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valade/Documents/GitHub/Wood-Carbon/rawData/"/>
    </mc:Choice>
  </mc:AlternateContent>
  <xr:revisionPtr revIDLastSave="0" documentId="13_ncr:1_{D9AB791E-B379-A04C-952E-A664943191C2}" xr6:coauthVersionLast="47" xr6:coauthVersionMax="47" xr10:uidLastSave="{00000000-0000-0000-0000-000000000000}"/>
  <bookViews>
    <workbookView xWindow="0" yWindow="500" windowWidth="28800" windowHeight="17500" xr2:uid="{00000000-000D-0000-FFFF-FFFF00000000}"/>
  </bookViews>
  <sheets>
    <sheet name="Sheet1" sheetId="1" r:id="rId1"/>
    <sheet name="Sheet2" sheetId="2" r:id="rId2"/>
    <sheet name="Conversions" sheetId="3" r:id="rId3"/>
    <sheet name="Palette_in_use" sheetId="4" r:id="rId4"/>
    <sheet name="SL_Extractions_v5" sheetId="5" r:id="rId5"/>
    <sheet name="VB_Extractions_v5" sheetId="6" r:id="rId6"/>
    <sheet name="QC_Aude" sheetId="7" r:id="rId7"/>
    <sheet name="QC_indicators" sheetId="8" r:id="rId8"/>
    <sheet name="TO DO" sheetId="9" r:id="rId9"/>
  </sheets>
  <externalReferences>
    <externalReference r:id="rId10"/>
    <externalReference r:id="rId11"/>
    <externalReference r:id="rId12"/>
    <externalReference r:id="rId13"/>
    <externalReference r:id="rId14"/>
    <externalReference r:id="rId15"/>
    <externalReference r:id="rId16"/>
  </externalReferences>
  <definedNames>
    <definedName name="_xlnm._FilterDatabase" localSheetId="0" hidden="1">Sheet1!$A$7:$ID$1639</definedName>
    <definedName name="C_to_CO2">Conversions!$B$5</definedName>
    <definedName name="kg_to_m3">Conversions!$B$3</definedName>
    <definedName name="t_to_m3">Conversions!$B$2</definedName>
    <definedName name="tC_to_m3">Conversions!$B$4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 i="4" l="1" a="1"/>
  <c r="E2" i="4" s="1"/>
  <c r="M396" i="1"/>
  <c r="M1610" i="1"/>
  <c r="M105" i="1"/>
  <c r="M104" i="1"/>
  <c r="ES102" i="1"/>
  <c r="ET102" i="1"/>
  <c r="EU102" i="1"/>
  <c r="FA102" i="1"/>
  <c r="M102" i="1"/>
  <c r="ES1634" i="1"/>
  <c r="ET1634" i="1"/>
  <c r="EU1634" i="1"/>
  <c r="FA1634" i="1"/>
  <c r="M1634" i="1"/>
  <c r="DY1161" i="1" l="1"/>
  <c r="BV1585" i="1"/>
  <c r="BU1585" i="1"/>
  <c r="BV1584" i="1"/>
  <c r="BU1584" i="1"/>
  <c r="BV1583" i="1"/>
  <c r="BU1583" i="1"/>
  <c r="ET1036" i="1"/>
  <c r="ET1065" i="1"/>
  <c r="ET1064" i="1"/>
  <c r="ET1043" i="1"/>
  <c r="ET1042" i="1"/>
  <c r="ET1063" i="1"/>
  <c r="ET1041" i="1"/>
  <c r="ET1062" i="1"/>
  <c r="ET1061" i="1"/>
  <c r="ET1060" i="1"/>
  <c r="ET1059" i="1"/>
  <c r="ET1040" i="1"/>
  <c r="ET1058" i="1"/>
  <c r="ET1039" i="1"/>
  <c r="ET1057" i="1"/>
  <c r="ET1056" i="1"/>
  <c r="ET1055" i="1"/>
  <c r="ET1054" i="1"/>
  <c r="ET1049" i="1"/>
  <c r="ET1048" i="1"/>
  <c r="ET1047" i="1"/>
  <c r="ET1046" i="1"/>
  <c r="ET1053" i="1"/>
  <c r="ET1045" i="1"/>
  <c r="ET1044" i="1"/>
  <c r="ET1052" i="1"/>
  <c r="ET1051" i="1"/>
  <c r="ET1050" i="1"/>
  <c r="ET1038" i="1"/>
  <c r="ET1037" i="1"/>
  <c r="ET1029" i="1"/>
  <c r="ET1028" i="1"/>
  <c r="ET1027" i="1"/>
  <c r="ET1026" i="1"/>
  <c r="ET1025" i="1"/>
  <c r="ET1024" i="1"/>
  <c r="ET1023" i="1"/>
  <c r="ET1022" i="1"/>
  <c r="ET1021" i="1"/>
  <c r="ET1011" i="1"/>
  <c r="ET1010" i="1"/>
  <c r="ET1009" i="1"/>
  <c r="ET1020" i="1"/>
  <c r="ET1019" i="1"/>
  <c r="ET1008" i="1"/>
  <c r="ET1018" i="1"/>
  <c r="ET1007" i="1"/>
  <c r="ET1017" i="1"/>
  <c r="ET1006" i="1"/>
  <c r="ET1016" i="1"/>
  <c r="ET1015" i="1"/>
  <c r="ET1014" i="1"/>
  <c r="ET1013" i="1"/>
  <c r="ET1012" i="1"/>
  <c r="ET1031" i="1"/>
  <c r="ET1035" i="1"/>
  <c r="ET1030" i="1"/>
  <c r="ET1034" i="1"/>
  <c r="ET1033" i="1"/>
  <c r="ET1032" i="1"/>
  <c r="ET900" i="1"/>
  <c r="ET899" i="1"/>
  <c r="ET732" i="1"/>
  <c r="ET731" i="1"/>
  <c r="ET746" i="1"/>
  <c r="ET730" i="1"/>
  <c r="ET729" i="1"/>
  <c r="ET728" i="1"/>
  <c r="ET753" i="1"/>
  <c r="ET740" i="1"/>
  <c r="ET752" i="1"/>
  <c r="ET727" i="1"/>
  <c r="ET726" i="1"/>
  <c r="ET739" i="1"/>
  <c r="ET751" i="1"/>
  <c r="ET738" i="1"/>
  <c r="ET725" i="1"/>
  <c r="ET724" i="1"/>
  <c r="ET745" i="1"/>
  <c r="ET750" i="1"/>
  <c r="ET737" i="1"/>
  <c r="ET723" i="1"/>
  <c r="ET749" i="1"/>
  <c r="ET744" i="1"/>
  <c r="ET722" i="1"/>
  <c r="ET748" i="1"/>
  <c r="ET736" i="1"/>
  <c r="ET735" i="1"/>
  <c r="ET721" i="1"/>
  <c r="ET743" i="1"/>
  <c r="ET734" i="1"/>
  <c r="ET747" i="1"/>
  <c r="ET742" i="1"/>
  <c r="ET733" i="1"/>
  <c r="ET741" i="1"/>
  <c r="ET630" i="1"/>
  <c r="ET716" i="1"/>
  <c r="ET715" i="1"/>
  <c r="ET720" i="1"/>
  <c r="ET916" i="1"/>
  <c r="ET996" i="1"/>
  <c r="ET1120" i="1"/>
  <c r="ET1187" i="1"/>
  <c r="ET1186" i="1"/>
  <c r="ET1189" i="1"/>
  <c r="ET1194" i="1"/>
  <c r="ET1191" i="1"/>
  <c r="ET1188" i="1"/>
  <c r="ET1198" i="1"/>
  <c r="ET1197" i="1"/>
  <c r="ET1193" i="1"/>
  <c r="ET1192" i="1"/>
  <c r="ET1190" i="1"/>
  <c r="ET1196" i="1"/>
  <c r="ET1195" i="1"/>
  <c r="ET698" i="1"/>
  <c r="ET697" i="1"/>
  <c r="ET696" i="1"/>
  <c r="ET695" i="1"/>
  <c r="ET714" i="1"/>
  <c r="ET1001" i="1"/>
  <c r="ET1005" i="1"/>
  <c r="ET1489" i="1"/>
  <c r="ET1488" i="1"/>
  <c r="ET1490" i="1"/>
  <c r="ET1491" i="1"/>
  <c r="ET1493" i="1"/>
  <c r="ET1492" i="1"/>
  <c r="ET963" i="1"/>
  <c r="ET998" i="1"/>
  <c r="ET1135" i="1"/>
  <c r="ET997" i="1"/>
  <c r="ET1606" i="1"/>
  <c r="ET1607" i="1"/>
  <c r="ET1608" i="1"/>
  <c r="ET1486" i="1"/>
  <c r="ET1487" i="1"/>
  <c r="ET1377" i="1"/>
  <c r="ET1376" i="1"/>
  <c r="ET1375" i="1"/>
  <c r="ET1374" i="1"/>
  <c r="ET1381" i="1"/>
  <c r="ET1380" i="1"/>
  <c r="ET1383" i="1"/>
  <c r="ET1379" i="1"/>
  <c r="ET1378" i="1"/>
  <c r="ET1382" i="1"/>
  <c r="ET1385" i="1"/>
  <c r="ET1384" i="1"/>
  <c r="ET1113" i="1"/>
  <c r="ET942" i="1"/>
  <c r="ET941" i="1"/>
  <c r="ET940" i="1"/>
  <c r="ET939" i="1"/>
  <c r="ET938" i="1"/>
  <c r="ET937" i="1"/>
  <c r="ET936" i="1"/>
  <c r="ET933" i="1"/>
  <c r="ET935" i="1"/>
  <c r="ET932" i="1"/>
  <c r="ET934" i="1"/>
  <c r="ET931" i="1"/>
  <c r="ET947" i="1"/>
  <c r="ET946" i="1"/>
  <c r="ET944" i="1"/>
  <c r="ET943" i="1"/>
  <c r="ET930" i="1"/>
  <c r="ET929" i="1"/>
  <c r="ET898" i="1"/>
  <c r="ET897" i="1"/>
  <c r="ET896" i="1"/>
  <c r="ET895" i="1"/>
  <c r="ET894" i="1"/>
  <c r="ET893" i="1"/>
  <c r="ET892" i="1"/>
  <c r="ET891" i="1"/>
  <c r="ET890" i="1"/>
  <c r="ET889" i="1"/>
  <c r="ET1185" i="1"/>
  <c r="ET1601" i="1"/>
  <c r="ET1602" i="1"/>
  <c r="ET1603" i="1"/>
  <c r="ET1604" i="1"/>
  <c r="ET1605" i="1"/>
  <c r="ET1482" i="1"/>
  <c r="ET1483" i="1"/>
  <c r="ET1484" i="1"/>
  <c r="ET1485" i="1"/>
  <c r="ET712" i="1"/>
  <c r="ET1112" i="1"/>
  <c r="ET1111" i="1"/>
  <c r="ET1110" i="1"/>
  <c r="ET1109" i="1"/>
  <c r="ET868" i="1"/>
  <c r="ET867" i="1"/>
  <c r="ET866" i="1"/>
  <c r="ET865" i="1"/>
  <c r="ET864" i="1"/>
  <c r="ET863" i="1"/>
  <c r="ET884" i="1"/>
  <c r="ET883" i="1"/>
  <c r="ET882" i="1"/>
  <c r="ET881" i="1"/>
  <c r="ET880" i="1"/>
  <c r="ET879" i="1"/>
  <c r="ET878" i="1"/>
  <c r="ET877" i="1"/>
  <c r="ET924" i="1"/>
  <c r="ET923" i="1"/>
  <c r="ET922" i="1"/>
  <c r="ET921" i="1"/>
  <c r="ET918" i="1"/>
  <c r="ET927" i="1"/>
  <c r="ET928" i="1"/>
  <c r="ET917" i="1"/>
  <c r="ET925" i="1"/>
  <c r="ET920" i="1"/>
  <c r="ET926" i="1"/>
  <c r="ET1474" i="1"/>
  <c r="ET1475" i="1"/>
  <c r="ET1476" i="1"/>
  <c r="ET1477" i="1"/>
  <c r="ET1478" i="1"/>
  <c r="ET1481" i="1"/>
  <c r="ET1480" i="1"/>
  <c r="ET1479" i="1"/>
  <c r="ET619" i="1"/>
  <c r="ET618" i="1"/>
  <c r="ET689" i="1"/>
  <c r="ET903" i="1"/>
  <c r="ET1138" i="1"/>
  <c r="ET1137" i="1"/>
  <c r="ET1149" i="1"/>
  <c r="ET1263" i="1"/>
  <c r="ET1271" i="1"/>
  <c r="ET1286" i="1"/>
  <c r="ET1287" i="1"/>
  <c r="ET1293" i="1"/>
  <c r="ET1294" i="1"/>
  <c r="ET1429" i="1"/>
  <c r="ET1428" i="1"/>
  <c r="ET603" i="1"/>
  <c r="ET602" i="1"/>
  <c r="ET601" i="1"/>
  <c r="ET600" i="1"/>
  <c r="ET599" i="1"/>
  <c r="ET598" i="1"/>
  <c r="ET597" i="1"/>
  <c r="ET596" i="1"/>
  <c r="ET595" i="1"/>
  <c r="ET594" i="1"/>
  <c r="ET593" i="1"/>
  <c r="ET592" i="1"/>
  <c r="ET591" i="1"/>
  <c r="ET590" i="1"/>
  <c r="ET589" i="1"/>
  <c r="ET588" i="1"/>
  <c r="ET587" i="1"/>
  <c r="ET586" i="1"/>
  <c r="ET585" i="1"/>
  <c r="ET584" i="1"/>
  <c r="ET583" i="1"/>
  <c r="ET582" i="1"/>
  <c r="ET1275" i="1"/>
  <c r="ET1373" i="1"/>
  <c r="ET1372" i="1"/>
  <c r="ET1371" i="1"/>
  <c r="ET1370" i="1"/>
  <c r="ET1369" i="1"/>
  <c r="ET1368" i="1"/>
  <c r="ET1472" i="1"/>
  <c r="ET1473" i="1"/>
  <c r="ET1184" i="1"/>
  <c r="ET1172" i="1"/>
  <c r="ET1183" i="1"/>
  <c r="ET1171" i="1"/>
  <c r="ET1170" i="1"/>
  <c r="ET1182" i="1"/>
  <c r="ET1181" i="1"/>
  <c r="ET1169" i="1"/>
  <c r="ET1168" i="1"/>
  <c r="ET1167" i="1"/>
  <c r="ET1180" i="1"/>
  <c r="ET1179" i="1"/>
  <c r="ET1166" i="1"/>
  <c r="ET1165" i="1"/>
  <c r="ET1164" i="1"/>
  <c r="ET1178" i="1"/>
  <c r="ET1163" i="1"/>
  <c r="ET1177" i="1"/>
  <c r="ET1176" i="1"/>
  <c r="ET1162" i="1"/>
  <c r="ET1175" i="1"/>
  <c r="ET1161" i="1"/>
  <c r="ET1174" i="1"/>
  <c r="ET1173" i="1"/>
  <c r="ET1367" i="1"/>
  <c r="ET1366" i="1"/>
  <c r="ET1365" i="1"/>
  <c r="ET1364" i="1"/>
  <c r="ET1108" i="1"/>
  <c r="ET1107" i="1"/>
  <c r="ET1106" i="1"/>
  <c r="ET1105" i="1"/>
  <c r="ET1598" i="1"/>
  <c r="ET1599" i="1"/>
  <c r="ET1600" i="1"/>
  <c r="ET1160" i="1"/>
  <c r="ET1159" i="1"/>
  <c r="ET1158" i="1"/>
  <c r="ET1157" i="1"/>
  <c r="ET1156" i="1"/>
  <c r="ET1155" i="1"/>
  <c r="ET1154" i="1"/>
  <c r="ET1153" i="1"/>
  <c r="ET1152" i="1"/>
  <c r="ET1151" i="1"/>
  <c r="ET1150" i="1"/>
  <c r="ET1452" i="1"/>
  <c r="ET1453" i="1"/>
  <c r="ET1454" i="1"/>
  <c r="ET1455" i="1"/>
  <c r="ET1456" i="1"/>
  <c r="ET1457" i="1"/>
  <c r="ET1458" i="1"/>
  <c r="ET1459" i="1"/>
  <c r="ET1460" i="1"/>
  <c r="ET1461" i="1"/>
  <c r="ET1462" i="1"/>
  <c r="ET1463" i="1"/>
  <c r="ET1471" i="1"/>
  <c r="ET1470" i="1"/>
  <c r="ET1469" i="1"/>
  <c r="ET1468" i="1"/>
  <c r="ET1467" i="1"/>
  <c r="ET1466" i="1"/>
  <c r="ET1465" i="1"/>
  <c r="ET1464" i="1"/>
  <c r="ET1274" i="1"/>
  <c r="ET965" i="1"/>
  <c r="ET986" i="1"/>
  <c r="ET985" i="1"/>
  <c r="ET994" i="1"/>
  <c r="ET990" i="1"/>
  <c r="ET989" i="1"/>
  <c r="ET988" i="1"/>
  <c r="ET987" i="1"/>
  <c r="ET993" i="1"/>
  <c r="ET992" i="1"/>
  <c r="ET984" i="1"/>
  <c r="ET983" i="1"/>
  <c r="ET991" i="1"/>
  <c r="ET982" i="1"/>
  <c r="ET981" i="1"/>
  <c r="ET980" i="1"/>
  <c r="ET979" i="1"/>
  <c r="ET710" i="1"/>
  <c r="ET709" i="1"/>
  <c r="ET711" i="1"/>
  <c r="ET1341" i="1"/>
  <c r="ET1273" i="1"/>
  <c r="ET1272" i="1"/>
  <c r="ET1597" i="1"/>
  <c r="ET1363" i="1"/>
  <c r="ET1362" i="1"/>
  <c r="ET1361" i="1"/>
  <c r="ET1360" i="1"/>
  <c r="ET1359" i="1"/>
  <c r="ET1358" i="1"/>
  <c r="ET1349" i="1"/>
  <c r="ET1348" i="1"/>
  <c r="ET1347" i="1"/>
  <c r="ET1346" i="1"/>
  <c r="ET1353" i="1"/>
  <c r="ET1352" i="1"/>
  <c r="ET1351" i="1"/>
  <c r="ET1350" i="1"/>
  <c r="ET1357" i="1"/>
  <c r="ET1356" i="1"/>
  <c r="ET1355" i="1"/>
  <c r="ET1354" i="1"/>
  <c r="ET1391" i="1"/>
  <c r="ET888" i="1"/>
  <c r="ET887" i="1"/>
  <c r="ET885" i="1"/>
  <c r="ET886" i="1"/>
  <c r="ET772" i="1"/>
  <c r="ET771" i="1"/>
  <c r="ET608" i="1"/>
  <c r="ET609" i="1"/>
  <c r="ET615" i="1"/>
  <c r="ET768" i="1"/>
  <c r="ET767" i="1"/>
  <c r="ET766" i="1"/>
  <c r="ET765" i="1"/>
  <c r="ET764" i="1"/>
  <c r="ET763" i="1"/>
  <c r="ET762" i="1"/>
  <c r="ET761" i="1"/>
  <c r="ET760" i="1"/>
  <c r="ET759" i="1"/>
  <c r="ET758" i="1"/>
  <c r="ET757" i="1"/>
  <c r="ET770" i="1"/>
  <c r="ET769" i="1"/>
  <c r="ET687" i="1"/>
  <c r="ET691" i="1"/>
  <c r="ET1147" i="1"/>
  <c r="ET1146" i="1"/>
  <c r="ET1450" i="1"/>
  <c r="ET1448" i="1"/>
  <c r="ET1446" i="1"/>
  <c r="ET1449" i="1"/>
  <c r="ET1447" i="1"/>
  <c r="ET1451" i="1"/>
  <c r="ET1344" i="1"/>
  <c r="ET1345" i="1"/>
  <c r="ET1386" i="1"/>
  <c r="ET1389" i="1"/>
  <c r="ET1431" i="1"/>
  <c r="ET1127" i="1"/>
  <c r="ET1131" i="1"/>
  <c r="ET1595" i="1"/>
  <c r="ET1596" i="1"/>
  <c r="ET1434" i="1"/>
  <c r="ET1435" i="1"/>
  <c r="ET1436" i="1"/>
  <c r="ET1437" i="1"/>
  <c r="ET1438" i="1"/>
  <c r="ET1439" i="1"/>
  <c r="ET1445" i="1"/>
  <c r="ET1444" i="1"/>
  <c r="ET1443" i="1"/>
  <c r="ET1442" i="1"/>
  <c r="ET1441" i="1"/>
  <c r="ET1440" i="1"/>
  <c r="ET1143" i="1"/>
  <c r="ET1261" i="1"/>
  <c r="ET1264" i="1"/>
  <c r="ET1270" i="1"/>
  <c r="ET1283" i="1"/>
  <c r="ET1284" i="1"/>
  <c r="ET1340" i="1"/>
  <c r="ET1339" i="1"/>
  <c r="ET1338" i="1"/>
  <c r="ET1337" i="1"/>
  <c r="ET962" i="1"/>
  <c r="ET957" i="1"/>
  <c r="ET1121" i="1"/>
  <c r="ET1125" i="1"/>
  <c r="ET1129" i="1"/>
  <c r="ET1130" i="1"/>
  <c r="ET1132" i="1"/>
  <c r="ET1140" i="1"/>
  <c r="ET1142" i="1"/>
  <c r="ET1259" i="1"/>
  <c r="ET1267" i="1"/>
  <c r="ET1276" i="1"/>
  <c r="ET1277" i="1"/>
  <c r="ET1278" i="1"/>
  <c r="ET1279" i="1"/>
  <c r="ET1285" i="1"/>
  <c r="ET1288" i="1"/>
  <c r="ET676" i="1"/>
  <c r="ET1291" i="1"/>
  <c r="ET1390" i="1"/>
  <c r="ET652" i="1"/>
  <c r="ET651" i="1"/>
  <c r="ET650" i="1"/>
  <c r="ET649" i="1"/>
  <c r="ET648" i="1"/>
  <c r="ET647" i="1"/>
  <c r="ET646" i="1"/>
  <c r="ET645" i="1"/>
  <c r="ET644" i="1"/>
  <c r="ET643" i="1"/>
  <c r="ET642" i="1"/>
  <c r="ET641" i="1"/>
  <c r="ET664" i="1"/>
  <c r="ET663" i="1"/>
  <c r="ET662" i="1"/>
  <c r="ET661" i="1"/>
  <c r="ET660" i="1"/>
  <c r="ET659" i="1"/>
  <c r="ET658" i="1"/>
  <c r="ET657" i="1"/>
  <c r="ET656" i="1"/>
  <c r="ET655" i="1"/>
  <c r="ET654" i="1"/>
  <c r="ET653" i="1"/>
  <c r="ET628" i="1"/>
  <c r="ET620" i="1"/>
  <c r="ET627" i="1"/>
  <c r="ET626" i="1"/>
  <c r="ET625" i="1"/>
  <c r="ET624" i="1"/>
  <c r="ET623" i="1"/>
  <c r="ET622" i="1"/>
  <c r="ET621" i="1"/>
  <c r="ET1589" i="1"/>
  <c r="ET1590" i="1"/>
  <c r="ET1591" i="1"/>
  <c r="ET1592" i="1"/>
  <c r="ET1594" i="1"/>
  <c r="ET1593" i="1"/>
  <c r="ET606" i="1"/>
  <c r="ET902" i="1"/>
  <c r="ET1122" i="1"/>
  <c r="ET1269" i="1"/>
  <c r="ET1290" i="1"/>
  <c r="ET1289" i="1"/>
  <c r="ET1296" i="1"/>
  <c r="ET1298" i="1"/>
  <c r="ET1297" i="1"/>
  <c r="ET1343" i="1"/>
  <c r="ET1388" i="1"/>
  <c r="ET1392" i="1"/>
  <c r="ET1393" i="1"/>
  <c r="ET1394" i="1"/>
  <c r="ET1395" i="1"/>
  <c r="ET1403" i="1"/>
  <c r="ET1336" i="1"/>
  <c r="ET1335" i="1"/>
  <c r="ET1334" i="1"/>
  <c r="ET1333" i="1"/>
  <c r="ET1257" i="1"/>
  <c r="ET961" i="1"/>
  <c r="ET960" i="1"/>
  <c r="ET959" i="1"/>
  <c r="ET958" i="1"/>
  <c r="ET1430" i="1"/>
  <c r="ET862" i="1"/>
  <c r="ET861" i="1"/>
  <c r="ET1587" i="1"/>
  <c r="ET1588" i="1"/>
  <c r="ET1248" i="1"/>
  <c r="ET1252" i="1"/>
  <c r="ET1232" i="1"/>
  <c r="ET1247" i="1"/>
  <c r="ET1251" i="1"/>
  <c r="ET1250" i="1"/>
  <c r="ET1234" i="1"/>
  <c r="ET1249" i="1"/>
  <c r="ET1236" i="1"/>
  <c r="ET1241" i="1"/>
  <c r="ET1233" i="1"/>
  <c r="ET1237" i="1"/>
  <c r="ET1238" i="1"/>
  <c r="ET1243" i="1"/>
  <c r="ET1240" i="1"/>
  <c r="ET1245" i="1"/>
  <c r="ET1246" i="1"/>
  <c r="ET1242" i="1"/>
  <c r="ET1239" i="1"/>
  <c r="ET1235" i="1"/>
  <c r="ET1229" i="1"/>
  <c r="ET1244" i="1"/>
  <c r="ET1231" i="1"/>
  <c r="ET1230" i="1"/>
  <c r="ET1228" i="1"/>
  <c r="ET1254" i="1"/>
  <c r="ET1227" i="1"/>
  <c r="ET1255" i="1"/>
  <c r="ET1253" i="1"/>
  <c r="ET671" i="1"/>
  <c r="ET670" i="1"/>
  <c r="ET669" i="1"/>
  <c r="ET668" i="1"/>
  <c r="ET675" i="1"/>
  <c r="ET674" i="1"/>
  <c r="ET667" i="1"/>
  <c r="ET666" i="1"/>
  <c r="ET665" i="1"/>
  <c r="ET1308" i="1"/>
  <c r="ET610" i="1"/>
  <c r="ET1307" i="1"/>
  <c r="ET611" i="1"/>
  <c r="ET1332" i="1"/>
  <c r="ET612" i="1"/>
  <c r="ET1306" i="1"/>
  <c r="ET614" i="1"/>
  <c r="ET1305" i="1"/>
  <c r="ET616" i="1"/>
  <c r="ET1304" i="1"/>
  <c r="ET617" i="1"/>
  <c r="ET1331" i="1"/>
  <c r="ET629" i="1"/>
  <c r="ET1330" i="1"/>
  <c r="ET1329" i="1"/>
  <c r="ET677" i="1"/>
  <c r="ET678" i="1"/>
  <c r="ET1328" i="1"/>
  <c r="ET1327" i="1"/>
  <c r="ET679" i="1"/>
  <c r="ET680" i="1"/>
  <c r="ET1326" i="1"/>
  <c r="ET681" i="1"/>
  <c r="ET1325" i="1"/>
  <c r="ET1324" i="1"/>
  <c r="ET683" i="1"/>
  <c r="ET684" i="1"/>
  <c r="ET1323" i="1"/>
  <c r="ET685" i="1"/>
  <c r="ET1303" i="1"/>
  <c r="ET1322" i="1"/>
  <c r="ET1321" i="1"/>
  <c r="ET1320" i="1"/>
  <c r="ET1319" i="1"/>
  <c r="ET1318" i="1"/>
  <c r="ET1317" i="1"/>
  <c r="ET1302" i="1"/>
  <c r="ET1301" i="1"/>
  <c r="ET1300" i="1"/>
  <c r="ET1316" i="1"/>
  <c r="ET1315" i="1"/>
  <c r="ET1299" i="1"/>
  <c r="ET1314" i="1"/>
  <c r="ET1313" i="1"/>
  <c r="ET1312" i="1"/>
  <c r="ET1311" i="1"/>
  <c r="ET1310" i="1"/>
  <c r="ET693" i="1"/>
  <c r="ET1309" i="1"/>
  <c r="ET694" i="1"/>
  <c r="ET756" i="1"/>
  <c r="ET755" i="1"/>
  <c r="ET754" i="1"/>
  <c r="ET1404" i="1"/>
  <c r="ET1405" i="1"/>
  <c r="ET1406" i="1"/>
  <c r="ET1407" i="1"/>
  <c r="ET1408" i="1"/>
  <c r="ET1415" i="1"/>
  <c r="ET1416" i="1"/>
  <c r="ET1417" i="1"/>
  <c r="ET1418" i="1"/>
  <c r="ET1424" i="1"/>
  <c r="ET1423" i="1"/>
  <c r="ET1421" i="1"/>
  <c r="ET1427" i="1"/>
  <c r="ET1414" i="1"/>
  <c r="ET1413" i="1"/>
  <c r="ET1426" i="1"/>
  <c r="ET1412" i="1"/>
  <c r="ET1411" i="1"/>
  <c r="ET1422" i="1"/>
  <c r="ET1420" i="1"/>
  <c r="ET1425" i="1"/>
  <c r="ET1410" i="1"/>
  <c r="ET1409" i="1"/>
  <c r="ET1585" i="1"/>
  <c r="ET1584" i="1"/>
  <c r="ET1586" i="1"/>
  <c r="ET1401" i="1"/>
  <c r="ET1402" i="1"/>
  <c r="ET607" i="1"/>
  <c r="ET686" i="1"/>
  <c r="ET688" i="1"/>
  <c r="ET912" i="1"/>
  <c r="ET690" i="1"/>
  <c r="ET911" i="1"/>
  <c r="ET692" i="1"/>
  <c r="ET910" i="1"/>
  <c r="ET909" i="1"/>
  <c r="ET908" i="1"/>
  <c r="ET907" i="1"/>
  <c r="ET906" i="1"/>
  <c r="ET905" i="1"/>
  <c r="ET904" i="1"/>
  <c r="ET1266" i="1"/>
  <c r="ET1295" i="1"/>
  <c r="ET1342" i="1"/>
  <c r="ET1387" i="1"/>
  <c r="ET1397" i="1"/>
  <c r="ET1398" i="1"/>
  <c r="ET1399" i="1"/>
  <c r="ET1400" i="1"/>
  <c r="ET613" i="1"/>
  <c r="ET682" i="1"/>
  <c r="ET1578" i="1"/>
  <c r="ET713" i="1"/>
  <c r="ET1580" i="1"/>
  <c r="ET1396" i="1"/>
  <c r="ET708" i="1"/>
  <c r="ET707" i="1"/>
  <c r="ET706" i="1"/>
  <c r="ET705" i="1"/>
  <c r="ET704" i="1"/>
  <c r="ET703" i="1"/>
  <c r="ET702" i="1"/>
  <c r="ET701" i="1"/>
  <c r="ET700" i="1"/>
  <c r="ET699" i="1"/>
  <c r="ET1104" i="1"/>
  <c r="ET1103" i="1"/>
  <c r="ET1102" i="1"/>
  <c r="ET1101" i="1"/>
  <c r="ET1100" i="1"/>
  <c r="ET1099" i="1"/>
  <c r="ET1098" i="1"/>
  <c r="ET1097" i="1"/>
  <c r="ET1096" i="1"/>
  <c r="ET1095" i="1"/>
  <c r="ET1094" i="1"/>
  <c r="ET1093" i="1"/>
  <c r="ET858" i="1"/>
  <c r="ET857" i="1"/>
  <c r="ET856" i="1"/>
  <c r="ET855" i="1"/>
  <c r="ET860" i="1"/>
  <c r="ET859" i="1"/>
  <c r="ET956" i="1"/>
  <c r="ET954" i="1"/>
  <c r="ET953" i="1"/>
  <c r="ET952" i="1"/>
  <c r="ET951" i="1"/>
  <c r="ET950" i="1"/>
  <c r="ET949" i="1"/>
  <c r="ET948" i="1"/>
  <c r="ET717" i="1"/>
  <c r="ET1282" i="1"/>
  <c r="ET1582" i="1"/>
  <c r="ET1581" i="1"/>
  <c r="ET1579" i="1"/>
  <c r="ET1577" i="1"/>
  <c r="ET1576" i="1"/>
  <c r="ET1494" i="1"/>
  <c r="ET1433" i="1"/>
  <c r="ET1432" i="1"/>
  <c r="ET1226" i="1"/>
  <c r="ET1225" i="1"/>
  <c r="ET1224" i="1"/>
  <c r="ET1223" i="1"/>
  <c r="ET1222" i="1"/>
  <c r="ET1221" i="1"/>
  <c r="ET1220" i="1"/>
  <c r="ET1219" i="1"/>
  <c r="ET1218" i="1"/>
  <c r="ET1217" i="1"/>
  <c r="ET1216" i="1"/>
  <c r="ET1215" i="1"/>
  <c r="ET975" i="1"/>
  <c r="ET974" i="1"/>
  <c r="ET973" i="1"/>
  <c r="ET972" i="1"/>
  <c r="ET969" i="1"/>
  <c r="ET978" i="1"/>
  <c r="ET977" i="1"/>
  <c r="ET968" i="1"/>
  <c r="ET971" i="1"/>
  <c r="ET976" i="1"/>
  <c r="ET970" i="1"/>
  <c r="ET967" i="1"/>
  <c r="ET966" i="1"/>
  <c r="ET1214" i="1"/>
  <c r="ET1213" i="1"/>
  <c r="ET1212" i="1"/>
  <c r="ET1206" i="1"/>
  <c r="ET1205" i="1"/>
  <c r="ET1211" i="1"/>
  <c r="ET1204" i="1"/>
  <c r="ET1203" i="1"/>
  <c r="ET1210" i="1"/>
  <c r="ET1209" i="1"/>
  <c r="ET1208" i="1"/>
  <c r="ET1207" i="1"/>
  <c r="ET1202" i="1"/>
  <c r="ET1201" i="1"/>
  <c r="ET1200" i="1"/>
  <c r="ET1199" i="1"/>
  <c r="ET557" i="1"/>
  <c r="ET556" i="1"/>
  <c r="ET555" i="1"/>
  <c r="ET581" i="1"/>
  <c r="ET580" i="1"/>
  <c r="ET554" i="1"/>
  <c r="ET553" i="1"/>
  <c r="ET552" i="1"/>
  <c r="ET579" i="1"/>
  <c r="ET578" i="1"/>
  <c r="ET551" i="1"/>
  <c r="ET550" i="1"/>
  <c r="ET549" i="1"/>
  <c r="ET548" i="1"/>
  <c r="ET547" i="1"/>
  <c r="ET546" i="1"/>
  <c r="ET545" i="1"/>
  <c r="ET544" i="1"/>
  <c r="ET577" i="1"/>
  <c r="ET576" i="1"/>
  <c r="ET543" i="1"/>
  <c r="ET542" i="1"/>
  <c r="ET541" i="1"/>
  <c r="ET540" i="1"/>
  <c r="ET539" i="1"/>
  <c r="ET538" i="1"/>
  <c r="ET575" i="1"/>
  <c r="ET574" i="1"/>
  <c r="ET573" i="1"/>
  <c r="ET572" i="1"/>
  <c r="ET571" i="1"/>
  <c r="ET570" i="1"/>
  <c r="ET569" i="1"/>
  <c r="ET568" i="1"/>
  <c r="ET567" i="1"/>
  <c r="ET566" i="1"/>
  <c r="ET565" i="1"/>
  <c r="ET564" i="1"/>
  <c r="ET563" i="1"/>
  <c r="ET562" i="1"/>
  <c r="ET561" i="1"/>
  <c r="ET560" i="1"/>
  <c r="ET559" i="1"/>
  <c r="ET558" i="1"/>
  <c r="ET1572" i="1"/>
  <c r="ET1573" i="1"/>
  <c r="ET1574" i="1"/>
  <c r="ET1575" i="1"/>
  <c r="ET1571" i="1"/>
  <c r="ET1570" i="1"/>
  <c r="ET718" i="1"/>
  <c r="ET719" i="1"/>
  <c r="ET901" i="1"/>
  <c r="ET913" i="1"/>
  <c r="ET914" i="1"/>
  <c r="ET915" i="1"/>
  <c r="ET964" i="1"/>
  <c r="ET995" i="1"/>
  <c r="ET1116" i="1"/>
  <c r="ET1117" i="1"/>
  <c r="ET1118" i="1"/>
  <c r="ET1119" i="1"/>
  <c r="ET1123" i="1"/>
  <c r="ET1124" i="1"/>
  <c r="ET1126" i="1"/>
  <c r="ET1128" i="1"/>
  <c r="ET1133" i="1"/>
  <c r="ET1134" i="1"/>
  <c r="ET1136" i="1"/>
  <c r="ET1139" i="1"/>
  <c r="ET1141" i="1"/>
  <c r="ET1144" i="1"/>
  <c r="ET1145" i="1"/>
  <c r="ET1148" i="1"/>
  <c r="ET1256" i="1"/>
  <c r="ET1258" i="1"/>
  <c r="ET1260" i="1"/>
  <c r="ET1262" i="1"/>
  <c r="ET1265" i="1"/>
  <c r="ET1268" i="1"/>
  <c r="ET1092" i="1"/>
  <c r="ET1091" i="1"/>
  <c r="ET1090" i="1"/>
  <c r="ET1089" i="1"/>
  <c r="ET1088" i="1"/>
  <c r="ET1087" i="1"/>
  <c r="ET1086" i="1"/>
  <c r="ET1085" i="1"/>
  <c r="ET1084" i="1"/>
  <c r="ET1083" i="1"/>
  <c r="ET1082" i="1"/>
  <c r="ET1081" i="1"/>
  <c r="ET1080" i="1"/>
  <c r="ET1079" i="1"/>
  <c r="ET1078" i="1"/>
  <c r="ET1077" i="1"/>
  <c r="ET1076" i="1"/>
  <c r="ET1075" i="1"/>
  <c r="ET1074" i="1"/>
  <c r="ET1073" i="1"/>
  <c r="ET1072" i="1"/>
  <c r="ET1071" i="1"/>
  <c r="ET1070" i="1"/>
  <c r="ET1069" i="1"/>
  <c r="ET1068" i="1"/>
  <c r="ET1067" i="1"/>
  <c r="ET1066" i="1"/>
  <c r="ET1115" i="1"/>
  <c r="ET1114" i="1"/>
  <c r="ET640" i="1"/>
  <c r="ET639" i="1"/>
  <c r="ET638" i="1"/>
  <c r="ET637" i="1"/>
  <c r="ET636" i="1"/>
  <c r="ET635" i="1"/>
  <c r="ET634" i="1"/>
  <c r="ET633" i="1"/>
  <c r="ET632" i="1"/>
  <c r="ET631" i="1"/>
  <c r="ET1496" i="1"/>
  <c r="ET1497" i="1"/>
  <c r="ET1533" i="1"/>
  <c r="ET1498" i="1"/>
  <c r="ET1534" i="1"/>
  <c r="ET1499" i="1"/>
  <c r="ET1500" i="1"/>
  <c r="ET1535" i="1"/>
  <c r="ET1536" i="1"/>
  <c r="ET1539" i="1"/>
  <c r="ET1501" i="1"/>
  <c r="ET1540" i="1"/>
  <c r="ET1541" i="1"/>
  <c r="ET1542" i="1"/>
  <c r="ET1502" i="1"/>
  <c r="ET1537" i="1"/>
  <c r="ET1538" i="1"/>
  <c r="ET1503" i="1"/>
  <c r="ET1504" i="1"/>
  <c r="ET1543" i="1"/>
  <c r="ET1544" i="1"/>
  <c r="ET1545" i="1"/>
  <c r="ET1505" i="1"/>
  <c r="ET1546" i="1"/>
  <c r="ET1506" i="1"/>
  <c r="ET1507" i="1"/>
  <c r="ET1508" i="1"/>
  <c r="ET1509" i="1"/>
  <c r="ET1510" i="1"/>
  <c r="ET1547" i="1"/>
  <c r="ET1511" i="1"/>
  <c r="ET1512" i="1"/>
  <c r="ET1513" i="1"/>
  <c r="ET1514" i="1"/>
  <c r="ET1515" i="1"/>
  <c r="ET1516" i="1"/>
  <c r="ET1517" i="1"/>
  <c r="ET1518" i="1"/>
  <c r="ET1519" i="1"/>
  <c r="ET1520" i="1"/>
  <c r="ET1521" i="1"/>
  <c r="ET1522" i="1"/>
  <c r="ET1523" i="1"/>
  <c r="ET1548" i="1"/>
  <c r="ET1524" i="1"/>
  <c r="ET1549" i="1"/>
  <c r="ET1550" i="1"/>
  <c r="ET1525" i="1"/>
  <c r="ET1526" i="1"/>
  <c r="ET1527" i="1"/>
  <c r="ET1528" i="1"/>
  <c r="ET1529" i="1"/>
  <c r="ET1530" i="1"/>
  <c r="ET1531" i="1"/>
  <c r="ET1532" i="1"/>
  <c r="ET1554" i="1"/>
  <c r="ET1553" i="1"/>
  <c r="ET1552" i="1"/>
  <c r="ET1569" i="1"/>
  <c r="ET1568" i="1"/>
  <c r="ET1567" i="1"/>
  <c r="ET1566" i="1"/>
  <c r="ET1565" i="1"/>
  <c r="ET1564" i="1"/>
  <c r="ET1563" i="1"/>
  <c r="ET1562" i="1"/>
  <c r="ET1561" i="1"/>
  <c r="ET1560" i="1"/>
  <c r="ET1559" i="1"/>
  <c r="ET1558" i="1"/>
  <c r="ET1557" i="1"/>
  <c r="ET1556" i="1"/>
  <c r="ET1555" i="1"/>
  <c r="ET1551" i="1"/>
  <c r="ET1292" i="1"/>
  <c r="ET1495" i="1"/>
  <c r="ET854" i="1"/>
  <c r="ET853" i="1"/>
  <c r="ET852" i="1"/>
  <c r="ET851" i="1"/>
  <c r="ET850" i="1"/>
  <c r="ET849" i="1"/>
  <c r="ET848" i="1"/>
  <c r="ET847" i="1"/>
  <c r="ET846" i="1"/>
  <c r="ET845" i="1"/>
  <c r="ET804" i="1"/>
  <c r="ET844" i="1"/>
  <c r="ET803" i="1"/>
  <c r="ET802" i="1"/>
  <c r="ET843" i="1"/>
  <c r="ET842" i="1"/>
  <c r="ET841" i="1"/>
  <c r="ET840" i="1"/>
  <c r="ET839" i="1"/>
  <c r="ET838" i="1"/>
  <c r="ET837" i="1"/>
  <c r="ET836" i="1"/>
  <c r="ET801" i="1"/>
  <c r="ET835" i="1"/>
  <c r="ET834" i="1"/>
  <c r="ET833" i="1"/>
  <c r="ET800" i="1"/>
  <c r="ET799" i="1"/>
  <c r="ET832" i="1"/>
  <c r="ET798" i="1"/>
  <c r="ET797" i="1"/>
  <c r="ET796" i="1"/>
  <c r="ET795" i="1"/>
  <c r="ET794" i="1"/>
  <c r="ET793" i="1"/>
  <c r="ET792" i="1"/>
  <c r="ET791" i="1"/>
  <c r="ET831" i="1"/>
  <c r="ET830" i="1"/>
  <c r="ET829" i="1"/>
  <c r="ET790" i="1"/>
  <c r="ET789" i="1"/>
  <c r="ET788" i="1"/>
  <c r="ET828" i="1"/>
  <c r="ET787" i="1"/>
  <c r="ET827" i="1"/>
  <c r="ET826" i="1"/>
  <c r="ET786" i="1"/>
  <c r="ET825" i="1"/>
  <c r="ET785" i="1"/>
  <c r="ET824" i="1"/>
  <c r="ET823" i="1"/>
  <c r="ET784" i="1"/>
  <c r="ET783" i="1"/>
  <c r="ET822" i="1"/>
  <c r="ET821" i="1"/>
  <c r="ET782" i="1"/>
  <c r="ET781" i="1"/>
  <c r="ET820" i="1"/>
  <c r="ET819" i="1"/>
  <c r="ET818" i="1"/>
  <c r="ET817" i="1"/>
  <c r="ET816" i="1"/>
  <c r="ET815" i="1"/>
  <c r="ET814" i="1"/>
  <c r="ET813" i="1"/>
  <c r="ET812" i="1"/>
  <c r="ET811" i="1"/>
  <c r="ET780" i="1"/>
  <c r="ET810" i="1"/>
  <c r="ET809" i="1"/>
  <c r="ET808" i="1"/>
  <c r="ET779" i="1"/>
  <c r="ET807" i="1"/>
  <c r="ET778" i="1"/>
  <c r="ET806" i="1"/>
  <c r="ET777" i="1"/>
  <c r="ET805" i="1"/>
  <c r="ET776" i="1"/>
  <c r="ET775" i="1"/>
  <c r="ET774" i="1"/>
  <c r="ET773" i="1"/>
  <c r="ET605" i="1"/>
  <c r="ET1583" i="1"/>
  <c r="ET604" i="1"/>
  <c r="ET1000" i="1"/>
  <c r="ET999" i="1"/>
  <c r="ET1004" i="1"/>
  <c r="ET1003" i="1"/>
  <c r="ET1002" i="1"/>
  <c r="ET945" i="1"/>
  <c r="ET876" i="1"/>
  <c r="ET875" i="1"/>
  <c r="ET874" i="1"/>
  <c r="ET873" i="1"/>
  <c r="ET872" i="1"/>
  <c r="ET871" i="1"/>
  <c r="ET870" i="1"/>
  <c r="ET869" i="1"/>
  <c r="ET919" i="1"/>
  <c r="ET673" i="1"/>
  <c r="ET672" i="1"/>
  <c r="ET1281" i="1"/>
  <c r="ET1280" i="1"/>
  <c r="ET1419" i="1"/>
  <c r="EU1036" i="1"/>
  <c r="EU1065" i="1"/>
  <c r="EU1064" i="1"/>
  <c r="EU1043" i="1"/>
  <c r="EU1042" i="1"/>
  <c r="EU1063" i="1"/>
  <c r="EU1041" i="1"/>
  <c r="EU1062" i="1"/>
  <c r="EU1061" i="1"/>
  <c r="EU1060" i="1"/>
  <c r="EU1059" i="1"/>
  <c r="EU1040" i="1"/>
  <c r="EU1058" i="1"/>
  <c r="EU1039" i="1"/>
  <c r="EU1057" i="1"/>
  <c r="EU1056" i="1"/>
  <c r="EU1055" i="1"/>
  <c r="EU1054" i="1"/>
  <c r="EU1049" i="1"/>
  <c r="EU1048" i="1"/>
  <c r="EU1047" i="1"/>
  <c r="EU1046" i="1"/>
  <c r="EU1053" i="1"/>
  <c r="EU1045" i="1"/>
  <c r="EU1044" i="1"/>
  <c r="EU1052" i="1"/>
  <c r="EU1051" i="1"/>
  <c r="EU1050" i="1"/>
  <c r="EU1038" i="1"/>
  <c r="EU1037" i="1"/>
  <c r="EU1029" i="1"/>
  <c r="EU1028" i="1"/>
  <c r="EU1027" i="1"/>
  <c r="EU1026" i="1"/>
  <c r="EU1025" i="1"/>
  <c r="EU1024" i="1"/>
  <c r="EU1023" i="1"/>
  <c r="EU1022" i="1"/>
  <c r="EU1021" i="1"/>
  <c r="EU1011" i="1"/>
  <c r="EU1010" i="1"/>
  <c r="EU1009" i="1"/>
  <c r="EU1020" i="1"/>
  <c r="EU1019" i="1"/>
  <c r="EU1008" i="1"/>
  <c r="EU1018" i="1"/>
  <c r="EU1007" i="1"/>
  <c r="EU1017" i="1"/>
  <c r="EU1006" i="1"/>
  <c r="EU1016" i="1"/>
  <c r="EU1015" i="1"/>
  <c r="EU1014" i="1"/>
  <c r="EU1013" i="1"/>
  <c r="EU1012" i="1"/>
  <c r="EU1031" i="1"/>
  <c r="EU1035" i="1"/>
  <c r="EU1030" i="1"/>
  <c r="EU1034" i="1"/>
  <c r="EU1033" i="1"/>
  <c r="EU1032" i="1"/>
  <c r="EU900" i="1"/>
  <c r="EU899" i="1"/>
  <c r="EU732" i="1"/>
  <c r="EU731" i="1"/>
  <c r="EU746" i="1"/>
  <c r="EU730" i="1"/>
  <c r="EU729" i="1"/>
  <c r="EU728" i="1"/>
  <c r="EU753" i="1"/>
  <c r="EU740" i="1"/>
  <c r="EU752" i="1"/>
  <c r="EU727" i="1"/>
  <c r="EU726" i="1"/>
  <c r="EU739" i="1"/>
  <c r="EU751" i="1"/>
  <c r="EU738" i="1"/>
  <c r="EU725" i="1"/>
  <c r="EU724" i="1"/>
  <c r="EU745" i="1"/>
  <c r="EU750" i="1"/>
  <c r="EU737" i="1"/>
  <c r="EU723" i="1"/>
  <c r="EU749" i="1"/>
  <c r="EU744" i="1"/>
  <c r="EU722" i="1"/>
  <c r="EU748" i="1"/>
  <c r="EU736" i="1"/>
  <c r="EU735" i="1"/>
  <c r="EU721" i="1"/>
  <c r="EU743" i="1"/>
  <c r="EU734" i="1"/>
  <c r="EU747" i="1"/>
  <c r="EU742" i="1"/>
  <c r="EU733" i="1"/>
  <c r="EU741" i="1"/>
  <c r="EU630" i="1"/>
  <c r="EU716" i="1"/>
  <c r="EU715" i="1"/>
  <c r="EU720" i="1"/>
  <c r="EU916" i="1"/>
  <c r="EU996" i="1"/>
  <c r="EU1120" i="1"/>
  <c r="EU1187" i="1"/>
  <c r="EU1186" i="1"/>
  <c r="EU1189" i="1"/>
  <c r="EU1194" i="1"/>
  <c r="EU1191" i="1"/>
  <c r="EU1188" i="1"/>
  <c r="EU1198" i="1"/>
  <c r="EU1197" i="1"/>
  <c r="EU1193" i="1"/>
  <c r="EU1192" i="1"/>
  <c r="EU1190" i="1"/>
  <c r="EU1196" i="1"/>
  <c r="EU1195" i="1"/>
  <c r="EU698" i="1"/>
  <c r="EU697" i="1"/>
  <c r="EU696" i="1"/>
  <c r="EU695" i="1"/>
  <c r="EU714" i="1"/>
  <c r="EU1001" i="1"/>
  <c r="EU1005" i="1"/>
  <c r="EU1489" i="1"/>
  <c r="EU1488" i="1"/>
  <c r="EU1490" i="1"/>
  <c r="EU1491" i="1"/>
  <c r="EU1493" i="1"/>
  <c r="EU1492" i="1"/>
  <c r="EU963" i="1"/>
  <c r="EU998" i="1"/>
  <c r="EU1135" i="1"/>
  <c r="EU997" i="1"/>
  <c r="EU1606" i="1"/>
  <c r="EU1607" i="1"/>
  <c r="EU1608" i="1"/>
  <c r="EU1486" i="1"/>
  <c r="EU1487" i="1"/>
  <c r="EU1377" i="1"/>
  <c r="EU1376" i="1"/>
  <c r="EU1375" i="1"/>
  <c r="EU1374" i="1"/>
  <c r="EU1381" i="1"/>
  <c r="EU1380" i="1"/>
  <c r="EU1383" i="1"/>
  <c r="EU1379" i="1"/>
  <c r="EU1378" i="1"/>
  <c r="EU1382" i="1"/>
  <c r="EU1385" i="1"/>
  <c r="EU1384" i="1"/>
  <c r="EU1113" i="1"/>
  <c r="EU942" i="1"/>
  <c r="EU941" i="1"/>
  <c r="EU940" i="1"/>
  <c r="EU939" i="1"/>
  <c r="EU938" i="1"/>
  <c r="EU937" i="1"/>
  <c r="EU936" i="1"/>
  <c r="EU933" i="1"/>
  <c r="EU935" i="1"/>
  <c r="EU932" i="1"/>
  <c r="EU934" i="1"/>
  <c r="EU931" i="1"/>
  <c r="EU947" i="1"/>
  <c r="EU946" i="1"/>
  <c r="EU944" i="1"/>
  <c r="EU943" i="1"/>
  <c r="EU930" i="1"/>
  <c r="EU929" i="1"/>
  <c r="EU898" i="1"/>
  <c r="EU897" i="1"/>
  <c r="EU896" i="1"/>
  <c r="EU895" i="1"/>
  <c r="EU894" i="1"/>
  <c r="EU893" i="1"/>
  <c r="EU892" i="1"/>
  <c r="EU891" i="1"/>
  <c r="EU890" i="1"/>
  <c r="EU889" i="1"/>
  <c r="EU1185" i="1"/>
  <c r="EU1601" i="1"/>
  <c r="EU1602" i="1"/>
  <c r="EU1603" i="1"/>
  <c r="EU1604" i="1"/>
  <c r="EU1605" i="1"/>
  <c r="EU1482" i="1"/>
  <c r="EU1483" i="1"/>
  <c r="EU1484" i="1"/>
  <c r="EU1485" i="1"/>
  <c r="EU712" i="1"/>
  <c r="EU1112" i="1"/>
  <c r="EU1111" i="1"/>
  <c r="EU1110" i="1"/>
  <c r="EU1109" i="1"/>
  <c r="EU868" i="1"/>
  <c r="EU867" i="1"/>
  <c r="EU866" i="1"/>
  <c r="EU865" i="1"/>
  <c r="EU864" i="1"/>
  <c r="EU863" i="1"/>
  <c r="EU884" i="1"/>
  <c r="EU883" i="1"/>
  <c r="EU882" i="1"/>
  <c r="EU881" i="1"/>
  <c r="EU880" i="1"/>
  <c r="EU879" i="1"/>
  <c r="EU878" i="1"/>
  <c r="EU877" i="1"/>
  <c r="EU924" i="1"/>
  <c r="EU923" i="1"/>
  <c r="EU922" i="1"/>
  <c r="EU921" i="1"/>
  <c r="EU918" i="1"/>
  <c r="EU927" i="1"/>
  <c r="EU928" i="1"/>
  <c r="EU917" i="1"/>
  <c r="EU925" i="1"/>
  <c r="EU920" i="1"/>
  <c r="EU926" i="1"/>
  <c r="EU1474" i="1"/>
  <c r="EU1475" i="1"/>
  <c r="EU1476" i="1"/>
  <c r="EU1477" i="1"/>
  <c r="EU1478" i="1"/>
  <c r="EU1481" i="1"/>
  <c r="EU1480" i="1"/>
  <c r="EU1479" i="1"/>
  <c r="EU619" i="1"/>
  <c r="EU618" i="1"/>
  <c r="EU689" i="1"/>
  <c r="EU903" i="1"/>
  <c r="EU1138" i="1"/>
  <c r="EU1137" i="1"/>
  <c r="EU1149" i="1"/>
  <c r="EU1263" i="1"/>
  <c r="EU1271" i="1"/>
  <c r="EU1286" i="1"/>
  <c r="EU1287" i="1"/>
  <c r="EU1293" i="1"/>
  <c r="EU1294" i="1"/>
  <c r="EU1429" i="1"/>
  <c r="EU1428" i="1"/>
  <c r="EU603" i="1"/>
  <c r="EU602" i="1"/>
  <c r="EU601" i="1"/>
  <c r="EU600" i="1"/>
  <c r="EU599" i="1"/>
  <c r="EU598" i="1"/>
  <c r="EU597" i="1"/>
  <c r="EU596" i="1"/>
  <c r="EU595" i="1"/>
  <c r="EU594" i="1"/>
  <c r="EU593" i="1"/>
  <c r="EU592" i="1"/>
  <c r="EU591" i="1"/>
  <c r="EU590" i="1"/>
  <c r="EU589" i="1"/>
  <c r="EU588" i="1"/>
  <c r="EU587" i="1"/>
  <c r="EU586" i="1"/>
  <c r="EU585" i="1"/>
  <c r="EU584" i="1"/>
  <c r="EU583" i="1"/>
  <c r="EU582" i="1"/>
  <c r="EU1275" i="1"/>
  <c r="EU1373" i="1"/>
  <c r="EU1372" i="1"/>
  <c r="EU1371" i="1"/>
  <c r="EU1370" i="1"/>
  <c r="EU1369" i="1"/>
  <c r="EU1368" i="1"/>
  <c r="EU1472" i="1"/>
  <c r="EU1473" i="1"/>
  <c r="EU1184" i="1"/>
  <c r="EU1172" i="1"/>
  <c r="EU1183" i="1"/>
  <c r="EU1171" i="1"/>
  <c r="EU1170" i="1"/>
  <c r="EU1182" i="1"/>
  <c r="EU1181" i="1"/>
  <c r="EU1169" i="1"/>
  <c r="EU1168" i="1"/>
  <c r="EU1167" i="1"/>
  <c r="EU1180" i="1"/>
  <c r="EU1179" i="1"/>
  <c r="EU1166" i="1"/>
  <c r="EU1165" i="1"/>
  <c r="EU1164" i="1"/>
  <c r="EU1178" i="1"/>
  <c r="EU1163" i="1"/>
  <c r="EU1177" i="1"/>
  <c r="EU1176" i="1"/>
  <c r="EU1162" i="1"/>
  <c r="EU1175" i="1"/>
  <c r="EU1161" i="1"/>
  <c r="EU1174" i="1"/>
  <c r="EU1173" i="1"/>
  <c r="EU1367" i="1"/>
  <c r="EU1366" i="1"/>
  <c r="EU1365" i="1"/>
  <c r="EU1364" i="1"/>
  <c r="EU1108" i="1"/>
  <c r="EU1107" i="1"/>
  <c r="EU1106" i="1"/>
  <c r="EU1105" i="1"/>
  <c r="EU1598" i="1"/>
  <c r="EU1599" i="1"/>
  <c r="EU1600" i="1"/>
  <c r="EU1160" i="1"/>
  <c r="EU1159" i="1"/>
  <c r="EU1158" i="1"/>
  <c r="EU1157" i="1"/>
  <c r="EU1156" i="1"/>
  <c r="EU1155" i="1"/>
  <c r="EU1154" i="1"/>
  <c r="EU1153" i="1"/>
  <c r="EU1152" i="1"/>
  <c r="EU1151" i="1"/>
  <c r="EU1150" i="1"/>
  <c r="EU1452" i="1"/>
  <c r="EU1453" i="1"/>
  <c r="EU1454" i="1"/>
  <c r="EU1455" i="1"/>
  <c r="EU1456" i="1"/>
  <c r="EU1457" i="1"/>
  <c r="EU1458" i="1"/>
  <c r="EU1459" i="1"/>
  <c r="EU1460" i="1"/>
  <c r="EU1461" i="1"/>
  <c r="EU1462" i="1"/>
  <c r="EU1463" i="1"/>
  <c r="EU1471" i="1"/>
  <c r="EU1470" i="1"/>
  <c r="EU1469" i="1"/>
  <c r="EU1468" i="1"/>
  <c r="EU1467" i="1"/>
  <c r="EU1466" i="1"/>
  <c r="EU1465" i="1"/>
  <c r="EU1464" i="1"/>
  <c r="EU1274" i="1"/>
  <c r="EU965" i="1"/>
  <c r="EU986" i="1"/>
  <c r="EU985" i="1"/>
  <c r="EU994" i="1"/>
  <c r="EU990" i="1"/>
  <c r="EU989" i="1"/>
  <c r="EU988" i="1"/>
  <c r="EU987" i="1"/>
  <c r="EU993" i="1"/>
  <c r="EU992" i="1"/>
  <c r="EU984" i="1"/>
  <c r="EU983" i="1"/>
  <c r="EU991" i="1"/>
  <c r="EU982" i="1"/>
  <c r="EU981" i="1"/>
  <c r="EU980" i="1"/>
  <c r="EU979" i="1"/>
  <c r="EU710" i="1"/>
  <c r="EU709" i="1"/>
  <c r="EU711" i="1"/>
  <c r="EU1341" i="1"/>
  <c r="EU1273" i="1"/>
  <c r="EU1272" i="1"/>
  <c r="EU1597" i="1"/>
  <c r="EU1363" i="1"/>
  <c r="EU1362" i="1"/>
  <c r="EU1361" i="1"/>
  <c r="EU1360" i="1"/>
  <c r="EU1359" i="1"/>
  <c r="EU1358" i="1"/>
  <c r="EU1349" i="1"/>
  <c r="EU1348" i="1"/>
  <c r="EU1347" i="1"/>
  <c r="EU1346" i="1"/>
  <c r="EU1353" i="1"/>
  <c r="EU1352" i="1"/>
  <c r="EU1351" i="1"/>
  <c r="EU1350" i="1"/>
  <c r="EU1357" i="1"/>
  <c r="EU1356" i="1"/>
  <c r="EU1355" i="1"/>
  <c r="EU1354" i="1"/>
  <c r="EU1391" i="1"/>
  <c r="EU888" i="1"/>
  <c r="EU887" i="1"/>
  <c r="EU885" i="1"/>
  <c r="EU886" i="1"/>
  <c r="EU772" i="1"/>
  <c r="EU771" i="1"/>
  <c r="EU608" i="1"/>
  <c r="EU609" i="1"/>
  <c r="EU615" i="1"/>
  <c r="EU768" i="1"/>
  <c r="EU767" i="1"/>
  <c r="EU766" i="1"/>
  <c r="EU765" i="1"/>
  <c r="EU764" i="1"/>
  <c r="EU763" i="1"/>
  <c r="EU762" i="1"/>
  <c r="EU761" i="1"/>
  <c r="EU760" i="1"/>
  <c r="EU759" i="1"/>
  <c r="EU758" i="1"/>
  <c r="EU757" i="1"/>
  <c r="EU770" i="1"/>
  <c r="EU769" i="1"/>
  <c r="EU687" i="1"/>
  <c r="EU691" i="1"/>
  <c r="EU1147" i="1"/>
  <c r="EU1146" i="1"/>
  <c r="EU1450" i="1"/>
  <c r="EU1448" i="1"/>
  <c r="EU1446" i="1"/>
  <c r="EU1449" i="1"/>
  <c r="EU1447" i="1"/>
  <c r="EU1451" i="1"/>
  <c r="EU1344" i="1"/>
  <c r="EU1345" i="1"/>
  <c r="EU1386" i="1"/>
  <c r="EU1389" i="1"/>
  <c r="EU1431" i="1"/>
  <c r="EU1127" i="1"/>
  <c r="EU1131" i="1"/>
  <c r="EU1595" i="1"/>
  <c r="EU1596" i="1"/>
  <c r="EU1434" i="1"/>
  <c r="EU1435" i="1"/>
  <c r="EU1436" i="1"/>
  <c r="EU1437" i="1"/>
  <c r="EU1438" i="1"/>
  <c r="EU1439" i="1"/>
  <c r="EU1445" i="1"/>
  <c r="EU1444" i="1"/>
  <c r="EU1443" i="1"/>
  <c r="EU1442" i="1"/>
  <c r="EU1441" i="1"/>
  <c r="EU1440" i="1"/>
  <c r="EU1143" i="1"/>
  <c r="EU1261" i="1"/>
  <c r="EU1264" i="1"/>
  <c r="EU1270" i="1"/>
  <c r="EU1283" i="1"/>
  <c r="EU1284" i="1"/>
  <c r="EU1340" i="1"/>
  <c r="EU1339" i="1"/>
  <c r="EU1338" i="1"/>
  <c r="EU1337" i="1"/>
  <c r="EU962" i="1"/>
  <c r="EU957" i="1"/>
  <c r="EU1121" i="1"/>
  <c r="EU1125" i="1"/>
  <c r="EU1129" i="1"/>
  <c r="EU1130" i="1"/>
  <c r="EU1132" i="1"/>
  <c r="EU1140" i="1"/>
  <c r="EU1142" i="1"/>
  <c r="EU1259" i="1"/>
  <c r="EU1267" i="1"/>
  <c r="EU1276" i="1"/>
  <c r="EU1277" i="1"/>
  <c r="EU1278" i="1"/>
  <c r="EU1279" i="1"/>
  <c r="EU1285" i="1"/>
  <c r="EU1288" i="1"/>
  <c r="EU676" i="1"/>
  <c r="EU1291" i="1"/>
  <c r="EU1390" i="1"/>
  <c r="EU652" i="1"/>
  <c r="EU651" i="1"/>
  <c r="EU650" i="1"/>
  <c r="EU649" i="1"/>
  <c r="EU648" i="1"/>
  <c r="EU647" i="1"/>
  <c r="EU646" i="1"/>
  <c r="EU645" i="1"/>
  <c r="EU644" i="1"/>
  <c r="EU643" i="1"/>
  <c r="EU642" i="1"/>
  <c r="EU641" i="1"/>
  <c r="EU664" i="1"/>
  <c r="EU663" i="1"/>
  <c r="EU662" i="1"/>
  <c r="EU661" i="1"/>
  <c r="EU660" i="1"/>
  <c r="EU659" i="1"/>
  <c r="EU658" i="1"/>
  <c r="EU657" i="1"/>
  <c r="EU656" i="1"/>
  <c r="EU655" i="1"/>
  <c r="EU654" i="1"/>
  <c r="EU653" i="1"/>
  <c r="EU628" i="1"/>
  <c r="EU620" i="1"/>
  <c r="EU627" i="1"/>
  <c r="EU626" i="1"/>
  <c r="EU625" i="1"/>
  <c r="EU624" i="1"/>
  <c r="EU623" i="1"/>
  <c r="EU622" i="1"/>
  <c r="EU621" i="1"/>
  <c r="EU1589" i="1"/>
  <c r="EU1590" i="1"/>
  <c r="EU1591" i="1"/>
  <c r="EU1592" i="1"/>
  <c r="EU1594" i="1"/>
  <c r="EU1593" i="1"/>
  <c r="EU606" i="1"/>
  <c r="EU902" i="1"/>
  <c r="EU1122" i="1"/>
  <c r="EU1269" i="1"/>
  <c r="EU1290" i="1"/>
  <c r="EU1289" i="1"/>
  <c r="EU1296" i="1"/>
  <c r="EU1298" i="1"/>
  <c r="EU1297" i="1"/>
  <c r="EU1343" i="1"/>
  <c r="EU1388" i="1"/>
  <c r="EU1392" i="1"/>
  <c r="EU1393" i="1"/>
  <c r="EU1394" i="1"/>
  <c r="EU1395" i="1"/>
  <c r="EU1403" i="1"/>
  <c r="EU1336" i="1"/>
  <c r="EU1335" i="1"/>
  <c r="EU1334" i="1"/>
  <c r="EU1333" i="1"/>
  <c r="EU1257" i="1"/>
  <c r="EU961" i="1"/>
  <c r="EU960" i="1"/>
  <c r="EU959" i="1"/>
  <c r="EU958" i="1"/>
  <c r="EU1430" i="1"/>
  <c r="EU862" i="1"/>
  <c r="EU861" i="1"/>
  <c r="EU1587" i="1"/>
  <c r="EU1588" i="1"/>
  <c r="EU1248" i="1"/>
  <c r="EU1252" i="1"/>
  <c r="EU1232" i="1"/>
  <c r="EU1247" i="1"/>
  <c r="EU1251" i="1"/>
  <c r="EU1250" i="1"/>
  <c r="EU1234" i="1"/>
  <c r="EU1249" i="1"/>
  <c r="EU1236" i="1"/>
  <c r="EU1241" i="1"/>
  <c r="EU1233" i="1"/>
  <c r="EU1237" i="1"/>
  <c r="EU1238" i="1"/>
  <c r="EU1243" i="1"/>
  <c r="EU1240" i="1"/>
  <c r="EU1245" i="1"/>
  <c r="EU1246" i="1"/>
  <c r="EU1242" i="1"/>
  <c r="EU1239" i="1"/>
  <c r="EU1235" i="1"/>
  <c r="EU1229" i="1"/>
  <c r="EU1244" i="1"/>
  <c r="EU1231" i="1"/>
  <c r="EU1230" i="1"/>
  <c r="EU1228" i="1"/>
  <c r="EU1254" i="1"/>
  <c r="EU1227" i="1"/>
  <c r="EU1255" i="1"/>
  <c r="EU1253" i="1"/>
  <c r="EU671" i="1"/>
  <c r="EU670" i="1"/>
  <c r="EU669" i="1"/>
  <c r="EU668" i="1"/>
  <c r="EU675" i="1"/>
  <c r="EU674" i="1"/>
  <c r="EU667" i="1"/>
  <c r="EU666" i="1"/>
  <c r="EU665" i="1"/>
  <c r="EU1308" i="1"/>
  <c r="EU610" i="1"/>
  <c r="EU1307" i="1"/>
  <c r="EU611" i="1"/>
  <c r="EU1332" i="1"/>
  <c r="EU612" i="1"/>
  <c r="EU1306" i="1"/>
  <c r="EU614" i="1"/>
  <c r="EU1305" i="1"/>
  <c r="EU616" i="1"/>
  <c r="EU1304" i="1"/>
  <c r="EU617" i="1"/>
  <c r="EU1331" i="1"/>
  <c r="EU629" i="1"/>
  <c r="EU1330" i="1"/>
  <c r="EU1329" i="1"/>
  <c r="EU677" i="1"/>
  <c r="EU678" i="1"/>
  <c r="EU1328" i="1"/>
  <c r="EU1327" i="1"/>
  <c r="EU679" i="1"/>
  <c r="EU680" i="1"/>
  <c r="EU1326" i="1"/>
  <c r="EU681" i="1"/>
  <c r="EU1325" i="1"/>
  <c r="EU1324" i="1"/>
  <c r="EU683" i="1"/>
  <c r="EU684" i="1"/>
  <c r="EU1323" i="1"/>
  <c r="EU685" i="1"/>
  <c r="EU1303" i="1"/>
  <c r="EU1322" i="1"/>
  <c r="EU1321" i="1"/>
  <c r="EU1320" i="1"/>
  <c r="EU1319" i="1"/>
  <c r="EU1318" i="1"/>
  <c r="EU1317" i="1"/>
  <c r="EU1302" i="1"/>
  <c r="EU1301" i="1"/>
  <c r="EU1300" i="1"/>
  <c r="EU1316" i="1"/>
  <c r="EU1315" i="1"/>
  <c r="EU1299" i="1"/>
  <c r="EU1314" i="1"/>
  <c r="EU1313" i="1"/>
  <c r="EU1312" i="1"/>
  <c r="EU1311" i="1"/>
  <c r="EU1310" i="1"/>
  <c r="EU693" i="1"/>
  <c r="EU1309" i="1"/>
  <c r="EU694" i="1"/>
  <c r="EU756" i="1"/>
  <c r="EU755" i="1"/>
  <c r="EU754" i="1"/>
  <c r="EU1404" i="1"/>
  <c r="EU1405" i="1"/>
  <c r="EU1406" i="1"/>
  <c r="EU1407" i="1"/>
  <c r="EU1408" i="1"/>
  <c r="EU1415" i="1"/>
  <c r="EU1416" i="1"/>
  <c r="EU1417" i="1"/>
  <c r="EU1418" i="1"/>
  <c r="EU1424" i="1"/>
  <c r="EU1423" i="1"/>
  <c r="EU1421" i="1"/>
  <c r="EU1427" i="1"/>
  <c r="EU1414" i="1"/>
  <c r="EU1413" i="1"/>
  <c r="EU1426" i="1"/>
  <c r="EU1412" i="1"/>
  <c r="EU1411" i="1"/>
  <c r="EU1422" i="1"/>
  <c r="EU1420" i="1"/>
  <c r="EU1425" i="1"/>
  <c r="EU1410" i="1"/>
  <c r="EU1409" i="1"/>
  <c r="EU1585" i="1"/>
  <c r="EU1584" i="1"/>
  <c r="EU1586" i="1"/>
  <c r="EU1401" i="1"/>
  <c r="EU1402" i="1"/>
  <c r="EU607" i="1"/>
  <c r="EU686" i="1"/>
  <c r="EU688" i="1"/>
  <c r="EU912" i="1"/>
  <c r="EU690" i="1"/>
  <c r="EU911" i="1"/>
  <c r="EU692" i="1"/>
  <c r="EU910" i="1"/>
  <c r="EU909" i="1"/>
  <c r="EU908" i="1"/>
  <c r="EU907" i="1"/>
  <c r="EU906" i="1"/>
  <c r="EU905" i="1"/>
  <c r="EU904" i="1"/>
  <c r="EU1266" i="1"/>
  <c r="EU1295" i="1"/>
  <c r="EU1342" i="1"/>
  <c r="EU1387" i="1"/>
  <c r="EU1397" i="1"/>
  <c r="EU1398" i="1"/>
  <c r="EU1399" i="1"/>
  <c r="EU1400" i="1"/>
  <c r="EU613" i="1"/>
  <c r="EU682" i="1"/>
  <c r="EU1578" i="1"/>
  <c r="EU713" i="1"/>
  <c r="EU1580" i="1"/>
  <c r="EU1396" i="1"/>
  <c r="EU708" i="1"/>
  <c r="EU707" i="1"/>
  <c r="EU706" i="1"/>
  <c r="EU705" i="1"/>
  <c r="EU704" i="1"/>
  <c r="EU703" i="1"/>
  <c r="EU702" i="1"/>
  <c r="EU701" i="1"/>
  <c r="EU700" i="1"/>
  <c r="EU699" i="1"/>
  <c r="EU1104" i="1"/>
  <c r="EU1103" i="1"/>
  <c r="EU1102" i="1"/>
  <c r="EU1101" i="1"/>
  <c r="EU1100" i="1"/>
  <c r="EU1099" i="1"/>
  <c r="EU1098" i="1"/>
  <c r="EU1097" i="1"/>
  <c r="EU1096" i="1"/>
  <c r="EU1095" i="1"/>
  <c r="EU1094" i="1"/>
  <c r="EU1093" i="1"/>
  <c r="EU858" i="1"/>
  <c r="EU857" i="1"/>
  <c r="EU856" i="1"/>
  <c r="EU855" i="1"/>
  <c r="EU860" i="1"/>
  <c r="EU859" i="1"/>
  <c r="EU956" i="1"/>
  <c r="EU954" i="1"/>
  <c r="EU953" i="1"/>
  <c r="EU952" i="1"/>
  <c r="EU951" i="1"/>
  <c r="EU950" i="1"/>
  <c r="EU949" i="1"/>
  <c r="EU948" i="1"/>
  <c r="EU717" i="1"/>
  <c r="EU1282" i="1"/>
  <c r="EU1582" i="1"/>
  <c r="EU1581" i="1"/>
  <c r="EU1579" i="1"/>
  <c r="EU1577" i="1"/>
  <c r="EU1576" i="1"/>
  <c r="EU1494" i="1"/>
  <c r="EU1433" i="1"/>
  <c r="EU1432" i="1"/>
  <c r="EU1226" i="1"/>
  <c r="EU1225" i="1"/>
  <c r="EU1224" i="1"/>
  <c r="EU1223" i="1"/>
  <c r="EU1222" i="1"/>
  <c r="EU1221" i="1"/>
  <c r="EU1220" i="1"/>
  <c r="EU1219" i="1"/>
  <c r="EU1218" i="1"/>
  <c r="EU1217" i="1"/>
  <c r="EU1216" i="1"/>
  <c r="EU1215" i="1"/>
  <c r="EU975" i="1"/>
  <c r="EU974" i="1"/>
  <c r="EU973" i="1"/>
  <c r="EU972" i="1"/>
  <c r="EU969" i="1"/>
  <c r="EU978" i="1"/>
  <c r="EU977" i="1"/>
  <c r="EU968" i="1"/>
  <c r="EU971" i="1"/>
  <c r="EU976" i="1"/>
  <c r="EU970" i="1"/>
  <c r="EU967" i="1"/>
  <c r="EU966" i="1"/>
  <c r="EU1214" i="1"/>
  <c r="EU1213" i="1"/>
  <c r="EU1212" i="1"/>
  <c r="EU1206" i="1"/>
  <c r="EU1205" i="1"/>
  <c r="EU1211" i="1"/>
  <c r="EU1204" i="1"/>
  <c r="EU1203" i="1"/>
  <c r="EU1210" i="1"/>
  <c r="EU1209" i="1"/>
  <c r="EU1208" i="1"/>
  <c r="EU1207" i="1"/>
  <c r="EU1202" i="1"/>
  <c r="EU1201" i="1"/>
  <c r="EU1200" i="1"/>
  <c r="EU1199" i="1"/>
  <c r="EU557" i="1"/>
  <c r="EU556" i="1"/>
  <c r="EU555" i="1"/>
  <c r="EU581" i="1"/>
  <c r="EU580" i="1"/>
  <c r="EU554" i="1"/>
  <c r="EU553" i="1"/>
  <c r="EU552" i="1"/>
  <c r="EU579" i="1"/>
  <c r="EU578" i="1"/>
  <c r="EU551" i="1"/>
  <c r="EU550" i="1"/>
  <c r="EU549" i="1"/>
  <c r="EU548" i="1"/>
  <c r="EU547" i="1"/>
  <c r="EU546" i="1"/>
  <c r="EU545" i="1"/>
  <c r="EU544" i="1"/>
  <c r="EU577" i="1"/>
  <c r="EU576" i="1"/>
  <c r="EU543" i="1"/>
  <c r="EU542" i="1"/>
  <c r="EU541" i="1"/>
  <c r="EU540" i="1"/>
  <c r="EU539" i="1"/>
  <c r="EU538" i="1"/>
  <c r="EU575" i="1"/>
  <c r="EU574" i="1"/>
  <c r="EU573" i="1"/>
  <c r="EU572" i="1"/>
  <c r="EU571" i="1"/>
  <c r="EU570" i="1"/>
  <c r="EU569" i="1"/>
  <c r="EU568" i="1"/>
  <c r="EU567" i="1"/>
  <c r="EU566" i="1"/>
  <c r="EU565" i="1"/>
  <c r="EU564" i="1"/>
  <c r="EU563" i="1"/>
  <c r="EU562" i="1"/>
  <c r="EU561" i="1"/>
  <c r="EU560" i="1"/>
  <c r="EU559" i="1"/>
  <c r="EU558" i="1"/>
  <c r="EU1572" i="1"/>
  <c r="EU1573" i="1"/>
  <c r="EU1574" i="1"/>
  <c r="EU1575" i="1"/>
  <c r="EU1571" i="1"/>
  <c r="EU1570" i="1"/>
  <c r="EU718" i="1"/>
  <c r="EU719" i="1"/>
  <c r="EU901" i="1"/>
  <c r="EU913" i="1"/>
  <c r="EU914" i="1"/>
  <c r="EU915" i="1"/>
  <c r="EU964" i="1"/>
  <c r="EU995" i="1"/>
  <c r="EU1116" i="1"/>
  <c r="EU1117" i="1"/>
  <c r="EU1118" i="1"/>
  <c r="EU1119" i="1"/>
  <c r="EU1123" i="1"/>
  <c r="EU1124" i="1"/>
  <c r="EU1126" i="1"/>
  <c r="EU1128" i="1"/>
  <c r="EU1133" i="1"/>
  <c r="EU1134" i="1"/>
  <c r="EU1136" i="1"/>
  <c r="EU1139" i="1"/>
  <c r="EU1141" i="1"/>
  <c r="EU1144" i="1"/>
  <c r="EU1145" i="1"/>
  <c r="EU1148" i="1"/>
  <c r="EU1256" i="1"/>
  <c r="EU1258" i="1"/>
  <c r="EU1260" i="1"/>
  <c r="EU1262" i="1"/>
  <c r="EU1265" i="1"/>
  <c r="EU1268" i="1"/>
  <c r="EU1092" i="1"/>
  <c r="EU1091" i="1"/>
  <c r="EU1090" i="1"/>
  <c r="EU1089" i="1"/>
  <c r="EU1088" i="1"/>
  <c r="EU1087" i="1"/>
  <c r="EU1086" i="1"/>
  <c r="EU1085" i="1"/>
  <c r="EU1084" i="1"/>
  <c r="EU1083" i="1"/>
  <c r="EU1082" i="1"/>
  <c r="EU1081" i="1"/>
  <c r="EU1080" i="1"/>
  <c r="EU1079" i="1"/>
  <c r="EU1078" i="1"/>
  <c r="EU1077" i="1"/>
  <c r="EU1076" i="1"/>
  <c r="EU1075" i="1"/>
  <c r="EU1074" i="1"/>
  <c r="EU1073" i="1"/>
  <c r="EU1072" i="1"/>
  <c r="EU1071" i="1"/>
  <c r="EU1070" i="1"/>
  <c r="EU1069" i="1"/>
  <c r="EU1068" i="1"/>
  <c r="EU1067" i="1"/>
  <c r="EU1066" i="1"/>
  <c r="EU1115" i="1"/>
  <c r="EU1114" i="1"/>
  <c r="EU640" i="1"/>
  <c r="EU639" i="1"/>
  <c r="EU638" i="1"/>
  <c r="EU637" i="1"/>
  <c r="EU636" i="1"/>
  <c r="EU635" i="1"/>
  <c r="EU634" i="1"/>
  <c r="EU633" i="1"/>
  <c r="EU632" i="1"/>
  <c r="EU631" i="1"/>
  <c r="EU1496" i="1"/>
  <c r="EU1497" i="1"/>
  <c r="EU1533" i="1"/>
  <c r="EU1498" i="1"/>
  <c r="EU1534" i="1"/>
  <c r="EU1499" i="1"/>
  <c r="EU1500" i="1"/>
  <c r="EU1535" i="1"/>
  <c r="EU1536" i="1"/>
  <c r="EU1539" i="1"/>
  <c r="EU1501" i="1"/>
  <c r="EU1540" i="1"/>
  <c r="EU1541" i="1"/>
  <c r="EU1542" i="1"/>
  <c r="EU1502" i="1"/>
  <c r="EU1537" i="1"/>
  <c r="EU1538" i="1"/>
  <c r="EU1503" i="1"/>
  <c r="EU1504" i="1"/>
  <c r="EU1543" i="1"/>
  <c r="EU1544" i="1"/>
  <c r="EU1545" i="1"/>
  <c r="EU1505" i="1"/>
  <c r="EU1546" i="1"/>
  <c r="EU1506" i="1"/>
  <c r="EU1507" i="1"/>
  <c r="EU1508" i="1"/>
  <c r="EU1509" i="1"/>
  <c r="EU1510" i="1"/>
  <c r="EU1547" i="1"/>
  <c r="EU1511" i="1"/>
  <c r="EU1512" i="1"/>
  <c r="EU1513" i="1"/>
  <c r="EU1514" i="1"/>
  <c r="EU1515" i="1"/>
  <c r="EU1516" i="1"/>
  <c r="EU1517" i="1"/>
  <c r="EU1518" i="1"/>
  <c r="EU1519" i="1"/>
  <c r="EU1520" i="1"/>
  <c r="EU1521" i="1"/>
  <c r="EU1522" i="1"/>
  <c r="EU1523" i="1"/>
  <c r="EU1548" i="1"/>
  <c r="EU1524" i="1"/>
  <c r="EU1549" i="1"/>
  <c r="EU1550" i="1"/>
  <c r="EU1525" i="1"/>
  <c r="EU1526" i="1"/>
  <c r="EU1527" i="1"/>
  <c r="EU1528" i="1"/>
  <c r="EU1529" i="1"/>
  <c r="EU1530" i="1"/>
  <c r="EU1531" i="1"/>
  <c r="EU1532" i="1"/>
  <c r="EU1554" i="1"/>
  <c r="EU1553" i="1"/>
  <c r="EU1552" i="1"/>
  <c r="EU1569" i="1"/>
  <c r="EU1568" i="1"/>
  <c r="EU1567" i="1"/>
  <c r="EU1566" i="1"/>
  <c r="EU1565" i="1"/>
  <c r="EU1564" i="1"/>
  <c r="EU1563" i="1"/>
  <c r="EU1562" i="1"/>
  <c r="EU1561" i="1"/>
  <c r="EU1560" i="1"/>
  <c r="EU1559" i="1"/>
  <c r="EU1558" i="1"/>
  <c r="EU1557" i="1"/>
  <c r="EU1556" i="1"/>
  <c r="EU1555" i="1"/>
  <c r="EU1551" i="1"/>
  <c r="EU1292" i="1"/>
  <c r="EU1495" i="1"/>
  <c r="EU854" i="1"/>
  <c r="EU853" i="1"/>
  <c r="EU852" i="1"/>
  <c r="EU851" i="1"/>
  <c r="EU850" i="1"/>
  <c r="EU849" i="1"/>
  <c r="EU848" i="1"/>
  <c r="EU847" i="1"/>
  <c r="EU846" i="1"/>
  <c r="EU845" i="1"/>
  <c r="EU804" i="1"/>
  <c r="EU844" i="1"/>
  <c r="EU803" i="1"/>
  <c r="EU802" i="1"/>
  <c r="EU843" i="1"/>
  <c r="EU842" i="1"/>
  <c r="EU841" i="1"/>
  <c r="EU840" i="1"/>
  <c r="EU839" i="1"/>
  <c r="EU838" i="1"/>
  <c r="EU837" i="1"/>
  <c r="EU836" i="1"/>
  <c r="EU801" i="1"/>
  <c r="EU835" i="1"/>
  <c r="EU834" i="1"/>
  <c r="EU833" i="1"/>
  <c r="EU800" i="1"/>
  <c r="EU799" i="1"/>
  <c r="EU832" i="1"/>
  <c r="EU798" i="1"/>
  <c r="EU797" i="1"/>
  <c r="EU796" i="1"/>
  <c r="EU795" i="1"/>
  <c r="EU794" i="1"/>
  <c r="EU793" i="1"/>
  <c r="EU792" i="1"/>
  <c r="EU791" i="1"/>
  <c r="EU831" i="1"/>
  <c r="EU830" i="1"/>
  <c r="EU829" i="1"/>
  <c r="EU790" i="1"/>
  <c r="EU789" i="1"/>
  <c r="EU788" i="1"/>
  <c r="EU828" i="1"/>
  <c r="EU787" i="1"/>
  <c r="EU827" i="1"/>
  <c r="EU826" i="1"/>
  <c r="EU786" i="1"/>
  <c r="EU825" i="1"/>
  <c r="EU785" i="1"/>
  <c r="EU824" i="1"/>
  <c r="EU823" i="1"/>
  <c r="EU784" i="1"/>
  <c r="EU783" i="1"/>
  <c r="EU822" i="1"/>
  <c r="EU821" i="1"/>
  <c r="EU782" i="1"/>
  <c r="EU781" i="1"/>
  <c r="EU820" i="1"/>
  <c r="EU819" i="1"/>
  <c r="EU818" i="1"/>
  <c r="EU817" i="1"/>
  <c r="EU816" i="1"/>
  <c r="EU815" i="1"/>
  <c r="EU814" i="1"/>
  <c r="EU813" i="1"/>
  <c r="EU812" i="1"/>
  <c r="EU811" i="1"/>
  <c r="EU780" i="1"/>
  <c r="EU810" i="1"/>
  <c r="EU809" i="1"/>
  <c r="EU808" i="1"/>
  <c r="EU779" i="1"/>
  <c r="EU807" i="1"/>
  <c r="EU778" i="1"/>
  <c r="EU806" i="1"/>
  <c r="EU777" i="1"/>
  <c r="EU805" i="1"/>
  <c r="EU776" i="1"/>
  <c r="EU775" i="1"/>
  <c r="EU774" i="1"/>
  <c r="EU773" i="1"/>
  <c r="EU605" i="1"/>
  <c r="EU1583" i="1"/>
  <c r="EU604" i="1"/>
  <c r="EU1000" i="1"/>
  <c r="EU999" i="1"/>
  <c r="EU1004" i="1"/>
  <c r="EU1003" i="1"/>
  <c r="EU1002" i="1"/>
  <c r="EU945" i="1"/>
  <c r="EU876" i="1"/>
  <c r="EU875" i="1"/>
  <c r="EU874" i="1"/>
  <c r="EU873" i="1"/>
  <c r="EU872" i="1"/>
  <c r="EU871" i="1"/>
  <c r="EU870" i="1"/>
  <c r="EU869" i="1"/>
  <c r="EU919" i="1"/>
  <c r="EU673" i="1"/>
  <c r="EU672" i="1"/>
  <c r="EU1281" i="1"/>
  <c r="EU1280" i="1"/>
  <c r="EU1419" i="1"/>
  <c r="ES1036" i="1"/>
  <c r="ES1065" i="1"/>
  <c r="ES1064" i="1"/>
  <c r="ES1043" i="1"/>
  <c r="ES1042" i="1"/>
  <c r="ES1063" i="1"/>
  <c r="ES1041" i="1"/>
  <c r="ES1062" i="1"/>
  <c r="ES1061" i="1"/>
  <c r="ES1060" i="1"/>
  <c r="ES1059" i="1"/>
  <c r="ES1040" i="1"/>
  <c r="ES1058" i="1"/>
  <c r="ES1039" i="1"/>
  <c r="ES1057" i="1"/>
  <c r="ES1056" i="1"/>
  <c r="ES1055" i="1"/>
  <c r="ES1054" i="1"/>
  <c r="ES1049" i="1"/>
  <c r="ES1048" i="1"/>
  <c r="ES1047" i="1"/>
  <c r="ES1046" i="1"/>
  <c r="ES1053" i="1"/>
  <c r="ES1045" i="1"/>
  <c r="ES1044" i="1"/>
  <c r="ES1052" i="1"/>
  <c r="ES1051" i="1"/>
  <c r="ES1050" i="1"/>
  <c r="ES1038" i="1"/>
  <c r="ES1037" i="1"/>
  <c r="ES1029" i="1"/>
  <c r="ES1028" i="1"/>
  <c r="ES1027" i="1"/>
  <c r="ES1026" i="1"/>
  <c r="ES1025" i="1"/>
  <c r="ES1024" i="1"/>
  <c r="ES1023" i="1"/>
  <c r="ES1022" i="1"/>
  <c r="ES1021" i="1"/>
  <c r="ES1011" i="1"/>
  <c r="ES1010" i="1"/>
  <c r="ES1009" i="1"/>
  <c r="ES1020" i="1"/>
  <c r="ES1019" i="1"/>
  <c r="ES1008" i="1"/>
  <c r="ES1018" i="1"/>
  <c r="ES1007" i="1"/>
  <c r="ES1017" i="1"/>
  <c r="ES1006" i="1"/>
  <c r="ES1016" i="1"/>
  <c r="ES1015" i="1"/>
  <c r="ES1014" i="1"/>
  <c r="ES1013" i="1"/>
  <c r="ES1012" i="1"/>
  <c r="ES1031" i="1"/>
  <c r="ES1035" i="1"/>
  <c r="ES1030" i="1"/>
  <c r="ES1034" i="1"/>
  <c r="ES1033" i="1"/>
  <c r="ES1032" i="1"/>
  <c r="ES900" i="1"/>
  <c r="ES899" i="1"/>
  <c r="ES732" i="1"/>
  <c r="ES731" i="1"/>
  <c r="ES746" i="1"/>
  <c r="ES730" i="1"/>
  <c r="ES729" i="1"/>
  <c r="ES728" i="1"/>
  <c r="ES753" i="1"/>
  <c r="ES740" i="1"/>
  <c r="ES752" i="1"/>
  <c r="ES727" i="1"/>
  <c r="ES726" i="1"/>
  <c r="ES739" i="1"/>
  <c r="ES751" i="1"/>
  <c r="ES738" i="1"/>
  <c r="ES725" i="1"/>
  <c r="ES724" i="1"/>
  <c r="ES745" i="1"/>
  <c r="ES750" i="1"/>
  <c r="ES737" i="1"/>
  <c r="ES723" i="1"/>
  <c r="ES749" i="1"/>
  <c r="ES744" i="1"/>
  <c r="ES722" i="1"/>
  <c r="ES748" i="1"/>
  <c r="ES736" i="1"/>
  <c r="ES735" i="1"/>
  <c r="ES721" i="1"/>
  <c r="ES743" i="1"/>
  <c r="ES734" i="1"/>
  <c r="ES747" i="1"/>
  <c r="ES742" i="1"/>
  <c r="ES733" i="1"/>
  <c r="ES741" i="1"/>
  <c r="ES630" i="1"/>
  <c r="ES716" i="1"/>
  <c r="ES715" i="1"/>
  <c r="ES720" i="1"/>
  <c r="ES916" i="1"/>
  <c r="ES996" i="1"/>
  <c r="ES1120" i="1"/>
  <c r="ES1187" i="1"/>
  <c r="ES1186" i="1"/>
  <c r="ES1189" i="1"/>
  <c r="ES1194" i="1"/>
  <c r="ES1191" i="1"/>
  <c r="ES1188" i="1"/>
  <c r="ES1198" i="1"/>
  <c r="ES1197" i="1"/>
  <c r="ES1193" i="1"/>
  <c r="ES1192" i="1"/>
  <c r="ES1190" i="1"/>
  <c r="ES1196" i="1"/>
  <c r="ES1195" i="1"/>
  <c r="ES698" i="1"/>
  <c r="ES697" i="1"/>
  <c r="ES696" i="1"/>
  <c r="ES695" i="1"/>
  <c r="ES714" i="1"/>
  <c r="ES1001" i="1"/>
  <c r="ES1005" i="1"/>
  <c r="ES1489" i="1"/>
  <c r="ES1488" i="1"/>
  <c r="ES1490" i="1"/>
  <c r="ES1491" i="1"/>
  <c r="ES1493" i="1"/>
  <c r="ES1492" i="1"/>
  <c r="ES963" i="1"/>
  <c r="ES998" i="1"/>
  <c r="ES1135" i="1"/>
  <c r="ES997" i="1"/>
  <c r="ES1606" i="1"/>
  <c r="ES1607" i="1"/>
  <c r="ES1608" i="1"/>
  <c r="ES1486" i="1"/>
  <c r="ES1487" i="1"/>
  <c r="ES1377" i="1"/>
  <c r="ES1376" i="1"/>
  <c r="ES1375" i="1"/>
  <c r="ES1374" i="1"/>
  <c r="ES1381" i="1"/>
  <c r="ES1380" i="1"/>
  <c r="ES1383" i="1"/>
  <c r="ES1379" i="1"/>
  <c r="ES1378" i="1"/>
  <c r="ES1382" i="1"/>
  <c r="ES1385" i="1"/>
  <c r="ES1384" i="1"/>
  <c r="ES1113" i="1"/>
  <c r="ES942" i="1"/>
  <c r="ES941" i="1"/>
  <c r="ES940" i="1"/>
  <c r="ES939" i="1"/>
  <c r="ES938" i="1"/>
  <c r="ES937" i="1"/>
  <c r="ES936" i="1"/>
  <c r="ES933" i="1"/>
  <c r="ES935" i="1"/>
  <c r="ES932" i="1"/>
  <c r="ES934" i="1"/>
  <c r="ES931" i="1"/>
  <c r="ES947" i="1"/>
  <c r="ES946" i="1"/>
  <c r="ES944" i="1"/>
  <c r="ES943" i="1"/>
  <c r="ES930" i="1"/>
  <c r="ES929" i="1"/>
  <c r="ES898" i="1"/>
  <c r="ES897" i="1"/>
  <c r="ES896" i="1"/>
  <c r="ES895" i="1"/>
  <c r="ES894" i="1"/>
  <c r="ES893" i="1"/>
  <c r="ES892" i="1"/>
  <c r="ES891" i="1"/>
  <c r="ES890" i="1"/>
  <c r="ES889" i="1"/>
  <c r="ES1185" i="1"/>
  <c r="ES1601" i="1"/>
  <c r="ES1602" i="1"/>
  <c r="ES1603" i="1"/>
  <c r="ES1604" i="1"/>
  <c r="ES1605" i="1"/>
  <c r="ES1482" i="1"/>
  <c r="ES1483" i="1"/>
  <c r="ES1484" i="1"/>
  <c r="ES1485" i="1"/>
  <c r="ES712" i="1"/>
  <c r="ES1112" i="1"/>
  <c r="ES1111" i="1"/>
  <c r="ES1110" i="1"/>
  <c r="ES1109" i="1"/>
  <c r="ES868" i="1"/>
  <c r="ES867" i="1"/>
  <c r="ES866" i="1"/>
  <c r="ES865" i="1"/>
  <c r="ES864" i="1"/>
  <c r="ES863" i="1"/>
  <c r="ES884" i="1"/>
  <c r="ES883" i="1"/>
  <c r="ES882" i="1"/>
  <c r="ES881" i="1"/>
  <c r="ES880" i="1"/>
  <c r="ES879" i="1"/>
  <c r="ES878" i="1"/>
  <c r="ES877" i="1"/>
  <c r="ES924" i="1"/>
  <c r="ES923" i="1"/>
  <c r="ES922" i="1"/>
  <c r="ES921" i="1"/>
  <c r="ES918" i="1"/>
  <c r="ES927" i="1"/>
  <c r="ES928" i="1"/>
  <c r="ES917" i="1"/>
  <c r="ES925" i="1"/>
  <c r="ES920" i="1"/>
  <c r="ES926" i="1"/>
  <c r="ES1474" i="1"/>
  <c r="ES1475" i="1"/>
  <c r="ES1476" i="1"/>
  <c r="ES1477" i="1"/>
  <c r="ES1478" i="1"/>
  <c r="ES1481" i="1"/>
  <c r="ES1480" i="1"/>
  <c r="ES1479" i="1"/>
  <c r="ES619" i="1"/>
  <c r="ES618" i="1"/>
  <c r="ES689" i="1"/>
  <c r="ES903" i="1"/>
  <c r="ES1138" i="1"/>
  <c r="ES1137" i="1"/>
  <c r="ES1149" i="1"/>
  <c r="ES1263" i="1"/>
  <c r="ES1271" i="1"/>
  <c r="ES1286" i="1"/>
  <c r="ES1287" i="1"/>
  <c r="ES1293" i="1"/>
  <c r="ES1294" i="1"/>
  <c r="ES1429" i="1"/>
  <c r="ES1428" i="1"/>
  <c r="ES603" i="1"/>
  <c r="ES602" i="1"/>
  <c r="ES601" i="1"/>
  <c r="ES600" i="1"/>
  <c r="ES599" i="1"/>
  <c r="ES598" i="1"/>
  <c r="ES597" i="1"/>
  <c r="ES596" i="1"/>
  <c r="ES595" i="1"/>
  <c r="ES594" i="1"/>
  <c r="ES593" i="1"/>
  <c r="ES592" i="1"/>
  <c r="ES591" i="1"/>
  <c r="ES590" i="1"/>
  <c r="ES589" i="1"/>
  <c r="ES588" i="1"/>
  <c r="ES587" i="1"/>
  <c r="ES586" i="1"/>
  <c r="ES585" i="1"/>
  <c r="ES584" i="1"/>
  <c r="ES583" i="1"/>
  <c r="ES582" i="1"/>
  <c r="ES1275" i="1"/>
  <c r="ES1373" i="1"/>
  <c r="ES1372" i="1"/>
  <c r="ES1371" i="1"/>
  <c r="ES1370" i="1"/>
  <c r="ES1369" i="1"/>
  <c r="ES1368" i="1"/>
  <c r="ES1472" i="1"/>
  <c r="ES1473" i="1"/>
  <c r="ES1184" i="1"/>
  <c r="ES1172" i="1"/>
  <c r="ES1183" i="1"/>
  <c r="ES1171" i="1"/>
  <c r="ES1170" i="1"/>
  <c r="ES1182" i="1"/>
  <c r="ES1181" i="1"/>
  <c r="ES1169" i="1"/>
  <c r="ES1168" i="1"/>
  <c r="ES1167" i="1"/>
  <c r="ES1180" i="1"/>
  <c r="ES1179" i="1"/>
  <c r="ES1166" i="1"/>
  <c r="ES1165" i="1"/>
  <c r="ES1164" i="1"/>
  <c r="ES1178" i="1"/>
  <c r="ES1163" i="1"/>
  <c r="ES1177" i="1"/>
  <c r="ES1176" i="1"/>
  <c r="ES1162" i="1"/>
  <c r="ES1175" i="1"/>
  <c r="ES1161" i="1"/>
  <c r="ES1174" i="1"/>
  <c r="ES1173" i="1"/>
  <c r="ES1367" i="1"/>
  <c r="ES1366" i="1"/>
  <c r="ES1365" i="1"/>
  <c r="ES1364" i="1"/>
  <c r="ES1108" i="1"/>
  <c r="ES1107" i="1"/>
  <c r="ES1106" i="1"/>
  <c r="ES1105" i="1"/>
  <c r="ES1598" i="1"/>
  <c r="ES1599" i="1"/>
  <c r="ES1600" i="1"/>
  <c r="ES1160" i="1"/>
  <c r="ES1159" i="1"/>
  <c r="ES1158" i="1"/>
  <c r="ES1157" i="1"/>
  <c r="ES1156" i="1"/>
  <c r="ES1155" i="1"/>
  <c r="ES1154" i="1"/>
  <c r="ES1153" i="1"/>
  <c r="ES1152" i="1"/>
  <c r="ES1151" i="1"/>
  <c r="ES1150" i="1"/>
  <c r="ES1452" i="1"/>
  <c r="ES1453" i="1"/>
  <c r="ES1454" i="1"/>
  <c r="ES1455" i="1"/>
  <c r="ES1456" i="1"/>
  <c r="ES1457" i="1"/>
  <c r="ES1458" i="1"/>
  <c r="ES1459" i="1"/>
  <c r="ES1460" i="1"/>
  <c r="ES1461" i="1"/>
  <c r="ES1462" i="1"/>
  <c r="ES1463" i="1"/>
  <c r="ES1471" i="1"/>
  <c r="ES1470" i="1"/>
  <c r="ES1469" i="1"/>
  <c r="ES1468" i="1"/>
  <c r="ES1467" i="1"/>
  <c r="ES1466" i="1"/>
  <c r="ES1465" i="1"/>
  <c r="ES1464" i="1"/>
  <c r="ES1274" i="1"/>
  <c r="ES965" i="1"/>
  <c r="ES986" i="1"/>
  <c r="ES985" i="1"/>
  <c r="ES994" i="1"/>
  <c r="ES990" i="1"/>
  <c r="ES989" i="1"/>
  <c r="ES988" i="1"/>
  <c r="ES987" i="1"/>
  <c r="ES993" i="1"/>
  <c r="ES992" i="1"/>
  <c r="ES984" i="1"/>
  <c r="ES983" i="1"/>
  <c r="ES991" i="1"/>
  <c r="ES982" i="1"/>
  <c r="ES981" i="1"/>
  <c r="ES980" i="1"/>
  <c r="ES979" i="1"/>
  <c r="ES710" i="1"/>
  <c r="ES709" i="1"/>
  <c r="ES711" i="1"/>
  <c r="ES1341" i="1"/>
  <c r="ES1273" i="1"/>
  <c r="ES1272" i="1"/>
  <c r="ES1597" i="1"/>
  <c r="ES1363" i="1"/>
  <c r="ES1362" i="1"/>
  <c r="ES1361" i="1"/>
  <c r="ES1360" i="1"/>
  <c r="ES1359" i="1"/>
  <c r="ES1358" i="1"/>
  <c r="ES1349" i="1"/>
  <c r="ES1348" i="1"/>
  <c r="ES1347" i="1"/>
  <c r="ES1346" i="1"/>
  <c r="ES1353" i="1"/>
  <c r="ES1352" i="1"/>
  <c r="ES1351" i="1"/>
  <c r="ES1350" i="1"/>
  <c r="ES1357" i="1"/>
  <c r="ES1356" i="1"/>
  <c r="ES1355" i="1"/>
  <c r="ES1354" i="1"/>
  <c r="ES1391" i="1"/>
  <c r="ES888" i="1"/>
  <c r="ES887" i="1"/>
  <c r="ES885" i="1"/>
  <c r="ES886" i="1"/>
  <c r="ES772" i="1"/>
  <c r="ES771" i="1"/>
  <c r="ES608" i="1"/>
  <c r="ES609" i="1"/>
  <c r="ES615" i="1"/>
  <c r="ES768" i="1"/>
  <c r="ES767" i="1"/>
  <c r="ES766" i="1"/>
  <c r="ES765" i="1"/>
  <c r="ES764" i="1"/>
  <c r="ES763" i="1"/>
  <c r="ES762" i="1"/>
  <c r="ES761" i="1"/>
  <c r="ES760" i="1"/>
  <c r="ES759" i="1"/>
  <c r="ES758" i="1"/>
  <c r="ES757" i="1"/>
  <c r="ES770" i="1"/>
  <c r="ES769" i="1"/>
  <c r="ES687" i="1"/>
  <c r="ES691" i="1"/>
  <c r="ES1147" i="1"/>
  <c r="ES1146" i="1"/>
  <c r="ES1450" i="1"/>
  <c r="ES1448" i="1"/>
  <c r="ES1446" i="1"/>
  <c r="ES1449" i="1"/>
  <c r="ES1447" i="1"/>
  <c r="ES1451" i="1"/>
  <c r="ES1344" i="1"/>
  <c r="ES1345" i="1"/>
  <c r="ES1386" i="1"/>
  <c r="ES1389" i="1"/>
  <c r="ES1431" i="1"/>
  <c r="ES1127" i="1"/>
  <c r="ES1131" i="1"/>
  <c r="ES1595" i="1"/>
  <c r="ES1596" i="1"/>
  <c r="ES1434" i="1"/>
  <c r="ES1435" i="1"/>
  <c r="ES1436" i="1"/>
  <c r="ES1437" i="1"/>
  <c r="ES1438" i="1"/>
  <c r="ES1439" i="1"/>
  <c r="ES1445" i="1"/>
  <c r="ES1444" i="1"/>
  <c r="ES1443" i="1"/>
  <c r="ES1442" i="1"/>
  <c r="ES1441" i="1"/>
  <c r="ES1440" i="1"/>
  <c r="ES1143" i="1"/>
  <c r="ES1261" i="1"/>
  <c r="ES1264" i="1"/>
  <c r="ES1270" i="1"/>
  <c r="ES1283" i="1"/>
  <c r="ES1284" i="1"/>
  <c r="ES1340" i="1"/>
  <c r="ES1339" i="1"/>
  <c r="ES1338" i="1"/>
  <c r="ES1337" i="1"/>
  <c r="ES962" i="1"/>
  <c r="ES957" i="1"/>
  <c r="ES1121" i="1"/>
  <c r="ES1125" i="1"/>
  <c r="ES1129" i="1"/>
  <c r="ES1130" i="1"/>
  <c r="ES1132" i="1"/>
  <c r="ES1140" i="1"/>
  <c r="ES1142" i="1"/>
  <c r="ES1259" i="1"/>
  <c r="ES1267" i="1"/>
  <c r="ES1276" i="1"/>
  <c r="ES1277" i="1"/>
  <c r="ES1278" i="1"/>
  <c r="ES1279" i="1"/>
  <c r="ES1285" i="1"/>
  <c r="ES1288" i="1"/>
  <c r="ES676" i="1"/>
  <c r="ES1291" i="1"/>
  <c r="ES1390" i="1"/>
  <c r="ES652" i="1"/>
  <c r="ES651" i="1"/>
  <c r="ES650" i="1"/>
  <c r="ES649" i="1"/>
  <c r="ES648" i="1"/>
  <c r="ES647" i="1"/>
  <c r="ES646" i="1"/>
  <c r="ES645" i="1"/>
  <c r="ES644" i="1"/>
  <c r="ES643" i="1"/>
  <c r="ES642" i="1"/>
  <c r="ES641" i="1"/>
  <c r="ES664" i="1"/>
  <c r="ES663" i="1"/>
  <c r="ES662" i="1"/>
  <c r="ES661" i="1"/>
  <c r="ES660" i="1"/>
  <c r="ES659" i="1"/>
  <c r="ES658" i="1"/>
  <c r="ES657" i="1"/>
  <c r="ES656" i="1"/>
  <c r="ES655" i="1"/>
  <c r="ES654" i="1"/>
  <c r="ES653" i="1"/>
  <c r="ES628" i="1"/>
  <c r="ES620" i="1"/>
  <c r="ES627" i="1"/>
  <c r="ES626" i="1"/>
  <c r="ES625" i="1"/>
  <c r="ES624" i="1"/>
  <c r="ES623" i="1"/>
  <c r="ES622" i="1"/>
  <c r="ES621" i="1"/>
  <c r="ES1589" i="1"/>
  <c r="ES1590" i="1"/>
  <c r="ES1591" i="1"/>
  <c r="ES1592" i="1"/>
  <c r="ES1594" i="1"/>
  <c r="ES1593" i="1"/>
  <c r="ES606" i="1"/>
  <c r="ES902" i="1"/>
  <c r="ES1122" i="1"/>
  <c r="ES1269" i="1"/>
  <c r="ES1290" i="1"/>
  <c r="ES1289" i="1"/>
  <c r="ES1296" i="1"/>
  <c r="ES1298" i="1"/>
  <c r="ES1297" i="1"/>
  <c r="ES1343" i="1"/>
  <c r="ES1388" i="1"/>
  <c r="ES1392" i="1"/>
  <c r="ES1393" i="1"/>
  <c r="ES1394" i="1"/>
  <c r="ES1395" i="1"/>
  <c r="ES1403" i="1"/>
  <c r="ES1336" i="1"/>
  <c r="ES1335" i="1"/>
  <c r="ES1334" i="1"/>
  <c r="ES1333" i="1"/>
  <c r="ES1257" i="1"/>
  <c r="ES961" i="1"/>
  <c r="ES960" i="1"/>
  <c r="ES959" i="1"/>
  <c r="ES958" i="1"/>
  <c r="ES1430" i="1"/>
  <c r="ES862" i="1"/>
  <c r="ES861" i="1"/>
  <c r="ES1587" i="1"/>
  <c r="ES1588" i="1"/>
  <c r="ES1248" i="1"/>
  <c r="ES1252" i="1"/>
  <c r="ES1232" i="1"/>
  <c r="ES1247" i="1"/>
  <c r="ES1251" i="1"/>
  <c r="ES1250" i="1"/>
  <c r="ES1234" i="1"/>
  <c r="ES1249" i="1"/>
  <c r="ES1236" i="1"/>
  <c r="ES1241" i="1"/>
  <c r="ES1233" i="1"/>
  <c r="ES1237" i="1"/>
  <c r="ES1238" i="1"/>
  <c r="ES1243" i="1"/>
  <c r="ES1240" i="1"/>
  <c r="ES1245" i="1"/>
  <c r="ES1246" i="1"/>
  <c r="ES1242" i="1"/>
  <c r="ES1239" i="1"/>
  <c r="ES1235" i="1"/>
  <c r="ES1229" i="1"/>
  <c r="ES1244" i="1"/>
  <c r="ES1231" i="1"/>
  <c r="ES1230" i="1"/>
  <c r="ES1228" i="1"/>
  <c r="ES1254" i="1"/>
  <c r="ES1227" i="1"/>
  <c r="ES1255" i="1"/>
  <c r="ES1253" i="1"/>
  <c r="ES671" i="1"/>
  <c r="ES670" i="1"/>
  <c r="ES669" i="1"/>
  <c r="ES668" i="1"/>
  <c r="ES675" i="1"/>
  <c r="ES674" i="1"/>
  <c r="ES667" i="1"/>
  <c r="ES666" i="1"/>
  <c r="ES665" i="1"/>
  <c r="ES1308" i="1"/>
  <c r="ES610" i="1"/>
  <c r="ES1307" i="1"/>
  <c r="ES611" i="1"/>
  <c r="ES1332" i="1"/>
  <c r="ES612" i="1"/>
  <c r="ES1306" i="1"/>
  <c r="ES614" i="1"/>
  <c r="ES1305" i="1"/>
  <c r="ES616" i="1"/>
  <c r="ES1304" i="1"/>
  <c r="ES617" i="1"/>
  <c r="ES1331" i="1"/>
  <c r="ES629" i="1"/>
  <c r="ES1330" i="1"/>
  <c r="ES1329" i="1"/>
  <c r="ES677" i="1"/>
  <c r="ES678" i="1"/>
  <c r="ES1328" i="1"/>
  <c r="ES1327" i="1"/>
  <c r="ES679" i="1"/>
  <c r="ES680" i="1"/>
  <c r="ES1326" i="1"/>
  <c r="ES681" i="1"/>
  <c r="ES1325" i="1"/>
  <c r="ES1324" i="1"/>
  <c r="ES683" i="1"/>
  <c r="ES684" i="1"/>
  <c r="ES1323" i="1"/>
  <c r="ES685" i="1"/>
  <c r="ES1303" i="1"/>
  <c r="ES1322" i="1"/>
  <c r="ES1321" i="1"/>
  <c r="ES1320" i="1"/>
  <c r="ES1319" i="1"/>
  <c r="ES1318" i="1"/>
  <c r="ES1317" i="1"/>
  <c r="ES1302" i="1"/>
  <c r="ES1301" i="1"/>
  <c r="ES1300" i="1"/>
  <c r="ES1316" i="1"/>
  <c r="ES1315" i="1"/>
  <c r="ES1299" i="1"/>
  <c r="ES1314" i="1"/>
  <c r="ES1313" i="1"/>
  <c r="ES1312" i="1"/>
  <c r="ES1311" i="1"/>
  <c r="ES1310" i="1"/>
  <c r="ES693" i="1"/>
  <c r="ES1309" i="1"/>
  <c r="ES694" i="1"/>
  <c r="ES756" i="1"/>
  <c r="ES755" i="1"/>
  <c r="ES754" i="1"/>
  <c r="ES1404" i="1"/>
  <c r="ES1405" i="1"/>
  <c r="ES1406" i="1"/>
  <c r="ES1407" i="1"/>
  <c r="ES1408" i="1"/>
  <c r="ES1415" i="1"/>
  <c r="ES1416" i="1"/>
  <c r="ES1417" i="1"/>
  <c r="ES1418" i="1"/>
  <c r="ES1424" i="1"/>
  <c r="ES1423" i="1"/>
  <c r="ES1421" i="1"/>
  <c r="ES1427" i="1"/>
  <c r="ES1414" i="1"/>
  <c r="ES1413" i="1"/>
  <c r="ES1426" i="1"/>
  <c r="ES1412" i="1"/>
  <c r="ES1411" i="1"/>
  <c r="ES1422" i="1"/>
  <c r="ES1420" i="1"/>
  <c r="ES1425" i="1"/>
  <c r="ES1410" i="1"/>
  <c r="ES1409" i="1"/>
  <c r="ES1585" i="1"/>
  <c r="ES1584" i="1"/>
  <c r="ES1586" i="1"/>
  <c r="ES1401" i="1"/>
  <c r="ES1402" i="1"/>
  <c r="ES607" i="1"/>
  <c r="ES686" i="1"/>
  <c r="ES688" i="1"/>
  <c r="ES912" i="1"/>
  <c r="ES690" i="1"/>
  <c r="ES911" i="1"/>
  <c r="ES692" i="1"/>
  <c r="ES910" i="1"/>
  <c r="ES909" i="1"/>
  <c r="ES908" i="1"/>
  <c r="ES907" i="1"/>
  <c r="ES906" i="1"/>
  <c r="ES905" i="1"/>
  <c r="ES904" i="1"/>
  <c r="ES1266" i="1"/>
  <c r="ES1295" i="1"/>
  <c r="ES1342" i="1"/>
  <c r="ES1387" i="1"/>
  <c r="ES1397" i="1"/>
  <c r="ES1398" i="1"/>
  <c r="ES1399" i="1"/>
  <c r="ES1400" i="1"/>
  <c r="ES613" i="1"/>
  <c r="ES682" i="1"/>
  <c r="ES1578" i="1"/>
  <c r="ES713" i="1"/>
  <c r="ES1580" i="1"/>
  <c r="ES1396" i="1"/>
  <c r="ES708" i="1"/>
  <c r="ES707" i="1"/>
  <c r="ES706" i="1"/>
  <c r="ES705" i="1"/>
  <c r="ES704" i="1"/>
  <c r="ES703" i="1"/>
  <c r="ES702" i="1"/>
  <c r="ES701" i="1"/>
  <c r="ES700" i="1"/>
  <c r="ES699" i="1"/>
  <c r="ES1104" i="1"/>
  <c r="ES1103" i="1"/>
  <c r="ES1102" i="1"/>
  <c r="ES1101" i="1"/>
  <c r="ES1100" i="1"/>
  <c r="ES1099" i="1"/>
  <c r="ES1098" i="1"/>
  <c r="ES1097" i="1"/>
  <c r="ES1096" i="1"/>
  <c r="ES1095" i="1"/>
  <c r="ES1094" i="1"/>
  <c r="ES1093" i="1"/>
  <c r="ES858" i="1"/>
  <c r="ES857" i="1"/>
  <c r="ES856" i="1"/>
  <c r="ES855" i="1"/>
  <c r="ES860" i="1"/>
  <c r="ES859" i="1"/>
  <c r="ES956" i="1"/>
  <c r="ES954" i="1"/>
  <c r="ES953" i="1"/>
  <c r="ES952" i="1"/>
  <c r="ES951" i="1"/>
  <c r="ES950" i="1"/>
  <c r="ES949" i="1"/>
  <c r="ES948" i="1"/>
  <c r="ES717" i="1"/>
  <c r="ES1282" i="1"/>
  <c r="ES1582" i="1"/>
  <c r="ES1581" i="1"/>
  <c r="ES1579" i="1"/>
  <c r="ES1577" i="1"/>
  <c r="ES1576" i="1"/>
  <c r="ES1494" i="1"/>
  <c r="ES1433" i="1"/>
  <c r="ES1432" i="1"/>
  <c r="ES1226" i="1"/>
  <c r="ES1225" i="1"/>
  <c r="ES1224" i="1"/>
  <c r="ES1223" i="1"/>
  <c r="ES1222" i="1"/>
  <c r="ES1221" i="1"/>
  <c r="ES1220" i="1"/>
  <c r="ES1219" i="1"/>
  <c r="ES1218" i="1"/>
  <c r="ES1217" i="1"/>
  <c r="ES1216" i="1"/>
  <c r="ES1215" i="1"/>
  <c r="ES975" i="1"/>
  <c r="ES974" i="1"/>
  <c r="ES973" i="1"/>
  <c r="ES972" i="1"/>
  <c r="ES969" i="1"/>
  <c r="ES978" i="1"/>
  <c r="ES977" i="1"/>
  <c r="ES968" i="1"/>
  <c r="ES971" i="1"/>
  <c r="ES976" i="1"/>
  <c r="ES970" i="1"/>
  <c r="ES967" i="1"/>
  <c r="ES966" i="1"/>
  <c r="ES1214" i="1"/>
  <c r="ES1213" i="1"/>
  <c r="ES1212" i="1"/>
  <c r="ES1206" i="1"/>
  <c r="ES1205" i="1"/>
  <c r="ES1211" i="1"/>
  <c r="ES1204" i="1"/>
  <c r="ES1203" i="1"/>
  <c r="ES1210" i="1"/>
  <c r="ES1209" i="1"/>
  <c r="ES1208" i="1"/>
  <c r="ES1207" i="1"/>
  <c r="ES1202" i="1"/>
  <c r="ES1201" i="1"/>
  <c r="ES1200" i="1"/>
  <c r="ES1199" i="1"/>
  <c r="ES557" i="1"/>
  <c r="ES556" i="1"/>
  <c r="ES555" i="1"/>
  <c r="ES581" i="1"/>
  <c r="ES580" i="1"/>
  <c r="ES554" i="1"/>
  <c r="ES553" i="1"/>
  <c r="ES552" i="1"/>
  <c r="ES579" i="1"/>
  <c r="ES578" i="1"/>
  <c r="ES551" i="1"/>
  <c r="ES550" i="1"/>
  <c r="ES549" i="1"/>
  <c r="ES548" i="1"/>
  <c r="ES547" i="1"/>
  <c r="ES546" i="1"/>
  <c r="ES545" i="1"/>
  <c r="ES544" i="1"/>
  <c r="ES577" i="1"/>
  <c r="ES576" i="1"/>
  <c r="ES543" i="1"/>
  <c r="ES542" i="1"/>
  <c r="ES541" i="1"/>
  <c r="ES540" i="1"/>
  <c r="ES539" i="1"/>
  <c r="ES538" i="1"/>
  <c r="ES575" i="1"/>
  <c r="ES574" i="1"/>
  <c r="ES573" i="1"/>
  <c r="ES572" i="1"/>
  <c r="ES571" i="1"/>
  <c r="ES570" i="1"/>
  <c r="ES569" i="1"/>
  <c r="ES568" i="1"/>
  <c r="ES567" i="1"/>
  <c r="ES566" i="1"/>
  <c r="ES565" i="1"/>
  <c r="ES564" i="1"/>
  <c r="ES563" i="1"/>
  <c r="ES562" i="1"/>
  <c r="ES561" i="1"/>
  <c r="ES560" i="1"/>
  <c r="ES559" i="1"/>
  <c r="ES558" i="1"/>
  <c r="ES1572" i="1"/>
  <c r="ES1573" i="1"/>
  <c r="ES1574" i="1"/>
  <c r="ES1575" i="1"/>
  <c r="ES1571" i="1"/>
  <c r="ES1570" i="1"/>
  <c r="ES718" i="1"/>
  <c r="ES719" i="1"/>
  <c r="ES901" i="1"/>
  <c r="ES913" i="1"/>
  <c r="ES914" i="1"/>
  <c r="ES915" i="1"/>
  <c r="ES964" i="1"/>
  <c r="ES995" i="1"/>
  <c r="ES1116" i="1"/>
  <c r="ES1117" i="1"/>
  <c r="ES1118" i="1"/>
  <c r="ES1119" i="1"/>
  <c r="ES1123" i="1"/>
  <c r="ES1124" i="1"/>
  <c r="ES1126" i="1"/>
  <c r="ES1128" i="1"/>
  <c r="ES1133" i="1"/>
  <c r="ES1134" i="1"/>
  <c r="ES1136" i="1"/>
  <c r="ES1139" i="1"/>
  <c r="ES1141" i="1"/>
  <c r="ES1144" i="1"/>
  <c r="ES1145" i="1"/>
  <c r="ES1148" i="1"/>
  <c r="ES1256" i="1"/>
  <c r="ES1258" i="1"/>
  <c r="ES1260" i="1"/>
  <c r="ES1262" i="1"/>
  <c r="ES1265" i="1"/>
  <c r="ES1268" i="1"/>
  <c r="ES1092" i="1"/>
  <c r="ES1091" i="1"/>
  <c r="ES1090" i="1"/>
  <c r="ES1089" i="1"/>
  <c r="ES1088" i="1"/>
  <c r="ES1087" i="1"/>
  <c r="ES1086" i="1"/>
  <c r="ES1085" i="1"/>
  <c r="ES1084" i="1"/>
  <c r="ES1083" i="1"/>
  <c r="ES1082" i="1"/>
  <c r="ES1081" i="1"/>
  <c r="ES1080" i="1"/>
  <c r="ES1079" i="1"/>
  <c r="ES1078" i="1"/>
  <c r="ES1077" i="1"/>
  <c r="ES1076" i="1"/>
  <c r="ES1075" i="1"/>
  <c r="ES1074" i="1"/>
  <c r="ES1073" i="1"/>
  <c r="ES1072" i="1"/>
  <c r="ES1071" i="1"/>
  <c r="ES1070" i="1"/>
  <c r="ES1069" i="1"/>
  <c r="ES1068" i="1"/>
  <c r="ES1067" i="1"/>
  <c r="ES1066" i="1"/>
  <c r="ES1115" i="1"/>
  <c r="ES1114" i="1"/>
  <c r="ES640" i="1"/>
  <c r="ES639" i="1"/>
  <c r="ES638" i="1"/>
  <c r="ES637" i="1"/>
  <c r="ES636" i="1"/>
  <c r="ES635" i="1"/>
  <c r="ES634" i="1"/>
  <c r="ES633" i="1"/>
  <c r="ES632" i="1"/>
  <c r="ES631" i="1"/>
  <c r="ES1496" i="1"/>
  <c r="ES1497" i="1"/>
  <c r="ES1533" i="1"/>
  <c r="ES1498" i="1"/>
  <c r="ES1534" i="1"/>
  <c r="ES1499" i="1"/>
  <c r="ES1500" i="1"/>
  <c r="ES1535" i="1"/>
  <c r="ES1536" i="1"/>
  <c r="ES1539" i="1"/>
  <c r="ES1501" i="1"/>
  <c r="ES1540" i="1"/>
  <c r="ES1541" i="1"/>
  <c r="ES1542" i="1"/>
  <c r="ES1502" i="1"/>
  <c r="ES1537" i="1"/>
  <c r="ES1538" i="1"/>
  <c r="ES1503" i="1"/>
  <c r="ES1504" i="1"/>
  <c r="ES1543" i="1"/>
  <c r="ES1544" i="1"/>
  <c r="ES1545" i="1"/>
  <c r="ES1505" i="1"/>
  <c r="ES1546" i="1"/>
  <c r="ES1506" i="1"/>
  <c r="ES1507" i="1"/>
  <c r="ES1508" i="1"/>
  <c r="ES1509" i="1"/>
  <c r="ES1510" i="1"/>
  <c r="ES1547" i="1"/>
  <c r="ES1511" i="1"/>
  <c r="ES1512" i="1"/>
  <c r="ES1513" i="1"/>
  <c r="ES1514" i="1"/>
  <c r="ES1515" i="1"/>
  <c r="ES1516" i="1"/>
  <c r="ES1517" i="1"/>
  <c r="ES1518" i="1"/>
  <c r="ES1519" i="1"/>
  <c r="ES1520" i="1"/>
  <c r="ES1521" i="1"/>
  <c r="ES1522" i="1"/>
  <c r="ES1523" i="1"/>
  <c r="ES1548" i="1"/>
  <c r="ES1524" i="1"/>
  <c r="ES1549" i="1"/>
  <c r="ES1550" i="1"/>
  <c r="ES1525" i="1"/>
  <c r="ES1526" i="1"/>
  <c r="ES1527" i="1"/>
  <c r="ES1528" i="1"/>
  <c r="ES1529" i="1"/>
  <c r="ES1530" i="1"/>
  <c r="ES1531" i="1"/>
  <c r="ES1532" i="1"/>
  <c r="ES1554" i="1"/>
  <c r="ES1553" i="1"/>
  <c r="ES1552" i="1"/>
  <c r="ES1569" i="1"/>
  <c r="ES1568" i="1"/>
  <c r="ES1567" i="1"/>
  <c r="ES1566" i="1"/>
  <c r="ES1565" i="1"/>
  <c r="ES1564" i="1"/>
  <c r="ES1563" i="1"/>
  <c r="ES1562" i="1"/>
  <c r="ES1561" i="1"/>
  <c r="ES1560" i="1"/>
  <c r="ES1559" i="1"/>
  <c r="ES1558" i="1"/>
  <c r="ES1557" i="1"/>
  <c r="ES1556" i="1"/>
  <c r="ES1555" i="1"/>
  <c r="ES1551" i="1"/>
  <c r="ES1292" i="1"/>
  <c r="ES1495" i="1"/>
  <c r="ES854" i="1"/>
  <c r="ES853" i="1"/>
  <c r="ES852" i="1"/>
  <c r="ES851" i="1"/>
  <c r="ES850" i="1"/>
  <c r="ES849" i="1"/>
  <c r="ES848" i="1"/>
  <c r="ES847" i="1"/>
  <c r="ES846" i="1"/>
  <c r="ES845" i="1"/>
  <c r="ES804" i="1"/>
  <c r="ES844" i="1"/>
  <c r="ES803" i="1"/>
  <c r="ES802" i="1"/>
  <c r="ES843" i="1"/>
  <c r="ES842" i="1"/>
  <c r="ES841" i="1"/>
  <c r="ES840" i="1"/>
  <c r="ES839" i="1"/>
  <c r="ES838" i="1"/>
  <c r="ES837" i="1"/>
  <c r="ES836" i="1"/>
  <c r="ES801" i="1"/>
  <c r="ES835" i="1"/>
  <c r="ES834" i="1"/>
  <c r="ES833" i="1"/>
  <c r="ES800" i="1"/>
  <c r="ES799" i="1"/>
  <c r="ES832" i="1"/>
  <c r="ES798" i="1"/>
  <c r="ES797" i="1"/>
  <c r="ES796" i="1"/>
  <c r="ES795" i="1"/>
  <c r="ES794" i="1"/>
  <c r="ES793" i="1"/>
  <c r="ES792" i="1"/>
  <c r="ES791" i="1"/>
  <c r="ES831" i="1"/>
  <c r="ES830" i="1"/>
  <c r="ES829" i="1"/>
  <c r="ES790" i="1"/>
  <c r="ES789" i="1"/>
  <c r="ES788" i="1"/>
  <c r="ES828" i="1"/>
  <c r="ES787" i="1"/>
  <c r="ES827" i="1"/>
  <c r="ES826" i="1"/>
  <c r="ES786" i="1"/>
  <c r="ES825" i="1"/>
  <c r="ES785" i="1"/>
  <c r="ES824" i="1"/>
  <c r="ES823" i="1"/>
  <c r="ES784" i="1"/>
  <c r="ES783" i="1"/>
  <c r="ES822" i="1"/>
  <c r="ES821" i="1"/>
  <c r="ES782" i="1"/>
  <c r="ES781" i="1"/>
  <c r="ES820" i="1"/>
  <c r="ES819" i="1"/>
  <c r="ES818" i="1"/>
  <c r="ES817" i="1"/>
  <c r="ES816" i="1"/>
  <c r="ES815" i="1"/>
  <c r="ES814" i="1"/>
  <c r="ES813" i="1"/>
  <c r="ES812" i="1"/>
  <c r="ES811" i="1"/>
  <c r="ES780" i="1"/>
  <c r="ES810" i="1"/>
  <c r="ES809" i="1"/>
  <c r="ES808" i="1"/>
  <c r="ES779" i="1"/>
  <c r="ES807" i="1"/>
  <c r="ES778" i="1"/>
  <c r="ES806" i="1"/>
  <c r="ES777" i="1"/>
  <c r="ES805" i="1"/>
  <c r="ES776" i="1"/>
  <c r="ES775" i="1"/>
  <c r="ES774" i="1"/>
  <c r="ES773" i="1"/>
  <c r="ES605" i="1"/>
  <c r="ES1583" i="1"/>
  <c r="ES604" i="1"/>
  <c r="ES1000" i="1"/>
  <c r="ES999" i="1"/>
  <c r="ES1004" i="1"/>
  <c r="ES1003" i="1"/>
  <c r="ES1002" i="1"/>
  <c r="ES945" i="1"/>
  <c r="ES876" i="1"/>
  <c r="ES875" i="1"/>
  <c r="ES874" i="1"/>
  <c r="ES873" i="1"/>
  <c r="ES872" i="1"/>
  <c r="ES871" i="1"/>
  <c r="ES870" i="1"/>
  <c r="ES869" i="1"/>
  <c r="ES919" i="1"/>
  <c r="ES673" i="1"/>
  <c r="ES672" i="1"/>
  <c r="ES1281" i="1"/>
  <c r="ES1280" i="1"/>
  <c r="ES1419" i="1"/>
  <c r="FA29" i="1"/>
  <c r="FA114" i="1"/>
  <c r="FA537" i="1"/>
  <c r="FA1636" i="1"/>
  <c r="FA1637" i="1"/>
  <c r="FA113" i="1"/>
  <c r="FA112" i="1"/>
  <c r="FA28" i="1"/>
  <c r="FA111" i="1"/>
  <c r="FA536" i="1"/>
  <c r="FA110" i="1"/>
  <c r="FA535" i="1"/>
  <c r="FA58" i="1"/>
  <c r="FA109" i="1"/>
  <c r="FA534" i="1"/>
  <c r="FA108" i="1"/>
  <c r="FA57" i="1"/>
  <c r="FA56" i="1"/>
  <c r="FA533" i="1"/>
  <c r="FA532" i="1"/>
  <c r="FA27" i="1"/>
  <c r="FA55" i="1"/>
  <c r="FA107" i="1"/>
  <c r="FA531" i="1"/>
  <c r="FA54" i="1"/>
  <c r="FA530" i="1"/>
  <c r="FA26" i="1"/>
  <c r="FA529" i="1"/>
  <c r="FA53" i="1"/>
  <c r="FA30" i="1"/>
  <c r="FA1635" i="1"/>
  <c r="FA528" i="1"/>
  <c r="FA52" i="1"/>
  <c r="FA25" i="1"/>
  <c r="FA51" i="1"/>
  <c r="FA523" i="1"/>
  <c r="FA106" i="1"/>
  <c r="FA522" i="1"/>
  <c r="FA24" i="1"/>
  <c r="FA23" i="1"/>
  <c r="FA521" i="1"/>
  <c r="FA520" i="1"/>
  <c r="FA22" i="1"/>
  <c r="FA1609" i="1"/>
  <c r="FA21" i="1"/>
  <c r="FA519" i="1"/>
  <c r="FA261" i="1"/>
  <c r="FA518" i="1"/>
  <c r="FA517" i="1"/>
  <c r="FA20" i="1"/>
  <c r="FA50" i="1"/>
  <c r="FA516" i="1"/>
  <c r="FA515" i="1"/>
  <c r="FA514" i="1"/>
  <c r="FA49" i="1"/>
  <c r="FA513" i="1"/>
  <c r="FA512" i="1"/>
  <c r="FA48" i="1"/>
  <c r="FA19" i="1"/>
  <c r="FA103" i="1"/>
  <c r="FA101" i="1"/>
  <c r="FA511" i="1"/>
  <c r="FA100" i="1"/>
  <c r="FA99" i="1"/>
  <c r="FA98" i="1"/>
  <c r="FA510" i="1"/>
  <c r="FA509" i="1"/>
  <c r="FA1639" i="1"/>
  <c r="FA47" i="1"/>
  <c r="FA46" i="1"/>
  <c r="FA91" i="1"/>
  <c r="FA90" i="1"/>
  <c r="FA89" i="1"/>
  <c r="FA18" i="1"/>
  <c r="FA508" i="1"/>
  <c r="FA45" i="1"/>
  <c r="FA1615" i="1"/>
  <c r="FA17" i="1"/>
  <c r="FA16" i="1"/>
  <c r="FA507" i="1"/>
  <c r="FA88" i="1"/>
  <c r="FA15" i="1"/>
  <c r="FA87" i="1"/>
  <c r="FA506" i="1"/>
  <c r="FA504" i="1"/>
  <c r="FA505" i="1"/>
  <c r="FA14" i="1"/>
  <c r="FA12" i="1"/>
  <c r="FA13" i="1"/>
  <c r="FA503" i="1"/>
  <c r="FA85" i="1"/>
  <c r="FA44" i="1"/>
  <c r="FA502" i="1"/>
  <c r="FA501" i="1"/>
  <c r="FA1614" i="1"/>
  <c r="FA11" i="1"/>
  <c r="FA84" i="1"/>
  <c r="FA500" i="1"/>
  <c r="FA10" i="1"/>
  <c r="FA42" i="1"/>
  <c r="FA43" i="1"/>
  <c r="FA40" i="1"/>
  <c r="FA41" i="1"/>
  <c r="FA498" i="1"/>
  <c r="FA499" i="1"/>
  <c r="FA497" i="1"/>
  <c r="FA38" i="1"/>
  <c r="FA39" i="1"/>
  <c r="FA1612" i="1"/>
  <c r="FA1613" i="1"/>
  <c r="FA80" i="1"/>
  <c r="FA81" i="1"/>
  <c r="FA36" i="1"/>
  <c r="FA37" i="1"/>
  <c r="FA78" i="1"/>
  <c r="FA79" i="1"/>
  <c r="FA35" i="1"/>
  <c r="FA9" i="1"/>
  <c r="FA496" i="1"/>
  <c r="FA8" i="1"/>
  <c r="FA1638" i="1"/>
  <c r="FA32" i="1"/>
  <c r="FA33" i="1"/>
  <c r="FA77" i="1"/>
  <c r="FA495" i="1"/>
  <c r="FA494" i="1"/>
  <c r="FA141" i="1"/>
  <c r="FA64" i="1"/>
  <c r="FA31" i="1"/>
  <c r="FA493" i="1"/>
  <c r="FA1611" i="1"/>
  <c r="FA63" i="1"/>
  <c r="FA61" i="1"/>
  <c r="FA62" i="1"/>
  <c r="FA59" i="1"/>
  <c r="FA60" i="1"/>
  <c r="CY827" i="1"/>
  <c r="CY826" i="1"/>
  <c r="CY820" i="1"/>
  <c r="CY818" i="1"/>
  <c r="CY817" i="1"/>
  <c r="CY815" i="1"/>
  <c r="CY811" i="1"/>
  <c r="CY810" i="1"/>
  <c r="CY809" i="1"/>
  <c r="CY805" i="1"/>
  <c r="CY854" i="1"/>
  <c r="CY853" i="1"/>
  <c r="CY849" i="1"/>
  <c r="CY848" i="1"/>
  <c r="CY846" i="1"/>
  <c r="CY841" i="1"/>
  <c r="CY835" i="1"/>
  <c r="CY831" i="1"/>
  <c r="CY830" i="1"/>
  <c r="CY829" i="1"/>
  <c r="CY828" i="1"/>
  <c r="CY825" i="1"/>
  <c r="CY824" i="1"/>
  <c r="CY823" i="1"/>
  <c r="CY822" i="1"/>
  <c r="CY816" i="1"/>
  <c r="CY814" i="1"/>
  <c r="CY813" i="1"/>
  <c r="CY812" i="1"/>
  <c r="CY807" i="1"/>
  <c r="CY852" i="1"/>
  <c r="CY851" i="1"/>
  <c r="CY850" i="1"/>
  <c r="CY847" i="1"/>
  <c r="CY845" i="1"/>
  <c r="CY844" i="1"/>
  <c r="CY843" i="1"/>
  <c r="CY842" i="1"/>
  <c r="CY840" i="1"/>
  <c r="CY839" i="1"/>
  <c r="CY838" i="1"/>
  <c r="CY837" i="1"/>
  <c r="CY836" i="1"/>
  <c r="CY834" i="1"/>
  <c r="CY833" i="1"/>
  <c r="CY832" i="1"/>
  <c r="CY821" i="1"/>
  <c r="CY819" i="1"/>
  <c r="CY808" i="1"/>
  <c r="CY806" i="1"/>
  <c r="CY804" i="1"/>
  <c r="CY803" i="1"/>
  <c r="CY802" i="1"/>
  <c r="CY801" i="1"/>
  <c r="CY800" i="1"/>
  <c r="CY799" i="1"/>
  <c r="CY798" i="1"/>
  <c r="CY797" i="1"/>
  <c r="CY796" i="1"/>
  <c r="CY795" i="1"/>
  <c r="CY794" i="1"/>
  <c r="CY793" i="1"/>
  <c r="CY792" i="1"/>
  <c r="CY791" i="1"/>
  <c r="CY790" i="1"/>
  <c r="CY789" i="1"/>
  <c r="CY788" i="1"/>
  <c r="CY787" i="1"/>
  <c r="CY786" i="1"/>
  <c r="CY785" i="1"/>
  <c r="CY784" i="1"/>
  <c r="CY783" i="1"/>
  <c r="CY782" i="1"/>
  <c r="CY781" i="1"/>
  <c r="CY780" i="1"/>
  <c r="CY779" i="1"/>
  <c r="CY778" i="1"/>
  <c r="CY777" i="1"/>
  <c r="CY776" i="1"/>
  <c r="CY775" i="1"/>
  <c r="CY774" i="1"/>
  <c r="CY773" i="1"/>
  <c r="CX827" i="1"/>
  <c r="CX826" i="1"/>
  <c r="CX781" i="1"/>
  <c r="CX815" i="1"/>
  <c r="CX817" i="1"/>
  <c r="CX796" i="1"/>
  <c r="CX795" i="1"/>
  <c r="CX793" i="1"/>
  <c r="CX810" i="1"/>
  <c r="CX788" i="1"/>
  <c r="CX787" i="1"/>
  <c r="CX789" i="1"/>
  <c r="CX818" i="1"/>
  <c r="CX794" i="1"/>
  <c r="CX811" i="1"/>
  <c r="CX820" i="1"/>
  <c r="CX778" i="1"/>
  <c r="CX821" i="1"/>
  <c r="CX801" i="1"/>
  <c r="CX785" i="1"/>
  <c r="CX782" i="1"/>
  <c r="CX790" i="1"/>
  <c r="CX786" i="1"/>
  <c r="CX780" i="1"/>
  <c r="CX779" i="1"/>
  <c r="CX809" i="1"/>
  <c r="CX814" i="1"/>
  <c r="CX823" i="1"/>
  <c r="CX825" i="1"/>
  <c r="CX833" i="1"/>
  <c r="CX784" i="1"/>
  <c r="CX805" i="1"/>
  <c r="CX845" i="1"/>
  <c r="CX800" i="1"/>
  <c r="CX816" i="1"/>
  <c r="CX847" i="1"/>
  <c r="CX846" i="1"/>
  <c r="CX813" i="1"/>
  <c r="CX832" i="1"/>
  <c r="CX830" i="1"/>
  <c r="CX799" i="1"/>
  <c r="CX822" i="1"/>
  <c r="CX831" i="1"/>
  <c r="CX783" i="1"/>
  <c r="CX819" i="1"/>
  <c r="CX806" i="1"/>
  <c r="CX834" i="1"/>
  <c r="CX829" i="1"/>
  <c r="CX842" i="1"/>
  <c r="CX848" i="1"/>
  <c r="CX792" i="1"/>
  <c r="CX812" i="1"/>
  <c r="CX808" i="1"/>
  <c r="CX824" i="1"/>
  <c r="CX850" i="1"/>
  <c r="CX840" i="1"/>
  <c r="CX835" i="1"/>
  <c r="CX797" i="1"/>
  <c r="CX849" i="1"/>
  <c r="CX838" i="1"/>
  <c r="CX839" i="1"/>
  <c r="CX851" i="1"/>
  <c r="CX828" i="1"/>
  <c r="CX837" i="1"/>
  <c r="CX843" i="1"/>
  <c r="CX777" i="1"/>
  <c r="CX836" i="1"/>
  <c r="CX852" i="1"/>
  <c r="CX798" i="1"/>
  <c r="CX776" i="1"/>
  <c r="CX841" i="1"/>
  <c r="CX807" i="1"/>
  <c r="CX775" i="1"/>
  <c r="CX853" i="1"/>
  <c r="CX854" i="1"/>
  <c r="CX803" i="1"/>
  <c r="CX774" i="1"/>
  <c r="CX773" i="1"/>
  <c r="CX844" i="1"/>
  <c r="CX802" i="1"/>
  <c r="CX791" i="1"/>
  <c r="CX804" i="1"/>
  <c r="CX29" i="1"/>
  <c r="CX114" i="1"/>
  <c r="CX537" i="1"/>
  <c r="CX1636" i="1"/>
  <c r="CX1637" i="1"/>
  <c r="CX113" i="1"/>
  <c r="CX112" i="1"/>
  <c r="CX28" i="1"/>
  <c r="CX111" i="1"/>
  <c r="CX536" i="1"/>
  <c r="CX110" i="1"/>
  <c r="CX535" i="1"/>
  <c r="CX58" i="1"/>
  <c r="CX109" i="1"/>
  <c r="CX534" i="1"/>
  <c r="CX108" i="1"/>
  <c r="CX57" i="1"/>
  <c r="CX56" i="1"/>
  <c r="CX533" i="1"/>
  <c r="CX532" i="1"/>
  <c r="CX27" i="1"/>
  <c r="CX55" i="1"/>
  <c r="CX107" i="1"/>
  <c r="CX531" i="1"/>
  <c r="CX54" i="1"/>
  <c r="CX530" i="1"/>
  <c r="CX26" i="1"/>
  <c r="CX529" i="1"/>
  <c r="CX53" i="1"/>
  <c r="CX30" i="1"/>
  <c r="CX1635" i="1"/>
  <c r="CX528" i="1"/>
  <c r="CX52" i="1"/>
  <c r="CX25" i="1"/>
  <c r="CX51" i="1"/>
  <c r="CX523" i="1"/>
  <c r="CX106" i="1"/>
  <c r="CX522" i="1"/>
  <c r="CX24" i="1"/>
  <c r="CX23" i="1"/>
  <c r="CX521" i="1"/>
  <c r="CX520" i="1"/>
  <c r="CX22" i="1"/>
  <c r="CX1609" i="1"/>
  <c r="CX21" i="1"/>
  <c r="CX519" i="1"/>
  <c r="CX261" i="1"/>
  <c r="CX518" i="1"/>
  <c r="CX517" i="1"/>
  <c r="CX20" i="1"/>
  <c r="CX50" i="1"/>
  <c r="CX516" i="1"/>
  <c r="CX515" i="1"/>
  <c r="CX514" i="1"/>
  <c r="CX49" i="1"/>
  <c r="CX513" i="1"/>
  <c r="CX512" i="1"/>
  <c r="CX48" i="1"/>
  <c r="CX19" i="1"/>
  <c r="CX103" i="1"/>
  <c r="CX101" i="1"/>
  <c r="CX511" i="1"/>
  <c r="CX100" i="1"/>
  <c r="CX99" i="1"/>
  <c r="CX98" i="1"/>
  <c r="CX510" i="1"/>
  <c r="CX509" i="1"/>
  <c r="CX1639" i="1"/>
  <c r="CX47" i="1"/>
  <c r="CX46" i="1"/>
  <c r="CX91" i="1"/>
  <c r="CX90" i="1"/>
  <c r="CX89" i="1"/>
  <c r="CX18" i="1"/>
  <c r="CX508" i="1"/>
  <c r="CX45" i="1"/>
  <c r="CX1615" i="1"/>
  <c r="CX17" i="1"/>
  <c r="CX16" i="1"/>
  <c r="CX507" i="1"/>
  <c r="CX88" i="1"/>
  <c r="CX15" i="1"/>
  <c r="CX87" i="1"/>
  <c r="CX506" i="1"/>
  <c r="CX504" i="1"/>
  <c r="CX505" i="1"/>
  <c r="CX14" i="1"/>
  <c r="CX12" i="1"/>
  <c r="CX13" i="1"/>
  <c r="CX503" i="1"/>
  <c r="CX85" i="1"/>
  <c r="CX44" i="1"/>
  <c r="CX502" i="1"/>
  <c r="CX501" i="1"/>
  <c r="CX1614" i="1"/>
  <c r="CX11" i="1"/>
  <c r="CX84" i="1"/>
  <c r="CX500" i="1"/>
  <c r="CX10" i="1"/>
  <c r="CX42" i="1"/>
  <c r="CX43" i="1"/>
  <c r="CX40" i="1"/>
  <c r="CX41" i="1"/>
  <c r="CX498" i="1"/>
  <c r="CX499" i="1"/>
  <c r="CX497" i="1"/>
  <c r="CX38" i="1"/>
  <c r="CX39" i="1"/>
  <c r="CX1612" i="1"/>
  <c r="CX1613" i="1"/>
  <c r="CX80" i="1"/>
  <c r="CX81" i="1"/>
  <c r="CX36" i="1"/>
  <c r="CX37" i="1"/>
  <c r="CX78" i="1"/>
  <c r="CX79" i="1"/>
  <c r="CX35" i="1"/>
  <c r="CX9" i="1"/>
  <c r="CX496" i="1"/>
  <c r="CX8" i="1"/>
  <c r="CX1638" i="1"/>
  <c r="CX32" i="1"/>
  <c r="CX33" i="1"/>
  <c r="CX77" i="1"/>
  <c r="CX495" i="1"/>
  <c r="CX494" i="1"/>
  <c r="CX141" i="1"/>
  <c r="CX64" i="1"/>
  <c r="CX31" i="1"/>
  <c r="CX493" i="1"/>
  <c r="CX1611" i="1"/>
  <c r="CX63" i="1"/>
  <c r="CX61" i="1"/>
  <c r="CX62" i="1"/>
  <c r="CX59" i="1"/>
  <c r="CX60" i="1"/>
  <c r="CT827" i="1"/>
  <c r="CZ827" i="1" s="1"/>
  <c r="CT826" i="1"/>
  <c r="CZ826" i="1" s="1"/>
  <c r="CT781" i="1"/>
  <c r="CZ781" i="1" s="1"/>
  <c r="CT815" i="1"/>
  <c r="CZ815" i="1" s="1"/>
  <c r="CT817" i="1"/>
  <c r="CZ817" i="1" s="1"/>
  <c r="CT796" i="1"/>
  <c r="CZ796" i="1" s="1"/>
  <c r="CT795" i="1"/>
  <c r="CZ795" i="1" s="1"/>
  <c r="CT793" i="1"/>
  <c r="CZ793" i="1" s="1"/>
  <c r="CT810" i="1"/>
  <c r="CZ810" i="1" s="1"/>
  <c r="CT788" i="1"/>
  <c r="CZ788" i="1" s="1"/>
  <c r="CT787" i="1"/>
  <c r="CZ787" i="1" s="1"/>
  <c r="CT789" i="1"/>
  <c r="CZ789" i="1" s="1"/>
  <c r="CT818" i="1"/>
  <c r="CZ818" i="1" s="1"/>
  <c r="CT794" i="1"/>
  <c r="CZ794" i="1" s="1"/>
  <c r="CT811" i="1"/>
  <c r="CZ811" i="1" s="1"/>
  <c r="CT820" i="1"/>
  <c r="CZ820" i="1" s="1"/>
  <c r="CT778" i="1"/>
  <c r="CZ778" i="1" s="1"/>
  <c r="CT821" i="1"/>
  <c r="CZ821" i="1" s="1"/>
  <c r="CT801" i="1"/>
  <c r="CZ801" i="1" s="1"/>
  <c r="CT785" i="1"/>
  <c r="CZ785" i="1" s="1"/>
  <c r="CT782" i="1"/>
  <c r="CZ782" i="1" s="1"/>
  <c r="CT790" i="1"/>
  <c r="CZ790" i="1" s="1"/>
  <c r="CT786" i="1"/>
  <c r="CZ786" i="1" s="1"/>
  <c r="CT780" i="1"/>
  <c r="CZ780" i="1" s="1"/>
  <c r="CT779" i="1"/>
  <c r="CZ779" i="1" s="1"/>
  <c r="CT809" i="1"/>
  <c r="CZ809" i="1" s="1"/>
  <c r="CT814" i="1"/>
  <c r="CZ814" i="1" s="1"/>
  <c r="CT823" i="1"/>
  <c r="CZ823" i="1" s="1"/>
  <c r="CT825" i="1"/>
  <c r="CZ825" i="1" s="1"/>
  <c r="CT833" i="1"/>
  <c r="CZ833" i="1" s="1"/>
  <c r="CT784" i="1"/>
  <c r="CZ784" i="1" s="1"/>
  <c r="CT805" i="1"/>
  <c r="CZ805" i="1" s="1"/>
  <c r="CT845" i="1"/>
  <c r="CZ845" i="1" s="1"/>
  <c r="CT800" i="1"/>
  <c r="CZ800" i="1" s="1"/>
  <c r="CT816" i="1"/>
  <c r="CZ816" i="1" s="1"/>
  <c r="CT847" i="1"/>
  <c r="CZ847" i="1" s="1"/>
  <c r="CT846" i="1"/>
  <c r="CZ846" i="1" s="1"/>
  <c r="CT813" i="1"/>
  <c r="CZ813" i="1" s="1"/>
  <c r="CT832" i="1"/>
  <c r="CZ832" i="1" s="1"/>
  <c r="CT830" i="1"/>
  <c r="CZ830" i="1" s="1"/>
  <c r="CT799" i="1"/>
  <c r="CZ799" i="1" s="1"/>
  <c r="CT822" i="1"/>
  <c r="CZ822" i="1" s="1"/>
  <c r="CT831" i="1"/>
  <c r="CZ831" i="1" s="1"/>
  <c r="CT783" i="1"/>
  <c r="CZ783" i="1" s="1"/>
  <c r="CT819" i="1"/>
  <c r="CZ819" i="1" s="1"/>
  <c r="CT806" i="1"/>
  <c r="CZ806" i="1" s="1"/>
  <c r="CT834" i="1"/>
  <c r="CZ834" i="1" s="1"/>
  <c r="CT829" i="1"/>
  <c r="CZ829" i="1" s="1"/>
  <c r="CT842" i="1"/>
  <c r="CZ842" i="1" s="1"/>
  <c r="CT848" i="1"/>
  <c r="CZ848" i="1" s="1"/>
  <c r="CT792" i="1"/>
  <c r="CZ792" i="1" s="1"/>
  <c r="CT812" i="1"/>
  <c r="CZ812" i="1" s="1"/>
  <c r="CT808" i="1"/>
  <c r="CZ808" i="1" s="1"/>
  <c r="CT824" i="1"/>
  <c r="CZ824" i="1" s="1"/>
  <c r="CT850" i="1"/>
  <c r="CZ850" i="1" s="1"/>
  <c r="CT840" i="1"/>
  <c r="CZ840" i="1" s="1"/>
  <c r="CT835" i="1"/>
  <c r="CZ835" i="1" s="1"/>
  <c r="CT797" i="1"/>
  <c r="CZ797" i="1" s="1"/>
  <c r="CT849" i="1"/>
  <c r="CZ849" i="1" s="1"/>
  <c r="CT838" i="1"/>
  <c r="CZ838" i="1" s="1"/>
  <c r="CT839" i="1"/>
  <c r="CZ839" i="1" s="1"/>
  <c r="CT851" i="1"/>
  <c r="CZ851" i="1" s="1"/>
  <c r="CT828" i="1"/>
  <c r="CZ828" i="1" s="1"/>
  <c r="CT837" i="1"/>
  <c r="CZ837" i="1" s="1"/>
  <c r="CT843" i="1"/>
  <c r="CZ843" i="1" s="1"/>
  <c r="CT777" i="1"/>
  <c r="CZ777" i="1" s="1"/>
  <c r="CT836" i="1"/>
  <c r="CZ836" i="1" s="1"/>
  <c r="CT852" i="1"/>
  <c r="CZ852" i="1" s="1"/>
  <c r="CT798" i="1"/>
  <c r="CZ798" i="1" s="1"/>
  <c r="CT776" i="1"/>
  <c r="CZ776" i="1" s="1"/>
  <c r="CT841" i="1"/>
  <c r="CZ841" i="1" s="1"/>
  <c r="CT807" i="1"/>
  <c r="CZ807" i="1" s="1"/>
  <c r="CT775" i="1"/>
  <c r="CZ775" i="1" s="1"/>
  <c r="CT853" i="1"/>
  <c r="CZ853" i="1" s="1"/>
  <c r="CT854" i="1"/>
  <c r="CZ854" i="1" s="1"/>
  <c r="CT803" i="1"/>
  <c r="CZ803" i="1" s="1"/>
  <c r="CT774" i="1"/>
  <c r="CZ774" i="1" s="1"/>
  <c r="CT773" i="1"/>
  <c r="CZ773" i="1" s="1"/>
  <c r="CT844" i="1"/>
  <c r="CZ844" i="1" s="1"/>
  <c r="CT802" i="1"/>
  <c r="CZ802" i="1" s="1"/>
  <c r="CT791" i="1"/>
  <c r="CZ791" i="1" s="1"/>
  <c r="CT804" i="1"/>
  <c r="CZ804" i="1" s="1"/>
  <c r="CT1012" i="1"/>
  <c r="CT1013" i="1"/>
  <c r="CT1014" i="1"/>
  <c r="CT1015" i="1"/>
  <c r="CT1016" i="1"/>
  <c r="CT1006" i="1"/>
  <c r="CT1017" i="1"/>
  <c r="CT1007" i="1"/>
  <c r="CT1018" i="1"/>
  <c r="CT1008" i="1"/>
  <c r="CT1019" i="1"/>
  <c r="CT1020" i="1"/>
  <c r="CT1009" i="1"/>
  <c r="CT1010" i="1"/>
  <c r="CT1011" i="1"/>
  <c r="CT1021" i="1"/>
  <c r="CT1022" i="1"/>
  <c r="CT1023" i="1"/>
  <c r="CT1024" i="1"/>
  <c r="CT1032" i="1"/>
  <c r="CT1033" i="1"/>
  <c r="CT1025" i="1"/>
  <c r="CT1026" i="1"/>
  <c r="CT1027" i="1"/>
  <c r="CT1028" i="1"/>
  <c r="CT1029" i="1"/>
  <c r="CT1034" i="1"/>
  <c r="CT1030" i="1"/>
  <c r="CT1035" i="1"/>
  <c r="CT1031" i="1"/>
  <c r="CT29" i="1"/>
  <c r="CZ29" i="1" s="1"/>
  <c r="CT487" i="1"/>
  <c r="CT489" i="1"/>
  <c r="CT490" i="1"/>
  <c r="CT491" i="1"/>
  <c r="CT488" i="1"/>
  <c r="CT492" i="1"/>
  <c r="CT114" i="1"/>
  <c r="CZ114" i="1" s="1"/>
  <c r="CT537" i="1"/>
  <c r="CZ537" i="1" s="1"/>
  <c r="CT1636" i="1"/>
  <c r="CZ1636" i="1" s="1"/>
  <c r="CT1637" i="1"/>
  <c r="CZ1637" i="1" s="1"/>
  <c r="CT483" i="1"/>
  <c r="CT484" i="1"/>
  <c r="CT485" i="1"/>
  <c r="CT486" i="1"/>
  <c r="CT481" i="1"/>
  <c r="CT482" i="1"/>
  <c r="CT113" i="1"/>
  <c r="CZ113" i="1" s="1"/>
  <c r="CT112" i="1"/>
  <c r="CZ112" i="1" s="1"/>
  <c r="CT28" i="1"/>
  <c r="CZ28" i="1" s="1"/>
  <c r="CT111" i="1"/>
  <c r="CZ111" i="1" s="1"/>
  <c r="CT478" i="1"/>
  <c r="CT479" i="1"/>
  <c r="CT475" i="1"/>
  <c r="CT476" i="1"/>
  <c r="CT477" i="1"/>
  <c r="CT465" i="1"/>
  <c r="CT466" i="1"/>
  <c r="CT467" i="1"/>
  <c r="CT468" i="1"/>
  <c r="CT469" i="1"/>
  <c r="CT470" i="1"/>
  <c r="CT471" i="1"/>
  <c r="CT472" i="1"/>
  <c r="CT473" i="1"/>
  <c r="CT474" i="1"/>
  <c r="CT536" i="1"/>
  <c r="CZ536" i="1" s="1"/>
  <c r="CT110" i="1"/>
  <c r="CZ110" i="1" s="1"/>
  <c r="CT456" i="1"/>
  <c r="CT455" i="1"/>
  <c r="CT457" i="1"/>
  <c r="CT458" i="1"/>
  <c r="CT453" i="1"/>
  <c r="CT454" i="1"/>
  <c r="CT535" i="1"/>
  <c r="CZ535" i="1" s="1"/>
  <c r="CT58" i="1"/>
  <c r="CZ58" i="1" s="1"/>
  <c r="CT451" i="1"/>
  <c r="CT452" i="1"/>
  <c r="CT446" i="1"/>
  <c r="CT447" i="1"/>
  <c r="CT448" i="1"/>
  <c r="CT449" i="1"/>
  <c r="CT450" i="1"/>
  <c r="CT109" i="1"/>
  <c r="CZ109" i="1" s="1"/>
  <c r="CT534" i="1"/>
  <c r="CZ534" i="1" s="1"/>
  <c r="CT108" i="1"/>
  <c r="CZ108" i="1" s="1"/>
  <c r="CT57" i="1"/>
  <c r="CZ57" i="1" s="1"/>
  <c r="CT440" i="1"/>
  <c r="CT441" i="1"/>
  <c r="CT442" i="1"/>
  <c r="CT443" i="1"/>
  <c r="CT444" i="1"/>
  <c r="CT445" i="1"/>
  <c r="CT56" i="1"/>
  <c r="CZ56" i="1" s="1"/>
  <c r="CT533" i="1"/>
  <c r="CZ533" i="1" s="1"/>
  <c r="CT532" i="1"/>
  <c r="CZ532" i="1" s="1"/>
  <c r="CT27" i="1"/>
  <c r="CZ27" i="1" s="1"/>
  <c r="CT55" i="1"/>
  <c r="CZ55" i="1" s="1"/>
  <c r="CT107" i="1"/>
  <c r="CZ107" i="1" s="1"/>
  <c r="CT428" i="1"/>
  <c r="CT429" i="1"/>
  <c r="CT430" i="1"/>
  <c r="CT431" i="1"/>
  <c r="CT432" i="1"/>
  <c r="CT433" i="1"/>
  <c r="CT434" i="1"/>
  <c r="CT435" i="1"/>
  <c r="CT436" i="1"/>
  <c r="CT437" i="1"/>
  <c r="CT438" i="1"/>
  <c r="CT531" i="1"/>
  <c r="CZ531" i="1" s="1"/>
  <c r="CT54" i="1"/>
  <c r="CZ54" i="1" s="1"/>
  <c r="CT530" i="1"/>
  <c r="CZ530" i="1" s="1"/>
  <c r="CT426" i="1"/>
  <c r="CT423" i="1"/>
  <c r="CT424" i="1"/>
  <c r="CT425" i="1"/>
  <c r="CT421" i="1"/>
  <c r="CT422" i="1"/>
  <c r="CT427" i="1"/>
  <c r="CT26" i="1"/>
  <c r="CZ26" i="1" s="1"/>
  <c r="CT412" i="1"/>
  <c r="CT413" i="1"/>
  <c r="CT414" i="1"/>
  <c r="CT415" i="1"/>
  <c r="CT416" i="1"/>
  <c r="CT419" i="1"/>
  <c r="CT420" i="1"/>
  <c r="CT417" i="1"/>
  <c r="CT418" i="1"/>
  <c r="CT929" i="1"/>
  <c r="CT943" i="1"/>
  <c r="CT944" i="1"/>
  <c r="CT930" i="1"/>
  <c r="CT529" i="1"/>
  <c r="CZ529" i="1" s="1"/>
  <c r="CT53" i="1"/>
  <c r="CZ53" i="1" s="1"/>
  <c r="CT30" i="1"/>
  <c r="CZ30" i="1" s="1"/>
  <c r="CT1635" i="1"/>
  <c r="CZ1635" i="1" s="1"/>
  <c r="CT407" i="1"/>
  <c r="CT408" i="1"/>
  <c r="CT409" i="1"/>
  <c r="CT410" i="1"/>
  <c r="CT411" i="1"/>
  <c r="CT528" i="1"/>
  <c r="CZ528" i="1" s="1"/>
  <c r="CT406" i="1"/>
  <c r="CT397" i="1"/>
  <c r="CT398" i="1"/>
  <c r="CT399" i="1"/>
  <c r="CT400" i="1"/>
  <c r="CT401" i="1"/>
  <c r="CT402" i="1"/>
  <c r="CT403" i="1"/>
  <c r="CT404" i="1"/>
  <c r="CT405" i="1"/>
  <c r="CT364" i="1"/>
  <c r="CT365" i="1"/>
  <c r="CT366" i="1"/>
  <c r="CT367" i="1"/>
  <c r="CT368" i="1"/>
  <c r="CT369" i="1"/>
  <c r="CT370" i="1"/>
  <c r="CT371" i="1"/>
  <c r="CT372" i="1"/>
  <c r="CT373" i="1"/>
  <c r="CT374" i="1"/>
  <c r="CT375" i="1"/>
  <c r="CT376" i="1"/>
  <c r="CT377" i="1"/>
  <c r="CT378" i="1"/>
  <c r="CT379" i="1"/>
  <c r="CT380" i="1"/>
  <c r="CT381" i="1"/>
  <c r="CT382" i="1"/>
  <c r="CT383" i="1"/>
  <c r="CT384" i="1"/>
  <c r="CT385" i="1"/>
  <c r="CT386" i="1"/>
  <c r="CT387" i="1"/>
  <c r="CT388" i="1"/>
  <c r="CT389" i="1"/>
  <c r="CT390" i="1"/>
  <c r="CT391" i="1"/>
  <c r="CT392" i="1"/>
  <c r="CT393" i="1"/>
  <c r="CT394" i="1"/>
  <c r="CT395" i="1"/>
  <c r="CT52" i="1"/>
  <c r="CZ52" i="1" s="1"/>
  <c r="CT352" i="1"/>
  <c r="CT353" i="1"/>
  <c r="CT354" i="1"/>
  <c r="CT355" i="1"/>
  <c r="CT356" i="1"/>
  <c r="CT357" i="1"/>
  <c r="CT361" i="1"/>
  <c r="CT362" i="1"/>
  <c r="CT363" i="1"/>
  <c r="CT358" i="1"/>
  <c r="CT359" i="1"/>
  <c r="CT360" i="1"/>
  <c r="CT25" i="1"/>
  <c r="CZ25" i="1" s="1"/>
  <c r="CT344" i="1"/>
  <c r="CT340" i="1"/>
  <c r="CT345" i="1"/>
  <c r="CT341" i="1"/>
  <c r="CT346" i="1"/>
  <c r="CT347" i="1"/>
  <c r="CT348" i="1"/>
  <c r="CT349" i="1"/>
  <c r="CT350" i="1"/>
  <c r="CT342" i="1"/>
  <c r="CT343" i="1"/>
  <c r="CT351" i="1"/>
  <c r="CT332" i="1"/>
  <c r="CT333" i="1"/>
  <c r="CT334" i="1"/>
  <c r="CT335" i="1"/>
  <c r="CT336" i="1"/>
  <c r="CT337" i="1"/>
  <c r="CT338" i="1"/>
  <c r="CT339" i="1"/>
  <c r="CT51" i="1"/>
  <c r="CZ51" i="1" s="1"/>
  <c r="CT523" i="1"/>
  <c r="CZ523" i="1" s="1"/>
  <c r="CT331" i="1"/>
  <c r="CT324" i="1"/>
  <c r="CT325" i="1"/>
  <c r="CT326" i="1"/>
  <c r="CT327" i="1"/>
  <c r="CT328" i="1"/>
  <c r="CT329" i="1"/>
  <c r="CT323" i="1"/>
  <c r="CT314" i="1"/>
  <c r="CT315" i="1"/>
  <c r="CT316" i="1"/>
  <c r="CT317" i="1"/>
  <c r="CT318" i="1"/>
  <c r="CT319" i="1"/>
  <c r="CT320" i="1"/>
  <c r="CT321" i="1"/>
  <c r="CT322" i="1"/>
  <c r="CT313" i="1"/>
  <c r="CT299" i="1"/>
  <c r="CT300" i="1"/>
  <c r="CT301" i="1"/>
  <c r="CT302" i="1"/>
  <c r="CT303" i="1"/>
  <c r="CT304" i="1"/>
  <c r="CT305" i="1"/>
  <c r="CT306" i="1"/>
  <c r="CT307" i="1"/>
  <c r="CT308" i="1"/>
  <c r="CT309" i="1"/>
  <c r="CT310" i="1"/>
  <c r="CT311" i="1"/>
  <c r="CT312" i="1"/>
  <c r="CT297" i="1"/>
  <c r="CT298" i="1"/>
  <c r="CT106" i="1"/>
  <c r="CZ106" i="1" s="1"/>
  <c r="CT522" i="1"/>
  <c r="CZ522" i="1" s="1"/>
  <c r="CT24" i="1"/>
  <c r="CZ24" i="1" s="1"/>
  <c r="CT23" i="1"/>
  <c r="CZ23" i="1" s="1"/>
  <c r="CT287" i="1"/>
  <c r="CT294" i="1"/>
  <c r="CT288" i="1"/>
  <c r="CT292" i="1"/>
  <c r="CT295" i="1"/>
  <c r="CT293" i="1"/>
  <c r="CT296" i="1"/>
  <c r="CT289" i="1"/>
  <c r="CT290" i="1"/>
  <c r="CT291" i="1"/>
  <c r="CT271" i="1"/>
  <c r="CT272" i="1"/>
  <c r="CT273" i="1"/>
  <c r="CT279" i="1"/>
  <c r="CT280" i="1"/>
  <c r="CT281" i="1"/>
  <c r="CT274" i="1"/>
  <c r="CT282" i="1"/>
  <c r="CT283" i="1"/>
  <c r="CT284" i="1"/>
  <c r="CT285" i="1"/>
  <c r="CT275" i="1"/>
  <c r="CT286" i="1"/>
  <c r="CT276" i="1"/>
  <c r="CT277" i="1"/>
  <c r="CT278" i="1"/>
  <c r="CT521" i="1"/>
  <c r="CZ521" i="1" s="1"/>
  <c r="CT520" i="1"/>
  <c r="CZ520" i="1" s="1"/>
  <c r="CT22" i="1"/>
  <c r="CZ22" i="1" s="1"/>
  <c r="CT1609" i="1"/>
  <c r="CZ1609" i="1" s="1"/>
  <c r="CT262" i="1"/>
  <c r="CT21" i="1"/>
  <c r="CZ21" i="1" s="1"/>
  <c r="CT519" i="1"/>
  <c r="CZ519" i="1" s="1"/>
  <c r="CT261" i="1"/>
  <c r="CZ261" i="1" s="1"/>
  <c r="CT518" i="1"/>
  <c r="CZ518" i="1" s="1"/>
  <c r="CT517" i="1"/>
  <c r="CZ517" i="1" s="1"/>
  <c r="CT20" i="1"/>
  <c r="CZ20" i="1" s="1"/>
  <c r="CT259" i="1"/>
  <c r="CT260" i="1"/>
  <c r="CT50" i="1"/>
  <c r="CZ50" i="1" s="1"/>
  <c r="CT257" i="1"/>
  <c r="CT258" i="1"/>
  <c r="CT516" i="1"/>
  <c r="CZ516" i="1" s="1"/>
  <c r="CT515" i="1"/>
  <c r="CZ515" i="1" s="1"/>
  <c r="CT514" i="1"/>
  <c r="CZ514" i="1" s="1"/>
  <c r="CT49" i="1"/>
  <c r="CZ49" i="1" s="1"/>
  <c r="CT243" i="1"/>
  <c r="CT244" i="1"/>
  <c r="CT245" i="1"/>
  <c r="CT247" i="1"/>
  <c r="CT248" i="1"/>
  <c r="CT246" i="1"/>
  <c r="CT249" i="1"/>
  <c r="CT250" i="1"/>
  <c r="CT513" i="1"/>
  <c r="CZ513" i="1" s="1"/>
  <c r="CT512" i="1"/>
  <c r="CZ512" i="1" s="1"/>
  <c r="CT48" i="1"/>
  <c r="CZ48" i="1" s="1"/>
  <c r="CT19" i="1"/>
  <c r="CZ19" i="1" s="1"/>
  <c r="CT103" i="1"/>
  <c r="CZ103" i="1" s="1"/>
  <c r="CT101" i="1"/>
  <c r="CZ101" i="1" s="1"/>
  <c r="CT1350" i="1"/>
  <c r="CT1351" i="1"/>
  <c r="CT1352" i="1"/>
  <c r="CT1353" i="1"/>
  <c r="CT1354" i="1"/>
  <c r="CT1355" i="1"/>
  <c r="CT1356" i="1"/>
  <c r="CT1357" i="1"/>
  <c r="CT241" i="1"/>
  <c r="CT242" i="1"/>
  <c r="CT511" i="1"/>
  <c r="CZ511" i="1" s="1"/>
  <c r="CT100" i="1"/>
  <c r="CZ100" i="1" s="1"/>
  <c r="CT99" i="1"/>
  <c r="CZ99" i="1" s="1"/>
  <c r="CT238" i="1"/>
  <c r="CT239" i="1"/>
  <c r="CT240" i="1"/>
  <c r="CT98" i="1"/>
  <c r="CZ98" i="1" s="1"/>
  <c r="CT510" i="1"/>
  <c r="CZ510" i="1" s="1"/>
  <c r="CT509" i="1"/>
  <c r="CZ509" i="1" s="1"/>
  <c r="CT1639" i="1"/>
  <c r="CZ1639" i="1" s="1"/>
  <c r="CT47" i="1"/>
  <c r="CZ47" i="1" s="1"/>
  <c r="CT46" i="1"/>
  <c r="CZ46" i="1" s="1"/>
  <c r="CT235" i="1"/>
  <c r="CT236" i="1"/>
  <c r="CT237" i="1"/>
  <c r="CT233" i="1"/>
  <c r="CT234" i="1"/>
  <c r="CT91" i="1"/>
  <c r="CZ91" i="1" s="1"/>
  <c r="CT90" i="1"/>
  <c r="CZ90" i="1" s="1"/>
  <c r="CT89" i="1"/>
  <c r="CZ89" i="1" s="1"/>
  <c r="CT225" i="1"/>
  <c r="CT226" i="1"/>
  <c r="CT18" i="1"/>
  <c r="CZ18" i="1" s="1"/>
  <c r="CT508" i="1"/>
  <c r="CZ508" i="1" s="1"/>
  <c r="CT222" i="1"/>
  <c r="CT223" i="1"/>
  <c r="CT224" i="1"/>
  <c r="CT219" i="1"/>
  <c r="CT220" i="1"/>
  <c r="CT221" i="1"/>
  <c r="CT45" i="1"/>
  <c r="CZ45" i="1" s="1"/>
  <c r="CT1615" i="1"/>
  <c r="CZ1615" i="1" s="1"/>
  <c r="CT17" i="1"/>
  <c r="CZ17" i="1" s="1"/>
  <c r="CT208" i="1"/>
  <c r="CT209" i="1"/>
  <c r="CT210" i="1"/>
  <c r="CT211" i="1"/>
  <c r="CT212" i="1"/>
  <c r="CT213" i="1"/>
  <c r="CT214" i="1"/>
  <c r="CT215" i="1"/>
  <c r="CT216" i="1"/>
  <c r="CT217" i="1"/>
  <c r="CT218" i="1"/>
  <c r="CT16" i="1"/>
  <c r="CZ16" i="1" s="1"/>
  <c r="CT507" i="1"/>
  <c r="CZ507" i="1" s="1"/>
  <c r="CT88" i="1"/>
  <c r="CZ88" i="1" s="1"/>
  <c r="CT15" i="1"/>
  <c r="CZ15" i="1" s="1"/>
  <c r="CT87" i="1"/>
  <c r="CZ87" i="1" s="1"/>
  <c r="CT506" i="1"/>
  <c r="CZ506" i="1" s="1"/>
  <c r="CT504" i="1"/>
  <c r="CZ504" i="1" s="1"/>
  <c r="CT505" i="1"/>
  <c r="CZ505" i="1" s="1"/>
  <c r="CT14" i="1"/>
  <c r="CZ14" i="1" s="1"/>
  <c r="CT192" i="1"/>
  <c r="CT193" i="1"/>
  <c r="CT194" i="1"/>
  <c r="CT195" i="1"/>
  <c r="CT188" i="1"/>
  <c r="CT189" i="1"/>
  <c r="CT196" i="1"/>
  <c r="CT190" i="1"/>
  <c r="CT191" i="1"/>
  <c r="CT197" i="1"/>
  <c r="CT198" i="1"/>
  <c r="CT199" i="1"/>
  <c r="CT181" i="1"/>
  <c r="CT182" i="1"/>
  <c r="CT183" i="1"/>
  <c r="CT184" i="1"/>
  <c r="CT185" i="1"/>
  <c r="CT186" i="1"/>
  <c r="CT187" i="1"/>
  <c r="CT12" i="1"/>
  <c r="CZ12" i="1" s="1"/>
  <c r="CT13" i="1"/>
  <c r="CZ13" i="1" s="1"/>
  <c r="CT179" i="1"/>
  <c r="CT180" i="1"/>
  <c r="CT176" i="1"/>
  <c r="CT177" i="1"/>
  <c r="CT178" i="1"/>
  <c r="CT503" i="1"/>
  <c r="CZ503" i="1" s="1"/>
  <c r="CT85" i="1"/>
  <c r="CZ85" i="1" s="1"/>
  <c r="CT44" i="1"/>
  <c r="CZ44" i="1" s="1"/>
  <c r="CT502" i="1"/>
  <c r="CZ502" i="1" s="1"/>
  <c r="CT501" i="1"/>
  <c r="CZ501" i="1" s="1"/>
  <c r="CT1614" i="1"/>
  <c r="CZ1614" i="1" s="1"/>
  <c r="CT11" i="1"/>
  <c r="CZ11" i="1" s="1"/>
  <c r="CT84" i="1"/>
  <c r="CZ84" i="1" s="1"/>
  <c r="CT500" i="1"/>
  <c r="CZ500" i="1" s="1"/>
  <c r="CT1420" i="1"/>
  <c r="CT1421" i="1"/>
  <c r="CT10" i="1"/>
  <c r="CZ10" i="1" s="1"/>
  <c r="CT42" i="1"/>
  <c r="CZ42" i="1" s="1"/>
  <c r="CT43" i="1"/>
  <c r="CZ43" i="1" s="1"/>
  <c r="CT40" i="1"/>
  <c r="CZ40" i="1" s="1"/>
  <c r="CT41" i="1"/>
  <c r="CZ41" i="1" s="1"/>
  <c r="CT498" i="1"/>
  <c r="CZ498" i="1" s="1"/>
  <c r="CT499" i="1"/>
  <c r="CZ499" i="1" s="1"/>
  <c r="CT497" i="1"/>
  <c r="CZ497" i="1" s="1"/>
  <c r="CT165" i="1"/>
  <c r="CT166" i="1"/>
  <c r="CT38" i="1"/>
  <c r="CZ38" i="1" s="1"/>
  <c r="CT39" i="1"/>
  <c r="CZ39" i="1" s="1"/>
  <c r="CT163" i="1"/>
  <c r="CT164" i="1"/>
  <c r="CT161" i="1"/>
  <c r="CT162" i="1"/>
  <c r="CT1612" i="1"/>
  <c r="CZ1612" i="1" s="1"/>
  <c r="CT1613" i="1"/>
  <c r="CZ1613" i="1" s="1"/>
  <c r="CT80" i="1"/>
  <c r="CZ80" i="1" s="1"/>
  <c r="CT81" i="1"/>
  <c r="CZ81" i="1" s="1"/>
  <c r="CT36" i="1"/>
  <c r="CZ36" i="1" s="1"/>
  <c r="CT37" i="1"/>
  <c r="CZ37" i="1" s="1"/>
  <c r="CT78" i="1"/>
  <c r="CZ78" i="1" s="1"/>
  <c r="CT79" i="1"/>
  <c r="CZ79" i="1" s="1"/>
  <c r="CT152" i="1"/>
  <c r="CT153" i="1"/>
  <c r="CT35" i="1"/>
  <c r="CZ35" i="1" s="1"/>
  <c r="CT9" i="1"/>
  <c r="CZ9" i="1" s="1"/>
  <c r="CT148" i="1"/>
  <c r="CT149" i="1"/>
  <c r="CT150" i="1"/>
  <c r="CT151" i="1"/>
  <c r="CT142" i="1"/>
  <c r="CT143" i="1"/>
  <c r="CT144" i="1"/>
  <c r="CT145" i="1"/>
  <c r="CT146" i="1"/>
  <c r="CT147" i="1"/>
  <c r="CT496" i="1"/>
  <c r="CZ496" i="1" s="1"/>
  <c r="CT8" i="1"/>
  <c r="CZ8" i="1" s="1"/>
  <c r="CT1638" i="1"/>
  <c r="CZ1638" i="1" s="1"/>
  <c r="CT32" i="1"/>
  <c r="CZ32" i="1" s="1"/>
  <c r="CT33" i="1"/>
  <c r="CZ33" i="1" s="1"/>
  <c r="CT77" i="1"/>
  <c r="CZ77" i="1" s="1"/>
  <c r="CT495" i="1"/>
  <c r="CZ495" i="1" s="1"/>
  <c r="CT494" i="1"/>
  <c r="CZ494" i="1" s="1"/>
  <c r="CT141" i="1"/>
  <c r="CZ141" i="1" s="1"/>
  <c r="CT64" i="1"/>
  <c r="CZ64" i="1" s="1"/>
  <c r="CT31" i="1"/>
  <c r="CZ31" i="1" s="1"/>
  <c r="CT493" i="1"/>
  <c r="CZ493" i="1" s="1"/>
  <c r="CT134" i="1"/>
  <c r="CT135" i="1"/>
  <c r="CT136" i="1"/>
  <c r="CT137" i="1"/>
  <c r="CT1611" i="1"/>
  <c r="CZ1611" i="1" s="1"/>
  <c r="CT131" i="1"/>
  <c r="CT132" i="1"/>
  <c r="CT133" i="1"/>
  <c r="CT128" i="1"/>
  <c r="CT129" i="1"/>
  <c r="CT130" i="1"/>
  <c r="CT63" i="1"/>
  <c r="CZ63" i="1" s="1"/>
  <c r="CT61" i="1"/>
  <c r="CZ61" i="1" s="1"/>
  <c r="CT62" i="1"/>
  <c r="CZ62" i="1" s="1"/>
  <c r="CT59" i="1"/>
  <c r="CZ59" i="1" s="1"/>
  <c r="CT60" i="1"/>
  <c r="CZ60" i="1" s="1"/>
  <c r="BN1281" i="1"/>
  <c r="BM1281" i="1"/>
  <c r="BN1280" i="1"/>
  <c r="BM1280" i="1"/>
  <c r="EU22" i="1" l="1"/>
  <c r="EU175" i="1"/>
  <c r="EU176" i="1"/>
  <c r="EU178" i="1"/>
  <c r="EU177" i="1"/>
  <c r="EU86" i="1"/>
  <c r="EU51" i="1"/>
  <c r="EU955" i="1"/>
  <c r="EU529" i="1"/>
  <c r="EU251" i="1"/>
  <c r="EU252" i="1"/>
  <c r="EU253" i="1"/>
  <c r="EU254" i="1"/>
  <c r="EU256" i="1"/>
  <c r="EU255" i="1"/>
  <c r="EU24" i="1"/>
  <c r="EU421" i="1"/>
  <c r="EU422" i="1"/>
  <c r="EU427" i="1"/>
  <c r="EU426" i="1"/>
  <c r="EU423" i="1"/>
  <c r="EU424" i="1"/>
  <c r="EU425" i="1"/>
  <c r="EU493" i="1"/>
  <c r="EU503" i="1"/>
  <c r="EU507" i="1"/>
  <c r="EU509" i="1"/>
  <c r="EU513" i="1"/>
  <c r="EU406" i="1"/>
  <c r="EU331" i="1"/>
  <c r="EU35" i="1"/>
  <c r="EU228" i="1"/>
  <c r="EU172" i="1"/>
  <c r="EU173" i="1"/>
  <c r="EU174" i="1"/>
  <c r="EU261" i="1"/>
  <c r="EU395" i="1"/>
  <c r="EU394" i="1"/>
  <c r="EU393" i="1"/>
  <c r="EU392" i="1"/>
  <c r="EU390" i="1"/>
  <c r="EU391" i="1"/>
  <c r="EU388" i="1"/>
  <c r="EU389" i="1"/>
  <c r="EU386" i="1"/>
  <c r="EU387" i="1"/>
  <c r="EU385" i="1"/>
  <c r="EU384" i="1"/>
  <c r="EU383" i="1"/>
  <c r="EU382" i="1"/>
  <c r="EU381" i="1"/>
  <c r="EU380" i="1"/>
  <c r="EU379" i="1"/>
  <c r="EU378" i="1"/>
  <c r="EU376" i="1"/>
  <c r="EU377" i="1"/>
  <c r="EU374" i="1"/>
  <c r="EU375" i="1"/>
  <c r="EU373" i="1"/>
  <c r="EU372" i="1"/>
  <c r="EU371" i="1"/>
  <c r="EU370" i="1"/>
  <c r="EU369" i="1"/>
  <c r="EU368" i="1"/>
  <c r="EU367" i="1"/>
  <c r="EU366" i="1"/>
  <c r="EU365" i="1"/>
  <c r="EU364" i="1"/>
  <c r="EU264" i="1"/>
  <c r="EU263" i="1"/>
  <c r="EU267" i="1"/>
  <c r="EU268" i="1"/>
  <c r="EU266" i="1"/>
  <c r="EU265" i="1"/>
  <c r="EU269" i="1"/>
  <c r="EU270" i="1"/>
  <c r="EU476" i="1"/>
  <c r="EU475" i="1"/>
  <c r="EU477" i="1"/>
  <c r="EU463" i="1"/>
  <c r="EU467" i="1"/>
  <c r="EU464" i="1"/>
  <c r="EU468" i="1"/>
  <c r="EU474" i="1"/>
  <c r="EU472" i="1"/>
  <c r="EU470" i="1"/>
  <c r="EU465" i="1"/>
  <c r="EU471" i="1"/>
  <c r="EU466" i="1"/>
  <c r="EU473" i="1"/>
  <c r="EU469" i="1"/>
  <c r="EU497" i="1"/>
  <c r="EU11" i="1"/>
  <c r="EU1614" i="1"/>
  <c r="EU48" i="1"/>
  <c r="EU20" i="1"/>
  <c r="EU343" i="1"/>
  <c r="EU342" i="1"/>
  <c r="EU341" i="1"/>
  <c r="EU340" i="1"/>
  <c r="EU351" i="1"/>
  <c r="EU349" i="1"/>
  <c r="EU348" i="1"/>
  <c r="EU346" i="1"/>
  <c r="EU350" i="1"/>
  <c r="EU347" i="1"/>
  <c r="EU345" i="1"/>
  <c r="EU344" i="1"/>
  <c r="EU288" i="1"/>
  <c r="EU287" i="1"/>
  <c r="EU289" i="1"/>
  <c r="EU290" i="1"/>
  <c r="EU291" i="1"/>
  <c r="EU296" i="1"/>
  <c r="EU294" i="1"/>
  <c r="EU295" i="1"/>
  <c r="EU292" i="1"/>
  <c r="EU293" i="1"/>
  <c r="EU479" i="1"/>
  <c r="EU478" i="1"/>
  <c r="EU500" i="1"/>
  <c r="EU1609" i="1"/>
  <c r="EU522" i="1"/>
  <c r="EU536" i="1"/>
  <c r="EU111" i="1"/>
  <c r="EU161" i="1"/>
  <c r="EU162" i="1"/>
  <c r="EU164" i="1"/>
  <c r="EU163" i="1"/>
  <c r="EU506" i="1"/>
  <c r="EU19" i="1"/>
  <c r="EU54" i="1"/>
  <c r="EU405" i="1"/>
  <c r="EU404" i="1"/>
  <c r="EU403" i="1"/>
  <c r="EU402" i="1"/>
  <c r="EU401" i="1"/>
  <c r="EU399" i="1"/>
  <c r="EU400" i="1"/>
  <c r="EU398" i="1"/>
  <c r="EU397" i="1"/>
  <c r="EU207" i="1"/>
  <c r="EU216" i="1"/>
  <c r="EU215" i="1"/>
  <c r="EU212" i="1"/>
  <c r="EU211" i="1"/>
  <c r="EU210" i="1"/>
  <c r="EU209" i="1"/>
  <c r="EU218" i="1"/>
  <c r="EU217" i="1"/>
  <c r="EU214" i="1"/>
  <c r="EU213" i="1"/>
  <c r="EU208" i="1"/>
  <c r="EU80" i="1"/>
  <c r="EU81" i="1"/>
  <c r="EU61" i="1"/>
  <c r="EU62" i="1"/>
  <c r="EU501" i="1"/>
  <c r="EU1635" i="1"/>
  <c r="EU53" i="1"/>
  <c r="EU107" i="1"/>
  <c r="EU109" i="1"/>
  <c r="EU179" i="1"/>
  <c r="EU180" i="1"/>
  <c r="EU525" i="1"/>
  <c r="EU524" i="1"/>
  <c r="EU526" i="1"/>
  <c r="EU527" i="1"/>
  <c r="EU488" i="1"/>
  <c r="EU492" i="1"/>
  <c r="EU202" i="1"/>
  <c r="EU200" i="1"/>
  <c r="EU490" i="1"/>
  <c r="EU489" i="1"/>
  <c r="EU487" i="1"/>
  <c r="EU491" i="1"/>
  <c r="EU205" i="1"/>
  <c r="EU206" i="1"/>
  <c r="EU201" i="1"/>
  <c r="EU203" i="1"/>
  <c r="EU204" i="1"/>
  <c r="EU82" i="1"/>
  <c r="EU83" i="1"/>
  <c r="EU496" i="1"/>
  <c r="EU87" i="1"/>
  <c r="EU91" i="1"/>
  <c r="EU528" i="1"/>
  <c r="EU56" i="1"/>
  <c r="EU534" i="1"/>
  <c r="EU153" i="1"/>
  <c r="EU152" i="1"/>
  <c r="EU323" i="1"/>
  <c r="EU281" i="1"/>
  <c r="EU279" i="1"/>
  <c r="EU282" i="1"/>
  <c r="EU280" i="1"/>
  <c r="EU284" i="1"/>
  <c r="EU283" i="1"/>
  <c r="EU286" i="1"/>
  <c r="EU285" i="1"/>
  <c r="EU276" i="1"/>
  <c r="EU275" i="1"/>
  <c r="EU278" i="1"/>
  <c r="EU277" i="1"/>
  <c r="EU273" i="1"/>
  <c r="EU272" i="1"/>
  <c r="EU274" i="1"/>
  <c r="EU271" i="1"/>
  <c r="EU257" i="1"/>
  <c r="EU258" i="1"/>
  <c r="EU486" i="1"/>
  <c r="EU485" i="1"/>
  <c r="EU484" i="1"/>
  <c r="EU483" i="1"/>
  <c r="EU482" i="1"/>
  <c r="EU481" i="1"/>
  <c r="EU9" i="1"/>
  <c r="EU36" i="1"/>
  <c r="EU37" i="1"/>
  <c r="EU84" i="1"/>
  <c r="EU502" i="1"/>
  <c r="EU1639" i="1"/>
  <c r="EU101" i="1"/>
  <c r="EU106" i="1"/>
  <c r="EU523" i="1"/>
  <c r="EU532" i="1"/>
  <c r="EU445" i="1"/>
  <c r="EU444" i="1"/>
  <c r="EU443" i="1"/>
  <c r="EU442" i="1"/>
  <c r="EU441" i="1"/>
  <c r="EU440" i="1"/>
  <c r="EU34" i="1"/>
  <c r="EU297" i="1"/>
  <c r="EU298" i="1"/>
  <c r="EU328" i="1"/>
  <c r="EU325" i="1"/>
  <c r="EU327" i="1"/>
  <c r="EU324" i="1"/>
  <c r="EU329" i="1"/>
  <c r="EU326" i="1"/>
  <c r="EU232" i="1"/>
  <c r="EU183" i="1"/>
  <c r="EU184" i="1"/>
  <c r="EU181" i="1"/>
  <c r="EU186" i="1"/>
  <c r="EU182" i="1"/>
  <c r="EU187" i="1"/>
  <c r="EU185" i="1"/>
  <c r="EU494" i="1"/>
  <c r="EU10" i="1"/>
  <c r="EU12" i="1"/>
  <c r="EU13" i="1"/>
  <c r="EU1615" i="1"/>
  <c r="EU45" i="1"/>
  <c r="EU46" i="1"/>
  <c r="EU510" i="1"/>
  <c r="EU52" i="1"/>
  <c r="EU428" i="1"/>
  <c r="EU429" i="1"/>
  <c r="EU430" i="1"/>
  <c r="EU431" i="1"/>
  <c r="EU432" i="1"/>
  <c r="EU433" i="1"/>
  <c r="EU434" i="1"/>
  <c r="EU435" i="1"/>
  <c r="EU436" i="1"/>
  <c r="EU437" i="1"/>
  <c r="EU438" i="1"/>
  <c r="EU118" i="1"/>
  <c r="EU117" i="1"/>
  <c r="EU116" i="1"/>
  <c r="EU115" i="1"/>
  <c r="EU126" i="1"/>
  <c r="EU125" i="1"/>
  <c r="EU122" i="1"/>
  <c r="EU449" i="1"/>
  <c r="EU448" i="1"/>
  <c r="EU447" i="1"/>
  <c r="EU446" i="1"/>
  <c r="EU450" i="1"/>
  <c r="EU330" i="1"/>
  <c r="EU127" i="1"/>
  <c r="EU124" i="1"/>
  <c r="EU123" i="1"/>
  <c r="EU119" i="1"/>
  <c r="EU120" i="1"/>
  <c r="EU121" i="1"/>
  <c r="EU132" i="1"/>
  <c r="EU131" i="1"/>
  <c r="EU133" i="1"/>
  <c r="EU128" i="1"/>
  <c r="EU129" i="1"/>
  <c r="EU130" i="1"/>
  <c r="EU219" i="1"/>
  <c r="EU220" i="1"/>
  <c r="EU221" i="1"/>
  <c r="EU222" i="1"/>
  <c r="EU223" i="1"/>
  <c r="EU224" i="1"/>
  <c r="EU240" i="1"/>
  <c r="EU239" i="1"/>
  <c r="EU238" i="1"/>
  <c r="EU154" i="1"/>
  <c r="EU155" i="1"/>
  <c r="EU156" i="1"/>
  <c r="EU157" i="1"/>
  <c r="EU158" i="1"/>
  <c r="EU159" i="1"/>
  <c r="EU160" i="1"/>
  <c r="EU168" i="1"/>
  <c r="EU169" i="1"/>
  <c r="EU171" i="1"/>
  <c r="EU170" i="1"/>
  <c r="EU167" i="1"/>
  <c r="EU309" i="1"/>
  <c r="EU307" i="1"/>
  <c r="EU304" i="1"/>
  <c r="EU303" i="1"/>
  <c r="EU312" i="1"/>
  <c r="EU311" i="1"/>
  <c r="EU310" i="1"/>
  <c r="EU308" i="1"/>
  <c r="EU306" i="1"/>
  <c r="EU305" i="1"/>
  <c r="EU302" i="1"/>
  <c r="EU301" i="1"/>
  <c r="EU300" i="1"/>
  <c r="EU299" i="1"/>
  <c r="EU412" i="1"/>
  <c r="EU413" i="1"/>
  <c r="EU414" i="1"/>
  <c r="EU415" i="1"/>
  <c r="EU416" i="1"/>
  <c r="EU419" i="1"/>
  <c r="EU420" i="1"/>
  <c r="EU417" i="1"/>
  <c r="EU418" i="1"/>
  <c r="EU59" i="1"/>
  <c r="EU60" i="1"/>
  <c r="EU8" i="1"/>
  <c r="EU508" i="1"/>
  <c r="EU89" i="1"/>
  <c r="EU516" i="1"/>
  <c r="EU23" i="1"/>
  <c r="EU58" i="1"/>
  <c r="EU1636" i="1"/>
  <c r="EU1637" i="1"/>
  <c r="EU537" i="1"/>
  <c r="EU114" i="1"/>
  <c r="EU411" i="1"/>
  <c r="EU409" i="1"/>
  <c r="EU410" i="1"/>
  <c r="EU408" i="1"/>
  <c r="EU407" i="1"/>
  <c r="EU67" i="1"/>
  <c r="EU68" i="1"/>
  <c r="EU65" i="1"/>
  <c r="EU66" i="1"/>
  <c r="EU97" i="1"/>
  <c r="EU96" i="1"/>
  <c r="EU95" i="1"/>
  <c r="EU94" i="1"/>
  <c r="EU93" i="1"/>
  <c r="EU92" i="1"/>
  <c r="EU1627" i="1"/>
  <c r="EU1626" i="1"/>
  <c r="EU1625" i="1"/>
  <c r="EU1624" i="1"/>
  <c r="EU1633" i="1"/>
  <c r="EU1618" i="1"/>
  <c r="EU1632" i="1"/>
  <c r="EU1631" i="1"/>
  <c r="EU1617" i="1"/>
  <c r="EU1630" i="1"/>
  <c r="EU1629" i="1"/>
  <c r="EU1616" i="1"/>
  <c r="EU1628" i="1"/>
  <c r="EU1623" i="1"/>
  <c r="EU1622" i="1"/>
  <c r="EU1621" i="1"/>
  <c r="EU1620" i="1"/>
  <c r="EU1619" i="1"/>
  <c r="EU241" i="1"/>
  <c r="EU242" i="1"/>
  <c r="EU233" i="1"/>
  <c r="EU234" i="1"/>
  <c r="EU260" i="1"/>
  <c r="EU259" i="1"/>
  <c r="EU69" i="1"/>
  <c r="EU71" i="1"/>
  <c r="EU73" i="1"/>
  <c r="EU74" i="1"/>
  <c r="EU313" i="1"/>
  <c r="EU70" i="1"/>
  <c r="EU72" i="1"/>
  <c r="EU75" i="1"/>
  <c r="EU76" i="1"/>
  <c r="EU1611" i="1"/>
  <c r="EU64" i="1"/>
  <c r="EU141" i="1"/>
  <c r="EU32" i="1"/>
  <c r="EU33" i="1"/>
  <c r="EU38" i="1"/>
  <c r="EU39" i="1"/>
  <c r="EU40" i="1"/>
  <c r="EU41" i="1"/>
  <c r="EU42" i="1"/>
  <c r="EU43" i="1"/>
  <c r="EU44" i="1"/>
  <c r="EU504" i="1"/>
  <c r="EU505" i="1"/>
  <c r="EU17" i="1"/>
  <c r="EU47" i="1"/>
  <c r="EU518" i="1"/>
  <c r="EU519" i="1"/>
  <c r="EU57" i="1"/>
  <c r="EU134" i="1"/>
  <c r="EU135" i="1"/>
  <c r="EU262" i="1"/>
  <c r="EU337" i="1"/>
  <c r="EU336" i="1"/>
  <c r="EU334" i="1"/>
  <c r="EU333" i="1"/>
  <c r="EU339" i="1"/>
  <c r="EU338" i="1"/>
  <c r="EU335" i="1"/>
  <c r="EU332" i="1"/>
  <c r="EU136" i="1"/>
  <c r="EU137" i="1"/>
  <c r="EU191" i="1"/>
  <c r="EU190" i="1"/>
  <c r="EU189" i="1"/>
  <c r="EU188" i="1"/>
  <c r="EU199" i="1"/>
  <c r="EU198" i="1"/>
  <c r="EU197" i="1"/>
  <c r="EU196" i="1"/>
  <c r="EU193" i="1"/>
  <c r="EU192" i="1"/>
  <c r="EU195" i="1"/>
  <c r="EU194" i="1"/>
  <c r="EU320" i="1"/>
  <c r="EU318" i="1"/>
  <c r="EU316" i="1"/>
  <c r="EU315" i="1"/>
  <c r="EU314" i="1"/>
  <c r="EU317" i="1"/>
  <c r="EU319" i="1"/>
  <c r="EU322" i="1"/>
  <c r="EU321" i="1"/>
  <c r="EU495" i="1"/>
  <c r="EU1638" i="1"/>
  <c r="EU78" i="1"/>
  <c r="EU79" i="1"/>
  <c r="EU1612" i="1"/>
  <c r="EU1613" i="1"/>
  <c r="EU15" i="1"/>
  <c r="EU98" i="1"/>
  <c r="EU99" i="1"/>
  <c r="EU512" i="1"/>
  <c r="EU49" i="1"/>
  <c r="EU514" i="1"/>
  <c r="EU531" i="1"/>
  <c r="EU110" i="1"/>
  <c r="EU112" i="1"/>
  <c r="EU166" i="1"/>
  <c r="EU165" i="1"/>
  <c r="EU236" i="1"/>
  <c r="EU235" i="1"/>
  <c r="EU237" i="1"/>
  <c r="EU451" i="1"/>
  <c r="EU452" i="1"/>
  <c r="EU226" i="1"/>
  <c r="EU225" i="1"/>
  <c r="EU456" i="1"/>
  <c r="EU458" i="1"/>
  <c r="EU457" i="1"/>
  <c r="EU455" i="1"/>
  <c r="EU453" i="1"/>
  <c r="EU454" i="1"/>
  <c r="EU145" i="1"/>
  <c r="EU144" i="1"/>
  <c r="EU143" i="1"/>
  <c r="EU142" i="1"/>
  <c r="EU147" i="1"/>
  <c r="EU146" i="1"/>
  <c r="EU150" i="1"/>
  <c r="EU148" i="1"/>
  <c r="EU151" i="1"/>
  <c r="EU149" i="1"/>
  <c r="EU352" i="1"/>
  <c r="EU353" i="1"/>
  <c r="EU354" i="1"/>
  <c r="EU355" i="1"/>
  <c r="EU356" i="1"/>
  <c r="EU357" i="1"/>
  <c r="EU361" i="1"/>
  <c r="EU362" i="1"/>
  <c r="EU363" i="1"/>
  <c r="EU358" i="1"/>
  <c r="EU359" i="1"/>
  <c r="EU360" i="1"/>
  <c r="EU462" i="1"/>
  <c r="EU461" i="1"/>
  <c r="EU459" i="1"/>
  <c r="EU460" i="1"/>
  <c r="EU250" i="1"/>
  <c r="EU247" i="1"/>
  <c r="EU248" i="1"/>
  <c r="EU249" i="1"/>
  <c r="EU243" i="1"/>
  <c r="EU244" i="1"/>
  <c r="EU245" i="1"/>
  <c r="EU246" i="1"/>
  <c r="EU77" i="1"/>
  <c r="EU498" i="1"/>
  <c r="EU499" i="1"/>
  <c r="EU14" i="1"/>
  <c r="EU88" i="1"/>
  <c r="EU18" i="1"/>
  <c r="EU90" i="1"/>
  <c r="EU511" i="1"/>
  <c r="EU50" i="1"/>
  <c r="EU21" i="1"/>
  <c r="EU25" i="1"/>
  <c r="EU27" i="1"/>
  <c r="EU108" i="1"/>
  <c r="EU140" i="1"/>
  <c r="EU229" i="1"/>
  <c r="EU227" i="1"/>
  <c r="EU231" i="1"/>
  <c r="EU230" i="1"/>
  <c r="EU480" i="1"/>
  <c r="EU139" i="1"/>
  <c r="EU439" i="1"/>
  <c r="EU138" i="1"/>
  <c r="EU63" i="1"/>
  <c r="EU31" i="1"/>
  <c r="EU85" i="1"/>
  <c r="EU16" i="1"/>
  <c r="EU100" i="1"/>
  <c r="EU103" i="1"/>
  <c r="EU515" i="1"/>
  <c r="EU517" i="1"/>
  <c r="EU520" i="1"/>
  <c r="EU521" i="1"/>
  <c r="EU30" i="1"/>
  <c r="EU26" i="1"/>
  <c r="EU530" i="1"/>
  <c r="EU55" i="1"/>
  <c r="EU533" i="1"/>
  <c r="EU535" i="1"/>
  <c r="EU28" i="1"/>
  <c r="EU113" i="1"/>
  <c r="EU29" i="1"/>
  <c r="ET22" i="1"/>
  <c r="ET175" i="1"/>
  <c r="ET176" i="1"/>
  <c r="ET178" i="1"/>
  <c r="ET177" i="1"/>
  <c r="ET86" i="1"/>
  <c r="ET51" i="1"/>
  <c r="ET955" i="1"/>
  <c r="ET529" i="1"/>
  <c r="ET251" i="1"/>
  <c r="ET252" i="1"/>
  <c r="ET253" i="1"/>
  <c r="ET254" i="1"/>
  <c r="ET256" i="1"/>
  <c r="ET255" i="1"/>
  <c r="ET24" i="1"/>
  <c r="ET421" i="1"/>
  <c r="ET422" i="1"/>
  <c r="ET427" i="1"/>
  <c r="ET426" i="1"/>
  <c r="ET423" i="1"/>
  <c r="ET424" i="1"/>
  <c r="ET425" i="1"/>
  <c r="ET493" i="1"/>
  <c r="ET503" i="1"/>
  <c r="ET507" i="1"/>
  <c r="ET509" i="1"/>
  <c r="ET513" i="1"/>
  <c r="ET406" i="1"/>
  <c r="ET331" i="1"/>
  <c r="ET35" i="1"/>
  <c r="ET228" i="1"/>
  <c r="ET172" i="1"/>
  <c r="ET173" i="1"/>
  <c r="ET174" i="1"/>
  <c r="ET261" i="1"/>
  <c r="ET395" i="1"/>
  <c r="ET394" i="1"/>
  <c r="ET393" i="1"/>
  <c r="ET392" i="1"/>
  <c r="ET390" i="1"/>
  <c r="ET391" i="1"/>
  <c r="ET388" i="1"/>
  <c r="ET389" i="1"/>
  <c r="ET386" i="1"/>
  <c r="ET387" i="1"/>
  <c r="ET385" i="1"/>
  <c r="ET384" i="1"/>
  <c r="ET383" i="1"/>
  <c r="ET382" i="1"/>
  <c r="ET381" i="1"/>
  <c r="ET380" i="1"/>
  <c r="ET379" i="1"/>
  <c r="ET378" i="1"/>
  <c r="ET376" i="1"/>
  <c r="ET377" i="1"/>
  <c r="ET374" i="1"/>
  <c r="ET375" i="1"/>
  <c r="ET373" i="1"/>
  <c r="ET372" i="1"/>
  <c r="ET371" i="1"/>
  <c r="ET370" i="1"/>
  <c r="ET369" i="1"/>
  <c r="ET368" i="1"/>
  <c r="ET367" i="1"/>
  <c r="ET366" i="1"/>
  <c r="ET365" i="1"/>
  <c r="ET364" i="1"/>
  <c r="ET264" i="1"/>
  <c r="ET263" i="1"/>
  <c r="ET267" i="1"/>
  <c r="ET268" i="1"/>
  <c r="ET266" i="1"/>
  <c r="ET265" i="1"/>
  <c r="ET269" i="1"/>
  <c r="ET270" i="1"/>
  <c r="ET476" i="1"/>
  <c r="ET475" i="1"/>
  <c r="ET477" i="1"/>
  <c r="ET463" i="1"/>
  <c r="ET467" i="1"/>
  <c r="ET464" i="1"/>
  <c r="ET468" i="1"/>
  <c r="ET474" i="1"/>
  <c r="ET472" i="1"/>
  <c r="ET470" i="1"/>
  <c r="ET465" i="1"/>
  <c r="ET471" i="1"/>
  <c r="ET466" i="1"/>
  <c r="ET473" i="1"/>
  <c r="ET469" i="1"/>
  <c r="ET497" i="1"/>
  <c r="ET11" i="1"/>
  <c r="ET1614" i="1"/>
  <c r="ET48" i="1"/>
  <c r="ET20" i="1"/>
  <c r="ET343" i="1"/>
  <c r="ET342" i="1"/>
  <c r="ET341" i="1"/>
  <c r="ET340" i="1"/>
  <c r="ET351" i="1"/>
  <c r="ET349" i="1"/>
  <c r="ET348" i="1"/>
  <c r="ET346" i="1"/>
  <c r="ET350" i="1"/>
  <c r="ET347" i="1"/>
  <c r="ET345" i="1"/>
  <c r="ET344" i="1"/>
  <c r="ET288" i="1"/>
  <c r="ET287" i="1"/>
  <c r="ET289" i="1"/>
  <c r="ET290" i="1"/>
  <c r="ET291" i="1"/>
  <c r="ET296" i="1"/>
  <c r="ET294" i="1"/>
  <c r="ET295" i="1"/>
  <c r="ET292" i="1"/>
  <c r="ET293" i="1"/>
  <c r="ET479" i="1"/>
  <c r="ET478" i="1"/>
  <c r="ET500" i="1"/>
  <c r="ET1609" i="1"/>
  <c r="ET522" i="1"/>
  <c r="ET536" i="1"/>
  <c r="ET111" i="1"/>
  <c r="ET161" i="1"/>
  <c r="ET162" i="1"/>
  <c r="ET164" i="1"/>
  <c r="ET163" i="1"/>
  <c r="ET506" i="1"/>
  <c r="ET19" i="1"/>
  <c r="ET54" i="1"/>
  <c r="ET405" i="1"/>
  <c r="ET404" i="1"/>
  <c r="ET403" i="1"/>
  <c r="ET402" i="1"/>
  <c r="ET401" i="1"/>
  <c r="ET399" i="1"/>
  <c r="ET400" i="1"/>
  <c r="ET398" i="1"/>
  <c r="ET397" i="1"/>
  <c r="ET207" i="1"/>
  <c r="ET216" i="1"/>
  <c r="ET215" i="1"/>
  <c r="ET212" i="1"/>
  <c r="ET211" i="1"/>
  <c r="ET210" i="1"/>
  <c r="ET209" i="1"/>
  <c r="ET218" i="1"/>
  <c r="ET217" i="1"/>
  <c r="ET214" i="1"/>
  <c r="ET213" i="1"/>
  <c r="ET208" i="1"/>
  <c r="ET80" i="1"/>
  <c r="ET81" i="1"/>
  <c r="ET61" i="1"/>
  <c r="ET62" i="1"/>
  <c r="ET501" i="1"/>
  <c r="ET1635" i="1"/>
  <c r="ET53" i="1"/>
  <c r="ET107" i="1"/>
  <c r="ET109" i="1"/>
  <c r="ET179" i="1"/>
  <c r="ET180" i="1"/>
  <c r="ET525" i="1"/>
  <c r="ET524" i="1"/>
  <c r="ET526" i="1"/>
  <c r="ET527" i="1"/>
  <c r="ET488" i="1"/>
  <c r="ET492" i="1"/>
  <c r="ET202" i="1"/>
  <c r="ET200" i="1"/>
  <c r="ET490" i="1"/>
  <c r="ET489" i="1"/>
  <c r="ET487" i="1"/>
  <c r="ET491" i="1"/>
  <c r="ET205" i="1"/>
  <c r="ET206" i="1"/>
  <c r="ET201" i="1"/>
  <c r="ET203" i="1"/>
  <c r="ET204" i="1"/>
  <c r="ET82" i="1"/>
  <c r="ET83" i="1"/>
  <c r="ET496" i="1"/>
  <c r="ET87" i="1"/>
  <c r="ET91" i="1"/>
  <c r="ET528" i="1"/>
  <c r="ET56" i="1"/>
  <c r="ET534" i="1"/>
  <c r="ET153" i="1"/>
  <c r="ET152" i="1"/>
  <c r="ET323" i="1"/>
  <c r="ET281" i="1"/>
  <c r="ET279" i="1"/>
  <c r="ET282" i="1"/>
  <c r="ET280" i="1"/>
  <c r="ET284" i="1"/>
  <c r="ET283" i="1"/>
  <c r="ET286" i="1"/>
  <c r="ET285" i="1"/>
  <c r="ET276" i="1"/>
  <c r="ET275" i="1"/>
  <c r="ET278" i="1"/>
  <c r="ET277" i="1"/>
  <c r="ET273" i="1"/>
  <c r="ET272" i="1"/>
  <c r="ET274" i="1"/>
  <c r="ET271" i="1"/>
  <c r="ET257" i="1"/>
  <c r="ET258" i="1"/>
  <c r="ET486" i="1"/>
  <c r="ET485" i="1"/>
  <c r="ET484" i="1"/>
  <c r="ET483" i="1"/>
  <c r="ET482" i="1"/>
  <c r="ET481" i="1"/>
  <c r="ET9" i="1"/>
  <c r="ET36" i="1"/>
  <c r="ET37" i="1"/>
  <c r="ET84" i="1"/>
  <c r="ET502" i="1"/>
  <c r="ET1639" i="1"/>
  <c r="ET101" i="1"/>
  <c r="ET106" i="1"/>
  <c r="ET523" i="1"/>
  <c r="ET532" i="1"/>
  <c r="ET445" i="1"/>
  <c r="ET444" i="1"/>
  <c r="ET443" i="1"/>
  <c r="ET442" i="1"/>
  <c r="ET441" i="1"/>
  <c r="ET440" i="1"/>
  <c r="ET34" i="1"/>
  <c r="ET297" i="1"/>
  <c r="ET298" i="1"/>
  <c r="ET328" i="1"/>
  <c r="ET325" i="1"/>
  <c r="ET327" i="1"/>
  <c r="ET324" i="1"/>
  <c r="ET329" i="1"/>
  <c r="ET326" i="1"/>
  <c r="ET232" i="1"/>
  <c r="ET183" i="1"/>
  <c r="ET184" i="1"/>
  <c r="ET181" i="1"/>
  <c r="ET186" i="1"/>
  <c r="ET182" i="1"/>
  <c r="ET187" i="1"/>
  <c r="ET185" i="1"/>
  <c r="ET494" i="1"/>
  <c r="ET10" i="1"/>
  <c r="ET12" i="1"/>
  <c r="ET13" i="1"/>
  <c r="ET1615" i="1"/>
  <c r="ET45" i="1"/>
  <c r="ET46" i="1"/>
  <c r="ET510" i="1"/>
  <c r="ET52" i="1"/>
  <c r="ET428" i="1"/>
  <c r="ET429" i="1"/>
  <c r="ET430" i="1"/>
  <c r="ET431" i="1"/>
  <c r="ET432" i="1"/>
  <c r="ET433" i="1"/>
  <c r="ET434" i="1"/>
  <c r="ET435" i="1"/>
  <c r="ET436" i="1"/>
  <c r="ET437" i="1"/>
  <c r="ET438" i="1"/>
  <c r="ET118" i="1"/>
  <c r="ET117" i="1"/>
  <c r="ET116" i="1"/>
  <c r="ET115" i="1"/>
  <c r="ET126" i="1"/>
  <c r="ET125" i="1"/>
  <c r="ET122" i="1"/>
  <c r="ET449" i="1"/>
  <c r="ET448" i="1"/>
  <c r="ET447" i="1"/>
  <c r="ET446" i="1"/>
  <c r="ET450" i="1"/>
  <c r="ET330" i="1"/>
  <c r="ET127" i="1"/>
  <c r="ET124" i="1"/>
  <c r="ET123" i="1"/>
  <c r="ET119" i="1"/>
  <c r="ET120" i="1"/>
  <c r="ET121" i="1"/>
  <c r="ET132" i="1"/>
  <c r="ET131" i="1"/>
  <c r="ET133" i="1"/>
  <c r="ET128" i="1"/>
  <c r="ET129" i="1"/>
  <c r="ET130" i="1"/>
  <c r="ET219" i="1"/>
  <c r="ET220" i="1"/>
  <c r="ET221" i="1"/>
  <c r="ET222" i="1"/>
  <c r="ET223" i="1"/>
  <c r="ET224" i="1"/>
  <c r="ET240" i="1"/>
  <c r="ET239" i="1"/>
  <c r="ET238" i="1"/>
  <c r="ET154" i="1"/>
  <c r="ET155" i="1"/>
  <c r="ET156" i="1"/>
  <c r="ET157" i="1"/>
  <c r="ET158" i="1"/>
  <c r="ET159" i="1"/>
  <c r="ET160" i="1"/>
  <c r="ET168" i="1"/>
  <c r="ET169" i="1"/>
  <c r="ET171" i="1"/>
  <c r="ET170" i="1"/>
  <c r="ET167" i="1"/>
  <c r="ET309" i="1"/>
  <c r="ET307" i="1"/>
  <c r="ET304" i="1"/>
  <c r="ET303" i="1"/>
  <c r="ET312" i="1"/>
  <c r="ET311" i="1"/>
  <c r="ET310" i="1"/>
  <c r="ET308" i="1"/>
  <c r="ET306" i="1"/>
  <c r="ET305" i="1"/>
  <c r="ET302" i="1"/>
  <c r="ET301" i="1"/>
  <c r="ET300" i="1"/>
  <c r="ET299" i="1"/>
  <c r="ET412" i="1"/>
  <c r="ET413" i="1"/>
  <c r="ET414" i="1"/>
  <c r="ET415" i="1"/>
  <c r="ET416" i="1"/>
  <c r="ET419" i="1"/>
  <c r="ET420" i="1"/>
  <c r="ET417" i="1"/>
  <c r="ET418" i="1"/>
  <c r="ET59" i="1"/>
  <c r="ET60" i="1"/>
  <c r="ET8" i="1"/>
  <c r="ET508" i="1"/>
  <c r="ET89" i="1"/>
  <c r="ET516" i="1"/>
  <c r="ET23" i="1"/>
  <c r="ET58" i="1"/>
  <c r="ET1636" i="1"/>
  <c r="ET1637" i="1"/>
  <c r="ET537" i="1"/>
  <c r="ET114" i="1"/>
  <c r="ET411" i="1"/>
  <c r="ET409" i="1"/>
  <c r="ET410" i="1"/>
  <c r="ET408" i="1"/>
  <c r="ET407" i="1"/>
  <c r="ET67" i="1"/>
  <c r="ET68" i="1"/>
  <c r="ET65" i="1"/>
  <c r="ET66" i="1"/>
  <c r="ET97" i="1"/>
  <c r="ET96" i="1"/>
  <c r="ET95" i="1"/>
  <c r="ET94" i="1"/>
  <c r="ET93" i="1"/>
  <c r="ET92" i="1"/>
  <c r="ET1627" i="1"/>
  <c r="ET1626" i="1"/>
  <c r="ET1625" i="1"/>
  <c r="ET1624" i="1"/>
  <c r="ET1633" i="1"/>
  <c r="ET1618" i="1"/>
  <c r="ET1632" i="1"/>
  <c r="ET1631" i="1"/>
  <c r="ET1617" i="1"/>
  <c r="ET1630" i="1"/>
  <c r="ET1629" i="1"/>
  <c r="ET1616" i="1"/>
  <c r="ET1628" i="1"/>
  <c r="ET1623" i="1"/>
  <c r="ET1622" i="1"/>
  <c r="ET1621" i="1"/>
  <c r="ET1620" i="1"/>
  <c r="ET1619" i="1"/>
  <c r="ET241" i="1"/>
  <c r="ET242" i="1"/>
  <c r="ET233" i="1"/>
  <c r="ET234" i="1"/>
  <c r="ET260" i="1"/>
  <c r="ET259" i="1"/>
  <c r="ET69" i="1"/>
  <c r="ET71" i="1"/>
  <c r="ET73" i="1"/>
  <c r="ET74" i="1"/>
  <c r="ET313" i="1"/>
  <c r="ET70" i="1"/>
  <c r="ET72" i="1"/>
  <c r="ET75" i="1"/>
  <c r="ET76" i="1"/>
  <c r="ET1611" i="1"/>
  <c r="ET64" i="1"/>
  <c r="ET141" i="1"/>
  <c r="ET32" i="1"/>
  <c r="ET33" i="1"/>
  <c r="ET38" i="1"/>
  <c r="ET39" i="1"/>
  <c r="ET40" i="1"/>
  <c r="ET41" i="1"/>
  <c r="ET42" i="1"/>
  <c r="ET43" i="1"/>
  <c r="ET44" i="1"/>
  <c r="ET504" i="1"/>
  <c r="ET505" i="1"/>
  <c r="ET17" i="1"/>
  <c r="ET47" i="1"/>
  <c r="ET518" i="1"/>
  <c r="ET519" i="1"/>
  <c r="ET57" i="1"/>
  <c r="ET134" i="1"/>
  <c r="ET135" i="1"/>
  <c r="ET262" i="1"/>
  <c r="ET337" i="1"/>
  <c r="ET336" i="1"/>
  <c r="ET334" i="1"/>
  <c r="ET333" i="1"/>
  <c r="ET339" i="1"/>
  <c r="ET338" i="1"/>
  <c r="ET335" i="1"/>
  <c r="ET332" i="1"/>
  <c r="ET136" i="1"/>
  <c r="ET137" i="1"/>
  <c r="ET191" i="1"/>
  <c r="ET190" i="1"/>
  <c r="ET189" i="1"/>
  <c r="ET188" i="1"/>
  <c r="ET199" i="1"/>
  <c r="ET198" i="1"/>
  <c r="ET197" i="1"/>
  <c r="ET196" i="1"/>
  <c r="ET193" i="1"/>
  <c r="ET192" i="1"/>
  <c r="ET195" i="1"/>
  <c r="ET194" i="1"/>
  <c r="ET320" i="1"/>
  <c r="ET318" i="1"/>
  <c r="ET316" i="1"/>
  <c r="ET315" i="1"/>
  <c r="ET314" i="1"/>
  <c r="ET317" i="1"/>
  <c r="ET319" i="1"/>
  <c r="ET322" i="1"/>
  <c r="ET321" i="1"/>
  <c r="ET495" i="1"/>
  <c r="ET1638" i="1"/>
  <c r="ET78" i="1"/>
  <c r="ET79" i="1"/>
  <c r="ET1612" i="1"/>
  <c r="ET1613" i="1"/>
  <c r="ET15" i="1"/>
  <c r="ET98" i="1"/>
  <c r="ET99" i="1"/>
  <c r="ET512" i="1"/>
  <c r="ET49" i="1"/>
  <c r="ET514" i="1"/>
  <c r="ET531" i="1"/>
  <c r="ET110" i="1"/>
  <c r="ET112" i="1"/>
  <c r="ET166" i="1"/>
  <c r="ET165" i="1"/>
  <c r="ET236" i="1"/>
  <c r="ET235" i="1"/>
  <c r="ET237" i="1"/>
  <c r="ET451" i="1"/>
  <c r="ET452" i="1"/>
  <c r="ET226" i="1"/>
  <c r="ET225" i="1"/>
  <c r="ET456" i="1"/>
  <c r="ET458" i="1"/>
  <c r="ET457" i="1"/>
  <c r="ET455" i="1"/>
  <c r="ET453" i="1"/>
  <c r="ET454" i="1"/>
  <c r="ET145" i="1"/>
  <c r="ET144" i="1"/>
  <c r="ET143" i="1"/>
  <c r="ET142" i="1"/>
  <c r="ET147" i="1"/>
  <c r="ET146" i="1"/>
  <c r="ET150" i="1"/>
  <c r="ET148" i="1"/>
  <c r="ET151" i="1"/>
  <c r="ET149" i="1"/>
  <c r="ET352" i="1"/>
  <c r="ET353" i="1"/>
  <c r="ET354" i="1"/>
  <c r="ET355" i="1"/>
  <c r="ET356" i="1"/>
  <c r="ET357" i="1"/>
  <c r="ET361" i="1"/>
  <c r="ET362" i="1"/>
  <c r="ET363" i="1"/>
  <c r="ET358" i="1"/>
  <c r="ET359" i="1"/>
  <c r="ET360" i="1"/>
  <c r="ET462" i="1"/>
  <c r="ET461" i="1"/>
  <c r="ET459" i="1"/>
  <c r="ET460" i="1"/>
  <c r="ET250" i="1"/>
  <c r="ET247" i="1"/>
  <c r="ET248" i="1"/>
  <c r="ET249" i="1"/>
  <c r="ET243" i="1"/>
  <c r="ET244" i="1"/>
  <c r="ET245" i="1"/>
  <c r="ET246" i="1"/>
  <c r="ET77" i="1"/>
  <c r="ET498" i="1"/>
  <c r="ET499" i="1"/>
  <c r="ET14" i="1"/>
  <c r="ET88" i="1"/>
  <c r="ET18" i="1"/>
  <c r="ET90" i="1"/>
  <c r="ET511" i="1"/>
  <c r="ET50" i="1"/>
  <c r="ET21" i="1"/>
  <c r="ET25" i="1"/>
  <c r="ET27" i="1"/>
  <c r="ET108" i="1"/>
  <c r="ET140" i="1"/>
  <c r="ET229" i="1"/>
  <c r="ET227" i="1"/>
  <c r="ET231" i="1"/>
  <c r="ET230" i="1"/>
  <c r="ET480" i="1"/>
  <c r="ET139" i="1"/>
  <c r="ET439" i="1"/>
  <c r="ET138" i="1"/>
  <c r="ET63" i="1"/>
  <c r="ET31" i="1"/>
  <c r="ET85" i="1"/>
  <c r="ET16" i="1"/>
  <c r="ET100" i="1"/>
  <c r="ET103" i="1"/>
  <c r="ET515" i="1"/>
  <c r="ET517" i="1"/>
  <c r="ET520" i="1"/>
  <c r="ET521" i="1"/>
  <c r="ET30" i="1"/>
  <c r="ET26" i="1"/>
  <c r="ET530" i="1"/>
  <c r="ET55" i="1"/>
  <c r="ET533" i="1"/>
  <c r="ET535" i="1"/>
  <c r="ET28" i="1"/>
  <c r="ET113" i="1"/>
  <c r="ET29" i="1"/>
  <c r="ES22" i="1"/>
  <c r="ES175" i="1"/>
  <c r="ES176" i="1"/>
  <c r="ES178" i="1"/>
  <c r="ES177" i="1"/>
  <c r="ES86" i="1"/>
  <c r="ES51" i="1"/>
  <c r="ES955" i="1"/>
  <c r="ES529" i="1"/>
  <c r="ES251" i="1"/>
  <c r="ES252" i="1"/>
  <c r="ES253" i="1"/>
  <c r="ES254" i="1"/>
  <c r="ES256" i="1"/>
  <c r="ES255" i="1"/>
  <c r="ES24" i="1"/>
  <c r="ES421" i="1"/>
  <c r="ES422" i="1"/>
  <c r="ES427" i="1"/>
  <c r="ES426" i="1"/>
  <c r="ES423" i="1"/>
  <c r="ES424" i="1"/>
  <c r="ES425" i="1"/>
  <c r="ES493" i="1"/>
  <c r="ES503" i="1"/>
  <c r="ES507" i="1"/>
  <c r="ES509" i="1"/>
  <c r="ES513" i="1"/>
  <c r="ES406" i="1"/>
  <c r="ES331" i="1"/>
  <c r="ES35" i="1"/>
  <c r="ES228" i="1"/>
  <c r="ES172" i="1"/>
  <c r="ES173" i="1"/>
  <c r="ES174" i="1"/>
  <c r="ES261" i="1"/>
  <c r="ES395" i="1"/>
  <c r="ES394" i="1"/>
  <c r="ES393" i="1"/>
  <c r="ES392" i="1"/>
  <c r="ES390" i="1"/>
  <c r="ES391" i="1"/>
  <c r="ES388" i="1"/>
  <c r="ES389" i="1"/>
  <c r="ES386" i="1"/>
  <c r="ES387" i="1"/>
  <c r="ES385" i="1"/>
  <c r="ES384" i="1"/>
  <c r="ES383" i="1"/>
  <c r="ES382" i="1"/>
  <c r="ES381" i="1"/>
  <c r="ES380" i="1"/>
  <c r="ES379" i="1"/>
  <c r="ES378" i="1"/>
  <c r="ES376" i="1"/>
  <c r="ES377" i="1"/>
  <c r="ES374" i="1"/>
  <c r="ES375" i="1"/>
  <c r="ES373" i="1"/>
  <c r="ES372" i="1"/>
  <c r="ES371" i="1"/>
  <c r="ES370" i="1"/>
  <c r="ES369" i="1"/>
  <c r="ES368" i="1"/>
  <c r="ES367" i="1"/>
  <c r="ES366" i="1"/>
  <c r="ES365" i="1"/>
  <c r="ES364" i="1"/>
  <c r="ES264" i="1"/>
  <c r="ES263" i="1"/>
  <c r="ES267" i="1"/>
  <c r="ES268" i="1"/>
  <c r="ES266" i="1"/>
  <c r="ES265" i="1"/>
  <c r="ES269" i="1"/>
  <c r="ES270" i="1"/>
  <c r="ES476" i="1"/>
  <c r="ES475" i="1"/>
  <c r="ES477" i="1"/>
  <c r="ES463" i="1"/>
  <c r="ES467" i="1"/>
  <c r="ES464" i="1"/>
  <c r="ES468" i="1"/>
  <c r="ES474" i="1"/>
  <c r="ES472" i="1"/>
  <c r="ES470" i="1"/>
  <c r="ES465" i="1"/>
  <c r="ES471" i="1"/>
  <c r="ES466" i="1"/>
  <c r="ES473" i="1"/>
  <c r="ES469" i="1"/>
  <c r="ES497" i="1"/>
  <c r="ES11" i="1"/>
  <c r="ES1614" i="1"/>
  <c r="ES48" i="1"/>
  <c r="ES20" i="1"/>
  <c r="FA854" i="1"/>
  <c r="FA853" i="1"/>
  <c r="FA852" i="1"/>
  <c r="FA849" i="1"/>
  <c r="FA848" i="1"/>
  <c r="FA847" i="1"/>
  <c r="FA846" i="1"/>
  <c r="FA845" i="1"/>
  <c r="FA804" i="1"/>
  <c r="FA802" i="1"/>
  <c r="FA843" i="1"/>
  <c r="FA842" i="1"/>
  <c r="FA841" i="1"/>
  <c r="FA840" i="1"/>
  <c r="FA839" i="1"/>
  <c r="FA836" i="1"/>
  <c r="FA801" i="1"/>
  <c r="FA835" i="1"/>
  <c r="FA834" i="1"/>
  <c r="FA833" i="1"/>
  <c r="FA800" i="1"/>
  <c r="FA798" i="1"/>
  <c r="FA797" i="1"/>
  <c r="FA796" i="1"/>
  <c r="FA795" i="1"/>
  <c r="FA794" i="1"/>
  <c r="FA793" i="1"/>
  <c r="FA831" i="1"/>
  <c r="FA830" i="1"/>
  <c r="FA829" i="1"/>
  <c r="FA790" i="1"/>
  <c r="FA789" i="1"/>
  <c r="FA788" i="1"/>
  <c r="FA827" i="1"/>
  <c r="FA826" i="1"/>
  <c r="FA786" i="1"/>
  <c r="FA825" i="1"/>
  <c r="FA785" i="1"/>
  <c r="FA824" i="1"/>
  <c r="FA783" i="1"/>
  <c r="FA822" i="1"/>
  <c r="FA821" i="1"/>
  <c r="FA782" i="1"/>
  <c r="FA781" i="1"/>
  <c r="FA820" i="1"/>
  <c r="FA817" i="1"/>
  <c r="FA816" i="1"/>
  <c r="FA815" i="1"/>
  <c r="FA814" i="1"/>
  <c r="FA813" i="1"/>
  <c r="FA812" i="1"/>
  <c r="FA810" i="1"/>
  <c r="FA809" i="1"/>
  <c r="FA808" i="1"/>
  <c r="FA779" i="1"/>
  <c r="FA807" i="1"/>
  <c r="FA778" i="1"/>
  <c r="FA805" i="1"/>
  <c r="FA776" i="1"/>
  <c r="FA775" i="1"/>
  <c r="FA774" i="1"/>
  <c r="FA773" i="1"/>
  <c r="ES343" i="1"/>
  <c r="ES342" i="1"/>
  <c r="ES341" i="1"/>
  <c r="ES340" i="1"/>
  <c r="ES351" i="1"/>
  <c r="ES349" i="1"/>
  <c r="ES348" i="1"/>
  <c r="ES346" i="1"/>
  <c r="ES350" i="1"/>
  <c r="ES347" i="1"/>
  <c r="ES345" i="1"/>
  <c r="ES344" i="1"/>
  <c r="ES288" i="1"/>
  <c r="ES287" i="1"/>
  <c r="ES289" i="1"/>
  <c r="ES290" i="1"/>
  <c r="ES291" i="1"/>
  <c r="ES296" i="1"/>
  <c r="ES294" i="1"/>
  <c r="ES295" i="1"/>
  <c r="ES292" i="1"/>
  <c r="ES293" i="1"/>
  <c r="ES479" i="1"/>
  <c r="ES478" i="1"/>
  <c r="ES500" i="1"/>
  <c r="ES1609" i="1"/>
  <c r="ES522" i="1"/>
  <c r="ES536" i="1"/>
  <c r="ES111" i="1"/>
  <c r="ES161" i="1"/>
  <c r="ES162" i="1"/>
  <c r="ES164" i="1"/>
  <c r="ES163" i="1"/>
  <c r="ES506" i="1"/>
  <c r="ES19" i="1"/>
  <c r="ES54" i="1"/>
  <c r="ES405" i="1"/>
  <c r="ES404" i="1"/>
  <c r="ES403" i="1"/>
  <c r="ES402" i="1"/>
  <c r="ES401" i="1"/>
  <c r="ES399" i="1"/>
  <c r="ES400" i="1"/>
  <c r="ES398" i="1"/>
  <c r="ES397" i="1"/>
  <c r="ES207" i="1"/>
  <c r="ES216" i="1"/>
  <c r="ES215" i="1"/>
  <c r="ES212" i="1"/>
  <c r="ES211" i="1"/>
  <c r="ES210" i="1"/>
  <c r="ES209" i="1"/>
  <c r="ES218" i="1"/>
  <c r="ES217" i="1"/>
  <c r="ES214" i="1"/>
  <c r="ES213" i="1"/>
  <c r="ES208" i="1"/>
  <c r="ES80" i="1"/>
  <c r="ES81" i="1"/>
  <c r="ES61" i="1"/>
  <c r="ES62" i="1"/>
  <c r="ES501" i="1"/>
  <c r="ES1635" i="1"/>
  <c r="ES53" i="1"/>
  <c r="ES107" i="1"/>
  <c r="ES109" i="1"/>
  <c r="ES179" i="1"/>
  <c r="ES180" i="1"/>
  <c r="ES525" i="1"/>
  <c r="ES524" i="1"/>
  <c r="ES526" i="1"/>
  <c r="ES527" i="1"/>
  <c r="ES488" i="1"/>
  <c r="ES492" i="1"/>
  <c r="ES202" i="1"/>
  <c r="ES200" i="1"/>
  <c r="ES490" i="1"/>
  <c r="ES489" i="1"/>
  <c r="ES487" i="1"/>
  <c r="ES491" i="1"/>
  <c r="ES205" i="1"/>
  <c r="ES206" i="1"/>
  <c r="ES201" i="1"/>
  <c r="ES203" i="1"/>
  <c r="ES204" i="1"/>
  <c r="ES82" i="1"/>
  <c r="ES83" i="1"/>
  <c r="ES496" i="1"/>
  <c r="ES87" i="1"/>
  <c r="ES91" i="1"/>
  <c r="ES528" i="1"/>
  <c r="ES56" i="1"/>
  <c r="ES534" i="1"/>
  <c r="ES153" i="1"/>
  <c r="ES152" i="1"/>
  <c r="ES323" i="1"/>
  <c r="ES281" i="1"/>
  <c r="ES279" i="1"/>
  <c r="ES282" i="1"/>
  <c r="ES280" i="1"/>
  <c r="ES284" i="1"/>
  <c r="ES283" i="1"/>
  <c r="ES286" i="1"/>
  <c r="ES285" i="1"/>
  <c r="ES276" i="1"/>
  <c r="ES275" i="1"/>
  <c r="ES278" i="1"/>
  <c r="ES277" i="1"/>
  <c r="ES273" i="1"/>
  <c r="ES272" i="1"/>
  <c r="ES274" i="1"/>
  <c r="ES271" i="1"/>
  <c r="ES257" i="1"/>
  <c r="ES258" i="1"/>
  <c r="ES486" i="1"/>
  <c r="ES485" i="1"/>
  <c r="ES484" i="1"/>
  <c r="ES483" i="1"/>
  <c r="ES482" i="1"/>
  <c r="ES481" i="1"/>
  <c r="ES9" i="1"/>
  <c r="ES36" i="1"/>
  <c r="ES37" i="1"/>
  <c r="ES84" i="1"/>
  <c r="ES502" i="1"/>
  <c r="ES1639" i="1"/>
  <c r="ES101" i="1"/>
  <c r="ES106" i="1"/>
  <c r="ES523" i="1"/>
  <c r="ES532" i="1"/>
  <c r="ES445" i="1"/>
  <c r="ES444" i="1"/>
  <c r="ES443" i="1"/>
  <c r="ES442" i="1"/>
  <c r="ES441" i="1"/>
  <c r="ES440" i="1"/>
  <c r="ES34" i="1"/>
  <c r="ES297" i="1"/>
  <c r="ES298" i="1"/>
  <c r="ES328" i="1"/>
  <c r="ES325" i="1"/>
  <c r="ES327" i="1"/>
  <c r="ES324" i="1"/>
  <c r="ES329" i="1"/>
  <c r="ES326" i="1"/>
  <c r="ES232" i="1"/>
  <c r="ES183" i="1"/>
  <c r="ES184" i="1"/>
  <c r="ES181" i="1"/>
  <c r="ES186" i="1"/>
  <c r="ES182" i="1"/>
  <c r="ES187" i="1"/>
  <c r="ES185" i="1"/>
  <c r="ES494" i="1"/>
  <c r="ES10" i="1"/>
  <c r="ES12" i="1"/>
  <c r="ES13" i="1"/>
  <c r="ES1615" i="1"/>
  <c r="ES45" i="1"/>
  <c r="ES46" i="1"/>
  <c r="ES510" i="1"/>
  <c r="ES52" i="1"/>
  <c r="ES428" i="1"/>
  <c r="ES429" i="1"/>
  <c r="ES430" i="1"/>
  <c r="ES431" i="1"/>
  <c r="ES432" i="1"/>
  <c r="ES433" i="1"/>
  <c r="ES434" i="1"/>
  <c r="ES435" i="1"/>
  <c r="ES436" i="1"/>
  <c r="ES437" i="1"/>
  <c r="ES438" i="1"/>
  <c r="ES118" i="1"/>
  <c r="ES117" i="1"/>
  <c r="ES116" i="1"/>
  <c r="ES115" i="1"/>
  <c r="ES126" i="1"/>
  <c r="ES125" i="1"/>
  <c r="ES122" i="1"/>
  <c r="ES449" i="1"/>
  <c r="ES448" i="1"/>
  <c r="ES447" i="1"/>
  <c r="ES446" i="1"/>
  <c r="ES450" i="1"/>
  <c r="ES330" i="1"/>
  <c r="ES127" i="1"/>
  <c r="ES124" i="1"/>
  <c r="ES123" i="1"/>
  <c r="ES119" i="1"/>
  <c r="ES120" i="1"/>
  <c r="ES121" i="1"/>
  <c r="ES132" i="1"/>
  <c r="ES131" i="1"/>
  <c r="ES133" i="1"/>
  <c r="ES128" i="1"/>
  <c r="ES129" i="1"/>
  <c r="ES130" i="1"/>
  <c r="ES219" i="1"/>
  <c r="ES220" i="1"/>
  <c r="ES221" i="1"/>
  <c r="ES222" i="1"/>
  <c r="ES223" i="1"/>
  <c r="ES224" i="1"/>
  <c r="ES240" i="1"/>
  <c r="ES239" i="1"/>
  <c r="ES238" i="1"/>
  <c r="ES154" i="1"/>
  <c r="ES155" i="1"/>
  <c r="ES156" i="1"/>
  <c r="ES157" i="1"/>
  <c r="ES158" i="1"/>
  <c r="ES159" i="1"/>
  <c r="ES160" i="1"/>
  <c r="ES168" i="1"/>
  <c r="ES169" i="1"/>
  <c r="ES171" i="1"/>
  <c r="ES170" i="1"/>
  <c r="ES167" i="1"/>
  <c r="ES309" i="1"/>
  <c r="ES307" i="1"/>
  <c r="ES304" i="1"/>
  <c r="ES303" i="1"/>
  <c r="ES312" i="1"/>
  <c r="ES311" i="1"/>
  <c r="ES310" i="1"/>
  <c r="ES308" i="1"/>
  <c r="ES306" i="1"/>
  <c r="ES305" i="1"/>
  <c r="ES302" i="1"/>
  <c r="ES301" i="1"/>
  <c r="ES300" i="1"/>
  <c r="ES299" i="1"/>
  <c r="ES412" i="1"/>
  <c r="ES413" i="1"/>
  <c r="ES414" i="1"/>
  <c r="ES415" i="1"/>
  <c r="ES416" i="1"/>
  <c r="ES419" i="1"/>
  <c r="ES420" i="1"/>
  <c r="ES417" i="1"/>
  <c r="ES418" i="1"/>
  <c r="ES59" i="1"/>
  <c r="ES60" i="1"/>
  <c r="ES8" i="1"/>
  <c r="ES508" i="1"/>
  <c r="ES89" i="1"/>
  <c r="ES516" i="1"/>
  <c r="ES23" i="1"/>
  <c r="ES58" i="1"/>
  <c r="ES1636" i="1"/>
  <c r="ES1637" i="1"/>
  <c r="ES537" i="1"/>
  <c r="ES114" i="1"/>
  <c r="ES411" i="1"/>
  <c r="ES409" i="1"/>
  <c r="ES410" i="1"/>
  <c r="ES408" i="1"/>
  <c r="ES407" i="1"/>
  <c r="ES67" i="1"/>
  <c r="ES68" i="1"/>
  <c r="ES65" i="1"/>
  <c r="ES66" i="1"/>
  <c r="ES97" i="1"/>
  <c r="ES96" i="1"/>
  <c r="ES95" i="1"/>
  <c r="ES94" i="1"/>
  <c r="ES93" i="1"/>
  <c r="ES92" i="1"/>
  <c r="ES1627" i="1"/>
  <c r="ES1626" i="1"/>
  <c r="ES1625" i="1"/>
  <c r="ES1624" i="1"/>
  <c r="ES1633" i="1"/>
  <c r="ES1618" i="1"/>
  <c r="ES1632" i="1"/>
  <c r="ES1631" i="1"/>
  <c r="ES1617" i="1"/>
  <c r="ES1630" i="1"/>
  <c r="ES1629" i="1"/>
  <c r="ES1616" i="1"/>
  <c r="ES1628" i="1"/>
  <c r="ES1623" i="1"/>
  <c r="ES1622" i="1"/>
  <c r="ES1621" i="1"/>
  <c r="ES1620" i="1"/>
  <c r="ES1619" i="1"/>
  <c r="ES241" i="1"/>
  <c r="ES242" i="1"/>
  <c r="ES233" i="1"/>
  <c r="ES234" i="1"/>
  <c r="ES260" i="1"/>
  <c r="ES259" i="1"/>
  <c r="ES69" i="1"/>
  <c r="ES71" i="1"/>
  <c r="ES73" i="1"/>
  <c r="ES74" i="1"/>
  <c r="ES313" i="1"/>
  <c r="ES70" i="1"/>
  <c r="ES72" i="1"/>
  <c r="ES75" i="1"/>
  <c r="ES76" i="1"/>
  <c r="ES1611" i="1"/>
  <c r="ES64" i="1"/>
  <c r="ES141" i="1"/>
  <c r="ES32" i="1"/>
  <c r="ES33" i="1"/>
  <c r="ES38" i="1"/>
  <c r="ES39" i="1"/>
  <c r="ES40" i="1"/>
  <c r="ES41" i="1"/>
  <c r="ES42" i="1"/>
  <c r="ES43" i="1"/>
  <c r="ES44" i="1"/>
  <c r="ES504" i="1"/>
  <c r="ES505" i="1"/>
  <c r="ES17" i="1"/>
  <c r="ES47" i="1"/>
  <c r="ES518" i="1"/>
  <c r="ES519" i="1"/>
  <c r="ES57" i="1"/>
  <c r="ES134" i="1"/>
  <c r="ES135" i="1"/>
  <c r="ES262" i="1"/>
  <c r="ES337" i="1"/>
  <c r="ES336" i="1"/>
  <c r="ES334" i="1"/>
  <c r="ES333" i="1"/>
  <c r="ES339" i="1"/>
  <c r="ES338" i="1"/>
  <c r="ES335" i="1"/>
  <c r="ES332" i="1"/>
  <c r="ES136" i="1"/>
  <c r="ES137" i="1"/>
  <c r="ES191" i="1"/>
  <c r="ES190" i="1"/>
  <c r="ES189" i="1"/>
  <c r="ES188" i="1"/>
  <c r="ES199" i="1"/>
  <c r="ES198" i="1"/>
  <c r="ES197" i="1"/>
  <c r="ES196" i="1"/>
  <c r="ES193" i="1"/>
  <c r="ES192" i="1"/>
  <c r="ES195" i="1"/>
  <c r="ES194" i="1"/>
  <c r="ES320" i="1"/>
  <c r="ES318" i="1"/>
  <c r="ES316" i="1"/>
  <c r="ES315" i="1"/>
  <c r="ES314" i="1"/>
  <c r="ES317" i="1"/>
  <c r="ES319" i="1"/>
  <c r="ES322" i="1"/>
  <c r="ES321" i="1"/>
  <c r="ES495" i="1"/>
  <c r="ES1638" i="1"/>
  <c r="ES78" i="1"/>
  <c r="ES79" i="1"/>
  <c r="ES1612" i="1"/>
  <c r="ES1613" i="1"/>
  <c r="ES15" i="1"/>
  <c r="ES98" i="1"/>
  <c r="ES99" i="1"/>
  <c r="ES512" i="1"/>
  <c r="ES49" i="1"/>
  <c r="ES514" i="1"/>
  <c r="ES531" i="1"/>
  <c r="ES110" i="1"/>
  <c r="ES112" i="1"/>
  <c r="ES166" i="1"/>
  <c r="ES165" i="1"/>
  <c r="ES236" i="1"/>
  <c r="ES235" i="1"/>
  <c r="ES237" i="1"/>
  <c r="ES451" i="1"/>
  <c r="ES452" i="1"/>
  <c r="ES226" i="1"/>
  <c r="ES225" i="1"/>
  <c r="ES456" i="1"/>
  <c r="ES458" i="1"/>
  <c r="ES457" i="1"/>
  <c r="ES455" i="1"/>
  <c r="ES453" i="1"/>
  <c r="ES454" i="1"/>
  <c r="ES145" i="1"/>
  <c r="ES144" i="1"/>
  <c r="ES143" i="1"/>
  <c r="ES142" i="1"/>
  <c r="ES147" i="1"/>
  <c r="ES146" i="1"/>
  <c r="ES150" i="1"/>
  <c r="ES148" i="1"/>
  <c r="ES151" i="1"/>
  <c r="ES149" i="1"/>
  <c r="ES352" i="1"/>
  <c r="ES353" i="1"/>
  <c r="ES354" i="1"/>
  <c r="ES355" i="1"/>
  <c r="ES356" i="1"/>
  <c r="ES357" i="1"/>
  <c r="ES361" i="1"/>
  <c r="ES362" i="1"/>
  <c r="ES363" i="1"/>
  <c r="ES358" i="1"/>
  <c r="ES359" i="1"/>
  <c r="ES360" i="1"/>
  <c r="ES462" i="1"/>
  <c r="ES461" i="1"/>
  <c r="ES459" i="1"/>
  <c r="ES460" i="1"/>
  <c r="ES250" i="1"/>
  <c r="ES247" i="1"/>
  <c r="ES248" i="1"/>
  <c r="ES249" i="1"/>
  <c r="ES243" i="1"/>
  <c r="ES244" i="1"/>
  <c r="ES245" i="1"/>
  <c r="ES246" i="1"/>
  <c r="ES77" i="1"/>
  <c r="ES498" i="1"/>
  <c r="ES499" i="1"/>
  <c r="ES14" i="1"/>
  <c r="ES88" i="1"/>
  <c r="ES18" i="1"/>
  <c r="ES90" i="1"/>
  <c r="ES511" i="1"/>
  <c r="ES50" i="1"/>
  <c r="ES21" i="1"/>
  <c r="ES25" i="1"/>
  <c r="ES27" i="1"/>
  <c r="ES108" i="1"/>
  <c r="ES140" i="1"/>
  <c r="ES229" i="1"/>
  <c r="ES227" i="1"/>
  <c r="ES231" i="1"/>
  <c r="ES230" i="1"/>
  <c r="ES480" i="1"/>
  <c r="ES139" i="1"/>
  <c r="ES439" i="1"/>
  <c r="ES138" i="1"/>
  <c r="ES63" i="1"/>
  <c r="ES31" i="1"/>
  <c r="ES85" i="1"/>
  <c r="ES16" i="1"/>
  <c r="ES100" i="1"/>
  <c r="ES103" i="1"/>
  <c r="ES515" i="1"/>
  <c r="ES517" i="1"/>
  <c r="ES520" i="1"/>
  <c r="ES521" i="1"/>
  <c r="ES30" i="1"/>
  <c r="ES26" i="1"/>
  <c r="ES530" i="1"/>
  <c r="ES55" i="1"/>
  <c r="ES533" i="1"/>
  <c r="ES535" i="1"/>
  <c r="ES28" i="1"/>
  <c r="ES113" i="1"/>
  <c r="ES29" i="1"/>
  <c r="EP155" i="1"/>
  <c r="EP156" i="1"/>
  <c r="EP157" i="1"/>
  <c r="EP1377" i="1"/>
  <c r="EP1376" i="1"/>
  <c r="EP1375" i="1"/>
  <c r="EP1374" i="1"/>
  <c r="EP1381" i="1"/>
  <c r="EP1380" i="1"/>
  <c r="EP1383" i="1"/>
  <c r="EP1379" i="1"/>
  <c r="EP1378" i="1"/>
  <c r="EP1382" i="1"/>
  <c r="EP1384" i="1"/>
  <c r="EP1385" i="1"/>
  <c r="EP1349" i="1"/>
  <c r="EP1348" i="1"/>
  <c r="EP1347" i="1"/>
  <c r="EP1346" i="1"/>
  <c r="EP1351" i="1"/>
  <c r="EP1350" i="1"/>
  <c r="EP1353" i="1"/>
  <c r="EP1352" i="1"/>
  <c r="EP1357" i="1"/>
  <c r="EP1355" i="1"/>
  <c r="EP1356" i="1"/>
  <c r="EP1354" i="1"/>
  <c r="EP940" i="1"/>
  <c r="EP937" i="1"/>
  <c r="EP936" i="1"/>
  <c r="EP932" i="1"/>
  <c r="EP946" i="1"/>
  <c r="EP944" i="1"/>
  <c r="EP943" i="1"/>
  <c r="EP929" i="1"/>
  <c r="EP930" i="1"/>
  <c r="EP1113" i="1"/>
  <c r="EP746" i="1"/>
  <c r="EP745" i="1"/>
  <c r="EP750" i="1"/>
  <c r="EP744" i="1"/>
  <c r="EP736" i="1"/>
  <c r="EP743" i="1"/>
  <c r="EP734" i="1"/>
  <c r="EP747" i="1"/>
  <c r="EP742" i="1"/>
  <c r="EP733" i="1"/>
  <c r="EP741" i="1"/>
  <c r="EP134" i="1"/>
  <c r="EP135" i="1"/>
  <c r="EP1496" i="1"/>
  <c r="EP1497" i="1"/>
  <c r="EP1533" i="1"/>
  <c r="EP1534" i="1"/>
  <c r="EP1535" i="1"/>
  <c r="EP1536" i="1"/>
  <c r="EP1539" i="1"/>
  <c r="EP1540" i="1"/>
  <c r="EP1541" i="1"/>
  <c r="EP1542" i="1"/>
  <c r="EP1537" i="1"/>
  <c r="EP1538" i="1"/>
  <c r="EP1498" i="1"/>
  <c r="EP1499" i="1"/>
  <c r="EP1543" i="1"/>
  <c r="EP1544" i="1"/>
  <c r="EP1545" i="1"/>
  <c r="EP1500" i="1"/>
  <c r="EP1546" i="1"/>
  <c r="EP1501" i="1"/>
  <c r="EP1547" i="1"/>
  <c r="EP1502" i="1"/>
  <c r="EP1503" i="1"/>
  <c r="EP1504" i="1"/>
  <c r="EP1505" i="1"/>
  <c r="EP1506" i="1"/>
  <c r="EP1507" i="1"/>
  <c r="EP1508" i="1"/>
  <c r="EP1509" i="1"/>
  <c r="EP1548" i="1"/>
  <c r="EP1549" i="1"/>
  <c r="EP1550" i="1"/>
  <c r="EP1510" i="1"/>
  <c r="EP1511" i="1"/>
  <c r="EP1568" i="1"/>
  <c r="EP1558" i="1"/>
  <c r="EP1559" i="1"/>
  <c r="EP1561" i="1"/>
  <c r="EP1563" i="1"/>
  <c r="EP1553" i="1"/>
  <c r="EP1567" i="1"/>
  <c r="EP1555" i="1"/>
  <c r="EP1556" i="1"/>
  <c r="EP1557" i="1"/>
  <c r="EP1560" i="1"/>
  <c r="EP1554" i="1"/>
  <c r="EP1569" i="1"/>
  <c r="EP1562" i="1"/>
  <c r="EP1564" i="1"/>
  <c r="EP1565" i="1"/>
  <c r="EP1566" i="1"/>
  <c r="EP1552" i="1"/>
  <c r="EP1512" i="1"/>
  <c r="EP1513" i="1"/>
  <c r="EP1514" i="1"/>
  <c r="EP1515" i="1"/>
  <c r="EP1516" i="1"/>
  <c r="EP1517" i="1"/>
  <c r="EP1518" i="1"/>
  <c r="EP1519" i="1"/>
  <c r="EP1520" i="1"/>
  <c r="EP1521" i="1"/>
  <c r="EP1522" i="1"/>
  <c r="EP1523" i="1"/>
  <c r="EP1524" i="1"/>
  <c r="EP1525" i="1"/>
  <c r="EP1526" i="1"/>
  <c r="EP1527" i="1"/>
  <c r="EP1528" i="1"/>
  <c r="EP1529" i="1"/>
  <c r="EP1530" i="1"/>
  <c r="EP1531" i="1"/>
  <c r="EP1532" i="1"/>
  <c r="EP1551" i="1"/>
  <c r="EP70" i="1"/>
  <c r="EP72" i="1"/>
  <c r="EP75" i="1"/>
  <c r="EP76" i="1"/>
  <c r="EP1201" i="1"/>
  <c r="EP1202" i="1"/>
  <c r="EP1209" i="1"/>
  <c r="EP1210" i="1"/>
  <c r="EP971" i="1"/>
  <c r="EP976" i="1"/>
  <c r="EP970" i="1"/>
  <c r="EP967" i="1"/>
  <c r="EP80" i="1"/>
  <c r="EP81" i="1"/>
  <c r="EP158" i="1"/>
  <c r="EP159" i="1"/>
  <c r="EP160" i="1"/>
  <c r="EP168" i="1"/>
  <c r="EP169" i="1"/>
  <c r="EP171" i="1"/>
  <c r="EP170" i="1"/>
  <c r="EP167" i="1"/>
  <c r="EP862" i="1"/>
  <c r="EP861" i="1"/>
  <c r="EP1592" i="1"/>
  <c r="EP1594" i="1"/>
  <c r="EP1593" i="1"/>
  <c r="EP888" i="1"/>
  <c r="EP887" i="1"/>
  <c r="EP885" i="1"/>
  <c r="EP886" i="1"/>
  <c r="EP1184" i="1"/>
  <c r="EP1172" i="1"/>
  <c r="EP1183" i="1"/>
  <c r="EP1171" i="1"/>
  <c r="EP1170" i="1"/>
  <c r="EP1181" i="1"/>
  <c r="EP1182" i="1"/>
  <c r="EP1169" i="1"/>
  <c r="EP1168" i="1"/>
  <c r="EP1167" i="1"/>
  <c r="EP1180" i="1"/>
  <c r="EP1179" i="1"/>
  <c r="EP1166" i="1"/>
  <c r="EP1165" i="1"/>
  <c r="EP1164" i="1"/>
  <c r="EP1178" i="1"/>
  <c r="EP1163" i="1"/>
  <c r="EP1177" i="1"/>
  <c r="EP1176" i="1"/>
  <c r="EP1162" i="1"/>
  <c r="EP1175" i="1"/>
  <c r="EP1161" i="1"/>
  <c r="EP1174" i="1"/>
  <c r="EP1173" i="1"/>
  <c r="EP927" i="1"/>
  <c r="EP928" i="1"/>
  <c r="EP925" i="1"/>
  <c r="EP926" i="1"/>
  <c r="EP712" i="1"/>
  <c r="EP412" i="1"/>
  <c r="EP413" i="1"/>
  <c r="EP414" i="1"/>
  <c r="EP415" i="1"/>
  <c r="EP416" i="1"/>
  <c r="EP419" i="1"/>
  <c r="EP420" i="1"/>
  <c r="EP417" i="1"/>
  <c r="EP418" i="1"/>
  <c r="EP1486" i="1"/>
  <c r="EP1487" i="1"/>
  <c r="EP1492" i="1"/>
  <c r="EP1493" i="1"/>
  <c r="EP1490" i="1"/>
  <c r="EP1491" i="1"/>
  <c r="EP1193" i="1"/>
  <c r="EP1192" i="1"/>
  <c r="EP1190" i="1"/>
  <c r="EP1196" i="1"/>
  <c r="EP1195" i="1"/>
  <c r="EP139" i="1"/>
  <c r="EP718" i="1"/>
  <c r="EP719" i="1"/>
  <c r="EP901" i="1"/>
  <c r="EP913" i="1"/>
  <c r="EP914" i="1"/>
  <c r="EP915" i="1"/>
  <c r="EP964" i="1"/>
  <c r="EP995" i="1"/>
  <c r="EP1116" i="1"/>
  <c r="EP1117" i="1"/>
  <c r="EP1118" i="1"/>
  <c r="EP1119" i="1"/>
  <c r="EP1123" i="1"/>
  <c r="EP1124" i="1"/>
  <c r="EP1126" i="1"/>
  <c r="EP1128" i="1"/>
  <c r="EP1133" i="1"/>
  <c r="EP1134" i="1"/>
  <c r="EP1136" i="1"/>
  <c r="EP228" i="1"/>
  <c r="EP1139" i="1"/>
  <c r="EP1141" i="1"/>
  <c r="EP1144" i="1"/>
  <c r="EP1145" i="1"/>
  <c r="EP1148" i="1"/>
  <c r="EP1256" i="1"/>
  <c r="EP1258" i="1"/>
  <c r="EP1260" i="1"/>
  <c r="EP1262" i="1"/>
  <c r="EP1265" i="1"/>
  <c r="EP1268" i="1"/>
  <c r="EP1570" i="1"/>
  <c r="EP1571" i="1"/>
  <c r="EP1579" i="1"/>
  <c r="EP1577" i="1"/>
  <c r="EP1582" i="1"/>
  <c r="EP1581" i="1"/>
  <c r="EP1433" i="1"/>
  <c r="EP1494" i="1"/>
  <c r="EP1432" i="1"/>
  <c r="EP1576" i="1"/>
  <c r="EP717" i="1"/>
  <c r="EP1282" i="1"/>
  <c r="EP1396" i="1"/>
  <c r="EP613" i="1"/>
  <c r="EP1580" i="1"/>
  <c r="EP607" i="1"/>
  <c r="EP82" i="1"/>
  <c r="EP83" i="1"/>
  <c r="EP1585" i="1"/>
  <c r="EP1584" i="1"/>
  <c r="EP1587" i="1"/>
  <c r="EP606" i="1"/>
  <c r="EP902" i="1"/>
  <c r="EP1122" i="1"/>
  <c r="EP1269" i="1"/>
  <c r="EP1289" i="1"/>
  <c r="EP1290" i="1"/>
  <c r="EP1296" i="1"/>
  <c r="EP1297" i="1"/>
  <c r="EP1298" i="1"/>
  <c r="EP1343" i="1"/>
  <c r="EP1388" i="1"/>
  <c r="EP1392" i="1"/>
  <c r="EP1393" i="1"/>
  <c r="EP1394" i="1"/>
  <c r="EP1395" i="1"/>
  <c r="EP1403" i="1"/>
  <c r="EP1284" i="1"/>
  <c r="EP1283" i="1"/>
  <c r="EP1270" i="1"/>
  <c r="EP1264" i="1"/>
  <c r="EP1261" i="1"/>
  <c r="EP1143" i="1"/>
  <c r="EP1127" i="1"/>
  <c r="EP1131" i="1"/>
  <c r="EP1431" i="1"/>
  <c r="EP1344" i="1"/>
  <c r="EP1386" i="1"/>
  <c r="EP1456" i="1"/>
  <c r="EP1460" i="1"/>
  <c r="EP1463" i="1"/>
  <c r="EP1467" i="1"/>
  <c r="EP1465" i="1"/>
  <c r="EP1149" i="1"/>
  <c r="EP1263" i="1"/>
  <c r="EP1271" i="1"/>
  <c r="EP1287" i="1"/>
  <c r="EP1293" i="1"/>
  <c r="EP689" i="1"/>
  <c r="EP1429" i="1"/>
  <c r="EP439" i="1"/>
  <c r="EP716" i="1"/>
  <c r="EP715" i="1"/>
  <c r="EP996" i="1"/>
  <c r="EP1120" i="1"/>
  <c r="EP281" i="1"/>
  <c r="EP279" i="1"/>
  <c r="EP282" i="1"/>
  <c r="EP280" i="1"/>
  <c r="EP284" i="1"/>
  <c r="EP283" i="1"/>
  <c r="EP286" i="1"/>
  <c r="EP285" i="1"/>
  <c r="EP276" i="1"/>
  <c r="EP275" i="1"/>
  <c r="EP278" i="1"/>
  <c r="EP277" i="1"/>
  <c r="EP273" i="1"/>
  <c r="EP272" i="1"/>
  <c r="EP274" i="1"/>
  <c r="EP271" i="1"/>
  <c r="EP649" i="1"/>
  <c r="EP643" i="1"/>
  <c r="EP653" i="1"/>
  <c r="EP661" i="1"/>
  <c r="EP650" i="1"/>
  <c r="EP644" i="1"/>
  <c r="EP654" i="1"/>
  <c r="EP664" i="1"/>
  <c r="EP651" i="1"/>
  <c r="EP641" i="1"/>
  <c r="EP655" i="1"/>
  <c r="EP663" i="1"/>
  <c r="EP652" i="1"/>
  <c r="EP642" i="1"/>
  <c r="EP656" i="1"/>
  <c r="EP662" i="1"/>
  <c r="EP645" i="1"/>
  <c r="EP659" i="1"/>
  <c r="EP646" i="1"/>
  <c r="EP660" i="1"/>
  <c r="EP647" i="1"/>
  <c r="EP657" i="1"/>
  <c r="EP648" i="1"/>
  <c r="EP658" i="1"/>
  <c r="EP768" i="1"/>
  <c r="EP767" i="1"/>
  <c r="EP766" i="1"/>
  <c r="EP764" i="1"/>
  <c r="EP763" i="1"/>
  <c r="EP769" i="1"/>
  <c r="EP770" i="1"/>
  <c r="EP765" i="1"/>
  <c r="EP762" i="1"/>
  <c r="EP761" i="1"/>
  <c r="EP760" i="1"/>
  <c r="EP759" i="1"/>
  <c r="EP758" i="1"/>
  <c r="EP757" i="1"/>
  <c r="EP980" i="1"/>
  <c r="EP979" i="1"/>
  <c r="EP982" i="1"/>
  <c r="EP981" i="1"/>
  <c r="EP587" i="1"/>
  <c r="EP589" i="1"/>
  <c r="EP592" i="1"/>
  <c r="EP582" i="1"/>
  <c r="EP591" i="1"/>
  <c r="EP588" i="1"/>
  <c r="EP584" i="1"/>
  <c r="EP583" i="1"/>
  <c r="EP585" i="1"/>
  <c r="EP586" i="1"/>
  <c r="EP590" i="1"/>
  <c r="EP942" i="1"/>
  <c r="EP941" i="1"/>
  <c r="EP939" i="1"/>
  <c r="EP938" i="1"/>
  <c r="EP933" i="1"/>
  <c r="EP935" i="1"/>
  <c r="EP934" i="1"/>
  <c r="EP931" i="1"/>
  <c r="EP947" i="1"/>
  <c r="EP945" i="1"/>
  <c r="EP630" i="1"/>
  <c r="EP732" i="1"/>
  <c r="EP731" i="1"/>
  <c r="EP730" i="1"/>
  <c r="EP729" i="1"/>
  <c r="EP728" i="1"/>
  <c r="EP740" i="1"/>
  <c r="EP753" i="1"/>
  <c r="EP752" i="1"/>
  <c r="EP727" i="1"/>
  <c r="EP726" i="1"/>
  <c r="EP739" i="1"/>
  <c r="EP738" i="1"/>
  <c r="EP751" i="1"/>
  <c r="EP725" i="1"/>
  <c r="EP724" i="1"/>
  <c r="EP737" i="1"/>
  <c r="EP723" i="1"/>
  <c r="EP749" i="1"/>
  <c r="EP722" i="1"/>
  <c r="EP748" i="1"/>
  <c r="EP735" i="1"/>
  <c r="EP721" i="1"/>
  <c r="EP854" i="1"/>
  <c r="EP853" i="1"/>
  <c r="EP852" i="1"/>
  <c r="EP851" i="1"/>
  <c r="EP850" i="1"/>
  <c r="EP849" i="1"/>
  <c r="EP848" i="1"/>
  <c r="EP847" i="1"/>
  <c r="EP846" i="1"/>
  <c r="EP845" i="1"/>
  <c r="EP804" i="1"/>
  <c r="EP844" i="1"/>
  <c r="EP803" i="1"/>
  <c r="EP802" i="1"/>
  <c r="EP843" i="1"/>
  <c r="EP842" i="1"/>
  <c r="EP841" i="1"/>
  <c r="EP840" i="1"/>
  <c r="EP839" i="1"/>
  <c r="EP838" i="1"/>
  <c r="EP837" i="1"/>
  <c r="EP836" i="1"/>
  <c r="EP801" i="1"/>
  <c r="EP835" i="1"/>
  <c r="EP834" i="1"/>
  <c r="EP833" i="1"/>
  <c r="EP800" i="1"/>
  <c r="EP799" i="1"/>
  <c r="EP832" i="1"/>
  <c r="EP798" i="1"/>
  <c r="EP797" i="1"/>
  <c r="EP796" i="1"/>
  <c r="EP795" i="1"/>
  <c r="EP794" i="1"/>
  <c r="EP793" i="1"/>
  <c r="EP792" i="1"/>
  <c r="EP791" i="1"/>
  <c r="EP831" i="1"/>
  <c r="EP830" i="1"/>
  <c r="EP829" i="1"/>
  <c r="EP790" i="1"/>
  <c r="EP789" i="1"/>
  <c r="EP788" i="1"/>
  <c r="EP828" i="1"/>
  <c r="EP787" i="1"/>
  <c r="EP827" i="1"/>
  <c r="EP826" i="1"/>
  <c r="EP786" i="1"/>
  <c r="EP825" i="1"/>
  <c r="EP785" i="1"/>
  <c r="EP824" i="1"/>
  <c r="EP823" i="1"/>
  <c r="EP784" i="1"/>
  <c r="EP783" i="1"/>
  <c r="EP822" i="1"/>
  <c r="EP821" i="1"/>
  <c r="EP782" i="1"/>
  <c r="EP781" i="1"/>
  <c r="EP820" i="1"/>
  <c r="EP819" i="1"/>
  <c r="EP818" i="1"/>
  <c r="EP817" i="1"/>
  <c r="EP816" i="1"/>
  <c r="EP815" i="1"/>
  <c r="EP814" i="1"/>
  <c r="EP813" i="1"/>
  <c r="EP812" i="1"/>
  <c r="EP811" i="1"/>
  <c r="EP780" i="1"/>
  <c r="EP810" i="1"/>
  <c r="EP809" i="1"/>
  <c r="EP808" i="1"/>
  <c r="EP779" i="1"/>
  <c r="EP807" i="1"/>
  <c r="EP778" i="1"/>
  <c r="EP806" i="1"/>
  <c r="EP777" i="1"/>
  <c r="EP805" i="1"/>
  <c r="EP776" i="1"/>
  <c r="EP775" i="1"/>
  <c r="EP774" i="1"/>
  <c r="EP773" i="1"/>
  <c r="EP136" i="1"/>
  <c r="EP137" i="1"/>
  <c r="EP138" i="1"/>
  <c r="EP140" i="1"/>
  <c r="EP1495" i="1"/>
  <c r="EP640" i="1"/>
  <c r="EP639" i="1"/>
  <c r="EP638" i="1"/>
  <c r="EP637" i="1"/>
  <c r="EP636" i="1"/>
  <c r="EP635" i="1"/>
  <c r="EP634" i="1"/>
  <c r="EP633" i="1"/>
  <c r="EP632" i="1"/>
  <c r="EP631" i="1"/>
  <c r="EP1115" i="1"/>
  <c r="EP1114" i="1"/>
  <c r="EP1092" i="1"/>
  <c r="EP1091" i="1"/>
  <c r="EP1090" i="1"/>
  <c r="EP1089" i="1"/>
  <c r="EP1088" i="1"/>
  <c r="EP1087" i="1"/>
  <c r="EP1086" i="1"/>
  <c r="EP1085" i="1"/>
  <c r="EP1084" i="1"/>
  <c r="EP1083" i="1"/>
  <c r="EP1082" i="1"/>
  <c r="EP1081" i="1"/>
  <c r="EP1080" i="1"/>
  <c r="EP1079" i="1"/>
  <c r="EP1078" i="1"/>
  <c r="EP1077" i="1"/>
  <c r="EP1076" i="1"/>
  <c r="EP1075" i="1"/>
  <c r="EP1074" i="1"/>
  <c r="EP1073" i="1"/>
  <c r="EP1072" i="1"/>
  <c r="EP1071" i="1"/>
  <c r="EP1070" i="1"/>
  <c r="EP1069" i="1"/>
  <c r="EP1068" i="1"/>
  <c r="EP1067" i="1"/>
  <c r="EP1066" i="1"/>
  <c r="EP69" i="1"/>
  <c r="EP67" i="1"/>
  <c r="EP68" i="1"/>
  <c r="EP71" i="1"/>
  <c r="EP73" i="1"/>
  <c r="EP65" i="1"/>
  <c r="EP74" i="1"/>
  <c r="EP66" i="1"/>
  <c r="EP1575" i="1"/>
  <c r="EP1574" i="1"/>
  <c r="EP1573" i="1"/>
  <c r="EP1572" i="1"/>
  <c r="EP557" i="1"/>
  <c r="EP556" i="1"/>
  <c r="EP555" i="1"/>
  <c r="EP581" i="1"/>
  <c r="EP580" i="1"/>
  <c r="EP553" i="1"/>
  <c r="EP554" i="1"/>
  <c r="EP579" i="1"/>
  <c r="EP578" i="1"/>
  <c r="EP552" i="1"/>
  <c r="EP577" i="1"/>
  <c r="EP576" i="1"/>
  <c r="EP561" i="1"/>
  <c r="EP560" i="1"/>
  <c r="EP559" i="1"/>
  <c r="EP558" i="1"/>
  <c r="EP567" i="1"/>
  <c r="EP574" i="1"/>
  <c r="EP570" i="1"/>
  <c r="EP563" i="1"/>
  <c r="EP572" i="1"/>
  <c r="EP565" i="1"/>
  <c r="EP575" i="1"/>
  <c r="EP568" i="1"/>
  <c r="EP571" i="1"/>
  <c r="EP564" i="1"/>
  <c r="EP573" i="1"/>
  <c r="EP566" i="1"/>
  <c r="EP562" i="1"/>
  <c r="EP569" i="1"/>
  <c r="EP551" i="1"/>
  <c r="EP550" i="1"/>
  <c r="EP549" i="1"/>
  <c r="EP548" i="1"/>
  <c r="EP547" i="1"/>
  <c r="EP546" i="1"/>
  <c r="EP545" i="1"/>
  <c r="EP544" i="1"/>
  <c r="EP543" i="1"/>
  <c r="EP542" i="1"/>
  <c r="EP541" i="1"/>
  <c r="EP540" i="1"/>
  <c r="EP539" i="1"/>
  <c r="EP538" i="1"/>
  <c r="EP1199" i="1"/>
  <c r="EP1200" i="1"/>
  <c r="EP1207" i="1"/>
  <c r="EP1208" i="1"/>
  <c r="EP1203" i="1"/>
  <c r="EP1204" i="1"/>
  <c r="EP1205" i="1"/>
  <c r="EP1206" i="1"/>
  <c r="EP1211" i="1"/>
  <c r="EP1212" i="1"/>
  <c r="EP1213" i="1"/>
  <c r="EP1214" i="1"/>
  <c r="EP966" i="1"/>
  <c r="EP34" i="1"/>
  <c r="EP145" i="1"/>
  <c r="EP144" i="1"/>
  <c r="EP143" i="1"/>
  <c r="EP142" i="1"/>
  <c r="EP147" i="1"/>
  <c r="EP146" i="1"/>
  <c r="EP150" i="1"/>
  <c r="EP148" i="1"/>
  <c r="EP151" i="1"/>
  <c r="EP149" i="1"/>
  <c r="EP975" i="1"/>
  <c r="EP974" i="1"/>
  <c r="EP973" i="1"/>
  <c r="EP972" i="1"/>
  <c r="EP969" i="1"/>
  <c r="EP978" i="1"/>
  <c r="EP977" i="1"/>
  <c r="EP968" i="1"/>
  <c r="EP1215" i="1"/>
  <c r="EP1217" i="1"/>
  <c r="EP1220" i="1"/>
  <c r="EP1216" i="1"/>
  <c r="EP1226" i="1"/>
  <c r="EP1224" i="1"/>
  <c r="EP1225" i="1"/>
  <c r="EP1222" i="1"/>
  <c r="EP1221" i="1"/>
  <c r="EP1223" i="1"/>
  <c r="EP1219" i="1"/>
  <c r="EP1218" i="1"/>
  <c r="EP956" i="1"/>
  <c r="EP954" i="1"/>
  <c r="EP953" i="1"/>
  <c r="EP952" i="1"/>
  <c r="EP951" i="1"/>
  <c r="EP950" i="1"/>
  <c r="EP949" i="1"/>
  <c r="EP948" i="1"/>
  <c r="EP153" i="1"/>
  <c r="EP152" i="1"/>
  <c r="EP161" i="1"/>
  <c r="EP162" i="1"/>
  <c r="EP164" i="1"/>
  <c r="EP163" i="1"/>
  <c r="EP858" i="1"/>
  <c r="EP857" i="1"/>
  <c r="EP856" i="1"/>
  <c r="EP855" i="1"/>
  <c r="EP860" i="1"/>
  <c r="EP859" i="1"/>
  <c r="EP1096" i="1"/>
  <c r="EP1094" i="1"/>
  <c r="EP1093" i="1"/>
  <c r="EP1095" i="1"/>
  <c r="EP1104" i="1"/>
  <c r="EP1103" i="1"/>
  <c r="EP1102" i="1"/>
  <c r="EP1101" i="1"/>
  <c r="EP1100" i="1"/>
  <c r="EP1099" i="1"/>
  <c r="EP1098" i="1"/>
  <c r="EP1097" i="1"/>
  <c r="EP707" i="1"/>
  <c r="EP706" i="1"/>
  <c r="EP702" i="1"/>
  <c r="EP703" i="1"/>
  <c r="EP708" i="1"/>
  <c r="EP700" i="1"/>
  <c r="EP705" i="1"/>
  <c r="EP704" i="1"/>
  <c r="EP701" i="1"/>
  <c r="EP699" i="1"/>
  <c r="EP166" i="1"/>
  <c r="EP165" i="1"/>
  <c r="EP1399" i="1"/>
  <c r="EP1397" i="1"/>
  <c r="EP1400" i="1"/>
  <c r="EP1398" i="1"/>
  <c r="EP912" i="1"/>
  <c r="EP911" i="1"/>
  <c r="EP910" i="1"/>
  <c r="EP909" i="1"/>
  <c r="EP908" i="1"/>
  <c r="EP907" i="1"/>
  <c r="EP906" i="1"/>
  <c r="EP905" i="1"/>
  <c r="EP1401" i="1"/>
  <c r="EP1402" i="1"/>
  <c r="EP1408" i="1"/>
  <c r="EP1415" i="1"/>
  <c r="EP1416" i="1"/>
  <c r="EP1418" i="1"/>
  <c r="EP1423" i="1"/>
  <c r="EP1411" i="1"/>
  <c r="EP1412" i="1"/>
  <c r="EP1426" i="1"/>
  <c r="EP1404" i="1"/>
  <c r="EP1405" i="1"/>
  <c r="EP1406" i="1"/>
  <c r="EP1407" i="1"/>
  <c r="EP1417" i="1"/>
  <c r="EP1419" i="1"/>
  <c r="EP1421" i="1"/>
  <c r="EP1420" i="1"/>
  <c r="EP1424" i="1"/>
  <c r="EP1422" i="1"/>
  <c r="EP1413" i="1"/>
  <c r="EP1409" i="1"/>
  <c r="EP1410" i="1"/>
  <c r="EP1414" i="1"/>
  <c r="EP1427" i="1"/>
  <c r="EP1425" i="1"/>
  <c r="EP1281" i="1"/>
  <c r="EP1280" i="1"/>
  <c r="EP756" i="1"/>
  <c r="EP755" i="1"/>
  <c r="EP754" i="1"/>
  <c r="EP668" i="1"/>
  <c r="EP669" i="1"/>
  <c r="EP674" i="1"/>
  <c r="EP675" i="1"/>
  <c r="EP666" i="1"/>
  <c r="EP665" i="1"/>
  <c r="EP667" i="1"/>
  <c r="EP670" i="1"/>
  <c r="EP671" i="1"/>
  <c r="EP672" i="1"/>
  <c r="EP673" i="1"/>
  <c r="EP1228" i="1"/>
  <c r="EP1230" i="1"/>
  <c r="EP1231" i="1"/>
  <c r="EP1244" i="1"/>
  <c r="EP1229" i="1"/>
  <c r="EP1235" i="1"/>
  <c r="EP1239" i="1"/>
  <c r="EP1242" i="1"/>
  <c r="EP1246" i="1"/>
  <c r="EP1245" i="1"/>
  <c r="EP1240" i="1"/>
  <c r="EP1243" i="1"/>
  <c r="EP1238" i="1"/>
  <c r="EP1237" i="1"/>
  <c r="EP1233" i="1"/>
  <c r="EP1241" i="1"/>
  <c r="EP1236" i="1"/>
  <c r="EP1249" i="1"/>
  <c r="EP1234" i="1"/>
  <c r="EP1250" i="1"/>
  <c r="EP1251" i="1"/>
  <c r="EP1247" i="1"/>
  <c r="EP1232" i="1"/>
  <c r="EP1252" i="1"/>
  <c r="EP1248" i="1"/>
  <c r="EP1255" i="1"/>
  <c r="EP1254" i="1"/>
  <c r="EP1253" i="1"/>
  <c r="EP1227" i="1"/>
  <c r="EP1588" i="1"/>
  <c r="EP958" i="1"/>
  <c r="EP961" i="1"/>
  <c r="EP960" i="1"/>
  <c r="EP959" i="1"/>
  <c r="EP179" i="1"/>
  <c r="EP180" i="1"/>
  <c r="EP1335" i="1"/>
  <c r="EP1334" i="1"/>
  <c r="EP1336" i="1"/>
  <c r="EP1333" i="1"/>
  <c r="EP183" i="1"/>
  <c r="EP184" i="1"/>
  <c r="EP181" i="1"/>
  <c r="EP186" i="1"/>
  <c r="EP182" i="1"/>
  <c r="EP187" i="1"/>
  <c r="EP185" i="1"/>
  <c r="EP86" i="1"/>
  <c r="EP191" i="1"/>
  <c r="EP190" i="1"/>
  <c r="EP189" i="1"/>
  <c r="EP188" i="1"/>
  <c r="EP199" i="1"/>
  <c r="EP198" i="1"/>
  <c r="EP197" i="1"/>
  <c r="EP196" i="1"/>
  <c r="EP193" i="1"/>
  <c r="EP192" i="1"/>
  <c r="EP195" i="1"/>
  <c r="EP194" i="1"/>
  <c r="EP1590" i="1"/>
  <c r="EP1591" i="1"/>
  <c r="EP1589" i="1"/>
  <c r="EP205" i="1"/>
  <c r="EP206" i="1"/>
  <c r="EP201" i="1"/>
  <c r="EP203" i="1"/>
  <c r="EP204" i="1"/>
  <c r="EP628" i="1"/>
  <c r="EP620" i="1"/>
  <c r="EP627" i="1"/>
  <c r="EP621" i="1"/>
  <c r="EP622" i="1"/>
  <c r="EP626" i="1"/>
  <c r="EP625" i="1"/>
  <c r="EP624" i="1"/>
  <c r="EP623" i="1"/>
  <c r="EP676" i="1"/>
  <c r="EP962" i="1"/>
  <c r="EP1340" i="1"/>
  <c r="EP1339" i="1"/>
  <c r="EP1337" i="1"/>
  <c r="EP1338" i="1"/>
  <c r="EP207" i="1"/>
  <c r="EP216" i="1"/>
  <c r="EP215" i="1"/>
  <c r="EP212" i="1"/>
  <c r="EP211" i="1"/>
  <c r="EP210" i="1"/>
  <c r="EP209" i="1"/>
  <c r="EP218" i="1"/>
  <c r="EP217" i="1"/>
  <c r="EP214" i="1"/>
  <c r="EP213" i="1"/>
  <c r="EP208" i="1"/>
  <c r="EP1434" i="1"/>
  <c r="EP1435" i="1"/>
  <c r="EP1436" i="1"/>
  <c r="EP1437" i="1"/>
  <c r="EP1438" i="1"/>
  <c r="EP1439" i="1"/>
  <c r="EP1441" i="1"/>
  <c r="EP1442" i="1"/>
  <c r="EP1440" i="1"/>
  <c r="EP1445" i="1"/>
  <c r="EP1443" i="1"/>
  <c r="EP1444" i="1"/>
  <c r="EP1595" i="1"/>
  <c r="EP1596" i="1"/>
  <c r="EP229" i="1"/>
  <c r="EP227" i="1"/>
  <c r="EP231" i="1"/>
  <c r="EP230" i="1"/>
  <c r="EP232" i="1"/>
  <c r="EP97" i="1"/>
  <c r="EP96" i="1"/>
  <c r="EP95" i="1"/>
  <c r="EP94" i="1"/>
  <c r="EP93" i="1"/>
  <c r="EP92" i="1"/>
  <c r="EP236" i="1"/>
  <c r="EP235" i="1"/>
  <c r="EP237" i="1"/>
  <c r="EP1450" i="1"/>
  <c r="EP1448" i="1"/>
  <c r="EP1446" i="1"/>
  <c r="EP1449" i="1"/>
  <c r="EP1447" i="1"/>
  <c r="EP1451" i="1"/>
  <c r="EP1147" i="1"/>
  <c r="EP1146" i="1"/>
  <c r="EP771" i="1"/>
  <c r="EP772" i="1"/>
  <c r="EP1363" i="1"/>
  <c r="EP1359" i="1"/>
  <c r="EP1360" i="1"/>
  <c r="EP1358" i="1"/>
  <c r="EP1362" i="1"/>
  <c r="EP1361" i="1"/>
  <c r="EP1597" i="1"/>
  <c r="EP1273" i="1"/>
  <c r="EP1272" i="1"/>
  <c r="EP250" i="1"/>
  <c r="EP247" i="1"/>
  <c r="EP248" i="1"/>
  <c r="EP249" i="1"/>
  <c r="EP243" i="1"/>
  <c r="EP244" i="1"/>
  <c r="EP245" i="1"/>
  <c r="EP246" i="1"/>
  <c r="EP710" i="1"/>
  <c r="EP709" i="1"/>
  <c r="EP711" i="1"/>
  <c r="EP986" i="1"/>
  <c r="EP985" i="1"/>
  <c r="EP984" i="1"/>
  <c r="EP983" i="1"/>
  <c r="EP994" i="1"/>
  <c r="EP990" i="1"/>
  <c r="EP989" i="1"/>
  <c r="EP988" i="1"/>
  <c r="EP987" i="1"/>
  <c r="EP993" i="1"/>
  <c r="EP992" i="1"/>
  <c r="EP991" i="1"/>
  <c r="EP251" i="1"/>
  <c r="EP252" i="1"/>
  <c r="EP253" i="1"/>
  <c r="EP254" i="1"/>
  <c r="EP256" i="1"/>
  <c r="EP255" i="1"/>
  <c r="EP257" i="1"/>
  <c r="EP258" i="1"/>
  <c r="EP965" i="1"/>
  <c r="EP1274" i="1"/>
  <c r="EP1452" i="1"/>
  <c r="EP1454" i="1"/>
  <c r="EP1455" i="1"/>
  <c r="EP1458" i="1"/>
  <c r="EP1461" i="1"/>
  <c r="EP1462" i="1"/>
  <c r="EP1471" i="1"/>
  <c r="EP1468" i="1"/>
  <c r="EP1466" i="1"/>
  <c r="EP1464" i="1"/>
  <c r="EP262" i="1"/>
  <c r="EP1599" i="1"/>
  <c r="EP1598" i="1"/>
  <c r="EP1600" i="1"/>
  <c r="EP266" i="1"/>
  <c r="EP265" i="1"/>
  <c r="EP269" i="1"/>
  <c r="EP270" i="1"/>
  <c r="EP264" i="1"/>
  <c r="EP263" i="1"/>
  <c r="EP267" i="1"/>
  <c r="EP268" i="1"/>
  <c r="EP1105" i="1"/>
  <c r="EP1106" i="1"/>
  <c r="EP1107" i="1"/>
  <c r="EP1108" i="1"/>
  <c r="EP1367" i="1"/>
  <c r="EP1366" i="1"/>
  <c r="EP1365" i="1"/>
  <c r="EP1364" i="1"/>
  <c r="EP1472" i="1"/>
  <c r="EP1473" i="1"/>
  <c r="EP1368" i="1"/>
  <c r="EP1369" i="1"/>
  <c r="EP1370" i="1"/>
  <c r="EP1371" i="1"/>
  <c r="EP1372" i="1"/>
  <c r="EP1373" i="1"/>
  <c r="EP1275" i="1"/>
  <c r="EP288" i="1"/>
  <c r="EP287" i="1"/>
  <c r="EP289" i="1"/>
  <c r="EP290" i="1"/>
  <c r="EP291" i="1"/>
  <c r="EP296" i="1"/>
  <c r="EP294" i="1"/>
  <c r="EP295" i="1"/>
  <c r="EP292" i="1"/>
  <c r="EP293" i="1"/>
  <c r="EP597" i="1"/>
  <c r="EP594" i="1"/>
  <c r="EP593" i="1"/>
  <c r="EP602" i="1"/>
  <c r="EP595" i="1"/>
  <c r="EP600" i="1"/>
  <c r="EP599" i="1"/>
  <c r="EP596" i="1"/>
  <c r="EP603" i="1"/>
  <c r="EP598" i="1"/>
  <c r="EP601" i="1"/>
  <c r="EP619" i="1"/>
  <c r="EP618" i="1"/>
  <c r="EP1474" i="1"/>
  <c r="EP1475" i="1"/>
  <c r="EP1476" i="1"/>
  <c r="EP1477" i="1"/>
  <c r="EP1478" i="1"/>
  <c r="EP1479" i="1"/>
  <c r="EP1481" i="1"/>
  <c r="EP1480" i="1"/>
  <c r="EP297" i="1"/>
  <c r="EP298" i="1"/>
  <c r="EP309" i="1"/>
  <c r="EP307" i="1"/>
  <c r="EP304" i="1"/>
  <c r="EP303" i="1"/>
  <c r="EP312" i="1"/>
  <c r="EP311" i="1"/>
  <c r="EP310" i="1"/>
  <c r="EP308" i="1"/>
  <c r="EP306" i="1"/>
  <c r="EP305" i="1"/>
  <c r="EP302" i="1"/>
  <c r="EP301" i="1"/>
  <c r="EP300" i="1"/>
  <c r="EP299" i="1"/>
  <c r="EP313" i="1"/>
  <c r="EP320" i="1"/>
  <c r="EP318" i="1"/>
  <c r="EP316" i="1"/>
  <c r="EP315" i="1"/>
  <c r="EP314" i="1"/>
  <c r="EP317" i="1"/>
  <c r="EP319" i="1"/>
  <c r="EP322" i="1"/>
  <c r="EP321" i="1"/>
  <c r="EP323" i="1"/>
  <c r="EP328" i="1"/>
  <c r="EP325" i="1"/>
  <c r="EP327" i="1"/>
  <c r="EP324" i="1"/>
  <c r="EP329" i="1"/>
  <c r="EP326" i="1"/>
  <c r="EP330" i="1"/>
  <c r="EP331" i="1"/>
  <c r="EP924" i="1"/>
  <c r="EP923" i="1"/>
  <c r="EP922" i="1"/>
  <c r="EP921" i="1"/>
  <c r="EP918" i="1"/>
  <c r="EP917" i="1"/>
  <c r="EP919" i="1"/>
  <c r="EP920" i="1"/>
  <c r="EP863" i="1"/>
  <c r="EP867" i="1"/>
  <c r="EP865" i="1"/>
  <c r="EP883" i="1"/>
  <c r="EP884" i="1"/>
  <c r="EP882" i="1"/>
  <c r="EP881" i="1"/>
  <c r="EP880" i="1"/>
  <c r="EP878" i="1"/>
  <c r="EP877" i="1"/>
  <c r="EP879" i="1"/>
  <c r="EP864" i="1"/>
  <c r="EP868" i="1"/>
  <c r="EP866" i="1"/>
  <c r="EP871" i="1"/>
  <c r="EP876" i="1"/>
  <c r="EP875" i="1"/>
  <c r="EP873" i="1"/>
  <c r="EP872" i="1"/>
  <c r="EP869" i="1"/>
  <c r="EP870" i="1"/>
  <c r="EP874" i="1"/>
  <c r="EP1112" i="1"/>
  <c r="EP1111" i="1"/>
  <c r="EP1110" i="1"/>
  <c r="EP1109" i="1"/>
  <c r="EP343" i="1"/>
  <c r="EP342" i="1"/>
  <c r="EP341" i="1"/>
  <c r="EP340" i="1"/>
  <c r="EP351" i="1"/>
  <c r="EP349" i="1"/>
  <c r="EP348" i="1"/>
  <c r="EP346" i="1"/>
  <c r="EP350" i="1"/>
  <c r="EP347" i="1"/>
  <c r="EP345" i="1"/>
  <c r="EP344" i="1"/>
  <c r="EP525" i="1"/>
  <c r="EP524" i="1"/>
  <c r="EP526" i="1"/>
  <c r="EP527" i="1"/>
  <c r="EP1482" i="1"/>
  <c r="EP1483" i="1"/>
  <c r="EP1484" i="1"/>
  <c r="EP1485" i="1"/>
  <c r="EP1601" i="1"/>
  <c r="EP1602" i="1"/>
  <c r="EP1604" i="1"/>
  <c r="EP1605" i="1"/>
  <c r="EP1603" i="1"/>
  <c r="EP352" i="1"/>
  <c r="EP353" i="1"/>
  <c r="EP354" i="1"/>
  <c r="EP355" i="1"/>
  <c r="EP356" i="1"/>
  <c r="EP357" i="1"/>
  <c r="EP361" i="1"/>
  <c r="EP362" i="1"/>
  <c r="EP363" i="1"/>
  <c r="EP358" i="1"/>
  <c r="EP359" i="1"/>
  <c r="EP360" i="1"/>
  <c r="EP395" i="1"/>
  <c r="EP394" i="1"/>
  <c r="EP393" i="1"/>
  <c r="EP392" i="1"/>
  <c r="EP390" i="1"/>
  <c r="EP391" i="1"/>
  <c r="EP388" i="1"/>
  <c r="EP389" i="1"/>
  <c r="EP386" i="1"/>
  <c r="EP387" i="1"/>
  <c r="EP385" i="1"/>
  <c r="EP384" i="1"/>
  <c r="EP383" i="1"/>
  <c r="EP382" i="1"/>
  <c r="EP381" i="1"/>
  <c r="EP380" i="1"/>
  <c r="EP379" i="1"/>
  <c r="EP378" i="1"/>
  <c r="EP376" i="1"/>
  <c r="EP377" i="1"/>
  <c r="EP374" i="1"/>
  <c r="EP375" i="1"/>
  <c r="EP373" i="1"/>
  <c r="EP372" i="1"/>
  <c r="EP371" i="1"/>
  <c r="EP370" i="1"/>
  <c r="EP369" i="1"/>
  <c r="EP368" i="1"/>
  <c r="EP367" i="1"/>
  <c r="EP366" i="1"/>
  <c r="EP365" i="1"/>
  <c r="EP364" i="1"/>
  <c r="EP406" i="1"/>
  <c r="EP411" i="1"/>
  <c r="EP409" i="1"/>
  <c r="EP410" i="1"/>
  <c r="EP408" i="1"/>
  <c r="EP407" i="1"/>
  <c r="EP898" i="1"/>
  <c r="EP896" i="1"/>
  <c r="EP897" i="1"/>
  <c r="EP895" i="1"/>
  <c r="EP894" i="1"/>
  <c r="EP893" i="1"/>
  <c r="EP889" i="1"/>
  <c r="EP891" i="1"/>
  <c r="EP892" i="1"/>
  <c r="EP890" i="1"/>
  <c r="EP428" i="1"/>
  <c r="EP429" i="1"/>
  <c r="EP430" i="1"/>
  <c r="EP431" i="1"/>
  <c r="EP432" i="1"/>
  <c r="EP433" i="1"/>
  <c r="EP434" i="1"/>
  <c r="EP435" i="1"/>
  <c r="EP436" i="1"/>
  <c r="EP437" i="1"/>
  <c r="EP438" i="1"/>
  <c r="EP1607" i="1"/>
  <c r="EP1606" i="1"/>
  <c r="EP1608" i="1"/>
  <c r="EP445" i="1"/>
  <c r="EP444" i="1"/>
  <c r="EP443" i="1"/>
  <c r="EP1488" i="1"/>
  <c r="EP1489" i="1"/>
  <c r="EP1002" i="1"/>
  <c r="EP1003" i="1"/>
  <c r="EP1004" i="1"/>
  <c r="EP999" i="1"/>
  <c r="EP1000" i="1"/>
  <c r="EP1005" i="1"/>
  <c r="EP1001" i="1"/>
  <c r="EP714" i="1"/>
  <c r="EP451" i="1"/>
  <c r="EP452" i="1"/>
  <c r="EP698" i="1"/>
  <c r="EP697" i="1"/>
  <c r="EP696" i="1"/>
  <c r="EP695" i="1"/>
  <c r="EP1187" i="1"/>
  <c r="EP1186" i="1"/>
  <c r="EP1189" i="1"/>
  <c r="EP1194" i="1"/>
  <c r="EP1191" i="1"/>
  <c r="EP1188" i="1"/>
  <c r="EP1198" i="1"/>
  <c r="EP1197" i="1"/>
  <c r="EP462" i="1"/>
  <c r="EP461" i="1"/>
  <c r="EP459" i="1"/>
  <c r="EP460" i="1"/>
  <c r="EP476" i="1"/>
  <c r="EP475" i="1"/>
  <c r="EP477" i="1"/>
  <c r="EP463" i="1"/>
  <c r="EP467" i="1"/>
  <c r="EP464" i="1"/>
  <c r="EP468" i="1"/>
  <c r="EP474" i="1"/>
  <c r="EP472" i="1"/>
  <c r="EP470" i="1"/>
  <c r="EP465" i="1"/>
  <c r="EP471" i="1"/>
  <c r="EP466" i="1"/>
  <c r="EP473" i="1"/>
  <c r="EP469" i="1"/>
  <c r="EP479" i="1"/>
  <c r="EP478" i="1"/>
  <c r="EP480" i="1"/>
  <c r="EP486" i="1"/>
  <c r="EP485" i="1"/>
  <c r="EP484" i="1"/>
  <c r="EP483" i="1"/>
  <c r="EP482" i="1"/>
  <c r="EP481" i="1"/>
  <c r="EP1022" i="1"/>
  <c r="EP1016" i="1"/>
  <c r="EP1021" i="1"/>
  <c r="EP1015" i="1"/>
  <c r="EP1023" i="1"/>
  <c r="EP1012" i="1"/>
  <c r="EP1019" i="1"/>
  <c r="EP1013" i="1"/>
  <c r="EP1020" i="1"/>
  <c r="EP1014" i="1"/>
  <c r="EP1018" i="1"/>
  <c r="EP1017" i="1"/>
  <c r="EP1025" i="1"/>
  <c r="EP1024" i="1"/>
  <c r="EP1029" i="1"/>
  <c r="EP1028" i="1"/>
  <c r="EP1010" i="1"/>
  <c r="EP1011" i="1"/>
  <c r="EP1009" i="1"/>
  <c r="EP1007" i="1"/>
  <c r="EP1008" i="1"/>
  <c r="EP1006" i="1"/>
  <c r="EP1027" i="1"/>
  <c r="EP1026" i="1"/>
  <c r="EP1033" i="1"/>
  <c r="EP1034" i="1"/>
  <c r="EP1032" i="1"/>
  <c r="EP1035" i="1"/>
  <c r="EP1031" i="1"/>
  <c r="EP1030" i="1"/>
  <c r="EP1065" i="1"/>
  <c r="EP1064" i="1"/>
  <c r="EP1063" i="1"/>
  <c r="EP1062" i="1"/>
  <c r="EP1061" i="1"/>
  <c r="EP1060" i="1"/>
  <c r="EP1059" i="1"/>
  <c r="EP1058" i="1"/>
  <c r="EP1057" i="1"/>
  <c r="EP1056" i="1"/>
  <c r="EP1055" i="1"/>
  <c r="EP1054" i="1"/>
  <c r="EP1049" i="1"/>
  <c r="EP1048" i="1"/>
  <c r="EP1047" i="1"/>
  <c r="EP1053" i="1"/>
  <c r="EP1045" i="1"/>
  <c r="EP1052" i="1"/>
  <c r="EP1051" i="1"/>
  <c r="EP1050" i="1"/>
  <c r="EP1036" i="1"/>
  <c r="EP1043" i="1"/>
  <c r="EP1042" i="1"/>
  <c r="EP1041" i="1"/>
  <c r="EP1040" i="1"/>
  <c r="EP1039" i="1"/>
  <c r="EP1046" i="1"/>
  <c r="EP1044" i="1"/>
  <c r="EP1038" i="1"/>
  <c r="EP1037" i="1"/>
  <c r="EP9" i="1"/>
  <c r="EP1391" i="1"/>
  <c r="EP955" i="1"/>
  <c r="EP1185" i="1"/>
  <c r="EP127" i="1"/>
  <c r="EP124" i="1"/>
  <c r="EP123" i="1"/>
  <c r="EP119" i="1"/>
  <c r="EP120" i="1"/>
  <c r="EP121" i="1"/>
  <c r="EP118" i="1"/>
  <c r="EP117" i="1"/>
  <c r="EP116" i="1"/>
  <c r="EP115" i="1"/>
  <c r="EP126" i="1"/>
  <c r="EP125" i="1"/>
  <c r="EP122" i="1"/>
  <c r="EP59" i="1"/>
  <c r="EP60" i="1"/>
  <c r="EP61" i="1"/>
  <c r="EP62" i="1"/>
  <c r="EP63" i="1"/>
  <c r="EP132" i="1"/>
  <c r="EP131" i="1"/>
  <c r="EP133" i="1"/>
  <c r="EP128" i="1"/>
  <c r="EP129" i="1"/>
  <c r="EP130" i="1"/>
  <c r="EP1611" i="1"/>
  <c r="EP493" i="1"/>
  <c r="EP1292" i="1"/>
  <c r="EP31" i="1"/>
  <c r="EP64" i="1"/>
  <c r="EP141" i="1"/>
  <c r="EP494" i="1"/>
  <c r="EP495" i="1"/>
  <c r="EP77" i="1"/>
  <c r="EP32" i="1"/>
  <c r="EP33" i="1"/>
  <c r="EP1638" i="1"/>
  <c r="EP8" i="1"/>
  <c r="EP496" i="1"/>
  <c r="EP35" i="1"/>
  <c r="EP78" i="1"/>
  <c r="EP79" i="1"/>
  <c r="EP36" i="1"/>
  <c r="EP37" i="1"/>
  <c r="EP1612" i="1"/>
  <c r="EP1613" i="1"/>
  <c r="EP38" i="1"/>
  <c r="EP39" i="1"/>
  <c r="EP682" i="1"/>
  <c r="EP1578" i="1"/>
  <c r="EP713" i="1"/>
  <c r="EP497" i="1"/>
  <c r="EP498" i="1"/>
  <c r="EP499" i="1"/>
  <c r="EP40" i="1"/>
  <c r="EP41" i="1"/>
  <c r="EP1266" i="1"/>
  <c r="EP1295" i="1"/>
  <c r="EP1342" i="1"/>
  <c r="EP1387" i="1"/>
  <c r="EP604" i="1"/>
  <c r="EP904" i="1"/>
  <c r="EP686" i="1"/>
  <c r="EP688" i="1"/>
  <c r="EP690" i="1"/>
  <c r="EP692" i="1"/>
  <c r="EP42" i="1"/>
  <c r="EP43" i="1"/>
  <c r="EP1583" i="1"/>
  <c r="EP1586" i="1"/>
  <c r="EP10" i="1"/>
  <c r="EP500" i="1"/>
  <c r="EP1308" i="1"/>
  <c r="EP610" i="1"/>
  <c r="EP1307" i="1"/>
  <c r="EP611" i="1"/>
  <c r="EP1306" i="1"/>
  <c r="EP614" i="1"/>
  <c r="EP1305" i="1"/>
  <c r="EP616" i="1"/>
  <c r="EP1304" i="1"/>
  <c r="EP617" i="1"/>
  <c r="EP1303" i="1"/>
  <c r="EP1302" i="1"/>
  <c r="EP1301" i="1"/>
  <c r="EP1300" i="1"/>
  <c r="EP1299" i="1"/>
  <c r="EP1332" i="1"/>
  <c r="EP612" i="1"/>
  <c r="EP1331" i="1"/>
  <c r="EP629" i="1"/>
  <c r="EP1330" i="1"/>
  <c r="EP1329" i="1"/>
  <c r="EP677" i="1"/>
  <c r="EP678" i="1"/>
  <c r="EP1328" i="1"/>
  <c r="EP1327" i="1"/>
  <c r="EP679" i="1"/>
  <c r="EP680" i="1"/>
  <c r="EP1326" i="1"/>
  <c r="EP681" i="1"/>
  <c r="EP1325" i="1"/>
  <c r="EP1324" i="1"/>
  <c r="EP683" i="1"/>
  <c r="EP684" i="1"/>
  <c r="EP1323" i="1"/>
  <c r="EP685" i="1"/>
  <c r="EP1322" i="1"/>
  <c r="EP1321" i="1"/>
  <c r="EP1320" i="1"/>
  <c r="EP1319" i="1"/>
  <c r="EP1318" i="1"/>
  <c r="EP1317" i="1"/>
  <c r="EP1316" i="1"/>
  <c r="EP1315" i="1"/>
  <c r="EP1314" i="1"/>
  <c r="EP1313" i="1"/>
  <c r="EP1312" i="1"/>
  <c r="EP1311" i="1"/>
  <c r="EP1310" i="1"/>
  <c r="EP693" i="1"/>
  <c r="EP1309" i="1"/>
  <c r="EP694" i="1"/>
  <c r="EP84" i="1"/>
  <c r="EP172" i="1"/>
  <c r="EP173" i="1"/>
  <c r="EP174" i="1"/>
  <c r="EP11" i="1"/>
  <c r="EP1614" i="1"/>
  <c r="EP501" i="1"/>
  <c r="EP502" i="1"/>
  <c r="EP44" i="1"/>
  <c r="EP1430" i="1"/>
  <c r="EP85" i="1"/>
  <c r="EP503" i="1"/>
  <c r="EP1257" i="1"/>
  <c r="EP175" i="1"/>
  <c r="EP176" i="1"/>
  <c r="EP178" i="1"/>
  <c r="EP177" i="1"/>
  <c r="EP12" i="1"/>
  <c r="EP13" i="1"/>
  <c r="EP14" i="1"/>
  <c r="EP202" i="1"/>
  <c r="EP200" i="1"/>
  <c r="EP504" i="1"/>
  <c r="EP505" i="1"/>
  <c r="EP957" i="1"/>
  <c r="EP1390" i="1"/>
  <c r="EP1121" i="1"/>
  <c r="EP1125" i="1"/>
  <c r="EP1129" i="1"/>
  <c r="EP1130" i="1"/>
  <c r="EP1132" i="1"/>
  <c r="EP1140" i="1"/>
  <c r="EP1142" i="1"/>
  <c r="EP1259" i="1"/>
  <c r="EP1267" i="1"/>
  <c r="EP1276" i="1"/>
  <c r="EP1277" i="1"/>
  <c r="EP1278" i="1"/>
  <c r="EP1279" i="1"/>
  <c r="EP1285" i="1"/>
  <c r="EP1288" i="1"/>
  <c r="EP1291" i="1"/>
  <c r="EP506" i="1"/>
  <c r="EP87" i="1"/>
  <c r="EP15" i="1"/>
  <c r="EP88" i="1"/>
  <c r="EP507" i="1"/>
  <c r="EP16" i="1"/>
  <c r="EP17" i="1"/>
  <c r="EP1615" i="1"/>
  <c r="EP45" i="1"/>
  <c r="EP219" i="1"/>
  <c r="EP220" i="1"/>
  <c r="EP221" i="1"/>
  <c r="EP222" i="1"/>
  <c r="EP223" i="1"/>
  <c r="EP224" i="1"/>
  <c r="EP508" i="1"/>
  <c r="EP18" i="1"/>
  <c r="EP226" i="1"/>
  <c r="EP225" i="1"/>
  <c r="EP89" i="1"/>
  <c r="EP90" i="1"/>
  <c r="EP91" i="1"/>
  <c r="EP1345" i="1"/>
  <c r="EP1389" i="1"/>
  <c r="EP233" i="1"/>
  <c r="EP234" i="1"/>
  <c r="EP46" i="1"/>
  <c r="EP47" i="1"/>
  <c r="EP687" i="1"/>
  <c r="EP691" i="1"/>
  <c r="EP615" i="1"/>
  <c r="EP609" i="1"/>
  <c r="EP608" i="1"/>
  <c r="EP605" i="1"/>
  <c r="EP1639" i="1"/>
  <c r="EP509" i="1"/>
  <c r="EP510" i="1"/>
  <c r="EP1627" i="1"/>
  <c r="EP1626" i="1"/>
  <c r="EP1625" i="1"/>
  <c r="EP1624" i="1"/>
  <c r="EP1633" i="1"/>
  <c r="EP1618" i="1"/>
  <c r="EP1632" i="1"/>
  <c r="EP1631" i="1"/>
  <c r="EP1617" i="1"/>
  <c r="EP1630" i="1"/>
  <c r="EP1629" i="1"/>
  <c r="EP1616" i="1"/>
  <c r="EP1628" i="1"/>
  <c r="EP1623" i="1"/>
  <c r="EP1622" i="1"/>
  <c r="EP1621" i="1"/>
  <c r="EP1620" i="1"/>
  <c r="EP1619" i="1"/>
  <c r="EP98" i="1"/>
  <c r="EP240" i="1"/>
  <c r="EP239" i="1"/>
  <c r="EP238" i="1"/>
  <c r="EP99" i="1"/>
  <c r="EP100" i="1"/>
  <c r="EP511" i="1"/>
  <c r="EP241" i="1"/>
  <c r="EP242" i="1"/>
  <c r="EP101" i="1"/>
  <c r="EP103" i="1"/>
  <c r="EP19" i="1"/>
  <c r="EP48" i="1"/>
  <c r="EP512" i="1"/>
  <c r="EP513" i="1"/>
  <c r="EP49" i="1"/>
  <c r="EP1341" i="1"/>
  <c r="EP514" i="1"/>
  <c r="EP515" i="1"/>
  <c r="EP516" i="1"/>
  <c r="EP50" i="1"/>
  <c r="EP260" i="1"/>
  <c r="EP259" i="1"/>
  <c r="EP20" i="1"/>
  <c r="EP517" i="1"/>
  <c r="EP518" i="1"/>
  <c r="EP261" i="1"/>
  <c r="EP1453" i="1"/>
  <c r="EP1457" i="1"/>
  <c r="EP1459" i="1"/>
  <c r="EP1470" i="1"/>
  <c r="EP1469" i="1"/>
  <c r="EP519" i="1"/>
  <c r="EP21" i="1"/>
  <c r="EP1150" i="1"/>
  <c r="EP1151" i="1"/>
  <c r="EP1152" i="1"/>
  <c r="EP1153" i="1"/>
  <c r="EP1158" i="1"/>
  <c r="EP1159" i="1"/>
  <c r="EP1160" i="1"/>
  <c r="EP1157" i="1"/>
  <c r="EP1154" i="1"/>
  <c r="EP1155" i="1"/>
  <c r="EP1156" i="1"/>
  <c r="EP1609" i="1"/>
  <c r="EP22" i="1"/>
  <c r="EP520" i="1"/>
  <c r="EP521" i="1"/>
  <c r="EP23" i="1"/>
  <c r="EP903" i="1"/>
  <c r="EP1137" i="1"/>
  <c r="EP1138" i="1"/>
  <c r="EP1286" i="1"/>
  <c r="EP1294" i="1"/>
  <c r="EP1428" i="1"/>
  <c r="EP24" i="1"/>
  <c r="EP522" i="1"/>
  <c r="EP106" i="1"/>
  <c r="EP523" i="1"/>
  <c r="EP51" i="1"/>
  <c r="EP337" i="1"/>
  <c r="EP336" i="1"/>
  <c r="EP334" i="1"/>
  <c r="EP333" i="1"/>
  <c r="EP339" i="1"/>
  <c r="EP338" i="1"/>
  <c r="EP335" i="1"/>
  <c r="EP332" i="1"/>
  <c r="EP25" i="1"/>
  <c r="EP52" i="1"/>
  <c r="EP405" i="1"/>
  <c r="EP404" i="1"/>
  <c r="EP403" i="1"/>
  <c r="EP402" i="1"/>
  <c r="EP401" i="1"/>
  <c r="EP399" i="1"/>
  <c r="EP400" i="1"/>
  <c r="EP398" i="1"/>
  <c r="EP397" i="1"/>
  <c r="EP528" i="1"/>
  <c r="EP1635" i="1"/>
  <c r="EP30" i="1"/>
  <c r="EP53" i="1"/>
  <c r="EP529" i="1"/>
  <c r="EP26" i="1"/>
  <c r="EP421" i="1"/>
  <c r="EP422" i="1"/>
  <c r="EP427" i="1"/>
  <c r="EP426" i="1"/>
  <c r="EP423" i="1"/>
  <c r="EP424" i="1"/>
  <c r="EP425" i="1"/>
  <c r="EP530" i="1"/>
  <c r="EP54" i="1"/>
  <c r="EP531" i="1"/>
  <c r="EP107" i="1"/>
  <c r="EP55" i="1"/>
  <c r="EP27" i="1"/>
  <c r="EP532" i="1"/>
  <c r="EP533" i="1"/>
  <c r="EP56" i="1"/>
  <c r="EP963" i="1"/>
  <c r="EP998" i="1"/>
  <c r="EP1135" i="1"/>
  <c r="EP997" i="1"/>
  <c r="EP442" i="1"/>
  <c r="EP441" i="1"/>
  <c r="EP440" i="1"/>
  <c r="EP57" i="1"/>
  <c r="EP108" i="1"/>
  <c r="EP534" i="1"/>
  <c r="EP109" i="1"/>
  <c r="EP449" i="1"/>
  <c r="EP448" i="1"/>
  <c r="EP447" i="1"/>
  <c r="EP446" i="1"/>
  <c r="EP450" i="1"/>
  <c r="EP58" i="1"/>
  <c r="EP535" i="1"/>
  <c r="EP456" i="1"/>
  <c r="EP458" i="1"/>
  <c r="EP457" i="1"/>
  <c r="EP455" i="1"/>
  <c r="EP453" i="1"/>
  <c r="EP454" i="1"/>
  <c r="EP720" i="1"/>
  <c r="EP916" i="1"/>
  <c r="EP110" i="1"/>
  <c r="EP536" i="1"/>
  <c r="EP111" i="1"/>
  <c r="EP900" i="1"/>
  <c r="EP899" i="1"/>
  <c r="EP28" i="1"/>
  <c r="EP112" i="1"/>
  <c r="EP113" i="1"/>
  <c r="EP1636" i="1"/>
  <c r="EP1637" i="1"/>
  <c r="EP537" i="1"/>
  <c r="EP114" i="1"/>
  <c r="EP490" i="1"/>
  <c r="EP489" i="1"/>
  <c r="EP487" i="1"/>
  <c r="EP491" i="1"/>
  <c r="EP488" i="1"/>
  <c r="EP492" i="1"/>
  <c r="EP29" i="1"/>
  <c r="EP154" i="1"/>
  <c r="EQ656" i="1"/>
  <c r="ER1608" i="1"/>
  <c r="EQ1608" i="1"/>
  <c r="DZ1608" i="1"/>
  <c r="DY1608" i="1"/>
  <c r="DS1608" i="1"/>
  <c r="DR1608" i="1"/>
  <c r="DQ1608" i="1"/>
  <c r="DP1608" i="1"/>
  <c r="DN1608" i="1"/>
  <c r="DO1608" i="1" s="1"/>
  <c r="DH1608" i="1"/>
  <c r="DC1608" i="1"/>
  <c r="BU1608" i="1"/>
  <c r="BX1608" i="1" s="1"/>
  <c r="BZ1608" i="1" s="1"/>
  <c r="BN1608" i="1"/>
  <c r="BM1608" i="1"/>
  <c r="BF1608" i="1"/>
  <c r="BE1608" i="1"/>
  <c r="BD1608" i="1"/>
  <c r="BC1608" i="1"/>
  <c r="BB1608" i="1"/>
  <c r="BA1608" i="1"/>
  <c r="BG1608" i="1" s="1" a="1"/>
  <c r="BG1608" i="1" s="1"/>
  <c r="AZ1608" i="1"/>
  <c r="M1608" i="1"/>
  <c r="ER1606" i="1"/>
  <c r="EQ1606" i="1"/>
  <c r="DZ1606" i="1"/>
  <c r="DY1606" i="1"/>
  <c r="DS1606" i="1"/>
  <c r="DR1606" i="1"/>
  <c r="DQ1606" i="1"/>
  <c r="DP1606" i="1"/>
  <c r="DN1606" i="1"/>
  <c r="DO1606" i="1" s="1"/>
  <c r="DH1606" i="1"/>
  <c r="DC1606" i="1"/>
  <c r="BU1606" i="1"/>
  <c r="BX1606" i="1" s="1"/>
  <c r="BZ1606" i="1" s="1"/>
  <c r="BN1606" i="1"/>
  <c r="BM1606" i="1"/>
  <c r="BF1606" i="1"/>
  <c r="BE1606" i="1"/>
  <c r="BD1606" i="1"/>
  <c r="BC1606" i="1"/>
  <c r="BB1606" i="1"/>
  <c r="BA1606" i="1"/>
  <c r="BG1606" i="1" s="1" a="1"/>
  <c r="BG1606" i="1" s="1"/>
  <c r="AZ1606" i="1"/>
  <c r="M1606" i="1"/>
  <c r="ER1607" i="1"/>
  <c r="EQ1607" i="1"/>
  <c r="DZ1607" i="1"/>
  <c r="DY1607" i="1"/>
  <c r="DS1607" i="1"/>
  <c r="DR1607" i="1"/>
  <c r="DQ1607" i="1"/>
  <c r="DP1607" i="1"/>
  <c r="DN1607" i="1"/>
  <c r="DO1607" i="1" s="1"/>
  <c r="DH1607" i="1"/>
  <c r="DC1607" i="1"/>
  <c r="BU1607" i="1"/>
  <c r="BX1607" i="1" s="1"/>
  <c r="BZ1607" i="1" s="1"/>
  <c r="BN1607" i="1"/>
  <c r="BM1607" i="1"/>
  <c r="BF1607" i="1"/>
  <c r="BE1607" i="1"/>
  <c r="BD1607" i="1"/>
  <c r="BC1607" i="1"/>
  <c r="BB1607" i="1"/>
  <c r="BA1607" i="1"/>
  <c r="BG1607" i="1" s="1" a="1"/>
  <c r="BG1607" i="1" s="1"/>
  <c r="AZ1607" i="1"/>
  <c r="M1607" i="1"/>
  <c r="ER890" i="1"/>
  <c r="EQ890" i="1"/>
  <c r="DZ890" i="1"/>
  <c r="DY890" i="1"/>
  <c r="DS890" i="1"/>
  <c r="DR890" i="1"/>
  <c r="DQ890" i="1"/>
  <c r="DP890" i="1"/>
  <c r="DN890" i="1"/>
  <c r="DO890" i="1" s="1"/>
  <c r="DH890" i="1"/>
  <c r="DC890" i="1"/>
  <c r="CP890" i="1"/>
  <c r="CR890" i="1" s="1"/>
  <c r="BZ890" i="1"/>
  <c r="BV890" i="1"/>
  <c r="BU890" i="1"/>
  <c r="BP890" i="1"/>
  <c r="BQ890" i="1" s="1"/>
  <c r="BO890" i="1"/>
  <c r="BF890" i="1"/>
  <c r="BE890" i="1"/>
  <c r="BD890" i="1"/>
  <c r="BC890" i="1"/>
  <c r="BB890" i="1"/>
  <c r="BA890" i="1"/>
  <c r="BG890" i="1" s="1" a="1"/>
  <c r="BG890" i="1" s="1"/>
  <c r="AZ890" i="1"/>
  <c r="M890" i="1"/>
  <c r="ER892" i="1"/>
  <c r="EQ892" i="1"/>
  <c r="DZ892" i="1"/>
  <c r="DY892" i="1"/>
  <c r="DS892" i="1"/>
  <c r="DR892" i="1"/>
  <c r="DQ892" i="1"/>
  <c r="DP892" i="1"/>
  <c r="DN892" i="1"/>
  <c r="DO892" i="1" s="1"/>
  <c r="DH892" i="1"/>
  <c r="DC892" i="1"/>
  <c r="CP892" i="1"/>
  <c r="BZ892" i="1"/>
  <c r="BV892" i="1"/>
  <c r="BP892" i="1"/>
  <c r="BQ892" i="1" s="1"/>
  <c r="BO892" i="1"/>
  <c r="BF892" i="1"/>
  <c r="BE892" i="1"/>
  <c r="BD892" i="1"/>
  <c r="BC892" i="1"/>
  <c r="BB892" i="1"/>
  <c r="BA892" i="1"/>
  <c r="BG892" i="1" s="1" a="1"/>
  <c r="BG892" i="1" s="1"/>
  <c r="AZ892" i="1"/>
  <c r="M892" i="1"/>
  <c r="ER891" i="1"/>
  <c r="EQ891" i="1"/>
  <c r="DZ891" i="1"/>
  <c r="DY891" i="1"/>
  <c r="DS891" i="1"/>
  <c r="DR891" i="1"/>
  <c r="DQ891" i="1"/>
  <c r="DP891" i="1"/>
  <c r="DN891" i="1"/>
  <c r="DO891" i="1" s="1"/>
  <c r="DH891" i="1"/>
  <c r="DC891" i="1"/>
  <c r="CP891" i="1"/>
  <c r="BZ891" i="1"/>
  <c r="BU891" i="1"/>
  <c r="BP891" i="1"/>
  <c r="BQ891" i="1" s="1"/>
  <c r="BO891" i="1"/>
  <c r="BF891" i="1"/>
  <c r="BE891" i="1"/>
  <c r="BD891" i="1"/>
  <c r="BC891" i="1"/>
  <c r="BB891" i="1"/>
  <c r="BA891" i="1"/>
  <c r="BG891" i="1" s="1" a="1"/>
  <c r="BG891" i="1" s="1"/>
  <c r="AZ891" i="1"/>
  <c r="M891" i="1"/>
  <c r="ER889" i="1"/>
  <c r="EQ889" i="1"/>
  <c r="DZ889" i="1"/>
  <c r="DY889" i="1"/>
  <c r="DS889" i="1"/>
  <c r="DR889" i="1"/>
  <c r="DQ889" i="1"/>
  <c r="DP889" i="1"/>
  <c r="DN889" i="1"/>
  <c r="DO889" i="1" s="1"/>
  <c r="DH889" i="1"/>
  <c r="DC889" i="1"/>
  <c r="CP889" i="1"/>
  <c r="CV889" i="1" s="1"/>
  <c r="BZ889" i="1"/>
  <c r="BU889" i="1"/>
  <c r="BP889" i="1"/>
  <c r="BQ889" i="1" s="1"/>
  <c r="BO889" i="1"/>
  <c r="BF889" i="1"/>
  <c r="BE889" i="1"/>
  <c r="BD889" i="1"/>
  <c r="BC889" i="1"/>
  <c r="BB889" i="1"/>
  <c r="BA889" i="1"/>
  <c r="BG889" i="1" s="1" a="1"/>
  <c r="BG889" i="1" s="1"/>
  <c r="AZ889" i="1"/>
  <c r="M889" i="1"/>
  <c r="ER893" i="1"/>
  <c r="EQ893" i="1"/>
  <c r="DZ893" i="1"/>
  <c r="DY893" i="1"/>
  <c r="DS893" i="1"/>
  <c r="DR893" i="1"/>
  <c r="DQ893" i="1"/>
  <c r="DP893" i="1"/>
  <c r="DN893" i="1"/>
  <c r="DO893" i="1" s="1"/>
  <c r="DH893" i="1"/>
  <c r="DC893" i="1"/>
  <c r="CP893" i="1"/>
  <c r="CR893" i="1" s="1"/>
  <c r="BZ893" i="1"/>
  <c r="BP893" i="1"/>
  <c r="BQ893" i="1" s="1"/>
  <c r="BO893" i="1"/>
  <c r="BF893" i="1"/>
  <c r="BE893" i="1"/>
  <c r="BD893" i="1"/>
  <c r="BC893" i="1"/>
  <c r="BB893" i="1"/>
  <c r="BA893" i="1"/>
  <c r="BG893" i="1" s="1" a="1"/>
  <c r="BG893" i="1" s="1"/>
  <c r="AZ893" i="1"/>
  <c r="M893" i="1"/>
  <c r="ER894" i="1"/>
  <c r="EQ894" i="1"/>
  <c r="DZ894" i="1"/>
  <c r="DY894" i="1"/>
  <c r="DS894" i="1"/>
  <c r="DR894" i="1"/>
  <c r="DQ894" i="1"/>
  <c r="DP894" i="1"/>
  <c r="DN894" i="1"/>
  <c r="DO894" i="1" s="1"/>
  <c r="DH894" i="1"/>
  <c r="DC894" i="1"/>
  <c r="CP894" i="1"/>
  <c r="BZ894" i="1"/>
  <c r="BP894" i="1"/>
  <c r="BQ894" i="1" s="1"/>
  <c r="BO894" i="1"/>
  <c r="BF894" i="1"/>
  <c r="BE894" i="1"/>
  <c r="BD894" i="1"/>
  <c r="BC894" i="1"/>
  <c r="BB894" i="1"/>
  <c r="BA894" i="1"/>
  <c r="BG894" i="1" s="1" a="1"/>
  <c r="BG894" i="1" s="1"/>
  <c r="AZ894" i="1"/>
  <c r="M894" i="1"/>
  <c r="ER895" i="1"/>
  <c r="EQ895" i="1"/>
  <c r="DZ895" i="1"/>
  <c r="DY895" i="1"/>
  <c r="DS895" i="1"/>
  <c r="DR895" i="1"/>
  <c r="DQ895" i="1"/>
  <c r="DP895" i="1"/>
  <c r="DN895" i="1"/>
  <c r="DO895" i="1" s="1"/>
  <c r="DH895" i="1"/>
  <c r="DC895" i="1"/>
  <c r="CP895" i="1"/>
  <c r="BZ895" i="1"/>
  <c r="BP895" i="1"/>
  <c r="BQ895" i="1" s="1"/>
  <c r="BO895" i="1"/>
  <c r="BF895" i="1"/>
  <c r="BE895" i="1"/>
  <c r="BD895" i="1"/>
  <c r="BC895" i="1"/>
  <c r="BB895" i="1"/>
  <c r="BA895" i="1"/>
  <c r="BG895" i="1" s="1" a="1"/>
  <c r="BG895" i="1" s="1"/>
  <c r="AZ895" i="1"/>
  <c r="M895" i="1"/>
  <c r="ER897" i="1"/>
  <c r="EQ897" i="1"/>
  <c r="DZ897" i="1"/>
  <c r="DY897" i="1"/>
  <c r="DS897" i="1"/>
  <c r="DR897" i="1"/>
  <c r="DQ897" i="1"/>
  <c r="DP897" i="1"/>
  <c r="DN897" i="1"/>
  <c r="DO897" i="1" s="1"/>
  <c r="DH897" i="1"/>
  <c r="DC897" i="1"/>
  <c r="CP897" i="1"/>
  <c r="BZ897" i="1"/>
  <c r="BV897" i="1"/>
  <c r="BU897" i="1"/>
  <c r="BP897" i="1"/>
  <c r="BQ897" i="1" s="1"/>
  <c r="BO897" i="1"/>
  <c r="BF897" i="1"/>
  <c r="BE897" i="1"/>
  <c r="BD897" i="1"/>
  <c r="BC897" i="1"/>
  <c r="BB897" i="1"/>
  <c r="BA897" i="1"/>
  <c r="BG897" i="1" s="1" a="1"/>
  <c r="BG897" i="1" s="1"/>
  <c r="AZ897" i="1"/>
  <c r="M897" i="1"/>
  <c r="ER896" i="1"/>
  <c r="EQ896" i="1"/>
  <c r="DZ896" i="1"/>
  <c r="DY896" i="1"/>
  <c r="DS896" i="1"/>
  <c r="DR896" i="1"/>
  <c r="DQ896" i="1"/>
  <c r="DP896" i="1"/>
  <c r="DN896" i="1"/>
  <c r="DO896" i="1" s="1"/>
  <c r="DH896" i="1"/>
  <c r="DC896" i="1"/>
  <c r="CP896" i="1"/>
  <c r="CV896" i="1" s="1"/>
  <c r="BZ896" i="1"/>
  <c r="BP896" i="1"/>
  <c r="BQ896" i="1" s="1"/>
  <c r="BO896" i="1"/>
  <c r="BF896" i="1"/>
  <c r="BE896" i="1"/>
  <c r="BD896" i="1"/>
  <c r="BC896" i="1"/>
  <c r="BB896" i="1"/>
  <c r="BA896" i="1"/>
  <c r="BG896" i="1" s="1" a="1"/>
  <c r="BG896" i="1" s="1"/>
  <c r="AZ896" i="1"/>
  <c r="M896" i="1"/>
  <c r="ER898" i="1"/>
  <c r="EQ898" i="1"/>
  <c r="DZ898" i="1"/>
  <c r="DY898" i="1"/>
  <c r="DS898" i="1"/>
  <c r="DR898" i="1"/>
  <c r="DQ898" i="1"/>
  <c r="DP898" i="1"/>
  <c r="DN898" i="1"/>
  <c r="DO898" i="1" s="1"/>
  <c r="DH898" i="1"/>
  <c r="DC898" i="1"/>
  <c r="CP898" i="1"/>
  <c r="BZ898" i="1"/>
  <c r="BP898" i="1"/>
  <c r="BQ898" i="1" s="1"/>
  <c r="BO898" i="1"/>
  <c r="BF898" i="1"/>
  <c r="BE898" i="1"/>
  <c r="BD898" i="1"/>
  <c r="BC898" i="1"/>
  <c r="BB898" i="1"/>
  <c r="BA898" i="1"/>
  <c r="BG898" i="1" s="1" a="1"/>
  <c r="BG898" i="1" s="1"/>
  <c r="AZ898" i="1"/>
  <c r="M898" i="1"/>
  <c r="ER1603" i="1"/>
  <c r="EQ1603" i="1"/>
  <c r="DZ1603" i="1"/>
  <c r="DY1603" i="1"/>
  <c r="DS1603" i="1"/>
  <c r="DR1603" i="1"/>
  <c r="DQ1603" i="1"/>
  <c r="DP1603" i="1"/>
  <c r="DN1603" i="1"/>
  <c r="DO1603" i="1" s="1"/>
  <c r="DH1603" i="1"/>
  <c r="DC1603" i="1"/>
  <c r="BV1603" i="1"/>
  <c r="BU1603" i="1"/>
  <c r="BN1603" i="1"/>
  <c r="BM1603" i="1"/>
  <c r="BF1603" i="1"/>
  <c r="BE1603" i="1"/>
  <c r="BD1603" i="1"/>
  <c r="BC1603" i="1"/>
  <c r="BB1603" i="1"/>
  <c r="BA1603" i="1"/>
  <c r="BG1603" i="1" s="1" a="1"/>
  <c r="BG1603" i="1" s="1"/>
  <c r="AZ1603" i="1"/>
  <c r="M1603" i="1"/>
  <c r="ER1605" i="1"/>
  <c r="EQ1605" i="1"/>
  <c r="DZ1605" i="1"/>
  <c r="DY1605" i="1"/>
  <c r="DS1605" i="1"/>
  <c r="DR1605" i="1"/>
  <c r="DQ1605" i="1"/>
  <c r="DP1605" i="1"/>
  <c r="DN1605" i="1"/>
  <c r="DO1605" i="1" s="1"/>
  <c r="DH1605" i="1"/>
  <c r="DC1605" i="1"/>
  <c r="BV1605" i="1"/>
  <c r="BU1605" i="1"/>
  <c r="BN1605" i="1"/>
  <c r="BM1605" i="1"/>
  <c r="BF1605" i="1"/>
  <c r="BE1605" i="1"/>
  <c r="BD1605" i="1"/>
  <c r="BC1605" i="1"/>
  <c r="BB1605" i="1"/>
  <c r="BA1605" i="1"/>
  <c r="BG1605" i="1" s="1" a="1"/>
  <c r="BG1605" i="1" s="1"/>
  <c r="AZ1605" i="1"/>
  <c r="M1605" i="1"/>
  <c r="ER1604" i="1"/>
  <c r="EQ1604" i="1"/>
  <c r="DZ1604" i="1"/>
  <c r="DY1604" i="1"/>
  <c r="DS1604" i="1"/>
  <c r="DR1604" i="1"/>
  <c r="DQ1604" i="1"/>
  <c r="DP1604" i="1"/>
  <c r="DN1604" i="1"/>
  <c r="DO1604" i="1" s="1"/>
  <c r="DH1604" i="1"/>
  <c r="DC1604" i="1"/>
  <c r="BV1604" i="1"/>
  <c r="BU1604" i="1"/>
  <c r="BN1604" i="1"/>
  <c r="BM1604" i="1"/>
  <c r="BF1604" i="1"/>
  <c r="BE1604" i="1"/>
  <c r="BD1604" i="1"/>
  <c r="BC1604" i="1"/>
  <c r="BB1604" i="1"/>
  <c r="BA1604" i="1"/>
  <c r="BG1604" i="1" s="1" a="1"/>
  <c r="BG1604" i="1" s="1"/>
  <c r="AZ1604" i="1"/>
  <c r="M1604" i="1"/>
  <c r="ER1602" i="1"/>
  <c r="EQ1602" i="1"/>
  <c r="DZ1602" i="1"/>
  <c r="DY1602" i="1"/>
  <c r="DS1602" i="1"/>
  <c r="DR1602" i="1"/>
  <c r="DQ1602" i="1"/>
  <c r="DP1602" i="1"/>
  <c r="DN1602" i="1"/>
  <c r="DO1602" i="1" s="1"/>
  <c r="DH1602" i="1"/>
  <c r="DC1602" i="1"/>
  <c r="BV1602" i="1"/>
  <c r="BU1602" i="1"/>
  <c r="BN1602" i="1"/>
  <c r="BM1602" i="1"/>
  <c r="BF1602" i="1"/>
  <c r="BE1602" i="1"/>
  <c r="BD1602" i="1"/>
  <c r="BC1602" i="1"/>
  <c r="BB1602" i="1"/>
  <c r="BA1602" i="1"/>
  <c r="BG1602" i="1" s="1" a="1"/>
  <c r="BG1602" i="1" s="1"/>
  <c r="AZ1602" i="1"/>
  <c r="M1602" i="1"/>
  <c r="ER1601" i="1"/>
  <c r="EQ1601" i="1"/>
  <c r="DZ1601" i="1"/>
  <c r="DY1601" i="1"/>
  <c r="DS1601" i="1"/>
  <c r="DR1601" i="1"/>
  <c r="DQ1601" i="1"/>
  <c r="DP1601" i="1"/>
  <c r="DN1601" i="1"/>
  <c r="DO1601" i="1" s="1"/>
  <c r="DH1601" i="1"/>
  <c r="DC1601" i="1"/>
  <c r="BV1601" i="1"/>
  <c r="BU1601" i="1"/>
  <c r="BN1601" i="1"/>
  <c r="BM1601" i="1"/>
  <c r="BF1601" i="1"/>
  <c r="BE1601" i="1"/>
  <c r="BD1601" i="1"/>
  <c r="BC1601" i="1"/>
  <c r="BB1601" i="1"/>
  <c r="BA1601" i="1"/>
  <c r="BG1601" i="1" s="1" a="1"/>
  <c r="BG1601" i="1" s="1"/>
  <c r="AZ1601" i="1"/>
  <c r="M1601" i="1"/>
  <c r="ER712" i="1"/>
  <c r="EQ712" i="1"/>
  <c r="DZ712" i="1"/>
  <c r="DY712" i="1"/>
  <c r="DS712" i="1"/>
  <c r="DR712" i="1"/>
  <c r="DQ712" i="1"/>
  <c r="DP712" i="1"/>
  <c r="DN712" i="1"/>
  <c r="DO712" i="1" s="1"/>
  <c r="DH712" i="1"/>
  <c r="DC712" i="1"/>
  <c r="BX712" i="1"/>
  <c r="BZ712" i="1" s="1"/>
  <c r="BW712" i="1"/>
  <c r="BN712" i="1"/>
  <c r="BM712" i="1"/>
  <c r="BF712" i="1"/>
  <c r="BE712" i="1"/>
  <c r="BD712" i="1"/>
  <c r="BC712" i="1"/>
  <c r="BB712" i="1"/>
  <c r="BA712" i="1"/>
  <c r="AZ712" i="1"/>
  <c r="M712" i="1"/>
  <c r="ER874" i="1"/>
  <c r="EQ874" i="1"/>
  <c r="DZ874" i="1"/>
  <c r="DY874" i="1"/>
  <c r="DS874" i="1"/>
  <c r="DR874" i="1"/>
  <c r="DQ874" i="1"/>
  <c r="DP874" i="1"/>
  <c r="DN874" i="1"/>
  <c r="DO874" i="1" s="1"/>
  <c r="DH874" i="1"/>
  <c r="DC874" i="1"/>
  <c r="CP874" i="1"/>
  <c r="CR874" i="1" s="1"/>
  <c r="BX874" i="1"/>
  <c r="BZ874" i="1" s="1"/>
  <c r="BW874" i="1"/>
  <c r="BP874" i="1"/>
  <c r="BQ874" i="1" s="1"/>
  <c r="BO874" i="1"/>
  <c r="BF874" i="1"/>
  <c r="BE874" i="1"/>
  <c r="BD874" i="1"/>
  <c r="BC874" i="1"/>
  <c r="BB874" i="1"/>
  <c r="BA874" i="1"/>
  <c r="BG874" i="1" s="1" a="1"/>
  <c r="BG874" i="1" s="1"/>
  <c r="AZ874" i="1"/>
  <c r="M874" i="1"/>
  <c r="ER870" i="1"/>
  <c r="EQ870" i="1"/>
  <c r="DZ870" i="1"/>
  <c r="DY870" i="1"/>
  <c r="DS870" i="1"/>
  <c r="DR870" i="1"/>
  <c r="DQ870" i="1"/>
  <c r="DP870" i="1"/>
  <c r="DN870" i="1"/>
  <c r="DO870" i="1" s="1"/>
  <c r="DH870" i="1"/>
  <c r="DC870" i="1"/>
  <c r="CP870" i="1"/>
  <c r="CQ870" i="1" s="1"/>
  <c r="BX870" i="1"/>
  <c r="BZ870" i="1" s="1"/>
  <c r="BW870" i="1"/>
  <c r="BP870" i="1"/>
  <c r="BQ870" i="1" s="1"/>
  <c r="BO870" i="1"/>
  <c r="BF870" i="1"/>
  <c r="BE870" i="1"/>
  <c r="BD870" i="1"/>
  <c r="BC870" i="1"/>
  <c r="BB870" i="1"/>
  <c r="BA870" i="1"/>
  <c r="BG870" i="1" s="1" a="1"/>
  <c r="BG870" i="1" s="1"/>
  <c r="AZ870" i="1"/>
  <c r="M870" i="1"/>
  <c r="ER869" i="1"/>
  <c r="EQ869" i="1"/>
  <c r="DZ869" i="1"/>
  <c r="DY869" i="1"/>
  <c r="DS869" i="1"/>
  <c r="DR869" i="1"/>
  <c r="DQ869" i="1"/>
  <c r="DP869" i="1"/>
  <c r="DN869" i="1"/>
  <c r="DO869" i="1" s="1"/>
  <c r="DH869" i="1"/>
  <c r="DC869" i="1"/>
  <c r="CP869" i="1"/>
  <c r="CV869" i="1" s="1"/>
  <c r="BX869" i="1"/>
  <c r="BZ869" i="1" s="1"/>
  <c r="BW869" i="1"/>
  <c r="BP869" i="1"/>
  <c r="BQ869" i="1" s="1"/>
  <c r="BO869" i="1"/>
  <c r="BF869" i="1"/>
  <c r="BE869" i="1"/>
  <c r="BD869" i="1"/>
  <c r="BC869" i="1"/>
  <c r="BB869" i="1"/>
  <c r="BA869" i="1"/>
  <c r="BG869" i="1" s="1" a="1"/>
  <c r="BG869" i="1" s="1"/>
  <c r="AZ869" i="1"/>
  <c r="M869" i="1"/>
  <c r="ER872" i="1"/>
  <c r="EQ872" i="1"/>
  <c r="DZ872" i="1"/>
  <c r="DY872" i="1"/>
  <c r="DS872" i="1"/>
  <c r="DR872" i="1"/>
  <c r="DQ872" i="1"/>
  <c r="DP872" i="1"/>
  <c r="DN872" i="1"/>
  <c r="DO872" i="1" s="1"/>
  <c r="DH872" i="1"/>
  <c r="DC872" i="1"/>
  <c r="CP872" i="1"/>
  <c r="CR872" i="1" s="1"/>
  <c r="BX872" i="1"/>
  <c r="BZ872" i="1" s="1"/>
  <c r="BW872" i="1"/>
  <c r="BP872" i="1"/>
  <c r="BQ872" i="1" s="1"/>
  <c r="BO872" i="1"/>
  <c r="BF872" i="1"/>
  <c r="BE872" i="1"/>
  <c r="BD872" i="1"/>
  <c r="BC872" i="1"/>
  <c r="BB872" i="1"/>
  <c r="BA872" i="1"/>
  <c r="BG872" i="1" s="1" a="1"/>
  <c r="BG872" i="1" s="1"/>
  <c r="AZ872" i="1"/>
  <c r="M872" i="1"/>
  <c r="ER873" i="1"/>
  <c r="EQ873" i="1"/>
  <c r="DZ873" i="1"/>
  <c r="DY873" i="1"/>
  <c r="DS873" i="1"/>
  <c r="DR873" i="1"/>
  <c r="DQ873" i="1"/>
  <c r="DP873" i="1"/>
  <c r="DN873" i="1"/>
  <c r="DO873" i="1" s="1"/>
  <c r="DH873" i="1"/>
  <c r="DC873" i="1"/>
  <c r="CP873" i="1"/>
  <c r="CV873" i="1" s="1"/>
  <c r="BX873" i="1"/>
  <c r="BZ873" i="1" s="1"/>
  <c r="BW873" i="1"/>
  <c r="BP873" i="1"/>
  <c r="BQ873" i="1" s="1"/>
  <c r="BO873" i="1"/>
  <c r="BF873" i="1"/>
  <c r="BE873" i="1"/>
  <c r="BD873" i="1"/>
  <c r="BC873" i="1"/>
  <c r="BB873" i="1"/>
  <c r="BA873" i="1"/>
  <c r="BG873" i="1" s="1" a="1"/>
  <c r="BG873" i="1" s="1"/>
  <c r="AZ873" i="1"/>
  <c r="M873" i="1"/>
  <c r="ER875" i="1"/>
  <c r="EQ875" i="1"/>
  <c r="DZ875" i="1"/>
  <c r="DY875" i="1"/>
  <c r="DS875" i="1"/>
  <c r="DR875" i="1"/>
  <c r="DQ875" i="1"/>
  <c r="DP875" i="1"/>
  <c r="DN875" i="1"/>
  <c r="DO875" i="1" s="1"/>
  <c r="DH875" i="1"/>
  <c r="DC875" i="1"/>
  <c r="CP875" i="1"/>
  <c r="BX875" i="1"/>
  <c r="BZ875" i="1" s="1"/>
  <c r="BW875" i="1"/>
  <c r="BP875" i="1"/>
  <c r="BQ875" i="1" s="1"/>
  <c r="BO875" i="1"/>
  <c r="BF875" i="1"/>
  <c r="BE875" i="1"/>
  <c r="BD875" i="1"/>
  <c r="BC875" i="1"/>
  <c r="BB875" i="1"/>
  <c r="BA875" i="1"/>
  <c r="BG875" i="1" s="1" a="1"/>
  <c r="BG875" i="1" s="1"/>
  <c r="AZ875" i="1"/>
  <c r="M875" i="1"/>
  <c r="ER876" i="1"/>
  <c r="EQ876" i="1"/>
  <c r="DZ876" i="1"/>
  <c r="DY876" i="1"/>
  <c r="DS876" i="1"/>
  <c r="DR876" i="1"/>
  <c r="DQ876" i="1"/>
  <c r="DP876" i="1"/>
  <c r="DN876" i="1"/>
  <c r="DO876" i="1" s="1"/>
  <c r="DH876" i="1"/>
  <c r="DC876" i="1"/>
  <c r="CP876" i="1"/>
  <c r="CV876" i="1" s="1"/>
  <c r="BX876" i="1"/>
  <c r="BZ876" i="1" s="1"/>
  <c r="BW876" i="1"/>
  <c r="BP876" i="1"/>
  <c r="BQ876" i="1" s="1"/>
  <c r="BO876" i="1"/>
  <c r="BF876" i="1"/>
  <c r="BE876" i="1"/>
  <c r="BD876" i="1"/>
  <c r="BC876" i="1"/>
  <c r="BB876" i="1"/>
  <c r="BA876" i="1"/>
  <c r="BG876" i="1" s="1" a="1"/>
  <c r="BG876" i="1" s="1"/>
  <c r="AZ876" i="1"/>
  <c r="M876" i="1"/>
  <c r="ER871" i="1"/>
  <c r="EQ871" i="1"/>
  <c r="DZ871" i="1"/>
  <c r="DY871" i="1"/>
  <c r="DS871" i="1"/>
  <c r="DR871" i="1"/>
  <c r="DQ871" i="1"/>
  <c r="DP871" i="1"/>
  <c r="DN871" i="1"/>
  <c r="DO871" i="1" s="1"/>
  <c r="DH871" i="1"/>
  <c r="DC871" i="1"/>
  <c r="CP871" i="1"/>
  <c r="BX871" i="1"/>
  <c r="BZ871" i="1" s="1"/>
  <c r="BW871" i="1"/>
  <c r="BP871" i="1"/>
  <c r="BQ871" i="1" s="1"/>
  <c r="BO871" i="1"/>
  <c r="BF871" i="1"/>
  <c r="BE871" i="1"/>
  <c r="BD871" i="1"/>
  <c r="BC871" i="1"/>
  <c r="BB871" i="1"/>
  <c r="BA871" i="1"/>
  <c r="BG871" i="1" s="1" a="1"/>
  <c r="BG871" i="1" s="1"/>
  <c r="AZ871" i="1"/>
  <c r="M871" i="1"/>
  <c r="ER866" i="1"/>
  <c r="EQ866" i="1"/>
  <c r="DZ866" i="1"/>
  <c r="DY866" i="1"/>
  <c r="DS866" i="1"/>
  <c r="DR866" i="1"/>
  <c r="DQ866" i="1"/>
  <c r="DP866" i="1"/>
  <c r="DN866" i="1"/>
  <c r="DO866" i="1" s="1"/>
  <c r="DH866" i="1"/>
  <c r="DC866" i="1"/>
  <c r="CP866" i="1"/>
  <c r="CQ866" i="1" s="1"/>
  <c r="BX866" i="1"/>
  <c r="BZ866" i="1" s="1"/>
  <c r="BW866" i="1"/>
  <c r="BP866" i="1"/>
  <c r="BQ866" i="1" s="1"/>
  <c r="BO866" i="1"/>
  <c r="BF866" i="1"/>
  <c r="BE866" i="1"/>
  <c r="BD866" i="1"/>
  <c r="BC866" i="1"/>
  <c r="BB866" i="1"/>
  <c r="BA866" i="1"/>
  <c r="BG866" i="1" s="1" a="1"/>
  <c r="BG866" i="1" s="1"/>
  <c r="AZ866" i="1"/>
  <c r="M866" i="1"/>
  <c r="ER868" i="1"/>
  <c r="EQ868" i="1"/>
  <c r="DZ868" i="1"/>
  <c r="DY868" i="1"/>
  <c r="DS868" i="1"/>
  <c r="DR868" i="1"/>
  <c r="DQ868" i="1"/>
  <c r="DP868" i="1"/>
  <c r="DN868" i="1"/>
  <c r="DO868" i="1" s="1"/>
  <c r="DH868" i="1"/>
  <c r="DC868" i="1"/>
  <c r="CP868" i="1"/>
  <c r="CR868" i="1" s="1"/>
  <c r="BX868" i="1"/>
  <c r="BZ868" i="1" s="1"/>
  <c r="BW868" i="1"/>
  <c r="BP868" i="1"/>
  <c r="BQ868" i="1" s="1"/>
  <c r="BO868" i="1"/>
  <c r="BF868" i="1"/>
  <c r="BE868" i="1"/>
  <c r="BD868" i="1"/>
  <c r="BC868" i="1"/>
  <c r="BB868" i="1"/>
  <c r="BA868" i="1"/>
  <c r="BG868" i="1" s="1" a="1"/>
  <c r="BG868" i="1" s="1"/>
  <c r="AZ868" i="1"/>
  <c r="M868" i="1"/>
  <c r="ER864" i="1"/>
  <c r="EQ864" i="1"/>
  <c r="DZ864" i="1"/>
  <c r="DY864" i="1"/>
  <c r="DS864" i="1"/>
  <c r="DR864" i="1"/>
  <c r="DQ864" i="1"/>
  <c r="DP864" i="1"/>
  <c r="DN864" i="1"/>
  <c r="DO864" i="1" s="1"/>
  <c r="DH864" i="1"/>
  <c r="DC864" i="1"/>
  <c r="CP864" i="1"/>
  <c r="BX864" i="1"/>
  <c r="BZ864" i="1" s="1"/>
  <c r="BW864" i="1"/>
  <c r="BP864" i="1"/>
  <c r="BQ864" i="1" s="1"/>
  <c r="BO864" i="1"/>
  <c r="BF864" i="1"/>
  <c r="BE864" i="1"/>
  <c r="BD864" i="1"/>
  <c r="BC864" i="1"/>
  <c r="BB864" i="1"/>
  <c r="BA864" i="1"/>
  <c r="BG864" i="1" s="1" a="1"/>
  <c r="BG864" i="1" s="1"/>
  <c r="AZ864" i="1"/>
  <c r="M864" i="1"/>
  <c r="ER879" i="1"/>
  <c r="EQ879" i="1"/>
  <c r="DZ879" i="1"/>
  <c r="DY879" i="1"/>
  <c r="DS879" i="1"/>
  <c r="DR879" i="1"/>
  <c r="DQ879" i="1"/>
  <c r="DP879" i="1"/>
  <c r="DN879" i="1"/>
  <c r="DO879" i="1" s="1"/>
  <c r="DH879" i="1"/>
  <c r="DC879" i="1"/>
  <c r="CP879" i="1"/>
  <c r="CR879" i="1" s="1"/>
  <c r="BX879" i="1"/>
  <c r="BZ879" i="1" s="1"/>
  <c r="BW879" i="1"/>
  <c r="BP879" i="1"/>
  <c r="BQ879" i="1" s="1"/>
  <c r="BO879" i="1"/>
  <c r="BF879" i="1"/>
  <c r="BE879" i="1"/>
  <c r="BD879" i="1"/>
  <c r="BC879" i="1"/>
  <c r="BB879" i="1"/>
  <c r="BA879" i="1"/>
  <c r="BG879" i="1" s="1" a="1"/>
  <c r="BG879" i="1" s="1"/>
  <c r="AZ879" i="1"/>
  <c r="M879" i="1"/>
  <c r="ER877" i="1"/>
  <c r="EQ877" i="1"/>
  <c r="DZ877" i="1"/>
  <c r="DY877" i="1"/>
  <c r="DS877" i="1"/>
  <c r="DR877" i="1"/>
  <c r="DQ877" i="1"/>
  <c r="DP877" i="1"/>
  <c r="DN877" i="1"/>
  <c r="DO877" i="1" s="1"/>
  <c r="DH877" i="1"/>
  <c r="DC877" i="1"/>
  <c r="CP877" i="1"/>
  <c r="CR877" i="1" s="1"/>
  <c r="BX877" i="1"/>
  <c r="BZ877" i="1" s="1"/>
  <c r="BW877" i="1"/>
  <c r="BP877" i="1"/>
  <c r="BQ877" i="1" s="1"/>
  <c r="BO877" i="1"/>
  <c r="BF877" i="1"/>
  <c r="BE877" i="1"/>
  <c r="BD877" i="1"/>
  <c r="BC877" i="1"/>
  <c r="BB877" i="1"/>
  <c r="BA877" i="1"/>
  <c r="BG877" i="1" s="1" a="1"/>
  <c r="BG877" i="1" s="1"/>
  <c r="AZ877" i="1"/>
  <c r="M877" i="1"/>
  <c r="ER878" i="1"/>
  <c r="EQ878" i="1"/>
  <c r="DZ878" i="1"/>
  <c r="DY878" i="1"/>
  <c r="DS878" i="1"/>
  <c r="DR878" i="1"/>
  <c r="DQ878" i="1"/>
  <c r="DP878" i="1"/>
  <c r="DN878" i="1"/>
  <c r="DO878" i="1" s="1"/>
  <c r="DH878" i="1"/>
  <c r="DC878" i="1"/>
  <c r="CP878" i="1"/>
  <c r="CU878" i="1" s="1"/>
  <c r="BX878" i="1"/>
  <c r="BZ878" i="1" s="1"/>
  <c r="BW878" i="1"/>
  <c r="BP878" i="1"/>
  <c r="BQ878" i="1" s="1"/>
  <c r="BO878" i="1"/>
  <c r="BF878" i="1"/>
  <c r="BE878" i="1"/>
  <c r="BD878" i="1"/>
  <c r="BC878" i="1"/>
  <c r="BB878" i="1"/>
  <c r="BA878" i="1"/>
  <c r="BG878" i="1" s="1" a="1"/>
  <c r="BG878" i="1" s="1"/>
  <c r="AZ878" i="1"/>
  <c r="M878" i="1"/>
  <c r="ER880" i="1"/>
  <c r="EQ880" i="1"/>
  <c r="DZ880" i="1"/>
  <c r="DY880" i="1"/>
  <c r="DS880" i="1"/>
  <c r="DR880" i="1"/>
  <c r="DQ880" i="1"/>
  <c r="DP880" i="1"/>
  <c r="DN880" i="1"/>
  <c r="DO880" i="1" s="1"/>
  <c r="DH880" i="1"/>
  <c r="DC880" i="1"/>
  <c r="CP880" i="1"/>
  <c r="CR880" i="1" s="1"/>
  <c r="BX880" i="1"/>
  <c r="BZ880" i="1" s="1"/>
  <c r="BW880" i="1"/>
  <c r="BP880" i="1"/>
  <c r="BQ880" i="1" s="1"/>
  <c r="BO880" i="1"/>
  <c r="BF880" i="1"/>
  <c r="BE880" i="1"/>
  <c r="BD880" i="1"/>
  <c r="BC880" i="1"/>
  <c r="BB880" i="1"/>
  <c r="BA880" i="1"/>
  <c r="BG880" i="1" s="1" a="1"/>
  <c r="BG880" i="1" s="1"/>
  <c r="AZ880" i="1"/>
  <c r="M880" i="1"/>
  <c r="ER881" i="1"/>
  <c r="EQ881" i="1"/>
  <c r="DZ881" i="1"/>
  <c r="DY881" i="1"/>
  <c r="DS881" i="1"/>
  <c r="DR881" i="1"/>
  <c r="DQ881" i="1"/>
  <c r="DP881" i="1"/>
  <c r="DN881" i="1"/>
  <c r="DO881" i="1" s="1"/>
  <c r="DH881" i="1"/>
  <c r="DC881" i="1"/>
  <c r="CP881" i="1"/>
  <c r="BX881" i="1"/>
  <c r="BZ881" i="1" s="1"/>
  <c r="BW881" i="1"/>
  <c r="BP881" i="1"/>
  <c r="BQ881" i="1" s="1"/>
  <c r="BO881" i="1"/>
  <c r="BF881" i="1"/>
  <c r="BE881" i="1"/>
  <c r="BD881" i="1"/>
  <c r="BC881" i="1"/>
  <c r="BB881" i="1"/>
  <c r="BA881" i="1"/>
  <c r="BG881" i="1" s="1" a="1"/>
  <c r="BG881" i="1" s="1"/>
  <c r="AZ881" i="1"/>
  <c r="M881" i="1"/>
  <c r="ER882" i="1"/>
  <c r="EQ882" i="1"/>
  <c r="DZ882" i="1"/>
  <c r="DY882" i="1"/>
  <c r="DS882" i="1"/>
  <c r="DR882" i="1"/>
  <c r="DQ882" i="1"/>
  <c r="DP882" i="1"/>
  <c r="DN882" i="1"/>
  <c r="DO882" i="1" s="1"/>
  <c r="DH882" i="1"/>
  <c r="DC882" i="1"/>
  <c r="CP882" i="1"/>
  <c r="BX882" i="1"/>
  <c r="BZ882" i="1" s="1"/>
  <c r="BW882" i="1"/>
  <c r="BP882" i="1"/>
  <c r="BQ882" i="1" s="1"/>
  <c r="BO882" i="1"/>
  <c r="BF882" i="1"/>
  <c r="BE882" i="1"/>
  <c r="BD882" i="1"/>
  <c r="BC882" i="1"/>
  <c r="BB882" i="1"/>
  <c r="BA882" i="1"/>
  <c r="BG882" i="1" s="1" a="1"/>
  <c r="BG882" i="1" s="1"/>
  <c r="AZ882" i="1"/>
  <c r="M882" i="1"/>
  <c r="ER884" i="1"/>
  <c r="EQ884" i="1"/>
  <c r="DZ884" i="1"/>
  <c r="DY884" i="1"/>
  <c r="DS884" i="1"/>
  <c r="DR884" i="1"/>
  <c r="DQ884" i="1"/>
  <c r="DP884" i="1"/>
  <c r="DN884" i="1"/>
  <c r="DO884" i="1" s="1"/>
  <c r="DH884" i="1"/>
  <c r="DC884" i="1"/>
  <c r="CP884" i="1"/>
  <c r="BX884" i="1"/>
  <c r="BZ884" i="1" s="1"/>
  <c r="BW884" i="1"/>
  <c r="BP884" i="1"/>
  <c r="BQ884" i="1" s="1"/>
  <c r="BO884" i="1"/>
  <c r="BF884" i="1"/>
  <c r="BE884" i="1"/>
  <c r="BD884" i="1"/>
  <c r="BC884" i="1"/>
  <c r="BB884" i="1"/>
  <c r="BA884" i="1"/>
  <c r="BG884" i="1" s="1" a="1"/>
  <c r="BG884" i="1" s="1"/>
  <c r="AZ884" i="1"/>
  <c r="M884" i="1"/>
  <c r="ER883" i="1"/>
  <c r="EQ883" i="1"/>
  <c r="DZ883" i="1"/>
  <c r="DY883" i="1"/>
  <c r="DS883" i="1"/>
  <c r="DR883" i="1"/>
  <c r="DQ883" i="1"/>
  <c r="DP883" i="1"/>
  <c r="DN883" i="1"/>
  <c r="DO883" i="1" s="1"/>
  <c r="DH883" i="1"/>
  <c r="DC883" i="1"/>
  <c r="CP883" i="1"/>
  <c r="CV883" i="1" s="1"/>
  <c r="BX883" i="1"/>
  <c r="BZ883" i="1" s="1"/>
  <c r="BW883" i="1"/>
  <c r="BP883" i="1"/>
  <c r="BQ883" i="1" s="1"/>
  <c r="BO883" i="1"/>
  <c r="BF883" i="1"/>
  <c r="BE883" i="1"/>
  <c r="BD883" i="1"/>
  <c r="BC883" i="1"/>
  <c r="BB883" i="1"/>
  <c r="BA883" i="1"/>
  <c r="BG883" i="1" s="1" a="1"/>
  <c r="BG883" i="1" s="1"/>
  <c r="AZ883" i="1"/>
  <c r="M883" i="1"/>
  <c r="ER865" i="1"/>
  <c r="EQ865" i="1"/>
  <c r="DZ865" i="1"/>
  <c r="DY865" i="1"/>
  <c r="DS865" i="1"/>
  <c r="DR865" i="1"/>
  <c r="DQ865" i="1"/>
  <c r="DP865" i="1"/>
  <c r="DN865" i="1"/>
  <c r="DO865" i="1" s="1"/>
  <c r="DH865" i="1"/>
  <c r="DC865" i="1"/>
  <c r="CP865" i="1"/>
  <c r="BX865" i="1"/>
  <c r="BZ865" i="1" s="1"/>
  <c r="BW865" i="1"/>
  <c r="BP865" i="1"/>
  <c r="BQ865" i="1" s="1"/>
  <c r="BO865" i="1"/>
  <c r="BF865" i="1"/>
  <c r="BE865" i="1"/>
  <c r="BD865" i="1"/>
  <c r="BC865" i="1"/>
  <c r="BB865" i="1"/>
  <c r="BA865" i="1"/>
  <c r="BG865" i="1" s="1" a="1"/>
  <c r="BG865" i="1" s="1"/>
  <c r="AZ865" i="1"/>
  <c r="M865" i="1"/>
  <c r="ER867" i="1"/>
  <c r="EQ867" i="1"/>
  <c r="DZ867" i="1"/>
  <c r="DY867" i="1"/>
  <c r="DS867" i="1"/>
  <c r="DR867" i="1"/>
  <c r="DQ867" i="1"/>
  <c r="DP867" i="1"/>
  <c r="DN867" i="1"/>
  <c r="DO867" i="1" s="1"/>
  <c r="DH867" i="1"/>
  <c r="DC867" i="1"/>
  <c r="CP867" i="1"/>
  <c r="CR867" i="1" s="1"/>
  <c r="BX867" i="1"/>
  <c r="BZ867" i="1" s="1"/>
  <c r="BW867" i="1"/>
  <c r="BP867" i="1"/>
  <c r="BQ867" i="1" s="1"/>
  <c r="BO867" i="1"/>
  <c r="BF867" i="1"/>
  <c r="BE867" i="1"/>
  <c r="BD867" i="1"/>
  <c r="BC867" i="1"/>
  <c r="BB867" i="1"/>
  <c r="BA867" i="1"/>
  <c r="BG867" i="1" s="1" a="1"/>
  <c r="BG867" i="1" s="1"/>
  <c r="AZ867" i="1"/>
  <c r="M867" i="1"/>
  <c r="ER863" i="1"/>
  <c r="EQ863" i="1"/>
  <c r="DZ863" i="1"/>
  <c r="DY863" i="1"/>
  <c r="DS863" i="1"/>
  <c r="DR863" i="1"/>
  <c r="DQ863" i="1"/>
  <c r="DP863" i="1"/>
  <c r="DN863" i="1"/>
  <c r="DO863" i="1" s="1"/>
  <c r="DH863" i="1"/>
  <c r="DC863" i="1"/>
  <c r="CP863" i="1"/>
  <c r="CV863" i="1" s="1"/>
  <c r="BX863" i="1"/>
  <c r="BZ863" i="1" s="1"/>
  <c r="BW863" i="1"/>
  <c r="BP863" i="1"/>
  <c r="BQ863" i="1" s="1"/>
  <c r="BO863" i="1"/>
  <c r="BF863" i="1"/>
  <c r="BE863" i="1"/>
  <c r="BD863" i="1"/>
  <c r="BC863" i="1"/>
  <c r="BB863" i="1"/>
  <c r="BA863" i="1"/>
  <c r="BG863" i="1" s="1" a="1"/>
  <c r="BG863" i="1" s="1"/>
  <c r="AZ863" i="1"/>
  <c r="M863" i="1"/>
  <c r="ER601" i="1"/>
  <c r="EQ601" i="1"/>
  <c r="DZ601" i="1"/>
  <c r="DY601" i="1"/>
  <c r="DS601" i="1"/>
  <c r="DR601" i="1"/>
  <c r="DQ601" i="1"/>
  <c r="DP601" i="1"/>
  <c r="DN601" i="1"/>
  <c r="DO601" i="1" s="1"/>
  <c r="DH601" i="1"/>
  <c r="DC601" i="1"/>
  <c r="CP601" i="1"/>
  <c r="BZ601" i="1"/>
  <c r="BP601" i="1"/>
  <c r="BO601" i="1"/>
  <c r="BF601" i="1"/>
  <c r="BE601" i="1"/>
  <c r="BD601" i="1"/>
  <c r="BC601" i="1"/>
  <c r="BB601" i="1"/>
  <c r="BA601" i="1"/>
  <c r="BG601" i="1" s="1" a="1"/>
  <c r="BG601" i="1" s="1"/>
  <c r="AZ601" i="1"/>
  <c r="M601" i="1"/>
  <c r="ER598" i="1"/>
  <c r="EQ598" i="1"/>
  <c r="DZ598" i="1"/>
  <c r="DY598" i="1"/>
  <c r="DS598" i="1"/>
  <c r="DR598" i="1"/>
  <c r="DQ598" i="1"/>
  <c r="DP598" i="1"/>
  <c r="DN598" i="1"/>
  <c r="DO598" i="1" s="1"/>
  <c r="DH598" i="1"/>
  <c r="DC598" i="1"/>
  <c r="CP598" i="1"/>
  <c r="CS598" i="1" s="1"/>
  <c r="CT598" i="1" s="1"/>
  <c r="BZ598" i="1"/>
  <c r="CA598" i="1" s="1"/>
  <c r="EY598" i="1" s="1"/>
  <c r="BP598" i="1"/>
  <c r="BO598" i="1"/>
  <c r="BF598" i="1"/>
  <c r="BE598" i="1"/>
  <c r="BD598" i="1"/>
  <c r="BC598" i="1"/>
  <c r="BB598" i="1"/>
  <c r="BA598" i="1"/>
  <c r="BG598" i="1" s="1" a="1"/>
  <c r="BG598" i="1" s="1"/>
  <c r="AZ598" i="1"/>
  <c r="M598" i="1"/>
  <c r="ER603" i="1"/>
  <c r="EQ603" i="1"/>
  <c r="DZ603" i="1"/>
  <c r="DY603" i="1"/>
  <c r="DS603" i="1"/>
  <c r="DR603" i="1"/>
  <c r="DQ603" i="1"/>
  <c r="DP603" i="1"/>
  <c r="DN603" i="1"/>
  <c r="DO603" i="1" s="1"/>
  <c r="DH603" i="1"/>
  <c r="DC603" i="1"/>
  <c r="CP603" i="1"/>
  <c r="CV603" i="1" s="1"/>
  <c r="BZ603" i="1"/>
  <c r="CA603" i="1" s="1"/>
  <c r="EY603" i="1" s="1"/>
  <c r="BP603" i="1"/>
  <c r="BO603" i="1"/>
  <c r="BF603" i="1"/>
  <c r="BE603" i="1"/>
  <c r="BD603" i="1"/>
  <c r="BC603" i="1"/>
  <c r="BB603" i="1"/>
  <c r="BA603" i="1"/>
  <c r="BG603" i="1" s="1" a="1"/>
  <c r="BG603" i="1" s="1"/>
  <c r="AZ603" i="1"/>
  <c r="M603" i="1"/>
  <c r="ER596" i="1"/>
  <c r="EQ596" i="1"/>
  <c r="DZ596" i="1"/>
  <c r="DY596" i="1"/>
  <c r="DS596" i="1"/>
  <c r="DR596" i="1"/>
  <c r="DQ596" i="1"/>
  <c r="DP596" i="1"/>
  <c r="DN596" i="1"/>
  <c r="DO596" i="1" s="1"/>
  <c r="DH596" i="1"/>
  <c r="DC596" i="1"/>
  <c r="CP596" i="1"/>
  <c r="BZ596" i="1"/>
  <c r="CA596" i="1" s="1"/>
  <c r="EY596" i="1" s="1"/>
  <c r="BP596" i="1"/>
  <c r="BO596" i="1"/>
  <c r="BF596" i="1"/>
  <c r="BE596" i="1"/>
  <c r="BD596" i="1"/>
  <c r="BC596" i="1"/>
  <c r="BB596" i="1"/>
  <c r="BA596" i="1"/>
  <c r="BG596" i="1" s="1" a="1"/>
  <c r="BG596" i="1" s="1"/>
  <c r="AZ596" i="1"/>
  <c r="M596" i="1"/>
  <c r="ER599" i="1"/>
  <c r="EQ599" i="1"/>
  <c r="DZ599" i="1"/>
  <c r="DY599" i="1"/>
  <c r="DS599" i="1"/>
  <c r="DR599" i="1"/>
  <c r="DQ599" i="1"/>
  <c r="DP599" i="1"/>
  <c r="DN599" i="1"/>
  <c r="DO599" i="1" s="1"/>
  <c r="DH599" i="1"/>
  <c r="DC599" i="1"/>
  <c r="CP599" i="1"/>
  <c r="BZ599" i="1"/>
  <c r="CA599" i="1" s="1"/>
  <c r="EY599" i="1" s="1"/>
  <c r="BP599" i="1"/>
  <c r="BO599" i="1"/>
  <c r="BF599" i="1"/>
  <c r="BE599" i="1"/>
  <c r="BD599" i="1"/>
  <c r="BC599" i="1"/>
  <c r="BB599" i="1"/>
  <c r="BA599" i="1"/>
  <c r="BG599" i="1" s="1" a="1"/>
  <c r="BG599" i="1" s="1"/>
  <c r="AZ599" i="1"/>
  <c r="M599" i="1"/>
  <c r="ER600" i="1"/>
  <c r="EQ600" i="1"/>
  <c r="DZ600" i="1"/>
  <c r="DY600" i="1"/>
  <c r="DS600" i="1"/>
  <c r="DR600" i="1"/>
  <c r="DQ600" i="1"/>
  <c r="DP600" i="1"/>
  <c r="DN600" i="1"/>
  <c r="DO600" i="1" s="1"/>
  <c r="DH600" i="1"/>
  <c r="DC600" i="1"/>
  <c r="CP600" i="1"/>
  <c r="BZ600" i="1"/>
  <c r="CA600" i="1" s="1"/>
  <c r="EY600" i="1" s="1"/>
  <c r="BP600" i="1"/>
  <c r="BO600" i="1"/>
  <c r="BF600" i="1"/>
  <c r="BE600" i="1"/>
  <c r="BD600" i="1"/>
  <c r="BC600" i="1"/>
  <c r="BB600" i="1"/>
  <c r="BA600" i="1"/>
  <c r="BG600" i="1" s="1" a="1"/>
  <c r="BG600" i="1" s="1"/>
  <c r="AZ600" i="1"/>
  <c r="M600" i="1"/>
  <c r="ER595" i="1"/>
  <c r="EQ595" i="1"/>
  <c r="DZ595" i="1"/>
  <c r="DY595" i="1"/>
  <c r="DS595" i="1"/>
  <c r="DR595" i="1"/>
  <c r="DQ595" i="1"/>
  <c r="DP595" i="1"/>
  <c r="DN595" i="1"/>
  <c r="DO595" i="1" s="1"/>
  <c r="DH595" i="1"/>
  <c r="DC595" i="1"/>
  <c r="CP595" i="1"/>
  <c r="CR595" i="1" s="1"/>
  <c r="BZ595" i="1"/>
  <c r="CA595" i="1" s="1"/>
  <c r="EY595" i="1" s="1"/>
  <c r="BP595" i="1"/>
  <c r="BO595" i="1"/>
  <c r="BF595" i="1"/>
  <c r="BE595" i="1"/>
  <c r="BD595" i="1"/>
  <c r="BC595" i="1"/>
  <c r="BB595" i="1"/>
  <c r="BA595" i="1"/>
  <c r="BG595" i="1" s="1" a="1"/>
  <c r="BG595" i="1" s="1"/>
  <c r="AZ595" i="1"/>
  <c r="M595" i="1"/>
  <c r="ER602" i="1"/>
  <c r="EQ602" i="1"/>
  <c r="DZ602" i="1"/>
  <c r="DY602" i="1"/>
  <c r="DS602" i="1"/>
  <c r="DR602" i="1"/>
  <c r="DQ602" i="1"/>
  <c r="DP602" i="1"/>
  <c r="DN602" i="1"/>
  <c r="DO602" i="1" s="1"/>
  <c r="DH602" i="1"/>
  <c r="DC602" i="1"/>
  <c r="CP602" i="1"/>
  <c r="BZ602" i="1"/>
  <c r="CA602" i="1" s="1"/>
  <c r="EY602" i="1" s="1"/>
  <c r="BP602" i="1"/>
  <c r="BO602" i="1"/>
  <c r="BF602" i="1"/>
  <c r="BE602" i="1"/>
  <c r="BD602" i="1"/>
  <c r="BC602" i="1"/>
  <c r="BB602" i="1"/>
  <c r="BA602" i="1"/>
  <c r="BG602" i="1" s="1" a="1"/>
  <c r="BG602" i="1" s="1"/>
  <c r="AZ602" i="1"/>
  <c r="M602" i="1"/>
  <c r="ER593" i="1"/>
  <c r="EQ593" i="1"/>
  <c r="DZ593" i="1"/>
  <c r="DY593" i="1"/>
  <c r="DS593" i="1"/>
  <c r="DR593" i="1"/>
  <c r="DQ593" i="1"/>
  <c r="DP593" i="1"/>
  <c r="DN593" i="1"/>
  <c r="DO593" i="1" s="1"/>
  <c r="DH593" i="1"/>
  <c r="DC593" i="1"/>
  <c r="CP593" i="1"/>
  <c r="CS593" i="1" s="1"/>
  <c r="CT593" i="1" s="1"/>
  <c r="BZ593" i="1"/>
  <c r="CA593" i="1" s="1"/>
  <c r="EY593" i="1" s="1"/>
  <c r="BP593" i="1"/>
  <c r="BO593" i="1"/>
  <c r="BF593" i="1"/>
  <c r="BE593" i="1"/>
  <c r="BD593" i="1"/>
  <c r="BC593" i="1"/>
  <c r="BB593" i="1"/>
  <c r="BA593" i="1"/>
  <c r="BG593" i="1" s="1" a="1"/>
  <c r="BG593" i="1" s="1"/>
  <c r="AZ593" i="1"/>
  <c r="M593" i="1"/>
  <c r="ER594" i="1"/>
  <c r="EQ594" i="1"/>
  <c r="DZ594" i="1"/>
  <c r="DY594" i="1"/>
  <c r="DS594" i="1"/>
  <c r="DR594" i="1"/>
  <c r="DQ594" i="1"/>
  <c r="DP594" i="1"/>
  <c r="DN594" i="1"/>
  <c r="DO594" i="1" s="1"/>
  <c r="DH594" i="1"/>
  <c r="DC594" i="1"/>
  <c r="CP594" i="1"/>
  <c r="BZ594" i="1"/>
  <c r="CA594" i="1" s="1"/>
  <c r="EY594" i="1" s="1"/>
  <c r="BP594" i="1"/>
  <c r="BO594" i="1"/>
  <c r="BF594" i="1"/>
  <c r="BE594" i="1"/>
  <c r="BD594" i="1"/>
  <c r="BC594" i="1"/>
  <c r="BB594" i="1"/>
  <c r="BA594" i="1"/>
  <c r="BG594" i="1" s="1" a="1"/>
  <c r="BG594" i="1" s="1"/>
  <c r="AZ594" i="1"/>
  <c r="M594" i="1"/>
  <c r="ER597" i="1"/>
  <c r="EQ597" i="1"/>
  <c r="DZ597" i="1"/>
  <c r="DY597" i="1"/>
  <c r="DS597" i="1"/>
  <c r="DR597" i="1"/>
  <c r="DQ597" i="1"/>
  <c r="DP597" i="1"/>
  <c r="DN597" i="1"/>
  <c r="DO597" i="1" s="1"/>
  <c r="DH597" i="1"/>
  <c r="DC597" i="1"/>
  <c r="CP597" i="1"/>
  <c r="CU597" i="1" s="1"/>
  <c r="BZ597" i="1"/>
  <c r="CA597" i="1" s="1"/>
  <c r="EY597" i="1" s="1"/>
  <c r="BP597" i="1"/>
  <c r="BO597" i="1"/>
  <c r="BF597" i="1"/>
  <c r="BE597" i="1"/>
  <c r="BD597" i="1"/>
  <c r="BC597" i="1"/>
  <c r="BB597" i="1"/>
  <c r="BA597" i="1"/>
  <c r="BG597" i="1" s="1" a="1"/>
  <c r="BG597" i="1" s="1"/>
  <c r="AZ597" i="1"/>
  <c r="M597" i="1"/>
  <c r="ER590" i="1"/>
  <c r="EQ590" i="1"/>
  <c r="DZ590" i="1"/>
  <c r="DY590" i="1"/>
  <c r="DS590" i="1"/>
  <c r="DR590" i="1"/>
  <c r="DQ590" i="1"/>
  <c r="DP590" i="1"/>
  <c r="DN590" i="1"/>
  <c r="DO590" i="1" s="1"/>
  <c r="DH590" i="1"/>
  <c r="DC590" i="1"/>
  <c r="CP590" i="1"/>
  <c r="CU590" i="1" s="1"/>
  <c r="BV590" i="1"/>
  <c r="BP590" i="1"/>
  <c r="BQ590" i="1" s="1"/>
  <c r="BO590" i="1"/>
  <c r="BF590" i="1"/>
  <c r="BE590" i="1"/>
  <c r="BD590" i="1"/>
  <c r="BC590" i="1"/>
  <c r="BB590" i="1"/>
  <c r="BA590" i="1"/>
  <c r="BG590" i="1" s="1" a="1"/>
  <c r="BG590" i="1" s="1"/>
  <c r="AZ590" i="1"/>
  <c r="M590" i="1"/>
  <c r="ER586" i="1"/>
  <c r="EQ586" i="1"/>
  <c r="DZ586" i="1"/>
  <c r="DY586" i="1"/>
  <c r="DS586" i="1"/>
  <c r="DR586" i="1"/>
  <c r="DQ586" i="1"/>
  <c r="DP586" i="1"/>
  <c r="DN586" i="1"/>
  <c r="DO586" i="1" s="1"/>
  <c r="DH586" i="1"/>
  <c r="DC586" i="1"/>
  <c r="CP586" i="1"/>
  <c r="CQ586" i="1" s="1"/>
  <c r="BV586" i="1"/>
  <c r="BW586" i="1" s="1"/>
  <c r="BP586" i="1"/>
  <c r="BQ586" i="1" s="1"/>
  <c r="BO586" i="1"/>
  <c r="BF586" i="1"/>
  <c r="BE586" i="1"/>
  <c r="BD586" i="1"/>
  <c r="BC586" i="1"/>
  <c r="BB586" i="1"/>
  <c r="BA586" i="1"/>
  <c r="BG586" i="1" s="1" a="1"/>
  <c r="BG586" i="1" s="1"/>
  <c r="AZ586" i="1"/>
  <c r="M586" i="1"/>
  <c r="ER585" i="1"/>
  <c r="EQ585" i="1"/>
  <c r="DZ585" i="1"/>
  <c r="DY585" i="1"/>
  <c r="DS585" i="1"/>
  <c r="DR585" i="1"/>
  <c r="DQ585" i="1"/>
  <c r="DP585" i="1"/>
  <c r="DN585" i="1"/>
  <c r="DO585" i="1" s="1"/>
  <c r="DH585" i="1"/>
  <c r="DC585" i="1"/>
  <c r="CP585" i="1"/>
  <c r="BV585" i="1"/>
  <c r="BP585" i="1"/>
  <c r="BQ585" i="1" s="1"/>
  <c r="BO585" i="1"/>
  <c r="BF585" i="1"/>
  <c r="BE585" i="1"/>
  <c r="BD585" i="1"/>
  <c r="BC585" i="1"/>
  <c r="BB585" i="1"/>
  <c r="BA585" i="1"/>
  <c r="BG585" i="1" s="1" a="1"/>
  <c r="BG585" i="1" s="1"/>
  <c r="AZ585" i="1"/>
  <c r="M585" i="1"/>
  <c r="ER583" i="1"/>
  <c r="EQ583" i="1"/>
  <c r="DZ583" i="1"/>
  <c r="DY583" i="1"/>
  <c r="DS583" i="1"/>
  <c r="DR583" i="1"/>
  <c r="DQ583" i="1"/>
  <c r="DP583" i="1"/>
  <c r="DN583" i="1"/>
  <c r="DO583" i="1" s="1"/>
  <c r="DH583" i="1"/>
  <c r="DC583" i="1"/>
  <c r="CP583" i="1"/>
  <c r="BV583" i="1"/>
  <c r="BW583" i="1" s="1"/>
  <c r="BP583" i="1"/>
  <c r="BQ583" i="1" s="1"/>
  <c r="BO583" i="1"/>
  <c r="BF583" i="1"/>
  <c r="BE583" i="1"/>
  <c r="BD583" i="1"/>
  <c r="BC583" i="1"/>
  <c r="BB583" i="1"/>
  <c r="BA583" i="1"/>
  <c r="BG583" i="1" s="1" a="1"/>
  <c r="BG583" i="1" s="1"/>
  <c r="AZ583" i="1"/>
  <c r="M583" i="1"/>
  <c r="ER584" i="1"/>
  <c r="EQ584" i="1"/>
  <c r="DZ584" i="1"/>
  <c r="DY584" i="1"/>
  <c r="DS584" i="1"/>
  <c r="DR584" i="1"/>
  <c r="DQ584" i="1"/>
  <c r="DP584" i="1"/>
  <c r="DN584" i="1"/>
  <c r="DO584" i="1" s="1"/>
  <c r="DH584" i="1"/>
  <c r="DC584" i="1"/>
  <c r="CP584" i="1"/>
  <c r="BV584" i="1"/>
  <c r="BX584" i="1" s="1"/>
  <c r="BZ584" i="1" s="1"/>
  <c r="BP584" i="1"/>
  <c r="BQ584" i="1" s="1"/>
  <c r="BO584" i="1"/>
  <c r="BF584" i="1"/>
  <c r="BE584" i="1"/>
  <c r="BD584" i="1"/>
  <c r="BC584" i="1"/>
  <c r="BB584" i="1"/>
  <c r="BA584" i="1"/>
  <c r="BG584" i="1" s="1" a="1"/>
  <c r="BG584" i="1" s="1"/>
  <c r="AZ584" i="1"/>
  <c r="M584" i="1"/>
  <c r="ER588" i="1"/>
  <c r="EQ588" i="1"/>
  <c r="DZ588" i="1"/>
  <c r="DY588" i="1"/>
  <c r="DS588" i="1"/>
  <c r="DR588" i="1"/>
  <c r="DQ588" i="1"/>
  <c r="DP588" i="1"/>
  <c r="DN588" i="1"/>
  <c r="DO588" i="1" s="1"/>
  <c r="DH588" i="1"/>
  <c r="DC588" i="1"/>
  <c r="CP588" i="1"/>
  <c r="BV588" i="1"/>
  <c r="BX588" i="1" s="1"/>
  <c r="BZ588" i="1" s="1"/>
  <c r="BP588" i="1"/>
  <c r="BQ588" i="1" s="1"/>
  <c r="BO588" i="1"/>
  <c r="BF588" i="1"/>
  <c r="BE588" i="1"/>
  <c r="BD588" i="1"/>
  <c r="BC588" i="1"/>
  <c r="BB588" i="1"/>
  <c r="BA588" i="1"/>
  <c r="BG588" i="1" s="1" a="1"/>
  <c r="BG588" i="1" s="1"/>
  <c r="AZ588" i="1"/>
  <c r="M588" i="1"/>
  <c r="ER591" i="1"/>
  <c r="EQ591" i="1"/>
  <c r="DZ591" i="1"/>
  <c r="DY591" i="1"/>
  <c r="DS591" i="1"/>
  <c r="DR591" i="1"/>
  <c r="DQ591" i="1"/>
  <c r="DP591" i="1"/>
  <c r="DN591" i="1"/>
  <c r="DO591" i="1" s="1"/>
  <c r="DH591" i="1"/>
  <c r="DC591" i="1"/>
  <c r="CP591" i="1"/>
  <c r="CQ591" i="1" s="1"/>
  <c r="BV591" i="1"/>
  <c r="BW591" i="1" s="1"/>
  <c r="BP591" i="1"/>
  <c r="BQ591" i="1" s="1"/>
  <c r="BO591" i="1"/>
  <c r="BF591" i="1"/>
  <c r="BE591" i="1"/>
  <c r="BD591" i="1"/>
  <c r="BC591" i="1"/>
  <c r="BB591" i="1"/>
  <c r="BA591" i="1"/>
  <c r="BG591" i="1" s="1" a="1"/>
  <c r="BG591" i="1" s="1"/>
  <c r="AZ591" i="1"/>
  <c r="M591" i="1"/>
  <c r="ER582" i="1"/>
  <c r="EQ582" i="1"/>
  <c r="DZ582" i="1"/>
  <c r="DY582" i="1"/>
  <c r="DS582" i="1"/>
  <c r="DR582" i="1"/>
  <c r="DQ582" i="1"/>
  <c r="DP582" i="1"/>
  <c r="DN582" i="1"/>
  <c r="DO582" i="1" s="1"/>
  <c r="DH582" i="1"/>
  <c r="DC582" i="1"/>
  <c r="CP582" i="1"/>
  <c r="BV582" i="1"/>
  <c r="BP582" i="1"/>
  <c r="BQ582" i="1" s="1"/>
  <c r="BO582" i="1"/>
  <c r="BF582" i="1"/>
  <c r="BE582" i="1"/>
  <c r="BD582" i="1"/>
  <c r="BC582" i="1"/>
  <c r="BB582" i="1"/>
  <c r="BA582" i="1"/>
  <c r="AZ582" i="1"/>
  <c r="M582" i="1"/>
  <c r="ER592" i="1"/>
  <c r="EQ592" i="1"/>
  <c r="DZ592" i="1"/>
  <c r="DY592" i="1"/>
  <c r="DS592" i="1"/>
  <c r="DR592" i="1"/>
  <c r="DQ592" i="1"/>
  <c r="DP592" i="1"/>
  <c r="DN592" i="1"/>
  <c r="DO592" i="1" s="1"/>
  <c r="DH592" i="1"/>
  <c r="DC592" i="1"/>
  <c r="CP592" i="1"/>
  <c r="BV592" i="1"/>
  <c r="BX592" i="1" s="1"/>
  <c r="BZ592" i="1" s="1"/>
  <c r="BP592" i="1"/>
  <c r="BQ592" i="1" s="1"/>
  <c r="BO592" i="1"/>
  <c r="BF592" i="1"/>
  <c r="BE592" i="1"/>
  <c r="BD592" i="1"/>
  <c r="BC592" i="1"/>
  <c r="BB592" i="1"/>
  <c r="BA592" i="1"/>
  <c r="BG592" i="1" s="1" a="1"/>
  <c r="BG592" i="1" s="1"/>
  <c r="AZ592" i="1"/>
  <c r="M592" i="1"/>
  <c r="ER589" i="1"/>
  <c r="EQ589" i="1"/>
  <c r="DZ589" i="1"/>
  <c r="DY589" i="1"/>
  <c r="DS589" i="1"/>
  <c r="DR589" i="1"/>
  <c r="DQ589" i="1"/>
  <c r="DP589" i="1"/>
  <c r="DN589" i="1"/>
  <c r="DO589" i="1" s="1"/>
  <c r="DH589" i="1"/>
  <c r="DC589" i="1"/>
  <c r="CP589" i="1"/>
  <c r="CR589" i="1" s="1"/>
  <c r="BV589" i="1"/>
  <c r="BP589" i="1"/>
  <c r="BQ589" i="1" s="1"/>
  <c r="BO589" i="1"/>
  <c r="BF589" i="1"/>
  <c r="BE589" i="1"/>
  <c r="BD589" i="1"/>
  <c r="BC589" i="1"/>
  <c r="BB589" i="1"/>
  <c r="BA589" i="1"/>
  <c r="BG589" i="1" s="1" a="1"/>
  <c r="BG589" i="1" s="1"/>
  <c r="AZ589" i="1"/>
  <c r="M589" i="1"/>
  <c r="ER587" i="1"/>
  <c r="EQ587" i="1"/>
  <c r="DZ587" i="1"/>
  <c r="DY587" i="1"/>
  <c r="DS587" i="1"/>
  <c r="DR587" i="1"/>
  <c r="DQ587" i="1"/>
  <c r="DP587" i="1"/>
  <c r="DN587" i="1"/>
  <c r="DO587" i="1" s="1"/>
  <c r="DH587" i="1"/>
  <c r="DC587" i="1"/>
  <c r="CP587" i="1"/>
  <c r="CR587" i="1" s="1"/>
  <c r="BV587" i="1"/>
  <c r="BX587" i="1" s="1"/>
  <c r="BZ587" i="1" s="1"/>
  <c r="BP587" i="1"/>
  <c r="BQ587" i="1" s="1"/>
  <c r="BO587" i="1"/>
  <c r="BF587" i="1"/>
  <c r="BE587" i="1"/>
  <c r="BD587" i="1"/>
  <c r="BC587" i="1"/>
  <c r="BB587" i="1"/>
  <c r="BA587" i="1"/>
  <c r="BG587" i="1" s="1" a="1"/>
  <c r="BG587" i="1" s="1"/>
  <c r="AZ587" i="1"/>
  <c r="M587" i="1"/>
  <c r="ER1275" i="1"/>
  <c r="EQ1275" i="1"/>
  <c r="DZ1275" i="1"/>
  <c r="DS1275" i="1"/>
  <c r="DR1275" i="1"/>
  <c r="DQ1275" i="1"/>
  <c r="DP1275" i="1"/>
  <c r="DN1275" i="1"/>
  <c r="DO1275" i="1" s="1"/>
  <c r="DH1275" i="1"/>
  <c r="DC1275" i="1"/>
  <c r="BX1275" i="1"/>
  <c r="BZ1275" i="1" s="1"/>
  <c r="BW1275" i="1"/>
  <c r="BP1275" i="1"/>
  <c r="BQ1275" i="1" s="1"/>
  <c r="BF1275" i="1"/>
  <c r="BE1275" i="1"/>
  <c r="BD1275" i="1"/>
  <c r="BC1275" i="1"/>
  <c r="BB1275" i="1"/>
  <c r="BA1275" i="1"/>
  <c r="BG1275" i="1" s="1" a="1"/>
  <c r="BG1275" i="1" s="1"/>
  <c r="AZ1275" i="1"/>
  <c r="M1275" i="1"/>
  <c r="ER1108" i="1"/>
  <c r="EQ1108" i="1"/>
  <c r="DZ1108" i="1"/>
  <c r="DS1108" i="1"/>
  <c r="DR1108" i="1"/>
  <c r="DQ1108" i="1"/>
  <c r="DP1108" i="1"/>
  <c r="DN1108" i="1"/>
  <c r="DO1108" i="1" s="1"/>
  <c r="DH1108" i="1"/>
  <c r="DC1108" i="1"/>
  <c r="CP1108" i="1"/>
  <c r="BX1108" i="1"/>
  <c r="BZ1108" i="1" s="1"/>
  <c r="BW1108" i="1"/>
  <c r="BP1108" i="1"/>
  <c r="BQ1108" i="1" s="1"/>
  <c r="BO1108" i="1"/>
  <c r="BF1108" i="1"/>
  <c r="BE1108" i="1"/>
  <c r="BD1108" i="1"/>
  <c r="BC1108" i="1"/>
  <c r="BB1108" i="1"/>
  <c r="BA1108" i="1"/>
  <c r="BG1108" i="1" s="1" a="1"/>
  <c r="BG1108" i="1" s="1"/>
  <c r="AZ1108" i="1"/>
  <c r="M1108" i="1"/>
  <c r="ER1107" i="1"/>
  <c r="EQ1107" i="1"/>
  <c r="DZ1107" i="1"/>
  <c r="DS1107" i="1"/>
  <c r="DR1107" i="1"/>
  <c r="DQ1107" i="1"/>
  <c r="DP1107" i="1"/>
  <c r="DN1107" i="1"/>
  <c r="DO1107" i="1" s="1"/>
  <c r="DH1107" i="1"/>
  <c r="DC1107" i="1"/>
  <c r="CP1107" i="1"/>
  <c r="CR1107" i="1" s="1"/>
  <c r="BX1107" i="1"/>
  <c r="BZ1107" i="1" s="1"/>
  <c r="BW1107" i="1"/>
  <c r="BP1107" i="1"/>
  <c r="BQ1107" i="1" s="1"/>
  <c r="BO1107" i="1"/>
  <c r="BF1107" i="1"/>
  <c r="BE1107" i="1"/>
  <c r="BD1107" i="1"/>
  <c r="BC1107" i="1"/>
  <c r="BB1107" i="1"/>
  <c r="BA1107" i="1"/>
  <c r="BG1107" i="1" s="1" a="1"/>
  <c r="BG1107" i="1" s="1"/>
  <c r="AZ1107" i="1"/>
  <c r="M1107" i="1"/>
  <c r="ER1106" i="1"/>
  <c r="EQ1106" i="1"/>
  <c r="DZ1106" i="1"/>
  <c r="DS1106" i="1"/>
  <c r="DR1106" i="1"/>
  <c r="DQ1106" i="1"/>
  <c r="DP1106" i="1"/>
  <c r="DN1106" i="1"/>
  <c r="DO1106" i="1" s="1"/>
  <c r="DH1106" i="1"/>
  <c r="DC1106" i="1"/>
  <c r="CP1106" i="1"/>
  <c r="BX1106" i="1"/>
  <c r="BZ1106" i="1" s="1"/>
  <c r="BW1106" i="1"/>
  <c r="BP1106" i="1"/>
  <c r="BQ1106" i="1" s="1"/>
  <c r="BO1106" i="1"/>
  <c r="BF1106" i="1"/>
  <c r="BE1106" i="1"/>
  <c r="BD1106" i="1"/>
  <c r="BC1106" i="1"/>
  <c r="BB1106" i="1"/>
  <c r="BA1106" i="1"/>
  <c r="BG1106" i="1" s="1" a="1"/>
  <c r="BG1106" i="1" s="1"/>
  <c r="AZ1106" i="1"/>
  <c r="M1106" i="1"/>
  <c r="ER1105" i="1"/>
  <c r="EQ1105" i="1"/>
  <c r="DZ1105" i="1"/>
  <c r="DS1105" i="1"/>
  <c r="DR1105" i="1"/>
  <c r="DQ1105" i="1"/>
  <c r="DP1105" i="1"/>
  <c r="DN1105" i="1"/>
  <c r="DO1105" i="1" s="1"/>
  <c r="DH1105" i="1"/>
  <c r="DC1105" i="1"/>
  <c r="CP1105" i="1"/>
  <c r="CR1105" i="1" s="1"/>
  <c r="BX1105" i="1"/>
  <c r="BZ1105" i="1" s="1"/>
  <c r="BW1105" i="1"/>
  <c r="BP1105" i="1"/>
  <c r="BQ1105" i="1" s="1"/>
  <c r="BO1105" i="1"/>
  <c r="BF1105" i="1"/>
  <c r="BE1105" i="1"/>
  <c r="BD1105" i="1"/>
  <c r="BC1105" i="1"/>
  <c r="BB1105" i="1"/>
  <c r="BA1105" i="1"/>
  <c r="BG1105" i="1" s="1" a="1"/>
  <c r="BG1105" i="1" s="1"/>
  <c r="AZ1105" i="1"/>
  <c r="M1105" i="1"/>
  <c r="ER981" i="1"/>
  <c r="EQ981" i="1"/>
  <c r="DZ981" i="1"/>
  <c r="DY981" i="1"/>
  <c r="DS981" i="1"/>
  <c r="DR981" i="1"/>
  <c r="DQ981" i="1"/>
  <c r="DP981" i="1"/>
  <c r="DN981" i="1"/>
  <c r="DO981" i="1" s="1"/>
  <c r="DH981" i="1"/>
  <c r="DC981" i="1"/>
  <c r="BU981" i="1"/>
  <c r="BX981" i="1" s="1"/>
  <c r="BZ981" i="1" s="1"/>
  <c r="BN981" i="1"/>
  <c r="BP981" i="1" s="1"/>
  <c r="BQ981" i="1" s="1"/>
  <c r="BF981" i="1"/>
  <c r="BE981" i="1"/>
  <c r="BD981" i="1"/>
  <c r="BC981" i="1"/>
  <c r="BB981" i="1"/>
  <c r="BA981" i="1"/>
  <c r="BG981" i="1" s="1" a="1"/>
  <c r="BG981" i="1" s="1"/>
  <c r="AZ981" i="1"/>
  <c r="M981" i="1"/>
  <c r="ER982" i="1"/>
  <c r="EQ982" i="1"/>
  <c r="DZ982" i="1"/>
  <c r="DY982" i="1"/>
  <c r="DS982" i="1"/>
  <c r="DR982" i="1"/>
  <c r="DQ982" i="1"/>
  <c r="DP982" i="1"/>
  <c r="DN982" i="1"/>
  <c r="DO982" i="1" s="1"/>
  <c r="DH982" i="1"/>
  <c r="DC982" i="1"/>
  <c r="BU982" i="1"/>
  <c r="BX982" i="1" s="1"/>
  <c r="BZ982" i="1" s="1"/>
  <c r="BN982" i="1"/>
  <c r="CP982" i="1" s="1"/>
  <c r="BF982" i="1"/>
  <c r="BE982" i="1"/>
  <c r="BD982" i="1"/>
  <c r="BC982" i="1"/>
  <c r="BB982" i="1"/>
  <c r="BA982" i="1"/>
  <c r="BG982" i="1" s="1" a="1"/>
  <c r="BG982" i="1" s="1"/>
  <c r="AZ982" i="1"/>
  <c r="M982" i="1"/>
  <c r="ER979" i="1"/>
  <c r="EQ979" i="1"/>
  <c r="DZ979" i="1"/>
  <c r="DY979" i="1"/>
  <c r="DS979" i="1"/>
  <c r="DR979" i="1"/>
  <c r="DQ979" i="1"/>
  <c r="DP979" i="1"/>
  <c r="DN979" i="1"/>
  <c r="DO979" i="1" s="1"/>
  <c r="DH979" i="1"/>
  <c r="DC979" i="1"/>
  <c r="BV979" i="1"/>
  <c r="BX979" i="1" s="1"/>
  <c r="BZ979" i="1" s="1"/>
  <c r="BN979" i="1"/>
  <c r="BM979" i="1"/>
  <c r="BF979" i="1"/>
  <c r="BE979" i="1"/>
  <c r="BD979" i="1"/>
  <c r="BC979" i="1"/>
  <c r="BB979" i="1"/>
  <c r="BA979" i="1"/>
  <c r="BG979" i="1" s="1" a="1"/>
  <c r="BG979" i="1" s="1"/>
  <c r="AZ979" i="1"/>
  <c r="M979" i="1"/>
  <c r="ER980" i="1"/>
  <c r="EQ980" i="1"/>
  <c r="DZ980" i="1"/>
  <c r="DY980" i="1"/>
  <c r="DS980" i="1"/>
  <c r="DR980" i="1"/>
  <c r="DQ980" i="1"/>
  <c r="DP980" i="1"/>
  <c r="DN980" i="1"/>
  <c r="DO980" i="1" s="1"/>
  <c r="DH980" i="1"/>
  <c r="DC980" i="1"/>
  <c r="BV980" i="1"/>
  <c r="BX980" i="1" s="1"/>
  <c r="BZ980" i="1" s="1"/>
  <c r="BN980" i="1"/>
  <c r="BM980" i="1"/>
  <c r="BF980" i="1"/>
  <c r="BE980" i="1"/>
  <c r="BD980" i="1"/>
  <c r="BC980" i="1"/>
  <c r="BB980" i="1"/>
  <c r="BA980" i="1"/>
  <c r="BG980" i="1" s="1" a="1"/>
  <c r="BG980" i="1" s="1"/>
  <c r="AZ980" i="1"/>
  <c r="M980" i="1"/>
  <c r="ER1597" i="1"/>
  <c r="EQ1597" i="1"/>
  <c r="DZ1597" i="1"/>
  <c r="DY1597" i="1"/>
  <c r="DS1597" i="1"/>
  <c r="DR1597" i="1"/>
  <c r="DQ1597" i="1"/>
  <c r="DP1597" i="1"/>
  <c r="DN1597" i="1"/>
  <c r="DO1597" i="1" s="1"/>
  <c r="DH1597" i="1"/>
  <c r="DC1597" i="1"/>
  <c r="BX1597" i="1"/>
  <c r="BZ1597" i="1" s="1"/>
  <c r="BW1597" i="1"/>
  <c r="BN1597" i="1"/>
  <c r="BF1597" i="1"/>
  <c r="BE1597" i="1"/>
  <c r="BD1597" i="1"/>
  <c r="BC1597" i="1"/>
  <c r="BB1597" i="1"/>
  <c r="BA1597" i="1"/>
  <c r="BG1597" i="1" s="1" a="1"/>
  <c r="BG1597" i="1" s="1"/>
  <c r="AZ1597" i="1"/>
  <c r="M1597" i="1"/>
  <c r="ER1143" i="1"/>
  <c r="EQ1143" i="1"/>
  <c r="DY1143" i="1"/>
  <c r="DS1143" i="1"/>
  <c r="DR1143" i="1"/>
  <c r="DQ1143" i="1"/>
  <c r="DP1143" i="1"/>
  <c r="DO1143" i="1"/>
  <c r="DH1143" i="1"/>
  <c r="DC1143" i="1"/>
  <c r="CP1143" i="1"/>
  <c r="BX1143" i="1"/>
  <c r="BZ1143" i="1" s="1"/>
  <c r="BW1143" i="1"/>
  <c r="BP1143" i="1"/>
  <c r="BQ1143" i="1" s="1"/>
  <c r="BF1143" i="1"/>
  <c r="BE1143" i="1"/>
  <c r="BD1143" i="1"/>
  <c r="BC1143" i="1"/>
  <c r="BB1143" i="1"/>
  <c r="BA1143" i="1"/>
  <c r="BG1143" i="1" s="1" a="1"/>
  <c r="BG1143" i="1" s="1"/>
  <c r="AZ1143" i="1"/>
  <c r="M1143" i="1"/>
  <c r="ER1261" i="1"/>
  <c r="EQ1261" i="1"/>
  <c r="DY1261" i="1"/>
  <c r="DS1261" i="1"/>
  <c r="DR1261" i="1"/>
  <c r="DQ1261" i="1"/>
  <c r="DP1261" i="1"/>
  <c r="DO1261" i="1"/>
  <c r="DH1261" i="1"/>
  <c r="DC1261" i="1"/>
  <c r="CP1261" i="1"/>
  <c r="CQ1261" i="1" s="1"/>
  <c r="BX1261" i="1"/>
  <c r="BZ1261" i="1" s="1"/>
  <c r="BW1261" i="1"/>
  <c r="BP1261" i="1"/>
  <c r="BQ1261" i="1" s="1"/>
  <c r="BF1261" i="1"/>
  <c r="BE1261" i="1"/>
  <c r="BD1261" i="1"/>
  <c r="BC1261" i="1"/>
  <c r="BB1261" i="1"/>
  <c r="BA1261" i="1"/>
  <c r="BG1261" i="1" s="1" a="1"/>
  <c r="BG1261" i="1" s="1"/>
  <c r="AZ1261" i="1"/>
  <c r="M1261" i="1"/>
  <c r="ER1264" i="1"/>
  <c r="EQ1264" i="1"/>
  <c r="DY1264" i="1"/>
  <c r="DS1264" i="1"/>
  <c r="DR1264" i="1"/>
  <c r="DQ1264" i="1"/>
  <c r="DP1264" i="1"/>
  <c r="DO1264" i="1"/>
  <c r="DH1264" i="1"/>
  <c r="DC1264" i="1"/>
  <c r="CP1264" i="1"/>
  <c r="CQ1264" i="1" s="1"/>
  <c r="BX1264" i="1"/>
  <c r="BZ1264" i="1" s="1"/>
  <c r="BW1264" i="1"/>
  <c r="BP1264" i="1"/>
  <c r="BQ1264" i="1" s="1"/>
  <c r="BF1264" i="1"/>
  <c r="BE1264" i="1"/>
  <c r="BD1264" i="1"/>
  <c r="BC1264" i="1"/>
  <c r="BB1264" i="1"/>
  <c r="BA1264" i="1"/>
  <c r="BG1264" i="1" s="1" a="1"/>
  <c r="BG1264" i="1" s="1"/>
  <c r="AZ1264" i="1"/>
  <c r="M1264" i="1"/>
  <c r="ER1270" i="1"/>
  <c r="EQ1270" i="1"/>
  <c r="DY1270" i="1"/>
  <c r="DS1270" i="1"/>
  <c r="DR1270" i="1"/>
  <c r="DQ1270" i="1"/>
  <c r="DP1270" i="1"/>
  <c r="DO1270" i="1"/>
  <c r="DH1270" i="1"/>
  <c r="DC1270" i="1"/>
  <c r="CP1270" i="1"/>
  <c r="CQ1270" i="1" s="1"/>
  <c r="BX1270" i="1"/>
  <c r="BZ1270" i="1" s="1"/>
  <c r="BW1270" i="1"/>
  <c r="BP1270" i="1"/>
  <c r="BQ1270" i="1" s="1"/>
  <c r="BF1270" i="1"/>
  <c r="BE1270" i="1"/>
  <c r="BD1270" i="1"/>
  <c r="BC1270" i="1"/>
  <c r="BB1270" i="1"/>
  <c r="BA1270" i="1"/>
  <c r="BG1270" i="1" s="1" a="1"/>
  <c r="BG1270" i="1" s="1"/>
  <c r="AZ1270" i="1"/>
  <c r="M1270" i="1"/>
  <c r="ER1283" i="1"/>
  <c r="EQ1283" i="1"/>
  <c r="DY1283" i="1"/>
  <c r="DS1283" i="1"/>
  <c r="DR1283" i="1"/>
  <c r="DQ1283" i="1"/>
  <c r="DP1283" i="1"/>
  <c r="DO1283" i="1"/>
  <c r="DH1283" i="1"/>
  <c r="DC1283" i="1"/>
  <c r="CP1283" i="1"/>
  <c r="BX1283" i="1"/>
  <c r="BZ1283" i="1" s="1"/>
  <c r="BW1283" i="1"/>
  <c r="BP1283" i="1"/>
  <c r="BQ1283" i="1" s="1"/>
  <c r="BF1283" i="1"/>
  <c r="BE1283" i="1"/>
  <c r="BD1283" i="1"/>
  <c r="BC1283" i="1"/>
  <c r="BB1283" i="1"/>
  <c r="BA1283" i="1"/>
  <c r="BG1283" i="1" s="1" a="1"/>
  <c r="BG1283" i="1" s="1"/>
  <c r="AZ1283" i="1"/>
  <c r="M1283" i="1"/>
  <c r="ER1284" i="1"/>
  <c r="EQ1284" i="1"/>
  <c r="DY1284" i="1"/>
  <c r="DS1284" i="1"/>
  <c r="DR1284" i="1"/>
  <c r="DQ1284" i="1"/>
  <c r="DP1284" i="1"/>
  <c r="DO1284" i="1"/>
  <c r="DH1284" i="1"/>
  <c r="DC1284" i="1"/>
  <c r="CP1284" i="1"/>
  <c r="CV1284" i="1" s="1"/>
  <c r="BX1284" i="1"/>
  <c r="BZ1284" i="1" s="1"/>
  <c r="BW1284" i="1"/>
  <c r="BP1284" i="1"/>
  <c r="BQ1284" i="1" s="1"/>
  <c r="BF1284" i="1"/>
  <c r="BE1284" i="1"/>
  <c r="BD1284" i="1"/>
  <c r="BC1284" i="1"/>
  <c r="BB1284" i="1"/>
  <c r="BA1284" i="1"/>
  <c r="BG1284" i="1" s="1" a="1"/>
  <c r="BG1284" i="1" s="1"/>
  <c r="AZ1284" i="1"/>
  <c r="M1284" i="1"/>
  <c r="ER658" i="1"/>
  <c r="EQ658" i="1"/>
  <c r="DZ658" i="1"/>
  <c r="DY658" i="1"/>
  <c r="DS658" i="1"/>
  <c r="DR658" i="1"/>
  <c r="DQ658" i="1"/>
  <c r="DP658" i="1"/>
  <c r="DN658" i="1"/>
  <c r="DO658" i="1" s="1"/>
  <c r="DH658" i="1"/>
  <c r="DC658" i="1"/>
  <c r="CP658" i="1"/>
  <c r="BV658" i="1"/>
  <c r="BU658" i="1"/>
  <c r="BP658" i="1"/>
  <c r="BQ658" i="1" s="1"/>
  <c r="BO658" i="1"/>
  <c r="BF658" i="1"/>
  <c r="BE658" i="1"/>
  <c r="BD658" i="1"/>
  <c r="BC658" i="1"/>
  <c r="BB658" i="1"/>
  <c r="BA658" i="1"/>
  <c r="BG658" i="1" s="1" a="1"/>
  <c r="BG658" i="1" s="1"/>
  <c r="AZ658" i="1"/>
  <c r="M658" i="1"/>
  <c r="ER648" i="1"/>
  <c r="EQ648" i="1"/>
  <c r="DZ648" i="1"/>
  <c r="DY648" i="1"/>
  <c r="DS648" i="1"/>
  <c r="DR648" i="1"/>
  <c r="DQ648" i="1"/>
  <c r="DP648" i="1"/>
  <c r="DN648" i="1"/>
  <c r="DO648" i="1" s="1"/>
  <c r="DH648" i="1"/>
  <c r="DC648" i="1"/>
  <c r="CP648" i="1"/>
  <c r="CQ648" i="1" s="1"/>
  <c r="BV648" i="1"/>
  <c r="BU648" i="1"/>
  <c r="BP648" i="1"/>
  <c r="BQ648" i="1" s="1"/>
  <c r="BO648" i="1"/>
  <c r="BF648" i="1"/>
  <c r="BE648" i="1"/>
  <c r="BD648" i="1"/>
  <c r="BC648" i="1"/>
  <c r="BB648" i="1"/>
  <c r="BA648" i="1"/>
  <c r="AZ648" i="1"/>
  <c r="M648" i="1"/>
  <c r="ER657" i="1"/>
  <c r="EQ657" i="1"/>
  <c r="DZ657" i="1"/>
  <c r="DY657" i="1"/>
  <c r="DS657" i="1"/>
  <c r="DR657" i="1"/>
  <c r="DQ657" i="1"/>
  <c r="DP657" i="1"/>
  <c r="DN657" i="1"/>
  <c r="DO657" i="1" s="1"/>
  <c r="DH657" i="1"/>
  <c r="DC657" i="1"/>
  <c r="CP657" i="1"/>
  <c r="BV657" i="1"/>
  <c r="BU657" i="1"/>
  <c r="BP657" i="1"/>
  <c r="BQ657" i="1" s="1"/>
  <c r="BO657" i="1"/>
  <c r="BF657" i="1"/>
  <c r="BE657" i="1"/>
  <c r="BD657" i="1"/>
  <c r="BC657" i="1"/>
  <c r="BB657" i="1"/>
  <c r="BA657" i="1"/>
  <c r="BG657" i="1" s="1" a="1"/>
  <c r="BG657" i="1" s="1"/>
  <c r="AZ657" i="1"/>
  <c r="M657" i="1"/>
  <c r="ER647" i="1"/>
  <c r="EQ647" i="1"/>
  <c r="DZ647" i="1"/>
  <c r="DY647" i="1"/>
  <c r="DS647" i="1"/>
  <c r="DR647" i="1"/>
  <c r="DQ647" i="1"/>
  <c r="DP647" i="1"/>
  <c r="DN647" i="1"/>
  <c r="DO647" i="1" s="1"/>
  <c r="DH647" i="1"/>
  <c r="DC647" i="1"/>
  <c r="CP647" i="1"/>
  <c r="BV647" i="1"/>
  <c r="BU647" i="1"/>
  <c r="BP647" i="1"/>
  <c r="BQ647" i="1" s="1"/>
  <c r="BO647" i="1"/>
  <c r="BF647" i="1"/>
  <c r="BE647" i="1"/>
  <c r="BD647" i="1"/>
  <c r="BC647" i="1"/>
  <c r="BB647" i="1"/>
  <c r="BA647" i="1"/>
  <c r="AZ647" i="1"/>
  <c r="M647" i="1"/>
  <c r="ER660" i="1"/>
  <c r="EQ660" i="1"/>
  <c r="DZ660" i="1"/>
  <c r="DY660" i="1"/>
  <c r="DS660" i="1"/>
  <c r="DR660" i="1"/>
  <c r="DQ660" i="1"/>
  <c r="DP660" i="1"/>
  <c r="DN660" i="1"/>
  <c r="DO660" i="1" s="1"/>
  <c r="DH660" i="1"/>
  <c r="DC660" i="1"/>
  <c r="CP660" i="1"/>
  <c r="CQ660" i="1" s="1"/>
  <c r="BV660" i="1"/>
  <c r="BU660" i="1"/>
  <c r="BP660" i="1"/>
  <c r="BQ660" i="1" s="1"/>
  <c r="BO660" i="1"/>
  <c r="BF660" i="1"/>
  <c r="BE660" i="1"/>
  <c r="BD660" i="1"/>
  <c r="BC660" i="1"/>
  <c r="BB660" i="1"/>
  <c r="BA660" i="1"/>
  <c r="BG660" i="1" s="1" a="1"/>
  <c r="BG660" i="1" s="1"/>
  <c r="AZ660" i="1"/>
  <c r="M660" i="1"/>
  <c r="ER646" i="1"/>
  <c r="EQ646" i="1"/>
  <c r="DZ646" i="1"/>
  <c r="DY646" i="1"/>
  <c r="DS646" i="1"/>
  <c r="DR646" i="1"/>
  <c r="DQ646" i="1"/>
  <c r="DP646" i="1"/>
  <c r="DN646" i="1"/>
  <c r="DO646" i="1" s="1"/>
  <c r="DH646" i="1"/>
  <c r="DC646" i="1"/>
  <c r="CP646" i="1"/>
  <c r="CR646" i="1" s="1"/>
  <c r="BV646" i="1"/>
  <c r="BU646" i="1"/>
  <c r="BP646" i="1"/>
  <c r="BQ646" i="1" s="1"/>
  <c r="BO646" i="1"/>
  <c r="BF646" i="1"/>
  <c r="BE646" i="1"/>
  <c r="BD646" i="1"/>
  <c r="BC646" i="1"/>
  <c r="BB646" i="1"/>
  <c r="BA646" i="1"/>
  <c r="AZ646" i="1"/>
  <c r="M646" i="1"/>
  <c r="ER659" i="1"/>
  <c r="EQ659" i="1"/>
  <c r="DZ659" i="1"/>
  <c r="DY659" i="1"/>
  <c r="DS659" i="1"/>
  <c r="DR659" i="1"/>
  <c r="DQ659" i="1"/>
  <c r="DP659" i="1"/>
  <c r="DN659" i="1"/>
  <c r="DO659" i="1" s="1"/>
  <c r="DH659" i="1"/>
  <c r="DC659" i="1"/>
  <c r="CP659" i="1"/>
  <c r="CQ659" i="1" s="1"/>
  <c r="BV659" i="1"/>
  <c r="BU659" i="1"/>
  <c r="BP659" i="1"/>
  <c r="BQ659" i="1" s="1"/>
  <c r="BO659" i="1"/>
  <c r="BF659" i="1"/>
  <c r="BE659" i="1"/>
  <c r="BD659" i="1"/>
  <c r="BC659" i="1"/>
  <c r="BB659" i="1"/>
  <c r="BA659" i="1"/>
  <c r="BG659" i="1" s="1" a="1"/>
  <c r="BG659" i="1" s="1"/>
  <c r="AZ659" i="1"/>
  <c r="M659" i="1"/>
  <c r="ER645" i="1"/>
  <c r="EQ645" i="1"/>
  <c r="DZ645" i="1"/>
  <c r="DY645" i="1"/>
  <c r="DS645" i="1"/>
  <c r="DR645" i="1"/>
  <c r="DQ645" i="1"/>
  <c r="DP645" i="1"/>
  <c r="DN645" i="1"/>
  <c r="DO645" i="1" s="1"/>
  <c r="DH645" i="1"/>
  <c r="DC645" i="1"/>
  <c r="CP645" i="1"/>
  <c r="CR645" i="1" s="1"/>
  <c r="BV645" i="1"/>
  <c r="BU645" i="1"/>
  <c r="BP645" i="1"/>
  <c r="BQ645" i="1" s="1"/>
  <c r="BO645" i="1"/>
  <c r="BF645" i="1"/>
  <c r="BE645" i="1"/>
  <c r="BD645" i="1"/>
  <c r="BC645" i="1"/>
  <c r="BB645" i="1"/>
  <c r="BA645" i="1"/>
  <c r="AZ645" i="1"/>
  <c r="M645" i="1"/>
  <c r="ER662" i="1"/>
  <c r="EQ662" i="1"/>
  <c r="DZ662" i="1"/>
  <c r="DY662" i="1"/>
  <c r="DS662" i="1"/>
  <c r="DR662" i="1"/>
  <c r="DQ662" i="1"/>
  <c r="DP662" i="1"/>
  <c r="DN662" i="1"/>
  <c r="DO662" i="1" s="1"/>
  <c r="DH662" i="1"/>
  <c r="DC662" i="1"/>
  <c r="CP662" i="1"/>
  <c r="CQ662" i="1" s="1"/>
  <c r="BU662" i="1"/>
  <c r="BX662" i="1" s="1"/>
  <c r="BZ662" i="1" s="1"/>
  <c r="BP662" i="1"/>
  <c r="BQ662" i="1" s="1"/>
  <c r="BO662" i="1"/>
  <c r="BF662" i="1"/>
  <c r="BE662" i="1"/>
  <c r="BD662" i="1"/>
  <c r="BC662" i="1"/>
  <c r="BB662" i="1"/>
  <c r="BA662" i="1"/>
  <c r="BG662" i="1" s="1" a="1"/>
  <c r="BG662" i="1" s="1"/>
  <c r="AZ662" i="1"/>
  <c r="M662" i="1"/>
  <c r="ER656" i="1"/>
  <c r="DZ656" i="1"/>
  <c r="DY656" i="1"/>
  <c r="DS656" i="1"/>
  <c r="DR656" i="1"/>
  <c r="DQ656" i="1"/>
  <c r="DP656" i="1"/>
  <c r="DN656" i="1"/>
  <c r="DO656" i="1" s="1"/>
  <c r="DH656" i="1"/>
  <c r="DC656" i="1"/>
  <c r="CP656" i="1"/>
  <c r="CV656" i="1" s="1"/>
  <c r="BU656" i="1"/>
  <c r="BX656" i="1" s="1"/>
  <c r="BZ656" i="1" s="1"/>
  <c r="BP656" i="1"/>
  <c r="BQ656" i="1" s="1"/>
  <c r="BO656" i="1"/>
  <c r="BF656" i="1"/>
  <c r="BE656" i="1"/>
  <c r="BD656" i="1"/>
  <c r="BC656" i="1"/>
  <c r="BB656" i="1"/>
  <c r="BA656" i="1"/>
  <c r="BG656" i="1" s="1" a="1"/>
  <c r="BG656" i="1" s="1"/>
  <c r="AZ656" i="1"/>
  <c r="M656" i="1"/>
  <c r="ER642" i="1"/>
  <c r="EQ642" i="1"/>
  <c r="DZ642" i="1"/>
  <c r="DY642" i="1"/>
  <c r="DS642" i="1"/>
  <c r="DR642" i="1"/>
  <c r="DQ642" i="1"/>
  <c r="DP642" i="1"/>
  <c r="DN642" i="1"/>
  <c r="DO642" i="1" s="1"/>
  <c r="DH642" i="1"/>
  <c r="DC642" i="1"/>
  <c r="CP642" i="1"/>
  <c r="BU642" i="1"/>
  <c r="BW642" i="1" s="1"/>
  <c r="BP642" i="1"/>
  <c r="BQ642" i="1" s="1"/>
  <c r="BO642" i="1"/>
  <c r="BF642" i="1"/>
  <c r="BE642" i="1"/>
  <c r="BD642" i="1"/>
  <c r="BC642" i="1"/>
  <c r="BB642" i="1"/>
  <c r="BA642" i="1"/>
  <c r="AZ642" i="1"/>
  <c r="M642" i="1"/>
  <c r="ER652" i="1"/>
  <c r="EQ652" i="1"/>
  <c r="DZ652" i="1"/>
  <c r="DY652" i="1"/>
  <c r="DS652" i="1"/>
  <c r="DR652" i="1"/>
  <c r="DQ652" i="1"/>
  <c r="DP652" i="1"/>
  <c r="DN652" i="1"/>
  <c r="DO652" i="1" s="1"/>
  <c r="DH652" i="1"/>
  <c r="DC652" i="1"/>
  <c r="CP652" i="1"/>
  <c r="CR652" i="1" s="1"/>
  <c r="BU652" i="1"/>
  <c r="BP652" i="1"/>
  <c r="BQ652" i="1" s="1"/>
  <c r="BO652" i="1"/>
  <c r="BF652" i="1"/>
  <c r="BE652" i="1"/>
  <c r="BD652" i="1"/>
  <c r="BC652" i="1"/>
  <c r="BB652" i="1"/>
  <c r="BA652" i="1"/>
  <c r="AZ652" i="1"/>
  <c r="M652" i="1"/>
  <c r="ER663" i="1"/>
  <c r="EQ663" i="1"/>
  <c r="DZ663" i="1"/>
  <c r="DY663" i="1"/>
  <c r="DS663" i="1"/>
  <c r="DR663" i="1"/>
  <c r="DQ663" i="1"/>
  <c r="DP663" i="1"/>
  <c r="DN663" i="1"/>
  <c r="DO663" i="1" s="1"/>
  <c r="DH663" i="1"/>
  <c r="DC663" i="1"/>
  <c r="CP663" i="1"/>
  <c r="CV663" i="1" s="1"/>
  <c r="BU663" i="1"/>
  <c r="BW663" i="1" s="1"/>
  <c r="BP663" i="1"/>
  <c r="BQ663" i="1" s="1"/>
  <c r="BO663" i="1"/>
  <c r="BF663" i="1"/>
  <c r="BE663" i="1"/>
  <c r="BD663" i="1"/>
  <c r="BC663" i="1"/>
  <c r="BB663" i="1"/>
  <c r="BA663" i="1"/>
  <c r="BG663" i="1" s="1" a="1"/>
  <c r="BG663" i="1" s="1"/>
  <c r="AZ663" i="1"/>
  <c r="M663" i="1"/>
  <c r="ER655" i="1"/>
  <c r="EQ655" i="1"/>
  <c r="DZ655" i="1"/>
  <c r="DY655" i="1"/>
  <c r="DS655" i="1"/>
  <c r="DR655" i="1"/>
  <c r="DQ655" i="1"/>
  <c r="DP655" i="1"/>
  <c r="DN655" i="1"/>
  <c r="DO655" i="1" s="1"/>
  <c r="DH655" i="1"/>
  <c r="DC655" i="1"/>
  <c r="CP655" i="1"/>
  <c r="CQ655" i="1" s="1"/>
  <c r="BU655" i="1"/>
  <c r="BP655" i="1"/>
  <c r="BQ655" i="1" s="1"/>
  <c r="BO655" i="1"/>
  <c r="BF655" i="1"/>
  <c r="BE655" i="1"/>
  <c r="BD655" i="1"/>
  <c r="BC655" i="1"/>
  <c r="BB655" i="1"/>
  <c r="BA655" i="1"/>
  <c r="BG655" i="1" s="1" a="1"/>
  <c r="BG655" i="1" s="1"/>
  <c r="AZ655" i="1"/>
  <c r="M655" i="1"/>
  <c r="ER641" i="1"/>
  <c r="EQ641" i="1"/>
  <c r="DZ641" i="1"/>
  <c r="DY641" i="1"/>
  <c r="DS641" i="1"/>
  <c r="DR641" i="1"/>
  <c r="DQ641" i="1"/>
  <c r="DP641" i="1"/>
  <c r="DN641" i="1"/>
  <c r="DO641" i="1" s="1"/>
  <c r="DH641" i="1"/>
  <c r="DC641" i="1"/>
  <c r="CP641" i="1"/>
  <c r="BU641" i="1"/>
  <c r="BX641" i="1" s="1"/>
  <c r="BZ641" i="1" s="1"/>
  <c r="BP641" i="1"/>
  <c r="BQ641" i="1" s="1"/>
  <c r="BO641" i="1"/>
  <c r="BF641" i="1"/>
  <c r="BE641" i="1"/>
  <c r="BD641" i="1"/>
  <c r="BC641" i="1"/>
  <c r="BB641" i="1"/>
  <c r="BA641" i="1"/>
  <c r="AZ641" i="1"/>
  <c r="M641" i="1"/>
  <c r="ER651" i="1"/>
  <c r="EQ651" i="1"/>
  <c r="DZ651" i="1"/>
  <c r="DY651" i="1"/>
  <c r="DS651" i="1"/>
  <c r="DR651" i="1"/>
  <c r="DQ651" i="1"/>
  <c r="DP651" i="1"/>
  <c r="DN651" i="1"/>
  <c r="DO651" i="1" s="1"/>
  <c r="DH651" i="1"/>
  <c r="DC651" i="1"/>
  <c r="CP651" i="1"/>
  <c r="CV651" i="1" s="1"/>
  <c r="BU651" i="1"/>
  <c r="BX651" i="1" s="1"/>
  <c r="BZ651" i="1" s="1"/>
  <c r="BP651" i="1"/>
  <c r="BQ651" i="1" s="1"/>
  <c r="BO651" i="1"/>
  <c r="BF651" i="1"/>
  <c r="BE651" i="1"/>
  <c r="BD651" i="1"/>
  <c r="BC651" i="1"/>
  <c r="BB651" i="1"/>
  <c r="BA651" i="1"/>
  <c r="AZ651" i="1"/>
  <c r="M651" i="1"/>
  <c r="ER664" i="1"/>
  <c r="EQ664" i="1"/>
  <c r="DZ664" i="1"/>
  <c r="DY664" i="1"/>
  <c r="DS664" i="1"/>
  <c r="DR664" i="1"/>
  <c r="DQ664" i="1"/>
  <c r="DP664" i="1"/>
  <c r="DN664" i="1"/>
  <c r="DO664" i="1" s="1"/>
  <c r="DH664" i="1"/>
  <c r="DC664" i="1"/>
  <c r="CP664" i="1"/>
  <c r="CV664" i="1" s="1"/>
  <c r="BU664" i="1"/>
  <c r="BX664" i="1" s="1"/>
  <c r="BZ664" i="1" s="1"/>
  <c r="BP664" i="1"/>
  <c r="BQ664" i="1" s="1"/>
  <c r="BO664" i="1"/>
  <c r="BF664" i="1"/>
  <c r="BE664" i="1"/>
  <c r="BD664" i="1"/>
  <c r="BC664" i="1"/>
  <c r="BB664" i="1"/>
  <c r="BA664" i="1"/>
  <c r="BG664" i="1" s="1" a="1"/>
  <c r="BG664" i="1" s="1"/>
  <c r="AZ664" i="1"/>
  <c r="M664" i="1"/>
  <c r="ER654" i="1"/>
  <c r="EQ654" i="1"/>
  <c r="DZ654" i="1"/>
  <c r="DY654" i="1"/>
  <c r="DS654" i="1"/>
  <c r="DR654" i="1"/>
  <c r="DQ654" i="1"/>
  <c r="DP654" i="1"/>
  <c r="DN654" i="1"/>
  <c r="DO654" i="1" s="1"/>
  <c r="DH654" i="1"/>
  <c r="DC654" i="1"/>
  <c r="CP654" i="1"/>
  <c r="BX654" i="1"/>
  <c r="BZ654" i="1" s="1"/>
  <c r="BW654" i="1"/>
  <c r="BP654" i="1"/>
  <c r="BQ654" i="1" s="1"/>
  <c r="BO654" i="1"/>
  <c r="BF654" i="1"/>
  <c r="BE654" i="1"/>
  <c r="BD654" i="1"/>
  <c r="BC654" i="1"/>
  <c r="BB654" i="1"/>
  <c r="BA654" i="1"/>
  <c r="BG654" i="1" s="1" a="1"/>
  <c r="BG654" i="1" s="1"/>
  <c r="AZ654" i="1"/>
  <c r="M654" i="1"/>
  <c r="ER644" i="1"/>
  <c r="EQ644" i="1"/>
  <c r="DZ644" i="1"/>
  <c r="DY644" i="1"/>
  <c r="DS644" i="1"/>
  <c r="DR644" i="1"/>
  <c r="DQ644" i="1"/>
  <c r="DP644" i="1"/>
  <c r="DN644" i="1"/>
  <c r="DO644" i="1" s="1"/>
  <c r="DH644" i="1"/>
  <c r="DC644" i="1"/>
  <c r="CP644" i="1"/>
  <c r="CU644" i="1" s="1"/>
  <c r="BX644" i="1"/>
  <c r="BZ644" i="1" s="1"/>
  <c r="BW644" i="1"/>
  <c r="BP644" i="1"/>
  <c r="BQ644" i="1" s="1"/>
  <c r="BO644" i="1"/>
  <c r="BF644" i="1"/>
  <c r="BE644" i="1"/>
  <c r="BD644" i="1"/>
  <c r="BC644" i="1"/>
  <c r="BB644" i="1"/>
  <c r="BA644" i="1"/>
  <c r="AZ644" i="1"/>
  <c r="M644" i="1"/>
  <c r="ER650" i="1"/>
  <c r="EQ650" i="1"/>
  <c r="DZ650" i="1"/>
  <c r="DY650" i="1"/>
  <c r="DS650" i="1"/>
  <c r="DR650" i="1"/>
  <c r="DQ650" i="1"/>
  <c r="DP650" i="1"/>
  <c r="DN650" i="1"/>
  <c r="DO650" i="1" s="1"/>
  <c r="DH650" i="1"/>
  <c r="DC650" i="1"/>
  <c r="CP650" i="1"/>
  <c r="CU650" i="1" s="1"/>
  <c r="BX650" i="1"/>
  <c r="BZ650" i="1" s="1"/>
  <c r="BW650" i="1"/>
  <c r="BP650" i="1"/>
  <c r="BQ650" i="1" s="1"/>
  <c r="BO650" i="1"/>
  <c r="BF650" i="1"/>
  <c r="BE650" i="1"/>
  <c r="BD650" i="1"/>
  <c r="BC650" i="1"/>
  <c r="BB650" i="1"/>
  <c r="BA650" i="1"/>
  <c r="AZ650" i="1"/>
  <c r="M650" i="1"/>
  <c r="ER661" i="1"/>
  <c r="EQ661" i="1"/>
  <c r="DZ661" i="1"/>
  <c r="DY661" i="1"/>
  <c r="DS661" i="1"/>
  <c r="DR661" i="1"/>
  <c r="DQ661" i="1"/>
  <c r="DP661" i="1"/>
  <c r="DN661" i="1"/>
  <c r="DO661" i="1" s="1"/>
  <c r="DH661" i="1"/>
  <c r="DC661" i="1"/>
  <c r="CP661" i="1"/>
  <c r="CV661" i="1" s="1"/>
  <c r="BU661" i="1"/>
  <c r="BW661" i="1" s="1"/>
  <c r="BP661" i="1"/>
  <c r="BQ661" i="1" s="1"/>
  <c r="BO661" i="1"/>
  <c r="BF661" i="1"/>
  <c r="BE661" i="1"/>
  <c r="BD661" i="1"/>
  <c r="BC661" i="1"/>
  <c r="BB661" i="1"/>
  <c r="BA661" i="1"/>
  <c r="BG661" i="1" s="1" a="1"/>
  <c r="BG661" i="1" s="1"/>
  <c r="AZ661" i="1"/>
  <c r="M661" i="1"/>
  <c r="ER653" i="1"/>
  <c r="EQ653" i="1"/>
  <c r="DZ653" i="1"/>
  <c r="DY653" i="1"/>
  <c r="DS653" i="1"/>
  <c r="DR653" i="1"/>
  <c r="DQ653" i="1"/>
  <c r="DP653" i="1"/>
  <c r="DN653" i="1"/>
  <c r="DO653" i="1" s="1"/>
  <c r="DH653" i="1"/>
  <c r="DC653" i="1"/>
  <c r="CP653" i="1"/>
  <c r="BX653" i="1"/>
  <c r="BZ653" i="1" s="1"/>
  <c r="BW653" i="1"/>
  <c r="BP653" i="1"/>
  <c r="BQ653" i="1" s="1"/>
  <c r="BO653" i="1"/>
  <c r="BF653" i="1"/>
  <c r="BE653" i="1"/>
  <c r="BD653" i="1"/>
  <c r="BC653" i="1"/>
  <c r="BB653" i="1"/>
  <c r="BA653" i="1"/>
  <c r="BG653" i="1" s="1" a="1"/>
  <c r="BG653" i="1" s="1"/>
  <c r="AZ653" i="1"/>
  <c r="M653" i="1"/>
  <c r="ER643" i="1"/>
  <c r="EQ643" i="1"/>
  <c r="DZ643" i="1"/>
  <c r="DY643" i="1"/>
  <c r="DS643" i="1"/>
  <c r="DR643" i="1"/>
  <c r="DQ643" i="1"/>
  <c r="DP643" i="1"/>
  <c r="DN643" i="1"/>
  <c r="DO643" i="1" s="1"/>
  <c r="DH643" i="1"/>
  <c r="DC643" i="1"/>
  <c r="CP643" i="1"/>
  <c r="CQ643" i="1" s="1"/>
  <c r="BX643" i="1"/>
  <c r="BZ643" i="1" s="1"/>
  <c r="BW643" i="1"/>
  <c r="BP643" i="1"/>
  <c r="BQ643" i="1" s="1"/>
  <c r="BO643" i="1"/>
  <c r="BF643" i="1"/>
  <c r="BE643" i="1"/>
  <c r="BD643" i="1"/>
  <c r="BC643" i="1"/>
  <c r="BB643" i="1"/>
  <c r="BA643" i="1"/>
  <c r="AZ643" i="1"/>
  <c r="M643" i="1"/>
  <c r="ER649" i="1"/>
  <c r="EQ649" i="1"/>
  <c r="DZ649" i="1"/>
  <c r="DY649" i="1"/>
  <c r="DS649" i="1"/>
  <c r="DR649" i="1"/>
  <c r="DQ649" i="1"/>
  <c r="DP649" i="1"/>
  <c r="DN649" i="1"/>
  <c r="DO649" i="1" s="1"/>
  <c r="DH649" i="1"/>
  <c r="DC649" i="1"/>
  <c r="CP649" i="1"/>
  <c r="CV649" i="1" s="1"/>
  <c r="BX649" i="1"/>
  <c r="BZ649" i="1" s="1"/>
  <c r="BW649" i="1"/>
  <c r="BP649" i="1"/>
  <c r="BQ649" i="1" s="1"/>
  <c r="BO649" i="1"/>
  <c r="BF649" i="1"/>
  <c r="BE649" i="1"/>
  <c r="BD649" i="1"/>
  <c r="BC649" i="1"/>
  <c r="BB649" i="1"/>
  <c r="BA649" i="1"/>
  <c r="AZ649" i="1"/>
  <c r="M649" i="1"/>
  <c r="ER1589" i="1"/>
  <c r="EQ1589" i="1"/>
  <c r="DZ1589" i="1"/>
  <c r="DY1589" i="1"/>
  <c r="DS1589" i="1"/>
  <c r="DR1589" i="1"/>
  <c r="DQ1589" i="1"/>
  <c r="DP1589" i="1"/>
  <c r="DN1589" i="1"/>
  <c r="DO1589" i="1" s="1"/>
  <c r="DG1589" i="1"/>
  <c r="DH1589" i="1" s="1"/>
  <c r="DC1589" i="1"/>
  <c r="BV1589" i="1"/>
  <c r="BU1589" i="1"/>
  <c r="BN1589" i="1"/>
  <c r="BM1589" i="1"/>
  <c r="BF1589" i="1"/>
  <c r="BE1589" i="1"/>
  <c r="BD1589" i="1"/>
  <c r="BC1589" i="1"/>
  <c r="BB1589" i="1"/>
  <c r="BA1589" i="1"/>
  <c r="AZ1589" i="1"/>
  <c r="M1589" i="1"/>
  <c r="ER1591" i="1"/>
  <c r="EQ1591" i="1"/>
  <c r="DZ1591" i="1"/>
  <c r="DY1591" i="1"/>
  <c r="DS1591" i="1"/>
  <c r="DR1591" i="1"/>
  <c r="DQ1591" i="1"/>
  <c r="DP1591" i="1"/>
  <c r="DN1591" i="1"/>
  <c r="DO1591" i="1" s="1"/>
  <c r="DG1591" i="1"/>
  <c r="DH1591" i="1" s="1"/>
  <c r="DC1591" i="1"/>
  <c r="BV1591" i="1"/>
  <c r="BU1591" i="1"/>
  <c r="BN1591" i="1"/>
  <c r="BM1591" i="1"/>
  <c r="BF1591" i="1"/>
  <c r="BE1591" i="1"/>
  <c r="BD1591" i="1"/>
  <c r="BC1591" i="1"/>
  <c r="BB1591" i="1"/>
  <c r="BA1591" i="1"/>
  <c r="AZ1591" i="1"/>
  <c r="M1591" i="1"/>
  <c r="ER1590" i="1"/>
  <c r="EQ1590" i="1"/>
  <c r="DZ1590" i="1"/>
  <c r="DY1590" i="1"/>
  <c r="DS1590" i="1"/>
  <c r="DR1590" i="1"/>
  <c r="DQ1590" i="1"/>
  <c r="DP1590" i="1"/>
  <c r="DN1590" i="1"/>
  <c r="DO1590" i="1" s="1"/>
  <c r="DG1590" i="1"/>
  <c r="DH1590" i="1" s="1"/>
  <c r="DC1590" i="1"/>
  <c r="BV1590" i="1"/>
  <c r="BU1590" i="1"/>
  <c r="BN1590" i="1"/>
  <c r="BM1590" i="1"/>
  <c r="BF1590" i="1"/>
  <c r="BE1590" i="1"/>
  <c r="BD1590" i="1"/>
  <c r="BC1590" i="1"/>
  <c r="BB1590" i="1"/>
  <c r="BA1590" i="1"/>
  <c r="BG1590" i="1" s="1" a="1"/>
  <c r="BG1590" i="1" s="1"/>
  <c r="AZ1590" i="1"/>
  <c r="M1590" i="1"/>
  <c r="ER1593" i="1"/>
  <c r="EQ1593" i="1"/>
  <c r="DZ1593" i="1"/>
  <c r="DY1593" i="1"/>
  <c r="DS1593" i="1"/>
  <c r="DR1593" i="1"/>
  <c r="DQ1593" i="1"/>
  <c r="DP1593" i="1"/>
  <c r="DN1593" i="1"/>
  <c r="DO1593" i="1" s="1"/>
  <c r="DG1593" i="1"/>
  <c r="DH1593" i="1" s="1"/>
  <c r="DC1593" i="1"/>
  <c r="BV1593" i="1"/>
  <c r="BU1593" i="1"/>
  <c r="BN1593" i="1"/>
  <c r="BM1593" i="1"/>
  <c r="BF1593" i="1"/>
  <c r="BE1593" i="1"/>
  <c r="BD1593" i="1"/>
  <c r="BC1593" i="1"/>
  <c r="BB1593" i="1"/>
  <c r="BA1593" i="1"/>
  <c r="AZ1593" i="1"/>
  <c r="M1593" i="1"/>
  <c r="ER1594" i="1"/>
  <c r="EQ1594" i="1"/>
  <c r="DZ1594" i="1"/>
  <c r="DY1594" i="1"/>
  <c r="DS1594" i="1"/>
  <c r="DR1594" i="1"/>
  <c r="DQ1594" i="1"/>
  <c r="DP1594" i="1"/>
  <c r="DN1594" i="1"/>
  <c r="DO1594" i="1" s="1"/>
  <c r="DG1594" i="1"/>
  <c r="DH1594" i="1" s="1"/>
  <c r="DC1594" i="1"/>
  <c r="BV1594" i="1"/>
  <c r="BU1594" i="1"/>
  <c r="BN1594" i="1"/>
  <c r="BM1594" i="1"/>
  <c r="BF1594" i="1"/>
  <c r="BE1594" i="1"/>
  <c r="BD1594" i="1"/>
  <c r="BC1594" i="1"/>
  <c r="BB1594" i="1"/>
  <c r="BA1594" i="1"/>
  <c r="AZ1594" i="1"/>
  <c r="M1594" i="1"/>
  <c r="ER1592" i="1"/>
  <c r="EQ1592" i="1"/>
  <c r="DZ1592" i="1"/>
  <c r="DY1592" i="1"/>
  <c r="DS1592" i="1"/>
  <c r="DR1592" i="1"/>
  <c r="DQ1592" i="1"/>
  <c r="DP1592" i="1"/>
  <c r="DN1592" i="1"/>
  <c r="DO1592" i="1" s="1"/>
  <c r="DG1592" i="1"/>
  <c r="DH1592" i="1" s="1"/>
  <c r="DC1592" i="1"/>
  <c r="BV1592" i="1"/>
  <c r="BU1592" i="1"/>
  <c r="BN1592" i="1"/>
  <c r="BM1592" i="1"/>
  <c r="BF1592" i="1"/>
  <c r="BE1592" i="1"/>
  <c r="BD1592" i="1"/>
  <c r="BC1592" i="1"/>
  <c r="BB1592" i="1"/>
  <c r="BA1592" i="1"/>
  <c r="BG1592" i="1" s="1" a="1"/>
  <c r="BG1592" i="1" s="1"/>
  <c r="AZ1592" i="1"/>
  <c r="M1592" i="1"/>
  <c r="ER86" i="1"/>
  <c r="EQ86" i="1"/>
  <c r="DZ86" i="1"/>
  <c r="DY86" i="1"/>
  <c r="DS86" i="1"/>
  <c r="DR86" i="1"/>
  <c r="DQ86" i="1"/>
  <c r="DP86" i="1"/>
  <c r="DN86" i="1"/>
  <c r="DO86" i="1" s="1"/>
  <c r="DH86" i="1"/>
  <c r="DF86" i="1"/>
  <c r="DC86" i="1"/>
  <c r="BX86" i="1"/>
  <c r="BZ86" i="1" s="1"/>
  <c r="BW86" i="1"/>
  <c r="BN86" i="1"/>
  <c r="BF86" i="1"/>
  <c r="BE86" i="1"/>
  <c r="BD86" i="1"/>
  <c r="BC86" i="1"/>
  <c r="BB86" i="1"/>
  <c r="BA86" i="1"/>
  <c r="AZ86" i="1"/>
  <c r="M86" i="1"/>
  <c r="ER1403" i="1"/>
  <c r="EQ1403" i="1"/>
  <c r="DZ1403" i="1"/>
  <c r="DY1403" i="1"/>
  <c r="DS1403" i="1"/>
  <c r="DR1403" i="1"/>
  <c r="DQ1403" i="1"/>
  <c r="DP1403" i="1"/>
  <c r="DN1403" i="1"/>
  <c r="DO1403" i="1" s="1"/>
  <c r="DH1403" i="1"/>
  <c r="DC1403" i="1"/>
  <c r="CP1403" i="1"/>
  <c r="CV1403" i="1" s="1"/>
  <c r="BZ1403" i="1"/>
  <c r="BW1403" i="1"/>
  <c r="BP1403" i="1"/>
  <c r="BQ1403" i="1" s="1"/>
  <c r="BO1403" i="1"/>
  <c r="BF1403" i="1"/>
  <c r="BE1403" i="1"/>
  <c r="BD1403" i="1"/>
  <c r="BC1403" i="1"/>
  <c r="BB1403" i="1"/>
  <c r="BA1403" i="1"/>
  <c r="BG1403" i="1" s="1" a="1"/>
  <c r="BG1403" i="1" s="1"/>
  <c r="AZ1403" i="1"/>
  <c r="M1403" i="1"/>
  <c r="ER1395" i="1"/>
  <c r="EQ1395" i="1"/>
  <c r="DZ1395" i="1"/>
  <c r="DY1395" i="1"/>
  <c r="DS1395" i="1"/>
  <c r="DR1395" i="1"/>
  <c r="DQ1395" i="1"/>
  <c r="DP1395" i="1"/>
  <c r="DN1395" i="1"/>
  <c r="DO1395" i="1" s="1"/>
  <c r="DH1395" i="1"/>
  <c r="DC1395" i="1"/>
  <c r="CP1395" i="1"/>
  <c r="BZ1395" i="1"/>
  <c r="BW1395" i="1"/>
  <c r="BP1395" i="1"/>
  <c r="BQ1395" i="1" s="1"/>
  <c r="BO1395" i="1"/>
  <c r="BF1395" i="1"/>
  <c r="BE1395" i="1"/>
  <c r="BD1395" i="1"/>
  <c r="BC1395" i="1"/>
  <c r="BB1395" i="1"/>
  <c r="BA1395" i="1"/>
  <c r="BG1395" i="1" s="1" a="1"/>
  <c r="BG1395" i="1" s="1"/>
  <c r="AZ1395" i="1"/>
  <c r="M1395" i="1"/>
  <c r="ER1394" i="1"/>
  <c r="EQ1394" i="1"/>
  <c r="DZ1394" i="1"/>
  <c r="DY1394" i="1"/>
  <c r="DS1394" i="1"/>
  <c r="DR1394" i="1"/>
  <c r="DQ1394" i="1"/>
  <c r="DP1394" i="1"/>
  <c r="DN1394" i="1"/>
  <c r="DO1394" i="1" s="1"/>
  <c r="DH1394" i="1"/>
  <c r="DC1394" i="1"/>
  <c r="CP1394" i="1"/>
  <c r="CR1394" i="1" s="1"/>
  <c r="BZ1394" i="1"/>
  <c r="BW1394" i="1"/>
  <c r="BP1394" i="1"/>
  <c r="BQ1394" i="1" s="1"/>
  <c r="BO1394" i="1"/>
  <c r="BF1394" i="1"/>
  <c r="BE1394" i="1"/>
  <c r="BD1394" i="1"/>
  <c r="BC1394" i="1"/>
  <c r="BB1394" i="1"/>
  <c r="BA1394" i="1"/>
  <c r="BG1394" i="1" s="1" a="1"/>
  <c r="BG1394" i="1" s="1"/>
  <c r="AZ1394" i="1"/>
  <c r="M1394" i="1"/>
  <c r="ER1393" i="1"/>
  <c r="EQ1393" i="1"/>
  <c r="DZ1393" i="1"/>
  <c r="DY1393" i="1"/>
  <c r="DS1393" i="1"/>
  <c r="DR1393" i="1"/>
  <c r="DQ1393" i="1"/>
  <c r="DP1393" i="1"/>
  <c r="DN1393" i="1"/>
  <c r="DO1393" i="1" s="1"/>
  <c r="DH1393" i="1"/>
  <c r="DC1393" i="1"/>
  <c r="CP1393" i="1"/>
  <c r="CV1393" i="1" s="1"/>
  <c r="BZ1393" i="1"/>
  <c r="BW1393" i="1"/>
  <c r="BP1393" i="1"/>
  <c r="BQ1393" i="1" s="1"/>
  <c r="BO1393" i="1"/>
  <c r="BF1393" i="1"/>
  <c r="BE1393" i="1"/>
  <c r="BD1393" i="1"/>
  <c r="BC1393" i="1"/>
  <c r="BB1393" i="1"/>
  <c r="BA1393" i="1"/>
  <c r="BG1393" i="1" s="1" a="1"/>
  <c r="BG1393" i="1" s="1"/>
  <c r="AZ1393" i="1"/>
  <c r="M1393" i="1"/>
  <c r="ER1392" i="1"/>
  <c r="EQ1392" i="1"/>
  <c r="DZ1392" i="1"/>
  <c r="DY1392" i="1"/>
  <c r="DS1392" i="1"/>
  <c r="DR1392" i="1"/>
  <c r="DQ1392" i="1"/>
  <c r="DP1392" i="1"/>
  <c r="DN1392" i="1"/>
  <c r="DO1392" i="1" s="1"/>
  <c r="DH1392" i="1"/>
  <c r="DC1392" i="1"/>
  <c r="CP1392" i="1"/>
  <c r="BZ1392" i="1"/>
  <c r="BW1392" i="1"/>
  <c r="BP1392" i="1"/>
  <c r="BQ1392" i="1" s="1"/>
  <c r="BO1392" i="1"/>
  <c r="BF1392" i="1"/>
  <c r="BE1392" i="1"/>
  <c r="BD1392" i="1"/>
  <c r="BC1392" i="1"/>
  <c r="BB1392" i="1"/>
  <c r="BA1392" i="1"/>
  <c r="BG1392" i="1" s="1" a="1"/>
  <c r="BG1392" i="1" s="1"/>
  <c r="AZ1392" i="1"/>
  <c r="M1392" i="1"/>
  <c r="ER1388" i="1"/>
  <c r="EQ1388" i="1"/>
  <c r="DZ1388" i="1"/>
  <c r="DY1388" i="1"/>
  <c r="DS1388" i="1"/>
  <c r="DR1388" i="1"/>
  <c r="DQ1388" i="1"/>
  <c r="DP1388" i="1"/>
  <c r="DN1388" i="1"/>
  <c r="DO1388" i="1" s="1"/>
  <c r="DH1388" i="1"/>
  <c r="DC1388" i="1"/>
  <c r="CP1388" i="1"/>
  <c r="BZ1388" i="1"/>
  <c r="BW1388" i="1"/>
  <c r="BP1388" i="1"/>
  <c r="BQ1388" i="1" s="1"/>
  <c r="BO1388" i="1"/>
  <c r="BF1388" i="1"/>
  <c r="BE1388" i="1"/>
  <c r="BD1388" i="1"/>
  <c r="BC1388" i="1"/>
  <c r="BB1388" i="1"/>
  <c r="BA1388" i="1"/>
  <c r="BG1388" i="1" s="1" a="1"/>
  <c r="BG1388" i="1" s="1"/>
  <c r="AZ1388" i="1"/>
  <c r="M1388" i="1"/>
  <c r="ER1343" i="1"/>
  <c r="EQ1343" i="1"/>
  <c r="DZ1343" i="1"/>
  <c r="DY1343" i="1"/>
  <c r="DS1343" i="1"/>
  <c r="DR1343" i="1"/>
  <c r="DQ1343" i="1"/>
  <c r="DP1343" i="1"/>
  <c r="DN1343" i="1"/>
  <c r="DO1343" i="1" s="1"/>
  <c r="DH1343" i="1"/>
  <c r="DC1343" i="1"/>
  <c r="CP1343" i="1"/>
  <c r="CR1343" i="1" s="1"/>
  <c r="BZ1343" i="1"/>
  <c r="BW1343" i="1"/>
  <c r="BP1343" i="1"/>
  <c r="BQ1343" i="1" s="1"/>
  <c r="BO1343" i="1"/>
  <c r="BF1343" i="1"/>
  <c r="BE1343" i="1"/>
  <c r="BD1343" i="1"/>
  <c r="BC1343" i="1"/>
  <c r="BB1343" i="1"/>
  <c r="BA1343" i="1"/>
  <c r="BG1343" i="1" s="1" a="1"/>
  <c r="BG1343" i="1" s="1"/>
  <c r="AZ1343" i="1"/>
  <c r="M1343" i="1"/>
  <c r="ER1298" i="1"/>
  <c r="EQ1298" i="1"/>
  <c r="DZ1298" i="1"/>
  <c r="DY1298" i="1"/>
  <c r="DS1298" i="1"/>
  <c r="DR1298" i="1"/>
  <c r="DQ1298" i="1"/>
  <c r="DP1298" i="1"/>
  <c r="DN1298" i="1"/>
  <c r="DO1298" i="1" s="1"/>
  <c r="DH1298" i="1"/>
  <c r="DC1298" i="1"/>
  <c r="CP1298" i="1"/>
  <c r="CV1298" i="1" s="1"/>
  <c r="BZ1298" i="1"/>
  <c r="BW1298" i="1"/>
  <c r="BP1298" i="1"/>
  <c r="BQ1298" i="1" s="1"/>
  <c r="BO1298" i="1"/>
  <c r="BF1298" i="1"/>
  <c r="BE1298" i="1"/>
  <c r="BD1298" i="1"/>
  <c r="BC1298" i="1"/>
  <c r="BB1298" i="1"/>
  <c r="BA1298" i="1"/>
  <c r="BG1298" i="1" s="1" a="1"/>
  <c r="BG1298" i="1" s="1"/>
  <c r="AZ1298" i="1"/>
  <c r="M1298" i="1"/>
  <c r="ER1297" i="1"/>
  <c r="EQ1297" i="1"/>
  <c r="DZ1297" i="1"/>
  <c r="DY1297" i="1"/>
  <c r="DS1297" i="1"/>
  <c r="DR1297" i="1"/>
  <c r="DQ1297" i="1"/>
  <c r="DP1297" i="1"/>
  <c r="DN1297" i="1"/>
  <c r="DO1297" i="1" s="1"/>
  <c r="DH1297" i="1"/>
  <c r="DC1297" i="1"/>
  <c r="CP1297" i="1"/>
  <c r="CV1297" i="1" s="1"/>
  <c r="BZ1297" i="1"/>
  <c r="BW1297" i="1"/>
  <c r="BP1297" i="1"/>
  <c r="BQ1297" i="1" s="1"/>
  <c r="BO1297" i="1"/>
  <c r="BF1297" i="1"/>
  <c r="BE1297" i="1"/>
  <c r="BD1297" i="1"/>
  <c r="BC1297" i="1"/>
  <c r="BB1297" i="1"/>
  <c r="BA1297" i="1"/>
  <c r="BG1297" i="1" s="1" a="1"/>
  <c r="BG1297" i="1" s="1"/>
  <c r="AZ1297" i="1"/>
  <c r="M1297" i="1"/>
  <c r="ER1296" i="1"/>
  <c r="EQ1296" i="1"/>
  <c r="DZ1296" i="1"/>
  <c r="DY1296" i="1"/>
  <c r="DS1296" i="1"/>
  <c r="DR1296" i="1"/>
  <c r="DQ1296" i="1"/>
  <c r="DP1296" i="1"/>
  <c r="DN1296" i="1"/>
  <c r="DO1296" i="1" s="1"/>
  <c r="DH1296" i="1"/>
  <c r="DC1296" i="1"/>
  <c r="CP1296" i="1"/>
  <c r="BZ1296" i="1"/>
  <c r="BW1296" i="1"/>
  <c r="BP1296" i="1"/>
  <c r="BQ1296" i="1" s="1"/>
  <c r="BO1296" i="1"/>
  <c r="BF1296" i="1"/>
  <c r="BE1296" i="1"/>
  <c r="BD1296" i="1"/>
  <c r="BC1296" i="1"/>
  <c r="BB1296" i="1"/>
  <c r="BA1296" i="1"/>
  <c r="BG1296" i="1" s="1" a="1"/>
  <c r="BG1296" i="1" s="1"/>
  <c r="AZ1296" i="1"/>
  <c r="M1296" i="1"/>
  <c r="ER1290" i="1"/>
  <c r="EQ1290" i="1"/>
  <c r="DZ1290" i="1"/>
  <c r="DY1290" i="1"/>
  <c r="DS1290" i="1"/>
  <c r="DR1290" i="1"/>
  <c r="DQ1290" i="1"/>
  <c r="DP1290" i="1"/>
  <c r="DN1290" i="1"/>
  <c r="DO1290" i="1" s="1"/>
  <c r="DH1290" i="1"/>
  <c r="DC1290" i="1"/>
  <c r="CP1290" i="1"/>
  <c r="CQ1290" i="1" s="1"/>
  <c r="BZ1290" i="1"/>
  <c r="BW1290" i="1"/>
  <c r="BP1290" i="1"/>
  <c r="BQ1290" i="1" s="1"/>
  <c r="BO1290" i="1"/>
  <c r="BF1290" i="1"/>
  <c r="BE1290" i="1"/>
  <c r="BD1290" i="1"/>
  <c r="BC1290" i="1"/>
  <c r="BB1290" i="1"/>
  <c r="BA1290" i="1"/>
  <c r="BG1290" i="1" s="1" a="1"/>
  <c r="BG1290" i="1" s="1"/>
  <c r="AZ1290" i="1"/>
  <c r="M1290" i="1"/>
  <c r="ER1289" i="1"/>
  <c r="EQ1289" i="1"/>
  <c r="DZ1289" i="1"/>
  <c r="DY1289" i="1"/>
  <c r="DS1289" i="1"/>
  <c r="DR1289" i="1"/>
  <c r="DQ1289" i="1"/>
  <c r="DP1289" i="1"/>
  <c r="DN1289" i="1"/>
  <c r="DO1289" i="1" s="1"/>
  <c r="DH1289" i="1"/>
  <c r="DC1289" i="1"/>
  <c r="CP1289" i="1"/>
  <c r="CV1289" i="1" s="1"/>
  <c r="BZ1289" i="1"/>
  <c r="BW1289" i="1"/>
  <c r="BP1289" i="1"/>
  <c r="BQ1289" i="1" s="1"/>
  <c r="BO1289" i="1"/>
  <c r="BF1289" i="1"/>
  <c r="BE1289" i="1"/>
  <c r="BD1289" i="1"/>
  <c r="BC1289" i="1"/>
  <c r="BB1289" i="1"/>
  <c r="BA1289" i="1"/>
  <c r="BG1289" i="1" s="1" a="1"/>
  <c r="BG1289" i="1" s="1"/>
  <c r="AZ1289" i="1"/>
  <c r="M1289" i="1"/>
  <c r="ER1269" i="1"/>
  <c r="EQ1269" i="1"/>
  <c r="DZ1269" i="1"/>
  <c r="DY1269" i="1"/>
  <c r="DS1269" i="1"/>
  <c r="DR1269" i="1"/>
  <c r="DQ1269" i="1"/>
  <c r="DP1269" i="1"/>
  <c r="DN1269" i="1"/>
  <c r="DO1269" i="1" s="1"/>
  <c r="DH1269" i="1"/>
  <c r="DC1269" i="1"/>
  <c r="CP1269" i="1"/>
  <c r="CQ1269" i="1" s="1"/>
  <c r="BZ1269" i="1"/>
  <c r="BW1269" i="1"/>
  <c r="BP1269" i="1"/>
  <c r="BQ1269" i="1" s="1"/>
  <c r="BO1269" i="1"/>
  <c r="BF1269" i="1"/>
  <c r="BE1269" i="1"/>
  <c r="BD1269" i="1"/>
  <c r="BC1269" i="1"/>
  <c r="BB1269" i="1"/>
  <c r="BA1269" i="1"/>
  <c r="BG1269" i="1" s="1" a="1"/>
  <c r="BG1269" i="1" s="1"/>
  <c r="AZ1269" i="1"/>
  <c r="M1269" i="1"/>
  <c r="ER1122" i="1"/>
  <c r="EQ1122" i="1"/>
  <c r="DZ1122" i="1"/>
  <c r="DY1122" i="1"/>
  <c r="DS1122" i="1"/>
  <c r="DR1122" i="1"/>
  <c r="DQ1122" i="1"/>
  <c r="DP1122" i="1"/>
  <c r="DN1122" i="1"/>
  <c r="DO1122" i="1" s="1"/>
  <c r="DH1122" i="1"/>
  <c r="DC1122" i="1"/>
  <c r="CP1122" i="1"/>
  <c r="CU1122" i="1" s="1"/>
  <c r="BZ1122" i="1"/>
  <c r="BW1122" i="1"/>
  <c r="BP1122" i="1"/>
  <c r="BQ1122" i="1" s="1"/>
  <c r="BO1122" i="1"/>
  <c r="BF1122" i="1"/>
  <c r="BE1122" i="1"/>
  <c r="BD1122" i="1"/>
  <c r="BC1122" i="1"/>
  <c r="BB1122" i="1"/>
  <c r="BA1122" i="1"/>
  <c r="BG1122" i="1" s="1" a="1"/>
  <c r="BG1122" i="1" s="1"/>
  <c r="AZ1122" i="1"/>
  <c r="M1122" i="1"/>
  <c r="ER902" i="1"/>
  <c r="EQ902" i="1"/>
  <c r="DZ902" i="1"/>
  <c r="DY902" i="1"/>
  <c r="DS902" i="1"/>
  <c r="DR902" i="1"/>
  <c r="DQ902" i="1"/>
  <c r="DP902" i="1"/>
  <c r="DN902" i="1"/>
  <c r="DO902" i="1" s="1"/>
  <c r="DH902" i="1"/>
  <c r="DC902" i="1"/>
  <c r="CP902" i="1"/>
  <c r="BZ902" i="1"/>
  <c r="BW902" i="1"/>
  <c r="BP902" i="1"/>
  <c r="BQ902" i="1" s="1"/>
  <c r="BO902" i="1"/>
  <c r="BF902" i="1"/>
  <c r="BE902" i="1"/>
  <c r="BD902" i="1"/>
  <c r="BC902" i="1"/>
  <c r="BB902" i="1"/>
  <c r="BA902" i="1"/>
  <c r="BG902" i="1" s="1" a="1"/>
  <c r="BG902" i="1" s="1"/>
  <c r="AZ902" i="1"/>
  <c r="M902" i="1"/>
  <c r="ER606" i="1"/>
  <c r="EQ606" i="1"/>
  <c r="DZ606" i="1"/>
  <c r="DY606" i="1"/>
  <c r="DS606" i="1"/>
  <c r="DR606" i="1"/>
  <c r="DQ606" i="1"/>
  <c r="DP606" i="1"/>
  <c r="DN606" i="1"/>
  <c r="DO606" i="1" s="1"/>
  <c r="DH606" i="1"/>
  <c r="DC606" i="1"/>
  <c r="CP606" i="1"/>
  <c r="CU606" i="1" s="1"/>
  <c r="BZ606" i="1"/>
  <c r="BW606" i="1"/>
  <c r="BP606" i="1"/>
  <c r="BQ606" i="1" s="1"/>
  <c r="BF606" i="1"/>
  <c r="BE606" i="1"/>
  <c r="BD606" i="1"/>
  <c r="BC606" i="1"/>
  <c r="BB606" i="1"/>
  <c r="BA606" i="1"/>
  <c r="BG606" i="1" s="1" a="1"/>
  <c r="BG606" i="1" s="1"/>
  <c r="AZ606" i="1"/>
  <c r="M606" i="1"/>
  <c r="ER1588" i="1"/>
  <c r="EQ1588" i="1"/>
  <c r="DZ1588" i="1"/>
  <c r="DY1588" i="1"/>
  <c r="DS1588" i="1"/>
  <c r="DR1588" i="1"/>
  <c r="DQ1588" i="1"/>
  <c r="DP1588" i="1"/>
  <c r="DN1588" i="1"/>
  <c r="DO1588" i="1" s="1"/>
  <c r="DH1588" i="1"/>
  <c r="DC1588" i="1"/>
  <c r="BV1588" i="1"/>
  <c r="BU1588" i="1"/>
  <c r="BN1588" i="1"/>
  <c r="CP1588" i="1" s="1"/>
  <c r="BF1588" i="1"/>
  <c r="BE1588" i="1"/>
  <c r="BD1588" i="1"/>
  <c r="BC1588" i="1"/>
  <c r="BB1588" i="1"/>
  <c r="BA1588" i="1"/>
  <c r="BG1588" i="1" s="1" a="1"/>
  <c r="BG1588" i="1" s="1"/>
  <c r="AZ1588" i="1"/>
  <c r="M1588" i="1"/>
  <c r="ER1587" i="1"/>
  <c r="EQ1587" i="1"/>
  <c r="DZ1587" i="1"/>
  <c r="DY1587" i="1"/>
  <c r="DS1587" i="1"/>
  <c r="DR1587" i="1"/>
  <c r="DQ1587" i="1"/>
  <c r="DP1587" i="1"/>
  <c r="DN1587" i="1"/>
  <c r="DO1587" i="1" s="1"/>
  <c r="DH1587" i="1"/>
  <c r="DC1587" i="1"/>
  <c r="BV1587" i="1"/>
  <c r="BU1587" i="1"/>
  <c r="BN1587" i="1"/>
  <c r="BF1587" i="1"/>
  <c r="BE1587" i="1"/>
  <c r="BD1587" i="1"/>
  <c r="BC1587" i="1"/>
  <c r="BB1587" i="1"/>
  <c r="BA1587" i="1"/>
  <c r="BG1587" i="1" s="1" a="1"/>
  <c r="BG1587" i="1" s="1"/>
  <c r="AZ1587" i="1"/>
  <c r="M1587" i="1"/>
  <c r="ER673" i="1"/>
  <c r="EQ673" i="1"/>
  <c r="DZ673" i="1"/>
  <c r="DY673" i="1"/>
  <c r="DS673" i="1"/>
  <c r="DR673" i="1"/>
  <c r="DQ673" i="1"/>
  <c r="DP673" i="1"/>
  <c r="DN673" i="1"/>
  <c r="DO673" i="1" s="1"/>
  <c r="DH673" i="1"/>
  <c r="DC673" i="1"/>
  <c r="CP673" i="1"/>
  <c r="CR673" i="1" s="1"/>
  <c r="BX673" i="1"/>
  <c r="BZ673" i="1" s="1"/>
  <c r="BW673" i="1"/>
  <c r="BP673" i="1"/>
  <c r="BQ673" i="1" s="1"/>
  <c r="BO673" i="1"/>
  <c r="BF673" i="1"/>
  <c r="BE673" i="1"/>
  <c r="BD673" i="1"/>
  <c r="BC673" i="1"/>
  <c r="BB673" i="1"/>
  <c r="BA673" i="1"/>
  <c r="BG673" i="1" s="1" a="1"/>
  <c r="BG673" i="1" s="1"/>
  <c r="AZ673" i="1"/>
  <c r="M673" i="1"/>
  <c r="ER672" i="1"/>
  <c r="EQ672" i="1"/>
  <c r="DZ672" i="1"/>
  <c r="DY672" i="1"/>
  <c r="DS672" i="1"/>
  <c r="DR672" i="1"/>
  <c r="DQ672" i="1"/>
  <c r="DP672" i="1"/>
  <c r="DN672" i="1"/>
  <c r="DO672" i="1" s="1"/>
  <c r="DH672" i="1"/>
  <c r="DC672" i="1"/>
  <c r="CP672" i="1"/>
  <c r="CR672" i="1" s="1"/>
  <c r="BX672" i="1"/>
  <c r="BZ672" i="1" s="1"/>
  <c r="BW672" i="1"/>
  <c r="BP672" i="1"/>
  <c r="BQ672" i="1" s="1"/>
  <c r="BO672" i="1"/>
  <c r="BF672" i="1"/>
  <c r="BE672" i="1"/>
  <c r="BD672" i="1"/>
  <c r="BC672" i="1"/>
  <c r="BB672" i="1"/>
  <c r="BA672" i="1"/>
  <c r="BG672" i="1" s="1" a="1"/>
  <c r="BG672" i="1" s="1"/>
  <c r="AZ672" i="1"/>
  <c r="M672" i="1"/>
  <c r="ER671" i="1"/>
  <c r="EQ671" i="1"/>
  <c r="DZ671" i="1"/>
  <c r="DY671" i="1"/>
  <c r="DS671" i="1"/>
  <c r="DR671" i="1"/>
  <c r="DQ671" i="1"/>
  <c r="DP671" i="1"/>
  <c r="DN671" i="1"/>
  <c r="DO671" i="1" s="1"/>
  <c r="DH671" i="1"/>
  <c r="DC671" i="1"/>
  <c r="CP671" i="1"/>
  <c r="BX671" i="1"/>
  <c r="BZ671" i="1" s="1"/>
  <c r="BW671" i="1"/>
  <c r="BP671" i="1"/>
  <c r="BQ671" i="1" s="1"/>
  <c r="BO671" i="1"/>
  <c r="BF671" i="1"/>
  <c r="BE671" i="1"/>
  <c r="BD671" i="1"/>
  <c r="BC671" i="1"/>
  <c r="BB671" i="1"/>
  <c r="BA671" i="1"/>
  <c r="BG671" i="1" s="1" a="1"/>
  <c r="BG671" i="1" s="1"/>
  <c r="AZ671" i="1"/>
  <c r="M671" i="1"/>
  <c r="ER670" i="1"/>
  <c r="EQ670" i="1"/>
  <c r="DZ670" i="1"/>
  <c r="DY670" i="1"/>
  <c r="DS670" i="1"/>
  <c r="DR670" i="1"/>
  <c r="DQ670" i="1"/>
  <c r="DP670" i="1"/>
  <c r="DN670" i="1"/>
  <c r="DO670" i="1" s="1"/>
  <c r="DH670" i="1"/>
  <c r="DC670" i="1"/>
  <c r="CP670" i="1"/>
  <c r="BX670" i="1"/>
  <c r="BZ670" i="1" s="1"/>
  <c r="BW670" i="1"/>
  <c r="BP670" i="1"/>
  <c r="BQ670" i="1" s="1"/>
  <c r="BO670" i="1"/>
  <c r="BF670" i="1"/>
  <c r="BE670" i="1"/>
  <c r="BD670" i="1"/>
  <c r="BC670" i="1"/>
  <c r="BB670" i="1"/>
  <c r="BA670" i="1"/>
  <c r="BG670" i="1" s="1" a="1"/>
  <c r="BG670" i="1" s="1"/>
  <c r="AZ670" i="1"/>
  <c r="M670" i="1"/>
  <c r="ER667" i="1"/>
  <c r="EQ667" i="1"/>
  <c r="DZ667" i="1"/>
  <c r="DY667" i="1"/>
  <c r="DS667" i="1"/>
  <c r="DR667" i="1"/>
  <c r="DQ667" i="1"/>
  <c r="DP667" i="1"/>
  <c r="DN667" i="1"/>
  <c r="DO667" i="1" s="1"/>
  <c r="DH667" i="1"/>
  <c r="DC667" i="1"/>
  <c r="CP667" i="1"/>
  <c r="CU667" i="1" s="1"/>
  <c r="BX667" i="1"/>
  <c r="BZ667" i="1" s="1"/>
  <c r="BW667" i="1"/>
  <c r="BP667" i="1"/>
  <c r="BQ667" i="1" s="1"/>
  <c r="BO667" i="1"/>
  <c r="BF667" i="1"/>
  <c r="BE667" i="1"/>
  <c r="BD667" i="1"/>
  <c r="BC667" i="1"/>
  <c r="BB667" i="1"/>
  <c r="BA667" i="1"/>
  <c r="BG667" i="1" s="1" a="1"/>
  <c r="BG667" i="1" s="1"/>
  <c r="AZ667" i="1"/>
  <c r="M667" i="1"/>
  <c r="ER665" i="1"/>
  <c r="EQ665" i="1"/>
  <c r="DZ665" i="1"/>
  <c r="DY665" i="1"/>
  <c r="DS665" i="1"/>
  <c r="DR665" i="1"/>
  <c r="DQ665" i="1"/>
  <c r="DP665" i="1"/>
  <c r="DN665" i="1"/>
  <c r="DO665" i="1" s="1"/>
  <c r="DH665" i="1"/>
  <c r="DC665" i="1"/>
  <c r="CP665" i="1"/>
  <c r="CQ665" i="1" s="1"/>
  <c r="BX665" i="1"/>
  <c r="BZ665" i="1" s="1"/>
  <c r="BW665" i="1"/>
  <c r="BP665" i="1"/>
  <c r="BQ665" i="1" s="1"/>
  <c r="BO665" i="1"/>
  <c r="BF665" i="1"/>
  <c r="BE665" i="1"/>
  <c r="BD665" i="1"/>
  <c r="BC665" i="1"/>
  <c r="BB665" i="1"/>
  <c r="BA665" i="1"/>
  <c r="BG665" i="1" s="1" a="1"/>
  <c r="BG665" i="1" s="1"/>
  <c r="AZ665" i="1"/>
  <c r="M665" i="1"/>
  <c r="ER666" i="1"/>
  <c r="EQ666" i="1"/>
  <c r="DZ666" i="1"/>
  <c r="DY666" i="1"/>
  <c r="DS666" i="1"/>
  <c r="DR666" i="1"/>
  <c r="DQ666" i="1"/>
  <c r="DP666" i="1"/>
  <c r="DN666" i="1"/>
  <c r="DO666" i="1" s="1"/>
  <c r="DH666" i="1"/>
  <c r="DC666" i="1"/>
  <c r="CP666" i="1"/>
  <c r="BX666" i="1"/>
  <c r="BZ666" i="1" s="1"/>
  <c r="BW666" i="1"/>
  <c r="BP666" i="1"/>
  <c r="BQ666" i="1" s="1"/>
  <c r="BO666" i="1"/>
  <c r="BF666" i="1"/>
  <c r="BE666" i="1"/>
  <c r="BD666" i="1"/>
  <c r="BC666" i="1"/>
  <c r="BB666" i="1"/>
  <c r="BA666" i="1"/>
  <c r="BG666" i="1" s="1" a="1"/>
  <c r="BG666" i="1" s="1"/>
  <c r="AZ666" i="1"/>
  <c r="M666" i="1"/>
  <c r="ER675" i="1"/>
  <c r="EQ675" i="1"/>
  <c r="DZ675" i="1"/>
  <c r="DY675" i="1"/>
  <c r="DS675" i="1"/>
  <c r="DR675" i="1"/>
  <c r="DQ675" i="1"/>
  <c r="DP675" i="1"/>
  <c r="DN675" i="1"/>
  <c r="DO675" i="1" s="1"/>
  <c r="DH675" i="1"/>
  <c r="DC675" i="1"/>
  <c r="CP675" i="1"/>
  <c r="CQ675" i="1" s="1"/>
  <c r="BX675" i="1"/>
  <c r="BZ675" i="1" s="1"/>
  <c r="BW675" i="1"/>
  <c r="BP675" i="1"/>
  <c r="BQ675" i="1" s="1"/>
  <c r="BO675" i="1"/>
  <c r="BF675" i="1"/>
  <c r="BE675" i="1"/>
  <c r="BD675" i="1"/>
  <c r="BC675" i="1"/>
  <c r="BB675" i="1"/>
  <c r="BA675" i="1"/>
  <c r="BG675" i="1" s="1" a="1"/>
  <c r="BG675" i="1" s="1"/>
  <c r="AZ675" i="1"/>
  <c r="M675" i="1"/>
  <c r="ER674" i="1"/>
  <c r="EQ674" i="1"/>
  <c r="DZ674" i="1"/>
  <c r="DY674" i="1"/>
  <c r="DS674" i="1"/>
  <c r="DR674" i="1"/>
  <c r="DQ674" i="1"/>
  <c r="DP674" i="1"/>
  <c r="DN674" i="1"/>
  <c r="DO674" i="1" s="1"/>
  <c r="DH674" i="1"/>
  <c r="DC674" i="1"/>
  <c r="CP674" i="1"/>
  <c r="BX674" i="1"/>
  <c r="BZ674" i="1" s="1"/>
  <c r="BW674" i="1"/>
  <c r="BP674" i="1"/>
  <c r="BQ674" i="1" s="1"/>
  <c r="BO674" i="1"/>
  <c r="BF674" i="1"/>
  <c r="BE674" i="1"/>
  <c r="BD674" i="1"/>
  <c r="BC674" i="1"/>
  <c r="BB674" i="1"/>
  <c r="BA674" i="1"/>
  <c r="BG674" i="1" s="1" a="1"/>
  <c r="BG674" i="1" s="1"/>
  <c r="AZ674" i="1"/>
  <c r="M674" i="1"/>
  <c r="ER669" i="1"/>
  <c r="EQ669" i="1"/>
  <c r="DZ669" i="1"/>
  <c r="DY669" i="1"/>
  <c r="DS669" i="1"/>
  <c r="DR669" i="1"/>
  <c r="DQ669" i="1"/>
  <c r="DP669" i="1"/>
  <c r="DN669" i="1"/>
  <c r="DO669" i="1" s="1"/>
  <c r="DH669" i="1"/>
  <c r="DC669" i="1"/>
  <c r="CP669" i="1"/>
  <c r="CR669" i="1" s="1"/>
  <c r="BX669" i="1"/>
  <c r="BZ669" i="1" s="1"/>
  <c r="BW669" i="1"/>
  <c r="BP669" i="1"/>
  <c r="BQ669" i="1" s="1"/>
  <c r="BO669" i="1"/>
  <c r="BF669" i="1"/>
  <c r="BE669" i="1"/>
  <c r="BD669" i="1"/>
  <c r="BC669" i="1"/>
  <c r="BB669" i="1"/>
  <c r="BA669" i="1"/>
  <c r="BG669" i="1" s="1" a="1"/>
  <c r="BG669" i="1" s="1"/>
  <c r="AZ669" i="1"/>
  <c r="M669" i="1"/>
  <c r="ER668" i="1"/>
  <c r="EQ668" i="1"/>
  <c r="DZ668" i="1"/>
  <c r="DY668" i="1"/>
  <c r="DS668" i="1"/>
  <c r="DR668" i="1"/>
  <c r="DQ668" i="1"/>
  <c r="DP668" i="1"/>
  <c r="DN668" i="1"/>
  <c r="DO668" i="1" s="1"/>
  <c r="DH668" i="1"/>
  <c r="DC668" i="1"/>
  <c r="CP668" i="1"/>
  <c r="BX668" i="1"/>
  <c r="BZ668" i="1" s="1"/>
  <c r="BW668" i="1"/>
  <c r="BP668" i="1"/>
  <c r="BQ668" i="1" s="1"/>
  <c r="BO668" i="1"/>
  <c r="BF668" i="1"/>
  <c r="BE668" i="1"/>
  <c r="BD668" i="1"/>
  <c r="BC668" i="1"/>
  <c r="BB668" i="1"/>
  <c r="BA668" i="1"/>
  <c r="BG668" i="1" s="1" a="1"/>
  <c r="BG668" i="1" s="1"/>
  <c r="AZ668" i="1"/>
  <c r="M668" i="1"/>
  <c r="ER694" i="1"/>
  <c r="EQ694" i="1"/>
  <c r="DZ694" i="1"/>
  <c r="DY694" i="1"/>
  <c r="DS694" i="1"/>
  <c r="DR694" i="1"/>
  <c r="DQ694" i="1"/>
  <c r="DP694" i="1"/>
  <c r="DN694" i="1"/>
  <c r="DO694" i="1" s="1"/>
  <c r="DH694" i="1"/>
  <c r="DC694" i="1"/>
  <c r="CP694" i="1"/>
  <c r="CQ694" i="1" s="1"/>
  <c r="BX694" i="1"/>
  <c r="BZ694" i="1" s="1"/>
  <c r="BW694" i="1"/>
  <c r="BP694" i="1"/>
  <c r="BQ694" i="1" s="1"/>
  <c r="BF694" i="1"/>
  <c r="BE694" i="1"/>
  <c r="BD694" i="1"/>
  <c r="BC694" i="1"/>
  <c r="BB694" i="1"/>
  <c r="BA694" i="1"/>
  <c r="AZ694" i="1"/>
  <c r="M694" i="1"/>
  <c r="ER1309" i="1"/>
  <c r="EQ1309" i="1"/>
  <c r="DZ1309" i="1"/>
  <c r="DY1309" i="1"/>
  <c r="DS1309" i="1"/>
  <c r="DR1309" i="1"/>
  <c r="DQ1309" i="1"/>
  <c r="DP1309" i="1"/>
  <c r="DN1309" i="1"/>
  <c r="DO1309" i="1" s="1"/>
  <c r="DH1309" i="1"/>
  <c r="DC1309" i="1"/>
  <c r="CP1309" i="1"/>
  <c r="CR1309" i="1" s="1"/>
  <c r="BX1309" i="1"/>
  <c r="BZ1309" i="1" s="1"/>
  <c r="BW1309" i="1"/>
  <c r="BP1309" i="1"/>
  <c r="BQ1309" i="1" s="1"/>
  <c r="BO1309" i="1"/>
  <c r="BF1309" i="1"/>
  <c r="BE1309" i="1"/>
  <c r="BD1309" i="1"/>
  <c r="BC1309" i="1"/>
  <c r="BB1309" i="1"/>
  <c r="BA1309" i="1"/>
  <c r="AZ1309" i="1"/>
  <c r="M1309" i="1"/>
  <c r="ER693" i="1"/>
  <c r="EQ693" i="1"/>
  <c r="DZ693" i="1"/>
  <c r="DY693" i="1"/>
  <c r="DS693" i="1"/>
  <c r="DR693" i="1"/>
  <c r="DQ693" i="1"/>
  <c r="DP693" i="1"/>
  <c r="DN693" i="1"/>
  <c r="DO693" i="1" s="1"/>
  <c r="DH693" i="1"/>
  <c r="DC693" i="1"/>
  <c r="CP693" i="1"/>
  <c r="BX693" i="1"/>
  <c r="BZ693" i="1" s="1"/>
  <c r="BW693" i="1"/>
  <c r="BP693" i="1"/>
  <c r="BQ693" i="1" s="1"/>
  <c r="BO693" i="1"/>
  <c r="BF693" i="1"/>
  <c r="BE693" i="1"/>
  <c r="BD693" i="1"/>
  <c r="BC693" i="1"/>
  <c r="BB693" i="1"/>
  <c r="BA693" i="1"/>
  <c r="AZ693" i="1"/>
  <c r="M693" i="1"/>
  <c r="ER1310" i="1"/>
  <c r="EQ1310" i="1"/>
  <c r="DZ1310" i="1"/>
  <c r="DY1310" i="1"/>
  <c r="DS1310" i="1"/>
  <c r="DR1310" i="1"/>
  <c r="DQ1310" i="1"/>
  <c r="DP1310" i="1"/>
  <c r="DN1310" i="1"/>
  <c r="DO1310" i="1" s="1"/>
  <c r="DH1310" i="1"/>
  <c r="DC1310" i="1"/>
  <c r="CP1310" i="1"/>
  <c r="CU1310" i="1" s="1"/>
  <c r="BX1310" i="1"/>
  <c r="BZ1310" i="1" s="1"/>
  <c r="BW1310" i="1"/>
  <c r="BP1310" i="1"/>
  <c r="BQ1310" i="1" s="1"/>
  <c r="BO1310" i="1"/>
  <c r="BF1310" i="1"/>
  <c r="BE1310" i="1"/>
  <c r="BD1310" i="1"/>
  <c r="BC1310" i="1"/>
  <c r="BB1310" i="1"/>
  <c r="BA1310" i="1"/>
  <c r="AZ1310" i="1"/>
  <c r="M1310" i="1"/>
  <c r="ER1311" i="1"/>
  <c r="EQ1311" i="1"/>
  <c r="DZ1311" i="1"/>
  <c r="DY1311" i="1"/>
  <c r="DS1311" i="1"/>
  <c r="DR1311" i="1"/>
  <c r="DQ1311" i="1"/>
  <c r="DP1311" i="1"/>
  <c r="DN1311" i="1"/>
  <c r="DO1311" i="1" s="1"/>
  <c r="DH1311" i="1"/>
  <c r="DC1311" i="1"/>
  <c r="CP1311" i="1"/>
  <c r="CQ1311" i="1" s="1"/>
  <c r="BX1311" i="1"/>
  <c r="BZ1311" i="1" s="1"/>
  <c r="BW1311" i="1"/>
  <c r="BP1311" i="1"/>
  <c r="BQ1311" i="1" s="1"/>
  <c r="BF1311" i="1"/>
  <c r="BE1311" i="1"/>
  <c r="BD1311" i="1"/>
  <c r="BC1311" i="1"/>
  <c r="BB1311" i="1"/>
  <c r="BA1311" i="1"/>
  <c r="AZ1311" i="1"/>
  <c r="M1311" i="1"/>
  <c r="ER1312" i="1"/>
  <c r="EQ1312" i="1"/>
  <c r="DZ1312" i="1"/>
  <c r="DY1312" i="1"/>
  <c r="DS1312" i="1"/>
  <c r="DR1312" i="1"/>
  <c r="DQ1312" i="1"/>
  <c r="DP1312" i="1"/>
  <c r="DN1312" i="1"/>
  <c r="DO1312" i="1" s="1"/>
  <c r="DH1312" i="1"/>
  <c r="DC1312" i="1"/>
  <c r="CP1312" i="1"/>
  <c r="CU1312" i="1" s="1"/>
  <c r="BX1312" i="1"/>
  <c r="BZ1312" i="1" s="1"/>
  <c r="BW1312" i="1"/>
  <c r="BP1312" i="1"/>
  <c r="BQ1312" i="1" s="1"/>
  <c r="BF1312" i="1"/>
  <c r="BE1312" i="1"/>
  <c r="BD1312" i="1"/>
  <c r="BC1312" i="1"/>
  <c r="BB1312" i="1"/>
  <c r="BA1312" i="1"/>
  <c r="AZ1312" i="1"/>
  <c r="M1312" i="1"/>
  <c r="ER1313" i="1"/>
  <c r="EQ1313" i="1"/>
  <c r="DZ1313" i="1"/>
  <c r="DY1313" i="1"/>
  <c r="DS1313" i="1"/>
  <c r="DR1313" i="1"/>
  <c r="DQ1313" i="1"/>
  <c r="DP1313" i="1"/>
  <c r="DN1313" i="1"/>
  <c r="DO1313" i="1" s="1"/>
  <c r="DH1313" i="1"/>
  <c r="DC1313" i="1"/>
  <c r="CP1313" i="1"/>
  <c r="BX1313" i="1"/>
  <c r="BZ1313" i="1" s="1"/>
  <c r="BW1313" i="1"/>
  <c r="BP1313" i="1"/>
  <c r="BQ1313" i="1" s="1"/>
  <c r="BO1313" i="1"/>
  <c r="BF1313" i="1"/>
  <c r="BE1313" i="1"/>
  <c r="BD1313" i="1"/>
  <c r="BC1313" i="1"/>
  <c r="BB1313" i="1"/>
  <c r="BA1313" i="1"/>
  <c r="AZ1313" i="1"/>
  <c r="M1313" i="1"/>
  <c r="ER1314" i="1"/>
  <c r="EQ1314" i="1"/>
  <c r="DZ1314" i="1"/>
  <c r="DY1314" i="1"/>
  <c r="DS1314" i="1"/>
  <c r="DR1314" i="1"/>
  <c r="DQ1314" i="1"/>
  <c r="DP1314" i="1"/>
  <c r="DN1314" i="1"/>
  <c r="DO1314" i="1" s="1"/>
  <c r="DH1314" i="1"/>
  <c r="DC1314" i="1"/>
  <c r="CP1314" i="1"/>
  <c r="CU1314" i="1" s="1"/>
  <c r="BX1314" i="1"/>
  <c r="BZ1314" i="1" s="1"/>
  <c r="BW1314" i="1"/>
  <c r="BP1314" i="1"/>
  <c r="BQ1314" i="1" s="1"/>
  <c r="BO1314" i="1"/>
  <c r="BF1314" i="1"/>
  <c r="BE1314" i="1"/>
  <c r="BD1314" i="1"/>
  <c r="BC1314" i="1"/>
  <c r="BB1314" i="1"/>
  <c r="BA1314" i="1"/>
  <c r="AZ1314" i="1"/>
  <c r="M1314" i="1"/>
  <c r="ER1315" i="1"/>
  <c r="EQ1315" i="1"/>
  <c r="DZ1315" i="1"/>
  <c r="DY1315" i="1"/>
  <c r="DS1315" i="1"/>
  <c r="DR1315" i="1"/>
  <c r="DQ1315" i="1"/>
  <c r="DP1315" i="1"/>
  <c r="DN1315" i="1"/>
  <c r="DO1315" i="1" s="1"/>
  <c r="DH1315" i="1"/>
  <c r="DC1315" i="1"/>
  <c r="CP1315" i="1"/>
  <c r="BX1315" i="1"/>
  <c r="BZ1315" i="1" s="1"/>
  <c r="BW1315" i="1"/>
  <c r="BP1315" i="1"/>
  <c r="BQ1315" i="1" s="1"/>
  <c r="BO1315" i="1"/>
  <c r="BF1315" i="1"/>
  <c r="BE1315" i="1"/>
  <c r="BD1315" i="1"/>
  <c r="BC1315" i="1"/>
  <c r="BB1315" i="1"/>
  <c r="BA1315" i="1"/>
  <c r="AZ1315" i="1"/>
  <c r="M1315" i="1"/>
  <c r="ER1316" i="1"/>
  <c r="EQ1316" i="1"/>
  <c r="DZ1316" i="1"/>
  <c r="DY1316" i="1"/>
  <c r="DS1316" i="1"/>
  <c r="DR1316" i="1"/>
  <c r="DQ1316" i="1"/>
  <c r="DP1316" i="1"/>
  <c r="DN1316" i="1"/>
  <c r="DO1316" i="1" s="1"/>
  <c r="DH1316" i="1"/>
  <c r="DC1316" i="1"/>
  <c r="CP1316" i="1"/>
  <c r="BX1316" i="1"/>
  <c r="BZ1316" i="1" s="1"/>
  <c r="BW1316" i="1"/>
  <c r="BP1316" i="1"/>
  <c r="BQ1316" i="1" s="1"/>
  <c r="BO1316" i="1"/>
  <c r="BF1316" i="1"/>
  <c r="BE1316" i="1"/>
  <c r="BD1316" i="1"/>
  <c r="BC1316" i="1"/>
  <c r="BB1316" i="1"/>
  <c r="BA1316" i="1"/>
  <c r="AZ1316" i="1"/>
  <c r="M1316" i="1"/>
  <c r="ER1317" i="1"/>
  <c r="EQ1317" i="1"/>
  <c r="DZ1317" i="1"/>
  <c r="DY1317" i="1"/>
  <c r="DS1317" i="1"/>
  <c r="DR1317" i="1"/>
  <c r="DQ1317" i="1"/>
  <c r="DP1317" i="1"/>
  <c r="DN1317" i="1"/>
  <c r="DO1317" i="1" s="1"/>
  <c r="DH1317" i="1"/>
  <c r="DC1317" i="1"/>
  <c r="CP1317" i="1"/>
  <c r="CR1317" i="1" s="1"/>
  <c r="BX1317" i="1"/>
  <c r="BZ1317" i="1" s="1"/>
  <c r="BW1317" i="1"/>
  <c r="BP1317" i="1"/>
  <c r="BQ1317" i="1" s="1"/>
  <c r="BO1317" i="1"/>
  <c r="BF1317" i="1"/>
  <c r="BE1317" i="1"/>
  <c r="BD1317" i="1"/>
  <c r="BC1317" i="1"/>
  <c r="BB1317" i="1"/>
  <c r="BA1317" i="1"/>
  <c r="AZ1317" i="1"/>
  <c r="M1317" i="1"/>
  <c r="ER1318" i="1"/>
  <c r="EQ1318" i="1"/>
  <c r="DZ1318" i="1"/>
  <c r="DY1318" i="1"/>
  <c r="DS1318" i="1"/>
  <c r="DR1318" i="1"/>
  <c r="DQ1318" i="1"/>
  <c r="DP1318" i="1"/>
  <c r="DN1318" i="1"/>
  <c r="DO1318" i="1" s="1"/>
  <c r="DH1318" i="1"/>
  <c r="DC1318" i="1"/>
  <c r="CP1318" i="1"/>
  <c r="CV1318" i="1" s="1"/>
  <c r="BX1318" i="1"/>
  <c r="BZ1318" i="1" s="1"/>
  <c r="BW1318" i="1"/>
  <c r="BP1318" i="1"/>
  <c r="BQ1318" i="1" s="1"/>
  <c r="BO1318" i="1"/>
  <c r="BF1318" i="1"/>
  <c r="BE1318" i="1"/>
  <c r="BD1318" i="1"/>
  <c r="BC1318" i="1"/>
  <c r="BB1318" i="1"/>
  <c r="BA1318" i="1"/>
  <c r="AZ1318" i="1"/>
  <c r="M1318" i="1"/>
  <c r="ER1319" i="1"/>
  <c r="EQ1319" i="1"/>
  <c r="DZ1319" i="1"/>
  <c r="DY1319" i="1"/>
  <c r="DS1319" i="1"/>
  <c r="DR1319" i="1"/>
  <c r="DQ1319" i="1"/>
  <c r="DP1319" i="1"/>
  <c r="DN1319" i="1"/>
  <c r="DO1319" i="1" s="1"/>
  <c r="DH1319" i="1"/>
  <c r="DC1319" i="1"/>
  <c r="CP1319" i="1"/>
  <c r="CQ1319" i="1" s="1"/>
  <c r="BX1319" i="1"/>
  <c r="BZ1319" i="1" s="1"/>
  <c r="BW1319" i="1"/>
  <c r="BP1319" i="1"/>
  <c r="BQ1319" i="1" s="1"/>
  <c r="BO1319" i="1"/>
  <c r="BF1319" i="1"/>
  <c r="BE1319" i="1"/>
  <c r="BD1319" i="1"/>
  <c r="BC1319" i="1"/>
  <c r="BB1319" i="1"/>
  <c r="BA1319" i="1"/>
  <c r="AZ1319" i="1"/>
  <c r="M1319" i="1"/>
  <c r="ER1320" i="1"/>
  <c r="EQ1320" i="1"/>
  <c r="DZ1320" i="1"/>
  <c r="DY1320" i="1"/>
  <c r="DS1320" i="1"/>
  <c r="DR1320" i="1"/>
  <c r="DQ1320" i="1"/>
  <c r="DP1320" i="1"/>
  <c r="DN1320" i="1"/>
  <c r="DO1320" i="1" s="1"/>
  <c r="DH1320" i="1"/>
  <c r="DC1320" i="1"/>
  <c r="CP1320" i="1"/>
  <c r="CU1320" i="1" s="1"/>
  <c r="BX1320" i="1"/>
  <c r="BZ1320" i="1" s="1"/>
  <c r="BW1320" i="1"/>
  <c r="BP1320" i="1"/>
  <c r="BQ1320" i="1" s="1"/>
  <c r="BO1320" i="1"/>
  <c r="BF1320" i="1"/>
  <c r="BE1320" i="1"/>
  <c r="BD1320" i="1"/>
  <c r="BC1320" i="1"/>
  <c r="BB1320" i="1"/>
  <c r="BA1320" i="1"/>
  <c r="AZ1320" i="1"/>
  <c r="M1320" i="1"/>
  <c r="ER1321" i="1"/>
  <c r="EQ1321" i="1"/>
  <c r="DZ1321" i="1"/>
  <c r="DY1321" i="1"/>
  <c r="DS1321" i="1"/>
  <c r="DR1321" i="1"/>
  <c r="DQ1321" i="1"/>
  <c r="DP1321" i="1"/>
  <c r="DN1321" i="1"/>
  <c r="DO1321" i="1" s="1"/>
  <c r="DH1321" i="1"/>
  <c r="DC1321" i="1"/>
  <c r="CP1321" i="1"/>
  <c r="BX1321" i="1"/>
  <c r="BZ1321" i="1" s="1"/>
  <c r="BW1321" i="1"/>
  <c r="BP1321" i="1"/>
  <c r="BQ1321" i="1" s="1"/>
  <c r="BO1321" i="1"/>
  <c r="BF1321" i="1"/>
  <c r="BE1321" i="1"/>
  <c r="BD1321" i="1"/>
  <c r="BC1321" i="1"/>
  <c r="BB1321" i="1"/>
  <c r="BA1321" i="1"/>
  <c r="AZ1321" i="1"/>
  <c r="M1321" i="1"/>
  <c r="ER1322" i="1"/>
  <c r="EQ1322" i="1"/>
  <c r="DZ1322" i="1"/>
  <c r="DY1322" i="1"/>
  <c r="DS1322" i="1"/>
  <c r="DR1322" i="1"/>
  <c r="DQ1322" i="1"/>
  <c r="DP1322" i="1"/>
  <c r="DN1322" i="1"/>
  <c r="DO1322" i="1" s="1"/>
  <c r="DH1322" i="1"/>
  <c r="DC1322" i="1"/>
  <c r="CP1322" i="1"/>
  <c r="BX1322" i="1"/>
  <c r="BZ1322" i="1" s="1"/>
  <c r="BW1322" i="1"/>
  <c r="BP1322" i="1"/>
  <c r="BQ1322" i="1" s="1"/>
  <c r="BO1322" i="1"/>
  <c r="BF1322" i="1"/>
  <c r="BE1322" i="1"/>
  <c r="BD1322" i="1"/>
  <c r="BC1322" i="1"/>
  <c r="BB1322" i="1"/>
  <c r="BA1322" i="1"/>
  <c r="AZ1322" i="1"/>
  <c r="M1322" i="1"/>
  <c r="ER685" i="1"/>
  <c r="EQ685" i="1"/>
  <c r="DZ685" i="1"/>
  <c r="DY685" i="1"/>
  <c r="DS685" i="1"/>
  <c r="DR685" i="1"/>
  <c r="DQ685" i="1"/>
  <c r="DP685" i="1"/>
  <c r="DN685" i="1"/>
  <c r="DO685" i="1" s="1"/>
  <c r="DH685" i="1"/>
  <c r="DC685" i="1"/>
  <c r="CP685" i="1"/>
  <c r="BX685" i="1"/>
  <c r="BZ685" i="1" s="1"/>
  <c r="BW685" i="1"/>
  <c r="BP685" i="1"/>
  <c r="BQ685" i="1" s="1"/>
  <c r="BO685" i="1"/>
  <c r="BF685" i="1"/>
  <c r="BE685" i="1"/>
  <c r="BD685" i="1"/>
  <c r="BC685" i="1"/>
  <c r="BB685" i="1"/>
  <c r="BA685" i="1"/>
  <c r="AZ685" i="1"/>
  <c r="M685" i="1"/>
  <c r="ER1323" i="1"/>
  <c r="EQ1323" i="1"/>
  <c r="DZ1323" i="1"/>
  <c r="DY1323" i="1"/>
  <c r="DS1323" i="1"/>
  <c r="DR1323" i="1"/>
  <c r="DQ1323" i="1"/>
  <c r="DP1323" i="1"/>
  <c r="DN1323" i="1"/>
  <c r="DO1323" i="1" s="1"/>
  <c r="DH1323" i="1"/>
  <c r="DC1323" i="1"/>
  <c r="CP1323" i="1"/>
  <c r="CQ1323" i="1" s="1"/>
  <c r="BX1323" i="1"/>
  <c r="BZ1323" i="1" s="1"/>
  <c r="BW1323" i="1"/>
  <c r="BP1323" i="1"/>
  <c r="BQ1323" i="1" s="1"/>
  <c r="BO1323" i="1"/>
  <c r="BF1323" i="1"/>
  <c r="BE1323" i="1"/>
  <c r="BD1323" i="1"/>
  <c r="BC1323" i="1"/>
  <c r="BB1323" i="1"/>
  <c r="BA1323" i="1"/>
  <c r="AZ1323" i="1"/>
  <c r="M1323" i="1"/>
  <c r="ER684" i="1"/>
  <c r="EQ684" i="1"/>
  <c r="DZ684" i="1"/>
  <c r="DY684" i="1"/>
  <c r="DS684" i="1"/>
  <c r="DR684" i="1"/>
  <c r="DQ684" i="1"/>
  <c r="DP684" i="1"/>
  <c r="DN684" i="1"/>
  <c r="DO684" i="1" s="1"/>
  <c r="DH684" i="1"/>
  <c r="DC684" i="1"/>
  <c r="CP684" i="1"/>
  <c r="CR684" i="1" s="1"/>
  <c r="BX684" i="1"/>
  <c r="BZ684" i="1" s="1"/>
  <c r="BW684" i="1"/>
  <c r="BP684" i="1"/>
  <c r="BQ684" i="1" s="1"/>
  <c r="BO684" i="1"/>
  <c r="BF684" i="1"/>
  <c r="BE684" i="1"/>
  <c r="BD684" i="1"/>
  <c r="BC684" i="1"/>
  <c r="BB684" i="1"/>
  <c r="BA684" i="1"/>
  <c r="AZ684" i="1"/>
  <c r="M684" i="1"/>
  <c r="ER683" i="1"/>
  <c r="EQ683" i="1"/>
  <c r="DZ683" i="1"/>
  <c r="DY683" i="1"/>
  <c r="DS683" i="1"/>
  <c r="DR683" i="1"/>
  <c r="DQ683" i="1"/>
  <c r="DP683" i="1"/>
  <c r="DN683" i="1"/>
  <c r="DO683" i="1" s="1"/>
  <c r="DH683" i="1"/>
  <c r="DC683" i="1"/>
  <c r="CP683" i="1"/>
  <c r="BX683" i="1"/>
  <c r="BZ683" i="1" s="1"/>
  <c r="BW683" i="1"/>
  <c r="BP683" i="1"/>
  <c r="BQ683" i="1" s="1"/>
  <c r="BF683" i="1"/>
  <c r="BE683" i="1"/>
  <c r="BD683" i="1"/>
  <c r="BC683" i="1"/>
  <c r="BB683" i="1"/>
  <c r="BA683" i="1"/>
  <c r="AZ683" i="1"/>
  <c r="M683" i="1"/>
  <c r="ER1324" i="1"/>
  <c r="EQ1324" i="1"/>
  <c r="DZ1324" i="1"/>
  <c r="DY1324" i="1"/>
  <c r="DS1324" i="1"/>
  <c r="DR1324" i="1"/>
  <c r="DQ1324" i="1"/>
  <c r="DP1324" i="1"/>
  <c r="DN1324" i="1"/>
  <c r="DO1324" i="1" s="1"/>
  <c r="DH1324" i="1"/>
  <c r="DC1324" i="1"/>
  <c r="CP1324" i="1"/>
  <c r="CV1324" i="1" s="1"/>
  <c r="BX1324" i="1"/>
  <c r="BZ1324" i="1" s="1"/>
  <c r="BW1324" i="1"/>
  <c r="BP1324" i="1"/>
  <c r="BQ1324" i="1" s="1"/>
  <c r="BO1324" i="1"/>
  <c r="BF1324" i="1"/>
  <c r="BE1324" i="1"/>
  <c r="BD1324" i="1"/>
  <c r="BC1324" i="1"/>
  <c r="BB1324" i="1"/>
  <c r="BA1324" i="1"/>
  <c r="AZ1324" i="1"/>
  <c r="M1324" i="1"/>
  <c r="ER1325" i="1"/>
  <c r="EQ1325" i="1"/>
  <c r="DZ1325" i="1"/>
  <c r="DY1325" i="1"/>
  <c r="DS1325" i="1"/>
  <c r="DR1325" i="1"/>
  <c r="DQ1325" i="1"/>
  <c r="DP1325" i="1"/>
  <c r="DN1325" i="1"/>
  <c r="DO1325" i="1" s="1"/>
  <c r="DH1325" i="1"/>
  <c r="DC1325" i="1"/>
  <c r="CP1325" i="1"/>
  <c r="CU1325" i="1" s="1"/>
  <c r="BX1325" i="1"/>
  <c r="BZ1325" i="1" s="1"/>
  <c r="BW1325" i="1"/>
  <c r="BP1325" i="1"/>
  <c r="BQ1325" i="1" s="1"/>
  <c r="BF1325" i="1"/>
  <c r="BE1325" i="1"/>
  <c r="BD1325" i="1"/>
  <c r="BC1325" i="1"/>
  <c r="BB1325" i="1"/>
  <c r="BA1325" i="1"/>
  <c r="AZ1325" i="1"/>
  <c r="M1325" i="1"/>
  <c r="ER681" i="1"/>
  <c r="EQ681" i="1"/>
  <c r="DZ681" i="1"/>
  <c r="DY681" i="1"/>
  <c r="DS681" i="1"/>
  <c r="DR681" i="1"/>
  <c r="DQ681" i="1"/>
  <c r="DP681" i="1"/>
  <c r="DN681" i="1"/>
  <c r="DO681" i="1" s="1"/>
  <c r="DH681" i="1"/>
  <c r="DC681" i="1"/>
  <c r="CP681" i="1"/>
  <c r="BX681" i="1"/>
  <c r="BZ681" i="1" s="1"/>
  <c r="BW681" i="1"/>
  <c r="BP681" i="1"/>
  <c r="BQ681" i="1" s="1"/>
  <c r="BO681" i="1"/>
  <c r="BF681" i="1"/>
  <c r="BE681" i="1"/>
  <c r="BD681" i="1"/>
  <c r="BC681" i="1"/>
  <c r="BB681" i="1"/>
  <c r="BA681" i="1"/>
  <c r="AZ681" i="1"/>
  <c r="M681" i="1"/>
  <c r="ER1326" i="1"/>
  <c r="EQ1326" i="1"/>
  <c r="DZ1326" i="1"/>
  <c r="DY1326" i="1"/>
  <c r="DS1326" i="1"/>
  <c r="DR1326" i="1"/>
  <c r="DQ1326" i="1"/>
  <c r="DP1326" i="1"/>
  <c r="DN1326" i="1"/>
  <c r="DO1326" i="1" s="1"/>
  <c r="DH1326" i="1"/>
  <c r="DC1326" i="1"/>
  <c r="CP1326" i="1"/>
  <c r="CU1326" i="1" s="1"/>
  <c r="BX1326" i="1"/>
  <c r="BZ1326" i="1" s="1"/>
  <c r="BW1326" i="1"/>
  <c r="BP1326" i="1"/>
  <c r="BQ1326" i="1" s="1"/>
  <c r="BO1326" i="1"/>
  <c r="BF1326" i="1"/>
  <c r="BE1326" i="1"/>
  <c r="BD1326" i="1"/>
  <c r="BC1326" i="1"/>
  <c r="BB1326" i="1"/>
  <c r="BA1326" i="1"/>
  <c r="AZ1326" i="1"/>
  <c r="M1326" i="1"/>
  <c r="ER680" i="1"/>
  <c r="EQ680" i="1"/>
  <c r="DZ680" i="1"/>
  <c r="DY680" i="1"/>
  <c r="DS680" i="1"/>
  <c r="DR680" i="1"/>
  <c r="DQ680" i="1"/>
  <c r="DP680" i="1"/>
  <c r="DN680" i="1"/>
  <c r="DO680" i="1" s="1"/>
  <c r="DH680" i="1"/>
  <c r="DC680" i="1"/>
  <c r="CP680" i="1"/>
  <c r="CQ680" i="1" s="1"/>
  <c r="BX680" i="1"/>
  <c r="BZ680" i="1" s="1"/>
  <c r="BW680" i="1"/>
  <c r="BP680" i="1"/>
  <c r="BQ680" i="1" s="1"/>
  <c r="BO680" i="1"/>
  <c r="BF680" i="1"/>
  <c r="BE680" i="1"/>
  <c r="BD680" i="1"/>
  <c r="BC680" i="1"/>
  <c r="BB680" i="1"/>
  <c r="BA680" i="1"/>
  <c r="AZ680" i="1"/>
  <c r="M680" i="1"/>
  <c r="ER679" i="1"/>
  <c r="EQ679" i="1"/>
  <c r="DZ679" i="1"/>
  <c r="DY679" i="1"/>
  <c r="DS679" i="1"/>
  <c r="DR679" i="1"/>
  <c r="DQ679" i="1"/>
  <c r="DP679" i="1"/>
  <c r="DN679" i="1"/>
  <c r="DO679" i="1" s="1"/>
  <c r="DH679" i="1"/>
  <c r="DC679" i="1"/>
  <c r="CP679" i="1"/>
  <c r="CR679" i="1" s="1"/>
  <c r="BX679" i="1"/>
  <c r="BZ679" i="1" s="1"/>
  <c r="BW679" i="1"/>
  <c r="BP679" i="1"/>
  <c r="BQ679" i="1" s="1"/>
  <c r="BO679" i="1"/>
  <c r="BF679" i="1"/>
  <c r="BE679" i="1"/>
  <c r="BD679" i="1"/>
  <c r="BC679" i="1"/>
  <c r="BB679" i="1"/>
  <c r="BA679" i="1"/>
  <c r="AZ679" i="1"/>
  <c r="M679" i="1"/>
  <c r="ER1327" i="1"/>
  <c r="EQ1327" i="1"/>
  <c r="DZ1327" i="1"/>
  <c r="DY1327" i="1"/>
  <c r="DS1327" i="1"/>
  <c r="DR1327" i="1"/>
  <c r="DQ1327" i="1"/>
  <c r="DP1327" i="1"/>
  <c r="DN1327" i="1"/>
  <c r="DO1327" i="1" s="1"/>
  <c r="DH1327" i="1"/>
  <c r="DC1327" i="1"/>
  <c r="CP1327" i="1"/>
  <c r="BX1327" i="1"/>
  <c r="BZ1327" i="1" s="1"/>
  <c r="BW1327" i="1"/>
  <c r="BP1327" i="1"/>
  <c r="BQ1327" i="1" s="1"/>
  <c r="BO1327" i="1"/>
  <c r="BF1327" i="1"/>
  <c r="BE1327" i="1"/>
  <c r="BD1327" i="1"/>
  <c r="BC1327" i="1"/>
  <c r="BB1327" i="1"/>
  <c r="BA1327" i="1"/>
  <c r="AZ1327" i="1"/>
  <c r="M1327" i="1"/>
  <c r="ER1328" i="1"/>
  <c r="EQ1328" i="1"/>
  <c r="DZ1328" i="1"/>
  <c r="DY1328" i="1"/>
  <c r="DS1328" i="1"/>
  <c r="DR1328" i="1"/>
  <c r="DQ1328" i="1"/>
  <c r="DP1328" i="1"/>
  <c r="DN1328" i="1"/>
  <c r="DO1328" i="1" s="1"/>
  <c r="DH1328" i="1"/>
  <c r="DC1328" i="1"/>
  <c r="CP1328" i="1"/>
  <c r="BX1328" i="1"/>
  <c r="BZ1328" i="1" s="1"/>
  <c r="BW1328" i="1"/>
  <c r="BP1328" i="1"/>
  <c r="BQ1328" i="1" s="1"/>
  <c r="BO1328" i="1"/>
  <c r="BF1328" i="1"/>
  <c r="BE1328" i="1"/>
  <c r="BD1328" i="1"/>
  <c r="BC1328" i="1"/>
  <c r="BB1328" i="1"/>
  <c r="BA1328" i="1"/>
  <c r="AZ1328" i="1"/>
  <c r="M1328" i="1"/>
  <c r="ER678" i="1"/>
  <c r="EQ678" i="1"/>
  <c r="DZ678" i="1"/>
  <c r="DY678" i="1"/>
  <c r="DS678" i="1"/>
  <c r="DR678" i="1"/>
  <c r="DQ678" i="1"/>
  <c r="DP678" i="1"/>
  <c r="DN678" i="1"/>
  <c r="DO678" i="1" s="1"/>
  <c r="DH678" i="1"/>
  <c r="DC678" i="1"/>
  <c r="CP678" i="1"/>
  <c r="BX678" i="1"/>
  <c r="BZ678" i="1" s="1"/>
  <c r="BW678" i="1"/>
  <c r="BP678" i="1"/>
  <c r="BQ678" i="1" s="1"/>
  <c r="BO678" i="1"/>
  <c r="BF678" i="1"/>
  <c r="BE678" i="1"/>
  <c r="BD678" i="1"/>
  <c r="BC678" i="1"/>
  <c r="BB678" i="1"/>
  <c r="BA678" i="1"/>
  <c r="AZ678" i="1"/>
  <c r="M678" i="1"/>
  <c r="ER677" i="1"/>
  <c r="EQ677" i="1"/>
  <c r="DZ677" i="1"/>
  <c r="DY677" i="1"/>
  <c r="DS677" i="1"/>
  <c r="DR677" i="1"/>
  <c r="DQ677" i="1"/>
  <c r="DP677" i="1"/>
  <c r="DN677" i="1"/>
  <c r="DO677" i="1" s="1"/>
  <c r="DH677" i="1"/>
  <c r="DC677" i="1"/>
  <c r="CP677" i="1"/>
  <c r="CV677" i="1" s="1"/>
  <c r="BX677" i="1"/>
  <c r="BZ677" i="1" s="1"/>
  <c r="BW677" i="1"/>
  <c r="BP677" i="1"/>
  <c r="BQ677" i="1" s="1"/>
  <c r="BO677" i="1"/>
  <c r="BF677" i="1"/>
  <c r="BE677" i="1"/>
  <c r="BD677" i="1"/>
  <c r="BC677" i="1"/>
  <c r="BB677" i="1"/>
  <c r="BA677" i="1"/>
  <c r="AZ677" i="1"/>
  <c r="M677" i="1"/>
  <c r="ER1329" i="1"/>
  <c r="EQ1329" i="1"/>
  <c r="DZ1329" i="1"/>
  <c r="DY1329" i="1"/>
  <c r="DS1329" i="1"/>
  <c r="DR1329" i="1"/>
  <c r="DQ1329" i="1"/>
  <c r="DP1329" i="1"/>
  <c r="DN1329" i="1"/>
  <c r="DO1329" i="1" s="1"/>
  <c r="DH1329" i="1"/>
  <c r="DC1329" i="1"/>
  <c r="CP1329" i="1"/>
  <c r="CR1329" i="1" s="1"/>
  <c r="BX1329" i="1"/>
  <c r="BZ1329" i="1" s="1"/>
  <c r="BW1329" i="1"/>
  <c r="BP1329" i="1"/>
  <c r="BQ1329" i="1" s="1"/>
  <c r="BO1329" i="1"/>
  <c r="BF1329" i="1"/>
  <c r="BE1329" i="1"/>
  <c r="BD1329" i="1"/>
  <c r="BC1329" i="1"/>
  <c r="BB1329" i="1"/>
  <c r="BA1329" i="1"/>
  <c r="AZ1329" i="1"/>
  <c r="M1329" i="1"/>
  <c r="ER1330" i="1"/>
  <c r="EQ1330" i="1"/>
  <c r="DZ1330" i="1"/>
  <c r="DY1330" i="1"/>
  <c r="DS1330" i="1"/>
  <c r="DR1330" i="1"/>
  <c r="DQ1330" i="1"/>
  <c r="DP1330" i="1"/>
  <c r="DN1330" i="1"/>
  <c r="DO1330" i="1" s="1"/>
  <c r="DH1330" i="1"/>
  <c r="DC1330" i="1"/>
  <c r="CP1330" i="1"/>
  <c r="BX1330" i="1"/>
  <c r="BZ1330" i="1" s="1"/>
  <c r="BW1330" i="1"/>
  <c r="BP1330" i="1"/>
  <c r="BQ1330" i="1" s="1"/>
  <c r="BO1330" i="1"/>
  <c r="BF1330" i="1"/>
  <c r="BE1330" i="1"/>
  <c r="BD1330" i="1"/>
  <c r="BC1330" i="1"/>
  <c r="BB1330" i="1"/>
  <c r="BA1330" i="1"/>
  <c r="AZ1330" i="1"/>
  <c r="M1330" i="1"/>
  <c r="ER629" i="1"/>
  <c r="EQ629" i="1"/>
  <c r="DZ629" i="1"/>
  <c r="DY629" i="1"/>
  <c r="DS629" i="1"/>
  <c r="DR629" i="1"/>
  <c r="DQ629" i="1"/>
  <c r="DP629" i="1"/>
  <c r="DN629" i="1"/>
  <c r="DO629" i="1" s="1"/>
  <c r="DH629" i="1"/>
  <c r="DC629" i="1"/>
  <c r="CP629" i="1"/>
  <c r="CQ629" i="1" s="1"/>
  <c r="BX629" i="1"/>
  <c r="BZ629" i="1" s="1"/>
  <c r="BW629" i="1"/>
  <c r="BP629" i="1"/>
  <c r="BQ629" i="1" s="1"/>
  <c r="BO629" i="1"/>
  <c r="BF629" i="1"/>
  <c r="BE629" i="1"/>
  <c r="BD629" i="1"/>
  <c r="BC629" i="1"/>
  <c r="BB629" i="1"/>
  <c r="BA629" i="1"/>
  <c r="AZ629" i="1"/>
  <c r="M629" i="1"/>
  <c r="ER1331" i="1"/>
  <c r="EQ1331" i="1"/>
  <c r="DZ1331" i="1"/>
  <c r="DY1331" i="1"/>
  <c r="DS1331" i="1"/>
  <c r="DR1331" i="1"/>
  <c r="DQ1331" i="1"/>
  <c r="DP1331" i="1"/>
  <c r="DN1331" i="1"/>
  <c r="DO1331" i="1" s="1"/>
  <c r="DH1331" i="1"/>
  <c r="DC1331" i="1"/>
  <c r="CP1331" i="1"/>
  <c r="CV1331" i="1" s="1"/>
  <c r="BX1331" i="1"/>
  <c r="BZ1331" i="1" s="1"/>
  <c r="BW1331" i="1"/>
  <c r="BP1331" i="1"/>
  <c r="BQ1331" i="1" s="1"/>
  <c r="BO1331" i="1"/>
  <c r="BF1331" i="1"/>
  <c r="BE1331" i="1"/>
  <c r="BD1331" i="1"/>
  <c r="BC1331" i="1"/>
  <c r="BB1331" i="1"/>
  <c r="BA1331" i="1"/>
  <c r="AZ1331" i="1"/>
  <c r="M1331" i="1"/>
  <c r="ER612" i="1"/>
  <c r="EQ612" i="1"/>
  <c r="DZ612" i="1"/>
  <c r="DY612" i="1"/>
  <c r="DS612" i="1"/>
  <c r="DR612" i="1"/>
  <c r="DQ612" i="1"/>
  <c r="DP612" i="1"/>
  <c r="DN612" i="1"/>
  <c r="DO612" i="1" s="1"/>
  <c r="DH612" i="1"/>
  <c r="DC612" i="1"/>
  <c r="CP612" i="1"/>
  <c r="CR612" i="1" s="1"/>
  <c r="BX612" i="1"/>
  <c r="BZ612" i="1" s="1"/>
  <c r="BW612" i="1"/>
  <c r="BP612" i="1"/>
  <c r="BQ612" i="1" s="1"/>
  <c r="BO612" i="1"/>
  <c r="BF612" i="1"/>
  <c r="BE612" i="1"/>
  <c r="BD612" i="1"/>
  <c r="BC612" i="1"/>
  <c r="BB612" i="1"/>
  <c r="BA612" i="1"/>
  <c r="AZ612" i="1"/>
  <c r="M612" i="1"/>
  <c r="ER1332" i="1"/>
  <c r="EQ1332" i="1"/>
  <c r="DZ1332" i="1"/>
  <c r="DY1332" i="1"/>
  <c r="DS1332" i="1"/>
  <c r="DR1332" i="1"/>
  <c r="DQ1332" i="1"/>
  <c r="DP1332" i="1"/>
  <c r="DN1332" i="1"/>
  <c r="DO1332" i="1" s="1"/>
  <c r="DH1332" i="1"/>
  <c r="DC1332" i="1"/>
  <c r="CP1332" i="1"/>
  <c r="BX1332" i="1"/>
  <c r="BZ1332" i="1" s="1"/>
  <c r="BW1332" i="1"/>
  <c r="BP1332" i="1"/>
  <c r="BQ1332" i="1" s="1"/>
  <c r="BO1332" i="1"/>
  <c r="BF1332" i="1"/>
  <c r="BE1332" i="1"/>
  <c r="BD1332" i="1"/>
  <c r="BC1332" i="1"/>
  <c r="BB1332" i="1"/>
  <c r="BA1332" i="1"/>
  <c r="AZ1332" i="1"/>
  <c r="M1332" i="1"/>
  <c r="ER1299" i="1"/>
  <c r="EQ1299" i="1"/>
  <c r="DZ1299" i="1"/>
  <c r="DY1299" i="1"/>
  <c r="DS1299" i="1"/>
  <c r="DR1299" i="1"/>
  <c r="DQ1299" i="1"/>
  <c r="DP1299" i="1"/>
  <c r="DN1299" i="1"/>
  <c r="DO1299" i="1" s="1"/>
  <c r="DH1299" i="1"/>
  <c r="DC1299" i="1"/>
  <c r="CP1299" i="1"/>
  <c r="CU1299" i="1" s="1"/>
  <c r="BX1299" i="1"/>
  <c r="BZ1299" i="1" s="1"/>
  <c r="BW1299" i="1"/>
  <c r="BP1299" i="1"/>
  <c r="BQ1299" i="1" s="1"/>
  <c r="BO1299" i="1"/>
  <c r="BF1299" i="1"/>
  <c r="BE1299" i="1"/>
  <c r="BD1299" i="1"/>
  <c r="BC1299" i="1"/>
  <c r="BB1299" i="1"/>
  <c r="BA1299" i="1"/>
  <c r="BG1299" i="1" s="1" a="1"/>
  <c r="BG1299" i="1" s="1"/>
  <c r="AZ1299" i="1"/>
  <c r="M1299" i="1"/>
  <c r="ER1300" i="1"/>
  <c r="EQ1300" i="1"/>
  <c r="DZ1300" i="1"/>
  <c r="DY1300" i="1"/>
  <c r="DS1300" i="1"/>
  <c r="DR1300" i="1"/>
  <c r="DQ1300" i="1"/>
  <c r="DP1300" i="1"/>
  <c r="DN1300" i="1"/>
  <c r="DO1300" i="1" s="1"/>
  <c r="DH1300" i="1"/>
  <c r="DC1300" i="1"/>
  <c r="CP1300" i="1"/>
  <c r="CR1300" i="1" s="1"/>
  <c r="BX1300" i="1"/>
  <c r="BZ1300" i="1" s="1"/>
  <c r="BW1300" i="1"/>
  <c r="BP1300" i="1"/>
  <c r="BQ1300" i="1" s="1"/>
  <c r="BO1300" i="1"/>
  <c r="BF1300" i="1"/>
  <c r="BE1300" i="1"/>
  <c r="BD1300" i="1"/>
  <c r="BC1300" i="1"/>
  <c r="BB1300" i="1"/>
  <c r="BA1300" i="1"/>
  <c r="BG1300" i="1" s="1" a="1"/>
  <c r="BG1300" i="1" s="1"/>
  <c r="AZ1300" i="1"/>
  <c r="M1300" i="1"/>
  <c r="ER1301" i="1"/>
  <c r="EQ1301" i="1"/>
  <c r="DZ1301" i="1"/>
  <c r="DY1301" i="1"/>
  <c r="DS1301" i="1"/>
  <c r="DR1301" i="1"/>
  <c r="DQ1301" i="1"/>
  <c r="DP1301" i="1"/>
  <c r="DN1301" i="1"/>
  <c r="DO1301" i="1" s="1"/>
  <c r="DH1301" i="1"/>
  <c r="DC1301" i="1"/>
  <c r="CP1301" i="1"/>
  <c r="BX1301" i="1"/>
  <c r="BZ1301" i="1" s="1"/>
  <c r="BW1301" i="1"/>
  <c r="BP1301" i="1"/>
  <c r="BQ1301" i="1" s="1"/>
  <c r="BO1301" i="1"/>
  <c r="BF1301" i="1"/>
  <c r="BE1301" i="1"/>
  <c r="BD1301" i="1"/>
  <c r="BC1301" i="1"/>
  <c r="BB1301" i="1"/>
  <c r="BA1301" i="1"/>
  <c r="BG1301" i="1" s="1" a="1"/>
  <c r="BG1301" i="1" s="1"/>
  <c r="AZ1301" i="1"/>
  <c r="M1301" i="1"/>
  <c r="ER1302" i="1"/>
  <c r="EQ1302" i="1"/>
  <c r="DZ1302" i="1"/>
  <c r="DY1302" i="1"/>
  <c r="DS1302" i="1"/>
  <c r="DR1302" i="1"/>
  <c r="DQ1302" i="1"/>
  <c r="DP1302" i="1"/>
  <c r="DN1302" i="1"/>
  <c r="DO1302" i="1" s="1"/>
  <c r="DH1302" i="1"/>
  <c r="DC1302" i="1"/>
  <c r="CP1302" i="1"/>
  <c r="CR1302" i="1" s="1"/>
  <c r="BX1302" i="1"/>
  <c r="BZ1302" i="1" s="1"/>
  <c r="BW1302" i="1"/>
  <c r="BP1302" i="1"/>
  <c r="BQ1302" i="1" s="1"/>
  <c r="BO1302" i="1"/>
  <c r="BF1302" i="1"/>
  <c r="BE1302" i="1"/>
  <c r="BD1302" i="1"/>
  <c r="BC1302" i="1"/>
  <c r="BB1302" i="1"/>
  <c r="BA1302" i="1"/>
  <c r="BG1302" i="1" s="1" a="1"/>
  <c r="BG1302" i="1" s="1"/>
  <c r="AZ1302" i="1"/>
  <c r="M1302" i="1"/>
  <c r="ER1303" i="1"/>
  <c r="EQ1303" i="1"/>
  <c r="DZ1303" i="1"/>
  <c r="DY1303" i="1"/>
  <c r="DS1303" i="1"/>
  <c r="DR1303" i="1"/>
  <c r="DQ1303" i="1"/>
  <c r="DP1303" i="1"/>
  <c r="DN1303" i="1"/>
  <c r="DO1303" i="1" s="1"/>
  <c r="DH1303" i="1"/>
  <c r="DC1303" i="1"/>
  <c r="CP1303" i="1"/>
  <c r="CR1303" i="1" s="1"/>
  <c r="BX1303" i="1"/>
  <c r="BZ1303" i="1" s="1"/>
  <c r="BW1303" i="1"/>
  <c r="BP1303" i="1"/>
  <c r="BQ1303" i="1" s="1"/>
  <c r="BO1303" i="1"/>
  <c r="BF1303" i="1"/>
  <c r="BE1303" i="1"/>
  <c r="BD1303" i="1"/>
  <c r="BC1303" i="1"/>
  <c r="BB1303" i="1"/>
  <c r="BA1303" i="1"/>
  <c r="BG1303" i="1" s="1" a="1"/>
  <c r="BG1303" i="1" s="1"/>
  <c r="AZ1303" i="1"/>
  <c r="M1303" i="1"/>
  <c r="ER617" i="1"/>
  <c r="EQ617" i="1"/>
  <c r="DZ617" i="1"/>
  <c r="DY617" i="1"/>
  <c r="DS617" i="1"/>
  <c r="DR617" i="1"/>
  <c r="DQ617" i="1"/>
  <c r="DP617" i="1"/>
  <c r="DN617" i="1"/>
  <c r="DO617" i="1" s="1"/>
  <c r="DH617" i="1"/>
  <c r="DC617" i="1"/>
  <c r="CP617" i="1"/>
  <c r="CQ617" i="1" s="1"/>
  <c r="BX617" i="1"/>
  <c r="BZ617" i="1" s="1"/>
  <c r="BW617" i="1"/>
  <c r="BP617" i="1"/>
  <c r="BQ617" i="1" s="1"/>
  <c r="BO617" i="1"/>
  <c r="BF617" i="1"/>
  <c r="BE617" i="1"/>
  <c r="BD617" i="1"/>
  <c r="BC617" i="1"/>
  <c r="BB617" i="1"/>
  <c r="BA617" i="1"/>
  <c r="BG617" i="1" s="1" a="1"/>
  <c r="BG617" i="1" s="1"/>
  <c r="AZ617" i="1"/>
  <c r="M617" i="1"/>
  <c r="ER1304" i="1"/>
  <c r="EQ1304" i="1"/>
  <c r="DZ1304" i="1"/>
  <c r="DY1304" i="1"/>
  <c r="DS1304" i="1"/>
  <c r="DR1304" i="1"/>
  <c r="DQ1304" i="1"/>
  <c r="DP1304" i="1"/>
  <c r="DN1304" i="1"/>
  <c r="DO1304" i="1" s="1"/>
  <c r="DH1304" i="1"/>
  <c r="DC1304" i="1"/>
  <c r="CP1304" i="1"/>
  <c r="BX1304" i="1"/>
  <c r="BZ1304" i="1" s="1"/>
  <c r="BW1304" i="1"/>
  <c r="BP1304" i="1"/>
  <c r="BQ1304" i="1" s="1"/>
  <c r="BO1304" i="1"/>
  <c r="BF1304" i="1"/>
  <c r="BE1304" i="1"/>
  <c r="BD1304" i="1"/>
  <c r="BC1304" i="1"/>
  <c r="BB1304" i="1"/>
  <c r="BA1304" i="1"/>
  <c r="BG1304" i="1" s="1" a="1"/>
  <c r="BG1304" i="1" s="1"/>
  <c r="AZ1304" i="1"/>
  <c r="M1304" i="1"/>
  <c r="ER616" i="1"/>
  <c r="EQ616" i="1"/>
  <c r="DZ616" i="1"/>
  <c r="DY616" i="1"/>
  <c r="DS616" i="1"/>
  <c r="DR616" i="1"/>
  <c r="DQ616" i="1"/>
  <c r="DP616" i="1"/>
  <c r="DN616" i="1"/>
  <c r="DO616" i="1" s="1"/>
  <c r="DH616" i="1"/>
  <c r="DC616" i="1"/>
  <c r="CP616" i="1"/>
  <c r="CR616" i="1" s="1"/>
  <c r="BX616" i="1"/>
  <c r="BZ616" i="1" s="1"/>
  <c r="BW616" i="1"/>
  <c r="BP616" i="1"/>
  <c r="BQ616" i="1" s="1"/>
  <c r="BO616" i="1"/>
  <c r="BF616" i="1"/>
  <c r="BE616" i="1"/>
  <c r="BD616" i="1"/>
  <c r="BC616" i="1"/>
  <c r="BB616" i="1"/>
  <c r="BA616" i="1"/>
  <c r="BG616" i="1" s="1" a="1"/>
  <c r="BG616" i="1" s="1"/>
  <c r="AZ616" i="1"/>
  <c r="M616" i="1"/>
  <c r="ER1305" i="1"/>
  <c r="EQ1305" i="1"/>
  <c r="DZ1305" i="1"/>
  <c r="DY1305" i="1"/>
  <c r="DS1305" i="1"/>
  <c r="DR1305" i="1"/>
  <c r="DQ1305" i="1"/>
  <c r="DP1305" i="1"/>
  <c r="DN1305" i="1"/>
  <c r="DO1305" i="1" s="1"/>
  <c r="DH1305" i="1"/>
  <c r="DC1305" i="1"/>
  <c r="CP1305" i="1"/>
  <c r="CQ1305" i="1" s="1"/>
  <c r="BX1305" i="1"/>
  <c r="BZ1305" i="1" s="1"/>
  <c r="BW1305" i="1"/>
  <c r="BP1305" i="1"/>
  <c r="BQ1305" i="1" s="1"/>
  <c r="BO1305" i="1"/>
  <c r="BF1305" i="1"/>
  <c r="BE1305" i="1"/>
  <c r="BD1305" i="1"/>
  <c r="BC1305" i="1"/>
  <c r="BB1305" i="1"/>
  <c r="BA1305" i="1"/>
  <c r="BG1305" i="1" s="1" a="1"/>
  <c r="BG1305" i="1" s="1"/>
  <c r="AZ1305" i="1"/>
  <c r="M1305" i="1"/>
  <c r="ER614" i="1"/>
  <c r="EQ614" i="1"/>
  <c r="DZ614" i="1"/>
  <c r="DY614" i="1"/>
  <c r="DS614" i="1"/>
  <c r="DR614" i="1"/>
  <c r="DQ614" i="1"/>
  <c r="DP614" i="1"/>
  <c r="DN614" i="1"/>
  <c r="DO614" i="1" s="1"/>
  <c r="DH614" i="1"/>
  <c r="DC614" i="1"/>
  <c r="CP614" i="1"/>
  <c r="CR614" i="1" s="1"/>
  <c r="BX614" i="1"/>
  <c r="BZ614" i="1" s="1"/>
  <c r="BW614" i="1"/>
  <c r="BP614" i="1"/>
  <c r="BQ614" i="1" s="1"/>
  <c r="BO614" i="1"/>
  <c r="BF614" i="1"/>
  <c r="BE614" i="1"/>
  <c r="BD614" i="1"/>
  <c r="BC614" i="1"/>
  <c r="BB614" i="1"/>
  <c r="BA614" i="1"/>
  <c r="BG614" i="1" s="1" a="1"/>
  <c r="BG614" i="1" s="1"/>
  <c r="AZ614" i="1"/>
  <c r="M614" i="1"/>
  <c r="ER1306" i="1"/>
  <c r="EQ1306" i="1"/>
  <c r="DZ1306" i="1"/>
  <c r="DY1306" i="1"/>
  <c r="DS1306" i="1"/>
  <c r="DR1306" i="1"/>
  <c r="DQ1306" i="1"/>
  <c r="DP1306" i="1"/>
  <c r="DN1306" i="1"/>
  <c r="DO1306" i="1" s="1"/>
  <c r="DH1306" i="1"/>
  <c r="DC1306" i="1"/>
  <c r="CP1306" i="1"/>
  <c r="CV1306" i="1" s="1"/>
  <c r="BX1306" i="1"/>
  <c r="BZ1306" i="1" s="1"/>
  <c r="BW1306" i="1"/>
  <c r="BP1306" i="1"/>
  <c r="BQ1306" i="1" s="1"/>
  <c r="BO1306" i="1"/>
  <c r="BF1306" i="1"/>
  <c r="BE1306" i="1"/>
  <c r="BD1306" i="1"/>
  <c r="BC1306" i="1"/>
  <c r="BB1306" i="1"/>
  <c r="BA1306" i="1"/>
  <c r="BG1306" i="1" s="1" a="1"/>
  <c r="BG1306" i="1" s="1"/>
  <c r="AZ1306" i="1"/>
  <c r="M1306" i="1"/>
  <c r="ER611" i="1"/>
  <c r="EQ611" i="1"/>
  <c r="DZ611" i="1"/>
  <c r="DY611" i="1"/>
  <c r="DS611" i="1"/>
  <c r="DR611" i="1"/>
  <c r="DQ611" i="1"/>
  <c r="DP611" i="1"/>
  <c r="DN611" i="1"/>
  <c r="DO611" i="1" s="1"/>
  <c r="DH611" i="1"/>
  <c r="DC611" i="1"/>
  <c r="CP611" i="1"/>
  <c r="CV611" i="1" s="1"/>
  <c r="BX611" i="1"/>
  <c r="BZ611" i="1" s="1"/>
  <c r="BW611" i="1"/>
  <c r="BP611" i="1"/>
  <c r="BQ611" i="1" s="1"/>
  <c r="BF611" i="1"/>
  <c r="BE611" i="1"/>
  <c r="BD611" i="1"/>
  <c r="BC611" i="1"/>
  <c r="BB611" i="1"/>
  <c r="BA611" i="1"/>
  <c r="BG611" i="1" s="1" a="1"/>
  <c r="BG611" i="1" s="1"/>
  <c r="AZ611" i="1"/>
  <c r="M611" i="1"/>
  <c r="ER1307" i="1"/>
  <c r="EQ1307" i="1"/>
  <c r="DZ1307" i="1"/>
  <c r="DY1307" i="1"/>
  <c r="DS1307" i="1"/>
  <c r="DR1307" i="1"/>
  <c r="DQ1307" i="1"/>
  <c r="DP1307" i="1"/>
  <c r="DN1307" i="1"/>
  <c r="DO1307" i="1" s="1"/>
  <c r="DH1307" i="1"/>
  <c r="DC1307" i="1"/>
  <c r="CP1307" i="1"/>
  <c r="CU1307" i="1" s="1"/>
  <c r="BX1307" i="1"/>
  <c r="BZ1307" i="1" s="1"/>
  <c r="BW1307" i="1"/>
  <c r="BP1307" i="1"/>
  <c r="BQ1307" i="1" s="1"/>
  <c r="BO1307" i="1"/>
  <c r="BF1307" i="1"/>
  <c r="BE1307" i="1"/>
  <c r="BD1307" i="1"/>
  <c r="BC1307" i="1"/>
  <c r="BB1307" i="1"/>
  <c r="BA1307" i="1"/>
  <c r="BG1307" i="1" s="1" a="1"/>
  <c r="BG1307" i="1" s="1"/>
  <c r="AZ1307" i="1"/>
  <c r="M1307" i="1"/>
  <c r="ER610" i="1"/>
  <c r="EQ610" i="1"/>
  <c r="DZ610" i="1"/>
  <c r="DY610" i="1"/>
  <c r="DS610" i="1"/>
  <c r="DR610" i="1"/>
  <c r="DQ610" i="1"/>
  <c r="DP610" i="1"/>
  <c r="DN610" i="1"/>
  <c r="DO610" i="1" s="1"/>
  <c r="DH610" i="1"/>
  <c r="DC610" i="1"/>
  <c r="CP610" i="1"/>
  <c r="CR610" i="1" s="1"/>
  <c r="BX610" i="1"/>
  <c r="BZ610" i="1" s="1"/>
  <c r="BW610" i="1"/>
  <c r="BP610" i="1"/>
  <c r="BQ610" i="1" s="1"/>
  <c r="BO610" i="1"/>
  <c r="BF610" i="1"/>
  <c r="BE610" i="1"/>
  <c r="BD610" i="1"/>
  <c r="BC610" i="1"/>
  <c r="BB610" i="1"/>
  <c r="BA610" i="1"/>
  <c r="BG610" i="1" s="1" a="1"/>
  <c r="BG610" i="1" s="1"/>
  <c r="AZ610" i="1"/>
  <c r="M610" i="1"/>
  <c r="ER1308" i="1"/>
  <c r="EQ1308" i="1"/>
  <c r="DZ1308" i="1"/>
  <c r="DY1308" i="1"/>
  <c r="DS1308" i="1"/>
  <c r="DR1308" i="1"/>
  <c r="DQ1308" i="1"/>
  <c r="DP1308" i="1"/>
  <c r="DN1308" i="1"/>
  <c r="DO1308" i="1" s="1"/>
  <c r="DH1308" i="1"/>
  <c r="DC1308" i="1"/>
  <c r="CP1308" i="1"/>
  <c r="CV1308" i="1" s="1"/>
  <c r="BX1308" i="1"/>
  <c r="BZ1308" i="1" s="1"/>
  <c r="BW1308" i="1"/>
  <c r="BP1308" i="1"/>
  <c r="BQ1308" i="1" s="1"/>
  <c r="BO1308" i="1"/>
  <c r="BF1308" i="1"/>
  <c r="BE1308" i="1"/>
  <c r="BD1308" i="1"/>
  <c r="BC1308" i="1"/>
  <c r="BB1308" i="1"/>
  <c r="BA1308" i="1"/>
  <c r="BG1308" i="1" s="1" a="1"/>
  <c r="BG1308" i="1" s="1"/>
  <c r="AZ1308" i="1"/>
  <c r="M1308" i="1"/>
  <c r="ER754" i="1"/>
  <c r="EQ754" i="1"/>
  <c r="DZ754" i="1"/>
  <c r="DY754" i="1"/>
  <c r="DS754" i="1"/>
  <c r="DR754" i="1"/>
  <c r="DQ754" i="1"/>
  <c r="DP754" i="1"/>
  <c r="DN754" i="1"/>
  <c r="DO754" i="1" s="1"/>
  <c r="DH754" i="1"/>
  <c r="DC754" i="1"/>
  <c r="CP754" i="1"/>
  <c r="BX754" i="1"/>
  <c r="BZ754" i="1" s="1"/>
  <c r="BW754" i="1"/>
  <c r="BP754" i="1"/>
  <c r="BQ754" i="1" s="1"/>
  <c r="BF754" i="1"/>
  <c r="BE754" i="1"/>
  <c r="BD754" i="1"/>
  <c r="BC754" i="1"/>
  <c r="BB754" i="1"/>
  <c r="BA754" i="1"/>
  <c r="AZ754" i="1"/>
  <c r="M754" i="1"/>
  <c r="ER755" i="1"/>
  <c r="EQ755" i="1"/>
  <c r="DZ755" i="1"/>
  <c r="DY755" i="1"/>
  <c r="DS755" i="1"/>
  <c r="DR755" i="1"/>
  <c r="DQ755" i="1"/>
  <c r="DP755" i="1"/>
  <c r="DN755" i="1"/>
  <c r="DO755" i="1" s="1"/>
  <c r="DH755" i="1"/>
  <c r="DC755" i="1"/>
  <c r="CP755" i="1"/>
  <c r="CQ755" i="1" s="1"/>
  <c r="BX755" i="1"/>
  <c r="BZ755" i="1" s="1"/>
  <c r="BW755" i="1"/>
  <c r="BP755" i="1"/>
  <c r="BQ755" i="1" s="1"/>
  <c r="BF755" i="1"/>
  <c r="BE755" i="1"/>
  <c r="BD755" i="1"/>
  <c r="BC755" i="1"/>
  <c r="BB755" i="1"/>
  <c r="BA755" i="1"/>
  <c r="AZ755" i="1"/>
  <c r="M755" i="1"/>
  <c r="ER756" i="1"/>
  <c r="EQ756" i="1"/>
  <c r="DZ756" i="1"/>
  <c r="DY756" i="1"/>
  <c r="DS756" i="1"/>
  <c r="DR756" i="1"/>
  <c r="DQ756" i="1"/>
  <c r="DP756" i="1"/>
  <c r="DN756" i="1"/>
  <c r="DO756" i="1" s="1"/>
  <c r="DH756" i="1"/>
  <c r="DC756" i="1"/>
  <c r="CP756" i="1"/>
  <c r="CQ756" i="1" s="1"/>
  <c r="BX756" i="1"/>
  <c r="BZ756" i="1" s="1"/>
  <c r="BW756" i="1"/>
  <c r="BP756" i="1"/>
  <c r="BQ756" i="1" s="1"/>
  <c r="BF756" i="1"/>
  <c r="BE756" i="1"/>
  <c r="BD756" i="1"/>
  <c r="BC756" i="1"/>
  <c r="BB756" i="1"/>
  <c r="BA756" i="1"/>
  <c r="AZ756" i="1"/>
  <c r="M756" i="1"/>
  <c r="ER1398" i="1"/>
  <c r="EQ1398" i="1"/>
  <c r="DZ1398" i="1"/>
  <c r="DY1398" i="1"/>
  <c r="DS1398" i="1"/>
  <c r="DR1398" i="1"/>
  <c r="DQ1398" i="1"/>
  <c r="DP1398" i="1"/>
  <c r="DN1398" i="1"/>
  <c r="DO1398" i="1" s="1"/>
  <c r="DG1398" i="1"/>
  <c r="DH1398" i="1" s="1"/>
  <c r="DC1398" i="1"/>
  <c r="BU1398" i="1"/>
  <c r="BM1398" i="1"/>
  <c r="CP1398" i="1" s="1"/>
  <c r="BF1398" i="1"/>
  <c r="BE1398" i="1"/>
  <c r="BD1398" i="1"/>
  <c r="BC1398" i="1"/>
  <c r="BB1398" i="1"/>
  <c r="BA1398" i="1"/>
  <c r="BG1398" i="1" s="1" a="1"/>
  <c r="BG1398" i="1" s="1"/>
  <c r="AZ1398" i="1"/>
  <c r="M1398" i="1"/>
  <c r="ER1400" i="1"/>
  <c r="EQ1400" i="1"/>
  <c r="DZ1400" i="1"/>
  <c r="DY1400" i="1"/>
  <c r="DS1400" i="1"/>
  <c r="DR1400" i="1"/>
  <c r="DQ1400" i="1"/>
  <c r="DP1400" i="1"/>
  <c r="DN1400" i="1"/>
  <c r="DO1400" i="1" s="1"/>
  <c r="DG1400" i="1"/>
  <c r="DH1400" i="1" s="1"/>
  <c r="DC1400" i="1"/>
  <c r="BV1400" i="1"/>
  <c r="BW1400" i="1" s="1"/>
  <c r="BN1400" i="1"/>
  <c r="CP1400" i="1" s="1"/>
  <c r="CU1400" i="1" s="1"/>
  <c r="BF1400" i="1"/>
  <c r="BE1400" i="1"/>
  <c r="BD1400" i="1"/>
  <c r="BC1400" i="1"/>
  <c r="BB1400" i="1"/>
  <c r="BA1400" i="1"/>
  <c r="BG1400" i="1" s="1" a="1"/>
  <c r="BG1400" i="1" s="1"/>
  <c r="AZ1400" i="1"/>
  <c r="M1400" i="1"/>
  <c r="ER1397" i="1"/>
  <c r="EQ1397" i="1"/>
  <c r="DZ1397" i="1"/>
  <c r="DY1397" i="1"/>
  <c r="DS1397" i="1"/>
  <c r="DR1397" i="1"/>
  <c r="DQ1397" i="1"/>
  <c r="DP1397" i="1"/>
  <c r="DN1397" i="1"/>
  <c r="DO1397" i="1" s="1"/>
  <c r="DG1397" i="1"/>
  <c r="DH1397" i="1" s="1"/>
  <c r="DC1397" i="1"/>
  <c r="BU1397" i="1"/>
  <c r="BX1397" i="1" s="1"/>
  <c r="BZ1397" i="1" s="1"/>
  <c r="BM1397" i="1"/>
  <c r="BO1397" i="1" s="1"/>
  <c r="BF1397" i="1"/>
  <c r="BE1397" i="1"/>
  <c r="BD1397" i="1"/>
  <c r="BC1397" i="1"/>
  <c r="BB1397" i="1"/>
  <c r="BA1397" i="1"/>
  <c r="BG1397" i="1" s="1" a="1"/>
  <c r="BG1397" i="1" s="1"/>
  <c r="AZ1397" i="1"/>
  <c r="M1397" i="1"/>
  <c r="ER1399" i="1"/>
  <c r="EQ1399" i="1"/>
  <c r="DZ1399" i="1"/>
  <c r="DY1399" i="1"/>
  <c r="DS1399" i="1"/>
  <c r="DR1399" i="1"/>
  <c r="DQ1399" i="1"/>
  <c r="DP1399" i="1"/>
  <c r="DN1399" i="1"/>
  <c r="DO1399" i="1" s="1"/>
  <c r="DG1399" i="1"/>
  <c r="DH1399" i="1" s="1"/>
  <c r="DC1399" i="1"/>
  <c r="BV1399" i="1"/>
  <c r="BW1399" i="1" s="1"/>
  <c r="BN1399" i="1"/>
  <c r="BP1399" i="1" s="1"/>
  <c r="BQ1399" i="1" s="1"/>
  <c r="BF1399" i="1"/>
  <c r="BE1399" i="1"/>
  <c r="BD1399" i="1"/>
  <c r="BC1399" i="1"/>
  <c r="BB1399" i="1"/>
  <c r="BA1399" i="1"/>
  <c r="BG1399" i="1" s="1" a="1"/>
  <c r="BG1399" i="1" s="1"/>
  <c r="AZ1399" i="1"/>
  <c r="M1399" i="1"/>
  <c r="ER1396" i="1"/>
  <c r="EQ1396" i="1"/>
  <c r="DZ1396" i="1"/>
  <c r="DY1396" i="1"/>
  <c r="DS1396" i="1"/>
  <c r="DR1396" i="1"/>
  <c r="DQ1396" i="1"/>
  <c r="DP1396" i="1"/>
  <c r="DN1396" i="1"/>
  <c r="DO1396" i="1" s="1"/>
  <c r="DG1396" i="1"/>
  <c r="DH1396" i="1" s="1"/>
  <c r="DC1396" i="1"/>
  <c r="CP1396" i="1"/>
  <c r="CV1396" i="1" s="1"/>
  <c r="BZ1396" i="1"/>
  <c r="BP1396" i="1"/>
  <c r="BQ1396" i="1" s="1"/>
  <c r="BF1396" i="1"/>
  <c r="BE1396" i="1"/>
  <c r="BD1396" i="1"/>
  <c r="BC1396" i="1"/>
  <c r="BB1396" i="1"/>
  <c r="BA1396" i="1"/>
  <c r="BG1396" i="1" s="1" a="1"/>
  <c r="BG1396" i="1" s="1"/>
  <c r="AZ1396" i="1"/>
  <c r="M1396" i="1"/>
  <c r="ER699" i="1"/>
  <c r="EQ699" i="1"/>
  <c r="DZ699" i="1"/>
  <c r="DY699" i="1"/>
  <c r="DS699" i="1"/>
  <c r="DR699" i="1"/>
  <c r="DQ699" i="1"/>
  <c r="DP699" i="1"/>
  <c r="DN699" i="1"/>
  <c r="DO699" i="1" s="1"/>
  <c r="DH699" i="1"/>
  <c r="DC699" i="1"/>
  <c r="BX699" i="1"/>
  <c r="BW699" i="1"/>
  <c r="BN699" i="1"/>
  <c r="BM699" i="1"/>
  <c r="BF699" i="1"/>
  <c r="BE699" i="1"/>
  <c r="BD699" i="1"/>
  <c r="BC699" i="1"/>
  <c r="BB699" i="1"/>
  <c r="BA699" i="1"/>
  <c r="BG699" i="1" s="1" a="1"/>
  <c r="BG699" i="1" s="1"/>
  <c r="AZ699" i="1"/>
  <c r="M699" i="1"/>
  <c r="ER701" i="1"/>
  <c r="EQ701" i="1"/>
  <c r="DZ701" i="1"/>
  <c r="DY701" i="1"/>
  <c r="DS701" i="1"/>
  <c r="DR701" i="1"/>
  <c r="DQ701" i="1"/>
  <c r="DP701" i="1"/>
  <c r="DN701" i="1"/>
  <c r="DO701" i="1" s="1"/>
  <c r="DH701" i="1"/>
  <c r="DC701" i="1"/>
  <c r="BX701" i="1"/>
  <c r="BZ701" i="1" s="1"/>
  <c r="BW701" i="1"/>
  <c r="BN701" i="1"/>
  <c r="CP701" i="1" s="1"/>
  <c r="BF701" i="1"/>
  <c r="BE701" i="1"/>
  <c r="BD701" i="1"/>
  <c r="BC701" i="1"/>
  <c r="BB701" i="1"/>
  <c r="BA701" i="1"/>
  <c r="BG701" i="1" s="1" a="1"/>
  <c r="BG701" i="1" s="1"/>
  <c r="AZ701" i="1"/>
  <c r="M701" i="1"/>
  <c r="ER704" i="1"/>
  <c r="EQ704" i="1"/>
  <c r="DZ704" i="1"/>
  <c r="DY704" i="1"/>
  <c r="DS704" i="1"/>
  <c r="DR704" i="1"/>
  <c r="DQ704" i="1"/>
  <c r="DP704" i="1"/>
  <c r="DN704" i="1"/>
  <c r="DO704" i="1" s="1"/>
  <c r="DH704" i="1"/>
  <c r="DC704" i="1"/>
  <c r="BX704" i="1"/>
  <c r="BZ704" i="1" s="1"/>
  <c r="BW704" i="1"/>
  <c r="BN704" i="1"/>
  <c r="CP704" i="1" s="1"/>
  <c r="CR704" i="1" s="1"/>
  <c r="BF704" i="1"/>
  <c r="BE704" i="1"/>
  <c r="BD704" i="1"/>
  <c r="BC704" i="1"/>
  <c r="BB704" i="1"/>
  <c r="BA704" i="1"/>
  <c r="BG704" i="1" s="1" a="1"/>
  <c r="BG704" i="1" s="1"/>
  <c r="AZ704" i="1"/>
  <c r="M704" i="1"/>
  <c r="ER705" i="1"/>
  <c r="EQ705" i="1"/>
  <c r="DZ705" i="1"/>
  <c r="DY705" i="1"/>
  <c r="DS705" i="1"/>
  <c r="DR705" i="1"/>
  <c r="DQ705" i="1"/>
  <c r="DP705" i="1"/>
  <c r="DN705" i="1"/>
  <c r="DO705" i="1" s="1"/>
  <c r="DH705" i="1"/>
  <c r="DC705" i="1"/>
  <c r="BX705" i="1"/>
  <c r="BZ705" i="1" s="1"/>
  <c r="BW705" i="1"/>
  <c r="BN705" i="1"/>
  <c r="BP705" i="1" s="1"/>
  <c r="BQ705" i="1" s="1"/>
  <c r="BF705" i="1"/>
  <c r="BE705" i="1"/>
  <c r="BD705" i="1"/>
  <c r="BC705" i="1"/>
  <c r="BB705" i="1"/>
  <c r="BA705" i="1"/>
  <c r="BG705" i="1" s="1" a="1"/>
  <c r="BG705" i="1" s="1"/>
  <c r="AZ705" i="1"/>
  <c r="M705" i="1"/>
  <c r="ER700" i="1"/>
  <c r="EQ700" i="1"/>
  <c r="DZ700" i="1"/>
  <c r="DY700" i="1"/>
  <c r="DS700" i="1"/>
  <c r="DR700" i="1"/>
  <c r="DQ700" i="1"/>
  <c r="DP700" i="1"/>
  <c r="DN700" i="1"/>
  <c r="DO700" i="1" s="1"/>
  <c r="DH700" i="1"/>
  <c r="DC700" i="1"/>
  <c r="BX700" i="1"/>
  <c r="BZ700" i="1" s="1"/>
  <c r="BW700" i="1"/>
  <c r="BN700" i="1"/>
  <c r="BP700" i="1" s="1"/>
  <c r="BQ700" i="1" s="1"/>
  <c r="BF700" i="1"/>
  <c r="BE700" i="1"/>
  <c r="BD700" i="1"/>
  <c r="BC700" i="1"/>
  <c r="BB700" i="1"/>
  <c r="BA700" i="1"/>
  <c r="BG700" i="1" s="1" a="1"/>
  <c r="BG700" i="1" s="1"/>
  <c r="AZ700" i="1"/>
  <c r="M700" i="1"/>
  <c r="ER708" i="1"/>
  <c r="EQ708" i="1"/>
  <c r="DZ708" i="1"/>
  <c r="DY708" i="1"/>
  <c r="DS708" i="1"/>
  <c r="DR708" i="1"/>
  <c r="DQ708" i="1"/>
  <c r="DP708" i="1"/>
  <c r="DN708" i="1"/>
  <c r="DO708" i="1" s="1"/>
  <c r="DH708" i="1"/>
  <c r="DC708" i="1"/>
  <c r="BX708" i="1"/>
  <c r="BZ708" i="1" s="1"/>
  <c r="BW708" i="1"/>
  <c r="BN708" i="1"/>
  <c r="CP708" i="1" s="1"/>
  <c r="BF708" i="1"/>
  <c r="BE708" i="1"/>
  <c r="BD708" i="1"/>
  <c r="BC708" i="1"/>
  <c r="BB708" i="1"/>
  <c r="BA708" i="1"/>
  <c r="BG708" i="1" s="1" a="1"/>
  <c r="BG708" i="1" s="1"/>
  <c r="AZ708" i="1"/>
  <c r="M708" i="1"/>
  <c r="ER703" i="1"/>
  <c r="EQ703" i="1"/>
  <c r="DZ703" i="1"/>
  <c r="DY703" i="1"/>
  <c r="DS703" i="1"/>
  <c r="DR703" i="1"/>
  <c r="DQ703" i="1"/>
  <c r="DP703" i="1"/>
  <c r="DN703" i="1"/>
  <c r="DO703" i="1" s="1"/>
  <c r="DH703" i="1"/>
  <c r="DC703" i="1"/>
  <c r="BX703" i="1"/>
  <c r="BZ703" i="1" s="1"/>
  <c r="BW703" i="1"/>
  <c r="BN703" i="1"/>
  <c r="CP703" i="1" s="1"/>
  <c r="CR703" i="1" s="1"/>
  <c r="BF703" i="1"/>
  <c r="BE703" i="1"/>
  <c r="BD703" i="1"/>
  <c r="BC703" i="1"/>
  <c r="BB703" i="1"/>
  <c r="BA703" i="1"/>
  <c r="BG703" i="1" s="1" a="1"/>
  <c r="BG703" i="1" s="1"/>
  <c r="AZ703" i="1"/>
  <c r="M703" i="1"/>
  <c r="ER702" i="1"/>
  <c r="EQ702" i="1"/>
  <c r="DZ702" i="1"/>
  <c r="DY702" i="1"/>
  <c r="DS702" i="1"/>
  <c r="DR702" i="1"/>
  <c r="DQ702" i="1"/>
  <c r="DP702" i="1"/>
  <c r="DN702" i="1"/>
  <c r="DO702" i="1" s="1"/>
  <c r="DH702" i="1"/>
  <c r="DC702" i="1"/>
  <c r="BX702" i="1"/>
  <c r="BZ702" i="1" s="1"/>
  <c r="BW702" i="1"/>
  <c r="BN702" i="1"/>
  <c r="BM702" i="1"/>
  <c r="BF702" i="1"/>
  <c r="BE702" i="1"/>
  <c r="BD702" i="1"/>
  <c r="BC702" i="1"/>
  <c r="BB702" i="1"/>
  <c r="BA702" i="1"/>
  <c r="BG702" i="1" s="1" a="1"/>
  <c r="BG702" i="1" s="1"/>
  <c r="AZ702" i="1"/>
  <c r="M702" i="1"/>
  <c r="ER706" i="1"/>
  <c r="EQ706" i="1"/>
  <c r="DZ706" i="1"/>
  <c r="DY706" i="1"/>
  <c r="DS706" i="1"/>
  <c r="DR706" i="1"/>
  <c r="DQ706" i="1"/>
  <c r="DP706" i="1"/>
  <c r="DN706" i="1"/>
  <c r="DO706" i="1" s="1"/>
  <c r="DH706" i="1"/>
  <c r="DC706" i="1"/>
  <c r="BX706" i="1"/>
  <c r="BZ706" i="1" s="1"/>
  <c r="BW706" i="1"/>
  <c r="BN706" i="1"/>
  <c r="BM706" i="1"/>
  <c r="BF706" i="1"/>
  <c r="BE706" i="1"/>
  <c r="BD706" i="1"/>
  <c r="BC706" i="1"/>
  <c r="BB706" i="1"/>
  <c r="BA706" i="1"/>
  <c r="BG706" i="1" s="1" a="1"/>
  <c r="BG706" i="1" s="1"/>
  <c r="AZ706" i="1"/>
  <c r="M706" i="1"/>
  <c r="ER707" i="1"/>
  <c r="EQ707" i="1"/>
  <c r="DZ707" i="1"/>
  <c r="DY707" i="1"/>
  <c r="DS707" i="1"/>
  <c r="DR707" i="1"/>
  <c r="DQ707" i="1"/>
  <c r="DP707" i="1"/>
  <c r="DN707" i="1"/>
  <c r="DO707" i="1" s="1"/>
  <c r="DH707" i="1"/>
  <c r="DC707" i="1"/>
  <c r="BX707" i="1"/>
  <c r="BZ707" i="1" s="1"/>
  <c r="BW707" i="1"/>
  <c r="BN707" i="1"/>
  <c r="BM707" i="1"/>
  <c r="BF707" i="1"/>
  <c r="BE707" i="1"/>
  <c r="BD707" i="1"/>
  <c r="BC707" i="1"/>
  <c r="BB707" i="1"/>
  <c r="BA707" i="1"/>
  <c r="BG707" i="1" s="1" a="1"/>
  <c r="BG707" i="1" s="1"/>
  <c r="AZ707" i="1"/>
  <c r="M707" i="1"/>
  <c r="ER1282" i="1"/>
  <c r="EQ1282" i="1"/>
  <c r="DZ1282" i="1"/>
  <c r="DY1282" i="1"/>
  <c r="DS1282" i="1"/>
  <c r="DR1282" i="1"/>
  <c r="DQ1282" i="1"/>
  <c r="DP1282" i="1"/>
  <c r="DN1282" i="1"/>
  <c r="DO1282" i="1" s="1"/>
  <c r="DG1282" i="1"/>
  <c r="DH1282" i="1" s="1"/>
  <c r="DC1282" i="1"/>
  <c r="CP1282" i="1"/>
  <c r="BV1282" i="1"/>
  <c r="BU1282" i="1"/>
  <c r="BP1282" i="1"/>
  <c r="BQ1282" i="1" s="1"/>
  <c r="BF1282" i="1"/>
  <c r="BE1282" i="1"/>
  <c r="BD1282" i="1"/>
  <c r="BC1282" i="1"/>
  <c r="BB1282" i="1"/>
  <c r="BA1282" i="1"/>
  <c r="BG1282" i="1" s="1" a="1"/>
  <c r="BG1282" i="1" s="1"/>
  <c r="AZ1282" i="1"/>
  <c r="M1282" i="1"/>
  <c r="ER717" i="1"/>
  <c r="EQ717" i="1"/>
  <c r="DZ717" i="1"/>
  <c r="DY717" i="1"/>
  <c r="DS717" i="1"/>
  <c r="DR717" i="1"/>
  <c r="DQ717" i="1"/>
  <c r="DP717" i="1"/>
  <c r="DN717" i="1"/>
  <c r="DO717" i="1" s="1"/>
  <c r="DG717" i="1"/>
  <c r="DH717" i="1" s="1"/>
  <c r="DC717" i="1"/>
  <c r="CP717" i="1"/>
  <c r="BV717" i="1"/>
  <c r="BU717" i="1"/>
  <c r="BP717" i="1"/>
  <c r="BQ717" i="1" s="1"/>
  <c r="BF717" i="1"/>
  <c r="BE717" i="1"/>
  <c r="BD717" i="1"/>
  <c r="BC717" i="1"/>
  <c r="BB717" i="1"/>
  <c r="BA717" i="1"/>
  <c r="BG717" i="1" s="1" a="1"/>
  <c r="BG717" i="1" s="1"/>
  <c r="AZ717" i="1"/>
  <c r="M717" i="1"/>
  <c r="ER1576" i="1"/>
  <c r="EQ1576" i="1"/>
  <c r="DZ1576" i="1"/>
  <c r="DY1576" i="1"/>
  <c r="DS1576" i="1"/>
  <c r="DR1576" i="1"/>
  <c r="DQ1576" i="1"/>
  <c r="DP1576" i="1"/>
  <c r="DN1576" i="1"/>
  <c r="DO1576" i="1" s="1"/>
  <c r="DG1576" i="1"/>
  <c r="DH1576" i="1" s="1"/>
  <c r="DC1576" i="1"/>
  <c r="CP1576" i="1"/>
  <c r="CU1576" i="1" s="1"/>
  <c r="BV1576" i="1"/>
  <c r="BW1576" i="1" s="1"/>
  <c r="BP1576" i="1"/>
  <c r="BQ1576" i="1" s="1"/>
  <c r="BF1576" i="1"/>
  <c r="BE1576" i="1"/>
  <c r="BD1576" i="1"/>
  <c r="BC1576" i="1"/>
  <c r="BB1576" i="1"/>
  <c r="BA1576" i="1"/>
  <c r="BG1576" i="1" s="1" a="1"/>
  <c r="BG1576" i="1" s="1"/>
  <c r="AZ1576" i="1"/>
  <c r="M1576" i="1"/>
  <c r="ER1432" i="1"/>
  <c r="EQ1432" i="1"/>
  <c r="DZ1432" i="1"/>
  <c r="DY1432" i="1"/>
  <c r="DS1432" i="1"/>
  <c r="DR1432" i="1"/>
  <c r="DQ1432" i="1"/>
  <c r="DP1432" i="1"/>
  <c r="DN1432" i="1"/>
  <c r="DO1432" i="1" s="1"/>
  <c r="DG1432" i="1"/>
  <c r="DH1432" i="1" s="1"/>
  <c r="DC1432" i="1"/>
  <c r="CP1432" i="1"/>
  <c r="CU1432" i="1" s="1"/>
  <c r="BX1432" i="1"/>
  <c r="BZ1432" i="1" s="1"/>
  <c r="BW1432" i="1"/>
  <c r="BP1432" i="1"/>
  <c r="BQ1432" i="1" s="1"/>
  <c r="BF1432" i="1"/>
  <c r="BE1432" i="1"/>
  <c r="BD1432" i="1"/>
  <c r="BC1432" i="1"/>
  <c r="BB1432" i="1"/>
  <c r="BA1432" i="1"/>
  <c r="BG1432" i="1" s="1" a="1"/>
  <c r="BG1432" i="1" s="1"/>
  <c r="AZ1432" i="1"/>
  <c r="M1432" i="1"/>
  <c r="ER1494" i="1"/>
  <c r="EQ1494" i="1"/>
  <c r="DZ1494" i="1"/>
  <c r="DY1494" i="1"/>
  <c r="DS1494" i="1"/>
  <c r="DR1494" i="1"/>
  <c r="DQ1494" i="1"/>
  <c r="DP1494" i="1"/>
  <c r="DN1494" i="1"/>
  <c r="DO1494" i="1" s="1"/>
  <c r="DG1494" i="1"/>
  <c r="DH1494" i="1" s="1"/>
  <c r="DC1494" i="1"/>
  <c r="CP1494" i="1"/>
  <c r="BV1494" i="1"/>
  <c r="BU1494" i="1"/>
  <c r="BP1494" i="1"/>
  <c r="BQ1494" i="1" s="1"/>
  <c r="BF1494" i="1"/>
  <c r="BE1494" i="1"/>
  <c r="BD1494" i="1"/>
  <c r="BC1494" i="1"/>
  <c r="BB1494" i="1"/>
  <c r="BA1494" i="1"/>
  <c r="BG1494" i="1" s="1" a="1"/>
  <c r="BG1494" i="1" s="1"/>
  <c r="AZ1494" i="1"/>
  <c r="M1494" i="1"/>
  <c r="ER1433" i="1"/>
  <c r="EQ1433" i="1"/>
  <c r="DZ1433" i="1"/>
  <c r="DY1433" i="1"/>
  <c r="DS1433" i="1"/>
  <c r="DR1433" i="1"/>
  <c r="DQ1433" i="1"/>
  <c r="DP1433" i="1"/>
  <c r="DN1433" i="1"/>
  <c r="DO1433" i="1" s="1"/>
  <c r="DG1433" i="1"/>
  <c r="DH1433" i="1" s="1"/>
  <c r="DC1433" i="1"/>
  <c r="CP1433" i="1"/>
  <c r="BV1433" i="1"/>
  <c r="BP1433" i="1"/>
  <c r="BQ1433" i="1" s="1"/>
  <c r="BF1433" i="1"/>
  <c r="BE1433" i="1"/>
  <c r="BD1433" i="1"/>
  <c r="BC1433" i="1"/>
  <c r="BB1433" i="1"/>
  <c r="BA1433" i="1"/>
  <c r="BG1433" i="1" s="1" a="1"/>
  <c r="BG1433" i="1" s="1"/>
  <c r="AZ1433" i="1"/>
  <c r="M1433" i="1"/>
  <c r="ER1581" i="1"/>
  <c r="EQ1581" i="1"/>
  <c r="DZ1581" i="1"/>
  <c r="DY1581" i="1"/>
  <c r="DS1581" i="1"/>
  <c r="DR1581" i="1"/>
  <c r="DQ1581" i="1"/>
  <c r="DP1581" i="1"/>
  <c r="DN1581" i="1"/>
  <c r="DO1581" i="1" s="1"/>
  <c r="DG1581" i="1"/>
  <c r="DH1581" i="1" s="1"/>
  <c r="DC1581" i="1"/>
  <c r="CP1581" i="1"/>
  <c r="CU1581" i="1" s="1"/>
  <c r="BX1581" i="1"/>
  <c r="BZ1581" i="1" s="1"/>
  <c r="BW1581" i="1"/>
  <c r="BP1581" i="1"/>
  <c r="BQ1581" i="1" s="1"/>
  <c r="BF1581" i="1"/>
  <c r="BE1581" i="1"/>
  <c r="BD1581" i="1"/>
  <c r="BC1581" i="1"/>
  <c r="BB1581" i="1"/>
  <c r="BA1581" i="1"/>
  <c r="BG1581" i="1" s="1" a="1"/>
  <c r="BG1581" i="1" s="1"/>
  <c r="AZ1581" i="1"/>
  <c r="M1581" i="1"/>
  <c r="ER1582" i="1"/>
  <c r="EQ1582" i="1"/>
  <c r="DZ1582" i="1"/>
  <c r="DY1582" i="1"/>
  <c r="DS1582" i="1"/>
  <c r="DR1582" i="1"/>
  <c r="DQ1582" i="1"/>
  <c r="DP1582" i="1"/>
  <c r="DN1582" i="1"/>
  <c r="DO1582" i="1" s="1"/>
  <c r="DG1582" i="1"/>
  <c r="DH1582" i="1" s="1"/>
  <c r="DC1582" i="1"/>
  <c r="CP1582" i="1"/>
  <c r="BX1582" i="1"/>
  <c r="BZ1582" i="1" s="1"/>
  <c r="BW1582" i="1"/>
  <c r="BP1582" i="1"/>
  <c r="BQ1582" i="1" s="1"/>
  <c r="BF1582" i="1"/>
  <c r="BE1582" i="1"/>
  <c r="BD1582" i="1"/>
  <c r="BC1582" i="1"/>
  <c r="BB1582" i="1"/>
  <c r="BA1582" i="1"/>
  <c r="BG1582" i="1" s="1" a="1"/>
  <c r="BG1582" i="1" s="1"/>
  <c r="AZ1582" i="1"/>
  <c r="M1582" i="1"/>
  <c r="ER1577" i="1"/>
  <c r="EQ1577" i="1"/>
  <c r="DZ1577" i="1"/>
  <c r="DY1577" i="1"/>
  <c r="DS1577" i="1"/>
  <c r="DR1577" i="1"/>
  <c r="DQ1577" i="1"/>
  <c r="DP1577" i="1"/>
  <c r="DN1577" i="1"/>
  <c r="DO1577" i="1" s="1"/>
  <c r="DG1577" i="1"/>
  <c r="DH1577" i="1" s="1"/>
  <c r="DC1577" i="1"/>
  <c r="CP1577" i="1"/>
  <c r="CR1577" i="1" s="1"/>
  <c r="BX1577" i="1"/>
  <c r="BZ1577" i="1" s="1"/>
  <c r="BW1577" i="1"/>
  <c r="BP1577" i="1"/>
  <c r="BQ1577" i="1" s="1"/>
  <c r="BF1577" i="1"/>
  <c r="BE1577" i="1"/>
  <c r="BD1577" i="1"/>
  <c r="BC1577" i="1"/>
  <c r="BB1577" i="1"/>
  <c r="BA1577" i="1"/>
  <c r="BG1577" i="1" s="1" a="1"/>
  <c r="BG1577" i="1" s="1"/>
  <c r="AZ1577" i="1"/>
  <c r="M1577" i="1"/>
  <c r="ER1579" i="1"/>
  <c r="EQ1579" i="1"/>
  <c r="DZ1579" i="1"/>
  <c r="DY1579" i="1"/>
  <c r="DS1579" i="1"/>
  <c r="DR1579" i="1"/>
  <c r="DQ1579" i="1"/>
  <c r="DP1579" i="1"/>
  <c r="DN1579" i="1"/>
  <c r="DO1579" i="1" s="1"/>
  <c r="DG1579" i="1"/>
  <c r="DH1579" i="1" s="1"/>
  <c r="DC1579" i="1"/>
  <c r="CP1579" i="1"/>
  <c r="CR1579" i="1" s="1"/>
  <c r="BX1579" i="1"/>
  <c r="BZ1579" i="1" s="1"/>
  <c r="BW1579" i="1"/>
  <c r="BP1579" i="1"/>
  <c r="BQ1579" i="1" s="1"/>
  <c r="BF1579" i="1"/>
  <c r="BE1579" i="1"/>
  <c r="BD1579" i="1"/>
  <c r="BC1579" i="1"/>
  <c r="BB1579" i="1"/>
  <c r="BA1579" i="1"/>
  <c r="BG1579" i="1" s="1" a="1"/>
  <c r="BG1579" i="1" s="1"/>
  <c r="AZ1579" i="1"/>
  <c r="M1579" i="1"/>
  <c r="ER1218" i="1"/>
  <c r="EQ1218" i="1"/>
  <c r="DZ1218" i="1"/>
  <c r="DY1218" i="1"/>
  <c r="DS1218" i="1"/>
  <c r="DR1218" i="1"/>
  <c r="DQ1218" i="1"/>
  <c r="DP1218" i="1"/>
  <c r="DN1218" i="1"/>
  <c r="DO1218" i="1" s="1"/>
  <c r="DH1218" i="1"/>
  <c r="DC1218" i="1"/>
  <c r="CP1218" i="1"/>
  <c r="CQ1218" i="1" s="1"/>
  <c r="BX1218" i="1"/>
  <c r="BZ1218" i="1" s="1"/>
  <c r="BW1218" i="1"/>
  <c r="BQ1218" i="1"/>
  <c r="BP1218" i="1"/>
  <c r="BF1218" i="1"/>
  <c r="BE1218" i="1"/>
  <c r="BD1218" i="1"/>
  <c r="BC1218" i="1"/>
  <c r="BB1218" i="1"/>
  <c r="BA1218" i="1"/>
  <c r="BG1218" i="1" s="1" a="1"/>
  <c r="BG1218" i="1" s="1"/>
  <c r="AZ1218" i="1"/>
  <c r="M1218" i="1"/>
  <c r="ER1219" i="1"/>
  <c r="EQ1219" i="1"/>
  <c r="DZ1219" i="1"/>
  <c r="DY1219" i="1"/>
  <c r="DS1219" i="1"/>
  <c r="DR1219" i="1"/>
  <c r="DQ1219" i="1"/>
  <c r="DP1219" i="1"/>
  <c r="DN1219" i="1"/>
  <c r="DO1219" i="1" s="1"/>
  <c r="DH1219" i="1"/>
  <c r="DC1219" i="1"/>
  <c r="CP1219" i="1"/>
  <c r="CV1219" i="1" s="1"/>
  <c r="BX1219" i="1"/>
  <c r="BZ1219" i="1" s="1"/>
  <c r="BW1219" i="1"/>
  <c r="BQ1219" i="1"/>
  <c r="BP1219" i="1"/>
  <c r="BF1219" i="1"/>
  <c r="BE1219" i="1"/>
  <c r="BD1219" i="1"/>
  <c r="BC1219" i="1"/>
  <c r="BB1219" i="1"/>
  <c r="BA1219" i="1"/>
  <c r="BG1219" i="1" s="1" a="1"/>
  <c r="BG1219" i="1" s="1"/>
  <c r="AZ1219" i="1"/>
  <c r="M1219" i="1"/>
  <c r="ER1223" i="1"/>
  <c r="EQ1223" i="1"/>
  <c r="DZ1223" i="1"/>
  <c r="DY1223" i="1"/>
  <c r="DS1223" i="1"/>
  <c r="DR1223" i="1"/>
  <c r="DQ1223" i="1"/>
  <c r="DP1223" i="1"/>
  <c r="DN1223" i="1"/>
  <c r="DO1223" i="1" s="1"/>
  <c r="DH1223" i="1"/>
  <c r="DC1223" i="1"/>
  <c r="CP1223" i="1"/>
  <c r="CR1223" i="1" s="1"/>
  <c r="BX1223" i="1"/>
  <c r="BZ1223" i="1" s="1"/>
  <c r="BW1223" i="1"/>
  <c r="BQ1223" i="1"/>
  <c r="BP1223" i="1"/>
  <c r="BF1223" i="1"/>
  <c r="BE1223" i="1"/>
  <c r="BD1223" i="1"/>
  <c r="BC1223" i="1"/>
  <c r="BB1223" i="1"/>
  <c r="BA1223" i="1"/>
  <c r="BG1223" i="1" s="1" a="1"/>
  <c r="BG1223" i="1" s="1"/>
  <c r="AZ1223" i="1"/>
  <c r="M1223" i="1"/>
  <c r="ER1221" i="1"/>
  <c r="EQ1221" i="1"/>
  <c r="DZ1221" i="1"/>
  <c r="DY1221" i="1"/>
  <c r="DS1221" i="1"/>
  <c r="DR1221" i="1"/>
  <c r="DQ1221" i="1"/>
  <c r="DP1221" i="1"/>
  <c r="DN1221" i="1"/>
  <c r="DO1221" i="1" s="1"/>
  <c r="DH1221" i="1"/>
  <c r="DC1221" i="1"/>
  <c r="CP1221" i="1"/>
  <c r="BX1221" i="1"/>
  <c r="BZ1221" i="1" s="1"/>
  <c r="BW1221" i="1"/>
  <c r="BQ1221" i="1"/>
  <c r="BP1221" i="1"/>
  <c r="BF1221" i="1"/>
  <c r="BE1221" i="1"/>
  <c r="BD1221" i="1"/>
  <c r="BC1221" i="1"/>
  <c r="BB1221" i="1"/>
  <c r="BA1221" i="1"/>
  <c r="BG1221" i="1" s="1" a="1"/>
  <c r="BG1221" i="1" s="1"/>
  <c r="AZ1221" i="1"/>
  <c r="M1221" i="1"/>
  <c r="ER1222" i="1"/>
  <c r="EQ1222" i="1"/>
  <c r="DZ1222" i="1"/>
  <c r="DY1222" i="1"/>
  <c r="DS1222" i="1"/>
  <c r="DR1222" i="1"/>
  <c r="DQ1222" i="1"/>
  <c r="DP1222" i="1"/>
  <c r="DN1222" i="1"/>
  <c r="DO1222" i="1" s="1"/>
  <c r="DH1222" i="1"/>
  <c r="DC1222" i="1"/>
  <c r="CP1222" i="1"/>
  <c r="BX1222" i="1"/>
  <c r="BZ1222" i="1" s="1"/>
  <c r="BW1222" i="1"/>
  <c r="BQ1222" i="1"/>
  <c r="BP1222" i="1"/>
  <c r="BF1222" i="1"/>
  <c r="BE1222" i="1"/>
  <c r="BD1222" i="1"/>
  <c r="BC1222" i="1"/>
  <c r="BB1222" i="1"/>
  <c r="BA1222" i="1"/>
  <c r="BG1222" i="1" s="1" a="1"/>
  <c r="BG1222" i="1" s="1"/>
  <c r="AZ1222" i="1"/>
  <c r="M1222" i="1"/>
  <c r="ER1225" i="1"/>
  <c r="EQ1225" i="1"/>
  <c r="DZ1225" i="1"/>
  <c r="DY1225" i="1"/>
  <c r="DS1225" i="1"/>
  <c r="DR1225" i="1"/>
  <c r="DQ1225" i="1"/>
  <c r="DP1225" i="1"/>
  <c r="DN1225" i="1"/>
  <c r="DO1225" i="1" s="1"/>
  <c r="DH1225" i="1"/>
  <c r="DC1225" i="1"/>
  <c r="CP1225" i="1"/>
  <c r="CV1225" i="1" s="1"/>
  <c r="BX1225" i="1"/>
  <c r="BZ1225" i="1" s="1"/>
  <c r="BW1225" i="1"/>
  <c r="BQ1225" i="1"/>
  <c r="BP1225" i="1"/>
  <c r="BF1225" i="1"/>
  <c r="BE1225" i="1"/>
  <c r="BD1225" i="1"/>
  <c r="BC1225" i="1"/>
  <c r="BB1225" i="1"/>
  <c r="BA1225" i="1"/>
  <c r="BG1225" i="1" s="1" a="1"/>
  <c r="BG1225" i="1" s="1"/>
  <c r="AZ1225" i="1"/>
  <c r="M1225" i="1"/>
  <c r="ER1224" i="1"/>
  <c r="EQ1224" i="1"/>
  <c r="DZ1224" i="1"/>
  <c r="DY1224" i="1"/>
  <c r="DS1224" i="1"/>
  <c r="DR1224" i="1"/>
  <c r="DQ1224" i="1"/>
  <c r="DP1224" i="1"/>
  <c r="DN1224" i="1"/>
  <c r="DO1224" i="1" s="1"/>
  <c r="DH1224" i="1"/>
  <c r="DC1224" i="1"/>
  <c r="CP1224" i="1"/>
  <c r="CQ1224" i="1" s="1"/>
  <c r="BX1224" i="1"/>
  <c r="BZ1224" i="1" s="1"/>
  <c r="BW1224" i="1"/>
  <c r="BQ1224" i="1"/>
  <c r="BP1224" i="1"/>
  <c r="BF1224" i="1"/>
  <c r="BE1224" i="1"/>
  <c r="BD1224" i="1"/>
  <c r="BC1224" i="1"/>
  <c r="BB1224" i="1"/>
  <c r="BA1224" i="1"/>
  <c r="BG1224" i="1" s="1" a="1"/>
  <c r="BG1224" i="1" s="1"/>
  <c r="AZ1224" i="1"/>
  <c r="M1224" i="1"/>
  <c r="ER1226" i="1"/>
  <c r="EQ1226" i="1"/>
  <c r="DZ1226" i="1"/>
  <c r="DY1226" i="1"/>
  <c r="DS1226" i="1"/>
  <c r="DR1226" i="1"/>
  <c r="DQ1226" i="1"/>
  <c r="DP1226" i="1"/>
  <c r="DN1226" i="1"/>
  <c r="DO1226" i="1" s="1"/>
  <c r="DH1226" i="1"/>
  <c r="DC1226" i="1"/>
  <c r="CP1226" i="1"/>
  <c r="CR1226" i="1" s="1"/>
  <c r="BX1226" i="1"/>
  <c r="BZ1226" i="1" s="1"/>
  <c r="BW1226" i="1"/>
  <c r="BQ1226" i="1"/>
  <c r="BP1226" i="1"/>
  <c r="BF1226" i="1"/>
  <c r="BE1226" i="1"/>
  <c r="BD1226" i="1"/>
  <c r="BC1226" i="1"/>
  <c r="BB1226" i="1"/>
  <c r="BA1226" i="1"/>
  <c r="BG1226" i="1" s="1" a="1"/>
  <c r="BG1226" i="1" s="1"/>
  <c r="AZ1226" i="1"/>
  <c r="M1226" i="1"/>
  <c r="ER1216" i="1"/>
  <c r="EQ1216" i="1"/>
  <c r="DZ1216" i="1"/>
  <c r="DY1216" i="1"/>
  <c r="DS1216" i="1"/>
  <c r="DR1216" i="1"/>
  <c r="DQ1216" i="1"/>
  <c r="DP1216" i="1"/>
  <c r="DN1216" i="1"/>
  <c r="DO1216" i="1" s="1"/>
  <c r="DH1216" i="1"/>
  <c r="DC1216" i="1"/>
  <c r="CP1216" i="1"/>
  <c r="CV1216" i="1" s="1"/>
  <c r="BX1216" i="1"/>
  <c r="BZ1216" i="1" s="1"/>
  <c r="BW1216" i="1"/>
  <c r="BQ1216" i="1"/>
  <c r="BP1216" i="1"/>
  <c r="BF1216" i="1"/>
  <c r="BE1216" i="1"/>
  <c r="BD1216" i="1"/>
  <c r="BC1216" i="1"/>
  <c r="BB1216" i="1"/>
  <c r="BA1216" i="1"/>
  <c r="BG1216" i="1" s="1" a="1"/>
  <c r="BG1216" i="1" s="1"/>
  <c r="AZ1216" i="1"/>
  <c r="M1216" i="1"/>
  <c r="ER1220" i="1"/>
  <c r="EQ1220" i="1"/>
  <c r="DZ1220" i="1"/>
  <c r="DY1220" i="1"/>
  <c r="DS1220" i="1"/>
  <c r="DR1220" i="1"/>
  <c r="DQ1220" i="1"/>
  <c r="DP1220" i="1"/>
  <c r="DN1220" i="1"/>
  <c r="DO1220" i="1" s="1"/>
  <c r="DH1220" i="1"/>
  <c r="DC1220" i="1"/>
  <c r="CP1220" i="1"/>
  <c r="CQ1220" i="1" s="1"/>
  <c r="BX1220" i="1"/>
  <c r="BZ1220" i="1" s="1"/>
  <c r="BW1220" i="1"/>
  <c r="BQ1220" i="1"/>
  <c r="BP1220" i="1"/>
  <c r="BF1220" i="1"/>
  <c r="BE1220" i="1"/>
  <c r="BD1220" i="1"/>
  <c r="BC1220" i="1"/>
  <c r="BB1220" i="1"/>
  <c r="BA1220" i="1"/>
  <c r="BG1220" i="1" s="1" a="1"/>
  <c r="BG1220" i="1" s="1"/>
  <c r="AZ1220" i="1"/>
  <c r="M1220" i="1"/>
  <c r="ER1217" i="1"/>
  <c r="EQ1217" i="1"/>
  <c r="DZ1217" i="1"/>
  <c r="DY1217" i="1"/>
  <c r="DS1217" i="1"/>
  <c r="DR1217" i="1"/>
  <c r="DQ1217" i="1"/>
  <c r="DP1217" i="1"/>
  <c r="DN1217" i="1"/>
  <c r="DO1217" i="1" s="1"/>
  <c r="DH1217" i="1"/>
  <c r="DC1217" i="1"/>
  <c r="CP1217" i="1"/>
  <c r="CR1217" i="1" s="1"/>
  <c r="BX1217" i="1"/>
  <c r="BZ1217" i="1" s="1"/>
  <c r="BW1217" i="1"/>
  <c r="BQ1217" i="1"/>
  <c r="BP1217" i="1"/>
  <c r="BF1217" i="1"/>
  <c r="BE1217" i="1"/>
  <c r="BD1217" i="1"/>
  <c r="BC1217" i="1"/>
  <c r="BB1217" i="1"/>
  <c r="BA1217" i="1"/>
  <c r="BG1217" i="1" s="1" a="1"/>
  <c r="BG1217" i="1" s="1"/>
  <c r="AZ1217" i="1"/>
  <c r="M1217" i="1"/>
  <c r="ER1215" i="1"/>
  <c r="EQ1215" i="1"/>
  <c r="DZ1215" i="1"/>
  <c r="DY1215" i="1"/>
  <c r="DS1215" i="1"/>
  <c r="DR1215" i="1"/>
  <c r="DQ1215" i="1"/>
  <c r="DP1215" i="1"/>
  <c r="DN1215" i="1"/>
  <c r="DO1215" i="1" s="1"/>
  <c r="DH1215" i="1"/>
  <c r="DC1215" i="1"/>
  <c r="CP1215" i="1"/>
  <c r="CU1215" i="1" s="1"/>
  <c r="BX1215" i="1"/>
  <c r="BZ1215" i="1" s="1"/>
  <c r="BW1215" i="1"/>
  <c r="BQ1215" i="1"/>
  <c r="BP1215" i="1"/>
  <c r="BF1215" i="1"/>
  <c r="BE1215" i="1"/>
  <c r="BD1215" i="1"/>
  <c r="BC1215" i="1"/>
  <c r="BB1215" i="1"/>
  <c r="BA1215" i="1"/>
  <c r="BG1215" i="1" s="1" a="1"/>
  <c r="BG1215" i="1" s="1"/>
  <c r="AZ1215" i="1"/>
  <c r="M1215" i="1"/>
  <c r="ER966" i="1"/>
  <c r="EQ966" i="1"/>
  <c r="DZ966" i="1"/>
  <c r="DY966" i="1"/>
  <c r="DS966" i="1"/>
  <c r="DR966" i="1"/>
  <c r="DQ966" i="1"/>
  <c r="DP966" i="1"/>
  <c r="DN966" i="1"/>
  <c r="DO966" i="1" s="1"/>
  <c r="DH966" i="1"/>
  <c r="DC966" i="1"/>
  <c r="CP966" i="1"/>
  <c r="CU966" i="1" s="1"/>
  <c r="BX966" i="1"/>
  <c r="BZ966" i="1" s="1"/>
  <c r="BW966" i="1"/>
  <c r="BP966" i="1"/>
  <c r="BQ966" i="1" s="1"/>
  <c r="BF966" i="1"/>
  <c r="BE966" i="1"/>
  <c r="BD966" i="1"/>
  <c r="BC966" i="1"/>
  <c r="BB966" i="1"/>
  <c r="BA966" i="1"/>
  <c r="BG966" i="1" s="1" a="1"/>
  <c r="BG966" i="1" s="1"/>
  <c r="AZ966" i="1"/>
  <c r="M966" i="1"/>
  <c r="ER1214" i="1"/>
  <c r="EQ1214" i="1"/>
  <c r="DZ1214" i="1"/>
  <c r="DY1214" i="1"/>
  <c r="DS1214" i="1"/>
  <c r="DR1214" i="1"/>
  <c r="DQ1214" i="1"/>
  <c r="DP1214" i="1"/>
  <c r="DN1214" i="1"/>
  <c r="DO1214" i="1" s="1"/>
  <c r="DH1214" i="1"/>
  <c r="DC1214" i="1"/>
  <c r="CP1214" i="1"/>
  <c r="BZ1214" i="1"/>
  <c r="BW1214" i="1"/>
  <c r="BP1214" i="1"/>
  <c r="BQ1214" i="1" s="1"/>
  <c r="BO1214" i="1"/>
  <c r="BF1214" i="1"/>
  <c r="BE1214" i="1"/>
  <c r="BD1214" i="1"/>
  <c r="BC1214" i="1"/>
  <c r="BB1214" i="1"/>
  <c r="BA1214" i="1"/>
  <c r="BG1214" i="1" s="1" a="1"/>
  <c r="BG1214" i="1" s="1"/>
  <c r="AZ1214" i="1"/>
  <c r="M1214" i="1"/>
  <c r="ER1213" i="1"/>
  <c r="EQ1213" i="1"/>
  <c r="DZ1213" i="1"/>
  <c r="DY1213" i="1"/>
  <c r="DS1213" i="1"/>
  <c r="DR1213" i="1"/>
  <c r="DQ1213" i="1"/>
  <c r="DP1213" i="1"/>
  <c r="DN1213" i="1"/>
  <c r="DO1213" i="1" s="1"/>
  <c r="DH1213" i="1"/>
  <c r="DC1213" i="1"/>
  <c r="CP1213" i="1"/>
  <c r="BZ1213" i="1"/>
  <c r="BW1213" i="1"/>
  <c r="BP1213" i="1"/>
  <c r="BQ1213" i="1" s="1"/>
  <c r="BO1213" i="1"/>
  <c r="BF1213" i="1"/>
  <c r="BE1213" i="1"/>
  <c r="BD1213" i="1"/>
  <c r="BC1213" i="1"/>
  <c r="BB1213" i="1"/>
  <c r="BA1213" i="1"/>
  <c r="BG1213" i="1" s="1" a="1"/>
  <c r="BG1213" i="1" s="1"/>
  <c r="AZ1213" i="1"/>
  <c r="M1213" i="1"/>
  <c r="ER1212" i="1"/>
  <c r="EQ1212" i="1"/>
  <c r="DZ1212" i="1"/>
  <c r="DY1212" i="1"/>
  <c r="DS1212" i="1"/>
  <c r="DR1212" i="1"/>
  <c r="DQ1212" i="1"/>
  <c r="DP1212" i="1"/>
  <c r="DN1212" i="1"/>
  <c r="DO1212" i="1" s="1"/>
  <c r="DH1212" i="1"/>
  <c r="DC1212" i="1"/>
  <c r="CP1212" i="1"/>
  <c r="CU1212" i="1" s="1"/>
  <c r="BZ1212" i="1"/>
  <c r="BP1212" i="1"/>
  <c r="BQ1212" i="1" s="1"/>
  <c r="BO1212" i="1"/>
  <c r="BF1212" i="1"/>
  <c r="BE1212" i="1"/>
  <c r="BD1212" i="1"/>
  <c r="BC1212" i="1"/>
  <c r="BB1212" i="1"/>
  <c r="BA1212" i="1"/>
  <c r="BG1212" i="1" s="1" a="1"/>
  <c r="BG1212" i="1" s="1"/>
  <c r="AZ1212" i="1"/>
  <c r="M1212" i="1"/>
  <c r="ER1211" i="1"/>
  <c r="EQ1211" i="1"/>
  <c r="DZ1211" i="1"/>
  <c r="DY1211" i="1"/>
  <c r="DS1211" i="1"/>
  <c r="DR1211" i="1"/>
  <c r="DQ1211" i="1"/>
  <c r="DP1211" i="1"/>
  <c r="DN1211" i="1"/>
  <c r="DO1211" i="1" s="1"/>
  <c r="DH1211" i="1"/>
  <c r="DC1211" i="1"/>
  <c r="CP1211" i="1"/>
  <c r="BZ1211" i="1"/>
  <c r="BP1211" i="1"/>
  <c r="BQ1211" i="1" s="1"/>
  <c r="BO1211" i="1"/>
  <c r="BF1211" i="1"/>
  <c r="BE1211" i="1"/>
  <c r="BD1211" i="1"/>
  <c r="BC1211" i="1"/>
  <c r="BB1211" i="1"/>
  <c r="BA1211" i="1"/>
  <c r="BG1211" i="1" s="1" a="1"/>
  <c r="BG1211" i="1" s="1"/>
  <c r="AZ1211" i="1"/>
  <c r="M1211" i="1"/>
  <c r="ER1206" i="1"/>
  <c r="EQ1206" i="1"/>
  <c r="DZ1206" i="1"/>
  <c r="DY1206" i="1"/>
  <c r="DS1206" i="1"/>
  <c r="DR1206" i="1"/>
  <c r="DQ1206" i="1"/>
  <c r="DP1206" i="1"/>
  <c r="DN1206" i="1"/>
  <c r="DO1206" i="1" s="1"/>
  <c r="DH1206" i="1"/>
  <c r="DC1206" i="1"/>
  <c r="CP1206" i="1"/>
  <c r="CR1206" i="1" s="1"/>
  <c r="BZ1206" i="1"/>
  <c r="BW1206" i="1"/>
  <c r="BP1206" i="1"/>
  <c r="BQ1206" i="1" s="1"/>
  <c r="BO1206" i="1"/>
  <c r="BF1206" i="1"/>
  <c r="BE1206" i="1"/>
  <c r="BD1206" i="1"/>
  <c r="BC1206" i="1"/>
  <c r="BB1206" i="1"/>
  <c r="BA1206" i="1"/>
  <c r="BG1206" i="1" s="1" a="1"/>
  <c r="BG1206" i="1" s="1"/>
  <c r="AZ1206" i="1"/>
  <c r="M1206" i="1"/>
  <c r="ER1205" i="1"/>
  <c r="EQ1205" i="1"/>
  <c r="DZ1205" i="1"/>
  <c r="DY1205" i="1"/>
  <c r="DS1205" i="1"/>
  <c r="DR1205" i="1"/>
  <c r="DQ1205" i="1"/>
  <c r="DP1205" i="1"/>
  <c r="DN1205" i="1"/>
  <c r="DO1205" i="1" s="1"/>
  <c r="DH1205" i="1"/>
  <c r="DC1205" i="1"/>
  <c r="CP1205" i="1"/>
  <c r="CU1205" i="1" s="1"/>
  <c r="BZ1205" i="1"/>
  <c r="BW1205" i="1"/>
  <c r="BP1205" i="1"/>
  <c r="BQ1205" i="1" s="1"/>
  <c r="BO1205" i="1"/>
  <c r="BF1205" i="1"/>
  <c r="BE1205" i="1"/>
  <c r="BD1205" i="1"/>
  <c r="BC1205" i="1"/>
  <c r="BB1205" i="1"/>
  <c r="BA1205" i="1"/>
  <c r="BG1205" i="1" s="1" a="1"/>
  <c r="BG1205" i="1" s="1"/>
  <c r="AZ1205" i="1"/>
  <c r="M1205" i="1"/>
  <c r="ER1204" i="1"/>
  <c r="EQ1204" i="1"/>
  <c r="DZ1204" i="1"/>
  <c r="DY1204" i="1"/>
  <c r="DS1204" i="1"/>
  <c r="DR1204" i="1"/>
  <c r="DQ1204" i="1"/>
  <c r="DP1204" i="1"/>
  <c r="DN1204" i="1"/>
  <c r="DO1204" i="1" s="1"/>
  <c r="DH1204" i="1"/>
  <c r="DC1204" i="1"/>
  <c r="CP1204" i="1"/>
  <c r="CQ1204" i="1" s="1"/>
  <c r="BZ1204" i="1"/>
  <c r="BW1204" i="1"/>
  <c r="BP1204" i="1"/>
  <c r="BQ1204" i="1" s="1"/>
  <c r="BO1204" i="1"/>
  <c r="BF1204" i="1"/>
  <c r="BE1204" i="1"/>
  <c r="BD1204" i="1"/>
  <c r="BC1204" i="1"/>
  <c r="BB1204" i="1"/>
  <c r="BA1204" i="1"/>
  <c r="BG1204" i="1" s="1" a="1"/>
  <c r="BG1204" i="1" s="1"/>
  <c r="AZ1204" i="1"/>
  <c r="M1204" i="1"/>
  <c r="ER1203" i="1"/>
  <c r="EQ1203" i="1"/>
  <c r="DZ1203" i="1"/>
  <c r="DY1203" i="1"/>
  <c r="DS1203" i="1"/>
  <c r="DR1203" i="1"/>
  <c r="DQ1203" i="1"/>
  <c r="DP1203" i="1"/>
  <c r="DN1203" i="1"/>
  <c r="DO1203" i="1" s="1"/>
  <c r="DH1203" i="1"/>
  <c r="DC1203" i="1"/>
  <c r="CP1203" i="1"/>
  <c r="CR1203" i="1" s="1"/>
  <c r="BZ1203" i="1"/>
  <c r="BW1203" i="1"/>
  <c r="BP1203" i="1"/>
  <c r="BQ1203" i="1" s="1"/>
  <c r="BO1203" i="1"/>
  <c r="BF1203" i="1"/>
  <c r="BE1203" i="1"/>
  <c r="BD1203" i="1"/>
  <c r="BC1203" i="1"/>
  <c r="BB1203" i="1"/>
  <c r="BA1203" i="1"/>
  <c r="BG1203" i="1" s="1" a="1"/>
  <c r="BG1203" i="1" s="1"/>
  <c r="AZ1203" i="1"/>
  <c r="M1203" i="1"/>
  <c r="ER1210" i="1"/>
  <c r="EQ1210" i="1"/>
  <c r="DZ1210" i="1"/>
  <c r="DY1210" i="1"/>
  <c r="DS1210" i="1"/>
  <c r="DR1210" i="1"/>
  <c r="DQ1210" i="1"/>
  <c r="DP1210" i="1"/>
  <c r="DN1210" i="1"/>
  <c r="DO1210" i="1" s="1"/>
  <c r="DH1210" i="1"/>
  <c r="DC1210" i="1"/>
  <c r="CP1210" i="1"/>
  <c r="CV1210" i="1" s="1"/>
  <c r="BZ1210" i="1"/>
  <c r="BW1210" i="1"/>
  <c r="BP1210" i="1"/>
  <c r="BQ1210" i="1" s="1"/>
  <c r="BO1210" i="1"/>
  <c r="BF1210" i="1"/>
  <c r="BE1210" i="1"/>
  <c r="BD1210" i="1"/>
  <c r="BC1210" i="1"/>
  <c r="BB1210" i="1"/>
  <c r="BA1210" i="1"/>
  <c r="BG1210" i="1" s="1" a="1"/>
  <c r="BG1210" i="1" s="1"/>
  <c r="AZ1210" i="1"/>
  <c r="M1210" i="1"/>
  <c r="ER1209" i="1"/>
  <c r="EQ1209" i="1"/>
  <c r="DZ1209" i="1"/>
  <c r="DY1209" i="1"/>
  <c r="DS1209" i="1"/>
  <c r="DR1209" i="1"/>
  <c r="DQ1209" i="1"/>
  <c r="DP1209" i="1"/>
  <c r="DN1209" i="1"/>
  <c r="DO1209" i="1" s="1"/>
  <c r="DH1209" i="1"/>
  <c r="DC1209" i="1"/>
  <c r="CP1209" i="1"/>
  <c r="CU1209" i="1" s="1"/>
  <c r="BZ1209" i="1"/>
  <c r="BP1209" i="1"/>
  <c r="BQ1209" i="1" s="1"/>
  <c r="BO1209" i="1"/>
  <c r="BF1209" i="1"/>
  <c r="BE1209" i="1"/>
  <c r="BD1209" i="1"/>
  <c r="BC1209" i="1"/>
  <c r="BB1209" i="1"/>
  <c r="BA1209" i="1"/>
  <c r="BG1209" i="1" s="1" a="1"/>
  <c r="BG1209" i="1" s="1"/>
  <c r="AZ1209" i="1"/>
  <c r="M1209" i="1"/>
  <c r="ER1208" i="1"/>
  <c r="EQ1208" i="1"/>
  <c r="DZ1208" i="1"/>
  <c r="DY1208" i="1"/>
  <c r="DS1208" i="1"/>
  <c r="DR1208" i="1"/>
  <c r="DQ1208" i="1"/>
  <c r="DP1208" i="1"/>
  <c r="DN1208" i="1"/>
  <c r="DO1208" i="1" s="1"/>
  <c r="DH1208" i="1"/>
  <c r="DC1208" i="1"/>
  <c r="CP1208" i="1"/>
  <c r="CU1208" i="1" s="1"/>
  <c r="BZ1208" i="1"/>
  <c r="BW1208" i="1"/>
  <c r="BP1208" i="1"/>
  <c r="BQ1208" i="1" s="1"/>
  <c r="BO1208" i="1"/>
  <c r="BF1208" i="1"/>
  <c r="BE1208" i="1"/>
  <c r="BD1208" i="1"/>
  <c r="BC1208" i="1"/>
  <c r="BB1208" i="1"/>
  <c r="BA1208" i="1"/>
  <c r="BG1208" i="1" s="1" a="1"/>
  <c r="BG1208" i="1" s="1"/>
  <c r="AZ1208" i="1"/>
  <c r="M1208" i="1"/>
  <c r="ER1207" i="1"/>
  <c r="EQ1207" i="1"/>
  <c r="DZ1207" i="1"/>
  <c r="DY1207" i="1"/>
  <c r="DS1207" i="1"/>
  <c r="DR1207" i="1"/>
  <c r="DQ1207" i="1"/>
  <c r="DP1207" i="1"/>
  <c r="DN1207" i="1"/>
  <c r="DO1207" i="1" s="1"/>
  <c r="DH1207" i="1"/>
  <c r="DC1207" i="1"/>
  <c r="CP1207" i="1"/>
  <c r="CV1207" i="1" s="1"/>
  <c r="BZ1207" i="1"/>
  <c r="BP1207" i="1"/>
  <c r="BQ1207" i="1" s="1"/>
  <c r="BO1207" i="1"/>
  <c r="BF1207" i="1"/>
  <c r="BE1207" i="1"/>
  <c r="BD1207" i="1"/>
  <c r="BC1207" i="1"/>
  <c r="BB1207" i="1"/>
  <c r="BA1207" i="1"/>
  <c r="BG1207" i="1" s="1" a="1"/>
  <c r="BG1207" i="1" s="1"/>
  <c r="AZ1207" i="1"/>
  <c r="M1207" i="1"/>
  <c r="ER1202" i="1"/>
  <c r="EQ1202" i="1"/>
  <c r="DZ1202" i="1"/>
  <c r="DY1202" i="1"/>
  <c r="DS1202" i="1"/>
  <c r="DR1202" i="1"/>
  <c r="DQ1202" i="1"/>
  <c r="DP1202" i="1"/>
  <c r="DN1202" i="1"/>
  <c r="DO1202" i="1" s="1"/>
  <c r="DH1202" i="1"/>
  <c r="DC1202" i="1"/>
  <c r="CP1202" i="1"/>
  <c r="CV1202" i="1" s="1"/>
  <c r="BZ1202" i="1"/>
  <c r="BW1202" i="1"/>
  <c r="BP1202" i="1"/>
  <c r="BQ1202" i="1" s="1"/>
  <c r="BO1202" i="1"/>
  <c r="BF1202" i="1"/>
  <c r="BE1202" i="1"/>
  <c r="BD1202" i="1"/>
  <c r="BC1202" i="1"/>
  <c r="BB1202" i="1"/>
  <c r="BA1202" i="1"/>
  <c r="BG1202" i="1" s="1" a="1"/>
  <c r="BG1202" i="1" s="1"/>
  <c r="AZ1202" i="1"/>
  <c r="M1202" i="1"/>
  <c r="ER1201" i="1"/>
  <c r="EQ1201" i="1"/>
  <c r="DZ1201" i="1"/>
  <c r="DY1201" i="1"/>
  <c r="DS1201" i="1"/>
  <c r="DR1201" i="1"/>
  <c r="DQ1201" i="1"/>
  <c r="DP1201" i="1"/>
  <c r="DN1201" i="1"/>
  <c r="DO1201" i="1" s="1"/>
  <c r="DH1201" i="1"/>
  <c r="DC1201" i="1"/>
  <c r="CP1201" i="1"/>
  <c r="BZ1201" i="1"/>
  <c r="BW1201" i="1"/>
  <c r="BP1201" i="1"/>
  <c r="BQ1201" i="1" s="1"/>
  <c r="BO1201" i="1"/>
  <c r="BF1201" i="1"/>
  <c r="BE1201" i="1"/>
  <c r="BD1201" i="1"/>
  <c r="BC1201" i="1"/>
  <c r="BB1201" i="1"/>
  <c r="BA1201" i="1"/>
  <c r="BG1201" i="1" s="1" a="1"/>
  <c r="BG1201" i="1" s="1"/>
  <c r="AZ1201" i="1"/>
  <c r="M1201" i="1"/>
  <c r="ER1200" i="1"/>
  <c r="EQ1200" i="1"/>
  <c r="DZ1200" i="1"/>
  <c r="DY1200" i="1"/>
  <c r="DS1200" i="1"/>
  <c r="DR1200" i="1"/>
  <c r="DQ1200" i="1"/>
  <c r="DP1200" i="1"/>
  <c r="DN1200" i="1"/>
  <c r="DO1200" i="1" s="1"/>
  <c r="DH1200" i="1"/>
  <c r="DC1200" i="1"/>
  <c r="CP1200" i="1"/>
  <c r="CQ1200" i="1" s="1"/>
  <c r="BZ1200" i="1"/>
  <c r="BW1200" i="1"/>
  <c r="BP1200" i="1"/>
  <c r="BQ1200" i="1" s="1"/>
  <c r="BO1200" i="1"/>
  <c r="BF1200" i="1"/>
  <c r="BE1200" i="1"/>
  <c r="BD1200" i="1"/>
  <c r="BC1200" i="1"/>
  <c r="BB1200" i="1"/>
  <c r="BA1200" i="1"/>
  <c r="BG1200" i="1" s="1" a="1"/>
  <c r="BG1200" i="1" s="1"/>
  <c r="AZ1200" i="1"/>
  <c r="M1200" i="1"/>
  <c r="ER1199" i="1"/>
  <c r="EQ1199" i="1"/>
  <c r="DZ1199" i="1"/>
  <c r="DY1199" i="1"/>
  <c r="DS1199" i="1"/>
  <c r="DR1199" i="1"/>
  <c r="DQ1199" i="1"/>
  <c r="DP1199" i="1"/>
  <c r="DN1199" i="1"/>
  <c r="DO1199" i="1" s="1"/>
  <c r="DH1199" i="1"/>
  <c r="DC1199" i="1"/>
  <c r="CP1199" i="1"/>
  <c r="CR1199" i="1" s="1"/>
  <c r="BZ1199" i="1"/>
  <c r="BW1199" i="1"/>
  <c r="BP1199" i="1"/>
  <c r="BQ1199" i="1" s="1"/>
  <c r="BO1199" i="1"/>
  <c r="BF1199" i="1"/>
  <c r="BE1199" i="1"/>
  <c r="BD1199" i="1"/>
  <c r="BC1199" i="1"/>
  <c r="BB1199" i="1"/>
  <c r="BA1199" i="1"/>
  <c r="BG1199" i="1" s="1" a="1"/>
  <c r="BG1199" i="1" s="1"/>
  <c r="AZ1199" i="1"/>
  <c r="M1199" i="1"/>
  <c r="FA777" i="1" l="1"/>
  <c r="FA780" i="1"/>
  <c r="FA818" i="1"/>
  <c r="FA784" i="1"/>
  <c r="FA787" i="1"/>
  <c r="FA791" i="1"/>
  <c r="FA832" i="1"/>
  <c r="FA837" i="1"/>
  <c r="FA803" i="1"/>
  <c r="FA850" i="1"/>
  <c r="FA806" i="1"/>
  <c r="FA811" i="1"/>
  <c r="FA819" i="1"/>
  <c r="FA823" i="1"/>
  <c r="FA828" i="1"/>
  <c r="FA792" i="1"/>
  <c r="FA799" i="1"/>
  <c r="FA838" i="1"/>
  <c r="FA844" i="1"/>
  <c r="FA851" i="1"/>
  <c r="BW1494" i="1"/>
  <c r="BQ1603" i="1"/>
  <c r="BH595" i="1" a="1"/>
  <c r="BH595" i="1" s="1"/>
  <c r="CU641" i="1"/>
  <c r="BX663" i="1"/>
  <c r="BZ663" i="1" s="1"/>
  <c r="CW663" i="1" s="1"/>
  <c r="BW662" i="1"/>
  <c r="CS645" i="1"/>
  <c r="CT645" i="1" s="1"/>
  <c r="CV1588" i="1"/>
  <c r="CU645" i="1"/>
  <c r="BH1202" i="1" a="1"/>
  <c r="BH1202" i="1" s="1"/>
  <c r="CW1207" i="1"/>
  <c r="BW659" i="1"/>
  <c r="BH1224" i="1" a="1"/>
  <c r="BH1224" i="1" s="1"/>
  <c r="BH1327" i="1" a="1"/>
  <c r="BH1327" i="1" s="1"/>
  <c r="BG1327" i="1" s="1" a="1"/>
  <c r="BG1327" i="1" s="1"/>
  <c r="CW1394" i="1"/>
  <c r="CS673" i="1"/>
  <c r="CT673" i="1" s="1"/>
  <c r="CV667" i="1"/>
  <c r="DA667" i="1" s="1"/>
  <c r="CW1325" i="1"/>
  <c r="CS684" i="1"/>
  <c r="CT684" i="1" s="1"/>
  <c r="BH666" i="1" a="1"/>
  <c r="BH666" i="1" s="1"/>
  <c r="CU1261" i="1"/>
  <c r="CR878" i="1"/>
  <c r="BP1608" i="1"/>
  <c r="BQ1608" i="1" s="1"/>
  <c r="CA1608" i="1" s="1"/>
  <c r="BX591" i="1"/>
  <c r="BZ591" i="1" s="1"/>
  <c r="CW591" i="1" s="1"/>
  <c r="CQ1394" i="1"/>
  <c r="CV588" i="1"/>
  <c r="CV583" i="1"/>
  <c r="BO1607" i="1"/>
  <c r="CA1331" i="1"/>
  <c r="BP980" i="1"/>
  <c r="BQ980" i="1" s="1"/>
  <c r="CA980" i="1" s="1"/>
  <c r="CA1224" i="1"/>
  <c r="BX1576" i="1"/>
  <c r="BZ1576" i="1" s="1"/>
  <c r="CA1576" i="1" s="1"/>
  <c r="BW717" i="1"/>
  <c r="CQ614" i="1"/>
  <c r="CS1332" i="1"/>
  <c r="CT1332" i="1" s="1"/>
  <c r="CU679" i="1"/>
  <c r="CU673" i="1"/>
  <c r="BP1589" i="1"/>
  <c r="BW664" i="1"/>
  <c r="BX1601" i="1"/>
  <c r="BZ1601" i="1" s="1"/>
  <c r="BX1604" i="1"/>
  <c r="BZ1604" i="1" s="1"/>
  <c r="CS754" i="1"/>
  <c r="CT754" i="1" s="1"/>
  <c r="CA1326" i="1"/>
  <c r="CA1322" i="1"/>
  <c r="CS1320" i="1"/>
  <c r="CT1320" i="1" s="1"/>
  <c r="CA694" i="1"/>
  <c r="BH980" i="1" a="1"/>
  <c r="BH980" i="1" s="1"/>
  <c r="CP980" i="1"/>
  <c r="CQ980" i="1" s="1"/>
  <c r="BW979" i="1"/>
  <c r="CQ612" i="1"/>
  <c r="CR1219" i="1"/>
  <c r="BO1594" i="1"/>
  <c r="CV1581" i="1"/>
  <c r="DA1581" i="1" s="1"/>
  <c r="CS1219" i="1"/>
  <c r="CT1219" i="1" s="1"/>
  <c r="CA611" i="1"/>
  <c r="CV1329" i="1"/>
  <c r="CW677" i="1"/>
  <c r="CS1324" i="1"/>
  <c r="CT1324" i="1" s="1"/>
  <c r="CS1394" i="1"/>
  <c r="CT1394" i="1" s="1"/>
  <c r="CA869" i="1"/>
  <c r="BQ1590" i="1"/>
  <c r="BX661" i="1"/>
  <c r="BZ661" i="1" s="1"/>
  <c r="CA661" i="1" s="1"/>
  <c r="CS650" i="1"/>
  <c r="CT650" i="1" s="1"/>
  <c r="BH1107" i="1" a="1"/>
  <c r="BH1107" i="1" s="1"/>
  <c r="BH1275" i="1" a="1"/>
  <c r="BH1275" i="1" s="1"/>
  <c r="CS870" i="1"/>
  <c r="CT870" i="1" s="1"/>
  <c r="BH647" i="1" a="1"/>
  <c r="BH647" i="1" s="1"/>
  <c r="BG647" i="1" s="1" a="1"/>
  <c r="BG647" i="1" s="1"/>
  <c r="BH606" i="1" a="1"/>
  <c r="BH606" i="1" s="1"/>
  <c r="BX1594" i="1"/>
  <c r="BZ1594" i="1" s="1"/>
  <c r="BX1593" i="1"/>
  <c r="BZ1593" i="1" s="1"/>
  <c r="BW647" i="1"/>
  <c r="BH981" i="1" a="1"/>
  <c r="BH981" i="1" s="1"/>
  <c r="BH585" i="1" a="1"/>
  <c r="BH585" i="1" s="1"/>
  <c r="BH883" i="1" a="1"/>
  <c r="BH883" i="1" s="1"/>
  <c r="BX1603" i="1"/>
  <c r="BZ1603" i="1" s="1"/>
  <c r="BH1608" i="1" a="1"/>
  <c r="BH1608" i="1" s="1"/>
  <c r="CU1331" i="1"/>
  <c r="DA1331" i="1" s="1"/>
  <c r="CA1327" i="1"/>
  <c r="CV1320" i="1"/>
  <c r="DA1320" i="1" s="1"/>
  <c r="CA675" i="1"/>
  <c r="CV650" i="1"/>
  <c r="DA650" i="1" s="1"/>
  <c r="CQ883" i="1"/>
  <c r="BH879" i="1" a="1"/>
  <c r="BH879" i="1" s="1"/>
  <c r="CR870" i="1"/>
  <c r="CS893" i="1"/>
  <c r="CT893" i="1" s="1"/>
  <c r="CU1203" i="1"/>
  <c r="CV1215" i="1"/>
  <c r="DA1215" i="1" s="1"/>
  <c r="CA629" i="1"/>
  <c r="CA1221" i="1"/>
  <c r="CV1577" i="1"/>
  <c r="BH1577" i="1" a="1"/>
  <c r="BH1577" i="1" s="1"/>
  <c r="BH1582" i="1" a="1"/>
  <c r="BH1582" i="1" s="1"/>
  <c r="BP706" i="1"/>
  <c r="BQ706" i="1" s="1"/>
  <c r="CA706" i="1" s="1"/>
  <c r="BP702" i="1"/>
  <c r="BQ702" i="1" s="1"/>
  <c r="CA702" i="1" s="1"/>
  <c r="CA1306" i="1"/>
  <c r="CW1329" i="1"/>
  <c r="CS1317" i="1"/>
  <c r="CT1317" i="1" s="1"/>
  <c r="BH669" i="1" a="1"/>
  <c r="BH669" i="1" s="1"/>
  <c r="BH1343" i="1" a="1"/>
  <c r="BH1343" i="1" s="1"/>
  <c r="CA1403" i="1"/>
  <c r="CA643" i="1"/>
  <c r="CQ645" i="1"/>
  <c r="BX658" i="1"/>
  <c r="BZ658" i="1" s="1"/>
  <c r="CA658" i="1" s="1"/>
  <c r="CU883" i="1"/>
  <c r="DA883" i="1" s="1"/>
  <c r="BH884" i="1" a="1"/>
  <c r="BH884" i="1" s="1"/>
  <c r="CU870" i="1"/>
  <c r="BO1601" i="1"/>
  <c r="CP1604" i="1"/>
  <c r="CV1604" i="1" s="1"/>
  <c r="BH616" i="1" a="1"/>
  <c r="BH616" i="1" s="1"/>
  <c r="CW1201" i="1"/>
  <c r="CR1216" i="1"/>
  <c r="CQ1219" i="1"/>
  <c r="CV1494" i="1"/>
  <c r="CS1308" i="1"/>
  <c r="CT1308" i="1" s="1"/>
  <c r="CW1303" i="1"/>
  <c r="CQ1329" i="1"/>
  <c r="CU643" i="1"/>
  <c r="BH664" i="1" a="1"/>
  <c r="BH664" i="1" s="1"/>
  <c r="BH1208" i="1" a="1"/>
  <c r="BH1208" i="1" s="1"/>
  <c r="BH1210" i="1" a="1"/>
  <c r="BH1210" i="1" s="1"/>
  <c r="CW1210" i="1"/>
  <c r="CS1203" i="1"/>
  <c r="CT1203" i="1" s="1"/>
  <c r="CV1205" i="1"/>
  <c r="DA1205" i="1" s="1"/>
  <c r="BH1206" i="1" a="1"/>
  <c r="BH1206" i="1" s="1"/>
  <c r="CA1211" i="1"/>
  <c r="CA1212" i="1"/>
  <c r="BX1494" i="1"/>
  <c r="BZ1494" i="1" s="1"/>
  <c r="CW1494" i="1" s="1"/>
  <c r="BH1316" i="1" a="1"/>
  <c r="BH1316" i="1" s="1"/>
  <c r="BG1316" i="1" s="1" a="1"/>
  <c r="BG1316" i="1" s="1"/>
  <c r="CA670" i="1"/>
  <c r="CS643" i="1"/>
  <c r="CT643" i="1" s="1"/>
  <c r="BH650" i="1" a="1"/>
  <c r="BH650" i="1" s="1"/>
  <c r="BG650" i="1" s="1" a="1"/>
  <c r="BG650" i="1" s="1"/>
  <c r="CU648" i="1"/>
  <c r="BH588" i="1" a="1"/>
  <c r="BH588" i="1" s="1"/>
  <c r="CS590" i="1"/>
  <c r="CT590" i="1" s="1"/>
  <c r="BH1211" i="1" a="1"/>
  <c r="BH1211" i="1" s="1"/>
  <c r="BH1212" i="1" a="1"/>
  <c r="BH1212" i="1" s="1"/>
  <c r="BH1213" i="1" a="1"/>
  <c r="BH1213" i="1" s="1"/>
  <c r="BH1222" i="1" a="1"/>
  <c r="BH1222" i="1" s="1"/>
  <c r="BH1433" i="1" a="1"/>
  <c r="BH1433" i="1" s="1"/>
  <c r="CU1282" i="1"/>
  <c r="CP702" i="1"/>
  <c r="CQ702" i="1" s="1"/>
  <c r="CA1396" i="1"/>
  <c r="CS1300" i="1"/>
  <c r="CT1300" i="1" s="1"/>
  <c r="BH680" i="1" a="1"/>
  <c r="BH680" i="1" s="1"/>
  <c r="BG680" i="1" s="1" a="1"/>
  <c r="BG680" i="1" s="1"/>
  <c r="BH684" i="1" a="1"/>
  <c r="BH684" i="1" s="1"/>
  <c r="BG684" i="1" s="1" a="1"/>
  <c r="BG684" i="1" s="1"/>
  <c r="CP1591" i="1"/>
  <c r="CV1591" i="1" s="1"/>
  <c r="BH651" i="1" a="1"/>
  <c r="BH651" i="1" s="1"/>
  <c r="BG651" i="1" s="1" a="1"/>
  <c r="BG651" i="1" s="1"/>
  <c r="CS652" i="1"/>
  <c r="CT652" i="1" s="1"/>
  <c r="BH648" i="1" a="1"/>
  <c r="BH648" i="1" s="1"/>
  <c r="BG648" i="1" s="1" a="1"/>
  <c r="BG648" i="1" s="1"/>
  <c r="BH584" i="1" a="1"/>
  <c r="BH584" i="1" s="1"/>
  <c r="BH586" i="1" a="1"/>
  <c r="BH586" i="1" s="1"/>
  <c r="BH1400" i="1" a="1"/>
  <c r="BH1400" i="1" s="1"/>
  <c r="CS1403" i="1"/>
  <c r="CT1403" i="1" s="1"/>
  <c r="BH643" i="1" a="1"/>
  <c r="BH643" i="1" s="1"/>
  <c r="BG643" i="1" s="1" a="1"/>
  <c r="BG643" i="1" s="1"/>
  <c r="BH655" i="1" a="1"/>
  <c r="BH655" i="1" s="1"/>
  <c r="BH663" i="1" a="1"/>
  <c r="BH663" i="1" s="1"/>
  <c r="CS587" i="1"/>
  <c r="CT587" i="1" s="1"/>
  <c r="BH594" i="1" a="1"/>
  <c r="BH594" i="1" s="1"/>
  <c r="CS865" i="1"/>
  <c r="CT865" i="1" s="1"/>
  <c r="CA895" i="1"/>
  <c r="BH1606" i="1" a="1"/>
  <c r="BH1606" i="1" s="1"/>
  <c r="BH966" i="1" a="1"/>
  <c r="BH966" i="1" s="1"/>
  <c r="CR1576" i="1"/>
  <c r="BH706" i="1" a="1"/>
  <c r="BH706" i="1" s="1"/>
  <c r="CP1399" i="1"/>
  <c r="CR1399" i="1" s="1"/>
  <c r="BH1397" i="1" a="1"/>
  <c r="BH1397" i="1" s="1"/>
  <c r="CS756" i="1"/>
  <c r="CT756" i="1" s="1"/>
  <c r="BH1307" i="1" a="1"/>
  <c r="BH1307" i="1" s="1"/>
  <c r="CV614" i="1"/>
  <c r="CS1299" i="1"/>
  <c r="CT1299" i="1" s="1"/>
  <c r="BH1326" i="1" a="1"/>
  <c r="BH1326" i="1" s="1"/>
  <c r="BG1326" i="1" s="1" a="1"/>
  <c r="BG1326" i="1" s="1"/>
  <c r="CA681" i="1"/>
  <c r="CS1321" i="1"/>
  <c r="CT1321" i="1" s="1"/>
  <c r="CV1314" i="1"/>
  <c r="DA1314" i="1" s="1"/>
  <c r="BH694" i="1" a="1"/>
  <c r="BH694" i="1" s="1"/>
  <c r="BG694" i="1" s="1" a="1"/>
  <c r="BG694" i="1" s="1"/>
  <c r="BH1269" i="1" a="1"/>
  <c r="BH1269" i="1" s="1"/>
  <c r="CW1289" i="1"/>
  <c r="BH1394" i="1" a="1"/>
  <c r="BH1394" i="1" s="1"/>
  <c r="BH86" i="1" a="1"/>
  <c r="BH86" i="1" s="1"/>
  <c r="BG86" i="1" s="1" a="1"/>
  <c r="BG86" i="1" s="1"/>
  <c r="BX1591" i="1"/>
  <c r="BZ1591" i="1" s="1"/>
  <c r="CU642" i="1"/>
  <c r="BP979" i="1"/>
  <c r="BQ979" i="1" s="1"/>
  <c r="CA979" i="1" s="1"/>
  <c r="BH1200" i="1" a="1"/>
  <c r="BH1200" i="1" s="1"/>
  <c r="BH708" i="1" a="1"/>
  <c r="BH708" i="1" s="1"/>
  <c r="BH1325" i="1" a="1"/>
  <c r="BH1325" i="1" s="1"/>
  <c r="BG1325" i="1" s="1" a="1"/>
  <c r="BG1325" i="1" s="1"/>
  <c r="BH702" i="1" a="1"/>
  <c r="BH702" i="1" s="1"/>
  <c r="CV1203" i="1"/>
  <c r="CQ611" i="1"/>
  <c r="CU1300" i="1"/>
  <c r="CW606" i="1"/>
  <c r="CR1289" i="1"/>
  <c r="CS1343" i="1"/>
  <c r="CT1343" i="1" s="1"/>
  <c r="BH1388" i="1" a="1"/>
  <c r="BH1388" i="1" s="1"/>
  <c r="CA1392" i="1"/>
  <c r="BH1589" i="1" a="1"/>
  <c r="BH1589" i="1" s="1"/>
  <c r="BG1589" i="1" s="1" a="1"/>
  <c r="BG1589" i="1" s="1"/>
  <c r="BQ1589" i="1"/>
  <c r="CV643" i="1"/>
  <c r="BH653" i="1" a="1"/>
  <c r="BH653" i="1" s="1"/>
  <c r="CA653" i="1"/>
  <c r="BH1284" i="1" a="1"/>
  <c r="BH1284" i="1" s="1"/>
  <c r="BW980" i="1"/>
  <c r="BP982" i="1"/>
  <c r="BQ982" i="1" s="1"/>
  <c r="CA982" i="1" s="1"/>
  <c r="BW592" i="1"/>
  <c r="BH1605" i="1" a="1"/>
  <c r="BH1605" i="1" s="1"/>
  <c r="BH891" i="1" a="1"/>
  <c r="BH891" i="1" s="1"/>
  <c r="CA878" i="1"/>
  <c r="CS872" i="1"/>
  <c r="CT872" i="1" s="1"/>
  <c r="BH1201" i="1" a="1"/>
  <c r="BH1201" i="1" s="1"/>
  <c r="BH1218" i="1" a="1"/>
  <c r="BH1218" i="1" s="1"/>
  <c r="CW1581" i="1"/>
  <c r="CV756" i="1"/>
  <c r="CV1299" i="1"/>
  <c r="DA1299" i="1" s="1"/>
  <c r="BH1329" i="1" a="1"/>
  <c r="BH1329" i="1" s="1"/>
  <c r="BG1329" i="1" s="1" a="1"/>
  <c r="BG1329" i="1" s="1"/>
  <c r="BH679" i="1" a="1"/>
  <c r="BH679" i="1" s="1"/>
  <c r="BG679" i="1" s="1" a="1"/>
  <c r="BG679" i="1" s="1"/>
  <c r="CQ1317" i="1"/>
  <c r="CS1309" i="1"/>
  <c r="CT1309" i="1" s="1"/>
  <c r="CV669" i="1"/>
  <c r="CV673" i="1"/>
  <c r="BH1587" i="1" a="1"/>
  <c r="BH1587" i="1" s="1"/>
  <c r="BX1589" i="1"/>
  <c r="BZ1589" i="1" s="1"/>
  <c r="CS651" i="1"/>
  <c r="CT651" i="1" s="1"/>
  <c r="BX647" i="1"/>
  <c r="BZ647" i="1" s="1"/>
  <c r="CA647" i="1" s="1"/>
  <c r="BW657" i="1"/>
  <c r="CS648" i="1"/>
  <c r="CT648" i="1" s="1"/>
  <c r="CA864" i="1"/>
  <c r="BO712" i="1"/>
  <c r="BH898" i="1" a="1"/>
  <c r="BH898" i="1" s="1"/>
  <c r="BP1607" i="1"/>
  <c r="BQ1607" i="1" s="1"/>
  <c r="CA1607" i="1" s="1"/>
  <c r="CW1211" i="1"/>
  <c r="CR647" i="1"/>
  <c r="CQ647" i="1"/>
  <c r="CV1218" i="1"/>
  <c r="CU1218" i="1"/>
  <c r="CR1218" i="1"/>
  <c r="CS1218" i="1"/>
  <c r="CT1218" i="1" s="1"/>
  <c r="BH1576" i="1" a="1"/>
  <c r="BH1576" i="1" s="1"/>
  <c r="CR1307" i="1"/>
  <c r="CR1321" i="1"/>
  <c r="CV1321" i="1"/>
  <c r="CQ1321" i="1"/>
  <c r="CR665" i="1"/>
  <c r="CV665" i="1"/>
  <c r="CS665" i="1"/>
  <c r="CT665" i="1" s="1"/>
  <c r="CV1214" i="1"/>
  <c r="CW1214" i="1"/>
  <c r="BX1398" i="1"/>
  <c r="BZ1398" i="1" s="1"/>
  <c r="CW1398" i="1" s="1"/>
  <c r="BW1398" i="1"/>
  <c r="CA683" i="1"/>
  <c r="CR1204" i="1"/>
  <c r="BH1214" i="1" a="1"/>
  <c r="BH1214" i="1" s="1"/>
  <c r="BO1400" i="1"/>
  <c r="CV1316" i="1"/>
  <c r="CU1316" i="1"/>
  <c r="CR1316" i="1"/>
  <c r="CU1199" i="1"/>
  <c r="BH1209" i="1" a="1"/>
  <c r="BH1209" i="1" s="1"/>
  <c r="CU1204" i="1"/>
  <c r="CQ1579" i="1"/>
  <c r="CQ1581" i="1"/>
  <c r="BX1399" i="1"/>
  <c r="BZ1399" i="1" s="1"/>
  <c r="CA1399" i="1" s="1"/>
  <c r="BP1397" i="1"/>
  <c r="BQ1397" i="1" s="1"/>
  <c r="CA1397" i="1" s="1"/>
  <c r="CA1318" i="1"/>
  <c r="CQ1316" i="1"/>
  <c r="CU674" i="1"/>
  <c r="CV674" i="1"/>
  <c r="BH1297" i="1" a="1"/>
  <c r="BH1297" i="1" s="1"/>
  <c r="BH1395" i="1" a="1"/>
  <c r="BH1395" i="1" s="1"/>
  <c r="CW1395" i="1"/>
  <c r="BH662" i="1" a="1"/>
  <c r="BH662" i="1" s="1"/>
  <c r="CA1270" i="1"/>
  <c r="CV1204" i="1"/>
  <c r="BH1226" i="1" a="1"/>
  <c r="BH1226" i="1" s="1"/>
  <c r="CR1581" i="1"/>
  <c r="BH1399" i="1" a="1"/>
  <c r="BH1399" i="1" s="1"/>
  <c r="CV1323" i="1"/>
  <c r="CU1323" i="1"/>
  <c r="CR1323" i="1"/>
  <c r="CR693" i="1"/>
  <c r="CV693" i="1"/>
  <c r="CU693" i="1"/>
  <c r="CQ693" i="1"/>
  <c r="CV1395" i="1"/>
  <c r="CU1395" i="1"/>
  <c r="CR1395" i="1"/>
  <c r="CQ1395" i="1"/>
  <c r="CV629" i="1"/>
  <c r="CU629" i="1"/>
  <c r="CR629" i="1"/>
  <c r="BH1318" i="1" a="1"/>
  <c r="BH1318" i="1" s="1"/>
  <c r="BG1318" i="1" s="1" a="1"/>
  <c r="BG1318" i="1" s="1"/>
  <c r="BH979" i="1" a="1"/>
  <c r="BH979" i="1" s="1"/>
  <c r="CV868" i="1"/>
  <c r="CW895" i="1"/>
  <c r="CA891" i="1"/>
  <c r="CQ890" i="1"/>
  <c r="BH677" i="1" a="1"/>
  <c r="BH677" i="1" s="1"/>
  <c r="BG677" i="1" s="1" a="1"/>
  <c r="BG677" i="1" s="1"/>
  <c r="CA679" i="1"/>
  <c r="BH1588" i="1" a="1"/>
  <c r="BH1588" i="1" s="1"/>
  <c r="BH1594" i="1" a="1"/>
  <c r="BH1594" i="1" s="1"/>
  <c r="BG1594" i="1" s="1" a="1"/>
  <c r="BG1594" i="1" s="1"/>
  <c r="CA1284" i="1"/>
  <c r="CA587" i="1"/>
  <c r="BH878" i="1" a="1"/>
  <c r="BH878" i="1" s="1"/>
  <c r="CA879" i="1"/>
  <c r="CU874" i="1"/>
  <c r="CR1305" i="1"/>
  <c r="CW1304" i="1"/>
  <c r="CQ1303" i="1"/>
  <c r="CA1300" i="1"/>
  <c r="CQ1331" i="1"/>
  <c r="CU677" i="1"/>
  <c r="DA677" i="1" s="1"/>
  <c r="CA680" i="1"/>
  <c r="BH1317" i="1" a="1"/>
  <c r="BH1317" i="1" s="1"/>
  <c r="BG1317" i="1" s="1" a="1"/>
  <c r="BG1317" i="1" s="1"/>
  <c r="BH668" i="1" a="1"/>
  <c r="BH668" i="1" s="1"/>
  <c r="BH672" i="1" a="1"/>
  <c r="BH672" i="1" s="1"/>
  <c r="BH1298" i="1" a="1"/>
  <c r="BH1298" i="1" s="1"/>
  <c r="CA1343" i="1"/>
  <c r="BH1592" i="1" a="1"/>
  <c r="BH1592" i="1" s="1"/>
  <c r="CU649" i="1"/>
  <c r="DA649" i="1" s="1"/>
  <c r="CV644" i="1"/>
  <c r="DA644" i="1" s="1"/>
  <c r="CQ651" i="1"/>
  <c r="CQ652" i="1"/>
  <c r="CQ646" i="1"/>
  <c r="BH660" i="1" a="1"/>
  <c r="BH660" i="1" s="1"/>
  <c r="BH1283" i="1" a="1"/>
  <c r="BH1283" i="1" s="1"/>
  <c r="BH587" i="1" a="1"/>
  <c r="BH587" i="1" s="1"/>
  <c r="CA588" i="1"/>
  <c r="CQ583" i="1"/>
  <c r="BH602" i="1" a="1"/>
  <c r="BH602" i="1" s="1"/>
  <c r="CV867" i="1"/>
  <c r="CS884" i="1"/>
  <c r="CT884" i="1" s="1"/>
  <c r="BH864" i="1" a="1"/>
  <c r="BH864" i="1" s="1"/>
  <c r="CQ873" i="1"/>
  <c r="CV874" i="1"/>
  <c r="CW896" i="1"/>
  <c r="CQ893" i="1"/>
  <c r="BH892" i="1" a="1"/>
  <c r="BH892" i="1" s="1"/>
  <c r="CR1331" i="1"/>
  <c r="BH1330" i="1" a="1"/>
  <c r="BH1330" i="1" s="1"/>
  <c r="BG1330" i="1" s="1" a="1"/>
  <c r="BG1330" i="1" s="1"/>
  <c r="BH678" i="1" a="1"/>
  <c r="BH678" i="1" s="1"/>
  <c r="BG678" i="1" s="1" a="1"/>
  <c r="BG678" i="1" s="1"/>
  <c r="CQ679" i="1"/>
  <c r="BH1315" i="1" a="1"/>
  <c r="BH1315" i="1" s="1"/>
  <c r="BG1315" i="1" s="1" a="1"/>
  <c r="BG1315" i="1" s="1"/>
  <c r="CA1315" i="1"/>
  <c r="CV1312" i="1"/>
  <c r="DA1312" i="1" s="1"/>
  <c r="BH1311" i="1" a="1"/>
  <c r="BH1311" i="1" s="1"/>
  <c r="BG1311" i="1" s="1" a="1"/>
  <c r="BG1311" i="1" s="1"/>
  <c r="CV672" i="1"/>
  <c r="CV606" i="1"/>
  <c r="DA606" i="1" s="1"/>
  <c r="BH902" i="1" a="1"/>
  <c r="BH902" i="1" s="1"/>
  <c r="CQ1289" i="1"/>
  <c r="BH1392" i="1" a="1"/>
  <c r="BH1392" i="1" s="1"/>
  <c r="CR651" i="1"/>
  <c r="BH642" i="1" a="1"/>
  <c r="BH642" i="1" s="1"/>
  <c r="BG642" i="1" s="1" a="1"/>
  <c r="BG642" i="1" s="1"/>
  <c r="BH1270" i="1" a="1"/>
  <c r="BH1270" i="1" s="1"/>
  <c r="BH1597" i="1" a="1"/>
  <c r="BH1597" i="1" s="1"/>
  <c r="CU587" i="1"/>
  <c r="BH589" i="1" a="1"/>
  <c r="BH589" i="1" s="1"/>
  <c r="BW588" i="1"/>
  <c r="CR583" i="1"/>
  <c r="CR590" i="1"/>
  <c r="CW601" i="1"/>
  <c r="CR884" i="1"/>
  <c r="CQ878" i="1"/>
  <c r="CR873" i="1"/>
  <c r="CU896" i="1"/>
  <c r="DA896" i="1" s="1"/>
  <c r="BH889" i="1" a="1"/>
  <c r="BH889" i="1" s="1"/>
  <c r="CA889" i="1"/>
  <c r="CS890" i="1"/>
  <c r="CT890" i="1" s="1"/>
  <c r="BH1221" i="1" a="1"/>
  <c r="BH1221" i="1" s="1"/>
  <c r="CS1581" i="1"/>
  <c r="CT1581" i="1" s="1"/>
  <c r="CS1316" i="1"/>
  <c r="CT1316" i="1" s="1"/>
  <c r="CS647" i="1"/>
  <c r="CT647" i="1" s="1"/>
  <c r="CU583" i="1"/>
  <c r="CV884" i="1"/>
  <c r="CS868" i="1"/>
  <c r="CT868" i="1" s="1"/>
  <c r="CU873" i="1"/>
  <c r="DA873" i="1" s="1"/>
  <c r="CU890" i="1"/>
  <c r="CS755" i="1"/>
  <c r="CT755" i="1" s="1"/>
  <c r="CS1216" i="1"/>
  <c r="CT1216" i="1" s="1"/>
  <c r="CU1223" i="1"/>
  <c r="BH700" i="1" a="1"/>
  <c r="BH700" i="1" s="1"/>
  <c r="CR756" i="1"/>
  <c r="CR611" i="1"/>
  <c r="CS614" i="1"/>
  <c r="CT614" i="1" s="1"/>
  <c r="CA616" i="1"/>
  <c r="CU612" i="1"/>
  <c r="CS1331" i="1"/>
  <c r="CT1331" i="1" s="1"/>
  <c r="BH1328" i="1" a="1"/>
  <c r="BH1328" i="1" s="1"/>
  <c r="BG1328" i="1" s="1" a="1"/>
  <c r="BG1328" i="1" s="1"/>
  <c r="CS1325" i="1"/>
  <c r="CT1325" i="1" s="1"/>
  <c r="CU1317" i="1"/>
  <c r="BH1310" i="1" a="1"/>
  <c r="BH1310" i="1" s="1"/>
  <c r="BG1310" i="1" s="1" a="1"/>
  <c r="BG1310" i="1" s="1"/>
  <c r="CS693" i="1"/>
  <c r="CT693" i="1" s="1"/>
  <c r="CQ1309" i="1"/>
  <c r="CQ669" i="1"/>
  <c r="CQ673" i="1"/>
  <c r="CU1394" i="1"/>
  <c r="CS1395" i="1"/>
  <c r="CT1395" i="1" s="1"/>
  <c r="BH659" i="1" a="1"/>
  <c r="BH659" i="1" s="1"/>
  <c r="CU647" i="1"/>
  <c r="CS1105" i="1"/>
  <c r="CT1105" i="1" s="1"/>
  <c r="BH591" i="1" a="1"/>
  <c r="BH591" i="1" s="1"/>
  <c r="BW584" i="1"/>
  <c r="CQ597" i="1"/>
  <c r="CV595" i="1"/>
  <c r="BH600" i="1" a="1"/>
  <c r="BH600" i="1" s="1"/>
  <c r="BH599" i="1" a="1"/>
  <c r="BH599" i="1" s="1"/>
  <c r="CS863" i="1"/>
  <c r="CT863" i="1" s="1"/>
  <c r="CV878" i="1"/>
  <c r="DA878" i="1" s="1"/>
  <c r="BH877" i="1" a="1"/>
  <c r="BH877" i="1" s="1"/>
  <c r="CS874" i="1"/>
  <c r="CT874" i="1" s="1"/>
  <c r="CQ889" i="1"/>
  <c r="CV890" i="1"/>
  <c r="CS1579" i="1"/>
  <c r="CT1579" i="1" s="1"/>
  <c r="BH1207" i="1" a="1"/>
  <c r="BH1207" i="1" s="1"/>
  <c r="CS1204" i="1"/>
  <c r="CT1204" i="1" s="1"/>
  <c r="CQ1205" i="1"/>
  <c r="CV966" i="1"/>
  <c r="DA966" i="1" s="1"/>
  <c r="BH1215" i="1" a="1"/>
  <c r="BH1215" i="1" s="1"/>
  <c r="CV1220" i="1"/>
  <c r="BH1216" i="1" a="1"/>
  <c r="BH1216" i="1" s="1"/>
  <c r="CV1432" i="1"/>
  <c r="DA1432" i="1" s="1"/>
  <c r="CS1282" i="1"/>
  <c r="CT1282" i="1" s="1"/>
  <c r="BO1399" i="1"/>
  <c r="CU756" i="1"/>
  <c r="CW1307" i="1"/>
  <c r="BH1306" i="1" a="1"/>
  <c r="BH1306" i="1" s="1"/>
  <c r="CS1306" i="1"/>
  <c r="CT1306" i="1" s="1"/>
  <c r="CU614" i="1"/>
  <c r="CV612" i="1"/>
  <c r="CS677" i="1"/>
  <c r="CA1328" i="1"/>
  <c r="CR1325" i="1"/>
  <c r="CQ684" i="1"/>
  <c r="CW1323" i="1"/>
  <c r="CS1322" i="1"/>
  <c r="CT1322" i="1" s="1"/>
  <c r="BH1319" i="1" a="1"/>
  <c r="BH1319" i="1" s="1"/>
  <c r="BG1319" i="1" s="1" a="1"/>
  <c r="BG1319" i="1" s="1"/>
  <c r="BH1314" i="1" a="1"/>
  <c r="BH1314" i="1" s="1"/>
  <c r="BG1314" i="1" s="1" a="1"/>
  <c r="BG1314" i="1" s="1"/>
  <c r="CU1309" i="1"/>
  <c r="CS669" i="1"/>
  <c r="CT669" i="1" s="1"/>
  <c r="BH665" i="1" a="1"/>
  <c r="BH665" i="1" s="1"/>
  <c r="BH671" i="1" a="1"/>
  <c r="BH671" i="1" s="1"/>
  <c r="BH1296" i="1" a="1"/>
  <c r="BH1296" i="1" s="1"/>
  <c r="CQ1343" i="1"/>
  <c r="BH1393" i="1" a="1"/>
  <c r="BH1393" i="1" s="1"/>
  <c r="CV1394" i="1"/>
  <c r="CR643" i="1"/>
  <c r="CS644" i="1"/>
  <c r="CT644" i="1" s="1"/>
  <c r="CU656" i="1"/>
  <c r="DA656" i="1" s="1"/>
  <c r="CS646" i="1"/>
  <c r="CT646" i="1" s="1"/>
  <c r="CA981" i="1"/>
  <c r="BH1105" i="1" a="1"/>
  <c r="BH1105" i="1" s="1"/>
  <c r="BH863" i="1" a="1"/>
  <c r="BH863" i="1" s="1"/>
  <c r="CR863" i="1"/>
  <c r="CS867" i="1"/>
  <c r="CT867" i="1" s="1"/>
  <c r="CA881" i="1"/>
  <c r="CS878" i="1"/>
  <c r="CT878" i="1" s="1"/>
  <c r="CA877" i="1"/>
  <c r="BH875" i="1" a="1"/>
  <c r="BH875" i="1" s="1"/>
  <c r="CA875" i="1"/>
  <c r="CV870" i="1"/>
  <c r="CA897" i="1"/>
  <c r="CS894" i="1"/>
  <c r="CT894" i="1" s="1"/>
  <c r="CR889" i="1"/>
  <c r="CA1579" i="1"/>
  <c r="CA1214" i="1"/>
  <c r="CQ1217" i="1"/>
  <c r="CR1225" i="1"/>
  <c r="CV1223" i="1"/>
  <c r="BH1219" i="1" a="1"/>
  <c r="BH1219" i="1" s="1"/>
  <c r="CQ1494" i="1"/>
  <c r="BH1282" i="1" a="1"/>
  <c r="BH1282" i="1" s="1"/>
  <c r="BX1282" i="1"/>
  <c r="BZ1282" i="1" s="1"/>
  <c r="CA1282" i="1" s="1"/>
  <c r="BP703" i="1"/>
  <c r="BQ703" i="1" s="1"/>
  <c r="CA703" i="1" s="1"/>
  <c r="CP705" i="1"/>
  <c r="CW705" i="1" s="1"/>
  <c r="CQ1400" i="1"/>
  <c r="BH1308" i="1" a="1"/>
  <c r="BH1308" i="1" s="1"/>
  <c r="CQ610" i="1"/>
  <c r="CR1313" i="1"/>
  <c r="CQ1313" i="1"/>
  <c r="CV1313" i="1"/>
  <c r="CQ902" i="1"/>
  <c r="CW902" i="1"/>
  <c r="CV902" i="1"/>
  <c r="CU902" i="1"/>
  <c r="BW1590" i="1"/>
  <c r="BX1590" i="1"/>
  <c r="BZ1590" i="1" s="1"/>
  <c r="BH654" i="1" a="1"/>
  <c r="BH654" i="1" s="1"/>
  <c r="CA1264" i="1"/>
  <c r="CA1107" i="1"/>
  <c r="CW587" i="1"/>
  <c r="CY587" i="1" s="1"/>
  <c r="FA587" i="1" s="1"/>
  <c r="CS1199" i="1"/>
  <c r="CT1199" i="1" s="1"/>
  <c r="CA1200" i="1"/>
  <c r="CA1201" i="1"/>
  <c r="CV1209" i="1"/>
  <c r="DA1209" i="1" s="1"/>
  <c r="CW1203" i="1"/>
  <c r="BH1205" i="1" a="1"/>
  <c r="BH1205" i="1" s="1"/>
  <c r="CU1217" i="1"/>
  <c r="CS1220" i="1"/>
  <c r="CT1220" i="1" s="1"/>
  <c r="CA1216" i="1"/>
  <c r="CA1226" i="1"/>
  <c r="CW1221" i="1"/>
  <c r="BH1223" i="1" a="1"/>
  <c r="BH1223" i="1" s="1"/>
  <c r="CS1223" i="1"/>
  <c r="CT1223" i="1" s="1"/>
  <c r="BH1494" i="1" a="1"/>
  <c r="BH1494" i="1" s="1"/>
  <c r="CR1494" i="1"/>
  <c r="CS1432" i="1"/>
  <c r="CT1432" i="1" s="1"/>
  <c r="BW1282" i="1"/>
  <c r="BP707" i="1"/>
  <c r="BQ707" i="1" s="1"/>
  <c r="CA707" i="1" s="1"/>
  <c r="BH703" i="1" a="1"/>
  <c r="BH703" i="1" s="1"/>
  <c r="BH705" i="1" a="1"/>
  <c r="BH705" i="1" s="1"/>
  <c r="BP704" i="1"/>
  <c r="BQ704" i="1" s="1"/>
  <c r="CA704" i="1" s="1"/>
  <c r="BH699" i="1" a="1"/>
  <c r="BH699" i="1" s="1"/>
  <c r="BH1396" i="1" a="1"/>
  <c r="BH1396" i="1" s="1"/>
  <c r="CW1396" i="1"/>
  <c r="CR1396" i="1"/>
  <c r="CP1397" i="1"/>
  <c r="CR1397" i="1" s="1"/>
  <c r="CR1400" i="1"/>
  <c r="BP1398" i="1"/>
  <c r="BQ1398" i="1" s="1"/>
  <c r="CU610" i="1"/>
  <c r="CU1332" i="1"/>
  <c r="CV1332" i="1"/>
  <c r="CQ1332" i="1"/>
  <c r="BH685" i="1" a="1"/>
  <c r="BH685" i="1" s="1"/>
  <c r="BG685" i="1" s="1" a="1"/>
  <c r="BG685" i="1" s="1"/>
  <c r="CA1319" i="1"/>
  <c r="CU1313" i="1"/>
  <c r="CR902" i="1"/>
  <c r="CA1296" i="1"/>
  <c r="CU661" i="1"/>
  <c r="DA661" i="1" s="1"/>
  <c r="CQ661" i="1"/>
  <c r="CA654" i="1"/>
  <c r="BW655" i="1"/>
  <c r="BX655" i="1"/>
  <c r="BZ655" i="1" s="1"/>
  <c r="CA655" i="1" s="1"/>
  <c r="BW582" i="1"/>
  <c r="BX582" i="1"/>
  <c r="BZ582" i="1" s="1"/>
  <c r="CA582" i="1" s="1"/>
  <c r="CW898" i="1"/>
  <c r="CV898" i="1"/>
  <c r="CU898" i="1"/>
  <c r="CR898" i="1"/>
  <c r="CQ898" i="1"/>
  <c r="BH1203" i="1" a="1"/>
  <c r="BH1203" i="1" s="1"/>
  <c r="CW1205" i="1"/>
  <c r="CA1213" i="1"/>
  <c r="CS1215" i="1"/>
  <c r="CT1215" i="1" s="1"/>
  <c r="CV1217" i="1"/>
  <c r="CW1579" i="1"/>
  <c r="CS1494" i="1"/>
  <c r="CT1494" i="1" s="1"/>
  <c r="CR1282" i="1"/>
  <c r="BH704" i="1" a="1"/>
  <c r="BH704" i="1" s="1"/>
  <c r="BH755" i="1" a="1"/>
  <c r="BH755" i="1" s="1"/>
  <c r="BG755" i="1" s="1" a="1"/>
  <c r="BG755" i="1" s="1"/>
  <c r="CV610" i="1"/>
  <c r="CA1307" i="1"/>
  <c r="BH611" i="1" a="1"/>
  <c r="BH611" i="1" s="1"/>
  <c r="BH1304" i="1" a="1"/>
  <c r="BH1304" i="1" s="1"/>
  <c r="BH1301" i="1" a="1"/>
  <c r="BH1301" i="1" s="1"/>
  <c r="CW1300" i="1"/>
  <c r="CR681" i="1"/>
  <c r="CQ681" i="1"/>
  <c r="BH1322" i="1" a="1"/>
  <c r="BH1322" i="1" s="1"/>
  <c r="BG1322" i="1" s="1" a="1"/>
  <c r="BG1322" i="1" s="1"/>
  <c r="BH675" i="1" a="1"/>
  <c r="BH675" i="1" s="1"/>
  <c r="CA606" i="1"/>
  <c r="CR1122" i="1"/>
  <c r="CQ1122" i="1"/>
  <c r="CV1122" i="1"/>
  <c r="DA1122" i="1" s="1"/>
  <c r="BW660" i="1"/>
  <c r="BX660" i="1"/>
  <c r="BZ660" i="1" s="1"/>
  <c r="CA660" i="1" s="1"/>
  <c r="BH582" i="1" a="1"/>
  <c r="BH582" i="1" s="1"/>
  <c r="BG582" i="1" s="1" a="1"/>
  <c r="BG582" i="1" s="1"/>
  <c r="CA1209" i="1"/>
  <c r="CU666" i="1"/>
  <c r="CV666" i="1"/>
  <c r="CV1199" i="1"/>
  <c r="BH1199" i="1" a="1"/>
  <c r="BH1199" i="1" s="1"/>
  <c r="CA1199" i="1"/>
  <c r="CW1208" i="1"/>
  <c r="BH1220" i="1" a="1"/>
  <c r="BH1220" i="1" s="1"/>
  <c r="CA1582" i="1"/>
  <c r="CU1494" i="1"/>
  <c r="CQ1282" i="1"/>
  <c r="BH1398" i="1" a="1"/>
  <c r="BH1398" i="1" s="1"/>
  <c r="CA755" i="1"/>
  <c r="CS610" i="1"/>
  <c r="CT610" i="1" s="1"/>
  <c r="CR617" i="1"/>
  <c r="CW617" i="1"/>
  <c r="CV617" i="1"/>
  <c r="CU617" i="1"/>
  <c r="CU668" i="1"/>
  <c r="CV668" i="1"/>
  <c r="BW1588" i="1"/>
  <c r="BX1588" i="1"/>
  <c r="BZ1588" i="1" s="1"/>
  <c r="CW1588" i="1" s="1"/>
  <c r="BP86" i="1"/>
  <c r="BQ86" i="1" s="1"/>
  <c r="CP86" i="1"/>
  <c r="CW86" i="1" s="1"/>
  <c r="CP1597" i="1"/>
  <c r="CW1597" i="1" s="1"/>
  <c r="BP1597" i="1"/>
  <c r="BQ1597" i="1" s="1"/>
  <c r="CA1597" i="1" s="1"/>
  <c r="CR1106" i="1"/>
  <c r="CU1106" i="1"/>
  <c r="CS1106" i="1"/>
  <c r="CT1106" i="1" s="1"/>
  <c r="CQ1106" i="1"/>
  <c r="CW600" i="1"/>
  <c r="CS600" i="1"/>
  <c r="CT600" i="1" s="1"/>
  <c r="CR600" i="1"/>
  <c r="CQ600" i="1"/>
  <c r="CA883" i="1"/>
  <c r="CW883" i="1"/>
  <c r="CU671" i="1"/>
  <c r="CV671" i="1"/>
  <c r="CA1393" i="1"/>
  <c r="CW1393" i="1"/>
  <c r="CW1108" i="1"/>
  <c r="CR1108" i="1"/>
  <c r="CQ1108" i="1"/>
  <c r="CS584" i="1"/>
  <c r="CT584" i="1" s="1"/>
  <c r="CU584" i="1"/>
  <c r="CW871" i="1"/>
  <c r="CR871" i="1"/>
  <c r="CV1208" i="1"/>
  <c r="DA1208" i="1" s="1"/>
  <c r="BH1204" i="1" a="1"/>
  <c r="BH1204" i="1" s="1"/>
  <c r="CR1205" i="1"/>
  <c r="CW1213" i="1"/>
  <c r="BH1217" i="1" a="1"/>
  <c r="BH1217" i="1" s="1"/>
  <c r="CR1220" i="1"/>
  <c r="CU1216" i="1"/>
  <c r="DA1216" i="1" s="1"/>
  <c r="CQ1223" i="1"/>
  <c r="CU1219" i="1"/>
  <c r="DA1219" i="1" s="1"/>
  <c r="CU1579" i="1"/>
  <c r="CA1577" i="1"/>
  <c r="BH1432" i="1" a="1"/>
  <c r="BH1432" i="1" s="1"/>
  <c r="CR1432" i="1"/>
  <c r="BH717" i="1" a="1"/>
  <c r="BH717" i="1" s="1"/>
  <c r="BX717" i="1"/>
  <c r="BZ717" i="1" s="1"/>
  <c r="CA717" i="1" s="1"/>
  <c r="BH707" i="1" a="1"/>
  <c r="BH707" i="1" s="1"/>
  <c r="BP1400" i="1"/>
  <c r="BQ1400" i="1" s="1"/>
  <c r="CS1400" i="1" s="1"/>
  <c r="CT1400" i="1" s="1"/>
  <c r="CU1305" i="1"/>
  <c r="CA1301" i="1"/>
  <c r="CU1330" i="1"/>
  <c r="CQ1330" i="1"/>
  <c r="CV1330" i="1"/>
  <c r="CS1313" i="1"/>
  <c r="CT1313" i="1" s="1"/>
  <c r="BX659" i="1"/>
  <c r="BZ659" i="1" s="1"/>
  <c r="CA659" i="1" s="1"/>
  <c r="CV657" i="1"/>
  <c r="CQ657" i="1"/>
  <c r="CR1143" i="1"/>
  <c r="CQ1143" i="1"/>
  <c r="CV1143" i="1"/>
  <c r="CV584" i="1"/>
  <c r="BH868" i="1" a="1"/>
  <c r="BH868" i="1" s="1"/>
  <c r="CP1605" i="1"/>
  <c r="CR1605" i="1" s="1"/>
  <c r="BQ1605" i="1"/>
  <c r="BP1605" i="1"/>
  <c r="BO1605" i="1"/>
  <c r="CS1217" i="1"/>
  <c r="CT1217" i="1" s="1"/>
  <c r="CU755" i="1"/>
  <c r="CR755" i="1"/>
  <c r="CA1314" i="1"/>
  <c r="CW1314" i="1"/>
  <c r="CQ1199" i="1"/>
  <c r="CS1210" i="1"/>
  <c r="CT1210" i="1" s="1"/>
  <c r="CW1202" i="1"/>
  <c r="CU1210" i="1"/>
  <c r="DA1210" i="1" s="1"/>
  <c r="CU1220" i="1"/>
  <c r="BH1225" i="1" a="1"/>
  <c r="BH1225" i="1" s="1"/>
  <c r="BH1581" i="1" a="1"/>
  <c r="BH1581" i="1" s="1"/>
  <c r="CV717" i="1"/>
  <c r="BH701" i="1" a="1"/>
  <c r="BH701" i="1" s="1"/>
  <c r="BP699" i="1"/>
  <c r="BQ699" i="1" s="1"/>
  <c r="CA699" i="1" s="1"/>
  <c r="CV1400" i="1"/>
  <c r="DA1400" i="1" s="1"/>
  <c r="BH756" i="1" a="1"/>
  <c r="BH756" i="1" s="1"/>
  <c r="BG756" i="1" s="1" a="1"/>
  <c r="BG756" i="1" s="1"/>
  <c r="CV755" i="1"/>
  <c r="BH754" i="1" a="1"/>
  <c r="BH754" i="1" s="1"/>
  <c r="BG754" i="1" s="1" a="1"/>
  <c r="BG754" i="1" s="1"/>
  <c r="CA754" i="1"/>
  <c r="CV1307" i="1"/>
  <c r="DA1307" i="1" s="1"/>
  <c r="CQ1307" i="1"/>
  <c r="CV1305" i="1"/>
  <c r="CV1303" i="1"/>
  <c r="CU1303" i="1"/>
  <c r="CW1301" i="1"/>
  <c r="CR1330" i="1"/>
  <c r="CA1324" i="1"/>
  <c r="CW666" i="1"/>
  <c r="CA666" i="1"/>
  <c r="BH670" i="1" a="1"/>
  <c r="BH670" i="1" s="1"/>
  <c r="BX1592" i="1"/>
  <c r="BZ1592" i="1" s="1"/>
  <c r="BW1592" i="1"/>
  <c r="CA649" i="1"/>
  <c r="CQ663" i="1"/>
  <c r="CR663" i="1"/>
  <c r="CU1143" i="1"/>
  <c r="CS679" i="1"/>
  <c r="CT679" i="1" s="1"/>
  <c r="CV679" i="1"/>
  <c r="CV1325" i="1"/>
  <c r="DA1325" i="1" s="1"/>
  <c r="BH1320" i="1" a="1"/>
  <c r="BH1320" i="1" s="1"/>
  <c r="BG1320" i="1" s="1" a="1"/>
  <c r="BG1320" i="1" s="1"/>
  <c r="CV1309" i="1"/>
  <c r="CP1589" i="1"/>
  <c r="CQ1589" i="1" s="1"/>
  <c r="BH644" i="1" a="1"/>
  <c r="BH644" i="1" s="1"/>
  <c r="BG644" i="1" s="1" a="1"/>
  <c r="BG644" i="1" s="1"/>
  <c r="CA644" i="1"/>
  <c r="BH645" i="1" a="1"/>
  <c r="BH645" i="1" s="1"/>
  <c r="BG645" i="1" s="1" a="1"/>
  <c r="BG645" i="1" s="1"/>
  <c r="CS594" i="1"/>
  <c r="CT594" i="1" s="1"/>
  <c r="CW594" i="1"/>
  <c r="CV594" i="1"/>
  <c r="CU594" i="1"/>
  <c r="CR594" i="1"/>
  <c r="CS892" i="1"/>
  <c r="CT892" i="1" s="1"/>
  <c r="CA1298" i="1"/>
  <c r="CW654" i="1"/>
  <c r="CW1283" i="1"/>
  <c r="CA1283" i="1"/>
  <c r="BW981" i="1"/>
  <c r="CA1108" i="1"/>
  <c r="BW587" i="1"/>
  <c r="CQ589" i="1"/>
  <c r="CS583" i="1"/>
  <c r="CT583" i="1" s="1"/>
  <c r="CW599" i="1"/>
  <c r="CU599" i="1"/>
  <c r="CS599" i="1"/>
  <c r="CT599" i="1" s="1"/>
  <c r="CR599" i="1"/>
  <c r="CQ599" i="1"/>
  <c r="BH601" i="1" a="1"/>
  <c r="BH601" i="1" s="1"/>
  <c r="CA601" i="1"/>
  <c r="EY601" i="1" s="1"/>
  <c r="BH866" i="1" a="1"/>
  <c r="BH866" i="1" s="1"/>
  <c r="CU892" i="1"/>
  <c r="BH614" i="1" a="1"/>
  <c r="BH614" i="1" s="1"/>
  <c r="CA1304" i="1"/>
  <c r="CQ1320" i="1"/>
  <c r="CQ1312" i="1"/>
  <c r="CQ674" i="1"/>
  <c r="CQ667" i="1"/>
  <c r="CQ672" i="1"/>
  <c r="BW1587" i="1"/>
  <c r="CS1122" i="1"/>
  <c r="CT1122" i="1" s="1"/>
  <c r="CR1269" i="1"/>
  <c r="CA1388" i="1"/>
  <c r="CW1403" i="1"/>
  <c r="BW1593" i="1"/>
  <c r="CQ644" i="1"/>
  <c r="CS663" i="1"/>
  <c r="CT663" i="1" s="1"/>
  <c r="BH646" i="1" a="1"/>
  <c r="BH646" i="1" s="1"/>
  <c r="BG646" i="1" s="1" a="1"/>
  <c r="BG646" i="1" s="1"/>
  <c r="CS1143" i="1"/>
  <c r="CT1143" i="1" s="1"/>
  <c r="CS589" i="1"/>
  <c r="CT589" i="1" s="1"/>
  <c r="BH583" i="1" a="1"/>
  <c r="BH583" i="1" s="1"/>
  <c r="CW597" i="1"/>
  <c r="CV597" i="1"/>
  <c r="DA597" i="1" s="1"/>
  <c r="CS597" i="1"/>
  <c r="CT597" i="1" s="1"/>
  <c r="CV599" i="1"/>
  <c r="BH596" i="1" a="1"/>
  <c r="BH596" i="1" s="1"/>
  <c r="CU603" i="1"/>
  <c r="DA603" i="1" s="1"/>
  <c r="CS603" i="1"/>
  <c r="CT603" i="1" s="1"/>
  <c r="CR603" i="1"/>
  <c r="CQ603" i="1"/>
  <c r="CV601" i="1"/>
  <c r="CU601" i="1"/>
  <c r="CQ601" i="1"/>
  <c r="BH865" i="1" a="1"/>
  <c r="BH865" i="1" s="1"/>
  <c r="CV866" i="1"/>
  <c r="CU866" i="1"/>
  <c r="CR866" i="1"/>
  <c r="CR875" i="1"/>
  <c r="CW875" i="1"/>
  <c r="CU875" i="1"/>
  <c r="CR895" i="1"/>
  <c r="BH894" i="1" a="1"/>
  <c r="BH894" i="1" s="1"/>
  <c r="CW894" i="1"/>
  <c r="CY894" i="1" s="1"/>
  <c r="FA894" i="1" s="1"/>
  <c r="CR894" i="1"/>
  <c r="CQ894" i="1"/>
  <c r="BH617" i="1" a="1"/>
  <c r="BH617" i="1" s="1"/>
  <c r="CQ1299" i="1"/>
  <c r="BH612" i="1" a="1"/>
  <c r="BH612" i="1" s="1"/>
  <c r="BG612" i="1" s="1" a="1"/>
  <c r="BG612" i="1" s="1"/>
  <c r="BH629" i="1" a="1"/>
  <c r="BH629" i="1" s="1"/>
  <c r="BG629" i="1" s="1" a="1"/>
  <c r="BG629" i="1" s="1"/>
  <c r="CA1329" i="1"/>
  <c r="CQ677" i="1"/>
  <c r="CQ1326" i="1"/>
  <c r="BH683" i="1" a="1"/>
  <c r="BH683" i="1" s="1"/>
  <c r="BG683" i="1" s="1" a="1"/>
  <c r="BG683" i="1" s="1"/>
  <c r="CU684" i="1"/>
  <c r="CA1323" i="1"/>
  <c r="BH1321" i="1" a="1"/>
  <c r="BH1321" i="1" s="1"/>
  <c r="BG1321" i="1" s="1" a="1"/>
  <c r="BG1321" i="1" s="1"/>
  <c r="CR1320" i="1"/>
  <c r="CV1317" i="1"/>
  <c r="BH1313" i="1" a="1"/>
  <c r="BH1313" i="1" s="1"/>
  <c r="BG1313" i="1" s="1" a="1"/>
  <c r="BG1313" i="1" s="1"/>
  <c r="CR1312" i="1"/>
  <c r="CA1311" i="1"/>
  <c r="CV1310" i="1"/>
  <c r="DA1310" i="1" s="1"/>
  <c r="CR674" i="1"/>
  <c r="CR667" i="1"/>
  <c r="CS672" i="1"/>
  <c r="CT672" i="1" s="1"/>
  <c r="BX1587" i="1"/>
  <c r="BZ1587" i="1" s="1"/>
  <c r="BH1122" i="1" a="1"/>
  <c r="BH1122" i="1" s="1"/>
  <c r="CU1269" i="1"/>
  <c r="CU1289" i="1"/>
  <c r="DA1289" i="1" s="1"/>
  <c r="CA1394" i="1"/>
  <c r="CQ1403" i="1"/>
  <c r="BO1589" i="1"/>
  <c r="BH649" i="1" a="1"/>
  <c r="BH649" i="1" s="1"/>
  <c r="BG649" i="1" s="1" a="1"/>
  <c r="BG649" i="1" s="1"/>
  <c r="BH661" i="1" a="1"/>
  <c r="BH661" i="1" s="1"/>
  <c r="CQ650" i="1"/>
  <c r="CR644" i="1"/>
  <c r="BX642" i="1"/>
  <c r="BZ642" i="1" s="1"/>
  <c r="CW642" i="1" s="1"/>
  <c r="BH657" i="1" a="1"/>
  <c r="BH657" i="1" s="1"/>
  <c r="CR648" i="1"/>
  <c r="BH658" i="1" a="1"/>
  <c r="BH658" i="1" s="1"/>
  <c r="BW658" i="1"/>
  <c r="BH1264" i="1" a="1"/>
  <c r="BH1264" i="1" s="1"/>
  <c r="CW1261" i="1"/>
  <c r="CR1261" i="1"/>
  <c r="BH1108" i="1" a="1"/>
  <c r="BH1108" i="1" s="1"/>
  <c r="CU589" i="1"/>
  <c r="CA880" i="1"/>
  <c r="BH712" i="1" a="1"/>
  <c r="BH712" i="1" s="1"/>
  <c r="BG712" i="1" s="1" a="1"/>
  <c r="BG712" i="1" s="1"/>
  <c r="BW1601" i="1"/>
  <c r="BQ1604" i="1"/>
  <c r="BP1604" i="1"/>
  <c r="BH890" i="1" a="1"/>
  <c r="BH890" i="1" s="1"/>
  <c r="BH1305" i="1" a="1"/>
  <c r="BH1305" i="1" s="1"/>
  <c r="CW1305" i="1"/>
  <c r="CS617" i="1"/>
  <c r="CT617" i="1" s="1"/>
  <c r="BH1302" i="1" a="1"/>
  <c r="BH1302" i="1" s="1"/>
  <c r="CQ1300" i="1"/>
  <c r="BH1331" i="1" a="1"/>
  <c r="BH1331" i="1" s="1"/>
  <c r="BG1331" i="1" s="1" a="1"/>
  <c r="BG1331" i="1" s="1"/>
  <c r="CA1330" i="1"/>
  <c r="CR677" i="1"/>
  <c r="BH681" i="1" a="1"/>
  <c r="BH681" i="1" s="1"/>
  <c r="BG681" i="1" s="1" a="1"/>
  <c r="BG681" i="1" s="1"/>
  <c r="CQ1325" i="1"/>
  <c r="CV684" i="1"/>
  <c r="CA685" i="1"/>
  <c r="BH693" i="1" a="1"/>
  <c r="BH693" i="1" s="1"/>
  <c r="BG693" i="1" s="1" a="1"/>
  <c r="BG693" i="1" s="1"/>
  <c r="BH1309" i="1" a="1"/>
  <c r="BH1309" i="1" s="1"/>
  <c r="BG1309" i="1" s="1" a="1"/>
  <c r="BG1309" i="1" s="1"/>
  <c r="CW671" i="1"/>
  <c r="CU672" i="1"/>
  <c r="CV1269" i="1"/>
  <c r="BH1289" i="1" a="1"/>
  <c r="BH1289" i="1" s="1"/>
  <c r="BH1290" i="1" a="1"/>
  <c r="BH1290" i="1" s="1"/>
  <c r="CW1297" i="1"/>
  <c r="CR1403" i="1"/>
  <c r="CR650" i="1"/>
  <c r="CS642" i="1"/>
  <c r="CT642" i="1" s="1"/>
  <c r="BX657" i="1"/>
  <c r="BZ657" i="1" s="1"/>
  <c r="CW657" i="1" s="1"/>
  <c r="CV1105" i="1"/>
  <c r="CQ1105" i="1"/>
  <c r="CR597" i="1"/>
  <c r="CW865" i="1"/>
  <c r="CQ865" i="1"/>
  <c r="BH871" i="1" a="1"/>
  <c r="BH871" i="1" s="1"/>
  <c r="BH870" i="1" a="1"/>
  <c r="BH870" i="1" s="1"/>
  <c r="BH1603" i="1" a="1"/>
  <c r="BH1603" i="1" s="1"/>
  <c r="CP706" i="1"/>
  <c r="CQ706" i="1" s="1"/>
  <c r="CA700" i="1"/>
  <c r="BH1300" i="1" a="1"/>
  <c r="BH1300" i="1" s="1"/>
  <c r="CV1300" i="1"/>
  <c r="BH1332" i="1" a="1"/>
  <c r="BH1332" i="1" s="1"/>
  <c r="BG1332" i="1" s="1" a="1"/>
  <c r="BG1332" i="1" s="1"/>
  <c r="CS1329" i="1"/>
  <c r="CT1329" i="1" s="1"/>
  <c r="BH1323" i="1" a="1"/>
  <c r="BH1323" i="1" s="1"/>
  <c r="BG1323" i="1" s="1" a="1"/>
  <c r="BG1323" i="1" s="1"/>
  <c r="CU1321" i="1"/>
  <c r="CS1312" i="1"/>
  <c r="CT1312" i="1" s="1"/>
  <c r="CU669" i="1"/>
  <c r="CS674" i="1"/>
  <c r="CT674" i="1" s="1"/>
  <c r="CU665" i="1"/>
  <c r="CS667" i="1"/>
  <c r="CT667" i="1" s="1"/>
  <c r="CA1269" i="1"/>
  <c r="CU1403" i="1"/>
  <c r="DA1403" i="1" s="1"/>
  <c r="CP1593" i="1"/>
  <c r="CV1593" i="1" s="1"/>
  <c r="BQ1591" i="1"/>
  <c r="CS649" i="1"/>
  <c r="CT649" i="1" s="1"/>
  <c r="CS664" i="1"/>
  <c r="CT664" i="1" s="1"/>
  <c r="CV642" i="1"/>
  <c r="CA662" i="1"/>
  <c r="CU646" i="1"/>
  <c r="CU1105" i="1"/>
  <c r="CA1106" i="1"/>
  <c r="CU863" i="1"/>
  <c r="DA863" i="1" s="1"/>
  <c r="CU884" i="1"/>
  <c r="CS875" i="1"/>
  <c r="CT875" i="1" s="1"/>
  <c r="BW1603" i="1"/>
  <c r="BH1607" i="1" a="1"/>
  <c r="BH1607" i="1" s="1"/>
  <c r="CP1606" i="1"/>
  <c r="CW1606" i="1" s="1"/>
  <c r="BP1606" i="1"/>
  <c r="BQ1606" i="1" s="1"/>
  <c r="BO1606" i="1"/>
  <c r="BH1143" i="1" a="1"/>
  <c r="BH1143" i="1" s="1"/>
  <c r="BH590" i="1" a="1"/>
  <c r="BH590" i="1" s="1"/>
  <c r="BH867" i="1" a="1"/>
  <c r="BH867" i="1" s="1"/>
  <c r="BH880" i="1" a="1"/>
  <c r="BH880" i="1" s="1"/>
  <c r="CS873" i="1"/>
  <c r="CT873" i="1" s="1"/>
  <c r="CA872" i="1"/>
  <c r="BH874" i="1" a="1"/>
  <c r="BH874" i="1" s="1"/>
  <c r="CA874" i="1"/>
  <c r="BP712" i="1"/>
  <c r="BQ712" i="1" s="1"/>
  <c r="CA712" i="1" s="1"/>
  <c r="BH897" i="1" a="1"/>
  <c r="BH897" i="1" s="1"/>
  <c r="CW897" i="1"/>
  <c r="CW863" i="1"/>
  <c r="CW884" i="1"/>
  <c r="CA882" i="1"/>
  <c r="CQ880" i="1"/>
  <c r="CQ868" i="1"/>
  <c r="CQ876" i="1"/>
  <c r="BH873" i="1" a="1"/>
  <c r="BH873" i="1" s="1"/>
  <c r="BH872" i="1" a="1"/>
  <c r="BH872" i="1" s="1"/>
  <c r="BH869" i="1" a="1"/>
  <c r="BH869" i="1" s="1"/>
  <c r="CQ874" i="1"/>
  <c r="CP1601" i="1"/>
  <c r="CU1601" i="1" s="1"/>
  <c r="BH1604" i="1" a="1"/>
  <c r="BH1604" i="1" s="1"/>
  <c r="CQ896" i="1"/>
  <c r="CR897" i="1"/>
  <c r="BH895" i="1" a="1"/>
  <c r="BH895" i="1" s="1"/>
  <c r="BH893" i="1" a="1"/>
  <c r="BH893" i="1" s="1"/>
  <c r="CW892" i="1"/>
  <c r="CA641" i="1"/>
  <c r="BH652" i="1" a="1"/>
  <c r="BH652" i="1" s="1"/>
  <c r="BG652" i="1" s="1" a="1"/>
  <c r="BG652" i="1" s="1"/>
  <c r="CS1261" i="1"/>
  <c r="CT1261" i="1" s="1"/>
  <c r="CP979" i="1"/>
  <c r="BH1106" i="1" a="1"/>
  <c r="BH1106" i="1" s="1"/>
  <c r="CV587" i="1"/>
  <c r="BH592" i="1" a="1"/>
  <c r="BH592" i="1" s="1"/>
  <c r="BX586" i="1"/>
  <c r="BZ586" i="1" s="1"/>
  <c r="CA586" i="1" s="1"/>
  <c r="BH597" i="1" a="1"/>
  <c r="BH597" i="1" s="1"/>
  <c r="CA863" i="1"/>
  <c r="CA884" i="1"/>
  <c r="CV880" i="1"/>
  <c r="CU868" i="1"/>
  <c r="CS866" i="1"/>
  <c r="CT866" i="1" s="1"/>
  <c r="BH1601" i="1" a="1"/>
  <c r="BH1601" i="1" s="1"/>
  <c r="BQ1601" i="1"/>
  <c r="BH1602" i="1" a="1"/>
  <c r="BH1602" i="1" s="1"/>
  <c r="BW1604" i="1"/>
  <c r="CP1603" i="1"/>
  <c r="CR1603" i="1" s="1"/>
  <c r="BH896" i="1" a="1"/>
  <c r="BH896" i="1" s="1"/>
  <c r="CR896" i="1"/>
  <c r="CW893" i="1"/>
  <c r="CA892" i="1"/>
  <c r="BO1608" i="1"/>
  <c r="CA1220" i="1"/>
  <c r="CW1220" i="1"/>
  <c r="CW1222" i="1"/>
  <c r="CA1222" i="1"/>
  <c r="CW966" i="1"/>
  <c r="CA966" i="1"/>
  <c r="CA1223" i="1"/>
  <c r="CW1223" i="1"/>
  <c r="CA1225" i="1"/>
  <c r="CW1225" i="1"/>
  <c r="CA1204" i="1"/>
  <c r="CA1217" i="1"/>
  <c r="CW1217" i="1"/>
  <c r="CY1217" i="1" s="1"/>
  <c r="FA1217" i="1" s="1"/>
  <c r="CA1205" i="1"/>
  <c r="CS1205" i="1"/>
  <c r="CT1205" i="1" s="1"/>
  <c r="CA1206" i="1"/>
  <c r="CW1215" i="1"/>
  <c r="CA1215" i="1"/>
  <c r="CA1219" i="1"/>
  <c r="CW1219" i="1"/>
  <c r="CQ1201" i="1"/>
  <c r="CA1208" i="1"/>
  <c r="CR1211" i="1"/>
  <c r="CR1224" i="1"/>
  <c r="CS1211" i="1"/>
  <c r="CT1211" i="1" s="1"/>
  <c r="CS1212" i="1"/>
  <c r="CT1212" i="1" s="1"/>
  <c r="CQ1214" i="1"/>
  <c r="CQ1226" i="1"/>
  <c r="CS1224" i="1"/>
  <c r="CT1224" i="1" s="1"/>
  <c r="CS1221" i="1"/>
  <c r="CT1221" i="1" s="1"/>
  <c r="CR1582" i="1"/>
  <c r="CQ1582" i="1"/>
  <c r="CU1582" i="1"/>
  <c r="CS1582" i="1"/>
  <c r="CT1582" i="1" s="1"/>
  <c r="CA1581" i="1"/>
  <c r="CV1433" i="1"/>
  <c r="CU1433" i="1"/>
  <c r="CR1433" i="1"/>
  <c r="CW708" i="1"/>
  <c r="CV708" i="1"/>
  <c r="CU708" i="1"/>
  <c r="CR708" i="1"/>
  <c r="CQ708" i="1"/>
  <c r="CA1202" i="1"/>
  <c r="CA1207" i="1"/>
  <c r="CQ1211" i="1"/>
  <c r="CQ1212" i="1"/>
  <c r="CS1200" i="1"/>
  <c r="CT1200" i="1" s="1"/>
  <c r="CR1201" i="1"/>
  <c r="CQ1202" i="1"/>
  <c r="CR1213" i="1"/>
  <c r="CS1201" i="1"/>
  <c r="CT1201" i="1" s="1"/>
  <c r="CR1207" i="1"/>
  <c r="CQ1208" i="1"/>
  <c r="CU1206" i="1"/>
  <c r="CS1213" i="1"/>
  <c r="CT1213" i="1" s="1"/>
  <c r="CW1224" i="1"/>
  <c r="CS1222" i="1"/>
  <c r="CT1222" i="1" s="1"/>
  <c r="CR1222" i="1"/>
  <c r="CU1221" i="1"/>
  <c r="CV1582" i="1"/>
  <c r="CQ1433" i="1"/>
  <c r="CR1398" i="1"/>
  <c r="CQ1398" i="1"/>
  <c r="CV1398" i="1"/>
  <c r="CU1398" i="1"/>
  <c r="CA756" i="1"/>
  <c r="CW756" i="1"/>
  <c r="CY756" i="1" s="1"/>
  <c r="FA756" i="1" s="1"/>
  <c r="CR1200" i="1"/>
  <c r="CW1226" i="1"/>
  <c r="CV1226" i="1"/>
  <c r="CA614" i="1"/>
  <c r="CW614" i="1"/>
  <c r="CA1210" i="1"/>
  <c r="CS1206" i="1"/>
  <c r="CT1206" i="1" s="1"/>
  <c r="CU1200" i="1"/>
  <c r="CA1203" i="1"/>
  <c r="CW1204" i="1"/>
  <c r="CU1211" i="1"/>
  <c r="CU1201" i="1"/>
  <c r="CS1207" i="1"/>
  <c r="CT1207" i="1" s="1"/>
  <c r="CR1208" i="1"/>
  <c r="CR1209" i="1"/>
  <c r="CQ1210" i="1"/>
  <c r="CV1206" i="1"/>
  <c r="CV1211" i="1"/>
  <c r="CV1212" i="1"/>
  <c r="DA1212" i="1" s="1"/>
  <c r="CU1213" i="1"/>
  <c r="CS1214" i="1"/>
  <c r="CT1214" i="1" s="1"/>
  <c r="CR966" i="1"/>
  <c r="CQ1215" i="1"/>
  <c r="CS1226" i="1"/>
  <c r="CT1226" i="1" s="1"/>
  <c r="CQ1222" i="1"/>
  <c r="CV1221" i="1"/>
  <c r="CW1582" i="1"/>
  <c r="CS1433" i="1"/>
  <c r="CT1433" i="1" s="1"/>
  <c r="CW701" i="1"/>
  <c r="CV701" i="1"/>
  <c r="CU701" i="1"/>
  <c r="CR701" i="1"/>
  <c r="CQ701" i="1"/>
  <c r="CA1308" i="1"/>
  <c r="CW1308" i="1"/>
  <c r="CW1209" i="1"/>
  <c r="CQ1206" i="1"/>
  <c r="CR1212" i="1"/>
  <c r="CQ1213" i="1"/>
  <c r="BX1433" i="1"/>
  <c r="BZ1433" i="1" s="1"/>
  <c r="CA1433" i="1" s="1"/>
  <c r="BW1433" i="1"/>
  <c r="CR1202" i="1"/>
  <c r="CQ1209" i="1"/>
  <c r="CQ966" i="1"/>
  <c r="CW1199" i="1"/>
  <c r="CV1200" i="1"/>
  <c r="CS1202" i="1"/>
  <c r="CT1202" i="1" s="1"/>
  <c r="CW1200" i="1"/>
  <c r="CS1209" i="1"/>
  <c r="CT1209" i="1" s="1"/>
  <c r="CR1210" i="1"/>
  <c r="CQ1203" i="1"/>
  <c r="CW1206" i="1"/>
  <c r="CW1212" i="1"/>
  <c r="CV1213" i="1"/>
  <c r="CU1214" i="1"/>
  <c r="CS966" i="1"/>
  <c r="CT966" i="1" s="1"/>
  <c r="CR1215" i="1"/>
  <c r="CW1216" i="1"/>
  <c r="CU1226" i="1"/>
  <c r="CU1225" i="1"/>
  <c r="DA1225" i="1" s="1"/>
  <c r="CS1225" i="1"/>
  <c r="CT1225" i="1" s="1"/>
  <c r="CU1222" i="1"/>
  <c r="CA1218" i="1"/>
  <c r="BH1579" i="1" a="1"/>
  <c r="BH1579" i="1" s="1"/>
  <c r="CU1577" i="1"/>
  <c r="CS1577" i="1"/>
  <c r="CT1577" i="1" s="1"/>
  <c r="CW1577" i="1"/>
  <c r="CA1432" i="1"/>
  <c r="CA1305" i="1"/>
  <c r="CS1305" i="1"/>
  <c r="CT1305" i="1" s="1"/>
  <c r="CV1224" i="1"/>
  <c r="CU1224" i="1"/>
  <c r="CR1221" i="1"/>
  <c r="CQ1221" i="1"/>
  <c r="CR717" i="1"/>
  <c r="CQ717" i="1"/>
  <c r="CU717" i="1"/>
  <c r="CS717" i="1"/>
  <c r="CT717" i="1" s="1"/>
  <c r="CQ1207" i="1"/>
  <c r="CR1214" i="1"/>
  <c r="CV1201" i="1"/>
  <c r="CU1202" i="1"/>
  <c r="DA1202" i="1" s="1"/>
  <c r="CU1207" i="1"/>
  <c r="DA1207" i="1" s="1"/>
  <c r="CS1208" i="1"/>
  <c r="CT1208" i="1" s="1"/>
  <c r="CQ1216" i="1"/>
  <c r="CQ1225" i="1"/>
  <c r="CV1222" i="1"/>
  <c r="CW1218" i="1"/>
  <c r="CQ1577" i="1"/>
  <c r="CW1432" i="1"/>
  <c r="CA705" i="1"/>
  <c r="CV1576" i="1"/>
  <c r="CU754" i="1"/>
  <c r="CA610" i="1"/>
  <c r="CS1307" i="1"/>
  <c r="CT1307" i="1" s="1"/>
  <c r="CU1301" i="1"/>
  <c r="CS1301" i="1"/>
  <c r="CT1301" i="1" s="1"/>
  <c r="CR1301" i="1"/>
  <c r="CQ1301" i="1"/>
  <c r="CV1301" i="1"/>
  <c r="CA1332" i="1"/>
  <c r="CW1332" i="1"/>
  <c r="CA612" i="1"/>
  <c r="CW612" i="1"/>
  <c r="CW678" i="1"/>
  <c r="CU678" i="1"/>
  <c r="CS678" i="1"/>
  <c r="CT678" i="1" s="1"/>
  <c r="CR678" i="1"/>
  <c r="CQ678" i="1"/>
  <c r="CV678" i="1"/>
  <c r="CW679" i="1"/>
  <c r="BH1324" i="1" a="1"/>
  <c r="BH1324" i="1" s="1"/>
  <c r="BG1324" i="1" s="1" a="1"/>
  <c r="BG1324" i="1" s="1"/>
  <c r="CU683" i="1"/>
  <c r="CR683" i="1"/>
  <c r="CW683" i="1"/>
  <c r="CV683" i="1"/>
  <c r="CS683" i="1"/>
  <c r="CT683" i="1" s="1"/>
  <c r="CQ683" i="1"/>
  <c r="CA1310" i="1"/>
  <c r="CW1310" i="1"/>
  <c r="CQ1432" i="1"/>
  <c r="CU703" i="1"/>
  <c r="BP708" i="1"/>
  <c r="BQ708" i="1" s="1"/>
  <c r="CA708" i="1" s="1"/>
  <c r="CP700" i="1"/>
  <c r="CU704" i="1"/>
  <c r="BP701" i="1"/>
  <c r="BQ701" i="1" s="1"/>
  <c r="CS701" i="1" s="1"/>
  <c r="CT701" i="1" s="1"/>
  <c r="CP699" i="1"/>
  <c r="CQ1396" i="1"/>
  <c r="CV754" i="1"/>
  <c r="CW611" i="1"/>
  <c r="CU611" i="1"/>
  <c r="DA611" i="1" s="1"/>
  <c r="CS611" i="1"/>
  <c r="CT611" i="1" s="1"/>
  <c r="CW1330" i="1"/>
  <c r="CA1321" i="1"/>
  <c r="CW1321" i="1"/>
  <c r="CV703" i="1"/>
  <c r="CV704" i="1"/>
  <c r="CW754" i="1"/>
  <c r="CW1306" i="1"/>
  <c r="CY1306" i="1" s="1"/>
  <c r="FA1306" i="1" s="1"/>
  <c r="CW616" i="1"/>
  <c r="CU616" i="1"/>
  <c r="CS616" i="1"/>
  <c r="CT616" i="1" s="1"/>
  <c r="CQ616" i="1"/>
  <c r="CW703" i="1"/>
  <c r="CW704" i="1"/>
  <c r="CS1396" i="1"/>
  <c r="CT1396" i="1" s="1"/>
  <c r="CW685" i="1"/>
  <c r="CU685" i="1"/>
  <c r="CV685" i="1"/>
  <c r="CS685" i="1"/>
  <c r="CT685" i="1" s="1"/>
  <c r="CR685" i="1"/>
  <c r="CQ685" i="1"/>
  <c r="CQ1576" i="1"/>
  <c r="CU1396" i="1"/>
  <c r="DA1396" i="1" s="1"/>
  <c r="BX1400" i="1"/>
  <c r="BZ1400" i="1" s="1"/>
  <c r="BO1398" i="1"/>
  <c r="CW755" i="1"/>
  <c r="BH610" i="1" a="1"/>
  <c r="BH610" i="1" s="1"/>
  <c r="CV616" i="1"/>
  <c r="CA1303" i="1"/>
  <c r="CS1303" i="1"/>
  <c r="CT1303" i="1" s="1"/>
  <c r="CW684" i="1"/>
  <c r="CA684" i="1"/>
  <c r="CA1316" i="1"/>
  <c r="CW1316" i="1"/>
  <c r="CP707" i="1"/>
  <c r="CU1304" i="1"/>
  <c r="CR1304" i="1"/>
  <c r="CQ1304" i="1"/>
  <c r="CR1327" i="1"/>
  <c r="CV1327" i="1"/>
  <c r="CU1327" i="1"/>
  <c r="CS1327" i="1"/>
  <c r="CT1327" i="1" s="1"/>
  <c r="CQ1327" i="1"/>
  <c r="CW1327" i="1"/>
  <c r="CW668" i="1"/>
  <c r="CA668" i="1"/>
  <c r="CV1579" i="1"/>
  <c r="CS1576" i="1"/>
  <c r="CV1282" i="1"/>
  <c r="CQ703" i="1"/>
  <c r="CQ704" i="1"/>
  <c r="BW1397" i="1"/>
  <c r="CQ754" i="1"/>
  <c r="CU1308" i="1"/>
  <c r="DA1308" i="1" s="1"/>
  <c r="CR1308" i="1"/>
  <c r="CQ1308" i="1"/>
  <c r="CW610" i="1"/>
  <c r="CY610" i="1" s="1"/>
  <c r="FA610" i="1" s="1"/>
  <c r="CS1304" i="1"/>
  <c r="CT1304" i="1" s="1"/>
  <c r="CA617" i="1"/>
  <c r="CA1302" i="1"/>
  <c r="CS1323" i="1"/>
  <c r="CT1323" i="1" s="1"/>
  <c r="CR754" i="1"/>
  <c r="CU1306" i="1"/>
  <c r="DA1306" i="1" s="1"/>
  <c r="CR1306" i="1"/>
  <c r="CQ1306" i="1"/>
  <c r="CV1304" i="1"/>
  <c r="BH1303" i="1" a="1"/>
  <c r="BH1303" i="1" s="1"/>
  <c r="CW1302" i="1"/>
  <c r="CV1302" i="1"/>
  <c r="CU1302" i="1"/>
  <c r="CS1302" i="1"/>
  <c r="CT1302" i="1" s="1"/>
  <c r="CQ1302" i="1"/>
  <c r="BH1299" i="1" a="1"/>
  <c r="BH1299" i="1" s="1"/>
  <c r="CA1299" i="1"/>
  <c r="CW1331" i="1"/>
  <c r="CA677" i="1"/>
  <c r="CA678" i="1"/>
  <c r="CU1328" i="1"/>
  <c r="CV1328" i="1"/>
  <c r="CS1328" i="1"/>
  <c r="CT1328" i="1" s="1"/>
  <c r="CR1328" i="1"/>
  <c r="CQ1328" i="1"/>
  <c r="CW1328" i="1"/>
  <c r="CW1319" i="1"/>
  <c r="CV1319" i="1"/>
  <c r="CU1319" i="1"/>
  <c r="CS1319" i="1"/>
  <c r="CT1319" i="1" s="1"/>
  <c r="CW675" i="1"/>
  <c r="CV675" i="1"/>
  <c r="CU675" i="1"/>
  <c r="CS675" i="1"/>
  <c r="CT675" i="1" s="1"/>
  <c r="CR675" i="1"/>
  <c r="CA665" i="1"/>
  <c r="CW665" i="1"/>
  <c r="BH673" i="1" a="1"/>
  <c r="BH673" i="1" s="1"/>
  <c r="CA673" i="1"/>
  <c r="CW673" i="1"/>
  <c r="CU1322" i="1"/>
  <c r="CR1322" i="1"/>
  <c r="CW670" i="1"/>
  <c r="CV670" i="1"/>
  <c r="CU670" i="1"/>
  <c r="CS670" i="1"/>
  <c r="CT670" i="1" s="1"/>
  <c r="CR670" i="1"/>
  <c r="CA672" i="1"/>
  <c r="CW672" i="1"/>
  <c r="CA1297" i="1"/>
  <c r="CA656" i="1"/>
  <c r="CW982" i="1"/>
  <c r="CV982" i="1"/>
  <c r="CU982" i="1"/>
  <c r="CR982" i="1"/>
  <c r="CQ982" i="1"/>
  <c r="CW680" i="1"/>
  <c r="CQ1322" i="1"/>
  <c r="CR1319" i="1"/>
  <c r="CQ670" i="1"/>
  <c r="CA671" i="1"/>
  <c r="CA1289" i="1"/>
  <c r="CS1289" i="1"/>
  <c r="CT1289" i="1" s="1"/>
  <c r="CW1296" i="1"/>
  <c r="CV1296" i="1"/>
  <c r="CU1296" i="1"/>
  <c r="CS1296" i="1"/>
  <c r="CT1296" i="1" s="1"/>
  <c r="CR1296" i="1"/>
  <c r="CQ1296" i="1"/>
  <c r="CA1290" i="1"/>
  <c r="CW629" i="1"/>
  <c r="CR680" i="1"/>
  <c r="CR1326" i="1"/>
  <c r="CS681" i="1"/>
  <c r="CT681" i="1" s="1"/>
  <c r="CV1322" i="1"/>
  <c r="CU1318" i="1"/>
  <c r="DA1318" i="1" s="1"/>
  <c r="CS1318" i="1"/>
  <c r="CT1318" i="1" s="1"/>
  <c r="CR1318" i="1"/>
  <c r="CQ1318" i="1"/>
  <c r="CA1317" i="1"/>
  <c r="CW1317" i="1"/>
  <c r="BH1312" i="1" a="1"/>
  <c r="BH1312" i="1" s="1"/>
  <c r="BG1312" i="1" s="1" a="1"/>
  <c r="BG1312" i="1" s="1"/>
  <c r="CA1312" i="1"/>
  <c r="CW1312" i="1"/>
  <c r="CU1588" i="1"/>
  <c r="CA902" i="1"/>
  <c r="CW1290" i="1"/>
  <c r="CV1290" i="1"/>
  <c r="CU1290" i="1"/>
  <c r="CS1290" i="1"/>
  <c r="CT1290" i="1" s="1"/>
  <c r="CR1290" i="1"/>
  <c r="CW1299" i="1"/>
  <c r="CS680" i="1"/>
  <c r="CT680" i="1" s="1"/>
  <c r="CS1326" i="1"/>
  <c r="CT1326" i="1" s="1"/>
  <c r="CU681" i="1"/>
  <c r="CW1324" i="1"/>
  <c r="CU1324" i="1"/>
  <c r="DA1324" i="1" s="1"/>
  <c r="CW1322" i="1"/>
  <c r="CA1320" i="1"/>
  <c r="CW1320" i="1"/>
  <c r="CY1320" i="1" s="1"/>
  <c r="FA1320" i="1" s="1"/>
  <c r="CW1315" i="1"/>
  <c r="CV1315" i="1"/>
  <c r="CU1315" i="1"/>
  <c r="CS1315" i="1"/>
  <c r="CT1315" i="1" s="1"/>
  <c r="CR1315" i="1"/>
  <c r="CA1313" i="1"/>
  <c r="CW1313" i="1"/>
  <c r="CA1309" i="1"/>
  <c r="CW1309" i="1"/>
  <c r="CY1309" i="1" s="1"/>
  <c r="FA1309" i="1" s="1"/>
  <c r="CP1587" i="1"/>
  <c r="BP1587" i="1"/>
  <c r="BQ1587" i="1" s="1"/>
  <c r="CS902" i="1"/>
  <c r="CT902" i="1" s="1"/>
  <c r="CA650" i="1"/>
  <c r="CW650" i="1"/>
  <c r="CY650" i="1" s="1"/>
  <c r="FA650" i="1" s="1"/>
  <c r="CW644" i="1"/>
  <c r="CU680" i="1"/>
  <c r="CV1326" i="1"/>
  <c r="DA1326" i="1" s="1"/>
  <c r="CV681" i="1"/>
  <c r="CQ1324" i="1"/>
  <c r="CW1318" i="1"/>
  <c r="CQ1315" i="1"/>
  <c r="CW1311" i="1"/>
  <c r="CV1311" i="1"/>
  <c r="CU1311" i="1"/>
  <c r="CS1311" i="1"/>
  <c r="CT1311" i="1" s="1"/>
  <c r="CR1311" i="1"/>
  <c r="CA693" i="1"/>
  <c r="CW693" i="1"/>
  <c r="CY693" i="1" s="1"/>
  <c r="FA693" i="1" s="1"/>
  <c r="BH674" i="1" a="1"/>
  <c r="BH674" i="1" s="1"/>
  <c r="CA674" i="1"/>
  <c r="CW674" i="1"/>
  <c r="CA1122" i="1"/>
  <c r="CU1392" i="1"/>
  <c r="CS1392" i="1"/>
  <c r="CT1392" i="1" s="1"/>
  <c r="CR1392" i="1"/>
  <c r="CW1392" i="1"/>
  <c r="CV1392" i="1"/>
  <c r="CQ1392" i="1"/>
  <c r="CW653" i="1"/>
  <c r="CV653" i="1"/>
  <c r="CU653" i="1"/>
  <c r="CS653" i="1"/>
  <c r="CT653" i="1" s="1"/>
  <c r="CR653" i="1"/>
  <c r="CQ653" i="1"/>
  <c r="CR1299" i="1"/>
  <c r="CR1332" i="1"/>
  <c r="CS612" i="1"/>
  <c r="CT612" i="1" s="1"/>
  <c r="CS629" i="1"/>
  <c r="CT629" i="1" s="1"/>
  <c r="CS1330" i="1"/>
  <c r="CT1330" i="1" s="1"/>
  <c r="CU1329" i="1"/>
  <c r="CV680" i="1"/>
  <c r="CW1326" i="1"/>
  <c r="CW681" i="1"/>
  <c r="CA1325" i="1"/>
  <c r="CR1324" i="1"/>
  <c r="CW694" i="1"/>
  <c r="CV694" i="1"/>
  <c r="CU694" i="1"/>
  <c r="CS694" i="1"/>
  <c r="CT694" i="1" s="1"/>
  <c r="CR694" i="1"/>
  <c r="CA669" i="1"/>
  <c r="CW669" i="1"/>
  <c r="BH667" i="1" a="1"/>
  <c r="BH667" i="1" s="1"/>
  <c r="CA667" i="1"/>
  <c r="CW667" i="1"/>
  <c r="CS1269" i="1"/>
  <c r="CT1269" i="1" s="1"/>
  <c r="CA651" i="1"/>
  <c r="CW651" i="1"/>
  <c r="BX648" i="1"/>
  <c r="BZ648" i="1" s="1"/>
  <c r="CW1122" i="1"/>
  <c r="CQ1297" i="1"/>
  <c r="CQ1298" i="1"/>
  <c r="CV1388" i="1"/>
  <c r="CU1388" i="1"/>
  <c r="CS1388" i="1"/>
  <c r="CT1388" i="1" s="1"/>
  <c r="BW1594" i="1"/>
  <c r="BQ1593" i="1"/>
  <c r="BO1593" i="1"/>
  <c r="BO1591" i="1"/>
  <c r="CQ1314" i="1"/>
  <c r="CQ1310" i="1"/>
  <c r="CQ668" i="1"/>
  <c r="CQ666" i="1"/>
  <c r="CQ671" i="1"/>
  <c r="CQ606" i="1"/>
  <c r="CW1269" i="1"/>
  <c r="CR1297" i="1"/>
  <c r="CR1298" i="1"/>
  <c r="CQ1388" i="1"/>
  <c r="BH1593" i="1" a="1"/>
  <c r="BH1593" i="1" s="1"/>
  <c r="BG1593" i="1" s="1" a="1"/>
  <c r="BG1593" i="1" s="1"/>
  <c r="BP1593" i="1"/>
  <c r="BH1591" i="1" a="1"/>
  <c r="BH1591" i="1" s="1"/>
  <c r="BG1591" i="1" s="1" a="1"/>
  <c r="BG1591" i="1" s="1"/>
  <c r="BP1591" i="1"/>
  <c r="CR1314" i="1"/>
  <c r="CR1310" i="1"/>
  <c r="CR668" i="1"/>
  <c r="CR666" i="1"/>
  <c r="CR671" i="1"/>
  <c r="BP1588" i="1"/>
  <c r="BQ1588" i="1" s="1"/>
  <c r="CR606" i="1"/>
  <c r="CS1297" i="1"/>
  <c r="CT1297" i="1" s="1"/>
  <c r="CS1298" i="1"/>
  <c r="CT1298" i="1" s="1"/>
  <c r="CR1388" i="1"/>
  <c r="CA1395" i="1"/>
  <c r="CS1314" i="1"/>
  <c r="CT1314" i="1" s="1"/>
  <c r="CS1310" i="1"/>
  <c r="CT1310" i="1" s="1"/>
  <c r="CS668" i="1"/>
  <c r="CT668" i="1" s="1"/>
  <c r="CS666" i="1"/>
  <c r="CT666" i="1" s="1"/>
  <c r="CS671" i="1"/>
  <c r="CT671" i="1" s="1"/>
  <c r="CS606" i="1"/>
  <c r="CT606" i="1" s="1"/>
  <c r="CU1297" i="1"/>
  <c r="DA1297" i="1" s="1"/>
  <c r="CU1298" i="1"/>
  <c r="DA1298" i="1" s="1"/>
  <c r="CW1388" i="1"/>
  <c r="CS1393" i="1"/>
  <c r="CT1393" i="1" s="1"/>
  <c r="CR1393" i="1"/>
  <c r="CQ1393" i="1"/>
  <c r="BH1403" i="1" a="1"/>
  <c r="BH1403" i="1" s="1"/>
  <c r="BQ1592" i="1"/>
  <c r="CP1592" i="1"/>
  <c r="BP1592" i="1"/>
  <c r="BO1592" i="1"/>
  <c r="CP1590" i="1"/>
  <c r="BP1590" i="1"/>
  <c r="CA664" i="1"/>
  <c r="CW664" i="1"/>
  <c r="BX646" i="1"/>
  <c r="BZ646" i="1" s="1"/>
  <c r="CV646" i="1"/>
  <c r="BW646" i="1"/>
  <c r="CW1298" i="1"/>
  <c r="CW1343" i="1"/>
  <c r="CV1343" i="1"/>
  <c r="CU1343" i="1"/>
  <c r="CU1393" i="1"/>
  <c r="DA1393" i="1" s="1"/>
  <c r="BQ1594" i="1"/>
  <c r="BH1590" i="1" a="1"/>
  <c r="BH1590" i="1" s="1"/>
  <c r="BO1590" i="1"/>
  <c r="BX645" i="1"/>
  <c r="BZ645" i="1" s="1"/>
  <c r="CV645" i="1"/>
  <c r="BW645" i="1"/>
  <c r="CV648" i="1"/>
  <c r="CU658" i="1"/>
  <c r="CS658" i="1"/>
  <c r="CT658" i="1" s="1"/>
  <c r="CR658" i="1"/>
  <c r="CW1284" i="1"/>
  <c r="CU1283" i="1"/>
  <c r="CS1283" i="1"/>
  <c r="CT1283" i="1" s="1"/>
  <c r="CR1283" i="1"/>
  <c r="CU864" i="1"/>
  <c r="CR864" i="1"/>
  <c r="CW864" i="1"/>
  <c r="CS864" i="1"/>
  <c r="CT864" i="1" s="1"/>
  <c r="CQ864" i="1"/>
  <c r="CV864" i="1"/>
  <c r="CW649" i="1"/>
  <c r="CQ654" i="1"/>
  <c r="BW651" i="1"/>
  <c r="CU651" i="1"/>
  <c r="DA651" i="1" s="1"/>
  <c r="BW641" i="1"/>
  <c r="BW656" i="1"/>
  <c r="BW648" i="1"/>
  <c r="CQ658" i="1"/>
  <c r="CQ1283" i="1"/>
  <c r="BH982" i="1" a="1"/>
  <c r="BH982" i="1" s="1"/>
  <c r="CR654" i="1"/>
  <c r="CS655" i="1"/>
  <c r="CT655" i="1" s="1"/>
  <c r="CR655" i="1"/>
  <c r="CU662" i="1"/>
  <c r="CS662" i="1"/>
  <c r="CT662" i="1" s="1"/>
  <c r="CU659" i="1"/>
  <c r="CS659" i="1"/>
  <c r="CT659" i="1" s="1"/>
  <c r="CU660" i="1"/>
  <c r="CS660" i="1"/>
  <c r="CT660" i="1" s="1"/>
  <c r="CR660" i="1"/>
  <c r="CV658" i="1"/>
  <c r="CV1283" i="1"/>
  <c r="CV1270" i="1"/>
  <c r="CU1270" i="1"/>
  <c r="CS1270" i="1"/>
  <c r="CT1270" i="1" s="1"/>
  <c r="CW1264" i="1"/>
  <c r="CV1264" i="1"/>
  <c r="CU1264" i="1"/>
  <c r="CW1107" i="1"/>
  <c r="CV1107" i="1"/>
  <c r="CU1107" i="1"/>
  <c r="CS1107" i="1"/>
  <c r="CT1107" i="1" s="1"/>
  <c r="CQ1107" i="1"/>
  <c r="CU582" i="1"/>
  <c r="CV582" i="1"/>
  <c r="CS582" i="1"/>
  <c r="CT582" i="1" s="1"/>
  <c r="CR582" i="1"/>
  <c r="CQ582" i="1"/>
  <c r="BX583" i="1"/>
  <c r="BZ583" i="1" s="1"/>
  <c r="CW643" i="1"/>
  <c r="CS654" i="1"/>
  <c r="CT654" i="1" s="1"/>
  <c r="CW641" i="1"/>
  <c r="CV641" i="1"/>
  <c r="BX652" i="1"/>
  <c r="BZ652" i="1" s="1"/>
  <c r="BW652" i="1"/>
  <c r="CW656" i="1"/>
  <c r="BX589" i="1"/>
  <c r="BZ589" i="1" s="1"/>
  <c r="CA589" i="1" s="1"/>
  <c r="BW589" i="1"/>
  <c r="CA592" i="1"/>
  <c r="BX585" i="1"/>
  <c r="BZ585" i="1" s="1"/>
  <c r="BW585" i="1"/>
  <c r="BP1594" i="1"/>
  <c r="CP1594" i="1"/>
  <c r="BW1589" i="1"/>
  <c r="CQ649" i="1"/>
  <c r="CR661" i="1"/>
  <c r="CU654" i="1"/>
  <c r="CQ664" i="1"/>
  <c r="CQ641" i="1"/>
  <c r="CU655" i="1"/>
  <c r="CQ656" i="1"/>
  <c r="CR662" i="1"/>
  <c r="CR659" i="1"/>
  <c r="CV660" i="1"/>
  <c r="CR1270" i="1"/>
  <c r="CR1264" i="1"/>
  <c r="CA1143" i="1"/>
  <c r="CW1143" i="1"/>
  <c r="CA1105" i="1"/>
  <c r="CW1105" i="1"/>
  <c r="CY1105" i="1" s="1"/>
  <c r="FA1105" i="1" s="1"/>
  <c r="CW1106" i="1"/>
  <c r="CA1275" i="1"/>
  <c r="CV592" i="1"/>
  <c r="CU592" i="1"/>
  <c r="CS592" i="1"/>
  <c r="CT592" i="1" s="1"/>
  <c r="CR592" i="1"/>
  <c r="CQ592" i="1"/>
  <c r="CA584" i="1"/>
  <c r="CW584" i="1"/>
  <c r="BW1591" i="1"/>
  <c r="CR649" i="1"/>
  <c r="CS661" i="1"/>
  <c r="CT661" i="1" s="1"/>
  <c r="CV654" i="1"/>
  <c r="CR664" i="1"/>
  <c r="CR641" i="1"/>
  <c r="CV655" i="1"/>
  <c r="CU663" i="1"/>
  <c r="DA663" i="1" s="1"/>
  <c r="CR656" i="1"/>
  <c r="CV662" i="1"/>
  <c r="CV659" i="1"/>
  <c r="CV647" i="1"/>
  <c r="CU657" i="1"/>
  <c r="CS657" i="1"/>
  <c r="CT657" i="1" s="1"/>
  <c r="CR657" i="1"/>
  <c r="CS1284" i="1"/>
  <c r="CT1284" i="1" s="1"/>
  <c r="CR1284" i="1"/>
  <c r="CQ1284" i="1"/>
  <c r="CW1270" i="1"/>
  <c r="CS1264" i="1"/>
  <c r="CT1264" i="1" s="1"/>
  <c r="BH1261" i="1" a="1"/>
  <c r="BH1261" i="1" s="1"/>
  <c r="CW592" i="1"/>
  <c r="BX590" i="1"/>
  <c r="BZ590" i="1" s="1"/>
  <c r="CA590" i="1" s="1"/>
  <c r="BW590" i="1"/>
  <c r="CV590" i="1"/>
  <c r="DA590" i="1" s="1"/>
  <c r="CU664" i="1"/>
  <c r="DA664" i="1" s="1"/>
  <c r="BH641" i="1" a="1"/>
  <c r="BH641" i="1" s="1"/>
  <c r="BG641" i="1" s="1" a="1"/>
  <c r="BG641" i="1" s="1"/>
  <c r="CS641" i="1"/>
  <c r="CT641" i="1" s="1"/>
  <c r="CV652" i="1"/>
  <c r="CU652" i="1"/>
  <c r="CR642" i="1"/>
  <c r="CQ642" i="1"/>
  <c r="BH656" i="1" a="1"/>
  <c r="BH656" i="1" s="1"/>
  <c r="CS656" i="1"/>
  <c r="CT656" i="1" s="1"/>
  <c r="CW662" i="1"/>
  <c r="CU1284" i="1"/>
  <c r="DA1284" i="1" s="1"/>
  <c r="CA1261" i="1"/>
  <c r="CU586" i="1"/>
  <c r="CR586" i="1"/>
  <c r="CU593" i="1"/>
  <c r="CR593" i="1"/>
  <c r="CQ593" i="1"/>
  <c r="CU598" i="1"/>
  <c r="CR598" i="1"/>
  <c r="CQ598" i="1"/>
  <c r="CW877" i="1"/>
  <c r="CV877" i="1"/>
  <c r="CU877" i="1"/>
  <c r="CS877" i="1"/>
  <c r="CT877" i="1" s="1"/>
  <c r="CQ877" i="1"/>
  <c r="BQ1602" i="1"/>
  <c r="CP1602" i="1"/>
  <c r="BP1602" i="1"/>
  <c r="BO1602" i="1"/>
  <c r="CV602" i="1"/>
  <c r="CS602" i="1"/>
  <c r="CT602" i="1" s="1"/>
  <c r="CR602" i="1"/>
  <c r="CQ596" i="1"/>
  <c r="CW596" i="1"/>
  <c r="CU596" i="1"/>
  <c r="CQ882" i="1"/>
  <c r="CW882" i="1"/>
  <c r="CU882" i="1"/>
  <c r="CA871" i="1"/>
  <c r="CS871" i="1"/>
  <c r="CT871" i="1" s="1"/>
  <c r="CA870" i="1"/>
  <c r="CW870" i="1"/>
  <c r="CW588" i="1"/>
  <c r="CV585" i="1"/>
  <c r="CS586" i="1"/>
  <c r="CT586" i="1" s="1"/>
  <c r="CV593" i="1"/>
  <c r="CQ602" i="1"/>
  <c r="CR596" i="1"/>
  <c r="CV598" i="1"/>
  <c r="CA867" i="1"/>
  <c r="CR882" i="1"/>
  <c r="CV881" i="1"/>
  <c r="CU881" i="1"/>
  <c r="CR881" i="1"/>
  <c r="CV1261" i="1"/>
  <c r="CP981" i="1"/>
  <c r="CV1106" i="1"/>
  <c r="CS1108" i="1"/>
  <c r="CT1108" i="1" s="1"/>
  <c r="CV589" i="1"/>
  <c r="CR591" i="1"/>
  <c r="CQ588" i="1"/>
  <c r="CQ585" i="1"/>
  <c r="CV586" i="1"/>
  <c r="CW593" i="1"/>
  <c r="CY593" i="1" s="1"/>
  <c r="FA593" i="1" s="1"/>
  <c r="CU602" i="1"/>
  <c r="CS596" i="1"/>
  <c r="CT596" i="1" s="1"/>
  <c r="CW598" i="1"/>
  <c r="CY598" i="1" s="1"/>
  <c r="FA598" i="1" s="1"/>
  <c r="CQ867" i="1"/>
  <c r="CW867" i="1"/>
  <c r="CU867" i="1"/>
  <c r="CA865" i="1"/>
  <c r="CS882" i="1"/>
  <c r="CT882" i="1" s="1"/>
  <c r="CQ881" i="1"/>
  <c r="CW878" i="1"/>
  <c r="BW982" i="1"/>
  <c r="CU1108" i="1"/>
  <c r="CQ587" i="1"/>
  <c r="CS591" i="1"/>
  <c r="CT591" i="1" s="1"/>
  <c r="CR588" i="1"/>
  <c r="CQ584" i="1"/>
  <c r="CR585" i="1"/>
  <c r="CQ590" i="1"/>
  <c r="CW602" i="1"/>
  <c r="CW595" i="1"/>
  <c r="CU595" i="1"/>
  <c r="CS595" i="1"/>
  <c r="CT595" i="1" s="1"/>
  <c r="CV596" i="1"/>
  <c r="CV865" i="1"/>
  <c r="CU865" i="1"/>
  <c r="CR865" i="1"/>
  <c r="CV882" i="1"/>
  <c r="CS881" i="1"/>
  <c r="CT881" i="1" s="1"/>
  <c r="CA868" i="1"/>
  <c r="CW868" i="1"/>
  <c r="CY868" i="1" s="1"/>
  <c r="FA868" i="1" s="1"/>
  <c r="CV1108" i="1"/>
  <c r="CU591" i="1"/>
  <c r="CS588" i="1"/>
  <c r="CT588" i="1" s="1"/>
  <c r="CR584" i="1"/>
  <c r="CS585" i="1"/>
  <c r="CT585" i="1" s="1"/>
  <c r="BH593" i="1" a="1"/>
  <c r="BH593" i="1" s="1"/>
  <c r="CQ595" i="1"/>
  <c r="CV600" i="1"/>
  <c r="CU600" i="1"/>
  <c r="BH603" i="1" a="1"/>
  <c r="BH603" i="1" s="1"/>
  <c r="CW603" i="1"/>
  <c r="BH882" i="1" a="1"/>
  <c r="BH882" i="1" s="1"/>
  <c r="BH881" i="1" a="1"/>
  <c r="BH881" i="1" s="1"/>
  <c r="CW881" i="1"/>
  <c r="CV591" i="1"/>
  <c r="CU588" i="1"/>
  <c r="CU585" i="1"/>
  <c r="BH598" i="1" a="1"/>
  <c r="BH598" i="1" s="1"/>
  <c r="CU879" i="1"/>
  <c r="CW879" i="1"/>
  <c r="CV879" i="1"/>
  <c r="CS879" i="1"/>
  <c r="CT879" i="1" s="1"/>
  <c r="CQ879" i="1"/>
  <c r="BX1605" i="1"/>
  <c r="BZ1605" i="1" s="1"/>
  <c r="CA896" i="1"/>
  <c r="CS896" i="1"/>
  <c r="CT896" i="1" s="1"/>
  <c r="BH876" i="1" a="1"/>
  <c r="BH876" i="1" s="1"/>
  <c r="CU869" i="1"/>
  <c r="DA869" i="1" s="1"/>
  <c r="CS869" i="1"/>
  <c r="CT869" i="1" s="1"/>
  <c r="CR869" i="1"/>
  <c r="CQ869" i="1"/>
  <c r="CW869" i="1"/>
  <c r="CW874" i="1"/>
  <c r="CY874" i="1" s="1"/>
  <c r="FA874" i="1" s="1"/>
  <c r="BX1602" i="1"/>
  <c r="BZ1602" i="1" s="1"/>
  <c r="BW1602" i="1"/>
  <c r="CU891" i="1"/>
  <c r="CS891" i="1"/>
  <c r="CT891" i="1" s="1"/>
  <c r="CR891" i="1"/>
  <c r="CQ891" i="1"/>
  <c r="CW891" i="1"/>
  <c r="CA898" i="1"/>
  <c r="CS898" i="1"/>
  <c r="CT898" i="1" s="1"/>
  <c r="CA893" i="1"/>
  <c r="CV891" i="1"/>
  <c r="CR601" i="1"/>
  <c r="CR883" i="1"/>
  <c r="CS880" i="1"/>
  <c r="CT880" i="1" s="1"/>
  <c r="CA876" i="1"/>
  <c r="CA873" i="1"/>
  <c r="CW873" i="1"/>
  <c r="CQ594" i="1"/>
  <c r="CS601" i="1"/>
  <c r="CT601" i="1" s="1"/>
  <c r="CQ863" i="1"/>
  <c r="CS883" i="1"/>
  <c r="CT883" i="1" s="1"/>
  <c r="CQ884" i="1"/>
  <c r="CU880" i="1"/>
  <c r="CA866" i="1"/>
  <c r="CW866" i="1"/>
  <c r="CU876" i="1"/>
  <c r="DA876" i="1" s="1"/>
  <c r="CS876" i="1"/>
  <c r="CT876" i="1" s="1"/>
  <c r="CR876" i="1"/>
  <c r="CW876" i="1"/>
  <c r="CW872" i="1"/>
  <c r="BO1604" i="1"/>
  <c r="CA894" i="1"/>
  <c r="CW889" i="1"/>
  <c r="CW880" i="1"/>
  <c r="CA890" i="1"/>
  <c r="CP712" i="1"/>
  <c r="CV892" i="1"/>
  <c r="CQ871" i="1"/>
  <c r="CV875" i="1"/>
  <c r="CQ872" i="1"/>
  <c r="CQ897" i="1"/>
  <c r="CQ895" i="1"/>
  <c r="CP1607" i="1"/>
  <c r="CP1608" i="1"/>
  <c r="CS897" i="1"/>
  <c r="CT897" i="1" s="1"/>
  <c r="CS895" i="1"/>
  <c r="CT895" i="1" s="1"/>
  <c r="CW890" i="1"/>
  <c r="CY890" i="1" s="1"/>
  <c r="FA890" i="1" s="1"/>
  <c r="CU871" i="1"/>
  <c r="CU872" i="1"/>
  <c r="BW1605" i="1"/>
  <c r="CU897" i="1"/>
  <c r="CU895" i="1"/>
  <c r="CU894" i="1"/>
  <c r="CU893" i="1"/>
  <c r="CS889" i="1"/>
  <c r="CT889" i="1" s="1"/>
  <c r="CQ892" i="1"/>
  <c r="CV871" i="1"/>
  <c r="CQ875" i="1"/>
  <c r="CV872" i="1"/>
  <c r="BO1603" i="1"/>
  <c r="CV897" i="1"/>
  <c r="CV895" i="1"/>
  <c r="CV894" i="1"/>
  <c r="CV893" i="1"/>
  <c r="CU889" i="1"/>
  <c r="DA889" i="1" s="1"/>
  <c r="CR892" i="1"/>
  <c r="BP1601" i="1"/>
  <c r="BP1603" i="1"/>
  <c r="CY873" i="1" l="1"/>
  <c r="FA873" i="1" s="1"/>
  <c r="CY669" i="1"/>
  <c r="FA669" i="1" s="1"/>
  <c r="CY1308" i="1"/>
  <c r="FA1308" i="1" s="1"/>
  <c r="CY884" i="1"/>
  <c r="FA884" i="1" s="1"/>
  <c r="CY893" i="1"/>
  <c r="FA893" i="1" s="1"/>
  <c r="CY863" i="1"/>
  <c r="FA863" i="1" s="1"/>
  <c r="CY1219" i="1"/>
  <c r="FA1219" i="1" s="1"/>
  <c r="CY595" i="1"/>
  <c r="FA595" i="1" s="1"/>
  <c r="CY1432" i="1"/>
  <c r="FA1432" i="1" s="1"/>
  <c r="CY683" i="1"/>
  <c r="FA683" i="1" s="1"/>
  <c r="CY684" i="1"/>
  <c r="FA684" i="1" s="1"/>
  <c r="CY867" i="1"/>
  <c r="FA867" i="1" s="1"/>
  <c r="CY685" i="1"/>
  <c r="FA685" i="1" s="1"/>
  <c r="CY667" i="1"/>
  <c r="FA667" i="1" s="1"/>
  <c r="CY1290" i="1"/>
  <c r="FA1290" i="1" s="1"/>
  <c r="CY1204" i="1"/>
  <c r="FA1204" i="1" s="1"/>
  <c r="CY675" i="1"/>
  <c r="FA675" i="1" s="1"/>
  <c r="CY644" i="1"/>
  <c r="FA644" i="1" s="1"/>
  <c r="CY1313" i="1"/>
  <c r="FA1313" i="1" s="1"/>
  <c r="CY1321" i="1"/>
  <c r="FA1321" i="1" s="1"/>
  <c r="CY664" i="1"/>
  <c r="FA664" i="1" s="1"/>
  <c r="CY614" i="1"/>
  <c r="FA614" i="1" s="1"/>
  <c r="CY1582" i="1"/>
  <c r="FA1582" i="1" s="1"/>
  <c r="CY679" i="1"/>
  <c r="FA679" i="1" s="1"/>
  <c r="CY892" i="1"/>
  <c r="FA892" i="1" s="1"/>
  <c r="CY674" i="1"/>
  <c r="FA674" i="1" s="1"/>
  <c r="CY1327" i="1"/>
  <c r="FA1327" i="1" s="1"/>
  <c r="CY878" i="1"/>
  <c r="FA878" i="1" s="1"/>
  <c r="CY665" i="1"/>
  <c r="FA665" i="1" s="1"/>
  <c r="CY1579" i="1"/>
  <c r="FA1579" i="1" s="1"/>
  <c r="CY1218" i="1"/>
  <c r="FA1218" i="1" s="1"/>
  <c r="CY1200" i="1"/>
  <c r="FA1200" i="1" s="1"/>
  <c r="CY673" i="1"/>
  <c r="FA673" i="1" s="1"/>
  <c r="CY1343" i="1"/>
  <c r="FA1343" i="1" s="1"/>
  <c r="CY754" i="1"/>
  <c r="FA754" i="1" s="1"/>
  <c r="CY1216" i="1"/>
  <c r="FA1216" i="1" s="1"/>
  <c r="CY596" i="1"/>
  <c r="FA596" i="1" s="1"/>
  <c r="CY662" i="1"/>
  <c r="FA662" i="1" s="1"/>
  <c r="CY629" i="1"/>
  <c r="FA629" i="1" s="1"/>
  <c r="CY1261" i="1"/>
  <c r="FA1261" i="1" s="1"/>
  <c r="CY1300" i="1"/>
  <c r="FA1300" i="1" s="1"/>
  <c r="DA645" i="1"/>
  <c r="CA1604" i="1"/>
  <c r="CY755" i="1"/>
  <c r="FA755" i="1" s="1"/>
  <c r="CY865" i="1"/>
  <c r="FA865" i="1" s="1"/>
  <c r="CY1332" i="1"/>
  <c r="FA1332" i="1" s="1"/>
  <c r="CY1317" i="1"/>
  <c r="FA1317" i="1" s="1"/>
  <c r="CY1215" i="1"/>
  <c r="FA1215" i="1" s="1"/>
  <c r="CY870" i="1"/>
  <c r="FA870" i="1" s="1"/>
  <c r="CY889" i="1"/>
  <c r="FA889" i="1" s="1"/>
  <c r="CY866" i="1"/>
  <c r="FA866" i="1" s="1"/>
  <c r="CY651" i="1"/>
  <c r="FA651" i="1" s="1"/>
  <c r="CY1324" i="1"/>
  <c r="FA1324" i="1" s="1"/>
  <c r="CY602" i="1"/>
  <c r="FA602" i="1" s="1"/>
  <c r="CY611" i="1"/>
  <c r="FA611" i="1" s="1"/>
  <c r="CY1226" i="1"/>
  <c r="FA1226" i="1" s="1"/>
  <c r="CY1301" i="1"/>
  <c r="FA1301" i="1" s="1"/>
  <c r="CY883" i="1"/>
  <c r="FA883" i="1" s="1"/>
  <c r="CY875" i="1"/>
  <c r="FA875" i="1" s="1"/>
  <c r="CY1318" i="1"/>
  <c r="FA1318" i="1" s="1"/>
  <c r="CY641" i="1"/>
  <c r="FA641" i="1" s="1"/>
  <c r="CY902" i="1"/>
  <c r="FA902" i="1" s="1"/>
  <c r="CY643" i="1"/>
  <c r="FA643" i="1" s="1"/>
  <c r="CY1106" i="1"/>
  <c r="FA1106" i="1" s="1"/>
  <c r="CY1299" i="1"/>
  <c r="FA1299" i="1" s="1"/>
  <c r="CY872" i="1"/>
  <c r="FA872" i="1" s="1"/>
  <c r="CY1222" i="1"/>
  <c r="FA1222" i="1" s="1"/>
  <c r="CY1203" i="1"/>
  <c r="FA1203" i="1" s="1"/>
  <c r="CY1264" i="1"/>
  <c r="FA1264" i="1" s="1"/>
  <c r="CY877" i="1"/>
  <c r="FA877" i="1" s="1"/>
  <c r="CY592" i="1"/>
  <c r="FA592" i="1" s="1"/>
  <c r="CY1122" i="1"/>
  <c r="FA1122" i="1" s="1"/>
  <c r="CY1311" i="1"/>
  <c r="FA1311" i="1" s="1"/>
  <c r="CY1322" i="1"/>
  <c r="FA1322" i="1" s="1"/>
  <c r="CY1331" i="1"/>
  <c r="FA1331" i="1" s="1"/>
  <c r="CY1394" i="1"/>
  <c r="FA1394" i="1" s="1"/>
  <c r="CY649" i="1"/>
  <c r="FA649" i="1" s="1"/>
  <c r="CY880" i="1"/>
  <c r="FA880" i="1" s="1"/>
  <c r="CY1107" i="1"/>
  <c r="FA1107" i="1" s="1"/>
  <c r="CY1143" i="1"/>
  <c r="FA1143" i="1" s="1"/>
  <c r="CY681" i="1"/>
  <c r="FA681" i="1" s="1"/>
  <c r="CY680" i="1"/>
  <c r="FA680" i="1" s="1"/>
  <c r="CY672" i="1"/>
  <c r="FA672" i="1" s="1"/>
  <c r="CY1316" i="1"/>
  <c r="FA1316" i="1" s="1"/>
  <c r="CY1212" i="1"/>
  <c r="FA1212" i="1" s="1"/>
  <c r="CY1199" i="1"/>
  <c r="FA1199" i="1" s="1"/>
  <c r="CY1224" i="1"/>
  <c r="FA1224" i="1" s="1"/>
  <c r="CY1223" i="1"/>
  <c r="FA1223" i="1" s="1"/>
  <c r="CY1403" i="1"/>
  <c r="FA1403" i="1" s="1"/>
  <c r="CY1396" i="1"/>
  <c r="FA1396" i="1" s="1"/>
  <c r="CY656" i="1"/>
  <c r="FA656" i="1" s="1"/>
  <c r="CY653" i="1"/>
  <c r="FA653" i="1" s="1"/>
  <c r="CY670" i="1"/>
  <c r="FA670" i="1" s="1"/>
  <c r="CY1319" i="1"/>
  <c r="FA1319" i="1" s="1"/>
  <c r="CY1302" i="1"/>
  <c r="FA1302" i="1" s="1"/>
  <c r="CY1108" i="1"/>
  <c r="FA1108" i="1" s="1"/>
  <c r="CY898" i="1"/>
  <c r="FA898" i="1" s="1"/>
  <c r="CY606" i="1"/>
  <c r="FA606" i="1" s="1"/>
  <c r="CY1201" i="1"/>
  <c r="FA1201" i="1" s="1"/>
  <c r="CY591" i="1"/>
  <c r="FA591" i="1" s="1"/>
  <c r="CY603" i="1"/>
  <c r="FA603" i="1" s="1"/>
  <c r="CY882" i="1"/>
  <c r="FA882" i="1" s="1"/>
  <c r="CY864" i="1"/>
  <c r="FA864" i="1" s="1"/>
  <c r="CY1269" i="1"/>
  <c r="FA1269" i="1" s="1"/>
  <c r="CY1328" i="1"/>
  <c r="FA1328" i="1" s="1"/>
  <c r="CY1225" i="1"/>
  <c r="FA1225" i="1" s="1"/>
  <c r="CY1220" i="1"/>
  <c r="FA1220" i="1" s="1"/>
  <c r="CY1305" i="1"/>
  <c r="FA1305" i="1" s="1"/>
  <c r="CY1393" i="1"/>
  <c r="FA1393" i="1" s="1"/>
  <c r="CY617" i="1"/>
  <c r="FA617" i="1" s="1"/>
  <c r="CY1581" i="1"/>
  <c r="FA1581" i="1" s="1"/>
  <c r="CY1330" i="1"/>
  <c r="FA1330" i="1" s="1"/>
  <c r="CY701" i="1"/>
  <c r="FA701" i="1" s="1"/>
  <c r="CY642" i="1"/>
  <c r="FA642" i="1" s="1"/>
  <c r="CY666" i="1"/>
  <c r="FA666" i="1" s="1"/>
  <c r="CY1314" i="1"/>
  <c r="FA1314" i="1" s="1"/>
  <c r="CY600" i="1"/>
  <c r="FA600" i="1" s="1"/>
  <c r="CY1208" i="1"/>
  <c r="FA1208" i="1" s="1"/>
  <c r="CY1205" i="1"/>
  <c r="FA1205" i="1" s="1"/>
  <c r="CY1221" i="1"/>
  <c r="FA1221" i="1" s="1"/>
  <c r="CY1304" i="1"/>
  <c r="FA1304" i="1" s="1"/>
  <c r="CY879" i="1"/>
  <c r="FA879" i="1" s="1"/>
  <c r="CY1326" i="1"/>
  <c r="FA1326" i="1" s="1"/>
  <c r="CY1392" i="1"/>
  <c r="FA1392" i="1" s="1"/>
  <c r="CY1296" i="1"/>
  <c r="FA1296" i="1" s="1"/>
  <c r="CY616" i="1"/>
  <c r="FA616" i="1" s="1"/>
  <c r="CY1206" i="1"/>
  <c r="FA1206" i="1" s="1"/>
  <c r="CY1209" i="1"/>
  <c r="FA1209" i="1" s="1"/>
  <c r="CY657" i="1"/>
  <c r="FA657" i="1" s="1"/>
  <c r="CY597" i="1"/>
  <c r="FA597" i="1" s="1"/>
  <c r="CY871" i="1"/>
  <c r="FA871" i="1" s="1"/>
  <c r="CY1303" i="1"/>
  <c r="FA1303" i="1" s="1"/>
  <c r="CY663" i="1"/>
  <c r="FA663" i="1" s="1"/>
  <c r="CY1270" i="1"/>
  <c r="FA1270" i="1" s="1"/>
  <c r="CX1576" i="1"/>
  <c r="CY1576" i="1"/>
  <c r="FA1576" i="1" s="1"/>
  <c r="CY1577" i="1"/>
  <c r="FA1577" i="1" s="1"/>
  <c r="CY671" i="1"/>
  <c r="FA671" i="1" s="1"/>
  <c r="CY601" i="1"/>
  <c r="FA601" i="1" s="1"/>
  <c r="CY896" i="1"/>
  <c r="FA896" i="1" s="1"/>
  <c r="CY1289" i="1"/>
  <c r="FA1289" i="1" s="1"/>
  <c r="CY1210" i="1"/>
  <c r="FA1210" i="1" s="1"/>
  <c r="CY1207" i="1"/>
  <c r="FA1207" i="1" s="1"/>
  <c r="CY881" i="1"/>
  <c r="FA881" i="1" s="1"/>
  <c r="CY588" i="1"/>
  <c r="FA588" i="1" s="1"/>
  <c r="CY1298" i="1"/>
  <c r="FA1298" i="1" s="1"/>
  <c r="CY1388" i="1"/>
  <c r="FA1388" i="1" s="1"/>
  <c r="CY1315" i="1"/>
  <c r="FA1315" i="1" s="1"/>
  <c r="CY678" i="1"/>
  <c r="FA678" i="1" s="1"/>
  <c r="CY966" i="1"/>
  <c r="FA966" i="1" s="1"/>
  <c r="CY897" i="1"/>
  <c r="FA897" i="1" s="1"/>
  <c r="CY1283" i="1"/>
  <c r="FA1283" i="1" s="1"/>
  <c r="CY1213" i="1"/>
  <c r="FA1213" i="1" s="1"/>
  <c r="CY1323" i="1"/>
  <c r="FA1323" i="1" s="1"/>
  <c r="CY1214" i="1"/>
  <c r="FA1214" i="1" s="1"/>
  <c r="CY1211" i="1"/>
  <c r="FA1211" i="1" s="1"/>
  <c r="CY1325" i="1"/>
  <c r="FA1325" i="1" s="1"/>
  <c r="CY891" i="1"/>
  <c r="FA891" i="1" s="1"/>
  <c r="CY876" i="1"/>
  <c r="FA876" i="1" s="1"/>
  <c r="CY869" i="1"/>
  <c r="FA869" i="1" s="1"/>
  <c r="CY584" i="1"/>
  <c r="FA584" i="1" s="1"/>
  <c r="CY1284" i="1"/>
  <c r="FA1284" i="1" s="1"/>
  <c r="CY694" i="1"/>
  <c r="FA694" i="1" s="1"/>
  <c r="CY1312" i="1"/>
  <c r="FA1312" i="1" s="1"/>
  <c r="CY668" i="1"/>
  <c r="FA668" i="1" s="1"/>
  <c r="CY1310" i="1"/>
  <c r="FA1310" i="1" s="1"/>
  <c r="CY612" i="1"/>
  <c r="FA612" i="1" s="1"/>
  <c r="CY1297" i="1"/>
  <c r="FA1297" i="1" s="1"/>
  <c r="CY599" i="1"/>
  <c r="FA599" i="1" s="1"/>
  <c r="CY654" i="1"/>
  <c r="FA654" i="1" s="1"/>
  <c r="CY594" i="1"/>
  <c r="FA594" i="1" s="1"/>
  <c r="CY1202" i="1"/>
  <c r="FA1202" i="1" s="1"/>
  <c r="CY1307" i="1"/>
  <c r="FA1307" i="1" s="1"/>
  <c r="CY895" i="1"/>
  <c r="FA895" i="1" s="1"/>
  <c r="CY1395" i="1"/>
  <c r="FA1395" i="1" s="1"/>
  <c r="CY1494" i="1"/>
  <c r="FA1494" i="1" s="1"/>
  <c r="CY1329" i="1"/>
  <c r="FA1329" i="1" s="1"/>
  <c r="CY677" i="1"/>
  <c r="FA677" i="1" s="1"/>
  <c r="CX880" i="1"/>
  <c r="CZ880" i="1"/>
  <c r="CX1322" i="1"/>
  <c r="CZ1322" i="1"/>
  <c r="CX1108" i="1"/>
  <c r="CZ1108" i="1"/>
  <c r="CX664" i="1"/>
  <c r="CZ664" i="1"/>
  <c r="CX672" i="1"/>
  <c r="CZ672" i="1"/>
  <c r="CX755" i="1"/>
  <c r="CZ755" i="1"/>
  <c r="CX1394" i="1"/>
  <c r="CZ1394" i="1"/>
  <c r="CX889" i="1"/>
  <c r="CZ889" i="1"/>
  <c r="CX879" i="1"/>
  <c r="CZ879" i="1"/>
  <c r="CX1326" i="1"/>
  <c r="CZ1326" i="1"/>
  <c r="CX1206" i="1"/>
  <c r="CZ1206" i="1"/>
  <c r="CX600" i="1"/>
  <c r="CZ600" i="1"/>
  <c r="CX1208" i="1"/>
  <c r="CZ1208" i="1"/>
  <c r="CX1221" i="1"/>
  <c r="CZ1221" i="1"/>
  <c r="CX873" i="1"/>
  <c r="CZ873" i="1"/>
  <c r="CX1264" i="1"/>
  <c r="CZ1264" i="1"/>
  <c r="CX629" i="1"/>
  <c r="CZ629" i="1"/>
  <c r="CX675" i="1"/>
  <c r="CZ675" i="1"/>
  <c r="CX894" i="1"/>
  <c r="CZ894" i="1"/>
  <c r="CX1303" i="1"/>
  <c r="CZ1303" i="1"/>
  <c r="CX663" i="1"/>
  <c r="CZ663" i="1"/>
  <c r="CX882" i="1"/>
  <c r="CZ882" i="1"/>
  <c r="CX1269" i="1"/>
  <c r="CZ1269" i="1"/>
  <c r="CX1331" i="1"/>
  <c r="CZ1331" i="1"/>
  <c r="CX1225" i="1"/>
  <c r="CZ1225" i="1"/>
  <c r="CX868" i="1"/>
  <c r="CZ868" i="1"/>
  <c r="CX681" i="1"/>
  <c r="CZ681" i="1"/>
  <c r="CX1317" i="1"/>
  <c r="CZ1317" i="1"/>
  <c r="CX1212" i="1"/>
  <c r="CZ1212" i="1"/>
  <c r="CX701" i="1"/>
  <c r="CZ701" i="1"/>
  <c r="CX614" i="1"/>
  <c r="CZ614" i="1"/>
  <c r="CX642" i="1"/>
  <c r="CZ642" i="1"/>
  <c r="CX617" i="1"/>
  <c r="CZ617" i="1"/>
  <c r="CX866" i="1"/>
  <c r="CZ866" i="1"/>
  <c r="CX651" i="1"/>
  <c r="CZ651" i="1"/>
  <c r="CX1392" i="1"/>
  <c r="CZ1392" i="1"/>
  <c r="CX1318" i="1"/>
  <c r="CZ1318" i="1"/>
  <c r="CX1324" i="1"/>
  <c r="CZ1324" i="1"/>
  <c r="CX1296" i="1"/>
  <c r="CZ1296" i="1"/>
  <c r="CX616" i="1"/>
  <c r="CZ616" i="1"/>
  <c r="CX1223" i="1"/>
  <c r="CZ1223" i="1"/>
  <c r="CX666" i="1"/>
  <c r="CZ666" i="1"/>
  <c r="CX1314" i="1"/>
  <c r="CZ1314" i="1"/>
  <c r="CX595" i="1"/>
  <c r="CZ595" i="1"/>
  <c r="CX596" i="1"/>
  <c r="CZ596" i="1"/>
  <c r="CX662" i="1"/>
  <c r="CZ662" i="1"/>
  <c r="CX1290" i="1"/>
  <c r="CZ1290" i="1"/>
  <c r="CX1577" i="1"/>
  <c r="CZ1577" i="1"/>
  <c r="CX1308" i="1"/>
  <c r="CZ1308" i="1"/>
  <c r="CX1582" i="1"/>
  <c r="CZ1582" i="1"/>
  <c r="CX884" i="1"/>
  <c r="CZ884" i="1"/>
  <c r="CX671" i="1"/>
  <c r="CZ671" i="1"/>
  <c r="CX1261" i="1"/>
  <c r="CZ1261" i="1"/>
  <c r="CX871" i="1"/>
  <c r="CZ871" i="1"/>
  <c r="CX602" i="1"/>
  <c r="CZ602" i="1"/>
  <c r="CX598" i="1"/>
  <c r="CZ598" i="1"/>
  <c r="CZ649" i="1"/>
  <c r="CX649" i="1"/>
  <c r="CX1343" i="1"/>
  <c r="CZ1343" i="1"/>
  <c r="CX684" i="1"/>
  <c r="CZ684" i="1"/>
  <c r="CX754" i="1"/>
  <c r="CZ754" i="1"/>
  <c r="CX611" i="1"/>
  <c r="CZ611" i="1"/>
  <c r="CX1432" i="1"/>
  <c r="CZ1432" i="1"/>
  <c r="CX1216" i="1"/>
  <c r="CZ1216" i="1"/>
  <c r="CX1204" i="1"/>
  <c r="CZ1204" i="1"/>
  <c r="CZ1226" i="1"/>
  <c r="CX1226" i="1"/>
  <c r="CX893" i="1"/>
  <c r="CZ893" i="1"/>
  <c r="CX892" i="1"/>
  <c r="CZ892" i="1"/>
  <c r="CX863" i="1"/>
  <c r="CZ863" i="1"/>
  <c r="CX1300" i="1"/>
  <c r="CZ1300" i="1"/>
  <c r="CZ601" i="1"/>
  <c r="CX601" i="1"/>
  <c r="CX603" i="1"/>
  <c r="CZ603" i="1"/>
  <c r="CX864" i="1"/>
  <c r="CZ864" i="1"/>
  <c r="CX1122" i="1"/>
  <c r="CZ1122" i="1"/>
  <c r="CZ650" i="1"/>
  <c r="CX650" i="1"/>
  <c r="CX1328" i="1"/>
  <c r="CZ1328" i="1"/>
  <c r="CX1332" i="1"/>
  <c r="CZ1332" i="1"/>
  <c r="CX898" i="1"/>
  <c r="CZ898" i="1"/>
  <c r="CX1203" i="1"/>
  <c r="CZ1203" i="1"/>
  <c r="CX1316" i="1"/>
  <c r="CZ1316" i="1"/>
  <c r="CX1330" i="1"/>
  <c r="CZ1330" i="1"/>
  <c r="CX1199" i="1"/>
  <c r="CZ1199" i="1"/>
  <c r="CX1215" i="1"/>
  <c r="CZ1215" i="1"/>
  <c r="CX1393" i="1"/>
  <c r="CZ1393" i="1"/>
  <c r="CX890" i="1"/>
  <c r="CZ890" i="1"/>
  <c r="CX1209" i="1"/>
  <c r="CZ1209" i="1"/>
  <c r="CX865" i="1"/>
  <c r="CZ865" i="1"/>
  <c r="CX1304" i="1"/>
  <c r="CZ1304" i="1"/>
  <c r="CX1270" i="1"/>
  <c r="CZ1270" i="1"/>
  <c r="CX874" i="1"/>
  <c r="CZ874" i="1"/>
  <c r="CX643" i="1"/>
  <c r="CZ643" i="1"/>
  <c r="CX1298" i="1"/>
  <c r="CZ1298" i="1"/>
  <c r="CX1388" i="1"/>
  <c r="CZ1388" i="1"/>
  <c r="CX667" i="1"/>
  <c r="CZ667" i="1"/>
  <c r="CX1309" i="1"/>
  <c r="CZ1309" i="1"/>
  <c r="CX1315" i="1"/>
  <c r="CZ1315" i="1"/>
  <c r="CZ665" i="1"/>
  <c r="CX665" i="1"/>
  <c r="CX678" i="1"/>
  <c r="CZ678" i="1"/>
  <c r="CX1217" i="1"/>
  <c r="CZ1217" i="1"/>
  <c r="CX966" i="1"/>
  <c r="CZ966" i="1"/>
  <c r="CX897" i="1"/>
  <c r="CZ897" i="1"/>
  <c r="CX1283" i="1"/>
  <c r="CZ1283" i="1"/>
  <c r="CX1301" i="1"/>
  <c r="CZ1301" i="1"/>
  <c r="CX883" i="1"/>
  <c r="CZ883" i="1"/>
  <c r="CX1396" i="1"/>
  <c r="CZ1396" i="1"/>
  <c r="CX587" i="1"/>
  <c r="CZ587" i="1"/>
  <c r="CX902" i="1"/>
  <c r="CZ902" i="1"/>
  <c r="CX896" i="1"/>
  <c r="CZ896" i="1"/>
  <c r="CX1289" i="1"/>
  <c r="CZ1289" i="1"/>
  <c r="CX1210" i="1"/>
  <c r="CZ1210" i="1"/>
  <c r="CX1207" i="1"/>
  <c r="CZ1207" i="1"/>
  <c r="CX877" i="1"/>
  <c r="CZ877" i="1"/>
  <c r="CX592" i="1"/>
  <c r="CZ592" i="1"/>
  <c r="CX1107" i="1"/>
  <c r="CZ1107" i="1"/>
  <c r="CX669" i="1"/>
  <c r="CZ669" i="1"/>
  <c r="CX1311" i="1"/>
  <c r="CZ1311" i="1"/>
  <c r="CX1220" i="1"/>
  <c r="CZ1220" i="1"/>
  <c r="CX1305" i="1"/>
  <c r="CZ1305" i="1"/>
  <c r="CX606" i="1"/>
  <c r="CZ606" i="1"/>
  <c r="CX1201" i="1"/>
  <c r="CZ1201" i="1"/>
  <c r="CX591" i="1"/>
  <c r="CZ591" i="1"/>
  <c r="CX1143" i="1"/>
  <c r="CZ1143" i="1"/>
  <c r="CX680" i="1"/>
  <c r="CZ680" i="1"/>
  <c r="CX1224" i="1"/>
  <c r="CZ1224" i="1"/>
  <c r="CX1581" i="1"/>
  <c r="CZ1581" i="1"/>
  <c r="DA643" i="1"/>
  <c r="CX693" i="1"/>
  <c r="CZ693" i="1"/>
  <c r="CX673" i="1"/>
  <c r="CZ673" i="1"/>
  <c r="CX610" i="1"/>
  <c r="CZ610" i="1"/>
  <c r="CX657" i="1"/>
  <c r="CZ657" i="1"/>
  <c r="CX1403" i="1"/>
  <c r="CZ1403" i="1"/>
  <c r="CX641" i="1"/>
  <c r="CZ641" i="1"/>
  <c r="CX685" i="1"/>
  <c r="CZ685" i="1"/>
  <c r="CX683" i="1"/>
  <c r="CZ683" i="1"/>
  <c r="CX872" i="1"/>
  <c r="CZ872" i="1"/>
  <c r="CX891" i="1"/>
  <c r="CZ891" i="1"/>
  <c r="CX881" i="1"/>
  <c r="CZ881" i="1"/>
  <c r="CX878" i="1"/>
  <c r="CZ878" i="1"/>
  <c r="CX588" i="1"/>
  <c r="CZ588" i="1"/>
  <c r="CX870" i="1"/>
  <c r="CZ870" i="1"/>
  <c r="CX584" i="1"/>
  <c r="CZ584" i="1"/>
  <c r="CX1284" i="1"/>
  <c r="CZ1284" i="1"/>
  <c r="CX694" i="1"/>
  <c r="CZ694" i="1"/>
  <c r="CX1299" i="1"/>
  <c r="CZ1299" i="1"/>
  <c r="CX1312" i="1"/>
  <c r="CZ1312" i="1"/>
  <c r="CX668" i="1"/>
  <c r="CZ668" i="1"/>
  <c r="CX1310" i="1"/>
  <c r="CZ1310" i="1"/>
  <c r="CX612" i="1"/>
  <c r="CZ612" i="1"/>
  <c r="CX1218" i="1"/>
  <c r="CZ1218" i="1"/>
  <c r="CX1200" i="1"/>
  <c r="CZ1200" i="1"/>
  <c r="CX756" i="1"/>
  <c r="CZ756" i="1"/>
  <c r="CX1219" i="1"/>
  <c r="CZ1219" i="1"/>
  <c r="CX599" i="1"/>
  <c r="CZ599" i="1"/>
  <c r="CX654" i="1"/>
  <c r="CZ654" i="1"/>
  <c r="CX594" i="1"/>
  <c r="CZ594" i="1"/>
  <c r="CX1213" i="1"/>
  <c r="CZ1213" i="1"/>
  <c r="CX1579" i="1"/>
  <c r="CZ1579" i="1"/>
  <c r="CX1323" i="1"/>
  <c r="CZ1323" i="1"/>
  <c r="CX1214" i="1"/>
  <c r="CZ1214" i="1"/>
  <c r="CX1211" i="1"/>
  <c r="CZ1211" i="1"/>
  <c r="CX1325" i="1"/>
  <c r="CZ1325" i="1"/>
  <c r="CX867" i="1"/>
  <c r="CZ867" i="1"/>
  <c r="CX597" i="1"/>
  <c r="CZ597" i="1"/>
  <c r="CX1205" i="1"/>
  <c r="CZ1205" i="1"/>
  <c r="CX1306" i="1"/>
  <c r="CZ1306" i="1"/>
  <c r="CX876" i="1"/>
  <c r="CZ876" i="1"/>
  <c r="CX869" i="1"/>
  <c r="CZ869" i="1"/>
  <c r="CX1106" i="1"/>
  <c r="CZ1106" i="1"/>
  <c r="CX1320" i="1"/>
  <c r="CZ1320" i="1"/>
  <c r="CX1297" i="1"/>
  <c r="CZ1297" i="1"/>
  <c r="CX593" i="1"/>
  <c r="CZ593" i="1"/>
  <c r="CX1105" i="1"/>
  <c r="CZ1105" i="1"/>
  <c r="CX656" i="1"/>
  <c r="CZ656" i="1"/>
  <c r="CX653" i="1"/>
  <c r="CZ653" i="1"/>
  <c r="CZ674" i="1"/>
  <c r="CX674" i="1"/>
  <c r="CX644" i="1"/>
  <c r="CZ644" i="1"/>
  <c r="CX1313" i="1"/>
  <c r="CZ1313" i="1"/>
  <c r="CX670" i="1"/>
  <c r="CZ670" i="1"/>
  <c r="CX1319" i="1"/>
  <c r="CZ1319" i="1"/>
  <c r="CX1302" i="1"/>
  <c r="CZ1302" i="1"/>
  <c r="CZ1327" i="1"/>
  <c r="CX1327" i="1"/>
  <c r="CX1321" i="1"/>
  <c r="CZ1321" i="1"/>
  <c r="CX679" i="1"/>
  <c r="CZ679" i="1"/>
  <c r="CX1222" i="1"/>
  <c r="CZ1222" i="1"/>
  <c r="CX875" i="1"/>
  <c r="CZ875" i="1"/>
  <c r="CX1202" i="1"/>
  <c r="CZ1202" i="1"/>
  <c r="CX1307" i="1"/>
  <c r="CZ1307" i="1"/>
  <c r="CX895" i="1"/>
  <c r="CZ895" i="1"/>
  <c r="CX1395" i="1"/>
  <c r="CZ1395" i="1"/>
  <c r="CX1494" i="1"/>
  <c r="CZ1494" i="1"/>
  <c r="CX1329" i="1"/>
  <c r="CZ1329" i="1"/>
  <c r="CX677" i="1"/>
  <c r="CT677" i="1"/>
  <c r="CZ677" i="1" s="1"/>
  <c r="CT1576" i="1"/>
  <c r="CZ1576" i="1" s="1"/>
  <c r="CA663" i="1"/>
  <c r="DA1199" i="1"/>
  <c r="CA1603" i="1"/>
  <c r="CV1605" i="1"/>
  <c r="CW659" i="1"/>
  <c r="CY659" i="1" s="1"/>
  <c r="FA659" i="1" s="1"/>
  <c r="CW1605" i="1"/>
  <c r="CQ1605" i="1"/>
  <c r="CW658" i="1"/>
  <c r="CY658" i="1" s="1"/>
  <c r="FA658" i="1" s="1"/>
  <c r="CS979" i="1"/>
  <c r="CT979" i="1" s="1"/>
  <c r="CU1605" i="1"/>
  <c r="DA665" i="1"/>
  <c r="CS982" i="1"/>
  <c r="CX982" i="1" s="1"/>
  <c r="CV86" i="1"/>
  <c r="DA646" i="1"/>
  <c r="DA679" i="1"/>
  <c r="DA641" i="1"/>
  <c r="DA583" i="1"/>
  <c r="DA1214" i="1"/>
  <c r="DA755" i="1"/>
  <c r="DA1105" i="1"/>
  <c r="DA673" i="1"/>
  <c r="CW647" i="1"/>
  <c r="CY647" i="1" s="1"/>
  <c r="FA647" i="1" s="1"/>
  <c r="CR1591" i="1"/>
  <c r="CS703" i="1"/>
  <c r="CX703" i="1" s="1"/>
  <c r="CU1591" i="1"/>
  <c r="DA1591" i="1" s="1"/>
  <c r="CA1590" i="1"/>
  <c r="CQ1591" i="1"/>
  <c r="DA1261" i="1"/>
  <c r="CS704" i="1"/>
  <c r="CX704" i="1" s="1"/>
  <c r="DA867" i="1"/>
  <c r="CA1398" i="1"/>
  <c r="CS1604" i="1"/>
  <c r="CT1604" i="1" s="1"/>
  <c r="CV1399" i="1"/>
  <c r="DA1321" i="1"/>
  <c r="CW661" i="1"/>
  <c r="CY661" i="1" s="1"/>
  <c r="FA661" i="1" s="1"/>
  <c r="DA902" i="1"/>
  <c r="CA1588" i="1"/>
  <c r="CQ1593" i="1"/>
  <c r="CQ1606" i="1"/>
  <c r="CA1594" i="1"/>
  <c r="CW1604" i="1"/>
  <c r="CW655" i="1"/>
  <c r="CY655" i="1" s="1"/>
  <c r="FA655" i="1" s="1"/>
  <c r="CQ1604" i="1"/>
  <c r="DA1106" i="1"/>
  <c r="CA1592" i="1"/>
  <c r="DA1588" i="1"/>
  <c r="CR1604" i="1"/>
  <c r="CA657" i="1"/>
  <c r="CW1397" i="1"/>
  <c r="DA1395" i="1"/>
  <c r="DA1269" i="1"/>
  <c r="CW660" i="1"/>
  <c r="CY660" i="1" s="1"/>
  <c r="FA660" i="1" s="1"/>
  <c r="DA588" i="1"/>
  <c r="CA642" i="1"/>
  <c r="CS1398" i="1"/>
  <c r="CX1398" i="1" s="1"/>
  <c r="CW582" i="1"/>
  <c r="CY582" i="1" s="1"/>
  <c r="FA582" i="1" s="1"/>
  <c r="CS706" i="1"/>
  <c r="CT706" i="1" s="1"/>
  <c r="DA1316" i="1"/>
  <c r="DA870" i="1"/>
  <c r="DA884" i="1"/>
  <c r="DA1579" i="1"/>
  <c r="CW1591" i="1"/>
  <c r="CW1593" i="1"/>
  <c r="CW980" i="1"/>
  <c r="CU706" i="1"/>
  <c r="CA1601" i="1"/>
  <c r="CS1605" i="1"/>
  <c r="CT1605" i="1" s="1"/>
  <c r="DA1313" i="1"/>
  <c r="DA1203" i="1"/>
  <c r="DA1300" i="1"/>
  <c r="DA669" i="1"/>
  <c r="DA880" i="1"/>
  <c r="CS980" i="1"/>
  <c r="CT980" i="1" s="1"/>
  <c r="CU980" i="1"/>
  <c r="CA591" i="1"/>
  <c r="CQ979" i="1"/>
  <c r="DA1323" i="1"/>
  <c r="CR980" i="1"/>
  <c r="CV980" i="1"/>
  <c r="DA1329" i="1"/>
  <c r="CW1589" i="1"/>
  <c r="CR702" i="1"/>
  <c r="DA1317" i="1"/>
  <c r="CV979" i="1"/>
  <c r="DA1220" i="1"/>
  <c r="DA874" i="1"/>
  <c r="DA614" i="1"/>
  <c r="CW979" i="1"/>
  <c r="DA648" i="1"/>
  <c r="DA1303" i="1"/>
  <c r="CA1589" i="1"/>
  <c r="DA1223" i="1"/>
  <c r="DA672" i="1"/>
  <c r="CU1597" i="1"/>
  <c r="DA668" i="1"/>
  <c r="DA1394" i="1"/>
  <c r="DA589" i="1"/>
  <c r="CV1597" i="1"/>
  <c r="DA1282" i="1"/>
  <c r="CU1604" i="1"/>
  <c r="DA1604" i="1" s="1"/>
  <c r="DA657" i="1"/>
  <c r="CW706" i="1"/>
  <c r="CA1602" i="1"/>
  <c r="DA595" i="1"/>
  <c r="CA1593" i="1"/>
  <c r="CA1591" i="1"/>
  <c r="DA666" i="1"/>
  <c r="DA1217" i="1"/>
  <c r="DA898" i="1"/>
  <c r="DA1494" i="1"/>
  <c r="DA647" i="1"/>
  <c r="CV1601" i="1"/>
  <c r="DA1601" i="1" s="1"/>
  <c r="CW1601" i="1"/>
  <c r="DA882" i="1"/>
  <c r="CQ705" i="1"/>
  <c r="CR706" i="1"/>
  <c r="DA587" i="1"/>
  <c r="CA1494" i="1"/>
  <c r="CS1601" i="1"/>
  <c r="CT1601" i="1" s="1"/>
  <c r="CA1587" i="1"/>
  <c r="CU1589" i="1"/>
  <c r="CR1589" i="1"/>
  <c r="DA868" i="1"/>
  <c r="DA671" i="1"/>
  <c r="DA693" i="1"/>
  <c r="CS1589" i="1"/>
  <c r="CT1589" i="1" s="1"/>
  <c r="DA1143" i="1"/>
  <c r="CQ1601" i="1"/>
  <c r="CR1601" i="1"/>
  <c r="DA1309" i="1"/>
  <c r="CV1589" i="1"/>
  <c r="DA1304" i="1"/>
  <c r="DA1577" i="1"/>
  <c r="CW586" i="1"/>
  <c r="CY586" i="1" s="1"/>
  <c r="FA586" i="1" s="1"/>
  <c r="CV706" i="1"/>
  <c r="DA756" i="1"/>
  <c r="CS702" i="1"/>
  <c r="CT702" i="1" s="1"/>
  <c r="CS1597" i="1"/>
  <c r="CX1597" i="1" s="1"/>
  <c r="DA617" i="1"/>
  <c r="DA892" i="1"/>
  <c r="DA685" i="1"/>
  <c r="CS1399" i="1"/>
  <c r="CT1399" i="1" s="1"/>
  <c r="CU702" i="1"/>
  <c r="DA1332" i="1"/>
  <c r="DA1322" i="1"/>
  <c r="CU1399" i="1"/>
  <c r="DA1264" i="1"/>
  <c r="CW1399" i="1"/>
  <c r="CV702" i="1"/>
  <c r="DA642" i="1"/>
  <c r="DA591" i="1"/>
  <c r="DA592" i="1"/>
  <c r="DA864" i="1"/>
  <c r="CR1593" i="1"/>
  <c r="CQ1399" i="1"/>
  <c r="DA717" i="1"/>
  <c r="CW702" i="1"/>
  <c r="DA1305" i="1"/>
  <c r="DA616" i="1"/>
  <c r="DA612" i="1"/>
  <c r="DA674" i="1"/>
  <c r="DA1204" i="1"/>
  <c r="CU86" i="1"/>
  <c r="DA1328" i="1"/>
  <c r="CS86" i="1"/>
  <c r="CX86" i="1" s="1"/>
  <c r="DA629" i="1"/>
  <c r="DA1218" i="1"/>
  <c r="DA875" i="1"/>
  <c r="CS1603" i="1"/>
  <c r="CT1603" i="1" s="1"/>
  <c r="DA655" i="1"/>
  <c r="DA704" i="1"/>
  <c r="DA683" i="1"/>
  <c r="DA1301" i="1"/>
  <c r="CV1603" i="1"/>
  <c r="CU1606" i="1"/>
  <c r="DA1283" i="1"/>
  <c r="DA866" i="1"/>
  <c r="DA890" i="1"/>
  <c r="DA893" i="1"/>
  <c r="DA895" i="1"/>
  <c r="CW1603" i="1"/>
  <c r="CV1606" i="1"/>
  <c r="DA598" i="1"/>
  <c r="DA754" i="1"/>
  <c r="DA599" i="1"/>
  <c r="CR1606" i="1"/>
  <c r="DA586" i="1"/>
  <c r="DA654" i="1"/>
  <c r="CS1591" i="1"/>
  <c r="CT1591" i="1" s="1"/>
  <c r="DA1222" i="1"/>
  <c r="CS1606" i="1"/>
  <c r="CX1606" i="1" s="1"/>
  <c r="DA684" i="1"/>
  <c r="DA584" i="1"/>
  <c r="CQ1597" i="1"/>
  <c r="DA1290" i="1"/>
  <c r="DA1296" i="1"/>
  <c r="CU1397" i="1"/>
  <c r="CV705" i="1"/>
  <c r="DA1398" i="1"/>
  <c r="DA1433" i="1"/>
  <c r="CU1603" i="1"/>
  <c r="CQ1603" i="1"/>
  <c r="DA610" i="1"/>
  <c r="CS1397" i="1"/>
  <c r="CT1397" i="1" s="1"/>
  <c r="DA585" i="1"/>
  <c r="DA1270" i="1"/>
  <c r="DA1319" i="1"/>
  <c r="CU979" i="1"/>
  <c r="CR979" i="1"/>
  <c r="DA1107" i="1"/>
  <c r="DA865" i="1"/>
  <c r="DA1221" i="1"/>
  <c r="DA601" i="1"/>
  <c r="DA594" i="1"/>
  <c r="CA1605" i="1"/>
  <c r="CA1606" i="1"/>
  <c r="CW590" i="1"/>
  <c r="CY590" i="1" s="1"/>
  <c r="FA590" i="1" s="1"/>
  <c r="DA660" i="1"/>
  <c r="DA582" i="1"/>
  <c r="DA658" i="1"/>
  <c r="DA1392" i="1"/>
  <c r="CU1593" i="1"/>
  <c r="DA1593" i="1" s="1"/>
  <c r="DA1206" i="1"/>
  <c r="CA86" i="1"/>
  <c r="DA652" i="1"/>
  <c r="DA872" i="1"/>
  <c r="DA593" i="1"/>
  <c r="CS705" i="1"/>
  <c r="CX705" i="1" s="1"/>
  <c r="CW717" i="1"/>
  <c r="CY717" i="1" s="1"/>
  <c r="FA717" i="1" s="1"/>
  <c r="CW1282" i="1"/>
  <c r="CY1282" i="1" s="1"/>
  <c r="FA1282" i="1" s="1"/>
  <c r="DA1330" i="1"/>
  <c r="CV1397" i="1"/>
  <c r="CQ1397" i="1"/>
  <c r="CU705" i="1"/>
  <c r="CR705" i="1"/>
  <c r="DA894" i="1"/>
  <c r="DA871" i="1"/>
  <c r="DA881" i="1"/>
  <c r="CR1597" i="1"/>
  <c r="DA670" i="1"/>
  <c r="DA1582" i="1"/>
  <c r="CS708" i="1"/>
  <c r="CX708" i="1" s="1"/>
  <c r="DA897" i="1"/>
  <c r="CW712" i="1"/>
  <c r="CV712" i="1"/>
  <c r="CU712" i="1"/>
  <c r="CS712" i="1"/>
  <c r="CT712" i="1" s="1"/>
  <c r="CQ712" i="1"/>
  <c r="CR712" i="1"/>
  <c r="CR1594" i="1"/>
  <c r="CQ1594" i="1"/>
  <c r="CW1594" i="1"/>
  <c r="CU1594" i="1"/>
  <c r="CS1594" i="1"/>
  <c r="CT1594" i="1" s="1"/>
  <c r="CV1594" i="1"/>
  <c r="DA1343" i="1"/>
  <c r="CU1590" i="1"/>
  <c r="CS1590" i="1"/>
  <c r="CT1590" i="1" s="1"/>
  <c r="CR1590" i="1"/>
  <c r="CV1590" i="1"/>
  <c r="CQ1590" i="1"/>
  <c r="CW1590" i="1"/>
  <c r="DA653" i="1"/>
  <c r="DA675" i="1"/>
  <c r="DA701" i="1"/>
  <c r="DA659" i="1"/>
  <c r="CA583" i="1"/>
  <c r="CW583" i="1"/>
  <c r="CY583" i="1" s="1"/>
  <c r="FA583" i="1" s="1"/>
  <c r="DA703" i="1"/>
  <c r="DA708" i="1"/>
  <c r="CW1433" i="1"/>
  <c r="CY1433" i="1" s="1"/>
  <c r="FA1433" i="1" s="1"/>
  <c r="DA1108" i="1"/>
  <c r="DA596" i="1"/>
  <c r="DA602" i="1"/>
  <c r="DA662" i="1"/>
  <c r="CA648" i="1"/>
  <c r="CW648" i="1"/>
  <c r="CY648" i="1" s="1"/>
  <c r="FA648" i="1" s="1"/>
  <c r="CW1587" i="1"/>
  <c r="CV1587" i="1"/>
  <c r="CU1587" i="1"/>
  <c r="CS1587" i="1"/>
  <c r="CT1587" i="1" s="1"/>
  <c r="CR707" i="1"/>
  <c r="CQ707" i="1"/>
  <c r="CW707" i="1"/>
  <c r="CV707" i="1"/>
  <c r="CU707" i="1"/>
  <c r="CS707" i="1"/>
  <c r="CT707" i="1" s="1"/>
  <c r="CA1400" i="1"/>
  <c r="CW1400" i="1"/>
  <c r="CY1400" i="1" s="1"/>
  <c r="FA1400" i="1" s="1"/>
  <c r="CW699" i="1"/>
  <c r="CV699" i="1"/>
  <c r="CU699" i="1"/>
  <c r="CS699" i="1"/>
  <c r="CT699" i="1" s="1"/>
  <c r="CR699" i="1"/>
  <c r="CQ699" i="1"/>
  <c r="DA1213" i="1"/>
  <c r="DA1200" i="1"/>
  <c r="CA701" i="1"/>
  <c r="DA600" i="1"/>
  <c r="DA877" i="1"/>
  <c r="CA585" i="1"/>
  <c r="CW585" i="1"/>
  <c r="CY585" i="1" s="1"/>
  <c r="FA585" i="1" s="1"/>
  <c r="CA652" i="1"/>
  <c r="CW652" i="1"/>
  <c r="CY652" i="1" s="1"/>
  <c r="FA652" i="1" s="1"/>
  <c r="CA645" i="1"/>
  <c r="CW645" i="1"/>
  <c r="CY645" i="1" s="1"/>
  <c r="FA645" i="1" s="1"/>
  <c r="CA646" i="1"/>
  <c r="CW646" i="1"/>
  <c r="CY646" i="1" s="1"/>
  <c r="FA646" i="1" s="1"/>
  <c r="DA680" i="1"/>
  <c r="DA681" i="1"/>
  <c r="CS1588" i="1"/>
  <c r="CX1588" i="1" s="1"/>
  <c r="DA982" i="1"/>
  <c r="DA1302" i="1"/>
  <c r="DA1327" i="1"/>
  <c r="DA1201" i="1"/>
  <c r="CV1607" i="1"/>
  <c r="CU1607" i="1"/>
  <c r="CS1607" i="1"/>
  <c r="CT1607" i="1" s="1"/>
  <c r="CR1607" i="1"/>
  <c r="CW1607" i="1"/>
  <c r="CQ1607" i="1"/>
  <c r="CQ1592" i="1"/>
  <c r="CV1592" i="1"/>
  <c r="CW1592" i="1"/>
  <c r="CU1592" i="1"/>
  <c r="CS1592" i="1"/>
  <c r="CT1592" i="1" s="1"/>
  <c r="CR1592" i="1"/>
  <c r="DA678" i="1"/>
  <c r="DA879" i="1"/>
  <c r="CW589" i="1"/>
  <c r="CY589" i="1" s="1"/>
  <c r="FA589" i="1" s="1"/>
  <c r="DA1388" i="1"/>
  <c r="DA694" i="1"/>
  <c r="CS1593" i="1"/>
  <c r="CT1593" i="1" s="1"/>
  <c r="DA1315" i="1"/>
  <c r="DA1226" i="1"/>
  <c r="CV1608" i="1"/>
  <c r="CU1608" i="1"/>
  <c r="CS1608" i="1"/>
  <c r="CT1608" i="1" s="1"/>
  <c r="CR1608" i="1"/>
  <c r="CQ1608" i="1"/>
  <c r="CW1608" i="1"/>
  <c r="DA891" i="1"/>
  <c r="CS981" i="1"/>
  <c r="CT981" i="1" s="1"/>
  <c r="CR981" i="1"/>
  <c r="CQ981" i="1"/>
  <c r="CV981" i="1"/>
  <c r="CW981" i="1"/>
  <c r="CU981" i="1"/>
  <c r="CR1602" i="1"/>
  <c r="CQ1602" i="1"/>
  <c r="CV1602" i="1"/>
  <c r="CU1602" i="1"/>
  <c r="CW1602" i="1"/>
  <c r="CS1602" i="1"/>
  <c r="CT1602" i="1" s="1"/>
  <c r="DA1311" i="1"/>
  <c r="CW700" i="1"/>
  <c r="CV700" i="1"/>
  <c r="CU700" i="1"/>
  <c r="CS700" i="1"/>
  <c r="CT700" i="1" s="1"/>
  <c r="CR700" i="1"/>
  <c r="CQ700" i="1"/>
  <c r="DA1224" i="1"/>
  <c r="DA1211" i="1"/>
  <c r="CY980" i="1" l="1"/>
  <c r="FA980" i="1" s="1"/>
  <c r="CY712" i="1"/>
  <c r="FA712" i="1" s="1"/>
  <c r="CY706" i="1"/>
  <c r="FA706" i="1" s="1"/>
  <c r="CY981" i="1"/>
  <c r="FA981" i="1" s="1"/>
  <c r="CY1590" i="1"/>
  <c r="FA1590" i="1" s="1"/>
  <c r="CY979" i="1"/>
  <c r="FA979" i="1" s="1"/>
  <c r="CY1603" i="1"/>
  <c r="FA1603" i="1" s="1"/>
  <c r="CY707" i="1"/>
  <c r="FA707" i="1" s="1"/>
  <c r="CY702" i="1"/>
  <c r="FA702" i="1" s="1"/>
  <c r="CY1594" i="1"/>
  <c r="FA1594" i="1" s="1"/>
  <c r="CY700" i="1"/>
  <c r="FA700" i="1" s="1"/>
  <c r="CY1587" i="1"/>
  <c r="FA1587" i="1" s="1"/>
  <c r="CY1597" i="1"/>
  <c r="FA1597" i="1" s="1"/>
  <c r="CY1608" i="1"/>
  <c r="FA1608" i="1" s="1"/>
  <c r="CY1601" i="1"/>
  <c r="FA1601" i="1" s="1"/>
  <c r="CY982" i="1"/>
  <c r="FA982" i="1" s="1"/>
  <c r="CY1592" i="1"/>
  <c r="FA1592" i="1" s="1"/>
  <c r="CY1589" i="1"/>
  <c r="FA1589" i="1" s="1"/>
  <c r="CY1397" i="1"/>
  <c r="FA1397" i="1" s="1"/>
  <c r="CY708" i="1"/>
  <c r="FA708" i="1" s="1"/>
  <c r="CY1588" i="1"/>
  <c r="FA1588" i="1" s="1"/>
  <c r="CY86" i="1"/>
  <c r="FA86" i="1" s="1"/>
  <c r="CY1604" i="1"/>
  <c r="FA1604" i="1" s="1"/>
  <c r="CY704" i="1"/>
  <c r="FA704" i="1" s="1"/>
  <c r="CY1593" i="1"/>
  <c r="FA1593" i="1" s="1"/>
  <c r="CY1606" i="1"/>
  <c r="FA1606" i="1" s="1"/>
  <c r="CY1591" i="1"/>
  <c r="FA1591" i="1" s="1"/>
  <c r="CY1398" i="1"/>
  <c r="FA1398" i="1" s="1"/>
  <c r="CY1602" i="1"/>
  <c r="FA1602" i="1" s="1"/>
  <c r="CY1607" i="1"/>
  <c r="FA1607" i="1" s="1"/>
  <c r="CY699" i="1"/>
  <c r="FA699" i="1" s="1"/>
  <c r="CY1399" i="1"/>
  <c r="FA1399" i="1" s="1"/>
  <c r="CY1605" i="1"/>
  <c r="FA1605" i="1" s="1"/>
  <c r="CY703" i="1"/>
  <c r="FA703" i="1" s="1"/>
  <c r="CY705" i="1"/>
  <c r="FA705" i="1" s="1"/>
  <c r="CX707" i="1"/>
  <c r="CZ707" i="1"/>
  <c r="CX1607" i="1"/>
  <c r="CZ1607" i="1"/>
  <c r="CX647" i="1"/>
  <c r="CZ647" i="1"/>
  <c r="CX1400" i="1"/>
  <c r="CZ1400" i="1"/>
  <c r="CX1605" i="1"/>
  <c r="CZ1605" i="1"/>
  <c r="CX717" i="1"/>
  <c r="CZ717" i="1"/>
  <c r="CX659" i="1"/>
  <c r="CZ659" i="1"/>
  <c r="CX652" i="1"/>
  <c r="CZ652" i="1"/>
  <c r="CX1399" i="1"/>
  <c r="CZ1399" i="1"/>
  <c r="CX590" i="1"/>
  <c r="CZ590" i="1"/>
  <c r="CX1608" i="1"/>
  <c r="CZ1608" i="1"/>
  <c r="CX1433" i="1"/>
  <c r="CZ1433" i="1"/>
  <c r="CX1601" i="1"/>
  <c r="CZ1601" i="1"/>
  <c r="CX661" i="1"/>
  <c r="CZ661" i="1"/>
  <c r="CX583" i="1"/>
  <c r="CZ583" i="1"/>
  <c r="CX585" i="1"/>
  <c r="CZ585" i="1"/>
  <c r="CX700" i="1"/>
  <c r="CZ700" i="1"/>
  <c r="CX1592" i="1"/>
  <c r="CZ1592" i="1"/>
  <c r="CX646" i="1"/>
  <c r="CZ646" i="1"/>
  <c r="CX1587" i="1"/>
  <c r="CZ1587" i="1"/>
  <c r="CX1589" i="1"/>
  <c r="CZ1589" i="1"/>
  <c r="CX1397" i="1"/>
  <c r="CZ1397" i="1"/>
  <c r="CX655" i="1"/>
  <c r="CZ655" i="1"/>
  <c r="CX645" i="1"/>
  <c r="CZ645" i="1"/>
  <c r="CX699" i="1"/>
  <c r="CZ699" i="1"/>
  <c r="CX660" i="1"/>
  <c r="CZ660" i="1"/>
  <c r="CX981" i="1"/>
  <c r="CZ981" i="1"/>
  <c r="CX648" i="1"/>
  <c r="CZ648" i="1"/>
  <c r="CX1590" i="1"/>
  <c r="CZ1590" i="1"/>
  <c r="CX1282" i="1"/>
  <c r="CZ1282" i="1"/>
  <c r="CX979" i="1"/>
  <c r="CZ979" i="1"/>
  <c r="CX980" i="1"/>
  <c r="CZ980" i="1"/>
  <c r="CX582" i="1"/>
  <c r="CZ582" i="1"/>
  <c r="CX1604" i="1"/>
  <c r="CZ1604" i="1"/>
  <c r="CX589" i="1"/>
  <c r="CZ589" i="1"/>
  <c r="CX586" i="1"/>
  <c r="CZ586" i="1"/>
  <c r="CX1593" i="1"/>
  <c r="CZ1593" i="1"/>
  <c r="CX1602" i="1"/>
  <c r="CZ1602" i="1"/>
  <c r="CX1594" i="1"/>
  <c r="CZ1594" i="1"/>
  <c r="CX712" i="1"/>
  <c r="CZ712" i="1"/>
  <c r="CX1603" i="1"/>
  <c r="CZ1603" i="1"/>
  <c r="CX702" i="1"/>
  <c r="CZ702" i="1"/>
  <c r="CZ706" i="1"/>
  <c r="CX706" i="1"/>
  <c r="CX1591" i="1"/>
  <c r="CZ1591" i="1"/>
  <c r="CX658" i="1"/>
  <c r="CZ658" i="1"/>
  <c r="CT1588" i="1"/>
  <c r="CZ1588" i="1" s="1"/>
  <c r="CT708" i="1"/>
  <c r="CZ708" i="1" s="1"/>
  <c r="CT1597" i="1"/>
  <c r="CZ1597" i="1" s="1"/>
  <c r="CT704" i="1"/>
  <c r="CZ704" i="1" s="1"/>
  <c r="CT703" i="1"/>
  <c r="CZ703" i="1" s="1"/>
  <c r="CT1606" i="1"/>
  <c r="CZ1606" i="1" s="1"/>
  <c r="CT86" i="1"/>
  <c r="CZ86" i="1" s="1"/>
  <c r="CT1398" i="1"/>
  <c r="CZ1398" i="1" s="1"/>
  <c r="CT705" i="1"/>
  <c r="CZ705" i="1" s="1"/>
  <c r="CT982" i="1"/>
  <c r="CZ982" i="1" s="1"/>
  <c r="DA1605" i="1"/>
  <c r="DA86" i="1"/>
  <c r="DA1399" i="1"/>
  <c r="DA979" i="1"/>
  <c r="DA706" i="1"/>
  <c r="DA980" i="1"/>
  <c r="DA1589" i="1"/>
  <c r="DA1597" i="1"/>
  <c r="DA702" i="1"/>
  <c r="DA1590" i="1"/>
  <c r="DA705" i="1"/>
  <c r="DA1606" i="1"/>
  <c r="DA1603" i="1"/>
  <c r="DA699" i="1"/>
  <c r="DA1397" i="1"/>
  <c r="DA1587" i="1"/>
  <c r="DA1607" i="1"/>
  <c r="DA712" i="1"/>
  <c r="DA1608" i="1"/>
  <c r="DA1592" i="1"/>
  <c r="DA707" i="1"/>
  <c r="DA700" i="1"/>
  <c r="DA981" i="1"/>
  <c r="DA1602" i="1"/>
  <c r="DA1594" i="1"/>
  <c r="EY1326" i="1" l="1"/>
  <c r="EY865" i="1"/>
  <c r="EY683" i="1"/>
  <c r="EY1577" i="1"/>
  <c r="EY897" i="1"/>
  <c r="EY1579" i="1"/>
  <c r="EY665" i="1"/>
  <c r="EY681" i="1"/>
  <c r="EY1313" i="1"/>
  <c r="EY1221" i="1"/>
  <c r="EY699" i="1"/>
  <c r="EY1576" i="1"/>
  <c r="EY663" i="1"/>
  <c r="EY653" i="1"/>
  <c r="EY655" i="1"/>
  <c r="EY1325" i="1"/>
  <c r="EY658" i="1"/>
  <c r="EY712" i="1"/>
  <c r="EY1311" i="1"/>
  <c r="EY895" i="1"/>
  <c r="EY1582" i="1"/>
  <c r="EY891" i="1"/>
  <c r="EY662" i="1"/>
  <c r="EY1312" i="1"/>
  <c r="EY892" i="1"/>
  <c r="EY1217" i="1"/>
  <c r="EY1216" i="1"/>
  <c r="EY667" i="1"/>
  <c r="EY659" i="1"/>
  <c r="EY1224" i="1"/>
  <c r="EY1218" i="1"/>
  <c r="EY1226" i="1"/>
  <c r="EY660" i="1"/>
  <c r="EY1494" i="1"/>
  <c r="EY1601" i="1"/>
  <c r="EY889" i="1"/>
  <c r="EY666" i="1"/>
  <c r="EY654" i="1"/>
  <c r="EY1215" i="1"/>
  <c r="EY661" i="1"/>
  <c r="EY980" i="1"/>
  <c r="EY1222" i="1"/>
  <c r="EY893" i="1"/>
  <c r="EY979" i="1"/>
  <c r="EY1275" i="1"/>
  <c r="EY894" i="1"/>
  <c r="EY657" i="1"/>
  <c r="EY1223" i="1"/>
  <c r="EY656" i="1"/>
  <c r="EY1219" i="1"/>
  <c r="EY1220" i="1"/>
  <c r="EY664" i="1"/>
  <c r="EY1432" i="1"/>
  <c r="EY1225" i="1"/>
  <c r="EY1433" i="1"/>
  <c r="EY1581" i="1"/>
  <c r="EY890" i="1"/>
  <c r="EY1602" i="1"/>
  <c r="EY896" i="1"/>
  <c r="EY1400" i="1"/>
  <c r="EY1199" i="1" l="1"/>
  <c r="EY1205" i="1"/>
  <c r="EY1201" i="1"/>
  <c r="EY1298" i="1"/>
  <c r="EY1209" i="1"/>
  <c r="EY1269" i="1"/>
  <c r="EY1343" i="1"/>
  <c r="EY1212" i="1"/>
  <c r="EY1388" i="1"/>
  <c r="EY1200" i="1"/>
  <c r="EY1289" i="1"/>
  <c r="EY1214" i="1"/>
  <c r="EY1392" i="1"/>
  <c r="EY1393" i="1"/>
  <c r="EY1403" i="1"/>
  <c r="EY606" i="1"/>
  <c r="EY1122" i="1"/>
  <c r="EY86" i="1"/>
  <c r="EY1213" i="1"/>
  <c r="EY1394" i="1"/>
  <c r="EY1211" i="1"/>
  <c r="EY1296" i="1"/>
  <c r="EY1207" i="1"/>
  <c r="EY1206" i="1"/>
  <c r="EY1203" i="1"/>
  <c r="EY1290" i="1"/>
  <c r="EY1210" i="1"/>
  <c r="EY1204" i="1"/>
  <c r="EY1297" i="1"/>
  <c r="EY1202" i="1"/>
  <c r="EY1395" i="1"/>
  <c r="EY1208" i="1"/>
  <c r="EY902" i="1"/>
  <c r="EY678" i="1"/>
  <c r="EY675" i="1"/>
  <c r="EY700" i="1"/>
  <c r="EY754" i="1"/>
  <c r="EY1105" i="1"/>
  <c r="EY1327" i="1"/>
  <c r="EY673" i="1"/>
  <c r="EY1315" i="1"/>
  <c r="EY1299" i="1"/>
  <c r="EY1283" i="1"/>
  <c r="EY1320" i="1"/>
  <c r="EY866" i="1"/>
  <c r="EY592" i="1"/>
  <c r="EY1588" i="1"/>
  <c r="EY982" i="1"/>
  <c r="EY701" i="1"/>
  <c r="EY1324" i="1"/>
  <c r="EY717" i="1"/>
  <c r="EY646" i="1"/>
  <c r="EY587" i="1"/>
  <c r="EY1608" i="1"/>
  <c r="EY674" i="1"/>
  <c r="EY882" i="1"/>
  <c r="EY669" i="1"/>
  <c r="EY1270" i="1"/>
  <c r="EY704" i="1"/>
  <c r="EY1398" i="1"/>
  <c r="EY1143" i="1"/>
  <c r="EY1319" i="1"/>
  <c r="EY875" i="1"/>
  <c r="EY670" i="1"/>
  <c r="EY863" i="1"/>
  <c r="EY1397" i="1"/>
  <c r="EY706" i="1"/>
  <c r="EY707" i="1"/>
  <c r="EY1603" i="1"/>
  <c r="EY868" i="1"/>
  <c r="EY645" i="1"/>
  <c r="EY1309" i="1"/>
  <c r="EY1316" i="1"/>
  <c r="EY1301" i="1"/>
  <c r="EY590" i="1"/>
  <c r="EY672" i="1"/>
  <c r="EY642" i="1"/>
  <c r="EY981" i="1"/>
  <c r="EY644" i="1"/>
  <c r="EY878" i="1"/>
  <c r="EY1314" i="1"/>
  <c r="EY1597" i="1"/>
  <c r="EY1306" i="1"/>
  <c r="EY693" i="1"/>
  <c r="EY874" i="1"/>
  <c r="EY1605" i="1"/>
  <c r="EY647" i="1"/>
  <c r="EY1261" i="1"/>
  <c r="EY684" i="1"/>
  <c r="EY652" i="1"/>
  <c r="EY610" i="1"/>
  <c r="EY614" i="1"/>
  <c r="EY1606" i="1"/>
  <c r="EY649" i="1"/>
  <c r="EY755" i="1"/>
  <c r="EY1302" i="1"/>
  <c r="EY1593" i="1"/>
  <c r="EY870" i="1"/>
  <c r="EY1590" i="1"/>
  <c r="EY880" i="1"/>
  <c r="EY883" i="1"/>
  <c r="EY872" i="1"/>
  <c r="EY1304" i="1"/>
  <c r="EY1282" i="1"/>
  <c r="EY1604" i="1"/>
  <c r="EY702" i="1"/>
  <c r="EY1322" i="1"/>
  <c r="EY884" i="1"/>
  <c r="EY1108" i="1"/>
  <c r="EY588" i="1"/>
  <c r="EY873" i="1"/>
  <c r="EY1310" i="1"/>
  <c r="EY1589" i="1"/>
  <c r="EY1587" i="1"/>
  <c r="EY617" i="1"/>
  <c r="EY1321" i="1"/>
  <c r="EY1332" i="1"/>
  <c r="EY1399" i="1"/>
  <c r="EY583" i="1"/>
  <c r="EY703" i="1"/>
  <c r="EY1307" i="1"/>
  <c r="EY643" i="1"/>
  <c r="EY867" i="1"/>
  <c r="EY612" i="1"/>
  <c r="EY877" i="1"/>
  <c r="EY864" i="1"/>
  <c r="EY1331" i="1"/>
  <c r="EY869" i="1"/>
  <c r="EY871" i="1"/>
  <c r="EY1300" i="1"/>
  <c r="EY1329" i="1"/>
  <c r="EY677" i="1"/>
  <c r="EY1594" i="1"/>
  <c r="EY591" i="1"/>
  <c r="EY584" i="1"/>
  <c r="EY876" i="1"/>
  <c r="EY898" i="1"/>
  <c r="EY1607" i="1"/>
  <c r="EY756" i="1"/>
  <c r="EY966" i="1"/>
  <c r="EY1323" i="1"/>
  <c r="EY1592" i="1"/>
  <c r="EY679" i="1"/>
  <c r="EY1284" i="1"/>
  <c r="EY685" i="1"/>
  <c r="EY586" i="1"/>
  <c r="EY629" i="1"/>
  <c r="EY1264" i="1"/>
  <c r="EY582" i="1"/>
  <c r="EY1303" i="1"/>
  <c r="EY1396" i="1"/>
  <c r="EY1106" i="1"/>
  <c r="EY879" i="1"/>
  <c r="EY1330" i="1"/>
  <c r="EY1308" i="1"/>
  <c r="EY1591" i="1"/>
  <c r="EY589" i="1"/>
  <c r="EY650" i="1"/>
  <c r="EY651" i="1"/>
  <c r="EY641" i="1"/>
  <c r="EY705" i="1"/>
  <c r="EY1317" i="1"/>
  <c r="EY708" i="1"/>
  <c r="EY585" i="1"/>
  <c r="EY1328" i="1"/>
  <c r="EY1107" i="1"/>
  <c r="EY680" i="1"/>
  <c r="EY881" i="1"/>
  <c r="EY611" i="1"/>
  <c r="EY1305" i="1"/>
  <c r="EY648" i="1"/>
  <c r="EY671" i="1"/>
  <c r="EY668" i="1"/>
  <c r="EY616" i="1"/>
  <c r="EY694" i="1"/>
  <c r="EY1318" i="1"/>
  <c r="BH827" i="1" l="1" a="1"/>
  <c r="BH827" i="1" s="1"/>
  <c r="BH826" i="1" a="1"/>
  <c r="BH826" i="1" s="1"/>
  <c r="BH815" i="1" a="1"/>
  <c r="BH815" i="1" s="1"/>
  <c r="BH818" i="1" a="1"/>
  <c r="BH818" i="1" s="1"/>
  <c r="BH817" i="1" a="1"/>
  <c r="BH817" i="1" s="1"/>
  <c r="BH820" i="1" a="1"/>
  <c r="BH820" i="1" s="1"/>
  <c r="BH811" i="1" a="1"/>
  <c r="BH811" i="1" s="1"/>
  <c r="BH810" i="1" a="1"/>
  <c r="BH810" i="1" s="1"/>
  <c r="BH809" i="1" a="1"/>
  <c r="BH809" i="1" s="1"/>
  <c r="BH805" i="1" a="1"/>
  <c r="BH805" i="1" s="1"/>
  <c r="BH796" i="1" a="1"/>
  <c r="BH796" i="1" s="1"/>
  <c r="BH833" i="1" a="1"/>
  <c r="BH833" i="1" s="1"/>
  <c r="BH782" i="1" a="1"/>
  <c r="BH782" i="1" s="1"/>
  <c r="BH807" i="1" a="1"/>
  <c r="BH807" i="1" s="1"/>
  <c r="BH794" i="1" a="1"/>
  <c r="BH794" i="1" s="1"/>
  <c r="BH787" i="1" a="1"/>
  <c r="BH787" i="1" s="1"/>
  <c r="BH789" i="1" a="1"/>
  <c r="BH789" i="1" s="1"/>
  <c r="BH834" i="1" a="1"/>
  <c r="BH834" i="1" s="1"/>
  <c r="BH792" i="1" a="1"/>
  <c r="BH792" i="1" s="1"/>
  <c r="BH835" i="1" a="1"/>
  <c r="BH835" i="1" s="1"/>
  <c r="BH793" i="1" a="1"/>
  <c r="BH793" i="1" s="1"/>
  <c r="BH801" i="1" a="1"/>
  <c r="BH801" i="1" s="1"/>
  <c r="BH804" i="1" a="1"/>
  <c r="BH804" i="1" s="1"/>
  <c r="BH822" i="1" a="1"/>
  <c r="BH822" i="1" s="1"/>
  <c r="BH837" i="1" a="1"/>
  <c r="BH837" i="1" s="1"/>
  <c r="BH781" i="1" a="1"/>
  <c r="BH781" i="1" s="1"/>
  <c r="BH788" i="1" a="1"/>
  <c r="BH788" i="1" s="1"/>
  <c r="BH798" i="1" a="1"/>
  <c r="BH798" i="1" s="1"/>
  <c r="BH816" i="1" a="1"/>
  <c r="BH816" i="1" s="1"/>
  <c r="BH832" i="1" a="1"/>
  <c r="BH832" i="1" s="1"/>
  <c r="BH821" i="1" a="1"/>
  <c r="BH821" i="1" s="1"/>
  <c r="BH814" i="1" a="1"/>
  <c r="BH814" i="1" s="1"/>
  <c r="BH843" i="1" a="1"/>
  <c r="BH843" i="1" s="1"/>
  <c r="BH774" i="1" a="1"/>
  <c r="BH774" i="1" s="1"/>
  <c r="BH829" i="1" a="1"/>
  <c r="BH829" i="1" s="1"/>
  <c r="BH839" i="1" a="1"/>
  <c r="BH839" i="1" s="1"/>
  <c r="BH773" i="1" a="1"/>
  <c r="BH773" i="1" s="1"/>
  <c r="BH825" i="1" a="1"/>
  <c r="BH825" i="1" s="1"/>
  <c r="BH831" i="1" a="1"/>
  <c r="BH831" i="1" s="1"/>
  <c r="BH786" i="1" a="1"/>
  <c r="BH786" i="1" s="1"/>
  <c r="BH800" i="1" a="1"/>
  <c r="BH800" i="1" s="1"/>
  <c r="BH842" i="1" a="1"/>
  <c r="BH842" i="1" s="1"/>
  <c r="BH830" i="1" a="1"/>
  <c r="BH830" i="1" s="1"/>
  <c r="BH777" i="1" a="1"/>
  <c r="BH777" i="1" s="1"/>
  <c r="BH823" i="1" a="1"/>
  <c r="BH823" i="1" s="1"/>
  <c r="BH776" i="1" a="1"/>
  <c r="BH776" i="1" s="1"/>
  <c r="BH840" i="1" a="1"/>
  <c r="BH840" i="1" s="1"/>
  <c r="BH775" i="1" a="1"/>
  <c r="BH775" i="1" s="1"/>
  <c r="BH841" i="1" a="1"/>
  <c r="BH841" i="1" s="1"/>
  <c r="BH779" i="1" a="1"/>
  <c r="BH779" i="1" s="1"/>
  <c r="BH783" i="1" a="1"/>
  <c r="BH783" i="1" s="1"/>
  <c r="BH784" i="1" a="1"/>
  <c r="BH784" i="1" s="1"/>
  <c r="BH799" i="1" a="1"/>
  <c r="BH799" i="1" s="1"/>
  <c r="BH803" i="1" a="1"/>
  <c r="BH803" i="1" s="1"/>
  <c r="BH844" i="1" a="1"/>
  <c r="BH844" i="1" s="1"/>
  <c r="BH778" i="1" a="1"/>
  <c r="BH778" i="1" s="1"/>
  <c r="BH780" i="1" a="1"/>
  <c r="BH780" i="1" s="1"/>
  <c r="BH797" i="1" a="1"/>
  <c r="BH797" i="1" s="1"/>
  <c r="BH802" i="1" a="1"/>
  <c r="BH802" i="1" s="1"/>
  <c r="BH838" i="1" a="1"/>
  <c r="BH838" i="1" s="1"/>
  <c r="BH836" i="1" a="1"/>
  <c r="BH836" i="1" s="1"/>
  <c r="BH824" i="1" a="1"/>
  <c r="BH824" i="1" s="1"/>
  <c r="BH828" i="1" a="1"/>
  <c r="BH828" i="1" s="1"/>
  <c r="BH808" i="1" a="1"/>
  <c r="BH808" i="1" s="1"/>
  <c r="BH813" i="1" a="1"/>
  <c r="BH813" i="1" s="1"/>
  <c r="BH819" i="1" a="1"/>
  <c r="BH819" i="1" s="1"/>
  <c r="BH806" i="1" a="1"/>
  <c r="BH806" i="1" s="1"/>
  <c r="BH812" i="1" a="1"/>
  <c r="BH812" i="1" s="1"/>
  <c r="BH854" i="1" a="1"/>
  <c r="BH854" i="1" s="1"/>
  <c r="BH795" i="1" a="1"/>
  <c r="BH795" i="1" s="1"/>
  <c r="BH845" i="1" a="1"/>
  <c r="BH845" i="1" s="1"/>
  <c r="BH846" i="1" a="1"/>
  <c r="BH846" i="1" s="1"/>
  <c r="BH850" i="1" a="1"/>
  <c r="BH850" i="1" s="1"/>
  <c r="BH791" i="1" a="1"/>
  <c r="BH791" i="1" s="1"/>
  <c r="BH853" i="1" a="1"/>
  <c r="BH853" i="1" s="1"/>
  <c r="BH785" i="1" a="1"/>
  <c r="BH785" i="1" s="1"/>
  <c r="BH790" i="1" a="1"/>
  <c r="BH790" i="1" s="1"/>
  <c r="BH852" i="1" a="1"/>
  <c r="BH852" i="1" s="1"/>
  <c r="BH848" i="1" a="1"/>
  <c r="BH848" i="1" s="1"/>
  <c r="BH851" i="1" a="1"/>
  <c r="BH851" i="1" s="1"/>
  <c r="BH847" i="1" a="1"/>
  <c r="BH847" i="1" s="1"/>
  <c r="BH849" i="1" a="1"/>
  <c r="BH849" i="1" s="1"/>
  <c r="ER29" i="1"/>
  <c r="EQ29" i="1"/>
  <c r="CA29" i="1"/>
  <c r="EY29" i="1" s="1"/>
  <c r="M29" i="1"/>
  <c r="ER28" i="1"/>
  <c r="EQ28" i="1"/>
  <c r="CA28" i="1"/>
  <c r="EY28" i="1" s="1"/>
  <c r="M28" i="1"/>
  <c r="ER27" i="1"/>
  <c r="EQ27" i="1"/>
  <c r="CA27" i="1"/>
  <c r="EY27" i="1" s="1"/>
  <c r="M27" i="1"/>
  <c r="ER26" i="1"/>
  <c r="EQ26" i="1"/>
  <c r="CA26" i="1"/>
  <c r="EY26" i="1" s="1"/>
  <c r="M26" i="1"/>
  <c r="ER25" i="1"/>
  <c r="EQ25" i="1"/>
  <c r="CA25" i="1"/>
  <c r="EY25" i="1" s="1"/>
  <c r="M25" i="1"/>
  <c r="ER24" i="1"/>
  <c r="EQ24" i="1"/>
  <c r="CA24" i="1"/>
  <c r="EY24" i="1" s="1"/>
  <c r="M24" i="1"/>
  <c r="ER23" i="1"/>
  <c r="EQ23" i="1"/>
  <c r="CA23" i="1"/>
  <c r="EY23" i="1" s="1"/>
  <c r="M23" i="1"/>
  <c r="ER22" i="1"/>
  <c r="EQ22" i="1"/>
  <c r="DZ22" i="1"/>
  <c r="DS22" i="1"/>
  <c r="DR22" i="1"/>
  <c r="DQ22" i="1"/>
  <c r="DP22" i="1"/>
  <c r="DN22" i="1"/>
  <c r="DO22" i="1" s="1"/>
  <c r="DA22" i="1"/>
  <c r="CA22" i="1"/>
  <c r="EY22" i="1" s="1"/>
  <c r="BO22" i="1"/>
  <c r="BA22" i="1"/>
  <c r="AZ22" i="1"/>
  <c r="M22" i="1"/>
  <c r="ER21" i="1"/>
  <c r="EQ21" i="1"/>
  <c r="CA21" i="1"/>
  <c r="EY21" i="1" s="1"/>
  <c r="M21" i="1"/>
  <c r="ER20" i="1"/>
  <c r="EQ20" i="1"/>
  <c r="CA20" i="1"/>
  <c r="EY20" i="1" s="1"/>
  <c r="M20" i="1"/>
  <c r="ER19" i="1"/>
  <c r="EQ19" i="1"/>
  <c r="CA19" i="1"/>
  <c r="EY19" i="1" s="1"/>
  <c r="M19" i="1"/>
  <c r="ER18" i="1"/>
  <c r="EQ18" i="1"/>
  <c r="CA18" i="1"/>
  <c r="EY18" i="1" s="1"/>
  <c r="M18" i="1"/>
  <c r="ER17" i="1"/>
  <c r="EQ17" i="1"/>
  <c r="CA17" i="1"/>
  <c r="EY17" i="1" s="1"/>
  <c r="M17" i="1"/>
  <c r="ER16" i="1"/>
  <c r="EQ16" i="1"/>
  <c r="CA16" i="1"/>
  <c r="EY16" i="1" s="1"/>
  <c r="BA16" i="1"/>
  <c r="AZ16" i="1"/>
  <c r="M16" i="1"/>
  <c r="ER15" i="1"/>
  <c r="EQ15" i="1"/>
  <c r="CA15" i="1"/>
  <c r="EY15" i="1" s="1"/>
  <c r="M15" i="1"/>
  <c r="ER14" i="1"/>
  <c r="EQ14" i="1"/>
  <c r="CA14" i="1"/>
  <c r="EY14" i="1" s="1"/>
  <c r="M14" i="1"/>
  <c r="ER13" i="1"/>
  <c r="EQ13" i="1"/>
  <c r="CA13" i="1"/>
  <c r="EY13" i="1" s="1"/>
  <c r="M13" i="1"/>
  <c r="ER12" i="1"/>
  <c r="EQ12" i="1"/>
  <c r="CA12" i="1"/>
  <c r="EY12" i="1" s="1"/>
  <c r="M12" i="1"/>
  <c r="ER11" i="1"/>
  <c r="EQ11" i="1"/>
  <c r="CA11" i="1"/>
  <c r="EY11" i="1" s="1"/>
  <c r="M11" i="1"/>
  <c r="ER10" i="1"/>
  <c r="EQ10" i="1"/>
  <c r="CA10" i="1"/>
  <c r="EY10" i="1" s="1"/>
  <c r="M10" i="1"/>
  <c r="ER9" i="1"/>
  <c r="EQ9" i="1"/>
  <c r="CA9" i="1"/>
  <c r="EY9" i="1" s="1"/>
  <c r="M9" i="1"/>
  <c r="ER8" i="1"/>
  <c r="EQ8" i="1"/>
  <c r="CA8" i="1"/>
  <c r="EY8" i="1" s="1"/>
  <c r="M8" i="1"/>
  <c r="ER30" i="1"/>
  <c r="EQ30" i="1"/>
  <c r="CA30" i="1"/>
  <c r="EY30" i="1" s="1"/>
  <c r="M30" i="1"/>
  <c r="ER58" i="1"/>
  <c r="EQ58" i="1"/>
  <c r="CA58" i="1"/>
  <c r="EY58" i="1" s="1"/>
  <c r="M58" i="1"/>
  <c r="ER57" i="1"/>
  <c r="EQ57" i="1"/>
  <c r="CA57" i="1"/>
  <c r="EY57" i="1" s="1"/>
  <c r="M57" i="1"/>
  <c r="ER56" i="1"/>
  <c r="EQ56" i="1"/>
  <c r="CA56" i="1"/>
  <c r="EY56" i="1" s="1"/>
  <c r="M56" i="1"/>
  <c r="ER55" i="1"/>
  <c r="EQ55" i="1"/>
  <c r="CA55" i="1"/>
  <c r="EY55" i="1" s="1"/>
  <c r="M55" i="1"/>
  <c r="ER54" i="1"/>
  <c r="EQ54" i="1"/>
  <c r="CA54" i="1"/>
  <c r="EY54" i="1" s="1"/>
  <c r="M54" i="1"/>
  <c r="ER53" i="1"/>
  <c r="EQ53" i="1"/>
  <c r="CA53" i="1"/>
  <c r="EY53" i="1" s="1"/>
  <c r="M53" i="1"/>
  <c r="ER52" i="1"/>
  <c r="EQ52" i="1"/>
  <c r="CA52" i="1"/>
  <c r="EY52" i="1" s="1"/>
  <c r="M52" i="1"/>
  <c r="ER51" i="1"/>
  <c r="EQ51" i="1"/>
  <c r="CA51" i="1"/>
  <c r="EY51" i="1" s="1"/>
  <c r="M51" i="1"/>
  <c r="ER50" i="1"/>
  <c r="EQ50" i="1"/>
  <c r="CA50" i="1"/>
  <c r="EY50" i="1" s="1"/>
  <c r="M50" i="1"/>
  <c r="ER49" i="1"/>
  <c r="EQ49" i="1"/>
  <c r="CA49" i="1"/>
  <c r="EY49" i="1" s="1"/>
  <c r="M49" i="1"/>
  <c r="ER48" i="1"/>
  <c r="EQ48" i="1"/>
  <c r="CA48" i="1"/>
  <c r="EY48" i="1" s="1"/>
  <c r="M48" i="1"/>
  <c r="ER47" i="1"/>
  <c r="EQ47" i="1"/>
  <c r="CA47" i="1"/>
  <c r="EY47" i="1" s="1"/>
  <c r="M47" i="1"/>
  <c r="ER46" i="1"/>
  <c r="EQ46" i="1"/>
  <c r="CA46" i="1"/>
  <c r="EY46" i="1" s="1"/>
  <c r="M46" i="1"/>
  <c r="ER45" i="1"/>
  <c r="EQ45" i="1"/>
  <c r="CA45" i="1"/>
  <c r="EY45" i="1" s="1"/>
  <c r="M45" i="1"/>
  <c r="ER44" i="1"/>
  <c r="EQ44" i="1"/>
  <c r="CA44" i="1"/>
  <c r="EY44" i="1" s="1"/>
  <c r="M44" i="1"/>
  <c r="ER43" i="1"/>
  <c r="EQ43" i="1"/>
  <c r="CA43" i="1"/>
  <c r="EY43" i="1" s="1"/>
  <c r="M43" i="1"/>
  <c r="ER42" i="1"/>
  <c r="EQ42" i="1"/>
  <c r="CA42" i="1"/>
  <c r="EY42" i="1" s="1"/>
  <c r="M42" i="1"/>
  <c r="ER41" i="1"/>
  <c r="EQ41" i="1"/>
  <c r="CA41" i="1"/>
  <c r="EY41" i="1" s="1"/>
  <c r="M41" i="1"/>
  <c r="ER40" i="1"/>
  <c r="EQ40" i="1"/>
  <c r="CA40" i="1"/>
  <c r="EY40" i="1" s="1"/>
  <c r="M40" i="1"/>
  <c r="ER39" i="1"/>
  <c r="EQ39" i="1"/>
  <c r="CA39" i="1"/>
  <c r="EY39" i="1" s="1"/>
  <c r="M39" i="1"/>
  <c r="ER38" i="1"/>
  <c r="EQ38" i="1"/>
  <c r="CA38" i="1"/>
  <c r="EY38" i="1" s="1"/>
  <c r="M38" i="1"/>
  <c r="ER37" i="1"/>
  <c r="EQ37" i="1"/>
  <c r="CA37" i="1"/>
  <c r="EY37" i="1" s="1"/>
  <c r="M37" i="1"/>
  <c r="ER36" i="1"/>
  <c r="EQ36" i="1"/>
  <c r="CA36" i="1"/>
  <c r="EY36" i="1" s="1"/>
  <c r="M36" i="1"/>
  <c r="ER35" i="1"/>
  <c r="EQ35" i="1"/>
  <c r="CA35" i="1"/>
  <c r="EY35" i="1" s="1"/>
  <c r="M35" i="1"/>
  <c r="ER33" i="1"/>
  <c r="EQ33" i="1"/>
  <c r="CA33" i="1"/>
  <c r="EY33" i="1" s="1"/>
  <c r="M33" i="1"/>
  <c r="ER32" i="1"/>
  <c r="EQ32" i="1"/>
  <c r="CA32" i="1"/>
  <c r="EY32" i="1" s="1"/>
  <c r="M32" i="1"/>
  <c r="ER31" i="1"/>
  <c r="EQ31" i="1"/>
  <c r="CA31" i="1"/>
  <c r="EY31" i="1" s="1"/>
  <c r="M31" i="1"/>
  <c r="ER114" i="1"/>
  <c r="EQ114" i="1"/>
  <c r="CA114" i="1"/>
  <c r="EY114" i="1" s="1"/>
  <c r="M114" i="1"/>
  <c r="ER113" i="1"/>
  <c r="EQ113" i="1"/>
  <c r="CA113" i="1"/>
  <c r="EY113" i="1" s="1"/>
  <c r="M113" i="1"/>
  <c r="ER112" i="1"/>
  <c r="EQ112" i="1"/>
  <c r="CA112" i="1"/>
  <c r="EY112" i="1" s="1"/>
  <c r="M112" i="1"/>
  <c r="ER111" i="1"/>
  <c r="EQ111" i="1"/>
  <c r="CA111" i="1"/>
  <c r="EY111" i="1" s="1"/>
  <c r="M111" i="1"/>
  <c r="ER110" i="1"/>
  <c r="EQ110" i="1"/>
  <c r="CA110" i="1"/>
  <c r="EY110" i="1" s="1"/>
  <c r="M110" i="1"/>
  <c r="ER109" i="1"/>
  <c r="EQ109" i="1"/>
  <c r="CA109" i="1"/>
  <c r="EY109" i="1" s="1"/>
  <c r="M109" i="1"/>
  <c r="ER108" i="1"/>
  <c r="EQ108" i="1"/>
  <c r="CA108" i="1"/>
  <c r="EY108" i="1" s="1"/>
  <c r="M108" i="1"/>
  <c r="ER107" i="1"/>
  <c r="EQ107" i="1"/>
  <c r="CA107" i="1"/>
  <c r="EY107" i="1" s="1"/>
  <c r="M107" i="1"/>
  <c r="ER106" i="1"/>
  <c r="EQ106" i="1"/>
  <c r="CA106" i="1"/>
  <c r="EY106" i="1" s="1"/>
  <c r="M106" i="1"/>
  <c r="ER103" i="1"/>
  <c r="EQ103" i="1"/>
  <c r="CA103" i="1"/>
  <c r="EY103" i="1" s="1"/>
  <c r="BA103" i="1"/>
  <c r="AZ103" i="1"/>
  <c r="M103" i="1"/>
  <c r="ER101" i="1"/>
  <c r="EQ101" i="1"/>
  <c r="CA101" i="1"/>
  <c r="EY101" i="1" s="1"/>
  <c r="M101" i="1"/>
  <c r="ER100" i="1"/>
  <c r="EQ100" i="1"/>
  <c r="CA100" i="1"/>
  <c r="EY100" i="1" s="1"/>
  <c r="BA100" i="1"/>
  <c r="AZ100" i="1"/>
  <c r="M100" i="1"/>
  <c r="ER99" i="1"/>
  <c r="EQ99" i="1"/>
  <c r="CA99" i="1"/>
  <c r="EY99" i="1" s="1"/>
  <c r="M99" i="1"/>
  <c r="ER98" i="1"/>
  <c r="EQ98" i="1"/>
  <c r="CA98" i="1"/>
  <c r="EY98" i="1" s="1"/>
  <c r="M98" i="1"/>
  <c r="ER91" i="1"/>
  <c r="EQ91" i="1"/>
  <c r="CA91" i="1"/>
  <c r="EY91" i="1" s="1"/>
  <c r="M91" i="1"/>
  <c r="ER90" i="1"/>
  <c r="EQ90" i="1"/>
  <c r="CA90" i="1"/>
  <c r="EY90" i="1" s="1"/>
  <c r="M90" i="1"/>
  <c r="ER89" i="1"/>
  <c r="EQ89" i="1"/>
  <c r="CA89" i="1"/>
  <c r="EY89" i="1" s="1"/>
  <c r="M89" i="1"/>
  <c r="ER88" i="1"/>
  <c r="EQ88" i="1"/>
  <c r="CA88" i="1"/>
  <c r="EY88" i="1" s="1"/>
  <c r="M88" i="1"/>
  <c r="ER87" i="1"/>
  <c r="EQ87" i="1"/>
  <c r="CA87" i="1"/>
  <c r="EY87" i="1" s="1"/>
  <c r="M87" i="1"/>
  <c r="ER85" i="1"/>
  <c r="EQ85" i="1"/>
  <c r="CA85" i="1"/>
  <c r="EY85" i="1" s="1"/>
  <c r="BA85" i="1"/>
  <c r="AZ85" i="1"/>
  <c r="M85" i="1"/>
  <c r="ER84" i="1"/>
  <c r="EQ84" i="1"/>
  <c r="CA84" i="1"/>
  <c r="EY84" i="1" s="1"/>
  <c r="M84" i="1"/>
  <c r="ER81" i="1"/>
  <c r="EQ81" i="1"/>
  <c r="DZ81" i="1"/>
  <c r="DY81" i="1"/>
  <c r="DS81" i="1"/>
  <c r="DR81" i="1"/>
  <c r="DQ81" i="1"/>
  <c r="DP81" i="1"/>
  <c r="DN81" i="1"/>
  <c r="DO81" i="1" s="1"/>
  <c r="DH81" i="1"/>
  <c r="DC81" i="1"/>
  <c r="CA81" i="1"/>
  <c r="EY81" i="1" s="1"/>
  <c r="BA81" i="1"/>
  <c r="AZ81" i="1"/>
  <c r="M81" i="1"/>
  <c r="ER80" i="1"/>
  <c r="EQ80" i="1"/>
  <c r="DZ80" i="1"/>
  <c r="DY80" i="1"/>
  <c r="DS80" i="1"/>
  <c r="DR80" i="1"/>
  <c r="DQ80" i="1"/>
  <c r="DP80" i="1"/>
  <c r="DN80" i="1"/>
  <c r="DO80" i="1" s="1"/>
  <c r="DH80" i="1"/>
  <c r="DC80" i="1"/>
  <c r="CA80" i="1"/>
  <c r="EY80" i="1" s="1"/>
  <c r="BA80" i="1"/>
  <c r="AZ80" i="1"/>
  <c r="M80" i="1"/>
  <c r="ER79" i="1"/>
  <c r="EQ79" i="1"/>
  <c r="CA79" i="1"/>
  <c r="EY79" i="1" s="1"/>
  <c r="M79" i="1"/>
  <c r="ER78" i="1"/>
  <c r="EQ78" i="1"/>
  <c r="CA78" i="1"/>
  <c r="EY78" i="1" s="1"/>
  <c r="M78" i="1"/>
  <c r="ER77" i="1"/>
  <c r="EQ77" i="1"/>
  <c r="CA77" i="1"/>
  <c r="EY77" i="1" s="1"/>
  <c r="M77" i="1"/>
  <c r="ER64" i="1"/>
  <c r="EQ64" i="1"/>
  <c r="CA64" i="1"/>
  <c r="EY64" i="1" s="1"/>
  <c r="M64" i="1"/>
  <c r="ER63" i="1"/>
  <c r="EQ63" i="1"/>
  <c r="DA63" i="1"/>
  <c r="CP63" i="1"/>
  <c r="CA63" i="1"/>
  <c r="EY63" i="1" s="1"/>
  <c r="M63" i="1"/>
  <c r="ER62" i="1"/>
  <c r="EQ62" i="1"/>
  <c r="DA62" i="1"/>
  <c r="CP62" i="1"/>
  <c r="CA62" i="1"/>
  <c r="EY62" i="1" s="1"/>
  <c r="M62" i="1"/>
  <c r="ER61" i="1"/>
  <c r="EQ61" i="1"/>
  <c r="DA61" i="1"/>
  <c r="CP61" i="1"/>
  <c r="CA61" i="1"/>
  <c r="EY61" i="1" s="1"/>
  <c r="M61" i="1"/>
  <c r="ER60" i="1"/>
  <c r="EQ60" i="1"/>
  <c r="DA60" i="1"/>
  <c r="CP60" i="1"/>
  <c r="CA60" i="1"/>
  <c r="EY60" i="1" s="1"/>
  <c r="M60" i="1"/>
  <c r="ER59" i="1"/>
  <c r="EQ59" i="1"/>
  <c r="DA59" i="1"/>
  <c r="CP59" i="1"/>
  <c r="CA59" i="1"/>
  <c r="EY59" i="1" s="1"/>
  <c r="M59" i="1"/>
  <c r="ER261" i="1"/>
  <c r="EQ261" i="1"/>
  <c r="CA261" i="1"/>
  <c r="EY261" i="1" s="1"/>
  <c r="M261" i="1"/>
  <c r="ER141" i="1"/>
  <c r="EQ141" i="1"/>
  <c r="CA141" i="1"/>
  <c r="EY141" i="1" s="1"/>
  <c r="M141" i="1"/>
  <c r="ER537" i="1"/>
  <c r="EQ537" i="1"/>
  <c r="CA537" i="1"/>
  <c r="EY537" i="1" s="1"/>
  <c r="M537" i="1"/>
  <c r="ER536" i="1"/>
  <c r="EQ536" i="1"/>
  <c r="CA536" i="1"/>
  <c r="EY536" i="1" s="1"/>
  <c r="M536" i="1"/>
  <c r="ER535" i="1"/>
  <c r="EQ535" i="1"/>
  <c r="CA535" i="1"/>
  <c r="EY535" i="1" s="1"/>
  <c r="M535" i="1"/>
  <c r="ER534" i="1"/>
  <c r="EQ534" i="1"/>
  <c r="CA534" i="1"/>
  <c r="EY534" i="1" s="1"/>
  <c r="M534" i="1"/>
  <c r="ER533" i="1"/>
  <c r="EQ533" i="1"/>
  <c r="CA533" i="1"/>
  <c r="EY533" i="1" s="1"/>
  <c r="M533" i="1"/>
  <c r="ER532" i="1"/>
  <c r="EQ532" i="1"/>
  <c r="CA532" i="1"/>
  <c r="EY532" i="1" s="1"/>
  <c r="M532" i="1"/>
  <c r="ER531" i="1"/>
  <c r="EQ531" i="1"/>
  <c r="CA531" i="1"/>
  <c r="EY531" i="1" s="1"/>
  <c r="M531" i="1"/>
  <c r="ER530" i="1"/>
  <c r="EQ530" i="1"/>
  <c r="CA530" i="1"/>
  <c r="EY530" i="1" s="1"/>
  <c r="M530" i="1"/>
  <c r="ER529" i="1"/>
  <c r="EQ529" i="1"/>
  <c r="CA529" i="1"/>
  <c r="EY529" i="1" s="1"/>
  <c r="M529" i="1"/>
  <c r="ER528" i="1"/>
  <c r="EQ528" i="1"/>
  <c r="CA528" i="1"/>
  <c r="EY528" i="1" s="1"/>
  <c r="M528" i="1"/>
  <c r="ER523" i="1"/>
  <c r="EQ523" i="1"/>
  <c r="CA523" i="1"/>
  <c r="EY523" i="1" s="1"/>
  <c r="M523" i="1"/>
  <c r="ER522" i="1"/>
  <c r="EQ522" i="1"/>
  <c r="CA522" i="1"/>
  <c r="EY522" i="1" s="1"/>
  <c r="M522" i="1"/>
  <c r="ER521" i="1"/>
  <c r="EQ521" i="1"/>
  <c r="CA521" i="1"/>
  <c r="EY521" i="1" s="1"/>
  <c r="M521" i="1"/>
  <c r="ER520" i="1"/>
  <c r="EQ520" i="1"/>
  <c r="CA520" i="1"/>
  <c r="EY520" i="1" s="1"/>
  <c r="M520" i="1"/>
  <c r="ER519" i="1"/>
  <c r="EQ519" i="1"/>
  <c r="CA519" i="1"/>
  <c r="EY519" i="1" s="1"/>
  <c r="M519" i="1"/>
  <c r="ER518" i="1"/>
  <c r="EQ518" i="1"/>
  <c r="CA518" i="1"/>
  <c r="EY518" i="1" s="1"/>
  <c r="M518" i="1"/>
  <c r="ER517" i="1"/>
  <c r="EQ517" i="1"/>
  <c r="CA517" i="1"/>
  <c r="EY517" i="1" s="1"/>
  <c r="BA517" i="1"/>
  <c r="AZ517" i="1"/>
  <c r="M517" i="1"/>
  <c r="ER516" i="1"/>
  <c r="EQ516" i="1"/>
  <c r="CA516" i="1"/>
  <c r="EY516" i="1" s="1"/>
  <c r="M516" i="1"/>
  <c r="ER515" i="1"/>
  <c r="EQ515" i="1"/>
  <c r="CA515" i="1"/>
  <c r="EY515" i="1" s="1"/>
  <c r="BA515" i="1"/>
  <c r="AZ515" i="1"/>
  <c r="M515" i="1"/>
  <c r="ER514" i="1"/>
  <c r="EQ514" i="1"/>
  <c r="CA514" i="1"/>
  <c r="EY514" i="1" s="1"/>
  <c r="M514" i="1"/>
  <c r="ER513" i="1"/>
  <c r="EQ513" i="1"/>
  <c r="CA513" i="1"/>
  <c r="EY513" i="1" s="1"/>
  <c r="M513" i="1"/>
  <c r="ER512" i="1"/>
  <c r="EQ512" i="1"/>
  <c r="CA512" i="1"/>
  <c r="EY512" i="1" s="1"/>
  <c r="M512" i="1"/>
  <c r="ER511" i="1"/>
  <c r="EQ511" i="1"/>
  <c r="CA511" i="1"/>
  <c r="EY511" i="1" s="1"/>
  <c r="M511" i="1"/>
  <c r="ER510" i="1"/>
  <c r="EQ510" i="1"/>
  <c r="CA510" i="1"/>
  <c r="EY510" i="1" s="1"/>
  <c r="M510" i="1"/>
  <c r="ER509" i="1"/>
  <c r="EQ509" i="1"/>
  <c r="CA509" i="1"/>
  <c r="EY509" i="1" s="1"/>
  <c r="M509" i="1"/>
  <c r="ER508" i="1"/>
  <c r="EQ508" i="1"/>
  <c r="CA508" i="1"/>
  <c r="EY508" i="1" s="1"/>
  <c r="M508" i="1"/>
  <c r="ER507" i="1"/>
  <c r="EQ507" i="1"/>
  <c r="CA507" i="1"/>
  <c r="EY507" i="1" s="1"/>
  <c r="M507" i="1"/>
  <c r="ER506" i="1"/>
  <c r="EQ506" i="1"/>
  <c r="CA506" i="1"/>
  <c r="EY506" i="1" s="1"/>
  <c r="M506" i="1"/>
  <c r="ER505" i="1"/>
  <c r="EQ505" i="1"/>
  <c r="CA505" i="1"/>
  <c r="EY505" i="1" s="1"/>
  <c r="M505" i="1"/>
  <c r="ER504" i="1"/>
  <c r="EQ504" i="1"/>
  <c r="CA504" i="1"/>
  <c r="EY504" i="1" s="1"/>
  <c r="M504" i="1"/>
  <c r="ER503" i="1"/>
  <c r="EQ503" i="1"/>
  <c r="CA503" i="1"/>
  <c r="EY503" i="1" s="1"/>
  <c r="M503" i="1"/>
  <c r="ER502" i="1"/>
  <c r="EQ502" i="1"/>
  <c r="CA502" i="1"/>
  <c r="EY502" i="1" s="1"/>
  <c r="M502" i="1"/>
  <c r="ER501" i="1"/>
  <c r="EQ501" i="1"/>
  <c r="CA501" i="1"/>
  <c r="EY501" i="1" s="1"/>
  <c r="M501" i="1"/>
  <c r="ER500" i="1"/>
  <c r="EQ500" i="1"/>
  <c r="CA500" i="1"/>
  <c r="EY500" i="1" s="1"/>
  <c r="M500" i="1"/>
  <c r="ER499" i="1"/>
  <c r="EQ499" i="1"/>
  <c r="CA499" i="1"/>
  <c r="EY499" i="1" s="1"/>
  <c r="M499" i="1"/>
  <c r="ER498" i="1"/>
  <c r="EQ498" i="1"/>
  <c r="CA498" i="1"/>
  <c r="EY498" i="1" s="1"/>
  <c r="M498" i="1"/>
  <c r="ER497" i="1"/>
  <c r="EQ497" i="1"/>
  <c r="CA497" i="1"/>
  <c r="EY497" i="1" s="1"/>
  <c r="M497" i="1"/>
  <c r="ER496" i="1"/>
  <c r="EQ496" i="1"/>
  <c r="CA496" i="1"/>
  <c r="EY496" i="1" s="1"/>
  <c r="M496" i="1"/>
  <c r="ER495" i="1"/>
  <c r="EQ495" i="1"/>
  <c r="CA495" i="1"/>
  <c r="EY495" i="1" s="1"/>
  <c r="M495" i="1"/>
  <c r="ER494" i="1"/>
  <c r="EQ494" i="1"/>
  <c r="CA494" i="1"/>
  <c r="EY494" i="1" s="1"/>
  <c r="M494" i="1"/>
  <c r="ER493" i="1"/>
  <c r="EQ493" i="1"/>
  <c r="CA493" i="1"/>
  <c r="EY493" i="1" s="1"/>
  <c r="M493" i="1"/>
  <c r="ER1609" i="1"/>
  <c r="EQ1609" i="1"/>
  <c r="CA1609" i="1"/>
  <c r="EY1609" i="1" s="1"/>
  <c r="M1609" i="1"/>
  <c r="ER1637" i="1"/>
  <c r="EQ1637" i="1"/>
  <c r="CA1637" i="1"/>
  <c r="EY1637" i="1" s="1"/>
  <c r="M1637" i="1"/>
  <c r="ER1636" i="1"/>
  <c r="EQ1636" i="1"/>
  <c r="CA1636" i="1"/>
  <c r="EY1636" i="1" s="1"/>
  <c r="M1636" i="1"/>
  <c r="ER1635" i="1"/>
  <c r="EQ1635" i="1"/>
  <c r="CA1635" i="1"/>
  <c r="EY1635" i="1" s="1"/>
  <c r="M1635" i="1"/>
  <c r="ER1615" i="1"/>
  <c r="EQ1615" i="1"/>
  <c r="CA1615" i="1"/>
  <c r="EY1615" i="1" s="1"/>
  <c r="M1615" i="1"/>
  <c r="ER1614" i="1"/>
  <c r="EQ1614" i="1"/>
  <c r="CA1614" i="1"/>
  <c r="EY1614" i="1" s="1"/>
  <c r="M1614" i="1"/>
  <c r="ER1613" i="1"/>
  <c r="EQ1613" i="1"/>
  <c r="CA1613" i="1"/>
  <c r="EY1613" i="1" s="1"/>
  <c r="M1613" i="1"/>
  <c r="ER1612" i="1"/>
  <c r="EQ1612" i="1"/>
  <c r="CA1612" i="1"/>
  <c r="EY1612" i="1" s="1"/>
  <c r="M1612" i="1"/>
  <c r="ER1611" i="1"/>
  <c r="EQ1611" i="1"/>
  <c r="DH1611" i="1"/>
  <c r="CA1611" i="1"/>
  <c r="EY1611" i="1" s="1"/>
  <c r="M1611" i="1"/>
  <c r="ER1639" i="1"/>
  <c r="EQ1639" i="1"/>
  <c r="CA1639" i="1"/>
  <c r="EY1639" i="1" s="1"/>
  <c r="M1639" i="1"/>
  <c r="ER1638" i="1"/>
  <c r="EQ1638" i="1"/>
  <c r="CA1638" i="1"/>
  <c r="EY1638" i="1" s="1"/>
  <c r="M1638" i="1"/>
  <c r="ER491" i="1"/>
  <c r="EQ491" i="1"/>
  <c r="DZ491" i="1"/>
  <c r="DY491" i="1"/>
  <c r="DS491" i="1"/>
  <c r="DR491" i="1"/>
  <c r="DQ491" i="1"/>
  <c r="DP491" i="1"/>
  <c r="DN491" i="1"/>
  <c r="DO491" i="1" s="1"/>
  <c r="DG491" i="1"/>
  <c r="DH491" i="1" s="1"/>
  <c r="DC491" i="1"/>
  <c r="CP491" i="1"/>
  <c r="CU491" i="1" s="1"/>
  <c r="BX491" i="1"/>
  <c r="BZ491" i="1" s="1"/>
  <c r="BW491" i="1"/>
  <c r="BF491" i="1"/>
  <c r="BE491" i="1"/>
  <c r="BD491" i="1"/>
  <c r="BC491" i="1"/>
  <c r="BB491" i="1"/>
  <c r="BA491" i="1"/>
  <c r="AZ491" i="1"/>
  <c r="M491" i="1"/>
  <c r="ER492" i="1"/>
  <c r="EQ492" i="1"/>
  <c r="DZ492" i="1"/>
  <c r="DY492" i="1"/>
  <c r="DS492" i="1"/>
  <c r="DR492" i="1"/>
  <c r="DQ492" i="1"/>
  <c r="DP492" i="1"/>
  <c r="DN492" i="1"/>
  <c r="DO492" i="1" s="1"/>
  <c r="DG492" i="1"/>
  <c r="DH492" i="1" s="1"/>
  <c r="DC492" i="1"/>
  <c r="CP492" i="1"/>
  <c r="CU492" i="1" s="1"/>
  <c r="BX492" i="1"/>
  <c r="BZ492" i="1" s="1"/>
  <c r="BW492" i="1"/>
  <c r="BF492" i="1"/>
  <c r="BE492" i="1"/>
  <c r="BD492" i="1"/>
  <c r="BC492" i="1"/>
  <c r="BB492" i="1"/>
  <c r="BA492" i="1"/>
  <c r="AZ492" i="1"/>
  <c r="M492" i="1"/>
  <c r="ER487" i="1"/>
  <c r="EQ487" i="1"/>
  <c r="DZ487" i="1"/>
  <c r="DY487" i="1"/>
  <c r="DS487" i="1"/>
  <c r="DR487" i="1"/>
  <c r="DQ487" i="1"/>
  <c r="DP487" i="1"/>
  <c r="DN487" i="1"/>
  <c r="DO487" i="1" s="1"/>
  <c r="DG487" i="1"/>
  <c r="DH487" i="1" s="1"/>
  <c r="DC487" i="1"/>
  <c r="CP487" i="1"/>
  <c r="BX487" i="1"/>
  <c r="BZ487" i="1" s="1"/>
  <c r="CA487" i="1" s="1"/>
  <c r="BW487" i="1"/>
  <c r="BF487" i="1"/>
  <c r="BE487" i="1"/>
  <c r="BD487" i="1"/>
  <c r="BC487" i="1"/>
  <c r="BB487" i="1"/>
  <c r="BA487" i="1"/>
  <c r="BG487" i="1" s="1" a="1"/>
  <c r="BG487" i="1" s="1"/>
  <c r="AZ487" i="1"/>
  <c r="M487" i="1"/>
  <c r="ER488" i="1"/>
  <c r="EQ488" i="1"/>
  <c r="DZ488" i="1"/>
  <c r="DY488" i="1"/>
  <c r="DS488" i="1"/>
  <c r="DR488" i="1"/>
  <c r="DQ488" i="1"/>
  <c r="DP488" i="1"/>
  <c r="DN488" i="1"/>
  <c r="DO488" i="1" s="1"/>
  <c r="DG488" i="1"/>
  <c r="DH488" i="1" s="1"/>
  <c r="DC488" i="1"/>
  <c r="CP488" i="1"/>
  <c r="CU488" i="1" s="1"/>
  <c r="BX488" i="1"/>
  <c r="BZ488" i="1" s="1"/>
  <c r="CA488" i="1" s="1"/>
  <c r="BW488" i="1"/>
  <c r="BF488" i="1"/>
  <c r="BE488" i="1"/>
  <c r="BD488" i="1"/>
  <c r="BC488" i="1"/>
  <c r="BB488" i="1"/>
  <c r="BA488" i="1"/>
  <c r="BG488" i="1" s="1" a="1"/>
  <c r="BG488" i="1" s="1"/>
  <c r="AZ488" i="1"/>
  <c r="M488" i="1"/>
  <c r="ER489" i="1"/>
  <c r="EQ489" i="1"/>
  <c r="DZ489" i="1"/>
  <c r="DY489" i="1"/>
  <c r="DS489" i="1"/>
  <c r="DR489" i="1"/>
  <c r="DQ489" i="1"/>
  <c r="DP489" i="1"/>
  <c r="DN489" i="1"/>
  <c r="DO489" i="1" s="1"/>
  <c r="DG489" i="1"/>
  <c r="DH489" i="1" s="1"/>
  <c r="DC489" i="1"/>
  <c r="CP489" i="1"/>
  <c r="CV489" i="1" s="1"/>
  <c r="BX489" i="1"/>
  <c r="BZ489" i="1" s="1"/>
  <c r="CA489" i="1" s="1"/>
  <c r="BW489" i="1"/>
  <c r="BF489" i="1"/>
  <c r="BE489" i="1"/>
  <c r="BD489" i="1"/>
  <c r="BC489" i="1"/>
  <c r="BB489" i="1"/>
  <c r="BA489" i="1"/>
  <c r="BG489" i="1" s="1" a="1"/>
  <c r="BG489" i="1" s="1"/>
  <c r="AZ489" i="1"/>
  <c r="M489" i="1"/>
  <c r="ER490" i="1"/>
  <c r="EQ490" i="1"/>
  <c r="DZ490" i="1"/>
  <c r="DY490" i="1"/>
  <c r="DS490" i="1"/>
  <c r="DR490" i="1"/>
  <c r="DQ490" i="1"/>
  <c r="DP490" i="1"/>
  <c r="DN490" i="1"/>
  <c r="DO490" i="1" s="1"/>
  <c r="DG490" i="1"/>
  <c r="DH490" i="1" s="1"/>
  <c r="DC490" i="1"/>
  <c r="CP490" i="1"/>
  <c r="CV490" i="1" s="1"/>
  <c r="BX490" i="1"/>
  <c r="BZ490" i="1" s="1"/>
  <c r="BW490" i="1"/>
  <c r="BF490" i="1"/>
  <c r="BE490" i="1"/>
  <c r="BD490" i="1"/>
  <c r="BC490" i="1"/>
  <c r="BB490" i="1"/>
  <c r="BA490" i="1"/>
  <c r="BG490" i="1" s="1" a="1"/>
  <c r="BG490" i="1" s="1"/>
  <c r="AZ490" i="1"/>
  <c r="M490" i="1"/>
  <c r="ER481" i="1"/>
  <c r="EQ481" i="1"/>
  <c r="DZ481" i="1"/>
  <c r="DY481" i="1"/>
  <c r="DS481" i="1"/>
  <c r="DR481" i="1"/>
  <c r="DQ481" i="1"/>
  <c r="DP481" i="1"/>
  <c r="DN481" i="1"/>
  <c r="DO481" i="1" s="1"/>
  <c r="DG481" i="1"/>
  <c r="DH481" i="1" s="1"/>
  <c r="DC481" i="1"/>
  <c r="CP481" i="1"/>
  <c r="CV481" i="1" s="1"/>
  <c r="BU481" i="1"/>
  <c r="BF481" i="1"/>
  <c r="BE481" i="1"/>
  <c r="BD481" i="1"/>
  <c r="BC481" i="1"/>
  <c r="BB481" i="1"/>
  <c r="BA481" i="1"/>
  <c r="BG481" i="1" s="1" a="1"/>
  <c r="BG481" i="1" s="1"/>
  <c r="AZ481" i="1"/>
  <c r="M481" i="1"/>
  <c r="ER482" i="1"/>
  <c r="EQ482" i="1"/>
  <c r="DZ482" i="1"/>
  <c r="DY482" i="1"/>
  <c r="DS482" i="1"/>
  <c r="DR482" i="1"/>
  <c r="DQ482" i="1"/>
  <c r="DP482" i="1"/>
  <c r="DN482" i="1"/>
  <c r="DO482" i="1" s="1"/>
  <c r="DG482" i="1"/>
  <c r="DH482" i="1" s="1"/>
  <c r="DC482" i="1"/>
  <c r="CP482" i="1"/>
  <c r="BV482" i="1"/>
  <c r="BU482" i="1"/>
  <c r="BF482" i="1"/>
  <c r="BE482" i="1"/>
  <c r="BD482" i="1"/>
  <c r="BC482" i="1"/>
  <c r="BB482" i="1"/>
  <c r="BA482" i="1"/>
  <c r="BG482" i="1" s="1" a="1"/>
  <c r="BG482" i="1" s="1"/>
  <c r="AZ482" i="1"/>
  <c r="M482" i="1"/>
  <c r="ER483" i="1"/>
  <c r="EQ483" i="1"/>
  <c r="DZ483" i="1"/>
  <c r="DY483" i="1"/>
  <c r="DS483" i="1"/>
  <c r="DR483" i="1"/>
  <c r="DQ483" i="1"/>
  <c r="DP483" i="1"/>
  <c r="DN483" i="1"/>
  <c r="DO483" i="1" s="1"/>
  <c r="DG483" i="1"/>
  <c r="DH483" i="1" s="1"/>
  <c r="DC483" i="1"/>
  <c r="CP483" i="1"/>
  <c r="BU483" i="1"/>
  <c r="BX483" i="1" s="1"/>
  <c r="BZ483" i="1" s="1"/>
  <c r="CA483" i="1" s="1"/>
  <c r="BF483" i="1"/>
  <c r="BE483" i="1"/>
  <c r="BD483" i="1"/>
  <c r="BC483" i="1"/>
  <c r="BB483" i="1"/>
  <c r="BA483" i="1"/>
  <c r="BG483" i="1" s="1" a="1"/>
  <c r="BG483" i="1" s="1"/>
  <c r="AZ483" i="1"/>
  <c r="M483" i="1"/>
  <c r="ER484" i="1"/>
  <c r="EQ484" i="1"/>
  <c r="DZ484" i="1"/>
  <c r="DY484" i="1"/>
  <c r="DS484" i="1"/>
  <c r="DR484" i="1"/>
  <c r="DQ484" i="1"/>
  <c r="DP484" i="1"/>
  <c r="DN484" i="1"/>
  <c r="DO484" i="1" s="1"/>
  <c r="DG484" i="1"/>
  <c r="DH484" i="1" s="1"/>
  <c r="DC484" i="1"/>
  <c r="CP484" i="1"/>
  <c r="CV484" i="1" s="1"/>
  <c r="BU484" i="1"/>
  <c r="BX484" i="1" s="1"/>
  <c r="BZ484" i="1" s="1"/>
  <c r="BF484" i="1"/>
  <c r="BE484" i="1"/>
  <c r="BD484" i="1"/>
  <c r="BC484" i="1"/>
  <c r="BB484" i="1"/>
  <c r="BA484" i="1"/>
  <c r="BG484" i="1" s="1" a="1"/>
  <c r="BG484" i="1" s="1"/>
  <c r="AZ484" i="1"/>
  <c r="M484" i="1"/>
  <c r="ER485" i="1"/>
  <c r="EQ485" i="1"/>
  <c r="DZ485" i="1"/>
  <c r="DY485" i="1"/>
  <c r="DS485" i="1"/>
  <c r="DR485" i="1"/>
  <c r="DQ485" i="1"/>
  <c r="DP485" i="1"/>
  <c r="DN485" i="1"/>
  <c r="DO485" i="1" s="1"/>
  <c r="DG485" i="1"/>
  <c r="DH485" i="1" s="1"/>
  <c r="DC485" i="1"/>
  <c r="CP485" i="1"/>
  <c r="BV485" i="1"/>
  <c r="BU485" i="1"/>
  <c r="BF485" i="1"/>
  <c r="BE485" i="1"/>
  <c r="BD485" i="1"/>
  <c r="BC485" i="1"/>
  <c r="BB485" i="1"/>
  <c r="BA485" i="1"/>
  <c r="BG485" i="1" s="1" a="1"/>
  <c r="BG485" i="1" s="1"/>
  <c r="AZ485" i="1"/>
  <c r="M485" i="1"/>
  <c r="ER486" i="1"/>
  <c r="EQ486" i="1"/>
  <c r="DZ486" i="1"/>
  <c r="DY486" i="1"/>
  <c r="DS486" i="1"/>
  <c r="DR486" i="1"/>
  <c r="DQ486" i="1"/>
  <c r="DP486" i="1"/>
  <c r="DN486" i="1"/>
  <c r="DO486" i="1" s="1"/>
  <c r="DG486" i="1"/>
  <c r="DH486" i="1" s="1"/>
  <c r="DC486" i="1"/>
  <c r="CP486" i="1"/>
  <c r="BV486" i="1"/>
  <c r="BU486" i="1"/>
  <c r="BF486" i="1"/>
  <c r="BE486" i="1"/>
  <c r="BD486" i="1"/>
  <c r="BC486" i="1"/>
  <c r="BB486" i="1"/>
  <c r="BA486" i="1"/>
  <c r="BG486" i="1" s="1" a="1"/>
  <c r="BG486" i="1" s="1"/>
  <c r="AZ486" i="1"/>
  <c r="M486" i="1"/>
  <c r="ER480" i="1"/>
  <c r="EQ480" i="1"/>
  <c r="DZ480" i="1"/>
  <c r="DY480" i="1"/>
  <c r="DS480" i="1"/>
  <c r="DR480" i="1"/>
  <c r="DQ480" i="1"/>
  <c r="DP480" i="1"/>
  <c r="DN480" i="1"/>
  <c r="DO480" i="1" s="1"/>
  <c r="DG480" i="1"/>
  <c r="DH480" i="1" s="1"/>
  <c r="DC480" i="1"/>
  <c r="CP480" i="1"/>
  <c r="CQ480" i="1" s="1"/>
  <c r="BV480" i="1"/>
  <c r="BU480" i="1"/>
  <c r="BF480" i="1"/>
  <c r="BE480" i="1"/>
  <c r="BD480" i="1"/>
  <c r="BC480" i="1"/>
  <c r="BB480" i="1"/>
  <c r="BA480" i="1"/>
  <c r="AZ480" i="1"/>
  <c r="M480" i="1"/>
  <c r="ER478" i="1"/>
  <c r="EQ478" i="1"/>
  <c r="DZ478" i="1"/>
  <c r="DY478" i="1"/>
  <c r="DS478" i="1"/>
  <c r="DR478" i="1"/>
  <c r="DQ478" i="1"/>
  <c r="DP478" i="1"/>
  <c r="DN478" i="1"/>
  <c r="DO478" i="1" s="1"/>
  <c r="DG478" i="1"/>
  <c r="DH478" i="1" s="1"/>
  <c r="DC478" i="1"/>
  <c r="CP478" i="1"/>
  <c r="BV478" i="1"/>
  <c r="BU478" i="1"/>
  <c r="BF478" i="1"/>
  <c r="BE478" i="1"/>
  <c r="BD478" i="1"/>
  <c r="BC478" i="1"/>
  <c r="BB478" i="1"/>
  <c r="BA478" i="1"/>
  <c r="BG478" i="1" s="1" a="1"/>
  <c r="BG478" i="1" s="1"/>
  <c r="AZ478" i="1"/>
  <c r="M478" i="1"/>
  <c r="ER479" i="1"/>
  <c r="EQ479" i="1"/>
  <c r="DZ479" i="1"/>
  <c r="DY479" i="1"/>
  <c r="DS479" i="1"/>
  <c r="DR479" i="1"/>
  <c r="DQ479" i="1"/>
  <c r="DP479" i="1"/>
  <c r="DN479" i="1"/>
  <c r="DO479" i="1" s="1"/>
  <c r="DG479" i="1"/>
  <c r="DH479" i="1" s="1"/>
  <c r="DC479" i="1"/>
  <c r="CP479" i="1"/>
  <c r="BV479" i="1"/>
  <c r="BU479" i="1"/>
  <c r="BF479" i="1"/>
  <c r="BE479" i="1"/>
  <c r="BD479" i="1"/>
  <c r="BC479" i="1"/>
  <c r="BB479" i="1"/>
  <c r="BA479" i="1"/>
  <c r="BG479" i="1" s="1" a="1"/>
  <c r="BG479" i="1" s="1"/>
  <c r="AZ479" i="1"/>
  <c r="M479" i="1"/>
  <c r="ER469" i="1"/>
  <c r="EQ469" i="1"/>
  <c r="DZ469" i="1"/>
  <c r="DY469" i="1"/>
  <c r="DS469" i="1"/>
  <c r="DR469" i="1"/>
  <c r="DQ469" i="1"/>
  <c r="DP469" i="1"/>
  <c r="DN469" i="1"/>
  <c r="DO469" i="1" s="1"/>
  <c r="DG469" i="1"/>
  <c r="DH469" i="1" s="1"/>
  <c r="DC469" i="1"/>
  <c r="CP469" i="1"/>
  <c r="CU469" i="1" s="1"/>
  <c r="BX469" i="1"/>
  <c r="BZ469" i="1" s="1"/>
  <c r="BW469" i="1"/>
  <c r="BP469" i="1"/>
  <c r="BQ469" i="1" s="1"/>
  <c r="BF469" i="1"/>
  <c r="BE469" i="1"/>
  <c r="BD469" i="1"/>
  <c r="BC469" i="1"/>
  <c r="BB469" i="1"/>
  <c r="BA469" i="1"/>
  <c r="BG469" i="1" s="1" a="1"/>
  <c r="BG469" i="1" s="1"/>
  <c r="AZ469" i="1"/>
  <c r="M469" i="1"/>
  <c r="ER472" i="1"/>
  <c r="EQ472" i="1"/>
  <c r="DZ472" i="1"/>
  <c r="DY472" i="1"/>
  <c r="DS472" i="1"/>
  <c r="DR472" i="1"/>
  <c r="DQ472" i="1"/>
  <c r="DP472" i="1"/>
  <c r="DN472" i="1"/>
  <c r="DO472" i="1" s="1"/>
  <c r="DG472" i="1"/>
  <c r="DH472" i="1" s="1"/>
  <c r="DC472" i="1"/>
  <c r="CP472" i="1"/>
  <c r="BX472" i="1"/>
  <c r="BZ472" i="1" s="1"/>
  <c r="BW472" i="1"/>
  <c r="BP472" i="1"/>
  <c r="BQ472" i="1" s="1"/>
  <c r="BF472" i="1"/>
  <c r="BE472" i="1"/>
  <c r="BD472" i="1"/>
  <c r="BC472" i="1"/>
  <c r="BB472" i="1"/>
  <c r="BA472" i="1"/>
  <c r="BG472" i="1" s="1" a="1"/>
  <c r="BG472" i="1" s="1"/>
  <c r="AZ472" i="1"/>
  <c r="M472" i="1"/>
  <c r="ER473" i="1"/>
  <c r="EQ473" i="1"/>
  <c r="DZ473" i="1"/>
  <c r="DY473" i="1"/>
  <c r="DS473" i="1"/>
  <c r="DR473" i="1"/>
  <c r="DQ473" i="1"/>
  <c r="DP473" i="1"/>
  <c r="DN473" i="1"/>
  <c r="DO473" i="1" s="1"/>
  <c r="DG473" i="1"/>
  <c r="DH473" i="1" s="1"/>
  <c r="DC473" i="1"/>
  <c r="CP473" i="1"/>
  <c r="BX473" i="1"/>
  <c r="BZ473" i="1" s="1"/>
  <c r="BW473" i="1"/>
  <c r="BP473" i="1"/>
  <c r="BQ473" i="1" s="1"/>
  <c r="BF473" i="1"/>
  <c r="BE473" i="1"/>
  <c r="BD473" i="1"/>
  <c r="BC473" i="1"/>
  <c r="BB473" i="1"/>
  <c r="BA473" i="1"/>
  <c r="BG473" i="1" s="1" a="1"/>
  <c r="BG473" i="1" s="1"/>
  <c r="AZ473" i="1"/>
  <c r="M473" i="1"/>
  <c r="ER474" i="1"/>
  <c r="EQ474" i="1"/>
  <c r="DZ474" i="1"/>
  <c r="DY474" i="1"/>
  <c r="DS474" i="1"/>
  <c r="DR474" i="1"/>
  <c r="DQ474" i="1"/>
  <c r="DP474" i="1"/>
  <c r="DN474" i="1"/>
  <c r="DO474" i="1" s="1"/>
  <c r="DG474" i="1"/>
  <c r="DH474" i="1" s="1"/>
  <c r="DC474" i="1"/>
  <c r="CP474" i="1"/>
  <c r="CV474" i="1" s="1"/>
  <c r="BX474" i="1"/>
  <c r="BZ474" i="1" s="1"/>
  <c r="BW474" i="1"/>
  <c r="BP474" i="1"/>
  <c r="BQ474" i="1" s="1"/>
  <c r="BF474" i="1"/>
  <c r="BE474" i="1"/>
  <c r="BD474" i="1"/>
  <c r="BC474" i="1"/>
  <c r="BB474" i="1"/>
  <c r="BA474" i="1"/>
  <c r="BG474" i="1" s="1" a="1"/>
  <c r="BG474" i="1" s="1"/>
  <c r="AZ474" i="1"/>
  <c r="M474" i="1"/>
  <c r="ER466" i="1"/>
  <c r="EQ466" i="1"/>
  <c r="DZ466" i="1"/>
  <c r="DY466" i="1"/>
  <c r="DS466" i="1"/>
  <c r="DR466" i="1"/>
  <c r="DQ466" i="1"/>
  <c r="DP466" i="1"/>
  <c r="DN466" i="1"/>
  <c r="DO466" i="1" s="1"/>
  <c r="DG466" i="1"/>
  <c r="DH466" i="1" s="1"/>
  <c r="DC466" i="1"/>
  <c r="CP466" i="1"/>
  <c r="CV466" i="1" s="1"/>
  <c r="BX466" i="1"/>
  <c r="BZ466" i="1" s="1"/>
  <c r="BW466" i="1"/>
  <c r="BP466" i="1"/>
  <c r="BQ466" i="1" s="1"/>
  <c r="BF466" i="1"/>
  <c r="BE466" i="1"/>
  <c r="BD466" i="1"/>
  <c r="BC466" i="1"/>
  <c r="BB466" i="1"/>
  <c r="BA466" i="1"/>
  <c r="BG466" i="1" s="1" a="1"/>
  <c r="BG466" i="1" s="1"/>
  <c r="AZ466" i="1"/>
  <c r="M466" i="1"/>
  <c r="ER468" i="1"/>
  <c r="EQ468" i="1"/>
  <c r="DZ468" i="1"/>
  <c r="DY468" i="1"/>
  <c r="DS468" i="1"/>
  <c r="DR468" i="1"/>
  <c r="DQ468" i="1"/>
  <c r="DP468" i="1"/>
  <c r="DN468" i="1"/>
  <c r="DO468" i="1" s="1"/>
  <c r="DG468" i="1"/>
  <c r="DH468" i="1" s="1"/>
  <c r="DC468" i="1"/>
  <c r="CP468" i="1"/>
  <c r="CV468" i="1" s="1"/>
  <c r="BX468" i="1"/>
  <c r="BZ468" i="1" s="1"/>
  <c r="BW468" i="1"/>
  <c r="BP468" i="1"/>
  <c r="BQ468" i="1" s="1"/>
  <c r="BF468" i="1"/>
  <c r="BE468" i="1"/>
  <c r="BD468" i="1"/>
  <c r="BC468" i="1"/>
  <c r="BB468" i="1"/>
  <c r="BA468" i="1"/>
  <c r="BG468" i="1" s="1" a="1"/>
  <c r="BG468" i="1" s="1"/>
  <c r="AZ468" i="1"/>
  <c r="M468" i="1"/>
  <c r="ER471" i="1"/>
  <c r="EQ471" i="1"/>
  <c r="DZ471" i="1"/>
  <c r="DY471" i="1"/>
  <c r="DS471" i="1"/>
  <c r="DR471" i="1"/>
  <c r="DQ471" i="1"/>
  <c r="DP471" i="1"/>
  <c r="DN471" i="1"/>
  <c r="DO471" i="1" s="1"/>
  <c r="DG471" i="1"/>
  <c r="DH471" i="1" s="1"/>
  <c r="DC471" i="1"/>
  <c r="CP471" i="1"/>
  <c r="BX471" i="1"/>
  <c r="BZ471" i="1" s="1"/>
  <c r="BW471" i="1"/>
  <c r="BP471" i="1"/>
  <c r="BQ471" i="1" s="1"/>
  <c r="BF471" i="1"/>
  <c r="BE471" i="1"/>
  <c r="BD471" i="1"/>
  <c r="BC471" i="1"/>
  <c r="BB471" i="1"/>
  <c r="BA471" i="1"/>
  <c r="BG471" i="1" s="1" a="1"/>
  <c r="BG471" i="1" s="1"/>
  <c r="AZ471" i="1"/>
  <c r="M471" i="1"/>
  <c r="ER464" i="1"/>
  <c r="EQ464" i="1"/>
  <c r="DZ464" i="1"/>
  <c r="DY464" i="1"/>
  <c r="DS464" i="1"/>
  <c r="DR464" i="1"/>
  <c r="DQ464" i="1"/>
  <c r="DP464" i="1"/>
  <c r="DN464" i="1"/>
  <c r="DO464" i="1" s="1"/>
  <c r="DG464" i="1"/>
  <c r="DH464" i="1" s="1"/>
  <c r="DC464" i="1"/>
  <c r="CP464" i="1"/>
  <c r="CU464" i="1" s="1"/>
  <c r="BX464" i="1"/>
  <c r="BZ464" i="1" s="1"/>
  <c r="BW464" i="1"/>
  <c r="BP464" i="1"/>
  <c r="BQ464" i="1" s="1"/>
  <c r="BF464" i="1"/>
  <c r="BE464" i="1"/>
  <c r="BD464" i="1"/>
  <c r="BC464" i="1"/>
  <c r="BB464" i="1"/>
  <c r="BA464" i="1"/>
  <c r="BG464" i="1" s="1" a="1"/>
  <c r="BG464" i="1" s="1"/>
  <c r="AZ464" i="1"/>
  <c r="M464" i="1"/>
  <c r="ER465" i="1"/>
  <c r="EQ465" i="1"/>
  <c r="DZ465" i="1"/>
  <c r="DY465" i="1"/>
  <c r="DS465" i="1"/>
  <c r="DR465" i="1"/>
  <c r="DQ465" i="1"/>
  <c r="DP465" i="1"/>
  <c r="DN465" i="1"/>
  <c r="DO465" i="1" s="1"/>
  <c r="DG465" i="1"/>
  <c r="DH465" i="1" s="1"/>
  <c r="DC465" i="1"/>
  <c r="CP465" i="1"/>
  <c r="CU465" i="1" s="1"/>
  <c r="BX465" i="1"/>
  <c r="BZ465" i="1" s="1"/>
  <c r="BW465" i="1"/>
  <c r="BP465" i="1"/>
  <c r="BQ465" i="1" s="1"/>
  <c r="BF465" i="1"/>
  <c r="BE465" i="1"/>
  <c r="BD465" i="1"/>
  <c r="BC465" i="1"/>
  <c r="BB465" i="1"/>
  <c r="BA465" i="1"/>
  <c r="BG465" i="1" s="1" a="1"/>
  <c r="BG465" i="1" s="1"/>
  <c r="AZ465" i="1"/>
  <c r="M465" i="1"/>
  <c r="ER467" i="1"/>
  <c r="EQ467" i="1"/>
  <c r="DZ467" i="1"/>
  <c r="DY467" i="1"/>
  <c r="DS467" i="1"/>
  <c r="DR467" i="1"/>
  <c r="DQ467" i="1"/>
  <c r="DP467" i="1"/>
  <c r="DN467" i="1"/>
  <c r="DO467" i="1" s="1"/>
  <c r="DG467" i="1"/>
  <c r="DH467" i="1" s="1"/>
  <c r="DC467" i="1"/>
  <c r="CP467" i="1"/>
  <c r="BX467" i="1"/>
  <c r="BZ467" i="1" s="1"/>
  <c r="BW467" i="1"/>
  <c r="BP467" i="1"/>
  <c r="BQ467" i="1" s="1"/>
  <c r="BF467" i="1"/>
  <c r="BE467" i="1"/>
  <c r="BD467" i="1"/>
  <c r="BC467" i="1"/>
  <c r="BB467" i="1"/>
  <c r="BA467" i="1"/>
  <c r="BG467" i="1" s="1" a="1"/>
  <c r="BG467" i="1" s="1"/>
  <c r="AZ467" i="1"/>
  <c r="M467" i="1"/>
  <c r="ER470" i="1"/>
  <c r="EQ470" i="1"/>
  <c r="DZ470" i="1"/>
  <c r="DY470" i="1"/>
  <c r="DS470" i="1"/>
  <c r="DR470" i="1"/>
  <c r="DQ470" i="1"/>
  <c r="DP470" i="1"/>
  <c r="DN470" i="1"/>
  <c r="DO470" i="1" s="1"/>
  <c r="DG470" i="1"/>
  <c r="DH470" i="1" s="1"/>
  <c r="DC470" i="1"/>
  <c r="CP470" i="1"/>
  <c r="CU470" i="1" s="1"/>
  <c r="BX470" i="1"/>
  <c r="BZ470" i="1" s="1"/>
  <c r="BW470" i="1"/>
  <c r="BP470" i="1"/>
  <c r="BQ470" i="1" s="1"/>
  <c r="BF470" i="1"/>
  <c r="BE470" i="1"/>
  <c r="BD470" i="1"/>
  <c r="BC470" i="1"/>
  <c r="BB470" i="1"/>
  <c r="BA470" i="1"/>
  <c r="BG470" i="1" s="1" a="1"/>
  <c r="BG470" i="1" s="1"/>
  <c r="AZ470" i="1"/>
  <c r="M470" i="1"/>
  <c r="ER463" i="1"/>
  <c r="EQ463" i="1"/>
  <c r="DZ463" i="1"/>
  <c r="DY463" i="1"/>
  <c r="DS463" i="1"/>
  <c r="DR463" i="1"/>
  <c r="DQ463" i="1"/>
  <c r="DP463" i="1"/>
  <c r="DN463" i="1"/>
  <c r="DO463" i="1" s="1"/>
  <c r="DG463" i="1"/>
  <c r="DH463" i="1" s="1"/>
  <c r="DC463" i="1"/>
  <c r="CP463" i="1"/>
  <c r="BX463" i="1"/>
  <c r="BZ463" i="1" s="1"/>
  <c r="BW463" i="1"/>
  <c r="BP463" i="1"/>
  <c r="BQ463" i="1" s="1"/>
  <c r="BF463" i="1"/>
  <c r="BE463" i="1"/>
  <c r="BD463" i="1"/>
  <c r="BC463" i="1"/>
  <c r="BB463" i="1"/>
  <c r="BA463" i="1"/>
  <c r="BG463" i="1" s="1" a="1"/>
  <c r="BG463" i="1" s="1"/>
  <c r="AZ463" i="1"/>
  <c r="M463" i="1"/>
  <c r="ER477" i="1"/>
  <c r="EQ477" i="1"/>
  <c r="DZ477" i="1"/>
  <c r="DY477" i="1"/>
  <c r="DS477" i="1"/>
  <c r="DR477" i="1"/>
  <c r="DQ477" i="1"/>
  <c r="DP477" i="1"/>
  <c r="DN477" i="1"/>
  <c r="DO477" i="1" s="1"/>
  <c r="DG477" i="1"/>
  <c r="DH477" i="1" s="1"/>
  <c r="DC477" i="1"/>
  <c r="CP477" i="1"/>
  <c r="CU477" i="1" s="1"/>
  <c r="BX477" i="1"/>
  <c r="BZ477" i="1" s="1"/>
  <c r="BW477" i="1"/>
  <c r="BP477" i="1"/>
  <c r="BQ477" i="1" s="1"/>
  <c r="BF477" i="1"/>
  <c r="BE477" i="1"/>
  <c r="BD477" i="1"/>
  <c r="BC477" i="1"/>
  <c r="BB477" i="1"/>
  <c r="BA477" i="1"/>
  <c r="BG477" i="1" s="1" a="1"/>
  <c r="BG477" i="1" s="1"/>
  <c r="AZ477" i="1"/>
  <c r="M477" i="1"/>
  <c r="ER475" i="1"/>
  <c r="EQ475" i="1"/>
  <c r="DZ475" i="1"/>
  <c r="DY475" i="1"/>
  <c r="DS475" i="1"/>
  <c r="DR475" i="1"/>
  <c r="DQ475" i="1"/>
  <c r="DP475" i="1"/>
  <c r="DN475" i="1"/>
  <c r="DO475" i="1" s="1"/>
  <c r="DG475" i="1"/>
  <c r="DH475" i="1" s="1"/>
  <c r="DC475" i="1"/>
  <c r="CP475" i="1"/>
  <c r="BX475" i="1"/>
  <c r="BZ475" i="1" s="1"/>
  <c r="BW475" i="1"/>
  <c r="BP475" i="1"/>
  <c r="BQ475" i="1" s="1"/>
  <c r="BF475" i="1"/>
  <c r="BE475" i="1"/>
  <c r="BD475" i="1"/>
  <c r="BC475" i="1"/>
  <c r="BB475" i="1"/>
  <c r="BA475" i="1"/>
  <c r="BG475" i="1" s="1" a="1"/>
  <c r="BG475" i="1" s="1"/>
  <c r="AZ475" i="1"/>
  <c r="M475" i="1"/>
  <c r="ER476" i="1"/>
  <c r="EQ476" i="1"/>
  <c r="DZ476" i="1"/>
  <c r="DY476" i="1"/>
  <c r="DS476" i="1"/>
  <c r="DR476" i="1"/>
  <c r="DQ476" i="1"/>
  <c r="DP476" i="1"/>
  <c r="DN476" i="1"/>
  <c r="DO476" i="1" s="1"/>
  <c r="DG476" i="1"/>
  <c r="DH476" i="1" s="1"/>
  <c r="DC476" i="1"/>
  <c r="CP476" i="1"/>
  <c r="CU476" i="1" s="1"/>
  <c r="BX476" i="1"/>
  <c r="BZ476" i="1" s="1"/>
  <c r="BW476" i="1"/>
  <c r="BP476" i="1"/>
  <c r="BQ476" i="1" s="1"/>
  <c r="BF476" i="1"/>
  <c r="BE476" i="1"/>
  <c r="BD476" i="1"/>
  <c r="BC476" i="1"/>
  <c r="BB476" i="1"/>
  <c r="BA476" i="1"/>
  <c r="BG476" i="1" s="1" a="1"/>
  <c r="BG476" i="1" s="1"/>
  <c r="AZ476" i="1"/>
  <c r="M476" i="1"/>
  <c r="ER460" i="1"/>
  <c r="EQ460" i="1"/>
  <c r="DZ460" i="1"/>
  <c r="DY460" i="1"/>
  <c r="DS460" i="1"/>
  <c r="DR460" i="1"/>
  <c r="DQ460" i="1"/>
  <c r="DP460" i="1"/>
  <c r="DN460" i="1"/>
  <c r="DO460" i="1" s="1"/>
  <c r="DH460" i="1"/>
  <c r="DC460" i="1"/>
  <c r="CP460" i="1"/>
  <c r="BX460" i="1"/>
  <c r="BZ460" i="1" s="1"/>
  <c r="BW460" i="1"/>
  <c r="BP460" i="1"/>
  <c r="BQ460" i="1" s="1"/>
  <c r="BF460" i="1"/>
  <c r="BE460" i="1"/>
  <c r="BD460" i="1"/>
  <c r="BC460" i="1"/>
  <c r="BB460" i="1"/>
  <c r="BA460" i="1"/>
  <c r="BG460" i="1" s="1" a="1"/>
  <c r="BG460" i="1" s="1"/>
  <c r="AZ460" i="1"/>
  <c r="M460" i="1"/>
  <c r="ER459" i="1"/>
  <c r="EQ459" i="1"/>
  <c r="DZ459" i="1"/>
  <c r="DY459" i="1"/>
  <c r="DS459" i="1"/>
  <c r="DR459" i="1"/>
  <c r="DQ459" i="1"/>
  <c r="DP459" i="1"/>
  <c r="DN459" i="1"/>
  <c r="DO459" i="1" s="1"/>
  <c r="DH459" i="1"/>
  <c r="DC459" i="1"/>
  <c r="CP459" i="1"/>
  <c r="CQ459" i="1" s="1"/>
  <c r="BX459" i="1"/>
  <c r="BZ459" i="1" s="1"/>
  <c r="BW459" i="1"/>
  <c r="BP459" i="1"/>
  <c r="BQ459" i="1" s="1"/>
  <c r="BF459" i="1"/>
  <c r="BE459" i="1"/>
  <c r="BD459" i="1"/>
  <c r="BC459" i="1"/>
  <c r="BB459" i="1"/>
  <c r="BA459" i="1"/>
  <c r="BG459" i="1" s="1" a="1"/>
  <c r="BG459" i="1" s="1"/>
  <c r="AZ459" i="1"/>
  <c r="M459" i="1"/>
  <c r="ER461" i="1"/>
  <c r="EQ461" i="1"/>
  <c r="DZ461" i="1"/>
  <c r="DY461" i="1"/>
  <c r="DS461" i="1"/>
  <c r="DR461" i="1"/>
  <c r="DQ461" i="1"/>
  <c r="DP461" i="1"/>
  <c r="DN461" i="1"/>
  <c r="DO461" i="1" s="1"/>
  <c r="DH461" i="1"/>
  <c r="DC461" i="1"/>
  <c r="CP461" i="1"/>
  <c r="CR461" i="1" s="1"/>
  <c r="BX461" i="1"/>
  <c r="BZ461" i="1" s="1"/>
  <c r="BW461" i="1"/>
  <c r="BP461" i="1"/>
  <c r="BQ461" i="1" s="1"/>
  <c r="BF461" i="1"/>
  <c r="BE461" i="1"/>
  <c r="BD461" i="1"/>
  <c r="BC461" i="1"/>
  <c r="BB461" i="1"/>
  <c r="BA461" i="1"/>
  <c r="BG461" i="1" s="1" a="1"/>
  <c r="BG461" i="1" s="1"/>
  <c r="AZ461" i="1"/>
  <c r="M461" i="1"/>
  <c r="ER462" i="1"/>
  <c r="EQ462" i="1"/>
  <c r="DZ462" i="1"/>
  <c r="DY462" i="1"/>
  <c r="DS462" i="1"/>
  <c r="DR462" i="1"/>
  <c r="DQ462" i="1"/>
  <c r="DP462" i="1"/>
  <c r="DN462" i="1"/>
  <c r="DO462" i="1" s="1"/>
  <c r="DH462" i="1"/>
  <c r="DC462" i="1"/>
  <c r="CP462" i="1"/>
  <c r="CR462" i="1" s="1"/>
  <c r="BX462" i="1"/>
  <c r="BZ462" i="1" s="1"/>
  <c r="BW462" i="1"/>
  <c r="BP462" i="1"/>
  <c r="BQ462" i="1" s="1"/>
  <c r="BF462" i="1"/>
  <c r="BE462" i="1"/>
  <c r="BD462" i="1"/>
  <c r="BC462" i="1"/>
  <c r="BB462" i="1"/>
  <c r="BA462" i="1"/>
  <c r="BG462" i="1" s="1" a="1"/>
  <c r="BG462" i="1" s="1"/>
  <c r="AZ462" i="1"/>
  <c r="M462" i="1"/>
  <c r="ER454" i="1"/>
  <c r="EQ454" i="1"/>
  <c r="DZ454" i="1"/>
  <c r="DY454" i="1"/>
  <c r="DS454" i="1"/>
  <c r="DR454" i="1"/>
  <c r="DQ454" i="1"/>
  <c r="DP454" i="1"/>
  <c r="DN454" i="1"/>
  <c r="DO454" i="1" s="1"/>
  <c r="DG454" i="1"/>
  <c r="DH454" i="1" s="1"/>
  <c r="DC454" i="1"/>
  <c r="CP454" i="1"/>
  <c r="CW454" i="1" s="1"/>
  <c r="CY454" i="1" s="1"/>
  <c r="FA454" i="1" s="1"/>
  <c r="CA454" i="1"/>
  <c r="BX454" i="1"/>
  <c r="BW454" i="1"/>
  <c r="BF454" i="1"/>
  <c r="BE454" i="1"/>
  <c r="BD454" i="1"/>
  <c r="BC454" i="1"/>
  <c r="BB454" i="1"/>
  <c r="BA454" i="1"/>
  <c r="BG454" i="1" s="1" a="1"/>
  <c r="BG454" i="1" s="1"/>
  <c r="AZ454" i="1"/>
  <c r="M454" i="1"/>
  <c r="ER453" i="1"/>
  <c r="EQ453" i="1"/>
  <c r="DZ453" i="1"/>
  <c r="DY453" i="1"/>
  <c r="DS453" i="1"/>
  <c r="DR453" i="1"/>
  <c r="DQ453" i="1"/>
  <c r="DP453" i="1"/>
  <c r="DN453" i="1"/>
  <c r="DO453" i="1" s="1"/>
  <c r="DG453" i="1"/>
  <c r="DH453" i="1" s="1"/>
  <c r="DC453" i="1"/>
  <c r="CP453" i="1"/>
  <c r="CV453" i="1" s="1"/>
  <c r="CA453" i="1"/>
  <c r="BX453" i="1"/>
  <c r="BW453" i="1"/>
  <c r="BF453" i="1"/>
  <c r="BE453" i="1"/>
  <c r="BD453" i="1"/>
  <c r="BC453" i="1"/>
  <c r="BB453" i="1"/>
  <c r="BA453" i="1"/>
  <c r="BG453" i="1" s="1" a="1"/>
  <c r="BG453" i="1" s="1"/>
  <c r="AZ453" i="1"/>
  <c r="M453" i="1"/>
  <c r="ER455" i="1"/>
  <c r="EQ455" i="1"/>
  <c r="DZ455" i="1"/>
  <c r="DY455" i="1"/>
  <c r="DS455" i="1"/>
  <c r="DR455" i="1"/>
  <c r="DQ455" i="1"/>
  <c r="DP455" i="1"/>
  <c r="DN455" i="1"/>
  <c r="DO455" i="1" s="1"/>
  <c r="DG455" i="1"/>
  <c r="DH455" i="1" s="1"/>
  <c r="DC455" i="1"/>
  <c r="CP455" i="1"/>
  <c r="CW455" i="1" s="1"/>
  <c r="CY455" i="1" s="1"/>
  <c r="FA455" i="1" s="1"/>
  <c r="CA455" i="1"/>
  <c r="BX455" i="1"/>
  <c r="BW455" i="1"/>
  <c r="BF455" i="1"/>
  <c r="BE455" i="1"/>
  <c r="BD455" i="1"/>
  <c r="BC455" i="1"/>
  <c r="BB455" i="1"/>
  <c r="BA455" i="1"/>
  <c r="BG455" i="1" s="1" a="1"/>
  <c r="BG455" i="1" s="1"/>
  <c r="AZ455" i="1"/>
  <c r="M455" i="1"/>
  <c r="ER457" i="1"/>
  <c r="EQ457" i="1"/>
  <c r="DZ457" i="1"/>
  <c r="DY457" i="1"/>
  <c r="DS457" i="1"/>
  <c r="DR457" i="1"/>
  <c r="DQ457" i="1"/>
  <c r="DP457" i="1"/>
  <c r="DN457" i="1"/>
  <c r="DO457" i="1" s="1"/>
  <c r="DG457" i="1"/>
  <c r="DH457" i="1" s="1"/>
  <c r="DC457" i="1"/>
  <c r="CP457" i="1"/>
  <c r="CV457" i="1" s="1"/>
  <c r="CA457" i="1"/>
  <c r="BX457" i="1"/>
  <c r="BW457" i="1"/>
  <c r="BF457" i="1"/>
  <c r="BE457" i="1"/>
  <c r="BD457" i="1"/>
  <c r="BC457" i="1"/>
  <c r="BB457" i="1"/>
  <c r="BA457" i="1"/>
  <c r="BG457" i="1" s="1" a="1"/>
  <c r="BG457" i="1" s="1"/>
  <c r="AZ457" i="1"/>
  <c r="M457" i="1"/>
  <c r="ER458" i="1"/>
  <c r="EQ458" i="1"/>
  <c r="DZ458" i="1"/>
  <c r="DY458" i="1"/>
  <c r="DS458" i="1"/>
  <c r="DR458" i="1"/>
  <c r="DQ458" i="1"/>
  <c r="DP458" i="1"/>
  <c r="DN458" i="1"/>
  <c r="DO458" i="1" s="1"/>
  <c r="DG458" i="1"/>
  <c r="DH458" i="1" s="1"/>
  <c r="DC458" i="1"/>
  <c r="CP458" i="1"/>
  <c r="CW458" i="1" s="1"/>
  <c r="CY458" i="1" s="1"/>
  <c r="FA458" i="1" s="1"/>
  <c r="CA458" i="1"/>
  <c r="BX458" i="1"/>
  <c r="BW458" i="1"/>
  <c r="BF458" i="1"/>
  <c r="BE458" i="1"/>
  <c r="BD458" i="1"/>
  <c r="BC458" i="1"/>
  <c r="BB458" i="1"/>
  <c r="BA458" i="1"/>
  <c r="BG458" i="1" s="1" a="1"/>
  <c r="BG458" i="1" s="1"/>
  <c r="AZ458" i="1"/>
  <c r="M458" i="1"/>
  <c r="ER456" i="1"/>
  <c r="EQ456" i="1"/>
  <c r="DZ456" i="1"/>
  <c r="DY456" i="1"/>
  <c r="DS456" i="1"/>
  <c r="DR456" i="1"/>
  <c r="DQ456" i="1"/>
  <c r="DP456" i="1"/>
  <c r="DN456" i="1"/>
  <c r="DO456" i="1" s="1"/>
  <c r="DG456" i="1"/>
  <c r="DH456" i="1" s="1"/>
  <c r="DC456" i="1"/>
  <c r="CP456" i="1"/>
  <c r="CU456" i="1" s="1"/>
  <c r="CA456" i="1"/>
  <c r="BX456" i="1"/>
  <c r="BW456" i="1"/>
  <c r="BF456" i="1"/>
  <c r="BE456" i="1"/>
  <c r="BD456" i="1"/>
  <c r="BC456" i="1"/>
  <c r="BB456" i="1"/>
  <c r="BA456" i="1"/>
  <c r="BG456" i="1" s="1" a="1"/>
  <c r="BG456" i="1" s="1"/>
  <c r="AZ456" i="1"/>
  <c r="M456" i="1"/>
  <c r="ER452" i="1"/>
  <c r="EQ452" i="1"/>
  <c r="DZ452" i="1"/>
  <c r="DY452" i="1"/>
  <c r="DS452" i="1"/>
  <c r="DR452" i="1"/>
  <c r="DQ452" i="1"/>
  <c r="DP452" i="1"/>
  <c r="DN452" i="1"/>
  <c r="DO452" i="1" s="1"/>
  <c r="DG452" i="1"/>
  <c r="DH452" i="1" s="1"/>
  <c r="DC452" i="1"/>
  <c r="CP452" i="1"/>
  <c r="BX452" i="1"/>
  <c r="BZ452" i="1" s="1"/>
  <c r="CA452" i="1" s="1"/>
  <c r="BW452" i="1"/>
  <c r="BF452" i="1"/>
  <c r="BE452" i="1"/>
  <c r="BD452" i="1"/>
  <c r="BC452" i="1"/>
  <c r="BB452" i="1"/>
  <c r="BA452" i="1"/>
  <c r="BG452" i="1" s="1" a="1"/>
  <c r="BG452" i="1" s="1"/>
  <c r="AZ452" i="1"/>
  <c r="M452" i="1"/>
  <c r="ER451" i="1"/>
  <c r="EQ451" i="1"/>
  <c r="DZ451" i="1"/>
  <c r="DY451" i="1"/>
  <c r="DS451" i="1"/>
  <c r="DR451" i="1"/>
  <c r="DQ451" i="1"/>
  <c r="DP451" i="1"/>
  <c r="DN451" i="1"/>
  <c r="DO451" i="1" s="1"/>
  <c r="DG451" i="1"/>
  <c r="DH451" i="1" s="1"/>
  <c r="DC451" i="1"/>
  <c r="CP451" i="1"/>
  <c r="CV451" i="1" s="1"/>
  <c r="BX451" i="1"/>
  <c r="BZ451" i="1" s="1"/>
  <c r="BW451" i="1"/>
  <c r="BF451" i="1"/>
  <c r="BE451" i="1"/>
  <c r="BD451" i="1"/>
  <c r="BC451" i="1"/>
  <c r="BB451" i="1"/>
  <c r="BA451" i="1"/>
  <c r="BG451" i="1" s="1" a="1"/>
  <c r="BG451" i="1" s="1"/>
  <c r="AZ451" i="1"/>
  <c r="M451" i="1"/>
  <c r="ER450" i="1"/>
  <c r="EQ450" i="1"/>
  <c r="DZ450" i="1"/>
  <c r="DY450" i="1"/>
  <c r="DS450" i="1"/>
  <c r="DR450" i="1"/>
  <c r="DQ450" i="1"/>
  <c r="DP450" i="1"/>
  <c r="DN450" i="1"/>
  <c r="DO450" i="1" s="1"/>
  <c r="DG450" i="1"/>
  <c r="DH450" i="1" s="1"/>
  <c r="DC450" i="1"/>
  <c r="CP450" i="1"/>
  <c r="CV450" i="1" s="1"/>
  <c r="CA450" i="1"/>
  <c r="BX450" i="1"/>
  <c r="BW450" i="1"/>
  <c r="BF450" i="1"/>
  <c r="BE450" i="1"/>
  <c r="BD450" i="1"/>
  <c r="BC450" i="1"/>
  <c r="BB450" i="1"/>
  <c r="BA450" i="1"/>
  <c r="BG450" i="1" s="1" a="1"/>
  <c r="BG450" i="1" s="1"/>
  <c r="AZ450" i="1"/>
  <c r="M450" i="1"/>
  <c r="ER446" i="1"/>
  <c r="EQ446" i="1"/>
  <c r="DZ446" i="1"/>
  <c r="DY446" i="1"/>
  <c r="DS446" i="1"/>
  <c r="DR446" i="1"/>
  <c r="DQ446" i="1"/>
  <c r="DP446" i="1"/>
  <c r="DN446" i="1"/>
  <c r="DO446" i="1" s="1"/>
  <c r="DG446" i="1"/>
  <c r="DH446" i="1" s="1"/>
  <c r="DC446" i="1"/>
  <c r="CP446" i="1"/>
  <c r="CA446" i="1"/>
  <c r="BX446" i="1"/>
  <c r="BW446" i="1"/>
  <c r="BF446" i="1"/>
  <c r="BE446" i="1"/>
  <c r="BD446" i="1"/>
  <c r="BC446" i="1"/>
  <c r="BB446" i="1"/>
  <c r="BA446" i="1"/>
  <c r="BG446" i="1" s="1" a="1"/>
  <c r="BG446" i="1" s="1"/>
  <c r="AZ446" i="1"/>
  <c r="M446" i="1"/>
  <c r="ER447" i="1"/>
  <c r="EQ447" i="1"/>
  <c r="DZ447" i="1"/>
  <c r="DY447" i="1"/>
  <c r="DS447" i="1"/>
  <c r="DR447" i="1"/>
  <c r="DQ447" i="1"/>
  <c r="DP447" i="1"/>
  <c r="DN447" i="1"/>
  <c r="DO447" i="1" s="1"/>
  <c r="DG447" i="1"/>
  <c r="DH447" i="1" s="1"/>
  <c r="DC447" i="1"/>
  <c r="CP447" i="1"/>
  <c r="CV447" i="1" s="1"/>
  <c r="CA447" i="1"/>
  <c r="BX447" i="1"/>
  <c r="BW447" i="1"/>
  <c r="BF447" i="1"/>
  <c r="BE447" i="1"/>
  <c r="BD447" i="1"/>
  <c r="BC447" i="1"/>
  <c r="BB447" i="1"/>
  <c r="BA447" i="1"/>
  <c r="BG447" i="1" s="1" a="1"/>
  <c r="BG447" i="1" s="1"/>
  <c r="AZ447" i="1"/>
  <c r="M447" i="1"/>
  <c r="ER448" i="1"/>
  <c r="EQ448" i="1"/>
  <c r="DZ448" i="1"/>
  <c r="DY448" i="1"/>
  <c r="DS448" i="1"/>
  <c r="DR448" i="1"/>
  <c r="DQ448" i="1"/>
  <c r="DP448" i="1"/>
  <c r="DN448" i="1"/>
  <c r="DO448" i="1" s="1"/>
  <c r="DG448" i="1"/>
  <c r="DH448" i="1" s="1"/>
  <c r="DC448" i="1"/>
  <c r="CP448" i="1"/>
  <c r="CA448" i="1"/>
  <c r="BX448" i="1"/>
  <c r="BW448" i="1"/>
  <c r="BF448" i="1"/>
  <c r="BE448" i="1"/>
  <c r="BD448" i="1"/>
  <c r="BC448" i="1"/>
  <c r="BB448" i="1"/>
  <c r="BA448" i="1"/>
  <c r="BG448" i="1" s="1" a="1"/>
  <c r="BG448" i="1" s="1"/>
  <c r="AZ448" i="1"/>
  <c r="M448" i="1"/>
  <c r="ER449" i="1"/>
  <c r="EQ449" i="1"/>
  <c r="DZ449" i="1"/>
  <c r="DY449" i="1"/>
  <c r="DS449" i="1"/>
  <c r="DR449" i="1"/>
  <c r="DQ449" i="1"/>
  <c r="DP449" i="1"/>
  <c r="DN449" i="1"/>
  <c r="DO449" i="1" s="1"/>
  <c r="DG449" i="1"/>
  <c r="DH449" i="1" s="1"/>
  <c r="DC449" i="1"/>
  <c r="CP449" i="1"/>
  <c r="CA449" i="1"/>
  <c r="BX449" i="1"/>
  <c r="BW449" i="1"/>
  <c r="BF449" i="1"/>
  <c r="BE449" i="1"/>
  <c r="BD449" i="1"/>
  <c r="BC449" i="1"/>
  <c r="BB449" i="1"/>
  <c r="BA449" i="1"/>
  <c r="BG449" i="1" s="1" a="1"/>
  <c r="BG449" i="1" s="1"/>
  <c r="AZ449" i="1"/>
  <c r="M449" i="1"/>
  <c r="ER440" i="1"/>
  <c r="EQ440" i="1"/>
  <c r="DZ440" i="1"/>
  <c r="DY440" i="1"/>
  <c r="DS440" i="1"/>
  <c r="DR440" i="1"/>
  <c r="DQ440" i="1"/>
  <c r="DP440" i="1"/>
  <c r="DN440" i="1"/>
  <c r="DO440" i="1" s="1"/>
  <c r="DG440" i="1"/>
  <c r="DH440" i="1" s="1"/>
  <c r="DC440" i="1"/>
  <c r="CP440" i="1"/>
  <c r="CU440" i="1" s="1"/>
  <c r="BX440" i="1"/>
  <c r="BZ440" i="1" s="1"/>
  <c r="CA440" i="1" s="1"/>
  <c r="BW440" i="1"/>
  <c r="BF440" i="1"/>
  <c r="BE440" i="1"/>
  <c r="BD440" i="1"/>
  <c r="BC440" i="1"/>
  <c r="BB440" i="1"/>
  <c r="BA440" i="1"/>
  <c r="BG440" i="1" s="1" a="1"/>
  <c r="BG440" i="1" s="1"/>
  <c r="AZ440" i="1"/>
  <c r="M440" i="1"/>
  <c r="ER441" i="1"/>
  <c r="EQ441" i="1"/>
  <c r="DZ441" i="1"/>
  <c r="DY441" i="1"/>
  <c r="DS441" i="1"/>
  <c r="DR441" i="1"/>
  <c r="DQ441" i="1"/>
  <c r="DP441" i="1"/>
  <c r="DN441" i="1"/>
  <c r="DO441" i="1" s="1"/>
  <c r="DG441" i="1"/>
  <c r="DH441" i="1" s="1"/>
  <c r="DC441" i="1"/>
  <c r="CP441" i="1"/>
  <c r="BX441" i="1"/>
  <c r="BZ441" i="1" s="1"/>
  <c r="CA441" i="1" s="1"/>
  <c r="BW441" i="1"/>
  <c r="BF441" i="1"/>
  <c r="BE441" i="1"/>
  <c r="BD441" i="1"/>
  <c r="BC441" i="1"/>
  <c r="BB441" i="1"/>
  <c r="BA441" i="1"/>
  <c r="BG441" i="1" s="1" a="1"/>
  <c r="BG441" i="1" s="1"/>
  <c r="AZ441" i="1"/>
  <c r="M441" i="1"/>
  <c r="ER442" i="1"/>
  <c r="EQ442" i="1"/>
  <c r="DZ442" i="1"/>
  <c r="DY442" i="1"/>
  <c r="DS442" i="1"/>
  <c r="DR442" i="1"/>
  <c r="DQ442" i="1"/>
  <c r="DP442" i="1"/>
  <c r="DN442" i="1"/>
  <c r="DO442" i="1" s="1"/>
  <c r="DG442" i="1"/>
  <c r="DH442" i="1" s="1"/>
  <c r="DC442" i="1"/>
  <c r="CP442" i="1"/>
  <c r="CV442" i="1" s="1"/>
  <c r="BX442" i="1"/>
  <c r="BZ442" i="1" s="1"/>
  <c r="CA442" i="1" s="1"/>
  <c r="BW442" i="1"/>
  <c r="BF442" i="1"/>
  <c r="BE442" i="1"/>
  <c r="BD442" i="1"/>
  <c r="BC442" i="1"/>
  <c r="BB442" i="1"/>
  <c r="BA442" i="1"/>
  <c r="BG442" i="1" s="1" a="1"/>
  <c r="BG442" i="1" s="1"/>
  <c r="AZ442" i="1"/>
  <c r="M442" i="1"/>
  <c r="ER443" i="1"/>
  <c r="EQ443" i="1"/>
  <c r="DZ443" i="1"/>
  <c r="DY443" i="1"/>
  <c r="DS443" i="1"/>
  <c r="DR443" i="1"/>
  <c r="DQ443" i="1"/>
  <c r="DP443" i="1"/>
  <c r="DN443" i="1"/>
  <c r="DO443" i="1" s="1"/>
  <c r="DG443" i="1"/>
  <c r="DH443" i="1" s="1"/>
  <c r="DC443" i="1"/>
  <c r="CP443" i="1"/>
  <c r="CU443" i="1" s="1"/>
  <c r="BX443" i="1"/>
  <c r="BZ443" i="1" s="1"/>
  <c r="CA443" i="1" s="1"/>
  <c r="BW443" i="1"/>
  <c r="BF443" i="1"/>
  <c r="BE443" i="1"/>
  <c r="BD443" i="1"/>
  <c r="BC443" i="1"/>
  <c r="BB443" i="1"/>
  <c r="BA443" i="1"/>
  <c r="BG443" i="1" s="1" a="1"/>
  <c r="BG443" i="1" s="1"/>
  <c r="AZ443" i="1"/>
  <c r="M443" i="1"/>
  <c r="ER444" i="1"/>
  <c r="EQ444" i="1"/>
  <c r="DZ444" i="1"/>
  <c r="DY444" i="1"/>
  <c r="DS444" i="1"/>
  <c r="DR444" i="1"/>
  <c r="DQ444" i="1"/>
  <c r="DP444" i="1"/>
  <c r="DN444" i="1"/>
  <c r="DO444" i="1" s="1"/>
  <c r="DG444" i="1"/>
  <c r="DH444" i="1" s="1"/>
  <c r="DC444" i="1"/>
  <c r="CP444" i="1"/>
  <c r="CV444" i="1" s="1"/>
  <c r="BX444" i="1"/>
  <c r="BZ444" i="1" s="1"/>
  <c r="BW444" i="1"/>
  <c r="BF444" i="1"/>
  <c r="BE444" i="1"/>
  <c r="BD444" i="1"/>
  <c r="BC444" i="1"/>
  <c r="BB444" i="1"/>
  <c r="BA444" i="1"/>
  <c r="BG444" i="1" s="1" a="1"/>
  <c r="BG444" i="1" s="1"/>
  <c r="AZ444" i="1"/>
  <c r="M444" i="1"/>
  <c r="ER445" i="1"/>
  <c r="EQ445" i="1"/>
  <c r="DZ445" i="1"/>
  <c r="DY445" i="1"/>
  <c r="DS445" i="1"/>
  <c r="DR445" i="1"/>
  <c r="DQ445" i="1"/>
  <c r="DP445" i="1"/>
  <c r="DN445" i="1"/>
  <c r="DO445" i="1" s="1"/>
  <c r="DG445" i="1"/>
  <c r="DH445" i="1" s="1"/>
  <c r="DC445" i="1"/>
  <c r="CP445" i="1"/>
  <c r="CU445" i="1" s="1"/>
  <c r="BX445" i="1"/>
  <c r="BZ445" i="1" s="1"/>
  <c r="CA445" i="1" s="1"/>
  <c r="BW445" i="1"/>
  <c r="BF445" i="1"/>
  <c r="BE445" i="1"/>
  <c r="BD445" i="1"/>
  <c r="BC445" i="1"/>
  <c r="BB445" i="1"/>
  <c r="BA445" i="1"/>
  <c r="BG445" i="1" s="1" a="1"/>
  <c r="BG445" i="1" s="1"/>
  <c r="AZ445" i="1"/>
  <c r="M445" i="1"/>
  <c r="ER439" i="1"/>
  <c r="EQ439" i="1"/>
  <c r="DZ439" i="1"/>
  <c r="DY439" i="1"/>
  <c r="DS439" i="1"/>
  <c r="DR439" i="1"/>
  <c r="DQ439" i="1"/>
  <c r="DP439" i="1"/>
  <c r="DN439" i="1"/>
  <c r="DO439" i="1" s="1"/>
  <c r="DH439" i="1"/>
  <c r="DC439" i="1"/>
  <c r="CP439" i="1"/>
  <c r="CS439" i="1" s="1"/>
  <c r="CT439" i="1" s="1"/>
  <c r="CA439" i="1"/>
  <c r="EY439" i="1" s="1"/>
  <c r="BF439" i="1"/>
  <c r="BE439" i="1"/>
  <c r="BD439" i="1"/>
  <c r="BC439" i="1"/>
  <c r="BB439" i="1"/>
  <c r="BA439" i="1"/>
  <c r="BG439" i="1" s="1" a="1"/>
  <c r="BG439" i="1" s="1"/>
  <c r="AZ439" i="1"/>
  <c r="M439" i="1"/>
  <c r="ER438" i="1"/>
  <c r="EQ438" i="1"/>
  <c r="DZ438" i="1"/>
  <c r="DY438" i="1"/>
  <c r="DS438" i="1"/>
  <c r="DR438" i="1"/>
  <c r="DQ438" i="1"/>
  <c r="DP438" i="1"/>
  <c r="DN438" i="1"/>
  <c r="DO438" i="1" s="1"/>
  <c r="DH438" i="1"/>
  <c r="DC438" i="1"/>
  <c r="CP438" i="1"/>
  <c r="BZ438" i="1"/>
  <c r="CA438" i="1" s="1"/>
  <c r="EY438" i="1" s="1"/>
  <c r="BF438" i="1"/>
  <c r="BE438" i="1"/>
  <c r="BD438" i="1"/>
  <c r="BC438" i="1"/>
  <c r="BB438" i="1"/>
  <c r="BA438" i="1"/>
  <c r="BG438" i="1" s="1" a="1"/>
  <c r="BG438" i="1" s="1"/>
  <c r="AZ438" i="1"/>
  <c r="M438" i="1"/>
  <c r="ER437" i="1"/>
  <c r="EQ437" i="1"/>
  <c r="DZ437" i="1"/>
  <c r="DY437" i="1"/>
  <c r="DS437" i="1"/>
  <c r="DR437" i="1"/>
  <c r="DQ437" i="1"/>
  <c r="DP437" i="1"/>
  <c r="DN437" i="1"/>
  <c r="DO437" i="1" s="1"/>
  <c r="DH437" i="1"/>
  <c r="DC437" i="1"/>
  <c r="CP437" i="1"/>
  <c r="CU437" i="1" s="1"/>
  <c r="BZ437" i="1"/>
  <c r="BF437" i="1"/>
  <c r="BE437" i="1"/>
  <c r="BD437" i="1"/>
  <c r="BC437" i="1"/>
  <c r="BB437" i="1"/>
  <c r="BA437" i="1"/>
  <c r="BG437" i="1" s="1" a="1"/>
  <c r="BG437" i="1" s="1"/>
  <c r="AZ437" i="1"/>
  <c r="M437" i="1"/>
  <c r="ER436" i="1"/>
  <c r="EQ436" i="1"/>
  <c r="DZ436" i="1"/>
  <c r="DY436" i="1"/>
  <c r="DS436" i="1"/>
  <c r="DR436" i="1"/>
  <c r="DQ436" i="1"/>
  <c r="DP436" i="1"/>
  <c r="DN436" i="1"/>
  <c r="DO436" i="1" s="1"/>
  <c r="DH436" i="1"/>
  <c r="DC436" i="1"/>
  <c r="CP436" i="1"/>
  <c r="BZ436" i="1"/>
  <c r="CA436" i="1" s="1"/>
  <c r="EY436" i="1" s="1"/>
  <c r="BF436" i="1"/>
  <c r="BE436" i="1"/>
  <c r="BD436" i="1"/>
  <c r="BC436" i="1"/>
  <c r="BB436" i="1"/>
  <c r="BA436" i="1"/>
  <c r="BG436" i="1" s="1" a="1"/>
  <c r="BG436" i="1" s="1"/>
  <c r="AZ436" i="1"/>
  <c r="M436" i="1"/>
  <c r="ER435" i="1"/>
  <c r="EQ435" i="1"/>
  <c r="DZ435" i="1"/>
  <c r="DY435" i="1"/>
  <c r="DS435" i="1"/>
  <c r="DR435" i="1"/>
  <c r="DQ435" i="1"/>
  <c r="DP435" i="1"/>
  <c r="DN435" i="1"/>
  <c r="DO435" i="1" s="1"/>
  <c r="DH435" i="1"/>
  <c r="DC435" i="1"/>
  <c r="CP435" i="1"/>
  <c r="BZ435" i="1"/>
  <c r="CA435" i="1" s="1"/>
  <c r="EY435" i="1" s="1"/>
  <c r="BF435" i="1"/>
  <c r="BE435" i="1"/>
  <c r="BD435" i="1"/>
  <c r="BC435" i="1"/>
  <c r="BB435" i="1"/>
  <c r="BA435" i="1"/>
  <c r="BG435" i="1" s="1" a="1"/>
  <c r="BG435" i="1" s="1"/>
  <c r="AZ435" i="1"/>
  <c r="M435" i="1"/>
  <c r="ER434" i="1"/>
  <c r="EQ434" i="1"/>
  <c r="DZ434" i="1"/>
  <c r="DY434" i="1"/>
  <c r="DS434" i="1"/>
  <c r="DR434" i="1"/>
  <c r="DQ434" i="1"/>
  <c r="DP434" i="1"/>
  <c r="DN434" i="1"/>
  <c r="DO434" i="1" s="1"/>
  <c r="DH434" i="1"/>
  <c r="DC434" i="1"/>
  <c r="CP434" i="1"/>
  <c r="BZ434" i="1"/>
  <c r="CA434" i="1" s="1"/>
  <c r="EY434" i="1" s="1"/>
  <c r="BF434" i="1"/>
  <c r="BE434" i="1"/>
  <c r="BD434" i="1"/>
  <c r="BC434" i="1"/>
  <c r="BB434" i="1"/>
  <c r="BA434" i="1"/>
  <c r="BG434" i="1" s="1" a="1"/>
  <c r="BG434" i="1" s="1"/>
  <c r="AZ434" i="1"/>
  <c r="M434" i="1"/>
  <c r="ER433" i="1"/>
  <c r="EQ433" i="1"/>
  <c r="DZ433" i="1"/>
  <c r="DY433" i="1"/>
  <c r="DS433" i="1"/>
  <c r="DR433" i="1"/>
  <c r="DQ433" i="1"/>
  <c r="DP433" i="1"/>
  <c r="DN433" i="1"/>
  <c r="DO433" i="1" s="1"/>
  <c r="DH433" i="1"/>
  <c r="DC433" i="1"/>
  <c r="CP433" i="1"/>
  <c r="CU433" i="1" s="1"/>
  <c r="BZ433" i="1"/>
  <c r="CA433" i="1" s="1"/>
  <c r="EY433" i="1" s="1"/>
  <c r="BF433" i="1"/>
  <c r="BE433" i="1"/>
  <c r="BD433" i="1"/>
  <c r="BC433" i="1"/>
  <c r="BB433" i="1"/>
  <c r="BA433" i="1"/>
  <c r="BG433" i="1" s="1" a="1"/>
  <c r="BG433" i="1" s="1"/>
  <c r="AZ433" i="1"/>
  <c r="M433" i="1"/>
  <c r="ER432" i="1"/>
  <c r="EQ432" i="1"/>
  <c r="DZ432" i="1"/>
  <c r="DY432" i="1"/>
  <c r="DS432" i="1"/>
  <c r="DR432" i="1"/>
  <c r="DQ432" i="1"/>
  <c r="DP432" i="1"/>
  <c r="DN432" i="1"/>
  <c r="DO432" i="1" s="1"/>
  <c r="DH432" i="1"/>
  <c r="DC432" i="1"/>
  <c r="CP432" i="1"/>
  <c r="BZ432" i="1"/>
  <c r="CA432" i="1" s="1"/>
  <c r="EY432" i="1" s="1"/>
  <c r="BF432" i="1"/>
  <c r="BE432" i="1"/>
  <c r="BD432" i="1"/>
  <c r="BC432" i="1"/>
  <c r="BB432" i="1"/>
  <c r="BA432" i="1"/>
  <c r="BG432" i="1" s="1" a="1"/>
  <c r="BG432" i="1" s="1"/>
  <c r="AZ432" i="1"/>
  <c r="M432" i="1"/>
  <c r="ER431" i="1"/>
  <c r="EQ431" i="1"/>
  <c r="DZ431" i="1"/>
  <c r="DY431" i="1"/>
  <c r="DS431" i="1"/>
  <c r="DR431" i="1"/>
  <c r="DQ431" i="1"/>
  <c r="DP431" i="1"/>
  <c r="DN431" i="1"/>
  <c r="DO431" i="1" s="1"/>
  <c r="DH431" i="1"/>
  <c r="DC431" i="1"/>
  <c r="CP431" i="1"/>
  <c r="BZ431" i="1"/>
  <c r="CA431" i="1" s="1"/>
  <c r="EY431" i="1" s="1"/>
  <c r="BF431" i="1"/>
  <c r="BE431" i="1"/>
  <c r="BD431" i="1"/>
  <c r="BC431" i="1"/>
  <c r="BB431" i="1"/>
  <c r="BA431" i="1"/>
  <c r="BG431" i="1" s="1" a="1"/>
  <c r="BG431" i="1" s="1"/>
  <c r="AZ431" i="1"/>
  <c r="M431" i="1"/>
  <c r="ER430" i="1"/>
  <c r="EQ430" i="1"/>
  <c r="DZ430" i="1"/>
  <c r="DY430" i="1"/>
  <c r="DS430" i="1"/>
  <c r="DR430" i="1"/>
  <c r="DQ430" i="1"/>
  <c r="DP430" i="1"/>
  <c r="DN430" i="1"/>
  <c r="DO430" i="1" s="1"/>
  <c r="DH430" i="1"/>
  <c r="DC430" i="1"/>
  <c r="CP430" i="1"/>
  <c r="BZ430" i="1"/>
  <c r="CA430" i="1" s="1"/>
  <c r="EY430" i="1" s="1"/>
  <c r="BF430" i="1"/>
  <c r="BE430" i="1"/>
  <c r="BD430" i="1"/>
  <c r="BC430" i="1"/>
  <c r="BB430" i="1"/>
  <c r="BA430" i="1"/>
  <c r="BG430" i="1" s="1" a="1"/>
  <c r="BG430" i="1" s="1"/>
  <c r="AZ430" i="1"/>
  <c r="M430" i="1"/>
  <c r="ER429" i="1"/>
  <c r="EQ429" i="1"/>
  <c r="DZ429" i="1"/>
  <c r="DY429" i="1"/>
  <c r="DS429" i="1"/>
  <c r="DR429" i="1"/>
  <c r="DQ429" i="1"/>
  <c r="DP429" i="1"/>
  <c r="DN429" i="1"/>
  <c r="DO429" i="1" s="1"/>
  <c r="DH429" i="1"/>
  <c r="DC429" i="1"/>
  <c r="CP429" i="1"/>
  <c r="CV429" i="1" s="1"/>
  <c r="BZ429" i="1"/>
  <c r="CA429" i="1" s="1"/>
  <c r="EY429" i="1" s="1"/>
  <c r="BF429" i="1"/>
  <c r="BE429" i="1"/>
  <c r="BD429" i="1"/>
  <c r="BC429" i="1"/>
  <c r="BB429" i="1"/>
  <c r="BA429" i="1"/>
  <c r="BG429" i="1" s="1" a="1"/>
  <c r="BG429" i="1" s="1"/>
  <c r="AZ429" i="1"/>
  <c r="M429" i="1"/>
  <c r="ER428" i="1"/>
  <c r="EQ428" i="1"/>
  <c r="DZ428" i="1"/>
  <c r="DY428" i="1"/>
  <c r="DS428" i="1"/>
  <c r="DR428" i="1"/>
  <c r="DQ428" i="1"/>
  <c r="DP428" i="1"/>
  <c r="DN428" i="1"/>
  <c r="DO428" i="1" s="1"/>
  <c r="DH428" i="1"/>
  <c r="DC428" i="1"/>
  <c r="CP428" i="1"/>
  <c r="CV428" i="1" s="1"/>
  <c r="BZ428" i="1"/>
  <c r="CA428" i="1" s="1"/>
  <c r="EY428" i="1" s="1"/>
  <c r="BF428" i="1"/>
  <c r="BE428" i="1"/>
  <c r="BD428" i="1"/>
  <c r="BC428" i="1"/>
  <c r="BB428" i="1"/>
  <c r="BA428" i="1"/>
  <c r="AZ428" i="1"/>
  <c r="M428" i="1"/>
  <c r="ER425" i="1"/>
  <c r="EQ425" i="1"/>
  <c r="DZ425" i="1"/>
  <c r="DS425" i="1"/>
  <c r="DR425" i="1"/>
  <c r="DQ425" i="1"/>
  <c r="DP425" i="1"/>
  <c r="DN425" i="1"/>
  <c r="DO425" i="1" s="1"/>
  <c r="DH425" i="1"/>
  <c r="DC425" i="1"/>
  <c r="CP425" i="1"/>
  <c r="CU425" i="1" s="1"/>
  <c r="BX425" i="1"/>
  <c r="BZ425" i="1" s="1"/>
  <c r="CA425" i="1" s="1"/>
  <c r="BW425" i="1"/>
  <c r="BO425" i="1"/>
  <c r="BF425" i="1"/>
  <c r="BE425" i="1"/>
  <c r="BD425" i="1"/>
  <c r="BC425" i="1"/>
  <c r="BB425" i="1"/>
  <c r="BA425" i="1"/>
  <c r="BG425" i="1" s="1" a="1"/>
  <c r="BG425" i="1" s="1"/>
  <c r="AZ425" i="1"/>
  <c r="M425" i="1"/>
  <c r="ER424" i="1"/>
  <c r="EQ424" i="1"/>
  <c r="DZ424" i="1"/>
  <c r="DS424" i="1"/>
  <c r="DR424" i="1"/>
  <c r="DQ424" i="1"/>
  <c r="DP424" i="1"/>
  <c r="DN424" i="1"/>
  <c r="DO424" i="1" s="1"/>
  <c r="DH424" i="1"/>
  <c r="DC424" i="1"/>
  <c r="CP424" i="1"/>
  <c r="CU424" i="1" s="1"/>
  <c r="BX424" i="1"/>
  <c r="BZ424" i="1" s="1"/>
  <c r="CA424" i="1" s="1"/>
  <c r="BW424" i="1"/>
  <c r="BO424" i="1"/>
  <c r="BF424" i="1"/>
  <c r="BE424" i="1"/>
  <c r="BD424" i="1"/>
  <c r="BC424" i="1"/>
  <c r="BB424" i="1"/>
  <c r="BA424" i="1"/>
  <c r="BG424" i="1" s="1" a="1"/>
  <c r="BG424" i="1" s="1"/>
  <c r="AZ424" i="1"/>
  <c r="M424" i="1"/>
  <c r="ER423" i="1"/>
  <c r="EQ423" i="1"/>
  <c r="DZ423" i="1"/>
  <c r="DS423" i="1"/>
  <c r="DR423" i="1"/>
  <c r="DQ423" i="1"/>
  <c r="DP423" i="1"/>
  <c r="DN423" i="1"/>
  <c r="DO423" i="1" s="1"/>
  <c r="DH423" i="1"/>
  <c r="DC423" i="1"/>
  <c r="CP423" i="1"/>
  <c r="CV423" i="1" s="1"/>
  <c r="BX423" i="1"/>
  <c r="BZ423" i="1" s="1"/>
  <c r="CA423" i="1" s="1"/>
  <c r="BW423" i="1"/>
  <c r="BO423" i="1"/>
  <c r="BF423" i="1"/>
  <c r="BE423" i="1"/>
  <c r="BD423" i="1"/>
  <c r="BC423" i="1"/>
  <c r="BB423" i="1"/>
  <c r="BA423" i="1"/>
  <c r="BG423" i="1" s="1" a="1"/>
  <c r="BG423" i="1" s="1"/>
  <c r="AZ423" i="1"/>
  <c r="M423" i="1"/>
  <c r="ER426" i="1"/>
  <c r="EQ426" i="1"/>
  <c r="DZ426" i="1"/>
  <c r="DS426" i="1"/>
  <c r="DR426" i="1"/>
  <c r="DQ426" i="1"/>
  <c r="DP426" i="1"/>
  <c r="DN426" i="1"/>
  <c r="DO426" i="1" s="1"/>
  <c r="DH426" i="1"/>
  <c r="DC426" i="1"/>
  <c r="CP426" i="1"/>
  <c r="CV426" i="1" s="1"/>
  <c r="BX426" i="1"/>
  <c r="BZ426" i="1" s="1"/>
  <c r="CA426" i="1" s="1"/>
  <c r="BW426" i="1"/>
  <c r="BO426" i="1"/>
  <c r="BF426" i="1"/>
  <c r="BE426" i="1"/>
  <c r="BD426" i="1"/>
  <c r="BC426" i="1"/>
  <c r="BB426" i="1"/>
  <c r="BA426" i="1"/>
  <c r="BG426" i="1" s="1" a="1"/>
  <c r="BG426" i="1" s="1"/>
  <c r="AZ426" i="1"/>
  <c r="M426" i="1"/>
  <c r="ER427" i="1"/>
  <c r="EQ427" i="1"/>
  <c r="DZ427" i="1"/>
  <c r="DS427" i="1"/>
  <c r="DR427" i="1"/>
  <c r="DQ427" i="1"/>
  <c r="DP427" i="1"/>
  <c r="DN427" i="1"/>
  <c r="DO427" i="1" s="1"/>
  <c r="DH427" i="1"/>
  <c r="DC427" i="1"/>
  <c r="CP427" i="1"/>
  <c r="CV427" i="1" s="1"/>
  <c r="BX427" i="1"/>
  <c r="BZ427" i="1" s="1"/>
  <c r="BW427" i="1"/>
  <c r="BO427" i="1"/>
  <c r="BF427" i="1"/>
  <c r="BE427" i="1"/>
  <c r="BD427" i="1"/>
  <c r="BC427" i="1"/>
  <c r="BB427" i="1"/>
  <c r="BA427" i="1"/>
  <c r="BG427" i="1" s="1" a="1"/>
  <c r="BG427" i="1" s="1"/>
  <c r="AZ427" i="1"/>
  <c r="M427" i="1"/>
  <c r="ER422" i="1"/>
  <c r="EQ422" i="1"/>
  <c r="DZ422" i="1"/>
  <c r="DS422" i="1"/>
  <c r="DR422" i="1"/>
  <c r="DQ422" i="1"/>
  <c r="DP422" i="1"/>
  <c r="DN422" i="1"/>
  <c r="DO422" i="1" s="1"/>
  <c r="DH422" i="1"/>
  <c r="DC422" i="1"/>
  <c r="CP422" i="1"/>
  <c r="BX422" i="1"/>
  <c r="BZ422" i="1" s="1"/>
  <c r="CA422" i="1" s="1"/>
  <c r="BW422" i="1"/>
  <c r="BO422" i="1"/>
  <c r="BF422" i="1"/>
  <c r="BE422" i="1"/>
  <c r="BD422" i="1"/>
  <c r="BC422" i="1"/>
  <c r="BB422" i="1"/>
  <c r="BA422" i="1"/>
  <c r="BG422" i="1" s="1" a="1"/>
  <c r="BG422" i="1" s="1"/>
  <c r="AZ422" i="1"/>
  <c r="M422" i="1"/>
  <c r="ER421" i="1"/>
  <c r="EQ421" i="1"/>
  <c r="DZ421" i="1"/>
  <c r="DS421" i="1"/>
  <c r="DR421" i="1"/>
  <c r="DQ421" i="1"/>
  <c r="DP421" i="1"/>
  <c r="DN421" i="1"/>
  <c r="DO421" i="1" s="1"/>
  <c r="DH421" i="1"/>
  <c r="DC421" i="1"/>
  <c r="CP421" i="1"/>
  <c r="CU421" i="1" s="1"/>
  <c r="BX421" i="1"/>
  <c r="BZ421" i="1" s="1"/>
  <c r="CA421" i="1" s="1"/>
  <c r="BW421" i="1"/>
  <c r="BO421" i="1"/>
  <c r="BF421" i="1"/>
  <c r="BE421" i="1"/>
  <c r="BD421" i="1"/>
  <c r="BC421" i="1"/>
  <c r="BB421" i="1"/>
  <c r="BA421" i="1"/>
  <c r="BG421" i="1" s="1" a="1"/>
  <c r="BG421" i="1" s="1"/>
  <c r="AZ421" i="1"/>
  <c r="M421" i="1"/>
  <c r="ER418" i="1"/>
  <c r="EQ418" i="1"/>
  <c r="DZ418" i="1"/>
  <c r="DY418" i="1"/>
  <c r="DS418" i="1"/>
  <c r="DR418" i="1"/>
  <c r="DQ418" i="1"/>
  <c r="DP418" i="1"/>
  <c r="DN418" i="1"/>
  <c r="DO418" i="1" s="1"/>
  <c r="DG418" i="1"/>
  <c r="DH418" i="1" s="1"/>
  <c r="DC418" i="1"/>
  <c r="DA418" i="1"/>
  <c r="CP418" i="1"/>
  <c r="CW418" i="1" s="1"/>
  <c r="CY418" i="1" s="1"/>
  <c r="FA418" i="1" s="1"/>
  <c r="CA418" i="1"/>
  <c r="EY418" i="1" s="1"/>
  <c r="BF418" i="1"/>
  <c r="BE418" i="1"/>
  <c r="BD418" i="1"/>
  <c r="BC418" i="1"/>
  <c r="BB418" i="1"/>
  <c r="BA418" i="1"/>
  <c r="BG418" i="1" s="1" a="1"/>
  <c r="BG418" i="1" s="1"/>
  <c r="AZ418" i="1"/>
  <c r="M418" i="1"/>
  <c r="ER417" i="1"/>
  <c r="EQ417" i="1"/>
  <c r="DZ417" i="1"/>
  <c r="DY417" i="1"/>
  <c r="DS417" i="1"/>
  <c r="DR417" i="1"/>
  <c r="DQ417" i="1"/>
  <c r="DP417" i="1"/>
  <c r="DN417" i="1"/>
  <c r="DO417" i="1" s="1"/>
  <c r="DG417" i="1"/>
  <c r="DH417" i="1" s="1"/>
  <c r="DC417" i="1"/>
  <c r="DA417" i="1"/>
  <c r="CP417" i="1"/>
  <c r="CW417" i="1" s="1"/>
  <c r="CY417" i="1" s="1"/>
  <c r="FA417" i="1" s="1"/>
  <c r="CA417" i="1"/>
  <c r="EY417" i="1" s="1"/>
  <c r="BF417" i="1"/>
  <c r="BE417" i="1"/>
  <c r="BD417" i="1"/>
  <c r="BC417" i="1"/>
  <c r="BB417" i="1"/>
  <c r="BA417" i="1"/>
  <c r="BG417" i="1" s="1" a="1"/>
  <c r="BG417" i="1" s="1"/>
  <c r="AZ417" i="1"/>
  <c r="M417" i="1"/>
  <c r="ER420" i="1"/>
  <c r="EQ420" i="1"/>
  <c r="DZ420" i="1"/>
  <c r="DY420" i="1"/>
  <c r="DS420" i="1"/>
  <c r="DR420" i="1"/>
  <c r="DQ420" i="1"/>
  <c r="DP420" i="1"/>
  <c r="DN420" i="1"/>
  <c r="DO420" i="1" s="1"/>
  <c r="DG420" i="1"/>
  <c r="DH420" i="1" s="1"/>
  <c r="DC420" i="1"/>
  <c r="DA420" i="1"/>
  <c r="CP420" i="1"/>
  <c r="CW420" i="1" s="1"/>
  <c r="CY420" i="1" s="1"/>
  <c r="FA420" i="1" s="1"/>
  <c r="CA420" i="1"/>
  <c r="EY420" i="1" s="1"/>
  <c r="BF420" i="1"/>
  <c r="BE420" i="1"/>
  <c r="BD420" i="1"/>
  <c r="BC420" i="1"/>
  <c r="BB420" i="1"/>
  <c r="BA420" i="1"/>
  <c r="BG420" i="1" s="1" a="1"/>
  <c r="BG420" i="1" s="1"/>
  <c r="AZ420" i="1"/>
  <c r="M420" i="1"/>
  <c r="ER419" i="1"/>
  <c r="EQ419" i="1"/>
  <c r="DZ419" i="1"/>
  <c r="DY419" i="1"/>
  <c r="DS419" i="1"/>
  <c r="DR419" i="1"/>
  <c r="DQ419" i="1"/>
  <c r="DP419" i="1"/>
  <c r="DN419" i="1"/>
  <c r="DO419" i="1" s="1"/>
  <c r="DG419" i="1"/>
  <c r="DH419" i="1" s="1"/>
  <c r="DC419" i="1"/>
  <c r="DA419" i="1"/>
  <c r="CP419" i="1"/>
  <c r="CW419" i="1" s="1"/>
  <c r="CY419" i="1" s="1"/>
  <c r="FA419" i="1" s="1"/>
  <c r="CA419" i="1"/>
  <c r="EY419" i="1" s="1"/>
  <c r="BF419" i="1"/>
  <c r="BE419" i="1"/>
  <c r="BD419" i="1"/>
  <c r="BC419" i="1"/>
  <c r="BB419" i="1"/>
  <c r="BA419" i="1"/>
  <c r="BG419" i="1" s="1" a="1"/>
  <c r="BG419" i="1" s="1"/>
  <c r="AZ419" i="1"/>
  <c r="M419" i="1"/>
  <c r="ER416" i="1"/>
  <c r="EQ416" i="1"/>
  <c r="DZ416" i="1"/>
  <c r="DY416" i="1"/>
  <c r="DS416" i="1"/>
  <c r="DR416" i="1"/>
  <c r="DQ416" i="1"/>
  <c r="DP416" i="1"/>
  <c r="DN416" i="1"/>
  <c r="DO416" i="1" s="1"/>
  <c r="DG416" i="1"/>
  <c r="DH416" i="1" s="1"/>
  <c r="DC416" i="1"/>
  <c r="DA416" i="1"/>
  <c r="CP416" i="1"/>
  <c r="CW416" i="1" s="1"/>
  <c r="CY416" i="1" s="1"/>
  <c r="FA416" i="1" s="1"/>
  <c r="CA416" i="1"/>
  <c r="EY416" i="1" s="1"/>
  <c r="BF416" i="1"/>
  <c r="BE416" i="1"/>
  <c r="BD416" i="1"/>
  <c r="BC416" i="1"/>
  <c r="BB416" i="1"/>
  <c r="BA416" i="1"/>
  <c r="BG416" i="1" s="1" a="1"/>
  <c r="BG416" i="1" s="1"/>
  <c r="AZ416" i="1"/>
  <c r="M416" i="1"/>
  <c r="ER415" i="1"/>
  <c r="EQ415" i="1"/>
  <c r="DZ415" i="1"/>
  <c r="DY415" i="1"/>
  <c r="DS415" i="1"/>
  <c r="DR415" i="1"/>
  <c r="DQ415" i="1"/>
  <c r="DP415" i="1"/>
  <c r="DN415" i="1"/>
  <c r="DO415" i="1" s="1"/>
  <c r="DG415" i="1"/>
  <c r="DH415" i="1" s="1"/>
  <c r="DC415" i="1"/>
  <c r="DA415" i="1"/>
  <c r="CP415" i="1"/>
  <c r="CW415" i="1" s="1"/>
  <c r="CY415" i="1" s="1"/>
  <c r="FA415" i="1" s="1"/>
  <c r="CA415" i="1"/>
  <c r="EY415" i="1" s="1"/>
  <c r="BF415" i="1"/>
  <c r="BE415" i="1"/>
  <c r="BD415" i="1"/>
  <c r="BC415" i="1"/>
  <c r="BB415" i="1"/>
  <c r="BA415" i="1"/>
  <c r="BG415" i="1" s="1" a="1"/>
  <c r="BG415" i="1" s="1"/>
  <c r="AZ415" i="1"/>
  <c r="M415" i="1"/>
  <c r="ER414" i="1"/>
  <c r="EQ414" i="1"/>
  <c r="DZ414" i="1"/>
  <c r="DY414" i="1"/>
  <c r="DS414" i="1"/>
  <c r="DR414" i="1"/>
  <c r="DQ414" i="1"/>
  <c r="DP414" i="1"/>
  <c r="DN414" i="1"/>
  <c r="DO414" i="1" s="1"/>
  <c r="DG414" i="1"/>
  <c r="DH414" i="1" s="1"/>
  <c r="DC414" i="1"/>
  <c r="DA414" i="1"/>
  <c r="CP414" i="1"/>
  <c r="CW414" i="1" s="1"/>
  <c r="CY414" i="1" s="1"/>
  <c r="FA414" i="1" s="1"/>
  <c r="CA414" i="1"/>
  <c r="EY414" i="1" s="1"/>
  <c r="BF414" i="1"/>
  <c r="BE414" i="1"/>
  <c r="BD414" i="1"/>
  <c r="BC414" i="1"/>
  <c r="BB414" i="1"/>
  <c r="BA414" i="1"/>
  <c r="BG414" i="1" s="1" a="1"/>
  <c r="BG414" i="1" s="1"/>
  <c r="AZ414" i="1"/>
  <c r="M414" i="1"/>
  <c r="ER413" i="1"/>
  <c r="EQ413" i="1"/>
  <c r="DZ413" i="1"/>
  <c r="DY413" i="1"/>
  <c r="DS413" i="1"/>
  <c r="DR413" i="1"/>
  <c r="DQ413" i="1"/>
  <c r="DP413" i="1"/>
  <c r="DN413" i="1"/>
  <c r="DO413" i="1" s="1"/>
  <c r="DG413" i="1"/>
  <c r="DH413" i="1" s="1"/>
  <c r="DC413" i="1"/>
  <c r="DA413" i="1"/>
  <c r="CP413" i="1"/>
  <c r="CW413" i="1" s="1"/>
  <c r="CY413" i="1" s="1"/>
  <c r="FA413" i="1" s="1"/>
  <c r="CA413" i="1"/>
  <c r="EY413" i="1" s="1"/>
  <c r="BF413" i="1"/>
  <c r="BE413" i="1"/>
  <c r="BD413" i="1"/>
  <c r="BC413" i="1"/>
  <c r="BB413" i="1"/>
  <c r="BA413" i="1"/>
  <c r="BG413" i="1" s="1" a="1"/>
  <c r="BG413" i="1" s="1"/>
  <c r="AZ413" i="1"/>
  <c r="M413" i="1"/>
  <c r="ER412" i="1"/>
  <c r="EQ412" i="1"/>
  <c r="DZ412" i="1"/>
  <c r="DY412" i="1"/>
  <c r="DS412" i="1"/>
  <c r="DR412" i="1"/>
  <c r="DQ412" i="1"/>
  <c r="DP412" i="1"/>
  <c r="DN412" i="1"/>
  <c r="DO412" i="1" s="1"/>
  <c r="DG412" i="1"/>
  <c r="DH412" i="1" s="1"/>
  <c r="DC412" i="1"/>
  <c r="DA412" i="1"/>
  <c r="CP412" i="1"/>
  <c r="CW412" i="1" s="1"/>
  <c r="CY412" i="1" s="1"/>
  <c r="FA412" i="1" s="1"/>
  <c r="CA412" i="1"/>
  <c r="EY412" i="1" s="1"/>
  <c r="BF412" i="1"/>
  <c r="BE412" i="1"/>
  <c r="BD412" i="1"/>
  <c r="BC412" i="1"/>
  <c r="BB412" i="1"/>
  <c r="BA412" i="1"/>
  <c r="BG412" i="1" s="1" a="1"/>
  <c r="BG412" i="1" s="1"/>
  <c r="AZ412" i="1"/>
  <c r="M412" i="1"/>
  <c r="ER407" i="1"/>
  <c r="EQ407" i="1"/>
  <c r="DZ407" i="1"/>
  <c r="DY407" i="1"/>
  <c r="DS407" i="1"/>
  <c r="DR407" i="1"/>
  <c r="DQ407" i="1"/>
  <c r="DP407" i="1"/>
  <c r="DN407" i="1"/>
  <c r="DO407" i="1" s="1"/>
  <c r="DH407" i="1"/>
  <c r="DC407" i="1"/>
  <c r="CP407" i="1"/>
  <c r="BX407" i="1"/>
  <c r="BZ407" i="1" s="1"/>
  <c r="CA407" i="1" s="1"/>
  <c r="BW407" i="1"/>
  <c r="BF407" i="1"/>
  <c r="BE407" i="1"/>
  <c r="BD407" i="1"/>
  <c r="BC407" i="1"/>
  <c r="BB407" i="1"/>
  <c r="BA407" i="1"/>
  <c r="AZ407" i="1"/>
  <c r="U407" i="1"/>
  <c r="M407" i="1"/>
  <c r="ER408" i="1"/>
  <c r="EQ408" i="1"/>
  <c r="DZ408" i="1"/>
  <c r="DY408" i="1"/>
  <c r="DS408" i="1"/>
  <c r="DR408" i="1"/>
  <c r="DQ408" i="1"/>
  <c r="DP408" i="1"/>
  <c r="DN408" i="1"/>
  <c r="DO408" i="1" s="1"/>
  <c r="DH408" i="1"/>
  <c r="DC408" i="1"/>
  <c r="CP408" i="1"/>
  <c r="CV408" i="1" s="1"/>
  <c r="BX408" i="1"/>
  <c r="BZ408" i="1" s="1"/>
  <c r="CA408" i="1" s="1"/>
  <c r="BW408" i="1"/>
  <c r="BF408" i="1"/>
  <c r="BE408" i="1"/>
  <c r="BD408" i="1"/>
  <c r="BC408" i="1"/>
  <c r="BB408" i="1"/>
  <c r="BA408" i="1"/>
  <c r="AZ408" i="1"/>
  <c r="U408" i="1"/>
  <c r="M408" i="1"/>
  <c r="ER410" i="1"/>
  <c r="EQ410" i="1"/>
  <c r="DZ410" i="1"/>
  <c r="DY410" i="1"/>
  <c r="DS410" i="1"/>
  <c r="DR410" i="1"/>
  <c r="DQ410" i="1"/>
  <c r="DP410" i="1"/>
  <c r="DN410" i="1"/>
  <c r="DO410" i="1" s="1"/>
  <c r="DH410" i="1"/>
  <c r="DC410" i="1"/>
  <c r="CP410" i="1"/>
  <c r="CU410" i="1" s="1"/>
  <c r="BX410" i="1"/>
  <c r="BZ410" i="1" s="1"/>
  <c r="CA410" i="1" s="1"/>
  <c r="BW410" i="1"/>
  <c r="BF410" i="1"/>
  <c r="BE410" i="1"/>
  <c r="BD410" i="1"/>
  <c r="BC410" i="1"/>
  <c r="BB410" i="1"/>
  <c r="BA410" i="1"/>
  <c r="AZ410" i="1"/>
  <c r="U410" i="1"/>
  <c r="M410" i="1"/>
  <c r="ER409" i="1"/>
  <c r="EQ409" i="1"/>
  <c r="DZ409" i="1"/>
  <c r="DY409" i="1"/>
  <c r="DS409" i="1"/>
  <c r="DR409" i="1"/>
  <c r="DQ409" i="1"/>
  <c r="DP409" i="1"/>
  <c r="DN409" i="1"/>
  <c r="DO409" i="1" s="1"/>
  <c r="DH409" i="1"/>
  <c r="DC409" i="1"/>
  <c r="CP409" i="1"/>
  <c r="CV409" i="1" s="1"/>
  <c r="BX409" i="1"/>
  <c r="BZ409" i="1" s="1"/>
  <c r="CA409" i="1" s="1"/>
  <c r="BW409" i="1"/>
  <c r="BF409" i="1"/>
  <c r="BE409" i="1"/>
  <c r="BD409" i="1"/>
  <c r="BC409" i="1"/>
  <c r="BB409" i="1"/>
  <c r="BA409" i="1"/>
  <c r="AZ409" i="1"/>
  <c r="U409" i="1"/>
  <c r="M409" i="1"/>
  <c r="ER411" i="1"/>
  <c r="EQ411" i="1"/>
  <c r="DZ411" i="1"/>
  <c r="DY411" i="1"/>
  <c r="DS411" i="1"/>
  <c r="DR411" i="1"/>
  <c r="DQ411" i="1"/>
  <c r="DP411" i="1"/>
  <c r="DN411" i="1"/>
  <c r="DO411" i="1" s="1"/>
  <c r="DH411" i="1"/>
  <c r="DC411" i="1"/>
  <c r="CP411" i="1"/>
  <c r="BX411" i="1"/>
  <c r="BZ411" i="1" s="1"/>
  <c r="CA411" i="1" s="1"/>
  <c r="BW411" i="1"/>
  <c r="BF411" i="1"/>
  <c r="BE411" i="1"/>
  <c r="BD411" i="1"/>
  <c r="BC411" i="1"/>
  <c r="BB411" i="1"/>
  <c r="BA411" i="1"/>
  <c r="AZ411" i="1"/>
  <c r="U411" i="1"/>
  <c r="M411" i="1"/>
  <c r="ER406" i="1"/>
  <c r="EQ406" i="1"/>
  <c r="DZ406" i="1"/>
  <c r="DY406" i="1"/>
  <c r="DS406" i="1"/>
  <c r="DR406" i="1"/>
  <c r="DQ406" i="1"/>
  <c r="DP406" i="1"/>
  <c r="DN406" i="1"/>
  <c r="DO406" i="1" s="1"/>
  <c r="DH406" i="1"/>
  <c r="DC406" i="1"/>
  <c r="CP406" i="1"/>
  <c r="BZ406" i="1"/>
  <c r="CA406" i="1" s="1"/>
  <c r="BF406" i="1"/>
  <c r="BE406" i="1"/>
  <c r="BD406" i="1"/>
  <c r="BC406" i="1"/>
  <c r="BB406" i="1"/>
  <c r="BA406" i="1"/>
  <c r="BG406" i="1" s="1" a="1"/>
  <c r="BG406" i="1" s="1"/>
  <c r="AZ406" i="1"/>
  <c r="U406" i="1"/>
  <c r="M406" i="1"/>
  <c r="ER397" i="1"/>
  <c r="EQ397" i="1"/>
  <c r="DZ397" i="1"/>
  <c r="DY397" i="1"/>
  <c r="DS397" i="1"/>
  <c r="DR397" i="1"/>
  <c r="DQ397" i="1"/>
  <c r="DP397" i="1"/>
  <c r="DN397" i="1"/>
  <c r="DO397" i="1" s="1"/>
  <c r="DH397" i="1"/>
  <c r="DC397" i="1"/>
  <c r="CP397" i="1"/>
  <c r="BZ397" i="1"/>
  <c r="CA397" i="1" s="1"/>
  <c r="BF397" i="1"/>
  <c r="BE397" i="1"/>
  <c r="BD397" i="1"/>
  <c r="BC397" i="1"/>
  <c r="BB397" i="1"/>
  <c r="BA397" i="1"/>
  <c r="AZ397" i="1"/>
  <c r="U397" i="1"/>
  <c r="M397" i="1"/>
  <c r="ER398" i="1"/>
  <c r="EQ398" i="1"/>
  <c r="DZ398" i="1"/>
  <c r="DY398" i="1"/>
  <c r="DS398" i="1"/>
  <c r="DR398" i="1"/>
  <c r="DQ398" i="1"/>
  <c r="DP398" i="1"/>
  <c r="DN398" i="1"/>
  <c r="DO398" i="1" s="1"/>
  <c r="DH398" i="1"/>
  <c r="DC398" i="1"/>
  <c r="CP398" i="1"/>
  <c r="CU398" i="1" s="1"/>
  <c r="BZ398" i="1"/>
  <c r="CA398" i="1" s="1"/>
  <c r="BF398" i="1"/>
  <c r="BE398" i="1"/>
  <c r="BD398" i="1"/>
  <c r="BC398" i="1"/>
  <c r="BB398" i="1"/>
  <c r="BA398" i="1"/>
  <c r="AZ398" i="1"/>
  <c r="U398" i="1"/>
  <c r="M398" i="1"/>
  <c r="ER400" i="1"/>
  <c r="EQ400" i="1"/>
  <c r="DZ400" i="1"/>
  <c r="DY400" i="1"/>
  <c r="DS400" i="1"/>
  <c r="DR400" i="1"/>
  <c r="DQ400" i="1"/>
  <c r="DP400" i="1"/>
  <c r="DN400" i="1"/>
  <c r="DO400" i="1" s="1"/>
  <c r="DH400" i="1"/>
  <c r="DC400" i="1"/>
  <c r="CP400" i="1"/>
  <c r="BZ400" i="1"/>
  <c r="CA400" i="1" s="1"/>
  <c r="BF400" i="1"/>
  <c r="BE400" i="1"/>
  <c r="BD400" i="1"/>
  <c r="BC400" i="1"/>
  <c r="BB400" i="1"/>
  <c r="BA400" i="1"/>
  <c r="AZ400" i="1"/>
  <c r="U400" i="1"/>
  <c r="M400" i="1"/>
  <c r="ER399" i="1"/>
  <c r="EQ399" i="1"/>
  <c r="DZ399" i="1"/>
  <c r="DY399" i="1"/>
  <c r="DS399" i="1"/>
  <c r="DR399" i="1"/>
  <c r="DQ399" i="1"/>
  <c r="DP399" i="1"/>
  <c r="DN399" i="1"/>
  <c r="DO399" i="1" s="1"/>
  <c r="DH399" i="1"/>
  <c r="DC399" i="1"/>
  <c r="CP399" i="1"/>
  <c r="BZ399" i="1"/>
  <c r="CA399" i="1" s="1"/>
  <c r="BF399" i="1"/>
  <c r="BE399" i="1"/>
  <c r="BD399" i="1"/>
  <c r="BC399" i="1"/>
  <c r="BB399" i="1"/>
  <c r="BA399" i="1"/>
  <c r="AZ399" i="1"/>
  <c r="U399" i="1"/>
  <c r="M399" i="1"/>
  <c r="ER401" i="1"/>
  <c r="EQ401" i="1"/>
  <c r="DZ401" i="1"/>
  <c r="DY401" i="1"/>
  <c r="DS401" i="1"/>
  <c r="DR401" i="1"/>
  <c r="DQ401" i="1"/>
  <c r="DP401" i="1"/>
  <c r="DN401" i="1"/>
  <c r="DO401" i="1" s="1"/>
  <c r="DH401" i="1"/>
  <c r="DC401" i="1"/>
  <c r="CP401" i="1"/>
  <c r="CV401" i="1" s="1"/>
  <c r="BZ401" i="1"/>
  <c r="CA401" i="1" s="1"/>
  <c r="BF401" i="1"/>
  <c r="BE401" i="1"/>
  <c r="BD401" i="1"/>
  <c r="BC401" i="1"/>
  <c r="BB401" i="1"/>
  <c r="BA401" i="1"/>
  <c r="AZ401" i="1"/>
  <c r="U401" i="1"/>
  <c r="M401" i="1"/>
  <c r="ER402" i="1"/>
  <c r="EQ402" i="1"/>
  <c r="DZ402" i="1"/>
  <c r="DY402" i="1"/>
  <c r="DS402" i="1"/>
  <c r="DR402" i="1"/>
  <c r="DQ402" i="1"/>
  <c r="DP402" i="1"/>
  <c r="DN402" i="1"/>
  <c r="DO402" i="1" s="1"/>
  <c r="DH402" i="1"/>
  <c r="DC402" i="1"/>
  <c r="CP402" i="1"/>
  <c r="BZ402" i="1"/>
  <c r="CA402" i="1" s="1"/>
  <c r="BF402" i="1"/>
  <c r="BE402" i="1"/>
  <c r="BD402" i="1"/>
  <c r="BC402" i="1"/>
  <c r="BB402" i="1"/>
  <c r="BA402" i="1"/>
  <c r="AZ402" i="1"/>
  <c r="U402" i="1"/>
  <c r="M402" i="1"/>
  <c r="ER403" i="1"/>
  <c r="EQ403" i="1"/>
  <c r="DZ403" i="1"/>
  <c r="DY403" i="1"/>
  <c r="DS403" i="1"/>
  <c r="DR403" i="1"/>
  <c r="DQ403" i="1"/>
  <c r="DP403" i="1"/>
  <c r="DN403" i="1"/>
  <c r="DO403" i="1" s="1"/>
  <c r="DH403" i="1"/>
  <c r="DC403" i="1"/>
  <c r="CP403" i="1"/>
  <c r="BZ403" i="1"/>
  <c r="CA403" i="1" s="1"/>
  <c r="BF403" i="1"/>
  <c r="BE403" i="1"/>
  <c r="BD403" i="1"/>
  <c r="BC403" i="1"/>
  <c r="BB403" i="1"/>
  <c r="BA403" i="1"/>
  <c r="AZ403" i="1"/>
  <c r="U403" i="1"/>
  <c r="M403" i="1"/>
  <c r="ER404" i="1"/>
  <c r="EQ404" i="1"/>
  <c r="DZ404" i="1"/>
  <c r="DY404" i="1"/>
  <c r="DS404" i="1"/>
  <c r="DR404" i="1"/>
  <c r="DQ404" i="1"/>
  <c r="DP404" i="1"/>
  <c r="DN404" i="1"/>
  <c r="DO404" i="1" s="1"/>
  <c r="DH404" i="1"/>
  <c r="DC404" i="1"/>
  <c r="CP404" i="1"/>
  <c r="CV404" i="1" s="1"/>
  <c r="BZ404" i="1"/>
  <c r="CA404" i="1" s="1"/>
  <c r="BF404" i="1"/>
  <c r="BE404" i="1"/>
  <c r="BD404" i="1"/>
  <c r="BC404" i="1"/>
  <c r="BB404" i="1"/>
  <c r="BA404" i="1"/>
  <c r="AZ404" i="1"/>
  <c r="U404" i="1"/>
  <c r="M404" i="1"/>
  <c r="ER405" i="1"/>
  <c r="EQ405" i="1"/>
  <c r="DZ405" i="1"/>
  <c r="DY405" i="1"/>
  <c r="DS405" i="1"/>
  <c r="DR405" i="1"/>
  <c r="DQ405" i="1"/>
  <c r="DP405" i="1"/>
  <c r="DN405" i="1"/>
  <c r="DO405" i="1" s="1"/>
  <c r="DH405" i="1"/>
  <c r="DC405" i="1"/>
  <c r="CP405" i="1"/>
  <c r="BZ405" i="1"/>
  <c r="CA405" i="1" s="1"/>
  <c r="BF405" i="1"/>
  <c r="BE405" i="1"/>
  <c r="BD405" i="1"/>
  <c r="BC405" i="1"/>
  <c r="BB405" i="1"/>
  <c r="BA405" i="1"/>
  <c r="AZ405" i="1"/>
  <c r="U405" i="1"/>
  <c r="M405" i="1"/>
  <c r="ER364" i="1"/>
  <c r="EQ364" i="1"/>
  <c r="DZ364" i="1"/>
  <c r="DY364" i="1"/>
  <c r="DS364" i="1"/>
  <c r="DR364" i="1"/>
  <c r="DQ364" i="1"/>
  <c r="DP364" i="1"/>
  <c r="DN364" i="1"/>
  <c r="DO364" i="1" s="1"/>
  <c r="DH364" i="1"/>
  <c r="DC364" i="1"/>
  <c r="CP364" i="1"/>
  <c r="BZ364" i="1"/>
  <c r="CA364" i="1" s="1"/>
  <c r="BF364" i="1"/>
  <c r="BE364" i="1"/>
  <c r="BD364" i="1"/>
  <c r="BC364" i="1"/>
  <c r="BB364" i="1"/>
  <c r="BA364" i="1"/>
  <c r="AZ364" i="1"/>
  <c r="U364" i="1"/>
  <c r="M364" i="1"/>
  <c r="ER365" i="1"/>
  <c r="EQ365" i="1"/>
  <c r="DZ365" i="1"/>
  <c r="DY365" i="1"/>
  <c r="DS365" i="1"/>
  <c r="DR365" i="1"/>
  <c r="DQ365" i="1"/>
  <c r="DP365" i="1"/>
  <c r="DN365" i="1"/>
  <c r="DO365" i="1" s="1"/>
  <c r="DH365" i="1"/>
  <c r="DC365" i="1"/>
  <c r="CP365" i="1"/>
  <c r="BZ365" i="1"/>
  <c r="CA365" i="1" s="1"/>
  <c r="BF365" i="1"/>
  <c r="BE365" i="1"/>
  <c r="BD365" i="1"/>
  <c r="BC365" i="1"/>
  <c r="BB365" i="1"/>
  <c r="BA365" i="1"/>
  <c r="AZ365" i="1"/>
  <c r="U365" i="1"/>
  <c r="M365" i="1"/>
  <c r="ER366" i="1"/>
  <c r="EQ366" i="1"/>
  <c r="DZ366" i="1"/>
  <c r="DY366" i="1"/>
  <c r="DS366" i="1"/>
  <c r="DR366" i="1"/>
  <c r="DQ366" i="1"/>
  <c r="DP366" i="1"/>
  <c r="DN366" i="1"/>
  <c r="DO366" i="1" s="1"/>
  <c r="DH366" i="1"/>
  <c r="DC366" i="1"/>
  <c r="CP366" i="1"/>
  <c r="BZ366" i="1"/>
  <c r="CA366" i="1" s="1"/>
  <c r="BF366" i="1"/>
  <c r="BE366" i="1"/>
  <c r="BD366" i="1"/>
  <c r="BC366" i="1"/>
  <c r="BB366" i="1"/>
  <c r="BA366" i="1"/>
  <c r="AZ366" i="1"/>
  <c r="U366" i="1"/>
  <c r="M366" i="1"/>
  <c r="ER367" i="1"/>
  <c r="EQ367" i="1"/>
  <c r="DZ367" i="1"/>
  <c r="DY367" i="1"/>
  <c r="DS367" i="1"/>
  <c r="DR367" i="1"/>
  <c r="DQ367" i="1"/>
  <c r="DP367" i="1"/>
  <c r="DN367" i="1"/>
  <c r="DO367" i="1" s="1"/>
  <c r="DH367" i="1"/>
  <c r="DC367" i="1"/>
  <c r="CP367" i="1"/>
  <c r="CV367" i="1" s="1"/>
  <c r="BZ367" i="1"/>
  <c r="BF367" i="1"/>
  <c r="BE367" i="1"/>
  <c r="BD367" i="1"/>
  <c r="BC367" i="1"/>
  <c r="BB367" i="1"/>
  <c r="BA367" i="1"/>
  <c r="AZ367" i="1"/>
  <c r="U367" i="1"/>
  <c r="M367" i="1"/>
  <c r="ER368" i="1"/>
  <c r="EQ368" i="1"/>
  <c r="DZ368" i="1"/>
  <c r="DY368" i="1"/>
  <c r="DS368" i="1"/>
  <c r="DR368" i="1"/>
  <c r="DQ368" i="1"/>
  <c r="DP368" i="1"/>
  <c r="DN368" i="1"/>
  <c r="DO368" i="1" s="1"/>
  <c r="DH368" i="1"/>
  <c r="DC368" i="1"/>
  <c r="CP368" i="1"/>
  <c r="CU368" i="1" s="1"/>
  <c r="BZ368" i="1"/>
  <c r="CA368" i="1" s="1"/>
  <c r="BF368" i="1"/>
  <c r="BE368" i="1"/>
  <c r="BD368" i="1"/>
  <c r="BC368" i="1"/>
  <c r="BB368" i="1"/>
  <c r="BA368" i="1"/>
  <c r="AZ368" i="1"/>
  <c r="U368" i="1"/>
  <c r="M368" i="1"/>
  <c r="ER369" i="1"/>
  <c r="EQ369" i="1"/>
  <c r="DZ369" i="1"/>
  <c r="DY369" i="1"/>
  <c r="DS369" i="1"/>
  <c r="DR369" i="1"/>
  <c r="DQ369" i="1"/>
  <c r="DP369" i="1"/>
  <c r="DN369" i="1"/>
  <c r="DO369" i="1" s="1"/>
  <c r="DH369" i="1"/>
  <c r="DC369" i="1"/>
  <c r="CP369" i="1"/>
  <c r="BZ369" i="1"/>
  <c r="CA369" i="1" s="1"/>
  <c r="BF369" i="1"/>
  <c r="BE369" i="1"/>
  <c r="BD369" i="1"/>
  <c r="BC369" i="1"/>
  <c r="BB369" i="1"/>
  <c r="BA369" i="1"/>
  <c r="AZ369" i="1"/>
  <c r="U369" i="1"/>
  <c r="M369" i="1"/>
  <c r="ER370" i="1"/>
  <c r="EQ370" i="1"/>
  <c r="DZ370" i="1"/>
  <c r="DY370" i="1"/>
  <c r="DS370" i="1"/>
  <c r="DR370" i="1"/>
  <c r="DQ370" i="1"/>
  <c r="DP370" i="1"/>
  <c r="DN370" i="1"/>
  <c r="DO370" i="1" s="1"/>
  <c r="DH370" i="1"/>
  <c r="DC370" i="1"/>
  <c r="CP370" i="1"/>
  <c r="CV370" i="1" s="1"/>
  <c r="BZ370" i="1"/>
  <c r="CA370" i="1" s="1"/>
  <c r="BF370" i="1"/>
  <c r="BE370" i="1"/>
  <c r="BD370" i="1"/>
  <c r="BC370" i="1"/>
  <c r="BB370" i="1"/>
  <c r="BA370" i="1"/>
  <c r="AZ370" i="1"/>
  <c r="U370" i="1"/>
  <c r="M370" i="1"/>
  <c r="ER371" i="1"/>
  <c r="EQ371" i="1"/>
  <c r="DZ371" i="1"/>
  <c r="DY371" i="1"/>
  <c r="DS371" i="1"/>
  <c r="DR371" i="1"/>
  <c r="DQ371" i="1"/>
  <c r="DP371" i="1"/>
  <c r="DN371" i="1"/>
  <c r="DO371" i="1" s="1"/>
  <c r="DH371" i="1"/>
  <c r="DC371" i="1"/>
  <c r="CP371" i="1"/>
  <c r="BZ371" i="1"/>
  <c r="CA371" i="1" s="1"/>
  <c r="BF371" i="1"/>
  <c r="BE371" i="1"/>
  <c r="BD371" i="1"/>
  <c r="BC371" i="1"/>
  <c r="BB371" i="1"/>
  <c r="BA371" i="1"/>
  <c r="AZ371" i="1"/>
  <c r="U371" i="1"/>
  <c r="M371" i="1"/>
  <c r="ER372" i="1"/>
  <c r="EQ372" i="1"/>
  <c r="DZ372" i="1"/>
  <c r="DY372" i="1"/>
  <c r="DS372" i="1"/>
  <c r="DR372" i="1"/>
  <c r="DQ372" i="1"/>
  <c r="DP372" i="1"/>
  <c r="DN372" i="1"/>
  <c r="DO372" i="1" s="1"/>
  <c r="DH372" i="1"/>
  <c r="DC372" i="1"/>
  <c r="CP372" i="1"/>
  <c r="CU372" i="1" s="1"/>
  <c r="BZ372" i="1"/>
  <c r="CA372" i="1" s="1"/>
  <c r="BF372" i="1"/>
  <c r="BE372" i="1"/>
  <c r="BD372" i="1"/>
  <c r="BC372" i="1"/>
  <c r="BB372" i="1"/>
  <c r="BA372" i="1"/>
  <c r="AZ372" i="1"/>
  <c r="U372" i="1"/>
  <c r="M372" i="1"/>
  <c r="ER373" i="1"/>
  <c r="EQ373" i="1"/>
  <c r="DZ373" i="1"/>
  <c r="DY373" i="1"/>
  <c r="DS373" i="1"/>
  <c r="DR373" i="1"/>
  <c r="DQ373" i="1"/>
  <c r="DP373" i="1"/>
  <c r="DN373" i="1"/>
  <c r="DO373" i="1" s="1"/>
  <c r="DH373" i="1"/>
  <c r="DC373" i="1"/>
  <c r="CP373" i="1"/>
  <c r="BZ373" i="1"/>
  <c r="BF373" i="1"/>
  <c r="BE373" i="1"/>
  <c r="BD373" i="1"/>
  <c r="BC373" i="1"/>
  <c r="BB373" i="1"/>
  <c r="BA373" i="1"/>
  <c r="AZ373" i="1"/>
  <c r="U373" i="1"/>
  <c r="M373" i="1"/>
  <c r="ER375" i="1"/>
  <c r="EQ375" i="1"/>
  <c r="DZ375" i="1"/>
  <c r="DY375" i="1"/>
  <c r="DS375" i="1"/>
  <c r="DR375" i="1"/>
  <c r="DQ375" i="1"/>
  <c r="DP375" i="1"/>
  <c r="DN375" i="1"/>
  <c r="DO375" i="1" s="1"/>
  <c r="DH375" i="1"/>
  <c r="DC375" i="1"/>
  <c r="CP375" i="1"/>
  <c r="CV375" i="1" s="1"/>
  <c r="BZ375" i="1"/>
  <c r="CA375" i="1" s="1"/>
  <c r="BF375" i="1"/>
  <c r="BE375" i="1"/>
  <c r="BD375" i="1"/>
  <c r="BC375" i="1"/>
  <c r="BB375" i="1"/>
  <c r="BA375" i="1"/>
  <c r="AZ375" i="1"/>
  <c r="U375" i="1"/>
  <c r="M375" i="1"/>
  <c r="ER374" i="1"/>
  <c r="EQ374" i="1"/>
  <c r="DZ374" i="1"/>
  <c r="DY374" i="1"/>
  <c r="DS374" i="1"/>
  <c r="DR374" i="1"/>
  <c r="DQ374" i="1"/>
  <c r="DP374" i="1"/>
  <c r="DN374" i="1"/>
  <c r="DO374" i="1" s="1"/>
  <c r="DH374" i="1"/>
  <c r="DC374" i="1"/>
  <c r="CP374" i="1"/>
  <c r="CV374" i="1" s="1"/>
  <c r="BZ374" i="1"/>
  <c r="CA374" i="1" s="1"/>
  <c r="BF374" i="1"/>
  <c r="BE374" i="1"/>
  <c r="BD374" i="1"/>
  <c r="BC374" i="1"/>
  <c r="BB374" i="1"/>
  <c r="BA374" i="1"/>
  <c r="AZ374" i="1"/>
  <c r="U374" i="1"/>
  <c r="M374" i="1"/>
  <c r="ER377" i="1"/>
  <c r="EQ377" i="1"/>
  <c r="DZ377" i="1"/>
  <c r="DY377" i="1"/>
  <c r="DS377" i="1"/>
  <c r="DR377" i="1"/>
  <c r="DQ377" i="1"/>
  <c r="DP377" i="1"/>
  <c r="DN377" i="1"/>
  <c r="DO377" i="1" s="1"/>
  <c r="DH377" i="1"/>
  <c r="DC377" i="1"/>
  <c r="CP377" i="1"/>
  <c r="CU377" i="1" s="1"/>
  <c r="BZ377" i="1"/>
  <c r="CA377" i="1" s="1"/>
  <c r="BF377" i="1"/>
  <c r="BE377" i="1"/>
  <c r="BD377" i="1"/>
  <c r="BC377" i="1"/>
  <c r="BB377" i="1"/>
  <c r="BA377" i="1"/>
  <c r="AZ377" i="1"/>
  <c r="U377" i="1"/>
  <c r="M377" i="1"/>
  <c r="ER376" i="1"/>
  <c r="EQ376" i="1"/>
  <c r="DZ376" i="1"/>
  <c r="DY376" i="1"/>
  <c r="DS376" i="1"/>
  <c r="DR376" i="1"/>
  <c r="DQ376" i="1"/>
  <c r="DP376" i="1"/>
  <c r="DN376" i="1"/>
  <c r="DO376" i="1" s="1"/>
  <c r="DH376" i="1"/>
  <c r="DC376" i="1"/>
  <c r="CP376" i="1"/>
  <c r="CV376" i="1" s="1"/>
  <c r="BZ376" i="1"/>
  <c r="BF376" i="1"/>
  <c r="BE376" i="1"/>
  <c r="BD376" i="1"/>
  <c r="BC376" i="1"/>
  <c r="BB376" i="1"/>
  <c r="BA376" i="1"/>
  <c r="AZ376" i="1"/>
  <c r="U376" i="1"/>
  <c r="M376" i="1"/>
  <c r="ER378" i="1"/>
  <c r="EQ378" i="1"/>
  <c r="DZ378" i="1"/>
  <c r="DY378" i="1"/>
  <c r="DS378" i="1"/>
  <c r="DR378" i="1"/>
  <c r="DQ378" i="1"/>
  <c r="DP378" i="1"/>
  <c r="DN378" i="1"/>
  <c r="DO378" i="1" s="1"/>
  <c r="DH378" i="1"/>
  <c r="DC378" i="1"/>
  <c r="CP378" i="1"/>
  <c r="BZ378" i="1"/>
  <c r="CA378" i="1" s="1"/>
  <c r="BF378" i="1"/>
  <c r="BE378" i="1"/>
  <c r="BD378" i="1"/>
  <c r="BC378" i="1"/>
  <c r="BB378" i="1"/>
  <c r="BA378" i="1"/>
  <c r="AZ378" i="1"/>
  <c r="U378" i="1"/>
  <c r="M378" i="1"/>
  <c r="ER379" i="1"/>
  <c r="EQ379" i="1"/>
  <c r="DZ379" i="1"/>
  <c r="DY379" i="1"/>
  <c r="DS379" i="1"/>
  <c r="DR379" i="1"/>
  <c r="DQ379" i="1"/>
  <c r="DP379" i="1"/>
  <c r="DN379" i="1"/>
  <c r="DO379" i="1" s="1"/>
  <c r="DH379" i="1"/>
  <c r="DC379" i="1"/>
  <c r="CP379" i="1"/>
  <c r="BZ379" i="1"/>
  <c r="CA379" i="1" s="1"/>
  <c r="BF379" i="1"/>
  <c r="BE379" i="1"/>
  <c r="BD379" i="1"/>
  <c r="BC379" i="1"/>
  <c r="BB379" i="1"/>
  <c r="BA379" i="1"/>
  <c r="AZ379" i="1"/>
  <c r="U379" i="1"/>
  <c r="M379" i="1"/>
  <c r="ER380" i="1"/>
  <c r="EQ380" i="1"/>
  <c r="DZ380" i="1"/>
  <c r="DY380" i="1"/>
  <c r="DS380" i="1"/>
  <c r="DR380" i="1"/>
  <c r="DQ380" i="1"/>
  <c r="DP380" i="1"/>
  <c r="DN380" i="1"/>
  <c r="DO380" i="1" s="1"/>
  <c r="DH380" i="1"/>
  <c r="DC380" i="1"/>
  <c r="CP380" i="1"/>
  <c r="BZ380" i="1"/>
  <c r="CA380" i="1" s="1"/>
  <c r="BF380" i="1"/>
  <c r="BE380" i="1"/>
  <c r="BD380" i="1"/>
  <c r="BC380" i="1"/>
  <c r="BB380" i="1"/>
  <c r="BA380" i="1"/>
  <c r="AZ380" i="1"/>
  <c r="U380" i="1"/>
  <c r="M380" i="1"/>
  <c r="ER381" i="1"/>
  <c r="EQ381" i="1"/>
  <c r="DZ381" i="1"/>
  <c r="DY381" i="1"/>
  <c r="DS381" i="1"/>
  <c r="DR381" i="1"/>
  <c r="DQ381" i="1"/>
  <c r="DP381" i="1"/>
  <c r="DN381" i="1"/>
  <c r="DO381" i="1" s="1"/>
  <c r="DH381" i="1"/>
  <c r="DC381" i="1"/>
  <c r="CP381" i="1"/>
  <c r="BZ381" i="1"/>
  <c r="CA381" i="1" s="1"/>
  <c r="BF381" i="1"/>
  <c r="BE381" i="1"/>
  <c r="BD381" i="1"/>
  <c r="BC381" i="1"/>
  <c r="BB381" i="1"/>
  <c r="BA381" i="1"/>
  <c r="AZ381" i="1"/>
  <c r="U381" i="1"/>
  <c r="M381" i="1"/>
  <c r="ER382" i="1"/>
  <c r="EQ382" i="1"/>
  <c r="DZ382" i="1"/>
  <c r="DY382" i="1"/>
  <c r="DS382" i="1"/>
  <c r="DR382" i="1"/>
  <c r="DQ382" i="1"/>
  <c r="DP382" i="1"/>
  <c r="DN382" i="1"/>
  <c r="DO382" i="1" s="1"/>
  <c r="DH382" i="1"/>
  <c r="DC382" i="1"/>
  <c r="CP382" i="1"/>
  <c r="CU382" i="1" s="1"/>
  <c r="BZ382" i="1"/>
  <c r="CA382" i="1" s="1"/>
  <c r="BF382" i="1"/>
  <c r="BE382" i="1"/>
  <c r="BD382" i="1"/>
  <c r="BC382" i="1"/>
  <c r="BB382" i="1"/>
  <c r="BA382" i="1"/>
  <c r="AZ382" i="1"/>
  <c r="U382" i="1"/>
  <c r="M382" i="1"/>
  <c r="ER383" i="1"/>
  <c r="EQ383" i="1"/>
  <c r="DZ383" i="1"/>
  <c r="DY383" i="1"/>
  <c r="DS383" i="1"/>
  <c r="DR383" i="1"/>
  <c r="DQ383" i="1"/>
  <c r="DP383" i="1"/>
  <c r="DN383" i="1"/>
  <c r="DO383" i="1" s="1"/>
  <c r="DH383" i="1"/>
  <c r="DC383" i="1"/>
  <c r="CP383" i="1"/>
  <c r="CV383" i="1" s="1"/>
  <c r="BZ383" i="1"/>
  <c r="BF383" i="1"/>
  <c r="BE383" i="1"/>
  <c r="BD383" i="1"/>
  <c r="BC383" i="1"/>
  <c r="BB383" i="1"/>
  <c r="BA383" i="1"/>
  <c r="AZ383" i="1"/>
  <c r="U383" i="1"/>
  <c r="M383" i="1"/>
  <c r="ER384" i="1"/>
  <c r="EQ384" i="1"/>
  <c r="DZ384" i="1"/>
  <c r="DY384" i="1"/>
  <c r="DS384" i="1"/>
  <c r="DR384" i="1"/>
  <c r="DQ384" i="1"/>
  <c r="DP384" i="1"/>
  <c r="DN384" i="1"/>
  <c r="DO384" i="1" s="1"/>
  <c r="DH384" i="1"/>
  <c r="DC384" i="1"/>
  <c r="CP384" i="1"/>
  <c r="BZ384" i="1"/>
  <c r="CA384" i="1" s="1"/>
  <c r="BF384" i="1"/>
  <c r="BE384" i="1"/>
  <c r="BD384" i="1"/>
  <c r="BC384" i="1"/>
  <c r="BB384" i="1"/>
  <c r="BA384" i="1"/>
  <c r="AZ384" i="1"/>
  <c r="U384" i="1"/>
  <c r="M384" i="1"/>
  <c r="ER385" i="1"/>
  <c r="EQ385" i="1"/>
  <c r="DZ385" i="1"/>
  <c r="DY385" i="1"/>
  <c r="DS385" i="1"/>
  <c r="DR385" i="1"/>
  <c r="DQ385" i="1"/>
  <c r="DP385" i="1"/>
  <c r="DN385" i="1"/>
  <c r="DO385" i="1" s="1"/>
  <c r="DH385" i="1"/>
  <c r="DC385" i="1"/>
  <c r="CP385" i="1"/>
  <c r="CV385" i="1" s="1"/>
  <c r="BZ385" i="1"/>
  <c r="BF385" i="1"/>
  <c r="BE385" i="1"/>
  <c r="BD385" i="1"/>
  <c r="BC385" i="1"/>
  <c r="BB385" i="1"/>
  <c r="BA385" i="1"/>
  <c r="AZ385" i="1"/>
  <c r="U385" i="1"/>
  <c r="M385" i="1"/>
  <c r="ER387" i="1"/>
  <c r="EQ387" i="1"/>
  <c r="DZ387" i="1"/>
  <c r="DY387" i="1"/>
  <c r="DS387" i="1"/>
  <c r="DR387" i="1"/>
  <c r="DQ387" i="1"/>
  <c r="DP387" i="1"/>
  <c r="DN387" i="1"/>
  <c r="DO387" i="1" s="1"/>
  <c r="DH387" i="1"/>
  <c r="DC387" i="1"/>
  <c r="CP387" i="1"/>
  <c r="BZ387" i="1"/>
  <c r="CA387" i="1" s="1"/>
  <c r="BF387" i="1"/>
  <c r="BE387" i="1"/>
  <c r="BD387" i="1"/>
  <c r="BC387" i="1"/>
  <c r="BB387" i="1"/>
  <c r="BA387" i="1"/>
  <c r="AZ387" i="1"/>
  <c r="U387" i="1"/>
  <c r="M387" i="1"/>
  <c r="ER386" i="1"/>
  <c r="EQ386" i="1"/>
  <c r="DZ386" i="1"/>
  <c r="DY386" i="1"/>
  <c r="DS386" i="1"/>
  <c r="DR386" i="1"/>
  <c r="DQ386" i="1"/>
  <c r="DP386" i="1"/>
  <c r="DN386" i="1"/>
  <c r="DO386" i="1" s="1"/>
  <c r="DH386" i="1"/>
  <c r="DC386" i="1"/>
  <c r="CP386" i="1"/>
  <c r="CU386" i="1" s="1"/>
  <c r="BZ386" i="1"/>
  <c r="CA386" i="1" s="1"/>
  <c r="BF386" i="1"/>
  <c r="BE386" i="1"/>
  <c r="BD386" i="1"/>
  <c r="BC386" i="1"/>
  <c r="BB386" i="1"/>
  <c r="BA386" i="1"/>
  <c r="AZ386" i="1"/>
  <c r="U386" i="1"/>
  <c r="M386" i="1"/>
  <c r="ER389" i="1"/>
  <c r="EQ389" i="1"/>
  <c r="DZ389" i="1"/>
  <c r="DY389" i="1"/>
  <c r="DS389" i="1"/>
  <c r="DR389" i="1"/>
  <c r="DQ389" i="1"/>
  <c r="DP389" i="1"/>
  <c r="DN389" i="1"/>
  <c r="DO389" i="1" s="1"/>
  <c r="DH389" i="1"/>
  <c r="DC389" i="1"/>
  <c r="CP389" i="1"/>
  <c r="CU389" i="1" s="1"/>
  <c r="BZ389" i="1"/>
  <c r="CA389" i="1" s="1"/>
  <c r="BF389" i="1"/>
  <c r="BE389" i="1"/>
  <c r="BD389" i="1"/>
  <c r="BC389" i="1"/>
  <c r="BB389" i="1"/>
  <c r="BA389" i="1"/>
  <c r="AZ389" i="1"/>
  <c r="U389" i="1"/>
  <c r="M389" i="1"/>
  <c r="ER388" i="1"/>
  <c r="EQ388" i="1"/>
  <c r="DZ388" i="1"/>
  <c r="DY388" i="1"/>
  <c r="DS388" i="1"/>
  <c r="DR388" i="1"/>
  <c r="DQ388" i="1"/>
  <c r="DP388" i="1"/>
  <c r="DN388" i="1"/>
  <c r="DO388" i="1" s="1"/>
  <c r="DH388" i="1"/>
  <c r="DC388" i="1"/>
  <c r="CP388" i="1"/>
  <c r="BZ388" i="1"/>
  <c r="CA388" i="1" s="1"/>
  <c r="BF388" i="1"/>
  <c r="BE388" i="1"/>
  <c r="BD388" i="1"/>
  <c r="BC388" i="1"/>
  <c r="BB388" i="1"/>
  <c r="BA388" i="1"/>
  <c r="AZ388" i="1"/>
  <c r="U388" i="1"/>
  <c r="M388" i="1"/>
  <c r="ER391" i="1"/>
  <c r="EQ391" i="1"/>
  <c r="DZ391" i="1"/>
  <c r="DY391" i="1"/>
  <c r="DS391" i="1"/>
  <c r="DR391" i="1"/>
  <c r="DQ391" i="1"/>
  <c r="DP391" i="1"/>
  <c r="DN391" i="1"/>
  <c r="DO391" i="1" s="1"/>
  <c r="DH391" i="1"/>
  <c r="DC391" i="1"/>
  <c r="CP391" i="1"/>
  <c r="CV391" i="1" s="1"/>
  <c r="BZ391" i="1"/>
  <c r="CA391" i="1" s="1"/>
  <c r="BF391" i="1"/>
  <c r="BE391" i="1"/>
  <c r="BD391" i="1"/>
  <c r="BC391" i="1"/>
  <c r="BB391" i="1"/>
  <c r="BA391" i="1"/>
  <c r="AZ391" i="1"/>
  <c r="U391" i="1"/>
  <c r="M391" i="1"/>
  <c r="ER390" i="1"/>
  <c r="EQ390" i="1"/>
  <c r="DZ390" i="1"/>
  <c r="DY390" i="1"/>
  <c r="DS390" i="1"/>
  <c r="DR390" i="1"/>
  <c r="DQ390" i="1"/>
  <c r="DP390" i="1"/>
  <c r="DN390" i="1"/>
  <c r="DO390" i="1" s="1"/>
  <c r="DH390" i="1"/>
  <c r="DC390" i="1"/>
  <c r="CP390" i="1"/>
  <c r="CU390" i="1" s="1"/>
  <c r="BZ390" i="1"/>
  <c r="CA390" i="1" s="1"/>
  <c r="BF390" i="1"/>
  <c r="BE390" i="1"/>
  <c r="BD390" i="1"/>
  <c r="BC390" i="1"/>
  <c r="BB390" i="1"/>
  <c r="BA390" i="1"/>
  <c r="AZ390" i="1"/>
  <c r="U390" i="1"/>
  <c r="M390" i="1"/>
  <c r="ER392" i="1"/>
  <c r="EQ392" i="1"/>
  <c r="DZ392" i="1"/>
  <c r="DY392" i="1"/>
  <c r="DS392" i="1"/>
  <c r="DR392" i="1"/>
  <c r="DQ392" i="1"/>
  <c r="DP392" i="1"/>
  <c r="DN392" i="1"/>
  <c r="DO392" i="1" s="1"/>
  <c r="DH392" i="1"/>
  <c r="DC392" i="1"/>
  <c r="CP392" i="1"/>
  <c r="BZ392" i="1"/>
  <c r="CA392" i="1" s="1"/>
  <c r="BF392" i="1"/>
  <c r="BE392" i="1"/>
  <c r="BD392" i="1"/>
  <c r="BC392" i="1"/>
  <c r="BB392" i="1"/>
  <c r="BA392" i="1"/>
  <c r="AZ392" i="1"/>
  <c r="U392" i="1"/>
  <c r="M392" i="1"/>
  <c r="ER393" i="1"/>
  <c r="EQ393" i="1"/>
  <c r="DZ393" i="1"/>
  <c r="DY393" i="1"/>
  <c r="DS393" i="1"/>
  <c r="DR393" i="1"/>
  <c r="DQ393" i="1"/>
  <c r="DP393" i="1"/>
  <c r="DN393" i="1"/>
  <c r="DO393" i="1" s="1"/>
  <c r="DH393" i="1"/>
  <c r="DC393" i="1"/>
  <c r="CP393" i="1"/>
  <c r="BZ393" i="1"/>
  <c r="CA393" i="1" s="1"/>
  <c r="BF393" i="1"/>
  <c r="BE393" i="1"/>
  <c r="BD393" i="1"/>
  <c r="BC393" i="1"/>
  <c r="BB393" i="1"/>
  <c r="BA393" i="1"/>
  <c r="AZ393" i="1"/>
  <c r="U393" i="1"/>
  <c r="M393" i="1"/>
  <c r="ER394" i="1"/>
  <c r="EQ394" i="1"/>
  <c r="DZ394" i="1"/>
  <c r="DY394" i="1"/>
  <c r="DS394" i="1"/>
  <c r="DR394" i="1"/>
  <c r="DQ394" i="1"/>
  <c r="DP394" i="1"/>
  <c r="DN394" i="1"/>
  <c r="DO394" i="1" s="1"/>
  <c r="DH394" i="1"/>
  <c r="DC394" i="1"/>
  <c r="CP394" i="1"/>
  <c r="CU394" i="1" s="1"/>
  <c r="BZ394" i="1"/>
  <c r="CA394" i="1" s="1"/>
  <c r="BF394" i="1"/>
  <c r="BE394" i="1"/>
  <c r="BD394" i="1"/>
  <c r="BC394" i="1"/>
  <c r="BB394" i="1"/>
  <c r="BA394" i="1"/>
  <c r="AZ394" i="1"/>
  <c r="U394" i="1"/>
  <c r="M394" i="1"/>
  <c r="ER395" i="1"/>
  <c r="EQ395" i="1"/>
  <c r="DZ395" i="1"/>
  <c r="DY395" i="1"/>
  <c r="DS395" i="1"/>
  <c r="DR395" i="1"/>
  <c r="DQ395" i="1"/>
  <c r="DP395" i="1"/>
  <c r="DN395" i="1"/>
  <c r="DO395" i="1" s="1"/>
  <c r="DH395" i="1"/>
  <c r="DC395" i="1"/>
  <c r="CP395" i="1"/>
  <c r="CU395" i="1" s="1"/>
  <c r="BZ395" i="1"/>
  <c r="CA395" i="1" s="1"/>
  <c r="BF395" i="1"/>
  <c r="BE395" i="1"/>
  <c r="BD395" i="1"/>
  <c r="BC395" i="1"/>
  <c r="BB395" i="1"/>
  <c r="BA395" i="1"/>
  <c r="AZ395" i="1"/>
  <c r="U395" i="1"/>
  <c r="M395" i="1"/>
  <c r="ER360" i="1"/>
  <c r="EQ360" i="1"/>
  <c r="DZ360" i="1"/>
  <c r="DY360" i="1"/>
  <c r="DS360" i="1"/>
  <c r="DR360" i="1"/>
  <c r="DQ360" i="1"/>
  <c r="DP360" i="1"/>
  <c r="DN360" i="1"/>
  <c r="DO360" i="1" s="1"/>
  <c r="DH360" i="1"/>
  <c r="DC360" i="1"/>
  <c r="CP360" i="1"/>
  <c r="BX360" i="1"/>
  <c r="BZ360" i="1" s="1"/>
  <c r="CA360" i="1" s="1"/>
  <c r="BW360" i="1"/>
  <c r="BF360" i="1"/>
  <c r="BE360" i="1"/>
  <c r="BD360" i="1"/>
  <c r="BC360" i="1"/>
  <c r="BB360" i="1"/>
  <c r="BA360" i="1"/>
  <c r="BG360" i="1" s="1" a="1"/>
  <c r="BG360" i="1" s="1"/>
  <c r="AZ360" i="1"/>
  <c r="U360" i="1"/>
  <c r="M360" i="1"/>
  <c r="ER359" i="1"/>
  <c r="EQ359" i="1"/>
  <c r="DZ359" i="1"/>
  <c r="DY359" i="1"/>
  <c r="DS359" i="1"/>
  <c r="DR359" i="1"/>
  <c r="DQ359" i="1"/>
  <c r="DP359" i="1"/>
  <c r="DN359" i="1"/>
  <c r="DO359" i="1" s="1"/>
  <c r="DH359" i="1"/>
  <c r="DC359" i="1"/>
  <c r="CP359" i="1"/>
  <c r="BX359" i="1"/>
  <c r="BZ359" i="1" s="1"/>
  <c r="CA359" i="1" s="1"/>
  <c r="BW359" i="1"/>
  <c r="BF359" i="1"/>
  <c r="BE359" i="1"/>
  <c r="BD359" i="1"/>
  <c r="BC359" i="1"/>
  <c r="BB359" i="1"/>
  <c r="BA359" i="1"/>
  <c r="BG359" i="1" s="1" a="1"/>
  <c r="BG359" i="1" s="1"/>
  <c r="AZ359" i="1"/>
  <c r="U359" i="1"/>
  <c r="M359" i="1"/>
  <c r="ER358" i="1"/>
  <c r="EQ358" i="1"/>
  <c r="DZ358" i="1"/>
  <c r="DY358" i="1"/>
  <c r="DS358" i="1"/>
  <c r="DR358" i="1"/>
  <c r="DQ358" i="1"/>
  <c r="DP358" i="1"/>
  <c r="DN358" i="1"/>
  <c r="DO358" i="1" s="1"/>
  <c r="DH358" i="1"/>
  <c r="DC358" i="1"/>
  <c r="CP358" i="1"/>
  <c r="BX358" i="1"/>
  <c r="BZ358" i="1" s="1"/>
  <c r="CA358" i="1" s="1"/>
  <c r="BW358" i="1"/>
  <c r="BF358" i="1"/>
  <c r="BE358" i="1"/>
  <c r="BD358" i="1"/>
  <c r="BC358" i="1"/>
  <c r="BB358" i="1"/>
  <c r="BA358" i="1"/>
  <c r="BG358" i="1" s="1" a="1"/>
  <c r="BG358" i="1" s="1"/>
  <c r="AZ358" i="1"/>
  <c r="U358" i="1"/>
  <c r="M358" i="1"/>
  <c r="ER363" i="1"/>
  <c r="EQ363" i="1"/>
  <c r="DZ363" i="1"/>
  <c r="DY363" i="1"/>
  <c r="DS363" i="1"/>
  <c r="DR363" i="1"/>
  <c r="DQ363" i="1"/>
  <c r="DP363" i="1"/>
  <c r="DN363" i="1"/>
  <c r="DO363" i="1" s="1"/>
  <c r="DH363" i="1"/>
  <c r="DC363" i="1"/>
  <c r="CP363" i="1"/>
  <c r="CU363" i="1" s="1"/>
  <c r="BX363" i="1"/>
  <c r="BZ363" i="1" s="1"/>
  <c r="CA363" i="1" s="1"/>
  <c r="BW363" i="1"/>
  <c r="BF363" i="1"/>
  <c r="BE363" i="1"/>
  <c r="BD363" i="1"/>
  <c r="BC363" i="1"/>
  <c r="BB363" i="1"/>
  <c r="BA363" i="1"/>
  <c r="BG363" i="1" s="1" a="1"/>
  <c r="BG363" i="1" s="1"/>
  <c r="AZ363" i="1"/>
  <c r="U363" i="1"/>
  <c r="M363" i="1"/>
  <c r="ER362" i="1"/>
  <c r="EQ362" i="1"/>
  <c r="DZ362" i="1"/>
  <c r="DY362" i="1"/>
  <c r="DS362" i="1"/>
  <c r="DR362" i="1"/>
  <c r="DQ362" i="1"/>
  <c r="DP362" i="1"/>
  <c r="DN362" i="1"/>
  <c r="DO362" i="1" s="1"/>
  <c r="DH362" i="1"/>
  <c r="DC362" i="1"/>
  <c r="CP362" i="1"/>
  <c r="BX362" i="1"/>
  <c r="BZ362" i="1" s="1"/>
  <c r="CA362" i="1" s="1"/>
  <c r="BW362" i="1"/>
  <c r="BF362" i="1"/>
  <c r="BE362" i="1"/>
  <c r="BD362" i="1"/>
  <c r="BC362" i="1"/>
  <c r="BB362" i="1"/>
  <c r="BA362" i="1"/>
  <c r="BG362" i="1" s="1" a="1"/>
  <c r="BG362" i="1" s="1"/>
  <c r="AZ362" i="1"/>
  <c r="U362" i="1"/>
  <c r="M362" i="1"/>
  <c r="ER361" i="1"/>
  <c r="EQ361" i="1"/>
  <c r="DZ361" i="1"/>
  <c r="DY361" i="1"/>
  <c r="DS361" i="1"/>
  <c r="DR361" i="1"/>
  <c r="DQ361" i="1"/>
  <c r="DP361" i="1"/>
  <c r="DN361" i="1"/>
  <c r="DO361" i="1" s="1"/>
  <c r="DH361" i="1"/>
  <c r="DC361" i="1"/>
  <c r="CP361" i="1"/>
  <c r="BX361" i="1"/>
  <c r="BZ361" i="1" s="1"/>
  <c r="CA361" i="1" s="1"/>
  <c r="BW361" i="1"/>
  <c r="BF361" i="1"/>
  <c r="BE361" i="1"/>
  <c r="BD361" i="1"/>
  <c r="BC361" i="1"/>
  <c r="BB361" i="1"/>
  <c r="BA361" i="1"/>
  <c r="BG361" i="1" s="1" a="1"/>
  <c r="BG361" i="1" s="1"/>
  <c r="AZ361" i="1"/>
  <c r="U361" i="1"/>
  <c r="M361" i="1"/>
  <c r="ER357" i="1"/>
  <c r="EQ357" i="1"/>
  <c r="DZ357" i="1"/>
  <c r="DY357" i="1"/>
  <c r="DS357" i="1"/>
  <c r="DR357" i="1"/>
  <c r="DQ357" i="1"/>
  <c r="DP357" i="1"/>
  <c r="DN357" i="1"/>
  <c r="DO357" i="1" s="1"/>
  <c r="DH357" i="1"/>
  <c r="DC357" i="1"/>
  <c r="CP357" i="1"/>
  <c r="CU357" i="1" s="1"/>
  <c r="BX357" i="1"/>
  <c r="BZ357" i="1" s="1"/>
  <c r="CA357" i="1" s="1"/>
  <c r="BW357" i="1"/>
  <c r="BF357" i="1"/>
  <c r="BE357" i="1"/>
  <c r="BD357" i="1"/>
  <c r="BC357" i="1"/>
  <c r="BB357" i="1"/>
  <c r="BA357" i="1"/>
  <c r="BG357" i="1" s="1" a="1"/>
  <c r="BG357" i="1" s="1"/>
  <c r="AZ357" i="1"/>
  <c r="U357" i="1"/>
  <c r="M357" i="1"/>
  <c r="ER356" i="1"/>
  <c r="EQ356" i="1"/>
  <c r="DZ356" i="1"/>
  <c r="DY356" i="1"/>
  <c r="DS356" i="1"/>
  <c r="DR356" i="1"/>
  <c r="DQ356" i="1"/>
  <c r="DP356" i="1"/>
  <c r="DN356" i="1"/>
  <c r="DO356" i="1" s="1"/>
  <c r="DH356" i="1"/>
  <c r="DC356" i="1"/>
  <c r="CP356" i="1"/>
  <c r="BX356" i="1"/>
  <c r="BZ356" i="1" s="1"/>
  <c r="CA356" i="1" s="1"/>
  <c r="BW356" i="1"/>
  <c r="BF356" i="1"/>
  <c r="BE356" i="1"/>
  <c r="BD356" i="1"/>
  <c r="BC356" i="1"/>
  <c r="BB356" i="1"/>
  <c r="BA356" i="1"/>
  <c r="BG356" i="1" s="1" a="1"/>
  <c r="BG356" i="1" s="1"/>
  <c r="AZ356" i="1"/>
  <c r="U356" i="1"/>
  <c r="M356" i="1"/>
  <c r="ER355" i="1"/>
  <c r="EQ355" i="1"/>
  <c r="DZ355" i="1"/>
  <c r="DY355" i="1"/>
  <c r="DS355" i="1"/>
  <c r="DR355" i="1"/>
  <c r="DQ355" i="1"/>
  <c r="DP355" i="1"/>
  <c r="DN355" i="1"/>
  <c r="DO355" i="1" s="1"/>
  <c r="DH355" i="1"/>
  <c r="DC355" i="1"/>
  <c r="CP355" i="1"/>
  <c r="BX355" i="1"/>
  <c r="BZ355" i="1" s="1"/>
  <c r="BW355" i="1"/>
  <c r="BF355" i="1"/>
  <c r="BE355" i="1"/>
  <c r="BD355" i="1"/>
  <c r="BC355" i="1"/>
  <c r="BB355" i="1"/>
  <c r="BA355" i="1"/>
  <c r="BG355" i="1" s="1" a="1"/>
  <c r="BG355" i="1" s="1"/>
  <c r="AZ355" i="1"/>
  <c r="U355" i="1"/>
  <c r="M355" i="1"/>
  <c r="ER354" i="1"/>
  <c r="EQ354" i="1"/>
  <c r="DZ354" i="1"/>
  <c r="DY354" i="1"/>
  <c r="DS354" i="1"/>
  <c r="DR354" i="1"/>
  <c r="DQ354" i="1"/>
  <c r="DP354" i="1"/>
  <c r="DN354" i="1"/>
  <c r="DO354" i="1" s="1"/>
  <c r="DH354" i="1"/>
  <c r="DC354" i="1"/>
  <c r="CP354" i="1"/>
  <c r="CU354" i="1" s="1"/>
  <c r="BX354" i="1"/>
  <c r="BZ354" i="1" s="1"/>
  <c r="CA354" i="1" s="1"/>
  <c r="BW354" i="1"/>
  <c r="BF354" i="1"/>
  <c r="BE354" i="1"/>
  <c r="BD354" i="1"/>
  <c r="BC354" i="1"/>
  <c r="BB354" i="1"/>
  <c r="BA354" i="1"/>
  <c r="BG354" i="1" s="1" a="1"/>
  <c r="BG354" i="1" s="1"/>
  <c r="AZ354" i="1"/>
  <c r="M354" i="1"/>
  <c r="ER353" i="1"/>
  <c r="EQ353" i="1"/>
  <c r="DZ353" i="1"/>
  <c r="DY353" i="1"/>
  <c r="DS353" i="1"/>
  <c r="DR353" i="1"/>
  <c r="DQ353" i="1"/>
  <c r="DP353" i="1"/>
  <c r="DN353" i="1"/>
  <c r="DO353" i="1" s="1"/>
  <c r="DH353" i="1"/>
  <c r="DC353" i="1"/>
  <c r="CP353" i="1"/>
  <c r="CV353" i="1" s="1"/>
  <c r="BX353" i="1"/>
  <c r="BZ353" i="1" s="1"/>
  <c r="CA353" i="1" s="1"/>
  <c r="BW353" i="1"/>
  <c r="BF353" i="1"/>
  <c r="BE353" i="1"/>
  <c r="BD353" i="1"/>
  <c r="BC353" i="1"/>
  <c r="BB353" i="1"/>
  <c r="BA353" i="1"/>
  <c r="BG353" i="1" s="1" a="1"/>
  <c r="BG353" i="1" s="1"/>
  <c r="AZ353" i="1"/>
  <c r="M353" i="1"/>
  <c r="ER352" i="1"/>
  <c r="EQ352" i="1"/>
  <c r="DZ352" i="1"/>
  <c r="DY352" i="1"/>
  <c r="DS352" i="1"/>
  <c r="DR352" i="1"/>
  <c r="DQ352" i="1"/>
  <c r="DP352" i="1"/>
  <c r="DN352" i="1"/>
  <c r="DO352" i="1" s="1"/>
  <c r="DH352" i="1"/>
  <c r="DC352" i="1"/>
  <c r="CP352" i="1"/>
  <c r="BX352" i="1"/>
  <c r="BZ352" i="1" s="1"/>
  <c r="CA352" i="1" s="1"/>
  <c r="BW352" i="1"/>
  <c r="BF352" i="1"/>
  <c r="BE352" i="1"/>
  <c r="BD352" i="1"/>
  <c r="BC352" i="1"/>
  <c r="BB352" i="1"/>
  <c r="BA352" i="1"/>
  <c r="BG352" i="1" s="1" a="1"/>
  <c r="BG352" i="1" s="1"/>
  <c r="AZ352" i="1"/>
  <c r="M352" i="1"/>
  <c r="ER344" i="1"/>
  <c r="EQ344" i="1"/>
  <c r="DZ344" i="1"/>
  <c r="DY344" i="1"/>
  <c r="DS344" i="1"/>
  <c r="DR344" i="1"/>
  <c r="DQ344" i="1"/>
  <c r="DP344" i="1"/>
  <c r="DN344" i="1"/>
  <c r="DO344" i="1" s="1"/>
  <c r="DH344" i="1"/>
  <c r="DC344" i="1"/>
  <c r="CP344" i="1"/>
  <c r="CU344" i="1" s="1"/>
  <c r="BZ344" i="1"/>
  <c r="CA344" i="1" s="1"/>
  <c r="BF344" i="1"/>
  <c r="BE344" i="1"/>
  <c r="BD344" i="1"/>
  <c r="BC344" i="1"/>
  <c r="BB344" i="1"/>
  <c r="BA344" i="1"/>
  <c r="BG344" i="1" s="1" a="1"/>
  <c r="BG344" i="1" s="1"/>
  <c r="AZ344" i="1"/>
  <c r="M344" i="1"/>
  <c r="ER345" i="1"/>
  <c r="EQ345" i="1"/>
  <c r="DZ345" i="1"/>
  <c r="DY345" i="1"/>
  <c r="DS345" i="1"/>
  <c r="DR345" i="1"/>
  <c r="DQ345" i="1"/>
  <c r="DP345" i="1"/>
  <c r="DN345" i="1"/>
  <c r="DO345" i="1" s="1"/>
  <c r="DG345" i="1"/>
  <c r="DH345" i="1" s="1"/>
  <c r="DC345" i="1"/>
  <c r="CP345" i="1"/>
  <c r="BZ345" i="1"/>
  <c r="BF345" i="1"/>
  <c r="BE345" i="1"/>
  <c r="BD345" i="1"/>
  <c r="BC345" i="1"/>
  <c r="BB345" i="1"/>
  <c r="BA345" i="1"/>
  <c r="BG345" i="1" s="1" a="1"/>
  <c r="BG345" i="1" s="1"/>
  <c r="AZ345" i="1"/>
  <c r="M345" i="1"/>
  <c r="ER347" i="1"/>
  <c r="EQ347" i="1"/>
  <c r="DZ347" i="1"/>
  <c r="DY347" i="1"/>
  <c r="DS347" i="1"/>
  <c r="DR347" i="1"/>
  <c r="DQ347" i="1"/>
  <c r="DP347" i="1"/>
  <c r="DN347" i="1"/>
  <c r="DO347" i="1" s="1"/>
  <c r="DG347" i="1"/>
  <c r="DH347" i="1" s="1"/>
  <c r="DC347" i="1"/>
  <c r="CP347" i="1"/>
  <c r="CV347" i="1" s="1"/>
  <c r="BZ347" i="1"/>
  <c r="CA347" i="1" s="1"/>
  <c r="BF347" i="1"/>
  <c r="BE347" i="1"/>
  <c r="BD347" i="1"/>
  <c r="BC347" i="1"/>
  <c r="BB347" i="1"/>
  <c r="BA347" i="1"/>
  <c r="BG347" i="1" s="1" a="1"/>
  <c r="BG347" i="1" s="1"/>
  <c r="AZ347" i="1"/>
  <c r="M347" i="1"/>
  <c r="ER350" i="1"/>
  <c r="EQ350" i="1"/>
  <c r="DZ350" i="1"/>
  <c r="DY350" i="1"/>
  <c r="DS350" i="1"/>
  <c r="DR350" i="1"/>
  <c r="DQ350" i="1"/>
  <c r="DP350" i="1"/>
  <c r="DN350" i="1"/>
  <c r="DO350" i="1" s="1"/>
  <c r="DG350" i="1"/>
  <c r="DH350" i="1" s="1"/>
  <c r="DC350" i="1"/>
  <c r="CP350" i="1"/>
  <c r="BZ350" i="1"/>
  <c r="CA350" i="1" s="1"/>
  <c r="BF350" i="1"/>
  <c r="BE350" i="1"/>
  <c r="BD350" i="1"/>
  <c r="BC350" i="1"/>
  <c r="BB350" i="1"/>
  <c r="BA350" i="1"/>
  <c r="BG350" i="1" s="1" a="1"/>
  <c r="BG350" i="1" s="1"/>
  <c r="AZ350" i="1"/>
  <c r="M350" i="1"/>
  <c r="ER346" i="1"/>
  <c r="EQ346" i="1"/>
  <c r="DZ346" i="1"/>
  <c r="DY346" i="1"/>
  <c r="DS346" i="1"/>
  <c r="DR346" i="1"/>
  <c r="DQ346" i="1"/>
  <c r="DP346" i="1"/>
  <c r="DN346" i="1"/>
  <c r="DO346" i="1" s="1"/>
  <c r="DG346" i="1"/>
  <c r="DH346" i="1" s="1"/>
  <c r="DC346" i="1"/>
  <c r="CP346" i="1"/>
  <c r="CU346" i="1" s="1"/>
  <c r="BZ346" i="1"/>
  <c r="CA346" i="1" s="1"/>
  <c r="BF346" i="1"/>
  <c r="BE346" i="1"/>
  <c r="BD346" i="1"/>
  <c r="BC346" i="1"/>
  <c r="BB346" i="1"/>
  <c r="BA346" i="1"/>
  <c r="BG346" i="1" s="1" a="1"/>
  <c r="BG346" i="1" s="1"/>
  <c r="AZ346" i="1"/>
  <c r="M346" i="1"/>
  <c r="ER348" i="1"/>
  <c r="EQ348" i="1"/>
  <c r="DZ348" i="1"/>
  <c r="DY348" i="1"/>
  <c r="DS348" i="1"/>
  <c r="DR348" i="1"/>
  <c r="DQ348" i="1"/>
  <c r="DP348" i="1"/>
  <c r="DN348" i="1"/>
  <c r="DO348" i="1" s="1"/>
  <c r="DG348" i="1"/>
  <c r="DH348" i="1" s="1"/>
  <c r="DC348" i="1"/>
  <c r="CP348" i="1"/>
  <c r="BZ348" i="1"/>
  <c r="CA348" i="1" s="1"/>
  <c r="BF348" i="1"/>
  <c r="BE348" i="1"/>
  <c r="BD348" i="1"/>
  <c r="BC348" i="1"/>
  <c r="BB348" i="1"/>
  <c r="BA348" i="1"/>
  <c r="BG348" i="1" s="1" a="1"/>
  <c r="BG348" i="1" s="1"/>
  <c r="AZ348" i="1"/>
  <c r="M348" i="1"/>
  <c r="ER349" i="1"/>
  <c r="EQ349" i="1"/>
  <c r="DZ349" i="1"/>
  <c r="DY349" i="1"/>
  <c r="DS349" i="1"/>
  <c r="DR349" i="1"/>
  <c r="DQ349" i="1"/>
  <c r="DP349" i="1"/>
  <c r="DN349" i="1"/>
  <c r="DO349" i="1" s="1"/>
  <c r="DG349" i="1"/>
  <c r="DH349" i="1" s="1"/>
  <c r="DC349" i="1"/>
  <c r="CP349" i="1"/>
  <c r="CU349" i="1" s="1"/>
  <c r="BZ349" i="1"/>
  <c r="CA349" i="1" s="1"/>
  <c r="BF349" i="1"/>
  <c r="BE349" i="1"/>
  <c r="BD349" i="1"/>
  <c r="BC349" i="1"/>
  <c r="BB349" i="1"/>
  <c r="BA349" i="1"/>
  <c r="BG349" i="1" s="1" a="1"/>
  <c r="BG349" i="1" s="1"/>
  <c r="AZ349" i="1"/>
  <c r="M349" i="1"/>
  <c r="ER351" i="1"/>
  <c r="EQ351" i="1"/>
  <c r="DZ351" i="1"/>
  <c r="DY351" i="1"/>
  <c r="DS351" i="1"/>
  <c r="DR351" i="1"/>
  <c r="DQ351" i="1"/>
  <c r="DP351" i="1"/>
  <c r="DN351" i="1"/>
  <c r="DO351" i="1" s="1"/>
  <c r="DG351" i="1"/>
  <c r="DH351" i="1" s="1"/>
  <c r="DC351" i="1"/>
  <c r="CP351" i="1"/>
  <c r="CV351" i="1" s="1"/>
  <c r="BZ351" i="1"/>
  <c r="CA351" i="1" s="1"/>
  <c r="BF351" i="1"/>
  <c r="BE351" i="1"/>
  <c r="BD351" i="1"/>
  <c r="BC351" i="1"/>
  <c r="BB351" i="1"/>
  <c r="BA351" i="1"/>
  <c r="BG351" i="1" s="1" a="1"/>
  <c r="BG351" i="1" s="1"/>
  <c r="AZ351" i="1"/>
  <c r="M351" i="1"/>
  <c r="ER340" i="1"/>
  <c r="EQ340" i="1"/>
  <c r="DZ340" i="1"/>
  <c r="DY340" i="1"/>
  <c r="DS340" i="1"/>
  <c r="DR340" i="1"/>
  <c r="DQ340" i="1"/>
  <c r="DP340" i="1"/>
  <c r="DN340" i="1"/>
  <c r="DO340" i="1" s="1"/>
  <c r="DG340" i="1"/>
  <c r="DH340" i="1" s="1"/>
  <c r="DC340" i="1"/>
  <c r="CP340" i="1"/>
  <c r="CU340" i="1" s="1"/>
  <c r="BZ340" i="1"/>
  <c r="CA340" i="1" s="1"/>
  <c r="BF340" i="1"/>
  <c r="BE340" i="1"/>
  <c r="BD340" i="1"/>
  <c r="BC340" i="1"/>
  <c r="BB340" i="1"/>
  <c r="BA340" i="1"/>
  <c r="BG340" i="1" s="1" a="1"/>
  <c r="BG340" i="1" s="1"/>
  <c r="AZ340" i="1"/>
  <c r="M340" i="1"/>
  <c r="ER341" i="1"/>
  <c r="EQ341" i="1"/>
  <c r="DZ341" i="1"/>
  <c r="DY341" i="1"/>
  <c r="DS341" i="1"/>
  <c r="DR341" i="1"/>
  <c r="DQ341" i="1"/>
  <c r="DP341" i="1"/>
  <c r="DN341" i="1"/>
  <c r="DO341" i="1" s="1"/>
  <c r="DG341" i="1"/>
  <c r="DH341" i="1" s="1"/>
  <c r="DC341" i="1"/>
  <c r="CP341" i="1"/>
  <c r="CV341" i="1" s="1"/>
  <c r="BZ341" i="1"/>
  <c r="CA341" i="1" s="1"/>
  <c r="BF341" i="1"/>
  <c r="BE341" i="1"/>
  <c r="BD341" i="1"/>
  <c r="BC341" i="1"/>
  <c r="BB341" i="1"/>
  <c r="BA341" i="1"/>
  <c r="BG341" i="1" s="1" a="1"/>
  <c r="BG341" i="1" s="1"/>
  <c r="AZ341" i="1"/>
  <c r="M341" i="1"/>
  <c r="ER342" i="1"/>
  <c r="EQ342" i="1"/>
  <c r="DZ342" i="1"/>
  <c r="DY342" i="1"/>
  <c r="DS342" i="1"/>
  <c r="DR342" i="1"/>
  <c r="DQ342" i="1"/>
  <c r="DP342" i="1"/>
  <c r="DN342" i="1"/>
  <c r="DO342" i="1" s="1"/>
  <c r="DG342" i="1"/>
  <c r="DH342" i="1" s="1"/>
  <c r="DC342" i="1"/>
  <c r="CP342" i="1"/>
  <c r="CV342" i="1" s="1"/>
  <c r="BZ342" i="1"/>
  <c r="BF342" i="1"/>
  <c r="BE342" i="1"/>
  <c r="BD342" i="1"/>
  <c r="BC342" i="1"/>
  <c r="BB342" i="1"/>
  <c r="BA342" i="1"/>
  <c r="BG342" i="1" s="1" a="1"/>
  <c r="BG342" i="1" s="1"/>
  <c r="AZ342" i="1"/>
  <c r="M342" i="1"/>
  <c r="ER343" i="1"/>
  <c r="EQ343" i="1"/>
  <c r="DZ343" i="1"/>
  <c r="DY343" i="1"/>
  <c r="DS343" i="1"/>
  <c r="DR343" i="1"/>
  <c r="DQ343" i="1"/>
  <c r="DP343" i="1"/>
  <c r="DN343" i="1"/>
  <c r="DO343" i="1" s="1"/>
  <c r="DG343" i="1"/>
  <c r="DH343" i="1" s="1"/>
  <c r="DC343" i="1"/>
  <c r="CP343" i="1"/>
  <c r="BZ343" i="1"/>
  <c r="CA343" i="1" s="1"/>
  <c r="BF343" i="1"/>
  <c r="BE343" i="1"/>
  <c r="BD343" i="1"/>
  <c r="BC343" i="1"/>
  <c r="BB343" i="1"/>
  <c r="BA343" i="1"/>
  <c r="BG343" i="1" s="1" a="1"/>
  <c r="BG343" i="1" s="1"/>
  <c r="AZ343" i="1"/>
  <c r="M343" i="1"/>
  <c r="ER332" i="1"/>
  <c r="EQ332" i="1"/>
  <c r="DZ332" i="1"/>
  <c r="DY332" i="1"/>
  <c r="DS332" i="1"/>
  <c r="DR332" i="1"/>
  <c r="DQ332" i="1"/>
  <c r="DP332" i="1"/>
  <c r="DN332" i="1"/>
  <c r="DO332" i="1" s="1"/>
  <c r="DH332" i="1"/>
  <c r="DC332" i="1"/>
  <c r="CP332" i="1"/>
  <c r="CA332" i="1"/>
  <c r="BX332" i="1"/>
  <c r="BW332" i="1"/>
  <c r="BO332" i="1"/>
  <c r="BF332" i="1"/>
  <c r="BE332" i="1"/>
  <c r="BD332" i="1"/>
  <c r="BC332" i="1"/>
  <c r="BB332" i="1"/>
  <c r="BA332" i="1"/>
  <c r="BG332" i="1" s="1" a="1"/>
  <c r="BG332" i="1" s="1"/>
  <c r="AZ332" i="1"/>
  <c r="M332" i="1"/>
  <c r="ER335" i="1"/>
  <c r="EQ335" i="1"/>
  <c r="DZ335" i="1"/>
  <c r="DY335" i="1"/>
  <c r="DS335" i="1"/>
  <c r="DR335" i="1"/>
  <c r="DQ335" i="1"/>
  <c r="DP335" i="1"/>
  <c r="DN335" i="1"/>
  <c r="DO335" i="1" s="1"/>
  <c r="DH335" i="1"/>
  <c r="DC335" i="1"/>
  <c r="CP335" i="1"/>
  <c r="CU335" i="1" s="1"/>
  <c r="CA335" i="1"/>
  <c r="BX335" i="1"/>
  <c r="BW335" i="1"/>
  <c r="BO335" i="1"/>
  <c r="BF335" i="1"/>
  <c r="BE335" i="1"/>
  <c r="BD335" i="1"/>
  <c r="BC335" i="1"/>
  <c r="BB335" i="1"/>
  <c r="BA335" i="1"/>
  <c r="BG335" i="1" s="1" a="1"/>
  <c r="BG335" i="1" s="1"/>
  <c r="AZ335" i="1"/>
  <c r="M335" i="1"/>
  <c r="ER338" i="1"/>
  <c r="EQ338" i="1"/>
  <c r="DZ338" i="1"/>
  <c r="DY338" i="1"/>
  <c r="DS338" i="1"/>
  <c r="DR338" i="1"/>
  <c r="DQ338" i="1"/>
  <c r="DP338" i="1"/>
  <c r="DN338" i="1"/>
  <c r="DO338" i="1" s="1"/>
  <c r="DH338" i="1"/>
  <c r="DC338" i="1"/>
  <c r="CP338" i="1"/>
  <c r="CV338" i="1" s="1"/>
  <c r="CA338" i="1"/>
  <c r="BX338" i="1"/>
  <c r="BW338" i="1"/>
  <c r="BO338" i="1"/>
  <c r="BF338" i="1"/>
  <c r="BE338" i="1"/>
  <c r="BD338" i="1"/>
  <c r="BC338" i="1"/>
  <c r="BB338" i="1"/>
  <c r="BA338" i="1"/>
  <c r="BG338" i="1" s="1" a="1"/>
  <c r="BG338" i="1" s="1"/>
  <c r="AZ338" i="1"/>
  <c r="M338" i="1"/>
  <c r="ER339" i="1"/>
  <c r="EQ339" i="1"/>
  <c r="DZ339" i="1"/>
  <c r="DY339" i="1"/>
  <c r="DS339" i="1"/>
  <c r="DR339" i="1"/>
  <c r="DQ339" i="1"/>
  <c r="DP339" i="1"/>
  <c r="DN339" i="1"/>
  <c r="DO339" i="1" s="1"/>
  <c r="DH339" i="1"/>
  <c r="DC339" i="1"/>
  <c r="CP339" i="1"/>
  <c r="CU339" i="1" s="1"/>
  <c r="CA339" i="1"/>
  <c r="BX339" i="1"/>
  <c r="BW339" i="1"/>
  <c r="BO339" i="1"/>
  <c r="BF339" i="1"/>
  <c r="BE339" i="1"/>
  <c r="BD339" i="1"/>
  <c r="BC339" i="1"/>
  <c r="BB339" i="1"/>
  <c r="BA339" i="1"/>
  <c r="BG339" i="1" s="1" a="1"/>
  <c r="BG339" i="1" s="1"/>
  <c r="AZ339" i="1"/>
  <c r="M339" i="1"/>
  <c r="ER333" i="1"/>
  <c r="EQ333" i="1"/>
  <c r="DZ333" i="1"/>
  <c r="DY333" i="1"/>
  <c r="DS333" i="1"/>
  <c r="DR333" i="1"/>
  <c r="DQ333" i="1"/>
  <c r="DP333" i="1"/>
  <c r="DN333" i="1"/>
  <c r="DO333" i="1" s="1"/>
  <c r="DH333" i="1"/>
  <c r="DC333" i="1"/>
  <c r="CP333" i="1"/>
  <c r="CU333" i="1" s="1"/>
  <c r="CA333" i="1"/>
  <c r="BX333" i="1"/>
  <c r="BW333" i="1"/>
  <c r="BO333" i="1"/>
  <c r="BF333" i="1"/>
  <c r="BE333" i="1"/>
  <c r="BD333" i="1"/>
  <c r="BC333" i="1"/>
  <c r="BB333" i="1"/>
  <c r="BA333" i="1"/>
  <c r="BG333" i="1" s="1" a="1"/>
  <c r="BG333" i="1" s="1"/>
  <c r="AZ333" i="1"/>
  <c r="M333" i="1"/>
  <c r="ER334" i="1"/>
  <c r="EQ334" i="1"/>
  <c r="DZ334" i="1"/>
  <c r="DY334" i="1"/>
  <c r="DS334" i="1"/>
  <c r="DR334" i="1"/>
  <c r="DQ334" i="1"/>
  <c r="DP334" i="1"/>
  <c r="DN334" i="1"/>
  <c r="DO334" i="1" s="1"/>
  <c r="DH334" i="1"/>
  <c r="DC334" i="1"/>
  <c r="CP334" i="1"/>
  <c r="CU334" i="1" s="1"/>
  <c r="CA334" i="1"/>
  <c r="BX334" i="1"/>
  <c r="BW334" i="1"/>
  <c r="BO334" i="1"/>
  <c r="BF334" i="1"/>
  <c r="BE334" i="1"/>
  <c r="BD334" i="1"/>
  <c r="BC334" i="1"/>
  <c r="BB334" i="1"/>
  <c r="BA334" i="1"/>
  <c r="BG334" i="1" s="1" a="1"/>
  <c r="BG334" i="1" s="1"/>
  <c r="AZ334" i="1"/>
  <c r="M334" i="1"/>
  <c r="ER336" i="1"/>
  <c r="EQ336" i="1"/>
  <c r="DZ336" i="1"/>
  <c r="DY336" i="1"/>
  <c r="DS336" i="1"/>
  <c r="DR336" i="1"/>
  <c r="DQ336" i="1"/>
  <c r="DP336" i="1"/>
  <c r="DN336" i="1"/>
  <c r="DO336" i="1" s="1"/>
  <c r="DH336" i="1"/>
  <c r="DC336" i="1"/>
  <c r="CP336" i="1"/>
  <c r="CV336" i="1" s="1"/>
  <c r="CA336" i="1"/>
  <c r="BX336" i="1"/>
  <c r="BW336" i="1"/>
  <c r="BO336" i="1"/>
  <c r="BF336" i="1"/>
  <c r="BE336" i="1"/>
  <c r="BD336" i="1"/>
  <c r="BC336" i="1"/>
  <c r="BB336" i="1"/>
  <c r="BA336" i="1"/>
  <c r="BG336" i="1" s="1" a="1"/>
  <c r="BG336" i="1" s="1"/>
  <c r="AZ336" i="1"/>
  <c r="M336" i="1"/>
  <c r="ER337" i="1"/>
  <c r="EQ337" i="1"/>
  <c r="DZ337" i="1"/>
  <c r="DY337" i="1"/>
  <c r="DS337" i="1"/>
  <c r="DR337" i="1"/>
  <c r="DQ337" i="1"/>
  <c r="DP337" i="1"/>
  <c r="DN337" i="1"/>
  <c r="DO337" i="1" s="1"/>
  <c r="DH337" i="1"/>
  <c r="DC337" i="1"/>
  <c r="CP337" i="1"/>
  <c r="CU337" i="1" s="1"/>
  <c r="CA337" i="1"/>
  <c r="BX337" i="1"/>
  <c r="BW337" i="1"/>
  <c r="BO337" i="1"/>
  <c r="BF337" i="1"/>
  <c r="BE337" i="1"/>
  <c r="BD337" i="1"/>
  <c r="BC337" i="1"/>
  <c r="BB337" i="1"/>
  <c r="BA337" i="1"/>
  <c r="BG337" i="1" s="1" a="1"/>
  <c r="BG337" i="1" s="1"/>
  <c r="AZ337" i="1"/>
  <c r="M337" i="1"/>
  <c r="ER331" i="1"/>
  <c r="EQ331" i="1"/>
  <c r="DZ331" i="1"/>
  <c r="DY331" i="1"/>
  <c r="DS331" i="1"/>
  <c r="DR331" i="1"/>
  <c r="DQ331" i="1"/>
  <c r="DP331" i="1"/>
  <c r="DN331" i="1"/>
  <c r="DO331" i="1" s="1"/>
  <c r="DH331" i="1"/>
  <c r="DC331" i="1"/>
  <c r="CP331" i="1"/>
  <c r="CU331" i="1" s="1"/>
  <c r="CA331" i="1"/>
  <c r="EY331" i="1" s="1"/>
  <c r="BX331" i="1"/>
  <c r="BO331" i="1"/>
  <c r="BF331" i="1"/>
  <c r="BE331" i="1"/>
  <c r="BD331" i="1"/>
  <c r="BC331" i="1"/>
  <c r="BB331" i="1"/>
  <c r="BA331" i="1"/>
  <c r="AZ331" i="1"/>
  <c r="M331" i="1"/>
  <c r="ER330" i="1"/>
  <c r="EQ330" i="1"/>
  <c r="DZ330" i="1"/>
  <c r="DY330" i="1"/>
  <c r="DS330" i="1"/>
  <c r="DR330" i="1"/>
  <c r="DQ330" i="1"/>
  <c r="DP330" i="1"/>
  <c r="DN330" i="1"/>
  <c r="DO330" i="1" s="1"/>
  <c r="DH330" i="1"/>
  <c r="DC330" i="1"/>
  <c r="CP330" i="1"/>
  <c r="BZ330" i="1"/>
  <c r="CA330" i="1" s="1"/>
  <c r="BF330" i="1"/>
  <c r="BE330" i="1"/>
  <c r="BD330" i="1"/>
  <c r="BC330" i="1"/>
  <c r="BB330" i="1"/>
  <c r="BA330" i="1"/>
  <c r="AZ330" i="1"/>
  <c r="M330" i="1"/>
  <c r="ER326" i="1"/>
  <c r="EQ326" i="1"/>
  <c r="DZ326" i="1"/>
  <c r="DY326" i="1"/>
  <c r="DS326" i="1"/>
  <c r="DR326" i="1"/>
  <c r="DQ326" i="1"/>
  <c r="DP326" i="1"/>
  <c r="DN326" i="1"/>
  <c r="DO326" i="1" s="1"/>
  <c r="DH326" i="1"/>
  <c r="DC326" i="1"/>
  <c r="CP326" i="1"/>
  <c r="CW326" i="1" s="1"/>
  <c r="CY326" i="1" s="1"/>
  <c r="FA326" i="1" s="1"/>
  <c r="CA326" i="1"/>
  <c r="EY326" i="1" s="1"/>
  <c r="BX326" i="1"/>
  <c r="BF326" i="1"/>
  <c r="BE326" i="1"/>
  <c r="BD326" i="1"/>
  <c r="BC326" i="1"/>
  <c r="BB326" i="1"/>
  <c r="BA326" i="1"/>
  <c r="BG326" i="1" s="1" a="1"/>
  <c r="BG326" i="1" s="1"/>
  <c r="AZ326" i="1"/>
  <c r="M326" i="1"/>
  <c r="ER329" i="1"/>
  <c r="EQ329" i="1"/>
  <c r="DZ329" i="1"/>
  <c r="DY329" i="1"/>
  <c r="DS329" i="1"/>
  <c r="DR329" i="1"/>
  <c r="DQ329" i="1"/>
  <c r="DP329" i="1"/>
  <c r="DN329" i="1"/>
  <c r="DO329" i="1" s="1"/>
  <c r="DH329" i="1"/>
  <c r="DC329" i="1"/>
  <c r="CP329" i="1"/>
  <c r="CU329" i="1" s="1"/>
  <c r="CA329" i="1"/>
  <c r="EY329" i="1" s="1"/>
  <c r="BX329" i="1"/>
  <c r="BF329" i="1"/>
  <c r="BE329" i="1"/>
  <c r="BD329" i="1"/>
  <c r="BC329" i="1"/>
  <c r="BB329" i="1"/>
  <c r="BA329" i="1"/>
  <c r="BG329" i="1" s="1" a="1"/>
  <c r="BG329" i="1" s="1"/>
  <c r="AZ329" i="1"/>
  <c r="M329" i="1"/>
  <c r="ER324" i="1"/>
  <c r="EQ324" i="1"/>
  <c r="DZ324" i="1"/>
  <c r="DY324" i="1"/>
  <c r="DS324" i="1"/>
  <c r="DR324" i="1"/>
  <c r="DQ324" i="1"/>
  <c r="DP324" i="1"/>
  <c r="DN324" i="1"/>
  <c r="DO324" i="1" s="1"/>
  <c r="DH324" i="1"/>
  <c r="DC324" i="1"/>
  <c r="CP324" i="1"/>
  <c r="CU324" i="1" s="1"/>
  <c r="CA324" i="1"/>
  <c r="EY324" i="1" s="1"/>
  <c r="BX324" i="1"/>
  <c r="BF324" i="1"/>
  <c r="BE324" i="1"/>
  <c r="BD324" i="1"/>
  <c r="BC324" i="1"/>
  <c r="BB324" i="1"/>
  <c r="BA324" i="1"/>
  <c r="BG324" i="1" s="1" a="1"/>
  <c r="BG324" i="1" s="1"/>
  <c r="AZ324" i="1"/>
  <c r="M324" i="1"/>
  <c r="ER327" i="1"/>
  <c r="EQ327" i="1"/>
  <c r="DZ327" i="1"/>
  <c r="DY327" i="1"/>
  <c r="DS327" i="1"/>
  <c r="DR327" i="1"/>
  <c r="DQ327" i="1"/>
  <c r="DP327" i="1"/>
  <c r="DN327" i="1"/>
  <c r="DO327" i="1" s="1"/>
  <c r="DH327" i="1"/>
  <c r="DC327" i="1"/>
  <c r="CP327" i="1"/>
  <c r="CW327" i="1" s="1"/>
  <c r="CY327" i="1" s="1"/>
  <c r="FA327" i="1" s="1"/>
  <c r="CA327" i="1"/>
  <c r="EY327" i="1" s="1"/>
  <c r="BX327" i="1"/>
  <c r="BF327" i="1"/>
  <c r="BE327" i="1"/>
  <c r="BD327" i="1"/>
  <c r="BC327" i="1"/>
  <c r="BB327" i="1"/>
  <c r="BA327" i="1"/>
  <c r="BG327" i="1" s="1" a="1"/>
  <c r="BG327" i="1" s="1"/>
  <c r="AZ327" i="1"/>
  <c r="M327" i="1"/>
  <c r="ER325" i="1"/>
  <c r="EQ325" i="1"/>
  <c r="DZ325" i="1"/>
  <c r="DY325" i="1"/>
  <c r="DS325" i="1"/>
  <c r="DR325" i="1"/>
  <c r="DQ325" i="1"/>
  <c r="DP325" i="1"/>
  <c r="DN325" i="1"/>
  <c r="DO325" i="1" s="1"/>
  <c r="DH325" i="1"/>
  <c r="DC325" i="1"/>
  <c r="CP325" i="1"/>
  <c r="CW325" i="1" s="1"/>
  <c r="CY325" i="1" s="1"/>
  <c r="FA325" i="1" s="1"/>
  <c r="CA325" i="1"/>
  <c r="EY325" i="1" s="1"/>
  <c r="BX325" i="1"/>
  <c r="BO325" i="1"/>
  <c r="BF325" i="1"/>
  <c r="BE325" i="1"/>
  <c r="BD325" i="1"/>
  <c r="BC325" i="1"/>
  <c r="BB325" i="1"/>
  <c r="BA325" i="1"/>
  <c r="BG325" i="1" s="1" a="1"/>
  <c r="BG325" i="1" s="1"/>
  <c r="AZ325" i="1"/>
  <c r="M325" i="1"/>
  <c r="ER328" i="1"/>
  <c r="EQ328" i="1"/>
  <c r="DZ328" i="1"/>
  <c r="DY328" i="1"/>
  <c r="DS328" i="1"/>
  <c r="DR328" i="1"/>
  <c r="DQ328" i="1"/>
  <c r="DP328" i="1"/>
  <c r="DN328" i="1"/>
  <c r="DO328" i="1" s="1"/>
  <c r="DH328" i="1"/>
  <c r="DC328" i="1"/>
  <c r="CP328" i="1"/>
  <c r="CW328" i="1" s="1"/>
  <c r="CY328" i="1" s="1"/>
  <c r="FA328" i="1" s="1"/>
  <c r="CA328" i="1"/>
  <c r="EY328" i="1" s="1"/>
  <c r="BX328" i="1"/>
  <c r="BO328" i="1"/>
  <c r="BF328" i="1"/>
  <c r="BE328" i="1"/>
  <c r="BD328" i="1"/>
  <c r="BC328" i="1"/>
  <c r="BB328" i="1"/>
  <c r="BA328" i="1"/>
  <c r="BG328" i="1" s="1" a="1"/>
  <c r="BG328" i="1" s="1"/>
  <c r="AZ328" i="1"/>
  <c r="M328" i="1"/>
  <c r="ER323" i="1"/>
  <c r="EQ323" i="1"/>
  <c r="DZ323" i="1"/>
  <c r="DY323" i="1"/>
  <c r="DS323" i="1"/>
  <c r="DR323" i="1"/>
  <c r="DQ323" i="1"/>
  <c r="DP323" i="1"/>
  <c r="DN323" i="1"/>
  <c r="DO323" i="1" s="1"/>
  <c r="DH323" i="1"/>
  <c r="DC323" i="1"/>
  <c r="CP323" i="1"/>
  <c r="CU323" i="1" s="1"/>
  <c r="CA323" i="1"/>
  <c r="EY323" i="1" s="1"/>
  <c r="BX323" i="1"/>
  <c r="BO323" i="1"/>
  <c r="BF323" i="1"/>
  <c r="BE323" i="1"/>
  <c r="BD323" i="1"/>
  <c r="BC323" i="1"/>
  <c r="BB323" i="1"/>
  <c r="BA323" i="1"/>
  <c r="AZ323" i="1"/>
  <c r="M323" i="1"/>
  <c r="ER321" i="1"/>
  <c r="EQ321" i="1"/>
  <c r="DZ321" i="1"/>
  <c r="DY321" i="1"/>
  <c r="DS321" i="1"/>
  <c r="DR321" i="1"/>
  <c r="DQ321" i="1"/>
  <c r="DP321" i="1"/>
  <c r="DN321" i="1"/>
  <c r="DO321" i="1" s="1"/>
  <c r="DH321" i="1"/>
  <c r="DC321" i="1"/>
  <c r="CP321" i="1"/>
  <c r="CW321" i="1" s="1"/>
  <c r="CY321" i="1" s="1"/>
  <c r="FA321" i="1" s="1"/>
  <c r="CA321" i="1"/>
  <c r="EY321" i="1" s="1"/>
  <c r="BX321" i="1"/>
  <c r="BF321" i="1"/>
  <c r="BE321" i="1"/>
  <c r="BD321" i="1"/>
  <c r="BC321" i="1"/>
  <c r="BB321" i="1"/>
  <c r="BA321" i="1"/>
  <c r="AZ321" i="1"/>
  <c r="M321" i="1"/>
  <c r="ER322" i="1"/>
  <c r="EQ322" i="1"/>
  <c r="DZ322" i="1"/>
  <c r="DY322" i="1"/>
  <c r="DS322" i="1"/>
  <c r="DR322" i="1"/>
  <c r="DQ322" i="1"/>
  <c r="DP322" i="1"/>
  <c r="DN322" i="1"/>
  <c r="DO322" i="1" s="1"/>
  <c r="DH322" i="1"/>
  <c r="DC322" i="1"/>
  <c r="CP322" i="1"/>
  <c r="CA322" i="1"/>
  <c r="EY322" i="1" s="1"/>
  <c r="BX322" i="1"/>
  <c r="BF322" i="1"/>
  <c r="BE322" i="1"/>
  <c r="BD322" i="1"/>
  <c r="BC322" i="1"/>
  <c r="BB322" i="1"/>
  <c r="BA322" i="1"/>
  <c r="AZ322" i="1"/>
  <c r="M322" i="1"/>
  <c r="ER319" i="1"/>
  <c r="EQ319" i="1"/>
  <c r="DZ319" i="1"/>
  <c r="DY319" i="1"/>
  <c r="DS319" i="1"/>
  <c r="DR319" i="1"/>
  <c r="DQ319" i="1"/>
  <c r="DP319" i="1"/>
  <c r="DN319" i="1"/>
  <c r="DO319" i="1" s="1"/>
  <c r="DH319" i="1"/>
  <c r="DC319" i="1"/>
  <c r="CP319" i="1"/>
  <c r="CU319" i="1" s="1"/>
  <c r="CA319" i="1"/>
  <c r="EY319" i="1" s="1"/>
  <c r="BX319" i="1"/>
  <c r="BF319" i="1"/>
  <c r="BE319" i="1"/>
  <c r="BD319" i="1"/>
  <c r="BC319" i="1"/>
  <c r="BB319" i="1"/>
  <c r="BA319" i="1"/>
  <c r="AZ319" i="1"/>
  <c r="M319" i="1"/>
  <c r="ER317" i="1"/>
  <c r="EQ317" i="1"/>
  <c r="DZ317" i="1"/>
  <c r="DY317" i="1"/>
  <c r="DS317" i="1"/>
  <c r="DR317" i="1"/>
  <c r="DQ317" i="1"/>
  <c r="DP317" i="1"/>
  <c r="DN317" i="1"/>
  <c r="DO317" i="1" s="1"/>
  <c r="DH317" i="1"/>
  <c r="DC317" i="1"/>
  <c r="CP317" i="1"/>
  <c r="CA317" i="1"/>
  <c r="EY317" i="1" s="1"/>
  <c r="BX317" i="1"/>
  <c r="BF317" i="1"/>
  <c r="BE317" i="1"/>
  <c r="BD317" i="1"/>
  <c r="BC317" i="1"/>
  <c r="BB317" i="1"/>
  <c r="BA317" i="1"/>
  <c r="AZ317" i="1"/>
  <c r="M317" i="1"/>
  <c r="ER314" i="1"/>
  <c r="EQ314" i="1"/>
  <c r="DZ314" i="1"/>
  <c r="DY314" i="1"/>
  <c r="DS314" i="1"/>
  <c r="DR314" i="1"/>
  <c r="DQ314" i="1"/>
  <c r="DP314" i="1"/>
  <c r="DN314" i="1"/>
  <c r="DO314" i="1" s="1"/>
  <c r="DH314" i="1"/>
  <c r="DC314" i="1"/>
  <c r="CP314" i="1"/>
  <c r="CA314" i="1"/>
  <c r="EY314" i="1" s="1"/>
  <c r="BX314" i="1"/>
  <c r="BF314" i="1"/>
  <c r="BE314" i="1"/>
  <c r="BD314" i="1"/>
  <c r="BC314" i="1"/>
  <c r="BB314" i="1"/>
  <c r="BA314" i="1"/>
  <c r="AZ314" i="1"/>
  <c r="M314" i="1"/>
  <c r="ER315" i="1"/>
  <c r="EQ315" i="1"/>
  <c r="DZ315" i="1"/>
  <c r="DY315" i="1"/>
  <c r="DS315" i="1"/>
  <c r="DR315" i="1"/>
  <c r="DQ315" i="1"/>
  <c r="DP315" i="1"/>
  <c r="DN315" i="1"/>
  <c r="DO315" i="1" s="1"/>
  <c r="DH315" i="1"/>
  <c r="DC315" i="1"/>
  <c r="CP315" i="1"/>
  <c r="CW315" i="1" s="1"/>
  <c r="CY315" i="1" s="1"/>
  <c r="FA315" i="1" s="1"/>
  <c r="CA315" i="1"/>
  <c r="EY315" i="1" s="1"/>
  <c r="BX315" i="1"/>
  <c r="BF315" i="1"/>
  <c r="BE315" i="1"/>
  <c r="BD315" i="1"/>
  <c r="BC315" i="1"/>
  <c r="BB315" i="1"/>
  <c r="BA315" i="1"/>
  <c r="AZ315" i="1"/>
  <c r="M315" i="1"/>
  <c r="ER316" i="1"/>
  <c r="EQ316" i="1"/>
  <c r="DZ316" i="1"/>
  <c r="DY316" i="1"/>
  <c r="DS316" i="1"/>
  <c r="DR316" i="1"/>
  <c r="DQ316" i="1"/>
  <c r="DP316" i="1"/>
  <c r="DN316" i="1"/>
  <c r="DO316" i="1" s="1"/>
  <c r="DH316" i="1"/>
  <c r="DC316" i="1"/>
  <c r="CP316" i="1"/>
  <c r="CW316" i="1" s="1"/>
  <c r="CY316" i="1" s="1"/>
  <c r="FA316" i="1" s="1"/>
  <c r="CA316" i="1"/>
  <c r="EY316" i="1" s="1"/>
  <c r="BX316" i="1"/>
  <c r="BF316" i="1"/>
  <c r="BE316" i="1"/>
  <c r="BD316" i="1"/>
  <c r="BC316" i="1"/>
  <c r="BB316" i="1"/>
  <c r="BA316" i="1"/>
  <c r="AZ316" i="1"/>
  <c r="M316" i="1"/>
  <c r="ER318" i="1"/>
  <c r="EQ318" i="1"/>
  <c r="DZ318" i="1"/>
  <c r="DY318" i="1"/>
  <c r="DS318" i="1"/>
  <c r="DR318" i="1"/>
  <c r="DQ318" i="1"/>
  <c r="DP318" i="1"/>
  <c r="DN318" i="1"/>
  <c r="DO318" i="1" s="1"/>
  <c r="DH318" i="1"/>
  <c r="DC318" i="1"/>
  <c r="CP318" i="1"/>
  <c r="CV318" i="1" s="1"/>
  <c r="CA318" i="1"/>
  <c r="EY318" i="1" s="1"/>
  <c r="BX318" i="1"/>
  <c r="BO318" i="1"/>
  <c r="BF318" i="1"/>
  <c r="BE318" i="1"/>
  <c r="BD318" i="1"/>
  <c r="BC318" i="1"/>
  <c r="BB318" i="1"/>
  <c r="BA318" i="1"/>
  <c r="AZ318" i="1"/>
  <c r="M318" i="1"/>
  <c r="ER320" i="1"/>
  <c r="EQ320" i="1"/>
  <c r="DZ320" i="1"/>
  <c r="DY320" i="1"/>
  <c r="DS320" i="1"/>
  <c r="DR320" i="1"/>
  <c r="DQ320" i="1"/>
  <c r="DP320" i="1"/>
  <c r="DN320" i="1"/>
  <c r="DO320" i="1" s="1"/>
  <c r="DH320" i="1"/>
  <c r="DC320" i="1"/>
  <c r="CP320" i="1"/>
  <c r="CV320" i="1" s="1"/>
  <c r="CA320" i="1"/>
  <c r="EY320" i="1" s="1"/>
  <c r="BX320" i="1"/>
  <c r="BO320" i="1"/>
  <c r="BF320" i="1"/>
  <c r="BE320" i="1"/>
  <c r="BD320" i="1"/>
  <c r="BC320" i="1"/>
  <c r="BB320" i="1"/>
  <c r="BA320" i="1"/>
  <c r="AZ320" i="1"/>
  <c r="M320" i="1"/>
  <c r="ER313" i="1"/>
  <c r="EQ313" i="1"/>
  <c r="DZ313" i="1"/>
  <c r="DY313" i="1"/>
  <c r="DS313" i="1"/>
  <c r="DR313" i="1"/>
  <c r="DQ313" i="1"/>
  <c r="DP313" i="1"/>
  <c r="DN313" i="1"/>
  <c r="DO313" i="1" s="1"/>
  <c r="DH313" i="1"/>
  <c r="DC313" i="1"/>
  <c r="CP313" i="1"/>
  <c r="CV313" i="1" s="1"/>
  <c r="CA313" i="1"/>
  <c r="EY313" i="1" s="1"/>
  <c r="BX313" i="1"/>
  <c r="BO313" i="1"/>
  <c r="BF313" i="1"/>
  <c r="BE313" i="1"/>
  <c r="BD313" i="1"/>
  <c r="BC313" i="1"/>
  <c r="BB313" i="1"/>
  <c r="BA313" i="1"/>
  <c r="BG313" i="1" s="1" a="1"/>
  <c r="BG313" i="1" s="1"/>
  <c r="AZ313" i="1"/>
  <c r="M313" i="1"/>
  <c r="ER299" i="1"/>
  <c r="EQ299" i="1"/>
  <c r="DZ299" i="1"/>
  <c r="DY299" i="1"/>
  <c r="DS299" i="1"/>
  <c r="DR299" i="1"/>
  <c r="DQ299" i="1"/>
  <c r="DP299" i="1"/>
  <c r="DN299" i="1"/>
  <c r="DO299" i="1" s="1"/>
  <c r="DH299" i="1"/>
  <c r="DC299" i="1"/>
  <c r="CP299" i="1"/>
  <c r="CW299" i="1" s="1"/>
  <c r="CY299" i="1" s="1"/>
  <c r="FA299" i="1" s="1"/>
  <c r="CA299" i="1"/>
  <c r="EY299" i="1" s="1"/>
  <c r="BX299" i="1"/>
  <c r="BF299" i="1"/>
  <c r="BE299" i="1"/>
  <c r="BD299" i="1"/>
  <c r="BC299" i="1"/>
  <c r="BB299" i="1"/>
  <c r="BA299" i="1"/>
  <c r="AZ299" i="1"/>
  <c r="M299" i="1"/>
  <c r="ER300" i="1"/>
  <c r="EQ300" i="1"/>
  <c r="DZ300" i="1"/>
  <c r="DY300" i="1"/>
  <c r="DS300" i="1"/>
  <c r="DR300" i="1"/>
  <c r="DQ300" i="1"/>
  <c r="DP300" i="1"/>
  <c r="DN300" i="1"/>
  <c r="DO300" i="1" s="1"/>
  <c r="DH300" i="1"/>
  <c r="DC300" i="1"/>
  <c r="CP300" i="1"/>
  <c r="CW300" i="1" s="1"/>
  <c r="CY300" i="1" s="1"/>
  <c r="FA300" i="1" s="1"/>
  <c r="CA300" i="1"/>
  <c r="EY300" i="1" s="1"/>
  <c r="BX300" i="1"/>
  <c r="BF300" i="1"/>
  <c r="BE300" i="1"/>
  <c r="BD300" i="1"/>
  <c r="BC300" i="1"/>
  <c r="BB300" i="1"/>
  <c r="BA300" i="1"/>
  <c r="AZ300" i="1"/>
  <c r="M300" i="1"/>
  <c r="ER301" i="1"/>
  <c r="EQ301" i="1"/>
  <c r="DY301" i="1"/>
  <c r="DS301" i="1"/>
  <c r="DR301" i="1"/>
  <c r="DQ301" i="1"/>
  <c r="DP301" i="1"/>
  <c r="DO301" i="1"/>
  <c r="DH301" i="1"/>
  <c r="DC301" i="1"/>
  <c r="CP301" i="1"/>
  <c r="CW301" i="1" s="1"/>
  <c r="CY301" i="1" s="1"/>
  <c r="FA301" i="1" s="1"/>
  <c r="CA301" i="1"/>
  <c r="EY301" i="1" s="1"/>
  <c r="BX301" i="1"/>
  <c r="BF301" i="1"/>
  <c r="BE301" i="1"/>
  <c r="BD301" i="1"/>
  <c r="BC301" i="1"/>
  <c r="BB301" i="1"/>
  <c r="BA301" i="1"/>
  <c r="AZ301" i="1"/>
  <c r="M301" i="1"/>
  <c r="ER302" i="1"/>
  <c r="EQ302" i="1"/>
  <c r="DY302" i="1"/>
  <c r="DS302" i="1"/>
  <c r="DR302" i="1"/>
  <c r="DQ302" i="1"/>
  <c r="DP302" i="1"/>
  <c r="DO302" i="1"/>
  <c r="DH302" i="1"/>
  <c r="DC302" i="1"/>
  <c r="CP302" i="1"/>
  <c r="CV302" i="1" s="1"/>
  <c r="CA302" i="1"/>
  <c r="EY302" i="1" s="1"/>
  <c r="BX302" i="1"/>
  <c r="BF302" i="1"/>
  <c r="BE302" i="1"/>
  <c r="BD302" i="1"/>
  <c r="BC302" i="1"/>
  <c r="BB302" i="1"/>
  <c r="BA302" i="1"/>
  <c r="AZ302" i="1"/>
  <c r="M302" i="1"/>
  <c r="ER305" i="1"/>
  <c r="EQ305" i="1"/>
  <c r="DZ305" i="1"/>
  <c r="DY305" i="1"/>
  <c r="DS305" i="1"/>
  <c r="DR305" i="1"/>
  <c r="DQ305" i="1"/>
  <c r="DP305" i="1"/>
  <c r="DN305" i="1"/>
  <c r="DO305" i="1" s="1"/>
  <c r="DH305" i="1"/>
  <c r="DC305" i="1"/>
  <c r="CP305" i="1"/>
  <c r="CA305" i="1"/>
  <c r="EY305" i="1" s="1"/>
  <c r="BX305" i="1"/>
  <c r="BF305" i="1"/>
  <c r="BE305" i="1"/>
  <c r="BD305" i="1"/>
  <c r="BC305" i="1"/>
  <c r="BB305" i="1"/>
  <c r="BA305" i="1"/>
  <c r="AZ305" i="1"/>
  <c r="M305" i="1"/>
  <c r="ER306" i="1"/>
  <c r="EQ306" i="1"/>
  <c r="DZ306" i="1"/>
  <c r="DY306" i="1"/>
  <c r="DS306" i="1"/>
  <c r="DR306" i="1"/>
  <c r="DQ306" i="1"/>
  <c r="DP306" i="1"/>
  <c r="DN306" i="1"/>
  <c r="DO306" i="1" s="1"/>
  <c r="DH306" i="1"/>
  <c r="DC306" i="1"/>
  <c r="CP306" i="1"/>
  <c r="CU306" i="1" s="1"/>
  <c r="CA306" i="1"/>
  <c r="EY306" i="1" s="1"/>
  <c r="BX306" i="1"/>
  <c r="BF306" i="1"/>
  <c r="BE306" i="1"/>
  <c r="BD306" i="1"/>
  <c r="BC306" i="1"/>
  <c r="BB306" i="1"/>
  <c r="BA306" i="1"/>
  <c r="AZ306" i="1"/>
  <c r="M306" i="1"/>
  <c r="ER308" i="1"/>
  <c r="EQ308" i="1"/>
  <c r="DZ308" i="1"/>
  <c r="DY308" i="1"/>
  <c r="DS308" i="1"/>
  <c r="DR308" i="1"/>
  <c r="DQ308" i="1"/>
  <c r="DP308" i="1"/>
  <c r="DN308" i="1"/>
  <c r="DO308" i="1" s="1"/>
  <c r="DH308" i="1"/>
  <c r="DC308" i="1"/>
  <c r="CP308" i="1"/>
  <c r="CW308" i="1" s="1"/>
  <c r="CY308" i="1" s="1"/>
  <c r="FA308" i="1" s="1"/>
  <c r="CA308" i="1"/>
  <c r="EY308" i="1" s="1"/>
  <c r="BX308" i="1"/>
  <c r="BF308" i="1"/>
  <c r="BE308" i="1"/>
  <c r="BD308" i="1"/>
  <c r="BC308" i="1"/>
  <c r="BB308" i="1"/>
  <c r="BA308" i="1"/>
  <c r="AZ308" i="1"/>
  <c r="M308" i="1"/>
  <c r="ER310" i="1"/>
  <c r="EQ310" i="1"/>
  <c r="DZ310" i="1"/>
  <c r="DY310" i="1"/>
  <c r="DS310" i="1"/>
  <c r="DR310" i="1"/>
  <c r="DQ310" i="1"/>
  <c r="DP310" i="1"/>
  <c r="DN310" i="1"/>
  <c r="DO310" i="1" s="1"/>
  <c r="DH310" i="1"/>
  <c r="DC310" i="1"/>
  <c r="CP310" i="1"/>
  <c r="CU310" i="1" s="1"/>
  <c r="CA310" i="1"/>
  <c r="EY310" i="1" s="1"/>
  <c r="BX310" i="1"/>
  <c r="BF310" i="1"/>
  <c r="BE310" i="1"/>
  <c r="BD310" i="1"/>
  <c r="BC310" i="1"/>
  <c r="BB310" i="1"/>
  <c r="BA310" i="1"/>
  <c r="AZ310" i="1"/>
  <c r="M310" i="1"/>
  <c r="ER311" i="1"/>
  <c r="EQ311" i="1"/>
  <c r="DZ311" i="1"/>
  <c r="DY311" i="1"/>
  <c r="DS311" i="1"/>
  <c r="DR311" i="1"/>
  <c r="DQ311" i="1"/>
  <c r="DP311" i="1"/>
  <c r="DN311" i="1"/>
  <c r="DO311" i="1" s="1"/>
  <c r="DH311" i="1"/>
  <c r="DC311" i="1"/>
  <c r="CP311" i="1"/>
  <c r="CV311" i="1" s="1"/>
  <c r="CA311" i="1"/>
  <c r="EY311" i="1" s="1"/>
  <c r="BX311" i="1"/>
  <c r="BF311" i="1"/>
  <c r="BE311" i="1"/>
  <c r="BD311" i="1"/>
  <c r="BC311" i="1"/>
  <c r="BB311" i="1"/>
  <c r="BA311" i="1"/>
  <c r="AZ311" i="1"/>
  <c r="M311" i="1"/>
  <c r="ER312" i="1"/>
  <c r="EQ312" i="1"/>
  <c r="DZ312" i="1"/>
  <c r="DY312" i="1"/>
  <c r="DS312" i="1"/>
  <c r="DR312" i="1"/>
  <c r="DQ312" i="1"/>
  <c r="DP312" i="1"/>
  <c r="DN312" i="1"/>
  <c r="DO312" i="1" s="1"/>
  <c r="DH312" i="1"/>
  <c r="DC312" i="1"/>
  <c r="CP312" i="1"/>
  <c r="CW312" i="1" s="1"/>
  <c r="CY312" i="1" s="1"/>
  <c r="FA312" i="1" s="1"/>
  <c r="CA312" i="1"/>
  <c r="EY312" i="1" s="1"/>
  <c r="BX312" i="1"/>
  <c r="BF312" i="1"/>
  <c r="BE312" i="1"/>
  <c r="BD312" i="1"/>
  <c r="BC312" i="1"/>
  <c r="BB312" i="1"/>
  <c r="BA312" i="1"/>
  <c r="AZ312" i="1"/>
  <c r="M312" i="1"/>
  <c r="ER303" i="1"/>
  <c r="EQ303" i="1"/>
  <c r="DZ303" i="1"/>
  <c r="DY303" i="1"/>
  <c r="DS303" i="1"/>
  <c r="DR303" i="1"/>
  <c r="DQ303" i="1"/>
  <c r="DP303" i="1"/>
  <c r="DN303" i="1"/>
  <c r="DO303" i="1" s="1"/>
  <c r="DH303" i="1"/>
  <c r="DC303" i="1"/>
  <c r="CP303" i="1"/>
  <c r="CV303" i="1" s="1"/>
  <c r="CA303" i="1"/>
  <c r="EY303" i="1" s="1"/>
  <c r="BX303" i="1"/>
  <c r="BO303" i="1"/>
  <c r="BF303" i="1"/>
  <c r="BE303" i="1"/>
  <c r="BD303" i="1"/>
  <c r="BC303" i="1"/>
  <c r="BB303" i="1"/>
  <c r="BA303" i="1"/>
  <c r="AZ303" i="1"/>
  <c r="M303" i="1"/>
  <c r="ER304" i="1"/>
  <c r="EQ304" i="1"/>
  <c r="DZ304" i="1"/>
  <c r="DY304" i="1"/>
  <c r="DS304" i="1"/>
  <c r="DR304" i="1"/>
  <c r="DQ304" i="1"/>
  <c r="DP304" i="1"/>
  <c r="DN304" i="1"/>
  <c r="DO304" i="1" s="1"/>
  <c r="DH304" i="1"/>
  <c r="DC304" i="1"/>
  <c r="CP304" i="1"/>
  <c r="CA304" i="1"/>
  <c r="EY304" i="1" s="1"/>
  <c r="BX304" i="1"/>
  <c r="BO304" i="1"/>
  <c r="BF304" i="1"/>
  <c r="BE304" i="1"/>
  <c r="BD304" i="1"/>
  <c r="BC304" i="1"/>
  <c r="BB304" i="1"/>
  <c r="BA304" i="1"/>
  <c r="AZ304" i="1"/>
  <c r="M304" i="1"/>
  <c r="ER307" i="1"/>
  <c r="EQ307" i="1"/>
  <c r="DZ307" i="1"/>
  <c r="DY307" i="1"/>
  <c r="DS307" i="1"/>
  <c r="DR307" i="1"/>
  <c r="DQ307" i="1"/>
  <c r="DP307" i="1"/>
  <c r="DN307" i="1"/>
  <c r="DO307" i="1" s="1"/>
  <c r="DH307" i="1"/>
  <c r="DC307" i="1"/>
  <c r="CP307" i="1"/>
  <c r="CU307" i="1" s="1"/>
  <c r="CA307" i="1"/>
  <c r="EY307" i="1" s="1"/>
  <c r="BX307" i="1"/>
  <c r="BO307" i="1"/>
  <c r="BF307" i="1"/>
  <c r="BE307" i="1"/>
  <c r="BD307" i="1"/>
  <c r="BC307" i="1"/>
  <c r="BB307" i="1"/>
  <c r="BA307" i="1"/>
  <c r="AZ307" i="1"/>
  <c r="M307" i="1"/>
  <c r="ER309" i="1"/>
  <c r="EQ309" i="1"/>
  <c r="DZ309" i="1"/>
  <c r="DY309" i="1"/>
  <c r="DS309" i="1"/>
  <c r="DR309" i="1"/>
  <c r="DQ309" i="1"/>
  <c r="DP309" i="1"/>
  <c r="DN309" i="1"/>
  <c r="DO309" i="1" s="1"/>
  <c r="DH309" i="1"/>
  <c r="DC309" i="1"/>
  <c r="CP309" i="1"/>
  <c r="CW309" i="1" s="1"/>
  <c r="CY309" i="1" s="1"/>
  <c r="FA309" i="1" s="1"/>
  <c r="CA309" i="1"/>
  <c r="EY309" i="1" s="1"/>
  <c r="BX309" i="1"/>
  <c r="BO309" i="1"/>
  <c r="BF309" i="1"/>
  <c r="BE309" i="1"/>
  <c r="BD309" i="1"/>
  <c r="BC309" i="1"/>
  <c r="BB309" i="1"/>
  <c r="BA309" i="1"/>
  <c r="AZ309" i="1"/>
  <c r="M309" i="1"/>
  <c r="ER298" i="1"/>
  <c r="EQ298" i="1"/>
  <c r="DZ298" i="1"/>
  <c r="DY298" i="1"/>
  <c r="DS298" i="1"/>
  <c r="DR298" i="1"/>
  <c r="DQ298" i="1"/>
  <c r="DP298" i="1"/>
  <c r="DN298" i="1"/>
  <c r="DO298" i="1" s="1"/>
  <c r="DH298" i="1"/>
  <c r="DC298" i="1"/>
  <c r="CP298" i="1"/>
  <c r="CV298" i="1" s="1"/>
  <c r="CA298" i="1"/>
  <c r="EY298" i="1" s="1"/>
  <c r="BX298" i="1"/>
  <c r="BF298" i="1"/>
  <c r="BE298" i="1"/>
  <c r="BD298" i="1"/>
  <c r="BC298" i="1"/>
  <c r="BB298" i="1"/>
  <c r="BA298" i="1"/>
  <c r="BG298" i="1" s="1" a="1"/>
  <c r="BG298" i="1" s="1"/>
  <c r="AZ298" i="1"/>
  <c r="M298" i="1"/>
  <c r="ER297" i="1"/>
  <c r="EQ297" i="1"/>
  <c r="DZ297" i="1"/>
  <c r="DY297" i="1"/>
  <c r="DS297" i="1"/>
  <c r="DR297" i="1"/>
  <c r="DQ297" i="1"/>
  <c r="DP297" i="1"/>
  <c r="DN297" i="1"/>
  <c r="DO297" i="1" s="1"/>
  <c r="DH297" i="1"/>
  <c r="DC297" i="1"/>
  <c r="CP297" i="1"/>
  <c r="CW297" i="1" s="1"/>
  <c r="CY297" i="1" s="1"/>
  <c r="FA297" i="1" s="1"/>
  <c r="CA297" i="1"/>
  <c r="EY297" i="1" s="1"/>
  <c r="BX297" i="1"/>
  <c r="BO297" i="1"/>
  <c r="BF297" i="1"/>
  <c r="BE297" i="1"/>
  <c r="BD297" i="1"/>
  <c r="BC297" i="1"/>
  <c r="BB297" i="1"/>
  <c r="BA297" i="1"/>
  <c r="BG297" i="1" s="1" a="1"/>
  <c r="BG297" i="1" s="1"/>
  <c r="AZ297" i="1"/>
  <c r="M297" i="1"/>
  <c r="ER293" i="1"/>
  <c r="EQ293" i="1"/>
  <c r="DZ293" i="1"/>
  <c r="DY293" i="1"/>
  <c r="DS293" i="1"/>
  <c r="DR293" i="1"/>
  <c r="DQ293" i="1"/>
  <c r="DP293" i="1"/>
  <c r="DN293" i="1"/>
  <c r="DO293" i="1" s="1"/>
  <c r="DH293" i="1"/>
  <c r="DC293" i="1"/>
  <c r="CP293" i="1"/>
  <c r="CU293" i="1" s="1"/>
  <c r="CA293" i="1"/>
  <c r="EY293" i="1" s="1"/>
  <c r="BX293" i="1"/>
  <c r="BF293" i="1"/>
  <c r="BE293" i="1"/>
  <c r="BD293" i="1"/>
  <c r="BC293" i="1"/>
  <c r="BB293" i="1"/>
  <c r="BA293" i="1"/>
  <c r="BG293" i="1" s="1" a="1"/>
  <c r="BG293" i="1" s="1"/>
  <c r="AZ293" i="1"/>
  <c r="M293" i="1"/>
  <c r="ER292" i="1"/>
  <c r="EQ292" i="1"/>
  <c r="DZ292" i="1"/>
  <c r="DY292" i="1"/>
  <c r="DS292" i="1"/>
  <c r="DR292" i="1"/>
  <c r="DQ292" i="1"/>
  <c r="DP292" i="1"/>
  <c r="DN292" i="1"/>
  <c r="DO292" i="1" s="1"/>
  <c r="DH292" i="1"/>
  <c r="DC292" i="1"/>
  <c r="CP292" i="1"/>
  <c r="CA292" i="1"/>
  <c r="EY292" i="1" s="1"/>
  <c r="BX292" i="1"/>
  <c r="BF292" i="1"/>
  <c r="BE292" i="1"/>
  <c r="BD292" i="1"/>
  <c r="BC292" i="1"/>
  <c r="BB292" i="1"/>
  <c r="BA292" i="1"/>
  <c r="BG292" i="1" s="1" a="1"/>
  <c r="BG292" i="1" s="1"/>
  <c r="AZ292" i="1"/>
  <c r="M292" i="1"/>
  <c r="ER295" i="1"/>
  <c r="EQ295" i="1"/>
  <c r="DZ295" i="1"/>
  <c r="DY295" i="1"/>
  <c r="DS295" i="1"/>
  <c r="DR295" i="1"/>
  <c r="DQ295" i="1"/>
  <c r="DP295" i="1"/>
  <c r="DN295" i="1"/>
  <c r="DO295" i="1" s="1"/>
  <c r="DH295" i="1"/>
  <c r="DC295" i="1"/>
  <c r="CP295" i="1"/>
  <c r="CW295" i="1" s="1"/>
  <c r="CY295" i="1" s="1"/>
  <c r="FA295" i="1" s="1"/>
  <c r="CA295" i="1"/>
  <c r="EY295" i="1" s="1"/>
  <c r="BX295" i="1"/>
  <c r="BF295" i="1"/>
  <c r="BE295" i="1"/>
  <c r="BD295" i="1"/>
  <c r="BC295" i="1"/>
  <c r="BB295" i="1"/>
  <c r="BA295" i="1"/>
  <c r="BG295" i="1" s="1" a="1"/>
  <c r="BG295" i="1" s="1"/>
  <c r="AZ295" i="1"/>
  <c r="M295" i="1"/>
  <c r="ER294" i="1"/>
  <c r="EQ294" i="1"/>
  <c r="DZ294" i="1"/>
  <c r="DY294" i="1"/>
  <c r="DS294" i="1"/>
  <c r="DR294" i="1"/>
  <c r="DQ294" i="1"/>
  <c r="DP294" i="1"/>
  <c r="DN294" i="1"/>
  <c r="DO294" i="1" s="1"/>
  <c r="DH294" i="1"/>
  <c r="DC294" i="1"/>
  <c r="CP294" i="1"/>
  <c r="CA294" i="1"/>
  <c r="EY294" i="1" s="1"/>
  <c r="BX294" i="1"/>
  <c r="BF294" i="1"/>
  <c r="BE294" i="1"/>
  <c r="BD294" i="1"/>
  <c r="BC294" i="1"/>
  <c r="BB294" i="1"/>
  <c r="BA294" i="1"/>
  <c r="BG294" i="1" s="1" a="1"/>
  <c r="BG294" i="1" s="1"/>
  <c r="AZ294" i="1"/>
  <c r="M294" i="1"/>
  <c r="ER296" i="1"/>
  <c r="EQ296" i="1"/>
  <c r="DZ296" i="1"/>
  <c r="DY296" i="1"/>
  <c r="DS296" i="1"/>
  <c r="DR296" i="1"/>
  <c r="DQ296" i="1"/>
  <c r="DP296" i="1"/>
  <c r="DN296" i="1"/>
  <c r="DO296" i="1" s="1"/>
  <c r="DH296" i="1"/>
  <c r="DC296" i="1"/>
  <c r="CP296" i="1"/>
  <c r="CU296" i="1" s="1"/>
  <c r="CA296" i="1"/>
  <c r="EY296" i="1" s="1"/>
  <c r="BX296" i="1"/>
  <c r="BF296" i="1"/>
  <c r="BE296" i="1"/>
  <c r="BD296" i="1"/>
  <c r="BC296" i="1"/>
  <c r="BB296" i="1"/>
  <c r="BA296" i="1"/>
  <c r="BG296" i="1" s="1" a="1"/>
  <c r="BG296" i="1" s="1"/>
  <c r="AZ296" i="1"/>
  <c r="M296" i="1"/>
  <c r="ER291" i="1"/>
  <c r="EQ291" i="1"/>
  <c r="DZ291" i="1"/>
  <c r="DY291" i="1"/>
  <c r="DS291" i="1"/>
  <c r="DR291" i="1"/>
  <c r="DQ291" i="1"/>
  <c r="DP291" i="1"/>
  <c r="DN291" i="1"/>
  <c r="DO291" i="1" s="1"/>
  <c r="DH291" i="1"/>
  <c r="DC291" i="1"/>
  <c r="CP291" i="1"/>
  <c r="CA291" i="1"/>
  <c r="EY291" i="1" s="1"/>
  <c r="BX291" i="1"/>
  <c r="BF291" i="1"/>
  <c r="BE291" i="1"/>
  <c r="BD291" i="1"/>
  <c r="BC291" i="1"/>
  <c r="BB291" i="1"/>
  <c r="BA291" i="1"/>
  <c r="BG291" i="1" s="1" a="1"/>
  <c r="BG291" i="1" s="1"/>
  <c r="AZ291" i="1"/>
  <c r="M291" i="1"/>
  <c r="ER290" i="1"/>
  <c r="EQ290" i="1"/>
  <c r="DZ290" i="1"/>
  <c r="DY290" i="1"/>
  <c r="DS290" i="1"/>
  <c r="DR290" i="1"/>
  <c r="DQ290" i="1"/>
  <c r="DP290" i="1"/>
  <c r="DN290" i="1"/>
  <c r="DO290" i="1" s="1"/>
  <c r="DH290" i="1"/>
  <c r="DC290" i="1"/>
  <c r="CP290" i="1"/>
  <c r="CV290" i="1" s="1"/>
  <c r="CA290" i="1"/>
  <c r="EY290" i="1" s="1"/>
  <c r="BX290" i="1"/>
  <c r="BF290" i="1"/>
  <c r="BE290" i="1"/>
  <c r="BD290" i="1"/>
  <c r="BC290" i="1"/>
  <c r="BB290" i="1"/>
  <c r="BA290" i="1"/>
  <c r="BG290" i="1" s="1" a="1"/>
  <c r="BG290" i="1" s="1"/>
  <c r="AZ290" i="1"/>
  <c r="M290" i="1"/>
  <c r="ER289" i="1"/>
  <c r="EQ289" i="1"/>
  <c r="DZ289" i="1"/>
  <c r="DY289" i="1"/>
  <c r="DS289" i="1"/>
  <c r="DR289" i="1"/>
  <c r="DQ289" i="1"/>
  <c r="DP289" i="1"/>
  <c r="DN289" i="1"/>
  <c r="DO289" i="1" s="1"/>
  <c r="DH289" i="1"/>
  <c r="DC289" i="1"/>
  <c r="CP289" i="1"/>
  <c r="CV289" i="1" s="1"/>
  <c r="CA289" i="1"/>
  <c r="EY289" i="1" s="1"/>
  <c r="BX289" i="1"/>
  <c r="BF289" i="1"/>
  <c r="BE289" i="1"/>
  <c r="BD289" i="1"/>
  <c r="BC289" i="1"/>
  <c r="BB289" i="1"/>
  <c r="BA289" i="1"/>
  <c r="BG289" i="1" s="1" a="1"/>
  <c r="BG289" i="1" s="1"/>
  <c r="AZ289" i="1"/>
  <c r="M289" i="1"/>
  <c r="ER287" i="1"/>
  <c r="EQ287" i="1"/>
  <c r="DZ287" i="1"/>
  <c r="DY287" i="1"/>
  <c r="DS287" i="1"/>
  <c r="DR287" i="1"/>
  <c r="DQ287" i="1"/>
  <c r="DP287" i="1"/>
  <c r="DN287" i="1"/>
  <c r="DO287" i="1" s="1"/>
  <c r="DH287" i="1"/>
  <c r="DC287" i="1"/>
  <c r="CP287" i="1"/>
  <c r="CW287" i="1" s="1"/>
  <c r="CY287" i="1" s="1"/>
  <c r="FA287" i="1" s="1"/>
  <c r="CA287" i="1"/>
  <c r="EY287" i="1" s="1"/>
  <c r="BX287" i="1"/>
  <c r="BF287" i="1"/>
  <c r="BE287" i="1"/>
  <c r="BD287" i="1"/>
  <c r="BC287" i="1"/>
  <c r="BB287" i="1"/>
  <c r="BA287" i="1"/>
  <c r="BG287" i="1" s="1" a="1"/>
  <c r="BG287" i="1" s="1"/>
  <c r="AZ287" i="1"/>
  <c r="M287" i="1"/>
  <c r="ER288" i="1"/>
  <c r="EQ288" i="1"/>
  <c r="DZ288" i="1"/>
  <c r="DY288" i="1"/>
  <c r="DS288" i="1"/>
  <c r="DR288" i="1"/>
  <c r="DQ288" i="1"/>
  <c r="DP288" i="1"/>
  <c r="DN288" i="1"/>
  <c r="DO288" i="1" s="1"/>
  <c r="DH288" i="1"/>
  <c r="DC288" i="1"/>
  <c r="CP288" i="1"/>
  <c r="CW288" i="1" s="1"/>
  <c r="CY288" i="1" s="1"/>
  <c r="FA288" i="1" s="1"/>
  <c r="CA288" i="1"/>
  <c r="EY288" i="1" s="1"/>
  <c r="BX288" i="1"/>
  <c r="BF288" i="1"/>
  <c r="BE288" i="1"/>
  <c r="BD288" i="1"/>
  <c r="BC288" i="1"/>
  <c r="BB288" i="1"/>
  <c r="BA288" i="1"/>
  <c r="BG288" i="1" s="1" a="1"/>
  <c r="BG288" i="1" s="1"/>
  <c r="AZ288" i="1"/>
  <c r="M288" i="1"/>
  <c r="ER271" i="1"/>
  <c r="EQ271" i="1"/>
  <c r="DZ271" i="1"/>
  <c r="DS271" i="1"/>
  <c r="DR271" i="1"/>
  <c r="DQ271" i="1"/>
  <c r="DP271" i="1"/>
  <c r="DN271" i="1"/>
  <c r="DO271" i="1" s="1"/>
  <c r="DH271" i="1"/>
  <c r="DC271" i="1"/>
  <c r="CP271" i="1"/>
  <c r="BX271" i="1"/>
  <c r="BZ271" i="1" s="1"/>
  <c r="CA271" i="1" s="1"/>
  <c r="BW271" i="1"/>
  <c r="BO271" i="1"/>
  <c r="BF271" i="1"/>
  <c r="BE271" i="1"/>
  <c r="BD271" i="1"/>
  <c r="BC271" i="1"/>
  <c r="BB271" i="1"/>
  <c r="BA271" i="1"/>
  <c r="BG271" i="1" s="1" a="1"/>
  <c r="BG271" i="1" s="1"/>
  <c r="AZ271" i="1"/>
  <c r="M271" i="1"/>
  <c r="ER274" i="1"/>
  <c r="EQ274" i="1"/>
  <c r="DZ274" i="1"/>
  <c r="DS274" i="1"/>
  <c r="DR274" i="1"/>
  <c r="DQ274" i="1"/>
  <c r="DP274" i="1"/>
  <c r="DN274" i="1"/>
  <c r="DO274" i="1" s="1"/>
  <c r="DH274" i="1"/>
  <c r="DC274" i="1"/>
  <c r="CP274" i="1"/>
  <c r="CV274" i="1" s="1"/>
  <c r="BX274" i="1"/>
  <c r="BZ274" i="1" s="1"/>
  <c r="BW274" i="1"/>
  <c r="BO274" i="1"/>
  <c r="BF274" i="1"/>
  <c r="BE274" i="1"/>
  <c r="BD274" i="1"/>
  <c r="BC274" i="1"/>
  <c r="BB274" i="1"/>
  <c r="BA274" i="1"/>
  <c r="BG274" i="1" s="1" a="1"/>
  <c r="BG274" i="1" s="1"/>
  <c r="AZ274" i="1"/>
  <c r="M274" i="1"/>
  <c r="ER272" i="1"/>
  <c r="EQ272" i="1"/>
  <c r="DZ272" i="1"/>
  <c r="DS272" i="1"/>
  <c r="DR272" i="1"/>
  <c r="DQ272" i="1"/>
  <c r="DP272" i="1"/>
  <c r="DN272" i="1"/>
  <c r="DO272" i="1" s="1"/>
  <c r="DH272" i="1"/>
  <c r="DC272" i="1"/>
  <c r="CP272" i="1"/>
  <c r="BX272" i="1"/>
  <c r="BZ272" i="1" s="1"/>
  <c r="BW272" i="1"/>
  <c r="BO272" i="1"/>
  <c r="BF272" i="1"/>
  <c r="BE272" i="1"/>
  <c r="BD272" i="1"/>
  <c r="BC272" i="1"/>
  <c r="BB272" i="1"/>
  <c r="BA272" i="1"/>
  <c r="BG272" i="1" s="1" a="1"/>
  <c r="BG272" i="1" s="1"/>
  <c r="AZ272" i="1"/>
  <c r="M272" i="1"/>
  <c r="ER273" i="1"/>
  <c r="EQ273" i="1"/>
  <c r="DZ273" i="1"/>
  <c r="DS273" i="1"/>
  <c r="DR273" i="1"/>
  <c r="DQ273" i="1"/>
  <c r="DP273" i="1"/>
  <c r="DN273" i="1"/>
  <c r="DO273" i="1" s="1"/>
  <c r="DH273" i="1"/>
  <c r="DC273" i="1"/>
  <c r="CP273" i="1"/>
  <c r="CU273" i="1" s="1"/>
  <c r="DA273" i="1" s="1"/>
  <c r="BX273" i="1"/>
  <c r="BZ273" i="1" s="1"/>
  <c r="CA273" i="1" s="1"/>
  <c r="BW273" i="1"/>
  <c r="BO273" i="1"/>
  <c r="BF273" i="1"/>
  <c r="BE273" i="1"/>
  <c r="BD273" i="1"/>
  <c r="BC273" i="1"/>
  <c r="BB273" i="1"/>
  <c r="BA273" i="1"/>
  <c r="BG273" i="1" s="1" a="1"/>
  <c r="BG273" i="1" s="1"/>
  <c r="AZ273" i="1"/>
  <c r="M273" i="1"/>
  <c r="ER277" i="1"/>
  <c r="EQ277" i="1"/>
  <c r="DZ277" i="1"/>
  <c r="DS277" i="1"/>
  <c r="DR277" i="1"/>
  <c r="DQ277" i="1"/>
  <c r="DP277" i="1"/>
  <c r="DN277" i="1"/>
  <c r="DO277" i="1" s="1"/>
  <c r="DH277" i="1"/>
  <c r="DC277" i="1"/>
  <c r="CP277" i="1"/>
  <c r="CV277" i="1" s="1"/>
  <c r="BX277" i="1"/>
  <c r="BZ277" i="1" s="1"/>
  <c r="CA277" i="1" s="1"/>
  <c r="BW277" i="1"/>
  <c r="BO277" i="1"/>
  <c r="BF277" i="1"/>
  <c r="BE277" i="1"/>
  <c r="BD277" i="1"/>
  <c r="BC277" i="1"/>
  <c r="BB277" i="1"/>
  <c r="BA277" i="1"/>
  <c r="BG277" i="1" s="1" a="1"/>
  <c r="BG277" i="1" s="1"/>
  <c r="AZ277" i="1"/>
  <c r="M277" i="1"/>
  <c r="ER278" i="1"/>
  <c r="EQ278" i="1"/>
  <c r="DZ278" i="1"/>
  <c r="DS278" i="1"/>
  <c r="DR278" i="1"/>
  <c r="DQ278" i="1"/>
  <c r="DP278" i="1"/>
  <c r="DN278" i="1"/>
  <c r="DO278" i="1" s="1"/>
  <c r="DH278" i="1"/>
  <c r="DC278" i="1"/>
  <c r="CP278" i="1"/>
  <c r="BX278" i="1"/>
  <c r="BZ278" i="1" s="1"/>
  <c r="CA278" i="1" s="1"/>
  <c r="BW278" i="1"/>
  <c r="BO278" i="1"/>
  <c r="BF278" i="1"/>
  <c r="BE278" i="1"/>
  <c r="BD278" i="1"/>
  <c r="BC278" i="1"/>
  <c r="BB278" i="1"/>
  <c r="BA278" i="1"/>
  <c r="BG278" i="1" s="1" a="1"/>
  <c r="BG278" i="1" s="1"/>
  <c r="AZ278" i="1"/>
  <c r="M278" i="1"/>
  <c r="ER275" i="1"/>
  <c r="EQ275" i="1"/>
  <c r="DZ275" i="1"/>
  <c r="DS275" i="1"/>
  <c r="DR275" i="1"/>
  <c r="DQ275" i="1"/>
  <c r="DP275" i="1"/>
  <c r="DN275" i="1"/>
  <c r="DO275" i="1" s="1"/>
  <c r="DH275" i="1"/>
  <c r="DC275" i="1"/>
  <c r="CP275" i="1"/>
  <c r="CV275" i="1" s="1"/>
  <c r="BX275" i="1"/>
  <c r="BZ275" i="1" s="1"/>
  <c r="CA275" i="1" s="1"/>
  <c r="BW275" i="1"/>
  <c r="BO275" i="1"/>
  <c r="BF275" i="1"/>
  <c r="BE275" i="1"/>
  <c r="BD275" i="1"/>
  <c r="BC275" i="1"/>
  <c r="BB275" i="1"/>
  <c r="BA275" i="1"/>
  <c r="BG275" i="1" s="1" a="1"/>
  <c r="BG275" i="1" s="1"/>
  <c r="AZ275" i="1"/>
  <c r="M275" i="1"/>
  <c r="ER276" i="1"/>
  <c r="EQ276" i="1"/>
  <c r="DZ276" i="1"/>
  <c r="DS276" i="1"/>
  <c r="DR276" i="1"/>
  <c r="DQ276" i="1"/>
  <c r="DP276" i="1"/>
  <c r="DN276" i="1"/>
  <c r="DO276" i="1" s="1"/>
  <c r="DH276" i="1"/>
  <c r="DC276" i="1"/>
  <c r="CP276" i="1"/>
  <c r="CV276" i="1" s="1"/>
  <c r="BX276" i="1"/>
  <c r="BZ276" i="1" s="1"/>
  <c r="BW276" i="1"/>
  <c r="BO276" i="1"/>
  <c r="BF276" i="1"/>
  <c r="BE276" i="1"/>
  <c r="BD276" i="1"/>
  <c r="BC276" i="1"/>
  <c r="BB276" i="1"/>
  <c r="BA276" i="1"/>
  <c r="BG276" i="1" s="1" a="1"/>
  <c r="BG276" i="1" s="1"/>
  <c r="AZ276" i="1"/>
  <c r="M276" i="1"/>
  <c r="ER285" i="1"/>
  <c r="EQ285" i="1"/>
  <c r="DZ285" i="1"/>
  <c r="DS285" i="1"/>
  <c r="DR285" i="1"/>
  <c r="DQ285" i="1"/>
  <c r="DP285" i="1"/>
  <c r="DN285" i="1"/>
  <c r="DO285" i="1" s="1"/>
  <c r="DH285" i="1"/>
  <c r="DC285" i="1"/>
  <c r="CP285" i="1"/>
  <c r="CU285" i="1" s="1"/>
  <c r="BX285" i="1"/>
  <c r="BZ285" i="1" s="1"/>
  <c r="CA285" i="1" s="1"/>
  <c r="BW285" i="1"/>
  <c r="BO285" i="1"/>
  <c r="BF285" i="1"/>
  <c r="BE285" i="1"/>
  <c r="BD285" i="1"/>
  <c r="BC285" i="1"/>
  <c r="BB285" i="1"/>
  <c r="BA285" i="1"/>
  <c r="AZ285" i="1"/>
  <c r="M285" i="1"/>
  <c r="ER286" i="1"/>
  <c r="EQ286" i="1"/>
  <c r="DZ286" i="1"/>
  <c r="DS286" i="1"/>
  <c r="DR286" i="1"/>
  <c r="DQ286" i="1"/>
  <c r="DP286" i="1"/>
  <c r="DN286" i="1"/>
  <c r="DO286" i="1" s="1"/>
  <c r="DH286" i="1"/>
  <c r="DC286" i="1"/>
  <c r="CP286" i="1"/>
  <c r="CU286" i="1" s="1"/>
  <c r="DA286" i="1" s="1"/>
  <c r="BX286" i="1"/>
  <c r="BZ286" i="1" s="1"/>
  <c r="BW286" i="1"/>
  <c r="BO286" i="1"/>
  <c r="BF286" i="1"/>
  <c r="BE286" i="1"/>
  <c r="BD286" i="1"/>
  <c r="BC286" i="1"/>
  <c r="BB286" i="1"/>
  <c r="BA286" i="1"/>
  <c r="AZ286" i="1"/>
  <c r="M286" i="1"/>
  <c r="ER283" i="1"/>
  <c r="EQ283" i="1"/>
  <c r="DZ283" i="1"/>
  <c r="DS283" i="1"/>
  <c r="DR283" i="1"/>
  <c r="DQ283" i="1"/>
  <c r="DP283" i="1"/>
  <c r="DN283" i="1"/>
  <c r="DO283" i="1" s="1"/>
  <c r="DH283" i="1"/>
  <c r="DC283" i="1"/>
  <c r="CP283" i="1"/>
  <c r="BX283" i="1"/>
  <c r="BZ283" i="1" s="1"/>
  <c r="CA283" i="1" s="1"/>
  <c r="BW283" i="1"/>
  <c r="BO283" i="1"/>
  <c r="BF283" i="1"/>
  <c r="BE283" i="1"/>
  <c r="BD283" i="1"/>
  <c r="BC283" i="1"/>
  <c r="BB283" i="1"/>
  <c r="BA283" i="1"/>
  <c r="AZ283" i="1"/>
  <c r="M283" i="1"/>
  <c r="ER284" i="1"/>
  <c r="EQ284" i="1"/>
  <c r="DZ284" i="1"/>
  <c r="DS284" i="1"/>
  <c r="DR284" i="1"/>
  <c r="DQ284" i="1"/>
  <c r="DP284" i="1"/>
  <c r="DN284" i="1"/>
  <c r="DO284" i="1" s="1"/>
  <c r="DH284" i="1"/>
  <c r="DC284" i="1"/>
  <c r="CP284" i="1"/>
  <c r="BX284" i="1"/>
  <c r="BZ284" i="1" s="1"/>
  <c r="CA284" i="1" s="1"/>
  <c r="BW284" i="1"/>
  <c r="BO284" i="1"/>
  <c r="BF284" i="1"/>
  <c r="BE284" i="1"/>
  <c r="BD284" i="1"/>
  <c r="BC284" i="1"/>
  <c r="BB284" i="1"/>
  <c r="BA284" i="1"/>
  <c r="AZ284" i="1"/>
  <c r="M284" i="1"/>
  <c r="ER280" i="1"/>
  <c r="EQ280" i="1"/>
  <c r="DZ280" i="1"/>
  <c r="DS280" i="1"/>
  <c r="DR280" i="1"/>
  <c r="DQ280" i="1"/>
  <c r="DP280" i="1"/>
  <c r="DN280" i="1"/>
  <c r="DO280" i="1" s="1"/>
  <c r="DH280" i="1"/>
  <c r="DC280" i="1"/>
  <c r="CP280" i="1"/>
  <c r="BX280" i="1"/>
  <c r="BZ280" i="1" s="1"/>
  <c r="CA280" i="1" s="1"/>
  <c r="BW280" i="1"/>
  <c r="BO280" i="1"/>
  <c r="BF280" i="1"/>
  <c r="BE280" i="1"/>
  <c r="BD280" i="1"/>
  <c r="BC280" i="1"/>
  <c r="BB280" i="1"/>
  <c r="BA280" i="1"/>
  <c r="AZ280" i="1"/>
  <c r="M280" i="1"/>
  <c r="ER282" i="1"/>
  <c r="EQ282" i="1"/>
  <c r="DZ282" i="1"/>
  <c r="DS282" i="1"/>
  <c r="DR282" i="1"/>
  <c r="DQ282" i="1"/>
  <c r="DP282" i="1"/>
  <c r="DN282" i="1"/>
  <c r="DO282" i="1" s="1"/>
  <c r="DH282" i="1"/>
  <c r="DC282" i="1"/>
  <c r="CP282" i="1"/>
  <c r="CV282" i="1" s="1"/>
  <c r="BX282" i="1"/>
  <c r="BZ282" i="1" s="1"/>
  <c r="CA282" i="1" s="1"/>
  <c r="BW282" i="1"/>
  <c r="BO282" i="1"/>
  <c r="BF282" i="1"/>
  <c r="BE282" i="1"/>
  <c r="BD282" i="1"/>
  <c r="BC282" i="1"/>
  <c r="BB282" i="1"/>
  <c r="BA282" i="1"/>
  <c r="AZ282" i="1"/>
  <c r="M282" i="1"/>
  <c r="ER279" i="1"/>
  <c r="EQ279" i="1"/>
  <c r="DZ279" i="1"/>
  <c r="DS279" i="1"/>
  <c r="DR279" i="1"/>
  <c r="DQ279" i="1"/>
  <c r="DP279" i="1"/>
  <c r="DN279" i="1"/>
  <c r="DO279" i="1" s="1"/>
  <c r="DH279" i="1"/>
  <c r="DC279" i="1"/>
  <c r="CP279" i="1"/>
  <c r="CV279" i="1" s="1"/>
  <c r="BX279" i="1"/>
  <c r="BZ279" i="1" s="1"/>
  <c r="CA279" i="1" s="1"/>
  <c r="BW279" i="1"/>
  <c r="BO279" i="1"/>
  <c r="BF279" i="1"/>
  <c r="BE279" i="1"/>
  <c r="BD279" i="1"/>
  <c r="BC279" i="1"/>
  <c r="BB279" i="1"/>
  <c r="BA279" i="1"/>
  <c r="AZ279" i="1"/>
  <c r="M279" i="1"/>
  <c r="ER281" i="1"/>
  <c r="EQ281" i="1"/>
  <c r="DZ281" i="1"/>
  <c r="DS281" i="1"/>
  <c r="DR281" i="1"/>
  <c r="DQ281" i="1"/>
  <c r="DP281" i="1"/>
  <c r="DN281" i="1"/>
  <c r="DO281" i="1" s="1"/>
  <c r="DH281" i="1"/>
  <c r="DC281" i="1"/>
  <c r="CP281" i="1"/>
  <c r="CV281" i="1" s="1"/>
  <c r="BX281" i="1"/>
  <c r="BZ281" i="1" s="1"/>
  <c r="CA281" i="1" s="1"/>
  <c r="BW281" i="1"/>
  <c r="BO281" i="1"/>
  <c r="BF281" i="1"/>
  <c r="BE281" i="1"/>
  <c r="BD281" i="1"/>
  <c r="BC281" i="1"/>
  <c r="BB281" i="1"/>
  <c r="BA281" i="1"/>
  <c r="AZ281" i="1"/>
  <c r="M281" i="1"/>
  <c r="ER270" i="1"/>
  <c r="EQ270" i="1"/>
  <c r="DY270" i="1"/>
  <c r="DS270" i="1"/>
  <c r="DR270" i="1"/>
  <c r="DQ270" i="1"/>
  <c r="DP270" i="1"/>
  <c r="DO270" i="1"/>
  <c r="DH270" i="1"/>
  <c r="CP270" i="1"/>
  <c r="CW270" i="1" s="1"/>
  <c r="BP270" i="1"/>
  <c r="BQ270" i="1" s="1"/>
  <c r="CA270" i="1" s="1"/>
  <c r="BF270" i="1"/>
  <c r="BE270" i="1"/>
  <c r="BD270" i="1"/>
  <c r="BC270" i="1"/>
  <c r="BB270" i="1"/>
  <c r="BA270" i="1"/>
  <c r="AZ270" i="1"/>
  <c r="M270" i="1"/>
  <c r="ER269" i="1"/>
  <c r="EQ269" i="1"/>
  <c r="DY269" i="1"/>
  <c r="DS269" i="1"/>
  <c r="DR269" i="1"/>
  <c r="DQ269" i="1"/>
  <c r="DP269" i="1"/>
  <c r="DO269" i="1"/>
  <c r="DH269" i="1"/>
  <c r="CP269" i="1"/>
  <c r="BP269" i="1"/>
  <c r="BQ269" i="1" s="1"/>
  <c r="CA269" i="1" s="1"/>
  <c r="BF269" i="1"/>
  <c r="BE269" i="1"/>
  <c r="BD269" i="1"/>
  <c r="BC269" i="1"/>
  <c r="BB269" i="1"/>
  <c r="BA269" i="1"/>
  <c r="AZ269" i="1"/>
  <c r="M269" i="1"/>
  <c r="ER268" i="1"/>
  <c r="EQ268" i="1"/>
  <c r="DY268" i="1"/>
  <c r="DS268" i="1"/>
  <c r="DR268" i="1"/>
  <c r="DQ268" i="1"/>
  <c r="DP268" i="1"/>
  <c r="DO268" i="1"/>
  <c r="DH268" i="1"/>
  <c r="CP268" i="1"/>
  <c r="BP268" i="1"/>
  <c r="BQ268" i="1" s="1"/>
  <c r="BF268" i="1"/>
  <c r="BE268" i="1"/>
  <c r="BD268" i="1"/>
  <c r="BC268" i="1"/>
  <c r="BB268" i="1"/>
  <c r="BA268" i="1"/>
  <c r="AZ268" i="1"/>
  <c r="M268" i="1"/>
  <c r="ER267" i="1"/>
  <c r="EQ267" i="1"/>
  <c r="DY267" i="1"/>
  <c r="DS267" i="1"/>
  <c r="DR267" i="1"/>
  <c r="DQ267" i="1"/>
  <c r="DP267" i="1"/>
  <c r="DO267" i="1"/>
  <c r="DH267" i="1"/>
  <c r="CP267" i="1"/>
  <c r="CU267" i="1" s="1"/>
  <c r="BP267" i="1"/>
  <c r="BQ267" i="1" s="1"/>
  <c r="CA267" i="1" s="1"/>
  <c r="BF267" i="1"/>
  <c r="BE267" i="1"/>
  <c r="BD267" i="1"/>
  <c r="BC267" i="1"/>
  <c r="BB267" i="1"/>
  <c r="BA267" i="1"/>
  <c r="AZ267" i="1"/>
  <c r="M267" i="1"/>
  <c r="ER265" i="1"/>
  <c r="EQ265" i="1"/>
  <c r="DY265" i="1"/>
  <c r="DS265" i="1"/>
  <c r="DR265" i="1"/>
  <c r="DQ265" i="1"/>
  <c r="DP265" i="1"/>
  <c r="DO265" i="1"/>
  <c r="DH265" i="1"/>
  <c r="DC265" i="1"/>
  <c r="CP265" i="1"/>
  <c r="CQ265" i="1" s="1"/>
  <c r="BP265" i="1"/>
  <c r="BQ265" i="1" s="1"/>
  <c r="BF265" i="1"/>
  <c r="BE265" i="1"/>
  <c r="BD265" i="1"/>
  <c r="BC265" i="1"/>
  <c r="BB265" i="1"/>
  <c r="BA265" i="1"/>
  <c r="AZ265" i="1"/>
  <c r="M265" i="1"/>
  <c r="ER266" i="1"/>
  <c r="EQ266" i="1"/>
  <c r="DY266" i="1"/>
  <c r="DS266" i="1"/>
  <c r="DR266" i="1"/>
  <c r="DQ266" i="1"/>
  <c r="DP266" i="1"/>
  <c r="DO266" i="1"/>
  <c r="DH266" i="1"/>
  <c r="DC266" i="1"/>
  <c r="CP266" i="1"/>
  <c r="CR266" i="1" s="1"/>
  <c r="BP266" i="1"/>
  <c r="BQ266" i="1" s="1"/>
  <c r="CA266" i="1" s="1"/>
  <c r="BF266" i="1"/>
  <c r="BE266" i="1"/>
  <c r="BD266" i="1"/>
  <c r="BC266" i="1"/>
  <c r="BB266" i="1"/>
  <c r="BA266" i="1"/>
  <c r="AZ266" i="1"/>
  <c r="M266" i="1"/>
  <c r="ER263" i="1"/>
  <c r="EQ263" i="1"/>
  <c r="DY263" i="1"/>
  <c r="DS263" i="1"/>
  <c r="DR263" i="1"/>
  <c r="DQ263" i="1"/>
  <c r="DP263" i="1"/>
  <c r="DO263" i="1"/>
  <c r="DH263" i="1"/>
  <c r="DC263" i="1"/>
  <c r="CP263" i="1"/>
  <c r="CQ263" i="1" s="1"/>
  <c r="BP263" i="1"/>
  <c r="BQ263" i="1" s="1"/>
  <c r="BF263" i="1"/>
  <c r="BE263" i="1"/>
  <c r="BD263" i="1"/>
  <c r="BC263" i="1"/>
  <c r="BB263" i="1"/>
  <c r="BA263" i="1"/>
  <c r="BG263" i="1" s="1" a="1"/>
  <c r="BG263" i="1" s="1"/>
  <c r="AZ263" i="1"/>
  <c r="M263" i="1"/>
  <c r="ER264" i="1"/>
  <c r="EQ264" i="1"/>
  <c r="DY264" i="1"/>
  <c r="DS264" i="1"/>
  <c r="DR264" i="1"/>
  <c r="DQ264" i="1"/>
  <c r="DP264" i="1"/>
  <c r="DO264" i="1"/>
  <c r="DH264" i="1"/>
  <c r="DC264" i="1"/>
  <c r="CP264" i="1"/>
  <c r="CU264" i="1" s="1"/>
  <c r="BP264" i="1"/>
  <c r="BQ264" i="1" s="1"/>
  <c r="CA264" i="1" s="1"/>
  <c r="BF264" i="1"/>
  <c r="BE264" i="1"/>
  <c r="BD264" i="1"/>
  <c r="BC264" i="1"/>
  <c r="BB264" i="1"/>
  <c r="BA264" i="1"/>
  <c r="BG264" i="1" s="1" a="1"/>
  <c r="BG264" i="1" s="1"/>
  <c r="AZ264" i="1"/>
  <c r="M264" i="1"/>
  <c r="ER262" i="1"/>
  <c r="EQ262" i="1"/>
  <c r="DY262" i="1"/>
  <c r="DS262" i="1"/>
  <c r="DR262" i="1"/>
  <c r="DQ262" i="1"/>
  <c r="DP262" i="1"/>
  <c r="DO262" i="1"/>
  <c r="DH262" i="1"/>
  <c r="DC262" i="1"/>
  <c r="CP262" i="1"/>
  <c r="CV262" i="1" s="1"/>
  <c r="CA262" i="1"/>
  <c r="BF262" i="1"/>
  <c r="BE262" i="1"/>
  <c r="BD262" i="1"/>
  <c r="BC262" i="1"/>
  <c r="BB262" i="1"/>
  <c r="BA262" i="1"/>
  <c r="BG262" i="1" s="1" a="1"/>
  <c r="BG262" i="1" s="1"/>
  <c r="AZ262" i="1"/>
  <c r="M262" i="1"/>
  <c r="ER259" i="1"/>
  <c r="EQ259" i="1"/>
  <c r="DZ259" i="1"/>
  <c r="DY259" i="1"/>
  <c r="DS259" i="1"/>
  <c r="DR259" i="1"/>
  <c r="DQ259" i="1"/>
  <c r="DP259" i="1"/>
  <c r="DN259" i="1"/>
  <c r="DO259" i="1" s="1"/>
  <c r="DG259" i="1"/>
  <c r="DH259" i="1" s="1"/>
  <c r="DC259" i="1"/>
  <c r="CP259" i="1"/>
  <c r="CV259" i="1" s="1"/>
  <c r="BZ259" i="1"/>
  <c r="CA259" i="1" s="1"/>
  <c r="BF259" i="1"/>
  <c r="BE259" i="1"/>
  <c r="BD259" i="1"/>
  <c r="BC259" i="1"/>
  <c r="BB259" i="1"/>
  <c r="BA259" i="1"/>
  <c r="BG259" i="1" s="1" a="1"/>
  <c r="BG259" i="1" s="1"/>
  <c r="AZ259" i="1"/>
  <c r="M259" i="1"/>
  <c r="ER260" i="1"/>
  <c r="EQ260" i="1"/>
  <c r="DZ260" i="1"/>
  <c r="DY260" i="1"/>
  <c r="DS260" i="1"/>
  <c r="DR260" i="1"/>
  <c r="DQ260" i="1"/>
  <c r="DP260" i="1"/>
  <c r="DN260" i="1"/>
  <c r="DO260" i="1" s="1"/>
  <c r="DG260" i="1"/>
  <c r="DH260" i="1" s="1"/>
  <c r="DC260" i="1"/>
  <c r="CP260" i="1"/>
  <c r="CV260" i="1" s="1"/>
  <c r="BZ260" i="1"/>
  <c r="CA260" i="1" s="1"/>
  <c r="BF260" i="1"/>
  <c r="BE260" i="1"/>
  <c r="BD260" i="1"/>
  <c r="BC260" i="1"/>
  <c r="BB260" i="1"/>
  <c r="BA260" i="1"/>
  <c r="BG260" i="1" s="1" a="1"/>
  <c r="BG260" i="1" s="1"/>
  <c r="AZ260" i="1"/>
  <c r="M260" i="1"/>
  <c r="ER258" i="1"/>
  <c r="EQ258" i="1"/>
  <c r="DZ258" i="1"/>
  <c r="DY258" i="1"/>
  <c r="DS258" i="1"/>
  <c r="DR258" i="1"/>
  <c r="DQ258" i="1"/>
  <c r="DP258" i="1"/>
  <c r="DN258" i="1"/>
  <c r="DO258" i="1" s="1"/>
  <c r="DG258" i="1"/>
  <c r="DH258" i="1" s="1"/>
  <c r="DC258" i="1"/>
  <c r="CP258" i="1"/>
  <c r="CV258" i="1" s="1"/>
  <c r="BX258" i="1"/>
  <c r="BZ258" i="1" s="1"/>
  <c r="CA258" i="1" s="1"/>
  <c r="BW258" i="1"/>
  <c r="BF258" i="1"/>
  <c r="BE258" i="1"/>
  <c r="BD258" i="1"/>
  <c r="BC258" i="1"/>
  <c r="BB258" i="1"/>
  <c r="BA258" i="1"/>
  <c r="BG258" i="1" s="1" a="1"/>
  <c r="BG258" i="1" s="1"/>
  <c r="AZ258" i="1"/>
  <c r="M258" i="1"/>
  <c r="ER257" i="1"/>
  <c r="EQ257" i="1"/>
  <c r="DZ257" i="1"/>
  <c r="DY257" i="1"/>
  <c r="DS257" i="1"/>
  <c r="DR257" i="1"/>
  <c r="DQ257" i="1"/>
  <c r="DP257" i="1"/>
  <c r="DN257" i="1"/>
  <c r="DO257" i="1" s="1"/>
  <c r="DG257" i="1"/>
  <c r="DH257" i="1" s="1"/>
  <c r="DC257" i="1"/>
  <c r="CP257" i="1"/>
  <c r="BX257" i="1"/>
  <c r="BZ257" i="1" s="1"/>
  <c r="CA257" i="1" s="1"/>
  <c r="BW257" i="1"/>
  <c r="BF257" i="1"/>
  <c r="BE257" i="1"/>
  <c r="BD257" i="1"/>
  <c r="BC257" i="1"/>
  <c r="BB257" i="1"/>
  <c r="BA257" i="1"/>
  <c r="BG257" i="1" s="1" a="1"/>
  <c r="BG257" i="1" s="1"/>
  <c r="AZ257" i="1"/>
  <c r="M257" i="1"/>
  <c r="ER246" i="1"/>
  <c r="EQ246" i="1"/>
  <c r="DZ246" i="1"/>
  <c r="DY246" i="1"/>
  <c r="DS246" i="1"/>
  <c r="DR246" i="1"/>
  <c r="DQ246" i="1"/>
  <c r="DP246" i="1"/>
  <c r="DN246" i="1"/>
  <c r="DO246" i="1" s="1"/>
  <c r="DH246" i="1"/>
  <c r="DC246" i="1"/>
  <c r="CP246" i="1"/>
  <c r="CA246" i="1"/>
  <c r="BF246" i="1"/>
  <c r="BE246" i="1"/>
  <c r="BD246" i="1"/>
  <c r="BC246" i="1"/>
  <c r="BB246" i="1"/>
  <c r="BA246" i="1"/>
  <c r="BG246" i="1" s="1" a="1"/>
  <c r="BG246" i="1" s="1"/>
  <c r="AZ246" i="1"/>
  <c r="M246" i="1"/>
  <c r="ER245" i="1"/>
  <c r="EQ245" i="1"/>
  <c r="DZ245" i="1"/>
  <c r="DY245" i="1"/>
  <c r="DS245" i="1"/>
  <c r="DR245" i="1"/>
  <c r="DQ245" i="1"/>
  <c r="DP245" i="1"/>
  <c r="DN245" i="1"/>
  <c r="DO245" i="1" s="1"/>
  <c r="DH245" i="1"/>
  <c r="DC245" i="1"/>
  <c r="CP245" i="1"/>
  <c r="CV245" i="1" s="1"/>
  <c r="CA245" i="1"/>
  <c r="BF245" i="1"/>
  <c r="BE245" i="1"/>
  <c r="BD245" i="1"/>
  <c r="BC245" i="1"/>
  <c r="BB245" i="1"/>
  <c r="BA245" i="1"/>
  <c r="BG245" i="1" s="1" a="1"/>
  <c r="BG245" i="1" s="1"/>
  <c r="AZ245" i="1"/>
  <c r="M245" i="1"/>
  <c r="ER244" i="1"/>
  <c r="EQ244" i="1"/>
  <c r="DZ244" i="1"/>
  <c r="DY244" i="1"/>
  <c r="DS244" i="1"/>
  <c r="DR244" i="1"/>
  <c r="DQ244" i="1"/>
  <c r="DP244" i="1"/>
  <c r="DN244" i="1"/>
  <c r="DO244" i="1" s="1"/>
  <c r="DH244" i="1"/>
  <c r="DC244" i="1"/>
  <c r="CP244" i="1"/>
  <c r="CA244" i="1"/>
  <c r="BF244" i="1"/>
  <c r="BE244" i="1"/>
  <c r="BD244" i="1"/>
  <c r="BC244" i="1"/>
  <c r="BB244" i="1"/>
  <c r="BA244" i="1"/>
  <c r="BG244" i="1" s="1" a="1"/>
  <c r="BG244" i="1" s="1"/>
  <c r="AZ244" i="1"/>
  <c r="M244" i="1"/>
  <c r="ER243" i="1"/>
  <c r="EQ243" i="1"/>
  <c r="DZ243" i="1"/>
  <c r="DY243" i="1"/>
  <c r="DS243" i="1"/>
  <c r="DR243" i="1"/>
  <c r="DQ243" i="1"/>
  <c r="DP243" i="1"/>
  <c r="DN243" i="1"/>
  <c r="DO243" i="1" s="1"/>
  <c r="DH243" i="1"/>
  <c r="DC243" i="1"/>
  <c r="CP243" i="1"/>
  <c r="CW243" i="1" s="1"/>
  <c r="CY243" i="1" s="1"/>
  <c r="FA243" i="1" s="1"/>
  <c r="CA243" i="1"/>
  <c r="BF243" i="1"/>
  <c r="BE243" i="1"/>
  <c r="BD243" i="1"/>
  <c r="BC243" i="1"/>
  <c r="BB243" i="1"/>
  <c r="BA243" i="1"/>
  <c r="BG243" i="1" s="1" a="1"/>
  <c r="BG243" i="1" s="1"/>
  <c r="AZ243" i="1"/>
  <c r="M243" i="1"/>
  <c r="ER249" i="1"/>
  <c r="EQ249" i="1"/>
  <c r="DZ249" i="1"/>
  <c r="DY249" i="1"/>
  <c r="DS249" i="1"/>
  <c r="DR249" i="1"/>
  <c r="DQ249" i="1"/>
  <c r="DP249" i="1"/>
  <c r="DN249" i="1"/>
  <c r="DO249" i="1" s="1"/>
  <c r="DH249" i="1"/>
  <c r="DC249" i="1"/>
  <c r="CP249" i="1"/>
  <c r="CV249" i="1" s="1"/>
  <c r="CA249" i="1"/>
  <c r="BF249" i="1"/>
  <c r="BE249" i="1"/>
  <c r="BD249" i="1"/>
  <c r="BC249" i="1"/>
  <c r="BB249" i="1"/>
  <c r="BA249" i="1"/>
  <c r="BG249" i="1" s="1" a="1"/>
  <c r="BG249" i="1" s="1"/>
  <c r="AZ249" i="1"/>
  <c r="M249" i="1"/>
  <c r="ER248" i="1"/>
  <c r="EQ248" i="1"/>
  <c r="DZ248" i="1"/>
  <c r="DY248" i="1"/>
  <c r="DS248" i="1"/>
  <c r="DR248" i="1"/>
  <c r="DQ248" i="1"/>
  <c r="DP248" i="1"/>
  <c r="DN248" i="1"/>
  <c r="DO248" i="1" s="1"/>
  <c r="DH248" i="1"/>
  <c r="DC248" i="1"/>
  <c r="CP248" i="1"/>
  <c r="CU248" i="1" s="1"/>
  <c r="CA248" i="1"/>
  <c r="BF248" i="1"/>
  <c r="BE248" i="1"/>
  <c r="BD248" i="1"/>
  <c r="BC248" i="1"/>
  <c r="BB248" i="1"/>
  <c r="BA248" i="1"/>
  <c r="BG248" i="1" s="1" a="1"/>
  <c r="BG248" i="1" s="1"/>
  <c r="AZ248" i="1"/>
  <c r="M248" i="1"/>
  <c r="ER247" i="1"/>
  <c r="EQ247" i="1"/>
  <c r="DZ247" i="1"/>
  <c r="DY247" i="1"/>
  <c r="DS247" i="1"/>
  <c r="DR247" i="1"/>
  <c r="DQ247" i="1"/>
  <c r="DP247" i="1"/>
  <c r="DN247" i="1"/>
  <c r="DO247" i="1" s="1"/>
  <c r="DH247" i="1"/>
  <c r="DC247" i="1"/>
  <c r="CP247" i="1"/>
  <c r="CV247" i="1" s="1"/>
  <c r="CA247" i="1"/>
  <c r="BF247" i="1"/>
  <c r="BE247" i="1"/>
  <c r="BD247" i="1"/>
  <c r="BC247" i="1"/>
  <c r="BB247" i="1"/>
  <c r="BA247" i="1"/>
  <c r="BG247" i="1" s="1" a="1"/>
  <c r="BG247" i="1" s="1"/>
  <c r="AZ247" i="1"/>
  <c r="M247" i="1"/>
  <c r="ER250" i="1"/>
  <c r="EQ250" i="1"/>
  <c r="DZ250" i="1"/>
  <c r="DY250" i="1"/>
  <c r="DS250" i="1"/>
  <c r="DR250" i="1"/>
  <c r="DQ250" i="1"/>
  <c r="DP250" i="1"/>
  <c r="DN250" i="1"/>
  <c r="DO250" i="1" s="1"/>
  <c r="DH250" i="1"/>
  <c r="DC250" i="1"/>
  <c r="CP250" i="1"/>
  <c r="CV250" i="1" s="1"/>
  <c r="CA250" i="1"/>
  <c r="BF250" i="1"/>
  <c r="BE250" i="1"/>
  <c r="BD250" i="1"/>
  <c r="BC250" i="1"/>
  <c r="BB250" i="1"/>
  <c r="BA250" i="1"/>
  <c r="BG250" i="1" s="1" a="1"/>
  <c r="BG250" i="1" s="1"/>
  <c r="AZ250" i="1"/>
  <c r="M250" i="1"/>
  <c r="ER242" i="1"/>
  <c r="EQ242" i="1"/>
  <c r="DZ242" i="1"/>
  <c r="DY242" i="1"/>
  <c r="DS242" i="1"/>
  <c r="DR242" i="1"/>
  <c r="DQ242" i="1"/>
  <c r="DP242" i="1"/>
  <c r="DN242" i="1"/>
  <c r="DO242" i="1" s="1"/>
  <c r="DH242" i="1"/>
  <c r="DC242" i="1"/>
  <c r="CP242" i="1"/>
  <c r="CV242" i="1" s="1"/>
  <c r="BX242" i="1"/>
  <c r="BZ242" i="1" s="1"/>
  <c r="CA242" i="1" s="1"/>
  <c r="BF242" i="1"/>
  <c r="BE242" i="1"/>
  <c r="BD242" i="1"/>
  <c r="BC242" i="1"/>
  <c r="BB242" i="1"/>
  <c r="BA242" i="1"/>
  <c r="BG242" i="1" s="1" a="1"/>
  <c r="BG242" i="1" s="1"/>
  <c r="AZ242" i="1"/>
  <c r="M242" i="1"/>
  <c r="ER241" i="1"/>
  <c r="EQ241" i="1"/>
  <c r="DZ241" i="1"/>
  <c r="DY241" i="1"/>
  <c r="DS241" i="1"/>
  <c r="DR241" i="1"/>
  <c r="DQ241" i="1"/>
  <c r="DP241" i="1"/>
  <c r="DN241" i="1"/>
  <c r="DO241" i="1" s="1"/>
  <c r="DH241" i="1"/>
  <c r="DC241" i="1"/>
  <c r="CP241" i="1"/>
  <c r="CV241" i="1" s="1"/>
  <c r="BX241" i="1"/>
  <c r="BZ241" i="1" s="1"/>
  <c r="CA241" i="1" s="1"/>
  <c r="BF241" i="1"/>
  <c r="BE241" i="1"/>
  <c r="BD241" i="1"/>
  <c r="BC241" i="1"/>
  <c r="BB241" i="1"/>
  <c r="BA241" i="1"/>
  <c r="BG241" i="1" s="1" a="1"/>
  <c r="BG241" i="1" s="1"/>
  <c r="AZ241" i="1"/>
  <c r="M241" i="1"/>
  <c r="ER238" i="1"/>
  <c r="EQ238" i="1"/>
  <c r="DZ238" i="1"/>
  <c r="DS238" i="1"/>
  <c r="DR238" i="1"/>
  <c r="DQ238" i="1"/>
  <c r="DP238" i="1"/>
  <c r="DN238" i="1"/>
  <c r="DO238" i="1" s="1"/>
  <c r="DH238" i="1"/>
  <c r="DC238" i="1"/>
  <c r="CP238" i="1"/>
  <c r="CU238" i="1" s="1"/>
  <c r="BX238" i="1"/>
  <c r="BZ238" i="1" s="1"/>
  <c r="CA238" i="1" s="1"/>
  <c r="BW238" i="1"/>
  <c r="BO238" i="1"/>
  <c r="BF238" i="1"/>
  <c r="BE238" i="1"/>
  <c r="BD238" i="1"/>
  <c r="BC238" i="1"/>
  <c r="BB238" i="1"/>
  <c r="BA238" i="1"/>
  <c r="BG238" i="1" s="1" a="1"/>
  <c r="BG238" i="1" s="1"/>
  <c r="AZ238" i="1"/>
  <c r="M238" i="1"/>
  <c r="ER239" i="1"/>
  <c r="EQ239" i="1"/>
  <c r="DZ239" i="1"/>
  <c r="DS239" i="1"/>
  <c r="DR239" i="1"/>
  <c r="DQ239" i="1"/>
  <c r="DP239" i="1"/>
  <c r="DN239" i="1"/>
  <c r="DO239" i="1" s="1"/>
  <c r="DH239" i="1"/>
  <c r="DC239" i="1"/>
  <c r="CP239" i="1"/>
  <c r="BX239" i="1"/>
  <c r="BZ239" i="1" s="1"/>
  <c r="BW239" i="1"/>
  <c r="BO239" i="1"/>
  <c r="BF239" i="1"/>
  <c r="BE239" i="1"/>
  <c r="BD239" i="1"/>
  <c r="BC239" i="1"/>
  <c r="BB239" i="1"/>
  <c r="BA239" i="1"/>
  <c r="BG239" i="1" s="1" a="1"/>
  <c r="BG239" i="1" s="1"/>
  <c r="AZ239" i="1"/>
  <c r="M239" i="1"/>
  <c r="ER240" i="1"/>
  <c r="EQ240" i="1"/>
  <c r="DZ240" i="1"/>
  <c r="DS240" i="1"/>
  <c r="DR240" i="1"/>
  <c r="DQ240" i="1"/>
  <c r="DP240" i="1"/>
  <c r="DN240" i="1"/>
  <c r="DO240" i="1" s="1"/>
  <c r="DH240" i="1"/>
  <c r="DC240" i="1"/>
  <c r="CP240" i="1"/>
  <c r="CU240" i="1" s="1"/>
  <c r="BX240" i="1"/>
  <c r="BZ240" i="1" s="1"/>
  <c r="CA240" i="1" s="1"/>
  <c r="BW240" i="1"/>
  <c r="BO240" i="1"/>
  <c r="BF240" i="1"/>
  <c r="BE240" i="1"/>
  <c r="BD240" i="1"/>
  <c r="BC240" i="1"/>
  <c r="BB240" i="1"/>
  <c r="BA240" i="1"/>
  <c r="BG240" i="1" s="1" a="1"/>
  <c r="BG240" i="1" s="1"/>
  <c r="AZ240" i="1"/>
  <c r="M240" i="1"/>
  <c r="ER237" i="1"/>
  <c r="EQ237" i="1"/>
  <c r="DZ237" i="1"/>
  <c r="DY237" i="1"/>
  <c r="DS237" i="1"/>
  <c r="DR237" i="1"/>
  <c r="DQ237" i="1"/>
  <c r="DP237" i="1"/>
  <c r="DN237" i="1"/>
  <c r="DO237" i="1" s="1"/>
  <c r="DH237" i="1"/>
  <c r="DC237" i="1"/>
  <c r="CP237" i="1"/>
  <c r="CA237" i="1"/>
  <c r="EY237" i="1" s="1"/>
  <c r="BX237" i="1"/>
  <c r="BF237" i="1"/>
  <c r="BE237" i="1"/>
  <c r="BD237" i="1"/>
  <c r="BC237" i="1"/>
  <c r="BB237" i="1"/>
  <c r="BA237" i="1"/>
  <c r="AZ237" i="1"/>
  <c r="M237" i="1"/>
  <c r="ER235" i="1"/>
  <c r="EQ235" i="1"/>
  <c r="DZ235" i="1"/>
  <c r="DY235" i="1"/>
  <c r="DS235" i="1"/>
  <c r="DR235" i="1"/>
  <c r="DQ235" i="1"/>
  <c r="DP235" i="1"/>
  <c r="DN235" i="1"/>
  <c r="DO235" i="1" s="1"/>
  <c r="DH235" i="1"/>
  <c r="DC235" i="1"/>
  <c r="CP235" i="1"/>
  <c r="CU235" i="1" s="1"/>
  <c r="CA235" i="1"/>
  <c r="EY235" i="1" s="1"/>
  <c r="BX235" i="1"/>
  <c r="BF235" i="1"/>
  <c r="BE235" i="1"/>
  <c r="BD235" i="1"/>
  <c r="BC235" i="1"/>
  <c r="BB235" i="1"/>
  <c r="BA235" i="1"/>
  <c r="AZ235" i="1"/>
  <c r="M235" i="1"/>
  <c r="ER236" i="1"/>
  <c r="EQ236" i="1"/>
  <c r="DZ236" i="1"/>
  <c r="DY236" i="1"/>
  <c r="DS236" i="1"/>
  <c r="DR236" i="1"/>
  <c r="DQ236" i="1"/>
  <c r="DP236" i="1"/>
  <c r="DN236" i="1"/>
  <c r="DO236" i="1" s="1"/>
  <c r="DH236" i="1"/>
  <c r="DC236" i="1"/>
  <c r="CP236" i="1"/>
  <c r="CU236" i="1" s="1"/>
  <c r="CA236" i="1"/>
  <c r="EY236" i="1" s="1"/>
  <c r="BX236" i="1"/>
  <c r="BO236" i="1"/>
  <c r="BF236" i="1"/>
  <c r="BE236" i="1"/>
  <c r="BD236" i="1"/>
  <c r="BC236" i="1"/>
  <c r="BB236" i="1"/>
  <c r="BA236" i="1"/>
  <c r="AZ236" i="1"/>
  <c r="M236" i="1"/>
  <c r="ER234" i="1"/>
  <c r="EQ234" i="1"/>
  <c r="DZ234" i="1"/>
  <c r="DY234" i="1"/>
  <c r="DS234" i="1"/>
  <c r="DR234" i="1"/>
  <c r="DQ234" i="1"/>
  <c r="DP234" i="1"/>
  <c r="DN234" i="1"/>
  <c r="DO234" i="1" s="1"/>
  <c r="DH234" i="1"/>
  <c r="DC234" i="1"/>
  <c r="CP234" i="1"/>
  <c r="BZ234" i="1"/>
  <c r="CA234" i="1" s="1"/>
  <c r="BF234" i="1"/>
  <c r="BE234" i="1"/>
  <c r="BD234" i="1"/>
  <c r="BC234" i="1"/>
  <c r="BB234" i="1"/>
  <c r="BA234" i="1"/>
  <c r="BG234" i="1" s="1" a="1"/>
  <c r="BG234" i="1" s="1"/>
  <c r="AZ234" i="1"/>
  <c r="M234" i="1"/>
  <c r="ER233" i="1"/>
  <c r="EQ233" i="1"/>
  <c r="DZ233" i="1"/>
  <c r="DY233" i="1"/>
  <c r="DS233" i="1"/>
  <c r="DR233" i="1"/>
  <c r="DQ233" i="1"/>
  <c r="DP233" i="1"/>
  <c r="DN233" i="1"/>
  <c r="DO233" i="1" s="1"/>
  <c r="DH233" i="1"/>
  <c r="DC233" i="1"/>
  <c r="CP233" i="1"/>
  <c r="BZ233" i="1"/>
  <c r="CA233" i="1" s="1"/>
  <c r="BF233" i="1"/>
  <c r="BE233" i="1"/>
  <c r="BD233" i="1"/>
  <c r="BC233" i="1"/>
  <c r="BB233" i="1"/>
  <c r="BA233" i="1"/>
  <c r="BG233" i="1" s="1" a="1"/>
  <c r="BG233" i="1" s="1"/>
  <c r="AZ233" i="1"/>
  <c r="M233" i="1"/>
  <c r="ER232" i="1"/>
  <c r="EQ232" i="1"/>
  <c r="DZ232" i="1"/>
  <c r="DY232" i="1"/>
  <c r="DS232" i="1"/>
  <c r="DR232" i="1"/>
  <c r="DQ232" i="1"/>
  <c r="DP232" i="1"/>
  <c r="DN232" i="1"/>
  <c r="DO232" i="1" s="1"/>
  <c r="DG232" i="1"/>
  <c r="DH232" i="1" s="1"/>
  <c r="DC232" i="1"/>
  <c r="CP232" i="1"/>
  <c r="CQ232" i="1" s="1"/>
  <c r="BX232" i="1"/>
  <c r="BZ232" i="1" s="1"/>
  <c r="CA232" i="1" s="1"/>
  <c r="BW232" i="1"/>
  <c r="BF232" i="1"/>
  <c r="BE232" i="1"/>
  <c r="BD232" i="1"/>
  <c r="BC232" i="1"/>
  <c r="BB232" i="1"/>
  <c r="BA232" i="1"/>
  <c r="BG232" i="1" s="1" a="1"/>
  <c r="BG232" i="1" s="1"/>
  <c r="AZ232" i="1"/>
  <c r="M232" i="1"/>
  <c r="ER230" i="1"/>
  <c r="EQ230" i="1"/>
  <c r="DZ230" i="1"/>
  <c r="DY230" i="1"/>
  <c r="DS230" i="1"/>
  <c r="DR230" i="1"/>
  <c r="DQ230" i="1"/>
  <c r="DP230" i="1"/>
  <c r="DN230" i="1"/>
  <c r="DO230" i="1" s="1"/>
  <c r="DH230" i="1"/>
  <c r="DC230" i="1"/>
  <c r="CP230" i="1"/>
  <c r="BP230" i="1"/>
  <c r="BQ230" i="1" s="1"/>
  <c r="CA230" i="1" s="1"/>
  <c r="EY230" i="1" s="1"/>
  <c r="BF230" i="1"/>
  <c r="BE230" i="1"/>
  <c r="BD230" i="1"/>
  <c r="BC230" i="1"/>
  <c r="BB230" i="1"/>
  <c r="BA230" i="1"/>
  <c r="BG230" i="1" s="1" a="1"/>
  <c r="BG230" i="1" s="1"/>
  <c r="AZ230" i="1"/>
  <c r="M230" i="1"/>
  <c r="ER231" i="1"/>
  <c r="EQ231" i="1"/>
  <c r="DZ231" i="1"/>
  <c r="DY231" i="1"/>
  <c r="DS231" i="1"/>
  <c r="DR231" i="1"/>
  <c r="DQ231" i="1"/>
  <c r="DP231" i="1"/>
  <c r="DN231" i="1"/>
  <c r="DO231" i="1" s="1"/>
  <c r="DH231" i="1"/>
  <c r="DC231" i="1"/>
  <c r="CP231" i="1"/>
  <c r="CW231" i="1" s="1"/>
  <c r="BP231" i="1"/>
  <c r="BQ231" i="1" s="1"/>
  <c r="CA231" i="1" s="1"/>
  <c r="EY231" i="1" s="1"/>
  <c r="BF231" i="1"/>
  <c r="BE231" i="1"/>
  <c r="BD231" i="1"/>
  <c r="BC231" i="1"/>
  <c r="BB231" i="1"/>
  <c r="BA231" i="1"/>
  <c r="BG231" i="1" s="1" a="1"/>
  <c r="BG231" i="1" s="1"/>
  <c r="AZ231" i="1"/>
  <c r="M231" i="1"/>
  <c r="ER227" i="1"/>
  <c r="EQ227" i="1"/>
  <c r="DZ227" i="1"/>
  <c r="DY227" i="1"/>
  <c r="DS227" i="1"/>
  <c r="DR227" i="1"/>
  <c r="DQ227" i="1"/>
  <c r="DP227" i="1"/>
  <c r="DN227" i="1"/>
  <c r="DO227" i="1" s="1"/>
  <c r="DH227" i="1"/>
  <c r="DC227" i="1"/>
  <c r="CP227" i="1"/>
  <c r="CQ227" i="1" s="1"/>
  <c r="BP227" i="1"/>
  <c r="BQ227" i="1" s="1"/>
  <c r="CA227" i="1" s="1"/>
  <c r="EY227" i="1" s="1"/>
  <c r="BF227" i="1"/>
  <c r="BE227" i="1"/>
  <c r="BD227" i="1"/>
  <c r="BC227" i="1"/>
  <c r="BB227" i="1"/>
  <c r="BA227" i="1"/>
  <c r="BG227" i="1" s="1" a="1"/>
  <c r="BG227" i="1" s="1"/>
  <c r="AZ227" i="1"/>
  <c r="M227" i="1"/>
  <c r="ER229" i="1"/>
  <c r="EQ229" i="1"/>
  <c r="DZ229" i="1"/>
  <c r="DY229" i="1"/>
  <c r="DS229" i="1"/>
  <c r="DR229" i="1"/>
  <c r="DQ229" i="1"/>
  <c r="DP229" i="1"/>
  <c r="DN229" i="1"/>
  <c r="DO229" i="1" s="1"/>
  <c r="DH229" i="1"/>
  <c r="DC229" i="1"/>
  <c r="CP229" i="1"/>
  <c r="CW229" i="1" s="1"/>
  <c r="BP229" i="1"/>
  <c r="BQ229" i="1" s="1"/>
  <c r="BF229" i="1"/>
  <c r="BE229" i="1"/>
  <c r="BD229" i="1"/>
  <c r="BC229" i="1"/>
  <c r="BB229" i="1"/>
  <c r="BA229" i="1"/>
  <c r="BG229" i="1" s="1" a="1"/>
  <c r="BG229" i="1" s="1"/>
  <c r="AZ229" i="1"/>
  <c r="M229" i="1"/>
  <c r="ER225" i="1"/>
  <c r="EQ225" i="1"/>
  <c r="DZ225" i="1"/>
  <c r="DY225" i="1"/>
  <c r="DS225" i="1"/>
  <c r="DR225" i="1"/>
  <c r="DQ225" i="1"/>
  <c r="DP225" i="1"/>
  <c r="DN225" i="1"/>
  <c r="DO225" i="1" s="1"/>
  <c r="DH225" i="1"/>
  <c r="DC225" i="1"/>
  <c r="CP225" i="1"/>
  <c r="CV225" i="1" s="1"/>
  <c r="BX225" i="1"/>
  <c r="BZ225" i="1" s="1"/>
  <c r="BW225" i="1"/>
  <c r="BF225" i="1"/>
  <c r="BE225" i="1"/>
  <c r="BD225" i="1"/>
  <c r="BC225" i="1"/>
  <c r="BB225" i="1"/>
  <c r="BA225" i="1"/>
  <c r="BG225" i="1" s="1" a="1"/>
  <c r="BG225" i="1" s="1"/>
  <c r="AZ225" i="1"/>
  <c r="M225" i="1"/>
  <c r="ER226" i="1"/>
  <c r="EQ226" i="1"/>
  <c r="DZ226" i="1"/>
  <c r="DY226" i="1"/>
  <c r="DS226" i="1"/>
  <c r="DR226" i="1"/>
  <c r="DQ226" i="1"/>
  <c r="DP226" i="1"/>
  <c r="DN226" i="1"/>
  <c r="DO226" i="1" s="1"/>
  <c r="DH226" i="1"/>
  <c r="DC226" i="1"/>
  <c r="CP226" i="1"/>
  <c r="BX226" i="1"/>
  <c r="BZ226" i="1" s="1"/>
  <c r="CA226" i="1" s="1"/>
  <c r="BW226" i="1"/>
  <c r="BF226" i="1"/>
  <c r="BE226" i="1"/>
  <c r="BD226" i="1"/>
  <c r="BC226" i="1"/>
  <c r="BB226" i="1"/>
  <c r="BA226" i="1"/>
  <c r="BG226" i="1" s="1" a="1"/>
  <c r="BG226" i="1" s="1"/>
  <c r="AZ226" i="1"/>
  <c r="M226" i="1"/>
  <c r="ER224" i="1"/>
  <c r="EQ224" i="1"/>
  <c r="DZ224" i="1"/>
  <c r="DY224" i="1"/>
  <c r="DS224" i="1"/>
  <c r="DR224" i="1"/>
  <c r="DQ224" i="1"/>
  <c r="DP224" i="1"/>
  <c r="DN224" i="1"/>
  <c r="DO224" i="1" s="1"/>
  <c r="DH224" i="1"/>
  <c r="DC224" i="1"/>
  <c r="CP224" i="1"/>
  <c r="CV224" i="1" s="1"/>
  <c r="BZ224" i="1"/>
  <c r="BW224" i="1"/>
  <c r="BF224" i="1"/>
  <c r="BE224" i="1"/>
  <c r="BD224" i="1"/>
  <c r="BC224" i="1"/>
  <c r="BB224" i="1"/>
  <c r="BA224" i="1"/>
  <c r="AZ224" i="1"/>
  <c r="M224" i="1"/>
  <c r="ER223" i="1"/>
  <c r="EQ223" i="1"/>
  <c r="DZ223" i="1"/>
  <c r="DY223" i="1"/>
  <c r="DS223" i="1"/>
  <c r="DR223" i="1"/>
  <c r="DQ223" i="1"/>
  <c r="DP223" i="1"/>
  <c r="DN223" i="1"/>
  <c r="DO223" i="1" s="1"/>
  <c r="DH223" i="1"/>
  <c r="DC223" i="1"/>
  <c r="CP223" i="1"/>
  <c r="BZ223" i="1"/>
  <c r="CA223" i="1" s="1"/>
  <c r="BW223" i="1"/>
  <c r="BF223" i="1"/>
  <c r="BE223" i="1"/>
  <c r="BD223" i="1"/>
  <c r="BC223" i="1"/>
  <c r="BB223" i="1"/>
  <c r="BA223" i="1"/>
  <c r="AZ223" i="1"/>
  <c r="M223" i="1"/>
  <c r="ER222" i="1"/>
  <c r="EQ222" i="1"/>
  <c r="DZ222" i="1"/>
  <c r="DY222" i="1"/>
  <c r="DS222" i="1"/>
  <c r="DR222" i="1"/>
  <c r="DQ222" i="1"/>
  <c r="DP222" i="1"/>
  <c r="DN222" i="1"/>
  <c r="DO222" i="1" s="1"/>
  <c r="DH222" i="1"/>
  <c r="DC222" i="1"/>
  <c r="CP222" i="1"/>
  <c r="CU222" i="1" s="1"/>
  <c r="BX222" i="1"/>
  <c r="BZ222" i="1" s="1"/>
  <c r="CA222" i="1" s="1"/>
  <c r="BW222" i="1"/>
  <c r="BF222" i="1"/>
  <c r="BE222" i="1"/>
  <c r="BD222" i="1"/>
  <c r="BC222" i="1"/>
  <c r="BB222" i="1"/>
  <c r="BA222" i="1"/>
  <c r="AZ222" i="1"/>
  <c r="M222" i="1"/>
  <c r="ER221" i="1"/>
  <c r="EQ221" i="1"/>
  <c r="DZ221" i="1"/>
  <c r="DY221" i="1"/>
  <c r="DS221" i="1"/>
  <c r="DR221" i="1"/>
  <c r="DQ221" i="1"/>
  <c r="DP221" i="1"/>
  <c r="DN221" i="1"/>
  <c r="DO221" i="1" s="1"/>
  <c r="DH221" i="1"/>
  <c r="DC221" i="1"/>
  <c r="CP221" i="1"/>
  <c r="BX221" i="1"/>
  <c r="BZ221" i="1" s="1"/>
  <c r="CA221" i="1" s="1"/>
  <c r="BW221" i="1"/>
  <c r="BF221" i="1"/>
  <c r="BE221" i="1"/>
  <c r="BD221" i="1"/>
  <c r="BC221" i="1"/>
  <c r="BB221" i="1"/>
  <c r="BA221" i="1"/>
  <c r="AZ221" i="1"/>
  <c r="M221" i="1"/>
  <c r="ER220" i="1"/>
  <c r="EQ220" i="1"/>
  <c r="DZ220" i="1"/>
  <c r="DY220" i="1"/>
  <c r="DS220" i="1"/>
  <c r="DR220" i="1"/>
  <c r="DQ220" i="1"/>
  <c r="DP220" i="1"/>
  <c r="DN220" i="1"/>
  <c r="DO220" i="1" s="1"/>
  <c r="DH220" i="1"/>
  <c r="DC220" i="1"/>
  <c r="CP220" i="1"/>
  <c r="CU220" i="1" s="1"/>
  <c r="BX220" i="1"/>
  <c r="BZ220" i="1" s="1"/>
  <c r="CA220" i="1" s="1"/>
  <c r="BW220" i="1"/>
  <c r="BF220" i="1"/>
  <c r="BE220" i="1"/>
  <c r="BD220" i="1"/>
  <c r="BC220" i="1"/>
  <c r="BB220" i="1"/>
  <c r="BA220" i="1"/>
  <c r="AZ220" i="1"/>
  <c r="M220" i="1"/>
  <c r="ER219" i="1"/>
  <c r="EQ219" i="1"/>
  <c r="DZ219" i="1"/>
  <c r="DY219" i="1"/>
  <c r="DS219" i="1"/>
  <c r="DR219" i="1"/>
  <c r="DQ219" i="1"/>
  <c r="DP219" i="1"/>
  <c r="DN219" i="1"/>
  <c r="DO219" i="1" s="1"/>
  <c r="DH219" i="1"/>
  <c r="DC219" i="1"/>
  <c r="CP219" i="1"/>
  <c r="BX219" i="1"/>
  <c r="BZ219" i="1" s="1"/>
  <c r="CA219" i="1" s="1"/>
  <c r="BW219" i="1"/>
  <c r="BF219" i="1"/>
  <c r="BE219" i="1"/>
  <c r="BD219" i="1"/>
  <c r="BC219" i="1"/>
  <c r="BB219" i="1"/>
  <c r="BA219" i="1"/>
  <c r="AZ219" i="1"/>
  <c r="M219" i="1"/>
  <c r="ER207" i="1"/>
  <c r="EQ207" i="1"/>
  <c r="DZ207" i="1"/>
  <c r="DY207" i="1"/>
  <c r="DS207" i="1"/>
  <c r="DR207" i="1"/>
  <c r="DQ207" i="1"/>
  <c r="DP207" i="1"/>
  <c r="DN207" i="1"/>
  <c r="DO207" i="1" s="1"/>
  <c r="DH207" i="1"/>
  <c r="DC207" i="1"/>
  <c r="CP207" i="1"/>
  <c r="CR207" i="1" s="1"/>
  <c r="BX207" i="1"/>
  <c r="BZ207" i="1" s="1"/>
  <c r="BW207" i="1"/>
  <c r="BP207" i="1"/>
  <c r="BQ207" i="1" s="1"/>
  <c r="BO207" i="1"/>
  <c r="BF207" i="1"/>
  <c r="BE207" i="1"/>
  <c r="BD207" i="1"/>
  <c r="BC207" i="1"/>
  <c r="BB207" i="1"/>
  <c r="BA207" i="1"/>
  <c r="BG207" i="1" s="1" a="1"/>
  <c r="BG207" i="1" s="1"/>
  <c r="AZ207" i="1"/>
  <c r="M207" i="1"/>
  <c r="ER208" i="1"/>
  <c r="EQ208" i="1"/>
  <c r="DZ208" i="1"/>
  <c r="DY208" i="1"/>
  <c r="DS208" i="1"/>
  <c r="DR208" i="1"/>
  <c r="DQ208" i="1"/>
  <c r="DP208" i="1"/>
  <c r="DN208" i="1"/>
  <c r="DO208" i="1" s="1"/>
  <c r="DH208" i="1"/>
  <c r="DC208" i="1"/>
  <c r="CP208" i="1"/>
  <c r="CV208" i="1" s="1"/>
  <c r="BX208" i="1"/>
  <c r="BZ208" i="1" s="1"/>
  <c r="BW208" i="1"/>
  <c r="BF208" i="1"/>
  <c r="BE208" i="1"/>
  <c r="BD208" i="1"/>
  <c r="BC208" i="1"/>
  <c r="BB208" i="1"/>
  <c r="BA208" i="1"/>
  <c r="BG208" i="1" s="1" a="1"/>
  <c r="BG208" i="1" s="1"/>
  <c r="AZ208" i="1"/>
  <c r="M208" i="1"/>
  <c r="ER213" i="1"/>
  <c r="EQ213" i="1"/>
  <c r="DZ213" i="1"/>
  <c r="DY213" i="1"/>
  <c r="DS213" i="1"/>
  <c r="DR213" i="1"/>
  <c r="DQ213" i="1"/>
  <c r="DP213" i="1"/>
  <c r="DN213" i="1"/>
  <c r="DO213" i="1" s="1"/>
  <c r="DH213" i="1"/>
  <c r="DC213" i="1"/>
  <c r="CP213" i="1"/>
  <c r="BX213" i="1"/>
  <c r="BZ213" i="1" s="1"/>
  <c r="CA213" i="1" s="1"/>
  <c r="BW213" i="1"/>
  <c r="BF213" i="1"/>
  <c r="BE213" i="1"/>
  <c r="BD213" i="1"/>
  <c r="BC213" i="1"/>
  <c r="BB213" i="1"/>
  <c r="BA213" i="1"/>
  <c r="BG213" i="1" s="1" a="1"/>
  <c r="BG213" i="1" s="1"/>
  <c r="AZ213" i="1"/>
  <c r="M213" i="1"/>
  <c r="ER214" i="1"/>
  <c r="EQ214" i="1"/>
  <c r="DZ214" i="1"/>
  <c r="DY214" i="1"/>
  <c r="DS214" i="1"/>
  <c r="DR214" i="1"/>
  <c r="DQ214" i="1"/>
  <c r="DP214" i="1"/>
  <c r="DN214" i="1"/>
  <c r="DO214" i="1" s="1"/>
  <c r="DH214" i="1"/>
  <c r="DC214" i="1"/>
  <c r="CP214" i="1"/>
  <c r="CV214" i="1" s="1"/>
  <c r="BX214" i="1"/>
  <c r="BZ214" i="1" s="1"/>
  <c r="BW214" i="1"/>
  <c r="BF214" i="1"/>
  <c r="BE214" i="1"/>
  <c r="BD214" i="1"/>
  <c r="BC214" i="1"/>
  <c r="BB214" i="1"/>
  <c r="BA214" i="1"/>
  <c r="BG214" i="1" s="1" a="1"/>
  <c r="BG214" i="1" s="1"/>
  <c r="AZ214" i="1"/>
  <c r="M214" i="1"/>
  <c r="ER217" i="1"/>
  <c r="EQ217" i="1"/>
  <c r="DZ217" i="1"/>
  <c r="DY217" i="1"/>
  <c r="DS217" i="1"/>
  <c r="DR217" i="1"/>
  <c r="DQ217" i="1"/>
  <c r="DP217" i="1"/>
  <c r="DN217" i="1"/>
  <c r="DO217" i="1" s="1"/>
  <c r="DH217" i="1"/>
  <c r="DC217" i="1"/>
  <c r="CP217" i="1"/>
  <c r="BX217" i="1"/>
  <c r="BZ217" i="1" s="1"/>
  <c r="CA217" i="1" s="1"/>
  <c r="BW217" i="1"/>
  <c r="BF217" i="1"/>
  <c r="BE217" i="1"/>
  <c r="BD217" i="1"/>
  <c r="BC217" i="1"/>
  <c r="BB217" i="1"/>
  <c r="BA217" i="1"/>
  <c r="BG217" i="1" s="1" a="1"/>
  <c r="BG217" i="1" s="1"/>
  <c r="AZ217" i="1"/>
  <c r="M217" i="1"/>
  <c r="ER218" i="1"/>
  <c r="EQ218" i="1"/>
  <c r="DZ218" i="1"/>
  <c r="DY218" i="1"/>
  <c r="DS218" i="1"/>
  <c r="DR218" i="1"/>
  <c r="DQ218" i="1"/>
  <c r="DP218" i="1"/>
  <c r="DN218" i="1"/>
  <c r="DO218" i="1" s="1"/>
  <c r="DH218" i="1"/>
  <c r="DC218" i="1"/>
  <c r="CP218" i="1"/>
  <c r="CV218" i="1" s="1"/>
  <c r="BX218" i="1"/>
  <c r="BZ218" i="1" s="1"/>
  <c r="BW218" i="1"/>
  <c r="BF218" i="1"/>
  <c r="BE218" i="1"/>
  <c r="BD218" i="1"/>
  <c r="BC218" i="1"/>
  <c r="BB218" i="1"/>
  <c r="BA218" i="1"/>
  <c r="BG218" i="1" s="1" a="1"/>
  <c r="BG218" i="1" s="1"/>
  <c r="AZ218" i="1"/>
  <c r="M218" i="1"/>
  <c r="ER209" i="1"/>
  <c r="EQ209" i="1"/>
  <c r="DZ209" i="1"/>
  <c r="DY209" i="1"/>
  <c r="DS209" i="1"/>
  <c r="DR209" i="1"/>
  <c r="DQ209" i="1"/>
  <c r="DP209" i="1"/>
  <c r="DN209" i="1"/>
  <c r="DO209" i="1" s="1"/>
  <c r="DH209" i="1"/>
  <c r="DC209" i="1"/>
  <c r="CP209" i="1"/>
  <c r="BX209" i="1"/>
  <c r="BZ209" i="1" s="1"/>
  <c r="CA209" i="1" s="1"/>
  <c r="BW209" i="1"/>
  <c r="BF209" i="1"/>
  <c r="BE209" i="1"/>
  <c r="BD209" i="1"/>
  <c r="BC209" i="1"/>
  <c r="BB209" i="1"/>
  <c r="BA209" i="1"/>
  <c r="BG209" i="1" s="1" a="1"/>
  <c r="BG209" i="1" s="1"/>
  <c r="AZ209" i="1"/>
  <c r="M209" i="1"/>
  <c r="ER210" i="1"/>
  <c r="EQ210" i="1"/>
  <c r="DZ210" i="1"/>
  <c r="DY210" i="1"/>
  <c r="DS210" i="1"/>
  <c r="DR210" i="1"/>
  <c r="DQ210" i="1"/>
  <c r="DP210" i="1"/>
  <c r="DN210" i="1"/>
  <c r="DO210" i="1" s="1"/>
  <c r="DH210" i="1"/>
  <c r="DC210" i="1"/>
  <c r="CP210" i="1"/>
  <c r="CV210" i="1" s="1"/>
  <c r="BX210" i="1"/>
  <c r="BZ210" i="1" s="1"/>
  <c r="BW210" i="1"/>
  <c r="BF210" i="1"/>
  <c r="BE210" i="1"/>
  <c r="BD210" i="1"/>
  <c r="BC210" i="1"/>
  <c r="BB210" i="1"/>
  <c r="BA210" i="1"/>
  <c r="BG210" i="1" s="1" a="1"/>
  <c r="BG210" i="1" s="1"/>
  <c r="AZ210" i="1"/>
  <c r="M210" i="1"/>
  <c r="ER211" i="1"/>
  <c r="EQ211" i="1"/>
  <c r="DZ211" i="1"/>
  <c r="DY211" i="1"/>
  <c r="DS211" i="1"/>
  <c r="DR211" i="1"/>
  <c r="DQ211" i="1"/>
  <c r="DP211" i="1"/>
  <c r="DN211" i="1"/>
  <c r="DO211" i="1" s="1"/>
  <c r="DH211" i="1"/>
  <c r="DC211" i="1"/>
  <c r="CP211" i="1"/>
  <c r="CU211" i="1" s="1"/>
  <c r="BX211" i="1"/>
  <c r="BZ211" i="1" s="1"/>
  <c r="CA211" i="1" s="1"/>
  <c r="BW211" i="1"/>
  <c r="BF211" i="1"/>
  <c r="BE211" i="1"/>
  <c r="BD211" i="1"/>
  <c r="BC211" i="1"/>
  <c r="BB211" i="1"/>
  <c r="BA211" i="1"/>
  <c r="BG211" i="1" s="1" a="1"/>
  <c r="BG211" i="1" s="1"/>
  <c r="AZ211" i="1"/>
  <c r="M211" i="1"/>
  <c r="ER212" i="1"/>
  <c r="EQ212" i="1"/>
  <c r="DZ212" i="1"/>
  <c r="DY212" i="1"/>
  <c r="DS212" i="1"/>
  <c r="DR212" i="1"/>
  <c r="DQ212" i="1"/>
  <c r="DP212" i="1"/>
  <c r="DN212" i="1"/>
  <c r="DO212" i="1" s="1"/>
  <c r="DH212" i="1"/>
  <c r="DC212" i="1"/>
  <c r="CP212" i="1"/>
  <c r="BX212" i="1"/>
  <c r="BZ212" i="1" s="1"/>
  <c r="CA212" i="1" s="1"/>
  <c r="BW212" i="1"/>
  <c r="BF212" i="1"/>
  <c r="BE212" i="1"/>
  <c r="BD212" i="1"/>
  <c r="BC212" i="1"/>
  <c r="BB212" i="1"/>
  <c r="BA212" i="1"/>
  <c r="BG212" i="1" s="1" a="1"/>
  <c r="BG212" i="1" s="1"/>
  <c r="AZ212" i="1"/>
  <c r="M212" i="1"/>
  <c r="ER215" i="1"/>
  <c r="EQ215" i="1"/>
  <c r="DZ215" i="1"/>
  <c r="DY215" i="1"/>
  <c r="DS215" i="1"/>
  <c r="DR215" i="1"/>
  <c r="DQ215" i="1"/>
  <c r="DP215" i="1"/>
  <c r="DN215" i="1"/>
  <c r="DO215" i="1" s="1"/>
  <c r="DH215" i="1"/>
  <c r="DC215" i="1"/>
  <c r="CP215" i="1"/>
  <c r="BX215" i="1"/>
  <c r="BZ215" i="1" s="1"/>
  <c r="CA215" i="1" s="1"/>
  <c r="BW215" i="1"/>
  <c r="BF215" i="1"/>
  <c r="BE215" i="1"/>
  <c r="BD215" i="1"/>
  <c r="BC215" i="1"/>
  <c r="BB215" i="1"/>
  <c r="BA215" i="1"/>
  <c r="BG215" i="1" s="1" a="1"/>
  <c r="BG215" i="1" s="1"/>
  <c r="AZ215" i="1"/>
  <c r="M215" i="1"/>
  <c r="ER216" i="1"/>
  <c r="EQ216" i="1"/>
  <c r="DZ216" i="1"/>
  <c r="DY216" i="1"/>
  <c r="DS216" i="1"/>
  <c r="DR216" i="1"/>
  <c r="DQ216" i="1"/>
  <c r="DP216" i="1"/>
  <c r="DN216" i="1"/>
  <c r="DO216" i="1" s="1"/>
  <c r="DH216" i="1"/>
  <c r="DC216" i="1"/>
  <c r="CP216" i="1"/>
  <c r="BX216" i="1"/>
  <c r="BZ216" i="1" s="1"/>
  <c r="CA216" i="1" s="1"/>
  <c r="BW216" i="1"/>
  <c r="BF216" i="1"/>
  <c r="BE216" i="1"/>
  <c r="BD216" i="1"/>
  <c r="BC216" i="1"/>
  <c r="BB216" i="1"/>
  <c r="BA216" i="1"/>
  <c r="BG216" i="1" s="1" a="1"/>
  <c r="BG216" i="1" s="1"/>
  <c r="AZ216" i="1"/>
  <c r="M216" i="1"/>
  <c r="ER200" i="1"/>
  <c r="EQ200" i="1"/>
  <c r="DZ200" i="1"/>
  <c r="DS200" i="1"/>
  <c r="DR200" i="1"/>
  <c r="DQ200" i="1"/>
  <c r="DP200" i="1"/>
  <c r="DN200" i="1"/>
  <c r="DO200" i="1" s="1"/>
  <c r="DH200" i="1"/>
  <c r="DC200" i="1"/>
  <c r="CP200" i="1"/>
  <c r="BV200" i="1"/>
  <c r="BU200" i="1"/>
  <c r="BP200" i="1"/>
  <c r="BQ200" i="1" s="1"/>
  <c r="BF200" i="1"/>
  <c r="BE200" i="1"/>
  <c r="BD200" i="1"/>
  <c r="BC200" i="1"/>
  <c r="BB200" i="1"/>
  <c r="BA200" i="1"/>
  <c r="BG200" i="1" s="1" a="1"/>
  <c r="BG200" i="1" s="1"/>
  <c r="AZ200" i="1"/>
  <c r="M200" i="1"/>
  <c r="ER201" i="1"/>
  <c r="EQ201" i="1"/>
  <c r="DZ201" i="1"/>
  <c r="DS201" i="1"/>
  <c r="DR201" i="1"/>
  <c r="DQ201" i="1"/>
  <c r="DP201" i="1"/>
  <c r="DN201" i="1"/>
  <c r="DO201" i="1" s="1"/>
  <c r="DH201" i="1"/>
  <c r="DC201" i="1"/>
  <c r="CP201" i="1"/>
  <c r="BU201" i="1"/>
  <c r="BX201" i="1" s="1"/>
  <c r="BZ201" i="1" s="1"/>
  <c r="BP201" i="1"/>
  <c r="BQ201" i="1" s="1"/>
  <c r="BF201" i="1"/>
  <c r="BE201" i="1"/>
  <c r="BD201" i="1"/>
  <c r="BC201" i="1"/>
  <c r="BB201" i="1"/>
  <c r="BA201" i="1"/>
  <c r="BG201" i="1" s="1" a="1"/>
  <c r="BG201" i="1" s="1"/>
  <c r="AZ201" i="1"/>
  <c r="M201" i="1"/>
  <c r="ER206" i="1"/>
  <c r="EQ206" i="1"/>
  <c r="DZ206" i="1"/>
  <c r="DS206" i="1"/>
  <c r="DR206" i="1"/>
  <c r="DQ206" i="1"/>
  <c r="DP206" i="1"/>
  <c r="DN206" i="1"/>
  <c r="DO206" i="1" s="1"/>
  <c r="DH206" i="1"/>
  <c r="DC206" i="1"/>
  <c r="CP206" i="1"/>
  <c r="BU206" i="1"/>
  <c r="BX206" i="1" s="1"/>
  <c r="BZ206" i="1" s="1"/>
  <c r="BP206" i="1"/>
  <c r="BQ206" i="1" s="1"/>
  <c r="BF206" i="1"/>
  <c r="BE206" i="1"/>
  <c r="BD206" i="1"/>
  <c r="BC206" i="1"/>
  <c r="BB206" i="1"/>
  <c r="BA206" i="1"/>
  <c r="BG206" i="1" s="1" a="1"/>
  <c r="BG206" i="1" s="1"/>
  <c r="AZ206" i="1"/>
  <c r="M206" i="1"/>
  <c r="ER204" i="1"/>
  <c r="EQ204" i="1"/>
  <c r="DZ204" i="1"/>
  <c r="DS204" i="1"/>
  <c r="DR204" i="1"/>
  <c r="DQ204" i="1"/>
  <c r="DP204" i="1"/>
  <c r="DN204" i="1"/>
  <c r="DO204" i="1" s="1"/>
  <c r="DH204" i="1"/>
  <c r="DC204" i="1"/>
  <c r="CP204" i="1"/>
  <c r="BV204" i="1"/>
  <c r="BU204" i="1"/>
  <c r="BP204" i="1"/>
  <c r="BQ204" i="1" s="1"/>
  <c r="BF204" i="1"/>
  <c r="BE204" i="1"/>
  <c r="BD204" i="1"/>
  <c r="BC204" i="1"/>
  <c r="BB204" i="1"/>
  <c r="BA204" i="1"/>
  <c r="BG204" i="1" s="1" a="1"/>
  <c r="BG204" i="1" s="1"/>
  <c r="AZ204" i="1"/>
  <c r="M204" i="1"/>
  <c r="ER205" i="1"/>
  <c r="EQ205" i="1"/>
  <c r="DZ205" i="1"/>
  <c r="DS205" i="1"/>
  <c r="DR205" i="1"/>
  <c r="DQ205" i="1"/>
  <c r="DP205" i="1"/>
  <c r="DN205" i="1"/>
  <c r="DO205" i="1" s="1"/>
  <c r="DH205" i="1"/>
  <c r="DC205" i="1"/>
  <c r="CP205" i="1"/>
  <c r="BX205" i="1"/>
  <c r="BZ205" i="1" s="1"/>
  <c r="BW205" i="1"/>
  <c r="BP205" i="1"/>
  <c r="BQ205" i="1" s="1"/>
  <c r="BF205" i="1"/>
  <c r="BE205" i="1"/>
  <c r="BD205" i="1"/>
  <c r="BC205" i="1"/>
  <c r="BB205" i="1"/>
  <c r="BA205" i="1"/>
  <c r="BG205" i="1" s="1" a="1"/>
  <c r="BG205" i="1" s="1"/>
  <c r="AZ205" i="1"/>
  <c r="M205" i="1"/>
  <c r="ER202" i="1"/>
  <c r="EQ202" i="1"/>
  <c r="DZ202" i="1"/>
  <c r="DS202" i="1"/>
  <c r="DR202" i="1"/>
  <c r="DQ202" i="1"/>
  <c r="DP202" i="1"/>
  <c r="DN202" i="1"/>
  <c r="DO202" i="1" s="1"/>
  <c r="DH202" i="1"/>
  <c r="DC202" i="1"/>
  <c r="CP202" i="1"/>
  <c r="BV202" i="1"/>
  <c r="BU202" i="1"/>
  <c r="BP202" i="1"/>
  <c r="BQ202" i="1" s="1"/>
  <c r="BF202" i="1"/>
  <c r="BE202" i="1"/>
  <c r="BD202" i="1"/>
  <c r="BC202" i="1"/>
  <c r="BB202" i="1"/>
  <c r="BA202" i="1"/>
  <c r="BG202" i="1" s="1" a="1"/>
  <c r="BG202" i="1" s="1"/>
  <c r="AZ202" i="1"/>
  <c r="M202" i="1"/>
  <c r="ER203" i="1"/>
  <c r="EQ203" i="1"/>
  <c r="DZ203" i="1"/>
  <c r="DS203" i="1"/>
  <c r="DR203" i="1"/>
  <c r="DQ203" i="1"/>
  <c r="DP203" i="1"/>
  <c r="DN203" i="1"/>
  <c r="DO203" i="1" s="1"/>
  <c r="DH203" i="1"/>
  <c r="DC203" i="1"/>
  <c r="CP203" i="1"/>
  <c r="CV203" i="1" s="1"/>
  <c r="BX203" i="1"/>
  <c r="BZ203" i="1" s="1"/>
  <c r="BW203" i="1"/>
  <c r="BP203" i="1"/>
  <c r="BQ203" i="1" s="1"/>
  <c r="BF203" i="1"/>
  <c r="BE203" i="1"/>
  <c r="BD203" i="1"/>
  <c r="BC203" i="1"/>
  <c r="BB203" i="1"/>
  <c r="BA203" i="1"/>
  <c r="BG203" i="1" s="1" a="1"/>
  <c r="BG203" i="1" s="1"/>
  <c r="AZ203" i="1"/>
  <c r="M203" i="1"/>
  <c r="ER194" i="1"/>
  <c r="EQ194" i="1"/>
  <c r="DZ194" i="1"/>
  <c r="DY194" i="1"/>
  <c r="DS194" i="1"/>
  <c r="DR194" i="1"/>
  <c r="DQ194" i="1"/>
  <c r="DP194" i="1"/>
  <c r="DN194" i="1"/>
  <c r="DO194" i="1" s="1"/>
  <c r="DG194" i="1"/>
  <c r="DH194" i="1" s="1"/>
  <c r="DC194" i="1"/>
  <c r="CP194" i="1"/>
  <c r="BU194" i="1"/>
  <c r="BF194" i="1"/>
  <c r="BE194" i="1"/>
  <c r="BD194" i="1"/>
  <c r="BC194" i="1"/>
  <c r="BB194" i="1"/>
  <c r="BA194" i="1"/>
  <c r="BG194" i="1" s="1" a="1"/>
  <c r="BG194" i="1" s="1"/>
  <c r="AZ194" i="1"/>
  <c r="M194" i="1"/>
  <c r="ER195" i="1"/>
  <c r="EQ195" i="1"/>
  <c r="DZ195" i="1"/>
  <c r="DY195" i="1"/>
  <c r="DS195" i="1"/>
  <c r="DR195" i="1"/>
  <c r="DQ195" i="1"/>
  <c r="DP195" i="1"/>
  <c r="DN195" i="1"/>
  <c r="DO195" i="1" s="1"/>
  <c r="DG195" i="1"/>
  <c r="DH195" i="1" s="1"/>
  <c r="DC195" i="1"/>
  <c r="CP195" i="1"/>
  <c r="CV195" i="1" s="1"/>
  <c r="BU195" i="1"/>
  <c r="BX195" i="1" s="1"/>
  <c r="BZ195" i="1" s="1"/>
  <c r="CA195" i="1" s="1"/>
  <c r="BF195" i="1"/>
  <c r="BE195" i="1"/>
  <c r="BD195" i="1"/>
  <c r="BC195" i="1"/>
  <c r="BB195" i="1"/>
  <c r="BA195" i="1"/>
  <c r="BG195" i="1" s="1" a="1"/>
  <c r="BG195" i="1" s="1"/>
  <c r="AZ195" i="1"/>
  <c r="M195" i="1"/>
  <c r="ER192" i="1"/>
  <c r="EQ192" i="1"/>
  <c r="DZ192" i="1"/>
  <c r="DY192" i="1"/>
  <c r="DS192" i="1"/>
  <c r="DR192" i="1"/>
  <c r="DQ192" i="1"/>
  <c r="DP192" i="1"/>
  <c r="DN192" i="1"/>
  <c r="DO192" i="1" s="1"/>
  <c r="DG192" i="1"/>
  <c r="DH192" i="1" s="1"/>
  <c r="DC192" i="1"/>
  <c r="CP192" i="1"/>
  <c r="CV192" i="1" s="1"/>
  <c r="BU192" i="1"/>
  <c r="BX192" i="1" s="1"/>
  <c r="BZ192" i="1" s="1"/>
  <c r="BO192" i="1"/>
  <c r="BF192" i="1"/>
  <c r="BE192" i="1"/>
  <c r="BD192" i="1"/>
  <c r="BC192" i="1"/>
  <c r="BB192" i="1"/>
  <c r="BA192" i="1"/>
  <c r="BG192" i="1" s="1" a="1"/>
  <c r="BG192" i="1" s="1"/>
  <c r="AZ192" i="1"/>
  <c r="M192" i="1"/>
  <c r="ER193" i="1"/>
  <c r="EQ193" i="1"/>
  <c r="DZ193" i="1"/>
  <c r="DY193" i="1"/>
  <c r="DS193" i="1"/>
  <c r="DR193" i="1"/>
  <c r="DQ193" i="1"/>
  <c r="DP193" i="1"/>
  <c r="DN193" i="1"/>
  <c r="DO193" i="1" s="1"/>
  <c r="DG193" i="1"/>
  <c r="DH193" i="1" s="1"/>
  <c r="DC193" i="1"/>
  <c r="CP193" i="1"/>
  <c r="BU193" i="1"/>
  <c r="BO193" i="1"/>
  <c r="BF193" i="1"/>
  <c r="BE193" i="1"/>
  <c r="BD193" i="1"/>
  <c r="BC193" i="1"/>
  <c r="BB193" i="1"/>
  <c r="BA193" i="1"/>
  <c r="BG193" i="1" s="1" a="1"/>
  <c r="BG193" i="1" s="1"/>
  <c r="AZ193" i="1"/>
  <c r="M193" i="1"/>
  <c r="ER196" i="1"/>
  <c r="EQ196" i="1"/>
  <c r="DZ196" i="1"/>
  <c r="DY196" i="1"/>
  <c r="DS196" i="1"/>
  <c r="DR196" i="1"/>
  <c r="DQ196" i="1"/>
  <c r="DP196" i="1"/>
  <c r="DN196" i="1"/>
  <c r="DO196" i="1" s="1"/>
  <c r="DG196" i="1"/>
  <c r="DH196" i="1" s="1"/>
  <c r="DC196" i="1"/>
  <c r="CP196" i="1"/>
  <c r="BU196" i="1"/>
  <c r="BX196" i="1" s="1"/>
  <c r="BZ196" i="1" s="1"/>
  <c r="CA196" i="1" s="1"/>
  <c r="BF196" i="1"/>
  <c r="BE196" i="1"/>
  <c r="BD196" i="1"/>
  <c r="BC196" i="1"/>
  <c r="BB196" i="1"/>
  <c r="BA196" i="1"/>
  <c r="BG196" i="1" s="1" a="1"/>
  <c r="BG196" i="1" s="1"/>
  <c r="AZ196" i="1"/>
  <c r="M196" i="1"/>
  <c r="ER197" i="1"/>
  <c r="EQ197" i="1"/>
  <c r="DZ197" i="1"/>
  <c r="DY197" i="1"/>
  <c r="DS197" i="1"/>
  <c r="DR197" i="1"/>
  <c r="DQ197" i="1"/>
  <c r="DP197" i="1"/>
  <c r="DN197" i="1"/>
  <c r="DO197" i="1" s="1"/>
  <c r="DG197" i="1"/>
  <c r="DH197" i="1" s="1"/>
  <c r="DC197" i="1"/>
  <c r="CP197" i="1"/>
  <c r="CV197" i="1" s="1"/>
  <c r="BU197" i="1"/>
  <c r="BF197" i="1"/>
  <c r="BE197" i="1"/>
  <c r="BD197" i="1"/>
  <c r="BC197" i="1"/>
  <c r="BB197" i="1"/>
  <c r="BA197" i="1"/>
  <c r="BG197" i="1" s="1" a="1"/>
  <c r="BG197" i="1" s="1"/>
  <c r="AZ197" i="1"/>
  <c r="M197" i="1"/>
  <c r="ER198" i="1"/>
  <c r="EQ198" i="1"/>
  <c r="DZ198" i="1"/>
  <c r="DY198" i="1"/>
  <c r="DS198" i="1"/>
  <c r="DR198" i="1"/>
  <c r="DQ198" i="1"/>
  <c r="DP198" i="1"/>
  <c r="DN198" i="1"/>
  <c r="DO198" i="1" s="1"/>
  <c r="DG198" i="1"/>
  <c r="DH198" i="1" s="1"/>
  <c r="DC198" i="1"/>
  <c r="CP198" i="1"/>
  <c r="CV198" i="1" s="1"/>
  <c r="BU198" i="1"/>
  <c r="BW198" i="1" s="1"/>
  <c r="BF198" i="1"/>
  <c r="BE198" i="1"/>
  <c r="BD198" i="1"/>
  <c r="BC198" i="1"/>
  <c r="BB198" i="1"/>
  <c r="BA198" i="1"/>
  <c r="BG198" i="1" s="1" a="1"/>
  <c r="BG198" i="1" s="1"/>
  <c r="AZ198" i="1"/>
  <c r="M198" i="1"/>
  <c r="ER199" i="1"/>
  <c r="EQ199" i="1"/>
  <c r="DZ199" i="1"/>
  <c r="DY199" i="1"/>
  <c r="DS199" i="1"/>
  <c r="DR199" i="1"/>
  <c r="DQ199" i="1"/>
  <c r="DP199" i="1"/>
  <c r="DN199" i="1"/>
  <c r="DO199" i="1" s="1"/>
  <c r="DG199" i="1"/>
  <c r="DH199" i="1" s="1"/>
  <c r="DC199" i="1"/>
  <c r="CP199" i="1"/>
  <c r="CV199" i="1" s="1"/>
  <c r="BU199" i="1"/>
  <c r="BF199" i="1"/>
  <c r="BE199" i="1"/>
  <c r="BD199" i="1"/>
  <c r="BC199" i="1"/>
  <c r="BB199" i="1"/>
  <c r="BA199" i="1"/>
  <c r="BG199" i="1" s="1" a="1"/>
  <c r="BG199" i="1" s="1"/>
  <c r="AZ199" i="1"/>
  <c r="M199" i="1"/>
  <c r="ER188" i="1"/>
  <c r="EQ188" i="1"/>
  <c r="DZ188" i="1"/>
  <c r="DY188" i="1"/>
  <c r="DS188" i="1"/>
  <c r="DR188" i="1"/>
  <c r="DQ188" i="1"/>
  <c r="DP188" i="1"/>
  <c r="DN188" i="1"/>
  <c r="DO188" i="1" s="1"/>
  <c r="DG188" i="1"/>
  <c r="DH188" i="1" s="1"/>
  <c r="DC188" i="1"/>
  <c r="CP188" i="1"/>
  <c r="BU188" i="1"/>
  <c r="BX188" i="1" s="1"/>
  <c r="BZ188" i="1" s="1"/>
  <c r="CA188" i="1" s="1"/>
  <c r="BF188" i="1"/>
  <c r="BE188" i="1"/>
  <c r="BD188" i="1"/>
  <c r="BC188" i="1"/>
  <c r="BB188" i="1"/>
  <c r="BA188" i="1"/>
  <c r="BG188" i="1" s="1" a="1"/>
  <c r="BG188" i="1" s="1"/>
  <c r="AZ188" i="1"/>
  <c r="M188" i="1"/>
  <c r="ER189" i="1"/>
  <c r="EQ189" i="1"/>
  <c r="DZ189" i="1"/>
  <c r="DY189" i="1"/>
  <c r="DS189" i="1"/>
  <c r="DR189" i="1"/>
  <c r="DQ189" i="1"/>
  <c r="DP189" i="1"/>
  <c r="DN189" i="1"/>
  <c r="DO189" i="1" s="1"/>
  <c r="DG189" i="1"/>
  <c r="DH189" i="1" s="1"/>
  <c r="DC189" i="1"/>
  <c r="CP189" i="1"/>
  <c r="CV189" i="1" s="1"/>
  <c r="BU189" i="1"/>
  <c r="BF189" i="1"/>
  <c r="BE189" i="1"/>
  <c r="BD189" i="1"/>
  <c r="BC189" i="1"/>
  <c r="BB189" i="1"/>
  <c r="BA189" i="1"/>
  <c r="BG189" i="1" s="1" a="1"/>
  <c r="BG189" i="1" s="1"/>
  <c r="AZ189" i="1"/>
  <c r="M189" i="1"/>
  <c r="ER190" i="1"/>
  <c r="EQ190" i="1"/>
  <c r="DZ190" i="1"/>
  <c r="DY190" i="1"/>
  <c r="DS190" i="1"/>
  <c r="DR190" i="1"/>
  <c r="DQ190" i="1"/>
  <c r="DP190" i="1"/>
  <c r="DN190" i="1"/>
  <c r="DO190" i="1" s="1"/>
  <c r="DG190" i="1"/>
  <c r="DH190" i="1" s="1"/>
  <c r="DC190" i="1"/>
  <c r="CP190" i="1"/>
  <c r="CV190" i="1" s="1"/>
  <c r="BU190" i="1"/>
  <c r="BX190" i="1" s="1"/>
  <c r="BZ190" i="1" s="1"/>
  <c r="BF190" i="1"/>
  <c r="BE190" i="1"/>
  <c r="BD190" i="1"/>
  <c r="BC190" i="1"/>
  <c r="BB190" i="1"/>
  <c r="BA190" i="1"/>
  <c r="BG190" i="1" s="1" a="1"/>
  <c r="BG190" i="1" s="1"/>
  <c r="AZ190" i="1"/>
  <c r="M190" i="1"/>
  <c r="ER191" i="1"/>
  <c r="EQ191" i="1"/>
  <c r="DZ191" i="1"/>
  <c r="DY191" i="1"/>
  <c r="DS191" i="1"/>
  <c r="DR191" i="1"/>
  <c r="DQ191" i="1"/>
  <c r="DP191" i="1"/>
  <c r="DN191" i="1"/>
  <c r="DO191" i="1" s="1"/>
  <c r="DG191" i="1"/>
  <c r="DH191" i="1" s="1"/>
  <c r="DC191" i="1"/>
  <c r="CP191" i="1"/>
  <c r="BU191" i="1"/>
  <c r="BF191" i="1"/>
  <c r="BE191" i="1"/>
  <c r="BD191" i="1"/>
  <c r="BC191" i="1"/>
  <c r="BB191" i="1"/>
  <c r="BA191" i="1"/>
  <c r="BG191" i="1" s="1" a="1"/>
  <c r="BG191" i="1" s="1"/>
  <c r="AZ191" i="1"/>
  <c r="M191" i="1"/>
  <c r="ER185" i="1"/>
  <c r="EQ185" i="1"/>
  <c r="DZ185" i="1"/>
  <c r="DY185" i="1"/>
  <c r="DS185" i="1"/>
  <c r="DR185" i="1"/>
  <c r="DQ185" i="1"/>
  <c r="DP185" i="1"/>
  <c r="DN185" i="1"/>
  <c r="DO185" i="1" s="1"/>
  <c r="DH185" i="1"/>
  <c r="DC185" i="1"/>
  <c r="CP185" i="1"/>
  <c r="CA185" i="1"/>
  <c r="EY185" i="1" s="1"/>
  <c r="BF185" i="1"/>
  <c r="BE185" i="1"/>
  <c r="BD185" i="1"/>
  <c r="BC185" i="1"/>
  <c r="BB185" i="1"/>
  <c r="BA185" i="1"/>
  <c r="BG185" i="1" s="1" a="1"/>
  <c r="BG185" i="1" s="1"/>
  <c r="AZ185" i="1"/>
  <c r="M185" i="1"/>
  <c r="ER187" i="1"/>
  <c r="EQ187" i="1"/>
  <c r="DZ187" i="1"/>
  <c r="DY187" i="1"/>
  <c r="DS187" i="1"/>
  <c r="DR187" i="1"/>
  <c r="DQ187" i="1"/>
  <c r="DP187" i="1"/>
  <c r="DN187" i="1"/>
  <c r="DO187" i="1" s="1"/>
  <c r="DH187" i="1"/>
  <c r="DC187" i="1"/>
  <c r="CP187" i="1"/>
  <c r="CA187" i="1"/>
  <c r="EY187" i="1" s="1"/>
  <c r="BF187" i="1"/>
  <c r="BE187" i="1"/>
  <c r="BD187" i="1"/>
  <c r="BC187" i="1"/>
  <c r="BB187" i="1"/>
  <c r="BA187" i="1"/>
  <c r="BG187" i="1" s="1" a="1"/>
  <c r="BG187" i="1" s="1"/>
  <c r="AZ187" i="1"/>
  <c r="M187" i="1"/>
  <c r="ER182" i="1"/>
  <c r="EQ182" i="1"/>
  <c r="DZ182" i="1"/>
  <c r="DY182" i="1"/>
  <c r="DS182" i="1"/>
  <c r="DR182" i="1"/>
  <c r="DQ182" i="1"/>
  <c r="DP182" i="1"/>
  <c r="DN182" i="1"/>
  <c r="DO182" i="1" s="1"/>
  <c r="DH182" i="1"/>
  <c r="DC182" i="1"/>
  <c r="CP182" i="1"/>
  <c r="CU182" i="1" s="1"/>
  <c r="CA182" i="1"/>
  <c r="EY182" i="1" s="1"/>
  <c r="BF182" i="1"/>
  <c r="BE182" i="1"/>
  <c r="BD182" i="1"/>
  <c r="BC182" i="1"/>
  <c r="BB182" i="1"/>
  <c r="BA182" i="1"/>
  <c r="BG182" i="1" s="1" a="1"/>
  <c r="BG182" i="1" s="1"/>
  <c r="AZ182" i="1"/>
  <c r="M182" i="1"/>
  <c r="ER186" i="1"/>
  <c r="EQ186" i="1"/>
  <c r="DZ186" i="1"/>
  <c r="DY186" i="1"/>
  <c r="DS186" i="1"/>
  <c r="DR186" i="1"/>
  <c r="DQ186" i="1"/>
  <c r="DP186" i="1"/>
  <c r="DN186" i="1"/>
  <c r="DO186" i="1" s="1"/>
  <c r="DH186" i="1"/>
  <c r="DC186" i="1"/>
  <c r="CP186" i="1"/>
  <c r="CW186" i="1" s="1"/>
  <c r="CY186" i="1" s="1"/>
  <c r="FA186" i="1" s="1"/>
  <c r="CA186" i="1"/>
  <c r="EY186" i="1" s="1"/>
  <c r="BF186" i="1"/>
  <c r="BE186" i="1"/>
  <c r="BD186" i="1"/>
  <c r="BC186" i="1"/>
  <c r="BB186" i="1"/>
  <c r="BA186" i="1"/>
  <c r="BG186" i="1" s="1" a="1"/>
  <c r="BG186" i="1" s="1"/>
  <c r="AZ186" i="1"/>
  <c r="M186" i="1"/>
  <c r="ER181" i="1"/>
  <c r="EQ181" i="1"/>
  <c r="DZ181" i="1"/>
  <c r="DY181" i="1"/>
  <c r="DS181" i="1"/>
  <c r="DR181" i="1"/>
  <c r="DQ181" i="1"/>
  <c r="DP181" i="1"/>
  <c r="DN181" i="1"/>
  <c r="DO181" i="1" s="1"/>
  <c r="DH181" i="1"/>
  <c r="DC181" i="1"/>
  <c r="CP181" i="1"/>
  <c r="CU181" i="1" s="1"/>
  <c r="CA181" i="1"/>
  <c r="EY181" i="1" s="1"/>
  <c r="BF181" i="1"/>
  <c r="BE181" i="1"/>
  <c r="BD181" i="1"/>
  <c r="BC181" i="1"/>
  <c r="BB181" i="1"/>
  <c r="BA181" i="1"/>
  <c r="BG181" i="1" s="1" a="1"/>
  <c r="BG181" i="1" s="1"/>
  <c r="AZ181" i="1"/>
  <c r="M181" i="1"/>
  <c r="ER184" i="1"/>
  <c r="EQ184" i="1"/>
  <c r="DZ184" i="1"/>
  <c r="DY184" i="1"/>
  <c r="DS184" i="1"/>
  <c r="DR184" i="1"/>
  <c r="DQ184" i="1"/>
  <c r="DP184" i="1"/>
  <c r="DN184" i="1"/>
  <c r="DO184" i="1" s="1"/>
  <c r="DH184" i="1"/>
  <c r="DC184" i="1"/>
  <c r="CP184" i="1"/>
  <c r="CU184" i="1" s="1"/>
  <c r="CA184" i="1"/>
  <c r="EY184" i="1" s="1"/>
  <c r="BF184" i="1"/>
  <c r="BE184" i="1"/>
  <c r="BD184" i="1"/>
  <c r="BC184" i="1"/>
  <c r="BB184" i="1"/>
  <c r="BA184" i="1"/>
  <c r="BG184" i="1" s="1" a="1"/>
  <c r="BG184" i="1" s="1"/>
  <c r="AZ184" i="1"/>
  <c r="M184" i="1"/>
  <c r="ER183" i="1"/>
  <c r="EQ183" i="1"/>
  <c r="DZ183" i="1"/>
  <c r="DY183" i="1"/>
  <c r="DS183" i="1"/>
  <c r="DR183" i="1"/>
  <c r="DQ183" i="1"/>
  <c r="DP183" i="1"/>
  <c r="DN183" i="1"/>
  <c r="DO183" i="1" s="1"/>
  <c r="DH183" i="1"/>
  <c r="DC183" i="1"/>
  <c r="CP183" i="1"/>
  <c r="CW183" i="1" s="1"/>
  <c r="CY183" i="1" s="1"/>
  <c r="FA183" i="1" s="1"/>
  <c r="CA183" i="1"/>
  <c r="EY183" i="1" s="1"/>
  <c r="BO183" i="1"/>
  <c r="BF183" i="1"/>
  <c r="BE183" i="1"/>
  <c r="BD183" i="1"/>
  <c r="BC183" i="1"/>
  <c r="BB183" i="1"/>
  <c r="BA183" i="1"/>
  <c r="BG183" i="1" s="1" a="1"/>
  <c r="BG183" i="1" s="1"/>
  <c r="AZ183" i="1"/>
  <c r="M183" i="1"/>
  <c r="ER180" i="1"/>
  <c r="EQ180" i="1"/>
  <c r="DZ180" i="1"/>
  <c r="DY180" i="1"/>
  <c r="DS180" i="1"/>
  <c r="DR180" i="1"/>
  <c r="DQ180" i="1"/>
  <c r="DP180" i="1"/>
  <c r="DN180" i="1"/>
  <c r="DO180" i="1" s="1"/>
  <c r="DH180" i="1"/>
  <c r="DC180" i="1"/>
  <c r="CP180" i="1"/>
  <c r="CA180" i="1"/>
  <c r="EY180" i="1" s="1"/>
  <c r="BF180" i="1"/>
  <c r="BE180" i="1"/>
  <c r="BD180" i="1"/>
  <c r="BC180" i="1"/>
  <c r="BB180" i="1"/>
  <c r="BA180" i="1"/>
  <c r="AZ180" i="1"/>
  <c r="M180" i="1"/>
  <c r="ER179" i="1"/>
  <c r="EQ179" i="1"/>
  <c r="DZ179" i="1"/>
  <c r="DY179" i="1"/>
  <c r="DS179" i="1"/>
  <c r="DR179" i="1"/>
  <c r="DQ179" i="1"/>
  <c r="DP179" i="1"/>
  <c r="DN179" i="1"/>
  <c r="DO179" i="1" s="1"/>
  <c r="DH179" i="1"/>
  <c r="DC179" i="1"/>
  <c r="CP179" i="1"/>
  <c r="CA179" i="1"/>
  <c r="EY179" i="1" s="1"/>
  <c r="BO179" i="1"/>
  <c r="BF179" i="1"/>
  <c r="BE179" i="1"/>
  <c r="BD179" i="1"/>
  <c r="BC179" i="1"/>
  <c r="BB179" i="1"/>
  <c r="BA179" i="1"/>
  <c r="AZ179" i="1"/>
  <c r="M179" i="1"/>
  <c r="ER177" i="1"/>
  <c r="EQ177" i="1"/>
  <c r="DZ177" i="1"/>
  <c r="DY177" i="1"/>
  <c r="DS177" i="1"/>
  <c r="DR177" i="1"/>
  <c r="DQ177" i="1"/>
  <c r="DP177" i="1"/>
  <c r="DN177" i="1"/>
  <c r="DO177" i="1" s="1"/>
  <c r="DH177" i="1"/>
  <c r="DC177" i="1"/>
  <c r="CP177" i="1"/>
  <c r="CV177" i="1" s="1"/>
  <c r="BZ177" i="1"/>
  <c r="CA177" i="1" s="1"/>
  <c r="BF177" i="1"/>
  <c r="BE177" i="1"/>
  <c r="BD177" i="1"/>
  <c r="BC177" i="1"/>
  <c r="BB177" i="1"/>
  <c r="BA177" i="1"/>
  <c r="BG177" i="1" s="1" a="1"/>
  <c r="BG177" i="1" s="1"/>
  <c r="AZ177" i="1"/>
  <c r="M177" i="1"/>
  <c r="ER178" i="1"/>
  <c r="EQ178" i="1"/>
  <c r="DZ178" i="1"/>
  <c r="DY178" i="1"/>
  <c r="DS178" i="1"/>
  <c r="DR178" i="1"/>
  <c r="DQ178" i="1"/>
  <c r="DP178" i="1"/>
  <c r="DN178" i="1"/>
  <c r="DO178" i="1" s="1"/>
  <c r="DH178" i="1"/>
  <c r="DC178" i="1"/>
  <c r="CP178" i="1"/>
  <c r="CU178" i="1" s="1"/>
  <c r="BZ178" i="1"/>
  <c r="CA178" i="1" s="1"/>
  <c r="BF178" i="1"/>
  <c r="BE178" i="1"/>
  <c r="BD178" i="1"/>
  <c r="BC178" i="1"/>
  <c r="BB178" i="1"/>
  <c r="BA178" i="1"/>
  <c r="BG178" i="1" s="1" a="1"/>
  <c r="BG178" i="1" s="1"/>
  <c r="AZ178" i="1"/>
  <c r="M178" i="1"/>
  <c r="ER176" i="1"/>
  <c r="EQ176" i="1"/>
  <c r="DZ176" i="1"/>
  <c r="DY176" i="1"/>
  <c r="DS176" i="1"/>
  <c r="DR176" i="1"/>
  <c r="DQ176" i="1"/>
  <c r="DP176" i="1"/>
  <c r="DN176" i="1"/>
  <c r="DO176" i="1" s="1"/>
  <c r="DH176" i="1"/>
  <c r="DC176" i="1"/>
  <c r="CP176" i="1"/>
  <c r="CV176" i="1" s="1"/>
  <c r="BZ176" i="1"/>
  <c r="CA176" i="1" s="1"/>
  <c r="BF176" i="1"/>
  <c r="BE176" i="1"/>
  <c r="BD176" i="1"/>
  <c r="BC176" i="1"/>
  <c r="BB176" i="1"/>
  <c r="BA176" i="1"/>
  <c r="BG176" i="1" s="1" a="1"/>
  <c r="BG176" i="1" s="1"/>
  <c r="AZ176" i="1"/>
  <c r="M176" i="1"/>
  <c r="ER175" i="1"/>
  <c r="EQ175" i="1"/>
  <c r="DZ175" i="1"/>
  <c r="DY175" i="1"/>
  <c r="DS175" i="1"/>
  <c r="DR175" i="1"/>
  <c r="DQ175" i="1"/>
  <c r="DP175" i="1"/>
  <c r="DN175" i="1"/>
  <c r="DO175" i="1" s="1"/>
  <c r="DH175" i="1"/>
  <c r="DC175" i="1"/>
  <c r="CP175" i="1"/>
  <c r="CU175" i="1" s="1"/>
  <c r="BZ175" i="1"/>
  <c r="CA175" i="1" s="1"/>
  <c r="BF175" i="1"/>
  <c r="BE175" i="1"/>
  <c r="BD175" i="1"/>
  <c r="BC175" i="1"/>
  <c r="BB175" i="1"/>
  <c r="BA175" i="1"/>
  <c r="BG175" i="1" s="1" a="1"/>
  <c r="BG175" i="1" s="1"/>
  <c r="AZ175" i="1"/>
  <c r="M175" i="1"/>
  <c r="ER174" i="1"/>
  <c r="EQ174" i="1"/>
  <c r="DZ174" i="1"/>
  <c r="DY174" i="1"/>
  <c r="DS174" i="1"/>
  <c r="DR174" i="1"/>
  <c r="DQ174" i="1"/>
  <c r="DP174" i="1"/>
  <c r="DN174" i="1"/>
  <c r="DO174" i="1" s="1"/>
  <c r="DH174" i="1"/>
  <c r="DC174" i="1"/>
  <c r="CP174" i="1"/>
  <c r="CV174" i="1" s="1"/>
  <c r="BX174" i="1"/>
  <c r="BZ174" i="1" s="1"/>
  <c r="BW174" i="1"/>
  <c r="BP174" i="1"/>
  <c r="BQ174" i="1" s="1"/>
  <c r="BO174" i="1"/>
  <c r="BF174" i="1"/>
  <c r="BE174" i="1"/>
  <c r="BD174" i="1"/>
  <c r="BC174" i="1"/>
  <c r="BB174" i="1"/>
  <c r="BA174" i="1"/>
  <c r="BG174" i="1" s="1" a="1"/>
  <c r="BG174" i="1" s="1"/>
  <c r="AZ174" i="1"/>
  <c r="M174" i="1"/>
  <c r="ER173" i="1"/>
  <c r="EQ173" i="1"/>
  <c r="DZ173" i="1"/>
  <c r="DY173" i="1"/>
  <c r="DS173" i="1"/>
  <c r="DR173" i="1"/>
  <c r="DQ173" i="1"/>
  <c r="DP173" i="1"/>
  <c r="DN173" i="1"/>
  <c r="DO173" i="1" s="1"/>
  <c r="DH173" i="1"/>
  <c r="DC173" i="1"/>
  <c r="CP173" i="1"/>
  <c r="BX173" i="1"/>
  <c r="BZ173" i="1" s="1"/>
  <c r="BW173" i="1"/>
  <c r="BP173" i="1"/>
  <c r="BQ173" i="1" s="1"/>
  <c r="BO173" i="1"/>
  <c r="BF173" i="1"/>
  <c r="BE173" i="1"/>
  <c r="BD173" i="1"/>
  <c r="BC173" i="1"/>
  <c r="BB173" i="1"/>
  <c r="BA173" i="1"/>
  <c r="BG173" i="1" s="1" a="1"/>
  <c r="BG173" i="1" s="1"/>
  <c r="AZ173" i="1"/>
  <c r="M173" i="1"/>
  <c r="ER172" i="1"/>
  <c r="EQ172" i="1"/>
  <c r="DZ172" i="1"/>
  <c r="DY172" i="1"/>
  <c r="DS172" i="1"/>
  <c r="DR172" i="1"/>
  <c r="DQ172" i="1"/>
  <c r="DP172" i="1"/>
  <c r="DN172" i="1"/>
  <c r="DO172" i="1" s="1"/>
  <c r="DH172" i="1"/>
  <c r="DC172" i="1"/>
  <c r="CP172" i="1"/>
  <c r="CR172" i="1" s="1"/>
  <c r="BX172" i="1"/>
  <c r="BZ172" i="1" s="1"/>
  <c r="BW172" i="1"/>
  <c r="BP172" i="1"/>
  <c r="BQ172" i="1" s="1"/>
  <c r="BO172" i="1"/>
  <c r="BF172" i="1"/>
  <c r="BE172" i="1"/>
  <c r="BD172" i="1"/>
  <c r="BC172" i="1"/>
  <c r="BB172" i="1"/>
  <c r="BA172" i="1"/>
  <c r="BG172" i="1" s="1" a="1"/>
  <c r="BG172" i="1" s="1"/>
  <c r="AZ172" i="1"/>
  <c r="M172" i="1"/>
  <c r="ER169" i="1"/>
  <c r="EQ169" i="1"/>
  <c r="DZ169" i="1"/>
  <c r="DY169" i="1"/>
  <c r="DS169" i="1"/>
  <c r="DR169" i="1"/>
  <c r="DQ169" i="1"/>
  <c r="DP169" i="1"/>
  <c r="DN169" i="1"/>
  <c r="DO169" i="1" s="1"/>
  <c r="DG169" i="1"/>
  <c r="DH169" i="1" s="1"/>
  <c r="DC169" i="1"/>
  <c r="CP169" i="1"/>
  <c r="BZ169" i="1"/>
  <c r="BQ169" i="1"/>
  <c r="BF169" i="1"/>
  <c r="BE169" i="1"/>
  <c r="BD169" i="1"/>
  <c r="BC169" i="1"/>
  <c r="BB169" i="1"/>
  <c r="BA169" i="1"/>
  <c r="BG169" i="1" s="1" a="1"/>
  <c r="BG169" i="1" s="1"/>
  <c r="AZ169" i="1"/>
  <c r="M169" i="1"/>
  <c r="ER168" i="1"/>
  <c r="EQ168" i="1"/>
  <c r="DZ168" i="1"/>
  <c r="DY168" i="1"/>
  <c r="DS168" i="1"/>
  <c r="DR168" i="1"/>
  <c r="DQ168" i="1"/>
  <c r="DP168" i="1"/>
  <c r="DN168" i="1"/>
  <c r="DO168" i="1" s="1"/>
  <c r="DG168" i="1"/>
  <c r="DH168" i="1" s="1"/>
  <c r="DC168" i="1"/>
  <c r="CP168" i="1"/>
  <c r="BZ168" i="1"/>
  <c r="BQ168" i="1"/>
  <c r="BF168" i="1"/>
  <c r="BE168" i="1"/>
  <c r="BD168" i="1"/>
  <c r="BC168" i="1"/>
  <c r="BB168" i="1"/>
  <c r="BA168" i="1"/>
  <c r="BG168" i="1" s="1" a="1"/>
  <c r="BG168" i="1" s="1"/>
  <c r="AZ168" i="1"/>
  <c r="M168" i="1"/>
  <c r="ER167" i="1"/>
  <c r="EQ167" i="1"/>
  <c r="DZ167" i="1"/>
  <c r="DY167" i="1"/>
  <c r="DS167" i="1"/>
  <c r="DR167" i="1"/>
  <c r="DQ167" i="1"/>
  <c r="DP167" i="1"/>
  <c r="DN167" i="1"/>
  <c r="DO167" i="1" s="1"/>
  <c r="DG167" i="1"/>
  <c r="DH167" i="1" s="1"/>
  <c r="DC167" i="1"/>
  <c r="CP167" i="1"/>
  <c r="BZ167" i="1"/>
  <c r="CA167" i="1" s="1"/>
  <c r="EY167" i="1" s="1"/>
  <c r="BF167" i="1"/>
  <c r="BE167" i="1"/>
  <c r="BD167" i="1"/>
  <c r="BC167" i="1"/>
  <c r="BB167" i="1"/>
  <c r="BA167" i="1"/>
  <c r="AZ167" i="1"/>
  <c r="M167" i="1"/>
  <c r="ER170" i="1"/>
  <c r="EQ170" i="1"/>
  <c r="DZ170" i="1"/>
  <c r="DY170" i="1"/>
  <c r="DS170" i="1"/>
  <c r="DR170" i="1"/>
  <c r="DQ170" i="1"/>
  <c r="DP170" i="1"/>
  <c r="DN170" i="1"/>
  <c r="DO170" i="1" s="1"/>
  <c r="DG170" i="1"/>
  <c r="DH170" i="1" s="1"/>
  <c r="DC170" i="1"/>
  <c r="CP170" i="1"/>
  <c r="CV170" i="1" s="1"/>
  <c r="BZ170" i="1"/>
  <c r="CA170" i="1" s="1"/>
  <c r="EY170" i="1" s="1"/>
  <c r="BF170" i="1"/>
  <c r="BE170" i="1"/>
  <c r="BD170" i="1"/>
  <c r="BC170" i="1"/>
  <c r="BB170" i="1"/>
  <c r="BA170" i="1"/>
  <c r="AZ170" i="1"/>
  <c r="M170" i="1"/>
  <c r="ER171" i="1"/>
  <c r="EQ171" i="1"/>
  <c r="DZ171" i="1"/>
  <c r="DY171" i="1"/>
  <c r="DS171" i="1"/>
  <c r="DR171" i="1"/>
  <c r="DQ171" i="1"/>
  <c r="DP171" i="1"/>
  <c r="DN171" i="1"/>
  <c r="DO171" i="1" s="1"/>
  <c r="DG171" i="1"/>
  <c r="DH171" i="1" s="1"/>
  <c r="DC171" i="1"/>
  <c r="CP171" i="1"/>
  <c r="BZ171" i="1"/>
  <c r="CA171" i="1" s="1"/>
  <c r="EY171" i="1" s="1"/>
  <c r="BF171" i="1"/>
  <c r="BE171" i="1"/>
  <c r="BD171" i="1"/>
  <c r="BC171" i="1"/>
  <c r="BB171" i="1"/>
  <c r="BA171" i="1"/>
  <c r="AZ171" i="1"/>
  <c r="M171" i="1"/>
  <c r="ER165" i="1"/>
  <c r="EQ165" i="1"/>
  <c r="DZ165" i="1"/>
  <c r="DY165" i="1"/>
  <c r="DS165" i="1"/>
  <c r="DR165" i="1"/>
  <c r="DQ165" i="1"/>
  <c r="DP165" i="1"/>
  <c r="DN165" i="1"/>
  <c r="DO165" i="1" s="1"/>
  <c r="DG165" i="1"/>
  <c r="DH165" i="1" s="1"/>
  <c r="DC165" i="1"/>
  <c r="CP165" i="1"/>
  <c r="CV165" i="1" s="1"/>
  <c r="BX165" i="1"/>
  <c r="BZ165" i="1" s="1"/>
  <c r="CA165" i="1" s="1"/>
  <c r="BW165" i="1"/>
  <c r="BF165" i="1"/>
  <c r="BE165" i="1"/>
  <c r="BD165" i="1"/>
  <c r="BC165" i="1"/>
  <c r="BB165" i="1"/>
  <c r="BA165" i="1"/>
  <c r="BG165" i="1" s="1" a="1"/>
  <c r="BG165" i="1" s="1"/>
  <c r="AZ165" i="1"/>
  <c r="M165" i="1"/>
  <c r="ER166" i="1"/>
  <c r="EQ166" i="1"/>
  <c r="DZ166" i="1"/>
  <c r="DY166" i="1"/>
  <c r="DS166" i="1"/>
  <c r="DR166" i="1"/>
  <c r="DQ166" i="1"/>
  <c r="DP166" i="1"/>
  <c r="DN166" i="1"/>
  <c r="DO166" i="1" s="1"/>
  <c r="DG166" i="1"/>
  <c r="DH166" i="1" s="1"/>
  <c r="DC166" i="1"/>
  <c r="CP166" i="1"/>
  <c r="BX166" i="1"/>
  <c r="BZ166" i="1" s="1"/>
  <c r="CA166" i="1" s="1"/>
  <c r="BW166" i="1"/>
  <c r="BF166" i="1"/>
  <c r="BE166" i="1"/>
  <c r="BD166" i="1"/>
  <c r="BC166" i="1"/>
  <c r="BB166" i="1"/>
  <c r="BA166" i="1"/>
  <c r="BG166" i="1" s="1" a="1"/>
  <c r="BG166" i="1" s="1"/>
  <c r="AZ166" i="1"/>
  <c r="M166" i="1"/>
  <c r="ER163" i="1"/>
  <c r="EQ163" i="1"/>
  <c r="DZ163" i="1"/>
  <c r="DY163" i="1"/>
  <c r="DS163" i="1"/>
  <c r="DR163" i="1"/>
  <c r="DQ163" i="1"/>
  <c r="DP163" i="1"/>
  <c r="DN163" i="1"/>
  <c r="DO163" i="1" s="1"/>
  <c r="DH163" i="1"/>
  <c r="DC163" i="1"/>
  <c r="CP163" i="1"/>
  <c r="BZ163" i="1"/>
  <c r="CA163" i="1" s="1"/>
  <c r="BF163" i="1"/>
  <c r="BE163" i="1"/>
  <c r="BD163" i="1"/>
  <c r="BC163" i="1"/>
  <c r="BB163" i="1"/>
  <c r="BA163" i="1"/>
  <c r="BG163" i="1" s="1" a="1"/>
  <c r="BG163" i="1" s="1"/>
  <c r="AZ163" i="1"/>
  <c r="M163" i="1"/>
  <c r="ER164" i="1"/>
  <c r="EQ164" i="1"/>
  <c r="DZ164" i="1"/>
  <c r="DY164" i="1"/>
  <c r="DS164" i="1"/>
  <c r="DR164" i="1"/>
  <c r="DQ164" i="1"/>
  <c r="DP164" i="1"/>
  <c r="DN164" i="1"/>
  <c r="DO164" i="1" s="1"/>
  <c r="DH164" i="1"/>
  <c r="DC164" i="1"/>
  <c r="CP164" i="1"/>
  <c r="BZ164" i="1"/>
  <c r="CA164" i="1" s="1"/>
  <c r="BF164" i="1"/>
  <c r="BE164" i="1"/>
  <c r="BD164" i="1"/>
  <c r="BC164" i="1"/>
  <c r="BB164" i="1"/>
  <c r="BA164" i="1"/>
  <c r="BG164" i="1" s="1" a="1"/>
  <c r="BG164" i="1" s="1"/>
  <c r="AZ164" i="1"/>
  <c r="M164" i="1"/>
  <c r="ER162" i="1"/>
  <c r="EQ162" i="1"/>
  <c r="DZ162" i="1"/>
  <c r="DY162" i="1"/>
  <c r="DS162" i="1"/>
  <c r="DR162" i="1"/>
  <c r="DQ162" i="1"/>
  <c r="DP162" i="1"/>
  <c r="DN162" i="1"/>
  <c r="DO162" i="1" s="1"/>
  <c r="DH162" i="1"/>
  <c r="DC162" i="1"/>
  <c r="CP162" i="1"/>
  <c r="BZ162" i="1"/>
  <c r="CA162" i="1" s="1"/>
  <c r="EY162" i="1" s="1"/>
  <c r="BF162" i="1"/>
  <c r="BE162" i="1"/>
  <c r="BD162" i="1"/>
  <c r="BC162" i="1"/>
  <c r="BB162" i="1"/>
  <c r="BA162" i="1"/>
  <c r="BG162" i="1" s="1" a="1"/>
  <c r="BG162" i="1" s="1"/>
  <c r="AZ162" i="1"/>
  <c r="M162" i="1"/>
  <c r="ER161" i="1"/>
  <c r="EQ161" i="1"/>
  <c r="DZ161" i="1"/>
  <c r="DY161" i="1"/>
  <c r="DS161" i="1"/>
  <c r="DR161" i="1"/>
  <c r="DQ161" i="1"/>
  <c r="DP161" i="1"/>
  <c r="DN161" i="1"/>
  <c r="DO161" i="1" s="1"/>
  <c r="DH161" i="1"/>
  <c r="DC161" i="1"/>
  <c r="CP161" i="1"/>
  <c r="BZ161" i="1"/>
  <c r="CA161" i="1" s="1"/>
  <c r="EY161" i="1" s="1"/>
  <c r="BF161" i="1"/>
  <c r="BE161" i="1"/>
  <c r="BD161" i="1"/>
  <c r="BC161" i="1"/>
  <c r="BB161" i="1"/>
  <c r="BA161" i="1"/>
  <c r="BG161" i="1" s="1" a="1"/>
  <c r="BG161" i="1" s="1"/>
  <c r="AZ161" i="1"/>
  <c r="M161" i="1"/>
  <c r="ER160" i="1"/>
  <c r="EQ160" i="1"/>
  <c r="DZ160" i="1"/>
  <c r="DY160" i="1"/>
  <c r="DS160" i="1"/>
  <c r="DR160" i="1"/>
  <c r="DQ160" i="1"/>
  <c r="DP160" i="1"/>
  <c r="DN160" i="1"/>
  <c r="DO160" i="1" s="1"/>
  <c r="DG160" i="1"/>
  <c r="DH160" i="1" s="1"/>
  <c r="DC160" i="1"/>
  <c r="CP160" i="1"/>
  <c r="BZ160" i="1"/>
  <c r="CA160" i="1" s="1"/>
  <c r="BP160" i="1"/>
  <c r="BF160" i="1"/>
  <c r="BE160" i="1"/>
  <c r="BD160" i="1"/>
  <c r="BC160" i="1"/>
  <c r="BB160" i="1"/>
  <c r="BA160" i="1"/>
  <c r="BG160" i="1" s="1" a="1"/>
  <c r="BG160" i="1" s="1"/>
  <c r="AZ160" i="1"/>
  <c r="M160" i="1"/>
  <c r="ER159" i="1"/>
  <c r="EQ159" i="1"/>
  <c r="DZ159" i="1"/>
  <c r="DY159" i="1"/>
  <c r="DS159" i="1"/>
  <c r="DR159" i="1"/>
  <c r="DQ159" i="1"/>
  <c r="DP159" i="1"/>
  <c r="DN159" i="1"/>
  <c r="DO159" i="1" s="1"/>
  <c r="DG159" i="1"/>
  <c r="DH159" i="1" s="1"/>
  <c r="DC159" i="1"/>
  <c r="CP159" i="1"/>
  <c r="CQ159" i="1" s="1"/>
  <c r="BZ159" i="1"/>
  <c r="CA159" i="1" s="1"/>
  <c r="BP159" i="1"/>
  <c r="BF159" i="1"/>
  <c r="BE159" i="1"/>
  <c r="BD159" i="1"/>
  <c r="BC159" i="1"/>
  <c r="BB159" i="1"/>
  <c r="BA159" i="1"/>
  <c r="BG159" i="1" s="1" a="1"/>
  <c r="BG159" i="1" s="1"/>
  <c r="AZ159" i="1"/>
  <c r="M159" i="1"/>
  <c r="ER158" i="1"/>
  <c r="EQ158" i="1"/>
  <c r="DZ158" i="1"/>
  <c r="DY158" i="1"/>
  <c r="DS158" i="1"/>
  <c r="DR158" i="1"/>
  <c r="DQ158" i="1"/>
  <c r="DP158" i="1"/>
  <c r="DN158" i="1"/>
  <c r="DO158" i="1" s="1"/>
  <c r="DG158" i="1"/>
  <c r="DH158" i="1" s="1"/>
  <c r="DC158" i="1"/>
  <c r="CP158" i="1"/>
  <c r="CV158" i="1" s="1"/>
  <c r="BZ158" i="1"/>
  <c r="CA158" i="1" s="1"/>
  <c r="BP158" i="1"/>
  <c r="BF158" i="1"/>
  <c r="BE158" i="1"/>
  <c r="BD158" i="1"/>
  <c r="BC158" i="1"/>
  <c r="BB158" i="1"/>
  <c r="BA158" i="1"/>
  <c r="BG158" i="1" s="1" a="1"/>
  <c r="BG158" i="1" s="1"/>
  <c r="AZ158" i="1"/>
  <c r="M158" i="1"/>
  <c r="ER157" i="1"/>
  <c r="EQ157" i="1"/>
  <c r="DZ157" i="1"/>
  <c r="DY157" i="1"/>
  <c r="DS157" i="1"/>
  <c r="DR157" i="1"/>
  <c r="DQ157" i="1"/>
  <c r="DP157" i="1"/>
  <c r="DN157" i="1"/>
  <c r="DO157" i="1" s="1"/>
  <c r="DG157" i="1"/>
  <c r="DH157" i="1" s="1"/>
  <c r="DC157" i="1"/>
  <c r="CP157" i="1"/>
  <c r="BZ157" i="1"/>
  <c r="BP157" i="1"/>
  <c r="BQ157" i="1" s="1"/>
  <c r="BF157" i="1"/>
  <c r="BE157" i="1"/>
  <c r="BD157" i="1"/>
  <c r="BC157" i="1"/>
  <c r="BB157" i="1"/>
  <c r="BA157" i="1"/>
  <c r="BG157" i="1" s="1" a="1"/>
  <c r="BG157" i="1" s="1"/>
  <c r="AZ157" i="1"/>
  <c r="M157" i="1"/>
  <c r="ER156" i="1"/>
  <c r="EQ156" i="1"/>
  <c r="DZ156" i="1"/>
  <c r="DY156" i="1"/>
  <c r="DS156" i="1"/>
  <c r="DR156" i="1"/>
  <c r="DQ156" i="1"/>
  <c r="DP156" i="1"/>
  <c r="DN156" i="1"/>
  <c r="DO156" i="1" s="1"/>
  <c r="DG156" i="1"/>
  <c r="DH156" i="1" s="1"/>
  <c r="DC156" i="1"/>
  <c r="CP156" i="1"/>
  <c r="CV156" i="1" s="1"/>
  <c r="BZ156" i="1"/>
  <c r="BP156" i="1"/>
  <c r="BQ156" i="1" s="1"/>
  <c r="BF156" i="1"/>
  <c r="BE156" i="1"/>
  <c r="BD156" i="1"/>
  <c r="BC156" i="1"/>
  <c r="BB156" i="1"/>
  <c r="BA156" i="1"/>
  <c r="BG156" i="1" s="1" a="1"/>
  <c r="BG156" i="1" s="1"/>
  <c r="AZ156" i="1"/>
  <c r="M156" i="1"/>
  <c r="ER155" i="1"/>
  <c r="EQ155" i="1"/>
  <c r="DZ155" i="1"/>
  <c r="DY155" i="1"/>
  <c r="DS155" i="1"/>
  <c r="DR155" i="1"/>
  <c r="DQ155" i="1"/>
  <c r="DP155" i="1"/>
  <c r="DN155" i="1"/>
  <c r="DO155" i="1" s="1"/>
  <c r="DH155" i="1"/>
  <c r="DC155" i="1"/>
  <c r="CP155" i="1"/>
  <c r="CQ155" i="1" s="1"/>
  <c r="BZ155" i="1"/>
  <c r="BP155" i="1"/>
  <c r="BQ155" i="1" s="1"/>
  <c r="BF155" i="1"/>
  <c r="BE155" i="1"/>
  <c r="BD155" i="1"/>
  <c r="BC155" i="1"/>
  <c r="BB155" i="1"/>
  <c r="BA155" i="1"/>
  <c r="BG155" i="1" s="1" a="1"/>
  <c r="BG155" i="1" s="1"/>
  <c r="AZ155" i="1"/>
  <c r="M155" i="1"/>
  <c r="ER154" i="1"/>
  <c r="EQ154" i="1"/>
  <c r="DZ154" i="1"/>
  <c r="DY154" i="1"/>
  <c r="DS154" i="1"/>
  <c r="DR154" i="1"/>
  <c r="DQ154" i="1"/>
  <c r="DP154" i="1"/>
  <c r="DN154" i="1"/>
  <c r="DO154" i="1" s="1"/>
  <c r="DH154" i="1"/>
  <c r="DC154" i="1"/>
  <c r="CP154" i="1"/>
  <c r="BZ154" i="1"/>
  <c r="BP154" i="1"/>
  <c r="BQ154" i="1" s="1"/>
  <c r="BF154" i="1"/>
  <c r="BE154" i="1"/>
  <c r="BD154" i="1"/>
  <c r="BC154" i="1"/>
  <c r="BB154" i="1"/>
  <c r="BA154" i="1"/>
  <c r="BG154" i="1" s="1" a="1"/>
  <c r="BG154" i="1" s="1"/>
  <c r="AZ154" i="1"/>
  <c r="M154" i="1"/>
  <c r="ER152" i="1"/>
  <c r="EQ152" i="1"/>
  <c r="DZ152" i="1"/>
  <c r="DY152" i="1"/>
  <c r="DS152" i="1"/>
  <c r="DR152" i="1"/>
  <c r="DQ152" i="1"/>
  <c r="DP152" i="1"/>
  <c r="DN152" i="1"/>
  <c r="DO152" i="1" s="1"/>
  <c r="DH152" i="1"/>
  <c r="DC152" i="1"/>
  <c r="CP152" i="1"/>
  <c r="CU152" i="1" s="1"/>
  <c r="BZ152" i="1"/>
  <c r="CA152" i="1" s="1"/>
  <c r="BF152" i="1"/>
  <c r="BE152" i="1"/>
  <c r="BD152" i="1"/>
  <c r="BC152" i="1"/>
  <c r="BB152" i="1"/>
  <c r="BA152" i="1"/>
  <c r="BG152" i="1" s="1" a="1"/>
  <c r="BG152" i="1" s="1"/>
  <c r="AZ152" i="1"/>
  <c r="M152" i="1"/>
  <c r="ER153" i="1"/>
  <c r="EQ153" i="1"/>
  <c r="DZ153" i="1"/>
  <c r="DY153" i="1"/>
  <c r="DS153" i="1"/>
  <c r="DR153" i="1"/>
  <c r="DQ153" i="1"/>
  <c r="DP153" i="1"/>
  <c r="DN153" i="1"/>
  <c r="DO153" i="1" s="1"/>
  <c r="DH153" i="1"/>
  <c r="DC153" i="1"/>
  <c r="CP153" i="1"/>
  <c r="CU153" i="1" s="1"/>
  <c r="BZ153" i="1"/>
  <c r="CA153" i="1" s="1"/>
  <c r="BF153" i="1"/>
  <c r="BE153" i="1"/>
  <c r="BD153" i="1"/>
  <c r="BC153" i="1"/>
  <c r="BB153" i="1"/>
  <c r="BA153" i="1"/>
  <c r="BG153" i="1" s="1" a="1"/>
  <c r="BG153" i="1" s="1"/>
  <c r="AZ153" i="1"/>
  <c r="M153" i="1"/>
  <c r="ER149" i="1"/>
  <c r="EQ149" i="1"/>
  <c r="DZ149" i="1"/>
  <c r="DY149" i="1"/>
  <c r="DS149" i="1"/>
  <c r="DR149" i="1"/>
  <c r="DQ149" i="1"/>
  <c r="DP149" i="1"/>
  <c r="DN149" i="1"/>
  <c r="DO149" i="1" s="1"/>
  <c r="DG149" i="1"/>
  <c r="DH149" i="1" s="1"/>
  <c r="DC149" i="1"/>
  <c r="CP149" i="1"/>
  <c r="CU149" i="1" s="1"/>
  <c r="BX149" i="1"/>
  <c r="BZ149" i="1" s="1"/>
  <c r="CA149" i="1" s="1"/>
  <c r="BW149" i="1"/>
  <c r="BF149" i="1"/>
  <c r="BE149" i="1"/>
  <c r="BD149" i="1"/>
  <c r="BC149" i="1"/>
  <c r="BB149" i="1"/>
  <c r="BA149" i="1"/>
  <c r="BG149" i="1" s="1" a="1"/>
  <c r="BG149" i="1" s="1"/>
  <c r="AZ149" i="1"/>
  <c r="M149" i="1"/>
  <c r="ER151" i="1"/>
  <c r="EQ151" i="1"/>
  <c r="DZ151" i="1"/>
  <c r="DY151" i="1"/>
  <c r="DS151" i="1"/>
  <c r="DR151" i="1"/>
  <c r="DQ151" i="1"/>
  <c r="DP151" i="1"/>
  <c r="DN151" i="1"/>
  <c r="DO151" i="1" s="1"/>
  <c r="DG151" i="1"/>
  <c r="DH151" i="1" s="1"/>
  <c r="DC151" i="1"/>
  <c r="CP151" i="1"/>
  <c r="CU151" i="1" s="1"/>
  <c r="BX151" i="1"/>
  <c r="BZ151" i="1" s="1"/>
  <c r="BW151" i="1"/>
  <c r="BF151" i="1"/>
  <c r="BE151" i="1"/>
  <c r="BD151" i="1"/>
  <c r="BC151" i="1"/>
  <c r="BB151" i="1"/>
  <c r="BA151" i="1"/>
  <c r="BG151" i="1" s="1" a="1"/>
  <c r="BG151" i="1" s="1"/>
  <c r="AZ151" i="1"/>
  <c r="M151" i="1"/>
  <c r="ER148" i="1"/>
  <c r="EQ148" i="1"/>
  <c r="DZ148" i="1"/>
  <c r="DY148" i="1"/>
  <c r="DS148" i="1"/>
  <c r="DR148" i="1"/>
  <c r="DQ148" i="1"/>
  <c r="DP148" i="1"/>
  <c r="DN148" i="1"/>
  <c r="DO148" i="1" s="1"/>
  <c r="DG148" i="1"/>
  <c r="DH148" i="1" s="1"/>
  <c r="DC148" i="1"/>
  <c r="CP148" i="1"/>
  <c r="CU148" i="1" s="1"/>
  <c r="BX148" i="1"/>
  <c r="BZ148" i="1" s="1"/>
  <c r="BW148" i="1"/>
  <c r="BF148" i="1"/>
  <c r="BE148" i="1"/>
  <c r="BD148" i="1"/>
  <c r="BC148" i="1"/>
  <c r="BB148" i="1"/>
  <c r="BA148" i="1"/>
  <c r="BG148" i="1" s="1" a="1"/>
  <c r="BG148" i="1" s="1"/>
  <c r="AZ148" i="1"/>
  <c r="M148" i="1"/>
  <c r="ER150" i="1"/>
  <c r="EQ150" i="1"/>
  <c r="DZ150" i="1"/>
  <c r="DY150" i="1"/>
  <c r="DS150" i="1"/>
  <c r="DR150" i="1"/>
  <c r="DQ150" i="1"/>
  <c r="DP150" i="1"/>
  <c r="DN150" i="1"/>
  <c r="DO150" i="1" s="1"/>
  <c r="DG150" i="1"/>
  <c r="DH150" i="1" s="1"/>
  <c r="DC150" i="1"/>
  <c r="CP150" i="1"/>
  <c r="CV150" i="1" s="1"/>
  <c r="BX150" i="1"/>
  <c r="BZ150" i="1" s="1"/>
  <c r="CA150" i="1" s="1"/>
  <c r="BW150" i="1"/>
  <c r="BF150" i="1"/>
  <c r="BE150" i="1"/>
  <c r="BD150" i="1"/>
  <c r="BC150" i="1"/>
  <c r="BB150" i="1"/>
  <c r="BA150" i="1"/>
  <c r="BG150" i="1" s="1" a="1"/>
  <c r="BG150" i="1" s="1"/>
  <c r="AZ150" i="1"/>
  <c r="M150" i="1"/>
  <c r="ER146" i="1"/>
  <c r="EQ146" i="1"/>
  <c r="DZ146" i="1"/>
  <c r="DY146" i="1"/>
  <c r="DS146" i="1"/>
  <c r="DR146" i="1"/>
  <c r="DQ146" i="1"/>
  <c r="DP146" i="1"/>
  <c r="DN146" i="1"/>
  <c r="DO146" i="1" s="1"/>
  <c r="DG146" i="1"/>
  <c r="DH146" i="1" s="1"/>
  <c r="DC146" i="1"/>
  <c r="CP146" i="1"/>
  <c r="CU146" i="1" s="1"/>
  <c r="BX146" i="1"/>
  <c r="BZ146" i="1" s="1"/>
  <c r="BW146" i="1"/>
  <c r="BF146" i="1"/>
  <c r="BE146" i="1"/>
  <c r="BD146" i="1"/>
  <c r="BC146" i="1"/>
  <c r="BB146" i="1"/>
  <c r="BA146" i="1"/>
  <c r="AZ146" i="1"/>
  <c r="M146" i="1"/>
  <c r="ER147" i="1"/>
  <c r="EQ147" i="1"/>
  <c r="DZ147" i="1"/>
  <c r="DY147" i="1"/>
  <c r="DS147" i="1"/>
  <c r="DR147" i="1"/>
  <c r="DQ147" i="1"/>
  <c r="DP147" i="1"/>
  <c r="DN147" i="1"/>
  <c r="DO147" i="1" s="1"/>
  <c r="DG147" i="1"/>
  <c r="DH147" i="1" s="1"/>
  <c r="DC147" i="1"/>
  <c r="CP147" i="1"/>
  <c r="CU147" i="1" s="1"/>
  <c r="BX147" i="1"/>
  <c r="BZ147" i="1" s="1"/>
  <c r="CA147" i="1" s="1"/>
  <c r="BW147" i="1"/>
  <c r="BF147" i="1"/>
  <c r="BE147" i="1"/>
  <c r="BD147" i="1"/>
  <c r="BC147" i="1"/>
  <c r="BB147" i="1"/>
  <c r="BA147" i="1"/>
  <c r="AZ147" i="1"/>
  <c r="M147" i="1"/>
  <c r="ER142" i="1"/>
  <c r="EQ142" i="1"/>
  <c r="DZ142" i="1"/>
  <c r="DY142" i="1"/>
  <c r="DS142" i="1"/>
  <c r="DR142" i="1"/>
  <c r="DQ142" i="1"/>
  <c r="DP142" i="1"/>
  <c r="DN142" i="1"/>
  <c r="DO142" i="1" s="1"/>
  <c r="DG142" i="1"/>
  <c r="DH142" i="1" s="1"/>
  <c r="DC142" i="1"/>
  <c r="CP142" i="1"/>
  <c r="CU142" i="1" s="1"/>
  <c r="BX142" i="1"/>
  <c r="BZ142" i="1" s="1"/>
  <c r="BW142" i="1"/>
  <c r="BF142" i="1"/>
  <c r="BE142" i="1"/>
  <c r="BD142" i="1"/>
  <c r="BC142" i="1"/>
  <c r="BB142" i="1"/>
  <c r="BA142" i="1"/>
  <c r="AZ142" i="1"/>
  <c r="M142" i="1"/>
  <c r="ER143" i="1"/>
  <c r="EQ143" i="1"/>
  <c r="DZ143" i="1"/>
  <c r="DY143" i="1"/>
  <c r="DS143" i="1"/>
  <c r="DR143" i="1"/>
  <c r="DQ143" i="1"/>
  <c r="DP143" i="1"/>
  <c r="DN143" i="1"/>
  <c r="DO143" i="1" s="1"/>
  <c r="DG143" i="1"/>
  <c r="DH143" i="1" s="1"/>
  <c r="DC143" i="1"/>
  <c r="CP143" i="1"/>
  <c r="BX143" i="1"/>
  <c r="BZ143" i="1" s="1"/>
  <c r="CA143" i="1" s="1"/>
  <c r="BW143" i="1"/>
  <c r="BF143" i="1"/>
  <c r="BE143" i="1"/>
  <c r="BD143" i="1"/>
  <c r="BC143" i="1"/>
  <c r="BB143" i="1"/>
  <c r="BA143" i="1"/>
  <c r="AZ143" i="1"/>
  <c r="M143" i="1"/>
  <c r="ER144" i="1"/>
  <c r="EQ144" i="1"/>
  <c r="DZ144" i="1"/>
  <c r="DY144" i="1"/>
  <c r="DS144" i="1"/>
  <c r="DR144" i="1"/>
  <c r="DQ144" i="1"/>
  <c r="DP144" i="1"/>
  <c r="DN144" i="1"/>
  <c r="DO144" i="1" s="1"/>
  <c r="DG144" i="1"/>
  <c r="DH144" i="1" s="1"/>
  <c r="DC144" i="1"/>
  <c r="CP144" i="1"/>
  <c r="BX144" i="1"/>
  <c r="BZ144" i="1" s="1"/>
  <c r="CA144" i="1" s="1"/>
  <c r="BW144" i="1"/>
  <c r="BF144" i="1"/>
  <c r="BE144" i="1"/>
  <c r="BD144" i="1"/>
  <c r="BC144" i="1"/>
  <c r="BB144" i="1"/>
  <c r="BA144" i="1"/>
  <c r="AZ144" i="1"/>
  <c r="M144" i="1"/>
  <c r="ER145" i="1"/>
  <c r="EQ145" i="1"/>
  <c r="DZ145" i="1"/>
  <c r="DY145" i="1"/>
  <c r="DS145" i="1"/>
  <c r="DR145" i="1"/>
  <c r="DQ145" i="1"/>
  <c r="DP145" i="1"/>
  <c r="DN145" i="1"/>
  <c r="DO145" i="1" s="1"/>
  <c r="DG145" i="1"/>
  <c r="DH145" i="1" s="1"/>
  <c r="DC145" i="1"/>
  <c r="CP145" i="1"/>
  <c r="CV145" i="1" s="1"/>
  <c r="BX145" i="1"/>
  <c r="BZ145" i="1" s="1"/>
  <c r="CA145" i="1" s="1"/>
  <c r="BW145" i="1"/>
  <c r="BF145" i="1"/>
  <c r="BE145" i="1"/>
  <c r="BD145" i="1"/>
  <c r="BC145" i="1"/>
  <c r="BB145" i="1"/>
  <c r="BA145" i="1"/>
  <c r="AZ145" i="1"/>
  <c r="M145" i="1"/>
  <c r="ER139" i="1"/>
  <c r="EQ139" i="1"/>
  <c r="DZ139" i="1"/>
  <c r="DY139" i="1"/>
  <c r="DS139" i="1"/>
  <c r="DR139" i="1"/>
  <c r="DQ139" i="1"/>
  <c r="DP139" i="1"/>
  <c r="DN139" i="1"/>
  <c r="DO139" i="1" s="1"/>
  <c r="DG139" i="1"/>
  <c r="DH139" i="1" s="1"/>
  <c r="DC139" i="1"/>
  <c r="CP139" i="1"/>
  <c r="CR139" i="1" s="1"/>
  <c r="BV139" i="1"/>
  <c r="BF139" i="1"/>
  <c r="BE139" i="1"/>
  <c r="BD139" i="1"/>
  <c r="BC139" i="1"/>
  <c r="BB139" i="1"/>
  <c r="BA139" i="1"/>
  <c r="BG139" i="1" s="1" a="1"/>
  <c r="BG139" i="1" s="1"/>
  <c r="AZ139" i="1"/>
  <c r="M139" i="1"/>
  <c r="ER138" i="1"/>
  <c r="EQ138" i="1"/>
  <c r="DZ138" i="1"/>
  <c r="DY138" i="1"/>
  <c r="DS138" i="1"/>
  <c r="DR138" i="1"/>
  <c r="DQ138" i="1"/>
  <c r="DP138" i="1"/>
  <c r="DN138" i="1"/>
  <c r="DO138" i="1" s="1"/>
  <c r="DG138" i="1"/>
  <c r="DH138" i="1" s="1"/>
  <c r="DC138" i="1"/>
  <c r="CP138" i="1"/>
  <c r="CS138" i="1" s="1"/>
  <c r="CT138" i="1" s="1"/>
  <c r="BX138" i="1"/>
  <c r="BZ138" i="1" s="1"/>
  <c r="BW138" i="1"/>
  <c r="BF138" i="1"/>
  <c r="BE138" i="1"/>
  <c r="BD138" i="1"/>
  <c r="BC138" i="1"/>
  <c r="BB138" i="1"/>
  <c r="BA138" i="1"/>
  <c r="BG138" i="1" s="1" a="1"/>
  <c r="BG138" i="1" s="1"/>
  <c r="AZ138" i="1"/>
  <c r="M138" i="1"/>
  <c r="ER140" i="1"/>
  <c r="EQ140" i="1"/>
  <c r="DZ140" i="1"/>
  <c r="DY140" i="1"/>
  <c r="DS140" i="1"/>
  <c r="DR140" i="1"/>
  <c r="DQ140" i="1"/>
  <c r="DP140" i="1"/>
  <c r="DN140" i="1"/>
  <c r="DO140" i="1" s="1"/>
  <c r="DG140" i="1"/>
  <c r="DH140" i="1" s="1"/>
  <c r="DC140" i="1"/>
  <c r="CP140" i="1"/>
  <c r="CV140" i="1" s="1"/>
  <c r="BX140" i="1"/>
  <c r="BZ140" i="1" s="1"/>
  <c r="BW140" i="1"/>
  <c r="BF140" i="1"/>
  <c r="BE140" i="1"/>
  <c r="BD140" i="1"/>
  <c r="BC140" i="1"/>
  <c r="BB140" i="1"/>
  <c r="BA140" i="1"/>
  <c r="BG140" i="1" s="1" a="1"/>
  <c r="BG140" i="1" s="1"/>
  <c r="AZ140" i="1"/>
  <c r="M140" i="1"/>
  <c r="ER137" i="1"/>
  <c r="EQ137" i="1"/>
  <c r="DZ137" i="1"/>
  <c r="DY137" i="1"/>
  <c r="DS137" i="1"/>
  <c r="DR137" i="1"/>
  <c r="DQ137" i="1"/>
  <c r="DP137" i="1"/>
  <c r="DN137" i="1"/>
  <c r="DO137" i="1" s="1"/>
  <c r="DG137" i="1"/>
  <c r="DH137" i="1" s="1"/>
  <c r="DC137" i="1"/>
  <c r="CP137" i="1"/>
  <c r="CU137" i="1" s="1"/>
  <c r="BZ137" i="1"/>
  <c r="CA137" i="1" s="1"/>
  <c r="BF137" i="1"/>
  <c r="BE137" i="1"/>
  <c r="BD137" i="1"/>
  <c r="BC137" i="1"/>
  <c r="BB137" i="1"/>
  <c r="BA137" i="1"/>
  <c r="BG137" i="1" s="1" a="1"/>
  <c r="BG137" i="1" s="1"/>
  <c r="AZ137" i="1"/>
  <c r="M137" i="1"/>
  <c r="ER136" i="1"/>
  <c r="EQ136" i="1"/>
  <c r="DZ136" i="1"/>
  <c r="DY136" i="1"/>
  <c r="DS136" i="1"/>
  <c r="DR136" i="1"/>
  <c r="DQ136" i="1"/>
  <c r="DP136" i="1"/>
  <c r="DN136" i="1"/>
  <c r="DO136" i="1" s="1"/>
  <c r="DG136" i="1"/>
  <c r="DH136" i="1" s="1"/>
  <c r="DC136" i="1"/>
  <c r="CP136" i="1"/>
  <c r="CV136" i="1" s="1"/>
  <c r="BZ136" i="1"/>
  <c r="BF136" i="1"/>
  <c r="BE136" i="1"/>
  <c r="BD136" i="1"/>
  <c r="BC136" i="1"/>
  <c r="BB136" i="1"/>
  <c r="BA136" i="1"/>
  <c r="BG136" i="1" s="1" a="1"/>
  <c r="BG136" i="1" s="1"/>
  <c r="AZ136" i="1"/>
  <c r="M136" i="1"/>
  <c r="ER135" i="1"/>
  <c r="EQ135" i="1"/>
  <c r="DZ135" i="1"/>
  <c r="DY135" i="1"/>
  <c r="DS135" i="1"/>
  <c r="DR135" i="1"/>
  <c r="DQ135" i="1"/>
  <c r="DP135" i="1"/>
  <c r="DN135" i="1"/>
  <c r="DO135" i="1" s="1"/>
  <c r="DG135" i="1"/>
  <c r="DH135" i="1" s="1"/>
  <c r="DC135" i="1"/>
  <c r="CP135" i="1"/>
  <c r="CV135" i="1" s="1"/>
  <c r="BZ135" i="1"/>
  <c r="CA135" i="1" s="1"/>
  <c r="BF135" i="1"/>
  <c r="BE135" i="1"/>
  <c r="BD135" i="1"/>
  <c r="BC135" i="1"/>
  <c r="BB135" i="1"/>
  <c r="BA135" i="1"/>
  <c r="BG135" i="1" s="1" a="1"/>
  <c r="BG135" i="1" s="1"/>
  <c r="AZ135" i="1"/>
  <c r="M135" i="1"/>
  <c r="ER134" i="1"/>
  <c r="EQ134" i="1"/>
  <c r="DZ134" i="1"/>
  <c r="DY134" i="1"/>
  <c r="DS134" i="1"/>
  <c r="DR134" i="1"/>
  <c r="DQ134" i="1"/>
  <c r="DP134" i="1"/>
  <c r="DN134" i="1"/>
  <c r="DO134" i="1" s="1"/>
  <c r="DG134" i="1"/>
  <c r="DH134" i="1" s="1"/>
  <c r="DC134" i="1"/>
  <c r="CP134" i="1"/>
  <c r="CU134" i="1" s="1"/>
  <c r="BZ134" i="1"/>
  <c r="CA134" i="1" s="1"/>
  <c r="BF134" i="1"/>
  <c r="BE134" i="1"/>
  <c r="BD134" i="1"/>
  <c r="BC134" i="1"/>
  <c r="BB134" i="1"/>
  <c r="BA134" i="1"/>
  <c r="BG134" i="1" s="1" a="1"/>
  <c r="BG134" i="1" s="1"/>
  <c r="AZ134" i="1"/>
  <c r="M134" i="1"/>
  <c r="ER130" i="1"/>
  <c r="EQ130" i="1"/>
  <c r="DZ130" i="1"/>
  <c r="DY130" i="1"/>
  <c r="DS130" i="1"/>
  <c r="DR130" i="1"/>
  <c r="DQ130" i="1"/>
  <c r="DP130" i="1"/>
  <c r="DN130" i="1"/>
  <c r="DO130" i="1" s="1"/>
  <c r="DH130" i="1"/>
  <c r="DC130" i="1"/>
  <c r="CP130" i="1"/>
  <c r="CV130" i="1" s="1"/>
  <c r="BX130" i="1"/>
  <c r="BZ130" i="1" s="1"/>
  <c r="BW130" i="1"/>
  <c r="BF130" i="1"/>
  <c r="BE130" i="1"/>
  <c r="BD130" i="1"/>
  <c r="BC130" i="1"/>
  <c r="BB130" i="1"/>
  <c r="BA130" i="1"/>
  <c r="BG130" i="1" s="1" a="1"/>
  <c r="BG130" i="1" s="1"/>
  <c r="AZ130" i="1"/>
  <c r="M130" i="1"/>
  <c r="ER129" i="1"/>
  <c r="EQ129" i="1"/>
  <c r="DZ129" i="1"/>
  <c r="DY129" i="1"/>
  <c r="DS129" i="1"/>
  <c r="DR129" i="1"/>
  <c r="DQ129" i="1"/>
  <c r="DP129" i="1"/>
  <c r="DN129" i="1"/>
  <c r="DO129" i="1" s="1"/>
  <c r="DH129" i="1"/>
  <c r="DC129" i="1"/>
  <c r="CP129" i="1"/>
  <c r="BX129" i="1"/>
  <c r="BZ129" i="1" s="1"/>
  <c r="CA129" i="1" s="1"/>
  <c r="BW129" i="1"/>
  <c r="BF129" i="1"/>
  <c r="BE129" i="1"/>
  <c r="BD129" i="1"/>
  <c r="BC129" i="1"/>
  <c r="BB129" i="1"/>
  <c r="BA129" i="1"/>
  <c r="BG129" i="1" s="1" a="1"/>
  <c r="BG129" i="1" s="1"/>
  <c r="AZ129" i="1"/>
  <c r="M129" i="1"/>
  <c r="ER128" i="1"/>
  <c r="EQ128" i="1"/>
  <c r="DZ128" i="1"/>
  <c r="DY128" i="1"/>
  <c r="DS128" i="1"/>
  <c r="DR128" i="1"/>
  <c r="DQ128" i="1"/>
  <c r="DP128" i="1"/>
  <c r="DN128" i="1"/>
  <c r="DO128" i="1" s="1"/>
  <c r="DH128" i="1"/>
  <c r="DC128" i="1"/>
  <c r="CP128" i="1"/>
  <c r="CU128" i="1" s="1"/>
  <c r="BX128" i="1"/>
  <c r="BZ128" i="1" s="1"/>
  <c r="BW128" i="1"/>
  <c r="BF128" i="1"/>
  <c r="BE128" i="1"/>
  <c r="BD128" i="1"/>
  <c r="BC128" i="1"/>
  <c r="BB128" i="1"/>
  <c r="BA128" i="1"/>
  <c r="BG128" i="1" s="1" a="1"/>
  <c r="BG128" i="1" s="1"/>
  <c r="AZ128" i="1"/>
  <c r="M128" i="1"/>
  <c r="ER133" i="1"/>
  <c r="EQ133" i="1"/>
  <c r="DZ133" i="1"/>
  <c r="DY133" i="1"/>
  <c r="DS133" i="1"/>
  <c r="DR133" i="1"/>
  <c r="DQ133" i="1"/>
  <c r="DP133" i="1"/>
  <c r="DN133" i="1"/>
  <c r="DO133" i="1" s="1"/>
  <c r="DH133" i="1"/>
  <c r="DC133" i="1"/>
  <c r="CP133" i="1"/>
  <c r="BX133" i="1"/>
  <c r="BZ133" i="1" s="1"/>
  <c r="CA133" i="1" s="1"/>
  <c r="BW133" i="1"/>
  <c r="BF133" i="1"/>
  <c r="BE133" i="1"/>
  <c r="BD133" i="1"/>
  <c r="BC133" i="1"/>
  <c r="BB133" i="1"/>
  <c r="BA133" i="1"/>
  <c r="BG133" i="1" s="1" a="1"/>
  <c r="BG133" i="1" s="1"/>
  <c r="AZ133" i="1"/>
  <c r="M133" i="1"/>
  <c r="ER131" i="1"/>
  <c r="EQ131" i="1"/>
  <c r="DZ131" i="1"/>
  <c r="DY131" i="1"/>
  <c r="DS131" i="1"/>
  <c r="DR131" i="1"/>
  <c r="DQ131" i="1"/>
  <c r="DP131" i="1"/>
  <c r="DN131" i="1"/>
  <c r="DO131" i="1" s="1"/>
  <c r="DH131" i="1"/>
  <c r="DC131" i="1"/>
  <c r="CP131" i="1"/>
  <c r="CV131" i="1" s="1"/>
  <c r="BX131" i="1"/>
  <c r="BZ131" i="1" s="1"/>
  <c r="BW131" i="1"/>
  <c r="BF131" i="1"/>
  <c r="BE131" i="1"/>
  <c r="BD131" i="1"/>
  <c r="BC131" i="1"/>
  <c r="BB131" i="1"/>
  <c r="BA131" i="1"/>
  <c r="BG131" i="1" s="1" a="1"/>
  <c r="BG131" i="1" s="1"/>
  <c r="AZ131" i="1"/>
  <c r="M131" i="1"/>
  <c r="ER132" i="1"/>
  <c r="EQ132" i="1"/>
  <c r="DZ132" i="1"/>
  <c r="DY132" i="1"/>
  <c r="DS132" i="1"/>
  <c r="DR132" i="1"/>
  <c r="DQ132" i="1"/>
  <c r="DP132" i="1"/>
  <c r="DN132" i="1"/>
  <c r="DO132" i="1" s="1"/>
  <c r="DH132" i="1"/>
  <c r="DC132" i="1"/>
  <c r="CP132" i="1"/>
  <c r="BX132" i="1"/>
  <c r="BZ132" i="1" s="1"/>
  <c r="CA132" i="1" s="1"/>
  <c r="BW132" i="1"/>
  <c r="BF132" i="1"/>
  <c r="BE132" i="1"/>
  <c r="BD132" i="1"/>
  <c r="BC132" i="1"/>
  <c r="BB132" i="1"/>
  <c r="BA132" i="1"/>
  <c r="BG132" i="1" s="1" a="1"/>
  <c r="BG132" i="1" s="1"/>
  <c r="AZ132" i="1"/>
  <c r="M132" i="1"/>
  <c r="ER121" i="1"/>
  <c r="EQ121" i="1"/>
  <c r="DZ121" i="1"/>
  <c r="DY121" i="1"/>
  <c r="DS121" i="1"/>
  <c r="DR121" i="1"/>
  <c r="DQ121" i="1"/>
  <c r="DP121" i="1"/>
  <c r="DN121" i="1"/>
  <c r="DO121" i="1" s="1"/>
  <c r="DH121" i="1"/>
  <c r="DC121" i="1"/>
  <c r="CP121" i="1"/>
  <c r="BZ121" i="1"/>
  <c r="BP121" i="1"/>
  <c r="BQ121" i="1" s="1"/>
  <c r="BF121" i="1"/>
  <c r="BE121" i="1"/>
  <c r="BD121" i="1"/>
  <c r="BC121" i="1"/>
  <c r="BB121" i="1"/>
  <c r="BA121" i="1"/>
  <c r="BG121" i="1" s="1" a="1"/>
  <c r="BG121" i="1" s="1"/>
  <c r="AZ121" i="1"/>
  <c r="M121" i="1"/>
  <c r="ER120" i="1"/>
  <c r="EQ120" i="1"/>
  <c r="DZ120" i="1"/>
  <c r="DY120" i="1"/>
  <c r="DS120" i="1"/>
  <c r="DR120" i="1"/>
  <c r="DQ120" i="1"/>
  <c r="DP120" i="1"/>
  <c r="DN120" i="1"/>
  <c r="DO120" i="1" s="1"/>
  <c r="DH120" i="1"/>
  <c r="DC120" i="1"/>
  <c r="CP120" i="1"/>
  <c r="CV120" i="1" s="1"/>
  <c r="BZ120" i="1"/>
  <c r="BP120" i="1"/>
  <c r="BQ120" i="1" s="1"/>
  <c r="BF120" i="1"/>
  <c r="BE120" i="1"/>
  <c r="BD120" i="1"/>
  <c r="BC120" i="1"/>
  <c r="BB120" i="1"/>
  <c r="BA120" i="1"/>
  <c r="BG120" i="1" s="1" a="1"/>
  <c r="BG120" i="1" s="1"/>
  <c r="AZ120" i="1"/>
  <c r="M120" i="1"/>
  <c r="ER119" i="1"/>
  <c r="EQ119" i="1"/>
  <c r="DZ119" i="1"/>
  <c r="DY119" i="1"/>
  <c r="DS119" i="1"/>
  <c r="DR119" i="1"/>
  <c r="DQ119" i="1"/>
  <c r="DP119" i="1"/>
  <c r="DN119" i="1"/>
  <c r="DO119" i="1" s="1"/>
  <c r="DH119" i="1"/>
  <c r="DC119" i="1"/>
  <c r="CP119" i="1"/>
  <c r="CU119" i="1" s="1"/>
  <c r="BZ119" i="1"/>
  <c r="BP119" i="1"/>
  <c r="BQ119" i="1" s="1"/>
  <c r="BF119" i="1"/>
  <c r="BE119" i="1"/>
  <c r="BD119" i="1"/>
  <c r="BC119" i="1"/>
  <c r="BB119" i="1"/>
  <c r="BA119" i="1"/>
  <c r="BG119" i="1" s="1" a="1"/>
  <c r="BG119" i="1" s="1"/>
  <c r="AZ119" i="1"/>
  <c r="M119" i="1"/>
  <c r="ER123" i="1"/>
  <c r="EQ123" i="1"/>
  <c r="DZ123" i="1"/>
  <c r="DY123" i="1"/>
  <c r="DS123" i="1"/>
  <c r="DR123" i="1"/>
  <c r="DQ123" i="1"/>
  <c r="DP123" i="1"/>
  <c r="DN123" i="1"/>
  <c r="DO123" i="1" s="1"/>
  <c r="DH123" i="1"/>
  <c r="DC123" i="1"/>
  <c r="CP123" i="1"/>
  <c r="CV123" i="1" s="1"/>
  <c r="BZ123" i="1"/>
  <c r="BP123" i="1"/>
  <c r="BQ123" i="1" s="1"/>
  <c r="BF123" i="1"/>
  <c r="BE123" i="1"/>
  <c r="BD123" i="1"/>
  <c r="BC123" i="1"/>
  <c r="BB123" i="1"/>
  <c r="BA123" i="1"/>
  <c r="BG123" i="1" s="1" a="1"/>
  <c r="BG123" i="1" s="1"/>
  <c r="AZ123" i="1"/>
  <c r="M123" i="1"/>
  <c r="ER124" i="1"/>
  <c r="EQ124" i="1"/>
  <c r="DZ124" i="1"/>
  <c r="DY124" i="1"/>
  <c r="DS124" i="1"/>
  <c r="DR124" i="1"/>
  <c r="DQ124" i="1"/>
  <c r="DP124" i="1"/>
  <c r="DN124" i="1"/>
  <c r="DO124" i="1" s="1"/>
  <c r="DH124" i="1"/>
  <c r="DC124" i="1"/>
  <c r="CP124" i="1"/>
  <c r="CR124" i="1" s="1"/>
  <c r="BZ124" i="1"/>
  <c r="BP124" i="1"/>
  <c r="BQ124" i="1" s="1"/>
  <c r="BF124" i="1"/>
  <c r="BE124" i="1"/>
  <c r="BD124" i="1"/>
  <c r="BC124" i="1"/>
  <c r="BB124" i="1"/>
  <c r="BA124" i="1"/>
  <c r="BG124" i="1" s="1" a="1"/>
  <c r="BG124" i="1" s="1"/>
  <c r="AZ124" i="1"/>
  <c r="M124" i="1"/>
  <c r="ER127" i="1"/>
  <c r="EQ127" i="1"/>
  <c r="DZ127" i="1"/>
  <c r="DY127" i="1"/>
  <c r="DS127" i="1"/>
  <c r="DR127" i="1"/>
  <c r="DQ127" i="1"/>
  <c r="DP127" i="1"/>
  <c r="DN127" i="1"/>
  <c r="DO127" i="1" s="1"/>
  <c r="DH127" i="1"/>
  <c r="DC127" i="1"/>
  <c r="CP127" i="1"/>
  <c r="CQ127" i="1" s="1"/>
  <c r="BZ127" i="1"/>
  <c r="BP127" i="1"/>
  <c r="BQ127" i="1" s="1"/>
  <c r="BF127" i="1"/>
  <c r="BE127" i="1"/>
  <c r="BD127" i="1"/>
  <c r="BC127" i="1"/>
  <c r="BB127" i="1"/>
  <c r="BA127" i="1"/>
  <c r="BG127" i="1" s="1" a="1"/>
  <c r="BG127" i="1" s="1"/>
  <c r="AZ127" i="1"/>
  <c r="M127" i="1"/>
  <c r="ER122" i="1"/>
  <c r="EQ122" i="1"/>
  <c r="DZ122" i="1"/>
  <c r="DY122" i="1"/>
  <c r="DS122" i="1"/>
  <c r="DR122" i="1"/>
  <c r="DQ122" i="1"/>
  <c r="DP122" i="1"/>
  <c r="DN122" i="1"/>
  <c r="DO122" i="1" s="1"/>
  <c r="DH122" i="1"/>
  <c r="DC122" i="1"/>
  <c r="CP122" i="1"/>
  <c r="CV122" i="1" s="1"/>
  <c r="BZ122" i="1"/>
  <c r="BP122" i="1"/>
  <c r="BQ122" i="1" s="1"/>
  <c r="BF122" i="1"/>
  <c r="BE122" i="1"/>
  <c r="BD122" i="1"/>
  <c r="BC122" i="1"/>
  <c r="BB122" i="1"/>
  <c r="BA122" i="1"/>
  <c r="BG122" i="1" s="1" a="1"/>
  <c r="BG122" i="1" s="1"/>
  <c r="AZ122" i="1"/>
  <c r="M122" i="1"/>
  <c r="ER125" i="1"/>
  <c r="EQ125" i="1"/>
  <c r="DZ125" i="1"/>
  <c r="DY125" i="1"/>
  <c r="DS125" i="1"/>
  <c r="DR125" i="1"/>
  <c r="DQ125" i="1"/>
  <c r="DP125" i="1"/>
  <c r="DN125" i="1"/>
  <c r="DO125" i="1" s="1"/>
  <c r="DH125" i="1"/>
  <c r="DC125" i="1"/>
  <c r="CP125" i="1"/>
  <c r="BZ125" i="1"/>
  <c r="BP125" i="1"/>
  <c r="BQ125" i="1" s="1"/>
  <c r="BF125" i="1"/>
  <c r="BE125" i="1"/>
  <c r="BD125" i="1"/>
  <c r="BC125" i="1"/>
  <c r="BB125" i="1"/>
  <c r="BA125" i="1"/>
  <c r="BG125" i="1" s="1" a="1"/>
  <c r="BG125" i="1" s="1"/>
  <c r="AZ125" i="1"/>
  <c r="M125" i="1"/>
  <c r="ER126" i="1"/>
  <c r="EQ126" i="1"/>
  <c r="DZ126" i="1"/>
  <c r="DY126" i="1"/>
  <c r="DS126" i="1"/>
  <c r="DR126" i="1"/>
  <c r="DQ126" i="1"/>
  <c r="DP126" i="1"/>
  <c r="DN126" i="1"/>
  <c r="DO126" i="1" s="1"/>
  <c r="DH126" i="1"/>
  <c r="DC126" i="1"/>
  <c r="CP126" i="1"/>
  <c r="BZ126" i="1"/>
  <c r="BP126" i="1"/>
  <c r="BQ126" i="1" s="1"/>
  <c r="BF126" i="1"/>
  <c r="BE126" i="1"/>
  <c r="BD126" i="1"/>
  <c r="BC126" i="1"/>
  <c r="BB126" i="1"/>
  <c r="BA126" i="1"/>
  <c r="BG126" i="1" s="1" a="1"/>
  <c r="BG126" i="1" s="1"/>
  <c r="AZ126" i="1"/>
  <c r="M126" i="1"/>
  <c r="ER115" i="1"/>
  <c r="EQ115" i="1"/>
  <c r="DZ115" i="1"/>
  <c r="DY115" i="1"/>
  <c r="DS115" i="1"/>
  <c r="DR115" i="1"/>
  <c r="DQ115" i="1"/>
  <c r="DP115" i="1"/>
  <c r="DN115" i="1"/>
  <c r="DO115" i="1" s="1"/>
  <c r="DH115" i="1"/>
  <c r="DC115" i="1"/>
  <c r="CP115" i="1"/>
  <c r="CV115" i="1" s="1"/>
  <c r="BZ115" i="1"/>
  <c r="BP115" i="1"/>
  <c r="BQ115" i="1" s="1"/>
  <c r="BF115" i="1"/>
  <c r="BE115" i="1"/>
  <c r="BD115" i="1"/>
  <c r="BC115" i="1"/>
  <c r="BB115" i="1"/>
  <c r="BA115" i="1"/>
  <c r="BG115" i="1" s="1" a="1"/>
  <c r="BG115" i="1" s="1"/>
  <c r="AZ115" i="1"/>
  <c r="M115" i="1"/>
  <c r="ER116" i="1"/>
  <c r="EQ116" i="1"/>
  <c r="DZ116" i="1"/>
  <c r="DY116" i="1"/>
  <c r="DS116" i="1"/>
  <c r="DR116" i="1"/>
  <c r="DQ116" i="1"/>
  <c r="DP116" i="1"/>
  <c r="DN116" i="1"/>
  <c r="DO116" i="1" s="1"/>
  <c r="DH116" i="1"/>
  <c r="DC116" i="1"/>
  <c r="CP116" i="1"/>
  <c r="CU116" i="1" s="1"/>
  <c r="BZ116" i="1"/>
  <c r="BP116" i="1"/>
  <c r="BQ116" i="1" s="1"/>
  <c r="BF116" i="1"/>
  <c r="BE116" i="1"/>
  <c r="BD116" i="1"/>
  <c r="BC116" i="1"/>
  <c r="BB116" i="1"/>
  <c r="BA116" i="1"/>
  <c r="BG116" i="1" s="1" a="1"/>
  <c r="BG116" i="1" s="1"/>
  <c r="AZ116" i="1"/>
  <c r="M116" i="1"/>
  <c r="ER117" i="1"/>
  <c r="EQ117" i="1"/>
  <c r="DZ117" i="1"/>
  <c r="DY117" i="1"/>
  <c r="DS117" i="1"/>
  <c r="DR117" i="1"/>
  <c r="DQ117" i="1"/>
  <c r="DP117" i="1"/>
  <c r="DN117" i="1"/>
  <c r="DO117" i="1" s="1"/>
  <c r="DH117" i="1"/>
  <c r="DC117" i="1"/>
  <c r="CP117" i="1"/>
  <c r="CU117" i="1" s="1"/>
  <c r="BZ117" i="1"/>
  <c r="BP117" i="1"/>
  <c r="BQ117" i="1" s="1"/>
  <c r="BF117" i="1"/>
  <c r="BE117" i="1"/>
  <c r="BD117" i="1"/>
  <c r="BC117" i="1"/>
  <c r="BB117" i="1"/>
  <c r="BA117" i="1"/>
  <c r="BG117" i="1" s="1" a="1"/>
  <c r="BG117" i="1" s="1"/>
  <c r="AZ117" i="1"/>
  <c r="M117" i="1"/>
  <c r="ER118" i="1"/>
  <c r="EQ118" i="1"/>
  <c r="DZ118" i="1"/>
  <c r="DY118" i="1"/>
  <c r="DS118" i="1"/>
  <c r="DR118" i="1"/>
  <c r="DQ118" i="1"/>
  <c r="DP118" i="1"/>
  <c r="DN118" i="1"/>
  <c r="DO118" i="1" s="1"/>
  <c r="DH118" i="1"/>
  <c r="DC118" i="1"/>
  <c r="CP118" i="1"/>
  <c r="CR118" i="1" s="1"/>
  <c r="BZ118" i="1"/>
  <c r="BP118" i="1"/>
  <c r="BQ118" i="1" s="1"/>
  <c r="BF118" i="1"/>
  <c r="BE118" i="1"/>
  <c r="BD118" i="1"/>
  <c r="BC118" i="1"/>
  <c r="BB118" i="1"/>
  <c r="BA118" i="1"/>
  <c r="BG118" i="1" s="1" a="1"/>
  <c r="BG118" i="1" s="1"/>
  <c r="AZ118" i="1"/>
  <c r="M118" i="1"/>
  <c r="CX321" i="1" l="1"/>
  <c r="CZ321" i="1"/>
  <c r="CX295" i="1"/>
  <c r="CZ295" i="1"/>
  <c r="CX309" i="1"/>
  <c r="CZ309" i="1"/>
  <c r="CX315" i="1"/>
  <c r="CZ315" i="1"/>
  <c r="CX412" i="1"/>
  <c r="CZ412" i="1"/>
  <c r="CX416" i="1"/>
  <c r="CZ416" i="1"/>
  <c r="CX418" i="1"/>
  <c r="CZ418" i="1"/>
  <c r="CX458" i="1"/>
  <c r="CZ458" i="1"/>
  <c r="CX413" i="1"/>
  <c r="CZ413" i="1"/>
  <c r="CX419" i="1"/>
  <c r="CZ419" i="1"/>
  <c r="CZ455" i="1"/>
  <c r="CX455" i="1"/>
  <c r="CX186" i="1"/>
  <c r="CZ186" i="1"/>
  <c r="CX183" i="1"/>
  <c r="CZ183" i="1"/>
  <c r="CX300" i="1"/>
  <c r="CZ300" i="1"/>
  <c r="CX327" i="1"/>
  <c r="CZ327" i="1"/>
  <c r="CX308" i="1"/>
  <c r="CZ308" i="1"/>
  <c r="CX415" i="1"/>
  <c r="CZ415" i="1"/>
  <c r="CX417" i="1"/>
  <c r="CZ417" i="1"/>
  <c r="CX243" i="1"/>
  <c r="CZ243" i="1"/>
  <c r="CX297" i="1"/>
  <c r="CZ297" i="1"/>
  <c r="CX312" i="1"/>
  <c r="CZ312" i="1"/>
  <c r="CX325" i="1"/>
  <c r="CZ325" i="1"/>
  <c r="CX326" i="1"/>
  <c r="CZ326" i="1"/>
  <c r="CX288" i="1"/>
  <c r="CZ288" i="1"/>
  <c r="CX299" i="1"/>
  <c r="CZ299" i="1"/>
  <c r="CX316" i="1"/>
  <c r="CZ316" i="1"/>
  <c r="CX287" i="1"/>
  <c r="CZ287" i="1"/>
  <c r="CX301" i="1"/>
  <c r="CZ301" i="1"/>
  <c r="CX328" i="1"/>
  <c r="CZ328" i="1"/>
  <c r="CX414" i="1"/>
  <c r="CZ414" i="1"/>
  <c r="CX420" i="1"/>
  <c r="CZ420" i="1"/>
  <c r="CX454" i="1"/>
  <c r="CZ454" i="1"/>
  <c r="BX485" i="1"/>
  <c r="BZ485" i="1" s="1"/>
  <c r="CW485" i="1" s="1"/>
  <c r="CY485" i="1" s="1"/>
  <c r="FA485" i="1" s="1"/>
  <c r="BX202" i="1"/>
  <c r="BZ202" i="1" s="1"/>
  <c r="CW202" i="1" s="1"/>
  <c r="BX478" i="1"/>
  <c r="BZ478" i="1" s="1"/>
  <c r="CA478" i="1" s="1"/>
  <c r="BX480" i="1"/>
  <c r="BZ480" i="1" s="1"/>
  <c r="CA480" i="1" s="1"/>
  <c r="EY480" i="1" s="1"/>
  <c r="CU485" i="1"/>
  <c r="BW483" i="1"/>
  <c r="BX486" i="1"/>
  <c r="BZ486" i="1" s="1"/>
  <c r="CA486" i="1" s="1"/>
  <c r="BW485" i="1"/>
  <c r="CU483" i="1"/>
  <c r="CV478" i="1"/>
  <c r="CV479" i="1"/>
  <c r="CV482" i="1"/>
  <c r="BH120" i="1" a="1"/>
  <c r="BH120" i="1" s="1"/>
  <c r="BH134" i="1" a="1"/>
  <c r="BH134" i="1" s="1"/>
  <c r="BH186" i="1" a="1"/>
  <c r="BH186" i="1" s="1"/>
  <c r="BH191" i="1" a="1"/>
  <c r="BH191" i="1" s="1"/>
  <c r="BH232" i="1" a="1"/>
  <c r="BH232" i="1" s="1"/>
  <c r="BH239" i="1" a="1"/>
  <c r="BH239" i="1" s="1"/>
  <c r="BH247" i="1" a="1"/>
  <c r="BH247" i="1" s="1"/>
  <c r="BH244" i="1" a="1"/>
  <c r="BH244" i="1" s="1"/>
  <c r="BH296" i="1" a="1"/>
  <c r="BH296" i="1" s="1"/>
  <c r="BH310" i="1" a="1"/>
  <c r="BH310" i="1" s="1"/>
  <c r="BG310" i="1" s="1" a="1"/>
  <c r="BG310" i="1" s="1"/>
  <c r="BH300" i="1" a="1"/>
  <c r="BH300" i="1" s="1"/>
  <c r="BG300" i="1" s="1" a="1"/>
  <c r="BG300" i="1" s="1"/>
  <c r="CW148" i="1"/>
  <c r="CY148" i="1" s="1"/>
  <c r="FA148" i="1" s="1"/>
  <c r="BH442" i="1" a="1"/>
  <c r="BH442" i="1" s="1"/>
  <c r="BH241" i="1" a="1"/>
  <c r="BH241" i="1" s="1"/>
  <c r="BH248" i="1" a="1"/>
  <c r="BH248" i="1" s="1"/>
  <c r="BH245" i="1" a="1"/>
  <c r="BH245" i="1" s="1"/>
  <c r="BH286" i="1" a="1"/>
  <c r="BH286" i="1" s="1"/>
  <c r="BG286" i="1" s="1" a="1"/>
  <c r="BG286" i="1" s="1"/>
  <c r="BH274" i="1" a="1"/>
  <c r="BH274" i="1" s="1"/>
  <c r="BH489" i="1" a="1"/>
  <c r="BH489" i="1" s="1"/>
  <c r="BH263" i="1" a="1"/>
  <c r="BH263" i="1" s="1"/>
  <c r="CW272" i="1"/>
  <c r="CY272" i="1" s="1"/>
  <c r="FA272" i="1" s="1"/>
  <c r="BH468" i="1" a="1"/>
  <c r="BH468" i="1" s="1"/>
  <c r="BH466" i="1" a="1"/>
  <c r="BH466" i="1" s="1"/>
  <c r="BH474" i="1" a="1"/>
  <c r="BH474" i="1" s="1"/>
  <c r="BH473" i="1" a="1"/>
  <c r="BH473" i="1" s="1"/>
  <c r="BH472" i="1" a="1"/>
  <c r="BH472" i="1" s="1"/>
  <c r="CW405" i="1"/>
  <c r="CY405" i="1" s="1"/>
  <c r="FA405" i="1" s="1"/>
  <c r="CU189" i="1"/>
  <c r="DA189" i="1" s="1"/>
  <c r="CU197" i="1"/>
  <c r="DA197" i="1" s="1"/>
  <c r="CW345" i="1"/>
  <c r="CY345" i="1" s="1"/>
  <c r="FA345" i="1" s="1"/>
  <c r="BH399" i="1" a="1"/>
  <c r="BH399" i="1" s="1"/>
  <c r="BG399" i="1" s="1" a="1"/>
  <c r="BG399" i="1" s="1"/>
  <c r="BH414" i="1" a="1"/>
  <c r="BH414" i="1" s="1"/>
  <c r="BH422" i="1" a="1"/>
  <c r="BH422" i="1" s="1"/>
  <c r="BH429" i="1" a="1"/>
  <c r="BH429" i="1" s="1"/>
  <c r="BH155" i="1" a="1"/>
  <c r="BH155" i="1" s="1"/>
  <c r="BH162" i="1" a="1"/>
  <c r="BH162" i="1" s="1"/>
  <c r="BH171" i="1" a="1"/>
  <c r="BH171" i="1" s="1"/>
  <c r="BG171" i="1" s="1" a="1"/>
  <c r="BG171" i="1" s="1"/>
  <c r="BH172" i="1" a="1"/>
  <c r="BH172" i="1" s="1"/>
  <c r="BH183" i="1" a="1"/>
  <c r="BH183" i="1" s="1"/>
  <c r="BH269" i="1" a="1"/>
  <c r="BH269" i="1" s="1"/>
  <c r="BG269" i="1" s="1" a="1"/>
  <c r="BG269" i="1" s="1"/>
  <c r="BH281" i="1" a="1"/>
  <c r="BH281" i="1" s="1"/>
  <c r="BG281" i="1" s="1" a="1"/>
  <c r="BG281" i="1" s="1"/>
  <c r="BH374" i="1" a="1"/>
  <c r="BH374" i="1" s="1"/>
  <c r="BG374" i="1" s="1" a="1"/>
  <c r="BG374" i="1" s="1"/>
  <c r="BH367" i="1" a="1"/>
  <c r="BH367" i="1" s="1"/>
  <c r="BG367" i="1" s="1" a="1"/>
  <c r="BG367" i="1" s="1"/>
  <c r="CU316" i="1"/>
  <c r="CU315" i="1"/>
  <c r="BH116" i="1" a="1"/>
  <c r="BH116" i="1" s="1"/>
  <c r="BH119" i="1" a="1"/>
  <c r="BH119" i="1" s="1"/>
  <c r="BH142" i="1" a="1"/>
  <c r="BH142" i="1" s="1"/>
  <c r="BG142" i="1" s="1" a="1"/>
  <c r="BG142" i="1" s="1"/>
  <c r="BH159" i="1" a="1"/>
  <c r="BH159" i="1" s="1"/>
  <c r="BH163" i="1" a="1"/>
  <c r="BH163" i="1" s="1"/>
  <c r="BH167" i="1" a="1"/>
  <c r="BH167" i="1" s="1"/>
  <c r="BG167" i="1" s="1" a="1"/>
  <c r="BG167" i="1" s="1"/>
  <c r="BH137" i="1" a="1"/>
  <c r="BH137" i="1" s="1"/>
  <c r="EY362" i="1"/>
  <c r="BH295" i="1" a="1"/>
  <c r="BH295" i="1" s="1"/>
  <c r="BH302" i="1" a="1"/>
  <c r="BH302" i="1" s="1"/>
  <c r="BG302" i="1" s="1" a="1"/>
  <c r="BG302" i="1" s="1"/>
  <c r="BH319" i="1" a="1"/>
  <c r="BH319" i="1" s="1"/>
  <c r="BG319" i="1" s="1" a="1"/>
  <c r="BG319" i="1" s="1"/>
  <c r="BH332" i="1" a="1"/>
  <c r="BH332" i="1" s="1"/>
  <c r="BH353" i="1" a="1"/>
  <c r="BH353" i="1" s="1"/>
  <c r="BH361" i="1" a="1"/>
  <c r="BH361" i="1" s="1"/>
  <c r="BH362" i="1" a="1"/>
  <c r="BH362" i="1" s="1"/>
  <c r="BH363" i="1" a="1"/>
  <c r="BH363" i="1" s="1"/>
  <c r="BH358" i="1" a="1"/>
  <c r="BH358" i="1" s="1"/>
  <c r="BH359" i="1" a="1"/>
  <c r="BH359" i="1" s="1"/>
  <c r="BH360" i="1" a="1"/>
  <c r="BH360" i="1" s="1"/>
  <c r="BH392" i="1" a="1"/>
  <c r="BH392" i="1" s="1"/>
  <c r="BG392" i="1" s="1" a="1"/>
  <c r="BG392" i="1" s="1"/>
  <c r="BH384" i="1" a="1"/>
  <c r="BH384" i="1" s="1"/>
  <c r="BG384" i="1" s="1" a="1"/>
  <c r="BG384" i="1" s="1"/>
  <c r="BH490" i="1" a="1"/>
  <c r="BH490" i="1" s="1"/>
  <c r="BH128" i="1" a="1"/>
  <c r="BH128" i="1" s="1"/>
  <c r="BH200" i="1" a="1"/>
  <c r="BH200" i="1" s="1"/>
  <c r="BH213" i="1" a="1"/>
  <c r="BH213" i="1" s="1"/>
  <c r="BH225" i="1" a="1"/>
  <c r="BH225" i="1" s="1"/>
  <c r="BH240" i="1" a="1"/>
  <c r="BH240" i="1" s="1"/>
  <c r="BH187" i="1" a="1"/>
  <c r="BH187" i="1" s="1"/>
  <c r="BH189" i="1" a="1"/>
  <c r="BH189" i="1" s="1"/>
  <c r="BH197" i="1" a="1"/>
  <c r="BH197" i="1" s="1"/>
  <c r="BH194" i="1" a="1"/>
  <c r="BH194" i="1" s="1"/>
  <c r="BH214" i="1" a="1"/>
  <c r="BH214" i="1" s="1"/>
  <c r="BH226" i="1" a="1"/>
  <c r="BH226" i="1" s="1"/>
  <c r="BH230" i="1" a="1"/>
  <c r="BH230" i="1" s="1"/>
  <c r="BH268" i="1" a="1"/>
  <c r="BH268" i="1" s="1"/>
  <c r="BG268" i="1" s="1" a="1"/>
  <c r="BG268" i="1" s="1"/>
  <c r="BH270" i="1" a="1"/>
  <c r="BH270" i="1" s="1"/>
  <c r="BG270" i="1" s="1" a="1"/>
  <c r="BG270" i="1" s="1"/>
  <c r="BH273" i="1" a="1"/>
  <c r="BH273" i="1" s="1"/>
  <c r="BH371" i="1" a="1"/>
  <c r="BH371" i="1" s="1"/>
  <c r="BG371" i="1" s="1" a="1"/>
  <c r="BG371" i="1" s="1"/>
  <c r="BH405" i="1" a="1"/>
  <c r="BH405" i="1" s="1"/>
  <c r="BG405" i="1" s="1" a="1"/>
  <c r="BG405" i="1" s="1"/>
  <c r="BH404" i="1" a="1"/>
  <c r="BH404" i="1" s="1"/>
  <c r="BG404" i="1" s="1" a="1"/>
  <c r="BG404" i="1" s="1"/>
  <c r="BH406" i="1" a="1"/>
  <c r="BH406" i="1" s="1"/>
  <c r="BH420" i="1" a="1"/>
  <c r="BH420" i="1" s="1"/>
  <c r="BH424" i="1" a="1"/>
  <c r="BH424" i="1" s="1"/>
  <c r="BH483" i="1" a="1"/>
  <c r="BH483" i="1" s="1"/>
  <c r="BH482" i="1" a="1"/>
  <c r="BH482" i="1" s="1"/>
  <c r="BH324" i="1" a="1"/>
  <c r="BH324" i="1" s="1"/>
  <c r="BH326" i="1" a="1"/>
  <c r="BH326" i="1" s="1"/>
  <c r="BH333" i="1" a="1"/>
  <c r="BH333" i="1" s="1"/>
  <c r="BH389" i="1" a="1"/>
  <c r="BH389" i="1" s="1"/>
  <c r="BH380" i="1" a="1"/>
  <c r="BH380" i="1" s="1"/>
  <c r="BG380" i="1" s="1" a="1"/>
  <c r="BG380" i="1" s="1"/>
  <c r="BH456" i="1" a="1"/>
  <c r="BH456" i="1" s="1"/>
  <c r="BH458" i="1" a="1"/>
  <c r="BH458" i="1" s="1"/>
  <c r="BH457" i="1" a="1"/>
  <c r="BH457" i="1" s="1"/>
  <c r="BH135" i="1" a="1"/>
  <c r="BH135" i="1" s="1"/>
  <c r="BH150" i="1" a="1"/>
  <c r="BH150" i="1" s="1"/>
  <c r="BH154" i="1" a="1"/>
  <c r="BH154" i="1" s="1"/>
  <c r="BH165" i="1" a="1"/>
  <c r="BH165" i="1" s="1"/>
  <c r="BH169" i="1" a="1"/>
  <c r="BH169" i="1" s="1"/>
  <c r="BH173" i="1" a="1"/>
  <c r="BH173" i="1" s="1"/>
  <c r="BH176" i="1" a="1"/>
  <c r="BH176" i="1" s="1"/>
  <c r="BH242" i="1" a="1"/>
  <c r="BH242" i="1" s="1"/>
  <c r="BH249" i="1" a="1"/>
  <c r="BH249" i="1" s="1"/>
  <c r="CW267" i="1"/>
  <c r="BH282" i="1" a="1"/>
  <c r="BH282" i="1" s="1"/>
  <c r="BG282" i="1" s="1" a="1"/>
  <c r="BG282" i="1" s="1"/>
  <c r="BH278" i="1" a="1"/>
  <c r="BH278" i="1" s="1"/>
  <c r="BH289" i="1" a="1"/>
  <c r="BH289" i="1" s="1"/>
  <c r="CW450" i="1"/>
  <c r="CY450" i="1" s="1"/>
  <c r="FA450" i="1" s="1"/>
  <c r="BH451" i="1" a="1"/>
  <c r="BH451" i="1" s="1"/>
  <c r="CU451" i="1"/>
  <c r="DA451" i="1" s="1"/>
  <c r="BH487" i="1" a="1"/>
  <c r="BH487" i="1" s="1"/>
  <c r="BH139" i="1" a="1"/>
  <c r="BH139" i="1" s="1"/>
  <c r="BH138" i="1" a="1"/>
  <c r="BH138" i="1" s="1"/>
  <c r="BH192" i="1" a="1"/>
  <c r="BH192" i="1" s="1"/>
  <c r="BH206" i="1" a="1"/>
  <c r="BH206" i="1" s="1"/>
  <c r="BH209" i="1" a="1"/>
  <c r="BH209" i="1" s="1"/>
  <c r="BH222" i="1" a="1"/>
  <c r="BH222" i="1" s="1"/>
  <c r="BG222" i="1" s="1" a="1"/>
  <c r="BG222" i="1" s="1"/>
  <c r="CW385" i="1"/>
  <c r="CY385" i="1" s="1"/>
  <c r="FA385" i="1" s="1"/>
  <c r="CA469" i="1"/>
  <c r="BH488" i="1" a="1"/>
  <c r="BH488" i="1" s="1"/>
  <c r="BH122" i="1" a="1"/>
  <c r="BH122" i="1" s="1"/>
  <c r="BH133" i="1" a="1"/>
  <c r="BH133" i="1" s="1"/>
  <c r="BH143" i="1" a="1"/>
  <c r="BH143" i="1" s="1"/>
  <c r="BG143" i="1" s="1" a="1"/>
  <c r="BG143" i="1" s="1"/>
  <c r="BH153" i="1" a="1"/>
  <c r="BH153" i="1" s="1"/>
  <c r="CA155" i="1"/>
  <c r="BH158" i="1" a="1"/>
  <c r="BH158" i="1" s="1"/>
  <c r="BH177" i="1" a="1"/>
  <c r="BH177" i="1" s="1"/>
  <c r="BH181" i="1" a="1"/>
  <c r="BH181" i="1" s="1"/>
  <c r="BH199" i="1" a="1"/>
  <c r="BH199" i="1" s="1"/>
  <c r="BH193" i="1" a="1"/>
  <c r="BH193" i="1" s="1"/>
  <c r="BH204" i="1" a="1"/>
  <c r="BH204" i="1" s="1"/>
  <c r="BH210" i="1" a="1"/>
  <c r="BH210" i="1" s="1"/>
  <c r="BH221" i="1" a="1"/>
  <c r="BH221" i="1" s="1"/>
  <c r="BG221" i="1" s="1" a="1"/>
  <c r="BG221" i="1" s="1"/>
  <c r="BH227" i="1" a="1"/>
  <c r="BH227" i="1" s="1"/>
  <c r="CW233" i="1"/>
  <c r="CY233" i="1" s="1"/>
  <c r="FA233" i="1" s="1"/>
  <c r="BH234" i="1" a="1"/>
  <c r="BH234" i="1" s="1"/>
  <c r="BH246" i="1" a="1"/>
  <c r="BH246" i="1" s="1"/>
  <c r="BH262" i="1" a="1"/>
  <c r="BH262" i="1" s="1"/>
  <c r="BH266" i="1" a="1"/>
  <c r="BH266" i="1" s="1"/>
  <c r="BG266" i="1" s="1" a="1"/>
  <c r="BG266" i="1" s="1"/>
  <c r="BH280" i="1" a="1"/>
  <c r="BH280" i="1" s="1"/>
  <c r="BG280" i="1" s="1" a="1"/>
  <c r="BG280" i="1" s="1"/>
  <c r="BH284" i="1" a="1"/>
  <c r="BH284" i="1" s="1"/>
  <c r="BG284" i="1" s="1" a="1"/>
  <c r="BG284" i="1" s="1"/>
  <c r="BH283" i="1" a="1"/>
  <c r="BH283" i="1" s="1"/>
  <c r="BG283" i="1" s="1" a="1"/>
  <c r="BG283" i="1" s="1"/>
  <c r="BH272" i="1" a="1"/>
  <c r="BH272" i="1" s="1"/>
  <c r="BH294" i="1" a="1"/>
  <c r="BH294" i="1" s="1"/>
  <c r="BH305" i="1" a="1"/>
  <c r="BH305" i="1" s="1"/>
  <c r="BG305" i="1" s="1" a="1"/>
  <c r="BG305" i="1" s="1"/>
  <c r="BH317" i="1" a="1"/>
  <c r="BH317" i="1" s="1"/>
  <c r="BG317" i="1" s="1" a="1"/>
  <c r="BG317" i="1" s="1"/>
  <c r="BH331" i="1" a="1"/>
  <c r="BH331" i="1" s="1"/>
  <c r="BG331" i="1" s="1" a="1"/>
  <c r="BG331" i="1" s="1"/>
  <c r="BH337" i="1" a="1"/>
  <c r="BH337" i="1" s="1"/>
  <c r="BH343" i="1" a="1"/>
  <c r="BH343" i="1" s="1"/>
  <c r="BH351" i="1" a="1"/>
  <c r="BH351" i="1" s="1"/>
  <c r="BH350" i="1" a="1"/>
  <c r="BH350" i="1" s="1"/>
  <c r="BH352" i="1" a="1"/>
  <c r="BH352" i="1" s="1"/>
  <c r="BH395" i="1" a="1"/>
  <c r="BH395" i="1" s="1"/>
  <c r="BG395" i="1" s="1" a="1"/>
  <c r="BG395" i="1" s="1"/>
  <c r="BH394" i="1" a="1"/>
  <c r="BH394" i="1" s="1"/>
  <c r="BG394" i="1" s="1" a="1"/>
  <c r="BG394" i="1" s="1"/>
  <c r="BH393" i="1" a="1"/>
  <c r="BH393" i="1" s="1"/>
  <c r="BG393" i="1" s="1" a="1"/>
  <c r="BG393" i="1" s="1"/>
  <c r="BH385" i="1" a="1"/>
  <c r="BH385" i="1" s="1"/>
  <c r="BG385" i="1" s="1" a="1"/>
  <c r="BG385" i="1" s="1"/>
  <c r="BH377" i="1" a="1"/>
  <c r="BH377" i="1" s="1"/>
  <c r="BG377" i="1" s="1" a="1"/>
  <c r="BG377" i="1" s="1"/>
  <c r="BH368" i="1" a="1"/>
  <c r="BH368" i="1" s="1"/>
  <c r="BG368" i="1" s="1" a="1"/>
  <c r="BG368" i="1" s="1"/>
  <c r="BH401" i="1" a="1"/>
  <c r="BH401" i="1" s="1"/>
  <c r="BG401" i="1" s="1" a="1"/>
  <c r="BG401" i="1" s="1"/>
  <c r="BH413" i="1" a="1"/>
  <c r="BH413" i="1" s="1"/>
  <c r="BH421" i="1" a="1"/>
  <c r="BH421" i="1" s="1"/>
  <c r="BH433" i="1" a="1"/>
  <c r="BH433" i="1" s="1"/>
  <c r="BH437" i="1" a="1"/>
  <c r="BH437" i="1" s="1"/>
  <c r="BH443" i="1" a="1"/>
  <c r="BH443" i="1" s="1"/>
  <c r="BH452" i="1" a="1"/>
  <c r="BH452" i="1" s="1"/>
  <c r="BH455" i="1" a="1"/>
  <c r="BH455" i="1" s="1"/>
  <c r="BH453" i="1" a="1"/>
  <c r="BH453" i="1" s="1"/>
  <c r="BH454" i="1" a="1"/>
  <c r="BH454" i="1" s="1"/>
  <c r="BH462" i="1" a="1"/>
  <c r="BH462" i="1" s="1"/>
  <c r="BH461" i="1" a="1"/>
  <c r="BH461" i="1" s="1"/>
  <c r="BH459" i="1" a="1"/>
  <c r="BH459" i="1" s="1"/>
  <c r="BH485" i="1" a="1"/>
  <c r="BH485" i="1" s="1"/>
  <c r="BH125" i="1" a="1"/>
  <c r="BH125" i="1" s="1"/>
  <c r="BH131" i="1" a="1"/>
  <c r="BH131" i="1" s="1"/>
  <c r="BH136" i="1" a="1"/>
  <c r="BH136" i="1" s="1"/>
  <c r="BH149" i="1" a="1"/>
  <c r="BH149" i="1" s="1"/>
  <c r="BH157" i="1" a="1"/>
  <c r="BH157" i="1" s="1"/>
  <c r="BH185" i="1" a="1"/>
  <c r="BH185" i="1" s="1"/>
  <c r="BH202" i="1" a="1"/>
  <c r="BH202" i="1" s="1"/>
  <c r="BH205" i="1" a="1"/>
  <c r="BH205" i="1" s="1"/>
  <c r="BH211" i="1" a="1"/>
  <c r="BH211" i="1" s="1"/>
  <c r="BH207" i="1" a="1"/>
  <c r="BH207" i="1" s="1"/>
  <c r="BH220" i="1" a="1"/>
  <c r="BH220" i="1" s="1"/>
  <c r="BG220" i="1" s="1" a="1"/>
  <c r="BG220" i="1" s="1"/>
  <c r="BH306" i="1" a="1"/>
  <c r="BH306" i="1" s="1"/>
  <c r="BG306" i="1" s="1" a="1"/>
  <c r="BG306" i="1" s="1"/>
  <c r="BH313" i="1" a="1"/>
  <c r="BH313" i="1" s="1"/>
  <c r="BH320" i="1" a="1"/>
  <c r="BH320" i="1" s="1"/>
  <c r="BG320" i="1" s="1" a="1"/>
  <c r="BG320" i="1" s="1"/>
  <c r="BH318" i="1" a="1"/>
  <c r="BH318" i="1" s="1"/>
  <c r="BG318" i="1" s="1" a="1"/>
  <c r="BG318" i="1" s="1"/>
  <c r="BH316" i="1" a="1"/>
  <c r="BH316" i="1" s="1"/>
  <c r="BG316" i="1" s="1" a="1"/>
  <c r="BG316" i="1" s="1"/>
  <c r="BH315" i="1" a="1"/>
  <c r="BH315" i="1" s="1"/>
  <c r="BG315" i="1" s="1" a="1"/>
  <c r="BG315" i="1" s="1"/>
  <c r="BH314" i="1" a="1"/>
  <c r="BH314" i="1" s="1"/>
  <c r="BG314" i="1" s="1" a="1"/>
  <c r="BG314" i="1" s="1"/>
  <c r="BH336" i="1" a="1"/>
  <c r="BH336" i="1" s="1"/>
  <c r="BH387" i="1" a="1"/>
  <c r="BH387" i="1" s="1"/>
  <c r="BG387" i="1" s="1" a="1"/>
  <c r="BG387" i="1" s="1"/>
  <c r="BH376" i="1" a="1"/>
  <c r="BH376" i="1" s="1"/>
  <c r="BG376" i="1" s="1" a="1"/>
  <c r="BG376" i="1" s="1"/>
  <c r="BH369" i="1" a="1"/>
  <c r="BH369" i="1" s="1"/>
  <c r="BG369" i="1" s="1" a="1"/>
  <c r="BG369" i="1" s="1"/>
  <c r="BH402" i="1" a="1"/>
  <c r="BH402" i="1" s="1"/>
  <c r="BG402" i="1" s="1" a="1"/>
  <c r="BG402" i="1" s="1"/>
  <c r="BH412" i="1" a="1"/>
  <c r="BH412" i="1" s="1"/>
  <c r="BH418" i="1" a="1"/>
  <c r="BH418" i="1" s="1"/>
  <c r="BH428" i="1" a="1"/>
  <c r="BH428" i="1" s="1"/>
  <c r="BG428" i="1" s="1" a="1"/>
  <c r="BG428" i="1" s="1"/>
  <c r="BH444" i="1" a="1"/>
  <c r="BH444" i="1" s="1"/>
  <c r="BH480" i="1" a="1"/>
  <c r="BH480" i="1" s="1"/>
  <c r="BG480" i="1" s="1" a="1"/>
  <c r="BG480" i="1" s="1"/>
  <c r="BH486" i="1" a="1"/>
  <c r="BH486" i="1" s="1"/>
  <c r="BH484" i="1" a="1"/>
  <c r="BH484" i="1" s="1"/>
  <c r="BH491" i="1" a="1"/>
  <c r="BH491" i="1" s="1"/>
  <c r="BG491" i="1" s="1" a="1"/>
  <c r="BG491" i="1" s="1"/>
  <c r="BH144" i="1" a="1"/>
  <c r="BH144" i="1" s="1"/>
  <c r="BG144" i="1" s="1" a="1"/>
  <c r="BG144" i="1" s="1"/>
  <c r="BH164" i="1" a="1"/>
  <c r="BH164" i="1" s="1"/>
  <c r="BH170" i="1" a="1"/>
  <c r="BH170" i="1" s="1"/>
  <c r="BG170" i="1" s="1" a="1"/>
  <c r="BG170" i="1" s="1"/>
  <c r="CW116" i="1"/>
  <c r="BH126" i="1" a="1"/>
  <c r="BH126" i="1" s="1"/>
  <c r="CW120" i="1"/>
  <c r="BH132" i="1" a="1"/>
  <c r="BH132" i="1" s="1"/>
  <c r="BH145" i="1" a="1"/>
  <c r="BH145" i="1" s="1"/>
  <c r="BG145" i="1" s="1" a="1"/>
  <c r="BG145" i="1" s="1"/>
  <c r="BH151" i="1" a="1"/>
  <c r="BH151" i="1" s="1"/>
  <c r="BH156" i="1" a="1"/>
  <c r="BH156" i="1" s="1"/>
  <c r="BH178" i="1" a="1"/>
  <c r="BH178" i="1" s="1"/>
  <c r="BH184" i="1" a="1"/>
  <c r="BH184" i="1" s="1"/>
  <c r="BH188" i="1" a="1"/>
  <c r="BH188" i="1" s="1"/>
  <c r="BH196" i="1" a="1"/>
  <c r="BH196" i="1" s="1"/>
  <c r="BH203" i="1" a="1"/>
  <c r="BH203" i="1" s="1"/>
  <c r="BH216" i="1" a="1"/>
  <c r="BH216" i="1" s="1"/>
  <c r="BH215" i="1" a="1"/>
  <c r="BH215" i="1" s="1"/>
  <c r="BH212" i="1" a="1"/>
  <c r="BH212" i="1" s="1"/>
  <c r="BH208" i="1" a="1"/>
  <c r="BH208" i="1" s="1"/>
  <c r="BH219" i="1" a="1"/>
  <c r="BH219" i="1" s="1"/>
  <c r="BG219" i="1" s="1" a="1"/>
  <c r="BG219" i="1" s="1"/>
  <c r="BH229" i="1" a="1"/>
  <c r="BH229" i="1" s="1"/>
  <c r="BH233" i="1" a="1"/>
  <c r="BH233" i="1" s="1"/>
  <c r="BH238" i="1" a="1"/>
  <c r="BH238" i="1" s="1"/>
  <c r="BH259" i="1" a="1"/>
  <c r="BH259" i="1" s="1"/>
  <c r="BH267" i="1" a="1"/>
  <c r="BH267" i="1" s="1"/>
  <c r="BG267" i="1" s="1" a="1"/>
  <c r="BG267" i="1" s="1"/>
  <c r="BH279" i="1" a="1"/>
  <c r="BH279" i="1" s="1"/>
  <c r="BG279" i="1" s="1" a="1"/>
  <c r="BG279" i="1" s="1"/>
  <c r="BH277" i="1" a="1"/>
  <c r="BH277" i="1" s="1"/>
  <c r="BH290" i="1" a="1"/>
  <c r="BH290" i="1" s="1"/>
  <c r="CW290" i="1"/>
  <c r="CY290" i="1" s="1"/>
  <c r="FA290" i="1" s="1"/>
  <c r="BH291" i="1" a="1"/>
  <c r="BH291" i="1" s="1"/>
  <c r="BH308" i="1" a="1"/>
  <c r="BH308" i="1" s="1"/>
  <c r="BG308" i="1" s="1" a="1"/>
  <c r="BG308" i="1" s="1"/>
  <c r="BH299" i="1" a="1"/>
  <c r="BH299" i="1" s="1"/>
  <c r="BG299" i="1" s="1" a="1"/>
  <c r="BG299" i="1" s="1"/>
  <c r="BH330" i="1" a="1"/>
  <c r="BH330" i="1" s="1"/>
  <c r="BG330" i="1" s="1" a="1"/>
  <c r="BG330" i="1" s="1"/>
  <c r="BH334" i="1" a="1"/>
  <c r="BH334" i="1" s="1"/>
  <c r="BH340" i="1" a="1"/>
  <c r="BH340" i="1" s="1"/>
  <c r="BH346" i="1" a="1"/>
  <c r="BH346" i="1" s="1"/>
  <c r="BH344" i="1" a="1"/>
  <c r="BH344" i="1" s="1"/>
  <c r="BH386" i="1" a="1"/>
  <c r="BH386" i="1" s="1"/>
  <c r="BG386" i="1" s="1" a="1"/>
  <c r="BG386" i="1" s="1"/>
  <c r="BH379" i="1" a="1"/>
  <c r="BH379" i="1" s="1"/>
  <c r="BG379" i="1" s="1" a="1"/>
  <c r="BG379" i="1" s="1"/>
  <c r="BH378" i="1" a="1"/>
  <c r="BH378" i="1" s="1"/>
  <c r="BG378" i="1" s="1" a="1"/>
  <c r="BG378" i="1" s="1"/>
  <c r="BH370" i="1" a="1"/>
  <c r="BH370" i="1" s="1"/>
  <c r="BG370" i="1" s="1" a="1"/>
  <c r="BG370" i="1" s="1"/>
  <c r="BH403" i="1" a="1"/>
  <c r="BH403" i="1" s="1"/>
  <c r="BG403" i="1" s="1" a="1"/>
  <c r="BG403" i="1" s="1"/>
  <c r="BH411" i="1" a="1"/>
  <c r="BH411" i="1" s="1"/>
  <c r="BG411" i="1" s="1" a="1"/>
  <c r="BG411" i="1" s="1"/>
  <c r="BH409" i="1" a="1"/>
  <c r="BH409" i="1" s="1"/>
  <c r="BG409" i="1" s="1" a="1"/>
  <c r="BG409" i="1" s="1"/>
  <c r="BH410" i="1" a="1"/>
  <c r="BH410" i="1" s="1"/>
  <c r="BG410" i="1" s="1" a="1"/>
  <c r="BG410" i="1" s="1"/>
  <c r="BH408" i="1" a="1"/>
  <c r="BH408" i="1" s="1"/>
  <c r="BG408" i="1" s="1" a="1"/>
  <c r="BG408" i="1" s="1"/>
  <c r="BH407" i="1" a="1"/>
  <c r="BH407" i="1" s="1"/>
  <c r="BG407" i="1" s="1" a="1"/>
  <c r="BG407" i="1" s="1"/>
  <c r="BH417" i="1" a="1"/>
  <c r="BH417" i="1" s="1"/>
  <c r="BH425" i="1" a="1"/>
  <c r="BH425" i="1" s="1"/>
  <c r="BH432" i="1" a="1"/>
  <c r="BH432" i="1" s="1"/>
  <c r="BH436" i="1" a="1"/>
  <c r="BH436" i="1" s="1"/>
  <c r="BH445" i="1" a="1"/>
  <c r="BH445" i="1" s="1"/>
  <c r="BH460" i="1" a="1"/>
  <c r="BH460" i="1" s="1"/>
  <c r="BH476" i="1" a="1"/>
  <c r="BH476" i="1" s="1"/>
  <c r="BH475" i="1" a="1"/>
  <c r="BH475" i="1" s="1"/>
  <c r="BH477" i="1" a="1"/>
  <c r="BH477" i="1" s="1"/>
  <c r="BH463" i="1" a="1"/>
  <c r="BH463" i="1" s="1"/>
  <c r="BH470" i="1" a="1"/>
  <c r="BH470" i="1" s="1"/>
  <c r="BH467" i="1" a="1"/>
  <c r="BH467" i="1" s="1"/>
  <c r="BH465" i="1" a="1"/>
  <c r="BH465" i="1" s="1"/>
  <c r="BH464" i="1" a="1"/>
  <c r="BH464" i="1" s="1"/>
  <c r="BH471" i="1" a="1"/>
  <c r="BH471" i="1" s="1"/>
  <c r="BH478" i="1" a="1"/>
  <c r="BH478" i="1" s="1"/>
  <c r="BH492" i="1" a="1"/>
  <c r="BH492" i="1" s="1"/>
  <c r="BG492" i="1" s="1" a="1"/>
  <c r="BG492" i="1" s="1"/>
  <c r="BH469" i="1" a="1"/>
  <c r="BH469" i="1" s="1"/>
  <c r="BH479" i="1" a="1"/>
  <c r="BH479" i="1" s="1"/>
  <c r="BH260" i="1" a="1"/>
  <c r="BH260" i="1" s="1"/>
  <c r="BH275" i="1" a="1"/>
  <c r="BH275" i="1" s="1"/>
  <c r="BH287" i="1" a="1"/>
  <c r="BH287" i="1" s="1"/>
  <c r="BH311" i="1" a="1"/>
  <c r="BH311" i="1" s="1"/>
  <c r="BG311" i="1" s="1" a="1"/>
  <c r="BG311" i="1" s="1"/>
  <c r="BH323" i="1" a="1"/>
  <c r="BH323" i="1" s="1"/>
  <c r="BG323" i="1" s="1" a="1"/>
  <c r="BG323" i="1" s="1"/>
  <c r="BH328" i="1" a="1"/>
  <c r="BH328" i="1" s="1"/>
  <c r="BH325" i="1" a="1"/>
  <c r="BH325" i="1" s="1"/>
  <c r="BH327" i="1" a="1"/>
  <c r="BH327" i="1" s="1"/>
  <c r="BH329" i="1" a="1"/>
  <c r="BH329" i="1" s="1"/>
  <c r="BH339" i="1" a="1"/>
  <c r="BH339" i="1" s="1"/>
  <c r="BH341" i="1" a="1"/>
  <c r="BH341" i="1" s="1"/>
  <c r="BH348" i="1" a="1"/>
  <c r="BH348" i="1" s="1"/>
  <c r="BH345" i="1" a="1"/>
  <c r="BH345" i="1" s="1"/>
  <c r="EY353" i="1"/>
  <c r="BH388" i="1" a="1"/>
  <c r="BH388" i="1" s="1"/>
  <c r="BG388" i="1" s="1" a="1"/>
  <c r="BG388" i="1" s="1"/>
  <c r="BH381" i="1" a="1"/>
  <c r="BH381" i="1" s="1"/>
  <c r="BG381" i="1" s="1" a="1"/>
  <c r="BG381" i="1" s="1"/>
  <c r="BH372" i="1" a="1"/>
  <c r="BH372" i="1" s="1"/>
  <c r="BG372" i="1" s="1" a="1"/>
  <c r="BG372" i="1" s="1"/>
  <c r="BH364" i="1" a="1"/>
  <c r="BH364" i="1" s="1"/>
  <c r="BG364" i="1" s="1" a="1"/>
  <c r="BG364" i="1" s="1"/>
  <c r="BH397" i="1" a="1"/>
  <c r="BH397" i="1" s="1"/>
  <c r="BG397" i="1" s="1" a="1"/>
  <c r="BG397" i="1" s="1"/>
  <c r="BH419" i="1" a="1"/>
  <c r="BH419" i="1" s="1"/>
  <c r="BH423" i="1" a="1"/>
  <c r="BH423" i="1" s="1"/>
  <c r="BH431" i="1" a="1"/>
  <c r="BH431" i="1" s="1"/>
  <c r="BH435" i="1" a="1"/>
  <c r="BH435" i="1" s="1"/>
  <c r="BH439" i="1" a="1"/>
  <c r="BH439" i="1" s="1"/>
  <c r="BH449" i="1" a="1"/>
  <c r="BH449" i="1" s="1"/>
  <c r="BH448" i="1" a="1"/>
  <c r="BH448" i="1" s="1"/>
  <c r="BH447" i="1" a="1"/>
  <c r="BH447" i="1" s="1"/>
  <c r="BH117" i="1" a="1"/>
  <c r="BH117" i="1" s="1"/>
  <c r="BH123" i="1" a="1"/>
  <c r="BH123" i="1" s="1"/>
  <c r="BH130" i="1" a="1"/>
  <c r="BH130" i="1" s="1"/>
  <c r="BH140" i="1" a="1"/>
  <c r="BH140" i="1" s="1"/>
  <c r="BH146" i="1" a="1"/>
  <c r="BH146" i="1" s="1"/>
  <c r="BG146" i="1" s="1" a="1"/>
  <c r="BG146" i="1" s="1"/>
  <c r="BH161" i="1" a="1"/>
  <c r="BH161" i="1" s="1"/>
  <c r="BH166" i="1" a="1"/>
  <c r="BH166" i="1" s="1"/>
  <c r="BH168" i="1" a="1"/>
  <c r="BH168" i="1" s="1"/>
  <c r="BH174" i="1" a="1"/>
  <c r="BH174" i="1" s="1"/>
  <c r="BH180" i="1" a="1"/>
  <c r="BH180" i="1" s="1"/>
  <c r="BG180" i="1" s="1" a="1"/>
  <c r="BG180" i="1" s="1"/>
  <c r="BH182" i="1" a="1"/>
  <c r="BH182" i="1" s="1"/>
  <c r="BH201" i="1" a="1"/>
  <c r="BH201" i="1" s="1"/>
  <c r="BH217" i="1" a="1"/>
  <c r="BH217" i="1" s="1"/>
  <c r="BH224" i="1" a="1"/>
  <c r="BH224" i="1" s="1"/>
  <c r="BG224" i="1" s="1" a="1"/>
  <c r="BG224" i="1" s="1"/>
  <c r="BH237" i="1" a="1"/>
  <c r="BH237" i="1" s="1"/>
  <c r="BG237" i="1" s="1" a="1"/>
  <c r="BG237" i="1" s="1"/>
  <c r="BH250" i="1" a="1"/>
  <c r="BH250" i="1" s="1"/>
  <c r="BH243" i="1" a="1"/>
  <c r="BH243" i="1" s="1"/>
  <c r="BH258" i="1" a="1"/>
  <c r="BH258" i="1" s="1"/>
  <c r="BH264" i="1" a="1"/>
  <c r="BH264" i="1" s="1"/>
  <c r="BH265" i="1" a="1"/>
  <c r="BH265" i="1" s="1"/>
  <c r="BG265" i="1" s="1" a="1"/>
  <c r="BG265" i="1" s="1"/>
  <c r="BH276" i="1" a="1"/>
  <c r="BH276" i="1" s="1"/>
  <c r="BH288" i="1" a="1"/>
  <c r="BH288" i="1" s="1"/>
  <c r="BH309" i="1" a="1"/>
  <c r="BH309" i="1" s="1"/>
  <c r="BG309" i="1" s="1" a="1"/>
  <c r="BG309" i="1" s="1"/>
  <c r="BH307" i="1" a="1"/>
  <c r="BH307" i="1" s="1"/>
  <c r="BG307" i="1" s="1" a="1"/>
  <c r="BG307" i="1" s="1"/>
  <c r="BH304" i="1" a="1"/>
  <c r="BH304" i="1" s="1"/>
  <c r="BG304" i="1" s="1" a="1"/>
  <c r="BG304" i="1" s="1"/>
  <c r="BH303" i="1" a="1"/>
  <c r="BH303" i="1" s="1"/>
  <c r="BG303" i="1" s="1" a="1"/>
  <c r="BG303" i="1" s="1"/>
  <c r="BH312" i="1" a="1"/>
  <c r="BH312" i="1" s="1"/>
  <c r="BG312" i="1" s="1" a="1"/>
  <c r="BG312" i="1" s="1"/>
  <c r="BH301" i="1" a="1"/>
  <c r="BH301" i="1" s="1"/>
  <c r="BG301" i="1" s="1" a="1"/>
  <c r="BG301" i="1" s="1"/>
  <c r="BH321" i="1" a="1"/>
  <c r="BH321" i="1" s="1"/>
  <c r="BG321" i="1" s="1" a="1"/>
  <c r="BG321" i="1" s="1"/>
  <c r="BH338" i="1" a="1"/>
  <c r="BH338" i="1" s="1"/>
  <c r="BH391" i="1" a="1"/>
  <c r="BH391" i="1" s="1"/>
  <c r="BG391" i="1" s="1" a="1"/>
  <c r="BG391" i="1" s="1"/>
  <c r="BH382" i="1" a="1"/>
  <c r="BH382" i="1" s="1"/>
  <c r="BG382" i="1" s="1" a="1"/>
  <c r="BG382" i="1" s="1"/>
  <c r="BH373" i="1" a="1"/>
  <c r="BH373" i="1" s="1"/>
  <c r="BG373" i="1" s="1" a="1"/>
  <c r="BG373" i="1" s="1"/>
  <c r="BH365" i="1" a="1"/>
  <c r="BH365" i="1" s="1"/>
  <c r="BG365" i="1" s="1" a="1"/>
  <c r="BG365" i="1" s="1"/>
  <c r="BH398" i="1" a="1"/>
  <c r="BH398" i="1" s="1"/>
  <c r="BG398" i="1" s="1" a="1"/>
  <c r="BG398" i="1" s="1"/>
  <c r="BH416" i="1" a="1"/>
  <c r="BH416" i="1" s="1"/>
  <c r="BH426" i="1" a="1"/>
  <c r="BH426" i="1" s="1"/>
  <c r="BH440" i="1" a="1"/>
  <c r="BH440" i="1" s="1"/>
  <c r="BH446" i="1" a="1"/>
  <c r="BH446" i="1" s="1"/>
  <c r="BH118" i="1" a="1"/>
  <c r="BH118" i="1" s="1"/>
  <c r="BH124" i="1" a="1"/>
  <c r="BH124" i="1" s="1"/>
  <c r="BH147" i="1" a="1"/>
  <c r="BH147" i="1" s="1"/>
  <c r="BG147" i="1" s="1" a="1"/>
  <c r="BG147" i="1" s="1"/>
  <c r="BH152" i="1" a="1"/>
  <c r="BH152" i="1" s="1"/>
  <c r="BH160" i="1" a="1"/>
  <c r="BH160" i="1" s="1"/>
  <c r="BH175" i="1" a="1"/>
  <c r="BH175" i="1" s="1"/>
  <c r="BH179" i="1" a="1"/>
  <c r="BH179" i="1" s="1"/>
  <c r="BG179" i="1" s="1" a="1"/>
  <c r="BG179" i="1" s="1"/>
  <c r="BH190" i="1" a="1"/>
  <c r="BH190" i="1" s="1"/>
  <c r="BH198" i="1" a="1"/>
  <c r="BH198" i="1" s="1"/>
  <c r="BH195" i="1" a="1"/>
  <c r="BH195" i="1" s="1"/>
  <c r="BH218" i="1" a="1"/>
  <c r="BH218" i="1" s="1"/>
  <c r="BH223" i="1" a="1"/>
  <c r="BH223" i="1" s="1"/>
  <c r="BG223" i="1" s="1" a="1"/>
  <c r="BG223" i="1" s="1"/>
  <c r="BH231" i="1" a="1"/>
  <c r="BH231" i="1" s="1"/>
  <c r="BH236" i="1" a="1"/>
  <c r="BH236" i="1" s="1"/>
  <c r="BG236" i="1" s="1" a="1"/>
  <c r="BG236" i="1" s="1"/>
  <c r="BH235" i="1" a="1"/>
  <c r="BH235" i="1" s="1"/>
  <c r="BG235" i="1" s="1" a="1"/>
  <c r="BG235" i="1" s="1"/>
  <c r="BH257" i="1" a="1"/>
  <c r="BH257" i="1" s="1"/>
  <c r="BH285" i="1" a="1"/>
  <c r="BH285" i="1" s="1"/>
  <c r="BG285" i="1" s="1" a="1"/>
  <c r="BG285" i="1" s="1"/>
  <c r="BH271" i="1" a="1"/>
  <c r="BH271" i="1" s="1"/>
  <c r="BH292" i="1" a="1"/>
  <c r="BH292" i="1" s="1"/>
  <c r="BH293" i="1" a="1"/>
  <c r="BH293" i="1" s="1"/>
  <c r="BH297" i="1" a="1"/>
  <c r="BH297" i="1" s="1"/>
  <c r="BH298" i="1" a="1"/>
  <c r="BH298" i="1" s="1"/>
  <c r="BH322" i="1" a="1"/>
  <c r="BH322" i="1" s="1"/>
  <c r="BG322" i="1" s="1" a="1"/>
  <c r="BG322" i="1" s="1"/>
  <c r="BH335" i="1" a="1"/>
  <c r="BH335" i="1" s="1"/>
  <c r="BH342" i="1" a="1"/>
  <c r="BH342" i="1" s="1"/>
  <c r="BH349" i="1" a="1"/>
  <c r="BH349" i="1" s="1"/>
  <c r="BH347" i="1" a="1"/>
  <c r="BH347" i="1" s="1"/>
  <c r="BH354" i="1" a="1"/>
  <c r="BH354" i="1" s="1"/>
  <c r="BH355" i="1" a="1"/>
  <c r="BH355" i="1" s="1"/>
  <c r="BH356" i="1" a="1"/>
  <c r="BH356" i="1" s="1"/>
  <c r="BH357" i="1" a="1"/>
  <c r="BH357" i="1" s="1"/>
  <c r="BH390" i="1" a="1"/>
  <c r="BH390" i="1" s="1"/>
  <c r="BG390" i="1" s="1" a="1"/>
  <c r="BG390" i="1" s="1"/>
  <c r="BH383" i="1" a="1"/>
  <c r="BH383" i="1" s="1"/>
  <c r="BG383" i="1" s="1" a="1"/>
  <c r="BG383" i="1" s="1"/>
  <c r="BH375" i="1" a="1"/>
  <c r="BH375" i="1" s="1"/>
  <c r="BG375" i="1" s="1" a="1"/>
  <c r="BG375" i="1" s="1"/>
  <c r="BH366" i="1" a="1"/>
  <c r="BH366" i="1" s="1"/>
  <c r="BG366" i="1" s="1" a="1"/>
  <c r="BG366" i="1" s="1"/>
  <c r="BH400" i="1" a="1"/>
  <c r="BH400" i="1" s="1"/>
  <c r="BG400" i="1" s="1" a="1"/>
  <c r="BG400" i="1" s="1"/>
  <c r="BH415" i="1" a="1"/>
  <c r="BH415" i="1" s="1"/>
  <c r="BH427" i="1" a="1"/>
  <c r="BH427" i="1" s="1"/>
  <c r="BH430" i="1" a="1"/>
  <c r="BH430" i="1" s="1"/>
  <c r="BH434" i="1" a="1"/>
  <c r="BH434" i="1" s="1"/>
  <c r="BH438" i="1" a="1"/>
  <c r="BH438" i="1" s="1"/>
  <c r="BH441" i="1" a="1"/>
  <c r="BH441" i="1" s="1"/>
  <c r="BH450" i="1" a="1"/>
  <c r="BH450" i="1" s="1"/>
  <c r="BH481" i="1" a="1"/>
  <c r="BH481" i="1" s="1"/>
  <c r="CV231" i="1"/>
  <c r="CW364" i="1"/>
  <c r="CY364" i="1" s="1"/>
  <c r="FA364" i="1" s="1"/>
  <c r="CV433" i="1"/>
  <c r="DA433" i="1" s="1"/>
  <c r="BH115" i="1" a="1"/>
  <c r="BH115" i="1" s="1"/>
  <c r="CW119" i="1"/>
  <c r="BH121" i="1" a="1"/>
  <c r="BH121" i="1" s="1"/>
  <c r="BH148" i="1" a="1"/>
  <c r="BH148" i="1" s="1"/>
  <c r="EY358" i="1"/>
  <c r="CW444" i="1"/>
  <c r="CY444" i="1" s="1"/>
  <c r="FA444" i="1" s="1"/>
  <c r="CW353" i="1"/>
  <c r="CY353" i="1" s="1"/>
  <c r="FA353" i="1" s="1"/>
  <c r="BH129" i="1" a="1"/>
  <c r="BH129" i="1" s="1"/>
  <c r="CS169" i="1"/>
  <c r="CT169" i="1" s="1"/>
  <c r="CW203" i="1"/>
  <c r="CV331" i="1"/>
  <c r="DA331" i="1" s="1"/>
  <c r="CV456" i="1"/>
  <c r="DA456" i="1" s="1"/>
  <c r="CW271" i="1"/>
  <c r="CY271" i="1" s="1"/>
  <c r="FA271" i="1" s="1"/>
  <c r="BH127" i="1" a="1"/>
  <c r="BH127" i="1" s="1"/>
  <c r="CU453" i="1"/>
  <c r="DA453" i="1" s="1"/>
  <c r="EY363" i="1"/>
  <c r="CW422" i="1"/>
  <c r="CY422" i="1" s="1"/>
  <c r="FA422" i="1" s="1"/>
  <c r="CU442" i="1"/>
  <c r="DA442" i="1" s="1"/>
  <c r="CV440" i="1"/>
  <c r="DA440" i="1" s="1"/>
  <c r="CR123" i="1"/>
  <c r="CV300" i="1"/>
  <c r="CU347" i="1"/>
  <c r="DA347" i="1" s="1"/>
  <c r="CV398" i="1"/>
  <c r="DA398" i="1" s="1"/>
  <c r="CW397" i="1"/>
  <c r="CY397" i="1" s="1"/>
  <c r="FA397" i="1" s="1"/>
  <c r="CW406" i="1"/>
  <c r="CY406" i="1" s="1"/>
  <c r="FA406" i="1" s="1"/>
  <c r="CW430" i="1"/>
  <c r="CY430" i="1" s="1"/>
  <c r="FA430" i="1" s="1"/>
  <c r="CW440" i="1"/>
  <c r="CY440" i="1" s="1"/>
  <c r="FA440" i="1" s="1"/>
  <c r="CV118" i="1"/>
  <c r="BX189" i="1"/>
  <c r="BZ189" i="1" s="1"/>
  <c r="CA189" i="1" s="1"/>
  <c r="CU123" i="1"/>
  <c r="DA123" i="1" s="1"/>
  <c r="CV172" i="1"/>
  <c r="CV248" i="1"/>
  <c r="DA248" i="1" s="1"/>
  <c r="CU276" i="1"/>
  <c r="DA276" i="1" s="1"/>
  <c r="CU192" i="1"/>
  <c r="DA192" i="1" s="1"/>
  <c r="CW248" i="1"/>
  <c r="CY248" i="1" s="1"/>
  <c r="FA248" i="1" s="1"/>
  <c r="CV270" i="1"/>
  <c r="CW310" i="1"/>
  <c r="CY310" i="1" s="1"/>
  <c r="FA310" i="1" s="1"/>
  <c r="CV308" i="1"/>
  <c r="CW313" i="1"/>
  <c r="CY313" i="1" s="1"/>
  <c r="FA313" i="1" s="1"/>
  <c r="CV389" i="1"/>
  <c r="DA389" i="1" s="1"/>
  <c r="CW399" i="1"/>
  <c r="CY399" i="1" s="1"/>
  <c r="FA399" i="1" s="1"/>
  <c r="CW398" i="1"/>
  <c r="CY398" i="1" s="1"/>
  <c r="FA398" i="1" s="1"/>
  <c r="CU430" i="1"/>
  <c r="CV492" i="1"/>
  <c r="DA492" i="1" s="1"/>
  <c r="CU118" i="1"/>
  <c r="CA117" i="1"/>
  <c r="CR122" i="1"/>
  <c r="CR127" i="1"/>
  <c r="CA272" i="1"/>
  <c r="CV116" i="1"/>
  <c r="DA116" i="1" s="1"/>
  <c r="CU127" i="1"/>
  <c r="CU188" i="1"/>
  <c r="CQ270" i="1"/>
  <c r="CU282" i="1"/>
  <c r="DA282" i="1" s="1"/>
  <c r="CU139" i="1"/>
  <c r="CW160" i="1"/>
  <c r="CW166" i="1"/>
  <c r="CY166" i="1" s="1"/>
  <c r="FA166" i="1" s="1"/>
  <c r="CV181" i="1"/>
  <c r="DA181" i="1" s="1"/>
  <c r="BX197" i="1"/>
  <c r="BZ197" i="1" s="1"/>
  <c r="CA197" i="1" s="1"/>
  <c r="CV222" i="1"/>
  <c r="DA222" i="1" s="1"/>
  <c r="CU262" i="1"/>
  <c r="DA262" i="1" s="1"/>
  <c r="CR264" i="1"/>
  <c r="CW346" i="1"/>
  <c r="CY346" i="1" s="1"/>
  <c r="FA346" i="1" s="1"/>
  <c r="EY356" i="1"/>
  <c r="CW453" i="1"/>
  <c r="CY453" i="1" s="1"/>
  <c r="FA453" i="1" s="1"/>
  <c r="CA121" i="1"/>
  <c r="CQ229" i="1"/>
  <c r="CV227" i="1"/>
  <c r="CU301" i="1"/>
  <c r="CU300" i="1"/>
  <c r="CW457" i="1"/>
  <c r="CY457" i="1" s="1"/>
  <c r="FA457" i="1" s="1"/>
  <c r="CV301" i="1"/>
  <c r="CU313" i="1"/>
  <c r="DA313" i="1" s="1"/>
  <c r="CV454" i="1"/>
  <c r="CV169" i="1"/>
  <c r="CV476" i="1"/>
  <c r="DA476" i="1" s="1"/>
  <c r="CU124" i="1"/>
  <c r="CR229" i="1"/>
  <c r="CU258" i="1"/>
  <c r="DA258" i="1" s="1"/>
  <c r="CW118" i="1"/>
  <c r="CV263" i="1"/>
  <c r="CW278" i="1"/>
  <c r="CY278" i="1" s="1"/>
  <c r="FA278" i="1" s="1"/>
  <c r="CV310" i="1"/>
  <c r="DA310" i="1" s="1"/>
  <c r="CU341" i="1"/>
  <c r="DA341" i="1" s="1"/>
  <c r="CU170" i="1"/>
  <c r="DA170" i="1" s="1"/>
  <c r="CU176" i="1"/>
  <c r="DA176" i="1" s="1"/>
  <c r="CS118" i="1"/>
  <c r="CT118" i="1" s="1"/>
  <c r="CS159" i="1"/>
  <c r="CT159" i="1" s="1"/>
  <c r="CW181" i="1"/>
  <c r="CY181" i="1" s="1"/>
  <c r="FA181" i="1" s="1"/>
  <c r="CW262" i="1"/>
  <c r="CY262" i="1" s="1"/>
  <c r="FA262" i="1" s="1"/>
  <c r="CS124" i="1"/>
  <c r="CT124" i="1" s="1"/>
  <c r="CS123" i="1"/>
  <c r="CT123" i="1" s="1"/>
  <c r="CS172" i="1"/>
  <c r="CT172" i="1" s="1"/>
  <c r="CR265" i="1"/>
  <c r="CV315" i="1"/>
  <c r="CU325" i="1"/>
  <c r="CW331" i="1"/>
  <c r="CY331" i="1" s="1"/>
  <c r="FA331" i="1" s="1"/>
  <c r="CU353" i="1"/>
  <c r="DA353" i="1" s="1"/>
  <c r="EY361" i="1"/>
  <c r="CA470" i="1"/>
  <c r="CU136" i="1"/>
  <c r="DA136" i="1" s="1"/>
  <c r="CV149" i="1"/>
  <c r="DA149" i="1" s="1"/>
  <c r="CV153" i="1"/>
  <c r="DA153" i="1" s="1"/>
  <c r="CR155" i="1"/>
  <c r="CQ158" i="1"/>
  <c r="CW164" i="1"/>
  <c r="CY164" i="1" s="1"/>
  <c r="FA164" i="1" s="1"/>
  <c r="CV178" i="1"/>
  <c r="DA178" i="1" s="1"/>
  <c r="CU177" i="1"/>
  <c r="DA177" i="1" s="1"/>
  <c r="CU191" i="1"/>
  <c r="CV191" i="1"/>
  <c r="CW394" i="1"/>
  <c r="CY394" i="1" s="1"/>
  <c r="FA394" i="1" s="1"/>
  <c r="CV394" i="1"/>
  <c r="DA394" i="1" s="1"/>
  <c r="CU380" i="1"/>
  <c r="CW380" i="1"/>
  <c r="CY380" i="1" s="1"/>
  <c r="FA380" i="1" s="1"/>
  <c r="CV380" i="1"/>
  <c r="CV333" i="1"/>
  <c r="DA333" i="1" s="1"/>
  <c r="CR117" i="1"/>
  <c r="CA115" i="1"/>
  <c r="CU130" i="1"/>
  <c r="DA130" i="1" s="1"/>
  <c r="CV134" i="1"/>
  <c r="DA134" i="1" s="1"/>
  <c r="CW137" i="1"/>
  <c r="CY137" i="1" s="1"/>
  <c r="FA137" i="1" s="1"/>
  <c r="CQ140" i="1"/>
  <c r="CR158" i="1"/>
  <c r="CW319" i="1"/>
  <c r="CY319" i="1" s="1"/>
  <c r="FA319" i="1" s="1"/>
  <c r="CV319" i="1"/>
  <c r="DA319" i="1" s="1"/>
  <c r="CW360" i="1"/>
  <c r="CY360" i="1" s="1"/>
  <c r="FA360" i="1" s="1"/>
  <c r="CU391" i="1"/>
  <c r="DA391" i="1" s="1"/>
  <c r="CA122" i="1"/>
  <c r="CW121" i="1"/>
  <c r="CV128" i="1"/>
  <c r="DA128" i="1" s="1"/>
  <c r="CV117" i="1"/>
  <c r="DA117" i="1" s="1"/>
  <c r="CR140" i="1"/>
  <c r="CW143" i="1"/>
  <c r="CY143" i="1" s="1"/>
  <c r="FA143" i="1" s="1"/>
  <c r="CU158" i="1"/>
  <c r="DA158" i="1" s="1"/>
  <c r="CA168" i="1"/>
  <c r="EY168" i="1" s="1"/>
  <c r="BW197" i="1"/>
  <c r="BX193" i="1"/>
  <c r="BZ193" i="1" s="1"/>
  <c r="CA193" i="1" s="1"/>
  <c r="BW193" i="1"/>
  <c r="CS140" i="1"/>
  <c r="CT140" i="1" s="1"/>
  <c r="CQ206" i="1"/>
  <c r="CU206" i="1"/>
  <c r="CU401" i="1"/>
  <c r="DA401" i="1" s="1"/>
  <c r="CW177" i="1"/>
  <c r="CY177" i="1" s="1"/>
  <c r="FA177" i="1" s="1"/>
  <c r="CW184" i="1"/>
  <c r="CY184" i="1" s="1"/>
  <c r="FA184" i="1" s="1"/>
  <c r="CV355" i="1"/>
  <c r="CU355" i="1"/>
  <c r="CV159" i="1"/>
  <c r="CU231" i="1"/>
  <c r="CR231" i="1"/>
  <c r="CQ268" i="1"/>
  <c r="CW268" i="1"/>
  <c r="CW305" i="1"/>
  <c r="CY305" i="1" s="1"/>
  <c r="FA305" i="1" s="1"/>
  <c r="CV305" i="1"/>
  <c r="CU305" i="1"/>
  <c r="CV332" i="1"/>
  <c r="CW332" i="1"/>
  <c r="CY332" i="1" s="1"/>
  <c r="FA332" i="1" s="1"/>
  <c r="CV343" i="1"/>
  <c r="CU343" i="1"/>
  <c r="CV358" i="1"/>
  <c r="CW358" i="1"/>
  <c r="CY358" i="1" s="1"/>
  <c r="FA358" i="1" s="1"/>
  <c r="CV403" i="1"/>
  <c r="CW403" i="1"/>
  <c r="CY403" i="1" s="1"/>
  <c r="FA403" i="1" s="1"/>
  <c r="CV207" i="1"/>
  <c r="CQ207" i="1"/>
  <c r="CV151" i="1"/>
  <c r="DA151" i="1" s="1"/>
  <c r="CW163" i="1"/>
  <c r="CY163" i="1" s="1"/>
  <c r="FA163" i="1" s="1"/>
  <c r="CQ117" i="1"/>
  <c r="CV124" i="1"/>
  <c r="CW123" i="1"/>
  <c r="CU140" i="1"/>
  <c r="DA140" i="1" s="1"/>
  <c r="CV138" i="1"/>
  <c r="CV160" i="1"/>
  <c r="CQ204" i="1"/>
  <c r="CR204" i="1"/>
  <c r="CW124" i="1"/>
  <c r="CQ123" i="1"/>
  <c r="CW136" i="1"/>
  <c r="CY136" i="1" s="1"/>
  <c r="FA136" i="1" s="1"/>
  <c r="CW171" i="1"/>
  <c r="CV171" i="1"/>
  <c r="CW182" i="1"/>
  <c r="CY182" i="1" s="1"/>
  <c r="FA182" i="1" s="1"/>
  <c r="CV182" i="1"/>
  <c r="DA182" i="1" s="1"/>
  <c r="BW189" i="1"/>
  <c r="CU204" i="1"/>
  <c r="CW220" i="1"/>
  <c r="CY220" i="1" s="1"/>
  <c r="FA220" i="1" s="1"/>
  <c r="CR227" i="1"/>
  <c r="CQ231" i="1"/>
  <c r="CW246" i="1"/>
  <c r="CY246" i="1" s="1"/>
  <c r="FA246" i="1" s="1"/>
  <c r="CV246" i="1"/>
  <c r="CU246" i="1"/>
  <c r="CR268" i="1"/>
  <c r="CV272" i="1"/>
  <c r="CU272" i="1"/>
  <c r="CW307" i="1"/>
  <c r="CY307" i="1" s="1"/>
  <c r="FA307" i="1" s="1"/>
  <c r="CW304" i="1"/>
  <c r="CY304" i="1" s="1"/>
  <c r="FA304" i="1" s="1"/>
  <c r="CV304" i="1"/>
  <c r="CU304" i="1"/>
  <c r="CV306" i="1"/>
  <c r="DA306" i="1" s="1"/>
  <c r="CU332" i="1"/>
  <c r="CV387" i="1"/>
  <c r="CU387" i="1"/>
  <c r="CW376" i="1"/>
  <c r="CY376" i="1" s="1"/>
  <c r="FA376" i="1" s="1"/>
  <c r="CA376" i="1"/>
  <c r="CW462" i="1"/>
  <c r="CW490" i="1"/>
  <c r="CY490" i="1" s="1"/>
  <c r="FA490" i="1" s="1"/>
  <c r="CU422" i="1"/>
  <c r="CV430" i="1"/>
  <c r="CW431" i="1"/>
  <c r="CY431" i="1" s="1"/>
  <c r="FA431" i="1" s="1"/>
  <c r="CW433" i="1"/>
  <c r="CY433" i="1" s="1"/>
  <c r="FA433" i="1" s="1"/>
  <c r="CW447" i="1"/>
  <c r="CY447" i="1" s="1"/>
  <c r="FA447" i="1" s="1"/>
  <c r="CA461" i="1"/>
  <c r="CV469" i="1"/>
  <c r="DA469" i="1" s="1"/>
  <c r="CS204" i="1"/>
  <c r="CT204" i="1" s="1"/>
  <c r="EY223" i="1"/>
  <c r="CW381" i="1"/>
  <c r="CY381" i="1" s="1"/>
  <c r="FA381" i="1" s="1"/>
  <c r="CW369" i="1"/>
  <c r="CY369" i="1" s="1"/>
  <c r="FA369" i="1" s="1"/>
  <c r="CW411" i="1"/>
  <c r="CY411" i="1" s="1"/>
  <c r="FA411" i="1" s="1"/>
  <c r="CW409" i="1"/>
  <c r="CY409" i="1" s="1"/>
  <c r="FA409" i="1" s="1"/>
  <c r="CV422" i="1"/>
  <c r="CV431" i="1"/>
  <c r="CV455" i="1"/>
  <c r="CU489" i="1"/>
  <c r="DA489" i="1" s="1"/>
  <c r="CS206" i="1"/>
  <c r="CT206" i="1" s="1"/>
  <c r="CW342" i="1"/>
  <c r="CY342" i="1" s="1"/>
  <c r="FA342" i="1" s="1"/>
  <c r="CW379" i="1"/>
  <c r="CY379" i="1" s="1"/>
  <c r="FA379" i="1" s="1"/>
  <c r="CU409" i="1"/>
  <c r="DA409" i="1" s="1"/>
  <c r="CR263" i="1"/>
  <c r="CW284" i="1"/>
  <c r="CY284" i="1" s="1"/>
  <c r="FA284" i="1" s="1"/>
  <c r="CW296" i="1"/>
  <c r="CY296" i="1" s="1"/>
  <c r="FA296" i="1" s="1"/>
  <c r="CV293" i="1"/>
  <c r="DA293" i="1" s="1"/>
  <c r="CV329" i="1"/>
  <c r="DA329" i="1" s="1"/>
  <c r="CV335" i="1"/>
  <c r="DA335" i="1" s="1"/>
  <c r="EY360" i="1"/>
  <c r="CU374" i="1"/>
  <c r="DA374" i="1" s="1"/>
  <c r="CW442" i="1"/>
  <c r="CY442" i="1" s="1"/>
  <c r="FA442" i="1" s="1"/>
  <c r="CS462" i="1"/>
  <c r="CT462" i="1" s="1"/>
  <c r="CU241" i="1"/>
  <c r="DA241" i="1" s="1"/>
  <c r="CU250" i="1"/>
  <c r="DA250" i="1" s="1"/>
  <c r="CV243" i="1"/>
  <c r="CU263" i="1"/>
  <c r="CW285" i="1"/>
  <c r="CY285" i="1" s="1"/>
  <c r="FA285" i="1" s="1"/>
  <c r="CW329" i="1"/>
  <c r="CY329" i="1" s="1"/>
  <c r="FA329" i="1" s="1"/>
  <c r="CV334" i="1"/>
  <c r="DA334" i="1" s="1"/>
  <c r="CW335" i="1"/>
  <c r="CY335" i="1" s="1"/>
  <c r="FA335" i="1" s="1"/>
  <c r="CV346" i="1"/>
  <c r="DA346" i="1" s="1"/>
  <c r="CW344" i="1"/>
  <c r="CY344" i="1" s="1"/>
  <c r="FA344" i="1" s="1"/>
  <c r="CW374" i="1"/>
  <c r="CY374" i="1" s="1"/>
  <c r="FA374" i="1" s="1"/>
  <c r="CW456" i="1"/>
  <c r="CY456" i="1" s="1"/>
  <c r="FA456" i="1" s="1"/>
  <c r="CU459" i="1"/>
  <c r="CA173" i="1"/>
  <c r="CS117" i="1"/>
  <c r="CT117" i="1" s="1"/>
  <c r="CQ122" i="1"/>
  <c r="CV119" i="1"/>
  <c r="DA119" i="1" s="1"/>
  <c r="CV137" i="1"/>
  <c r="DA137" i="1" s="1"/>
  <c r="CU138" i="1"/>
  <c r="CS139" i="1"/>
  <c r="CT139" i="1" s="1"/>
  <c r="CV142" i="1"/>
  <c r="DA142" i="1" s="1"/>
  <c r="CV148" i="1"/>
  <c r="DA148" i="1" s="1"/>
  <c r="CW152" i="1"/>
  <c r="CY152" i="1" s="1"/>
  <c r="FA152" i="1" s="1"/>
  <c r="CA157" i="1"/>
  <c r="CR159" i="1"/>
  <c r="CU169" i="1"/>
  <c r="CV184" i="1"/>
  <c r="DA184" i="1" s="1"/>
  <c r="CV186" i="1"/>
  <c r="CS157" i="1"/>
  <c r="CT157" i="1" s="1"/>
  <c r="BX194" i="1"/>
  <c r="BZ194" i="1" s="1"/>
  <c r="CA194" i="1" s="1"/>
  <c r="BW194" i="1"/>
  <c r="CA126" i="1"/>
  <c r="CU122" i="1"/>
  <c r="DA122" i="1" s="1"/>
  <c r="CW134" i="1"/>
  <c r="CY134" i="1" s="1"/>
  <c r="FA134" i="1" s="1"/>
  <c r="CW145" i="1"/>
  <c r="CY145" i="1" s="1"/>
  <c r="FA145" i="1" s="1"/>
  <c r="CV146" i="1"/>
  <c r="DA146" i="1" s="1"/>
  <c r="CU159" i="1"/>
  <c r="CU163" i="1"/>
  <c r="CQ174" i="1"/>
  <c r="CV194" i="1"/>
  <c r="CU194" i="1"/>
  <c r="CW144" i="1"/>
  <c r="CY144" i="1" s="1"/>
  <c r="FA144" i="1" s="1"/>
  <c r="CA156" i="1"/>
  <c r="CV163" i="1"/>
  <c r="CR174" i="1"/>
  <c r="CU174" i="1"/>
  <c r="DA174" i="1" s="1"/>
  <c r="CS202" i="1"/>
  <c r="CT202" i="1" s="1"/>
  <c r="CV202" i="1"/>
  <c r="CU202" i="1"/>
  <c r="CR202" i="1"/>
  <c r="CQ202" i="1"/>
  <c r="CS205" i="1"/>
  <c r="CT205" i="1" s="1"/>
  <c r="CV205" i="1"/>
  <c r="CU205" i="1"/>
  <c r="CR205" i="1"/>
  <c r="CQ205" i="1"/>
  <c r="CQ201" i="1"/>
  <c r="CV201" i="1"/>
  <c r="CS201" i="1"/>
  <c r="CT201" i="1" s="1"/>
  <c r="CR201" i="1"/>
  <c r="CS200" i="1"/>
  <c r="CT200" i="1" s="1"/>
  <c r="CW240" i="1"/>
  <c r="CY240" i="1" s="1"/>
  <c r="FA240" i="1" s="1"/>
  <c r="CW126" i="1"/>
  <c r="CU131" i="1"/>
  <c r="DA131" i="1" s="1"/>
  <c r="CS122" i="1"/>
  <c r="CT122" i="1" s="1"/>
  <c r="CV127" i="1"/>
  <c r="CQ138" i="1"/>
  <c r="CU143" i="1"/>
  <c r="CR156" i="1"/>
  <c r="CS158" i="1"/>
  <c r="CT158" i="1" s="1"/>
  <c r="CU164" i="1"/>
  <c r="CW170" i="1"/>
  <c r="CA169" i="1"/>
  <c r="EY169" i="1" s="1"/>
  <c r="CW178" i="1"/>
  <c r="CY178" i="1" s="1"/>
  <c r="FA178" i="1" s="1"/>
  <c r="CW238" i="1"/>
  <c r="CY238" i="1" s="1"/>
  <c r="FA238" i="1" s="1"/>
  <c r="CA125" i="1"/>
  <c r="CR138" i="1"/>
  <c r="CV143" i="1"/>
  <c r="CS156" i="1"/>
  <c r="CT156" i="1" s="1"/>
  <c r="CV164" i="1"/>
  <c r="CW173" i="1"/>
  <c r="CW176" i="1"/>
  <c r="CY176" i="1" s="1"/>
  <c r="FA176" i="1" s="1"/>
  <c r="CW115" i="1"/>
  <c r="CV152" i="1"/>
  <c r="DA152" i="1" s="1"/>
  <c r="CA154" i="1"/>
  <c r="CW158" i="1"/>
  <c r="CU186" i="1"/>
  <c r="CV349" i="1"/>
  <c r="DA349" i="1" s="1"/>
  <c r="CU356" i="1"/>
  <c r="CV356" i="1"/>
  <c r="CW492" i="1"/>
  <c r="CY492" i="1" s="1"/>
  <c r="FA492" i="1" s="1"/>
  <c r="CA492" i="1"/>
  <c r="CV206" i="1"/>
  <c r="CU200" i="1"/>
  <c r="CV220" i="1"/>
  <c r="DA220" i="1" s="1"/>
  <c r="CV240" i="1"/>
  <c r="DA240" i="1" s="1"/>
  <c r="CV238" i="1"/>
  <c r="DA238" i="1" s="1"/>
  <c r="CU242" i="1"/>
  <c r="DA242" i="1" s="1"/>
  <c r="CW259" i="1"/>
  <c r="CY259" i="1" s="1"/>
  <c r="FA259" i="1" s="1"/>
  <c r="CW263" i="1"/>
  <c r="CU265" i="1"/>
  <c r="CR270" i="1"/>
  <c r="CU279" i="1"/>
  <c r="DA279" i="1" s="1"/>
  <c r="CU284" i="1"/>
  <c r="CV285" i="1"/>
  <c r="DA285" i="1" s="1"/>
  <c r="CU278" i="1"/>
  <c r="DA278" i="1" s="1"/>
  <c r="CU289" i="1"/>
  <c r="DA289" i="1" s="1"/>
  <c r="CU295" i="1"/>
  <c r="CW293" i="1"/>
  <c r="CY293" i="1" s="1"/>
  <c r="FA293" i="1" s="1"/>
  <c r="CU299" i="1"/>
  <c r="CV316" i="1"/>
  <c r="CU321" i="1"/>
  <c r="CV325" i="1"/>
  <c r="CW330" i="1"/>
  <c r="CW333" i="1"/>
  <c r="CY333" i="1" s="1"/>
  <c r="FA333" i="1" s="1"/>
  <c r="CV345" i="1"/>
  <c r="CU345" i="1"/>
  <c r="CV200" i="1"/>
  <c r="CW245" i="1"/>
  <c r="CY245" i="1" s="1"/>
  <c r="FA245" i="1" s="1"/>
  <c r="CV265" i="1"/>
  <c r="CU270" i="1"/>
  <c r="CW279" i="1"/>
  <c r="CY279" i="1" s="1"/>
  <c r="FA279" i="1" s="1"/>
  <c r="CV284" i="1"/>
  <c r="CW289" i="1"/>
  <c r="CY289" i="1" s="1"/>
  <c r="FA289" i="1" s="1"/>
  <c r="CV295" i="1"/>
  <c r="CV299" i="1"/>
  <c r="CU328" i="1"/>
  <c r="CR330" i="1"/>
  <c r="CU342" i="1"/>
  <c r="DA342" i="1" s="1"/>
  <c r="CV350" i="1"/>
  <c r="CU350" i="1"/>
  <c r="CW474" i="1"/>
  <c r="CY474" i="1" s="1"/>
  <c r="FA474" i="1" s="1"/>
  <c r="CA474" i="1"/>
  <c r="CW265" i="1"/>
  <c r="CV328" i="1"/>
  <c r="CV330" i="1"/>
  <c r="CA459" i="1"/>
  <c r="CA465" i="1"/>
  <c r="CQ200" i="1"/>
  <c r="CU207" i="1"/>
  <c r="CS227" i="1"/>
  <c r="CT227" i="1" s="1"/>
  <c r="CW250" i="1"/>
  <c r="CY250" i="1" s="1"/>
  <c r="FA250" i="1" s="1"/>
  <c r="CV264" i="1"/>
  <c r="DA264" i="1" s="1"/>
  <c r="CR267" i="1"/>
  <c r="CU268" i="1"/>
  <c r="CW281" i="1"/>
  <c r="CY281" i="1" s="1"/>
  <c r="FA281" i="1" s="1"/>
  <c r="CW282" i="1"/>
  <c r="CY282" i="1" s="1"/>
  <c r="FA282" i="1" s="1"/>
  <c r="CU290" i="1"/>
  <c r="DA290" i="1" s="1"/>
  <c r="CW306" i="1"/>
  <c r="CY306" i="1" s="1"/>
  <c r="FA306" i="1" s="1"/>
  <c r="CV337" i="1"/>
  <c r="DA337" i="1" s="1"/>
  <c r="CW334" i="1"/>
  <c r="CY334" i="1" s="1"/>
  <c r="FA334" i="1" s="1"/>
  <c r="CU351" i="1"/>
  <c r="DA351" i="1" s="1"/>
  <c r="CW355" i="1"/>
  <c r="CY355" i="1" s="1"/>
  <c r="FA355" i="1" s="1"/>
  <c r="CA355" i="1"/>
  <c r="EY355" i="1" s="1"/>
  <c r="CA473" i="1"/>
  <c r="CR200" i="1"/>
  <c r="CW216" i="1"/>
  <c r="CY216" i="1" s="1"/>
  <c r="FA216" i="1" s="1"/>
  <c r="CU227" i="1"/>
  <c r="CW264" i="1"/>
  <c r="CV267" i="1"/>
  <c r="DA267" i="1" s="1"/>
  <c r="CV268" i="1"/>
  <c r="CU281" i="1"/>
  <c r="DA281" i="1" s="1"/>
  <c r="CU275" i="1"/>
  <c r="DA275" i="1" s="1"/>
  <c r="CU274" i="1"/>
  <c r="DA274" i="1" s="1"/>
  <c r="CW343" i="1"/>
  <c r="CY343" i="1" s="1"/>
  <c r="FA343" i="1" s="1"/>
  <c r="CW351" i="1"/>
  <c r="CY351" i="1" s="1"/>
  <c r="FA351" i="1" s="1"/>
  <c r="CW277" i="1"/>
  <c r="CY277" i="1" s="1"/>
  <c r="FA277" i="1" s="1"/>
  <c r="CU348" i="1"/>
  <c r="CW348" i="1"/>
  <c r="CY348" i="1" s="1"/>
  <c r="FA348" i="1" s="1"/>
  <c r="CV348" i="1"/>
  <c r="CR206" i="1"/>
  <c r="CA201" i="1"/>
  <c r="EY201" i="1" s="1"/>
  <c r="CW212" i="1"/>
  <c r="CY212" i="1" s="1"/>
  <c r="FA212" i="1" s="1"/>
  <c r="CW222" i="1"/>
  <c r="CY222" i="1" s="1"/>
  <c r="FA222" i="1" s="1"/>
  <c r="CW224" i="1"/>
  <c r="CY224" i="1" s="1"/>
  <c r="FA224" i="1" s="1"/>
  <c r="CU243" i="1"/>
  <c r="CU277" i="1"/>
  <c r="DA277" i="1" s="1"/>
  <c r="CU308" i="1"/>
  <c r="CU318" i="1"/>
  <c r="DA318" i="1" s="1"/>
  <c r="CU336" i="1"/>
  <c r="DA336" i="1" s="1"/>
  <c r="CV393" i="1"/>
  <c r="CU393" i="1"/>
  <c r="CW393" i="1"/>
  <c r="CY393" i="1" s="1"/>
  <c r="FA393" i="1" s="1"/>
  <c r="CW388" i="1"/>
  <c r="CY388" i="1" s="1"/>
  <c r="FA388" i="1" s="1"/>
  <c r="CW427" i="1"/>
  <c r="CY427" i="1" s="1"/>
  <c r="FA427" i="1" s="1"/>
  <c r="CA427" i="1"/>
  <c r="CV382" i="1"/>
  <c r="DA382" i="1" s="1"/>
  <c r="CU376" i="1"/>
  <c r="DA376" i="1" s="1"/>
  <c r="CU375" i="1"/>
  <c r="DA375" i="1" s="1"/>
  <c r="CW373" i="1"/>
  <c r="CY373" i="1" s="1"/>
  <c r="FA373" i="1" s="1"/>
  <c r="CU403" i="1"/>
  <c r="CW426" i="1"/>
  <c r="CY426" i="1" s="1"/>
  <c r="FA426" i="1" s="1"/>
  <c r="CV424" i="1"/>
  <c r="DA424" i="1" s="1"/>
  <c r="CW445" i="1"/>
  <c r="CY445" i="1" s="1"/>
  <c r="FA445" i="1" s="1"/>
  <c r="CU447" i="1"/>
  <c r="DA447" i="1" s="1"/>
  <c r="CU450" i="1"/>
  <c r="DA450" i="1" s="1"/>
  <c r="CV465" i="1"/>
  <c r="DA465" i="1" s="1"/>
  <c r="CU466" i="1"/>
  <c r="DA466" i="1" s="1"/>
  <c r="CU479" i="1"/>
  <c r="CR480" i="1"/>
  <c r="CV488" i="1"/>
  <c r="DA488" i="1" s="1"/>
  <c r="CV491" i="1"/>
  <c r="DA491" i="1" s="1"/>
  <c r="CW363" i="1"/>
  <c r="CY363" i="1" s="1"/>
  <c r="FA363" i="1" s="1"/>
  <c r="CW391" i="1"/>
  <c r="CY391" i="1" s="1"/>
  <c r="FA391" i="1" s="1"/>
  <c r="CW387" i="1"/>
  <c r="CY387" i="1" s="1"/>
  <c r="FA387" i="1" s="1"/>
  <c r="CW382" i="1"/>
  <c r="CY382" i="1" s="1"/>
  <c r="FA382" i="1" s="1"/>
  <c r="CW370" i="1"/>
  <c r="CY370" i="1" s="1"/>
  <c r="FA370" i="1" s="1"/>
  <c r="CW424" i="1"/>
  <c r="CY424" i="1" s="1"/>
  <c r="FA424" i="1" s="1"/>
  <c r="CW465" i="1"/>
  <c r="CY465" i="1" s="1"/>
  <c r="FA465" i="1" s="1"/>
  <c r="CS480" i="1"/>
  <c r="CT480" i="1" s="1"/>
  <c r="CW375" i="1"/>
  <c r="CY375" i="1" s="1"/>
  <c r="FA375" i="1" s="1"/>
  <c r="CA477" i="1"/>
  <c r="CU480" i="1"/>
  <c r="CU369" i="1"/>
  <c r="CU405" i="1"/>
  <c r="CU411" i="1"/>
  <c r="CU426" i="1"/>
  <c r="DA426" i="1" s="1"/>
  <c r="CW434" i="1"/>
  <c r="CY434" i="1" s="1"/>
  <c r="FA434" i="1" s="1"/>
  <c r="CV437" i="1"/>
  <c r="DA437" i="1" s="1"/>
  <c r="CW438" i="1"/>
  <c r="CY438" i="1" s="1"/>
  <c r="FA438" i="1" s="1"/>
  <c r="CW459" i="1"/>
  <c r="CS463" i="1"/>
  <c r="CT463" i="1" s="1"/>
  <c r="CU468" i="1"/>
  <c r="DA468" i="1" s="1"/>
  <c r="CV480" i="1"/>
  <c r="CW356" i="1"/>
  <c r="CY356" i="1" s="1"/>
  <c r="FA356" i="1" s="1"/>
  <c r="CU358" i="1"/>
  <c r="BG389" i="1" a="1"/>
  <c r="BG389" i="1" s="1"/>
  <c r="CU385" i="1"/>
  <c r="DA385" i="1" s="1"/>
  <c r="CV381" i="1"/>
  <c r="CV369" i="1"/>
  <c r="CV405" i="1"/>
  <c r="CU444" i="1"/>
  <c r="DA444" i="1" s="1"/>
  <c r="CU457" i="1"/>
  <c r="DA457" i="1" s="1"/>
  <c r="CA471" i="1"/>
  <c r="CA460" i="1"/>
  <c r="CA463" i="1"/>
  <c r="CV485" i="1"/>
  <c r="CU482" i="1"/>
  <c r="CA475" i="1"/>
  <c r="CU367" i="1"/>
  <c r="DA367" i="1" s="1"/>
  <c r="CV406" i="1"/>
  <c r="CW423" i="1"/>
  <c r="CY423" i="1" s="1"/>
  <c r="FA423" i="1" s="1"/>
  <c r="CV445" i="1"/>
  <c r="DA445" i="1" s="1"/>
  <c r="BW139" i="1"/>
  <c r="CV139" i="1"/>
  <c r="BX139" i="1"/>
  <c r="BZ139" i="1" s="1"/>
  <c r="CA140" i="1"/>
  <c r="CW140" i="1"/>
  <c r="CY140" i="1" s="1"/>
  <c r="FA140" i="1" s="1"/>
  <c r="CW142" i="1"/>
  <c r="CY142" i="1" s="1"/>
  <c r="FA142" i="1" s="1"/>
  <c r="CA142" i="1"/>
  <c r="CA190" i="1"/>
  <c r="CW190" i="1"/>
  <c r="CY190" i="1" s="1"/>
  <c r="FA190" i="1" s="1"/>
  <c r="CA205" i="1"/>
  <c r="CW205" i="1"/>
  <c r="CW146" i="1"/>
  <c r="CY146" i="1" s="1"/>
  <c r="FA146" i="1" s="1"/>
  <c r="CA146" i="1"/>
  <c r="CA174" i="1"/>
  <c r="CW174" i="1"/>
  <c r="CA118" i="1"/>
  <c r="CA116" i="1"/>
  <c r="CW129" i="1"/>
  <c r="CY129" i="1" s="1"/>
  <c r="FA129" i="1" s="1"/>
  <c r="CV129" i="1"/>
  <c r="CU129" i="1"/>
  <c r="CA207" i="1"/>
  <c r="CW207" i="1"/>
  <c r="CA123" i="1"/>
  <c r="CA120" i="1"/>
  <c r="CW128" i="1"/>
  <c r="CY128" i="1" s="1"/>
  <c r="FA128" i="1" s="1"/>
  <c r="CA128" i="1"/>
  <c r="CA202" i="1"/>
  <c r="EY202" i="1" s="1"/>
  <c r="CW131" i="1"/>
  <c r="CY131" i="1" s="1"/>
  <c r="FA131" i="1" s="1"/>
  <c r="CA131" i="1"/>
  <c r="CA127" i="1"/>
  <c r="CS127" i="1"/>
  <c r="CT127" i="1" s="1"/>
  <c r="CU132" i="1"/>
  <c r="CW132" i="1"/>
  <c r="CY132" i="1" s="1"/>
  <c r="FA132" i="1" s="1"/>
  <c r="CV132" i="1"/>
  <c r="CW130" i="1"/>
  <c r="CY130" i="1" s="1"/>
  <c r="FA130" i="1" s="1"/>
  <c r="CA130" i="1"/>
  <c r="CW125" i="1"/>
  <c r="CS125" i="1"/>
  <c r="CT125" i="1" s="1"/>
  <c r="CQ125" i="1"/>
  <c r="CV125" i="1"/>
  <c r="CU125" i="1"/>
  <c r="CR125" i="1"/>
  <c r="CA124" i="1"/>
  <c r="CW133" i="1"/>
  <c r="CY133" i="1" s="1"/>
  <c r="FA133" i="1" s="1"/>
  <c r="CV133" i="1"/>
  <c r="CU133" i="1"/>
  <c r="CW138" i="1"/>
  <c r="CY138" i="1" s="1"/>
  <c r="FA138" i="1" s="1"/>
  <c r="CA138" i="1"/>
  <c r="CW151" i="1"/>
  <c r="CY151" i="1" s="1"/>
  <c r="FA151" i="1" s="1"/>
  <c r="CA151" i="1"/>
  <c r="CW218" i="1"/>
  <c r="CY218" i="1" s="1"/>
  <c r="FA218" i="1" s="1"/>
  <c r="CA218" i="1"/>
  <c r="CW239" i="1"/>
  <c r="CY239" i="1" s="1"/>
  <c r="FA239" i="1" s="1"/>
  <c r="CA239" i="1"/>
  <c r="CA119" i="1"/>
  <c r="CA148" i="1"/>
  <c r="CW196" i="1"/>
  <c r="CY196" i="1" s="1"/>
  <c r="FA196" i="1" s="1"/>
  <c r="CV196" i="1"/>
  <c r="CU196" i="1"/>
  <c r="CQ115" i="1"/>
  <c r="CR126" i="1"/>
  <c r="CQ120" i="1"/>
  <c r="CV147" i="1"/>
  <c r="DA147" i="1" s="1"/>
  <c r="CR157" i="1"/>
  <c r="CU167" i="1"/>
  <c r="CS167" i="1"/>
  <c r="CT167" i="1" s="1"/>
  <c r="CW168" i="1"/>
  <c r="CU168" i="1"/>
  <c r="CQ173" i="1"/>
  <c r="BW190" i="1"/>
  <c r="BX198" i="1"/>
  <c r="BZ198" i="1" s="1"/>
  <c r="BW195" i="1"/>
  <c r="CA203" i="1"/>
  <c r="CW210" i="1"/>
  <c r="CY210" i="1" s="1"/>
  <c r="FA210" i="1" s="1"/>
  <c r="CA210" i="1"/>
  <c r="CU257" i="1"/>
  <c r="CW257" i="1"/>
  <c r="CY257" i="1" s="1"/>
  <c r="FA257" i="1" s="1"/>
  <c r="CW269" i="1"/>
  <c r="CS269" i="1"/>
  <c r="CT269" i="1" s="1"/>
  <c r="CQ269" i="1"/>
  <c r="CV269" i="1"/>
  <c r="CU269" i="1"/>
  <c r="CR269" i="1"/>
  <c r="CW276" i="1"/>
  <c r="CY276" i="1" s="1"/>
  <c r="FA276" i="1" s="1"/>
  <c r="CA276" i="1"/>
  <c r="CW226" i="1"/>
  <c r="CY226" i="1" s="1"/>
  <c r="FA226" i="1" s="1"/>
  <c r="CV226" i="1"/>
  <c r="CW117" i="1"/>
  <c r="CQ121" i="1"/>
  <c r="CU135" i="1"/>
  <c r="DA135" i="1" s="1"/>
  <c r="CU249" i="1"/>
  <c r="DA249" i="1" s="1"/>
  <c r="CW249" i="1"/>
  <c r="CY249" i="1" s="1"/>
  <c r="FA249" i="1" s="1"/>
  <c r="CU144" i="1"/>
  <c r="CU150" i="1"/>
  <c r="DA150" i="1" s="1"/>
  <c r="CW153" i="1"/>
  <c r="CY153" i="1" s="1"/>
  <c r="FA153" i="1" s="1"/>
  <c r="CV154" i="1"/>
  <c r="CU154" i="1"/>
  <c r="CR154" i="1"/>
  <c r="CQ116" i="1"/>
  <c r="CR115" i="1"/>
  <c r="CS126" i="1"/>
  <c r="CT126" i="1" s="1"/>
  <c r="CW127" i="1"/>
  <c r="CQ119" i="1"/>
  <c r="CR120" i="1"/>
  <c r="CS121" i="1"/>
  <c r="CT121" i="1" s="1"/>
  <c r="CW135" i="1"/>
  <c r="CY135" i="1" s="1"/>
  <c r="FA135" i="1" s="1"/>
  <c r="CV144" i="1"/>
  <c r="CW147" i="1"/>
  <c r="CY147" i="1" s="1"/>
  <c r="FA147" i="1" s="1"/>
  <c r="CW150" i="1"/>
  <c r="CY150" i="1" s="1"/>
  <c r="FA150" i="1" s="1"/>
  <c r="CW149" i="1"/>
  <c r="CY149" i="1" s="1"/>
  <c r="FA149" i="1" s="1"/>
  <c r="CQ154" i="1"/>
  <c r="CW155" i="1"/>
  <c r="CV155" i="1"/>
  <c r="CS155" i="1"/>
  <c r="CT155" i="1" s="1"/>
  <c r="CU165" i="1"/>
  <c r="DA165" i="1" s="1"/>
  <c r="CV167" i="1"/>
  <c r="CS168" i="1"/>
  <c r="CT168" i="1" s="1"/>
  <c r="CS173" i="1"/>
  <c r="CT173" i="1" s="1"/>
  <c r="CW188" i="1"/>
  <c r="CY188" i="1" s="1"/>
  <c r="FA188" i="1" s="1"/>
  <c r="CV188" i="1"/>
  <c r="CU198" i="1"/>
  <c r="DA198" i="1" s="1"/>
  <c r="CU195" i="1"/>
  <c r="DA195" i="1" s="1"/>
  <c r="CA206" i="1"/>
  <c r="EY206" i="1" s="1"/>
  <c r="CU201" i="1"/>
  <c r="CW215" i="1"/>
  <c r="CY215" i="1" s="1"/>
  <c r="FA215" i="1" s="1"/>
  <c r="CV215" i="1"/>
  <c r="CW213" i="1"/>
  <c r="CY213" i="1" s="1"/>
  <c r="FA213" i="1" s="1"/>
  <c r="CV213" i="1"/>
  <c r="CW223" i="1"/>
  <c r="CY223" i="1" s="1"/>
  <c r="FA223" i="1" s="1"/>
  <c r="CV223" i="1"/>
  <c r="CU223" i="1"/>
  <c r="CA229" i="1"/>
  <c r="EY229" i="1" s="1"/>
  <c r="CS229" i="1"/>
  <c r="CX229" i="1" s="1"/>
  <c r="CS231" i="1"/>
  <c r="CX231" i="1" s="1"/>
  <c r="CV257" i="1"/>
  <c r="CV162" i="1"/>
  <c r="CU162" i="1"/>
  <c r="CW179" i="1"/>
  <c r="CY179" i="1" s="1"/>
  <c r="FA179" i="1" s="1"/>
  <c r="CV179" i="1"/>
  <c r="CW209" i="1"/>
  <c r="CY209" i="1" s="1"/>
  <c r="FA209" i="1" s="1"/>
  <c r="CV209" i="1"/>
  <c r="CW157" i="1"/>
  <c r="CU157" i="1"/>
  <c r="CU179" i="1"/>
  <c r="CQ126" i="1"/>
  <c r="CW211" i="1"/>
  <c r="CY211" i="1" s="1"/>
  <c r="FA211" i="1" s="1"/>
  <c r="CV211" i="1"/>
  <c r="DA211" i="1" s="1"/>
  <c r="CR121" i="1"/>
  <c r="CA136" i="1"/>
  <c r="CS115" i="1"/>
  <c r="CT115" i="1" s="1"/>
  <c r="CR119" i="1"/>
  <c r="CS120" i="1"/>
  <c r="CT120" i="1" s="1"/>
  <c r="CU121" i="1"/>
  <c r="CS154" i="1"/>
  <c r="CT154" i="1" s="1"/>
  <c r="CV157" i="1"/>
  <c r="CR160" i="1"/>
  <c r="CQ160" i="1"/>
  <c r="CW161" i="1"/>
  <c r="CY161" i="1" s="1"/>
  <c r="FA161" i="1" s="1"/>
  <c r="CU161" i="1"/>
  <c r="CW165" i="1"/>
  <c r="CY165" i="1" s="1"/>
  <c r="FA165" i="1" s="1"/>
  <c r="CW167" i="1"/>
  <c r="CV168" i="1"/>
  <c r="CA172" i="1"/>
  <c r="CU190" i="1"/>
  <c r="DA190" i="1" s="1"/>
  <c r="BX199" i="1"/>
  <c r="BZ199" i="1" s="1"/>
  <c r="BW199" i="1"/>
  <c r="CU215" i="1"/>
  <c r="CU213" i="1"/>
  <c r="CW208" i="1"/>
  <c r="CY208" i="1" s="1"/>
  <c r="FA208" i="1" s="1"/>
  <c r="CA208" i="1"/>
  <c r="CS207" i="1"/>
  <c r="CT207" i="1" s="1"/>
  <c r="CW219" i="1"/>
  <c r="CY219" i="1" s="1"/>
  <c r="FA219" i="1" s="1"/>
  <c r="CW221" i="1"/>
  <c r="CY221" i="1" s="1"/>
  <c r="FA221" i="1" s="1"/>
  <c r="CW230" i="1"/>
  <c r="CV230" i="1"/>
  <c r="CU230" i="1"/>
  <c r="CS230" i="1"/>
  <c r="CT230" i="1" s="1"/>
  <c r="CR230" i="1"/>
  <c r="CQ230" i="1"/>
  <c r="CV204" i="1"/>
  <c r="BX204" i="1"/>
  <c r="BZ204" i="1" s="1"/>
  <c r="CA204" i="1" s="1"/>
  <c r="CW162" i="1"/>
  <c r="CY162" i="1" s="1"/>
  <c r="FA162" i="1" s="1"/>
  <c r="BW204" i="1"/>
  <c r="CU209" i="1"/>
  <c r="CV291" i="1"/>
  <c r="CU291" i="1"/>
  <c r="CW291" i="1"/>
  <c r="CY291" i="1" s="1"/>
  <c r="FA291" i="1" s="1"/>
  <c r="CV173" i="1"/>
  <c r="CU173" i="1"/>
  <c r="CR173" i="1"/>
  <c r="CA286" i="1"/>
  <c r="CW286" i="1"/>
  <c r="CY286" i="1" s="1"/>
  <c r="FA286" i="1" s="1"/>
  <c r="CW122" i="1"/>
  <c r="CQ118" i="1"/>
  <c r="CQ124" i="1"/>
  <c r="CS119" i="1"/>
  <c r="CT119" i="1" s="1"/>
  <c r="CQ139" i="1"/>
  <c r="CU145" i="1"/>
  <c r="DA145" i="1" s="1"/>
  <c r="CW154" i="1"/>
  <c r="CW156" i="1"/>
  <c r="CU156" i="1"/>
  <c r="DA156" i="1" s="1"/>
  <c r="CS160" i="1"/>
  <c r="CT160" i="1" s="1"/>
  <c r="CV161" i="1"/>
  <c r="CW172" i="1"/>
  <c r="CU172" i="1"/>
  <c r="CS174" i="1"/>
  <c r="CT174" i="1" s="1"/>
  <c r="CW175" i="1"/>
  <c r="CV175" i="1"/>
  <c r="DA175" i="1" s="1"/>
  <c r="CW187" i="1"/>
  <c r="CY187" i="1" s="1"/>
  <c r="FA187" i="1" s="1"/>
  <c r="CV187" i="1"/>
  <c r="BX191" i="1"/>
  <c r="BZ191" i="1" s="1"/>
  <c r="BW191" i="1"/>
  <c r="CV193" i="1"/>
  <c r="CW195" i="1"/>
  <c r="CY195" i="1" s="1"/>
  <c r="FA195" i="1" s="1"/>
  <c r="CW217" i="1"/>
  <c r="CY217" i="1" s="1"/>
  <c r="FA217" i="1" s="1"/>
  <c r="CV217" i="1"/>
  <c r="CW180" i="1"/>
  <c r="CY180" i="1" s="1"/>
  <c r="FA180" i="1" s="1"/>
  <c r="CV180" i="1"/>
  <c r="CU180" i="1"/>
  <c r="CU226" i="1"/>
  <c r="CW225" i="1"/>
  <c r="CY225" i="1" s="1"/>
  <c r="FA225" i="1" s="1"/>
  <c r="CA225" i="1"/>
  <c r="CW232" i="1"/>
  <c r="CV232" i="1"/>
  <c r="CU232" i="1"/>
  <c r="CS232" i="1"/>
  <c r="CT232" i="1" s="1"/>
  <c r="CR232" i="1"/>
  <c r="CQ157" i="1"/>
  <c r="CV166" i="1"/>
  <c r="CU166" i="1"/>
  <c r="CR116" i="1"/>
  <c r="CU126" i="1"/>
  <c r="CS116" i="1"/>
  <c r="CT116" i="1" s="1"/>
  <c r="CU115" i="1"/>
  <c r="DA115" i="1" s="1"/>
  <c r="CV126" i="1"/>
  <c r="CU120" i="1"/>
  <c r="DA120" i="1" s="1"/>
  <c r="CV121" i="1"/>
  <c r="CU155" i="1"/>
  <c r="CQ156" i="1"/>
  <c r="CU160" i="1"/>
  <c r="CU171" i="1"/>
  <c r="CS171" i="1"/>
  <c r="CT171" i="1" s="1"/>
  <c r="CS170" i="1"/>
  <c r="CT170" i="1" s="1"/>
  <c r="CW169" i="1"/>
  <c r="CQ172" i="1"/>
  <c r="CS175" i="1"/>
  <c r="CT175" i="1" s="1"/>
  <c r="CU187" i="1"/>
  <c r="CW185" i="1"/>
  <c r="CY185" i="1" s="1"/>
  <c r="FA185" i="1" s="1"/>
  <c r="CV185" i="1"/>
  <c r="CU185" i="1"/>
  <c r="CU199" i="1"/>
  <c r="DA199" i="1" s="1"/>
  <c r="CU193" i="1"/>
  <c r="CA192" i="1"/>
  <c r="CW192" i="1"/>
  <c r="CY192" i="1" s="1"/>
  <c r="FA192" i="1" s="1"/>
  <c r="CU217" i="1"/>
  <c r="CW214" i="1"/>
  <c r="CY214" i="1" s="1"/>
  <c r="FA214" i="1" s="1"/>
  <c r="CA214" i="1"/>
  <c r="CW235" i="1"/>
  <c r="CY235" i="1" s="1"/>
  <c r="FA235" i="1" s="1"/>
  <c r="CV235" i="1"/>
  <c r="DA235" i="1" s="1"/>
  <c r="CS263" i="1"/>
  <c r="CT263" i="1" s="1"/>
  <c r="CA263" i="1"/>
  <c r="CW159" i="1"/>
  <c r="BW192" i="1"/>
  <c r="CQ203" i="1"/>
  <c r="CW206" i="1"/>
  <c r="CW201" i="1"/>
  <c r="BX200" i="1"/>
  <c r="BZ200" i="1" s="1"/>
  <c r="CU219" i="1"/>
  <c r="CU221" i="1"/>
  <c r="CA224" i="1"/>
  <c r="EY224" i="1" s="1"/>
  <c r="CU229" i="1"/>
  <c r="CW227" i="1"/>
  <c r="CV236" i="1"/>
  <c r="DA236" i="1" s="1"/>
  <c r="CV239" i="1"/>
  <c r="CU239" i="1"/>
  <c r="CR203" i="1"/>
  <c r="CV219" i="1"/>
  <c r="CV221" i="1"/>
  <c r="CV229" i="1"/>
  <c r="CV234" i="1"/>
  <c r="CU234" i="1"/>
  <c r="CW236" i="1"/>
  <c r="CY236" i="1" s="1"/>
  <c r="FA236" i="1" s="1"/>
  <c r="CW242" i="1"/>
  <c r="CY242" i="1" s="1"/>
  <c r="FA242" i="1" s="1"/>
  <c r="CU183" i="1"/>
  <c r="BW188" i="1"/>
  <c r="BW196" i="1"/>
  <c r="CS203" i="1"/>
  <c r="CT203" i="1" s="1"/>
  <c r="CU216" i="1"/>
  <c r="CU212" i="1"/>
  <c r="CU210" i="1"/>
  <c r="DA210" i="1" s="1"/>
  <c r="CU218" i="1"/>
  <c r="DA218" i="1" s="1"/>
  <c r="CU214" i="1"/>
  <c r="DA214" i="1" s="1"/>
  <c r="CU208" i="1"/>
  <c r="DA208" i="1" s="1"/>
  <c r="CU224" i="1"/>
  <c r="DA224" i="1" s="1"/>
  <c r="CU225" i="1"/>
  <c r="DA225" i="1" s="1"/>
  <c r="CW234" i="1"/>
  <c r="CY234" i="1" s="1"/>
  <c r="FA234" i="1" s="1"/>
  <c r="CW237" i="1"/>
  <c r="CY237" i="1" s="1"/>
  <c r="FA237" i="1" s="1"/>
  <c r="CV237" i="1"/>
  <c r="CW241" i="1"/>
  <c r="CY241" i="1" s="1"/>
  <c r="FA241" i="1" s="1"/>
  <c r="CA274" i="1"/>
  <c r="CW274" i="1"/>
  <c r="CY274" i="1" s="1"/>
  <c r="FA274" i="1" s="1"/>
  <c r="CV183" i="1"/>
  <c r="CU203" i="1"/>
  <c r="DA203" i="1" s="1"/>
  <c r="CV216" i="1"/>
  <c r="CV212" i="1"/>
  <c r="CU233" i="1"/>
  <c r="CU237" i="1"/>
  <c r="CW247" i="1"/>
  <c r="CY247" i="1" s="1"/>
  <c r="FA247" i="1" s="1"/>
  <c r="CU247" i="1"/>
  <c r="DA247" i="1" s="1"/>
  <c r="CW244" i="1"/>
  <c r="CY244" i="1" s="1"/>
  <c r="FA244" i="1" s="1"/>
  <c r="CV244" i="1"/>
  <c r="CU244" i="1"/>
  <c r="CS268" i="1"/>
  <c r="CT268" i="1" s="1"/>
  <c r="CA268" i="1"/>
  <c r="CV280" i="1"/>
  <c r="CU280" i="1"/>
  <c r="CW280" i="1"/>
  <c r="CY280" i="1" s="1"/>
  <c r="FA280" i="1" s="1"/>
  <c r="CV233" i="1"/>
  <c r="CW258" i="1"/>
  <c r="CY258" i="1" s="1"/>
  <c r="FA258" i="1" s="1"/>
  <c r="CU260" i="1"/>
  <c r="DA260" i="1" s="1"/>
  <c r="CW260" i="1"/>
  <c r="CY260" i="1" s="1"/>
  <c r="FA260" i="1" s="1"/>
  <c r="CU266" i="1"/>
  <c r="CQ266" i="1"/>
  <c r="CW266" i="1"/>
  <c r="CV266" i="1"/>
  <c r="CS266" i="1"/>
  <c r="CT266" i="1" s="1"/>
  <c r="CA265" i="1"/>
  <c r="CS265" i="1"/>
  <c r="CT265" i="1" s="1"/>
  <c r="CW275" i="1"/>
  <c r="CY275" i="1" s="1"/>
  <c r="FA275" i="1" s="1"/>
  <c r="CU271" i="1"/>
  <c r="DA271" i="1" s="1"/>
  <c r="CU288" i="1"/>
  <c r="CU287" i="1"/>
  <c r="CV294" i="1"/>
  <c r="CU294" i="1"/>
  <c r="CU245" i="1"/>
  <c r="DA245" i="1" s="1"/>
  <c r="CU259" i="1"/>
  <c r="DA259" i="1" s="1"/>
  <c r="CW283" i="1"/>
  <c r="CY283" i="1" s="1"/>
  <c r="FA283" i="1" s="1"/>
  <c r="CW273" i="1"/>
  <c r="CY273" i="1" s="1"/>
  <c r="FA273" i="1" s="1"/>
  <c r="CV288" i="1"/>
  <c r="CV287" i="1"/>
  <c r="CW294" i="1"/>
  <c r="CY294" i="1" s="1"/>
  <c r="FA294" i="1" s="1"/>
  <c r="CU297" i="1"/>
  <c r="CV297" i="1"/>
  <c r="CV309" i="1"/>
  <c r="CU309" i="1"/>
  <c r="CW311" i="1"/>
  <c r="CY311" i="1" s="1"/>
  <c r="FA311" i="1" s="1"/>
  <c r="CU311" i="1"/>
  <c r="DA311" i="1" s="1"/>
  <c r="CW320" i="1"/>
  <c r="CY320" i="1" s="1"/>
  <c r="FA320" i="1" s="1"/>
  <c r="CU320" i="1"/>
  <c r="DA320" i="1" s="1"/>
  <c r="CQ264" i="1"/>
  <c r="CQ267" i="1"/>
  <c r="CU283" i="1"/>
  <c r="DA283" i="1" s="1"/>
  <c r="CW303" i="1"/>
  <c r="CY303" i="1" s="1"/>
  <c r="FA303" i="1" s="1"/>
  <c r="CU303" i="1"/>
  <c r="DA303" i="1" s="1"/>
  <c r="CW292" i="1"/>
  <c r="CY292" i="1" s="1"/>
  <c r="FA292" i="1" s="1"/>
  <c r="CU292" i="1"/>
  <c r="CU314" i="1"/>
  <c r="CV314" i="1"/>
  <c r="CS264" i="1"/>
  <c r="CT264" i="1" s="1"/>
  <c r="CS267" i="1"/>
  <c r="CT267" i="1" s="1"/>
  <c r="CS270" i="1"/>
  <c r="CX270" i="1" s="1"/>
  <c r="CV296" i="1"/>
  <c r="DA296" i="1" s="1"/>
  <c r="CV292" i="1"/>
  <c r="CW298" i="1"/>
  <c r="CY298" i="1" s="1"/>
  <c r="FA298" i="1" s="1"/>
  <c r="CU298" i="1"/>
  <c r="DA298" i="1" s="1"/>
  <c r="CW302" i="1"/>
  <c r="CY302" i="1" s="1"/>
  <c r="FA302" i="1" s="1"/>
  <c r="CU302" i="1"/>
  <c r="DA302" i="1" s="1"/>
  <c r="CW314" i="1"/>
  <c r="CY314" i="1" s="1"/>
  <c r="FA314" i="1" s="1"/>
  <c r="CU312" i="1"/>
  <c r="CV312" i="1"/>
  <c r="CV317" i="1"/>
  <c r="CU317" i="1"/>
  <c r="CW317" i="1"/>
  <c r="CY317" i="1" s="1"/>
  <c r="FA317" i="1" s="1"/>
  <c r="CW322" i="1"/>
  <c r="CY322" i="1" s="1"/>
  <c r="FA322" i="1" s="1"/>
  <c r="CV322" i="1"/>
  <c r="CU322" i="1"/>
  <c r="CV326" i="1"/>
  <c r="CW339" i="1"/>
  <c r="CY339" i="1" s="1"/>
  <c r="FA339" i="1" s="1"/>
  <c r="CW338" i="1"/>
  <c r="CY338" i="1" s="1"/>
  <c r="FA338" i="1" s="1"/>
  <c r="CA342" i="1"/>
  <c r="CW341" i="1"/>
  <c r="CY341" i="1" s="1"/>
  <c r="FA341" i="1" s="1"/>
  <c r="CW349" i="1"/>
  <c r="CY349" i="1" s="1"/>
  <c r="FA349" i="1" s="1"/>
  <c r="CW347" i="1"/>
  <c r="CY347" i="1" s="1"/>
  <c r="FA347" i="1" s="1"/>
  <c r="CW395" i="1"/>
  <c r="CY395" i="1" s="1"/>
  <c r="FA395" i="1" s="1"/>
  <c r="CV395" i="1"/>
  <c r="DA395" i="1" s="1"/>
  <c r="CV388" i="1"/>
  <c r="CU388" i="1"/>
  <c r="CW408" i="1"/>
  <c r="CY408" i="1" s="1"/>
  <c r="FA408" i="1" s="1"/>
  <c r="EY357" i="1"/>
  <c r="CW383" i="1"/>
  <c r="CY383" i="1" s="1"/>
  <c r="FA383" i="1" s="1"/>
  <c r="CA383" i="1"/>
  <c r="CW484" i="1"/>
  <c r="CY484" i="1" s="1"/>
  <c r="FA484" i="1" s="1"/>
  <c r="CA484" i="1"/>
  <c r="CV324" i="1"/>
  <c r="DA324" i="1" s="1"/>
  <c r="EY354" i="1"/>
  <c r="CV362" i="1"/>
  <c r="CU362" i="1"/>
  <c r="CW362" i="1"/>
  <c r="CY362" i="1" s="1"/>
  <c r="FA362" i="1" s="1"/>
  <c r="CW359" i="1"/>
  <c r="CY359" i="1" s="1"/>
  <c r="FA359" i="1" s="1"/>
  <c r="CV359" i="1"/>
  <c r="CU359" i="1"/>
  <c r="CA385" i="1"/>
  <c r="CU379" i="1"/>
  <c r="CW377" i="1"/>
  <c r="CY377" i="1" s="1"/>
  <c r="FA377" i="1" s="1"/>
  <c r="CV377" i="1"/>
  <c r="DA377" i="1" s="1"/>
  <c r="CW466" i="1"/>
  <c r="CY466" i="1" s="1"/>
  <c r="FA466" i="1" s="1"/>
  <c r="CA466" i="1"/>
  <c r="CW324" i="1"/>
  <c r="CY324" i="1" s="1"/>
  <c r="FA324" i="1" s="1"/>
  <c r="CW352" i="1"/>
  <c r="CY352" i="1" s="1"/>
  <c r="FA352" i="1" s="1"/>
  <c r="CV352" i="1"/>
  <c r="CU352" i="1"/>
  <c r="CV361" i="1"/>
  <c r="CW361" i="1"/>
  <c r="CY361" i="1" s="1"/>
  <c r="FA361" i="1" s="1"/>
  <c r="CV379" i="1"/>
  <c r="CV365" i="1"/>
  <c r="CU365" i="1"/>
  <c r="CU407" i="1"/>
  <c r="CW407" i="1"/>
  <c r="CY407" i="1" s="1"/>
  <c r="FA407" i="1" s="1"/>
  <c r="CW451" i="1"/>
  <c r="CY451" i="1" s="1"/>
  <c r="FA451" i="1" s="1"/>
  <c r="CA451" i="1"/>
  <c r="CW318" i="1"/>
  <c r="CY318" i="1" s="1"/>
  <c r="FA318" i="1" s="1"/>
  <c r="CV321" i="1"/>
  <c r="CV323" i="1"/>
  <c r="DA323" i="1" s="1"/>
  <c r="CU327" i="1"/>
  <c r="CS330" i="1"/>
  <c r="CT330" i="1" s="1"/>
  <c r="CU330" i="1"/>
  <c r="CW337" i="1"/>
  <c r="CY337" i="1" s="1"/>
  <c r="FA337" i="1" s="1"/>
  <c r="CW336" i="1"/>
  <c r="CY336" i="1" s="1"/>
  <c r="FA336" i="1" s="1"/>
  <c r="CA345" i="1"/>
  <c r="CU361" i="1"/>
  <c r="CV363" i="1"/>
  <c r="DA363" i="1" s="1"/>
  <c r="CU360" i="1"/>
  <c r="CV392" i="1"/>
  <c r="CU392" i="1"/>
  <c r="CW392" i="1"/>
  <c r="CY392" i="1" s="1"/>
  <c r="FA392" i="1" s="1"/>
  <c r="CV390" i="1"/>
  <c r="DA390" i="1" s="1"/>
  <c r="CV386" i="1"/>
  <c r="DA386" i="1" s="1"/>
  <c r="CW365" i="1"/>
  <c r="CY365" i="1" s="1"/>
  <c r="FA365" i="1" s="1"/>
  <c r="CV411" i="1"/>
  <c r="CV407" i="1"/>
  <c r="CW441" i="1"/>
  <c r="CY441" i="1" s="1"/>
  <c r="FA441" i="1" s="1"/>
  <c r="CV441" i="1"/>
  <c r="CU441" i="1"/>
  <c r="CV307" i="1"/>
  <c r="DA307" i="1" s="1"/>
  <c r="CW323" i="1"/>
  <c r="CY323" i="1" s="1"/>
  <c r="FA323" i="1" s="1"/>
  <c r="CV327" i="1"/>
  <c r="CQ330" i="1"/>
  <c r="CW350" i="1"/>
  <c r="CY350" i="1" s="1"/>
  <c r="FA350" i="1" s="1"/>
  <c r="CV344" i="1"/>
  <c r="DA344" i="1" s="1"/>
  <c r="CV360" i="1"/>
  <c r="CW390" i="1"/>
  <c r="CY390" i="1" s="1"/>
  <c r="FA390" i="1" s="1"/>
  <c r="CW386" i="1"/>
  <c r="CY386" i="1" s="1"/>
  <c r="FA386" i="1" s="1"/>
  <c r="CU381" i="1"/>
  <c r="CU364" i="1"/>
  <c r="CV364" i="1"/>
  <c r="CW400" i="1"/>
  <c r="CY400" i="1" s="1"/>
  <c r="FA400" i="1" s="1"/>
  <c r="CV400" i="1"/>
  <c r="CU400" i="1"/>
  <c r="CU438" i="1"/>
  <c r="CW443" i="1"/>
  <c r="CY443" i="1" s="1"/>
  <c r="FA443" i="1" s="1"/>
  <c r="CV443" i="1"/>
  <c r="DA443" i="1" s="1"/>
  <c r="CW354" i="1"/>
  <c r="CY354" i="1" s="1"/>
  <c r="FA354" i="1" s="1"/>
  <c r="CV354" i="1"/>
  <c r="DA354" i="1" s="1"/>
  <c r="EY359" i="1"/>
  <c r="CW389" i="1"/>
  <c r="CY389" i="1" s="1"/>
  <c r="FA389" i="1" s="1"/>
  <c r="CW371" i="1"/>
  <c r="CY371" i="1" s="1"/>
  <c r="FA371" i="1" s="1"/>
  <c r="CV371" i="1"/>
  <c r="CU371" i="1"/>
  <c r="CA367" i="1"/>
  <c r="CW367" i="1"/>
  <c r="CY367" i="1" s="1"/>
  <c r="FA367" i="1" s="1"/>
  <c r="CW402" i="1"/>
  <c r="CY402" i="1" s="1"/>
  <c r="FA402" i="1" s="1"/>
  <c r="CV402" i="1"/>
  <c r="CV438" i="1"/>
  <c r="CU326" i="1"/>
  <c r="CV339" i="1"/>
  <c r="DA339" i="1" s="1"/>
  <c r="CU338" i="1"/>
  <c r="DA338" i="1" s="1"/>
  <c r="CV340" i="1"/>
  <c r="DA340" i="1" s="1"/>
  <c r="CW340" i="1"/>
  <c r="CY340" i="1" s="1"/>
  <c r="FA340" i="1" s="1"/>
  <c r="EY352" i="1"/>
  <c r="CU402" i="1"/>
  <c r="CA444" i="1"/>
  <c r="CW357" i="1"/>
  <c r="CY357" i="1" s="1"/>
  <c r="FA357" i="1" s="1"/>
  <c r="CV357" i="1"/>
  <c r="DA357" i="1" s="1"/>
  <c r="CW384" i="1"/>
  <c r="CY384" i="1" s="1"/>
  <c r="FA384" i="1" s="1"/>
  <c r="CW378" i="1"/>
  <c r="CY378" i="1" s="1"/>
  <c r="FA378" i="1" s="1"/>
  <c r="CU378" i="1"/>
  <c r="CV378" i="1"/>
  <c r="CW366" i="1"/>
  <c r="CY366" i="1" s="1"/>
  <c r="FA366" i="1" s="1"/>
  <c r="CV366" i="1"/>
  <c r="CU366" i="1"/>
  <c r="CV425" i="1"/>
  <c r="DA425" i="1" s="1"/>
  <c r="CW425" i="1"/>
  <c r="CY425" i="1" s="1"/>
  <c r="FA425" i="1" s="1"/>
  <c r="CW432" i="1"/>
  <c r="CY432" i="1" s="1"/>
  <c r="FA432" i="1" s="1"/>
  <c r="CV432" i="1"/>
  <c r="CU432" i="1"/>
  <c r="CW435" i="1"/>
  <c r="CY435" i="1" s="1"/>
  <c r="FA435" i="1" s="1"/>
  <c r="CV435" i="1"/>
  <c r="CU460" i="1"/>
  <c r="CR460" i="1"/>
  <c r="CQ460" i="1"/>
  <c r="CW460" i="1"/>
  <c r="CV460" i="1"/>
  <c r="CS460" i="1"/>
  <c r="CT460" i="1" s="1"/>
  <c r="CW468" i="1"/>
  <c r="CY468" i="1" s="1"/>
  <c r="FA468" i="1" s="1"/>
  <c r="CA468" i="1"/>
  <c r="CW487" i="1"/>
  <c r="CY487" i="1" s="1"/>
  <c r="FA487" i="1" s="1"/>
  <c r="CV487" i="1"/>
  <c r="CU487" i="1"/>
  <c r="CU435" i="1"/>
  <c r="CU448" i="1"/>
  <c r="CW448" i="1"/>
  <c r="CY448" i="1" s="1"/>
  <c r="FA448" i="1" s="1"/>
  <c r="CV446" i="1"/>
  <c r="CU446" i="1"/>
  <c r="CW476" i="1"/>
  <c r="CY476" i="1" s="1"/>
  <c r="FA476" i="1" s="1"/>
  <c r="CA476" i="1"/>
  <c r="CU384" i="1"/>
  <c r="CA373" i="1"/>
  <c r="CV372" i="1"/>
  <c r="DA372" i="1" s="1"/>
  <c r="CW404" i="1"/>
  <c r="CY404" i="1" s="1"/>
  <c r="FA404" i="1" s="1"/>
  <c r="CU399" i="1"/>
  <c r="CU397" i="1"/>
  <c r="CA437" i="1"/>
  <c r="EY437" i="1" s="1"/>
  <c r="CW437" i="1"/>
  <c r="CY437" i="1" s="1"/>
  <c r="FA437" i="1" s="1"/>
  <c r="CV448" i="1"/>
  <c r="CW446" i="1"/>
  <c r="CY446" i="1" s="1"/>
  <c r="FA446" i="1" s="1"/>
  <c r="CV384" i="1"/>
  <c r="CU383" i="1"/>
  <c r="DA383" i="1" s="1"/>
  <c r="CV373" i="1"/>
  <c r="CU373" i="1"/>
  <c r="CW372" i="1"/>
  <c r="CY372" i="1" s="1"/>
  <c r="FA372" i="1" s="1"/>
  <c r="CV399" i="1"/>
  <c r="CV397" i="1"/>
  <c r="CW473" i="1"/>
  <c r="CY473" i="1" s="1"/>
  <c r="FA473" i="1" s="1"/>
  <c r="CV473" i="1"/>
  <c r="CU473" i="1"/>
  <c r="BX482" i="1"/>
  <c r="BZ482" i="1" s="1"/>
  <c r="CA482" i="1" s="1"/>
  <c r="CW368" i="1"/>
  <c r="CY368" i="1" s="1"/>
  <c r="FA368" i="1" s="1"/>
  <c r="CV368" i="1"/>
  <c r="DA368" i="1" s="1"/>
  <c r="CW401" i="1"/>
  <c r="CY401" i="1" s="1"/>
  <c r="FA401" i="1" s="1"/>
  <c r="CW410" i="1"/>
  <c r="CY410" i="1" s="1"/>
  <c r="FA410" i="1" s="1"/>
  <c r="CV410" i="1"/>
  <c r="DA410" i="1" s="1"/>
  <c r="CV421" i="1"/>
  <c r="DA421" i="1" s="1"/>
  <c r="CW421" i="1"/>
  <c r="CY421" i="1" s="1"/>
  <c r="FA421" i="1" s="1"/>
  <c r="CU429" i="1"/>
  <c r="DA429" i="1" s="1"/>
  <c r="CW429" i="1"/>
  <c r="CY429" i="1" s="1"/>
  <c r="FA429" i="1" s="1"/>
  <c r="CW452" i="1"/>
  <c r="CY452" i="1" s="1"/>
  <c r="FA452" i="1" s="1"/>
  <c r="CV452" i="1"/>
  <c r="CU452" i="1"/>
  <c r="CV475" i="1"/>
  <c r="CU475" i="1"/>
  <c r="CV471" i="1"/>
  <c r="CU471" i="1"/>
  <c r="BX481" i="1"/>
  <c r="BZ481" i="1" s="1"/>
  <c r="BW481" i="1"/>
  <c r="CU370" i="1"/>
  <c r="DA370" i="1" s="1"/>
  <c r="CU404" i="1"/>
  <c r="DA404" i="1" s="1"/>
  <c r="CU406" i="1"/>
  <c r="CU408" i="1"/>
  <c r="DA408" i="1" s="1"/>
  <c r="CU427" i="1"/>
  <c r="DA427" i="1" s="1"/>
  <c r="CW428" i="1"/>
  <c r="CY428" i="1" s="1"/>
  <c r="FA428" i="1" s="1"/>
  <c r="CU428" i="1"/>
  <c r="DA428" i="1" s="1"/>
  <c r="CU434" i="1"/>
  <c r="CW439" i="1"/>
  <c r="CY439" i="1" s="1"/>
  <c r="FA439" i="1" s="1"/>
  <c r="CV439" i="1"/>
  <c r="CU439" i="1"/>
  <c r="CW475" i="1"/>
  <c r="CY475" i="1" s="1"/>
  <c r="FA475" i="1" s="1"/>
  <c r="CA467" i="1"/>
  <c r="CW471" i="1"/>
  <c r="CY471" i="1" s="1"/>
  <c r="FA471" i="1" s="1"/>
  <c r="CW488" i="1"/>
  <c r="CY488" i="1" s="1"/>
  <c r="FA488" i="1" s="1"/>
  <c r="CV434" i="1"/>
  <c r="CW436" i="1"/>
  <c r="CY436" i="1" s="1"/>
  <c r="FA436" i="1" s="1"/>
  <c r="CV436" i="1"/>
  <c r="CU436" i="1"/>
  <c r="CQ439" i="1"/>
  <c r="CW449" i="1"/>
  <c r="CY449" i="1" s="1"/>
  <c r="FA449" i="1" s="1"/>
  <c r="CV449" i="1"/>
  <c r="CV462" i="1"/>
  <c r="CU462" i="1"/>
  <c r="CW461" i="1"/>
  <c r="CU461" i="1"/>
  <c r="CS461" i="1"/>
  <c r="CT461" i="1" s="1"/>
  <c r="CV461" i="1"/>
  <c r="CW467" i="1"/>
  <c r="CY467" i="1" s="1"/>
  <c r="FA467" i="1" s="1"/>
  <c r="CV467" i="1"/>
  <c r="CU467" i="1"/>
  <c r="CU423" i="1"/>
  <c r="DA423" i="1" s="1"/>
  <c r="CU431" i="1"/>
  <c r="CR439" i="1"/>
  <c r="CU449" i="1"/>
  <c r="CQ462" i="1"/>
  <c r="CQ461" i="1"/>
  <c r="CA464" i="1"/>
  <c r="CS464" i="1"/>
  <c r="CT464" i="1" s="1"/>
  <c r="CW464" i="1"/>
  <c r="CV464" i="1"/>
  <c r="DA464" i="1" s="1"/>
  <c r="BW478" i="1"/>
  <c r="CA490" i="1"/>
  <c r="CW469" i="1"/>
  <c r="CY469" i="1" s="1"/>
  <c r="FA469" i="1" s="1"/>
  <c r="CW477" i="1"/>
  <c r="CY477" i="1" s="1"/>
  <c r="FA477" i="1" s="1"/>
  <c r="CV477" i="1"/>
  <c r="DA477" i="1" s="1"/>
  <c r="CW463" i="1"/>
  <c r="CV463" i="1"/>
  <c r="CU463" i="1"/>
  <c r="CW470" i="1"/>
  <c r="CY470" i="1" s="1"/>
  <c r="FA470" i="1" s="1"/>
  <c r="CV470" i="1"/>
  <c r="DA470" i="1" s="1"/>
  <c r="CA472" i="1"/>
  <c r="CU458" i="1"/>
  <c r="CW472" i="1"/>
  <c r="CY472" i="1" s="1"/>
  <c r="FA472" i="1" s="1"/>
  <c r="CV472" i="1"/>
  <c r="BX479" i="1"/>
  <c r="BZ479" i="1" s="1"/>
  <c r="BW479" i="1"/>
  <c r="BW486" i="1"/>
  <c r="CW491" i="1"/>
  <c r="CY491" i="1" s="1"/>
  <c r="FA491" i="1" s="1"/>
  <c r="CA491" i="1"/>
  <c r="CV458" i="1"/>
  <c r="CU455" i="1"/>
  <c r="CU454" i="1"/>
  <c r="CA462" i="1"/>
  <c r="CV459" i="1"/>
  <c r="CS459" i="1"/>
  <c r="CT459" i="1" s="1"/>
  <c r="CR459" i="1"/>
  <c r="CU472" i="1"/>
  <c r="CV486" i="1"/>
  <c r="CW483" i="1"/>
  <c r="CY483" i="1" s="1"/>
  <c r="FA483" i="1" s="1"/>
  <c r="CV483" i="1"/>
  <c r="CW489" i="1"/>
  <c r="CY489" i="1" s="1"/>
  <c r="FA489" i="1" s="1"/>
  <c r="CU474" i="1"/>
  <c r="DA474" i="1" s="1"/>
  <c r="CU484" i="1"/>
  <c r="DA484" i="1" s="1"/>
  <c r="BW482" i="1"/>
  <c r="CU490" i="1"/>
  <c r="DA490" i="1" s="1"/>
  <c r="CU478" i="1"/>
  <c r="DA478" i="1" s="1"/>
  <c r="CU486" i="1"/>
  <c r="BW484" i="1"/>
  <c r="CU481" i="1"/>
  <c r="DA481" i="1" s="1"/>
  <c r="CY123" i="1" l="1"/>
  <c r="FA123" i="1" s="1"/>
  <c r="CY158" i="1"/>
  <c r="FA158" i="1" s="1"/>
  <c r="CY122" i="1"/>
  <c r="FA122" i="1" s="1"/>
  <c r="CY227" i="1"/>
  <c r="FA227" i="1" s="1"/>
  <c r="CY159" i="1"/>
  <c r="FA159" i="1" s="1"/>
  <c r="CY157" i="1"/>
  <c r="FA157" i="1" s="1"/>
  <c r="CY124" i="1"/>
  <c r="FA124" i="1" s="1"/>
  <c r="CY461" i="1"/>
  <c r="FA461" i="1" s="1"/>
  <c r="CY201" i="1"/>
  <c r="FA201" i="1" s="1"/>
  <c r="CY206" i="1"/>
  <c r="FA206" i="1" s="1"/>
  <c r="CY168" i="1"/>
  <c r="FA168" i="1" s="1"/>
  <c r="CY205" i="1"/>
  <c r="FA205" i="1" s="1"/>
  <c r="CY169" i="1"/>
  <c r="FA169" i="1" s="1"/>
  <c r="CY464" i="1"/>
  <c r="FA464" i="1" s="1"/>
  <c r="CY172" i="1"/>
  <c r="FA172" i="1" s="1"/>
  <c r="CY127" i="1"/>
  <c r="FA127" i="1" s="1"/>
  <c r="CY463" i="1"/>
  <c r="FA463" i="1" s="1"/>
  <c r="CY167" i="1"/>
  <c r="FA167" i="1" s="1"/>
  <c r="CY156" i="1"/>
  <c r="FA156" i="1" s="1"/>
  <c r="CY117" i="1"/>
  <c r="FA117" i="1" s="1"/>
  <c r="CY232" i="1"/>
  <c r="FA232" i="1" s="1"/>
  <c r="CY154" i="1"/>
  <c r="FA154" i="1" s="1"/>
  <c r="CY230" i="1"/>
  <c r="FA230" i="1" s="1"/>
  <c r="CY263" i="1"/>
  <c r="FA263" i="1" s="1"/>
  <c r="CY268" i="1"/>
  <c r="FA268" i="1" s="1"/>
  <c r="CY155" i="1"/>
  <c r="FA155" i="1" s="1"/>
  <c r="CY115" i="1"/>
  <c r="FA115" i="1" s="1"/>
  <c r="CY175" i="1"/>
  <c r="FA175" i="1" s="1"/>
  <c r="CY174" i="1"/>
  <c r="FA174" i="1" s="1"/>
  <c r="CY330" i="1"/>
  <c r="FA330" i="1" s="1"/>
  <c r="CY269" i="1"/>
  <c r="FA269" i="1" s="1"/>
  <c r="CY207" i="1"/>
  <c r="FA207" i="1" s="1"/>
  <c r="CY173" i="1"/>
  <c r="FA173" i="1" s="1"/>
  <c r="CY202" i="1"/>
  <c r="FA202" i="1" s="1"/>
  <c r="CY460" i="1"/>
  <c r="FA460" i="1" s="1"/>
  <c r="CY125" i="1"/>
  <c r="FA125" i="1" s="1"/>
  <c r="CY170" i="1"/>
  <c r="FA170" i="1" s="1"/>
  <c r="CY462" i="1"/>
  <c r="FA462" i="1" s="1"/>
  <c r="CY120" i="1"/>
  <c r="FA120" i="1" s="1"/>
  <c r="CY266" i="1"/>
  <c r="FA266" i="1" s="1"/>
  <c r="CY264" i="1"/>
  <c r="FA264" i="1" s="1"/>
  <c r="CY126" i="1"/>
  <c r="FA126" i="1" s="1"/>
  <c r="CY171" i="1"/>
  <c r="FA171" i="1" s="1"/>
  <c r="CY203" i="1"/>
  <c r="FA203" i="1" s="1"/>
  <c r="CY119" i="1"/>
  <c r="FA119" i="1" s="1"/>
  <c r="CY267" i="1"/>
  <c r="FA267" i="1" s="1"/>
  <c r="CY229" i="1"/>
  <c r="FA229" i="1" s="1"/>
  <c r="CY265" i="1"/>
  <c r="FA265" i="1" s="1"/>
  <c r="CY121" i="1"/>
  <c r="FA121" i="1" s="1"/>
  <c r="CY116" i="1"/>
  <c r="FA116" i="1" s="1"/>
  <c r="CY270" i="1"/>
  <c r="FA270" i="1" s="1"/>
  <c r="CY459" i="1"/>
  <c r="FA459" i="1" s="1"/>
  <c r="CY118" i="1"/>
  <c r="FA118" i="1" s="1"/>
  <c r="CY160" i="1"/>
  <c r="FA160" i="1" s="1"/>
  <c r="CY231" i="1"/>
  <c r="FA231" i="1" s="1"/>
  <c r="CX485" i="1"/>
  <c r="CZ485" i="1"/>
  <c r="CX473" i="1"/>
  <c r="CZ473" i="1"/>
  <c r="CX378" i="1"/>
  <c r="CZ378" i="1"/>
  <c r="CX318" i="1"/>
  <c r="CZ318" i="1"/>
  <c r="CX221" i="1"/>
  <c r="CZ221" i="1"/>
  <c r="CX257" i="1"/>
  <c r="CZ257" i="1"/>
  <c r="CX246" i="1"/>
  <c r="CZ246" i="1"/>
  <c r="CX440" i="1"/>
  <c r="CZ440" i="1"/>
  <c r="CZ443" i="1"/>
  <c r="CX443" i="1"/>
  <c r="CZ320" i="1"/>
  <c r="CX320" i="1"/>
  <c r="CX247" i="1"/>
  <c r="CZ247" i="1"/>
  <c r="CX169" i="1"/>
  <c r="CZ169" i="1"/>
  <c r="CX219" i="1"/>
  <c r="CZ219" i="1"/>
  <c r="CX277" i="1"/>
  <c r="CZ277" i="1"/>
  <c r="CX442" i="1"/>
  <c r="CZ442" i="1"/>
  <c r="CZ304" i="1"/>
  <c r="CX304" i="1"/>
  <c r="CX164" i="1"/>
  <c r="CZ164" i="1"/>
  <c r="CX203" i="1"/>
  <c r="CZ203" i="1"/>
  <c r="CA485" i="1"/>
  <c r="CX428" i="1"/>
  <c r="CZ428" i="1"/>
  <c r="CX468" i="1"/>
  <c r="CZ468" i="1"/>
  <c r="CX400" i="1"/>
  <c r="CZ400" i="1"/>
  <c r="CX484" i="1"/>
  <c r="CZ484" i="1"/>
  <c r="CZ234" i="1"/>
  <c r="CX234" i="1"/>
  <c r="CX227" i="1"/>
  <c r="CZ227" i="1"/>
  <c r="CX185" i="1"/>
  <c r="CZ185" i="1"/>
  <c r="CX165" i="1"/>
  <c r="CZ165" i="1"/>
  <c r="CX363" i="1"/>
  <c r="CZ363" i="1"/>
  <c r="CX333" i="1"/>
  <c r="CZ333" i="1"/>
  <c r="CX492" i="1"/>
  <c r="CZ492" i="1"/>
  <c r="CX163" i="1"/>
  <c r="CZ163" i="1"/>
  <c r="CX469" i="1"/>
  <c r="CZ469" i="1"/>
  <c r="CX475" i="1"/>
  <c r="CZ475" i="1"/>
  <c r="CX340" i="1"/>
  <c r="CZ340" i="1"/>
  <c r="CX367" i="1"/>
  <c r="CZ367" i="1"/>
  <c r="CX354" i="1"/>
  <c r="CZ354" i="1"/>
  <c r="CX365" i="1"/>
  <c r="CZ365" i="1"/>
  <c r="CX466" i="1"/>
  <c r="CZ466" i="1"/>
  <c r="CX362" i="1"/>
  <c r="CZ362" i="1"/>
  <c r="CX383" i="1"/>
  <c r="CZ383" i="1"/>
  <c r="CX349" i="1"/>
  <c r="CZ349" i="1"/>
  <c r="CX322" i="1"/>
  <c r="CZ322" i="1"/>
  <c r="CX302" i="1"/>
  <c r="CZ302" i="1"/>
  <c r="CX244" i="1"/>
  <c r="CZ244" i="1"/>
  <c r="CX159" i="1"/>
  <c r="CZ159" i="1"/>
  <c r="CX192" i="1"/>
  <c r="CZ192" i="1"/>
  <c r="CX195" i="1"/>
  <c r="CZ195" i="1"/>
  <c r="CX162" i="1"/>
  <c r="CZ162" i="1"/>
  <c r="CX230" i="1"/>
  <c r="CZ230" i="1"/>
  <c r="CX161" i="1"/>
  <c r="CZ161" i="1"/>
  <c r="CX157" i="1"/>
  <c r="CZ157" i="1"/>
  <c r="CX149" i="1"/>
  <c r="CZ149" i="1"/>
  <c r="CX127" i="1"/>
  <c r="CZ127" i="1"/>
  <c r="CX226" i="1"/>
  <c r="CZ226" i="1"/>
  <c r="CX269" i="1"/>
  <c r="CZ269" i="1"/>
  <c r="CX207" i="1"/>
  <c r="CZ207" i="1"/>
  <c r="CZ142" i="1"/>
  <c r="CX142" i="1"/>
  <c r="CX356" i="1"/>
  <c r="CZ356" i="1"/>
  <c r="CX465" i="1"/>
  <c r="CZ465" i="1"/>
  <c r="CX427" i="1"/>
  <c r="CZ427" i="1"/>
  <c r="CX348" i="1"/>
  <c r="CZ348" i="1"/>
  <c r="CX355" i="1"/>
  <c r="CZ355" i="1"/>
  <c r="CX173" i="1"/>
  <c r="CZ173" i="1"/>
  <c r="CX296" i="1"/>
  <c r="CZ296" i="1"/>
  <c r="CX490" i="1"/>
  <c r="CZ490" i="1"/>
  <c r="CX182" i="1"/>
  <c r="CZ182" i="1"/>
  <c r="CX332" i="1"/>
  <c r="CZ332" i="1"/>
  <c r="CX319" i="1"/>
  <c r="CZ319" i="1"/>
  <c r="CX345" i="1"/>
  <c r="CZ345" i="1"/>
  <c r="CX202" i="1"/>
  <c r="CZ202" i="1"/>
  <c r="CX323" i="1"/>
  <c r="CZ323" i="1"/>
  <c r="CX280" i="1"/>
  <c r="CZ280" i="1"/>
  <c r="CX150" i="1"/>
  <c r="CZ150" i="1"/>
  <c r="CX239" i="1"/>
  <c r="CZ239" i="1"/>
  <c r="CX388" i="1"/>
  <c r="CZ388" i="1"/>
  <c r="CX335" i="1"/>
  <c r="CZ335" i="1"/>
  <c r="CX489" i="1"/>
  <c r="CZ489" i="1"/>
  <c r="CX298" i="1"/>
  <c r="CZ298" i="1"/>
  <c r="CX209" i="1"/>
  <c r="CZ209" i="1"/>
  <c r="CX278" i="1"/>
  <c r="CZ278" i="1"/>
  <c r="CZ290" i="1"/>
  <c r="CX290" i="1"/>
  <c r="CX148" i="1"/>
  <c r="CZ148" i="1"/>
  <c r="CX461" i="1"/>
  <c r="CZ461" i="1"/>
  <c r="CX436" i="1"/>
  <c r="CZ436" i="1"/>
  <c r="CX439" i="1"/>
  <c r="CZ439" i="1"/>
  <c r="CX401" i="1"/>
  <c r="CZ401" i="1"/>
  <c r="CX437" i="1"/>
  <c r="CZ437" i="1"/>
  <c r="CX390" i="1"/>
  <c r="CZ390" i="1"/>
  <c r="CX392" i="1"/>
  <c r="CZ392" i="1"/>
  <c r="CX337" i="1"/>
  <c r="CZ337" i="1"/>
  <c r="CX451" i="1"/>
  <c r="CZ451" i="1"/>
  <c r="CX338" i="1"/>
  <c r="CZ338" i="1"/>
  <c r="CX292" i="1"/>
  <c r="CZ292" i="1"/>
  <c r="CX241" i="1"/>
  <c r="CZ241" i="1"/>
  <c r="CX242" i="1"/>
  <c r="CZ242" i="1"/>
  <c r="CX291" i="1"/>
  <c r="CZ291" i="1"/>
  <c r="CX168" i="1"/>
  <c r="CZ168" i="1"/>
  <c r="CX218" i="1"/>
  <c r="CZ218" i="1"/>
  <c r="CX130" i="1"/>
  <c r="CZ130" i="1"/>
  <c r="CX205" i="1"/>
  <c r="CZ205" i="1"/>
  <c r="CZ382" i="1"/>
  <c r="CX382" i="1"/>
  <c r="CX373" i="1"/>
  <c r="CZ373" i="1"/>
  <c r="CX222" i="1"/>
  <c r="CZ222" i="1"/>
  <c r="CX351" i="1"/>
  <c r="CZ351" i="1"/>
  <c r="CX250" i="1"/>
  <c r="CZ250" i="1"/>
  <c r="CX265" i="1"/>
  <c r="CZ265" i="1"/>
  <c r="CX158" i="1"/>
  <c r="CZ158" i="1"/>
  <c r="CX240" i="1"/>
  <c r="CZ240" i="1"/>
  <c r="CX329" i="1"/>
  <c r="CZ329" i="1"/>
  <c r="CX409" i="1"/>
  <c r="CZ409" i="1"/>
  <c r="CX447" i="1"/>
  <c r="CZ447" i="1"/>
  <c r="CX376" i="1"/>
  <c r="CZ376" i="1"/>
  <c r="CX307" i="1"/>
  <c r="CZ307" i="1"/>
  <c r="CX136" i="1"/>
  <c r="CZ136" i="1"/>
  <c r="CX123" i="1"/>
  <c r="CZ123" i="1"/>
  <c r="CX121" i="1"/>
  <c r="CZ121" i="1"/>
  <c r="CX137" i="1"/>
  <c r="CZ137" i="1"/>
  <c r="CX331" i="1"/>
  <c r="CZ331" i="1"/>
  <c r="CX181" i="1"/>
  <c r="CZ181" i="1"/>
  <c r="CX453" i="1"/>
  <c r="CZ453" i="1"/>
  <c r="CX166" i="1"/>
  <c r="CZ166" i="1"/>
  <c r="CX399" i="1"/>
  <c r="CZ399" i="1"/>
  <c r="CX406" i="1"/>
  <c r="CZ406" i="1"/>
  <c r="CX422" i="1"/>
  <c r="CZ422" i="1"/>
  <c r="CX116" i="1"/>
  <c r="CZ116" i="1"/>
  <c r="CX233" i="1"/>
  <c r="CZ233" i="1"/>
  <c r="CX405" i="1"/>
  <c r="CZ405" i="1"/>
  <c r="CX460" i="1"/>
  <c r="CZ460" i="1"/>
  <c r="CX215" i="1"/>
  <c r="CZ215" i="1"/>
  <c r="CX125" i="1"/>
  <c r="CZ125" i="1"/>
  <c r="CX140" i="1"/>
  <c r="CZ140" i="1"/>
  <c r="CX426" i="1"/>
  <c r="CZ426" i="1"/>
  <c r="CX248" i="1"/>
  <c r="CZ248" i="1"/>
  <c r="CX272" i="1"/>
  <c r="CZ272" i="1"/>
  <c r="CX470" i="1"/>
  <c r="CZ470" i="1"/>
  <c r="CX386" i="1"/>
  <c r="CZ386" i="1"/>
  <c r="CX377" i="1"/>
  <c r="CZ377" i="1"/>
  <c r="CX266" i="1"/>
  <c r="CZ266" i="1"/>
  <c r="CX172" i="1"/>
  <c r="CZ172" i="1"/>
  <c r="CX147" i="1"/>
  <c r="CZ147" i="1"/>
  <c r="CX133" i="1"/>
  <c r="CZ133" i="1"/>
  <c r="CX224" i="1"/>
  <c r="CZ224" i="1"/>
  <c r="CX403" i="1"/>
  <c r="CZ403" i="1"/>
  <c r="CX380" i="1"/>
  <c r="CZ380" i="1"/>
  <c r="CX483" i="1"/>
  <c r="CZ483" i="1"/>
  <c r="CX472" i="1"/>
  <c r="CZ472" i="1"/>
  <c r="CX464" i="1"/>
  <c r="CZ464" i="1"/>
  <c r="CX452" i="1"/>
  <c r="CZ452" i="1"/>
  <c r="CX372" i="1"/>
  <c r="CZ372" i="1"/>
  <c r="CX476" i="1"/>
  <c r="CZ476" i="1"/>
  <c r="CX487" i="1"/>
  <c r="CZ487" i="1"/>
  <c r="CX357" i="1"/>
  <c r="CZ357" i="1"/>
  <c r="CX371" i="1"/>
  <c r="CZ371" i="1"/>
  <c r="CX407" i="1"/>
  <c r="CZ407" i="1"/>
  <c r="CX339" i="1"/>
  <c r="CZ339" i="1"/>
  <c r="CX311" i="1"/>
  <c r="CZ311" i="1"/>
  <c r="CX273" i="1"/>
  <c r="CZ273" i="1"/>
  <c r="CX236" i="1"/>
  <c r="CZ236" i="1"/>
  <c r="CX201" i="1"/>
  <c r="CZ201" i="1"/>
  <c r="CX235" i="1"/>
  <c r="CZ235" i="1"/>
  <c r="CX211" i="1"/>
  <c r="CZ211" i="1"/>
  <c r="CX179" i="1"/>
  <c r="CZ179" i="1"/>
  <c r="CX135" i="1"/>
  <c r="CZ135" i="1"/>
  <c r="CX210" i="1"/>
  <c r="CZ210" i="1"/>
  <c r="CX129" i="1"/>
  <c r="CZ129" i="1"/>
  <c r="CX459" i="1"/>
  <c r="CZ459" i="1"/>
  <c r="CX387" i="1"/>
  <c r="CZ387" i="1"/>
  <c r="CX212" i="1"/>
  <c r="CZ212" i="1"/>
  <c r="CX343" i="1"/>
  <c r="CZ343" i="1"/>
  <c r="CX216" i="1"/>
  <c r="CZ216" i="1"/>
  <c r="CX306" i="1"/>
  <c r="CZ306" i="1"/>
  <c r="CX293" i="1"/>
  <c r="CZ293" i="1"/>
  <c r="CX285" i="1"/>
  <c r="CZ285" i="1"/>
  <c r="CX379" i="1"/>
  <c r="CZ379" i="1"/>
  <c r="CX411" i="1"/>
  <c r="CZ411" i="1"/>
  <c r="CX433" i="1"/>
  <c r="CZ433" i="1"/>
  <c r="CX220" i="1"/>
  <c r="CZ220" i="1"/>
  <c r="CX358" i="1"/>
  <c r="CZ358" i="1"/>
  <c r="CX305" i="1"/>
  <c r="CZ305" i="1"/>
  <c r="CX184" i="1"/>
  <c r="CZ184" i="1"/>
  <c r="CX118" i="1"/>
  <c r="CZ118" i="1"/>
  <c r="CX160" i="1"/>
  <c r="CZ160" i="1"/>
  <c r="CX397" i="1"/>
  <c r="CZ397" i="1"/>
  <c r="CX385" i="1"/>
  <c r="CZ385" i="1"/>
  <c r="CX432" i="1"/>
  <c r="CZ432" i="1"/>
  <c r="CX361" i="1"/>
  <c r="CZ361" i="1"/>
  <c r="CX341" i="1"/>
  <c r="CZ341" i="1"/>
  <c r="CX294" i="1"/>
  <c r="CZ294" i="1"/>
  <c r="CX274" i="1"/>
  <c r="CZ274" i="1"/>
  <c r="CX284" i="1"/>
  <c r="CZ284" i="1"/>
  <c r="CZ120" i="1"/>
  <c r="CX120" i="1"/>
  <c r="CX408" i="1"/>
  <c r="CZ408" i="1"/>
  <c r="CX249" i="1"/>
  <c r="CZ249" i="1"/>
  <c r="CX131" i="1"/>
  <c r="CZ131" i="1"/>
  <c r="CX264" i="1"/>
  <c r="CZ264" i="1"/>
  <c r="CX262" i="1"/>
  <c r="CZ262" i="1"/>
  <c r="CX267" i="1"/>
  <c r="CZ267" i="1"/>
  <c r="CX463" i="1"/>
  <c r="CZ463" i="1"/>
  <c r="CX488" i="1"/>
  <c r="CZ488" i="1"/>
  <c r="CX429" i="1"/>
  <c r="CZ429" i="1"/>
  <c r="CX368" i="1"/>
  <c r="CZ368" i="1"/>
  <c r="CX389" i="1"/>
  <c r="CZ389" i="1"/>
  <c r="CX441" i="1"/>
  <c r="CZ441" i="1"/>
  <c r="CX352" i="1"/>
  <c r="CZ352" i="1"/>
  <c r="CX303" i="1"/>
  <c r="CZ303" i="1"/>
  <c r="CX283" i="1"/>
  <c r="CZ283" i="1"/>
  <c r="CX275" i="1"/>
  <c r="CZ275" i="1"/>
  <c r="CX260" i="1"/>
  <c r="CZ260" i="1"/>
  <c r="CX237" i="1"/>
  <c r="CZ237" i="1"/>
  <c r="CX206" i="1"/>
  <c r="CZ206" i="1"/>
  <c r="CX180" i="1"/>
  <c r="CZ180" i="1"/>
  <c r="CX187" i="1"/>
  <c r="CZ187" i="1"/>
  <c r="CX122" i="1"/>
  <c r="CZ122" i="1"/>
  <c r="CX208" i="1"/>
  <c r="CZ208" i="1"/>
  <c r="CX167" i="1"/>
  <c r="CZ167" i="1"/>
  <c r="CX223" i="1"/>
  <c r="CZ223" i="1"/>
  <c r="CX196" i="1"/>
  <c r="CZ196" i="1"/>
  <c r="CX151" i="1"/>
  <c r="CZ151" i="1"/>
  <c r="CZ132" i="1"/>
  <c r="CX132" i="1"/>
  <c r="CX128" i="1"/>
  <c r="CZ128" i="1"/>
  <c r="CX190" i="1"/>
  <c r="CZ190" i="1"/>
  <c r="CX438" i="1"/>
  <c r="CZ438" i="1"/>
  <c r="CX391" i="1"/>
  <c r="CZ391" i="1"/>
  <c r="CX474" i="1"/>
  <c r="CZ474" i="1"/>
  <c r="CZ289" i="1"/>
  <c r="CX289" i="1"/>
  <c r="CX263" i="1"/>
  <c r="CZ263" i="1"/>
  <c r="CZ456" i="1"/>
  <c r="CX456" i="1"/>
  <c r="CX342" i="1"/>
  <c r="CZ342" i="1"/>
  <c r="CX369" i="1"/>
  <c r="CZ369" i="1"/>
  <c r="CX431" i="1"/>
  <c r="CZ431" i="1"/>
  <c r="CX124" i="1"/>
  <c r="CZ124" i="1"/>
  <c r="CX268" i="1"/>
  <c r="CZ268" i="1"/>
  <c r="CX177" i="1"/>
  <c r="CZ177" i="1"/>
  <c r="CX394" i="1"/>
  <c r="CZ394" i="1"/>
  <c r="CX457" i="1"/>
  <c r="CZ457" i="1"/>
  <c r="CX346" i="1"/>
  <c r="CZ346" i="1"/>
  <c r="CX313" i="1"/>
  <c r="CZ313" i="1"/>
  <c r="CX353" i="1"/>
  <c r="CZ353" i="1"/>
  <c r="CZ364" i="1"/>
  <c r="CX364" i="1"/>
  <c r="CX317" i="1"/>
  <c r="CZ317" i="1"/>
  <c r="CX225" i="1"/>
  <c r="CZ225" i="1"/>
  <c r="CX424" i="1"/>
  <c r="CZ424" i="1"/>
  <c r="CX170" i="1"/>
  <c r="CZ170" i="1"/>
  <c r="CX384" i="1"/>
  <c r="CZ384" i="1"/>
  <c r="CX276" i="1"/>
  <c r="CZ276" i="1"/>
  <c r="CX393" i="1"/>
  <c r="CZ393" i="1"/>
  <c r="CX334" i="1"/>
  <c r="CZ334" i="1"/>
  <c r="CX245" i="1"/>
  <c r="CZ245" i="1"/>
  <c r="CZ126" i="1"/>
  <c r="CX126" i="1"/>
  <c r="CX152" i="1"/>
  <c r="CZ152" i="1"/>
  <c r="CZ398" i="1"/>
  <c r="CX398" i="1"/>
  <c r="CX430" i="1"/>
  <c r="CZ430" i="1"/>
  <c r="CX119" i="1"/>
  <c r="CZ119" i="1"/>
  <c r="CX435" i="1"/>
  <c r="CZ435" i="1"/>
  <c r="CX350" i="1"/>
  <c r="CZ350" i="1"/>
  <c r="CX324" i="1"/>
  <c r="CZ324" i="1"/>
  <c r="CX395" i="1"/>
  <c r="CZ395" i="1"/>
  <c r="CX156" i="1"/>
  <c r="CZ156" i="1"/>
  <c r="CX115" i="1"/>
  <c r="CZ115" i="1"/>
  <c r="CX145" i="1"/>
  <c r="CZ145" i="1"/>
  <c r="CX381" i="1"/>
  <c r="CZ381" i="1"/>
  <c r="CX444" i="1"/>
  <c r="CZ444" i="1"/>
  <c r="CZ450" i="1"/>
  <c r="CX450" i="1"/>
  <c r="CX446" i="1"/>
  <c r="CZ446" i="1"/>
  <c r="CX462" i="1"/>
  <c r="CZ462" i="1"/>
  <c r="CX410" i="1"/>
  <c r="CZ410" i="1"/>
  <c r="CX425" i="1"/>
  <c r="CZ425" i="1"/>
  <c r="CX336" i="1"/>
  <c r="CZ336" i="1"/>
  <c r="CX146" i="1"/>
  <c r="CZ146" i="1"/>
  <c r="CX370" i="1"/>
  <c r="CZ370" i="1"/>
  <c r="CX171" i="1"/>
  <c r="CZ171" i="1"/>
  <c r="CX471" i="1"/>
  <c r="CZ471" i="1"/>
  <c r="CX366" i="1"/>
  <c r="CZ366" i="1"/>
  <c r="CX314" i="1"/>
  <c r="CZ314" i="1"/>
  <c r="CX214" i="1"/>
  <c r="CZ214" i="1"/>
  <c r="CX286" i="1"/>
  <c r="CZ286" i="1"/>
  <c r="CX155" i="1"/>
  <c r="CZ155" i="1"/>
  <c r="CX117" i="1"/>
  <c r="CZ117" i="1"/>
  <c r="CX375" i="1"/>
  <c r="CZ375" i="1"/>
  <c r="CX282" i="1"/>
  <c r="CZ282" i="1"/>
  <c r="CX259" i="1"/>
  <c r="CZ259" i="1"/>
  <c r="CX238" i="1"/>
  <c r="CZ238" i="1"/>
  <c r="CX374" i="1"/>
  <c r="CZ374" i="1"/>
  <c r="CX360" i="1"/>
  <c r="CZ360" i="1"/>
  <c r="CX491" i="1"/>
  <c r="CZ491" i="1"/>
  <c r="CX477" i="1"/>
  <c r="CZ477" i="1"/>
  <c r="CX467" i="1"/>
  <c r="CZ467" i="1"/>
  <c r="CX449" i="1"/>
  <c r="CZ449" i="1"/>
  <c r="CX421" i="1"/>
  <c r="CZ421" i="1"/>
  <c r="CX404" i="1"/>
  <c r="CZ404" i="1"/>
  <c r="CX448" i="1"/>
  <c r="CZ448" i="1"/>
  <c r="CX402" i="1"/>
  <c r="CZ402" i="1"/>
  <c r="CX359" i="1"/>
  <c r="CZ359" i="1"/>
  <c r="CX347" i="1"/>
  <c r="CZ347" i="1"/>
  <c r="CX258" i="1"/>
  <c r="CZ258" i="1"/>
  <c r="CX232" i="1"/>
  <c r="CZ232" i="1"/>
  <c r="CX217" i="1"/>
  <c r="CZ217" i="1"/>
  <c r="CZ175" i="1"/>
  <c r="CX175" i="1"/>
  <c r="CX154" i="1"/>
  <c r="CZ154" i="1"/>
  <c r="CX213" i="1"/>
  <c r="CZ213" i="1"/>
  <c r="CZ188" i="1"/>
  <c r="CX188" i="1"/>
  <c r="CX153" i="1"/>
  <c r="CZ153" i="1"/>
  <c r="CX138" i="1"/>
  <c r="CZ138" i="1"/>
  <c r="CZ174" i="1"/>
  <c r="CX174" i="1"/>
  <c r="CX423" i="1"/>
  <c r="CZ423" i="1"/>
  <c r="CX434" i="1"/>
  <c r="CZ434" i="1"/>
  <c r="CX445" i="1"/>
  <c r="CZ445" i="1"/>
  <c r="CX281" i="1"/>
  <c r="CZ281" i="1"/>
  <c r="CX279" i="1"/>
  <c r="CZ279" i="1"/>
  <c r="CX330" i="1"/>
  <c r="CZ330" i="1"/>
  <c r="CX176" i="1"/>
  <c r="CZ176" i="1"/>
  <c r="CX178" i="1"/>
  <c r="CZ178" i="1"/>
  <c r="CX144" i="1"/>
  <c r="CZ144" i="1"/>
  <c r="CX134" i="1"/>
  <c r="CZ134" i="1"/>
  <c r="CX344" i="1"/>
  <c r="CZ344" i="1"/>
  <c r="CX143" i="1"/>
  <c r="CZ143" i="1"/>
  <c r="CX310" i="1"/>
  <c r="CZ310" i="1"/>
  <c r="CX271" i="1"/>
  <c r="CZ271" i="1"/>
  <c r="CT270" i="1"/>
  <c r="CZ270" i="1" s="1"/>
  <c r="CT231" i="1"/>
  <c r="CZ231" i="1" s="1"/>
  <c r="CT229" i="1"/>
  <c r="CZ229" i="1" s="1"/>
  <c r="DA479" i="1"/>
  <c r="CW478" i="1"/>
  <c r="CY478" i="1" s="1"/>
  <c r="FA478" i="1" s="1"/>
  <c r="DA268" i="1"/>
  <c r="DA485" i="1"/>
  <c r="CW480" i="1"/>
  <c r="CY480" i="1" s="1"/>
  <c r="FA480" i="1" s="1"/>
  <c r="CW486" i="1"/>
  <c r="CY486" i="1" s="1"/>
  <c r="FA486" i="1" s="1"/>
  <c r="DA315" i="1"/>
  <c r="DA483" i="1"/>
  <c r="DA482" i="1"/>
  <c r="DA229" i="1"/>
  <c r="DA138" i="1"/>
  <c r="DA431" i="1"/>
  <c r="DA406" i="1"/>
  <c r="DA143" i="1"/>
  <c r="DA403" i="1"/>
  <c r="DA191" i="1"/>
  <c r="DA325" i="1"/>
  <c r="DA265" i="1"/>
  <c r="DA200" i="1"/>
  <c r="DA316" i="1"/>
  <c r="DA206" i="1"/>
  <c r="DA124" i="1"/>
  <c r="DA332" i="1"/>
  <c r="DA263" i="1"/>
  <c r="DA171" i="1"/>
  <c r="DA343" i="1"/>
  <c r="DA186" i="1"/>
  <c r="DA160" i="1"/>
  <c r="DA422" i="1"/>
  <c r="DA204" i="1"/>
  <c r="DA305" i="1"/>
  <c r="DA355" i="1"/>
  <c r="DA201" i="1"/>
  <c r="DA358" i="1"/>
  <c r="DA387" i="1"/>
  <c r="DA381" i="1"/>
  <c r="DA172" i="1"/>
  <c r="DA300" i="1"/>
  <c r="DA272" i="1"/>
  <c r="DA459" i="1"/>
  <c r="CW193" i="1"/>
  <c r="CY193" i="1" s="1"/>
  <c r="FA193" i="1" s="1"/>
  <c r="DA227" i="1"/>
  <c r="DA454" i="1"/>
  <c r="DA321" i="1"/>
  <c r="CW197" i="1"/>
  <c r="CY197" i="1" s="1"/>
  <c r="FA197" i="1" s="1"/>
  <c r="DA188" i="1"/>
  <c r="DA308" i="1"/>
  <c r="DA169" i="1"/>
  <c r="DA243" i="1"/>
  <c r="CW204" i="1"/>
  <c r="CY204" i="1" s="1"/>
  <c r="FA204" i="1" s="1"/>
  <c r="DA405" i="1"/>
  <c r="DA330" i="1"/>
  <c r="DA139" i="1"/>
  <c r="DA369" i="1"/>
  <c r="DA207" i="1"/>
  <c r="DA127" i="1"/>
  <c r="DA159" i="1"/>
  <c r="DA231" i="1"/>
  <c r="DA455" i="1"/>
  <c r="CW189" i="1"/>
  <c r="CY189" i="1" s="1"/>
  <c r="FA189" i="1" s="1"/>
  <c r="DA167" i="1"/>
  <c r="DA301" i="1"/>
  <c r="DA430" i="1"/>
  <c r="DA118" i="1"/>
  <c r="CW194" i="1"/>
  <c r="CY194" i="1" s="1"/>
  <c r="FA194" i="1" s="1"/>
  <c r="DA350" i="1"/>
  <c r="DA380" i="1"/>
  <c r="DA163" i="1"/>
  <c r="DA185" i="1"/>
  <c r="DA270" i="1"/>
  <c r="DA317" i="1"/>
  <c r="DA360" i="1"/>
  <c r="DA441" i="1"/>
  <c r="DA467" i="1"/>
  <c r="DA297" i="1"/>
  <c r="DA280" i="1"/>
  <c r="DA486" i="1"/>
  <c r="DA438" i="1"/>
  <c r="DA234" i="1"/>
  <c r="DA362" i="1"/>
  <c r="DA213" i="1"/>
  <c r="DA202" i="1"/>
  <c r="DA132" i="1"/>
  <c r="DA221" i="1"/>
  <c r="DA284" i="1"/>
  <c r="DA448" i="1"/>
  <c r="DA435" i="1"/>
  <c r="DA348" i="1"/>
  <c r="DA304" i="1"/>
  <c r="DA246" i="1"/>
  <c r="DA295" i="1"/>
  <c r="DA164" i="1"/>
  <c r="DA309" i="1"/>
  <c r="DA436" i="1"/>
  <c r="DA439" i="1"/>
  <c r="DA407" i="1"/>
  <c r="DA379" i="1"/>
  <c r="DA397" i="1"/>
  <c r="DA121" i="1"/>
  <c r="DA166" i="1"/>
  <c r="DA215" i="1"/>
  <c r="DA384" i="1"/>
  <c r="DA328" i="1"/>
  <c r="DA446" i="1"/>
  <c r="DA126" i="1"/>
  <c r="DA193" i="1"/>
  <c r="DA399" i="1"/>
  <c r="DA365" i="1"/>
  <c r="DA312" i="1"/>
  <c r="DA179" i="1"/>
  <c r="DA194" i="1"/>
  <c r="DA205" i="1"/>
  <c r="DA449" i="1"/>
  <c r="DA269" i="1"/>
  <c r="DA400" i="1"/>
  <c r="DA411" i="1"/>
  <c r="DA361" i="1"/>
  <c r="DA154" i="1"/>
  <c r="DA125" i="1"/>
  <c r="DA356" i="1"/>
  <c r="DA461" i="1"/>
  <c r="DA216" i="1"/>
  <c r="DA157" i="1"/>
  <c r="DA257" i="1"/>
  <c r="DA480" i="1"/>
  <c r="DA345" i="1"/>
  <c r="DA299" i="1"/>
  <c r="DA471" i="1"/>
  <c r="DA432" i="1"/>
  <c r="DA366" i="1"/>
  <c r="DA364" i="1"/>
  <c r="DA292" i="1"/>
  <c r="DA314" i="1"/>
  <c r="DA237" i="1"/>
  <c r="DA219" i="1"/>
  <c r="DA393" i="1"/>
  <c r="DA458" i="1"/>
  <c r="CA481" i="1"/>
  <c r="CW481" i="1"/>
  <c r="CY481" i="1" s="1"/>
  <c r="FA481" i="1" s="1"/>
  <c r="DA373" i="1"/>
  <c r="DA371" i="1"/>
  <c r="DA352" i="1"/>
  <c r="DA322" i="1"/>
  <c r="DA183" i="1"/>
  <c r="DA226" i="1"/>
  <c r="DA472" i="1"/>
  <c r="DA463" i="1"/>
  <c r="CW482" i="1"/>
  <c r="CY482" i="1" s="1"/>
  <c r="FA482" i="1" s="1"/>
  <c r="DA460" i="1"/>
  <c r="DA402" i="1"/>
  <c r="DA388" i="1"/>
  <c r="DA180" i="1"/>
  <c r="CA191" i="1"/>
  <c r="CW191" i="1"/>
  <c r="CY191" i="1" s="1"/>
  <c r="FA191" i="1" s="1"/>
  <c r="DA230" i="1"/>
  <c r="DA223" i="1"/>
  <c r="DA144" i="1"/>
  <c r="DA196" i="1"/>
  <c r="DA129" i="1"/>
  <c r="CA479" i="1"/>
  <c r="CW479" i="1"/>
  <c r="CY479" i="1" s="1"/>
  <c r="FA479" i="1" s="1"/>
  <c r="DA475" i="1"/>
  <c r="DA392" i="1"/>
  <c r="DA287" i="1"/>
  <c r="DA217" i="1"/>
  <c r="DA187" i="1"/>
  <c r="DA161" i="1"/>
  <c r="DA173" i="1"/>
  <c r="DA168" i="1"/>
  <c r="DA162" i="1"/>
  <c r="CA198" i="1"/>
  <c r="CW198" i="1"/>
  <c r="CY198" i="1" s="1"/>
  <c r="FA198" i="1" s="1"/>
  <c r="DA288" i="1"/>
  <c r="DA266" i="1"/>
  <c r="DA233" i="1"/>
  <c r="DA232" i="1"/>
  <c r="DA155" i="1"/>
  <c r="DA462" i="1"/>
  <c r="DA434" i="1"/>
  <c r="DA452" i="1"/>
  <c r="DA473" i="1"/>
  <c r="DA487" i="1"/>
  <c r="DA326" i="1"/>
  <c r="CA200" i="1"/>
  <c r="EY200" i="1" s="1"/>
  <c r="CW200" i="1"/>
  <c r="CY200" i="1" s="1"/>
  <c r="FA200" i="1" s="1"/>
  <c r="DA209" i="1"/>
  <c r="CA139" i="1"/>
  <c r="CW139" i="1"/>
  <c r="CY139" i="1" s="1"/>
  <c r="FA139" i="1" s="1"/>
  <c r="DA359" i="1"/>
  <c r="CA199" i="1"/>
  <c r="CW199" i="1"/>
  <c r="CY199" i="1" s="1"/>
  <c r="FA199" i="1" s="1"/>
  <c r="DA133" i="1"/>
  <c r="DA378" i="1"/>
  <c r="DA327" i="1"/>
  <c r="DA294" i="1"/>
  <c r="DA244" i="1"/>
  <c r="DA212" i="1"/>
  <c r="DA239" i="1"/>
  <c r="DA291" i="1"/>
  <c r="CX139" i="1" l="1"/>
  <c r="CZ139" i="1"/>
  <c r="CX481" i="1"/>
  <c r="CZ481" i="1"/>
  <c r="CX191" i="1"/>
  <c r="CZ191" i="1"/>
  <c r="CX204" i="1"/>
  <c r="CZ204" i="1"/>
  <c r="CX478" i="1"/>
  <c r="CZ478" i="1"/>
  <c r="CX200" i="1"/>
  <c r="CZ200" i="1"/>
  <c r="CX479" i="1"/>
  <c r="CZ479" i="1"/>
  <c r="CX194" i="1"/>
  <c r="CZ194" i="1"/>
  <c r="CX193" i="1"/>
  <c r="CZ193" i="1"/>
  <c r="CX198" i="1"/>
  <c r="CZ198" i="1"/>
  <c r="CX482" i="1"/>
  <c r="CZ482" i="1"/>
  <c r="CX189" i="1"/>
  <c r="CZ189" i="1"/>
  <c r="CZ199" i="1"/>
  <c r="CX199" i="1"/>
  <c r="CX486" i="1"/>
  <c r="CZ486" i="1"/>
  <c r="CX197" i="1"/>
  <c r="CZ197" i="1"/>
  <c r="CZ480" i="1"/>
  <c r="CX480" i="1"/>
  <c r="EY459" i="1"/>
  <c r="EY445" i="1"/>
  <c r="EY398" i="1"/>
  <c r="EY285" i="1"/>
  <c r="EY134" i="1"/>
  <c r="EY348" i="1"/>
  <c r="EY247" i="1"/>
  <c r="EY159" i="1"/>
  <c r="EY250" i="1"/>
  <c r="EY409" i="1"/>
  <c r="EY403" i="1"/>
  <c r="EY369" i="1"/>
  <c r="EY374" i="1"/>
  <c r="EY382" i="1"/>
  <c r="EY271" i="1"/>
  <c r="EY137" i="1"/>
  <c r="EY473" i="1"/>
  <c r="EY407" i="1"/>
  <c r="EY394" i="1"/>
  <c r="EY332" i="1"/>
  <c r="EY249" i="1"/>
  <c r="EY178" i="1"/>
  <c r="EY379" i="1"/>
  <c r="EY220" i="1"/>
  <c r="EY364" i="1"/>
  <c r="EY386" i="1"/>
  <c r="EY343" i="1"/>
  <c r="EY381" i="1"/>
  <c r="EY453" i="1"/>
  <c r="EY440" i="1"/>
  <c r="EY442" i="1"/>
  <c r="EY390" i="1"/>
  <c r="EY351" i="1"/>
  <c r="EY222" i="1"/>
  <c r="EY457" i="1"/>
  <c r="EY375" i="1"/>
  <c r="EY393" i="1"/>
  <c r="EY154" i="1"/>
  <c r="EY158" i="1"/>
  <c r="EY421" i="1"/>
  <c r="EY333" i="1"/>
  <c r="EY377" i="1"/>
  <c r="EY483" i="1"/>
  <c r="EY166" i="1"/>
  <c r="EY365" i="1"/>
  <c r="EY212" i="1"/>
  <c r="EY242" i="1"/>
  <c r="EY425" i="1"/>
  <c r="EY395" i="1"/>
  <c r="EY278" i="1"/>
  <c r="EY400" i="1"/>
  <c r="EY173" i="1"/>
  <c r="EY241" i="1"/>
  <c r="EY130" i="1"/>
  <c r="EY147" i="1"/>
  <c r="EY465" i="1"/>
  <c r="EY466" i="1"/>
  <c r="EY461" i="1"/>
  <c r="EY411" i="1"/>
  <c r="EY163" i="1"/>
  <c r="EY427" i="1"/>
  <c r="EY211" i="1"/>
  <c r="EY372" i="1"/>
  <c r="EY121" i="1"/>
  <c r="EY209" i="1"/>
  <c r="EY406" i="1"/>
  <c r="EY404" i="1"/>
  <c r="EY275" i="1"/>
  <c r="EY448" i="1"/>
  <c r="EY133" i="1"/>
  <c r="EY338" i="1"/>
  <c r="EY423" i="1"/>
  <c r="EY175" i="1"/>
  <c r="EY266" i="1"/>
  <c r="EY140" i="1"/>
  <c r="EY146" i="1"/>
  <c r="EY131" i="1"/>
  <c r="EY232" i="1"/>
  <c r="EY280" i="1"/>
  <c r="EY469" i="1"/>
  <c r="EY474" i="1"/>
  <c r="EY240" i="1"/>
  <c r="EY244" i="1"/>
  <c r="EY447" i="1"/>
  <c r="EY260" i="1"/>
  <c r="EY371" i="1"/>
  <c r="EY368" i="1"/>
  <c r="EY233" i="1"/>
  <c r="EY456" i="1"/>
  <c r="EY125" i="1"/>
  <c r="EY337" i="1"/>
  <c r="EY488" i="1"/>
  <c r="EY152" i="1"/>
  <c r="EY341" i="1"/>
  <c r="EY441" i="1"/>
  <c r="EY176" i="1"/>
  <c r="EY270" i="1"/>
  <c r="EY144" i="1"/>
  <c r="EY218" i="1"/>
  <c r="EY282" i="1"/>
  <c r="EY272" i="1"/>
  <c r="EY424" i="1"/>
  <c r="EY426" i="1"/>
  <c r="EY490" i="1"/>
  <c r="EY443" i="1"/>
  <c r="EY402" i="1"/>
  <c r="EY264" i="1"/>
  <c r="EY450" i="1"/>
  <c r="EY267" i="1"/>
  <c r="EY370" i="1"/>
  <c r="EY126" i="1"/>
  <c r="EY248" i="1"/>
  <c r="EY454" i="1"/>
  <c r="EY122" i="1"/>
  <c r="EY335" i="1"/>
  <c r="EY115" i="1"/>
  <c r="EY189" i="1"/>
  <c r="EY344" i="1"/>
  <c r="EY449" i="1"/>
  <c r="EY177" i="1"/>
  <c r="EY277" i="1"/>
  <c r="EY138" i="1"/>
  <c r="EY274" i="1"/>
  <c r="EY470" i="1"/>
  <c r="EY487" i="1"/>
  <c r="EY132" i="1"/>
  <c r="EY339" i="1"/>
  <c r="EY489" i="1"/>
  <c r="EY269" i="1"/>
  <c r="EY397" i="1"/>
  <c r="EY215" i="1"/>
  <c r="EY257" i="1"/>
  <c r="EY460" i="1"/>
  <c r="EY150" i="1"/>
  <c r="EY349" i="1"/>
  <c r="EY336" i="1"/>
  <c r="EY234" i="1"/>
  <c r="EY387" i="1"/>
  <c r="EY117" i="1"/>
  <c r="EY193" i="1"/>
  <c r="EY388" i="1"/>
  <c r="EY145" i="1"/>
  <c r="EY165" i="1"/>
  <c r="EY283" i="1"/>
  <c r="EY467" i="1"/>
  <c r="EY408" i="1"/>
  <c r="EY410" i="1"/>
  <c r="EY472" i="1"/>
  <c r="EY129" i="1"/>
  <c r="EY340" i="1"/>
  <c r="EY389" i="1"/>
  <c r="EY330" i="1"/>
  <c r="EY458" i="1"/>
  <c r="EY258" i="1"/>
  <c r="EY334" i="1"/>
  <c r="EY463" i="1"/>
  <c r="EY164" i="1"/>
  <c r="EY391" i="1"/>
  <c r="EY157" i="1"/>
  <c r="EY243" i="1"/>
  <c r="EY378" i="1"/>
  <c r="EY350" i="1"/>
  <c r="EY216" i="1"/>
  <c r="EY376" i="1"/>
  <c r="EY194" i="1"/>
  <c r="EY446" i="1"/>
  <c r="EY135" i="1"/>
  <c r="EY347" i="1"/>
  <c r="EY219" i="1"/>
  <c r="EY392" i="1"/>
  <c r="EY455" i="1"/>
  <c r="EY156" i="1"/>
  <c r="EY346" i="1"/>
  <c r="EY259" i="1"/>
  <c r="EY217" i="1"/>
  <c r="EY366" i="1"/>
  <c r="EY246" i="1"/>
  <c r="EY279" i="1"/>
  <c r="EY405" i="1"/>
  <c r="EY245" i="1"/>
  <c r="EY213" i="1"/>
  <c r="EY477" i="1"/>
  <c r="EY197" i="1"/>
  <c r="EY281" i="1"/>
  <c r="EY273" i="1"/>
  <c r="EY452" i="1"/>
  <c r="EY153" i="1"/>
  <c r="EY401" i="1"/>
  <c r="EY238" i="1"/>
  <c r="EY380" i="1"/>
  <c r="EY471" i="1"/>
  <c r="EY160" i="1"/>
  <c r="EY384" i="1"/>
  <c r="EY149" i="1"/>
  <c r="EY226" i="1"/>
  <c r="EY422" i="1"/>
  <c r="EY262" i="1"/>
  <c r="EY284" i="1"/>
  <c r="EY399" i="1"/>
  <c r="EY155" i="1"/>
  <c r="EY221" i="1"/>
  <c r="EY492" i="1"/>
  <c r="EY143" i="1"/>
  <c r="EY491" i="1"/>
  <c r="EY475" i="1"/>
  <c r="EY462" i="1"/>
  <c r="EY263" i="1"/>
  <c r="EY190" i="1"/>
  <c r="EY208" i="1"/>
  <c r="EY204" i="1"/>
  <c r="EY268" i="1"/>
  <c r="EY128" i="1"/>
  <c r="EY486" i="1"/>
  <c r="EY276" i="1"/>
  <c r="EY367" i="1"/>
  <c r="EY119" i="1"/>
  <c r="EY136" i="1"/>
  <c r="EY172" i="1"/>
  <c r="EY468" i="1"/>
  <c r="EY207" i="1"/>
  <c r="EY451" i="1"/>
  <c r="EY123" i="1"/>
  <c r="EY210" i="1"/>
  <c r="EY444" i="1"/>
  <c r="EY345" i="1"/>
  <c r="EY118" i="1"/>
  <c r="EY148" i="1"/>
  <c r="EY485" i="1"/>
  <c r="EY239" i="1"/>
  <c r="EY385" i="1"/>
  <c r="EY479" i="1"/>
  <c r="EY195" i="1"/>
  <c r="EY205" i="1"/>
  <c r="EY120" i="1"/>
  <c r="EY478" i="1"/>
  <c r="EY151" i="1"/>
  <c r="EY265" i="1"/>
  <c r="EY139" i="1"/>
  <c r="EY124" i="1"/>
  <c r="EY482" i="1"/>
  <c r="EY174" i="1"/>
  <c r="EY476" i="1"/>
  <c r="EY127" i="1"/>
  <c r="EY214" i="1"/>
  <c r="EY116" i="1"/>
  <c r="EY373" i="1"/>
  <c r="EY342" i="1"/>
  <c r="EY383" i="1"/>
  <c r="EY142" i="1"/>
  <c r="EY225" i="1"/>
  <c r="EY484" i="1"/>
  <c r="EY196" i="1"/>
  <c r="EY188" i="1"/>
  <c r="EY192" i="1"/>
  <c r="EY286" i="1"/>
  <c r="EY464" i="1"/>
  <c r="EY203" i="1"/>
  <c r="EY198" i="1"/>
  <c r="EY199" i="1"/>
  <c r="EY191" i="1"/>
  <c r="EY481" i="1"/>
  <c r="EQ1483" i="1" l="1"/>
  <c r="EQ1484" i="1"/>
  <c r="EQ1485" i="1"/>
  <c r="EQ1110" i="1"/>
  <c r="EQ1111" i="1"/>
  <c r="EQ1112" i="1"/>
  <c r="EQ1109" i="1"/>
  <c r="EQ34" i="1"/>
  <c r="EQ1447" i="1"/>
  <c r="EQ1449" i="1"/>
  <c r="EQ1451" i="1"/>
  <c r="EQ1446" i="1"/>
  <c r="EQ1448" i="1"/>
  <c r="EQ1450" i="1"/>
  <c r="EQ1490" i="1"/>
  <c r="EQ1491" i="1"/>
  <c r="EQ1492" i="1"/>
  <c r="EQ1493" i="1"/>
  <c r="EQ1488" i="1"/>
  <c r="EQ1489" i="1"/>
  <c r="EQ69" i="1"/>
  <c r="EQ70" i="1"/>
  <c r="EQ73" i="1"/>
  <c r="EQ76" i="1"/>
  <c r="EQ67" i="1"/>
  <c r="EQ66" i="1"/>
  <c r="EQ71" i="1"/>
  <c r="EQ72" i="1"/>
  <c r="EQ74" i="1"/>
  <c r="EQ75" i="1"/>
  <c r="EQ68" i="1"/>
  <c r="EQ65" i="1"/>
  <c r="EQ1417" i="1"/>
  <c r="EQ1418" i="1"/>
  <c r="EQ1419" i="1"/>
  <c r="EQ1158" i="1"/>
  <c r="EQ1159" i="1"/>
  <c r="EQ1160" i="1"/>
  <c r="EQ1281" i="1"/>
  <c r="EQ1280" i="1"/>
  <c r="EQ827" i="1"/>
  <c r="EQ826" i="1"/>
  <c r="EQ815" i="1"/>
  <c r="EQ818" i="1"/>
  <c r="EQ817" i="1"/>
  <c r="EQ820" i="1"/>
  <c r="EQ811" i="1"/>
  <c r="EQ810" i="1"/>
  <c r="EQ809" i="1"/>
  <c r="EQ805" i="1"/>
  <c r="EQ1415" i="1"/>
  <c r="EQ1421" i="1"/>
  <c r="EQ1420" i="1"/>
  <c r="EQ1096" i="1"/>
  <c r="EQ1094" i="1"/>
  <c r="EQ1093" i="1"/>
  <c r="EQ1095" i="1"/>
  <c r="EQ888" i="1"/>
  <c r="EQ887" i="1"/>
  <c r="EQ886" i="1"/>
  <c r="EQ1240" i="1"/>
  <c r="EQ1239" i="1"/>
  <c r="EQ1238" i="1"/>
  <c r="EQ1243" i="1"/>
  <c r="EQ1242" i="1"/>
  <c r="EQ1230" i="1"/>
  <c r="EQ1246" i="1"/>
  <c r="EQ1244" i="1"/>
  <c r="EQ1479" i="1"/>
  <c r="EQ1481" i="1"/>
  <c r="EQ1480" i="1"/>
  <c r="EQ997" i="1"/>
  <c r="EQ1127" i="1"/>
  <c r="EQ1131" i="1"/>
  <c r="EQ998" i="1"/>
  <c r="EQ963" i="1"/>
  <c r="EQ1135" i="1"/>
  <c r="EQ1237" i="1"/>
  <c r="EQ1229" i="1"/>
  <c r="EQ1241" i="1"/>
  <c r="EQ1245" i="1"/>
  <c r="EQ1231" i="1"/>
  <c r="EQ1115" i="1"/>
  <c r="EQ1114" i="1"/>
  <c r="EQ1351" i="1"/>
  <c r="EQ1350" i="1"/>
  <c r="EQ1353" i="1"/>
  <c r="EQ1352" i="1"/>
  <c r="EQ1349" i="1"/>
  <c r="EQ1348" i="1"/>
  <c r="EQ1347" i="1"/>
  <c r="EQ1346" i="1"/>
  <c r="EQ1357" i="1"/>
  <c r="EQ1355" i="1"/>
  <c r="EQ1356" i="1"/>
  <c r="EQ1354" i="1"/>
  <c r="EQ1540" i="1"/>
  <c r="EQ1543" i="1"/>
  <c r="EQ1546" i="1"/>
  <c r="EQ1549" i="1"/>
  <c r="EQ1568" i="1"/>
  <c r="EQ1558" i="1"/>
  <c r="EQ1559" i="1"/>
  <c r="EQ1561" i="1"/>
  <c r="EQ1563" i="1"/>
  <c r="EQ1534" i="1"/>
  <c r="EQ1536" i="1"/>
  <c r="EQ1500" i="1"/>
  <c r="EQ1501" i="1"/>
  <c r="EQ1504" i="1"/>
  <c r="EQ1509" i="1"/>
  <c r="EQ1510" i="1"/>
  <c r="EQ1515" i="1"/>
  <c r="EQ1517" i="1"/>
  <c r="EQ1519" i="1"/>
  <c r="EQ1523" i="1"/>
  <c r="EQ1526" i="1"/>
  <c r="EQ1528" i="1"/>
  <c r="EQ1532" i="1"/>
  <c r="EQ1553" i="1"/>
  <c r="EQ1247" i="1"/>
  <c r="EQ1248" i="1"/>
  <c r="EQ1232" i="1"/>
  <c r="EQ1251" i="1"/>
  <c r="EQ1252" i="1"/>
  <c r="EQ1255" i="1"/>
  <c r="EQ1254" i="1"/>
  <c r="EQ1236" i="1"/>
  <c r="EQ1235" i="1"/>
  <c r="EQ697" i="1"/>
  <c r="EQ698" i="1"/>
  <c r="EQ696" i="1"/>
  <c r="EQ695" i="1"/>
  <c r="EQ524" i="1"/>
  <c r="EQ525" i="1"/>
  <c r="EQ526" i="1"/>
  <c r="EQ527" i="1"/>
  <c r="EQ965" i="1"/>
  <c r="EQ743" i="1"/>
  <c r="EQ747" i="1"/>
  <c r="EQ733" i="1"/>
  <c r="EQ741" i="1"/>
  <c r="EQ1066" i="1"/>
  <c r="EQ1068" i="1"/>
  <c r="EQ1072" i="1"/>
  <c r="EQ1075" i="1"/>
  <c r="EQ1076" i="1"/>
  <c r="EQ1081" i="1"/>
  <c r="EQ1087" i="1"/>
  <c r="EQ1088" i="1"/>
  <c r="EQ1091" i="1"/>
  <c r="EQ1265" i="1"/>
  <c r="EQ1128" i="1"/>
  <c r="EQ719" i="1"/>
  <c r="EQ914" i="1"/>
  <c r="EQ1256" i="1"/>
  <c r="EQ1258" i="1"/>
  <c r="EQ1126" i="1"/>
  <c r="EQ995" i="1"/>
  <c r="EQ1118" i="1"/>
  <c r="EQ1141" i="1"/>
  <c r="EQ640" i="1"/>
  <c r="EQ639" i="1"/>
  <c r="EQ638" i="1"/>
  <c r="EQ637" i="1"/>
  <c r="EQ636" i="1"/>
  <c r="EQ635" i="1"/>
  <c r="EQ634" i="1"/>
  <c r="EQ633" i="1"/>
  <c r="EQ632" i="1"/>
  <c r="EQ631" i="1"/>
  <c r="EQ989" i="1"/>
  <c r="EQ990" i="1"/>
  <c r="EQ993" i="1"/>
  <c r="EQ991" i="1"/>
  <c r="EQ988" i="1"/>
  <c r="EQ987" i="1"/>
  <c r="EQ992" i="1"/>
  <c r="EQ994" i="1"/>
  <c r="EQ985" i="1"/>
  <c r="EQ984" i="1"/>
  <c r="EQ986" i="1"/>
  <c r="EQ983" i="1"/>
  <c r="EQ251" i="1"/>
  <c r="EQ252" i="1"/>
  <c r="EQ253" i="1"/>
  <c r="EQ254" i="1"/>
  <c r="EQ256" i="1"/>
  <c r="EQ255" i="1"/>
  <c r="EQ727" i="1"/>
  <c r="EQ749" i="1"/>
  <c r="EQ722" i="1"/>
  <c r="EQ724" i="1"/>
  <c r="EQ748" i="1"/>
  <c r="EQ735" i="1"/>
  <c r="EQ721" i="1"/>
  <c r="EQ1477" i="1"/>
  <c r="EQ1478" i="1"/>
  <c r="EQ1474" i="1"/>
  <c r="EQ1475" i="1"/>
  <c r="EQ1476" i="1"/>
  <c r="EQ1541" i="1"/>
  <c r="EQ1544" i="1"/>
  <c r="EQ1545" i="1"/>
  <c r="EQ1550" i="1"/>
  <c r="EQ1567" i="1"/>
  <c r="EQ1555" i="1"/>
  <c r="EQ1556" i="1"/>
  <c r="EQ1557" i="1"/>
  <c r="EQ1560" i="1"/>
  <c r="EQ1533" i="1"/>
  <c r="EQ1535" i="1"/>
  <c r="EQ1496" i="1"/>
  <c r="EQ1502" i="1"/>
  <c r="EQ1503" i="1"/>
  <c r="EQ1506" i="1"/>
  <c r="EQ1507" i="1"/>
  <c r="EQ1508" i="1"/>
  <c r="EQ1513" i="1"/>
  <c r="EQ1521" i="1"/>
  <c r="EQ1522" i="1"/>
  <c r="EQ1525" i="1"/>
  <c r="EQ1527" i="1"/>
  <c r="EQ1530" i="1"/>
  <c r="EQ1554" i="1"/>
  <c r="EQ1551" i="1"/>
  <c r="EQ944" i="1"/>
  <c r="EQ943" i="1"/>
  <c r="EQ929" i="1"/>
  <c r="EQ930" i="1"/>
  <c r="EQ946" i="1"/>
  <c r="EQ940" i="1"/>
  <c r="EQ932" i="1"/>
  <c r="EQ936" i="1"/>
  <c r="EQ937" i="1"/>
  <c r="EQ947" i="1"/>
  <c r="EQ942" i="1"/>
  <c r="EQ933" i="1"/>
  <c r="EQ938" i="1"/>
  <c r="EQ939" i="1"/>
  <c r="EQ1113" i="1"/>
  <c r="EQ745" i="1"/>
  <c r="EQ734" i="1"/>
  <c r="EQ742" i="1"/>
  <c r="EQ903" i="1"/>
  <c r="EQ1137" i="1"/>
  <c r="EQ1138" i="1"/>
  <c r="EQ1286" i="1"/>
  <c r="EQ1294" i="1"/>
  <c r="EQ1428" i="1"/>
  <c r="EQ689" i="1"/>
  <c r="EQ1149" i="1"/>
  <c r="EQ1263" i="1"/>
  <c r="EQ1271" i="1"/>
  <c r="EQ1287" i="1"/>
  <c r="EQ1293" i="1"/>
  <c r="EQ1429" i="1"/>
  <c r="EQ714" i="1"/>
  <c r="EQ1060" i="1"/>
  <c r="EQ1059" i="1"/>
  <c r="EQ1058" i="1"/>
  <c r="EQ1056" i="1"/>
  <c r="EQ1055" i="1"/>
  <c r="EQ1051" i="1"/>
  <c r="EQ1050" i="1"/>
  <c r="EQ1047" i="1"/>
  <c r="EQ1045" i="1"/>
  <c r="EQ1049" i="1"/>
  <c r="EQ1048" i="1"/>
  <c r="EQ1046" i="1"/>
  <c r="EQ1044" i="1"/>
  <c r="EQ1065" i="1"/>
  <c r="EQ1036" i="1"/>
  <c r="EQ1037" i="1"/>
  <c r="EQ1063" i="1"/>
  <c r="EQ1062" i="1"/>
  <c r="EQ1061" i="1"/>
  <c r="EQ1057" i="1"/>
  <c r="EQ1054" i="1"/>
  <c r="EQ1053" i="1"/>
  <c r="EQ1052" i="1"/>
  <c r="EQ1064" i="1"/>
  <c r="EQ1043" i="1"/>
  <c r="EQ1042" i="1"/>
  <c r="EQ1041" i="1"/>
  <c r="EQ1040" i="1"/>
  <c r="EQ1039" i="1"/>
  <c r="EQ1038" i="1"/>
  <c r="EQ945" i="1"/>
  <c r="EQ941" i="1"/>
  <c r="EQ931" i="1"/>
  <c r="EQ934" i="1"/>
  <c r="EQ935" i="1"/>
  <c r="EQ730" i="1"/>
  <c r="EQ738" i="1"/>
  <c r="EQ751" i="1"/>
  <c r="EQ725" i="1"/>
  <c r="EQ728" i="1"/>
  <c r="EQ737" i="1"/>
  <c r="EQ723" i="1"/>
  <c r="EQ1025" i="1"/>
  <c r="EQ1024" i="1"/>
  <c r="EQ1027" i="1"/>
  <c r="EQ1029" i="1"/>
  <c r="EQ1028" i="1"/>
  <c r="EQ1026" i="1"/>
  <c r="EQ1022" i="1"/>
  <c r="EQ1016" i="1"/>
  <c r="EQ1021" i="1"/>
  <c r="EQ1015" i="1"/>
  <c r="EQ1033" i="1"/>
  <c r="EQ1034" i="1"/>
  <c r="EQ1023" i="1"/>
  <c r="EQ1012" i="1"/>
  <c r="EQ1019" i="1"/>
  <c r="EQ1013" i="1"/>
  <c r="EQ1020" i="1"/>
  <c r="EQ1014" i="1"/>
  <c r="EQ1032" i="1"/>
  <c r="EQ1035" i="1"/>
  <c r="EQ1018" i="1"/>
  <c r="EQ1017" i="1"/>
  <c r="EQ1010" i="1"/>
  <c r="EQ1011" i="1"/>
  <c r="EQ1031" i="1"/>
  <c r="EQ1009" i="1"/>
  <c r="EQ1007" i="1"/>
  <c r="EQ1008" i="1"/>
  <c r="EQ1030" i="1"/>
  <c r="EQ1006" i="1"/>
  <c r="EQ926" i="1"/>
  <c r="EQ920" i="1"/>
  <c r="EQ928" i="1"/>
  <c r="EQ923" i="1"/>
  <c r="EQ927" i="1"/>
  <c r="EQ921" i="1"/>
  <c r="EQ925" i="1"/>
  <c r="EQ917" i="1"/>
  <c r="EQ731" i="1"/>
  <c r="EQ752" i="1"/>
  <c r="EQ726" i="1"/>
  <c r="EQ739" i="1"/>
  <c r="EQ746" i="1"/>
  <c r="EQ750" i="1"/>
  <c r="EQ744" i="1"/>
  <c r="EQ736" i="1"/>
  <c r="EQ1165" i="1"/>
  <c r="EQ1162" i="1"/>
  <c r="EQ1161" i="1"/>
  <c r="EQ1163" i="1"/>
  <c r="EQ1178" i="1"/>
  <c r="EQ1175" i="1"/>
  <c r="EQ1184" i="1"/>
  <c r="EQ1173" i="1"/>
  <c r="EQ1174" i="1"/>
  <c r="EQ1168" i="1"/>
  <c r="EQ1170" i="1"/>
  <c r="EQ1169" i="1"/>
  <c r="EQ1166" i="1"/>
  <c r="EQ1181" i="1"/>
  <c r="EQ1177" i="1"/>
  <c r="EQ1180" i="1"/>
  <c r="EQ1167" i="1"/>
  <c r="EQ1172" i="1"/>
  <c r="EQ1164" i="1"/>
  <c r="EQ1171" i="1"/>
  <c r="EQ1179" i="1"/>
  <c r="EQ1183" i="1"/>
  <c r="EQ1176" i="1"/>
  <c r="EQ1182" i="1"/>
  <c r="EQ1599" i="1"/>
  <c r="EQ1598" i="1"/>
  <c r="EQ1600" i="1"/>
  <c r="EQ608" i="1"/>
  <c r="EQ609" i="1"/>
  <c r="EQ605" i="1"/>
  <c r="EQ615" i="1"/>
  <c r="EQ1067" i="1"/>
  <c r="EQ1069" i="1"/>
  <c r="EQ1073" i="1"/>
  <c r="EQ1077" i="1"/>
  <c r="EQ1078" i="1"/>
  <c r="EQ1082" i="1"/>
  <c r="EQ1090" i="1"/>
  <c r="EQ1089" i="1"/>
  <c r="EQ1092" i="1"/>
  <c r="EQ1268" i="1"/>
  <c r="EQ1134" i="1"/>
  <c r="EQ901" i="1"/>
  <c r="EQ915" i="1"/>
  <c r="EQ1260" i="1"/>
  <c r="EQ1262" i="1"/>
  <c r="EQ1133" i="1"/>
  <c r="EQ1117" i="1"/>
  <c r="EQ1119" i="1"/>
  <c r="EQ1145" i="1"/>
  <c r="EQ919" i="1"/>
  <c r="EQ924" i="1"/>
  <c r="EQ922" i="1"/>
  <c r="EQ918" i="1"/>
  <c r="EQ732" i="1"/>
  <c r="EQ729" i="1"/>
  <c r="EQ740" i="1"/>
  <c r="EQ753" i="1"/>
  <c r="EQ83" i="1"/>
  <c r="EQ82" i="1"/>
  <c r="EQ1257" i="1"/>
  <c r="EQ1157" i="1"/>
  <c r="EQ1154" i="1"/>
  <c r="EQ1155" i="1"/>
  <c r="EQ1156" i="1"/>
  <c r="EQ1633" i="1"/>
  <c r="EQ1618" i="1"/>
  <c r="EQ1621" i="1"/>
  <c r="EQ1620" i="1"/>
  <c r="EQ1632" i="1"/>
  <c r="EQ1623" i="1"/>
  <c r="EQ1619" i="1"/>
  <c r="EQ1627" i="1"/>
  <c r="EQ1629" i="1"/>
  <c r="EQ1616" i="1"/>
  <c r="EQ1631" i="1"/>
  <c r="EQ1617" i="1"/>
  <c r="EQ1628" i="1"/>
  <c r="EQ1625" i="1"/>
  <c r="EQ1630" i="1"/>
  <c r="EQ1626" i="1"/>
  <c r="EQ1624" i="1"/>
  <c r="EQ1622" i="1"/>
  <c r="EQ691" i="1"/>
  <c r="EQ687" i="1"/>
  <c r="EQ1185" i="1"/>
  <c r="EQ1273" i="1"/>
  <c r="EQ1272" i="1"/>
  <c r="EQ1539" i="1"/>
  <c r="EQ1542" i="1"/>
  <c r="EQ1547" i="1"/>
  <c r="EQ1548" i="1"/>
  <c r="EQ1569" i="1"/>
  <c r="EQ1562" i="1"/>
  <c r="EQ1564" i="1"/>
  <c r="EQ1565" i="1"/>
  <c r="EQ1566" i="1"/>
  <c r="EQ1537" i="1"/>
  <c r="EQ1538" i="1"/>
  <c r="EQ1497" i="1"/>
  <c r="EQ1498" i="1"/>
  <c r="EQ1499" i="1"/>
  <c r="EQ1505" i="1"/>
  <c r="EQ1511" i="1"/>
  <c r="EQ1512" i="1"/>
  <c r="EQ1514" i="1"/>
  <c r="EQ1516" i="1"/>
  <c r="EQ1518" i="1"/>
  <c r="EQ1520" i="1"/>
  <c r="EQ1524" i="1"/>
  <c r="EQ1529" i="1"/>
  <c r="EQ1531" i="1"/>
  <c r="EQ1552" i="1"/>
  <c r="EQ1249" i="1"/>
  <c r="EQ1250" i="1"/>
  <c r="EQ1233" i="1"/>
  <c r="EQ1253" i="1"/>
  <c r="EQ1227" i="1"/>
  <c r="EQ1234" i="1"/>
  <c r="EQ1228" i="1"/>
  <c r="EQ1274" i="1"/>
  <c r="EQ710" i="1"/>
  <c r="EQ709" i="1"/>
  <c r="EQ711" i="1"/>
  <c r="EQ1070" i="1"/>
  <c r="EQ1071" i="1"/>
  <c r="EQ1074" i="1"/>
  <c r="EQ1079" i="1"/>
  <c r="EQ1080" i="1"/>
  <c r="EQ1083" i="1"/>
  <c r="EQ1084" i="1"/>
  <c r="EQ1085" i="1"/>
  <c r="EQ1086" i="1"/>
  <c r="EQ1144" i="1"/>
  <c r="EQ1124" i="1"/>
  <c r="EQ718" i="1"/>
  <c r="EQ913" i="1"/>
  <c r="EQ1148" i="1"/>
  <c r="EQ1136" i="1"/>
  <c r="EQ1123" i="1"/>
  <c r="EQ964" i="1"/>
  <c r="EQ1116" i="1"/>
  <c r="EQ1139" i="1"/>
  <c r="EQ630" i="1"/>
  <c r="EQ1367" i="1"/>
  <c r="EQ1366" i="1"/>
  <c r="EQ1365" i="1"/>
  <c r="EQ1364" i="1"/>
  <c r="EQ1472" i="1"/>
  <c r="EQ1473" i="1"/>
  <c r="EQ1441" i="1"/>
  <c r="EQ1292" i="1"/>
  <c r="EQ1495" i="1"/>
  <c r="EQ1445" i="1"/>
  <c r="EQ1434" i="1"/>
  <c r="EQ1435" i="1"/>
  <c r="EQ860" i="1"/>
  <c r="EQ856" i="1"/>
  <c r="EQ855" i="1"/>
  <c r="EQ618" i="1"/>
  <c r="EQ619" i="1"/>
  <c r="EQ1442" i="1"/>
  <c r="EQ716" i="1"/>
  <c r="EQ916" i="1"/>
  <c r="EQ1120" i="1"/>
  <c r="EQ715" i="1"/>
  <c r="EQ720" i="1"/>
  <c r="EQ996" i="1"/>
  <c r="EQ1443" i="1"/>
  <c r="EQ1437" i="1"/>
  <c r="EQ1439" i="1"/>
  <c r="EQ859" i="1"/>
  <c r="EQ858" i="1"/>
  <c r="EQ857" i="1"/>
  <c r="EQ1440" i="1"/>
  <c r="EQ1444" i="1"/>
  <c r="EQ1436" i="1"/>
  <c r="EQ1438" i="1"/>
  <c r="EQ676" i="1"/>
  <c r="EQ1291" i="1"/>
  <c r="EQ957" i="1"/>
  <c r="EQ1121" i="1"/>
  <c r="EQ1125" i="1"/>
  <c r="EQ1129" i="1"/>
  <c r="EQ1130" i="1"/>
  <c r="EQ1132" i="1"/>
  <c r="EQ1140" i="1"/>
  <c r="EQ1142" i="1"/>
  <c r="EQ1259" i="1"/>
  <c r="EQ1267" i="1"/>
  <c r="EQ1276" i="1"/>
  <c r="EQ1277" i="1"/>
  <c r="EQ1278" i="1"/>
  <c r="EQ1279" i="1"/>
  <c r="EQ1285" i="1"/>
  <c r="EQ1288" i="1"/>
  <c r="EQ1390" i="1"/>
  <c r="EQ1571" i="1"/>
  <c r="EQ1266" i="1"/>
  <c r="EQ1295" i="1"/>
  <c r="EQ1342" i="1"/>
  <c r="EQ1387" i="1"/>
  <c r="EQ1596" i="1"/>
  <c r="EQ1595" i="1"/>
  <c r="EQ94" i="1"/>
  <c r="EQ93" i="1"/>
  <c r="EQ92" i="1"/>
  <c r="EQ97" i="1"/>
  <c r="EQ95" i="1"/>
  <c r="EQ96" i="1"/>
  <c r="EQ547" i="1"/>
  <c r="EQ540" i="1"/>
  <c r="EQ539" i="1"/>
  <c r="EQ538" i="1"/>
  <c r="EQ958" i="1"/>
  <c r="EQ959" i="1"/>
  <c r="EQ961" i="1"/>
  <c r="EQ960" i="1"/>
  <c r="EQ967" i="1"/>
  <c r="EQ968" i="1"/>
  <c r="EQ977" i="1"/>
  <c r="EQ976" i="1"/>
  <c r="EQ973" i="1"/>
  <c r="EQ972" i="1"/>
  <c r="EQ971" i="1"/>
  <c r="EQ970" i="1"/>
  <c r="EQ772" i="1"/>
  <c r="EQ771" i="1"/>
  <c r="EQ607" i="1"/>
  <c r="EQ1401" i="1"/>
  <c r="EQ1402" i="1"/>
  <c r="EQ1430" i="1"/>
  <c r="EQ969" i="1"/>
  <c r="EQ978" i="1"/>
  <c r="EQ975" i="1"/>
  <c r="EQ974" i="1"/>
  <c r="EQ796" i="1"/>
  <c r="EQ833" i="1"/>
  <c r="EQ782" i="1"/>
  <c r="EQ807" i="1"/>
  <c r="EQ794" i="1"/>
  <c r="EQ787" i="1"/>
  <c r="EQ789" i="1"/>
  <c r="EQ834" i="1"/>
  <c r="EQ792" i="1"/>
  <c r="EQ835" i="1"/>
  <c r="EQ793" i="1"/>
  <c r="EQ801" i="1"/>
  <c r="EQ804" i="1"/>
  <c r="EQ822" i="1"/>
  <c r="EQ837" i="1"/>
  <c r="EQ781" i="1"/>
  <c r="EQ788" i="1"/>
  <c r="EQ798" i="1"/>
  <c r="EQ816" i="1"/>
  <c r="EQ832" i="1"/>
  <c r="EQ821" i="1"/>
  <c r="EQ814" i="1"/>
  <c r="EQ843" i="1"/>
  <c r="EQ774" i="1"/>
  <c r="EQ829" i="1"/>
  <c r="EQ839" i="1"/>
  <c r="EQ773" i="1"/>
  <c r="EQ825" i="1"/>
  <c r="EQ831" i="1"/>
  <c r="EQ786" i="1"/>
  <c r="EQ800" i="1"/>
  <c r="EQ842" i="1"/>
  <c r="EQ830" i="1"/>
  <c r="EQ777" i="1"/>
  <c r="EQ823" i="1"/>
  <c r="EQ776" i="1"/>
  <c r="EQ840" i="1"/>
  <c r="EQ775" i="1"/>
  <c r="EQ841" i="1"/>
  <c r="EQ779" i="1"/>
  <c r="EQ783" i="1"/>
  <c r="EQ784" i="1"/>
  <c r="EQ799" i="1"/>
  <c r="EQ803" i="1"/>
  <c r="EQ844" i="1"/>
  <c r="EQ778" i="1"/>
  <c r="EQ780" i="1"/>
  <c r="EQ797" i="1"/>
  <c r="EQ802" i="1"/>
  <c r="EQ838" i="1"/>
  <c r="EQ836" i="1"/>
  <c r="EQ824" i="1"/>
  <c r="EQ828" i="1"/>
  <c r="EQ808" i="1"/>
  <c r="EQ813" i="1"/>
  <c r="EQ819" i="1"/>
  <c r="EQ806" i="1"/>
  <c r="EQ812" i="1"/>
  <c r="EQ854" i="1"/>
  <c r="EQ795" i="1"/>
  <c r="EQ845" i="1"/>
  <c r="EQ846" i="1"/>
  <c r="EQ850" i="1"/>
  <c r="EQ791" i="1"/>
  <c r="EQ853" i="1"/>
  <c r="EQ785" i="1"/>
  <c r="EQ790" i="1"/>
  <c r="EQ852" i="1"/>
  <c r="EQ848" i="1"/>
  <c r="EQ851" i="1"/>
  <c r="EQ847" i="1"/>
  <c r="EQ849" i="1"/>
  <c r="EQ962" i="1"/>
  <c r="EQ1377" i="1"/>
  <c r="EQ1376" i="1"/>
  <c r="EQ1375" i="1"/>
  <c r="EQ1374" i="1"/>
  <c r="EQ1378" i="1"/>
  <c r="EQ1383" i="1"/>
  <c r="EQ1382" i="1"/>
  <c r="EQ1384" i="1"/>
  <c r="EQ1385" i="1"/>
  <c r="EQ1381" i="1"/>
  <c r="EQ1380" i="1"/>
  <c r="EQ1379" i="1"/>
  <c r="EQ686" i="1"/>
  <c r="EQ688" i="1"/>
  <c r="EQ912" i="1"/>
  <c r="EQ911" i="1"/>
  <c r="EQ690" i="1"/>
  <c r="EQ692" i="1"/>
  <c r="EQ910" i="1"/>
  <c r="EQ909" i="1"/>
  <c r="EQ907" i="1"/>
  <c r="EQ905" i="1"/>
  <c r="EQ908" i="1"/>
  <c r="EQ906" i="1"/>
  <c r="EQ1147" i="1"/>
  <c r="EQ1146" i="1"/>
  <c r="EQ762" i="1"/>
  <c r="EQ758" i="1"/>
  <c r="EQ757" i="1"/>
  <c r="EQ765" i="1"/>
  <c r="EQ761" i="1"/>
  <c r="EQ760" i="1"/>
  <c r="EQ759" i="1"/>
  <c r="EQ1372" i="1"/>
  <c r="EQ1369" i="1"/>
  <c r="EQ1371" i="1"/>
  <c r="EQ1190" i="1"/>
  <c r="EQ1191" i="1"/>
  <c r="EQ1194" i="1"/>
  <c r="EQ1193" i="1"/>
  <c r="EQ1192" i="1"/>
  <c r="EQ1198" i="1"/>
  <c r="EQ1197" i="1"/>
  <c r="EQ1196" i="1"/>
  <c r="EQ1195" i="1"/>
  <c r="EQ1486" i="1"/>
  <c r="EQ1487" i="1"/>
  <c r="EQ767" i="1"/>
  <c r="EQ764" i="1"/>
  <c r="EQ769" i="1"/>
  <c r="EQ770" i="1"/>
  <c r="EQ768" i="1"/>
  <c r="EQ766" i="1"/>
  <c r="EQ763" i="1"/>
  <c r="EQ1186" i="1"/>
  <c r="EQ1187" i="1"/>
  <c r="EQ1189" i="1"/>
  <c r="EQ1188" i="1"/>
  <c r="EQ1404" i="1"/>
  <c r="EQ1405" i="1"/>
  <c r="EQ1406" i="1"/>
  <c r="EQ1407" i="1"/>
  <c r="EQ1408" i="1"/>
  <c r="EQ1416" i="1"/>
  <c r="EQ1411" i="1"/>
  <c r="EQ1413" i="1"/>
  <c r="EQ1409" i="1"/>
  <c r="EQ1410" i="1"/>
  <c r="EQ1414" i="1"/>
  <c r="EQ1412" i="1"/>
  <c r="EQ1424" i="1"/>
  <c r="EQ1423" i="1"/>
  <c r="EQ1422" i="1"/>
  <c r="EQ1427" i="1"/>
  <c r="EQ1426" i="1"/>
  <c r="EQ1425" i="1"/>
  <c r="EQ1337" i="1"/>
  <c r="EQ1338" i="1"/>
  <c r="EQ1340" i="1"/>
  <c r="EQ1339" i="1"/>
  <c r="EQ1575" i="1"/>
  <c r="EQ1574" i="1"/>
  <c r="EQ1573" i="1"/>
  <c r="EQ1572" i="1"/>
  <c r="EQ956" i="1"/>
  <c r="EQ954" i="1"/>
  <c r="EQ953" i="1"/>
  <c r="EQ952" i="1"/>
  <c r="EQ950" i="1"/>
  <c r="EQ949" i="1"/>
  <c r="EQ951" i="1"/>
  <c r="EQ1104" i="1"/>
  <c r="EQ1103" i="1"/>
  <c r="EQ1102" i="1"/>
  <c r="EQ1101" i="1"/>
  <c r="EQ1373" i="1"/>
  <c r="EQ1368" i="1"/>
  <c r="EQ1370" i="1"/>
  <c r="EQ948" i="1"/>
  <c r="EQ1100" i="1"/>
  <c r="EQ1099" i="1"/>
  <c r="EQ1098" i="1"/>
  <c r="EQ1097" i="1"/>
  <c r="EQ1580" i="1"/>
  <c r="EQ713" i="1"/>
  <c r="EQ1578" i="1"/>
  <c r="EQ682" i="1"/>
  <c r="EQ613" i="1"/>
  <c r="EQ904" i="1"/>
  <c r="EQ604" i="1"/>
  <c r="EQ1586" i="1"/>
  <c r="EQ1584" i="1"/>
  <c r="EQ1585" i="1"/>
  <c r="EQ1583" i="1"/>
  <c r="EQ620" i="1"/>
  <c r="EQ628" i="1"/>
  <c r="EQ627" i="1"/>
  <c r="EQ622" i="1"/>
  <c r="EQ621" i="1"/>
  <c r="EQ626" i="1"/>
  <c r="EQ625" i="1"/>
  <c r="EQ624" i="1"/>
  <c r="EQ623" i="1"/>
  <c r="EQ1431" i="1"/>
  <c r="EQ1389" i="1"/>
  <c r="EQ1386" i="1"/>
  <c r="EQ1345" i="1"/>
  <c r="EQ1344" i="1"/>
  <c r="EQ1391" i="1"/>
  <c r="EQ955" i="1"/>
  <c r="EQ1341" i="1"/>
  <c r="EQ1471" i="1"/>
  <c r="EQ1470" i="1"/>
  <c r="EQ1468" i="1"/>
  <c r="EQ1467" i="1"/>
  <c r="EQ1469" i="1"/>
  <c r="EQ1466" i="1"/>
  <c r="EQ1465" i="1"/>
  <c r="EQ1464" i="1"/>
  <c r="EQ1452" i="1"/>
  <c r="EQ1453" i="1"/>
  <c r="EQ1454" i="1"/>
  <c r="EQ1455" i="1"/>
  <c r="EQ1456" i="1"/>
  <c r="EQ1457" i="1"/>
  <c r="EQ1458" i="1"/>
  <c r="EQ1459" i="1"/>
  <c r="EQ1460" i="1"/>
  <c r="EQ1461" i="1"/>
  <c r="EQ1462" i="1"/>
  <c r="EQ1463" i="1"/>
  <c r="EQ1150" i="1"/>
  <c r="EQ1151" i="1"/>
  <c r="EQ1152" i="1"/>
  <c r="EQ1153" i="1"/>
  <c r="EQ900" i="1"/>
  <c r="EQ899" i="1"/>
  <c r="EQ557" i="1"/>
  <c r="EQ556" i="1"/>
  <c r="EQ555" i="1"/>
  <c r="EQ553" i="1"/>
  <c r="EQ554" i="1"/>
  <c r="EQ552" i="1"/>
  <c r="EQ551" i="1"/>
  <c r="EQ550" i="1"/>
  <c r="EQ549" i="1"/>
  <c r="EQ548" i="1"/>
  <c r="EQ546" i="1"/>
  <c r="EQ545" i="1"/>
  <c r="EQ544" i="1"/>
  <c r="EQ543" i="1"/>
  <c r="EQ542" i="1"/>
  <c r="EQ541" i="1"/>
  <c r="EQ561" i="1"/>
  <c r="EQ560" i="1"/>
  <c r="EQ559" i="1"/>
  <c r="EQ558" i="1"/>
  <c r="EQ567" i="1"/>
  <c r="EQ574" i="1"/>
  <c r="EQ570" i="1"/>
  <c r="EQ563" i="1"/>
  <c r="EQ572" i="1"/>
  <c r="EQ565" i="1"/>
  <c r="EQ575" i="1"/>
  <c r="EQ568" i="1"/>
  <c r="EQ571" i="1"/>
  <c r="EQ564" i="1"/>
  <c r="EQ573" i="1"/>
  <c r="EQ566" i="1"/>
  <c r="EQ562" i="1"/>
  <c r="EQ569" i="1"/>
  <c r="EQ580" i="1"/>
  <c r="EQ581" i="1"/>
  <c r="EQ578" i="1"/>
  <c r="EQ579" i="1"/>
  <c r="EQ576" i="1"/>
  <c r="EQ577" i="1"/>
  <c r="EQ885" i="1"/>
  <c r="EQ1570" i="1"/>
  <c r="EQ862" i="1"/>
  <c r="EQ861" i="1"/>
  <c r="EQ1336" i="1"/>
  <c r="EQ1335" i="1"/>
  <c r="EQ1334" i="1"/>
  <c r="EQ1333" i="1"/>
  <c r="EQ1363" i="1"/>
  <c r="EQ1362" i="1"/>
  <c r="EQ1361" i="1"/>
  <c r="EQ1359" i="1"/>
  <c r="EQ1360" i="1"/>
  <c r="EQ1358" i="1"/>
  <c r="EQ1001" i="1"/>
  <c r="EQ1000" i="1"/>
  <c r="EQ999" i="1"/>
  <c r="EQ1005" i="1"/>
  <c r="EQ1002" i="1"/>
  <c r="EQ1003" i="1"/>
  <c r="EQ1004" i="1"/>
  <c r="EQ228" i="1"/>
  <c r="EQ1482" i="1"/>
  <c r="BP1002" i="1"/>
  <c r="BQ1002" i="1" s="1"/>
  <c r="BP1003" i="1"/>
  <c r="BQ1003" i="1" s="1"/>
  <c r="BP1004" i="1"/>
  <c r="BQ1004" i="1" s="1"/>
  <c r="ER1005" i="1"/>
  <c r="DZ1005" i="1"/>
  <c r="DY1005" i="1"/>
  <c r="DS1005" i="1"/>
  <c r="DR1005" i="1"/>
  <c r="DQ1005" i="1"/>
  <c r="DP1005" i="1"/>
  <c r="DN1005" i="1"/>
  <c r="DO1005" i="1" s="1"/>
  <c r="DG1005" i="1"/>
  <c r="DH1005" i="1" s="1"/>
  <c r="DC1005" i="1"/>
  <c r="CP1005" i="1"/>
  <c r="BX1005" i="1"/>
  <c r="BZ1005" i="1" s="1"/>
  <c r="BP1005" i="1"/>
  <c r="BQ1005" i="1" s="1"/>
  <c r="BO1005" i="1"/>
  <c r="BF1005" i="1"/>
  <c r="BE1005" i="1"/>
  <c r="BD1005" i="1"/>
  <c r="BC1005" i="1"/>
  <c r="BB1005" i="1"/>
  <c r="BA1005" i="1"/>
  <c r="AZ1005" i="1"/>
  <c r="M1005" i="1"/>
  <c r="ER999" i="1"/>
  <c r="DZ999" i="1"/>
  <c r="DY999" i="1"/>
  <c r="DS999" i="1"/>
  <c r="DR999" i="1"/>
  <c r="DQ999" i="1"/>
  <c r="DP999" i="1"/>
  <c r="DN999" i="1"/>
  <c r="DO999" i="1" s="1"/>
  <c r="DG999" i="1"/>
  <c r="DH999" i="1" s="1"/>
  <c r="DC999" i="1"/>
  <c r="CP999" i="1"/>
  <c r="CQ999" i="1" s="1"/>
  <c r="BX999" i="1"/>
  <c r="BZ999" i="1" s="1"/>
  <c r="BP999" i="1"/>
  <c r="BQ999" i="1" s="1"/>
  <c r="BO999" i="1"/>
  <c r="BF999" i="1"/>
  <c r="BE999" i="1"/>
  <c r="BD999" i="1"/>
  <c r="BC999" i="1"/>
  <c r="BB999" i="1"/>
  <c r="BA999" i="1"/>
  <c r="BG999" i="1" s="1" a="1"/>
  <c r="BG999" i="1" s="1"/>
  <c r="M999" i="1"/>
  <c r="ER1000" i="1"/>
  <c r="DZ1000" i="1"/>
  <c r="DY1000" i="1"/>
  <c r="DS1000" i="1"/>
  <c r="DR1000" i="1"/>
  <c r="DQ1000" i="1"/>
  <c r="DP1000" i="1"/>
  <c r="DN1000" i="1"/>
  <c r="DO1000" i="1" s="1"/>
  <c r="DG1000" i="1"/>
  <c r="DH1000" i="1" s="1"/>
  <c r="DC1000" i="1"/>
  <c r="CP1000" i="1"/>
  <c r="CR1000" i="1" s="1"/>
  <c r="BX1000" i="1"/>
  <c r="BZ1000" i="1" s="1"/>
  <c r="BP1000" i="1"/>
  <c r="BQ1000" i="1" s="1"/>
  <c r="BO1000" i="1"/>
  <c r="BF1000" i="1"/>
  <c r="BE1000" i="1"/>
  <c r="BD1000" i="1"/>
  <c r="BC1000" i="1"/>
  <c r="BB1000" i="1"/>
  <c r="BA1000" i="1"/>
  <c r="BG1000" i="1" s="1" a="1"/>
  <c r="BG1000" i="1" s="1"/>
  <c r="AZ1000" i="1"/>
  <c r="M1000" i="1"/>
  <c r="ER1001" i="1"/>
  <c r="DZ1001" i="1"/>
  <c r="DY1001" i="1"/>
  <c r="DS1001" i="1"/>
  <c r="DR1001" i="1"/>
  <c r="DQ1001" i="1"/>
  <c r="DP1001" i="1"/>
  <c r="DN1001" i="1"/>
  <c r="DO1001" i="1" s="1"/>
  <c r="DG1001" i="1"/>
  <c r="DH1001" i="1" s="1"/>
  <c r="DC1001" i="1"/>
  <c r="CP1001" i="1"/>
  <c r="CU1001" i="1" s="1"/>
  <c r="BX1001" i="1"/>
  <c r="BZ1001" i="1" s="1"/>
  <c r="BP1001" i="1"/>
  <c r="BQ1001" i="1" s="1"/>
  <c r="BO1001" i="1"/>
  <c r="BF1001" i="1"/>
  <c r="BE1001" i="1"/>
  <c r="BD1001" i="1"/>
  <c r="BC1001" i="1"/>
  <c r="BB1001" i="1"/>
  <c r="BA1001" i="1"/>
  <c r="BG1001" i="1" s="1" a="1"/>
  <c r="BG1001" i="1" s="1"/>
  <c r="AZ1001" i="1"/>
  <c r="M1001" i="1"/>
  <c r="BX1363" i="1"/>
  <c r="BX1362" i="1"/>
  <c r="BX1361" i="1"/>
  <c r="BX1359" i="1"/>
  <c r="BX1360" i="1"/>
  <c r="BX1358" i="1"/>
  <c r="EQ6" i="1" l="1"/>
  <c r="EP6" i="1"/>
  <c r="BH999" i="1" a="1"/>
  <c r="BH999" i="1" s="1"/>
  <c r="BH1005" i="1" a="1"/>
  <c r="BH1005" i="1" s="1"/>
  <c r="BG1005" i="1" s="1" a="1"/>
  <c r="BG1005" i="1" s="1"/>
  <c r="BH1000" i="1" a="1"/>
  <c r="BH1000" i="1" s="1"/>
  <c r="BH1001" i="1" a="1"/>
  <c r="BH1001" i="1" s="1"/>
  <c r="CV1000" i="1"/>
  <c r="CA1001" i="1"/>
  <c r="EY1001" i="1" s="1"/>
  <c r="CA999" i="1"/>
  <c r="EY999" i="1" s="1"/>
  <c r="CA1005" i="1"/>
  <c r="EY1005" i="1" s="1"/>
  <c r="CS1000" i="1"/>
  <c r="CT1000" i="1" s="1"/>
  <c r="CU1000" i="1"/>
  <c r="CR999" i="1"/>
  <c r="CS999" i="1"/>
  <c r="CT999" i="1" s="1"/>
  <c r="CV1001" i="1"/>
  <c r="DA1001" i="1" s="1"/>
  <c r="CW1005" i="1"/>
  <c r="CU999" i="1"/>
  <c r="CV999" i="1"/>
  <c r="CW1001" i="1"/>
  <c r="CW1000" i="1"/>
  <c r="CA1000" i="1"/>
  <c r="EY1000" i="1" s="1"/>
  <c r="CQ1005" i="1"/>
  <c r="CQ1001" i="1"/>
  <c r="CW999" i="1"/>
  <c r="CR1005" i="1"/>
  <c r="CS1005" i="1"/>
  <c r="CT1005" i="1" s="1"/>
  <c r="CS1001" i="1"/>
  <c r="CT1001" i="1" s="1"/>
  <c r="CU1005" i="1"/>
  <c r="CR1001" i="1"/>
  <c r="CQ1000" i="1"/>
  <c r="CV1005" i="1"/>
  <c r="CY1000" i="1" l="1"/>
  <c r="FA1000" i="1" s="1"/>
  <c r="CY1001" i="1"/>
  <c r="FA1001" i="1" s="1"/>
  <c r="CY999" i="1"/>
  <c r="FA999" i="1" s="1"/>
  <c r="CY1005" i="1"/>
  <c r="FA1005" i="1" s="1"/>
  <c r="CX999" i="1"/>
  <c r="CZ999" i="1"/>
  <c r="CX1005" i="1"/>
  <c r="CZ1005" i="1"/>
  <c r="CX1000" i="1"/>
  <c r="CZ1000" i="1"/>
  <c r="CX1001" i="1"/>
  <c r="CZ1001" i="1"/>
  <c r="DA1000" i="1"/>
  <c r="DA999" i="1"/>
  <c r="DA1005" i="1"/>
  <c r="BN1363" i="1" l="1"/>
  <c r="DH1473" i="1" l="1"/>
  <c r="DH1472" i="1"/>
  <c r="ER1004" i="1" l="1"/>
  <c r="DZ1004" i="1"/>
  <c r="DY1004" i="1"/>
  <c r="DS1004" i="1"/>
  <c r="DR1004" i="1"/>
  <c r="DQ1004" i="1"/>
  <c r="DP1004" i="1"/>
  <c r="DN1004" i="1"/>
  <c r="DO1004" i="1" s="1"/>
  <c r="DG1004" i="1"/>
  <c r="DH1004" i="1" s="1"/>
  <c r="DC1004" i="1"/>
  <c r="CP1004" i="1"/>
  <c r="BX1004" i="1"/>
  <c r="BZ1004" i="1" s="1"/>
  <c r="BO1004" i="1"/>
  <c r="BF1004" i="1"/>
  <c r="BE1004" i="1"/>
  <c r="BD1004" i="1"/>
  <c r="BC1004" i="1"/>
  <c r="BB1004" i="1"/>
  <c r="BA1004" i="1"/>
  <c r="BG1004" i="1" s="1" a="1"/>
  <c r="BG1004" i="1" s="1"/>
  <c r="AZ1004" i="1"/>
  <c r="M1004" i="1"/>
  <c r="ER1003" i="1"/>
  <c r="DZ1003" i="1"/>
  <c r="DY1003" i="1"/>
  <c r="DS1003" i="1"/>
  <c r="DR1003" i="1"/>
  <c r="DQ1003" i="1"/>
  <c r="DP1003" i="1"/>
  <c r="DN1003" i="1"/>
  <c r="DO1003" i="1" s="1"/>
  <c r="DG1003" i="1"/>
  <c r="DH1003" i="1" s="1"/>
  <c r="DC1003" i="1"/>
  <c r="CP1003" i="1"/>
  <c r="CQ1003" i="1" s="1"/>
  <c r="BX1003" i="1"/>
  <c r="BZ1003" i="1" s="1"/>
  <c r="BO1003" i="1"/>
  <c r="BF1003" i="1"/>
  <c r="BE1003" i="1"/>
  <c r="BD1003" i="1"/>
  <c r="BC1003" i="1"/>
  <c r="BB1003" i="1"/>
  <c r="BA1003" i="1"/>
  <c r="BG1003" i="1" s="1" a="1"/>
  <c r="BG1003" i="1" s="1"/>
  <c r="AZ1003" i="1"/>
  <c r="M1003" i="1"/>
  <c r="ER1002" i="1"/>
  <c r="DZ1002" i="1"/>
  <c r="DY1002" i="1"/>
  <c r="DS1002" i="1"/>
  <c r="DR1002" i="1"/>
  <c r="DQ1002" i="1"/>
  <c r="DP1002" i="1"/>
  <c r="DN1002" i="1"/>
  <c r="DO1002" i="1" s="1"/>
  <c r="DG1002" i="1"/>
  <c r="DH1002" i="1" s="1"/>
  <c r="DC1002" i="1"/>
  <c r="CP1002" i="1"/>
  <c r="CU1002" i="1" s="1"/>
  <c r="BX1002" i="1"/>
  <c r="BZ1002" i="1" s="1"/>
  <c r="BO1002" i="1"/>
  <c r="BF1002" i="1"/>
  <c r="BE1002" i="1"/>
  <c r="BD1002" i="1"/>
  <c r="BC1002" i="1"/>
  <c r="BB1002" i="1"/>
  <c r="BA1002" i="1"/>
  <c r="BG1002" i="1" s="1" a="1"/>
  <c r="BG1002" i="1" s="1"/>
  <c r="AZ1002" i="1"/>
  <c r="M1002" i="1"/>
  <c r="ER1358" i="1"/>
  <c r="DZ1358" i="1"/>
  <c r="DY1358" i="1"/>
  <c r="DS1358" i="1"/>
  <c r="DR1358" i="1"/>
  <c r="DQ1358" i="1"/>
  <c r="DP1358" i="1"/>
  <c r="DN1358" i="1"/>
  <c r="DO1358" i="1" s="1"/>
  <c r="DG1358" i="1"/>
  <c r="DH1358" i="1" s="1"/>
  <c r="DC1358" i="1"/>
  <c r="CP1358" i="1"/>
  <c r="BZ1358" i="1"/>
  <c r="BF1358" i="1"/>
  <c r="BE1358" i="1"/>
  <c r="BD1358" i="1"/>
  <c r="BC1358" i="1"/>
  <c r="BB1358" i="1"/>
  <c r="BA1358" i="1"/>
  <c r="BG1358" i="1" s="1" a="1"/>
  <c r="BG1358" i="1" s="1"/>
  <c r="AZ1358" i="1"/>
  <c r="M1358" i="1"/>
  <c r="ER1360" i="1"/>
  <c r="DZ1360" i="1"/>
  <c r="DY1360" i="1"/>
  <c r="DS1360" i="1"/>
  <c r="DR1360" i="1"/>
  <c r="DQ1360" i="1"/>
  <c r="DP1360" i="1"/>
  <c r="DN1360" i="1"/>
  <c r="DO1360" i="1" s="1"/>
  <c r="DG1360" i="1"/>
  <c r="DH1360" i="1" s="1"/>
  <c r="DC1360" i="1"/>
  <c r="CP1360" i="1"/>
  <c r="BZ1360" i="1"/>
  <c r="BF1360" i="1"/>
  <c r="BE1360" i="1"/>
  <c r="BD1360" i="1"/>
  <c r="BC1360" i="1"/>
  <c r="BB1360" i="1"/>
  <c r="BA1360" i="1"/>
  <c r="BG1360" i="1" s="1" a="1"/>
  <c r="BG1360" i="1" s="1"/>
  <c r="AZ1360" i="1"/>
  <c r="M1360" i="1"/>
  <c r="ER1359" i="1"/>
  <c r="DZ1359" i="1"/>
  <c r="DY1359" i="1"/>
  <c r="DS1359" i="1"/>
  <c r="DR1359" i="1"/>
  <c r="DQ1359" i="1"/>
  <c r="DP1359" i="1"/>
  <c r="DN1359" i="1"/>
  <c r="DO1359" i="1" s="1"/>
  <c r="DG1359" i="1"/>
  <c r="DH1359" i="1" s="1"/>
  <c r="DC1359" i="1"/>
  <c r="CP1359" i="1"/>
  <c r="BZ1359" i="1"/>
  <c r="BF1359" i="1"/>
  <c r="BE1359" i="1"/>
  <c r="BD1359" i="1"/>
  <c r="BC1359" i="1"/>
  <c r="BB1359" i="1"/>
  <c r="BA1359" i="1"/>
  <c r="BG1359" i="1" s="1" a="1"/>
  <c r="BG1359" i="1" s="1"/>
  <c r="AZ1359" i="1"/>
  <c r="M1359" i="1"/>
  <c r="ER1361" i="1"/>
  <c r="DZ1361" i="1"/>
  <c r="DY1361" i="1"/>
  <c r="DS1361" i="1"/>
  <c r="DR1361" i="1"/>
  <c r="DQ1361" i="1"/>
  <c r="DP1361" i="1"/>
  <c r="DN1361" i="1"/>
  <c r="DO1361" i="1" s="1"/>
  <c r="DG1361" i="1"/>
  <c r="DH1361" i="1" s="1"/>
  <c r="DC1361" i="1"/>
  <c r="CP1361" i="1"/>
  <c r="BZ1361" i="1"/>
  <c r="BF1361" i="1"/>
  <c r="BE1361" i="1"/>
  <c r="BD1361" i="1"/>
  <c r="BC1361" i="1"/>
  <c r="BB1361" i="1"/>
  <c r="BA1361" i="1"/>
  <c r="BG1361" i="1" s="1" a="1"/>
  <c r="BG1361" i="1" s="1"/>
  <c r="AZ1361" i="1"/>
  <c r="M1361" i="1"/>
  <c r="ER1362" i="1"/>
  <c r="DZ1362" i="1"/>
  <c r="DY1362" i="1"/>
  <c r="DS1362" i="1"/>
  <c r="DR1362" i="1"/>
  <c r="DQ1362" i="1"/>
  <c r="DP1362" i="1"/>
  <c r="DN1362" i="1"/>
  <c r="DO1362" i="1" s="1"/>
  <c r="DG1362" i="1"/>
  <c r="DH1362" i="1" s="1"/>
  <c r="DC1362" i="1"/>
  <c r="CP1362" i="1"/>
  <c r="BZ1362" i="1"/>
  <c r="BF1362" i="1"/>
  <c r="BE1362" i="1"/>
  <c r="BD1362" i="1"/>
  <c r="BC1362" i="1"/>
  <c r="BB1362" i="1"/>
  <c r="BA1362" i="1"/>
  <c r="BG1362" i="1" s="1" a="1"/>
  <c r="BG1362" i="1" s="1"/>
  <c r="AZ1362" i="1"/>
  <c r="M1362" i="1"/>
  <c r="ER1363" i="1"/>
  <c r="DZ1363" i="1"/>
  <c r="DY1363" i="1"/>
  <c r="DS1363" i="1"/>
  <c r="DR1363" i="1"/>
  <c r="DQ1363" i="1"/>
  <c r="DP1363" i="1"/>
  <c r="DN1363" i="1"/>
  <c r="DO1363" i="1" s="1"/>
  <c r="DG1363" i="1"/>
  <c r="DH1363" i="1" s="1"/>
  <c r="DC1363" i="1"/>
  <c r="BZ1363" i="1"/>
  <c r="BF1363" i="1"/>
  <c r="BE1363" i="1"/>
  <c r="BD1363" i="1"/>
  <c r="BC1363" i="1"/>
  <c r="BB1363" i="1"/>
  <c r="BA1363" i="1"/>
  <c r="BG1363" i="1" s="1" a="1"/>
  <c r="BG1363" i="1" s="1"/>
  <c r="AZ1363" i="1"/>
  <c r="M1363" i="1"/>
  <c r="ER1333" i="1"/>
  <c r="DZ1333" i="1"/>
  <c r="DY1333" i="1"/>
  <c r="DS1333" i="1"/>
  <c r="DR1333" i="1"/>
  <c r="DQ1333" i="1"/>
  <c r="DP1333" i="1"/>
  <c r="DN1333" i="1"/>
  <c r="DO1333" i="1" s="1"/>
  <c r="DH1333" i="1"/>
  <c r="DC1333" i="1"/>
  <c r="CP1333" i="1"/>
  <c r="CV1333" i="1" s="1"/>
  <c r="BX1333" i="1"/>
  <c r="BZ1333" i="1" s="1"/>
  <c r="BW1333" i="1"/>
  <c r="BP1333" i="1"/>
  <c r="BQ1333" i="1" s="1"/>
  <c r="BO1333" i="1"/>
  <c r="BF1333" i="1"/>
  <c r="BE1333" i="1"/>
  <c r="BD1333" i="1"/>
  <c r="BC1333" i="1"/>
  <c r="BB1333" i="1"/>
  <c r="BA1333" i="1"/>
  <c r="BG1333" i="1" s="1" a="1"/>
  <c r="BG1333" i="1" s="1"/>
  <c r="AZ1333" i="1"/>
  <c r="M1333" i="1"/>
  <c r="ER1334" i="1"/>
  <c r="DZ1334" i="1"/>
  <c r="DY1334" i="1"/>
  <c r="DS1334" i="1"/>
  <c r="DR1334" i="1"/>
  <c r="DQ1334" i="1"/>
  <c r="DP1334" i="1"/>
  <c r="DN1334" i="1"/>
  <c r="DO1334" i="1" s="1"/>
  <c r="DH1334" i="1"/>
  <c r="DC1334" i="1"/>
  <c r="CP1334" i="1"/>
  <c r="BX1334" i="1"/>
  <c r="BZ1334" i="1" s="1"/>
  <c r="BW1334" i="1"/>
  <c r="BP1334" i="1"/>
  <c r="BQ1334" i="1" s="1"/>
  <c r="BO1334" i="1"/>
  <c r="BF1334" i="1"/>
  <c r="BE1334" i="1"/>
  <c r="BD1334" i="1"/>
  <c r="BC1334" i="1"/>
  <c r="BB1334" i="1"/>
  <c r="BA1334" i="1"/>
  <c r="BG1334" i="1" s="1" a="1"/>
  <c r="BG1334" i="1" s="1"/>
  <c r="AZ1334" i="1"/>
  <c r="M1334" i="1"/>
  <c r="ER1335" i="1"/>
  <c r="DZ1335" i="1"/>
  <c r="DY1335" i="1"/>
  <c r="DS1335" i="1"/>
  <c r="DR1335" i="1"/>
  <c r="DQ1335" i="1"/>
  <c r="DP1335" i="1"/>
  <c r="DN1335" i="1"/>
  <c r="DO1335" i="1" s="1"/>
  <c r="DH1335" i="1"/>
  <c r="DC1335" i="1"/>
  <c r="CP1335" i="1"/>
  <c r="CQ1335" i="1" s="1"/>
  <c r="BX1335" i="1"/>
  <c r="BZ1335" i="1" s="1"/>
  <c r="BW1335" i="1"/>
  <c r="BP1335" i="1"/>
  <c r="BQ1335" i="1" s="1"/>
  <c r="BO1335" i="1"/>
  <c r="BF1335" i="1"/>
  <c r="BE1335" i="1"/>
  <c r="BD1335" i="1"/>
  <c r="BC1335" i="1"/>
  <c r="BB1335" i="1"/>
  <c r="BA1335" i="1"/>
  <c r="BG1335" i="1" s="1" a="1"/>
  <c r="BG1335" i="1" s="1"/>
  <c r="AZ1335" i="1"/>
  <c r="M1335" i="1"/>
  <c r="ER1336" i="1"/>
  <c r="DZ1336" i="1"/>
  <c r="DY1336" i="1"/>
  <c r="DS1336" i="1"/>
  <c r="DR1336" i="1"/>
  <c r="DQ1336" i="1"/>
  <c r="DP1336" i="1"/>
  <c r="DN1336" i="1"/>
  <c r="DO1336" i="1" s="1"/>
  <c r="DH1336" i="1"/>
  <c r="DC1336" i="1"/>
  <c r="CP1336" i="1"/>
  <c r="BX1336" i="1"/>
  <c r="BZ1336" i="1" s="1"/>
  <c r="BW1336" i="1"/>
  <c r="BP1336" i="1"/>
  <c r="BQ1336" i="1" s="1"/>
  <c r="BO1336" i="1"/>
  <c r="BF1336" i="1"/>
  <c r="BE1336" i="1"/>
  <c r="BD1336" i="1"/>
  <c r="BC1336" i="1"/>
  <c r="BB1336" i="1"/>
  <c r="BA1336" i="1"/>
  <c r="BG1336" i="1" s="1" a="1"/>
  <c r="BG1336" i="1" s="1"/>
  <c r="AZ1336" i="1"/>
  <c r="M1336" i="1"/>
  <c r="ER861" i="1"/>
  <c r="DZ861" i="1"/>
  <c r="DY861" i="1"/>
  <c r="DS861" i="1"/>
  <c r="DR861" i="1"/>
  <c r="DQ861" i="1"/>
  <c r="DP861" i="1"/>
  <c r="DN861" i="1"/>
  <c r="DO861" i="1" s="1"/>
  <c r="DH861" i="1"/>
  <c r="DC861" i="1"/>
  <c r="CP861" i="1"/>
  <c r="BX861" i="1"/>
  <c r="BZ861" i="1" s="1"/>
  <c r="BW861" i="1"/>
  <c r="BP861" i="1"/>
  <c r="BQ861" i="1" s="1"/>
  <c r="BO861" i="1"/>
  <c r="BF861" i="1"/>
  <c r="BE861" i="1"/>
  <c r="BD861" i="1"/>
  <c r="BC861" i="1"/>
  <c r="BB861" i="1"/>
  <c r="BA861" i="1"/>
  <c r="BG861" i="1" s="1" a="1"/>
  <c r="BG861" i="1" s="1"/>
  <c r="AZ861" i="1"/>
  <c r="M861" i="1"/>
  <c r="ER862" i="1"/>
  <c r="DZ862" i="1"/>
  <c r="DY862" i="1"/>
  <c r="DS862" i="1"/>
  <c r="DR862" i="1"/>
  <c r="DQ862" i="1"/>
  <c r="DP862" i="1"/>
  <c r="DN862" i="1"/>
  <c r="DO862" i="1" s="1"/>
  <c r="DH862" i="1"/>
  <c r="DC862" i="1"/>
  <c r="CP862" i="1"/>
  <c r="BX862" i="1"/>
  <c r="BZ862" i="1" s="1"/>
  <c r="BW862" i="1"/>
  <c r="BP862" i="1"/>
  <c r="BQ862" i="1" s="1"/>
  <c r="BO862" i="1"/>
  <c r="BF862" i="1"/>
  <c r="BE862" i="1"/>
  <c r="BD862" i="1"/>
  <c r="BC862" i="1"/>
  <c r="BB862" i="1"/>
  <c r="BA862" i="1"/>
  <c r="BG862" i="1" s="1" a="1"/>
  <c r="BG862" i="1" s="1"/>
  <c r="AZ862" i="1"/>
  <c r="M862" i="1"/>
  <c r="ER1570" i="1"/>
  <c r="DZ1570" i="1"/>
  <c r="DY1570" i="1"/>
  <c r="DS1570" i="1"/>
  <c r="DR1570" i="1"/>
  <c r="DQ1570" i="1"/>
  <c r="DP1570" i="1"/>
  <c r="DN1570" i="1"/>
  <c r="DO1570" i="1" s="1"/>
  <c r="DH1570" i="1"/>
  <c r="DC1570" i="1"/>
  <c r="BX1570" i="1"/>
  <c r="BZ1570" i="1" s="1"/>
  <c r="BW1570" i="1"/>
  <c r="BN1570" i="1"/>
  <c r="CP1570" i="1" s="1"/>
  <c r="BF1570" i="1"/>
  <c r="BE1570" i="1"/>
  <c r="BD1570" i="1"/>
  <c r="BC1570" i="1"/>
  <c r="BB1570" i="1"/>
  <c r="BA1570" i="1"/>
  <c r="BG1570" i="1" s="1" a="1"/>
  <c r="BG1570" i="1" s="1"/>
  <c r="AZ1570" i="1"/>
  <c r="M1570" i="1"/>
  <c r="EY827" i="1"/>
  <c r="EY796" i="1"/>
  <c r="EY833" i="1"/>
  <c r="EY782" i="1"/>
  <c r="EY807" i="1"/>
  <c r="EY826" i="1"/>
  <c r="EY794" i="1"/>
  <c r="EY787" i="1"/>
  <c r="EY789" i="1"/>
  <c r="EY834" i="1"/>
  <c r="EY792" i="1"/>
  <c r="EY815" i="1"/>
  <c r="EY835" i="1"/>
  <c r="EY793" i="1"/>
  <c r="EY801" i="1"/>
  <c r="EY804" i="1"/>
  <c r="EY822" i="1"/>
  <c r="EY837" i="1"/>
  <c r="EY818" i="1"/>
  <c r="EY781" i="1"/>
  <c r="EY788" i="1"/>
  <c r="EY798" i="1"/>
  <c r="EY817" i="1"/>
  <c r="EY820" i="1"/>
  <c r="EY816" i="1"/>
  <c r="EY811" i="1"/>
  <c r="EY832" i="1"/>
  <c r="EY810" i="1"/>
  <c r="EY821" i="1"/>
  <c r="EY814" i="1"/>
  <c r="EY843" i="1"/>
  <c r="EY774" i="1"/>
  <c r="EY829" i="1"/>
  <c r="EY839" i="1"/>
  <c r="EY773" i="1"/>
  <c r="EY825" i="1"/>
  <c r="EY831" i="1"/>
  <c r="EY786" i="1"/>
  <c r="EY800" i="1"/>
  <c r="EY842" i="1"/>
  <c r="EY809" i="1"/>
  <c r="EY830" i="1"/>
  <c r="EY777" i="1"/>
  <c r="EY823" i="1"/>
  <c r="EY776" i="1"/>
  <c r="EY840" i="1"/>
  <c r="EY775" i="1"/>
  <c r="EY841" i="1"/>
  <c r="EY779" i="1"/>
  <c r="EY783" i="1"/>
  <c r="EY784" i="1"/>
  <c r="EY799" i="1"/>
  <c r="EY803" i="1"/>
  <c r="EY844" i="1"/>
  <c r="EY805" i="1"/>
  <c r="EY778" i="1"/>
  <c r="EY780" i="1"/>
  <c r="EY797" i="1"/>
  <c r="EY802" i="1"/>
  <c r="EY838" i="1"/>
  <c r="EY836" i="1"/>
  <c r="EY824" i="1"/>
  <c r="EY828" i="1"/>
  <c r="EY808" i="1"/>
  <c r="EY813" i="1"/>
  <c r="EY819" i="1"/>
  <c r="EY806" i="1"/>
  <c r="EY812" i="1"/>
  <c r="EY854" i="1"/>
  <c r="EY795" i="1"/>
  <c r="EY845" i="1"/>
  <c r="EY846" i="1"/>
  <c r="EY850" i="1"/>
  <c r="EY791" i="1"/>
  <c r="EY853" i="1"/>
  <c r="EY785" i="1"/>
  <c r="EY790" i="1"/>
  <c r="EY852" i="1"/>
  <c r="EY848" i="1"/>
  <c r="EY851" i="1"/>
  <c r="EY847" i="1"/>
  <c r="EY849" i="1"/>
  <c r="ER228" i="1"/>
  <c r="DZ228" i="1"/>
  <c r="DY228" i="1"/>
  <c r="DS228" i="1"/>
  <c r="DR228" i="1"/>
  <c r="DQ228" i="1"/>
  <c r="DP228" i="1"/>
  <c r="DN228" i="1"/>
  <c r="DO228" i="1" s="1"/>
  <c r="DH228" i="1"/>
  <c r="DC228" i="1"/>
  <c r="CP228" i="1"/>
  <c r="CU228" i="1" s="1"/>
  <c r="BX228" i="1"/>
  <c r="BZ228" i="1" s="1"/>
  <c r="BP228" i="1"/>
  <c r="BQ228" i="1" s="1"/>
  <c r="BF228" i="1"/>
  <c r="BE228" i="1"/>
  <c r="BD228" i="1"/>
  <c r="BC228" i="1"/>
  <c r="BB228" i="1"/>
  <c r="BA228" i="1"/>
  <c r="BG228" i="1" s="1" a="1"/>
  <c r="BG228" i="1" s="1"/>
  <c r="AZ228" i="1"/>
  <c r="M228" i="1"/>
  <c r="BH862" i="1" l="1" a="1"/>
  <c r="BH862" i="1" s="1"/>
  <c r="BH1361" i="1" a="1"/>
  <c r="BH1361" i="1" s="1"/>
  <c r="BH1360" i="1" a="1"/>
  <c r="BH1360" i="1" s="1"/>
  <c r="BH1335" i="1" a="1"/>
  <c r="BH1335" i="1" s="1"/>
  <c r="BH1362" i="1" a="1"/>
  <c r="BH1362" i="1" s="1"/>
  <c r="BH1359" i="1" a="1"/>
  <c r="BH1359" i="1" s="1"/>
  <c r="BH1358" i="1" a="1"/>
  <c r="BH1358" i="1" s="1"/>
  <c r="BH1003" i="1" a="1"/>
  <c r="BH1003" i="1" s="1"/>
  <c r="BH1363" i="1" a="1"/>
  <c r="BH1363" i="1" s="1"/>
  <c r="BH1570" i="1" a="1"/>
  <c r="BH1570" i="1" s="1"/>
  <c r="BH1333" i="1" a="1"/>
  <c r="BH1333" i="1" s="1"/>
  <c r="BH1334" i="1" a="1"/>
  <c r="BH1334" i="1" s="1"/>
  <c r="BH1002" i="1" a="1"/>
  <c r="BH1002" i="1" s="1"/>
  <c r="BH228" i="1" a="1"/>
  <c r="BH228" i="1" s="1"/>
  <c r="BH1336" i="1" a="1"/>
  <c r="BH1336" i="1" s="1"/>
  <c r="BH1004" i="1" a="1"/>
  <c r="BH1004" i="1" s="1"/>
  <c r="BH861" i="1" a="1"/>
  <c r="BH861" i="1" s="1"/>
  <c r="BP1570" i="1"/>
  <c r="BQ1570" i="1" s="1"/>
  <c r="CA1570" i="1" s="1"/>
  <c r="CA1003" i="1"/>
  <c r="BP1362" i="1"/>
  <c r="BQ1362" i="1" s="1"/>
  <c r="CA1362" i="1" s="1"/>
  <c r="BP1361" i="1"/>
  <c r="BQ1361" i="1" s="1"/>
  <c r="CA1361" i="1" s="1"/>
  <c r="BP1359" i="1"/>
  <c r="BQ1359" i="1" s="1"/>
  <c r="CS1359" i="1" s="1"/>
  <c r="CT1359" i="1" s="1"/>
  <c r="BP1360" i="1"/>
  <c r="BQ1360" i="1" s="1"/>
  <c r="CA1360" i="1" s="1"/>
  <c r="BP1358" i="1"/>
  <c r="BQ1358" i="1" s="1"/>
  <c r="CA1358" i="1" s="1"/>
  <c r="CA861" i="1"/>
  <c r="CW1333" i="1"/>
  <c r="CQ1333" i="1"/>
  <c r="CU1003" i="1"/>
  <c r="CW1361" i="1"/>
  <c r="CV1003" i="1"/>
  <c r="CW1336" i="1"/>
  <c r="CW862" i="1"/>
  <c r="CW861" i="1"/>
  <c r="CS1334" i="1"/>
  <c r="CT1334" i="1" s="1"/>
  <c r="CW1360" i="1"/>
  <c r="CR1335" i="1"/>
  <c r="CR862" i="1"/>
  <c r="CU1335" i="1"/>
  <c r="CW1358" i="1"/>
  <c r="CU862" i="1"/>
  <c r="CV1335" i="1"/>
  <c r="CA1004" i="1"/>
  <c r="CQ228" i="1"/>
  <c r="CS862" i="1"/>
  <c r="CT862" i="1" s="1"/>
  <c r="CR1333" i="1"/>
  <c r="CW1359" i="1"/>
  <c r="CA1002" i="1"/>
  <c r="CR1003" i="1"/>
  <c r="CA1335" i="1"/>
  <c r="CW1335" i="1"/>
  <c r="CQ861" i="1"/>
  <c r="CU1334" i="1"/>
  <c r="CW1004" i="1"/>
  <c r="CV1004" i="1"/>
  <c r="CU1004" i="1"/>
  <c r="CS1004" i="1"/>
  <c r="CT1004" i="1" s="1"/>
  <c r="CR1004" i="1"/>
  <c r="CQ1004" i="1"/>
  <c r="CR861" i="1"/>
  <c r="CU1570" i="1"/>
  <c r="CA1336" i="1"/>
  <c r="CV1570" i="1"/>
  <c r="CA862" i="1"/>
  <c r="CS1336" i="1"/>
  <c r="CT1336" i="1" s="1"/>
  <c r="CR1336" i="1"/>
  <c r="CQ1336" i="1"/>
  <c r="CV1336" i="1"/>
  <c r="CS1002" i="1"/>
  <c r="CT1002" i="1" s="1"/>
  <c r="CW1334" i="1"/>
  <c r="CV1334" i="1"/>
  <c r="CR1334" i="1"/>
  <c r="CQ1334" i="1"/>
  <c r="CW1570" i="1"/>
  <c r="CV862" i="1"/>
  <c r="CQ862" i="1"/>
  <c r="CU1336" i="1"/>
  <c r="CA1333" i="1"/>
  <c r="CW1362" i="1"/>
  <c r="CV1362" i="1"/>
  <c r="CU1362" i="1"/>
  <c r="CV861" i="1"/>
  <c r="CU861" i="1"/>
  <c r="CS861" i="1"/>
  <c r="CT861" i="1" s="1"/>
  <c r="CA1334" i="1"/>
  <c r="CS1335" i="1"/>
  <c r="CT1335" i="1" s="1"/>
  <c r="CV1002" i="1"/>
  <c r="DA1002" i="1" s="1"/>
  <c r="CS1003" i="1"/>
  <c r="CT1003" i="1" s="1"/>
  <c r="CW1002" i="1"/>
  <c r="CW1003" i="1"/>
  <c r="CS1333" i="1"/>
  <c r="CT1333" i="1" s="1"/>
  <c r="BM1363" i="1"/>
  <c r="CP1363" i="1" s="1"/>
  <c r="CU1361" i="1"/>
  <c r="CU1359" i="1"/>
  <c r="CU1360" i="1"/>
  <c r="CU1358" i="1"/>
  <c r="CQ1002" i="1"/>
  <c r="CU1333" i="1"/>
  <c r="DA1333" i="1" s="1"/>
  <c r="CV1361" i="1"/>
  <c r="CV1359" i="1"/>
  <c r="CV1360" i="1"/>
  <c r="CV1358" i="1"/>
  <c r="CR1002" i="1"/>
  <c r="CV228" i="1"/>
  <c r="DA228" i="1" s="1"/>
  <c r="CW228" i="1"/>
  <c r="CA228" i="1"/>
  <c r="CR228" i="1"/>
  <c r="CS228" i="1"/>
  <c r="CT228" i="1" s="1"/>
  <c r="CY862" i="1" l="1"/>
  <c r="FA862" i="1" s="1"/>
  <c r="CY1002" i="1"/>
  <c r="FA1002" i="1" s="1"/>
  <c r="CY1003" i="1"/>
  <c r="FA1003" i="1" s="1"/>
  <c r="CY1333" i="1"/>
  <c r="FA1333" i="1" s="1"/>
  <c r="CY228" i="1"/>
  <c r="FA228" i="1" s="1"/>
  <c r="CY1359" i="1"/>
  <c r="FA1359" i="1" s="1"/>
  <c r="CY1334" i="1"/>
  <c r="FA1334" i="1" s="1"/>
  <c r="CY1335" i="1"/>
  <c r="FA1335" i="1" s="1"/>
  <c r="CY861" i="1"/>
  <c r="FA861" i="1" s="1"/>
  <c r="CY1336" i="1"/>
  <c r="FA1336" i="1" s="1"/>
  <c r="CY1004" i="1"/>
  <c r="FA1004" i="1" s="1"/>
  <c r="DA1361" i="1"/>
  <c r="CX228" i="1"/>
  <c r="CZ228" i="1"/>
  <c r="CX1333" i="1"/>
  <c r="CZ1333" i="1"/>
  <c r="CX861" i="1"/>
  <c r="CZ861" i="1"/>
  <c r="CX1335" i="1"/>
  <c r="CZ1335" i="1"/>
  <c r="CX1002" i="1"/>
  <c r="CZ1002" i="1"/>
  <c r="CX862" i="1"/>
  <c r="CZ862" i="1"/>
  <c r="CX1003" i="1"/>
  <c r="CZ1003" i="1"/>
  <c r="CZ1359" i="1"/>
  <c r="CX1359" i="1"/>
  <c r="CX1336" i="1"/>
  <c r="CZ1336" i="1"/>
  <c r="CX1004" i="1"/>
  <c r="CZ1004" i="1"/>
  <c r="CX1334" i="1"/>
  <c r="CZ1334" i="1"/>
  <c r="CS1361" i="1"/>
  <c r="CX1361" i="1" s="1"/>
  <c r="CS1570" i="1"/>
  <c r="CX1570" i="1" s="1"/>
  <c r="CA1359" i="1"/>
  <c r="DA1359" i="1"/>
  <c r="DA1358" i="1"/>
  <c r="DA1360" i="1"/>
  <c r="CS1360" i="1"/>
  <c r="CX1360" i="1" s="1"/>
  <c r="CS1358" i="1"/>
  <c r="CX1358" i="1" s="1"/>
  <c r="CS1362" i="1"/>
  <c r="CX1362" i="1" s="1"/>
  <c r="DA1003" i="1"/>
  <c r="DA862" i="1"/>
  <c r="DA1335" i="1"/>
  <c r="DA1334" i="1"/>
  <c r="DA861" i="1"/>
  <c r="DA1004" i="1"/>
  <c r="CW1363" i="1"/>
  <c r="CV1363" i="1"/>
  <c r="CU1363" i="1"/>
  <c r="DA1570" i="1"/>
  <c r="DA1336" i="1"/>
  <c r="BP1363" i="1"/>
  <c r="BQ1363" i="1" s="1"/>
  <c r="CA1363" i="1" s="1"/>
  <c r="DA1362" i="1"/>
  <c r="CY1361" i="1" l="1"/>
  <c r="FA1361" i="1" s="1"/>
  <c r="CY1358" i="1"/>
  <c r="FA1358" i="1" s="1"/>
  <c r="CY1360" i="1"/>
  <c r="FA1360" i="1" s="1"/>
  <c r="CY1362" i="1"/>
  <c r="FA1362" i="1" s="1"/>
  <c r="CY1570" i="1"/>
  <c r="FA1570" i="1" s="1"/>
  <c r="CT1360" i="1"/>
  <c r="CZ1360" i="1" s="1"/>
  <c r="CT1358" i="1"/>
  <c r="CZ1358" i="1" s="1"/>
  <c r="CT1362" i="1"/>
  <c r="CZ1362" i="1" s="1"/>
  <c r="CT1570" i="1"/>
  <c r="CZ1570" i="1" s="1"/>
  <c r="CT1361" i="1"/>
  <c r="CZ1361" i="1" s="1"/>
  <c r="DA1363" i="1"/>
  <c r="CS1363" i="1"/>
  <c r="CX1363" i="1" s="1"/>
  <c r="CY1363" i="1" l="1"/>
  <c r="FA1363" i="1" s="1"/>
  <c r="CT1363" i="1"/>
  <c r="CZ1363" i="1" s="1"/>
  <c r="ER899" i="1"/>
  <c r="DZ899" i="1"/>
  <c r="DY899" i="1"/>
  <c r="DS899" i="1"/>
  <c r="DR899" i="1"/>
  <c r="DQ899" i="1"/>
  <c r="DP899" i="1"/>
  <c r="DN899" i="1"/>
  <c r="DO899" i="1" s="1"/>
  <c r="DG899" i="1"/>
  <c r="DH899" i="1" s="1"/>
  <c r="DC899" i="1"/>
  <c r="CP899" i="1"/>
  <c r="CQ899" i="1" s="1"/>
  <c r="BX899" i="1"/>
  <c r="BZ899" i="1" s="1"/>
  <c r="BW899" i="1"/>
  <c r="BP899" i="1"/>
  <c r="BQ899" i="1" s="1"/>
  <c r="BO899" i="1"/>
  <c r="BF899" i="1"/>
  <c r="BE899" i="1"/>
  <c r="BD899" i="1"/>
  <c r="BC899" i="1"/>
  <c r="BB899" i="1"/>
  <c r="BA899" i="1"/>
  <c r="BG899" i="1" s="1" a="1"/>
  <c r="BG899" i="1" s="1"/>
  <c r="AZ899" i="1"/>
  <c r="M899" i="1"/>
  <c r="ER900" i="1"/>
  <c r="DZ900" i="1"/>
  <c r="DY900" i="1"/>
  <c r="DS900" i="1"/>
  <c r="DR900" i="1"/>
  <c r="DQ900" i="1"/>
  <c r="DP900" i="1"/>
  <c r="DN900" i="1"/>
  <c r="DO900" i="1" s="1"/>
  <c r="DG900" i="1"/>
  <c r="DH900" i="1" s="1"/>
  <c r="DC900" i="1"/>
  <c r="BX900" i="1"/>
  <c r="BZ900" i="1" s="1"/>
  <c r="BW900" i="1"/>
  <c r="BM900" i="1"/>
  <c r="BP900" i="1" s="1"/>
  <c r="BQ900" i="1" s="1"/>
  <c r="BF900" i="1"/>
  <c r="BE900" i="1"/>
  <c r="BD900" i="1"/>
  <c r="BC900" i="1"/>
  <c r="BB900" i="1"/>
  <c r="BA900" i="1"/>
  <c r="BG900" i="1" s="1" a="1"/>
  <c r="BG900" i="1" s="1"/>
  <c r="AZ900" i="1"/>
  <c r="M900" i="1"/>
  <c r="ER1195" i="1"/>
  <c r="DZ1195" i="1"/>
  <c r="DY1195" i="1"/>
  <c r="DS1195" i="1"/>
  <c r="DR1195" i="1"/>
  <c r="DQ1195" i="1"/>
  <c r="DP1195" i="1"/>
  <c r="DN1195" i="1"/>
  <c r="DO1195" i="1" s="1"/>
  <c r="DG1195" i="1"/>
  <c r="DH1195" i="1" s="1"/>
  <c r="DC1195" i="1"/>
  <c r="CP1195" i="1"/>
  <c r="BX1195" i="1"/>
  <c r="BZ1195" i="1" s="1"/>
  <c r="BW1195" i="1"/>
  <c r="BP1195" i="1"/>
  <c r="BQ1195" i="1" s="1"/>
  <c r="BO1195" i="1"/>
  <c r="BF1195" i="1"/>
  <c r="BE1195" i="1"/>
  <c r="BD1195" i="1"/>
  <c r="BC1195" i="1"/>
  <c r="BB1195" i="1"/>
  <c r="BA1195" i="1"/>
  <c r="BG1195" i="1" s="1" a="1"/>
  <c r="BG1195" i="1" s="1"/>
  <c r="AZ1195" i="1"/>
  <c r="M1195" i="1"/>
  <c r="ER1196" i="1"/>
  <c r="DZ1196" i="1"/>
  <c r="DY1196" i="1"/>
  <c r="DS1196" i="1"/>
  <c r="DR1196" i="1"/>
  <c r="DQ1196" i="1"/>
  <c r="DP1196" i="1"/>
  <c r="DN1196" i="1"/>
  <c r="DO1196" i="1" s="1"/>
  <c r="DG1196" i="1"/>
  <c r="DH1196" i="1" s="1"/>
  <c r="DC1196" i="1"/>
  <c r="CP1196" i="1"/>
  <c r="CQ1196" i="1" s="1"/>
  <c r="BX1196" i="1"/>
  <c r="BZ1196" i="1" s="1"/>
  <c r="BW1196" i="1"/>
  <c r="BP1196" i="1"/>
  <c r="BQ1196" i="1" s="1"/>
  <c r="BO1196" i="1"/>
  <c r="BF1196" i="1"/>
  <c r="BE1196" i="1"/>
  <c r="BD1196" i="1"/>
  <c r="BC1196" i="1"/>
  <c r="BB1196" i="1"/>
  <c r="BA1196" i="1"/>
  <c r="BG1196" i="1" s="1" a="1"/>
  <c r="BG1196" i="1" s="1"/>
  <c r="AZ1196" i="1"/>
  <c r="M1196" i="1"/>
  <c r="ER1197" i="1"/>
  <c r="DZ1197" i="1"/>
  <c r="DY1197" i="1"/>
  <c r="DS1197" i="1"/>
  <c r="DR1197" i="1"/>
  <c r="DQ1197" i="1"/>
  <c r="DP1197" i="1"/>
  <c r="DN1197" i="1"/>
  <c r="DO1197" i="1" s="1"/>
  <c r="DG1197" i="1"/>
  <c r="DH1197" i="1" s="1"/>
  <c r="DC1197" i="1"/>
  <c r="CP1197" i="1"/>
  <c r="BX1197" i="1"/>
  <c r="BZ1197" i="1" s="1"/>
  <c r="BW1197" i="1"/>
  <c r="BP1197" i="1"/>
  <c r="BQ1197" i="1" s="1"/>
  <c r="BO1197" i="1"/>
  <c r="BF1197" i="1"/>
  <c r="BE1197" i="1"/>
  <c r="BD1197" i="1"/>
  <c r="BC1197" i="1"/>
  <c r="BB1197" i="1"/>
  <c r="BA1197" i="1"/>
  <c r="BG1197" i="1" s="1" a="1"/>
  <c r="BG1197" i="1" s="1"/>
  <c r="AZ1197" i="1"/>
  <c r="M1197" i="1"/>
  <c r="ER1198" i="1"/>
  <c r="DZ1198" i="1"/>
  <c r="DY1198" i="1"/>
  <c r="DS1198" i="1"/>
  <c r="DR1198" i="1"/>
  <c r="DQ1198" i="1"/>
  <c r="DP1198" i="1"/>
  <c r="DN1198" i="1"/>
  <c r="DO1198" i="1" s="1"/>
  <c r="DG1198" i="1"/>
  <c r="DH1198" i="1" s="1"/>
  <c r="DC1198" i="1"/>
  <c r="CP1198" i="1"/>
  <c r="BX1198" i="1"/>
  <c r="BZ1198" i="1" s="1"/>
  <c r="BW1198" i="1"/>
  <c r="BP1198" i="1"/>
  <c r="BQ1198" i="1" s="1"/>
  <c r="BO1198" i="1"/>
  <c r="BF1198" i="1"/>
  <c r="BE1198" i="1"/>
  <c r="BD1198" i="1"/>
  <c r="BC1198" i="1"/>
  <c r="BB1198" i="1"/>
  <c r="BA1198" i="1"/>
  <c r="BG1198" i="1" s="1" a="1"/>
  <c r="BG1198" i="1" s="1"/>
  <c r="AZ1198" i="1"/>
  <c r="M1198" i="1"/>
  <c r="ER1192" i="1"/>
  <c r="DZ1192" i="1"/>
  <c r="DY1192" i="1"/>
  <c r="DS1192" i="1"/>
  <c r="DR1192" i="1"/>
  <c r="DQ1192" i="1"/>
  <c r="DP1192" i="1"/>
  <c r="DN1192" i="1"/>
  <c r="DO1192" i="1" s="1"/>
  <c r="DG1192" i="1"/>
  <c r="DH1192" i="1" s="1"/>
  <c r="DC1192" i="1"/>
  <c r="CP1192" i="1"/>
  <c r="CR1192" i="1" s="1"/>
  <c r="BX1192" i="1"/>
  <c r="BZ1192" i="1" s="1"/>
  <c r="BW1192" i="1"/>
  <c r="BP1192" i="1"/>
  <c r="BQ1192" i="1" s="1"/>
  <c r="BO1192" i="1"/>
  <c r="BF1192" i="1"/>
  <c r="BE1192" i="1"/>
  <c r="BD1192" i="1"/>
  <c r="BC1192" i="1"/>
  <c r="BB1192" i="1"/>
  <c r="BA1192" i="1"/>
  <c r="BG1192" i="1" s="1" a="1"/>
  <c r="BG1192" i="1" s="1"/>
  <c r="AZ1192" i="1"/>
  <c r="M1192" i="1"/>
  <c r="ER1193" i="1"/>
  <c r="DZ1193" i="1"/>
  <c r="DY1193" i="1"/>
  <c r="DS1193" i="1"/>
  <c r="DR1193" i="1"/>
  <c r="DQ1193" i="1"/>
  <c r="DP1193" i="1"/>
  <c r="DN1193" i="1"/>
  <c r="DO1193" i="1" s="1"/>
  <c r="DG1193" i="1"/>
  <c r="DH1193" i="1" s="1"/>
  <c r="DC1193" i="1"/>
  <c r="CP1193" i="1"/>
  <c r="CQ1193" i="1" s="1"/>
  <c r="BX1193" i="1"/>
  <c r="BZ1193" i="1" s="1"/>
  <c r="BW1193" i="1"/>
  <c r="BP1193" i="1"/>
  <c r="BQ1193" i="1" s="1"/>
  <c r="BO1193" i="1"/>
  <c r="BF1193" i="1"/>
  <c r="BE1193" i="1"/>
  <c r="BD1193" i="1"/>
  <c r="BC1193" i="1"/>
  <c r="BB1193" i="1"/>
  <c r="BA1193" i="1"/>
  <c r="BG1193" i="1" s="1" a="1"/>
  <c r="BG1193" i="1" s="1"/>
  <c r="AZ1193" i="1"/>
  <c r="M1193" i="1"/>
  <c r="ER1194" i="1"/>
  <c r="DZ1194" i="1"/>
  <c r="DY1194" i="1"/>
  <c r="DS1194" i="1"/>
  <c r="DR1194" i="1"/>
  <c r="DQ1194" i="1"/>
  <c r="DP1194" i="1"/>
  <c r="DN1194" i="1"/>
  <c r="DO1194" i="1" s="1"/>
  <c r="DG1194" i="1"/>
  <c r="DH1194" i="1" s="1"/>
  <c r="DC1194" i="1"/>
  <c r="CP1194" i="1"/>
  <c r="CV1194" i="1" s="1"/>
  <c r="BX1194" i="1"/>
  <c r="BZ1194" i="1" s="1"/>
  <c r="BW1194" i="1"/>
  <c r="BP1194" i="1"/>
  <c r="BQ1194" i="1" s="1"/>
  <c r="BO1194" i="1"/>
  <c r="BF1194" i="1"/>
  <c r="BE1194" i="1"/>
  <c r="BD1194" i="1"/>
  <c r="BC1194" i="1"/>
  <c r="BB1194" i="1"/>
  <c r="BA1194" i="1"/>
  <c r="BG1194" i="1" s="1" a="1"/>
  <c r="BG1194" i="1" s="1"/>
  <c r="AZ1194" i="1"/>
  <c r="M1194" i="1"/>
  <c r="ER1191" i="1"/>
  <c r="DZ1191" i="1"/>
  <c r="DY1191" i="1"/>
  <c r="DS1191" i="1"/>
  <c r="DR1191" i="1"/>
  <c r="DQ1191" i="1"/>
  <c r="DP1191" i="1"/>
  <c r="DN1191" i="1"/>
  <c r="DO1191" i="1" s="1"/>
  <c r="DG1191" i="1"/>
  <c r="DH1191" i="1" s="1"/>
  <c r="DC1191" i="1"/>
  <c r="CP1191" i="1"/>
  <c r="CQ1191" i="1" s="1"/>
  <c r="BX1191" i="1"/>
  <c r="BZ1191" i="1" s="1"/>
  <c r="BW1191" i="1"/>
  <c r="BP1191" i="1"/>
  <c r="BQ1191" i="1" s="1"/>
  <c r="BO1191" i="1"/>
  <c r="BF1191" i="1"/>
  <c r="BE1191" i="1"/>
  <c r="BD1191" i="1"/>
  <c r="BC1191" i="1"/>
  <c r="BB1191" i="1"/>
  <c r="BA1191" i="1"/>
  <c r="BG1191" i="1" s="1" a="1"/>
  <c r="BG1191" i="1" s="1"/>
  <c r="AZ1191" i="1"/>
  <c r="M1191" i="1"/>
  <c r="ER1190" i="1"/>
  <c r="DZ1190" i="1"/>
  <c r="DY1190" i="1"/>
  <c r="DS1190" i="1"/>
  <c r="DR1190" i="1"/>
  <c r="DQ1190" i="1"/>
  <c r="DP1190" i="1"/>
  <c r="DN1190" i="1"/>
  <c r="DO1190" i="1" s="1"/>
  <c r="DG1190" i="1"/>
  <c r="DH1190" i="1" s="1"/>
  <c r="DC1190" i="1"/>
  <c r="CP1190" i="1"/>
  <c r="CQ1190" i="1" s="1"/>
  <c r="BX1190" i="1"/>
  <c r="BZ1190" i="1" s="1"/>
  <c r="BW1190" i="1"/>
  <c r="BP1190" i="1"/>
  <c r="BQ1190" i="1" s="1"/>
  <c r="BO1190" i="1"/>
  <c r="BF1190" i="1"/>
  <c r="BE1190" i="1"/>
  <c r="BD1190" i="1"/>
  <c r="BC1190" i="1"/>
  <c r="BB1190" i="1"/>
  <c r="BA1190" i="1"/>
  <c r="BG1190" i="1" s="1" a="1"/>
  <c r="BG1190" i="1" s="1"/>
  <c r="AZ1190" i="1"/>
  <c r="M1190" i="1"/>
  <c r="ER1188" i="1"/>
  <c r="DZ1188" i="1"/>
  <c r="DY1188" i="1"/>
  <c r="DS1188" i="1"/>
  <c r="DR1188" i="1"/>
  <c r="DQ1188" i="1"/>
  <c r="DP1188" i="1"/>
  <c r="DN1188" i="1"/>
  <c r="DO1188" i="1" s="1"/>
  <c r="DG1188" i="1"/>
  <c r="DH1188" i="1" s="1"/>
  <c r="DC1188" i="1"/>
  <c r="CP1188" i="1"/>
  <c r="CQ1188" i="1" s="1"/>
  <c r="BX1188" i="1"/>
  <c r="BZ1188" i="1" s="1"/>
  <c r="BW1188" i="1"/>
  <c r="BP1188" i="1"/>
  <c r="BQ1188" i="1" s="1"/>
  <c r="BO1188" i="1"/>
  <c r="BF1188" i="1"/>
  <c r="BE1188" i="1"/>
  <c r="BD1188" i="1"/>
  <c r="BC1188" i="1"/>
  <c r="BB1188" i="1"/>
  <c r="BA1188" i="1"/>
  <c r="BG1188" i="1" s="1" a="1"/>
  <c r="BG1188" i="1" s="1"/>
  <c r="AZ1188" i="1"/>
  <c r="M1188" i="1"/>
  <c r="ER1189" i="1"/>
  <c r="DZ1189" i="1"/>
  <c r="DY1189" i="1"/>
  <c r="DS1189" i="1"/>
  <c r="DR1189" i="1"/>
  <c r="DQ1189" i="1"/>
  <c r="DP1189" i="1"/>
  <c r="DN1189" i="1"/>
  <c r="DO1189" i="1" s="1"/>
  <c r="DG1189" i="1"/>
  <c r="DH1189" i="1" s="1"/>
  <c r="DC1189" i="1"/>
  <c r="CP1189" i="1"/>
  <c r="CV1189" i="1" s="1"/>
  <c r="BX1189" i="1"/>
  <c r="BZ1189" i="1" s="1"/>
  <c r="BW1189" i="1"/>
  <c r="BP1189" i="1"/>
  <c r="BQ1189" i="1" s="1"/>
  <c r="BO1189" i="1"/>
  <c r="BF1189" i="1"/>
  <c r="BE1189" i="1"/>
  <c r="BD1189" i="1"/>
  <c r="BC1189" i="1"/>
  <c r="BB1189" i="1"/>
  <c r="BA1189" i="1"/>
  <c r="BG1189" i="1" s="1" a="1"/>
  <c r="BG1189" i="1" s="1"/>
  <c r="AZ1189" i="1"/>
  <c r="M1189" i="1"/>
  <c r="ER1187" i="1"/>
  <c r="DZ1187" i="1"/>
  <c r="DY1187" i="1"/>
  <c r="DS1187" i="1"/>
  <c r="DR1187" i="1"/>
  <c r="DQ1187" i="1"/>
  <c r="DP1187" i="1"/>
  <c r="DN1187" i="1"/>
  <c r="DO1187" i="1" s="1"/>
  <c r="DG1187" i="1"/>
  <c r="DH1187" i="1" s="1"/>
  <c r="DC1187" i="1"/>
  <c r="CP1187" i="1"/>
  <c r="CQ1187" i="1" s="1"/>
  <c r="BX1187" i="1"/>
  <c r="BZ1187" i="1" s="1"/>
  <c r="BW1187" i="1"/>
  <c r="BP1187" i="1"/>
  <c r="BQ1187" i="1" s="1"/>
  <c r="BO1187" i="1"/>
  <c r="BF1187" i="1"/>
  <c r="BE1187" i="1"/>
  <c r="BD1187" i="1"/>
  <c r="BC1187" i="1"/>
  <c r="BB1187" i="1"/>
  <c r="BA1187" i="1"/>
  <c r="BG1187" i="1" s="1" a="1"/>
  <c r="BG1187" i="1" s="1"/>
  <c r="AZ1187" i="1"/>
  <c r="M1187" i="1"/>
  <c r="ER1186" i="1"/>
  <c r="DZ1186" i="1"/>
  <c r="DY1186" i="1"/>
  <c r="DS1186" i="1"/>
  <c r="DR1186" i="1"/>
  <c r="DQ1186" i="1"/>
  <c r="DP1186" i="1"/>
  <c r="DN1186" i="1"/>
  <c r="DO1186" i="1" s="1"/>
  <c r="DG1186" i="1"/>
  <c r="DH1186" i="1" s="1"/>
  <c r="DC1186" i="1"/>
  <c r="CP1186" i="1"/>
  <c r="CR1186" i="1" s="1"/>
  <c r="BX1186" i="1"/>
  <c r="BZ1186" i="1" s="1"/>
  <c r="BW1186" i="1"/>
  <c r="BP1186" i="1"/>
  <c r="BQ1186" i="1" s="1"/>
  <c r="BO1186" i="1"/>
  <c r="BF1186" i="1"/>
  <c r="BE1186" i="1"/>
  <c r="BD1186" i="1"/>
  <c r="BC1186" i="1"/>
  <c r="BB1186" i="1"/>
  <c r="BA1186" i="1"/>
  <c r="BG1186" i="1" s="1" a="1"/>
  <c r="BG1186" i="1" s="1"/>
  <c r="AZ1186" i="1"/>
  <c r="M1186" i="1"/>
  <c r="ER1493" i="1"/>
  <c r="DZ1493" i="1"/>
  <c r="DY1493" i="1"/>
  <c r="DS1493" i="1"/>
  <c r="DR1493" i="1"/>
  <c r="DQ1493" i="1"/>
  <c r="DP1493" i="1"/>
  <c r="DN1493" i="1"/>
  <c r="DO1493" i="1" s="1"/>
  <c r="DG1493" i="1"/>
  <c r="DH1493" i="1" s="1"/>
  <c r="DC1493" i="1"/>
  <c r="CP1493" i="1"/>
  <c r="CQ1493" i="1" s="1"/>
  <c r="BX1493" i="1"/>
  <c r="BZ1493" i="1" s="1"/>
  <c r="BW1493" i="1"/>
  <c r="BP1493" i="1"/>
  <c r="BQ1493" i="1" s="1"/>
  <c r="BO1493" i="1"/>
  <c r="BF1493" i="1"/>
  <c r="BE1493" i="1"/>
  <c r="BD1493" i="1"/>
  <c r="BC1493" i="1"/>
  <c r="BB1493" i="1"/>
  <c r="BA1493" i="1"/>
  <c r="AZ1493" i="1"/>
  <c r="M1493" i="1"/>
  <c r="ER1492" i="1"/>
  <c r="DZ1492" i="1"/>
  <c r="DY1492" i="1"/>
  <c r="DS1492" i="1"/>
  <c r="DR1492" i="1"/>
  <c r="DQ1492" i="1"/>
  <c r="DP1492" i="1"/>
  <c r="DN1492" i="1"/>
  <c r="DO1492" i="1" s="1"/>
  <c r="DG1492" i="1"/>
  <c r="DH1492" i="1" s="1"/>
  <c r="DC1492" i="1"/>
  <c r="CP1492" i="1"/>
  <c r="CQ1492" i="1" s="1"/>
  <c r="BX1492" i="1"/>
  <c r="BZ1492" i="1" s="1"/>
  <c r="BW1492" i="1"/>
  <c r="BP1492" i="1"/>
  <c r="BQ1492" i="1" s="1"/>
  <c r="BO1492" i="1"/>
  <c r="BF1492" i="1"/>
  <c r="BE1492" i="1"/>
  <c r="BD1492" i="1"/>
  <c r="BC1492" i="1"/>
  <c r="BB1492" i="1"/>
  <c r="BA1492" i="1"/>
  <c r="BG1492" i="1" s="1" a="1"/>
  <c r="BG1492" i="1" s="1"/>
  <c r="AZ1492" i="1"/>
  <c r="M1492" i="1"/>
  <c r="ER1491" i="1"/>
  <c r="DZ1491" i="1"/>
  <c r="DY1491" i="1"/>
  <c r="DS1491" i="1"/>
  <c r="DR1491" i="1"/>
  <c r="DQ1491" i="1"/>
  <c r="DP1491" i="1"/>
  <c r="DN1491" i="1"/>
  <c r="DO1491" i="1" s="1"/>
  <c r="DG1491" i="1"/>
  <c r="DH1491" i="1" s="1"/>
  <c r="DC1491" i="1"/>
  <c r="CP1491" i="1"/>
  <c r="CV1491" i="1" s="1"/>
  <c r="BX1491" i="1"/>
  <c r="BZ1491" i="1" s="1"/>
  <c r="BW1491" i="1"/>
  <c r="BP1491" i="1"/>
  <c r="BQ1491" i="1" s="1"/>
  <c r="BO1491" i="1"/>
  <c r="BF1491" i="1"/>
  <c r="BE1491" i="1"/>
  <c r="BD1491" i="1"/>
  <c r="BC1491" i="1"/>
  <c r="BB1491" i="1"/>
  <c r="BA1491" i="1"/>
  <c r="AZ1491" i="1"/>
  <c r="M1491" i="1"/>
  <c r="ER1490" i="1"/>
  <c r="DZ1490" i="1"/>
  <c r="DY1490" i="1"/>
  <c r="DS1490" i="1"/>
  <c r="DR1490" i="1"/>
  <c r="DQ1490" i="1"/>
  <c r="DP1490" i="1"/>
  <c r="DN1490" i="1"/>
  <c r="DO1490" i="1" s="1"/>
  <c r="DG1490" i="1"/>
  <c r="DH1490" i="1" s="1"/>
  <c r="DC1490" i="1"/>
  <c r="CP1490" i="1"/>
  <c r="CU1490" i="1" s="1"/>
  <c r="BX1490" i="1"/>
  <c r="BZ1490" i="1" s="1"/>
  <c r="BW1490" i="1"/>
  <c r="BP1490" i="1"/>
  <c r="BQ1490" i="1" s="1"/>
  <c r="BO1490" i="1"/>
  <c r="BF1490" i="1"/>
  <c r="BE1490" i="1"/>
  <c r="BD1490" i="1"/>
  <c r="BC1490" i="1"/>
  <c r="BB1490" i="1"/>
  <c r="BA1490" i="1"/>
  <c r="BG1490" i="1" s="1" a="1"/>
  <c r="BG1490" i="1" s="1"/>
  <c r="AZ1490" i="1"/>
  <c r="M1490" i="1"/>
  <c r="ER1489" i="1"/>
  <c r="DZ1489" i="1"/>
  <c r="DY1489" i="1"/>
  <c r="DS1489" i="1"/>
  <c r="DR1489" i="1"/>
  <c r="DQ1489" i="1"/>
  <c r="DP1489" i="1"/>
  <c r="DN1489" i="1"/>
  <c r="DO1489" i="1" s="1"/>
  <c r="DG1489" i="1"/>
  <c r="DH1489" i="1" s="1"/>
  <c r="DC1489" i="1"/>
  <c r="CP1489" i="1"/>
  <c r="CQ1489" i="1" s="1"/>
  <c r="BX1489" i="1"/>
  <c r="BZ1489" i="1" s="1"/>
  <c r="BW1489" i="1"/>
  <c r="BP1489" i="1"/>
  <c r="BQ1489" i="1" s="1"/>
  <c r="BO1489" i="1"/>
  <c r="BF1489" i="1"/>
  <c r="BE1489" i="1"/>
  <c r="BD1489" i="1"/>
  <c r="BC1489" i="1"/>
  <c r="BB1489" i="1"/>
  <c r="BA1489" i="1"/>
  <c r="AZ1489" i="1"/>
  <c r="M1489" i="1"/>
  <c r="ER1488" i="1"/>
  <c r="DZ1488" i="1"/>
  <c r="DY1488" i="1"/>
  <c r="DS1488" i="1"/>
  <c r="DR1488" i="1"/>
  <c r="DQ1488" i="1"/>
  <c r="DP1488" i="1"/>
  <c r="DN1488" i="1"/>
  <c r="DO1488" i="1" s="1"/>
  <c r="DG1488" i="1"/>
  <c r="DH1488" i="1" s="1"/>
  <c r="DC1488" i="1"/>
  <c r="CP1488" i="1"/>
  <c r="BX1488" i="1"/>
  <c r="BZ1488" i="1" s="1"/>
  <c r="BW1488" i="1"/>
  <c r="BP1488" i="1"/>
  <c r="BQ1488" i="1" s="1"/>
  <c r="BO1488" i="1"/>
  <c r="BF1488" i="1"/>
  <c r="BE1488" i="1"/>
  <c r="BD1488" i="1"/>
  <c r="BC1488" i="1"/>
  <c r="BB1488" i="1"/>
  <c r="BA1488" i="1"/>
  <c r="BG1488" i="1" s="1" a="1"/>
  <c r="BG1488" i="1" s="1"/>
  <c r="AZ1488" i="1"/>
  <c r="M1488" i="1"/>
  <c r="ER1487" i="1"/>
  <c r="DZ1487" i="1"/>
  <c r="DY1487" i="1"/>
  <c r="DS1487" i="1"/>
  <c r="DR1487" i="1"/>
  <c r="DQ1487" i="1"/>
  <c r="DP1487" i="1"/>
  <c r="DN1487" i="1"/>
  <c r="DO1487" i="1" s="1"/>
  <c r="DG1487" i="1"/>
  <c r="DH1487" i="1" s="1"/>
  <c r="DC1487" i="1"/>
  <c r="CP1487" i="1"/>
  <c r="BZ1487" i="1"/>
  <c r="BQ1487" i="1"/>
  <c r="BF1487" i="1"/>
  <c r="BE1487" i="1"/>
  <c r="BD1487" i="1"/>
  <c r="BC1487" i="1"/>
  <c r="BB1487" i="1"/>
  <c r="BA1487" i="1"/>
  <c r="AZ1487" i="1"/>
  <c r="M1487" i="1"/>
  <c r="ER1486" i="1"/>
  <c r="DZ1486" i="1"/>
  <c r="DY1486" i="1"/>
  <c r="DS1486" i="1"/>
  <c r="DR1486" i="1"/>
  <c r="DQ1486" i="1"/>
  <c r="DP1486" i="1"/>
  <c r="DN1486" i="1"/>
  <c r="DO1486" i="1" s="1"/>
  <c r="DG1486" i="1"/>
  <c r="DH1486" i="1" s="1"/>
  <c r="DC1486" i="1"/>
  <c r="CP1486" i="1"/>
  <c r="BZ1486" i="1"/>
  <c r="BQ1486" i="1"/>
  <c r="BF1486" i="1"/>
  <c r="BE1486" i="1"/>
  <c r="BD1486" i="1"/>
  <c r="BC1486" i="1"/>
  <c r="BB1486" i="1"/>
  <c r="BA1486" i="1"/>
  <c r="AZ1486" i="1"/>
  <c r="M1486" i="1"/>
  <c r="ER1379" i="1"/>
  <c r="DZ1379" i="1"/>
  <c r="DY1379" i="1"/>
  <c r="DS1379" i="1"/>
  <c r="DR1379" i="1"/>
  <c r="DQ1379" i="1"/>
  <c r="DP1379" i="1"/>
  <c r="DN1379" i="1"/>
  <c r="DO1379" i="1" s="1"/>
  <c r="DH1379" i="1"/>
  <c r="DC1379" i="1"/>
  <c r="BZ1379" i="1"/>
  <c r="BN1379" i="1"/>
  <c r="BO1379" i="1" s="1"/>
  <c r="BF1379" i="1"/>
  <c r="BE1379" i="1"/>
  <c r="BD1379" i="1"/>
  <c r="BC1379" i="1"/>
  <c r="BB1379" i="1"/>
  <c r="BA1379" i="1"/>
  <c r="BG1379" i="1" s="1" a="1"/>
  <c r="BG1379" i="1" s="1"/>
  <c r="AZ1379" i="1"/>
  <c r="M1379" i="1"/>
  <c r="ER1380" i="1"/>
  <c r="DZ1380" i="1"/>
  <c r="DY1380" i="1"/>
  <c r="DS1380" i="1"/>
  <c r="DR1380" i="1"/>
  <c r="DQ1380" i="1"/>
  <c r="DP1380" i="1"/>
  <c r="DN1380" i="1"/>
  <c r="DO1380" i="1" s="1"/>
  <c r="DH1380" i="1"/>
  <c r="DC1380" i="1"/>
  <c r="BZ1380" i="1"/>
  <c r="BN1380" i="1"/>
  <c r="CP1380" i="1" s="1"/>
  <c r="BF1380" i="1"/>
  <c r="BE1380" i="1"/>
  <c r="BD1380" i="1"/>
  <c r="BC1380" i="1"/>
  <c r="BB1380" i="1"/>
  <c r="BA1380" i="1"/>
  <c r="BG1380" i="1" s="1" a="1"/>
  <c r="BG1380" i="1" s="1"/>
  <c r="AZ1380" i="1"/>
  <c r="M1380" i="1"/>
  <c r="ER1381" i="1"/>
  <c r="DZ1381" i="1"/>
  <c r="DY1381" i="1"/>
  <c r="DS1381" i="1"/>
  <c r="DR1381" i="1"/>
  <c r="DQ1381" i="1"/>
  <c r="DP1381" i="1"/>
  <c r="DN1381" i="1"/>
  <c r="DO1381" i="1" s="1"/>
  <c r="DH1381" i="1"/>
  <c r="DC1381" i="1"/>
  <c r="CP1381" i="1"/>
  <c r="BZ1381" i="1"/>
  <c r="BP1381" i="1"/>
  <c r="BQ1381" i="1" s="1"/>
  <c r="BO1381" i="1"/>
  <c r="BF1381" i="1"/>
  <c r="BE1381" i="1"/>
  <c r="BD1381" i="1"/>
  <c r="BC1381" i="1"/>
  <c r="BB1381" i="1"/>
  <c r="BA1381" i="1"/>
  <c r="BG1381" i="1" s="1" a="1"/>
  <c r="BG1381" i="1" s="1"/>
  <c r="AZ1381" i="1"/>
  <c r="M1381" i="1"/>
  <c r="ER1385" i="1"/>
  <c r="DZ1385" i="1"/>
  <c r="DY1385" i="1"/>
  <c r="DS1385" i="1"/>
  <c r="DR1385" i="1"/>
  <c r="DQ1385" i="1"/>
  <c r="DP1385" i="1"/>
  <c r="DN1385" i="1"/>
  <c r="DO1385" i="1" s="1"/>
  <c r="DH1385" i="1"/>
  <c r="DC1385" i="1"/>
  <c r="CP1385" i="1"/>
  <c r="CU1385" i="1" s="1"/>
  <c r="BZ1385" i="1"/>
  <c r="BP1385" i="1"/>
  <c r="BQ1385" i="1" s="1"/>
  <c r="BO1385" i="1"/>
  <c r="BF1385" i="1"/>
  <c r="BE1385" i="1"/>
  <c r="BD1385" i="1"/>
  <c r="BC1385" i="1"/>
  <c r="BB1385" i="1"/>
  <c r="BA1385" i="1"/>
  <c r="AZ1385" i="1"/>
  <c r="M1385" i="1"/>
  <c r="ER1384" i="1"/>
  <c r="DZ1384" i="1"/>
  <c r="DY1384" i="1"/>
  <c r="DS1384" i="1"/>
  <c r="DR1384" i="1"/>
  <c r="DQ1384" i="1"/>
  <c r="DP1384" i="1"/>
  <c r="DN1384" i="1"/>
  <c r="DO1384" i="1" s="1"/>
  <c r="DH1384" i="1"/>
  <c r="DC1384" i="1"/>
  <c r="CP1384" i="1"/>
  <c r="BZ1384" i="1"/>
  <c r="BP1384" i="1"/>
  <c r="BQ1384" i="1" s="1"/>
  <c r="BO1384" i="1"/>
  <c r="BF1384" i="1"/>
  <c r="BE1384" i="1"/>
  <c r="BD1384" i="1"/>
  <c r="BC1384" i="1"/>
  <c r="BB1384" i="1"/>
  <c r="BA1384" i="1"/>
  <c r="AZ1384" i="1"/>
  <c r="M1384" i="1"/>
  <c r="ER1382" i="1"/>
  <c r="DZ1382" i="1"/>
  <c r="DY1382" i="1"/>
  <c r="DS1382" i="1"/>
  <c r="DR1382" i="1"/>
  <c r="DQ1382" i="1"/>
  <c r="DP1382" i="1"/>
  <c r="DN1382" i="1"/>
  <c r="DO1382" i="1" s="1"/>
  <c r="DH1382" i="1"/>
  <c r="DC1382" i="1"/>
  <c r="BZ1382" i="1"/>
  <c r="BN1382" i="1"/>
  <c r="BF1382" i="1"/>
  <c r="BE1382" i="1"/>
  <c r="BD1382" i="1"/>
  <c r="BC1382" i="1"/>
  <c r="BB1382" i="1"/>
  <c r="BA1382" i="1"/>
  <c r="AZ1382" i="1"/>
  <c r="M1382" i="1"/>
  <c r="ER1383" i="1"/>
  <c r="DZ1383" i="1"/>
  <c r="DY1383" i="1"/>
  <c r="DS1383" i="1"/>
  <c r="DR1383" i="1"/>
  <c r="DQ1383" i="1"/>
  <c r="DP1383" i="1"/>
  <c r="DN1383" i="1"/>
  <c r="DO1383" i="1" s="1"/>
  <c r="DH1383" i="1"/>
  <c r="DC1383" i="1"/>
  <c r="BZ1383" i="1"/>
  <c r="BN1383" i="1"/>
  <c r="BP1383" i="1" s="1"/>
  <c r="BQ1383" i="1" s="1"/>
  <c r="BF1383" i="1"/>
  <c r="BE1383" i="1"/>
  <c r="BD1383" i="1"/>
  <c r="BC1383" i="1"/>
  <c r="BB1383" i="1"/>
  <c r="BA1383" i="1"/>
  <c r="AZ1383" i="1"/>
  <c r="M1383" i="1"/>
  <c r="ER1378" i="1"/>
  <c r="DZ1378" i="1"/>
  <c r="DY1378" i="1"/>
  <c r="DS1378" i="1"/>
  <c r="DR1378" i="1"/>
  <c r="DQ1378" i="1"/>
  <c r="DP1378" i="1"/>
  <c r="DN1378" i="1"/>
  <c r="DO1378" i="1" s="1"/>
  <c r="DH1378" i="1"/>
  <c r="DC1378" i="1"/>
  <c r="CP1378" i="1"/>
  <c r="CV1378" i="1" s="1"/>
  <c r="BZ1378" i="1"/>
  <c r="BP1378" i="1"/>
  <c r="BQ1378" i="1" s="1"/>
  <c r="BO1378" i="1"/>
  <c r="BF1378" i="1"/>
  <c r="BE1378" i="1"/>
  <c r="BD1378" i="1"/>
  <c r="BC1378" i="1"/>
  <c r="BB1378" i="1"/>
  <c r="BA1378" i="1"/>
  <c r="BG1378" i="1" s="1" a="1"/>
  <c r="BG1378" i="1" s="1"/>
  <c r="AZ1378" i="1"/>
  <c r="M1378" i="1"/>
  <c r="ER1374" i="1"/>
  <c r="DZ1374" i="1"/>
  <c r="DY1374" i="1"/>
  <c r="DS1374" i="1"/>
  <c r="DR1374" i="1"/>
  <c r="DQ1374" i="1"/>
  <c r="DP1374" i="1"/>
  <c r="DN1374" i="1"/>
  <c r="DO1374" i="1" s="1"/>
  <c r="DH1374" i="1"/>
  <c r="DC1374" i="1"/>
  <c r="CP1374" i="1"/>
  <c r="CU1374" i="1" s="1"/>
  <c r="BZ1374" i="1"/>
  <c r="BP1374" i="1"/>
  <c r="BQ1374" i="1" s="1"/>
  <c r="BO1374" i="1"/>
  <c r="BF1374" i="1"/>
  <c r="BE1374" i="1"/>
  <c r="BD1374" i="1"/>
  <c r="BC1374" i="1"/>
  <c r="BB1374" i="1"/>
  <c r="BA1374" i="1"/>
  <c r="BG1374" i="1" s="1" a="1"/>
  <c r="BG1374" i="1" s="1"/>
  <c r="AZ1374" i="1"/>
  <c r="M1374" i="1"/>
  <c r="ER1375" i="1"/>
  <c r="DZ1375" i="1"/>
  <c r="DY1375" i="1"/>
  <c r="DS1375" i="1"/>
  <c r="DR1375" i="1"/>
  <c r="DQ1375" i="1"/>
  <c r="DP1375" i="1"/>
  <c r="DN1375" i="1"/>
  <c r="DO1375" i="1" s="1"/>
  <c r="DH1375" i="1"/>
  <c r="DC1375" i="1"/>
  <c r="CP1375" i="1"/>
  <c r="CV1375" i="1" s="1"/>
  <c r="BZ1375" i="1"/>
  <c r="BP1375" i="1"/>
  <c r="BQ1375" i="1" s="1"/>
  <c r="BO1375" i="1"/>
  <c r="BF1375" i="1"/>
  <c r="BE1375" i="1"/>
  <c r="BD1375" i="1"/>
  <c r="BC1375" i="1"/>
  <c r="BB1375" i="1"/>
  <c r="BA1375" i="1"/>
  <c r="BG1375" i="1" s="1" a="1"/>
  <c r="BG1375" i="1" s="1"/>
  <c r="AZ1375" i="1"/>
  <c r="M1375" i="1"/>
  <c r="ER1376" i="1"/>
  <c r="DZ1376" i="1"/>
  <c r="DY1376" i="1"/>
  <c r="DS1376" i="1"/>
  <c r="DR1376" i="1"/>
  <c r="DQ1376" i="1"/>
  <c r="DP1376" i="1"/>
  <c r="DN1376" i="1"/>
  <c r="DO1376" i="1" s="1"/>
  <c r="DH1376" i="1"/>
  <c r="DC1376" i="1"/>
  <c r="CP1376" i="1"/>
  <c r="BZ1376" i="1"/>
  <c r="BP1376" i="1"/>
  <c r="BQ1376" i="1" s="1"/>
  <c r="BO1376" i="1"/>
  <c r="BF1376" i="1"/>
  <c r="BE1376" i="1"/>
  <c r="BD1376" i="1"/>
  <c r="BC1376" i="1"/>
  <c r="BB1376" i="1"/>
  <c r="BA1376" i="1"/>
  <c r="BG1376" i="1" s="1" a="1"/>
  <c r="BG1376" i="1" s="1"/>
  <c r="AZ1376" i="1"/>
  <c r="M1376" i="1"/>
  <c r="ER1377" i="1"/>
  <c r="DZ1377" i="1"/>
  <c r="DY1377" i="1"/>
  <c r="DS1377" i="1"/>
  <c r="DR1377" i="1"/>
  <c r="DQ1377" i="1"/>
  <c r="DP1377" i="1"/>
  <c r="DN1377" i="1"/>
  <c r="DO1377" i="1" s="1"/>
  <c r="DH1377" i="1"/>
  <c r="DC1377" i="1"/>
  <c r="CP1377" i="1"/>
  <c r="CV1377" i="1" s="1"/>
  <c r="BZ1377" i="1"/>
  <c r="BP1377" i="1"/>
  <c r="BQ1377" i="1" s="1"/>
  <c r="BO1377" i="1"/>
  <c r="BF1377" i="1"/>
  <c r="BE1377" i="1"/>
  <c r="BD1377" i="1"/>
  <c r="BC1377" i="1"/>
  <c r="BB1377" i="1"/>
  <c r="BA1377" i="1"/>
  <c r="BG1377" i="1" s="1" a="1"/>
  <c r="BG1377" i="1" s="1"/>
  <c r="AZ1377" i="1"/>
  <c r="M1377" i="1"/>
  <c r="ER1371" i="1"/>
  <c r="DZ1371" i="1"/>
  <c r="DS1371" i="1"/>
  <c r="DR1371" i="1"/>
  <c r="DQ1371" i="1"/>
  <c r="DP1371" i="1"/>
  <c r="DN1371" i="1"/>
  <c r="DO1371" i="1" s="1"/>
  <c r="DG1371" i="1"/>
  <c r="DH1371" i="1" s="1"/>
  <c r="DC1371" i="1"/>
  <c r="CP1371" i="1"/>
  <c r="CU1371" i="1" s="1"/>
  <c r="BX1371" i="1"/>
  <c r="BZ1371" i="1" s="1"/>
  <c r="BP1371" i="1"/>
  <c r="BQ1371" i="1" s="1"/>
  <c r="BO1371" i="1"/>
  <c r="BF1371" i="1"/>
  <c r="BE1371" i="1"/>
  <c r="BD1371" i="1"/>
  <c r="BC1371" i="1"/>
  <c r="BB1371" i="1"/>
  <c r="BA1371" i="1"/>
  <c r="BG1371" i="1" s="1" a="1"/>
  <c r="BG1371" i="1" s="1"/>
  <c r="AZ1371" i="1"/>
  <c r="M1371" i="1"/>
  <c r="ER1370" i="1"/>
  <c r="DZ1370" i="1"/>
  <c r="DS1370" i="1"/>
  <c r="DR1370" i="1"/>
  <c r="DQ1370" i="1"/>
  <c r="DP1370" i="1"/>
  <c r="DN1370" i="1"/>
  <c r="DO1370" i="1" s="1"/>
  <c r="DG1370" i="1"/>
  <c r="DH1370" i="1" s="1"/>
  <c r="DC1370" i="1"/>
  <c r="CP1370" i="1"/>
  <c r="CV1370" i="1" s="1"/>
  <c r="BX1370" i="1"/>
  <c r="BZ1370" i="1" s="1"/>
  <c r="BP1370" i="1"/>
  <c r="BQ1370" i="1" s="1"/>
  <c r="BO1370" i="1"/>
  <c r="BF1370" i="1"/>
  <c r="BE1370" i="1"/>
  <c r="BD1370" i="1"/>
  <c r="BC1370" i="1"/>
  <c r="BB1370" i="1"/>
  <c r="BA1370" i="1"/>
  <c r="BG1370" i="1" s="1" a="1"/>
  <c r="BG1370" i="1" s="1"/>
  <c r="AZ1370" i="1"/>
  <c r="M1370" i="1"/>
  <c r="ER1369" i="1"/>
  <c r="DZ1369" i="1"/>
  <c r="DS1369" i="1"/>
  <c r="DR1369" i="1"/>
  <c r="DQ1369" i="1"/>
  <c r="DP1369" i="1"/>
  <c r="DN1369" i="1"/>
  <c r="DO1369" i="1" s="1"/>
  <c r="DG1369" i="1"/>
  <c r="DH1369" i="1" s="1"/>
  <c r="DC1369" i="1"/>
  <c r="CP1369" i="1"/>
  <c r="BX1369" i="1"/>
  <c r="BZ1369" i="1" s="1"/>
  <c r="BP1369" i="1"/>
  <c r="BQ1369" i="1" s="1"/>
  <c r="BO1369" i="1"/>
  <c r="BF1369" i="1"/>
  <c r="BE1369" i="1"/>
  <c r="BD1369" i="1"/>
  <c r="BC1369" i="1"/>
  <c r="BB1369" i="1"/>
  <c r="BA1369" i="1"/>
  <c r="BG1369" i="1" s="1" a="1"/>
  <c r="BG1369" i="1" s="1"/>
  <c r="AZ1369" i="1"/>
  <c r="M1369" i="1"/>
  <c r="ER1368" i="1"/>
  <c r="DZ1368" i="1"/>
  <c r="DS1368" i="1"/>
  <c r="DR1368" i="1"/>
  <c r="DQ1368" i="1"/>
  <c r="DP1368" i="1"/>
  <c r="DN1368" i="1"/>
  <c r="DO1368" i="1" s="1"/>
  <c r="DG1368" i="1"/>
  <c r="DH1368" i="1" s="1"/>
  <c r="DC1368" i="1"/>
  <c r="CP1368" i="1"/>
  <c r="CU1368" i="1" s="1"/>
  <c r="BX1368" i="1"/>
  <c r="BZ1368" i="1" s="1"/>
  <c r="BP1368" i="1"/>
  <c r="BQ1368" i="1" s="1"/>
  <c r="BO1368" i="1"/>
  <c r="BF1368" i="1"/>
  <c r="BE1368" i="1"/>
  <c r="BD1368" i="1"/>
  <c r="BC1368" i="1"/>
  <c r="BB1368" i="1"/>
  <c r="BA1368" i="1"/>
  <c r="BG1368" i="1" s="1" a="1"/>
  <c r="BG1368" i="1" s="1"/>
  <c r="AZ1368" i="1"/>
  <c r="M1368" i="1"/>
  <c r="ER1372" i="1"/>
  <c r="DZ1372" i="1"/>
  <c r="DS1372" i="1"/>
  <c r="DR1372" i="1"/>
  <c r="DQ1372" i="1"/>
  <c r="DP1372" i="1"/>
  <c r="DN1372" i="1"/>
  <c r="DO1372" i="1" s="1"/>
  <c r="DG1372" i="1"/>
  <c r="DH1372" i="1" s="1"/>
  <c r="DC1372" i="1"/>
  <c r="CP1372" i="1"/>
  <c r="CV1372" i="1" s="1"/>
  <c r="BX1372" i="1"/>
  <c r="BZ1372" i="1" s="1"/>
  <c r="BP1372" i="1"/>
  <c r="BQ1372" i="1" s="1"/>
  <c r="BO1372" i="1"/>
  <c r="BF1372" i="1"/>
  <c r="BE1372" i="1"/>
  <c r="BD1372" i="1"/>
  <c r="BC1372" i="1"/>
  <c r="BB1372" i="1"/>
  <c r="BA1372" i="1"/>
  <c r="BG1372" i="1" s="1" a="1"/>
  <c r="BG1372" i="1" s="1"/>
  <c r="AZ1372" i="1"/>
  <c r="M1372" i="1"/>
  <c r="ER1373" i="1"/>
  <c r="DZ1373" i="1"/>
  <c r="DS1373" i="1"/>
  <c r="DR1373" i="1"/>
  <c r="DQ1373" i="1"/>
  <c r="DP1373" i="1"/>
  <c r="DN1373" i="1"/>
  <c r="DO1373" i="1" s="1"/>
  <c r="DG1373" i="1"/>
  <c r="DH1373" i="1" s="1"/>
  <c r="DC1373" i="1"/>
  <c r="CP1373" i="1"/>
  <c r="CU1373" i="1" s="1"/>
  <c r="BX1373" i="1"/>
  <c r="BZ1373" i="1" s="1"/>
  <c r="BP1373" i="1"/>
  <c r="BQ1373" i="1" s="1"/>
  <c r="BO1373" i="1"/>
  <c r="BF1373" i="1"/>
  <c r="BE1373" i="1"/>
  <c r="BD1373" i="1"/>
  <c r="BC1373" i="1"/>
  <c r="BB1373" i="1"/>
  <c r="BA1373" i="1"/>
  <c r="BG1373" i="1" s="1" a="1"/>
  <c r="BG1373" i="1" s="1"/>
  <c r="AZ1373" i="1"/>
  <c r="M1373" i="1"/>
  <c r="ER1153" i="1"/>
  <c r="DY1153" i="1"/>
  <c r="DS1153" i="1"/>
  <c r="DR1153" i="1"/>
  <c r="DQ1153" i="1"/>
  <c r="DP1153" i="1"/>
  <c r="DO1153" i="1"/>
  <c r="DH1153" i="1"/>
  <c r="DC1153" i="1"/>
  <c r="CP1153" i="1"/>
  <c r="BZ1153" i="1"/>
  <c r="BV1153" i="1"/>
  <c r="BU1153" i="1"/>
  <c r="BP1153" i="1"/>
  <c r="BQ1153" i="1" s="1"/>
  <c r="BF1153" i="1"/>
  <c r="BE1153" i="1"/>
  <c r="BD1153" i="1"/>
  <c r="BC1153" i="1"/>
  <c r="BB1153" i="1"/>
  <c r="BA1153" i="1"/>
  <c r="BG1153" i="1" s="1" a="1"/>
  <c r="BG1153" i="1" s="1"/>
  <c r="AZ1153" i="1"/>
  <c r="M1153" i="1"/>
  <c r="ER1152" i="1"/>
  <c r="DY1152" i="1"/>
  <c r="DS1152" i="1"/>
  <c r="DR1152" i="1"/>
  <c r="DQ1152" i="1"/>
  <c r="DP1152" i="1"/>
  <c r="DO1152" i="1"/>
  <c r="DH1152" i="1"/>
  <c r="DC1152" i="1"/>
  <c r="CP1152" i="1"/>
  <c r="BZ1152" i="1"/>
  <c r="BV1152" i="1"/>
  <c r="BU1152" i="1"/>
  <c r="BP1152" i="1"/>
  <c r="BQ1152" i="1" s="1"/>
  <c r="BF1152" i="1"/>
  <c r="BE1152" i="1"/>
  <c r="BD1152" i="1"/>
  <c r="BC1152" i="1"/>
  <c r="BB1152" i="1"/>
  <c r="BA1152" i="1"/>
  <c r="BG1152" i="1" s="1" a="1"/>
  <c r="BG1152" i="1" s="1"/>
  <c r="AZ1152" i="1"/>
  <c r="M1152" i="1"/>
  <c r="ER1151" i="1"/>
  <c r="DY1151" i="1"/>
  <c r="DS1151" i="1"/>
  <c r="DR1151" i="1"/>
  <c r="DQ1151" i="1"/>
  <c r="DP1151" i="1"/>
  <c r="DO1151" i="1"/>
  <c r="DH1151" i="1"/>
  <c r="DC1151" i="1"/>
  <c r="CP1151" i="1"/>
  <c r="BZ1151" i="1"/>
  <c r="BV1151" i="1"/>
  <c r="BU1151" i="1"/>
  <c r="BP1151" i="1"/>
  <c r="BQ1151" i="1" s="1"/>
  <c r="BF1151" i="1"/>
  <c r="BE1151" i="1"/>
  <c r="BD1151" i="1"/>
  <c r="BC1151" i="1"/>
  <c r="BB1151" i="1"/>
  <c r="BA1151" i="1"/>
  <c r="BG1151" i="1" s="1" a="1"/>
  <c r="BG1151" i="1" s="1"/>
  <c r="AZ1151" i="1"/>
  <c r="M1151" i="1"/>
  <c r="ER1150" i="1"/>
  <c r="DY1150" i="1"/>
  <c r="DS1150" i="1"/>
  <c r="DR1150" i="1"/>
  <c r="DQ1150" i="1"/>
  <c r="DP1150" i="1"/>
  <c r="DO1150" i="1"/>
  <c r="DH1150" i="1"/>
  <c r="DC1150" i="1"/>
  <c r="CP1150" i="1"/>
  <c r="CQ1150" i="1" s="1"/>
  <c r="BZ1150" i="1"/>
  <c r="BV1150" i="1"/>
  <c r="BU1150" i="1"/>
  <c r="BP1150" i="1"/>
  <c r="BQ1150" i="1" s="1"/>
  <c r="BF1150" i="1"/>
  <c r="BE1150" i="1"/>
  <c r="BD1150" i="1"/>
  <c r="BC1150" i="1"/>
  <c r="BB1150" i="1"/>
  <c r="BA1150" i="1"/>
  <c r="BG1150" i="1" s="1" a="1"/>
  <c r="BG1150" i="1" s="1"/>
  <c r="AZ1150" i="1"/>
  <c r="M1150" i="1"/>
  <c r="ER1463" i="1"/>
  <c r="DZ1463" i="1"/>
  <c r="DY1463" i="1"/>
  <c r="DS1463" i="1"/>
  <c r="DR1463" i="1"/>
  <c r="DQ1463" i="1"/>
  <c r="DP1463" i="1"/>
  <c r="DN1463" i="1"/>
  <c r="DO1463" i="1" s="1"/>
  <c r="DH1463" i="1"/>
  <c r="DC1463" i="1"/>
  <c r="CP1463" i="1"/>
  <c r="CV1463" i="1" s="1"/>
  <c r="BX1463" i="1"/>
  <c r="BZ1463" i="1" s="1"/>
  <c r="BW1463" i="1"/>
  <c r="BP1463" i="1"/>
  <c r="BQ1463" i="1" s="1"/>
  <c r="BF1463" i="1"/>
  <c r="BE1463" i="1"/>
  <c r="BD1463" i="1"/>
  <c r="BC1463" i="1"/>
  <c r="BB1463" i="1"/>
  <c r="BA1463" i="1"/>
  <c r="BG1463" i="1" s="1" a="1"/>
  <c r="BG1463" i="1" s="1"/>
  <c r="AZ1463" i="1"/>
  <c r="M1463" i="1"/>
  <c r="ER1462" i="1"/>
  <c r="DZ1462" i="1"/>
  <c r="DY1462" i="1"/>
  <c r="DS1462" i="1"/>
  <c r="DR1462" i="1"/>
  <c r="DQ1462" i="1"/>
  <c r="DP1462" i="1"/>
  <c r="DN1462" i="1"/>
  <c r="DO1462" i="1" s="1"/>
  <c r="DH1462" i="1"/>
  <c r="DC1462" i="1"/>
  <c r="CP1462" i="1"/>
  <c r="BX1462" i="1"/>
  <c r="BZ1462" i="1" s="1"/>
  <c r="BW1462" i="1"/>
  <c r="BP1462" i="1"/>
  <c r="BQ1462" i="1" s="1"/>
  <c r="BF1462" i="1"/>
  <c r="BE1462" i="1"/>
  <c r="BD1462" i="1"/>
  <c r="BC1462" i="1"/>
  <c r="BB1462" i="1"/>
  <c r="BA1462" i="1"/>
  <c r="BG1462" i="1" s="1" a="1"/>
  <c r="BG1462" i="1" s="1"/>
  <c r="AZ1462" i="1"/>
  <c r="M1462" i="1"/>
  <c r="ER1461" i="1"/>
  <c r="DZ1461" i="1"/>
  <c r="DY1461" i="1"/>
  <c r="DS1461" i="1"/>
  <c r="DR1461" i="1"/>
  <c r="DQ1461" i="1"/>
  <c r="DP1461" i="1"/>
  <c r="DN1461" i="1"/>
  <c r="DO1461" i="1" s="1"/>
  <c r="DH1461" i="1"/>
  <c r="DC1461" i="1"/>
  <c r="CP1461" i="1"/>
  <c r="CV1461" i="1" s="1"/>
  <c r="BX1461" i="1"/>
  <c r="BZ1461" i="1" s="1"/>
  <c r="BW1461" i="1"/>
  <c r="BP1461" i="1"/>
  <c r="BQ1461" i="1" s="1"/>
  <c r="BF1461" i="1"/>
  <c r="BE1461" i="1"/>
  <c r="BD1461" i="1"/>
  <c r="BC1461" i="1"/>
  <c r="BB1461" i="1"/>
  <c r="BA1461" i="1"/>
  <c r="BG1461" i="1" s="1" a="1"/>
  <c r="BG1461" i="1" s="1"/>
  <c r="AZ1461" i="1"/>
  <c r="M1461" i="1"/>
  <c r="ER1460" i="1"/>
  <c r="DZ1460" i="1"/>
  <c r="DY1460" i="1"/>
  <c r="DS1460" i="1"/>
  <c r="DR1460" i="1"/>
  <c r="DQ1460" i="1"/>
  <c r="DP1460" i="1"/>
  <c r="DN1460" i="1"/>
  <c r="DO1460" i="1" s="1"/>
  <c r="DH1460" i="1"/>
  <c r="DC1460" i="1"/>
  <c r="CP1460" i="1"/>
  <c r="CV1460" i="1" s="1"/>
  <c r="BX1460" i="1"/>
  <c r="BZ1460" i="1" s="1"/>
  <c r="BW1460" i="1"/>
  <c r="BP1460" i="1"/>
  <c r="BQ1460" i="1" s="1"/>
  <c r="BF1460" i="1"/>
  <c r="BE1460" i="1"/>
  <c r="BD1460" i="1"/>
  <c r="BC1460" i="1"/>
  <c r="BB1460" i="1"/>
  <c r="BA1460" i="1"/>
  <c r="BG1460" i="1" s="1" a="1"/>
  <c r="BG1460" i="1" s="1"/>
  <c r="AZ1460" i="1"/>
  <c r="M1460" i="1"/>
  <c r="ER1459" i="1"/>
  <c r="DZ1459" i="1"/>
  <c r="DY1459" i="1"/>
  <c r="DS1459" i="1"/>
  <c r="DR1459" i="1"/>
  <c r="DQ1459" i="1"/>
  <c r="DP1459" i="1"/>
  <c r="DN1459" i="1"/>
  <c r="DO1459" i="1" s="1"/>
  <c r="DH1459" i="1"/>
  <c r="DC1459" i="1"/>
  <c r="CP1459" i="1"/>
  <c r="BX1459" i="1"/>
  <c r="BZ1459" i="1" s="1"/>
  <c r="BW1459" i="1"/>
  <c r="BP1459" i="1"/>
  <c r="BQ1459" i="1" s="1"/>
  <c r="BF1459" i="1"/>
  <c r="BE1459" i="1"/>
  <c r="BD1459" i="1"/>
  <c r="BC1459" i="1"/>
  <c r="BB1459" i="1"/>
  <c r="BA1459" i="1"/>
  <c r="BG1459" i="1" s="1" a="1"/>
  <c r="BG1459" i="1" s="1"/>
  <c r="AZ1459" i="1"/>
  <c r="M1459" i="1"/>
  <c r="ER1458" i="1"/>
  <c r="DZ1458" i="1"/>
  <c r="DY1458" i="1"/>
  <c r="DS1458" i="1"/>
  <c r="DR1458" i="1"/>
  <c r="DQ1458" i="1"/>
  <c r="DP1458" i="1"/>
  <c r="DN1458" i="1"/>
  <c r="DO1458" i="1" s="1"/>
  <c r="DH1458" i="1"/>
  <c r="DC1458" i="1"/>
  <c r="CP1458" i="1"/>
  <c r="BX1458" i="1"/>
  <c r="BZ1458" i="1" s="1"/>
  <c r="BW1458" i="1"/>
  <c r="BP1458" i="1"/>
  <c r="BQ1458" i="1" s="1"/>
  <c r="BF1458" i="1"/>
  <c r="BE1458" i="1"/>
  <c r="BD1458" i="1"/>
  <c r="BC1458" i="1"/>
  <c r="BB1458" i="1"/>
  <c r="BA1458" i="1"/>
  <c r="BG1458" i="1" s="1" a="1"/>
  <c r="BG1458" i="1" s="1"/>
  <c r="AZ1458" i="1"/>
  <c r="M1458" i="1"/>
  <c r="ER1457" i="1"/>
  <c r="DZ1457" i="1"/>
  <c r="DY1457" i="1"/>
  <c r="DS1457" i="1"/>
  <c r="DR1457" i="1"/>
  <c r="DQ1457" i="1"/>
  <c r="DP1457" i="1"/>
  <c r="DN1457" i="1"/>
  <c r="DO1457" i="1" s="1"/>
  <c r="DH1457" i="1"/>
  <c r="DC1457" i="1"/>
  <c r="CP1457" i="1"/>
  <c r="BX1457" i="1"/>
  <c r="BZ1457" i="1" s="1"/>
  <c r="BW1457" i="1"/>
  <c r="BP1457" i="1"/>
  <c r="BQ1457" i="1" s="1"/>
  <c r="BF1457" i="1"/>
  <c r="BE1457" i="1"/>
  <c r="BD1457" i="1"/>
  <c r="BC1457" i="1"/>
  <c r="BB1457" i="1"/>
  <c r="BA1457" i="1"/>
  <c r="BG1457" i="1" s="1" a="1"/>
  <c r="BG1457" i="1" s="1"/>
  <c r="AZ1457" i="1"/>
  <c r="M1457" i="1"/>
  <c r="ER1456" i="1"/>
  <c r="DZ1456" i="1"/>
  <c r="DY1456" i="1"/>
  <c r="DS1456" i="1"/>
  <c r="DR1456" i="1"/>
  <c r="DQ1456" i="1"/>
  <c r="DP1456" i="1"/>
  <c r="DN1456" i="1"/>
  <c r="DO1456" i="1" s="1"/>
  <c r="DH1456" i="1"/>
  <c r="DC1456" i="1"/>
  <c r="CP1456" i="1"/>
  <c r="CV1456" i="1" s="1"/>
  <c r="BX1456" i="1"/>
  <c r="BZ1456" i="1" s="1"/>
  <c r="BW1456" i="1"/>
  <c r="BP1456" i="1"/>
  <c r="BQ1456" i="1" s="1"/>
  <c r="BF1456" i="1"/>
  <c r="BE1456" i="1"/>
  <c r="BD1456" i="1"/>
  <c r="BC1456" i="1"/>
  <c r="BB1456" i="1"/>
  <c r="BA1456" i="1"/>
  <c r="BG1456" i="1" s="1" a="1"/>
  <c r="BG1456" i="1" s="1"/>
  <c r="AZ1456" i="1"/>
  <c r="M1456" i="1"/>
  <c r="ER1455" i="1"/>
  <c r="DZ1455" i="1"/>
  <c r="DY1455" i="1"/>
  <c r="DS1455" i="1"/>
  <c r="DR1455" i="1"/>
  <c r="DQ1455" i="1"/>
  <c r="DP1455" i="1"/>
  <c r="DN1455" i="1"/>
  <c r="DO1455" i="1" s="1"/>
  <c r="DH1455" i="1"/>
  <c r="DC1455" i="1"/>
  <c r="CP1455" i="1"/>
  <c r="CR1455" i="1" s="1"/>
  <c r="BX1455" i="1"/>
  <c r="BZ1455" i="1" s="1"/>
  <c r="BW1455" i="1"/>
  <c r="BP1455" i="1"/>
  <c r="BQ1455" i="1" s="1"/>
  <c r="BF1455" i="1"/>
  <c r="BE1455" i="1"/>
  <c r="BD1455" i="1"/>
  <c r="BC1455" i="1"/>
  <c r="BB1455" i="1"/>
  <c r="BA1455" i="1"/>
  <c r="BG1455" i="1" s="1" a="1"/>
  <c r="BG1455" i="1" s="1"/>
  <c r="AZ1455" i="1"/>
  <c r="M1455" i="1"/>
  <c r="ER1454" i="1"/>
  <c r="DZ1454" i="1"/>
  <c r="DY1454" i="1"/>
  <c r="DS1454" i="1"/>
  <c r="DR1454" i="1"/>
  <c r="DQ1454" i="1"/>
  <c r="DP1454" i="1"/>
  <c r="DN1454" i="1"/>
  <c r="DO1454" i="1" s="1"/>
  <c r="DH1454" i="1"/>
  <c r="DC1454" i="1"/>
  <c r="CP1454" i="1"/>
  <c r="CU1454" i="1" s="1"/>
  <c r="BX1454" i="1"/>
  <c r="BZ1454" i="1" s="1"/>
  <c r="BW1454" i="1"/>
  <c r="BP1454" i="1"/>
  <c r="BQ1454" i="1" s="1"/>
  <c r="BF1454" i="1"/>
  <c r="BE1454" i="1"/>
  <c r="BD1454" i="1"/>
  <c r="BC1454" i="1"/>
  <c r="BB1454" i="1"/>
  <c r="BA1454" i="1"/>
  <c r="BG1454" i="1" s="1" a="1"/>
  <c r="BG1454" i="1" s="1"/>
  <c r="AZ1454" i="1"/>
  <c r="M1454" i="1"/>
  <c r="ER1453" i="1"/>
  <c r="DZ1453" i="1"/>
  <c r="DY1453" i="1"/>
  <c r="DS1453" i="1"/>
  <c r="DR1453" i="1"/>
  <c r="DQ1453" i="1"/>
  <c r="DP1453" i="1"/>
  <c r="DN1453" i="1"/>
  <c r="DO1453" i="1" s="1"/>
  <c r="DH1453" i="1"/>
  <c r="DC1453" i="1"/>
  <c r="CP1453" i="1"/>
  <c r="CU1453" i="1" s="1"/>
  <c r="BX1453" i="1"/>
  <c r="BZ1453" i="1" s="1"/>
  <c r="BW1453" i="1"/>
  <c r="BP1453" i="1"/>
  <c r="BQ1453" i="1" s="1"/>
  <c r="BF1453" i="1"/>
  <c r="BE1453" i="1"/>
  <c r="BD1453" i="1"/>
  <c r="BC1453" i="1"/>
  <c r="BB1453" i="1"/>
  <c r="BA1453" i="1"/>
  <c r="BG1453" i="1" s="1" a="1"/>
  <c r="BG1453" i="1" s="1"/>
  <c r="AZ1453" i="1"/>
  <c r="M1453" i="1"/>
  <c r="ER1452" i="1"/>
  <c r="DZ1452" i="1"/>
  <c r="DY1452" i="1"/>
  <c r="DS1452" i="1"/>
  <c r="DR1452" i="1"/>
  <c r="DQ1452" i="1"/>
  <c r="DP1452" i="1"/>
  <c r="DN1452" i="1"/>
  <c r="DO1452" i="1" s="1"/>
  <c r="DH1452" i="1"/>
  <c r="DC1452" i="1"/>
  <c r="CP1452" i="1"/>
  <c r="BX1452" i="1"/>
  <c r="BZ1452" i="1" s="1"/>
  <c r="BW1452" i="1"/>
  <c r="BP1452" i="1"/>
  <c r="BQ1452" i="1" s="1"/>
  <c r="BF1452" i="1"/>
  <c r="BE1452" i="1"/>
  <c r="BD1452" i="1"/>
  <c r="BC1452" i="1"/>
  <c r="BB1452" i="1"/>
  <c r="BA1452" i="1"/>
  <c r="BG1452" i="1" s="1" a="1"/>
  <c r="BG1452" i="1" s="1"/>
  <c r="AZ1452" i="1"/>
  <c r="M1452" i="1"/>
  <c r="ER1464" i="1"/>
  <c r="DZ1464" i="1"/>
  <c r="DY1464" i="1"/>
  <c r="DS1464" i="1"/>
  <c r="DR1464" i="1"/>
  <c r="DQ1464" i="1"/>
  <c r="DP1464" i="1"/>
  <c r="DN1464" i="1"/>
  <c r="DO1464" i="1" s="1"/>
  <c r="DH1464" i="1"/>
  <c r="DC1464" i="1"/>
  <c r="CP1464" i="1"/>
  <c r="CQ1464" i="1" s="1"/>
  <c r="BX1464" i="1"/>
  <c r="BZ1464" i="1" s="1"/>
  <c r="BW1464" i="1"/>
  <c r="BP1464" i="1"/>
  <c r="BQ1464" i="1" s="1"/>
  <c r="BF1464" i="1"/>
  <c r="BE1464" i="1"/>
  <c r="BD1464" i="1"/>
  <c r="BC1464" i="1"/>
  <c r="BB1464" i="1"/>
  <c r="BA1464" i="1"/>
  <c r="BG1464" i="1" s="1" a="1"/>
  <c r="BG1464" i="1" s="1"/>
  <c r="AZ1464" i="1"/>
  <c r="M1464" i="1"/>
  <c r="ER1465" i="1"/>
  <c r="DZ1465" i="1"/>
  <c r="DY1465" i="1"/>
  <c r="DS1465" i="1"/>
  <c r="DR1465" i="1"/>
  <c r="DQ1465" i="1"/>
  <c r="DP1465" i="1"/>
  <c r="DN1465" i="1"/>
  <c r="DO1465" i="1" s="1"/>
  <c r="DH1465" i="1"/>
  <c r="DC1465" i="1"/>
  <c r="CP1465" i="1"/>
  <c r="BX1465" i="1"/>
  <c r="BZ1465" i="1" s="1"/>
  <c r="BW1465" i="1"/>
  <c r="BP1465" i="1"/>
  <c r="BQ1465" i="1" s="1"/>
  <c r="BF1465" i="1"/>
  <c r="BE1465" i="1"/>
  <c r="BD1465" i="1"/>
  <c r="BC1465" i="1"/>
  <c r="BB1465" i="1"/>
  <c r="BA1465" i="1"/>
  <c r="BG1465" i="1" s="1" a="1"/>
  <c r="BG1465" i="1" s="1"/>
  <c r="AZ1465" i="1"/>
  <c r="M1465" i="1"/>
  <c r="ER1466" i="1"/>
  <c r="DZ1466" i="1"/>
  <c r="DY1466" i="1"/>
  <c r="DS1466" i="1"/>
  <c r="DR1466" i="1"/>
  <c r="DQ1466" i="1"/>
  <c r="DP1466" i="1"/>
  <c r="DN1466" i="1"/>
  <c r="DO1466" i="1" s="1"/>
  <c r="DH1466" i="1"/>
  <c r="DC1466" i="1"/>
  <c r="CP1466" i="1"/>
  <c r="CQ1466" i="1" s="1"/>
  <c r="BX1466" i="1"/>
  <c r="BZ1466" i="1" s="1"/>
  <c r="BW1466" i="1"/>
  <c r="BP1466" i="1"/>
  <c r="BQ1466" i="1" s="1"/>
  <c r="BF1466" i="1"/>
  <c r="BE1466" i="1"/>
  <c r="BD1466" i="1"/>
  <c r="BC1466" i="1"/>
  <c r="BB1466" i="1"/>
  <c r="BA1466" i="1"/>
  <c r="BG1466" i="1" s="1" a="1"/>
  <c r="BG1466" i="1" s="1"/>
  <c r="AZ1466" i="1"/>
  <c r="M1466" i="1"/>
  <c r="ER1469" i="1"/>
  <c r="DZ1469" i="1"/>
  <c r="DY1469" i="1"/>
  <c r="DS1469" i="1"/>
  <c r="DR1469" i="1"/>
  <c r="DQ1469" i="1"/>
  <c r="DP1469" i="1"/>
  <c r="DN1469" i="1"/>
  <c r="DO1469" i="1" s="1"/>
  <c r="DH1469" i="1"/>
  <c r="DC1469" i="1"/>
  <c r="CP1469" i="1"/>
  <c r="CQ1469" i="1" s="1"/>
  <c r="BX1469" i="1"/>
  <c r="BZ1469" i="1" s="1"/>
  <c r="BW1469" i="1"/>
  <c r="BP1469" i="1"/>
  <c r="BQ1469" i="1" s="1"/>
  <c r="BF1469" i="1"/>
  <c r="BE1469" i="1"/>
  <c r="BD1469" i="1"/>
  <c r="BC1469" i="1"/>
  <c r="BB1469" i="1"/>
  <c r="BA1469" i="1"/>
  <c r="BG1469" i="1" s="1" a="1"/>
  <c r="BG1469" i="1" s="1"/>
  <c r="AZ1469" i="1"/>
  <c r="M1469" i="1"/>
  <c r="ER1467" i="1"/>
  <c r="DZ1467" i="1"/>
  <c r="DY1467" i="1"/>
  <c r="DS1467" i="1"/>
  <c r="DR1467" i="1"/>
  <c r="DQ1467" i="1"/>
  <c r="DP1467" i="1"/>
  <c r="DN1467" i="1"/>
  <c r="DO1467" i="1" s="1"/>
  <c r="DH1467" i="1"/>
  <c r="DC1467" i="1"/>
  <c r="CP1467" i="1"/>
  <c r="CR1467" i="1" s="1"/>
  <c r="BX1467" i="1"/>
  <c r="BZ1467" i="1" s="1"/>
  <c r="BW1467" i="1"/>
  <c r="BP1467" i="1"/>
  <c r="BQ1467" i="1" s="1"/>
  <c r="BF1467" i="1"/>
  <c r="BE1467" i="1"/>
  <c r="BD1467" i="1"/>
  <c r="BC1467" i="1"/>
  <c r="BB1467" i="1"/>
  <c r="BA1467" i="1"/>
  <c r="BG1467" i="1" s="1" a="1"/>
  <c r="BG1467" i="1" s="1"/>
  <c r="AZ1467" i="1"/>
  <c r="M1467" i="1"/>
  <c r="ER1468" i="1"/>
  <c r="DZ1468" i="1"/>
  <c r="DY1468" i="1"/>
  <c r="DS1468" i="1"/>
  <c r="DR1468" i="1"/>
  <c r="DQ1468" i="1"/>
  <c r="DP1468" i="1"/>
  <c r="DN1468" i="1"/>
  <c r="DO1468" i="1" s="1"/>
  <c r="DH1468" i="1"/>
  <c r="DC1468" i="1"/>
  <c r="CP1468" i="1"/>
  <c r="BX1468" i="1"/>
  <c r="BZ1468" i="1" s="1"/>
  <c r="BW1468" i="1"/>
  <c r="BP1468" i="1"/>
  <c r="BQ1468" i="1" s="1"/>
  <c r="BF1468" i="1"/>
  <c r="BE1468" i="1"/>
  <c r="BD1468" i="1"/>
  <c r="BC1468" i="1"/>
  <c r="BB1468" i="1"/>
  <c r="BA1468" i="1"/>
  <c r="BG1468" i="1" s="1" a="1"/>
  <c r="BG1468" i="1" s="1"/>
  <c r="AZ1468" i="1"/>
  <c r="M1468" i="1"/>
  <c r="ER1470" i="1"/>
  <c r="DZ1470" i="1"/>
  <c r="DY1470" i="1"/>
  <c r="DS1470" i="1"/>
  <c r="DR1470" i="1"/>
  <c r="DQ1470" i="1"/>
  <c r="DP1470" i="1"/>
  <c r="DN1470" i="1"/>
  <c r="DO1470" i="1" s="1"/>
  <c r="DH1470" i="1"/>
  <c r="DC1470" i="1"/>
  <c r="CP1470" i="1"/>
  <c r="CU1470" i="1" s="1"/>
  <c r="BX1470" i="1"/>
  <c r="BZ1470" i="1" s="1"/>
  <c r="BW1470" i="1"/>
  <c r="BP1470" i="1"/>
  <c r="BQ1470" i="1" s="1"/>
  <c r="BF1470" i="1"/>
  <c r="BE1470" i="1"/>
  <c r="BD1470" i="1"/>
  <c r="BC1470" i="1"/>
  <c r="BB1470" i="1"/>
  <c r="BA1470" i="1"/>
  <c r="BG1470" i="1" s="1" a="1"/>
  <c r="BG1470" i="1" s="1"/>
  <c r="AZ1470" i="1"/>
  <c r="M1470" i="1"/>
  <c r="ER1471" i="1"/>
  <c r="DZ1471" i="1"/>
  <c r="DY1471" i="1"/>
  <c r="DS1471" i="1"/>
  <c r="DR1471" i="1"/>
  <c r="DQ1471" i="1"/>
  <c r="DP1471" i="1"/>
  <c r="DN1471" i="1"/>
  <c r="DO1471" i="1" s="1"/>
  <c r="DH1471" i="1"/>
  <c r="DC1471" i="1"/>
  <c r="CP1471" i="1"/>
  <c r="BX1471" i="1"/>
  <c r="BZ1471" i="1" s="1"/>
  <c r="BW1471" i="1"/>
  <c r="BP1471" i="1"/>
  <c r="BQ1471" i="1" s="1"/>
  <c r="BF1471" i="1"/>
  <c r="BE1471" i="1"/>
  <c r="BD1471" i="1"/>
  <c r="BC1471" i="1"/>
  <c r="BB1471" i="1"/>
  <c r="BA1471" i="1"/>
  <c r="BG1471" i="1" s="1" a="1"/>
  <c r="BG1471" i="1" s="1"/>
  <c r="AZ1471" i="1"/>
  <c r="M1471" i="1"/>
  <c r="ER1341" i="1"/>
  <c r="DZ1341" i="1"/>
  <c r="DY1341" i="1"/>
  <c r="DS1341" i="1"/>
  <c r="DR1341" i="1"/>
  <c r="DQ1341" i="1"/>
  <c r="DP1341" i="1"/>
  <c r="DN1341" i="1"/>
  <c r="DO1341" i="1" s="1"/>
  <c r="DH1341" i="1"/>
  <c r="DC1341" i="1"/>
  <c r="CP1341" i="1"/>
  <c r="BX1341" i="1"/>
  <c r="BZ1341" i="1" s="1"/>
  <c r="BW1341" i="1"/>
  <c r="BP1341" i="1"/>
  <c r="BQ1341" i="1" s="1"/>
  <c r="BO1341" i="1"/>
  <c r="BF1341" i="1"/>
  <c r="BE1341" i="1"/>
  <c r="BD1341" i="1"/>
  <c r="BC1341" i="1"/>
  <c r="BB1341" i="1"/>
  <c r="BA1341" i="1"/>
  <c r="BG1341" i="1" s="1" a="1"/>
  <c r="BG1341" i="1" s="1"/>
  <c r="AZ1341" i="1"/>
  <c r="M1341" i="1"/>
  <c r="ER955" i="1"/>
  <c r="DZ955" i="1"/>
  <c r="DY955" i="1"/>
  <c r="DS955" i="1"/>
  <c r="DR955" i="1"/>
  <c r="DQ955" i="1"/>
  <c r="DP955" i="1"/>
  <c r="DN955" i="1"/>
  <c r="DO955" i="1" s="1"/>
  <c r="DH955" i="1"/>
  <c r="DC955" i="1"/>
  <c r="CP955" i="1"/>
  <c r="CV955" i="1" s="1"/>
  <c r="BX955" i="1"/>
  <c r="BZ955" i="1" s="1"/>
  <c r="BW955" i="1"/>
  <c r="BP955" i="1"/>
  <c r="BQ955" i="1" s="1"/>
  <c r="BO955" i="1"/>
  <c r="BF955" i="1"/>
  <c r="BE955" i="1"/>
  <c r="BD955" i="1"/>
  <c r="BC955" i="1"/>
  <c r="BB955" i="1"/>
  <c r="BA955" i="1"/>
  <c r="BG955" i="1" s="1" a="1"/>
  <c r="BG955" i="1" s="1"/>
  <c r="AZ955" i="1"/>
  <c r="M955" i="1"/>
  <c r="ER1391" i="1"/>
  <c r="DZ1391" i="1"/>
  <c r="DY1391" i="1"/>
  <c r="DS1391" i="1"/>
  <c r="DR1391" i="1"/>
  <c r="DQ1391" i="1"/>
  <c r="DP1391" i="1"/>
  <c r="DN1391" i="1"/>
  <c r="DO1391" i="1" s="1"/>
  <c r="DH1391" i="1"/>
  <c r="DC1391" i="1"/>
  <c r="CP1391" i="1"/>
  <c r="CR1391" i="1" s="1"/>
  <c r="BX1391" i="1"/>
  <c r="BZ1391" i="1" s="1"/>
  <c r="BW1391" i="1"/>
  <c r="BP1391" i="1"/>
  <c r="BQ1391" i="1" s="1"/>
  <c r="BF1391" i="1"/>
  <c r="BE1391" i="1"/>
  <c r="BD1391" i="1"/>
  <c r="BC1391" i="1"/>
  <c r="BB1391" i="1"/>
  <c r="BA1391" i="1"/>
  <c r="BG1391" i="1" s="1" a="1"/>
  <c r="BG1391" i="1" s="1"/>
  <c r="AZ1391" i="1"/>
  <c r="M1391" i="1"/>
  <c r="ER886" i="1"/>
  <c r="DZ886" i="1"/>
  <c r="DY886" i="1"/>
  <c r="DS886" i="1"/>
  <c r="DR886" i="1"/>
  <c r="DQ886" i="1"/>
  <c r="DP886" i="1"/>
  <c r="DN886" i="1"/>
  <c r="DO886" i="1" s="1"/>
  <c r="DH886" i="1"/>
  <c r="DC886" i="1"/>
  <c r="CP886" i="1"/>
  <c r="BX886" i="1"/>
  <c r="BZ886" i="1" s="1"/>
  <c r="BW886" i="1"/>
  <c r="BP886" i="1"/>
  <c r="BQ886" i="1" s="1"/>
  <c r="BO886" i="1"/>
  <c r="BF886" i="1"/>
  <c r="BE886" i="1"/>
  <c r="BD886" i="1"/>
  <c r="BC886" i="1"/>
  <c r="BB886" i="1"/>
  <c r="BA886" i="1"/>
  <c r="BG886" i="1" s="1" a="1"/>
  <c r="BG886" i="1" s="1"/>
  <c r="AZ886" i="1"/>
  <c r="M886" i="1"/>
  <c r="ER887" i="1"/>
  <c r="DZ887" i="1"/>
  <c r="DY887" i="1"/>
  <c r="DS887" i="1"/>
  <c r="DR887" i="1"/>
  <c r="DQ887" i="1"/>
  <c r="DP887" i="1"/>
  <c r="DN887" i="1"/>
  <c r="DO887" i="1" s="1"/>
  <c r="DH887" i="1"/>
  <c r="DC887" i="1"/>
  <c r="CP887" i="1"/>
  <c r="CR887" i="1" s="1"/>
  <c r="BX887" i="1"/>
  <c r="BZ887" i="1" s="1"/>
  <c r="BW887" i="1"/>
  <c r="BP887" i="1"/>
  <c r="BQ887" i="1" s="1"/>
  <c r="BO887" i="1"/>
  <c r="BF887" i="1"/>
  <c r="BE887" i="1"/>
  <c r="BD887" i="1"/>
  <c r="BC887" i="1"/>
  <c r="BB887" i="1"/>
  <c r="BA887" i="1"/>
  <c r="BG887" i="1" s="1" a="1"/>
  <c r="BG887" i="1" s="1"/>
  <c r="AZ887" i="1"/>
  <c r="M887" i="1"/>
  <c r="ER888" i="1"/>
  <c r="DZ888" i="1"/>
  <c r="DY888" i="1"/>
  <c r="DS888" i="1"/>
  <c r="DR888" i="1"/>
  <c r="DQ888" i="1"/>
  <c r="DP888" i="1"/>
  <c r="DN888" i="1"/>
  <c r="DO888" i="1" s="1"/>
  <c r="DH888" i="1"/>
  <c r="DC888" i="1"/>
  <c r="CP888" i="1"/>
  <c r="CU888" i="1" s="1"/>
  <c r="BX888" i="1"/>
  <c r="BZ888" i="1" s="1"/>
  <c r="BW888" i="1"/>
  <c r="BP888" i="1"/>
  <c r="BQ888" i="1" s="1"/>
  <c r="BO888" i="1"/>
  <c r="BF888" i="1"/>
  <c r="BE888" i="1"/>
  <c r="BD888" i="1"/>
  <c r="BC888" i="1"/>
  <c r="BB888" i="1"/>
  <c r="BA888" i="1"/>
  <c r="BG888" i="1" s="1" a="1"/>
  <c r="BG888" i="1" s="1"/>
  <c r="AZ888" i="1"/>
  <c r="M888" i="1"/>
  <c r="ER885" i="1"/>
  <c r="DZ885" i="1"/>
  <c r="DY885" i="1"/>
  <c r="DS885" i="1"/>
  <c r="DR885" i="1"/>
  <c r="DQ885" i="1"/>
  <c r="DP885" i="1"/>
  <c r="DN885" i="1"/>
  <c r="DO885" i="1" s="1"/>
  <c r="DH885" i="1"/>
  <c r="DC885" i="1"/>
  <c r="CP885" i="1"/>
  <c r="CQ885" i="1" s="1"/>
  <c r="BX885" i="1"/>
  <c r="BZ885" i="1" s="1"/>
  <c r="BW885" i="1"/>
  <c r="BP885" i="1"/>
  <c r="BQ885" i="1" s="1"/>
  <c r="BF885" i="1"/>
  <c r="BE885" i="1"/>
  <c r="BD885" i="1"/>
  <c r="BC885" i="1"/>
  <c r="BB885" i="1"/>
  <c r="BA885" i="1"/>
  <c r="BG885" i="1" s="1" a="1"/>
  <c r="BG885" i="1" s="1"/>
  <c r="AZ885" i="1"/>
  <c r="M885" i="1"/>
  <c r="ER771" i="1"/>
  <c r="DZ771" i="1"/>
  <c r="DY771" i="1"/>
  <c r="DS771" i="1"/>
  <c r="DR771" i="1"/>
  <c r="DQ771" i="1"/>
  <c r="DP771" i="1"/>
  <c r="DN771" i="1"/>
  <c r="DO771" i="1" s="1"/>
  <c r="DH771" i="1"/>
  <c r="DC771" i="1"/>
  <c r="BX771" i="1"/>
  <c r="BZ771" i="1" s="1"/>
  <c r="BW771" i="1"/>
  <c r="BM771" i="1"/>
  <c r="BP771" i="1" s="1"/>
  <c r="BQ771" i="1" s="1"/>
  <c r="BF771" i="1"/>
  <c r="BE771" i="1"/>
  <c r="BD771" i="1"/>
  <c r="BC771" i="1"/>
  <c r="BB771" i="1"/>
  <c r="BA771" i="1"/>
  <c r="BG771" i="1" s="1" a="1"/>
  <c r="BG771" i="1" s="1"/>
  <c r="AZ771" i="1"/>
  <c r="M771" i="1"/>
  <c r="ER772" i="1"/>
  <c r="DZ772" i="1"/>
  <c r="DY772" i="1"/>
  <c r="DS772" i="1"/>
  <c r="DR772" i="1"/>
  <c r="DQ772" i="1"/>
  <c r="DP772" i="1"/>
  <c r="DN772" i="1"/>
  <c r="DO772" i="1" s="1"/>
  <c r="DH772" i="1"/>
  <c r="DC772" i="1"/>
  <c r="BX772" i="1"/>
  <c r="BZ772" i="1" s="1"/>
  <c r="BW772" i="1"/>
  <c r="BM772" i="1"/>
  <c r="BO772" i="1" s="1"/>
  <c r="BF772" i="1"/>
  <c r="BE772" i="1"/>
  <c r="BD772" i="1"/>
  <c r="BC772" i="1"/>
  <c r="BB772" i="1"/>
  <c r="BA772" i="1"/>
  <c r="BG772" i="1" s="1" a="1"/>
  <c r="BG772" i="1" s="1"/>
  <c r="AZ772" i="1"/>
  <c r="M772" i="1"/>
  <c r="ER759" i="1"/>
  <c r="DZ759" i="1"/>
  <c r="DY759" i="1"/>
  <c r="DS759" i="1"/>
  <c r="DR759" i="1"/>
  <c r="DQ759" i="1"/>
  <c r="DP759" i="1"/>
  <c r="DN759" i="1"/>
  <c r="DO759" i="1" s="1"/>
  <c r="DH759" i="1"/>
  <c r="DC759" i="1"/>
  <c r="CP759" i="1"/>
  <c r="CV759" i="1" s="1"/>
  <c r="BZ759" i="1"/>
  <c r="BW759" i="1"/>
  <c r="BP759" i="1"/>
  <c r="BQ759" i="1" s="1"/>
  <c r="BF759" i="1"/>
  <c r="BE759" i="1"/>
  <c r="BD759" i="1"/>
  <c r="BC759" i="1"/>
  <c r="BB759" i="1"/>
  <c r="BA759" i="1"/>
  <c r="BG759" i="1" s="1" a="1"/>
  <c r="BG759" i="1" s="1"/>
  <c r="AZ759" i="1"/>
  <c r="M759" i="1"/>
  <c r="ER760" i="1"/>
  <c r="DZ760" i="1"/>
  <c r="DY760" i="1"/>
  <c r="DS760" i="1"/>
  <c r="DR760" i="1"/>
  <c r="DQ760" i="1"/>
  <c r="DP760" i="1"/>
  <c r="DN760" i="1"/>
  <c r="DO760" i="1" s="1"/>
  <c r="DH760" i="1"/>
  <c r="DC760" i="1"/>
  <c r="CP760" i="1"/>
  <c r="CV760" i="1" s="1"/>
  <c r="BZ760" i="1"/>
  <c r="BW760" i="1"/>
  <c r="BP760" i="1"/>
  <c r="BQ760" i="1" s="1"/>
  <c r="BF760" i="1"/>
  <c r="BE760" i="1"/>
  <c r="BD760" i="1"/>
  <c r="BC760" i="1"/>
  <c r="BB760" i="1"/>
  <c r="BA760" i="1"/>
  <c r="BG760" i="1" s="1" a="1"/>
  <c r="BG760" i="1" s="1"/>
  <c r="AZ760" i="1"/>
  <c r="M760" i="1"/>
  <c r="ER761" i="1"/>
  <c r="DZ761" i="1"/>
  <c r="DY761" i="1"/>
  <c r="DS761" i="1"/>
  <c r="DR761" i="1"/>
  <c r="DQ761" i="1"/>
  <c r="DP761" i="1"/>
  <c r="DN761" i="1"/>
  <c r="DO761" i="1" s="1"/>
  <c r="DH761" i="1"/>
  <c r="DC761" i="1"/>
  <c r="CP761" i="1"/>
  <c r="CU761" i="1" s="1"/>
  <c r="BZ761" i="1"/>
  <c r="BW761" i="1"/>
  <c r="BP761" i="1"/>
  <c r="BQ761" i="1" s="1"/>
  <c r="BF761" i="1"/>
  <c r="BE761" i="1"/>
  <c r="BD761" i="1"/>
  <c r="BC761" i="1"/>
  <c r="BB761" i="1"/>
  <c r="BA761" i="1"/>
  <c r="BG761" i="1" s="1" a="1"/>
  <c r="BG761" i="1" s="1"/>
  <c r="AZ761" i="1"/>
  <c r="M761" i="1"/>
  <c r="ER763" i="1"/>
  <c r="DZ763" i="1"/>
  <c r="DY763" i="1"/>
  <c r="DS763" i="1"/>
  <c r="DR763" i="1"/>
  <c r="DQ763" i="1"/>
  <c r="DP763" i="1"/>
  <c r="DN763" i="1"/>
  <c r="DO763" i="1" s="1"/>
  <c r="DH763" i="1"/>
  <c r="DC763" i="1"/>
  <c r="CP763" i="1"/>
  <c r="CU763" i="1" s="1"/>
  <c r="BZ763" i="1"/>
  <c r="BW763" i="1"/>
  <c r="BP763" i="1"/>
  <c r="BQ763" i="1" s="1"/>
  <c r="BF763" i="1"/>
  <c r="BE763" i="1"/>
  <c r="BD763" i="1"/>
  <c r="BC763" i="1"/>
  <c r="BB763" i="1"/>
  <c r="BA763" i="1"/>
  <c r="BG763" i="1" s="1" a="1"/>
  <c r="BG763" i="1" s="1"/>
  <c r="AZ763" i="1"/>
  <c r="M763" i="1"/>
  <c r="ER765" i="1"/>
  <c r="DZ765" i="1"/>
  <c r="DY765" i="1"/>
  <c r="DS765" i="1"/>
  <c r="DR765" i="1"/>
  <c r="DQ765" i="1"/>
  <c r="DP765" i="1"/>
  <c r="DN765" i="1"/>
  <c r="DO765" i="1" s="1"/>
  <c r="DH765" i="1"/>
  <c r="DC765" i="1"/>
  <c r="CP765" i="1"/>
  <c r="CU765" i="1" s="1"/>
  <c r="BZ765" i="1"/>
  <c r="BW765" i="1"/>
  <c r="BP765" i="1"/>
  <c r="BQ765" i="1" s="1"/>
  <c r="BF765" i="1"/>
  <c r="BE765" i="1"/>
  <c r="BD765" i="1"/>
  <c r="BC765" i="1"/>
  <c r="BB765" i="1"/>
  <c r="BA765" i="1"/>
  <c r="BG765" i="1" s="1" a="1"/>
  <c r="BG765" i="1" s="1"/>
  <c r="AZ765" i="1"/>
  <c r="M765" i="1"/>
  <c r="ER766" i="1"/>
  <c r="DZ766" i="1"/>
  <c r="DY766" i="1"/>
  <c r="DS766" i="1"/>
  <c r="DR766" i="1"/>
  <c r="DQ766" i="1"/>
  <c r="DP766" i="1"/>
  <c r="DN766" i="1"/>
  <c r="DO766" i="1" s="1"/>
  <c r="DH766" i="1"/>
  <c r="DC766" i="1"/>
  <c r="CP766" i="1"/>
  <c r="CU766" i="1" s="1"/>
  <c r="BZ766" i="1"/>
  <c r="BW766" i="1"/>
  <c r="BP766" i="1"/>
  <c r="BQ766" i="1" s="1"/>
  <c r="BF766" i="1"/>
  <c r="BE766" i="1"/>
  <c r="BD766" i="1"/>
  <c r="BC766" i="1"/>
  <c r="BB766" i="1"/>
  <c r="BA766" i="1"/>
  <c r="BG766" i="1" s="1" a="1"/>
  <c r="BG766" i="1" s="1"/>
  <c r="AZ766" i="1"/>
  <c r="M766" i="1"/>
  <c r="ER768" i="1"/>
  <c r="DZ768" i="1"/>
  <c r="DY768" i="1"/>
  <c r="DS768" i="1"/>
  <c r="DR768" i="1"/>
  <c r="DQ768" i="1"/>
  <c r="DP768" i="1"/>
  <c r="DN768" i="1"/>
  <c r="DO768" i="1" s="1"/>
  <c r="DH768" i="1"/>
  <c r="DC768" i="1"/>
  <c r="CP768" i="1"/>
  <c r="CU768" i="1" s="1"/>
  <c r="BZ768" i="1"/>
  <c r="BW768" i="1"/>
  <c r="BP768" i="1"/>
  <c r="BQ768" i="1" s="1"/>
  <c r="BF768" i="1"/>
  <c r="BE768" i="1"/>
  <c r="BD768" i="1"/>
  <c r="BC768" i="1"/>
  <c r="BB768" i="1"/>
  <c r="BA768" i="1"/>
  <c r="BG768" i="1" s="1" a="1"/>
  <c r="BG768" i="1" s="1"/>
  <c r="AZ768" i="1"/>
  <c r="M768" i="1"/>
  <c r="ER770" i="1"/>
  <c r="DZ770" i="1"/>
  <c r="DY770" i="1"/>
  <c r="DS770" i="1"/>
  <c r="DR770" i="1"/>
  <c r="DQ770" i="1"/>
  <c r="DP770" i="1"/>
  <c r="DN770" i="1"/>
  <c r="DO770" i="1" s="1"/>
  <c r="DH770" i="1"/>
  <c r="DC770" i="1"/>
  <c r="CP770" i="1"/>
  <c r="CV770" i="1" s="1"/>
  <c r="BZ770" i="1"/>
  <c r="BW770" i="1"/>
  <c r="BP770" i="1"/>
  <c r="BQ770" i="1" s="1"/>
  <c r="BF770" i="1"/>
  <c r="BE770" i="1"/>
  <c r="BD770" i="1"/>
  <c r="BC770" i="1"/>
  <c r="BB770" i="1"/>
  <c r="BA770" i="1"/>
  <c r="BG770" i="1" s="1" a="1"/>
  <c r="BG770" i="1" s="1"/>
  <c r="AZ770" i="1"/>
  <c r="M770" i="1"/>
  <c r="ER757" i="1"/>
  <c r="DZ757" i="1"/>
  <c r="DY757" i="1"/>
  <c r="DS757" i="1"/>
  <c r="DR757" i="1"/>
  <c r="DQ757" i="1"/>
  <c r="DP757" i="1"/>
  <c r="DN757" i="1"/>
  <c r="DO757" i="1" s="1"/>
  <c r="DH757" i="1"/>
  <c r="DC757" i="1"/>
  <c r="CP757" i="1"/>
  <c r="CV757" i="1" s="1"/>
  <c r="BZ757" i="1"/>
  <c r="BP757" i="1"/>
  <c r="BQ757" i="1" s="1"/>
  <c r="BO757" i="1"/>
  <c r="BF757" i="1"/>
  <c r="BE757" i="1"/>
  <c r="BD757" i="1"/>
  <c r="BC757" i="1"/>
  <c r="BB757" i="1"/>
  <c r="BA757" i="1"/>
  <c r="BG757" i="1" s="1" a="1"/>
  <c r="BG757" i="1" s="1"/>
  <c r="AZ757" i="1"/>
  <c r="M757" i="1"/>
  <c r="ER758" i="1"/>
  <c r="DZ758" i="1"/>
  <c r="DY758" i="1"/>
  <c r="DS758" i="1"/>
  <c r="DR758" i="1"/>
  <c r="DQ758" i="1"/>
  <c r="DP758" i="1"/>
  <c r="DN758" i="1"/>
  <c r="DO758" i="1" s="1"/>
  <c r="DH758" i="1"/>
  <c r="DC758" i="1"/>
  <c r="CP758" i="1"/>
  <c r="CU758" i="1" s="1"/>
  <c r="BZ758" i="1"/>
  <c r="BP758" i="1"/>
  <c r="BQ758" i="1" s="1"/>
  <c r="BO758" i="1"/>
  <c r="BF758" i="1"/>
  <c r="BE758" i="1"/>
  <c r="BD758" i="1"/>
  <c r="BC758" i="1"/>
  <c r="BB758" i="1"/>
  <c r="BA758" i="1"/>
  <c r="BG758" i="1" s="1" a="1"/>
  <c r="BG758" i="1" s="1"/>
  <c r="AZ758" i="1"/>
  <c r="M758" i="1"/>
  <c r="ER769" i="1"/>
  <c r="DZ769" i="1"/>
  <c r="DY769" i="1"/>
  <c r="DS769" i="1"/>
  <c r="DR769" i="1"/>
  <c r="DQ769" i="1"/>
  <c r="DP769" i="1"/>
  <c r="DN769" i="1"/>
  <c r="DO769" i="1" s="1"/>
  <c r="DH769" i="1"/>
  <c r="DC769" i="1"/>
  <c r="CP769" i="1"/>
  <c r="CV769" i="1" s="1"/>
  <c r="BZ769" i="1"/>
  <c r="BP769" i="1"/>
  <c r="BQ769" i="1" s="1"/>
  <c r="BF769" i="1"/>
  <c r="BE769" i="1"/>
  <c r="BD769" i="1"/>
  <c r="BC769" i="1"/>
  <c r="BB769" i="1"/>
  <c r="BA769" i="1"/>
  <c r="BG769" i="1" s="1" a="1"/>
  <c r="BG769" i="1" s="1"/>
  <c r="AZ769" i="1"/>
  <c r="M769" i="1"/>
  <c r="ER764" i="1"/>
  <c r="DZ764" i="1"/>
  <c r="DY764" i="1"/>
  <c r="DS764" i="1"/>
  <c r="DR764" i="1"/>
  <c r="DQ764" i="1"/>
  <c r="DP764" i="1"/>
  <c r="DN764" i="1"/>
  <c r="DO764" i="1" s="1"/>
  <c r="DH764" i="1"/>
  <c r="DC764" i="1"/>
  <c r="CP764" i="1"/>
  <c r="BZ764" i="1"/>
  <c r="BW764" i="1"/>
  <c r="BP764" i="1"/>
  <c r="BQ764" i="1" s="1"/>
  <c r="BF764" i="1"/>
  <c r="BE764" i="1"/>
  <c r="BD764" i="1"/>
  <c r="BC764" i="1"/>
  <c r="BB764" i="1"/>
  <c r="BA764" i="1"/>
  <c r="BG764" i="1" s="1" a="1"/>
  <c r="BG764" i="1" s="1"/>
  <c r="AZ764" i="1"/>
  <c r="M764" i="1"/>
  <c r="ER767" i="1"/>
  <c r="DZ767" i="1"/>
  <c r="DY767" i="1"/>
  <c r="DS767" i="1"/>
  <c r="DR767" i="1"/>
  <c r="DQ767" i="1"/>
  <c r="DP767" i="1"/>
  <c r="DN767" i="1"/>
  <c r="DO767" i="1" s="1"/>
  <c r="DH767" i="1"/>
  <c r="DC767" i="1"/>
  <c r="CP767" i="1"/>
  <c r="CQ767" i="1" s="1"/>
  <c r="BZ767" i="1"/>
  <c r="BP767" i="1"/>
  <c r="BQ767" i="1" s="1"/>
  <c r="BF767" i="1"/>
  <c r="BE767" i="1"/>
  <c r="BD767" i="1"/>
  <c r="BC767" i="1"/>
  <c r="BB767" i="1"/>
  <c r="BA767" i="1"/>
  <c r="BG767" i="1" s="1" a="1"/>
  <c r="BG767" i="1" s="1"/>
  <c r="AZ767" i="1"/>
  <c r="M767" i="1"/>
  <c r="ER762" i="1"/>
  <c r="DZ762" i="1"/>
  <c r="DY762" i="1"/>
  <c r="DS762" i="1"/>
  <c r="DR762" i="1"/>
  <c r="DQ762" i="1"/>
  <c r="DP762" i="1"/>
  <c r="DN762" i="1"/>
  <c r="DO762" i="1" s="1"/>
  <c r="DH762" i="1"/>
  <c r="DC762" i="1"/>
  <c r="CP762" i="1"/>
  <c r="CQ762" i="1" s="1"/>
  <c r="BZ762" i="1"/>
  <c r="BP762" i="1"/>
  <c r="BQ762" i="1" s="1"/>
  <c r="BO762" i="1"/>
  <c r="BF762" i="1"/>
  <c r="BE762" i="1"/>
  <c r="BD762" i="1"/>
  <c r="BC762" i="1"/>
  <c r="BB762" i="1"/>
  <c r="BA762" i="1"/>
  <c r="BG762" i="1" s="1" a="1"/>
  <c r="BG762" i="1" s="1"/>
  <c r="AZ762" i="1"/>
  <c r="M762" i="1"/>
  <c r="ER1146" i="1"/>
  <c r="DZ1146" i="1"/>
  <c r="DY1146" i="1"/>
  <c r="DS1146" i="1"/>
  <c r="DR1146" i="1"/>
  <c r="DQ1146" i="1"/>
  <c r="DP1146" i="1"/>
  <c r="DN1146" i="1"/>
  <c r="DO1146" i="1" s="1"/>
  <c r="DH1146" i="1"/>
  <c r="DC1146" i="1"/>
  <c r="BX1146" i="1"/>
  <c r="BZ1146" i="1" s="1"/>
  <c r="BW1146" i="1"/>
  <c r="BM1146" i="1"/>
  <c r="BO1146" i="1" s="1"/>
  <c r="BF1146" i="1"/>
  <c r="BE1146" i="1"/>
  <c r="BD1146" i="1"/>
  <c r="BC1146" i="1"/>
  <c r="BB1146" i="1"/>
  <c r="BA1146" i="1"/>
  <c r="BG1146" i="1" s="1" a="1"/>
  <c r="BG1146" i="1" s="1"/>
  <c r="AZ1146" i="1"/>
  <c r="M1146" i="1"/>
  <c r="ER1147" i="1"/>
  <c r="DZ1147" i="1"/>
  <c r="DY1147" i="1"/>
  <c r="DS1147" i="1"/>
  <c r="DR1147" i="1"/>
  <c r="DQ1147" i="1"/>
  <c r="DP1147" i="1"/>
  <c r="DN1147" i="1"/>
  <c r="DO1147" i="1" s="1"/>
  <c r="DH1147" i="1"/>
  <c r="DC1147" i="1"/>
  <c r="BX1147" i="1"/>
  <c r="BZ1147" i="1" s="1"/>
  <c r="BW1147" i="1"/>
  <c r="BM1147" i="1"/>
  <c r="BO1147" i="1" s="1"/>
  <c r="BF1147" i="1"/>
  <c r="BE1147" i="1"/>
  <c r="BD1147" i="1"/>
  <c r="BC1147" i="1"/>
  <c r="BB1147" i="1"/>
  <c r="BA1147" i="1"/>
  <c r="BG1147" i="1" s="1" a="1"/>
  <c r="BG1147" i="1" s="1"/>
  <c r="AZ1147" i="1"/>
  <c r="M1147" i="1"/>
  <c r="ER1344" i="1"/>
  <c r="DZ1344" i="1"/>
  <c r="DY1344" i="1"/>
  <c r="DS1344" i="1"/>
  <c r="DR1344" i="1"/>
  <c r="DQ1344" i="1"/>
  <c r="DP1344" i="1"/>
  <c r="DN1344" i="1"/>
  <c r="DO1344" i="1" s="1"/>
  <c r="DH1344" i="1"/>
  <c r="DC1344" i="1"/>
  <c r="BV1344" i="1"/>
  <c r="BU1344" i="1"/>
  <c r="BN1344" i="1"/>
  <c r="CP1344" i="1" s="1"/>
  <c r="BF1344" i="1"/>
  <c r="BE1344" i="1"/>
  <c r="BD1344" i="1"/>
  <c r="BC1344" i="1"/>
  <c r="BB1344" i="1"/>
  <c r="BA1344" i="1"/>
  <c r="BG1344" i="1" s="1" a="1"/>
  <c r="BG1344" i="1" s="1"/>
  <c r="AZ1344" i="1"/>
  <c r="M1344" i="1"/>
  <c r="ER1345" i="1"/>
  <c r="DZ1345" i="1"/>
  <c r="DY1345" i="1"/>
  <c r="DS1345" i="1"/>
  <c r="DR1345" i="1"/>
  <c r="DQ1345" i="1"/>
  <c r="DP1345" i="1"/>
  <c r="DN1345" i="1"/>
  <c r="DO1345" i="1" s="1"/>
  <c r="DH1345" i="1"/>
  <c r="DC1345" i="1"/>
  <c r="CP1345" i="1"/>
  <c r="BV1345" i="1"/>
  <c r="BU1345" i="1"/>
  <c r="BP1345" i="1"/>
  <c r="BQ1345" i="1" s="1"/>
  <c r="BF1345" i="1"/>
  <c r="BE1345" i="1"/>
  <c r="BD1345" i="1"/>
  <c r="BC1345" i="1"/>
  <c r="BB1345" i="1"/>
  <c r="BA1345" i="1"/>
  <c r="BG1345" i="1" s="1" a="1"/>
  <c r="BG1345" i="1" s="1"/>
  <c r="AZ1345" i="1"/>
  <c r="M1345" i="1"/>
  <c r="ER1386" i="1"/>
  <c r="DZ1386" i="1"/>
  <c r="DY1386" i="1"/>
  <c r="DS1386" i="1"/>
  <c r="DR1386" i="1"/>
  <c r="DQ1386" i="1"/>
  <c r="DP1386" i="1"/>
  <c r="DN1386" i="1"/>
  <c r="DO1386" i="1" s="1"/>
  <c r="DH1386" i="1"/>
  <c r="DC1386" i="1"/>
  <c r="BV1386" i="1"/>
  <c r="BU1386" i="1"/>
  <c r="BN1386" i="1"/>
  <c r="CP1386" i="1" s="1"/>
  <c r="CR1386" i="1" s="1"/>
  <c r="BF1386" i="1"/>
  <c r="BE1386" i="1"/>
  <c r="BD1386" i="1"/>
  <c r="BC1386" i="1"/>
  <c r="BB1386" i="1"/>
  <c r="BA1386" i="1"/>
  <c r="BG1386" i="1" s="1" a="1"/>
  <c r="BG1386" i="1" s="1"/>
  <c r="AZ1386" i="1"/>
  <c r="M1386" i="1"/>
  <c r="ER1389" i="1"/>
  <c r="DZ1389" i="1"/>
  <c r="DY1389" i="1"/>
  <c r="DS1389" i="1"/>
  <c r="DR1389" i="1"/>
  <c r="DQ1389" i="1"/>
  <c r="DP1389" i="1"/>
  <c r="DN1389" i="1"/>
  <c r="DO1389" i="1" s="1"/>
  <c r="DH1389" i="1"/>
  <c r="DC1389" i="1"/>
  <c r="CP1389" i="1"/>
  <c r="CU1389" i="1" s="1"/>
  <c r="BX1389" i="1"/>
  <c r="BZ1389" i="1" s="1"/>
  <c r="BW1389" i="1"/>
  <c r="BP1389" i="1"/>
  <c r="BQ1389" i="1" s="1"/>
  <c r="BF1389" i="1"/>
  <c r="BE1389" i="1"/>
  <c r="BD1389" i="1"/>
  <c r="BC1389" i="1"/>
  <c r="BB1389" i="1"/>
  <c r="BA1389" i="1"/>
  <c r="BG1389" i="1" s="1" a="1"/>
  <c r="BG1389" i="1" s="1"/>
  <c r="AZ1389" i="1"/>
  <c r="M1389" i="1"/>
  <c r="ER1431" i="1"/>
  <c r="DZ1431" i="1"/>
  <c r="DY1431" i="1"/>
  <c r="DS1431" i="1"/>
  <c r="DR1431" i="1"/>
  <c r="DQ1431" i="1"/>
  <c r="DP1431" i="1"/>
  <c r="DN1431" i="1"/>
  <c r="DO1431" i="1" s="1"/>
  <c r="DH1431" i="1"/>
  <c r="DC1431" i="1"/>
  <c r="BV1431" i="1"/>
  <c r="BU1431" i="1"/>
  <c r="BN1431" i="1"/>
  <c r="BM1431" i="1"/>
  <c r="BF1431" i="1"/>
  <c r="BE1431" i="1"/>
  <c r="BD1431" i="1"/>
  <c r="BC1431" i="1"/>
  <c r="BB1431" i="1"/>
  <c r="BA1431" i="1"/>
  <c r="BG1431" i="1" s="1" a="1"/>
  <c r="BG1431" i="1" s="1"/>
  <c r="AZ1431" i="1"/>
  <c r="M1431" i="1"/>
  <c r="ER1339" i="1"/>
  <c r="DZ1339" i="1"/>
  <c r="DY1339" i="1"/>
  <c r="DS1339" i="1"/>
  <c r="DR1339" i="1"/>
  <c r="DQ1339" i="1"/>
  <c r="DP1339" i="1"/>
  <c r="DN1339" i="1"/>
  <c r="DO1339" i="1" s="1"/>
  <c r="DH1339" i="1"/>
  <c r="DC1339" i="1"/>
  <c r="BX1339" i="1"/>
  <c r="BZ1339" i="1" s="1"/>
  <c r="BW1339" i="1"/>
  <c r="BQ1339" i="1"/>
  <c r="BM1339" i="1"/>
  <c r="BF1339" i="1"/>
  <c r="BE1339" i="1"/>
  <c r="BD1339" i="1"/>
  <c r="BC1339" i="1"/>
  <c r="BB1339" i="1"/>
  <c r="BA1339" i="1"/>
  <c r="AZ1339" i="1"/>
  <c r="M1339" i="1"/>
  <c r="ER1340" i="1"/>
  <c r="DZ1340" i="1"/>
  <c r="DY1340" i="1"/>
  <c r="DS1340" i="1"/>
  <c r="DR1340" i="1"/>
  <c r="DQ1340" i="1"/>
  <c r="DP1340" i="1"/>
  <c r="DN1340" i="1"/>
  <c r="DO1340" i="1" s="1"/>
  <c r="DH1340" i="1"/>
  <c r="DC1340" i="1"/>
  <c r="BX1340" i="1"/>
  <c r="BZ1340" i="1" s="1"/>
  <c r="BW1340" i="1"/>
  <c r="BQ1340" i="1"/>
  <c r="BM1340" i="1"/>
  <c r="CP1340" i="1" s="1"/>
  <c r="BF1340" i="1"/>
  <c r="BE1340" i="1"/>
  <c r="BD1340" i="1"/>
  <c r="BC1340" i="1"/>
  <c r="BB1340" i="1"/>
  <c r="BA1340" i="1"/>
  <c r="AZ1340" i="1"/>
  <c r="M1340" i="1"/>
  <c r="ER1338" i="1"/>
  <c r="DZ1338" i="1"/>
  <c r="DY1338" i="1"/>
  <c r="DS1338" i="1"/>
  <c r="DR1338" i="1"/>
  <c r="DQ1338" i="1"/>
  <c r="DP1338" i="1"/>
  <c r="DN1338" i="1"/>
  <c r="DO1338" i="1" s="1"/>
  <c r="DH1338" i="1"/>
  <c r="DC1338" i="1"/>
  <c r="CP1338" i="1"/>
  <c r="CQ1338" i="1" s="1"/>
  <c r="BZ1338" i="1"/>
  <c r="BW1338" i="1"/>
  <c r="BP1338" i="1"/>
  <c r="BQ1338" i="1" s="1"/>
  <c r="BO1338" i="1"/>
  <c r="BF1338" i="1"/>
  <c r="BE1338" i="1"/>
  <c r="BD1338" i="1"/>
  <c r="BC1338" i="1"/>
  <c r="BB1338" i="1"/>
  <c r="BA1338" i="1"/>
  <c r="AZ1338" i="1"/>
  <c r="M1338" i="1"/>
  <c r="ER1337" i="1"/>
  <c r="DZ1337" i="1"/>
  <c r="DY1337" i="1"/>
  <c r="DS1337" i="1"/>
  <c r="DR1337" i="1"/>
  <c r="DQ1337" i="1"/>
  <c r="DP1337" i="1"/>
  <c r="DN1337" i="1"/>
  <c r="DO1337" i="1" s="1"/>
  <c r="DH1337" i="1"/>
  <c r="DC1337" i="1"/>
  <c r="CP1337" i="1"/>
  <c r="CR1337" i="1" s="1"/>
  <c r="BZ1337" i="1"/>
  <c r="BW1337" i="1"/>
  <c r="BP1337" i="1"/>
  <c r="BQ1337" i="1" s="1"/>
  <c r="BO1337" i="1"/>
  <c r="BF1337" i="1"/>
  <c r="BE1337" i="1"/>
  <c r="BD1337" i="1"/>
  <c r="BC1337" i="1"/>
  <c r="BB1337" i="1"/>
  <c r="BA1337" i="1"/>
  <c r="AZ1337" i="1"/>
  <c r="M1337" i="1"/>
  <c r="ER962" i="1"/>
  <c r="DZ962" i="1"/>
  <c r="DY962" i="1"/>
  <c r="DS962" i="1"/>
  <c r="DR962" i="1"/>
  <c r="DQ962" i="1"/>
  <c r="DP962" i="1"/>
  <c r="DN962" i="1"/>
  <c r="DO962" i="1" s="1"/>
  <c r="DH962" i="1"/>
  <c r="DC962" i="1"/>
  <c r="CP962" i="1"/>
  <c r="BZ962" i="1"/>
  <c r="BP962" i="1"/>
  <c r="BQ962" i="1" s="1"/>
  <c r="BO962" i="1"/>
  <c r="BF962" i="1"/>
  <c r="BE962" i="1"/>
  <c r="BD962" i="1"/>
  <c r="BC962" i="1"/>
  <c r="BB962" i="1"/>
  <c r="BA962" i="1"/>
  <c r="BG962" i="1" s="1" a="1"/>
  <c r="BG962" i="1" s="1"/>
  <c r="AZ962" i="1"/>
  <c r="M962" i="1"/>
  <c r="ER623" i="1"/>
  <c r="DZ623" i="1"/>
  <c r="DY623" i="1"/>
  <c r="DS623" i="1"/>
  <c r="DR623" i="1"/>
  <c r="DQ623" i="1"/>
  <c r="DP623" i="1"/>
  <c r="DN623" i="1"/>
  <c r="DO623" i="1" s="1"/>
  <c r="DH623" i="1"/>
  <c r="DC623" i="1"/>
  <c r="CP623" i="1"/>
  <c r="CV623" i="1" s="1"/>
  <c r="BX623" i="1"/>
  <c r="BZ623" i="1" s="1"/>
  <c r="BP623" i="1"/>
  <c r="BQ623" i="1" s="1"/>
  <c r="BO623" i="1"/>
  <c r="BF623" i="1"/>
  <c r="BE623" i="1"/>
  <c r="BD623" i="1"/>
  <c r="BC623" i="1"/>
  <c r="BB623" i="1"/>
  <c r="BA623" i="1"/>
  <c r="BG623" i="1" s="1" a="1"/>
  <c r="BG623" i="1" s="1"/>
  <c r="AZ623" i="1"/>
  <c r="M623" i="1"/>
  <c r="ER624" i="1"/>
  <c r="DZ624" i="1"/>
  <c r="DY624" i="1"/>
  <c r="DS624" i="1"/>
  <c r="DR624" i="1"/>
  <c r="DQ624" i="1"/>
  <c r="DP624" i="1"/>
  <c r="DN624" i="1"/>
  <c r="DO624" i="1" s="1"/>
  <c r="DH624" i="1"/>
  <c r="DC624" i="1"/>
  <c r="CP624" i="1"/>
  <c r="BX624" i="1"/>
  <c r="BZ624" i="1" s="1"/>
  <c r="BP624" i="1"/>
  <c r="BQ624" i="1" s="1"/>
  <c r="BO624" i="1"/>
  <c r="BF624" i="1"/>
  <c r="BE624" i="1"/>
  <c r="BD624" i="1"/>
  <c r="BC624" i="1"/>
  <c r="BB624" i="1"/>
  <c r="BA624" i="1"/>
  <c r="BG624" i="1" s="1" a="1"/>
  <c r="BG624" i="1" s="1"/>
  <c r="AZ624" i="1"/>
  <c r="M624" i="1"/>
  <c r="ER625" i="1"/>
  <c r="DZ625" i="1"/>
  <c r="DY625" i="1"/>
  <c r="DS625" i="1"/>
  <c r="DR625" i="1"/>
  <c r="DQ625" i="1"/>
  <c r="DP625" i="1"/>
  <c r="DN625" i="1"/>
  <c r="DO625" i="1" s="1"/>
  <c r="DH625" i="1"/>
  <c r="DC625" i="1"/>
  <c r="CP625" i="1"/>
  <c r="CQ625" i="1" s="1"/>
  <c r="BZ625" i="1"/>
  <c r="BP625" i="1"/>
  <c r="BQ625" i="1" s="1"/>
  <c r="BO625" i="1"/>
  <c r="BF625" i="1"/>
  <c r="BE625" i="1"/>
  <c r="BD625" i="1"/>
  <c r="BC625" i="1"/>
  <c r="BB625" i="1"/>
  <c r="BA625" i="1"/>
  <c r="BG625" i="1" s="1" a="1"/>
  <c r="BG625" i="1" s="1"/>
  <c r="AZ625" i="1"/>
  <c r="M625" i="1"/>
  <c r="ER626" i="1"/>
  <c r="DZ626" i="1"/>
  <c r="DY626" i="1"/>
  <c r="DS626" i="1"/>
  <c r="DR626" i="1"/>
  <c r="DQ626" i="1"/>
  <c r="DP626" i="1"/>
  <c r="DN626" i="1"/>
  <c r="DO626" i="1" s="1"/>
  <c r="DH626" i="1"/>
  <c r="DC626" i="1"/>
  <c r="CP626" i="1"/>
  <c r="CV626" i="1" s="1"/>
  <c r="BX626" i="1"/>
  <c r="BZ626" i="1" s="1"/>
  <c r="BP626" i="1"/>
  <c r="BQ626" i="1" s="1"/>
  <c r="BO626" i="1"/>
  <c r="BF626" i="1"/>
  <c r="BE626" i="1"/>
  <c r="BD626" i="1"/>
  <c r="BC626" i="1"/>
  <c r="BB626" i="1"/>
  <c r="BA626" i="1"/>
  <c r="BG626" i="1" s="1" a="1"/>
  <c r="BG626" i="1" s="1"/>
  <c r="AZ626" i="1"/>
  <c r="M626" i="1"/>
  <c r="ER621" i="1"/>
  <c r="DZ621" i="1"/>
  <c r="DY621" i="1"/>
  <c r="DS621" i="1"/>
  <c r="DR621" i="1"/>
  <c r="DQ621" i="1"/>
  <c r="DP621" i="1"/>
  <c r="DN621" i="1"/>
  <c r="DO621" i="1" s="1"/>
  <c r="DH621" i="1"/>
  <c r="DC621" i="1"/>
  <c r="CP621" i="1"/>
  <c r="CQ621" i="1" s="1"/>
  <c r="BZ621" i="1"/>
  <c r="BP621" i="1"/>
  <c r="BQ621" i="1" s="1"/>
  <c r="BO621" i="1"/>
  <c r="BF621" i="1"/>
  <c r="BE621" i="1"/>
  <c r="BD621" i="1"/>
  <c r="BC621" i="1"/>
  <c r="BB621" i="1"/>
  <c r="BA621" i="1"/>
  <c r="BG621" i="1" s="1" a="1"/>
  <c r="BG621" i="1" s="1"/>
  <c r="AZ621" i="1"/>
  <c r="M621" i="1"/>
  <c r="ER622" i="1"/>
  <c r="DZ622" i="1"/>
  <c r="DY622" i="1"/>
  <c r="DS622" i="1"/>
  <c r="DR622" i="1"/>
  <c r="DQ622" i="1"/>
  <c r="DP622" i="1"/>
  <c r="DN622" i="1"/>
  <c r="DO622" i="1" s="1"/>
  <c r="DH622" i="1"/>
  <c r="DC622" i="1"/>
  <c r="CP622" i="1"/>
  <c r="CU622" i="1" s="1"/>
  <c r="BZ622" i="1"/>
  <c r="BP622" i="1"/>
  <c r="BQ622" i="1" s="1"/>
  <c r="BO622" i="1"/>
  <c r="BF622" i="1"/>
  <c r="BE622" i="1"/>
  <c r="BD622" i="1"/>
  <c r="BC622" i="1"/>
  <c r="BB622" i="1"/>
  <c r="BA622" i="1"/>
  <c r="BG622" i="1" s="1" a="1"/>
  <c r="BG622" i="1" s="1"/>
  <c r="AZ622" i="1"/>
  <c r="M622" i="1"/>
  <c r="ER627" i="1"/>
  <c r="DZ627" i="1"/>
  <c r="DY627" i="1"/>
  <c r="DS627" i="1"/>
  <c r="DR627" i="1"/>
  <c r="DQ627" i="1"/>
  <c r="DP627" i="1"/>
  <c r="DN627" i="1"/>
  <c r="DO627" i="1" s="1"/>
  <c r="DH627" i="1"/>
  <c r="DC627" i="1"/>
  <c r="BZ627" i="1"/>
  <c r="BM627" i="1"/>
  <c r="BF627" i="1"/>
  <c r="BE627" i="1"/>
  <c r="BD627" i="1"/>
  <c r="BC627" i="1"/>
  <c r="BB627" i="1"/>
  <c r="BA627" i="1"/>
  <c r="BG627" i="1" s="1" a="1"/>
  <c r="BG627" i="1" s="1"/>
  <c r="AZ627" i="1"/>
  <c r="M627" i="1"/>
  <c r="ER628" i="1"/>
  <c r="DZ628" i="1"/>
  <c r="DY628" i="1"/>
  <c r="DS628" i="1"/>
  <c r="DR628" i="1"/>
  <c r="DQ628" i="1"/>
  <c r="DP628" i="1"/>
  <c r="DN628" i="1"/>
  <c r="DO628" i="1" s="1"/>
  <c r="DH628" i="1"/>
  <c r="DC628" i="1"/>
  <c r="BZ628" i="1"/>
  <c r="BM628" i="1"/>
  <c r="BO628" i="1" s="1"/>
  <c r="BF628" i="1"/>
  <c r="BE628" i="1"/>
  <c r="BD628" i="1"/>
  <c r="BC628" i="1"/>
  <c r="BB628" i="1"/>
  <c r="BA628" i="1"/>
  <c r="BG628" i="1" s="1" a="1"/>
  <c r="BG628" i="1" s="1"/>
  <c r="AZ628" i="1"/>
  <c r="M628" i="1"/>
  <c r="ER620" i="1"/>
  <c r="DZ620" i="1"/>
  <c r="DY620" i="1"/>
  <c r="DS620" i="1"/>
  <c r="DR620" i="1"/>
  <c r="DQ620" i="1"/>
  <c r="DP620" i="1"/>
  <c r="DN620" i="1"/>
  <c r="DO620" i="1" s="1"/>
  <c r="DH620" i="1"/>
  <c r="DC620" i="1"/>
  <c r="CP620" i="1"/>
  <c r="CV620" i="1" s="1"/>
  <c r="BZ620" i="1"/>
  <c r="BP620" i="1"/>
  <c r="BQ620" i="1" s="1"/>
  <c r="BO620" i="1"/>
  <c r="BF620" i="1"/>
  <c r="BE620" i="1"/>
  <c r="BD620" i="1"/>
  <c r="BC620" i="1"/>
  <c r="BB620" i="1"/>
  <c r="BA620" i="1"/>
  <c r="BG620" i="1" s="1" a="1"/>
  <c r="BG620" i="1" s="1"/>
  <c r="AZ620" i="1"/>
  <c r="M620" i="1"/>
  <c r="ER960" i="1"/>
  <c r="DZ960" i="1"/>
  <c r="DY960" i="1"/>
  <c r="DS960" i="1"/>
  <c r="DR960" i="1"/>
  <c r="DQ960" i="1"/>
  <c r="DP960" i="1"/>
  <c r="DN960" i="1"/>
  <c r="DO960" i="1" s="1"/>
  <c r="DH960" i="1"/>
  <c r="DC960" i="1"/>
  <c r="BV960" i="1"/>
  <c r="BW960" i="1" s="1"/>
  <c r="BN960" i="1"/>
  <c r="BF960" i="1"/>
  <c r="BE960" i="1"/>
  <c r="BD960" i="1"/>
  <c r="BC960" i="1"/>
  <c r="BB960" i="1"/>
  <c r="BA960" i="1"/>
  <c r="BG960" i="1" s="1" a="1"/>
  <c r="BG960" i="1" s="1"/>
  <c r="AZ960" i="1"/>
  <c r="M960" i="1"/>
  <c r="ER961" i="1"/>
  <c r="DZ961" i="1"/>
  <c r="DY961" i="1"/>
  <c r="DS961" i="1"/>
  <c r="DR961" i="1"/>
  <c r="DQ961" i="1"/>
  <c r="DP961" i="1"/>
  <c r="DN961" i="1"/>
  <c r="DO961" i="1" s="1"/>
  <c r="DH961" i="1"/>
  <c r="DC961" i="1"/>
  <c r="BV961" i="1"/>
  <c r="BX961" i="1" s="1"/>
  <c r="BZ961" i="1" s="1"/>
  <c r="BN961" i="1"/>
  <c r="CP961" i="1" s="1"/>
  <c r="BF961" i="1"/>
  <c r="BE961" i="1"/>
  <c r="BD961" i="1"/>
  <c r="BC961" i="1"/>
  <c r="BB961" i="1"/>
  <c r="BA961" i="1"/>
  <c r="BG961" i="1" s="1" a="1"/>
  <c r="BG961" i="1" s="1"/>
  <c r="AZ961" i="1"/>
  <c r="M961" i="1"/>
  <c r="ER959" i="1"/>
  <c r="DZ959" i="1"/>
  <c r="DY959" i="1"/>
  <c r="DS959" i="1"/>
  <c r="DR959" i="1"/>
  <c r="DQ959" i="1"/>
  <c r="DP959" i="1"/>
  <c r="DN959" i="1"/>
  <c r="DO959" i="1" s="1"/>
  <c r="DH959" i="1"/>
  <c r="DC959" i="1"/>
  <c r="BV959" i="1"/>
  <c r="BX959" i="1" s="1"/>
  <c r="BZ959" i="1" s="1"/>
  <c r="BN959" i="1"/>
  <c r="CP959" i="1" s="1"/>
  <c r="CU959" i="1" s="1"/>
  <c r="BF959" i="1"/>
  <c r="BE959" i="1"/>
  <c r="BD959" i="1"/>
  <c r="BC959" i="1"/>
  <c r="BB959" i="1"/>
  <c r="BA959" i="1"/>
  <c r="BG959" i="1" s="1" a="1"/>
  <c r="BG959" i="1" s="1"/>
  <c r="AZ959" i="1"/>
  <c r="M959" i="1"/>
  <c r="ER1430" i="1"/>
  <c r="DZ1430" i="1"/>
  <c r="DY1430" i="1"/>
  <c r="DS1430" i="1"/>
  <c r="DR1430" i="1"/>
  <c r="DQ1430" i="1"/>
  <c r="DP1430" i="1"/>
  <c r="DN1430" i="1"/>
  <c r="DO1430" i="1" s="1"/>
  <c r="DH1430" i="1"/>
  <c r="DC1430" i="1"/>
  <c r="BX1430" i="1"/>
  <c r="BZ1430" i="1" s="1"/>
  <c r="CA1430" i="1" s="1"/>
  <c r="BW1430" i="1"/>
  <c r="BN1430" i="1"/>
  <c r="BM1430" i="1"/>
  <c r="BF1430" i="1"/>
  <c r="BE1430" i="1"/>
  <c r="BD1430" i="1"/>
  <c r="BC1430" i="1"/>
  <c r="BB1430" i="1"/>
  <c r="BA1430" i="1"/>
  <c r="BG1430" i="1" s="1" a="1"/>
  <c r="BG1430" i="1" s="1"/>
  <c r="AZ1430" i="1"/>
  <c r="M1430" i="1"/>
  <c r="ER958" i="1"/>
  <c r="DZ958" i="1"/>
  <c r="DY958" i="1"/>
  <c r="DS958" i="1"/>
  <c r="DR958" i="1"/>
  <c r="DQ958" i="1"/>
  <c r="DP958" i="1"/>
  <c r="DN958" i="1"/>
  <c r="DO958" i="1" s="1"/>
  <c r="DH958" i="1"/>
  <c r="DC958" i="1"/>
  <c r="BV958" i="1"/>
  <c r="BU958" i="1"/>
  <c r="BN958" i="1"/>
  <c r="BM958" i="1"/>
  <c r="BF958" i="1"/>
  <c r="BE958" i="1"/>
  <c r="BD958" i="1"/>
  <c r="BC958" i="1"/>
  <c r="BB958" i="1"/>
  <c r="BA958" i="1"/>
  <c r="BG958" i="1" s="1" a="1"/>
  <c r="BG958" i="1" s="1"/>
  <c r="AZ958" i="1"/>
  <c r="M958" i="1"/>
  <c r="ER1280" i="1"/>
  <c r="DZ1280" i="1"/>
  <c r="DY1280" i="1"/>
  <c r="DS1280" i="1"/>
  <c r="DR1280" i="1"/>
  <c r="DQ1280" i="1"/>
  <c r="DP1280" i="1"/>
  <c r="DN1280" i="1"/>
  <c r="DO1280" i="1" s="1"/>
  <c r="DH1280" i="1"/>
  <c r="DC1280" i="1"/>
  <c r="BV1280" i="1"/>
  <c r="BU1280" i="1"/>
  <c r="BF1280" i="1"/>
  <c r="BE1280" i="1"/>
  <c r="BD1280" i="1"/>
  <c r="BC1280" i="1"/>
  <c r="BB1280" i="1"/>
  <c r="BA1280" i="1"/>
  <c r="BG1280" i="1" s="1" a="1"/>
  <c r="BG1280" i="1" s="1"/>
  <c r="AZ1280" i="1"/>
  <c r="M1280" i="1"/>
  <c r="ER1281" i="1"/>
  <c r="DZ1281" i="1"/>
  <c r="DY1281" i="1"/>
  <c r="DS1281" i="1"/>
  <c r="DR1281" i="1"/>
  <c r="DQ1281" i="1"/>
  <c r="DP1281" i="1"/>
  <c r="DN1281" i="1"/>
  <c r="DO1281" i="1" s="1"/>
  <c r="DH1281" i="1"/>
  <c r="DC1281" i="1"/>
  <c r="BV1281" i="1"/>
  <c r="BU1281" i="1"/>
  <c r="BF1281" i="1"/>
  <c r="BE1281" i="1"/>
  <c r="BD1281" i="1"/>
  <c r="BC1281" i="1"/>
  <c r="BB1281" i="1"/>
  <c r="BA1281" i="1"/>
  <c r="BG1281" i="1" s="1" a="1"/>
  <c r="BG1281" i="1" s="1"/>
  <c r="AZ1281" i="1"/>
  <c r="M1281" i="1"/>
  <c r="ER1425" i="1"/>
  <c r="DZ1425" i="1"/>
  <c r="DY1425" i="1"/>
  <c r="DS1425" i="1"/>
  <c r="DR1425" i="1"/>
  <c r="DQ1425" i="1"/>
  <c r="DP1425" i="1"/>
  <c r="DN1425" i="1"/>
  <c r="DO1425" i="1" s="1"/>
  <c r="DH1425" i="1"/>
  <c r="DC1425" i="1"/>
  <c r="BZ1425" i="1"/>
  <c r="BN1425" i="1"/>
  <c r="BM1425" i="1"/>
  <c r="BF1425" i="1"/>
  <c r="BE1425" i="1"/>
  <c r="BD1425" i="1"/>
  <c r="BC1425" i="1"/>
  <c r="BB1425" i="1"/>
  <c r="BA1425" i="1"/>
  <c r="BG1425" i="1" s="1" a="1"/>
  <c r="BG1425" i="1" s="1"/>
  <c r="AZ1425" i="1"/>
  <c r="M1425" i="1"/>
  <c r="ER1426" i="1"/>
  <c r="DZ1426" i="1"/>
  <c r="DY1426" i="1"/>
  <c r="DS1426" i="1"/>
  <c r="DR1426" i="1"/>
  <c r="DQ1426" i="1"/>
  <c r="DP1426" i="1"/>
  <c r="DN1426" i="1"/>
  <c r="DO1426" i="1" s="1"/>
  <c r="DH1426" i="1"/>
  <c r="DC1426" i="1"/>
  <c r="BZ1426" i="1"/>
  <c r="BN1426" i="1"/>
  <c r="BM1426" i="1"/>
  <c r="BF1426" i="1"/>
  <c r="BE1426" i="1"/>
  <c r="BD1426" i="1"/>
  <c r="BC1426" i="1"/>
  <c r="BB1426" i="1"/>
  <c r="BA1426" i="1"/>
  <c r="BG1426" i="1" s="1" a="1"/>
  <c r="BG1426" i="1" s="1"/>
  <c r="AZ1426" i="1"/>
  <c r="M1426" i="1"/>
  <c r="ER1427" i="1"/>
  <c r="DZ1427" i="1"/>
  <c r="DY1427" i="1"/>
  <c r="DS1427" i="1"/>
  <c r="DR1427" i="1"/>
  <c r="DQ1427" i="1"/>
  <c r="DP1427" i="1"/>
  <c r="DN1427" i="1"/>
  <c r="DO1427" i="1" s="1"/>
  <c r="DH1427" i="1"/>
  <c r="DC1427" i="1"/>
  <c r="BZ1427" i="1"/>
  <c r="BN1427" i="1"/>
  <c r="BM1427" i="1"/>
  <c r="BF1427" i="1"/>
  <c r="BE1427" i="1"/>
  <c r="BD1427" i="1"/>
  <c r="BC1427" i="1"/>
  <c r="BB1427" i="1"/>
  <c r="BA1427" i="1"/>
  <c r="BG1427" i="1" s="1" a="1"/>
  <c r="BG1427" i="1" s="1"/>
  <c r="AZ1427" i="1"/>
  <c r="M1427" i="1"/>
  <c r="ER1422" i="1"/>
  <c r="DZ1422" i="1"/>
  <c r="DY1422" i="1"/>
  <c r="DS1422" i="1"/>
  <c r="DR1422" i="1"/>
  <c r="DQ1422" i="1"/>
  <c r="DP1422" i="1"/>
  <c r="DN1422" i="1"/>
  <c r="DO1422" i="1" s="1"/>
  <c r="DH1422" i="1"/>
  <c r="DC1422" i="1"/>
  <c r="CP1422" i="1"/>
  <c r="BZ1422" i="1"/>
  <c r="BP1422" i="1"/>
  <c r="BQ1422" i="1" s="1"/>
  <c r="BF1422" i="1"/>
  <c r="BE1422" i="1"/>
  <c r="BD1422" i="1"/>
  <c r="BC1422" i="1"/>
  <c r="BB1422" i="1"/>
  <c r="BA1422" i="1"/>
  <c r="BG1422" i="1" s="1" a="1"/>
  <c r="BG1422" i="1" s="1"/>
  <c r="AZ1422" i="1"/>
  <c r="M1422" i="1"/>
  <c r="ER1423" i="1"/>
  <c r="DZ1423" i="1"/>
  <c r="DY1423" i="1"/>
  <c r="DS1423" i="1"/>
  <c r="DR1423" i="1"/>
  <c r="DQ1423" i="1"/>
  <c r="DP1423" i="1"/>
  <c r="DN1423" i="1"/>
  <c r="DO1423" i="1" s="1"/>
  <c r="DH1423" i="1"/>
  <c r="DC1423" i="1"/>
  <c r="CP1423" i="1"/>
  <c r="BZ1423" i="1"/>
  <c r="BP1423" i="1"/>
  <c r="BQ1423" i="1" s="1"/>
  <c r="BF1423" i="1"/>
  <c r="BE1423" i="1"/>
  <c r="BD1423" i="1"/>
  <c r="BC1423" i="1"/>
  <c r="BB1423" i="1"/>
  <c r="BA1423" i="1"/>
  <c r="BG1423" i="1" s="1" a="1"/>
  <c r="BG1423" i="1" s="1"/>
  <c r="AZ1423" i="1"/>
  <c r="M1423" i="1"/>
  <c r="ER1424" i="1"/>
  <c r="DZ1424" i="1"/>
  <c r="DY1424" i="1"/>
  <c r="DS1424" i="1"/>
  <c r="DR1424" i="1"/>
  <c r="DQ1424" i="1"/>
  <c r="DP1424" i="1"/>
  <c r="DN1424" i="1"/>
  <c r="DO1424" i="1" s="1"/>
  <c r="DH1424" i="1"/>
  <c r="DC1424" i="1"/>
  <c r="CP1424" i="1"/>
  <c r="BZ1424" i="1"/>
  <c r="BP1424" i="1"/>
  <c r="BQ1424" i="1" s="1"/>
  <c r="BF1424" i="1"/>
  <c r="BE1424" i="1"/>
  <c r="BD1424" i="1"/>
  <c r="BC1424" i="1"/>
  <c r="BB1424" i="1"/>
  <c r="BA1424" i="1"/>
  <c r="BG1424" i="1" s="1" a="1"/>
  <c r="BG1424" i="1" s="1"/>
  <c r="AZ1424" i="1"/>
  <c r="M1424" i="1"/>
  <c r="ER1412" i="1"/>
  <c r="DZ1412" i="1"/>
  <c r="DY1412" i="1"/>
  <c r="DS1412" i="1"/>
  <c r="DR1412" i="1"/>
  <c r="DQ1412" i="1"/>
  <c r="DP1412" i="1"/>
  <c r="DN1412" i="1"/>
  <c r="DO1412" i="1" s="1"/>
  <c r="DH1412" i="1"/>
  <c r="DC1412" i="1"/>
  <c r="CP1412" i="1"/>
  <c r="CV1412" i="1" s="1"/>
  <c r="BZ1412" i="1"/>
  <c r="BP1412" i="1"/>
  <c r="BQ1412" i="1" s="1"/>
  <c r="BF1412" i="1"/>
  <c r="BE1412" i="1"/>
  <c r="BD1412" i="1"/>
  <c r="BC1412" i="1"/>
  <c r="BB1412" i="1"/>
  <c r="BA1412" i="1"/>
  <c r="BG1412" i="1" s="1" a="1"/>
  <c r="BG1412" i="1" s="1"/>
  <c r="AZ1412" i="1"/>
  <c r="M1412" i="1"/>
  <c r="ER1414" i="1"/>
  <c r="DZ1414" i="1"/>
  <c r="DY1414" i="1"/>
  <c r="DS1414" i="1"/>
  <c r="DR1414" i="1"/>
  <c r="DQ1414" i="1"/>
  <c r="DP1414" i="1"/>
  <c r="DN1414" i="1"/>
  <c r="DO1414" i="1" s="1"/>
  <c r="DH1414" i="1"/>
  <c r="DC1414" i="1"/>
  <c r="CP1414" i="1"/>
  <c r="BZ1414" i="1"/>
  <c r="BP1414" i="1"/>
  <c r="BQ1414" i="1" s="1"/>
  <c r="BF1414" i="1"/>
  <c r="BE1414" i="1"/>
  <c r="BD1414" i="1"/>
  <c r="BC1414" i="1"/>
  <c r="BB1414" i="1"/>
  <c r="BA1414" i="1"/>
  <c r="BG1414" i="1" s="1" a="1"/>
  <c r="BG1414" i="1" s="1"/>
  <c r="AZ1414" i="1"/>
  <c r="M1414" i="1"/>
  <c r="ER1410" i="1"/>
  <c r="DZ1410" i="1"/>
  <c r="DY1410" i="1"/>
  <c r="DS1410" i="1"/>
  <c r="DR1410" i="1"/>
  <c r="DQ1410" i="1"/>
  <c r="DP1410" i="1"/>
  <c r="DN1410" i="1"/>
  <c r="DO1410" i="1" s="1"/>
  <c r="DH1410" i="1"/>
  <c r="DC1410" i="1"/>
  <c r="CP1410" i="1"/>
  <c r="BZ1410" i="1"/>
  <c r="BP1410" i="1"/>
  <c r="BQ1410" i="1" s="1"/>
  <c r="BF1410" i="1"/>
  <c r="BE1410" i="1"/>
  <c r="BD1410" i="1"/>
  <c r="BC1410" i="1"/>
  <c r="BB1410" i="1"/>
  <c r="BA1410" i="1"/>
  <c r="BG1410" i="1" s="1" a="1"/>
  <c r="BG1410" i="1" s="1"/>
  <c r="AZ1410" i="1"/>
  <c r="M1410" i="1"/>
  <c r="ER1409" i="1"/>
  <c r="DZ1409" i="1"/>
  <c r="DY1409" i="1"/>
  <c r="DS1409" i="1"/>
  <c r="DR1409" i="1"/>
  <c r="DQ1409" i="1"/>
  <c r="DP1409" i="1"/>
  <c r="DN1409" i="1"/>
  <c r="DO1409" i="1" s="1"/>
  <c r="DH1409" i="1"/>
  <c r="DC1409" i="1"/>
  <c r="CP1409" i="1"/>
  <c r="CV1409" i="1" s="1"/>
  <c r="BZ1409" i="1"/>
  <c r="BP1409" i="1"/>
  <c r="BQ1409" i="1" s="1"/>
  <c r="BF1409" i="1"/>
  <c r="BE1409" i="1"/>
  <c r="BD1409" i="1"/>
  <c r="BC1409" i="1"/>
  <c r="BB1409" i="1"/>
  <c r="BA1409" i="1"/>
  <c r="BG1409" i="1" s="1" a="1"/>
  <c r="BG1409" i="1" s="1"/>
  <c r="AZ1409" i="1"/>
  <c r="M1409" i="1"/>
  <c r="ER1413" i="1"/>
  <c r="DZ1413" i="1"/>
  <c r="DY1413" i="1"/>
  <c r="DS1413" i="1"/>
  <c r="DR1413" i="1"/>
  <c r="DQ1413" i="1"/>
  <c r="DP1413" i="1"/>
  <c r="DN1413" i="1"/>
  <c r="DO1413" i="1" s="1"/>
  <c r="DH1413" i="1"/>
  <c r="DC1413" i="1"/>
  <c r="CP1413" i="1"/>
  <c r="CV1413" i="1" s="1"/>
  <c r="BZ1413" i="1"/>
  <c r="BP1413" i="1"/>
  <c r="BQ1413" i="1" s="1"/>
  <c r="BF1413" i="1"/>
  <c r="BE1413" i="1"/>
  <c r="BD1413" i="1"/>
  <c r="BC1413" i="1"/>
  <c r="BB1413" i="1"/>
  <c r="BA1413" i="1"/>
  <c r="BG1413" i="1" s="1" a="1"/>
  <c r="BG1413" i="1" s="1"/>
  <c r="AZ1413" i="1"/>
  <c r="M1413" i="1"/>
  <c r="ER1411" i="1"/>
  <c r="DZ1411" i="1"/>
  <c r="DY1411" i="1"/>
  <c r="DS1411" i="1"/>
  <c r="DR1411" i="1"/>
  <c r="DQ1411" i="1"/>
  <c r="DP1411" i="1"/>
  <c r="DN1411" i="1"/>
  <c r="DO1411" i="1" s="1"/>
  <c r="DH1411" i="1"/>
  <c r="DC1411" i="1"/>
  <c r="CP1411" i="1"/>
  <c r="CV1411" i="1" s="1"/>
  <c r="BZ1411" i="1"/>
  <c r="BP1411" i="1"/>
  <c r="BQ1411" i="1" s="1"/>
  <c r="BF1411" i="1"/>
  <c r="BE1411" i="1"/>
  <c r="BD1411" i="1"/>
  <c r="BC1411" i="1"/>
  <c r="BB1411" i="1"/>
  <c r="BA1411" i="1"/>
  <c r="BG1411" i="1" s="1" a="1"/>
  <c r="BG1411" i="1" s="1"/>
  <c r="AZ1411" i="1"/>
  <c r="M1411" i="1"/>
  <c r="ER1420" i="1"/>
  <c r="DZ1420" i="1"/>
  <c r="DY1420" i="1"/>
  <c r="DS1420" i="1"/>
  <c r="DR1420" i="1"/>
  <c r="DQ1420" i="1"/>
  <c r="DP1420" i="1"/>
  <c r="DN1420" i="1"/>
  <c r="DO1420" i="1" s="1"/>
  <c r="DH1420" i="1"/>
  <c r="DC1420" i="1"/>
  <c r="BZ1420" i="1"/>
  <c r="BN1420" i="1"/>
  <c r="BP1420" i="1" s="1"/>
  <c r="BQ1420" i="1" s="1"/>
  <c r="BF1420" i="1"/>
  <c r="BE1420" i="1"/>
  <c r="BD1420" i="1"/>
  <c r="BC1420" i="1"/>
  <c r="BB1420" i="1"/>
  <c r="BA1420" i="1"/>
  <c r="BG1420" i="1" s="1" a="1"/>
  <c r="BG1420" i="1" s="1"/>
  <c r="AZ1420" i="1"/>
  <c r="M1420" i="1"/>
  <c r="ER1421" i="1"/>
  <c r="DZ1421" i="1"/>
  <c r="DY1421" i="1"/>
  <c r="DS1421" i="1"/>
  <c r="DR1421" i="1"/>
  <c r="DQ1421" i="1"/>
  <c r="DP1421" i="1"/>
  <c r="DN1421" i="1"/>
  <c r="DO1421" i="1" s="1"/>
  <c r="DH1421" i="1"/>
  <c r="DC1421" i="1"/>
  <c r="BZ1421" i="1"/>
  <c r="BN1421" i="1"/>
  <c r="BF1421" i="1"/>
  <c r="BE1421" i="1"/>
  <c r="BD1421" i="1"/>
  <c r="BC1421" i="1"/>
  <c r="BB1421" i="1"/>
  <c r="BA1421" i="1"/>
  <c r="BG1421" i="1" s="1" a="1"/>
  <c r="BG1421" i="1" s="1"/>
  <c r="AZ1421" i="1"/>
  <c r="M1421" i="1"/>
  <c r="ER1415" i="1"/>
  <c r="DZ1415" i="1"/>
  <c r="DY1415" i="1"/>
  <c r="DS1415" i="1"/>
  <c r="DR1415" i="1"/>
  <c r="DQ1415" i="1"/>
  <c r="DP1415" i="1"/>
  <c r="DN1415" i="1"/>
  <c r="DO1415" i="1" s="1"/>
  <c r="DH1415" i="1"/>
  <c r="DC1415" i="1"/>
  <c r="BZ1415" i="1"/>
  <c r="BN1415" i="1"/>
  <c r="BP1415" i="1" s="1"/>
  <c r="BQ1415" i="1" s="1"/>
  <c r="BF1415" i="1"/>
  <c r="BE1415" i="1"/>
  <c r="BD1415" i="1"/>
  <c r="BC1415" i="1"/>
  <c r="BB1415" i="1"/>
  <c r="BA1415" i="1"/>
  <c r="BG1415" i="1" s="1" a="1"/>
  <c r="BG1415" i="1" s="1"/>
  <c r="AZ1415" i="1"/>
  <c r="M1415" i="1"/>
  <c r="ER1416" i="1"/>
  <c r="DZ1416" i="1"/>
  <c r="DY1416" i="1"/>
  <c r="DS1416" i="1"/>
  <c r="DR1416" i="1"/>
  <c r="DQ1416" i="1"/>
  <c r="DP1416" i="1"/>
  <c r="DN1416" i="1"/>
  <c r="DO1416" i="1" s="1"/>
  <c r="DH1416" i="1"/>
  <c r="DC1416" i="1"/>
  <c r="BZ1416" i="1"/>
  <c r="BM1416" i="1"/>
  <c r="BP1416" i="1" s="1"/>
  <c r="BQ1416" i="1" s="1"/>
  <c r="BF1416" i="1"/>
  <c r="BE1416" i="1"/>
  <c r="BD1416" i="1"/>
  <c r="BC1416" i="1"/>
  <c r="BB1416" i="1"/>
  <c r="BA1416" i="1"/>
  <c r="BG1416" i="1" s="1" a="1"/>
  <c r="BG1416" i="1" s="1"/>
  <c r="AZ1416" i="1"/>
  <c r="M1416" i="1"/>
  <c r="ER1408" i="1"/>
  <c r="DZ1408" i="1"/>
  <c r="DY1408" i="1"/>
  <c r="DS1408" i="1"/>
  <c r="DR1408" i="1"/>
  <c r="DQ1408" i="1"/>
  <c r="DP1408" i="1"/>
  <c r="DN1408" i="1"/>
  <c r="DO1408" i="1" s="1"/>
  <c r="DH1408" i="1"/>
  <c r="DC1408" i="1"/>
  <c r="BZ1408" i="1"/>
  <c r="BN1408" i="1"/>
  <c r="BP1408" i="1" s="1"/>
  <c r="BQ1408" i="1" s="1"/>
  <c r="BF1408" i="1"/>
  <c r="BE1408" i="1"/>
  <c r="BD1408" i="1"/>
  <c r="BC1408" i="1"/>
  <c r="BB1408" i="1"/>
  <c r="BA1408" i="1"/>
  <c r="BG1408" i="1" s="1" a="1"/>
  <c r="BG1408" i="1" s="1"/>
  <c r="AZ1408" i="1"/>
  <c r="M1408" i="1"/>
  <c r="ER1407" i="1"/>
  <c r="DZ1407" i="1"/>
  <c r="DY1407" i="1"/>
  <c r="DS1407" i="1"/>
  <c r="DR1407" i="1"/>
  <c r="DQ1407" i="1"/>
  <c r="DP1407" i="1"/>
  <c r="DN1407" i="1"/>
  <c r="DO1407" i="1" s="1"/>
  <c r="DH1407" i="1"/>
  <c r="DC1407" i="1"/>
  <c r="BZ1407" i="1"/>
  <c r="BN1407" i="1"/>
  <c r="BP1407" i="1" s="1"/>
  <c r="BQ1407" i="1" s="1"/>
  <c r="BF1407" i="1"/>
  <c r="BE1407" i="1"/>
  <c r="BD1407" i="1"/>
  <c r="BC1407" i="1"/>
  <c r="BB1407" i="1"/>
  <c r="BA1407" i="1"/>
  <c r="BG1407" i="1" s="1" a="1"/>
  <c r="BG1407" i="1" s="1"/>
  <c r="AZ1407" i="1"/>
  <c r="M1407" i="1"/>
  <c r="ER1406" i="1"/>
  <c r="DZ1406" i="1"/>
  <c r="DY1406" i="1"/>
  <c r="DS1406" i="1"/>
  <c r="DR1406" i="1"/>
  <c r="DQ1406" i="1"/>
  <c r="DP1406" i="1"/>
  <c r="DN1406" i="1"/>
  <c r="DO1406" i="1" s="1"/>
  <c r="DH1406" i="1"/>
  <c r="DC1406" i="1"/>
  <c r="BZ1406" i="1"/>
  <c r="BM1406" i="1"/>
  <c r="CP1406" i="1" s="1"/>
  <c r="BF1406" i="1"/>
  <c r="BE1406" i="1"/>
  <c r="BD1406" i="1"/>
  <c r="BC1406" i="1"/>
  <c r="BB1406" i="1"/>
  <c r="BA1406" i="1"/>
  <c r="BG1406" i="1" s="1" a="1"/>
  <c r="BG1406" i="1" s="1"/>
  <c r="AZ1406" i="1"/>
  <c r="M1406" i="1"/>
  <c r="ER1405" i="1"/>
  <c r="DZ1405" i="1"/>
  <c r="DY1405" i="1"/>
  <c r="DS1405" i="1"/>
  <c r="DR1405" i="1"/>
  <c r="DQ1405" i="1"/>
  <c r="DP1405" i="1"/>
  <c r="DN1405" i="1"/>
  <c r="DO1405" i="1" s="1"/>
  <c r="DH1405" i="1"/>
  <c r="DC1405" i="1"/>
  <c r="BZ1405" i="1"/>
  <c r="BN1405" i="1"/>
  <c r="CP1405" i="1" s="1"/>
  <c r="BF1405" i="1"/>
  <c r="BE1405" i="1"/>
  <c r="BD1405" i="1"/>
  <c r="BC1405" i="1"/>
  <c r="BB1405" i="1"/>
  <c r="BA1405" i="1"/>
  <c r="BG1405" i="1" s="1" a="1"/>
  <c r="BG1405" i="1" s="1"/>
  <c r="AZ1405" i="1"/>
  <c r="M1405" i="1"/>
  <c r="ER1404" i="1"/>
  <c r="DZ1404" i="1"/>
  <c r="DY1404" i="1"/>
  <c r="DS1404" i="1"/>
  <c r="DR1404" i="1"/>
  <c r="DQ1404" i="1"/>
  <c r="DP1404" i="1"/>
  <c r="DN1404" i="1"/>
  <c r="DO1404" i="1" s="1"/>
  <c r="DH1404" i="1"/>
  <c r="DC1404" i="1"/>
  <c r="BZ1404" i="1"/>
  <c r="BM1404" i="1"/>
  <c r="BF1404" i="1"/>
  <c r="BE1404" i="1"/>
  <c r="BD1404" i="1"/>
  <c r="BC1404" i="1"/>
  <c r="BB1404" i="1"/>
  <c r="BA1404" i="1"/>
  <c r="BG1404" i="1" s="1" a="1"/>
  <c r="BG1404" i="1" s="1"/>
  <c r="AZ1404" i="1"/>
  <c r="M1404" i="1"/>
  <c r="ER1419" i="1"/>
  <c r="DZ1419" i="1"/>
  <c r="DY1419" i="1"/>
  <c r="DS1419" i="1"/>
  <c r="DR1419" i="1"/>
  <c r="DQ1419" i="1"/>
  <c r="DP1419" i="1"/>
  <c r="DN1419" i="1"/>
  <c r="DO1419" i="1" s="1"/>
  <c r="DH1419" i="1"/>
  <c r="DC1419" i="1"/>
  <c r="BZ1419" i="1"/>
  <c r="BN1419" i="1"/>
  <c r="BP1419" i="1" s="1"/>
  <c r="BQ1419" i="1" s="1"/>
  <c r="BF1419" i="1"/>
  <c r="BE1419" i="1"/>
  <c r="BD1419" i="1"/>
  <c r="BC1419" i="1"/>
  <c r="BB1419" i="1"/>
  <c r="BA1419" i="1"/>
  <c r="AZ1419" i="1"/>
  <c r="M1419" i="1"/>
  <c r="ER1418" i="1"/>
  <c r="DZ1418" i="1"/>
  <c r="DY1418" i="1"/>
  <c r="DS1418" i="1"/>
  <c r="DR1418" i="1"/>
  <c r="DQ1418" i="1"/>
  <c r="DP1418" i="1"/>
  <c r="DN1418" i="1"/>
  <c r="DO1418" i="1" s="1"/>
  <c r="DH1418" i="1"/>
  <c r="DC1418" i="1"/>
  <c r="BZ1418" i="1"/>
  <c r="BN1418" i="1"/>
  <c r="BF1418" i="1"/>
  <c r="BE1418" i="1"/>
  <c r="BD1418" i="1"/>
  <c r="BC1418" i="1"/>
  <c r="BB1418" i="1"/>
  <c r="BA1418" i="1"/>
  <c r="AZ1418" i="1"/>
  <c r="M1418" i="1"/>
  <c r="ER1417" i="1"/>
  <c r="DZ1417" i="1"/>
  <c r="DY1417" i="1"/>
  <c r="DS1417" i="1"/>
  <c r="DR1417" i="1"/>
  <c r="DQ1417" i="1"/>
  <c r="DP1417" i="1"/>
  <c r="DN1417" i="1"/>
  <c r="DO1417" i="1" s="1"/>
  <c r="DH1417" i="1"/>
  <c r="DC1417" i="1"/>
  <c r="BZ1417" i="1"/>
  <c r="BN1417" i="1"/>
  <c r="BP1417" i="1" s="1"/>
  <c r="BQ1417" i="1" s="1"/>
  <c r="BF1417" i="1"/>
  <c r="BE1417" i="1"/>
  <c r="BD1417" i="1"/>
  <c r="BC1417" i="1"/>
  <c r="BB1417" i="1"/>
  <c r="BA1417" i="1"/>
  <c r="AZ1417" i="1"/>
  <c r="M1417" i="1"/>
  <c r="ER1583" i="1"/>
  <c r="DZ1583" i="1"/>
  <c r="DY1583" i="1"/>
  <c r="DS1583" i="1"/>
  <c r="DR1583" i="1"/>
  <c r="DQ1583" i="1"/>
  <c r="DP1583" i="1"/>
  <c r="DN1583" i="1"/>
  <c r="DO1583" i="1" s="1"/>
  <c r="DH1583" i="1"/>
  <c r="DC1583" i="1"/>
  <c r="BN1583" i="1"/>
  <c r="BM1583" i="1"/>
  <c r="BF1583" i="1"/>
  <c r="BE1583" i="1"/>
  <c r="BD1583" i="1"/>
  <c r="BC1583" i="1"/>
  <c r="BB1583" i="1"/>
  <c r="BA1583" i="1"/>
  <c r="BG1583" i="1" s="1" a="1"/>
  <c r="BG1583" i="1" s="1"/>
  <c r="AZ1583" i="1"/>
  <c r="M1583" i="1"/>
  <c r="ER1585" i="1"/>
  <c r="DZ1585" i="1"/>
  <c r="DY1585" i="1"/>
  <c r="DS1585" i="1"/>
  <c r="DR1585" i="1"/>
  <c r="DQ1585" i="1"/>
  <c r="DP1585" i="1"/>
  <c r="DN1585" i="1"/>
  <c r="DO1585" i="1" s="1"/>
  <c r="DH1585" i="1"/>
  <c r="DC1585" i="1"/>
  <c r="BN1585" i="1"/>
  <c r="BM1585" i="1"/>
  <c r="BF1585" i="1"/>
  <c r="BE1585" i="1"/>
  <c r="BD1585" i="1"/>
  <c r="BC1585" i="1"/>
  <c r="BB1585" i="1"/>
  <c r="BA1585" i="1"/>
  <c r="BG1585" i="1" s="1" a="1"/>
  <c r="BG1585" i="1" s="1"/>
  <c r="AZ1585" i="1"/>
  <c r="M1585" i="1"/>
  <c r="ER1584" i="1"/>
  <c r="DZ1584" i="1"/>
  <c r="DY1584" i="1"/>
  <c r="DS1584" i="1"/>
  <c r="DR1584" i="1"/>
  <c r="DQ1584" i="1"/>
  <c r="DP1584" i="1"/>
  <c r="DN1584" i="1"/>
  <c r="DO1584" i="1" s="1"/>
  <c r="DH1584" i="1"/>
  <c r="DC1584" i="1"/>
  <c r="BN1584" i="1"/>
  <c r="BM1584" i="1"/>
  <c r="BF1584" i="1"/>
  <c r="BE1584" i="1"/>
  <c r="BD1584" i="1"/>
  <c r="BC1584" i="1"/>
  <c r="BB1584" i="1"/>
  <c r="BA1584" i="1"/>
  <c r="BG1584" i="1" s="1" a="1"/>
  <c r="BG1584" i="1" s="1"/>
  <c r="AZ1584" i="1"/>
  <c r="M1584" i="1"/>
  <c r="ER1586" i="1"/>
  <c r="DZ1586" i="1"/>
  <c r="DY1586" i="1"/>
  <c r="DS1586" i="1"/>
  <c r="DR1586" i="1"/>
  <c r="DQ1586" i="1"/>
  <c r="DP1586" i="1"/>
  <c r="DN1586" i="1"/>
  <c r="DO1586" i="1" s="1"/>
  <c r="DH1586" i="1"/>
  <c r="DC1586" i="1"/>
  <c r="BV1586" i="1"/>
  <c r="BU1586" i="1"/>
  <c r="BN1586" i="1"/>
  <c r="BO694" i="1" s="1"/>
  <c r="BM1586" i="1"/>
  <c r="BF1586" i="1"/>
  <c r="BE1586" i="1"/>
  <c r="BD1586" i="1"/>
  <c r="BC1586" i="1"/>
  <c r="BB1586" i="1"/>
  <c r="BA1586" i="1"/>
  <c r="BG1586" i="1" s="1" a="1"/>
  <c r="BG1586" i="1" s="1"/>
  <c r="AZ1586" i="1"/>
  <c r="M1586" i="1"/>
  <c r="ER1402" i="1"/>
  <c r="DZ1402" i="1"/>
  <c r="DY1402" i="1"/>
  <c r="DS1402" i="1"/>
  <c r="DR1402" i="1"/>
  <c r="DQ1402" i="1"/>
  <c r="DP1402" i="1"/>
  <c r="DN1402" i="1"/>
  <c r="DO1402" i="1" s="1"/>
  <c r="DH1402" i="1"/>
  <c r="DC1402" i="1"/>
  <c r="CP1402" i="1"/>
  <c r="CR1402" i="1" s="1"/>
  <c r="BV1402" i="1"/>
  <c r="BU1402" i="1"/>
  <c r="BP1402" i="1"/>
  <c r="BQ1402" i="1" s="1"/>
  <c r="BF1402" i="1"/>
  <c r="BE1402" i="1"/>
  <c r="BD1402" i="1"/>
  <c r="BC1402" i="1"/>
  <c r="BB1402" i="1"/>
  <c r="BA1402" i="1"/>
  <c r="BG1402" i="1" s="1" a="1"/>
  <c r="BG1402" i="1" s="1"/>
  <c r="AZ1402" i="1"/>
  <c r="M1402" i="1"/>
  <c r="ER1401" i="1"/>
  <c r="DZ1401" i="1"/>
  <c r="DY1401" i="1"/>
  <c r="DS1401" i="1"/>
  <c r="DR1401" i="1"/>
  <c r="DQ1401" i="1"/>
  <c r="DP1401" i="1"/>
  <c r="DN1401" i="1"/>
  <c r="DO1401" i="1" s="1"/>
  <c r="DH1401" i="1"/>
  <c r="DC1401" i="1"/>
  <c r="CP1401" i="1"/>
  <c r="BV1401" i="1"/>
  <c r="BU1401" i="1"/>
  <c r="BP1401" i="1"/>
  <c r="BQ1401" i="1" s="1"/>
  <c r="BF1401" i="1"/>
  <c r="BE1401" i="1"/>
  <c r="BD1401" i="1"/>
  <c r="BC1401" i="1"/>
  <c r="BB1401" i="1"/>
  <c r="BA1401" i="1"/>
  <c r="BG1401" i="1" s="1" a="1"/>
  <c r="BG1401" i="1" s="1"/>
  <c r="AZ1401" i="1"/>
  <c r="M1401" i="1"/>
  <c r="ER607" i="1"/>
  <c r="DZ607" i="1"/>
  <c r="DY607" i="1"/>
  <c r="DS607" i="1"/>
  <c r="DR607" i="1"/>
  <c r="DQ607" i="1"/>
  <c r="DP607" i="1"/>
  <c r="DN607" i="1"/>
  <c r="DO607" i="1" s="1"/>
  <c r="DH607" i="1"/>
  <c r="DC607" i="1"/>
  <c r="CP607" i="1"/>
  <c r="BV607" i="1"/>
  <c r="BU607" i="1"/>
  <c r="BP607" i="1"/>
  <c r="BQ607" i="1" s="1"/>
  <c r="BF607" i="1"/>
  <c r="BE607" i="1"/>
  <c r="BD607" i="1"/>
  <c r="BC607" i="1"/>
  <c r="BB607" i="1"/>
  <c r="BA607" i="1"/>
  <c r="BG607" i="1" s="1" a="1"/>
  <c r="BG607" i="1" s="1"/>
  <c r="AZ607" i="1"/>
  <c r="M607" i="1"/>
  <c r="ER906" i="1"/>
  <c r="DZ906" i="1"/>
  <c r="DY906" i="1"/>
  <c r="DS906" i="1"/>
  <c r="DR906" i="1"/>
  <c r="DQ906" i="1"/>
  <c r="DP906" i="1"/>
  <c r="DN906" i="1"/>
  <c r="DO906" i="1" s="1"/>
  <c r="DH906" i="1"/>
  <c r="DC906" i="1"/>
  <c r="BZ906" i="1"/>
  <c r="BM906" i="1"/>
  <c r="CP906" i="1" s="1"/>
  <c r="CQ906" i="1" s="1"/>
  <c r="BF906" i="1"/>
  <c r="BE906" i="1"/>
  <c r="BD906" i="1"/>
  <c r="BC906" i="1"/>
  <c r="BB906" i="1"/>
  <c r="BA906" i="1"/>
  <c r="BG906" i="1" s="1" a="1"/>
  <c r="BG906" i="1" s="1"/>
  <c r="AZ906" i="1"/>
  <c r="M906" i="1"/>
  <c r="ER908" i="1"/>
  <c r="DZ908" i="1"/>
  <c r="DY908" i="1"/>
  <c r="DS908" i="1"/>
  <c r="DR908" i="1"/>
  <c r="DQ908" i="1"/>
  <c r="DP908" i="1"/>
  <c r="DN908" i="1"/>
  <c r="DO908" i="1" s="1"/>
  <c r="DH908" i="1"/>
  <c r="DC908" i="1"/>
  <c r="BZ908" i="1"/>
  <c r="BM908" i="1"/>
  <c r="CP908" i="1" s="1"/>
  <c r="BF908" i="1"/>
  <c r="BE908" i="1"/>
  <c r="BD908" i="1"/>
  <c r="BC908" i="1"/>
  <c r="BB908" i="1"/>
  <c r="BA908" i="1"/>
  <c r="BG908" i="1" s="1" a="1"/>
  <c r="BG908" i="1" s="1"/>
  <c r="AZ908" i="1"/>
  <c r="M908" i="1"/>
  <c r="ER905" i="1"/>
  <c r="DZ905" i="1"/>
  <c r="DY905" i="1"/>
  <c r="DS905" i="1"/>
  <c r="DR905" i="1"/>
  <c r="DQ905" i="1"/>
  <c r="DP905" i="1"/>
  <c r="DN905" i="1"/>
  <c r="DO905" i="1" s="1"/>
  <c r="DH905" i="1"/>
  <c r="DC905" i="1"/>
  <c r="BZ905" i="1"/>
  <c r="BM905" i="1"/>
  <c r="BP905" i="1" s="1"/>
  <c r="BQ905" i="1" s="1"/>
  <c r="BF905" i="1"/>
  <c r="BE905" i="1"/>
  <c r="BD905" i="1"/>
  <c r="BC905" i="1"/>
  <c r="BB905" i="1"/>
  <c r="BA905" i="1"/>
  <c r="BG905" i="1" s="1" a="1"/>
  <c r="BG905" i="1" s="1"/>
  <c r="AZ905" i="1"/>
  <c r="M905" i="1"/>
  <c r="ER907" i="1"/>
  <c r="DZ907" i="1"/>
  <c r="DY907" i="1"/>
  <c r="DS907" i="1"/>
  <c r="DR907" i="1"/>
  <c r="DQ907" i="1"/>
  <c r="DP907" i="1"/>
  <c r="DN907" i="1"/>
  <c r="DO907" i="1" s="1"/>
  <c r="DH907" i="1"/>
  <c r="DC907" i="1"/>
  <c r="BZ907" i="1"/>
  <c r="BM907" i="1"/>
  <c r="BP907" i="1" s="1"/>
  <c r="BQ907" i="1" s="1"/>
  <c r="BF907" i="1"/>
  <c r="BE907" i="1"/>
  <c r="BD907" i="1"/>
  <c r="BC907" i="1"/>
  <c r="BB907" i="1"/>
  <c r="BA907" i="1"/>
  <c r="BG907" i="1" s="1" a="1"/>
  <c r="BG907" i="1" s="1"/>
  <c r="AZ907" i="1"/>
  <c r="M907" i="1"/>
  <c r="ER909" i="1"/>
  <c r="DZ909" i="1"/>
  <c r="DY909" i="1"/>
  <c r="DS909" i="1"/>
  <c r="DR909" i="1"/>
  <c r="DQ909" i="1"/>
  <c r="DP909" i="1"/>
  <c r="DN909" i="1"/>
  <c r="DO909" i="1" s="1"/>
  <c r="DH909" i="1"/>
  <c r="DC909" i="1"/>
  <c r="BZ909" i="1"/>
  <c r="BM909" i="1"/>
  <c r="CP909" i="1" s="1"/>
  <c r="CU909" i="1" s="1"/>
  <c r="BF909" i="1"/>
  <c r="BE909" i="1"/>
  <c r="BD909" i="1"/>
  <c r="BC909" i="1"/>
  <c r="BB909" i="1"/>
  <c r="BA909" i="1"/>
  <c r="BG909" i="1" s="1" a="1"/>
  <c r="BG909" i="1" s="1"/>
  <c r="AZ909" i="1"/>
  <c r="M909" i="1"/>
  <c r="ER910" i="1"/>
  <c r="DZ910" i="1"/>
  <c r="DY910" i="1"/>
  <c r="DS910" i="1"/>
  <c r="DR910" i="1"/>
  <c r="DQ910" i="1"/>
  <c r="DP910" i="1"/>
  <c r="DN910" i="1"/>
  <c r="DO910" i="1" s="1"/>
  <c r="DH910" i="1"/>
  <c r="DC910" i="1"/>
  <c r="BZ910" i="1"/>
  <c r="BM910" i="1"/>
  <c r="BP910" i="1" s="1"/>
  <c r="BQ910" i="1" s="1"/>
  <c r="BF910" i="1"/>
  <c r="BE910" i="1"/>
  <c r="BD910" i="1"/>
  <c r="BC910" i="1"/>
  <c r="BB910" i="1"/>
  <c r="BA910" i="1"/>
  <c r="BG910" i="1" s="1" a="1"/>
  <c r="BG910" i="1" s="1"/>
  <c r="AZ910" i="1"/>
  <c r="M910" i="1"/>
  <c r="ER692" i="1"/>
  <c r="DZ692" i="1"/>
  <c r="DY692" i="1"/>
  <c r="DS692" i="1"/>
  <c r="DR692" i="1"/>
  <c r="DQ692" i="1"/>
  <c r="DP692" i="1"/>
  <c r="DN692" i="1"/>
  <c r="DO692" i="1" s="1"/>
  <c r="DH692" i="1"/>
  <c r="DC692" i="1"/>
  <c r="BZ692" i="1"/>
  <c r="BM692" i="1"/>
  <c r="BP692" i="1" s="1"/>
  <c r="BQ692" i="1" s="1"/>
  <c r="BF692" i="1"/>
  <c r="BE692" i="1"/>
  <c r="BD692" i="1"/>
  <c r="BC692" i="1"/>
  <c r="BB692" i="1"/>
  <c r="BA692" i="1"/>
  <c r="BG692" i="1" s="1" a="1"/>
  <c r="BG692" i="1" s="1"/>
  <c r="AZ692" i="1"/>
  <c r="M692" i="1"/>
  <c r="ER690" i="1"/>
  <c r="DZ690" i="1"/>
  <c r="DY690" i="1"/>
  <c r="DS690" i="1"/>
  <c r="DR690" i="1"/>
  <c r="DQ690" i="1"/>
  <c r="DP690" i="1"/>
  <c r="DN690" i="1"/>
  <c r="DO690" i="1" s="1"/>
  <c r="DH690" i="1"/>
  <c r="DC690" i="1"/>
  <c r="BZ690" i="1"/>
  <c r="BM690" i="1"/>
  <c r="CP690" i="1" s="1"/>
  <c r="BF690" i="1"/>
  <c r="BE690" i="1"/>
  <c r="BD690" i="1"/>
  <c r="BC690" i="1"/>
  <c r="BB690" i="1"/>
  <c r="BA690" i="1"/>
  <c r="BG690" i="1" s="1" a="1"/>
  <c r="BG690" i="1" s="1"/>
  <c r="AZ690" i="1"/>
  <c r="M690" i="1"/>
  <c r="ER911" i="1"/>
  <c r="DZ911" i="1"/>
  <c r="DY911" i="1"/>
  <c r="DS911" i="1"/>
  <c r="DR911" i="1"/>
  <c r="DQ911" i="1"/>
  <c r="DP911" i="1"/>
  <c r="DN911" i="1"/>
  <c r="DO911" i="1" s="1"/>
  <c r="DH911" i="1"/>
  <c r="DC911" i="1"/>
  <c r="BZ911" i="1"/>
  <c r="BM911" i="1"/>
  <c r="CP911" i="1" s="1"/>
  <c r="CV911" i="1" s="1"/>
  <c r="BF911" i="1"/>
  <c r="BE911" i="1"/>
  <c r="BD911" i="1"/>
  <c r="BC911" i="1"/>
  <c r="BB911" i="1"/>
  <c r="BA911" i="1"/>
  <c r="BG911" i="1" s="1" a="1"/>
  <c r="BG911" i="1" s="1"/>
  <c r="AZ911" i="1"/>
  <c r="M911" i="1"/>
  <c r="ER912" i="1"/>
  <c r="DZ912" i="1"/>
  <c r="DY912" i="1"/>
  <c r="DS912" i="1"/>
  <c r="DR912" i="1"/>
  <c r="DQ912" i="1"/>
  <c r="DP912" i="1"/>
  <c r="DN912" i="1"/>
  <c r="DO912" i="1" s="1"/>
  <c r="DH912" i="1"/>
  <c r="DC912" i="1"/>
  <c r="BZ912" i="1"/>
  <c r="BM912" i="1"/>
  <c r="CP912" i="1" s="1"/>
  <c r="BF912" i="1"/>
  <c r="BE912" i="1"/>
  <c r="BD912" i="1"/>
  <c r="BC912" i="1"/>
  <c r="BB912" i="1"/>
  <c r="BA912" i="1"/>
  <c r="BG912" i="1" s="1" a="1"/>
  <c r="BG912" i="1" s="1"/>
  <c r="AZ912" i="1"/>
  <c r="M912" i="1"/>
  <c r="ER688" i="1"/>
  <c r="DZ688" i="1"/>
  <c r="DY688" i="1"/>
  <c r="DS688" i="1"/>
  <c r="DR688" i="1"/>
  <c r="DQ688" i="1"/>
  <c r="DP688" i="1"/>
  <c r="DN688" i="1"/>
  <c r="DO688" i="1" s="1"/>
  <c r="DH688" i="1"/>
  <c r="DC688" i="1"/>
  <c r="BZ688" i="1"/>
  <c r="BM688" i="1"/>
  <c r="BP688" i="1" s="1"/>
  <c r="BQ688" i="1" s="1"/>
  <c r="BF688" i="1"/>
  <c r="BE688" i="1"/>
  <c r="BD688" i="1"/>
  <c r="BC688" i="1"/>
  <c r="BB688" i="1"/>
  <c r="BA688" i="1"/>
  <c r="BG688" i="1" s="1" a="1"/>
  <c r="BG688" i="1" s="1"/>
  <c r="AZ688" i="1"/>
  <c r="M688" i="1"/>
  <c r="ER686" i="1"/>
  <c r="DZ686" i="1"/>
  <c r="DY686" i="1"/>
  <c r="DS686" i="1"/>
  <c r="DR686" i="1"/>
  <c r="DQ686" i="1"/>
  <c r="DP686" i="1"/>
  <c r="DN686" i="1"/>
  <c r="DO686" i="1" s="1"/>
  <c r="DH686" i="1"/>
  <c r="DC686" i="1"/>
  <c r="BZ686" i="1"/>
  <c r="BM686" i="1"/>
  <c r="BP686" i="1" s="1"/>
  <c r="BQ686" i="1" s="1"/>
  <c r="BF686" i="1"/>
  <c r="BE686" i="1"/>
  <c r="BD686" i="1"/>
  <c r="BC686" i="1"/>
  <c r="BB686" i="1"/>
  <c r="BA686" i="1"/>
  <c r="BG686" i="1" s="1" a="1"/>
  <c r="BG686" i="1" s="1"/>
  <c r="AZ686" i="1"/>
  <c r="M686" i="1"/>
  <c r="ER604" i="1"/>
  <c r="DZ604" i="1"/>
  <c r="DY604" i="1"/>
  <c r="DS604" i="1"/>
  <c r="DR604" i="1"/>
  <c r="DQ604" i="1"/>
  <c r="DP604" i="1"/>
  <c r="DN604" i="1"/>
  <c r="DO604" i="1" s="1"/>
  <c r="DH604" i="1"/>
  <c r="DC604" i="1"/>
  <c r="BX604" i="1"/>
  <c r="BZ604" i="1" s="1"/>
  <c r="BW604" i="1"/>
  <c r="BN604" i="1"/>
  <c r="BM604" i="1"/>
  <c r="BF604" i="1"/>
  <c r="BE604" i="1"/>
  <c r="BD604" i="1"/>
  <c r="BC604" i="1"/>
  <c r="BB604" i="1"/>
  <c r="BA604" i="1"/>
  <c r="BG604" i="1" s="1" a="1"/>
  <c r="BG604" i="1" s="1"/>
  <c r="AZ604" i="1"/>
  <c r="M604" i="1"/>
  <c r="ER904" i="1"/>
  <c r="DZ904" i="1"/>
  <c r="DY904" i="1"/>
  <c r="DS904" i="1"/>
  <c r="DR904" i="1"/>
  <c r="DQ904" i="1"/>
  <c r="DP904" i="1"/>
  <c r="DN904" i="1"/>
  <c r="DO904" i="1" s="1"/>
  <c r="DH904" i="1"/>
  <c r="DC904" i="1"/>
  <c r="BX904" i="1"/>
  <c r="BZ904" i="1" s="1"/>
  <c r="BW904" i="1"/>
  <c r="BN904" i="1"/>
  <c r="BM904" i="1"/>
  <c r="BF904" i="1"/>
  <c r="BE904" i="1"/>
  <c r="BD904" i="1"/>
  <c r="BC904" i="1"/>
  <c r="BB904" i="1"/>
  <c r="BA904" i="1"/>
  <c r="BG904" i="1" s="1" a="1"/>
  <c r="BG904" i="1" s="1"/>
  <c r="AZ904" i="1"/>
  <c r="M904" i="1"/>
  <c r="ER613" i="1"/>
  <c r="DZ613" i="1"/>
  <c r="DY613" i="1"/>
  <c r="DS613" i="1"/>
  <c r="DR613" i="1"/>
  <c r="DQ613" i="1"/>
  <c r="DP613" i="1"/>
  <c r="DN613" i="1"/>
  <c r="DO613" i="1" s="1"/>
  <c r="DH613" i="1"/>
  <c r="DC613" i="1"/>
  <c r="BV613" i="1"/>
  <c r="BU613" i="1"/>
  <c r="BN613" i="1"/>
  <c r="BM613" i="1"/>
  <c r="BF613" i="1"/>
  <c r="BE613" i="1"/>
  <c r="BD613" i="1"/>
  <c r="BC613" i="1"/>
  <c r="BB613" i="1"/>
  <c r="BA613" i="1"/>
  <c r="BG613" i="1" s="1" a="1"/>
  <c r="BG613" i="1" s="1"/>
  <c r="AZ613" i="1"/>
  <c r="M613" i="1"/>
  <c r="ER682" i="1"/>
  <c r="DZ682" i="1"/>
  <c r="DY682" i="1"/>
  <c r="DS682" i="1"/>
  <c r="DR682" i="1"/>
  <c r="DQ682" i="1"/>
  <c r="DP682" i="1"/>
  <c r="DN682" i="1"/>
  <c r="DO682" i="1" s="1"/>
  <c r="DH682" i="1"/>
  <c r="DC682" i="1"/>
  <c r="BV682" i="1"/>
  <c r="BU682" i="1"/>
  <c r="BN682" i="1"/>
  <c r="BM682" i="1"/>
  <c r="BF682" i="1"/>
  <c r="BE682" i="1"/>
  <c r="BD682" i="1"/>
  <c r="BC682" i="1"/>
  <c r="BB682" i="1"/>
  <c r="BA682" i="1"/>
  <c r="BG682" i="1" s="1" a="1"/>
  <c r="BG682" i="1" s="1"/>
  <c r="AZ682" i="1"/>
  <c r="M682" i="1"/>
  <c r="ER1578" i="1"/>
  <c r="DZ1578" i="1"/>
  <c r="DY1578" i="1"/>
  <c r="DS1578" i="1"/>
  <c r="DR1578" i="1"/>
  <c r="DQ1578" i="1"/>
  <c r="DP1578" i="1"/>
  <c r="DN1578" i="1"/>
  <c r="DO1578" i="1" s="1"/>
  <c r="DH1578" i="1"/>
  <c r="DC1578" i="1"/>
  <c r="BV1578" i="1"/>
  <c r="BU1578" i="1"/>
  <c r="BN1578" i="1"/>
  <c r="BM1578" i="1"/>
  <c r="BF1578" i="1"/>
  <c r="BE1578" i="1"/>
  <c r="BD1578" i="1"/>
  <c r="BC1578" i="1"/>
  <c r="BB1578" i="1"/>
  <c r="BA1578" i="1"/>
  <c r="BG1578" i="1" s="1" a="1"/>
  <c r="BG1578" i="1" s="1"/>
  <c r="AZ1578" i="1"/>
  <c r="M1578" i="1"/>
  <c r="ER713" i="1"/>
  <c r="DZ713" i="1"/>
  <c r="DY713" i="1"/>
  <c r="DS713" i="1"/>
  <c r="DR713" i="1"/>
  <c r="DQ713" i="1"/>
  <c r="DP713" i="1"/>
  <c r="DN713" i="1"/>
  <c r="DO713" i="1" s="1"/>
  <c r="DH713" i="1"/>
  <c r="DC713" i="1"/>
  <c r="BV713" i="1"/>
  <c r="BU713" i="1"/>
  <c r="BN713" i="1"/>
  <c r="BM713" i="1"/>
  <c r="BF713" i="1"/>
  <c r="BE713" i="1"/>
  <c r="BD713" i="1"/>
  <c r="BC713" i="1"/>
  <c r="BB713" i="1"/>
  <c r="BA713" i="1"/>
  <c r="BG713" i="1" s="1" a="1"/>
  <c r="BG713" i="1" s="1"/>
  <c r="AZ713" i="1"/>
  <c r="M713" i="1"/>
  <c r="ER1580" i="1"/>
  <c r="DZ1580" i="1"/>
  <c r="DY1580" i="1"/>
  <c r="DS1580" i="1"/>
  <c r="DR1580" i="1"/>
  <c r="DQ1580" i="1"/>
  <c r="DP1580" i="1"/>
  <c r="DN1580" i="1"/>
  <c r="DO1580" i="1" s="1"/>
  <c r="DH1580" i="1"/>
  <c r="DC1580" i="1"/>
  <c r="BV1580" i="1"/>
  <c r="BU1580" i="1"/>
  <c r="BN1580" i="1"/>
  <c r="BM1580" i="1"/>
  <c r="BF1580" i="1"/>
  <c r="BE1580" i="1"/>
  <c r="BD1580" i="1"/>
  <c r="BC1580" i="1"/>
  <c r="BB1580" i="1"/>
  <c r="BA1580" i="1"/>
  <c r="BG1580" i="1" s="1" a="1"/>
  <c r="BG1580" i="1" s="1"/>
  <c r="AZ1580" i="1"/>
  <c r="M1580" i="1"/>
  <c r="ER1097" i="1"/>
  <c r="DZ1097" i="1"/>
  <c r="DY1097" i="1"/>
  <c r="DS1097" i="1"/>
  <c r="DR1097" i="1"/>
  <c r="DQ1097" i="1"/>
  <c r="DP1097" i="1"/>
  <c r="DN1097" i="1"/>
  <c r="DO1097" i="1" s="1"/>
  <c r="DH1097" i="1"/>
  <c r="DC1097" i="1"/>
  <c r="CP1097" i="1"/>
  <c r="CV1097" i="1" s="1"/>
  <c r="BZ1097" i="1"/>
  <c r="BP1097" i="1"/>
  <c r="BQ1097" i="1" s="1"/>
  <c r="BF1097" i="1"/>
  <c r="BE1097" i="1"/>
  <c r="BD1097" i="1"/>
  <c r="BC1097" i="1"/>
  <c r="BB1097" i="1"/>
  <c r="BA1097" i="1"/>
  <c r="BG1097" i="1" s="1" a="1"/>
  <c r="BG1097" i="1" s="1"/>
  <c r="AZ1097" i="1"/>
  <c r="M1097" i="1"/>
  <c r="ER1098" i="1"/>
  <c r="DZ1098" i="1"/>
  <c r="DY1098" i="1"/>
  <c r="DS1098" i="1"/>
  <c r="DR1098" i="1"/>
  <c r="DQ1098" i="1"/>
  <c r="DP1098" i="1"/>
  <c r="DN1098" i="1"/>
  <c r="DO1098" i="1" s="1"/>
  <c r="DH1098" i="1"/>
  <c r="DC1098" i="1"/>
  <c r="CP1098" i="1"/>
  <c r="CQ1098" i="1" s="1"/>
  <c r="BZ1098" i="1"/>
  <c r="BP1098" i="1"/>
  <c r="BQ1098" i="1" s="1"/>
  <c r="BF1098" i="1"/>
  <c r="BE1098" i="1"/>
  <c r="BD1098" i="1"/>
  <c r="BC1098" i="1"/>
  <c r="BB1098" i="1"/>
  <c r="BA1098" i="1"/>
  <c r="BG1098" i="1" s="1" a="1"/>
  <c r="BG1098" i="1" s="1"/>
  <c r="AZ1098" i="1"/>
  <c r="M1098" i="1"/>
  <c r="ER1099" i="1"/>
  <c r="DZ1099" i="1"/>
  <c r="DY1099" i="1"/>
  <c r="DS1099" i="1"/>
  <c r="DR1099" i="1"/>
  <c r="DQ1099" i="1"/>
  <c r="DP1099" i="1"/>
  <c r="DN1099" i="1"/>
  <c r="DO1099" i="1" s="1"/>
  <c r="DH1099" i="1"/>
  <c r="DC1099" i="1"/>
  <c r="CP1099" i="1"/>
  <c r="CR1099" i="1" s="1"/>
  <c r="BZ1099" i="1"/>
  <c r="BP1099" i="1"/>
  <c r="BQ1099" i="1" s="1"/>
  <c r="BF1099" i="1"/>
  <c r="BE1099" i="1"/>
  <c r="BD1099" i="1"/>
  <c r="BC1099" i="1"/>
  <c r="BB1099" i="1"/>
  <c r="BA1099" i="1"/>
  <c r="BG1099" i="1" s="1" a="1"/>
  <c r="BG1099" i="1" s="1"/>
  <c r="AZ1099" i="1"/>
  <c r="M1099" i="1"/>
  <c r="ER1100" i="1"/>
  <c r="DZ1100" i="1"/>
  <c r="DY1100" i="1"/>
  <c r="DS1100" i="1"/>
  <c r="DR1100" i="1"/>
  <c r="DQ1100" i="1"/>
  <c r="DP1100" i="1"/>
  <c r="DN1100" i="1"/>
  <c r="DO1100" i="1" s="1"/>
  <c r="DH1100" i="1"/>
  <c r="DC1100" i="1"/>
  <c r="CP1100" i="1"/>
  <c r="CV1100" i="1" s="1"/>
  <c r="BZ1100" i="1"/>
  <c r="BP1100" i="1"/>
  <c r="BQ1100" i="1" s="1"/>
  <c r="BF1100" i="1"/>
  <c r="BE1100" i="1"/>
  <c r="BD1100" i="1"/>
  <c r="BC1100" i="1"/>
  <c r="BB1100" i="1"/>
  <c r="BA1100" i="1"/>
  <c r="BG1100" i="1" s="1" a="1"/>
  <c r="BG1100" i="1" s="1"/>
  <c r="AZ1100" i="1"/>
  <c r="M1100" i="1"/>
  <c r="ER1101" i="1"/>
  <c r="DZ1101" i="1"/>
  <c r="DY1101" i="1"/>
  <c r="DS1101" i="1"/>
  <c r="DR1101" i="1"/>
  <c r="DQ1101" i="1"/>
  <c r="DP1101" i="1"/>
  <c r="DN1101" i="1"/>
  <c r="DO1101" i="1" s="1"/>
  <c r="DH1101" i="1"/>
  <c r="DC1101" i="1"/>
  <c r="CP1101" i="1"/>
  <c r="CQ1101" i="1" s="1"/>
  <c r="BZ1101" i="1"/>
  <c r="BP1101" i="1"/>
  <c r="BQ1101" i="1" s="1"/>
  <c r="BF1101" i="1"/>
  <c r="BE1101" i="1"/>
  <c r="BD1101" i="1"/>
  <c r="BC1101" i="1"/>
  <c r="BB1101" i="1"/>
  <c r="BA1101" i="1"/>
  <c r="BG1101" i="1" s="1" a="1"/>
  <c r="BG1101" i="1" s="1"/>
  <c r="AZ1101" i="1"/>
  <c r="M1101" i="1"/>
  <c r="ER1102" i="1"/>
  <c r="DZ1102" i="1"/>
  <c r="DY1102" i="1"/>
  <c r="DS1102" i="1"/>
  <c r="DR1102" i="1"/>
  <c r="DQ1102" i="1"/>
  <c r="DP1102" i="1"/>
  <c r="DN1102" i="1"/>
  <c r="DO1102" i="1" s="1"/>
  <c r="DH1102" i="1"/>
  <c r="DC1102" i="1"/>
  <c r="CP1102" i="1"/>
  <c r="CQ1102" i="1" s="1"/>
  <c r="BZ1102" i="1"/>
  <c r="BP1102" i="1"/>
  <c r="BQ1102" i="1" s="1"/>
  <c r="BF1102" i="1"/>
  <c r="BE1102" i="1"/>
  <c r="BD1102" i="1"/>
  <c r="BC1102" i="1"/>
  <c r="BB1102" i="1"/>
  <c r="BA1102" i="1"/>
  <c r="BG1102" i="1" s="1" a="1"/>
  <c r="BG1102" i="1" s="1"/>
  <c r="AZ1102" i="1"/>
  <c r="M1102" i="1"/>
  <c r="ER1103" i="1"/>
  <c r="DZ1103" i="1"/>
  <c r="DY1103" i="1"/>
  <c r="DS1103" i="1"/>
  <c r="DR1103" i="1"/>
  <c r="DQ1103" i="1"/>
  <c r="DP1103" i="1"/>
  <c r="DN1103" i="1"/>
  <c r="DO1103" i="1" s="1"/>
  <c r="DH1103" i="1"/>
  <c r="DC1103" i="1"/>
  <c r="CP1103" i="1"/>
  <c r="CR1103" i="1" s="1"/>
  <c r="BZ1103" i="1"/>
  <c r="BP1103" i="1"/>
  <c r="BQ1103" i="1" s="1"/>
  <c r="BF1103" i="1"/>
  <c r="BE1103" i="1"/>
  <c r="BD1103" i="1"/>
  <c r="BC1103" i="1"/>
  <c r="BB1103" i="1"/>
  <c r="BA1103" i="1"/>
  <c r="BG1103" i="1" s="1" a="1"/>
  <c r="BG1103" i="1" s="1"/>
  <c r="AZ1103" i="1"/>
  <c r="M1103" i="1"/>
  <c r="ER1104" i="1"/>
  <c r="DZ1104" i="1"/>
  <c r="DY1104" i="1"/>
  <c r="DS1104" i="1"/>
  <c r="DR1104" i="1"/>
  <c r="DQ1104" i="1"/>
  <c r="DP1104" i="1"/>
  <c r="DN1104" i="1"/>
  <c r="DO1104" i="1" s="1"/>
  <c r="DH1104" i="1"/>
  <c r="DC1104" i="1"/>
  <c r="CP1104" i="1"/>
  <c r="BZ1104" i="1"/>
  <c r="BP1104" i="1"/>
  <c r="BQ1104" i="1" s="1"/>
  <c r="BF1104" i="1"/>
  <c r="BE1104" i="1"/>
  <c r="BD1104" i="1"/>
  <c r="BC1104" i="1"/>
  <c r="BB1104" i="1"/>
  <c r="BA1104" i="1"/>
  <c r="BG1104" i="1" s="1" a="1"/>
  <c r="BG1104" i="1" s="1"/>
  <c r="AZ1104" i="1"/>
  <c r="M1104" i="1"/>
  <c r="ER1095" i="1"/>
  <c r="DZ1095" i="1"/>
  <c r="DY1095" i="1"/>
  <c r="DS1095" i="1"/>
  <c r="DR1095" i="1"/>
  <c r="DQ1095" i="1"/>
  <c r="DP1095" i="1"/>
  <c r="DN1095" i="1"/>
  <c r="DO1095" i="1" s="1"/>
  <c r="DH1095" i="1"/>
  <c r="DC1095" i="1"/>
  <c r="CP1095" i="1"/>
  <c r="CR1095" i="1" s="1"/>
  <c r="BZ1095" i="1"/>
  <c r="BP1095" i="1"/>
  <c r="BQ1095" i="1" s="1"/>
  <c r="BF1095" i="1"/>
  <c r="BE1095" i="1"/>
  <c r="BD1095" i="1"/>
  <c r="BC1095" i="1"/>
  <c r="BB1095" i="1"/>
  <c r="BA1095" i="1"/>
  <c r="BG1095" i="1" s="1" a="1"/>
  <c r="BG1095" i="1" s="1"/>
  <c r="AZ1095" i="1"/>
  <c r="M1095" i="1"/>
  <c r="ER1093" i="1"/>
  <c r="DZ1093" i="1"/>
  <c r="DY1093" i="1"/>
  <c r="DS1093" i="1"/>
  <c r="DR1093" i="1"/>
  <c r="DQ1093" i="1"/>
  <c r="DP1093" i="1"/>
  <c r="DN1093" i="1"/>
  <c r="DO1093" i="1" s="1"/>
  <c r="DH1093" i="1"/>
  <c r="DC1093" i="1"/>
  <c r="CP1093" i="1"/>
  <c r="BZ1093" i="1"/>
  <c r="BP1093" i="1"/>
  <c r="BQ1093" i="1" s="1"/>
  <c r="BF1093" i="1"/>
  <c r="BE1093" i="1"/>
  <c r="BD1093" i="1"/>
  <c r="BC1093" i="1"/>
  <c r="BB1093" i="1"/>
  <c r="BA1093" i="1"/>
  <c r="BG1093" i="1" s="1" a="1"/>
  <c r="BG1093" i="1" s="1"/>
  <c r="AZ1093" i="1"/>
  <c r="M1093" i="1"/>
  <c r="ER1094" i="1"/>
  <c r="DZ1094" i="1"/>
  <c r="DY1094" i="1"/>
  <c r="DS1094" i="1"/>
  <c r="DR1094" i="1"/>
  <c r="DQ1094" i="1"/>
  <c r="DP1094" i="1"/>
  <c r="DN1094" i="1"/>
  <c r="DO1094" i="1" s="1"/>
  <c r="DH1094" i="1"/>
  <c r="DC1094" i="1"/>
  <c r="CP1094" i="1"/>
  <c r="CR1094" i="1" s="1"/>
  <c r="BZ1094" i="1"/>
  <c r="BP1094" i="1"/>
  <c r="BQ1094" i="1" s="1"/>
  <c r="BF1094" i="1"/>
  <c r="BE1094" i="1"/>
  <c r="BD1094" i="1"/>
  <c r="BC1094" i="1"/>
  <c r="BB1094" i="1"/>
  <c r="BA1094" i="1"/>
  <c r="BG1094" i="1" s="1" a="1"/>
  <c r="BG1094" i="1" s="1"/>
  <c r="AZ1094" i="1"/>
  <c r="M1094" i="1"/>
  <c r="ER1096" i="1"/>
  <c r="DZ1096" i="1"/>
  <c r="DY1096" i="1"/>
  <c r="DS1096" i="1"/>
  <c r="DR1096" i="1"/>
  <c r="DQ1096" i="1"/>
  <c r="DP1096" i="1"/>
  <c r="DN1096" i="1"/>
  <c r="DO1096" i="1" s="1"/>
  <c r="DH1096" i="1"/>
  <c r="DC1096" i="1"/>
  <c r="CP1096" i="1"/>
  <c r="CR1096" i="1" s="1"/>
  <c r="BZ1096" i="1"/>
  <c r="BP1096" i="1"/>
  <c r="BQ1096" i="1" s="1"/>
  <c r="BF1096" i="1"/>
  <c r="BE1096" i="1"/>
  <c r="BD1096" i="1"/>
  <c r="BC1096" i="1"/>
  <c r="BB1096" i="1"/>
  <c r="BA1096" i="1"/>
  <c r="BG1096" i="1" s="1" a="1"/>
  <c r="BG1096" i="1" s="1"/>
  <c r="AZ1096" i="1"/>
  <c r="M1096" i="1"/>
  <c r="ER948" i="1"/>
  <c r="DZ948" i="1"/>
  <c r="DY948" i="1"/>
  <c r="DS948" i="1"/>
  <c r="DR948" i="1"/>
  <c r="DQ948" i="1"/>
  <c r="DP948" i="1"/>
  <c r="DN948" i="1"/>
  <c r="DO948" i="1" s="1"/>
  <c r="DH948" i="1"/>
  <c r="DC948" i="1"/>
  <c r="CP948" i="1"/>
  <c r="CQ948" i="1" s="1"/>
  <c r="BZ948" i="1"/>
  <c r="BP948" i="1"/>
  <c r="BQ948" i="1" s="1"/>
  <c r="BF948" i="1"/>
  <c r="BE948" i="1"/>
  <c r="BD948" i="1"/>
  <c r="BC948" i="1"/>
  <c r="BB948" i="1"/>
  <c r="BA948" i="1"/>
  <c r="BG948" i="1" s="1" a="1"/>
  <c r="BG948" i="1" s="1"/>
  <c r="AZ948" i="1"/>
  <c r="M948" i="1"/>
  <c r="ER951" i="1"/>
  <c r="DZ951" i="1"/>
  <c r="DY951" i="1"/>
  <c r="DS951" i="1"/>
  <c r="DR951" i="1"/>
  <c r="DQ951" i="1"/>
  <c r="DP951" i="1"/>
  <c r="DN951" i="1"/>
  <c r="DO951" i="1" s="1"/>
  <c r="DH951" i="1"/>
  <c r="DC951" i="1"/>
  <c r="CP951" i="1"/>
  <c r="BZ951" i="1"/>
  <c r="BP951" i="1"/>
  <c r="BQ951" i="1" s="1"/>
  <c r="BF951" i="1"/>
  <c r="BE951" i="1"/>
  <c r="BD951" i="1"/>
  <c r="BC951" i="1"/>
  <c r="BB951" i="1"/>
  <c r="BA951" i="1"/>
  <c r="BG951" i="1" s="1" a="1"/>
  <c r="BG951" i="1" s="1"/>
  <c r="AZ951" i="1"/>
  <c r="M951" i="1"/>
  <c r="ER949" i="1"/>
  <c r="DZ949" i="1"/>
  <c r="DY949" i="1"/>
  <c r="DS949" i="1"/>
  <c r="DR949" i="1"/>
  <c r="DQ949" i="1"/>
  <c r="DP949" i="1"/>
  <c r="DN949" i="1"/>
  <c r="DO949" i="1" s="1"/>
  <c r="DH949" i="1"/>
  <c r="DC949" i="1"/>
  <c r="CP949" i="1"/>
  <c r="CV949" i="1" s="1"/>
  <c r="BZ949" i="1"/>
  <c r="BP949" i="1"/>
  <c r="BQ949" i="1" s="1"/>
  <c r="BF949" i="1"/>
  <c r="BE949" i="1"/>
  <c r="BD949" i="1"/>
  <c r="BC949" i="1"/>
  <c r="BB949" i="1"/>
  <c r="BA949" i="1"/>
  <c r="BG949" i="1" s="1" a="1"/>
  <c r="BG949" i="1" s="1"/>
  <c r="AZ949" i="1"/>
  <c r="M949" i="1"/>
  <c r="ER950" i="1"/>
  <c r="DZ950" i="1"/>
  <c r="DY950" i="1"/>
  <c r="DS950" i="1"/>
  <c r="DR950" i="1"/>
  <c r="DQ950" i="1"/>
  <c r="DP950" i="1"/>
  <c r="DN950" i="1"/>
  <c r="DO950" i="1" s="1"/>
  <c r="DH950" i="1"/>
  <c r="DC950" i="1"/>
  <c r="CP950" i="1"/>
  <c r="CR950" i="1" s="1"/>
  <c r="BZ950" i="1"/>
  <c r="BP950" i="1"/>
  <c r="BQ950" i="1" s="1"/>
  <c r="BF950" i="1"/>
  <c r="BE950" i="1"/>
  <c r="BD950" i="1"/>
  <c r="BC950" i="1"/>
  <c r="BB950" i="1"/>
  <c r="BA950" i="1"/>
  <c r="BG950" i="1" s="1" a="1"/>
  <c r="BG950" i="1" s="1"/>
  <c r="AZ950" i="1"/>
  <c r="M950" i="1"/>
  <c r="ER952" i="1"/>
  <c r="DZ952" i="1"/>
  <c r="DY952" i="1"/>
  <c r="DS952" i="1"/>
  <c r="DR952" i="1"/>
  <c r="DQ952" i="1"/>
  <c r="DP952" i="1"/>
  <c r="DN952" i="1"/>
  <c r="DO952" i="1" s="1"/>
  <c r="DH952" i="1"/>
  <c r="DC952" i="1"/>
  <c r="CP952" i="1"/>
  <c r="CV952" i="1" s="1"/>
  <c r="BZ952" i="1"/>
  <c r="BP952" i="1"/>
  <c r="BQ952" i="1" s="1"/>
  <c r="BF952" i="1"/>
  <c r="BE952" i="1"/>
  <c r="BD952" i="1"/>
  <c r="BC952" i="1"/>
  <c r="BB952" i="1"/>
  <c r="BA952" i="1"/>
  <c r="BG952" i="1" s="1" a="1"/>
  <c r="BG952" i="1" s="1"/>
  <c r="AZ952" i="1"/>
  <c r="M952" i="1"/>
  <c r="ER953" i="1"/>
  <c r="DZ953" i="1"/>
  <c r="DY953" i="1"/>
  <c r="DS953" i="1"/>
  <c r="DR953" i="1"/>
  <c r="DQ953" i="1"/>
  <c r="DP953" i="1"/>
  <c r="DN953" i="1"/>
  <c r="DO953" i="1" s="1"/>
  <c r="DH953" i="1"/>
  <c r="DC953" i="1"/>
  <c r="CP953" i="1"/>
  <c r="CV953" i="1" s="1"/>
  <c r="BZ953" i="1"/>
  <c r="BP953" i="1"/>
  <c r="BQ953" i="1" s="1"/>
  <c r="BF953" i="1"/>
  <c r="BE953" i="1"/>
  <c r="BD953" i="1"/>
  <c r="BC953" i="1"/>
  <c r="BB953" i="1"/>
  <c r="BA953" i="1"/>
  <c r="BG953" i="1" s="1" a="1"/>
  <c r="BG953" i="1" s="1"/>
  <c r="AZ953" i="1"/>
  <c r="M953" i="1"/>
  <c r="ER954" i="1"/>
  <c r="DZ954" i="1"/>
  <c r="DY954" i="1"/>
  <c r="DS954" i="1"/>
  <c r="DR954" i="1"/>
  <c r="DQ954" i="1"/>
  <c r="DP954" i="1"/>
  <c r="DN954" i="1"/>
  <c r="DO954" i="1" s="1"/>
  <c r="DH954" i="1"/>
  <c r="DC954" i="1"/>
  <c r="CP954" i="1"/>
  <c r="BZ954" i="1"/>
  <c r="BP954" i="1"/>
  <c r="BQ954" i="1" s="1"/>
  <c r="BF954" i="1"/>
  <c r="BE954" i="1"/>
  <c r="BD954" i="1"/>
  <c r="BC954" i="1"/>
  <c r="BB954" i="1"/>
  <c r="BA954" i="1"/>
  <c r="BG954" i="1" s="1" a="1"/>
  <c r="BG954" i="1" s="1"/>
  <c r="AZ954" i="1"/>
  <c r="M954" i="1"/>
  <c r="ER956" i="1"/>
  <c r="DZ956" i="1"/>
  <c r="DY956" i="1"/>
  <c r="DS956" i="1"/>
  <c r="DR956" i="1"/>
  <c r="DQ956" i="1"/>
  <c r="DP956" i="1"/>
  <c r="DN956" i="1"/>
  <c r="DO956" i="1" s="1"/>
  <c r="DH956" i="1"/>
  <c r="DC956" i="1"/>
  <c r="CP956" i="1"/>
  <c r="CR956" i="1" s="1"/>
  <c r="BZ956" i="1"/>
  <c r="BP956" i="1"/>
  <c r="BQ956" i="1" s="1"/>
  <c r="BF956" i="1"/>
  <c r="BE956" i="1"/>
  <c r="BD956" i="1"/>
  <c r="BC956" i="1"/>
  <c r="BB956" i="1"/>
  <c r="BA956" i="1"/>
  <c r="BG956" i="1" s="1" a="1"/>
  <c r="BG956" i="1" s="1"/>
  <c r="AZ956" i="1"/>
  <c r="M956" i="1"/>
  <c r="ER970" i="1"/>
  <c r="DZ970" i="1"/>
  <c r="DY970" i="1"/>
  <c r="DS970" i="1"/>
  <c r="DR970" i="1"/>
  <c r="DQ970" i="1"/>
  <c r="DP970" i="1"/>
  <c r="DN970" i="1"/>
  <c r="DO970" i="1" s="1"/>
  <c r="DG970" i="1"/>
  <c r="DH970" i="1" s="1"/>
  <c r="DC970" i="1"/>
  <c r="CP970" i="1"/>
  <c r="CQ970" i="1" s="1"/>
  <c r="BX970" i="1"/>
  <c r="BZ970" i="1" s="1"/>
  <c r="BW970" i="1"/>
  <c r="BP970" i="1"/>
  <c r="BQ970" i="1" s="1"/>
  <c r="BO970" i="1"/>
  <c r="BF970" i="1"/>
  <c r="BE970" i="1"/>
  <c r="BD970" i="1"/>
  <c r="BC970" i="1"/>
  <c r="BB970" i="1"/>
  <c r="BA970" i="1"/>
  <c r="BG970" i="1" s="1" a="1"/>
  <c r="BG970" i="1" s="1"/>
  <c r="AZ970" i="1"/>
  <c r="M970" i="1"/>
  <c r="ER971" i="1"/>
  <c r="DZ971" i="1"/>
  <c r="DY971" i="1"/>
  <c r="DS971" i="1"/>
  <c r="DR971" i="1"/>
  <c r="DQ971" i="1"/>
  <c r="DP971" i="1"/>
  <c r="DN971" i="1"/>
  <c r="DO971" i="1" s="1"/>
  <c r="DG971" i="1"/>
  <c r="DH971" i="1" s="1"/>
  <c r="DC971" i="1"/>
  <c r="CP971" i="1"/>
  <c r="BX971" i="1"/>
  <c r="BZ971" i="1" s="1"/>
  <c r="BW971" i="1"/>
  <c r="BP971" i="1"/>
  <c r="BQ971" i="1" s="1"/>
  <c r="BO971" i="1"/>
  <c r="BF971" i="1"/>
  <c r="BE971" i="1"/>
  <c r="BD971" i="1"/>
  <c r="BC971" i="1"/>
  <c r="BB971" i="1"/>
  <c r="BA971" i="1"/>
  <c r="BG971" i="1" s="1" a="1"/>
  <c r="BG971" i="1" s="1"/>
  <c r="AZ971" i="1"/>
  <c r="M971" i="1"/>
  <c r="ER972" i="1"/>
  <c r="DZ972" i="1"/>
  <c r="DY972" i="1"/>
  <c r="DS972" i="1"/>
  <c r="DR972" i="1"/>
  <c r="DQ972" i="1"/>
  <c r="DP972" i="1"/>
  <c r="DN972" i="1"/>
  <c r="DO972" i="1" s="1"/>
  <c r="DG972" i="1"/>
  <c r="DH972" i="1" s="1"/>
  <c r="DC972" i="1"/>
  <c r="CP972" i="1"/>
  <c r="CU972" i="1" s="1"/>
  <c r="BX972" i="1"/>
  <c r="BZ972" i="1" s="1"/>
  <c r="BW972" i="1"/>
  <c r="BP972" i="1"/>
  <c r="BQ972" i="1" s="1"/>
  <c r="BO972" i="1"/>
  <c r="BF972" i="1"/>
  <c r="BE972" i="1"/>
  <c r="BD972" i="1"/>
  <c r="BC972" i="1"/>
  <c r="BB972" i="1"/>
  <c r="BA972" i="1"/>
  <c r="BG972" i="1" s="1" a="1"/>
  <c r="BG972" i="1" s="1"/>
  <c r="AZ972" i="1"/>
  <c r="M972" i="1"/>
  <c r="ER973" i="1"/>
  <c r="DZ973" i="1"/>
  <c r="DY973" i="1"/>
  <c r="DS973" i="1"/>
  <c r="DR973" i="1"/>
  <c r="DQ973" i="1"/>
  <c r="DP973" i="1"/>
  <c r="DN973" i="1"/>
  <c r="DO973" i="1" s="1"/>
  <c r="DG973" i="1"/>
  <c r="DH973" i="1" s="1"/>
  <c r="DC973" i="1"/>
  <c r="CP973" i="1"/>
  <c r="CR973" i="1" s="1"/>
  <c r="BX973" i="1"/>
  <c r="BZ973" i="1" s="1"/>
  <c r="BW973" i="1"/>
  <c r="BP973" i="1"/>
  <c r="BQ973" i="1" s="1"/>
  <c r="BO973" i="1"/>
  <c r="BF973" i="1"/>
  <c r="BE973" i="1"/>
  <c r="BD973" i="1"/>
  <c r="BC973" i="1"/>
  <c r="BB973" i="1"/>
  <c r="BA973" i="1"/>
  <c r="BG973" i="1" s="1" a="1"/>
  <c r="BG973" i="1" s="1"/>
  <c r="AZ973" i="1"/>
  <c r="M973" i="1"/>
  <c r="ER974" i="1"/>
  <c r="DZ974" i="1"/>
  <c r="DY974" i="1"/>
  <c r="DS974" i="1"/>
  <c r="DR974" i="1"/>
  <c r="DQ974" i="1"/>
  <c r="DP974" i="1"/>
  <c r="DN974" i="1"/>
  <c r="DO974" i="1" s="1"/>
  <c r="DG974" i="1"/>
  <c r="DH974" i="1" s="1"/>
  <c r="DC974" i="1"/>
  <c r="CP974" i="1"/>
  <c r="CR974" i="1" s="1"/>
  <c r="BX974" i="1"/>
  <c r="BZ974" i="1" s="1"/>
  <c r="BW974" i="1"/>
  <c r="BP974" i="1"/>
  <c r="BQ974" i="1" s="1"/>
  <c r="BO974" i="1"/>
  <c r="BF974" i="1"/>
  <c r="BE974" i="1"/>
  <c r="BD974" i="1"/>
  <c r="BC974" i="1"/>
  <c r="BB974" i="1"/>
  <c r="BA974" i="1"/>
  <c r="BG974" i="1" s="1" a="1"/>
  <c r="BG974" i="1" s="1"/>
  <c r="AZ974" i="1"/>
  <c r="M974" i="1"/>
  <c r="ER975" i="1"/>
  <c r="DZ975" i="1"/>
  <c r="DY975" i="1"/>
  <c r="DS975" i="1"/>
  <c r="DR975" i="1"/>
  <c r="DQ975" i="1"/>
  <c r="DP975" i="1"/>
  <c r="DN975" i="1"/>
  <c r="DO975" i="1" s="1"/>
  <c r="DG975" i="1"/>
  <c r="DH975" i="1" s="1"/>
  <c r="DC975" i="1"/>
  <c r="CP975" i="1"/>
  <c r="CQ975" i="1" s="1"/>
  <c r="BX975" i="1"/>
  <c r="BZ975" i="1" s="1"/>
  <c r="BW975" i="1"/>
  <c r="BP975" i="1"/>
  <c r="BQ975" i="1" s="1"/>
  <c r="BO975" i="1"/>
  <c r="BF975" i="1"/>
  <c r="BE975" i="1"/>
  <c r="BD975" i="1"/>
  <c r="BC975" i="1"/>
  <c r="BB975" i="1"/>
  <c r="BA975" i="1"/>
  <c r="BG975" i="1" s="1" a="1"/>
  <c r="BG975" i="1" s="1"/>
  <c r="AZ975" i="1"/>
  <c r="M975" i="1"/>
  <c r="ER976" i="1"/>
  <c r="DZ976" i="1"/>
  <c r="DY976" i="1"/>
  <c r="DS976" i="1"/>
  <c r="DR976" i="1"/>
  <c r="DQ976" i="1"/>
  <c r="DP976" i="1"/>
  <c r="DN976" i="1"/>
  <c r="DO976" i="1" s="1"/>
  <c r="DG976" i="1"/>
  <c r="DH976" i="1" s="1"/>
  <c r="DC976" i="1"/>
  <c r="CP976" i="1"/>
  <c r="BX976" i="1"/>
  <c r="BZ976" i="1" s="1"/>
  <c r="BW976" i="1"/>
  <c r="BP976" i="1"/>
  <c r="BQ976" i="1" s="1"/>
  <c r="BO976" i="1"/>
  <c r="BF976" i="1"/>
  <c r="BE976" i="1"/>
  <c r="BD976" i="1"/>
  <c r="BC976" i="1"/>
  <c r="BB976" i="1"/>
  <c r="BA976" i="1"/>
  <c r="AZ976" i="1"/>
  <c r="M976" i="1"/>
  <c r="ER977" i="1"/>
  <c r="DZ977" i="1"/>
  <c r="DY977" i="1"/>
  <c r="DS977" i="1"/>
  <c r="DR977" i="1"/>
  <c r="DQ977" i="1"/>
  <c r="DP977" i="1"/>
  <c r="DN977" i="1"/>
  <c r="DO977" i="1" s="1"/>
  <c r="DG977" i="1"/>
  <c r="DH977" i="1" s="1"/>
  <c r="DC977" i="1"/>
  <c r="CP977" i="1"/>
  <c r="CQ977" i="1" s="1"/>
  <c r="BX977" i="1"/>
  <c r="BZ977" i="1" s="1"/>
  <c r="BW977" i="1"/>
  <c r="BP977" i="1"/>
  <c r="BQ977" i="1" s="1"/>
  <c r="BO977" i="1"/>
  <c r="BF977" i="1"/>
  <c r="BE977" i="1"/>
  <c r="BD977" i="1"/>
  <c r="BC977" i="1"/>
  <c r="BB977" i="1"/>
  <c r="BA977" i="1"/>
  <c r="AZ977" i="1"/>
  <c r="M977" i="1"/>
  <c r="ER978" i="1"/>
  <c r="DZ978" i="1"/>
  <c r="DY978" i="1"/>
  <c r="DS978" i="1"/>
  <c r="DR978" i="1"/>
  <c r="DQ978" i="1"/>
  <c r="DP978" i="1"/>
  <c r="DN978" i="1"/>
  <c r="DO978" i="1" s="1"/>
  <c r="DG978" i="1"/>
  <c r="DH978" i="1" s="1"/>
  <c r="DC978" i="1"/>
  <c r="CP978" i="1"/>
  <c r="CV978" i="1" s="1"/>
  <c r="BX978" i="1"/>
  <c r="BZ978" i="1" s="1"/>
  <c r="BW978" i="1"/>
  <c r="BP978" i="1"/>
  <c r="BQ978" i="1" s="1"/>
  <c r="BO978" i="1"/>
  <c r="BF978" i="1"/>
  <c r="BE978" i="1"/>
  <c r="BD978" i="1"/>
  <c r="BC978" i="1"/>
  <c r="BB978" i="1"/>
  <c r="BA978" i="1"/>
  <c r="AZ978" i="1"/>
  <c r="M978" i="1"/>
  <c r="ER968" i="1"/>
  <c r="DZ968" i="1"/>
  <c r="DY968" i="1"/>
  <c r="DS968" i="1"/>
  <c r="DR968" i="1"/>
  <c r="DQ968" i="1"/>
  <c r="DP968" i="1"/>
  <c r="DN968" i="1"/>
  <c r="DO968" i="1" s="1"/>
  <c r="DG968" i="1"/>
  <c r="DH968" i="1" s="1"/>
  <c r="DC968" i="1"/>
  <c r="CP968" i="1"/>
  <c r="CU968" i="1" s="1"/>
  <c r="BX968" i="1"/>
  <c r="BZ968" i="1" s="1"/>
  <c r="BW968" i="1"/>
  <c r="BP968" i="1"/>
  <c r="BQ968" i="1" s="1"/>
  <c r="BO968" i="1"/>
  <c r="BF968" i="1"/>
  <c r="BE968" i="1"/>
  <c r="BD968" i="1"/>
  <c r="BC968" i="1"/>
  <c r="BB968" i="1"/>
  <c r="BA968" i="1"/>
  <c r="BG968" i="1" s="1" a="1"/>
  <c r="BG968" i="1" s="1"/>
  <c r="AZ968" i="1"/>
  <c r="M968" i="1"/>
  <c r="ER969" i="1"/>
  <c r="DZ969" i="1"/>
  <c r="DY969" i="1"/>
  <c r="DS969" i="1"/>
  <c r="DR969" i="1"/>
  <c r="DQ969" i="1"/>
  <c r="DP969" i="1"/>
  <c r="DN969" i="1"/>
  <c r="DO969" i="1" s="1"/>
  <c r="DG969" i="1"/>
  <c r="DH969" i="1" s="1"/>
  <c r="DC969" i="1"/>
  <c r="CP969" i="1"/>
  <c r="CR969" i="1" s="1"/>
  <c r="BX969" i="1"/>
  <c r="BZ969" i="1" s="1"/>
  <c r="BW969" i="1"/>
  <c r="BP969" i="1"/>
  <c r="BQ969" i="1" s="1"/>
  <c r="BO969" i="1"/>
  <c r="BF969" i="1"/>
  <c r="BE969" i="1"/>
  <c r="BD969" i="1"/>
  <c r="BC969" i="1"/>
  <c r="BB969" i="1"/>
  <c r="BA969" i="1"/>
  <c r="BG969" i="1" s="1" a="1"/>
  <c r="BG969" i="1" s="1"/>
  <c r="AZ969" i="1"/>
  <c r="M969" i="1"/>
  <c r="ER967" i="1"/>
  <c r="DZ967" i="1"/>
  <c r="DY967" i="1"/>
  <c r="DS967" i="1"/>
  <c r="DR967" i="1"/>
  <c r="DQ967" i="1"/>
  <c r="DP967" i="1"/>
  <c r="DN967" i="1"/>
  <c r="DO967" i="1" s="1"/>
  <c r="DG967" i="1"/>
  <c r="DH967" i="1" s="1"/>
  <c r="DC967" i="1"/>
  <c r="CP967" i="1"/>
  <c r="BX967" i="1"/>
  <c r="BZ967" i="1" s="1"/>
  <c r="BW967" i="1"/>
  <c r="BP967" i="1"/>
  <c r="BQ967" i="1" s="1"/>
  <c r="BO967" i="1"/>
  <c r="BF967" i="1"/>
  <c r="BE967" i="1"/>
  <c r="BD967" i="1"/>
  <c r="BC967" i="1"/>
  <c r="BB967" i="1"/>
  <c r="BA967" i="1"/>
  <c r="BG967" i="1" s="1" a="1"/>
  <c r="BG967" i="1" s="1"/>
  <c r="AZ967" i="1"/>
  <c r="M967" i="1"/>
  <c r="ER577" i="1"/>
  <c r="DZ577" i="1"/>
  <c r="DY577" i="1"/>
  <c r="DS577" i="1"/>
  <c r="DR577" i="1"/>
  <c r="DQ577" i="1"/>
  <c r="DP577" i="1"/>
  <c r="DN577" i="1"/>
  <c r="DO577" i="1" s="1"/>
  <c r="DH577" i="1"/>
  <c r="DC577" i="1"/>
  <c r="CP577" i="1"/>
  <c r="CR577" i="1" s="1"/>
  <c r="BX577" i="1"/>
  <c r="BZ577" i="1" s="1"/>
  <c r="BW577" i="1"/>
  <c r="BP577" i="1"/>
  <c r="BQ577" i="1" s="1"/>
  <c r="BF577" i="1"/>
  <c r="BE577" i="1"/>
  <c r="BD577" i="1"/>
  <c r="BC577" i="1"/>
  <c r="BB577" i="1"/>
  <c r="BA577" i="1"/>
  <c r="BG577" i="1" s="1" a="1"/>
  <c r="BG577" i="1" s="1"/>
  <c r="AZ577" i="1"/>
  <c r="M577" i="1"/>
  <c r="ER576" i="1"/>
  <c r="DZ576" i="1"/>
  <c r="DY576" i="1"/>
  <c r="DS576" i="1"/>
  <c r="DR576" i="1"/>
  <c r="DQ576" i="1"/>
  <c r="DP576" i="1"/>
  <c r="DN576" i="1"/>
  <c r="DO576" i="1" s="1"/>
  <c r="DH576" i="1"/>
  <c r="DC576" i="1"/>
  <c r="CP576" i="1"/>
  <c r="CU576" i="1" s="1"/>
  <c r="BX576" i="1"/>
  <c r="BZ576" i="1" s="1"/>
  <c r="BW576" i="1"/>
  <c r="BP576" i="1"/>
  <c r="BQ576" i="1" s="1"/>
  <c r="BF576" i="1"/>
  <c r="BE576" i="1"/>
  <c r="BD576" i="1"/>
  <c r="BC576" i="1"/>
  <c r="BB576" i="1"/>
  <c r="BA576" i="1"/>
  <c r="BG576" i="1" s="1" a="1"/>
  <c r="BG576" i="1" s="1"/>
  <c r="AZ576" i="1"/>
  <c r="M576" i="1"/>
  <c r="ER579" i="1"/>
  <c r="DZ579" i="1"/>
  <c r="DY579" i="1"/>
  <c r="DS579" i="1"/>
  <c r="DR579" i="1"/>
  <c r="DQ579" i="1"/>
  <c r="DP579" i="1"/>
  <c r="DN579" i="1"/>
  <c r="DO579" i="1" s="1"/>
  <c r="DH579" i="1"/>
  <c r="DC579" i="1"/>
  <c r="CP579" i="1"/>
  <c r="CR579" i="1" s="1"/>
  <c r="BX579" i="1"/>
  <c r="BZ579" i="1" s="1"/>
  <c r="BW579" i="1"/>
  <c r="BP579" i="1"/>
  <c r="BQ579" i="1" s="1"/>
  <c r="BF579" i="1"/>
  <c r="BE579" i="1"/>
  <c r="BD579" i="1"/>
  <c r="BC579" i="1"/>
  <c r="BB579" i="1"/>
  <c r="BA579" i="1"/>
  <c r="BG579" i="1" s="1" a="1"/>
  <c r="BG579" i="1" s="1"/>
  <c r="AZ579" i="1"/>
  <c r="M579" i="1"/>
  <c r="ER578" i="1"/>
  <c r="DZ578" i="1"/>
  <c r="DY578" i="1"/>
  <c r="DS578" i="1"/>
  <c r="DR578" i="1"/>
  <c r="DQ578" i="1"/>
  <c r="DP578" i="1"/>
  <c r="DN578" i="1"/>
  <c r="DO578" i="1" s="1"/>
  <c r="DH578" i="1"/>
  <c r="DC578" i="1"/>
  <c r="CP578" i="1"/>
  <c r="CU578" i="1" s="1"/>
  <c r="BX578" i="1"/>
  <c r="BZ578" i="1" s="1"/>
  <c r="BW578" i="1"/>
  <c r="BP578" i="1"/>
  <c r="BQ578" i="1" s="1"/>
  <c r="BF578" i="1"/>
  <c r="BE578" i="1"/>
  <c r="BD578" i="1"/>
  <c r="BC578" i="1"/>
  <c r="BB578" i="1"/>
  <c r="BA578" i="1"/>
  <c r="BG578" i="1" s="1" a="1"/>
  <c r="BG578" i="1" s="1"/>
  <c r="AZ578" i="1"/>
  <c r="M578" i="1"/>
  <c r="ER581" i="1"/>
  <c r="DZ581" i="1"/>
  <c r="DY581" i="1"/>
  <c r="DS581" i="1"/>
  <c r="DR581" i="1"/>
  <c r="DQ581" i="1"/>
  <c r="DP581" i="1"/>
  <c r="DN581" i="1"/>
  <c r="DO581" i="1" s="1"/>
  <c r="DH581" i="1"/>
  <c r="DC581" i="1"/>
  <c r="CP581" i="1"/>
  <c r="CQ581" i="1" s="1"/>
  <c r="BX581" i="1"/>
  <c r="BZ581" i="1" s="1"/>
  <c r="BW581" i="1"/>
  <c r="BP581" i="1"/>
  <c r="BQ581" i="1" s="1"/>
  <c r="BF581" i="1"/>
  <c r="BE581" i="1"/>
  <c r="BD581" i="1"/>
  <c r="BC581" i="1"/>
  <c r="BB581" i="1"/>
  <c r="BA581" i="1"/>
  <c r="BG581" i="1" s="1" a="1"/>
  <c r="BG581" i="1" s="1"/>
  <c r="AZ581" i="1"/>
  <c r="M581" i="1"/>
  <c r="ER580" i="1"/>
  <c r="DZ580" i="1"/>
  <c r="DY580" i="1"/>
  <c r="DS580" i="1"/>
  <c r="DR580" i="1"/>
  <c r="DQ580" i="1"/>
  <c r="DP580" i="1"/>
  <c r="DN580" i="1"/>
  <c r="DO580" i="1" s="1"/>
  <c r="DH580" i="1"/>
  <c r="DC580" i="1"/>
  <c r="CP580" i="1"/>
  <c r="CQ580" i="1" s="1"/>
  <c r="BX580" i="1"/>
  <c r="BZ580" i="1" s="1"/>
  <c r="BW580" i="1"/>
  <c r="BP580" i="1"/>
  <c r="BQ580" i="1" s="1"/>
  <c r="BF580" i="1"/>
  <c r="BE580" i="1"/>
  <c r="BD580" i="1"/>
  <c r="BC580" i="1"/>
  <c r="BB580" i="1"/>
  <c r="BA580" i="1"/>
  <c r="BG580" i="1" s="1" a="1"/>
  <c r="BG580" i="1" s="1"/>
  <c r="AZ580" i="1"/>
  <c r="M580" i="1"/>
  <c r="ER569" i="1"/>
  <c r="DZ569" i="1"/>
  <c r="DY569" i="1"/>
  <c r="DS569" i="1"/>
  <c r="DR569" i="1"/>
  <c r="DQ569" i="1"/>
  <c r="DP569" i="1"/>
  <c r="DN569" i="1"/>
  <c r="DO569" i="1" s="1"/>
  <c r="DH569" i="1"/>
  <c r="DC569" i="1"/>
  <c r="BX569" i="1"/>
  <c r="BZ569" i="1" s="1"/>
  <c r="CA569" i="1" s="1"/>
  <c r="BW569" i="1"/>
  <c r="BN569" i="1"/>
  <c r="BM569" i="1"/>
  <c r="BF569" i="1"/>
  <c r="BE569" i="1"/>
  <c r="BD569" i="1"/>
  <c r="BC569" i="1"/>
  <c r="BB569" i="1"/>
  <c r="BA569" i="1"/>
  <c r="BG569" i="1" s="1" a="1"/>
  <c r="BG569" i="1" s="1"/>
  <c r="AZ569" i="1"/>
  <c r="M569" i="1"/>
  <c r="ER562" i="1"/>
  <c r="DZ562" i="1"/>
  <c r="DY562" i="1"/>
  <c r="DS562" i="1"/>
  <c r="DR562" i="1"/>
  <c r="DQ562" i="1"/>
  <c r="DP562" i="1"/>
  <c r="DN562" i="1"/>
  <c r="DO562" i="1" s="1"/>
  <c r="DH562" i="1"/>
  <c r="DC562" i="1"/>
  <c r="BX562" i="1"/>
  <c r="BZ562" i="1" s="1"/>
  <c r="CA562" i="1" s="1"/>
  <c r="BW562" i="1"/>
  <c r="BN562" i="1"/>
  <c r="BM562" i="1"/>
  <c r="BF562" i="1"/>
  <c r="BE562" i="1"/>
  <c r="BD562" i="1"/>
  <c r="BC562" i="1"/>
  <c r="BB562" i="1"/>
  <c r="BA562" i="1"/>
  <c r="BG562" i="1" s="1" a="1"/>
  <c r="BG562" i="1" s="1"/>
  <c r="AZ562" i="1"/>
  <c r="M562" i="1"/>
  <c r="ER566" i="1"/>
  <c r="DZ566" i="1"/>
  <c r="DY566" i="1"/>
  <c r="DS566" i="1"/>
  <c r="DR566" i="1"/>
  <c r="DQ566" i="1"/>
  <c r="DP566" i="1"/>
  <c r="DN566" i="1"/>
  <c r="DO566" i="1" s="1"/>
  <c r="DH566" i="1"/>
  <c r="DC566" i="1"/>
  <c r="BX566" i="1"/>
  <c r="BZ566" i="1" s="1"/>
  <c r="CA566" i="1" s="1"/>
  <c r="BW566" i="1"/>
  <c r="BN566" i="1"/>
  <c r="BM566" i="1"/>
  <c r="BF566" i="1"/>
  <c r="BE566" i="1"/>
  <c r="BD566" i="1"/>
  <c r="BC566" i="1"/>
  <c r="BB566" i="1"/>
  <c r="BA566" i="1"/>
  <c r="BG566" i="1" s="1" a="1"/>
  <c r="BG566" i="1" s="1"/>
  <c r="AZ566" i="1"/>
  <c r="M566" i="1"/>
  <c r="ER573" i="1"/>
  <c r="DZ573" i="1"/>
  <c r="DY573" i="1"/>
  <c r="DS573" i="1"/>
  <c r="DR573" i="1"/>
  <c r="DQ573" i="1"/>
  <c r="DP573" i="1"/>
  <c r="DN573" i="1"/>
  <c r="DO573" i="1" s="1"/>
  <c r="DH573" i="1"/>
  <c r="DC573" i="1"/>
  <c r="BX573" i="1"/>
  <c r="BZ573" i="1" s="1"/>
  <c r="CA573" i="1" s="1"/>
  <c r="BW573" i="1"/>
  <c r="EY573" i="1" s="1"/>
  <c r="BN573" i="1"/>
  <c r="BM573" i="1"/>
  <c r="BF573" i="1"/>
  <c r="BE573" i="1"/>
  <c r="BD573" i="1"/>
  <c r="BC573" i="1"/>
  <c r="BB573" i="1"/>
  <c r="BA573" i="1"/>
  <c r="BG573" i="1" s="1" a="1"/>
  <c r="BG573" i="1" s="1"/>
  <c r="AZ573" i="1"/>
  <c r="M573" i="1"/>
  <c r="ER564" i="1"/>
  <c r="DZ564" i="1"/>
  <c r="DY564" i="1"/>
  <c r="DS564" i="1"/>
  <c r="DR564" i="1"/>
  <c r="DQ564" i="1"/>
  <c r="DP564" i="1"/>
  <c r="DN564" i="1"/>
  <c r="DO564" i="1" s="1"/>
  <c r="DH564" i="1"/>
  <c r="DC564" i="1"/>
  <c r="BX564" i="1"/>
  <c r="BZ564" i="1" s="1"/>
  <c r="CA564" i="1" s="1"/>
  <c r="BW564" i="1"/>
  <c r="BN564" i="1"/>
  <c r="BM564" i="1"/>
  <c r="BF564" i="1"/>
  <c r="BE564" i="1"/>
  <c r="BD564" i="1"/>
  <c r="BC564" i="1"/>
  <c r="BB564" i="1"/>
  <c r="BA564" i="1"/>
  <c r="BG564" i="1" s="1" a="1"/>
  <c r="BG564" i="1" s="1"/>
  <c r="AZ564" i="1"/>
  <c r="M564" i="1"/>
  <c r="ER571" i="1"/>
  <c r="DZ571" i="1"/>
  <c r="DY571" i="1"/>
  <c r="DS571" i="1"/>
  <c r="DR571" i="1"/>
  <c r="DQ571" i="1"/>
  <c r="DP571" i="1"/>
  <c r="DN571" i="1"/>
  <c r="DO571" i="1" s="1"/>
  <c r="DH571" i="1"/>
  <c r="DC571" i="1"/>
  <c r="BX571" i="1"/>
  <c r="BZ571" i="1" s="1"/>
  <c r="CA571" i="1" s="1"/>
  <c r="BW571" i="1"/>
  <c r="EY571" i="1" s="1"/>
  <c r="BN571" i="1"/>
  <c r="BM571" i="1"/>
  <c r="BF571" i="1"/>
  <c r="BE571" i="1"/>
  <c r="BD571" i="1"/>
  <c r="BC571" i="1"/>
  <c r="BB571" i="1"/>
  <c r="BA571" i="1"/>
  <c r="BG571" i="1" s="1" a="1"/>
  <c r="BG571" i="1" s="1"/>
  <c r="AZ571" i="1"/>
  <c r="M571" i="1"/>
  <c r="ER568" i="1"/>
  <c r="DZ568" i="1"/>
  <c r="DY568" i="1"/>
  <c r="DS568" i="1"/>
  <c r="DR568" i="1"/>
  <c r="DQ568" i="1"/>
  <c r="DP568" i="1"/>
  <c r="DN568" i="1"/>
  <c r="DO568" i="1" s="1"/>
  <c r="DH568" i="1"/>
  <c r="DC568" i="1"/>
  <c r="BX568" i="1"/>
  <c r="BZ568" i="1" s="1"/>
  <c r="CA568" i="1" s="1"/>
  <c r="BW568" i="1"/>
  <c r="BN568" i="1"/>
  <c r="BM568" i="1"/>
  <c r="BF568" i="1"/>
  <c r="BE568" i="1"/>
  <c r="BD568" i="1"/>
  <c r="BC568" i="1"/>
  <c r="BB568" i="1"/>
  <c r="BA568" i="1"/>
  <c r="BG568" i="1" s="1" a="1"/>
  <c r="BG568" i="1" s="1"/>
  <c r="AZ568" i="1"/>
  <c r="M568" i="1"/>
  <c r="ER575" i="1"/>
  <c r="DZ575" i="1"/>
  <c r="DY575" i="1"/>
  <c r="DS575" i="1"/>
  <c r="DR575" i="1"/>
  <c r="DQ575" i="1"/>
  <c r="DP575" i="1"/>
  <c r="DN575" i="1"/>
  <c r="DO575" i="1" s="1"/>
  <c r="DH575" i="1"/>
  <c r="DC575" i="1"/>
  <c r="BX575" i="1"/>
  <c r="BZ575" i="1" s="1"/>
  <c r="CA575" i="1" s="1"/>
  <c r="BW575" i="1"/>
  <c r="EY575" i="1" s="1"/>
  <c r="BN575" i="1"/>
  <c r="BM575" i="1"/>
  <c r="BF575" i="1"/>
  <c r="BE575" i="1"/>
  <c r="BD575" i="1"/>
  <c r="BC575" i="1"/>
  <c r="BB575" i="1"/>
  <c r="BA575" i="1"/>
  <c r="BG575" i="1" s="1" a="1"/>
  <c r="BG575" i="1" s="1"/>
  <c r="AZ575" i="1"/>
  <c r="M575" i="1"/>
  <c r="ER565" i="1"/>
  <c r="DZ565" i="1"/>
  <c r="DY565" i="1"/>
  <c r="DS565" i="1"/>
  <c r="DR565" i="1"/>
  <c r="DQ565" i="1"/>
  <c r="DP565" i="1"/>
  <c r="DN565" i="1"/>
  <c r="DO565" i="1" s="1"/>
  <c r="DH565" i="1"/>
  <c r="DC565" i="1"/>
  <c r="BX565" i="1"/>
  <c r="BZ565" i="1" s="1"/>
  <c r="CA565" i="1" s="1"/>
  <c r="BW565" i="1"/>
  <c r="BN565" i="1"/>
  <c r="BM565" i="1"/>
  <c r="BF565" i="1"/>
  <c r="BE565" i="1"/>
  <c r="BD565" i="1"/>
  <c r="BC565" i="1"/>
  <c r="BB565" i="1"/>
  <c r="BA565" i="1"/>
  <c r="BG565" i="1" s="1" a="1"/>
  <c r="BG565" i="1" s="1"/>
  <c r="AZ565" i="1"/>
  <c r="M565" i="1"/>
  <c r="ER572" i="1"/>
  <c r="DZ572" i="1"/>
  <c r="DY572" i="1"/>
  <c r="DS572" i="1"/>
  <c r="DR572" i="1"/>
  <c r="DQ572" i="1"/>
  <c r="DP572" i="1"/>
  <c r="DN572" i="1"/>
  <c r="DO572" i="1" s="1"/>
  <c r="DH572" i="1"/>
  <c r="DC572" i="1"/>
  <c r="BX572" i="1"/>
  <c r="BZ572" i="1" s="1"/>
  <c r="CA572" i="1" s="1"/>
  <c r="BW572" i="1"/>
  <c r="EY572" i="1" s="1"/>
  <c r="BN572" i="1"/>
  <c r="BM572" i="1"/>
  <c r="BF572" i="1"/>
  <c r="BE572" i="1"/>
  <c r="BD572" i="1"/>
  <c r="BC572" i="1"/>
  <c r="BB572" i="1"/>
  <c r="BA572" i="1"/>
  <c r="BG572" i="1" s="1" a="1"/>
  <c r="BG572" i="1" s="1"/>
  <c r="AZ572" i="1"/>
  <c r="M572" i="1"/>
  <c r="ER563" i="1"/>
  <c r="DZ563" i="1"/>
  <c r="DY563" i="1"/>
  <c r="DS563" i="1"/>
  <c r="DR563" i="1"/>
  <c r="DQ563" i="1"/>
  <c r="DP563" i="1"/>
  <c r="DN563" i="1"/>
  <c r="DO563" i="1" s="1"/>
  <c r="DH563" i="1"/>
  <c r="DC563" i="1"/>
  <c r="BX563" i="1"/>
  <c r="BZ563" i="1" s="1"/>
  <c r="CA563" i="1" s="1"/>
  <c r="BW563" i="1"/>
  <c r="BN563" i="1"/>
  <c r="BM563" i="1"/>
  <c r="BF563" i="1"/>
  <c r="BE563" i="1"/>
  <c r="BD563" i="1"/>
  <c r="BC563" i="1"/>
  <c r="BB563" i="1"/>
  <c r="BA563" i="1"/>
  <c r="BG563" i="1" s="1" a="1"/>
  <c r="BG563" i="1" s="1"/>
  <c r="AZ563" i="1"/>
  <c r="M563" i="1"/>
  <c r="ER570" i="1"/>
  <c r="DZ570" i="1"/>
  <c r="DY570" i="1"/>
  <c r="DS570" i="1"/>
  <c r="DR570" i="1"/>
  <c r="DQ570" i="1"/>
  <c r="DP570" i="1"/>
  <c r="DN570" i="1"/>
  <c r="DO570" i="1" s="1"/>
  <c r="DH570" i="1"/>
  <c r="DC570" i="1"/>
  <c r="BX570" i="1"/>
  <c r="BZ570" i="1" s="1"/>
  <c r="CA570" i="1" s="1"/>
  <c r="BW570" i="1"/>
  <c r="EY570" i="1" s="1"/>
  <c r="BN570" i="1"/>
  <c r="BM570" i="1"/>
  <c r="BF570" i="1"/>
  <c r="BE570" i="1"/>
  <c r="BD570" i="1"/>
  <c r="BC570" i="1"/>
  <c r="BB570" i="1"/>
  <c r="BA570" i="1"/>
  <c r="BG570" i="1" s="1" a="1"/>
  <c r="BG570" i="1" s="1"/>
  <c r="AZ570" i="1"/>
  <c r="M570" i="1"/>
  <c r="ER574" i="1"/>
  <c r="DZ574" i="1"/>
  <c r="DY574" i="1"/>
  <c r="DS574" i="1"/>
  <c r="DR574" i="1"/>
  <c r="DQ574" i="1"/>
  <c r="DP574" i="1"/>
  <c r="DN574" i="1"/>
  <c r="DO574" i="1" s="1"/>
  <c r="DH574" i="1"/>
  <c r="DC574" i="1"/>
  <c r="BX574" i="1"/>
  <c r="BZ574" i="1" s="1"/>
  <c r="CA574" i="1" s="1"/>
  <c r="BW574" i="1"/>
  <c r="EY574" i="1" s="1"/>
  <c r="BN574" i="1"/>
  <c r="BM574" i="1"/>
  <c r="BF574" i="1"/>
  <c r="BE574" i="1"/>
  <c r="BD574" i="1"/>
  <c r="BC574" i="1"/>
  <c r="BB574" i="1"/>
  <c r="BA574" i="1"/>
  <c r="BG574" i="1" s="1" a="1"/>
  <c r="BG574" i="1" s="1"/>
  <c r="AZ574" i="1"/>
  <c r="M574" i="1"/>
  <c r="ER567" i="1"/>
  <c r="DZ567" i="1"/>
  <c r="DY567" i="1"/>
  <c r="DS567" i="1"/>
  <c r="DR567" i="1"/>
  <c r="DQ567" i="1"/>
  <c r="DP567" i="1"/>
  <c r="DN567" i="1"/>
  <c r="DO567" i="1" s="1"/>
  <c r="DH567" i="1"/>
  <c r="DC567" i="1"/>
  <c r="CP567" i="1"/>
  <c r="CU567" i="1" s="1"/>
  <c r="BX567" i="1"/>
  <c r="BZ567" i="1" s="1"/>
  <c r="CA567" i="1" s="1"/>
  <c r="BW567" i="1"/>
  <c r="BP567" i="1"/>
  <c r="BO567" i="1"/>
  <c r="BF567" i="1"/>
  <c r="BE567" i="1"/>
  <c r="BD567" i="1"/>
  <c r="BC567" i="1"/>
  <c r="BB567" i="1"/>
  <c r="BA567" i="1"/>
  <c r="BG567" i="1" s="1" a="1"/>
  <c r="BG567" i="1" s="1"/>
  <c r="AZ567" i="1"/>
  <c r="M567" i="1"/>
  <c r="ER558" i="1"/>
  <c r="DZ558" i="1"/>
  <c r="DY558" i="1"/>
  <c r="DS558" i="1"/>
  <c r="DR558" i="1"/>
  <c r="DQ558" i="1"/>
  <c r="DP558" i="1"/>
  <c r="DN558" i="1"/>
  <c r="DO558" i="1" s="1"/>
  <c r="DH558" i="1"/>
  <c r="DC558" i="1"/>
  <c r="CP558" i="1"/>
  <c r="CQ558" i="1" s="1"/>
  <c r="BX558" i="1"/>
  <c r="BZ558" i="1" s="1"/>
  <c r="BW558" i="1"/>
  <c r="BP558" i="1"/>
  <c r="BQ558" i="1" s="1"/>
  <c r="BO558" i="1"/>
  <c r="BF558" i="1"/>
  <c r="BE558" i="1"/>
  <c r="BD558" i="1"/>
  <c r="BC558" i="1"/>
  <c r="BB558" i="1"/>
  <c r="BA558" i="1"/>
  <c r="BG558" i="1" s="1" a="1"/>
  <c r="BG558" i="1" s="1"/>
  <c r="AZ558" i="1"/>
  <c r="M558" i="1"/>
  <c r="ER559" i="1"/>
  <c r="DZ559" i="1"/>
  <c r="DY559" i="1"/>
  <c r="DS559" i="1"/>
  <c r="DR559" i="1"/>
  <c r="DQ559" i="1"/>
  <c r="DP559" i="1"/>
  <c r="DN559" i="1"/>
  <c r="DO559" i="1" s="1"/>
  <c r="DH559" i="1"/>
  <c r="DC559" i="1"/>
  <c r="CP559" i="1"/>
  <c r="CQ559" i="1" s="1"/>
  <c r="BX559" i="1"/>
  <c r="BZ559" i="1" s="1"/>
  <c r="BW559" i="1"/>
  <c r="BP559" i="1"/>
  <c r="BQ559" i="1" s="1"/>
  <c r="BO559" i="1"/>
  <c r="BF559" i="1"/>
  <c r="BE559" i="1"/>
  <c r="BD559" i="1"/>
  <c r="BC559" i="1"/>
  <c r="BB559" i="1"/>
  <c r="BA559" i="1"/>
  <c r="BG559" i="1" s="1" a="1"/>
  <c r="BG559" i="1" s="1"/>
  <c r="AZ559" i="1"/>
  <c r="M559" i="1"/>
  <c r="ER560" i="1"/>
  <c r="DZ560" i="1"/>
  <c r="DY560" i="1"/>
  <c r="DS560" i="1"/>
  <c r="DR560" i="1"/>
  <c r="DQ560" i="1"/>
  <c r="DP560" i="1"/>
  <c r="DN560" i="1"/>
  <c r="DO560" i="1" s="1"/>
  <c r="DH560" i="1"/>
  <c r="DC560" i="1"/>
  <c r="CP560" i="1"/>
  <c r="BX560" i="1"/>
  <c r="BZ560" i="1" s="1"/>
  <c r="BW560" i="1"/>
  <c r="BP560" i="1"/>
  <c r="BQ560" i="1" s="1"/>
  <c r="BO560" i="1"/>
  <c r="BF560" i="1"/>
  <c r="BE560" i="1"/>
  <c r="BD560" i="1"/>
  <c r="BC560" i="1"/>
  <c r="BB560" i="1"/>
  <c r="BA560" i="1"/>
  <c r="BG560" i="1" s="1" a="1"/>
  <c r="BG560" i="1" s="1"/>
  <c r="AZ560" i="1"/>
  <c r="M560" i="1"/>
  <c r="ER561" i="1"/>
  <c r="DZ561" i="1"/>
  <c r="DY561" i="1"/>
  <c r="DS561" i="1"/>
  <c r="DR561" i="1"/>
  <c r="DQ561" i="1"/>
  <c r="DP561" i="1"/>
  <c r="DN561" i="1"/>
  <c r="DO561" i="1" s="1"/>
  <c r="DH561" i="1"/>
  <c r="DC561" i="1"/>
  <c r="CP561" i="1"/>
  <c r="CU561" i="1" s="1"/>
  <c r="BX561" i="1"/>
  <c r="BZ561" i="1" s="1"/>
  <c r="BW561" i="1"/>
  <c r="BP561" i="1"/>
  <c r="BQ561" i="1" s="1"/>
  <c r="BO561" i="1"/>
  <c r="BF561" i="1"/>
  <c r="BE561" i="1"/>
  <c r="BD561" i="1"/>
  <c r="BC561" i="1"/>
  <c r="BB561" i="1"/>
  <c r="BA561" i="1"/>
  <c r="BG561" i="1" s="1" a="1"/>
  <c r="BG561" i="1" s="1"/>
  <c r="AZ561" i="1"/>
  <c r="M561" i="1"/>
  <c r="ER538" i="1"/>
  <c r="DZ538" i="1"/>
  <c r="DY538" i="1"/>
  <c r="DS538" i="1"/>
  <c r="DR538" i="1"/>
  <c r="DQ538" i="1"/>
  <c r="DP538" i="1"/>
  <c r="DN538" i="1"/>
  <c r="DO538" i="1" s="1"/>
  <c r="DH538" i="1"/>
  <c r="DC538" i="1"/>
  <c r="CP538" i="1"/>
  <c r="BX538" i="1"/>
  <c r="BZ538" i="1" s="1"/>
  <c r="BW538" i="1"/>
  <c r="BP538" i="1"/>
  <c r="BQ538" i="1" s="1"/>
  <c r="BF538" i="1"/>
  <c r="BE538" i="1"/>
  <c r="BD538" i="1"/>
  <c r="BC538" i="1"/>
  <c r="BB538" i="1"/>
  <c r="BA538" i="1"/>
  <c r="BG538" i="1" s="1" a="1"/>
  <c r="BG538" i="1" s="1"/>
  <c r="AZ538" i="1"/>
  <c r="M538" i="1"/>
  <c r="ER539" i="1"/>
  <c r="DZ539" i="1"/>
  <c r="DY539" i="1"/>
  <c r="DS539" i="1"/>
  <c r="DR539" i="1"/>
  <c r="DQ539" i="1"/>
  <c r="DP539" i="1"/>
  <c r="DN539" i="1"/>
  <c r="DO539" i="1" s="1"/>
  <c r="DH539" i="1"/>
  <c r="DC539" i="1"/>
  <c r="CP539" i="1"/>
  <c r="CQ539" i="1" s="1"/>
  <c r="BX539" i="1"/>
  <c r="BZ539" i="1" s="1"/>
  <c r="BW539" i="1"/>
  <c r="BP539" i="1"/>
  <c r="BQ539" i="1" s="1"/>
  <c r="BF539" i="1"/>
  <c r="BE539" i="1"/>
  <c r="BD539" i="1"/>
  <c r="BC539" i="1"/>
  <c r="BB539" i="1"/>
  <c r="BA539" i="1"/>
  <c r="BG539" i="1" s="1" a="1"/>
  <c r="BG539" i="1" s="1"/>
  <c r="AZ539" i="1"/>
  <c r="M539" i="1"/>
  <c r="ER540" i="1"/>
  <c r="DZ540" i="1"/>
  <c r="DY540" i="1"/>
  <c r="DS540" i="1"/>
  <c r="DR540" i="1"/>
  <c r="DQ540" i="1"/>
  <c r="DP540" i="1"/>
  <c r="DN540" i="1"/>
  <c r="DO540" i="1" s="1"/>
  <c r="DH540" i="1"/>
  <c r="DC540" i="1"/>
  <c r="CP540" i="1"/>
  <c r="CU540" i="1" s="1"/>
  <c r="BX540" i="1"/>
  <c r="BZ540" i="1" s="1"/>
  <c r="BW540" i="1"/>
  <c r="BP540" i="1"/>
  <c r="BQ540" i="1" s="1"/>
  <c r="BF540" i="1"/>
  <c r="BE540" i="1"/>
  <c r="BD540" i="1"/>
  <c r="BC540" i="1"/>
  <c r="BB540" i="1"/>
  <c r="BA540" i="1"/>
  <c r="BG540" i="1" s="1" a="1"/>
  <c r="BG540" i="1" s="1"/>
  <c r="AZ540" i="1"/>
  <c r="M540" i="1"/>
  <c r="ER541" i="1"/>
  <c r="DZ541" i="1"/>
  <c r="DY541" i="1"/>
  <c r="DS541" i="1"/>
  <c r="DR541" i="1"/>
  <c r="DQ541" i="1"/>
  <c r="DP541" i="1"/>
  <c r="DN541" i="1"/>
  <c r="DO541" i="1" s="1"/>
  <c r="DH541" i="1"/>
  <c r="DC541" i="1"/>
  <c r="BX541" i="1"/>
  <c r="BZ541" i="1" s="1"/>
  <c r="BW541" i="1"/>
  <c r="EY541" i="1" s="1"/>
  <c r="BN541" i="1"/>
  <c r="BF541" i="1"/>
  <c r="BE541" i="1"/>
  <c r="BD541" i="1"/>
  <c r="BC541" i="1"/>
  <c r="BB541" i="1"/>
  <c r="BA541" i="1"/>
  <c r="BG541" i="1" s="1" a="1"/>
  <c r="BG541" i="1" s="1"/>
  <c r="AZ541" i="1"/>
  <c r="M541" i="1"/>
  <c r="ER542" i="1"/>
  <c r="DZ542" i="1"/>
  <c r="DY542" i="1"/>
  <c r="DS542" i="1"/>
  <c r="DR542" i="1"/>
  <c r="DQ542" i="1"/>
  <c r="DP542" i="1"/>
  <c r="DN542" i="1"/>
  <c r="DO542" i="1" s="1"/>
  <c r="DH542" i="1"/>
  <c r="DC542" i="1"/>
  <c r="BX542" i="1"/>
  <c r="BZ542" i="1" s="1"/>
  <c r="BW542" i="1"/>
  <c r="BN542" i="1"/>
  <c r="CP542" i="1" s="1"/>
  <c r="CU542" i="1" s="1"/>
  <c r="BF542" i="1"/>
  <c r="BE542" i="1"/>
  <c r="BD542" i="1"/>
  <c r="BC542" i="1"/>
  <c r="BB542" i="1"/>
  <c r="BA542" i="1"/>
  <c r="BG542" i="1" s="1" a="1"/>
  <c r="BG542" i="1" s="1"/>
  <c r="AZ542" i="1"/>
  <c r="M542" i="1"/>
  <c r="ER543" i="1"/>
  <c r="DZ543" i="1"/>
  <c r="DY543" i="1"/>
  <c r="DS543" i="1"/>
  <c r="DR543" i="1"/>
  <c r="DQ543" i="1"/>
  <c r="DP543" i="1"/>
  <c r="DN543" i="1"/>
  <c r="DO543" i="1" s="1"/>
  <c r="DH543" i="1"/>
  <c r="DC543" i="1"/>
  <c r="BX543" i="1"/>
  <c r="BZ543" i="1" s="1"/>
  <c r="BW543" i="1"/>
  <c r="EY543" i="1" s="1"/>
  <c r="BN543" i="1"/>
  <c r="CP543" i="1" s="1"/>
  <c r="CQ543" i="1" s="1"/>
  <c r="BF543" i="1"/>
  <c r="BE543" i="1"/>
  <c r="BD543" i="1"/>
  <c r="BC543" i="1"/>
  <c r="BB543" i="1"/>
  <c r="BA543" i="1"/>
  <c r="BG543" i="1" s="1" a="1"/>
  <c r="BG543" i="1" s="1"/>
  <c r="AZ543" i="1"/>
  <c r="M543" i="1"/>
  <c r="ER544" i="1"/>
  <c r="DZ544" i="1"/>
  <c r="DY544" i="1"/>
  <c r="DS544" i="1"/>
  <c r="DR544" i="1"/>
  <c r="DQ544" i="1"/>
  <c r="DP544" i="1"/>
  <c r="DN544" i="1"/>
  <c r="DO544" i="1" s="1"/>
  <c r="DH544" i="1"/>
  <c r="DC544" i="1"/>
  <c r="BX544" i="1"/>
  <c r="BZ544" i="1" s="1"/>
  <c r="BW544" i="1"/>
  <c r="BN544" i="1"/>
  <c r="CP544" i="1" s="1"/>
  <c r="CQ544" i="1" s="1"/>
  <c r="BF544" i="1"/>
  <c r="BE544" i="1"/>
  <c r="BD544" i="1"/>
  <c r="BC544" i="1"/>
  <c r="BB544" i="1"/>
  <c r="BA544" i="1"/>
  <c r="BG544" i="1" s="1" a="1"/>
  <c r="BG544" i="1" s="1"/>
  <c r="AZ544" i="1"/>
  <c r="M544" i="1"/>
  <c r="ER545" i="1"/>
  <c r="DZ545" i="1"/>
  <c r="DY545" i="1"/>
  <c r="DS545" i="1"/>
  <c r="DR545" i="1"/>
  <c r="DQ545" i="1"/>
  <c r="DP545" i="1"/>
  <c r="DN545" i="1"/>
  <c r="DO545" i="1" s="1"/>
  <c r="DH545" i="1"/>
  <c r="DC545" i="1"/>
  <c r="BX545" i="1"/>
  <c r="BZ545" i="1" s="1"/>
  <c r="BW545" i="1"/>
  <c r="BN545" i="1"/>
  <c r="CP545" i="1" s="1"/>
  <c r="BF545" i="1"/>
  <c r="BE545" i="1"/>
  <c r="BD545" i="1"/>
  <c r="BC545" i="1"/>
  <c r="BB545" i="1"/>
  <c r="BA545" i="1"/>
  <c r="BG545" i="1" s="1" a="1"/>
  <c r="BG545" i="1" s="1"/>
  <c r="AZ545" i="1"/>
  <c r="M545" i="1"/>
  <c r="ER546" i="1"/>
  <c r="DZ546" i="1"/>
  <c r="DY546" i="1"/>
  <c r="DS546" i="1"/>
  <c r="DR546" i="1"/>
  <c r="DQ546" i="1"/>
  <c r="DP546" i="1"/>
  <c r="DN546" i="1"/>
  <c r="DO546" i="1" s="1"/>
  <c r="DH546" i="1"/>
  <c r="DC546" i="1"/>
  <c r="BX546" i="1"/>
  <c r="BZ546" i="1" s="1"/>
  <c r="BW546" i="1"/>
  <c r="BN546" i="1"/>
  <c r="BP546" i="1" s="1"/>
  <c r="BQ546" i="1" s="1"/>
  <c r="BF546" i="1"/>
  <c r="BE546" i="1"/>
  <c r="BD546" i="1"/>
  <c r="BC546" i="1"/>
  <c r="BB546" i="1"/>
  <c r="BA546" i="1"/>
  <c r="BG546" i="1" s="1" a="1"/>
  <c r="BG546" i="1" s="1"/>
  <c r="AZ546" i="1"/>
  <c r="M546" i="1"/>
  <c r="ER547" i="1"/>
  <c r="DZ547" i="1"/>
  <c r="DY547" i="1"/>
  <c r="DS547" i="1"/>
  <c r="DR547" i="1"/>
  <c r="DQ547" i="1"/>
  <c r="DP547" i="1"/>
  <c r="DN547" i="1"/>
  <c r="DO547" i="1" s="1"/>
  <c r="DH547" i="1"/>
  <c r="DC547" i="1"/>
  <c r="CP547" i="1"/>
  <c r="BX547" i="1"/>
  <c r="BZ547" i="1" s="1"/>
  <c r="BW547" i="1"/>
  <c r="BP547" i="1"/>
  <c r="BQ547" i="1" s="1"/>
  <c r="BF547" i="1"/>
  <c r="BE547" i="1"/>
  <c r="BD547" i="1"/>
  <c r="BC547" i="1"/>
  <c r="BB547" i="1"/>
  <c r="BA547" i="1"/>
  <c r="BG547" i="1" s="1" a="1"/>
  <c r="BG547" i="1" s="1"/>
  <c r="AZ547" i="1"/>
  <c r="M547" i="1"/>
  <c r="ER548" i="1"/>
  <c r="DZ548" i="1"/>
  <c r="DY548" i="1"/>
  <c r="DS548" i="1"/>
  <c r="DR548" i="1"/>
  <c r="DQ548" i="1"/>
  <c r="DP548" i="1"/>
  <c r="DN548" i="1"/>
  <c r="DO548" i="1" s="1"/>
  <c r="DH548" i="1"/>
  <c r="DC548" i="1"/>
  <c r="BX548" i="1"/>
  <c r="BZ548" i="1" s="1"/>
  <c r="BW548" i="1"/>
  <c r="BN548" i="1"/>
  <c r="CP548" i="1" s="1"/>
  <c r="CU548" i="1" s="1"/>
  <c r="BF548" i="1"/>
  <c r="BE548" i="1"/>
  <c r="BD548" i="1"/>
  <c r="BC548" i="1"/>
  <c r="BB548" i="1"/>
  <c r="BA548" i="1"/>
  <c r="BG548" i="1" s="1" a="1"/>
  <c r="BG548" i="1" s="1"/>
  <c r="AZ548" i="1"/>
  <c r="M548" i="1"/>
  <c r="ER549" i="1"/>
  <c r="DZ549" i="1"/>
  <c r="DY549" i="1"/>
  <c r="DS549" i="1"/>
  <c r="DR549" i="1"/>
  <c r="DQ549" i="1"/>
  <c r="DP549" i="1"/>
  <c r="DN549" i="1"/>
  <c r="DO549" i="1" s="1"/>
  <c r="DH549" i="1"/>
  <c r="DC549" i="1"/>
  <c r="BX549" i="1"/>
  <c r="BZ549" i="1" s="1"/>
  <c r="BW549" i="1"/>
  <c r="BN549" i="1"/>
  <c r="BP549" i="1" s="1"/>
  <c r="BQ549" i="1" s="1"/>
  <c r="BF549" i="1"/>
  <c r="BE549" i="1"/>
  <c r="BD549" i="1"/>
  <c r="BC549" i="1"/>
  <c r="BB549" i="1"/>
  <c r="BA549" i="1"/>
  <c r="BG549" i="1" s="1" a="1"/>
  <c r="BG549" i="1" s="1"/>
  <c r="AZ549" i="1"/>
  <c r="M549" i="1"/>
  <c r="ER550" i="1"/>
  <c r="DZ550" i="1"/>
  <c r="DY550" i="1"/>
  <c r="DS550" i="1"/>
  <c r="DR550" i="1"/>
  <c r="DQ550" i="1"/>
  <c r="DP550" i="1"/>
  <c r="DN550" i="1"/>
  <c r="DO550" i="1" s="1"/>
  <c r="DH550" i="1"/>
  <c r="DC550" i="1"/>
  <c r="BX550" i="1"/>
  <c r="BZ550" i="1" s="1"/>
  <c r="BW550" i="1"/>
  <c r="BN550" i="1"/>
  <c r="CP550" i="1" s="1"/>
  <c r="CQ550" i="1" s="1"/>
  <c r="BF550" i="1"/>
  <c r="BE550" i="1"/>
  <c r="BD550" i="1"/>
  <c r="BC550" i="1"/>
  <c r="BB550" i="1"/>
  <c r="BA550" i="1"/>
  <c r="BG550" i="1" s="1" a="1"/>
  <c r="BG550" i="1" s="1"/>
  <c r="AZ550" i="1"/>
  <c r="M550" i="1"/>
  <c r="ER551" i="1"/>
  <c r="DZ551" i="1"/>
  <c r="DY551" i="1"/>
  <c r="DS551" i="1"/>
  <c r="DR551" i="1"/>
  <c r="DQ551" i="1"/>
  <c r="DP551" i="1"/>
  <c r="DN551" i="1"/>
  <c r="DO551" i="1" s="1"/>
  <c r="DH551" i="1"/>
  <c r="DC551" i="1"/>
  <c r="BX551" i="1"/>
  <c r="BZ551" i="1" s="1"/>
  <c r="BW551" i="1"/>
  <c r="BN551" i="1"/>
  <c r="BP551" i="1" s="1"/>
  <c r="BQ551" i="1" s="1"/>
  <c r="BF551" i="1"/>
  <c r="BE551" i="1"/>
  <c r="BD551" i="1"/>
  <c r="BC551" i="1"/>
  <c r="BB551" i="1"/>
  <c r="BA551" i="1"/>
  <c r="BG551" i="1" s="1" a="1"/>
  <c r="BG551" i="1" s="1"/>
  <c r="AZ551" i="1"/>
  <c r="M551" i="1"/>
  <c r="ER552" i="1"/>
  <c r="DZ552" i="1"/>
  <c r="DY552" i="1"/>
  <c r="DS552" i="1"/>
  <c r="DR552" i="1"/>
  <c r="DQ552" i="1"/>
  <c r="DP552" i="1"/>
  <c r="DN552" i="1"/>
  <c r="DO552" i="1" s="1"/>
  <c r="DH552" i="1"/>
  <c r="DC552" i="1"/>
  <c r="BX552" i="1"/>
  <c r="BZ552" i="1" s="1"/>
  <c r="BW552" i="1"/>
  <c r="BN552" i="1"/>
  <c r="BO552" i="1" s="1"/>
  <c r="BF552" i="1"/>
  <c r="BE552" i="1"/>
  <c r="BD552" i="1"/>
  <c r="BC552" i="1"/>
  <c r="BB552" i="1"/>
  <c r="BA552" i="1"/>
  <c r="BG552" i="1" s="1" a="1"/>
  <c r="BG552" i="1" s="1"/>
  <c r="AZ552" i="1"/>
  <c r="M552" i="1"/>
  <c r="ER554" i="1"/>
  <c r="DZ554" i="1"/>
  <c r="DY554" i="1"/>
  <c r="DS554" i="1"/>
  <c r="DR554" i="1"/>
  <c r="DQ554" i="1"/>
  <c r="DP554" i="1"/>
  <c r="DN554" i="1"/>
  <c r="DO554" i="1" s="1"/>
  <c r="DH554" i="1"/>
  <c r="DC554" i="1"/>
  <c r="BX554" i="1"/>
  <c r="BZ554" i="1" s="1"/>
  <c r="BW554" i="1"/>
  <c r="BN554" i="1"/>
  <c r="BO554" i="1" s="1"/>
  <c r="BF554" i="1"/>
  <c r="BE554" i="1"/>
  <c r="BD554" i="1"/>
  <c r="BC554" i="1"/>
  <c r="BB554" i="1"/>
  <c r="BA554" i="1"/>
  <c r="BG554" i="1" s="1" a="1"/>
  <c r="BG554" i="1" s="1"/>
  <c r="AZ554" i="1"/>
  <c r="M554" i="1"/>
  <c r="ER553" i="1"/>
  <c r="DZ553" i="1"/>
  <c r="DY553" i="1"/>
  <c r="DS553" i="1"/>
  <c r="DR553" i="1"/>
  <c r="DQ553" i="1"/>
  <c r="DP553" i="1"/>
  <c r="DN553" i="1"/>
  <c r="DO553" i="1" s="1"/>
  <c r="DH553" i="1"/>
  <c r="DC553" i="1"/>
  <c r="BX553" i="1"/>
  <c r="BZ553" i="1" s="1"/>
  <c r="BW553" i="1"/>
  <c r="BN553" i="1"/>
  <c r="CP553" i="1" s="1"/>
  <c r="CV553" i="1" s="1"/>
  <c r="BF553" i="1"/>
  <c r="BE553" i="1"/>
  <c r="BD553" i="1"/>
  <c r="BC553" i="1"/>
  <c r="BB553" i="1"/>
  <c r="BA553" i="1"/>
  <c r="BG553" i="1" s="1" a="1"/>
  <c r="BG553" i="1" s="1"/>
  <c r="AZ553" i="1"/>
  <c r="M553" i="1"/>
  <c r="ER555" i="1"/>
  <c r="DZ555" i="1"/>
  <c r="DY555" i="1"/>
  <c r="DS555" i="1"/>
  <c r="DR555" i="1"/>
  <c r="DQ555" i="1"/>
  <c r="DP555" i="1"/>
  <c r="DN555" i="1"/>
  <c r="DO555" i="1" s="1"/>
  <c r="DH555" i="1"/>
  <c r="DC555" i="1"/>
  <c r="BX555" i="1"/>
  <c r="BZ555" i="1" s="1"/>
  <c r="BW555" i="1"/>
  <c r="BN555" i="1"/>
  <c r="BP555" i="1" s="1"/>
  <c r="BQ555" i="1" s="1"/>
  <c r="BF555" i="1"/>
  <c r="BE555" i="1"/>
  <c r="BD555" i="1"/>
  <c r="BC555" i="1"/>
  <c r="BB555" i="1"/>
  <c r="BA555" i="1"/>
  <c r="BG555" i="1" s="1" a="1"/>
  <c r="BG555" i="1" s="1"/>
  <c r="AZ555" i="1"/>
  <c r="M555" i="1"/>
  <c r="ER556" i="1"/>
  <c r="DZ556" i="1"/>
  <c r="DY556" i="1"/>
  <c r="DS556" i="1"/>
  <c r="DR556" i="1"/>
  <c r="DQ556" i="1"/>
  <c r="DP556" i="1"/>
  <c r="DN556" i="1"/>
  <c r="DO556" i="1" s="1"/>
  <c r="DH556" i="1"/>
  <c r="DC556" i="1"/>
  <c r="BX556" i="1"/>
  <c r="BZ556" i="1" s="1"/>
  <c r="BW556" i="1"/>
  <c r="BN556" i="1"/>
  <c r="BP556" i="1" s="1"/>
  <c r="BQ556" i="1" s="1"/>
  <c r="BF556" i="1"/>
  <c r="BE556" i="1"/>
  <c r="BD556" i="1"/>
  <c r="BC556" i="1"/>
  <c r="BB556" i="1"/>
  <c r="BA556" i="1"/>
  <c r="BG556" i="1" s="1" a="1"/>
  <c r="BG556" i="1" s="1"/>
  <c r="AZ556" i="1"/>
  <c r="M556" i="1"/>
  <c r="ER557" i="1"/>
  <c r="DZ557" i="1"/>
  <c r="DY557" i="1"/>
  <c r="DS557" i="1"/>
  <c r="DR557" i="1"/>
  <c r="DQ557" i="1"/>
  <c r="DP557" i="1"/>
  <c r="DN557" i="1"/>
  <c r="DO557" i="1" s="1"/>
  <c r="DH557" i="1"/>
  <c r="DC557" i="1"/>
  <c r="BX557" i="1"/>
  <c r="BZ557" i="1" s="1"/>
  <c r="BW557" i="1"/>
  <c r="BN557" i="1"/>
  <c r="BP557" i="1" s="1"/>
  <c r="BQ557" i="1" s="1"/>
  <c r="BF557" i="1"/>
  <c r="BE557" i="1"/>
  <c r="BD557" i="1"/>
  <c r="BC557" i="1"/>
  <c r="BB557" i="1"/>
  <c r="BA557" i="1"/>
  <c r="BG557" i="1" s="1" a="1"/>
  <c r="BG557" i="1" s="1"/>
  <c r="AZ557" i="1"/>
  <c r="M557" i="1"/>
  <c r="ER1572" i="1"/>
  <c r="DZ1572" i="1"/>
  <c r="DY1572" i="1"/>
  <c r="DS1572" i="1"/>
  <c r="DR1572" i="1"/>
  <c r="DQ1572" i="1"/>
  <c r="DP1572" i="1"/>
  <c r="DN1572" i="1"/>
  <c r="DO1572" i="1" s="1"/>
  <c r="DH1572" i="1"/>
  <c r="DC1572" i="1"/>
  <c r="CP1572" i="1"/>
  <c r="BV1572" i="1"/>
  <c r="BU1572" i="1"/>
  <c r="BP1572" i="1"/>
  <c r="BQ1572" i="1" s="1"/>
  <c r="BF1572" i="1"/>
  <c r="BE1572" i="1"/>
  <c r="BD1572" i="1"/>
  <c r="BC1572" i="1"/>
  <c r="BB1572" i="1"/>
  <c r="BA1572" i="1"/>
  <c r="BG1572" i="1" s="1" a="1"/>
  <c r="BG1572" i="1" s="1"/>
  <c r="AZ1572" i="1"/>
  <c r="M1572" i="1"/>
  <c r="ER1573" i="1"/>
  <c r="DZ1573" i="1"/>
  <c r="DY1573" i="1"/>
  <c r="DS1573" i="1"/>
  <c r="DR1573" i="1"/>
  <c r="DQ1573" i="1"/>
  <c r="DP1573" i="1"/>
  <c r="DN1573" i="1"/>
  <c r="DO1573" i="1" s="1"/>
  <c r="DH1573" i="1"/>
  <c r="DC1573" i="1"/>
  <c r="CP1573" i="1"/>
  <c r="BV1573" i="1"/>
  <c r="BU1573" i="1"/>
  <c r="BP1573" i="1"/>
  <c r="BQ1573" i="1" s="1"/>
  <c r="BF1573" i="1"/>
  <c r="BE1573" i="1"/>
  <c r="BD1573" i="1"/>
  <c r="BC1573" i="1"/>
  <c r="BB1573" i="1"/>
  <c r="BA1573" i="1"/>
  <c r="BG1573" i="1" s="1" a="1"/>
  <c r="BG1573" i="1" s="1"/>
  <c r="AZ1573" i="1"/>
  <c r="M1573" i="1"/>
  <c r="ER1574" i="1"/>
  <c r="DZ1574" i="1"/>
  <c r="DY1574" i="1"/>
  <c r="DS1574" i="1"/>
  <c r="DR1574" i="1"/>
  <c r="DQ1574" i="1"/>
  <c r="DP1574" i="1"/>
  <c r="DN1574" i="1"/>
  <c r="DO1574" i="1" s="1"/>
  <c r="DH1574" i="1"/>
  <c r="DC1574" i="1"/>
  <c r="CP1574" i="1"/>
  <c r="BV1574" i="1"/>
  <c r="BU1574" i="1"/>
  <c r="BP1574" i="1"/>
  <c r="BQ1574" i="1" s="1"/>
  <c r="BF1574" i="1"/>
  <c r="BE1574" i="1"/>
  <c r="BD1574" i="1"/>
  <c r="BC1574" i="1"/>
  <c r="BB1574" i="1"/>
  <c r="BA1574" i="1"/>
  <c r="BG1574" i="1" s="1" a="1"/>
  <c r="BG1574" i="1" s="1"/>
  <c r="AZ1574" i="1"/>
  <c r="M1574" i="1"/>
  <c r="ER1575" i="1"/>
  <c r="DZ1575" i="1"/>
  <c r="DY1575" i="1"/>
  <c r="DS1575" i="1"/>
  <c r="DR1575" i="1"/>
  <c r="DQ1575" i="1"/>
  <c r="DP1575" i="1"/>
  <c r="DN1575" i="1"/>
  <c r="DO1575" i="1" s="1"/>
  <c r="DH1575" i="1"/>
  <c r="DC1575" i="1"/>
  <c r="CP1575" i="1"/>
  <c r="BV1575" i="1"/>
  <c r="BU1575" i="1"/>
  <c r="BP1575" i="1"/>
  <c r="BQ1575" i="1" s="1"/>
  <c r="BF1575" i="1"/>
  <c r="BE1575" i="1"/>
  <c r="BD1575" i="1"/>
  <c r="BC1575" i="1"/>
  <c r="BB1575" i="1"/>
  <c r="BA1575" i="1"/>
  <c r="BG1575" i="1" s="1" a="1"/>
  <c r="BG1575" i="1" s="1"/>
  <c r="AZ1575" i="1"/>
  <c r="M1575" i="1"/>
  <c r="BP541" i="1" l="1"/>
  <c r="BQ541" i="1" s="1"/>
  <c r="BO1311" i="1"/>
  <c r="BO1312" i="1"/>
  <c r="BP1584" i="1"/>
  <c r="BQ1584" i="1" s="1"/>
  <c r="BX1583" i="1"/>
  <c r="BZ1583" i="1" s="1"/>
  <c r="CP1427" i="1"/>
  <c r="CW1427" i="1" s="1"/>
  <c r="BO574" i="1"/>
  <c r="BP565" i="1"/>
  <c r="BP604" i="1"/>
  <c r="BQ604" i="1" s="1"/>
  <c r="CA604" i="1" s="1"/>
  <c r="EY604" i="1" s="1"/>
  <c r="BW958" i="1"/>
  <c r="CV1152" i="1"/>
  <c r="BP1578" i="1"/>
  <c r="BQ1578" i="1" s="1"/>
  <c r="BO568" i="1"/>
  <c r="BP959" i="1"/>
  <c r="BQ959" i="1" s="1"/>
  <c r="CS959" i="1" s="1"/>
  <c r="CT959" i="1" s="1"/>
  <c r="BO570" i="1"/>
  <c r="BO575" i="1"/>
  <c r="CP682" i="1"/>
  <c r="CU682" i="1" s="1"/>
  <c r="BO571" i="1"/>
  <c r="CP1580" i="1"/>
  <c r="CU1580" i="1" s="1"/>
  <c r="BH1573" i="1" a="1"/>
  <c r="BH1573" i="1" s="1"/>
  <c r="BH554" i="1" a="1"/>
  <c r="BH554" i="1" s="1"/>
  <c r="BH542" i="1" a="1"/>
  <c r="BH542" i="1" s="1"/>
  <c r="BH539" i="1" a="1"/>
  <c r="BH539" i="1" s="1"/>
  <c r="BH558" i="1" a="1"/>
  <c r="BH558" i="1" s="1"/>
  <c r="BH572" i="1" a="1"/>
  <c r="BH572" i="1" s="1"/>
  <c r="BH571" i="1" a="1"/>
  <c r="BH571" i="1" s="1"/>
  <c r="BH562" i="1" a="1"/>
  <c r="BH562" i="1" s="1"/>
  <c r="BH578" i="1" a="1"/>
  <c r="BH578" i="1" s="1"/>
  <c r="BH967" i="1" a="1"/>
  <c r="BH967" i="1" s="1"/>
  <c r="BH973" i="1" a="1"/>
  <c r="BH973" i="1" s="1"/>
  <c r="BH567" i="1" a="1"/>
  <c r="BH567" i="1" s="1"/>
  <c r="BH969" i="1" a="1"/>
  <c r="BH969" i="1" s="1"/>
  <c r="BH972" i="1" a="1"/>
  <c r="BH972" i="1" s="1"/>
  <c r="BH1101" i="1" a="1"/>
  <c r="BH1101" i="1" s="1"/>
  <c r="BH904" i="1" a="1"/>
  <c r="BH904" i="1" s="1"/>
  <c r="CA1415" i="1"/>
  <c r="EY1415" i="1" s="1"/>
  <c r="CA1420" i="1"/>
  <c r="EY1420" i="1" s="1"/>
  <c r="BH1380" i="1" a="1"/>
  <c r="BH1380" i="1" s="1"/>
  <c r="BH1486" i="1" a="1"/>
  <c r="BH1486" i="1" s="1"/>
  <c r="BG1486" i="1" s="1" a="1"/>
  <c r="BG1486" i="1" s="1"/>
  <c r="BH1490" i="1" a="1"/>
  <c r="BH1490" i="1" s="1"/>
  <c r="BH1190" i="1" a="1"/>
  <c r="BH1190" i="1" s="1"/>
  <c r="BH1195" i="1" a="1"/>
  <c r="BH1195" i="1" s="1"/>
  <c r="BH556" i="1" a="1"/>
  <c r="BH556" i="1" s="1"/>
  <c r="BH548" i="1" a="1"/>
  <c r="BH548" i="1" s="1"/>
  <c r="BH545" i="1" a="1"/>
  <c r="BH545" i="1" s="1"/>
  <c r="BH950" i="1" a="1"/>
  <c r="BH950" i="1" s="1"/>
  <c r="BH1104" i="1" a="1"/>
  <c r="BH1104" i="1" s="1"/>
  <c r="BH1580" i="1" a="1"/>
  <c r="BH1580" i="1" s="1"/>
  <c r="BH948" i="1" a="1"/>
  <c r="BH948" i="1" s="1"/>
  <c r="BH541" i="1" a="1"/>
  <c r="BH541" i="1" s="1"/>
  <c r="BH570" i="1" a="1"/>
  <c r="BH570" i="1" s="1"/>
  <c r="BH575" i="1" a="1"/>
  <c r="BH575" i="1" s="1"/>
  <c r="BH573" i="1" a="1"/>
  <c r="BH573" i="1" s="1"/>
  <c r="BH580" i="1" a="1"/>
  <c r="BH580" i="1" s="1"/>
  <c r="BH577" i="1" a="1"/>
  <c r="BH577" i="1" s="1"/>
  <c r="BH975" i="1" a="1"/>
  <c r="BH975" i="1" s="1"/>
  <c r="BH951" i="1" a="1"/>
  <c r="BH951" i="1" s="1"/>
  <c r="BH1102" i="1" a="1"/>
  <c r="BH1102" i="1" s="1"/>
  <c r="BH1574" i="1" a="1"/>
  <c r="BH1574" i="1" s="1"/>
  <c r="BH551" i="1" a="1"/>
  <c r="BH551" i="1" s="1"/>
  <c r="BH1401" i="1" a="1"/>
  <c r="BH1401" i="1" s="1"/>
  <c r="BH1585" i="1" a="1"/>
  <c r="BH1585" i="1" s="1"/>
  <c r="BH1418" i="1" a="1"/>
  <c r="BH1418" i="1" s="1"/>
  <c r="BG1418" i="1" s="1" a="1"/>
  <c r="BG1418" i="1" s="1"/>
  <c r="BH1404" i="1" a="1"/>
  <c r="BH1404" i="1" s="1"/>
  <c r="BH553" i="1" a="1"/>
  <c r="BH553" i="1" s="1"/>
  <c r="BH566" i="1" a="1"/>
  <c r="BH566" i="1" s="1"/>
  <c r="BH581" i="1" a="1"/>
  <c r="BH581" i="1" s="1"/>
  <c r="BH1575" i="1" a="1"/>
  <c r="BH1575" i="1" s="1"/>
  <c r="BH557" i="1" a="1"/>
  <c r="BH557" i="1" s="1"/>
  <c r="BH549" i="1" a="1"/>
  <c r="BH549" i="1" s="1"/>
  <c r="BH546" i="1" a="1"/>
  <c r="BH546" i="1" s="1"/>
  <c r="BH561" i="1" a="1"/>
  <c r="BH561" i="1" s="1"/>
  <c r="BH543" i="1" a="1"/>
  <c r="BH543" i="1" s="1"/>
  <c r="BH560" i="1" a="1"/>
  <c r="BH560" i="1" s="1"/>
  <c r="BH563" i="1" a="1"/>
  <c r="BH563" i="1" s="1"/>
  <c r="BH568" i="1" a="1"/>
  <c r="BH568" i="1" s="1"/>
  <c r="BH757" i="1" a="1"/>
  <c r="BH757" i="1" s="1"/>
  <c r="BH576" i="1" a="1"/>
  <c r="BH576" i="1" s="1"/>
  <c r="BH540" i="1" a="1"/>
  <c r="BH540" i="1" s="1"/>
  <c r="BH559" i="1" a="1"/>
  <c r="BH559" i="1" s="1"/>
  <c r="BH974" i="1" a="1"/>
  <c r="BH974" i="1" s="1"/>
  <c r="BH954" i="1" a="1"/>
  <c r="BH954" i="1" s="1"/>
  <c r="BH1094" i="1" a="1"/>
  <c r="BH1094" i="1" s="1"/>
  <c r="BH1099" i="1" a="1"/>
  <c r="BH1099" i="1" s="1"/>
  <c r="BH613" i="1" a="1"/>
  <c r="BH613" i="1" s="1"/>
  <c r="BH1406" i="1" a="1"/>
  <c r="BH1406" i="1" s="1"/>
  <c r="BH1408" i="1" a="1"/>
  <c r="BH1408" i="1" s="1"/>
  <c r="BH1415" i="1" a="1"/>
  <c r="BH1415" i="1" s="1"/>
  <c r="BH1420" i="1" a="1"/>
  <c r="BH1420" i="1" s="1"/>
  <c r="BH1414" i="1" a="1"/>
  <c r="BH1414" i="1" s="1"/>
  <c r="BH1281" i="1" a="1"/>
  <c r="BH1281" i="1" s="1"/>
  <c r="BH959" i="1" a="1"/>
  <c r="BH959" i="1" s="1"/>
  <c r="BH1345" i="1" a="1"/>
  <c r="BH1345" i="1" s="1"/>
  <c r="BH1146" i="1" a="1"/>
  <c r="BH1146" i="1" s="1"/>
  <c r="BH764" i="1" a="1"/>
  <c r="BH764" i="1" s="1"/>
  <c r="BH1452" i="1" a="1"/>
  <c r="BH1452" i="1" s="1"/>
  <c r="BH1456" i="1" a="1"/>
  <c r="BH1456" i="1" s="1"/>
  <c r="BH1460" i="1" a="1"/>
  <c r="BH1460" i="1" s="1"/>
  <c r="BH1150" i="1" a="1"/>
  <c r="BH1150" i="1" s="1"/>
  <c r="BH1373" i="1" a="1"/>
  <c r="BH1373" i="1" s="1"/>
  <c r="BH1374" i="1" a="1"/>
  <c r="BH1374" i="1" s="1"/>
  <c r="BH1382" i="1" a="1"/>
  <c r="BH1382" i="1" s="1"/>
  <c r="BG1382" i="1" s="1" a="1"/>
  <c r="BG1382" i="1" s="1"/>
  <c r="BH1381" i="1" a="1"/>
  <c r="BH1381" i="1" s="1"/>
  <c r="BH1488" i="1" a="1"/>
  <c r="BH1488" i="1" s="1"/>
  <c r="BH1471" i="1" a="1"/>
  <c r="BH1471" i="1" s="1"/>
  <c r="BH1469" i="1" a="1"/>
  <c r="BH1469" i="1" s="1"/>
  <c r="BH1189" i="1" a="1"/>
  <c r="BH1189" i="1" s="1"/>
  <c r="BH1197" i="1" a="1"/>
  <c r="BH1197" i="1" s="1"/>
  <c r="BH765" i="1" a="1"/>
  <c r="BH765" i="1" s="1"/>
  <c r="BH759" i="1" a="1"/>
  <c r="BH759" i="1" s="1"/>
  <c r="BH885" i="1" a="1"/>
  <c r="BH885" i="1" s="1"/>
  <c r="BH1341" i="1" a="1"/>
  <c r="BH1341" i="1" s="1"/>
  <c r="BH1430" i="1" a="1"/>
  <c r="BH1430" i="1" s="1"/>
  <c r="BH1186" i="1" a="1"/>
  <c r="BH1186" i="1" s="1"/>
  <c r="BH1192" i="1" a="1"/>
  <c r="BH1192" i="1" s="1"/>
  <c r="BH977" i="1" a="1"/>
  <c r="BH977" i="1" s="1"/>
  <c r="BG977" i="1" s="1" a="1"/>
  <c r="BG977" i="1" s="1"/>
  <c r="BH956" i="1" a="1"/>
  <c r="BH956" i="1" s="1"/>
  <c r="BH1096" i="1" a="1"/>
  <c r="BH1096" i="1" s="1"/>
  <c r="BH1100" i="1" a="1"/>
  <c r="BH1100" i="1" s="1"/>
  <c r="BH1578" i="1" a="1"/>
  <c r="BH1578" i="1" s="1"/>
  <c r="BH688" i="1" a="1"/>
  <c r="BH688" i="1" s="1"/>
  <c r="BH911" i="1" a="1"/>
  <c r="BH911" i="1" s="1"/>
  <c r="BH692" i="1" a="1"/>
  <c r="BH692" i="1" s="1"/>
  <c r="BH909" i="1" a="1"/>
  <c r="BH909" i="1" s="1"/>
  <c r="BH905" i="1" a="1"/>
  <c r="BH905" i="1" s="1"/>
  <c r="BH906" i="1" a="1"/>
  <c r="BH906" i="1" s="1"/>
  <c r="BH1402" i="1" a="1"/>
  <c r="BH1402" i="1" s="1"/>
  <c r="BH1583" i="1" a="1"/>
  <c r="BH1583" i="1" s="1"/>
  <c r="BH1409" i="1" a="1"/>
  <c r="BH1409" i="1" s="1"/>
  <c r="BH1426" i="1" a="1"/>
  <c r="BH1426" i="1" s="1"/>
  <c r="BH1280" i="1" a="1"/>
  <c r="BH1280" i="1" s="1"/>
  <c r="BH1344" i="1" a="1"/>
  <c r="BH1344" i="1" s="1"/>
  <c r="BH769" i="1" a="1"/>
  <c r="BH769" i="1" s="1"/>
  <c r="BH887" i="1" a="1"/>
  <c r="BH887" i="1" s="1"/>
  <c r="BH1470" i="1" a="1"/>
  <c r="BH1470" i="1" s="1"/>
  <c r="BH1466" i="1" a="1"/>
  <c r="BH1466" i="1" s="1"/>
  <c r="BH1453" i="1" a="1"/>
  <c r="BH1453" i="1" s="1"/>
  <c r="BH1457" i="1" a="1"/>
  <c r="BH1457" i="1" s="1"/>
  <c r="BH1461" i="1" a="1"/>
  <c r="BH1461" i="1" s="1"/>
  <c r="BH1151" i="1" a="1"/>
  <c r="BH1151" i="1" s="1"/>
  <c r="BH1377" i="1" a="1"/>
  <c r="BH1377" i="1" s="1"/>
  <c r="BH1378" i="1" a="1"/>
  <c r="BH1378" i="1" s="1"/>
  <c r="BH1489" i="1" a="1"/>
  <c r="BH1489" i="1" s="1"/>
  <c r="BH1188" i="1" a="1"/>
  <c r="BH1188" i="1" s="1"/>
  <c r="BH1196" i="1" a="1"/>
  <c r="BH1196" i="1" s="1"/>
  <c r="BH1424" i="1" a="1"/>
  <c r="BH1424" i="1" s="1"/>
  <c r="BH955" i="1" a="1"/>
  <c r="BH955" i="1" s="1"/>
  <c r="BH1467" i="1" a="1"/>
  <c r="BH1467" i="1" s="1"/>
  <c r="BH1464" i="1" a="1"/>
  <c r="BH1464" i="1" s="1"/>
  <c r="BH1455" i="1" a="1"/>
  <c r="BH1455" i="1" s="1"/>
  <c r="BH1459" i="1" a="1"/>
  <c r="BH1459" i="1" s="1"/>
  <c r="BH1463" i="1" a="1"/>
  <c r="BH1463" i="1" s="1"/>
  <c r="BH1153" i="1" a="1"/>
  <c r="BH1153" i="1" s="1"/>
  <c r="BH1368" i="1" a="1"/>
  <c r="BH1368" i="1" s="1"/>
  <c r="BH1375" i="1" a="1"/>
  <c r="BH1375" i="1" s="1"/>
  <c r="BH1385" i="1" a="1"/>
  <c r="BH1385" i="1" s="1"/>
  <c r="BG1385" i="1" s="1" a="1"/>
  <c r="BG1385" i="1" s="1"/>
  <c r="BH1379" i="1" a="1"/>
  <c r="BH1379" i="1" s="1"/>
  <c r="BH899" i="1" a="1"/>
  <c r="BH899" i="1" s="1"/>
  <c r="BH1423" i="1" a="1"/>
  <c r="BH1423" i="1" s="1"/>
  <c r="BH627" i="1" a="1"/>
  <c r="BH627" i="1" s="1"/>
  <c r="BH626" i="1" a="1"/>
  <c r="BH626" i="1" s="1"/>
  <c r="BH962" i="1" a="1"/>
  <c r="BH962" i="1" s="1"/>
  <c r="BH1431" i="1" a="1"/>
  <c r="BH1431" i="1" s="1"/>
  <c r="BH770" i="1" a="1"/>
  <c r="BH770" i="1" s="1"/>
  <c r="BH763" i="1" a="1"/>
  <c r="BH763" i="1" s="1"/>
  <c r="BH772" i="1" a="1"/>
  <c r="BH772" i="1" s="1"/>
  <c r="BH888" i="1" a="1"/>
  <c r="BH888" i="1" s="1"/>
  <c r="BH1369" i="1" a="1"/>
  <c r="BH1369" i="1" s="1"/>
  <c r="BH1413" i="1" a="1"/>
  <c r="BH1413" i="1" s="1"/>
  <c r="BH1427" i="1" a="1"/>
  <c r="BH1427" i="1" s="1"/>
  <c r="BH960" i="1" a="1"/>
  <c r="BH960" i="1" s="1"/>
  <c r="BH621" i="1" a="1"/>
  <c r="BH621" i="1" s="1"/>
  <c r="BH623" i="1" a="1"/>
  <c r="BH623" i="1" s="1"/>
  <c r="BH1339" i="1" a="1"/>
  <c r="BH1339" i="1" s="1"/>
  <c r="BG1339" i="1" s="1" a="1"/>
  <c r="BG1339" i="1" s="1"/>
  <c r="BH1371" i="1" a="1"/>
  <c r="BH1371" i="1" s="1"/>
  <c r="BH1187" i="1" a="1"/>
  <c r="BH1187" i="1" s="1"/>
  <c r="BH1198" i="1" a="1"/>
  <c r="BH1198" i="1" s="1"/>
  <c r="BH976" i="1" a="1"/>
  <c r="BH976" i="1" s="1"/>
  <c r="BG976" i="1" s="1" a="1"/>
  <c r="BG976" i="1" s="1"/>
  <c r="BH952" i="1" a="1"/>
  <c r="BH952" i="1" s="1"/>
  <c r="BH1095" i="1" a="1"/>
  <c r="BH1095" i="1" s="1"/>
  <c r="BH1097" i="1" a="1"/>
  <c r="BH1097" i="1" s="1"/>
  <c r="BH682" i="1" a="1"/>
  <c r="BH682" i="1" s="1"/>
  <c r="BH686" i="1" a="1"/>
  <c r="BH686" i="1" s="1"/>
  <c r="BH912" i="1" a="1"/>
  <c r="BH912" i="1" s="1"/>
  <c r="BH690" i="1" a="1"/>
  <c r="BH690" i="1" s="1"/>
  <c r="BH910" i="1" a="1"/>
  <c r="BH910" i="1" s="1"/>
  <c r="BH907" i="1" a="1"/>
  <c r="BH907" i="1" s="1"/>
  <c r="BH908" i="1" a="1"/>
  <c r="BH908" i="1" s="1"/>
  <c r="BH607" i="1" a="1"/>
  <c r="BH607" i="1" s="1"/>
  <c r="BH1584" i="1" a="1"/>
  <c r="BH1584" i="1" s="1"/>
  <c r="BH1410" i="1" a="1"/>
  <c r="BH1410" i="1" s="1"/>
  <c r="BH1425" i="1" a="1"/>
  <c r="BH1425" i="1" s="1"/>
  <c r="BH628" i="1" a="1"/>
  <c r="BH628" i="1" s="1"/>
  <c r="BH622" i="1" a="1"/>
  <c r="BH622" i="1" s="1"/>
  <c r="BH624" i="1" a="1"/>
  <c r="BH624" i="1" s="1"/>
  <c r="BH1340" i="1" a="1"/>
  <c r="BH1340" i="1" s="1"/>
  <c r="BG1340" i="1" s="1" a="1"/>
  <c r="BG1340" i="1" s="1"/>
  <c r="BH1386" i="1" a="1"/>
  <c r="BH1386" i="1" s="1"/>
  <c r="BH1147" i="1" a="1"/>
  <c r="BH1147" i="1" s="1"/>
  <c r="BH767" i="1" a="1"/>
  <c r="BH767" i="1" s="1"/>
  <c r="BH758" i="1" a="1"/>
  <c r="BH758" i="1" s="1"/>
  <c r="BH766" i="1" a="1"/>
  <c r="BH766" i="1" s="1"/>
  <c r="BH760" i="1" a="1"/>
  <c r="BH760" i="1" s="1"/>
  <c r="BH1487" i="1" a="1"/>
  <c r="BH1487" i="1" s="1"/>
  <c r="BG1487" i="1" s="1" a="1"/>
  <c r="BG1487" i="1" s="1"/>
  <c r="BH1493" i="1" a="1"/>
  <c r="BH1493" i="1" s="1"/>
  <c r="BH1193" i="1" a="1"/>
  <c r="BH1193" i="1" s="1"/>
  <c r="BH552" i="1" a="1"/>
  <c r="BH552" i="1" s="1"/>
  <c r="BH1572" i="1" a="1"/>
  <c r="BH1572" i="1" s="1"/>
  <c r="BH555" i="1" a="1"/>
  <c r="BH555" i="1" s="1"/>
  <c r="BH547" i="1" a="1"/>
  <c r="BH547" i="1" s="1"/>
  <c r="BH544" i="1" a="1"/>
  <c r="BH544" i="1" s="1"/>
  <c r="BH538" i="1" a="1"/>
  <c r="BH538" i="1" s="1"/>
  <c r="BH978" i="1" a="1"/>
  <c r="BH978" i="1" s="1"/>
  <c r="BG978" i="1" s="1" a="1"/>
  <c r="BG978" i="1" s="1"/>
  <c r="BH970" i="1" a="1"/>
  <c r="BH970" i="1" s="1"/>
  <c r="BH949" i="1" a="1"/>
  <c r="BH949" i="1" s="1"/>
  <c r="BH1103" i="1" a="1"/>
  <c r="BH1103" i="1" s="1"/>
  <c r="BH604" i="1" a="1"/>
  <c r="BH604" i="1" s="1"/>
  <c r="BH1586" i="1" a="1"/>
  <c r="BH1586" i="1" s="1"/>
  <c r="BH1417" i="1" a="1"/>
  <c r="BH1417" i="1" s="1"/>
  <c r="BG1417" i="1" s="1" a="1"/>
  <c r="BG1417" i="1" s="1"/>
  <c r="BH1419" i="1" a="1"/>
  <c r="BH1419" i="1" s="1"/>
  <c r="BG1419" i="1" s="1" a="1"/>
  <c r="BG1419" i="1" s="1"/>
  <c r="BH1405" i="1" a="1"/>
  <c r="BH1405" i="1" s="1"/>
  <c r="BH1407" i="1" a="1"/>
  <c r="BH1407" i="1" s="1"/>
  <c r="BH1416" i="1" a="1"/>
  <c r="BH1416" i="1" s="1"/>
  <c r="BH1421" i="1" a="1"/>
  <c r="BH1421" i="1" s="1"/>
  <c r="BH1411" i="1" a="1"/>
  <c r="BH1411" i="1" s="1"/>
  <c r="BH1422" i="1" a="1"/>
  <c r="BH1422" i="1" s="1"/>
  <c r="BH958" i="1" a="1"/>
  <c r="BH958" i="1" s="1"/>
  <c r="BH1338" i="1" a="1"/>
  <c r="BH1338" i="1" s="1"/>
  <c r="BG1338" i="1" s="1" a="1"/>
  <c r="BG1338" i="1" s="1"/>
  <c r="BH771" i="1" a="1"/>
  <c r="BH771" i="1" s="1"/>
  <c r="BH1391" i="1" a="1"/>
  <c r="BH1391" i="1" s="1"/>
  <c r="BH1468" i="1" a="1"/>
  <c r="BH1468" i="1" s="1"/>
  <c r="BH1465" i="1" a="1"/>
  <c r="BH1465" i="1" s="1"/>
  <c r="BH1454" i="1" a="1"/>
  <c r="BH1454" i="1" s="1"/>
  <c r="BH1458" i="1" a="1"/>
  <c r="BH1458" i="1" s="1"/>
  <c r="BH1462" i="1" a="1"/>
  <c r="BH1462" i="1" s="1"/>
  <c r="BH1152" i="1" a="1"/>
  <c r="BH1152" i="1" s="1"/>
  <c r="BH1370" i="1" a="1"/>
  <c r="BH1370" i="1" s="1"/>
  <c r="BH1376" i="1" a="1"/>
  <c r="BH1376" i="1" s="1"/>
  <c r="BH1383" i="1" a="1"/>
  <c r="BH1383" i="1" s="1"/>
  <c r="BG1383" i="1" s="1" a="1"/>
  <c r="BG1383" i="1" s="1"/>
  <c r="BH1384" i="1" a="1"/>
  <c r="BH1384" i="1" s="1"/>
  <c r="BG1384" i="1" s="1" a="1"/>
  <c r="BG1384" i="1" s="1"/>
  <c r="BH1492" i="1" a="1"/>
  <c r="BH1492" i="1" s="1"/>
  <c r="BH1194" i="1" a="1"/>
  <c r="BH1194" i="1" s="1"/>
  <c r="BH550" i="1" a="1"/>
  <c r="BH550" i="1" s="1"/>
  <c r="BH574" i="1" a="1"/>
  <c r="BH574" i="1" s="1"/>
  <c r="BH565" i="1" a="1"/>
  <c r="BH565" i="1" s="1"/>
  <c r="BH564" i="1" a="1"/>
  <c r="BH564" i="1" s="1"/>
  <c r="BH569" i="1" a="1"/>
  <c r="BH569" i="1" s="1"/>
  <c r="BH579" i="1" a="1"/>
  <c r="BH579" i="1" s="1"/>
  <c r="BH968" i="1" a="1"/>
  <c r="BH968" i="1" s="1"/>
  <c r="BH971" i="1" a="1"/>
  <c r="BH971" i="1" s="1"/>
  <c r="BH953" i="1" a="1"/>
  <c r="BH953" i="1" s="1"/>
  <c r="BH1093" i="1" a="1"/>
  <c r="BH1093" i="1" s="1"/>
  <c r="BH1098" i="1" a="1"/>
  <c r="BH1098" i="1" s="1"/>
  <c r="BH713" i="1" a="1"/>
  <c r="BH713" i="1" s="1"/>
  <c r="BH1412" i="1" a="1"/>
  <c r="BH1412" i="1" s="1"/>
  <c r="BH961" i="1" a="1"/>
  <c r="BH961" i="1" s="1"/>
  <c r="BH620" i="1" a="1"/>
  <c r="BH620" i="1" s="1"/>
  <c r="BH625" i="1" a="1"/>
  <c r="BH625" i="1" s="1"/>
  <c r="BH1337" i="1" a="1"/>
  <c r="BH1337" i="1" s="1"/>
  <c r="BG1337" i="1" s="1" a="1"/>
  <c r="BG1337" i="1" s="1"/>
  <c r="BH1389" i="1" a="1"/>
  <c r="BH1389" i="1" s="1"/>
  <c r="BH762" i="1" a="1"/>
  <c r="BH762" i="1" s="1"/>
  <c r="BH768" i="1" a="1"/>
  <c r="BH768" i="1" s="1"/>
  <c r="BH761" i="1" a="1"/>
  <c r="BH761" i="1" s="1"/>
  <c r="BH886" i="1" a="1"/>
  <c r="BH886" i="1" s="1"/>
  <c r="BH1372" i="1" a="1"/>
  <c r="BH1372" i="1" s="1"/>
  <c r="BH1491" i="1" a="1"/>
  <c r="BH1491" i="1" s="1"/>
  <c r="BH1191" i="1" a="1"/>
  <c r="BH1191" i="1" s="1"/>
  <c r="BH900" i="1" a="1"/>
  <c r="BH900" i="1" s="1"/>
  <c r="CS899" i="1"/>
  <c r="CT899" i="1" s="1"/>
  <c r="BX1402" i="1"/>
  <c r="BZ1402" i="1" s="1"/>
  <c r="CW1402" i="1" s="1"/>
  <c r="BP772" i="1"/>
  <c r="BQ772" i="1" s="1"/>
  <c r="CA772" i="1" s="1"/>
  <c r="EY772" i="1" s="1"/>
  <c r="CP1584" i="1"/>
  <c r="CU1584" i="1" s="1"/>
  <c r="BP1586" i="1"/>
  <c r="BQ1586" i="1" s="1"/>
  <c r="BP961" i="1"/>
  <c r="BQ961" i="1" s="1"/>
  <c r="CS961" i="1" s="1"/>
  <c r="CT961" i="1" s="1"/>
  <c r="BX960" i="1"/>
  <c r="BZ960" i="1" s="1"/>
  <c r="CP1585" i="1"/>
  <c r="BX607" i="1"/>
  <c r="BZ607" i="1" s="1"/>
  <c r="CW607" i="1" s="1"/>
  <c r="BX1281" i="1"/>
  <c r="BZ1281" i="1" s="1"/>
  <c r="BX1280" i="1"/>
  <c r="BZ1280" i="1" s="1"/>
  <c r="BX1578" i="1"/>
  <c r="BZ1578" i="1" s="1"/>
  <c r="BX1575" i="1"/>
  <c r="BZ1575" i="1" s="1"/>
  <c r="CA1575" i="1" s="1"/>
  <c r="CP555" i="1"/>
  <c r="CQ555" i="1" s="1"/>
  <c r="CP554" i="1"/>
  <c r="CQ554" i="1" s="1"/>
  <c r="BP564" i="1"/>
  <c r="BO573" i="1"/>
  <c r="BP566" i="1"/>
  <c r="CP958" i="1"/>
  <c r="CU958" i="1" s="1"/>
  <c r="BW1431" i="1"/>
  <c r="BO564" i="1"/>
  <c r="CP573" i="1"/>
  <c r="CV573" i="1" s="1"/>
  <c r="BW1280" i="1"/>
  <c r="BP958" i="1"/>
  <c r="BX1431" i="1"/>
  <c r="BZ1431" i="1" s="1"/>
  <c r="CP575" i="1"/>
  <c r="CV575" i="1" s="1"/>
  <c r="BX1584" i="1"/>
  <c r="BZ1584" i="1" s="1"/>
  <c r="BO566" i="1"/>
  <c r="BO555" i="1"/>
  <c r="BP542" i="1"/>
  <c r="BQ542" i="1" s="1"/>
  <c r="CA542" i="1" s="1"/>
  <c r="EY542" i="1" s="1"/>
  <c r="CP1578" i="1"/>
  <c r="BW959" i="1"/>
  <c r="CP565" i="1"/>
  <c r="CQ565" i="1" s="1"/>
  <c r="BO542" i="1"/>
  <c r="BO550" i="1"/>
  <c r="CP556" i="1"/>
  <c r="CR556" i="1" s="1"/>
  <c r="BP552" i="1"/>
  <c r="BQ552" i="1" s="1"/>
  <c r="CA552" i="1" s="1"/>
  <c r="EY552" i="1" s="1"/>
  <c r="BP550" i="1"/>
  <c r="BQ550" i="1" s="1"/>
  <c r="CS550" i="1" s="1"/>
  <c r="CT550" i="1" s="1"/>
  <c r="BP904" i="1"/>
  <c r="BQ904" i="1" s="1"/>
  <c r="CA904" i="1" s="1"/>
  <c r="EY904" i="1" s="1"/>
  <c r="BP1425" i="1"/>
  <c r="BQ1425" i="1" s="1"/>
  <c r="CA1425" i="1" s="1"/>
  <c r="EY1425" i="1" s="1"/>
  <c r="BW1345" i="1"/>
  <c r="CA1195" i="1"/>
  <c r="EY1195" i="1" s="1"/>
  <c r="BP912" i="1"/>
  <c r="BQ912" i="1" s="1"/>
  <c r="CA912" i="1" s="1"/>
  <c r="EY912" i="1" s="1"/>
  <c r="BP911" i="1"/>
  <c r="BQ911" i="1" s="1"/>
  <c r="CA911" i="1" s="1"/>
  <c r="EY911" i="1" s="1"/>
  <c r="BP690" i="1"/>
  <c r="BQ690" i="1" s="1"/>
  <c r="CA690" i="1" s="1"/>
  <c r="EY690" i="1" s="1"/>
  <c r="BP909" i="1"/>
  <c r="BQ909" i="1" s="1"/>
  <c r="CA909" i="1" s="1"/>
  <c r="EY909" i="1" s="1"/>
  <c r="BP908" i="1"/>
  <c r="BQ908" i="1" s="1"/>
  <c r="CA908" i="1" s="1"/>
  <c r="EY908" i="1" s="1"/>
  <c r="BP906" i="1"/>
  <c r="BQ906" i="1" s="1"/>
  <c r="CA906" i="1" s="1"/>
  <c r="EY906" i="1" s="1"/>
  <c r="CP1583" i="1"/>
  <c r="CV1583" i="1" s="1"/>
  <c r="BP1583" i="1"/>
  <c r="BQ1583" i="1" s="1"/>
  <c r="CP552" i="1"/>
  <c r="CQ552" i="1" s="1"/>
  <c r="BP548" i="1"/>
  <c r="BQ548" i="1" s="1"/>
  <c r="CA548" i="1" s="1"/>
  <c r="EY548" i="1" s="1"/>
  <c r="BO546" i="1"/>
  <c r="BP568" i="1"/>
  <c r="CP564" i="1"/>
  <c r="CU564" i="1" s="1"/>
  <c r="CP904" i="1"/>
  <c r="CV904" i="1" s="1"/>
  <c r="CP686" i="1"/>
  <c r="CV686" i="1" s="1"/>
  <c r="CP688" i="1"/>
  <c r="CS688" i="1" s="1"/>
  <c r="CT688" i="1" s="1"/>
  <c r="CP692" i="1"/>
  <c r="CV692" i="1" s="1"/>
  <c r="CP910" i="1"/>
  <c r="CQ910" i="1" s="1"/>
  <c r="CP907" i="1"/>
  <c r="CS907" i="1" s="1"/>
  <c r="CT907" i="1" s="1"/>
  <c r="CP905" i="1"/>
  <c r="CS905" i="1" s="1"/>
  <c r="CT905" i="1" s="1"/>
  <c r="BX1401" i="1"/>
  <c r="BZ1401" i="1" s="1"/>
  <c r="CW1401" i="1" s="1"/>
  <c r="BW1281" i="1"/>
  <c r="BP1344" i="1"/>
  <c r="BQ1344" i="1" s="1"/>
  <c r="CS1344" i="1" s="1"/>
  <c r="CT1344" i="1" s="1"/>
  <c r="CP772" i="1"/>
  <c r="CQ772" i="1" s="1"/>
  <c r="BP1427" i="1"/>
  <c r="BQ1427" i="1" s="1"/>
  <c r="CA1427" i="1" s="1"/>
  <c r="EY1427" i="1" s="1"/>
  <c r="BP1426" i="1"/>
  <c r="BQ1426" i="1" s="1"/>
  <c r="CA1426" i="1" s="1"/>
  <c r="EY1426" i="1" s="1"/>
  <c r="BW1575" i="1"/>
  <c r="CP549" i="1"/>
  <c r="CS549" i="1" s="1"/>
  <c r="CT549" i="1" s="1"/>
  <c r="BP571" i="1"/>
  <c r="BP713" i="1"/>
  <c r="BQ713" i="1" s="1"/>
  <c r="CV607" i="1"/>
  <c r="BW1401" i="1"/>
  <c r="BW1402" i="1"/>
  <c r="CP1586" i="1"/>
  <c r="CU1586" i="1" s="1"/>
  <c r="CP1426" i="1"/>
  <c r="CU1426" i="1" s="1"/>
  <c r="CU1345" i="1"/>
  <c r="BO549" i="1"/>
  <c r="CP562" i="1"/>
  <c r="CS562" i="1" s="1"/>
  <c r="CT562" i="1" s="1"/>
  <c r="CP557" i="1"/>
  <c r="CS557" i="1" s="1"/>
  <c r="CT557" i="1" s="1"/>
  <c r="BP554" i="1"/>
  <c r="BQ554" i="1" s="1"/>
  <c r="CA554" i="1" s="1"/>
  <c r="EY554" i="1" s="1"/>
  <c r="BX1580" i="1"/>
  <c r="BZ1580" i="1" s="1"/>
  <c r="BW713" i="1"/>
  <c r="BW1584" i="1"/>
  <c r="BO548" i="1"/>
  <c r="BP575" i="1"/>
  <c r="BO562" i="1"/>
  <c r="BO569" i="1"/>
  <c r="CP569" i="1"/>
  <c r="CQ569" i="1" s="1"/>
  <c r="CU1575" i="1"/>
  <c r="CP546" i="1"/>
  <c r="CU546" i="1" s="1"/>
  <c r="CP566" i="1"/>
  <c r="CU566" i="1" s="1"/>
  <c r="CP713" i="1"/>
  <c r="CU713" i="1" s="1"/>
  <c r="BP682" i="1"/>
  <c r="BQ682" i="1" s="1"/>
  <c r="BX1586" i="1"/>
  <c r="BZ1586" i="1" s="1"/>
  <c r="BP1585" i="1"/>
  <c r="BQ1585" i="1" s="1"/>
  <c r="BX958" i="1"/>
  <c r="BZ958" i="1" s="1"/>
  <c r="CA958" i="1" s="1"/>
  <c r="CU1456" i="1"/>
  <c r="DA1456" i="1" s="1"/>
  <c r="CW1423" i="1"/>
  <c r="CA560" i="1"/>
  <c r="EY560" i="1" s="1"/>
  <c r="CA1491" i="1"/>
  <c r="EY1491" i="1" s="1"/>
  <c r="CA688" i="1"/>
  <c r="EY688" i="1" s="1"/>
  <c r="CW1422" i="1"/>
  <c r="CS955" i="1"/>
  <c r="CT955" i="1" s="1"/>
  <c r="CA1487" i="1"/>
  <c r="EY1487" i="1" s="1"/>
  <c r="CV1196" i="1"/>
  <c r="CA1339" i="1"/>
  <c r="EY1339" i="1" s="1"/>
  <c r="CA1465" i="1"/>
  <c r="EY1465" i="1" s="1"/>
  <c r="CW1410" i="1"/>
  <c r="CA538" i="1"/>
  <c r="EY538" i="1" s="1"/>
  <c r="CW952" i="1"/>
  <c r="CA1457" i="1"/>
  <c r="EY1457" i="1" s="1"/>
  <c r="CS581" i="1"/>
  <c r="CT581" i="1" s="1"/>
  <c r="CW1101" i="1"/>
  <c r="CA1374" i="1"/>
  <c r="EY1374" i="1" s="1"/>
  <c r="CA1190" i="1"/>
  <c r="EY1190" i="1" s="1"/>
  <c r="CS1196" i="1"/>
  <c r="CT1196" i="1" s="1"/>
  <c r="CR622" i="1"/>
  <c r="CA624" i="1"/>
  <c r="EY624" i="1" s="1"/>
  <c r="CV1470" i="1"/>
  <c r="DA1470" i="1" s="1"/>
  <c r="CV579" i="1"/>
  <c r="CW690" i="1"/>
  <c r="CW620" i="1"/>
  <c r="CU1466" i="1"/>
  <c r="EY567" i="1"/>
  <c r="CS1094" i="1"/>
  <c r="CT1094" i="1" s="1"/>
  <c r="CW1373" i="1"/>
  <c r="CU1192" i="1"/>
  <c r="CQ1373" i="1"/>
  <c r="CV1192" i="1"/>
  <c r="CV561" i="1"/>
  <c r="DA561" i="1" s="1"/>
  <c r="CA949" i="1"/>
  <c r="EY949" i="1" s="1"/>
  <c r="CW948" i="1"/>
  <c r="CA1093" i="1"/>
  <c r="EY1093" i="1" s="1"/>
  <c r="CQ623" i="1"/>
  <c r="CW962" i="1"/>
  <c r="BO1340" i="1"/>
  <c r="CA886" i="1"/>
  <c r="EY886" i="1" s="1"/>
  <c r="CW1453" i="1"/>
  <c r="CA539" i="1"/>
  <c r="EY539" i="1" s="1"/>
  <c r="CR948" i="1"/>
  <c r="CA1096" i="1"/>
  <c r="EY1096" i="1" s="1"/>
  <c r="CW906" i="1"/>
  <c r="CS1467" i="1"/>
  <c r="CT1467" i="1" s="1"/>
  <c r="CA1152" i="1"/>
  <c r="EY1152" i="1" s="1"/>
  <c r="CS1192" i="1"/>
  <c r="CT1192" i="1" s="1"/>
  <c r="CR567" i="1"/>
  <c r="CU581" i="1"/>
  <c r="CV968" i="1"/>
  <c r="DA968" i="1" s="1"/>
  <c r="CW950" i="1"/>
  <c r="CQ949" i="1"/>
  <c r="CU948" i="1"/>
  <c r="CS888" i="1"/>
  <c r="CT888" i="1" s="1"/>
  <c r="CA561" i="1"/>
  <c r="EY561" i="1" s="1"/>
  <c r="CV578" i="1"/>
  <c r="DA578" i="1" s="1"/>
  <c r="CV948" i="1"/>
  <c r="CV906" i="1"/>
  <c r="CA1410" i="1"/>
  <c r="EY1410" i="1" s="1"/>
  <c r="CQ769" i="1"/>
  <c r="CU1463" i="1"/>
  <c r="DA1463" i="1" s="1"/>
  <c r="CP1383" i="1"/>
  <c r="CW1383" i="1" s="1"/>
  <c r="CA546" i="1"/>
  <c r="EY546" i="1" s="1"/>
  <c r="CS1492" i="1"/>
  <c r="CT1492" i="1" s="1"/>
  <c r="CU580" i="1"/>
  <c r="CQ1099" i="1"/>
  <c r="CU1412" i="1"/>
  <c r="DA1412" i="1" s="1"/>
  <c r="CS757" i="1"/>
  <c r="CT757" i="1" s="1"/>
  <c r="CQ888" i="1"/>
  <c r="CU1467" i="1"/>
  <c r="CV580" i="1"/>
  <c r="CA976" i="1"/>
  <c r="EY976" i="1" s="1"/>
  <c r="CU1099" i="1"/>
  <c r="CA905" i="1"/>
  <c r="EY905" i="1" s="1"/>
  <c r="CW959" i="1"/>
  <c r="CU620" i="1"/>
  <c r="DA620" i="1" s="1"/>
  <c r="CV766" i="1"/>
  <c r="DA766" i="1" s="1"/>
  <c r="CU1469" i="1"/>
  <c r="CV1454" i="1"/>
  <c r="DA1454" i="1" s="1"/>
  <c r="CU1370" i="1"/>
  <c r="DA1370" i="1" s="1"/>
  <c r="CQ1371" i="1"/>
  <c r="CA1376" i="1"/>
  <c r="EY1376" i="1" s="1"/>
  <c r="CA1490" i="1"/>
  <c r="EY1490" i="1" s="1"/>
  <c r="CU1492" i="1"/>
  <c r="CQ1194" i="1"/>
  <c r="EY568" i="1"/>
  <c r="CS1104" i="1"/>
  <c r="CT1104" i="1" s="1"/>
  <c r="CV1099" i="1"/>
  <c r="CA686" i="1"/>
  <c r="EY686" i="1" s="1"/>
  <c r="CS1411" i="1"/>
  <c r="CT1411" i="1" s="1"/>
  <c r="CV1469" i="1"/>
  <c r="CA1458" i="1"/>
  <c r="EY1458" i="1" s="1"/>
  <c r="CR1371" i="1"/>
  <c r="CV1492" i="1"/>
  <c r="CR1194" i="1"/>
  <c r="CV1575" i="1"/>
  <c r="CU550" i="1"/>
  <c r="CA549" i="1"/>
  <c r="EY549" i="1" s="1"/>
  <c r="CR581" i="1"/>
  <c r="CS579" i="1"/>
  <c r="CT579" i="1" s="1"/>
  <c r="CS952" i="1"/>
  <c r="CT952" i="1" s="1"/>
  <c r="CV1098" i="1"/>
  <c r="CV763" i="1"/>
  <c r="DA763" i="1" s="1"/>
  <c r="CR1466" i="1"/>
  <c r="CV1371" i="1"/>
  <c r="DA1371" i="1" s="1"/>
  <c r="CA1095" i="1"/>
  <c r="EY1095" i="1" s="1"/>
  <c r="CW548" i="1"/>
  <c r="CV581" i="1"/>
  <c r="CS1099" i="1"/>
  <c r="CT1099" i="1" s="1"/>
  <c r="CV690" i="1"/>
  <c r="CU1411" i="1"/>
  <c r="DA1411" i="1" s="1"/>
  <c r="CA1471" i="1"/>
  <c r="EY1471" i="1" s="1"/>
  <c r="CV1466" i="1"/>
  <c r="CS1489" i="1"/>
  <c r="CT1489" i="1" s="1"/>
  <c r="CA559" i="1"/>
  <c r="EY559" i="1" s="1"/>
  <c r="CA977" i="1"/>
  <c r="EY977" i="1" s="1"/>
  <c r="CW1099" i="1"/>
  <c r="CS1413" i="1"/>
  <c r="CT1413" i="1" s="1"/>
  <c r="CU767" i="1"/>
  <c r="CA1453" i="1"/>
  <c r="EY1453" i="1" s="1"/>
  <c r="CA1369" i="1"/>
  <c r="EY1369" i="1" s="1"/>
  <c r="CU1196" i="1"/>
  <c r="CA887" i="1"/>
  <c r="EY887" i="1" s="1"/>
  <c r="CW887" i="1"/>
  <c r="CP1415" i="1"/>
  <c r="CP1420" i="1"/>
  <c r="CU1420" i="1" s="1"/>
  <c r="CA1409" i="1"/>
  <c r="EY1409" i="1" s="1"/>
  <c r="CS1340" i="1"/>
  <c r="CT1340" i="1" s="1"/>
  <c r="CV765" i="1"/>
  <c r="DA765" i="1" s="1"/>
  <c r="CA1385" i="1"/>
  <c r="EY1385" i="1" s="1"/>
  <c r="CV577" i="1"/>
  <c r="CR978" i="1"/>
  <c r="CQ972" i="1"/>
  <c r="CQ953" i="1"/>
  <c r="CU1094" i="1"/>
  <c r="CQ1097" i="1"/>
  <c r="CQ911" i="1"/>
  <c r="CQ607" i="1"/>
  <c r="CV962" i="1"/>
  <c r="CQ1345" i="1"/>
  <c r="BP1146" i="1"/>
  <c r="BQ1146" i="1" s="1"/>
  <c r="CA1146" i="1" s="1"/>
  <c r="EY1146" i="1" s="1"/>
  <c r="CV768" i="1"/>
  <c r="DA768" i="1" s="1"/>
  <c r="CS1384" i="1"/>
  <c r="CT1384" i="1" s="1"/>
  <c r="CQ561" i="1"/>
  <c r="EY565" i="1"/>
  <c r="CS978" i="1"/>
  <c r="CT978" i="1" s="1"/>
  <c r="CR953" i="1"/>
  <c r="CV1094" i="1"/>
  <c r="CS1095" i="1"/>
  <c r="CT1095" i="1" s="1"/>
  <c r="CV1102" i="1"/>
  <c r="CR911" i="1"/>
  <c r="CR607" i="1"/>
  <c r="BP1405" i="1"/>
  <c r="BQ1405" i="1" s="1"/>
  <c r="CA1405" i="1" s="1"/>
  <c r="EY1405" i="1" s="1"/>
  <c r="BP1406" i="1"/>
  <c r="BQ1406" i="1" s="1"/>
  <c r="CA1406" i="1" s="1"/>
  <c r="EY1406" i="1" s="1"/>
  <c r="CU1413" i="1"/>
  <c r="DA1413" i="1" s="1"/>
  <c r="CV1423" i="1"/>
  <c r="CQ626" i="1"/>
  <c r="CR1345" i="1"/>
  <c r="CV758" i="1"/>
  <c r="DA758" i="1" s="1"/>
  <c r="CQ766" i="1"/>
  <c r="CS765" i="1"/>
  <c r="CT765" i="1" s="1"/>
  <c r="CS761" i="1"/>
  <c r="CT761" i="1" s="1"/>
  <c r="CR759" i="1"/>
  <c r="CV1467" i="1"/>
  <c r="CU1455" i="1"/>
  <c r="CR1460" i="1"/>
  <c r="CR1373" i="1"/>
  <c r="CA1377" i="1"/>
  <c r="EY1377" i="1" s="1"/>
  <c r="CU1384" i="1"/>
  <c r="CR1188" i="1"/>
  <c r="CU1191" i="1"/>
  <c r="CA557" i="1"/>
  <c r="EY557" i="1" s="1"/>
  <c r="CV548" i="1"/>
  <c r="DA548" i="1" s="1"/>
  <c r="CR561" i="1"/>
  <c r="CR580" i="1"/>
  <c r="CQ968" i="1"/>
  <c r="CA975" i="1"/>
  <c r="EY975" i="1" s="1"/>
  <c r="CU953" i="1"/>
  <c r="DA953" i="1" s="1"/>
  <c r="CV1095" i="1"/>
  <c r="CU1101" i="1"/>
  <c r="CU1100" i="1"/>
  <c r="DA1100" i="1" s="1"/>
  <c r="CU911" i="1"/>
  <c r="DA911" i="1" s="1"/>
  <c r="CR906" i="1"/>
  <c r="CU1409" i="1"/>
  <c r="DA1409" i="1" s="1"/>
  <c r="CQ620" i="1"/>
  <c r="CR626" i="1"/>
  <c r="CS625" i="1"/>
  <c r="CT625" i="1" s="1"/>
  <c r="CW1337" i="1"/>
  <c r="CQ757" i="1"/>
  <c r="CR766" i="1"/>
  <c r="CR763" i="1"/>
  <c r="CU759" i="1"/>
  <c r="DA759" i="1" s="1"/>
  <c r="CS1466" i="1"/>
  <c r="CT1466" i="1" s="1"/>
  <c r="CV1455" i="1"/>
  <c r="CW1456" i="1"/>
  <c r="CU1460" i="1"/>
  <c r="DA1460" i="1" s="1"/>
  <c r="CS1463" i="1"/>
  <c r="CT1463" i="1" s="1"/>
  <c r="CR1150" i="1"/>
  <c r="CW1151" i="1"/>
  <c r="CV1373" i="1"/>
  <c r="DA1373" i="1" s="1"/>
  <c r="CQ1368" i="1"/>
  <c r="CS1375" i="1"/>
  <c r="CT1375" i="1" s="1"/>
  <c r="CV1385" i="1"/>
  <c r="DA1385" i="1" s="1"/>
  <c r="CQ1491" i="1"/>
  <c r="BG1493" i="1" a="1"/>
  <c r="BG1493" i="1" s="1"/>
  <c r="CU1188" i="1"/>
  <c r="CV1191" i="1"/>
  <c r="CR899" i="1"/>
  <c r="CR550" i="1"/>
  <c r="CW576" i="1"/>
  <c r="CR968" i="1"/>
  <c r="CS975" i="1"/>
  <c r="CT975" i="1" s="1"/>
  <c r="CU906" i="1"/>
  <c r="CS607" i="1"/>
  <c r="CT607" i="1" s="1"/>
  <c r="CA1419" i="1"/>
  <c r="EY1419" i="1" s="1"/>
  <c r="CW1409" i="1"/>
  <c r="CR620" i="1"/>
  <c r="CA621" i="1"/>
  <c r="EY621" i="1" s="1"/>
  <c r="CS1345" i="1"/>
  <c r="CT1345" i="1" s="1"/>
  <c r="CP1146" i="1"/>
  <c r="CV1146" i="1" s="1"/>
  <c r="CR757" i="1"/>
  <c r="CW765" i="1"/>
  <c r="CS763" i="1"/>
  <c r="CT763" i="1" s="1"/>
  <c r="CQ955" i="1"/>
  <c r="CR1368" i="1"/>
  <c r="CW1375" i="1"/>
  <c r="CY1375" i="1" s="1"/>
  <c r="FA1375" i="1" s="1"/>
  <c r="CW1491" i="1"/>
  <c r="CS1186" i="1"/>
  <c r="CT1186" i="1" s="1"/>
  <c r="CV1188" i="1"/>
  <c r="CA1341" i="1"/>
  <c r="EY1341" i="1" s="1"/>
  <c r="CS1462" i="1"/>
  <c r="CT1462" i="1" s="1"/>
  <c r="CS561" i="1"/>
  <c r="CT561" i="1" s="1"/>
  <c r="CS567" i="1"/>
  <c r="CT567" i="1" s="1"/>
  <c r="CR576" i="1"/>
  <c r="CV977" i="1"/>
  <c r="CV975" i="1"/>
  <c r="CA954" i="1"/>
  <c r="EY954" i="1" s="1"/>
  <c r="CR949" i="1"/>
  <c r="CW1098" i="1"/>
  <c r="CR690" i="1"/>
  <c r="CA907" i="1"/>
  <c r="EY907" i="1" s="1"/>
  <c r="CA1416" i="1"/>
  <c r="EY1416" i="1" s="1"/>
  <c r="CW1411" i="1"/>
  <c r="CS626" i="1"/>
  <c r="CT626" i="1" s="1"/>
  <c r="CV1338" i="1"/>
  <c r="CU757" i="1"/>
  <c r="DA757" i="1" s="1"/>
  <c r="CS766" i="1"/>
  <c r="CT766" i="1" s="1"/>
  <c r="CQ765" i="1"/>
  <c r="CQ761" i="1"/>
  <c r="CS759" i="1"/>
  <c r="CT759" i="1" s="1"/>
  <c r="CW1471" i="1"/>
  <c r="CS1455" i="1"/>
  <c r="CT1455" i="1" s="1"/>
  <c r="CS1152" i="1"/>
  <c r="CT1152" i="1" s="1"/>
  <c r="CQ1370" i="1"/>
  <c r="CU1375" i="1"/>
  <c r="DA1375" i="1" s="1"/>
  <c r="CA1488" i="1"/>
  <c r="EY1488" i="1" s="1"/>
  <c r="CS1188" i="1"/>
  <c r="CT1188" i="1" s="1"/>
  <c r="CS580" i="1"/>
  <c r="CT580" i="1" s="1"/>
  <c r="CS968" i="1"/>
  <c r="CT968" i="1" s="1"/>
  <c r="CW953" i="1"/>
  <c r="CU690" i="1"/>
  <c r="CW1413" i="1"/>
  <c r="CY1413" i="1" s="1"/>
  <c r="FA1413" i="1" s="1"/>
  <c r="CS1337" i="1"/>
  <c r="CT1337" i="1" s="1"/>
  <c r="CA1340" i="1"/>
  <c r="EY1340" i="1" s="1"/>
  <c r="CA770" i="1"/>
  <c r="EY770" i="1" s="1"/>
  <c r="CR765" i="1"/>
  <c r="CV761" i="1"/>
  <c r="DA761" i="1" s="1"/>
  <c r="CQ1470" i="1"/>
  <c r="CA1468" i="1"/>
  <c r="EY1468" i="1" s="1"/>
  <c r="CV1453" i="1"/>
  <c r="DA1453" i="1" s="1"/>
  <c r="CQ1463" i="1"/>
  <c r="CU1150" i="1"/>
  <c r="CU1152" i="1"/>
  <c r="CR1370" i="1"/>
  <c r="CU1194" i="1"/>
  <c r="DA1194" i="1" s="1"/>
  <c r="CA558" i="1"/>
  <c r="EY558" i="1" s="1"/>
  <c r="CA578" i="1"/>
  <c r="EY578" i="1" s="1"/>
  <c r="CW578" i="1"/>
  <c r="CA1414" i="1"/>
  <c r="EY1414" i="1" s="1"/>
  <c r="CV540" i="1"/>
  <c r="DA540" i="1" s="1"/>
  <c r="EY563" i="1"/>
  <c r="EY566" i="1"/>
  <c r="CU579" i="1"/>
  <c r="CU977" i="1"/>
  <c r="CU975" i="1"/>
  <c r="CA973" i="1"/>
  <c r="EY973" i="1" s="1"/>
  <c r="CV972" i="1"/>
  <c r="DA972" i="1" s="1"/>
  <c r="CW970" i="1"/>
  <c r="CU950" i="1"/>
  <c r="CS948" i="1"/>
  <c r="CT948" i="1" s="1"/>
  <c r="CQ1094" i="1"/>
  <c r="CV1103" i="1"/>
  <c r="CR1101" i="1"/>
  <c r="CR1098" i="1"/>
  <c r="CU607" i="1"/>
  <c r="CP1416" i="1"/>
  <c r="CS1416" i="1" s="1"/>
  <c r="CT1416" i="1" s="1"/>
  <c r="CS1409" i="1"/>
  <c r="CT1409" i="1" s="1"/>
  <c r="CU1423" i="1"/>
  <c r="CS1423" i="1"/>
  <c r="CT1423" i="1" s="1"/>
  <c r="CA577" i="1"/>
  <c r="EY577" i="1" s="1"/>
  <c r="CS1574" i="1"/>
  <c r="CT1574" i="1" s="1"/>
  <c r="CV1574" i="1"/>
  <c r="CV542" i="1"/>
  <c r="DA542" i="1" s="1"/>
  <c r="CQ973" i="1"/>
  <c r="CR970" i="1"/>
  <c r="CR1102" i="1"/>
  <c r="CV1101" i="1"/>
  <c r="CU1402" i="1"/>
  <c r="CA1413" i="1"/>
  <c r="EY1413" i="1" s="1"/>
  <c r="CA1412" i="1"/>
  <c r="EY1412" i="1" s="1"/>
  <c r="CV1422" i="1"/>
  <c r="CU1422" i="1"/>
  <c r="CS973" i="1"/>
  <c r="CT973" i="1" s="1"/>
  <c r="CU970" i="1"/>
  <c r="CA950" i="1"/>
  <c r="EY950" i="1" s="1"/>
  <c r="CW949" i="1"/>
  <c r="CA1103" i="1"/>
  <c r="EY1103" i="1" s="1"/>
  <c r="CS1102" i="1"/>
  <c r="CT1102" i="1" s="1"/>
  <c r="CA1097" i="1"/>
  <c r="EY1097" i="1" s="1"/>
  <c r="CP1407" i="1"/>
  <c r="CU1407" i="1" s="1"/>
  <c r="CA625" i="1"/>
  <c r="EY625" i="1" s="1"/>
  <c r="CW625" i="1"/>
  <c r="CA541" i="1"/>
  <c r="CA579" i="1"/>
  <c r="EY579" i="1" s="1"/>
  <c r="CA969" i="1"/>
  <c r="EY969" i="1" s="1"/>
  <c r="CV973" i="1"/>
  <c r="CV970" i="1"/>
  <c r="CU1102" i="1"/>
  <c r="CA1098" i="1"/>
  <c r="EY1098" i="1" s="1"/>
  <c r="CA1417" i="1"/>
  <c r="EY1417" i="1" s="1"/>
  <c r="CP1408" i="1"/>
  <c r="CV1408" i="1" s="1"/>
  <c r="BO1339" i="1"/>
  <c r="CP1339" i="1"/>
  <c r="CU1339" i="1" s="1"/>
  <c r="EY562" i="1"/>
  <c r="CW973" i="1"/>
  <c r="CA971" i="1"/>
  <c r="EY971" i="1" s="1"/>
  <c r="CQ961" i="1"/>
  <c r="CU961" i="1"/>
  <c r="CQ579" i="1"/>
  <c r="CA978" i="1"/>
  <c r="EY978" i="1" s="1"/>
  <c r="CR975" i="1"/>
  <c r="CR972" i="1"/>
  <c r="CA956" i="1"/>
  <c r="EY956" i="1" s="1"/>
  <c r="CQ950" i="1"/>
  <c r="CS949" i="1"/>
  <c r="CT949" i="1" s="1"/>
  <c r="CQ1103" i="1"/>
  <c r="CS1097" i="1"/>
  <c r="CT1097" i="1" s="1"/>
  <c r="CA1411" i="1"/>
  <c r="EY1411" i="1" s="1"/>
  <c r="CA1193" i="1"/>
  <c r="EY1193" i="1" s="1"/>
  <c r="CW1193" i="1"/>
  <c r="CS1575" i="1"/>
  <c r="CT1575" i="1" s="1"/>
  <c r="CA551" i="1"/>
  <c r="EY551" i="1" s="1"/>
  <c r="CS578" i="1"/>
  <c r="CT578" i="1" s="1"/>
  <c r="CW968" i="1"/>
  <c r="CU949" i="1"/>
  <c r="DA949" i="1" s="1"/>
  <c r="CA1099" i="1"/>
  <c r="EY1099" i="1" s="1"/>
  <c r="CW911" i="1"/>
  <c r="CA1423" i="1"/>
  <c r="EY1423" i="1" s="1"/>
  <c r="CA959" i="1"/>
  <c r="CW626" i="1"/>
  <c r="CA626" i="1"/>
  <c r="EY626" i="1" s="1"/>
  <c r="CV1380" i="1"/>
  <c r="CW622" i="1"/>
  <c r="CU626" i="1"/>
  <c r="DA626" i="1" s="1"/>
  <c r="CQ962" i="1"/>
  <c r="CQ1337" i="1"/>
  <c r="CW1338" i="1"/>
  <c r="CQ1386" i="1"/>
  <c r="CV767" i="1"/>
  <c r="CS769" i="1"/>
  <c r="CT769" i="1" s="1"/>
  <c r="CQ758" i="1"/>
  <c r="CS770" i="1"/>
  <c r="CT770" i="1" s="1"/>
  <c r="CQ768" i="1"/>
  <c r="CR761" i="1"/>
  <c r="CS760" i="1"/>
  <c r="CT760" i="1" s="1"/>
  <c r="CW1454" i="1"/>
  <c r="CQ1461" i="1"/>
  <c r="CU1378" i="1"/>
  <c r="DA1378" i="1" s="1"/>
  <c r="CV1384" i="1"/>
  <c r="BP1379" i="1"/>
  <c r="BQ1379" i="1" s="1"/>
  <c r="CA1379" i="1" s="1"/>
  <c r="EY1379" i="1" s="1"/>
  <c r="CA1486" i="1"/>
  <c r="EY1486" i="1" s="1"/>
  <c r="CU1491" i="1"/>
  <c r="DA1491" i="1" s="1"/>
  <c r="CR1492" i="1"/>
  <c r="CU1186" i="1"/>
  <c r="CQ622" i="1"/>
  <c r="CR962" i="1"/>
  <c r="CU1337" i="1"/>
  <c r="CW767" i="1"/>
  <c r="CW769" i="1"/>
  <c r="CR758" i="1"/>
  <c r="CR768" i="1"/>
  <c r="CQ763" i="1"/>
  <c r="CQ759" i="1"/>
  <c r="CA771" i="1"/>
  <c r="EY771" i="1" s="1"/>
  <c r="CR1469" i="1"/>
  <c r="CQ1453" i="1"/>
  <c r="CQ1460" i="1"/>
  <c r="CU1461" i="1"/>
  <c r="DA1461" i="1" s="1"/>
  <c r="CV1151" i="1"/>
  <c r="CA1372" i="1"/>
  <c r="EY1372" i="1" s="1"/>
  <c r="CV1368" i="1"/>
  <c r="DA1368" i="1" s="1"/>
  <c r="CA1370" i="1"/>
  <c r="EY1370" i="1" s="1"/>
  <c r="CW1377" i="1"/>
  <c r="CA1383" i="1"/>
  <c r="EY1383" i="1" s="1"/>
  <c r="BG1489" i="1" a="1"/>
  <c r="BG1489" i="1" s="1"/>
  <c r="CW1489" i="1"/>
  <c r="CV1186" i="1"/>
  <c r="CU962" i="1"/>
  <c r="CV1337" i="1"/>
  <c r="CA762" i="1"/>
  <c r="EY762" i="1" s="1"/>
  <c r="CW1391" i="1"/>
  <c r="CA1464" i="1"/>
  <c r="EY1464" i="1" s="1"/>
  <c r="CS1385" i="1"/>
  <c r="CT1385" i="1" s="1"/>
  <c r="CA1489" i="1"/>
  <c r="EY1489" i="1" s="1"/>
  <c r="CA766" i="1"/>
  <c r="EY766" i="1" s="1"/>
  <c r="CA1373" i="1"/>
  <c r="EY1373" i="1" s="1"/>
  <c r="CR623" i="1"/>
  <c r="CA1389" i="1"/>
  <c r="EY1389" i="1" s="1"/>
  <c r="CV1345" i="1"/>
  <c r="CR769" i="1"/>
  <c r="CQ770" i="1"/>
  <c r="CS768" i="1"/>
  <c r="CT768" i="1" s="1"/>
  <c r="CQ760" i="1"/>
  <c r="CR885" i="1"/>
  <c r="CR888" i="1"/>
  <c r="CS1391" i="1"/>
  <c r="CT1391" i="1" s="1"/>
  <c r="CR955" i="1"/>
  <c r="CS1469" i="1"/>
  <c r="CT1469" i="1" s="1"/>
  <c r="CA1454" i="1"/>
  <c r="EY1454" i="1" s="1"/>
  <c r="CA1462" i="1"/>
  <c r="EY1462" i="1" s="1"/>
  <c r="CR1463" i="1"/>
  <c r="CS1150" i="1"/>
  <c r="CT1150" i="1" s="1"/>
  <c r="CQ1151" i="1"/>
  <c r="CS1371" i="1"/>
  <c r="CT1371" i="1" s="1"/>
  <c r="CV1374" i="1"/>
  <c r="DA1374" i="1" s="1"/>
  <c r="BO1380" i="1"/>
  <c r="CR1489" i="1"/>
  <c r="BG1491" i="1" a="1"/>
  <c r="BG1491" i="1" s="1"/>
  <c r="CA1187" i="1"/>
  <c r="EY1187" i="1" s="1"/>
  <c r="CS1194" i="1"/>
  <c r="CT1194" i="1" s="1"/>
  <c r="CU623" i="1"/>
  <c r="DA623" i="1" s="1"/>
  <c r="CU769" i="1"/>
  <c r="DA769" i="1" s="1"/>
  <c r="CS758" i="1"/>
  <c r="CT758" i="1" s="1"/>
  <c r="CR770" i="1"/>
  <c r="CR760" i="1"/>
  <c r="CS885" i="1"/>
  <c r="CT885" i="1" s="1"/>
  <c r="CU1391" i="1"/>
  <c r="CU955" i="1"/>
  <c r="DA955" i="1" s="1"/>
  <c r="CR1151" i="1"/>
  <c r="CS1378" i="1"/>
  <c r="CT1378" i="1" s="1"/>
  <c r="BP1380" i="1"/>
  <c r="BQ1380" i="1" s="1"/>
  <c r="CA1380" i="1" s="1"/>
  <c r="EY1380" i="1" s="1"/>
  <c r="CU1489" i="1"/>
  <c r="CA1186" i="1"/>
  <c r="EY1186" i="1" s="1"/>
  <c r="EY1430" i="1"/>
  <c r="CU1338" i="1"/>
  <c r="CA758" i="1"/>
  <c r="EY758" i="1" s="1"/>
  <c r="CU770" i="1"/>
  <c r="DA770" i="1" s="1"/>
  <c r="CW768" i="1"/>
  <c r="CU760" i="1"/>
  <c r="DA760" i="1" s="1"/>
  <c r="CU885" i="1"/>
  <c r="CV1391" i="1"/>
  <c r="CA1459" i="1"/>
  <c r="EY1459" i="1" s="1"/>
  <c r="CV1150" i="1"/>
  <c r="CU1151" i="1"/>
  <c r="CA1153" i="1"/>
  <c r="EY1153" i="1" s="1"/>
  <c r="CA1378" i="1"/>
  <c r="EY1378" i="1" s="1"/>
  <c r="CV1489" i="1"/>
  <c r="CA1197" i="1"/>
  <c r="EY1197" i="1" s="1"/>
  <c r="CV885" i="1"/>
  <c r="CS1151" i="1"/>
  <c r="CT1151" i="1" s="1"/>
  <c r="CR1196" i="1"/>
  <c r="CA970" i="1"/>
  <c r="EY970" i="1" s="1"/>
  <c r="CS970" i="1"/>
  <c r="CT970" i="1" s="1"/>
  <c r="CW542" i="1"/>
  <c r="CA540" i="1"/>
  <c r="EY540" i="1" s="1"/>
  <c r="CW540" i="1"/>
  <c r="CA972" i="1"/>
  <c r="EY972" i="1" s="1"/>
  <c r="CW972" i="1"/>
  <c r="CA556" i="1"/>
  <c r="EY556" i="1" s="1"/>
  <c r="CA576" i="1"/>
  <c r="EY576" i="1" s="1"/>
  <c r="CS576" i="1"/>
  <c r="CT576" i="1" s="1"/>
  <c r="CA967" i="1"/>
  <c r="EY967" i="1" s="1"/>
  <c r="CW967" i="1"/>
  <c r="CW560" i="1"/>
  <c r="CS560" i="1"/>
  <c r="CT560" i="1" s="1"/>
  <c r="CV560" i="1"/>
  <c r="CU560" i="1"/>
  <c r="CU559" i="1"/>
  <c r="CW559" i="1"/>
  <c r="CV559" i="1"/>
  <c r="CS559" i="1"/>
  <c r="CT559" i="1" s="1"/>
  <c r="CR558" i="1"/>
  <c r="CU558" i="1"/>
  <c r="CW558" i="1"/>
  <c r="CV558" i="1"/>
  <c r="CA1094" i="1"/>
  <c r="EY1094" i="1" s="1"/>
  <c r="CW1094" i="1"/>
  <c r="CS1422" i="1"/>
  <c r="CT1422" i="1" s="1"/>
  <c r="CA1422" i="1"/>
  <c r="EY1422" i="1" s="1"/>
  <c r="CW1341" i="1"/>
  <c r="CV1341" i="1"/>
  <c r="CU1341" i="1"/>
  <c r="CR1341" i="1"/>
  <c r="CS1341" i="1"/>
  <c r="CT1341" i="1" s="1"/>
  <c r="CQ1341" i="1"/>
  <c r="BX1574" i="1"/>
  <c r="BZ1574" i="1" s="1"/>
  <c r="BX1572" i="1"/>
  <c r="BZ1572" i="1" s="1"/>
  <c r="CA1572" i="1" s="1"/>
  <c r="CV550" i="1"/>
  <c r="CW550" i="1"/>
  <c r="CS539" i="1"/>
  <c r="CT539" i="1" s="1"/>
  <c r="CW539" i="1"/>
  <c r="CV539" i="1"/>
  <c r="CU539" i="1"/>
  <c r="CR539" i="1"/>
  <c r="CQ560" i="1"/>
  <c r="CR559" i="1"/>
  <c r="CS558" i="1"/>
  <c r="CT558" i="1" s="1"/>
  <c r="BP574" i="1"/>
  <c r="BP570" i="1"/>
  <c r="BO572" i="1"/>
  <c r="BP572" i="1"/>
  <c r="BP562" i="1"/>
  <c r="CQ978" i="1"/>
  <c r="CU978" i="1"/>
  <c r="DA978" i="1" s="1"/>
  <c r="CW978" i="1"/>
  <c r="CV1406" i="1"/>
  <c r="CU1406" i="1"/>
  <c r="CW1406" i="1"/>
  <c r="CS1338" i="1"/>
  <c r="CT1338" i="1" s="1"/>
  <c r="CA1338" i="1"/>
  <c r="EY1338" i="1" s="1"/>
  <c r="CU553" i="1"/>
  <c r="DA553" i="1" s="1"/>
  <c r="CQ553" i="1"/>
  <c r="CR553" i="1"/>
  <c r="CQ969" i="1"/>
  <c r="CW969" i="1"/>
  <c r="CV969" i="1"/>
  <c r="CU969" i="1"/>
  <c r="CS969" i="1"/>
  <c r="CT969" i="1" s="1"/>
  <c r="BW1574" i="1"/>
  <c r="BX1573" i="1"/>
  <c r="BZ1573" i="1" s="1"/>
  <c r="CA1573" i="1" s="1"/>
  <c r="BW1573" i="1"/>
  <c r="CW553" i="1"/>
  <c r="CA547" i="1"/>
  <c r="EY547" i="1" s="1"/>
  <c r="CW544" i="1"/>
  <c r="CV544" i="1"/>
  <c r="CR544" i="1"/>
  <c r="CU544" i="1"/>
  <c r="CW543" i="1"/>
  <c r="CV543" i="1"/>
  <c r="CR543" i="1"/>
  <c r="CU543" i="1"/>
  <c r="CW561" i="1"/>
  <c r="CY561" i="1" s="1"/>
  <c r="FA561" i="1" s="1"/>
  <c r="CR560" i="1"/>
  <c r="CP563" i="1"/>
  <c r="BO563" i="1"/>
  <c r="BP563" i="1"/>
  <c r="CA974" i="1"/>
  <c r="EY974" i="1" s="1"/>
  <c r="CS622" i="1"/>
  <c r="CT622" i="1" s="1"/>
  <c r="CA622" i="1"/>
  <c r="EY622" i="1" s="1"/>
  <c r="CA951" i="1"/>
  <c r="EY951" i="1" s="1"/>
  <c r="CA1407" i="1"/>
  <c r="EY1407" i="1" s="1"/>
  <c r="CS620" i="1"/>
  <c r="CT620" i="1" s="1"/>
  <c r="CA620" i="1"/>
  <c r="EY620" i="1" s="1"/>
  <c r="CS1101" i="1"/>
  <c r="CT1101" i="1" s="1"/>
  <c r="CA1101" i="1"/>
  <c r="EY1101" i="1" s="1"/>
  <c r="CW547" i="1"/>
  <c r="CV547" i="1"/>
  <c r="CS547" i="1"/>
  <c r="CT547" i="1" s="1"/>
  <c r="CU547" i="1"/>
  <c r="CQ545" i="1"/>
  <c r="CW545" i="1"/>
  <c r="CV545" i="1"/>
  <c r="CU545" i="1"/>
  <c r="CS976" i="1"/>
  <c r="CT976" i="1" s="1"/>
  <c r="CW976" i="1"/>
  <c r="CR976" i="1"/>
  <c r="CQ976" i="1"/>
  <c r="CV976" i="1"/>
  <c r="CU976" i="1"/>
  <c r="CR538" i="1"/>
  <c r="CW538" i="1"/>
  <c r="CV538" i="1"/>
  <c r="CS538" i="1"/>
  <c r="CT538" i="1" s="1"/>
  <c r="CU538" i="1"/>
  <c r="BP569" i="1"/>
  <c r="CW577" i="1"/>
  <c r="CU971" i="1"/>
  <c r="CR971" i="1"/>
  <c r="CW971" i="1"/>
  <c r="CV971" i="1"/>
  <c r="CS971" i="1"/>
  <c r="CT971" i="1" s="1"/>
  <c r="CU951" i="1"/>
  <c r="CQ951" i="1"/>
  <c r="CW951" i="1"/>
  <c r="CS951" i="1"/>
  <c r="CT951" i="1" s="1"/>
  <c r="CV951" i="1"/>
  <c r="CQ956" i="1"/>
  <c r="CS956" i="1"/>
  <c r="CT956" i="1" s="1"/>
  <c r="CW956" i="1"/>
  <c r="CV956" i="1"/>
  <c r="CU956" i="1"/>
  <c r="CV974" i="1"/>
  <c r="CU974" i="1"/>
  <c r="CQ974" i="1"/>
  <c r="CQ547" i="1"/>
  <c r="CR547" i="1"/>
  <c r="BO543" i="1"/>
  <c r="BP543" i="1"/>
  <c r="BQ543" i="1" s="1"/>
  <c r="CS543" i="1" s="1"/>
  <c r="CT543" i="1" s="1"/>
  <c r="CQ538" i="1"/>
  <c r="CQ567" i="1"/>
  <c r="CV567" i="1"/>
  <c r="DA567" i="1" s="1"/>
  <c r="CW567" i="1"/>
  <c r="CP574" i="1"/>
  <c r="EY569" i="1"/>
  <c r="CA580" i="1"/>
  <c r="EY580" i="1" s="1"/>
  <c r="CW580" i="1"/>
  <c r="CW581" i="1"/>
  <c r="CA581" i="1"/>
  <c r="EY581" i="1" s="1"/>
  <c r="CS974" i="1"/>
  <c r="CT974" i="1" s="1"/>
  <c r="CQ971" i="1"/>
  <c r="CA953" i="1"/>
  <c r="EY953" i="1" s="1"/>
  <c r="CR951" i="1"/>
  <c r="CS1093" i="1"/>
  <c r="CT1093" i="1" s="1"/>
  <c r="CU1093" i="1"/>
  <c r="CV1093" i="1"/>
  <c r="CR1093" i="1"/>
  <c r="CW1093" i="1"/>
  <c r="CV1104" i="1"/>
  <c r="CQ1104" i="1"/>
  <c r="CW1104" i="1"/>
  <c r="CU1104" i="1"/>
  <c r="CW909" i="1"/>
  <c r="BP1280" i="1"/>
  <c r="BQ1280" i="1" s="1"/>
  <c r="BO1280" i="1"/>
  <c r="CP1280" i="1"/>
  <c r="CV1572" i="1"/>
  <c r="BO553" i="1"/>
  <c r="BP553" i="1"/>
  <c r="BQ553" i="1" s="1"/>
  <c r="CA553" i="1" s="1"/>
  <c r="EY553" i="1" s="1"/>
  <c r="CR954" i="1"/>
  <c r="CW954" i="1"/>
  <c r="CS954" i="1"/>
  <c r="CT954" i="1" s="1"/>
  <c r="CV954" i="1"/>
  <c r="CU954" i="1"/>
  <c r="CQ954" i="1"/>
  <c r="CS1573" i="1"/>
  <c r="CT1573" i="1" s="1"/>
  <c r="CS1572" i="1"/>
  <c r="CT1572" i="1" s="1"/>
  <c r="CR545" i="1"/>
  <c r="CU1574" i="1"/>
  <c r="CU1573" i="1"/>
  <c r="CU1572" i="1"/>
  <c r="CV1573" i="1"/>
  <c r="BO557" i="1"/>
  <c r="CA555" i="1"/>
  <c r="EY555" i="1" s="1"/>
  <c r="BO545" i="1"/>
  <c r="BP545" i="1"/>
  <c r="BQ545" i="1" s="1"/>
  <c r="CA545" i="1" s="1"/>
  <c r="EY545" i="1" s="1"/>
  <c r="BO544" i="1"/>
  <c r="BP544" i="1"/>
  <c r="BQ544" i="1" s="1"/>
  <c r="CS544" i="1" s="1"/>
  <c r="CT544" i="1" s="1"/>
  <c r="CP570" i="1"/>
  <c r="CP572" i="1"/>
  <c r="EY564" i="1"/>
  <c r="CA968" i="1"/>
  <c r="EY968" i="1" s="1"/>
  <c r="CW974" i="1"/>
  <c r="CA948" i="1"/>
  <c r="EY948" i="1" s="1"/>
  <c r="CQ1093" i="1"/>
  <c r="CR1104" i="1"/>
  <c r="CW912" i="1"/>
  <c r="CV912" i="1"/>
  <c r="CU912" i="1"/>
  <c r="CR967" i="1"/>
  <c r="CQ967" i="1"/>
  <c r="BO551" i="1"/>
  <c r="CR548" i="1"/>
  <c r="CR542" i="1"/>
  <c r="BO541" i="1"/>
  <c r="CQ540" i="1"/>
  <c r="BO565" i="1"/>
  <c r="CP571" i="1"/>
  <c r="CQ578" i="1"/>
  <c r="CU577" i="1"/>
  <c r="CQ577" i="1"/>
  <c r="CS967" i="1"/>
  <c r="CT967" i="1" s="1"/>
  <c r="CW977" i="1"/>
  <c r="CS977" i="1"/>
  <c r="CT977" i="1" s="1"/>
  <c r="CA952" i="1"/>
  <c r="EY952" i="1" s="1"/>
  <c r="BW1580" i="1"/>
  <c r="BX713" i="1"/>
  <c r="BZ713" i="1" s="1"/>
  <c r="CP613" i="1"/>
  <c r="BP613" i="1"/>
  <c r="BQ613" i="1" s="1"/>
  <c r="CR912" i="1"/>
  <c r="CP960" i="1"/>
  <c r="BP960" i="1"/>
  <c r="BQ960" i="1" s="1"/>
  <c r="BX1585" i="1"/>
  <c r="BZ1585" i="1" s="1"/>
  <c r="BW1585" i="1"/>
  <c r="CP551" i="1"/>
  <c r="CQ548" i="1"/>
  <c r="CP541" i="1"/>
  <c r="CP568" i="1"/>
  <c r="CS972" i="1"/>
  <c r="CT972" i="1" s="1"/>
  <c r="CQ1096" i="1"/>
  <c r="CW1096" i="1"/>
  <c r="CS1096" i="1"/>
  <c r="CT1096" i="1" s="1"/>
  <c r="BW1572" i="1"/>
  <c r="CR1575" i="1"/>
  <c r="BO556" i="1"/>
  <c r="CR540" i="1"/>
  <c r="CR578" i="1"/>
  <c r="CU967" i="1"/>
  <c r="CW975" i="1"/>
  <c r="CY975" i="1" s="1"/>
  <c r="FA975" i="1" s="1"/>
  <c r="CU952" i="1"/>
  <c r="DA952" i="1" s="1"/>
  <c r="CR952" i="1"/>
  <c r="CU1096" i="1"/>
  <c r="CA1100" i="1"/>
  <c r="EY1100" i="1" s="1"/>
  <c r="BX682" i="1"/>
  <c r="BZ682" i="1" s="1"/>
  <c r="CV682" i="1"/>
  <c r="CA910" i="1"/>
  <c r="EY910" i="1" s="1"/>
  <c r="CQ542" i="1"/>
  <c r="BW682" i="1"/>
  <c r="CQ912" i="1"/>
  <c r="CA692" i="1"/>
  <c r="EY692" i="1" s="1"/>
  <c r="CQ1575" i="1"/>
  <c r="CS540" i="1"/>
  <c r="CT540" i="1" s="1"/>
  <c r="BP573" i="1"/>
  <c r="CV576" i="1"/>
  <c r="DA576" i="1" s="1"/>
  <c r="CQ576" i="1"/>
  <c r="CS577" i="1"/>
  <c r="CT577" i="1" s="1"/>
  <c r="CV967" i="1"/>
  <c r="CR977" i="1"/>
  <c r="CQ952" i="1"/>
  <c r="CV950" i="1"/>
  <c r="CS950" i="1"/>
  <c r="CT950" i="1" s="1"/>
  <c r="CV1096" i="1"/>
  <c r="CA1104" i="1"/>
  <c r="EY1104" i="1" s="1"/>
  <c r="BX613" i="1"/>
  <c r="BZ613" i="1" s="1"/>
  <c r="BW613" i="1"/>
  <c r="CS1414" i="1"/>
  <c r="CT1414" i="1" s="1"/>
  <c r="CW1414" i="1"/>
  <c r="CV1414" i="1"/>
  <c r="CU1414" i="1"/>
  <c r="CW1457" i="1"/>
  <c r="CV1457" i="1"/>
  <c r="CU1457" i="1"/>
  <c r="CS1457" i="1"/>
  <c r="CT1457" i="1" s="1"/>
  <c r="CR1457" i="1"/>
  <c r="CQ1457" i="1"/>
  <c r="CU1459" i="1"/>
  <c r="CW1459" i="1"/>
  <c r="CV1459" i="1"/>
  <c r="CS1459" i="1"/>
  <c r="CT1459" i="1" s="1"/>
  <c r="CR1459" i="1"/>
  <c r="CQ1459" i="1"/>
  <c r="CW1103" i="1"/>
  <c r="CS1103" i="1"/>
  <c r="CT1103" i="1" s="1"/>
  <c r="CW1102" i="1"/>
  <c r="CW1405" i="1"/>
  <c r="CV1405" i="1"/>
  <c r="CU1405" i="1"/>
  <c r="CV1410" i="1"/>
  <c r="CU1410" i="1"/>
  <c r="CS1410" i="1"/>
  <c r="CT1410" i="1" s="1"/>
  <c r="CA757" i="1"/>
  <c r="EY757" i="1" s="1"/>
  <c r="CW757" i="1"/>
  <c r="CQ1100" i="1"/>
  <c r="CW1100" i="1"/>
  <c r="CW908" i="1"/>
  <c r="CV908" i="1"/>
  <c r="CU908" i="1"/>
  <c r="CV1401" i="1"/>
  <c r="CU1401" i="1"/>
  <c r="CS1401" i="1"/>
  <c r="CT1401" i="1" s="1"/>
  <c r="CR1401" i="1"/>
  <c r="BP1404" i="1"/>
  <c r="BQ1404" i="1" s="1"/>
  <c r="CA1404" i="1" s="1"/>
  <c r="EY1404" i="1" s="1"/>
  <c r="CP1404" i="1"/>
  <c r="CU1095" i="1"/>
  <c r="CW1095" i="1"/>
  <c r="CR1100" i="1"/>
  <c r="BW1578" i="1"/>
  <c r="CQ908" i="1"/>
  <c r="CQ1401" i="1"/>
  <c r="CW579" i="1"/>
  <c r="CU973" i="1"/>
  <c r="CS953" i="1"/>
  <c r="CT953" i="1" s="1"/>
  <c r="CQ1095" i="1"/>
  <c r="CU1103" i="1"/>
  <c r="CS1100" i="1"/>
  <c r="CT1100" i="1" s="1"/>
  <c r="CU1097" i="1"/>
  <c r="DA1097" i="1" s="1"/>
  <c r="CW1097" i="1"/>
  <c r="CR1097" i="1"/>
  <c r="BP1580" i="1"/>
  <c r="BQ1580" i="1" s="1"/>
  <c r="CR908" i="1"/>
  <c r="BW1586" i="1"/>
  <c r="CP1418" i="1"/>
  <c r="BP1418" i="1"/>
  <c r="BQ1418" i="1" s="1"/>
  <c r="CA1418" i="1" s="1"/>
  <c r="EY1418" i="1" s="1"/>
  <c r="CP628" i="1"/>
  <c r="BP628" i="1"/>
  <c r="BQ628" i="1" s="1"/>
  <c r="CA628" i="1" s="1"/>
  <c r="EY628" i="1" s="1"/>
  <c r="CU624" i="1"/>
  <c r="CW624" i="1"/>
  <c r="CV624" i="1"/>
  <c r="CS624" i="1"/>
  <c r="CT624" i="1" s="1"/>
  <c r="CR624" i="1"/>
  <c r="CQ624" i="1"/>
  <c r="BW1583" i="1"/>
  <c r="CP1417" i="1"/>
  <c r="CP1419" i="1"/>
  <c r="CA1424" i="1"/>
  <c r="EY1424" i="1" s="1"/>
  <c r="CP1281" i="1"/>
  <c r="BP1281" i="1"/>
  <c r="BQ1281" i="1" s="1"/>
  <c r="BO1281" i="1"/>
  <c r="CA623" i="1"/>
  <c r="EY623" i="1" s="1"/>
  <c r="CA1463" i="1"/>
  <c r="EY1463" i="1" s="1"/>
  <c r="CS1098" i="1"/>
  <c r="CT1098" i="1" s="1"/>
  <c r="CQ909" i="1"/>
  <c r="CQ1402" i="1"/>
  <c r="BP1421" i="1"/>
  <c r="BQ1421" i="1" s="1"/>
  <c r="CA1421" i="1" s="1"/>
  <c r="EY1421" i="1" s="1"/>
  <c r="CP1421" i="1"/>
  <c r="CW1424" i="1"/>
  <c r="CV1424" i="1"/>
  <c r="CU1424" i="1"/>
  <c r="CP1430" i="1"/>
  <c r="BP1430" i="1"/>
  <c r="CV959" i="1"/>
  <c r="DA959" i="1" s="1"/>
  <c r="CR959" i="1"/>
  <c r="CQ959" i="1"/>
  <c r="CR961" i="1"/>
  <c r="CW961" i="1"/>
  <c r="CY961" i="1" s="1"/>
  <c r="FA961" i="1" s="1"/>
  <c r="CV961" i="1"/>
  <c r="BO627" i="1"/>
  <c r="CP627" i="1"/>
  <c r="CW1470" i="1"/>
  <c r="CA1470" i="1"/>
  <c r="EY1470" i="1" s="1"/>
  <c r="CP604" i="1"/>
  <c r="CR909" i="1"/>
  <c r="BW607" i="1"/>
  <c r="CS1402" i="1"/>
  <c r="CT1402" i="1" s="1"/>
  <c r="CW1412" i="1"/>
  <c r="CS1424" i="1"/>
  <c r="CT1424" i="1" s="1"/>
  <c r="BP627" i="1"/>
  <c r="BQ627" i="1" s="1"/>
  <c r="CA627" i="1" s="1"/>
  <c r="EY627" i="1" s="1"/>
  <c r="CW621" i="1"/>
  <c r="CV621" i="1"/>
  <c r="CU621" i="1"/>
  <c r="CS621" i="1"/>
  <c r="CT621" i="1" s="1"/>
  <c r="CR621" i="1"/>
  <c r="CW1389" i="1"/>
  <c r="CV1389" i="1"/>
  <c r="DA1389" i="1" s="1"/>
  <c r="CR1389" i="1"/>
  <c r="CQ1389" i="1"/>
  <c r="CS1389" i="1"/>
  <c r="CT1389" i="1" s="1"/>
  <c r="CA1102" i="1"/>
  <c r="EY1102" i="1" s="1"/>
  <c r="CU1098" i="1"/>
  <c r="CQ690" i="1"/>
  <c r="CV909" i="1"/>
  <c r="DA909" i="1" s="1"/>
  <c r="CV1402" i="1"/>
  <c r="CA1408" i="1"/>
  <c r="EY1408" i="1" s="1"/>
  <c r="CP1425" i="1"/>
  <c r="BW961" i="1"/>
  <c r="BX1386" i="1"/>
  <c r="BZ1386" i="1" s="1"/>
  <c r="CW1386" i="1" s="1"/>
  <c r="BW1386" i="1"/>
  <c r="CS623" i="1"/>
  <c r="CT623" i="1" s="1"/>
  <c r="CW762" i="1"/>
  <c r="CU762" i="1"/>
  <c r="CS762" i="1"/>
  <c r="CT762" i="1" s="1"/>
  <c r="CR762" i="1"/>
  <c r="CA764" i="1"/>
  <c r="EY764" i="1" s="1"/>
  <c r="CA761" i="1"/>
  <c r="EY761" i="1" s="1"/>
  <c r="CW761" i="1"/>
  <c r="CS1468" i="1"/>
  <c r="CT1468" i="1" s="1"/>
  <c r="CR1468" i="1"/>
  <c r="CQ1468" i="1"/>
  <c r="CW1468" i="1"/>
  <c r="CV1468" i="1"/>
  <c r="CU1468" i="1"/>
  <c r="CW1452" i="1"/>
  <c r="CA1452" i="1"/>
  <c r="EY1452" i="1" s="1"/>
  <c r="CV1458" i="1"/>
  <c r="CW1458" i="1"/>
  <c r="CU1458" i="1"/>
  <c r="CS1458" i="1"/>
  <c r="CT1458" i="1" s="1"/>
  <c r="CR1458" i="1"/>
  <c r="CQ1458" i="1"/>
  <c r="CA962" i="1"/>
  <c r="EY962" i="1" s="1"/>
  <c r="CS764" i="1"/>
  <c r="CT764" i="1" s="1"/>
  <c r="CR764" i="1"/>
  <c r="CQ764" i="1"/>
  <c r="CW764" i="1"/>
  <c r="CV764" i="1"/>
  <c r="CA765" i="1"/>
  <c r="EY765" i="1" s="1"/>
  <c r="CS1412" i="1"/>
  <c r="CT1412" i="1" s="1"/>
  <c r="CV762" i="1"/>
  <c r="CU764" i="1"/>
  <c r="CA763" i="1"/>
  <c r="EY763" i="1" s="1"/>
  <c r="CW763" i="1"/>
  <c r="CV625" i="1"/>
  <c r="CU625" i="1"/>
  <c r="CW1340" i="1"/>
  <c r="CV1340" i="1"/>
  <c r="CR1340" i="1"/>
  <c r="CQ1340" i="1"/>
  <c r="CP1431" i="1"/>
  <c r="BP1431" i="1"/>
  <c r="BQ1431" i="1" s="1"/>
  <c r="CS767" i="1"/>
  <c r="CT767" i="1" s="1"/>
  <c r="CA769" i="1"/>
  <c r="EY769" i="1" s="1"/>
  <c r="CW1467" i="1"/>
  <c r="CY1467" i="1" s="1"/>
  <c r="FA1467" i="1" s="1"/>
  <c r="CA1467" i="1"/>
  <c r="EY1467" i="1" s="1"/>
  <c r="CA1368" i="1"/>
  <c r="EY1368" i="1" s="1"/>
  <c r="CW1368" i="1"/>
  <c r="CV622" i="1"/>
  <c r="DA622" i="1" s="1"/>
  <c r="CR625" i="1"/>
  <c r="CW623" i="1"/>
  <c r="CA1337" i="1"/>
  <c r="EY1337" i="1" s="1"/>
  <c r="CU1340" i="1"/>
  <c r="CV1386" i="1"/>
  <c r="CU1386" i="1"/>
  <c r="CU1344" i="1"/>
  <c r="CR1344" i="1"/>
  <c r="CQ1344" i="1"/>
  <c r="CV1344" i="1"/>
  <c r="CA768" i="1"/>
  <c r="EY768" i="1" s="1"/>
  <c r="CA885" i="1"/>
  <c r="EY885" i="1" s="1"/>
  <c r="CW885" i="1"/>
  <c r="CY885" i="1" s="1"/>
  <c r="FA885" i="1" s="1"/>
  <c r="CS1456" i="1"/>
  <c r="CT1456" i="1" s="1"/>
  <c r="CA1150" i="1"/>
  <c r="EY1150" i="1" s="1"/>
  <c r="CW1150" i="1"/>
  <c r="BX1345" i="1"/>
  <c r="BZ1345" i="1" s="1"/>
  <c r="BW1344" i="1"/>
  <c r="CR767" i="1"/>
  <c r="CW770" i="1"/>
  <c r="CV887" i="1"/>
  <c r="CU887" i="1"/>
  <c r="CS887" i="1"/>
  <c r="CT887" i="1" s="1"/>
  <c r="CV1471" i="1"/>
  <c r="CU1471" i="1"/>
  <c r="CS1471" i="1"/>
  <c r="CT1471" i="1" s="1"/>
  <c r="CQ1471" i="1"/>
  <c r="CS962" i="1"/>
  <c r="CT962" i="1" s="1"/>
  <c r="CR1338" i="1"/>
  <c r="BP1386" i="1"/>
  <c r="BQ1386" i="1" s="1"/>
  <c r="CS1386" i="1" s="1"/>
  <c r="CT1386" i="1" s="1"/>
  <c r="BX1344" i="1"/>
  <c r="BZ1344" i="1" s="1"/>
  <c r="CQ887" i="1"/>
  <c r="CR1471" i="1"/>
  <c r="CA1456" i="1"/>
  <c r="EY1456" i="1" s="1"/>
  <c r="CU1197" i="1"/>
  <c r="CS1197" i="1"/>
  <c r="CT1197" i="1" s="1"/>
  <c r="CR1197" i="1"/>
  <c r="CQ1197" i="1"/>
  <c r="CW1197" i="1"/>
  <c r="CV1197" i="1"/>
  <c r="CA888" i="1"/>
  <c r="EY888" i="1" s="1"/>
  <c r="CS886" i="1"/>
  <c r="CT886" i="1" s="1"/>
  <c r="CR886" i="1"/>
  <c r="CQ886" i="1"/>
  <c r="CA1469" i="1"/>
  <c r="EY1469" i="1" s="1"/>
  <c r="CA1466" i="1"/>
  <c r="EY1466" i="1" s="1"/>
  <c r="CW1466" i="1"/>
  <c r="CW1465" i="1"/>
  <c r="CV1465" i="1"/>
  <c r="CU1465" i="1"/>
  <c r="CS1465" i="1"/>
  <c r="CT1465" i="1" s="1"/>
  <c r="CA1455" i="1"/>
  <c r="EY1455" i="1" s="1"/>
  <c r="CW1455" i="1"/>
  <c r="CP1147" i="1"/>
  <c r="CW758" i="1"/>
  <c r="CW766" i="1"/>
  <c r="CW888" i="1"/>
  <c r="CV888" i="1"/>
  <c r="DA888" i="1" s="1"/>
  <c r="CU886" i="1"/>
  <c r="CA1391" i="1"/>
  <c r="EY1391" i="1" s="1"/>
  <c r="CA955" i="1"/>
  <c r="EY955" i="1" s="1"/>
  <c r="CW955" i="1"/>
  <c r="CQ1465" i="1"/>
  <c r="CW1464" i="1"/>
  <c r="CV1464" i="1"/>
  <c r="CU1464" i="1"/>
  <c r="CS1464" i="1"/>
  <c r="CT1464" i="1" s="1"/>
  <c r="CR1464" i="1"/>
  <c r="CV1452" i="1"/>
  <c r="CU1452" i="1"/>
  <c r="CS1452" i="1"/>
  <c r="CT1452" i="1" s="1"/>
  <c r="CR1452" i="1"/>
  <c r="CQ1452" i="1"/>
  <c r="CS1454" i="1"/>
  <c r="CT1454" i="1" s="1"/>
  <c r="CW1372" i="1"/>
  <c r="CA767" i="1"/>
  <c r="EY767" i="1" s="1"/>
  <c r="CA760" i="1"/>
  <c r="EY760" i="1" s="1"/>
  <c r="CW760" i="1"/>
  <c r="CY760" i="1" s="1"/>
  <c r="FA760" i="1" s="1"/>
  <c r="CV886" i="1"/>
  <c r="CR1465" i="1"/>
  <c r="CA1460" i="1"/>
  <c r="EY1460" i="1" s="1"/>
  <c r="CW1460" i="1"/>
  <c r="CA1461" i="1"/>
  <c r="EY1461" i="1" s="1"/>
  <c r="CW1461" i="1"/>
  <c r="CS1153" i="1"/>
  <c r="CT1153" i="1" s="1"/>
  <c r="CR1153" i="1"/>
  <c r="CW1153" i="1"/>
  <c r="CV1153" i="1"/>
  <c r="CU1153" i="1"/>
  <c r="BP1147" i="1"/>
  <c r="BQ1147" i="1" s="1"/>
  <c r="CA1147" i="1" s="1"/>
  <c r="EY1147" i="1" s="1"/>
  <c r="CA759" i="1"/>
  <c r="EY759" i="1" s="1"/>
  <c r="CW886" i="1"/>
  <c r="CA1151" i="1"/>
  <c r="EY1151" i="1" s="1"/>
  <c r="CQ1153" i="1"/>
  <c r="CW1376" i="1"/>
  <c r="CU1376" i="1"/>
  <c r="CS1376" i="1"/>
  <c r="CT1376" i="1" s="1"/>
  <c r="CV1376" i="1"/>
  <c r="CW1493" i="1"/>
  <c r="CA1493" i="1"/>
  <c r="EY1493" i="1" s="1"/>
  <c r="CA1189" i="1"/>
  <c r="EY1189" i="1" s="1"/>
  <c r="CW1189" i="1"/>
  <c r="CR1462" i="1"/>
  <c r="CQ1462" i="1"/>
  <c r="CW1462" i="1"/>
  <c r="CW1384" i="1"/>
  <c r="CA1384" i="1"/>
  <c r="EY1384" i="1" s="1"/>
  <c r="CW1490" i="1"/>
  <c r="CV1490" i="1"/>
  <c r="DA1490" i="1" s="1"/>
  <c r="CS1490" i="1"/>
  <c r="CT1490" i="1" s="1"/>
  <c r="CR1490" i="1"/>
  <c r="CQ1490" i="1"/>
  <c r="CA1191" i="1"/>
  <c r="EY1191" i="1" s="1"/>
  <c r="CW1191" i="1"/>
  <c r="CW1195" i="1"/>
  <c r="CV1195" i="1"/>
  <c r="CU1195" i="1"/>
  <c r="CS1195" i="1"/>
  <c r="CT1195" i="1" s="1"/>
  <c r="CR1195" i="1"/>
  <c r="CQ1195" i="1"/>
  <c r="CA900" i="1"/>
  <c r="EY900" i="1" s="1"/>
  <c r="CW1469" i="1"/>
  <c r="CW1463" i="1"/>
  <c r="CU1488" i="1"/>
  <c r="CS1488" i="1"/>
  <c r="CT1488" i="1" s="1"/>
  <c r="CQ1488" i="1"/>
  <c r="CV1488" i="1"/>
  <c r="CR1488" i="1"/>
  <c r="CA1194" i="1"/>
  <c r="EY1194" i="1" s="1"/>
  <c r="CA1192" i="1"/>
  <c r="EY1192" i="1" s="1"/>
  <c r="CW1192" i="1"/>
  <c r="CW1198" i="1"/>
  <c r="CV1198" i="1"/>
  <c r="CU1198" i="1"/>
  <c r="CS1198" i="1"/>
  <c r="CT1198" i="1" s="1"/>
  <c r="CR1198" i="1"/>
  <c r="CQ1198" i="1"/>
  <c r="CA1196" i="1"/>
  <c r="EY1196" i="1" s="1"/>
  <c r="CW1196" i="1"/>
  <c r="CW759" i="1"/>
  <c r="CP771" i="1"/>
  <c r="CR1470" i="1"/>
  <c r="CR1453" i="1"/>
  <c r="CQ1454" i="1"/>
  <c r="CQ1456" i="1"/>
  <c r="CU1462" i="1"/>
  <c r="CA1371" i="1"/>
  <c r="EY1371" i="1" s="1"/>
  <c r="CW1371" i="1"/>
  <c r="CA1375" i="1"/>
  <c r="EY1375" i="1" s="1"/>
  <c r="CP1382" i="1"/>
  <c r="BP1382" i="1"/>
  <c r="BQ1382" i="1" s="1"/>
  <c r="CA1382" i="1" s="1"/>
  <c r="EY1382" i="1" s="1"/>
  <c r="BO1382" i="1"/>
  <c r="CW1488" i="1"/>
  <c r="BO771" i="1"/>
  <c r="CQ1391" i="1"/>
  <c r="CS1470" i="1"/>
  <c r="CT1470" i="1" s="1"/>
  <c r="CQ1467" i="1"/>
  <c r="CS1453" i="1"/>
  <c r="CT1453" i="1" s="1"/>
  <c r="CR1454" i="1"/>
  <c r="CQ1455" i="1"/>
  <c r="CR1456" i="1"/>
  <c r="CV1462" i="1"/>
  <c r="CS1372" i="1"/>
  <c r="CT1372" i="1" s="1"/>
  <c r="CR1372" i="1"/>
  <c r="CQ1372" i="1"/>
  <c r="CW1369" i="1"/>
  <c r="CV1369" i="1"/>
  <c r="CU1369" i="1"/>
  <c r="CR1369" i="1"/>
  <c r="CQ1369" i="1"/>
  <c r="CA1381" i="1"/>
  <c r="EY1381" i="1" s="1"/>
  <c r="CS1460" i="1"/>
  <c r="CT1460" i="1" s="1"/>
  <c r="CS1461" i="1"/>
  <c r="CT1461" i="1" s="1"/>
  <c r="CR1461" i="1"/>
  <c r="CR1152" i="1"/>
  <c r="CQ1152" i="1"/>
  <c r="CW1152" i="1"/>
  <c r="CU1372" i="1"/>
  <c r="DA1372" i="1" s="1"/>
  <c r="CS1369" i="1"/>
  <c r="CT1369" i="1" s="1"/>
  <c r="CW1381" i="1"/>
  <c r="CV1381" i="1"/>
  <c r="CU1381" i="1"/>
  <c r="CS1381" i="1"/>
  <c r="CT1381" i="1" s="1"/>
  <c r="CS1370" i="1"/>
  <c r="CT1370" i="1" s="1"/>
  <c r="CS1374" i="1"/>
  <c r="CT1374" i="1" s="1"/>
  <c r="CW1385" i="1"/>
  <c r="CW1187" i="1"/>
  <c r="CV1187" i="1"/>
  <c r="CU1187" i="1"/>
  <c r="CW1190" i="1"/>
  <c r="CV1190" i="1"/>
  <c r="CU1190" i="1"/>
  <c r="CS1190" i="1"/>
  <c r="CT1190" i="1" s="1"/>
  <c r="CA1198" i="1"/>
  <c r="EY1198" i="1" s="1"/>
  <c r="CW1370" i="1"/>
  <c r="CW1374" i="1"/>
  <c r="CU1486" i="1"/>
  <c r="CS1486" i="1"/>
  <c r="CT1486" i="1" s="1"/>
  <c r="CW1487" i="1"/>
  <c r="CU1487" i="1"/>
  <c r="CS1491" i="1"/>
  <c r="CT1491" i="1" s="1"/>
  <c r="CW1186" i="1"/>
  <c r="CR1187" i="1"/>
  <c r="CR1190" i="1"/>
  <c r="CS1373" i="1"/>
  <c r="CT1373" i="1" s="1"/>
  <c r="CS1368" i="1"/>
  <c r="CT1368" i="1" s="1"/>
  <c r="CS1377" i="1"/>
  <c r="CT1377" i="1" s="1"/>
  <c r="CW1378" i="1"/>
  <c r="BO1383" i="1"/>
  <c r="CV1486" i="1"/>
  <c r="CS1487" i="1"/>
  <c r="CT1487" i="1" s="1"/>
  <c r="CV1493" i="1"/>
  <c r="CU1493" i="1"/>
  <c r="CS1493" i="1"/>
  <c r="CT1493" i="1" s="1"/>
  <c r="CR1493" i="1"/>
  <c r="CS1187" i="1"/>
  <c r="CT1187" i="1" s="1"/>
  <c r="CS1191" i="1"/>
  <c r="CT1191" i="1" s="1"/>
  <c r="CA899" i="1"/>
  <c r="EY899" i="1" s="1"/>
  <c r="CU1377" i="1"/>
  <c r="DA1377" i="1" s="1"/>
  <c r="CP1379" i="1"/>
  <c r="CW1486" i="1"/>
  <c r="CV1487" i="1"/>
  <c r="CV1193" i="1"/>
  <c r="CU1193" i="1"/>
  <c r="CS1193" i="1"/>
  <c r="CT1193" i="1" s="1"/>
  <c r="CR1193" i="1"/>
  <c r="CW899" i="1"/>
  <c r="CV899" i="1"/>
  <c r="CU899" i="1"/>
  <c r="CW1380" i="1"/>
  <c r="CU1380" i="1"/>
  <c r="CA1492" i="1"/>
  <c r="EY1492" i="1" s="1"/>
  <c r="CU1189" i="1"/>
  <c r="DA1189" i="1" s="1"/>
  <c r="CS1189" i="1"/>
  <c r="CT1189" i="1" s="1"/>
  <c r="CR1189" i="1"/>
  <c r="CQ1189" i="1"/>
  <c r="CA1188" i="1"/>
  <c r="EY1188" i="1" s="1"/>
  <c r="CW1188" i="1"/>
  <c r="CW1492" i="1"/>
  <c r="CW1194" i="1"/>
  <c r="CP900" i="1"/>
  <c r="CR1491" i="1"/>
  <c r="CQ1186" i="1"/>
  <c r="CR1191" i="1"/>
  <c r="CQ1192" i="1"/>
  <c r="BO900" i="1"/>
  <c r="CY1188" i="1" l="1"/>
  <c r="FA1188" i="1" s="1"/>
  <c r="CY1466" i="1"/>
  <c r="FA1466" i="1" s="1"/>
  <c r="CY1455" i="1"/>
  <c r="FA1455" i="1" s="1"/>
  <c r="CY567" i="1"/>
  <c r="FA567" i="1" s="1"/>
  <c r="CY770" i="1"/>
  <c r="FA770" i="1" s="1"/>
  <c r="CY758" i="1"/>
  <c r="FA758" i="1" s="1"/>
  <c r="CY626" i="1"/>
  <c r="FA626" i="1" s="1"/>
  <c r="CY1487" i="1"/>
  <c r="FA1487" i="1" s="1"/>
  <c r="CY1095" i="1"/>
  <c r="FA1095" i="1" s="1"/>
  <c r="CY1492" i="1"/>
  <c r="FA1492" i="1" s="1"/>
  <c r="CY1197" i="1"/>
  <c r="FA1197" i="1" s="1"/>
  <c r="CY1468" i="1"/>
  <c r="FA1468" i="1" s="1"/>
  <c r="CY954" i="1"/>
  <c r="FA954" i="1" s="1"/>
  <c r="CY1370" i="1"/>
  <c r="FA1370" i="1" s="1"/>
  <c r="CY1187" i="1"/>
  <c r="FA1187" i="1" s="1"/>
  <c r="CY623" i="1"/>
  <c r="FA623" i="1" s="1"/>
  <c r="CY955" i="1"/>
  <c r="FA955" i="1" s="1"/>
  <c r="CY1469" i="1"/>
  <c r="FA1469" i="1" s="1"/>
  <c r="CA1583" i="1"/>
  <c r="EY1583" i="1" s="1"/>
  <c r="CY1186" i="1"/>
  <c r="FA1186" i="1" s="1"/>
  <c r="CY579" i="1"/>
  <c r="FA579" i="1" s="1"/>
  <c r="CY1414" i="1"/>
  <c r="FA1414" i="1" s="1"/>
  <c r="CY974" i="1"/>
  <c r="FA974" i="1" s="1"/>
  <c r="CY973" i="1"/>
  <c r="FA973" i="1" s="1"/>
  <c r="CY1368" i="1"/>
  <c r="FA1368" i="1" s="1"/>
  <c r="CY544" i="1"/>
  <c r="FA544" i="1" s="1"/>
  <c r="CY970" i="1"/>
  <c r="FA970" i="1" s="1"/>
  <c r="CY1409" i="1"/>
  <c r="FA1409" i="1" s="1"/>
  <c r="CY899" i="1"/>
  <c r="FA899" i="1" s="1"/>
  <c r="CY1463" i="1"/>
  <c r="FA1463" i="1" s="1"/>
  <c r="CY1385" i="1"/>
  <c r="FA1385" i="1" s="1"/>
  <c r="CY1152" i="1"/>
  <c r="FA1152" i="1" s="1"/>
  <c r="CY1462" i="1"/>
  <c r="FA1462" i="1" s="1"/>
  <c r="CY888" i="1"/>
  <c r="FA888" i="1" s="1"/>
  <c r="CY763" i="1"/>
  <c r="FA763" i="1" s="1"/>
  <c r="CY1097" i="1"/>
  <c r="FA1097" i="1" s="1"/>
  <c r="CY968" i="1"/>
  <c r="FA968" i="1" s="1"/>
  <c r="CY625" i="1"/>
  <c r="FA625" i="1" s="1"/>
  <c r="CY1099" i="1"/>
  <c r="FA1099" i="1" s="1"/>
  <c r="CY757" i="1"/>
  <c r="FA757" i="1" s="1"/>
  <c r="CY581" i="1"/>
  <c r="FA581" i="1" s="1"/>
  <c r="CY1094" i="1"/>
  <c r="FA1094" i="1" s="1"/>
  <c r="CY761" i="1"/>
  <c r="FA761" i="1" s="1"/>
  <c r="CY1486" i="1"/>
  <c r="FA1486" i="1" s="1"/>
  <c r="CY1104" i="1"/>
  <c r="FA1104" i="1" s="1"/>
  <c r="CY547" i="1"/>
  <c r="FA547" i="1" s="1"/>
  <c r="CY558" i="1"/>
  <c r="FA558" i="1" s="1"/>
  <c r="CY972" i="1"/>
  <c r="FA972" i="1" s="1"/>
  <c r="CY1489" i="1"/>
  <c r="FA1489" i="1" s="1"/>
  <c r="CY1193" i="1"/>
  <c r="FA1193" i="1" s="1"/>
  <c r="CY578" i="1"/>
  <c r="FA578" i="1" s="1"/>
  <c r="CY765" i="1"/>
  <c r="FA765" i="1" s="1"/>
  <c r="CY580" i="1"/>
  <c r="FA580" i="1" s="1"/>
  <c r="CY1371" i="1"/>
  <c r="FA1371" i="1" s="1"/>
  <c r="CY759" i="1"/>
  <c r="FA759" i="1" s="1"/>
  <c r="CY1490" i="1"/>
  <c r="FA1490" i="1" s="1"/>
  <c r="CY1340" i="1"/>
  <c r="FA1340" i="1" s="1"/>
  <c r="CY971" i="1"/>
  <c r="FA971" i="1" s="1"/>
  <c r="CY538" i="1"/>
  <c r="FA538" i="1" s="1"/>
  <c r="CY978" i="1"/>
  <c r="FA978" i="1" s="1"/>
  <c r="CY550" i="1"/>
  <c r="FA550" i="1" s="1"/>
  <c r="CY1376" i="1"/>
  <c r="FA1376" i="1" s="1"/>
  <c r="CY1196" i="1"/>
  <c r="FA1196" i="1" s="1"/>
  <c r="CY1192" i="1"/>
  <c r="FA1192" i="1" s="1"/>
  <c r="CY1195" i="1"/>
  <c r="FA1195" i="1" s="1"/>
  <c r="CY1493" i="1"/>
  <c r="FA1493" i="1" s="1"/>
  <c r="CY1096" i="1"/>
  <c r="FA1096" i="1" s="1"/>
  <c r="CY560" i="1"/>
  <c r="FA560" i="1" s="1"/>
  <c r="CY949" i="1"/>
  <c r="FA949" i="1" s="1"/>
  <c r="CY952" i="1"/>
  <c r="FA952" i="1" s="1"/>
  <c r="CY1384" i="1"/>
  <c r="FA1384" i="1" s="1"/>
  <c r="CY1093" i="1"/>
  <c r="FA1093" i="1" s="1"/>
  <c r="CY967" i="1"/>
  <c r="FA967" i="1" s="1"/>
  <c r="CY1411" i="1"/>
  <c r="FA1411" i="1" s="1"/>
  <c r="CY959" i="1"/>
  <c r="FA959" i="1" s="1"/>
  <c r="CY1194" i="1"/>
  <c r="FA1194" i="1" s="1"/>
  <c r="CY1378" i="1"/>
  <c r="FA1378" i="1" s="1"/>
  <c r="CY766" i="1"/>
  <c r="FA766" i="1" s="1"/>
  <c r="CY1150" i="1"/>
  <c r="FA1150" i="1" s="1"/>
  <c r="CY1153" i="1"/>
  <c r="FA1153" i="1" s="1"/>
  <c r="CY1454" i="1"/>
  <c r="FA1454" i="1" s="1"/>
  <c r="CY1453" i="1"/>
  <c r="FA1453" i="1" s="1"/>
  <c r="CY620" i="1"/>
  <c r="FA620" i="1" s="1"/>
  <c r="CY1423" i="1"/>
  <c r="FA1423" i="1" s="1"/>
  <c r="CY1190" i="1"/>
  <c r="FA1190" i="1" s="1"/>
  <c r="CY1369" i="1"/>
  <c r="FA1369" i="1" s="1"/>
  <c r="CY1189" i="1"/>
  <c r="FA1189" i="1" s="1"/>
  <c r="CY1452" i="1"/>
  <c r="FA1452" i="1" s="1"/>
  <c r="CY1386" i="1"/>
  <c r="FA1386" i="1" s="1"/>
  <c r="CY1424" i="1"/>
  <c r="FA1424" i="1" s="1"/>
  <c r="CY1103" i="1"/>
  <c r="FA1103" i="1" s="1"/>
  <c r="CY956" i="1"/>
  <c r="FA956" i="1" s="1"/>
  <c r="CY976" i="1"/>
  <c r="FA976" i="1" s="1"/>
  <c r="CY969" i="1"/>
  <c r="FA969" i="1" s="1"/>
  <c r="CY539" i="1"/>
  <c r="FA539" i="1" s="1"/>
  <c r="CY1338" i="1"/>
  <c r="FA1338" i="1" s="1"/>
  <c r="CY1098" i="1"/>
  <c r="FA1098" i="1" s="1"/>
  <c r="CY1151" i="1"/>
  <c r="FA1151" i="1" s="1"/>
  <c r="CY1101" i="1"/>
  <c r="FA1101" i="1" s="1"/>
  <c r="CY1402" i="1"/>
  <c r="FA1402" i="1" s="1"/>
  <c r="CY1374" i="1"/>
  <c r="FA1374" i="1" s="1"/>
  <c r="CY1381" i="1"/>
  <c r="FA1381" i="1" s="1"/>
  <c r="CY1198" i="1"/>
  <c r="FA1198" i="1" s="1"/>
  <c r="CY886" i="1"/>
  <c r="FA886" i="1" s="1"/>
  <c r="CY1461" i="1"/>
  <c r="FA1461" i="1" s="1"/>
  <c r="CY621" i="1"/>
  <c r="FA621" i="1" s="1"/>
  <c r="CY769" i="1"/>
  <c r="FA769" i="1" s="1"/>
  <c r="CY962" i="1"/>
  <c r="FA962" i="1" s="1"/>
  <c r="CY607" i="1"/>
  <c r="FA607" i="1" s="1"/>
  <c r="CY1372" i="1"/>
  <c r="FA1372" i="1" s="1"/>
  <c r="CY1470" i="1"/>
  <c r="FA1470" i="1" s="1"/>
  <c r="CY624" i="1"/>
  <c r="FA624" i="1" s="1"/>
  <c r="CY543" i="1"/>
  <c r="FA543" i="1" s="1"/>
  <c r="CY1341" i="1"/>
  <c r="FA1341" i="1" s="1"/>
  <c r="CY540" i="1"/>
  <c r="FA540" i="1" s="1"/>
  <c r="CY767" i="1"/>
  <c r="FA767" i="1" s="1"/>
  <c r="CY953" i="1"/>
  <c r="FA953" i="1" s="1"/>
  <c r="CY1337" i="1"/>
  <c r="FA1337" i="1" s="1"/>
  <c r="CY887" i="1"/>
  <c r="FA887" i="1" s="1"/>
  <c r="CY1373" i="1"/>
  <c r="FA1373" i="1" s="1"/>
  <c r="CY1422" i="1"/>
  <c r="FA1422" i="1" s="1"/>
  <c r="CY1191" i="1"/>
  <c r="FA1191" i="1" s="1"/>
  <c r="CY1460" i="1"/>
  <c r="FA1460" i="1" s="1"/>
  <c r="CY764" i="1"/>
  <c r="FA764" i="1" s="1"/>
  <c r="CY1100" i="1"/>
  <c r="FA1100" i="1" s="1"/>
  <c r="CY1457" i="1"/>
  <c r="FA1457" i="1" s="1"/>
  <c r="CY1391" i="1"/>
  <c r="FA1391" i="1" s="1"/>
  <c r="CY1377" i="1"/>
  <c r="FA1377" i="1" s="1"/>
  <c r="CY622" i="1"/>
  <c r="FA622" i="1" s="1"/>
  <c r="CY1471" i="1"/>
  <c r="FA1471" i="1" s="1"/>
  <c r="CY1491" i="1"/>
  <c r="FA1491" i="1" s="1"/>
  <c r="CY1456" i="1"/>
  <c r="FA1456" i="1" s="1"/>
  <c r="CY950" i="1"/>
  <c r="FA950" i="1" s="1"/>
  <c r="CY1401" i="1"/>
  <c r="FA1401" i="1" s="1"/>
  <c r="CY1488" i="1"/>
  <c r="FA1488" i="1" s="1"/>
  <c r="CY1458" i="1"/>
  <c r="FA1458" i="1" s="1"/>
  <c r="CY762" i="1"/>
  <c r="FA762" i="1" s="1"/>
  <c r="CY1389" i="1"/>
  <c r="FA1389" i="1" s="1"/>
  <c r="CY1412" i="1"/>
  <c r="FA1412" i="1" s="1"/>
  <c r="CY1459" i="1"/>
  <c r="FA1459" i="1" s="1"/>
  <c r="CY977" i="1"/>
  <c r="FA977" i="1" s="1"/>
  <c r="CY951" i="1"/>
  <c r="FA951" i="1" s="1"/>
  <c r="CY577" i="1"/>
  <c r="FA577" i="1" s="1"/>
  <c r="CY768" i="1"/>
  <c r="FA768" i="1" s="1"/>
  <c r="CY576" i="1"/>
  <c r="FA576" i="1" s="1"/>
  <c r="CY948" i="1"/>
  <c r="FA948" i="1" s="1"/>
  <c r="CY1410" i="1"/>
  <c r="FA1410" i="1" s="1"/>
  <c r="CY1464" i="1"/>
  <c r="FA1464" i="1" s="1"/>
  <c r="CY1465" i="1"/>
  <c r="FA1465" i="1" s="1"/>
  <c r="CY1102" i="1"/>
  <c r="FA1102" i="1" s="1"/>
  <c r="CY559" i="1"/>
  <c r="FA559" i="1" s="1"/>
  <c r="CX1409" i="1"/>
  <c r="CZ1409" i="1"/>
  <c r="CX620" i="1"/>
  <c r="CZ620" i="1"/>
  <c r="CX1466" i="1"/>
  <c r="CZ1466" i="1"/>
  <c r="CX1368" i="1"/>
  <c r="CZ1368" i="1"/>
  <c r="CZ761" i="1"/>
  <c r="CX761" i="1"/>
  <c r="CX1414" i="1"/>
  <c r="CZ1414" i="1"/>
  <c r="CX1453" i="1"/>
  <c r="CZ1453" i="1"/>
  <c r="CX1423" i="1"/>
  <c r="CZ1423" i="1"/>
  <c r="CX1189" i="1"/>
  <c r="CZ1189" i="1"/>
  <c r="CX1386" i="1"/>
  <c r="CZ1386" i="1"/>
  <c r="CX1103" i="1"/>
  <c r="CZ1103" i="1"/>
  <c r="CX969" i="1"/>
  <c r="CZ969" i="1"/>
  <c r="CX1486" i="1"/>
  <c r="CZ1486" i="1"/>
  <c r="CX885" i="1"/>
  <c r="CZ885" i="1"/>
  <c r="CX974" i="1"/>
  <c r="CZ974" i="1"/>
  <c r="CX956" i="1"/>
  <c r="CZ956" i="1"/>
  <c r="CX539" i="1"/>
  <c r="CZ539" i="1"/>
  <c r="CX1101" i="1"/>
  <c r="CZ1101" i="1"/>
  <c r="CZ1455" i="1"/>
  <c r="CX1455" i="1"/>
  <c r="CZ1413" i="1"/>
  <c r="CX1413" i="1"/>
  <c r="CX759" i="1"/>
  <c r="CZ759" i="1"/>
  <c r="CX1461" i="1"/>
  <c r="CZ1461" i="1"/>
  <c r="CX1467" i="1"/>
  <c r="CZ1467" i="1"/>
  <c r="CX1340" i="1"/>
  <c r="CZ1340" i="1"/>
  <c r="CX971" i="1"/>
  <c r="CZ971" i="1"/>
  <c r="CX607" i="1"/>
  <c r="CZ607" i="1"/>
  <c r="CX1370" i="1"/>
  <c r="CZ1370" i="1"/>
  <c r="CX1187" i="1"/>
  <c r="CZ1187" i="1"/>
  <c r="CX1196" i="1"/>
  <c r="CZ1196" i="1"/>
  <c r="CX1192" i="1"/>
  <c r="CZ1192" i="1"/>
  <c r="CX1463" i="1"/>
  <c r="CZ1463" i="1"/>
  <c r="CX1195" i="1"/>
  <c r="CZ1195" i="1"/>
  <c r="CX1493" i="1"/>
  <c r="CZ1493" i="1"/>
  <c r="CX1372" i="1"/>
  <c r="CZ1372" i="1"/>
  <c r="CX1468" i="1"/>
  <c r="CZ1468" i="1"/>
  <c r="CZ1470" i="1"/>
  <c r="CX1470" i="1"/>
  <c r="CZ624" i="1"/>
  <c r="CX624" i="1"/>
  <c r="CX975" i="1"/>
  <c r="CZ975" i="1"/>
  <c r="CX1096" i="1"/>
  <c r="CZ1096" i="1"/>
  <c r="CZ567" i="1"/>
  <c r="CX567" i="1"/>
  <c r="CX543" i="1"/>
  <c r="CZ543" i="1"/>
  <c r="CX1341" i="1"/>
  <c r="CZ1341" i="1"/>
  <c r="CX560" i="1"/>
  <c r="CZ560" i="1"/>
  <c r="CX540" i="1"/>
  <c r="CZ540" i="1"/>
  <c r="CX767" i="1"/>
  <c r="CZ767" i="1"/>
  <c r="CX949" i="1"/>
  <c r="CZ949" i="1"/>
  <c r="CX953" i="1"/>
  <c r="CZ953" i="1"/>
  <c r="CX1337" i="1"/>
  <c r="CZ1337" i="1"/>
  <c r="CX887" i="1"/>
  <c r="CZ887" i="1"/>
  <c r="CX1373" i="1"/>
  <c r="CZ1373" i="1"/>
  <c r="CX952" i="1"/>
  <c r="CZ952" i="1"/>
  <c r="CX1422" i="1"/>
  <c r="CZ1422" i="1"/>
  <c r="CX1487" i="1"/>
  <c r="CZ1487" i="1"/>
  <c r="CX1376" i="1"/>
  <c r="CZ1376" i="1"/>
  <c r="CX758" i="1"/>
  <c r="CZ758" i="1"/>
  <c r="CX961" i="1"/>
  <c r="CZ961" i="1"/>
  <c r="CX1454" i="1"/>
  <c r="CZ1454" i="1"/>
  <c r="CX626" i="1"/>
  <c r="CZ626" i="1"/>
  <c r="CX970" i="1"/>
  <c r="CZ970" i="1"/>
  <c r="CX1452" i="1"/>
  <c r="CZ1452" i="1"/>
  <c r="CX976" i="1"/>
  <c r="CZ976" i="1"/>
  <c r="CX1338" i="1"/>
  <c r="CZ1338" i="1"/>
  <c r="CX973" i="1"/>
  <c r="CZ973" i="1"/>
  <c r="CX1104" i="1"/>
  <c r="CZ1104" i="1"/>
  <c r="CX1402" i="1"/>
  <c r="CZ1402" i="1"/>
  <c r="CX1374" i="1"/>
  <c r="CZ1374" i="1"/>
  <c r="CX1381" i="1"/>
  <c r="CZ1381" i="1"/>
  <c r="CX1371" i="1"/>
  <c r="CZ1371" i="1"/>
  <c r="CX1198" i="1"/>
  <c r="CZ1198" i="1"/>
  <c r="CX1490" i="1"/>
  <c r="CZ1490" i="1"/>
  <c r="CX886" i="1"/>
  <c r="CZ886" i="1"/>
  <c r="CX770" i="1"/>
  <c r="CZ770" i="1"/>
  <c r="CX621" i="1"/>
  <c r="CZ621" i="1"/>
  <c r="CX538" i="1"/>
  <c r="CZ538" i="1"/>
  <c r="CZ978" i="1"/>
  <c r="CX978" i="1"/>
  <c r="CX550" i="1"/>
  <c r="CZ550" i="1"/>
  <c r="CX769" i="1"/>
  <c r="CZ769" i="1"/>
  <c r="CX1099" i="1"/>
  <c r="CZ1099" i="1"/>
  <c r="CX962" i="1"/>
  <c r="CZ962" i="1"/>
  <c r="CX899" i="1"/>
  <c r="CZ899" i="1"/>
  <c r="CX1186" i="1"/>
  <c r="CZ1186" i="1"/>
  <c r="CX1385" i="1"/>
  <c r="CZ1385" i="1"/>
  <c r="CZ1469" i="1"/>
  <c r="CX1469" i="1"/>
  <c r="CX1191" i="1"/>
  <c r="CZ1191" i="1"/>
  <c r="CX1384" i="1"/>
  <c r="CZ1384" i="1"/>
  <c r="CX1460" i="1"/>
  <c r="CZ1460" i="1"/>
  <c r="CX623" i="1"/>
  <c r="CZ623" i="1"/>
  <c r="CX764" i="1"/>
  <c r="CZ764" i="1"/>
  <c r="CX579" i="1"/>
  <c r="CZ579" i="1"/>
  <c r="CX1100" i="1"/>
  <c r="CZ1100" i="1"/>
  <c r="CX1457" i="1"/>
  <c r="CZ1457" i="1"/>
  <c r="CZ1093" i="1"/>
  <c r="CX1093" i="1"/>
  <c r="CX967" i="1"/>
  <c r="CZ967" i="1"/>
  <c r="CX1391" i="1"/>
  <c r="CZ1391" i="1"/>
  <c r="CX1377" i="1"/>
  <c r="CZ1377" i="1"/>
  <c r="CX622" i="1"/>
  <c r="CZ622" i="1"/>
  <c r="CX1471" i="1"/>
  <c r="CZ1471" i="1"/>
  <c r="CX1411" i="1"/>
  <c r="CZ1411" i="1"/>
  <c r="CX1491" i="1"/>
  <c r="CZ1491" i="1"/>
  <c r="CX1456" i="1"/>
  <c r="CZ1456" i="1"/>
  <c r="CX959" i="1"/>
  <c r="CZ959" i="1"/>
  <c r="CX950" i="1"/>
  <c r="CZ950" i="1"/>
  <c r="CX1401" i="1"/>
  <c r="CZ1401" i="1"/>
  <c r="CX1492" i="1"/>
  <c r="CZ1492" i="1"/>
  <c r="CX1153" i="1"/>
  <c r="CZ1153" i="1"/>
  <c r="CX1197" i="1"/>
  <c r="CZ1197" i="1"/>
  <c r="CX954" i="1"/>
  <c r="CZ954" i="1"/>
  <c r="CX580" i="1"/>
  <c r="CZ580" i="1"/>
  <c r="CX561" i="1"/>
  <c r="CZ561" i="1"/>
  <c r="CX1188" i="1"/>
  <c r="CZ1188" i="1"/>
  <c r="CX1190" i="1"/>
  <c r="CZ1190" i="1"/>
  <c r="CX760" i="1"/>
  <c r="CZ760" i="1"/>
  <c r="CX1424" i="1"/>
  <c r="CZ1424" i="1"/>
  <c r="CX1098" i="1"/>
  <c r="CZ1098" i="1"/>
  <c r="CX1151" i="1"/>
  <c r="CZ1151" i="1"/>
  <c r="CX1095" i="1"/>
  <c r="CZ1095" i="1"/>
  <c r="CX547" i="1"/>
  <c r="CZ547" i="1"/>
  <c r="CX558" i="1"/>
  <c r="CZ558" i="1"/>
  <c r="CX1193" i="1"/>
  <c r="CZ1193" i="1"/>
  <c r="CX1152" i="1"/>
  <c r="CZ1152" i="1"/>
  <c r="CX1488" i="1"/>
  <c r="CZ1488" i="1"/>
  <c r="CX1462" i="1"/>
  <c r="CZ1462" i="1"/>
  <c r="CX888" i="1"/>
  <c r="CZ888" i="1"/>
  <c r="CX763" i="1"/>
  <c r="CZ763" i="1"/>
  <c r="CX1458" i="1"/>
  <c r="CZ1458" i="1"/>
  <c r="CX762" i="1"/>
  <c r="CZ762" i="1"/>
  <c r="CX1389" i="1"/>
  <c r="CZ1389" i="1"/>
  <c r="CX1412" i="1"/>
  <c r="CZ1412" i="1"/>
  <c r="CX1097" i="1"/>
  <c r="CZ1097" i="1"/>
  <c r="CX1459" i="1"/>
  <c r="CZ1459" i="1"/>
  <c r="CX977" i="1"/>
  <c r="CZ977" i="1"/>
  <c r="CX951" i="1"/>
  <c r="CZ951" i="1"/>
  <c r="CX577" i="1"/>
  <c r="CZ577" i="1"/>
  <c r="CX768" i="1"/>
  <c r="CZ768" i="1"/>
  <c r="CX968" i="1"/>
  <c r="CZ968" i="1"/>
  <c r="CX625" i="1"/>
  <c r="CZ625" i="1"/>
  <c r="CX1375" i="1"/>
  <c r="CZ1375" i="1"/>
  <c r="CX576" i="1"/>
  <c r="CZ576" i="1"/>
  <c r="CX948" i="1"/>
  <c r="CZ948" i="1"/>
  <c r="CX1410" i="1"/>
  <c r="CZ1410" i="1"/>
  <c r="CX544" i="1"/>
  <c r="CZ544" i="1"/>
  <c r="CX1369" i="1"/>
  <c r="CZ1369" i="1"/>
  <c r="CX955" i="1"/>
  <c r="CZ955" i="1"/>
  <c r="CX972" i="1"/>
  <c r="CZ972" i="1"/>
  <c r="CX1489" i="1"/>
  <c r="CZ1489" i="1"/>
  <c r="CX578" i="1"/>
  <c r="CZ578" i="1"/>
  <c r="CX765" i="1"/>
  <c r="CZ765" i="1"/>
  <c r="CX1194" i="1"/>
  <c r="CZ1194" i="1"/>
  <c r="CX1378" i="1"/>
  <c r="CZ1378" i="1"/>
  <c r="CX1464" i="1"/>
  <c r="CZ1464" i="1"/>
  <c r="CX766" i="1"/>
  <c r="CZ766" i="1"/>
  <c r="CX1465" i="1"/>
  <c r="CZ1465" i="1"/>
  <c r="CZ1150" i="1"/>
  <c r="CX1150" i="1"/>
  <c r="CX757" i="1"/>
  <c r="CZ757" i="1"/>
  <c r="CX1102" i="1"/>
  <c r="CZ1102" i="1"/>
  <c r="CX581" i="1"/>
  <c r="CZ581" i="1"/>
  <c r="CX1094" i="1"/>
  <c r="CZ1094" i="1"/>
  <c r="CX559" i="1"/>
  <c r="CZ559" i="1"/>
  <c r="CS682" i="1"/>
  <c r="CT682" i="1" s="1"/>
  <c r="CV1427" i="1"/>
  <c r="CU1427" i="1"/>
  <c r="DA1152" i="1"/>
  <c r="CV1580" i="1"/>
  <c r="DA1580" i="1" s="1"/>
  <c r="EY958" i="1"/>
  <c r="CS1578" i="1"/>
  <c r="CT1578" i="1" s="1"/>
  <c r="CA1578" i="1"/>
  <c r="EY1578" i="1" s="1"/>
  <c r="CW1580" i="1"/>
  <c r="DA1462" i="1"/>
  <c r="CV907" i="1"/>
  <c r="CR546" i="1"/>
  <c r="CW907" i="1"/>
  <c r="CY907" i="1" s="1"/>
  <c r="FA907" i="1" s="1"/>
  <c r="CS690" i="1"/>
  <c r="CX690" i="1" s="1"/>
  <c r="CW1575" i="1"/>
  <c r="CY1575" i="1" s="1"/>
  <c r="FA1575" i="1" s="1"/>
  <c r="CW554" i="1"/>
  <c r="CU1415" i="1"/>
  <c r="CS1415" i="1"/>
  <c r="CT1415" i="1" s="1"/>
  <c r="CS910" i="1"/>
  <c r="CT910" i="1" s="1"/>
  <c r="DA906" i="1"/>
  <c r="CS1584" i="1"/>
  <c r="CT1584" i="1" s="1"/>
  <c r="CV1586" i="1"/>
  <c r="DA1586" i="1" s="1"/>
  <c r="CS556" i="1"/>
  <c r="CT556" i="1" s="1"/>
  <c r="CS911" i="1"/>
  <c r="CX911" i="1" s="1"/>
  <c r="CS546" i="1"/>
  <c r="CT546" i="1" s="1"/>
  <c r="DA577" i="1"/>
  <c r="CR554" i="1"/>
  <c r="CV1584" i="1"/>
  <c r="DA1584" i="1" s="1"/>
  <c r="CS1426" i="1"/>
  <c r="CT1426" i="1" s="1"/>
  <c r="CQ907" i="1"/>
  <c r="CV1426" i="1"/>
  <c r="DA1426" i="1" s="1"/>
  <c r="CR907" i="1"/>
  <c r="CW1426" i="1"/>
  <c r="CU907" i="1"/>
  <c r="CW1584" i="1"/>
  <c r="CA607" i="1"/>
  <c r="EY607" i="1" s="1"/>
  <c r="CW569" i="1"/>
  <c r="CA1402" i="1"/>
  <c r="EY1402" i="1" s="1"/>
  <c r="CS1427" i="1"/>
  <c r="CX1427" i="1" s="1"/>
  <c r="CR692" i="1"/>
  <c r="CA1584" i="1"/>
  <c r="EY1584" i="1" s="1"/>
  <c r="CV552" i="1"/>
  <c r="CV569" i="1"/>
  <c r="CS958" i="1"/>
  <c r="CT958" i="1" s="1"/>
  <c r="CW692" i="1"/>
  <c r="CS912" i="1"/>
  <c r="CX912" i="1" s="1"/>
  <c r="CV958" i="1"/>
  <c r="DA958" i="1" s="1"/>
  <c r="CS692" i="1"/>
  <c r="CT692" i="1" s="1"/>
  <c r="CA1280" i="1"/>
  <c r="EY1280" i="1" s="1"/>
  <c r="CW552" i="1"/>
  <c r="CW575" i="1"/>
  <c r="CS569" i="1"/>
  <c r="CT569" i="1" s="1"/>
  <c r="CR569" i="1"/>
  <c r="CR958" i="1"/>
  <c r="CQ575" i="1"/>
  <c r="CU552" i="1"/>
  <c r="CQ958" i="1"/>
  <c r="CQ692" i="1"/>
  <c r="CA1580" i="1"/>
  <c r="EY1580" i="1" s="1"/>
  <c r="CR552" i="1"/>
  <c r="CU569" i="1"/>
  <c r="CU692" i="1"/>
  <c r="DA692" i="1" s="1"/>
  <c r="CU565" i="1"/>
  <c r="DA580" i="1"/>
  <c r="CA1431" i="1"/>
  <c r="EY1431" i="1" s="1"/>
  <c r="CV910" i="1"/>
  <c r="CS554" i="1"/>
  <c r="CT554" i="1" s="1"/>
  <c r="CA1281" i="1"/>
  <c r="EY1281" i="1" s="1"/>
  <c r="DA1095" i="1"/>
  <c r="CW958" i="1"/>
  <c r="CQ573" i="1"/>
  <c r="EY1575" i="1"/>
  <c r="CR573" i="1"/>
  <c r="CS573" i="1"/>
  <c r="CT573" i="1" s="1"/>
  <c r="CV555" i="1"/>
  <c r="CU549" i="1"/>
  <c r="DA1575" i="1"/>
  <c r="CW549" i="1"/>
  <c r="CY549" i="1" s="1"/>
  <c r="FA549" i="1" s="1"/>
  <c r="CS1585" i="1"/>
  <c r="CT1585" i="1" s="1"/>
  <c r="CU555" i="1"/>
  <c r="CU1585" i="1"/>
  <c r="CV1585" i="1"/>
  <c r="CV554" i="1"/>
  <c r="CW555" i="1"/>
  <c r="CS542" i="1"/>
  <c r="CX542" i="1" s="1"/>
  <c r="CU1578" i="1"/>
  <c r="EY959" i="1"/>
  <c r="CU910" i="1"/>
  <c r="CS909" i="1"/>
  <c r="CX909" i="1" s="1"/>
  <c r="CV905" i="1"/>
  <c r="CQ556" i="1"/>
  <c r="CV566" i="1"/>
  <c r="DA566" i="1" s="1"/>
  <c r="CA550" i="1"/>
  <c r="EY550" i="1" s="1"/>
  <c r="CS552" i="1"/>
  <c r="CT552" i="1" s="1"/>
  <c r="CV546" i="1"/>
  <c r="DA546" i="1" s="1"/>
  <c r="CS1586" i="1"/>
  <c r="CT1586" i="1" s="1"/>
  <c r="CQ549" i="1"/>
  <c r="CW1578" i="1"/>
  <c r="CV556" i="1"/>
  <c r="CU554" i="1"/>
  <c r="CV564" i="1"/>
  <c r="DA564" i="1" s="1"/>
  <c r="CW905" i="1"/>
  <c r="CY905" i="1" s="1"/>
  <c r="FA905" i="1" s="1"/>
  <c r="CQ546" i="1"/>
  <c r="CW546" i="1"/>
  <c r="CV1578" i="1"/>
  <c r="CW556" i="1"/>
  <c r="CA961" i="1"/>
  <c r="EY961" i="1" s="1"/>
  <c r="CR910" i="1"/>
  <c r="CR905" i="1"/>
  <c r="CS555" i="1"/>
  <c r="CT555" i="1" s="1"/>
  <c r="CR555" i="1"/>
  <c r="CQ905" i="1"/>
  <c r="CU905" i="1"/>
  <c r="CA960" i="1"/>
  <c r="EY960" i="1" s="1"/>
  <c r="CS548" i="1"/>
  <c r="CX548" i="1" s="1"/>
  <c r="CW910" i="1"/>
  <c r="CW904" i="1"/>
  <c r="CW573" i="1"/>
  <c r="CU556" i="1"/>
  <c r="CU573" i="1"/>
  <c r="DA573" i="1" s="1"/>
  <c r="DA1466" i="1"/>
  <c r="CV565" i="1"/>
  <c r="CW565" i="1"/>
  <c r="CR565" i="1"/>
  <c r="CS565" i="1"/>
  <c r="CT565" i="1" s="1"/>
  <c r="CA1586" i="1"/>
  <c r="EY1586" i="1" s="1"/>
  <c r="CS575" i="1"/>
  <c r="CT575" i="1" s="1"/>
  <c r="CU575" i="1"/>
  <c r="DA575" i="1" s="1"/>
  <c r="CR575" i="1"/>
  <c r="CW1339" i="1"/>
  <c r="CR1339" i="1"/>
  <c r="CR549" i="1"/>
  <c r="DA1196" i="1"/>
  <c r="CV549" i="1"/>
  <c r="CS908" i="1"/>
  <c r="CX908" i="1" s="1"/>
  <c r="CQ566" i="1"/>
  <c r="CR564" i="1"/>
  <c r="DA1345" i="1"/>
  <c r="CW564" i="1"/>
  <c r="CR566" i="1"/>
  <c r="CS564" i="1"/>
  <c r="CT564" i="1" s="1"/>
  <c r="CW566" i="1"/>
  <c r="CQ564" i="1"/>
  <c r="CA1401" i="1"/>
  <c r="EY1401" i="1" s="1"/>
  <c r="CS566" i="1"/>
  <c r="CT566" i="1" s="1"/>
  <c r="CA713" i="1"/>
  <c r="EY713" i="1" s="1"/>
  <c r="CS904" i="1"/>
  <c r="CT904" i="1" s="1"/>
  <c r="CU904" i="1"/>
  <c r="DA904" i="1" s="1"/>
  <c r="CS713" i="1"/>
  <c r="CT713" i="1" s="1"/>
  <c r="CV713" i="1"/>
  <c r="DA713" i="1" s="1"/>
  <c r="CS906" i="1"/>
  <c r="CX906" i="1" s="1"/>
  <c r="CU1416" i="1"/>
  <c r="DA1337" i="1"/>
  <c r="DA973" i="1"/>
  <c r="DA558" i="1"/>
  <c r="CW686" i="1"/>
  <c r="CS686" i="1"/>
  <c r="CT686" i="1" s="1"/>
  <c r="CA682" i="1"/>
  <c r="EY682" i="1" s="1"/>
  <c r="CR1146" i="1"/>
  <c r="CU1146" i="1"/>
  <c r="DA1146" i="1" s="1"/>
  <c r="DA970" i="1"/>
  <c r="DA977" i="1"/>
  <c r="CV1416" i="1"/>
  <c r="CQ562" i="1"/>
  <c r="CU557" i="1"/>
  <c r="CR562" i="1"/>
  <c r="CQ557" i="1"/>
  <c r="CR557" i="1"/>
  <c r="CW562" i="1"/>
  <c r="CY562" i="1" s="1"/>
  <c r="FA562" i="1" s="1"/>
  <c r="DA607" i="1"/>
  <c r="DA581" i="1"/>
  <c r="CQ686" i="1"/>
  <c r="CW557" i="1"/>
  <c r="CY557" i="1" s="1"/>
  <c r="FA557" i="1" s="1"/>
  <c r="CV557" i="1"/>
  <c r="CU562" i="1"/>
  <c r="CV562" i="1"/>
  <c r="CW772" i="1"/>
  <c r="CR686" i="1"/>
  <c r="DA962" i="1"/>
  <c r="DA579" i="1"/>
  <c r="CS772" i="1"/>
  <c r="CT772" i="1" s="1"/>
  <c r="CU772" i="1"/>
  <c r="CQ688" i="1"/>
  <c r="CR688" i="1"/>
  <c r="CA1344" i="1"/>
  <c r="EY1344" i="1" s="1"/>
  <c r="CV688" i="1"/>
  <c r="CS1406" i="1"/>
  <c r="CX1406" i="1" s="1"/>
  <c r="CU686" i="1"/>
  <c r="DA686" i="1" s="1"/>
  <c r="CW1586" i="1"/>
  <c r="CS1583" i="1"/>
  <c r="CT1583" i="1" s="1"/>
  <c r="DA948" i="1"/>
  <c r="CV772" i="1"/>
  <c r="CU1583" i="1"/>
  <c r="DA1583" i="1" s="1"/>
  <c r="CR772" i="1"/>
  <c r="CU688" i="1"/>
  <c r="CS1339" i="1"/>
  <c r="CT1339" i="1" s="1"/>
  <c r="CW1583" i="1"/>
  <c r="CW688" i="1"/>
  <c r="CY688" i="1" s="1"/>
  <c r="FA688" i="1" s="1"/>
  <c r="CQ1339" i="1"/>
  <c r="CS1407" i="1"/>
  <c r="CT1407" i="1" s="1"/>
  <c r="CQ1146" i="1"/>
  <c r="DA1380" i="1"/>
  <c r="CU1383" i="1"/>
  <c r="CS1383" i="1"/>
  <c r="CX1383" i="1" s="1"/>
  <c r="CV1383" i="1"/>
  <c r="CW1146" i="1"/>
  <c r="DA1338" i="1"/>
  <c r="DA1423" i="1"/>
  <c r="DA1391" i="1"/>
  <c r="DA885" i="1"/>
  <c r="DA1094" i="1"/>
  <c r="DA762" i="1"/>
  <c r="DA1093" i="1"/>
  <c r="DA1186" i="1"/>
  <c r="DA1151" i="1"/>
  <c r="DA961" i="1"/>
  <c r="DA1099" i="1"/>
  <c r="DA1096" i="1"/>
  <c r="CW1572" i="1"/>
  <c r="CY1572" i="1" s="1"/>
  <c r="FA1572" i="1" s="1"/>
  <c r="DA1467" i="1"/>
  <c r="DA1492" i="1"/>
  <c r="DA1192" i="1"/>
  <c r="DA682" i="1"/>
  <c r="CW1415" i="1"/>
  <c r="CU1408" i="1"/>
  <c r="DA1408" i="1" s="1"/>
  <c r="CS1408" i="1"/>
  <c r="CT1408" i="1" s="1"/>
  <c r="DA1410" i="1"/>
  <c r="CV1407" i="1"/>
  <c r="DA1407" i="1" s="1"/>
  <c r="DA1150" i="1"/>
  <c r="DA1384" i="1"/>
  <c r="DA975" i="1"/>
  <c r="CS1580" i="1"/>
  <c r="CT1580" i="1" s="1"/>
  <c r="CW1407" i="1"/>
  <c r="DA1572" i="1"/>
  <c r="CS553" i="1"/>
  <c r="CX553" i="1" s="1"/>
  <c r="DA1098" i="1"/>
  <c r="DA624" i="1"/>
  <c r="CW682" i="1"/>
  <c r="CW1416" i="1"/>
  <c r="CY1416" i="1" s="1"/>
  <c r="FA1416" i="1" s="1"/>
  <c r="CS1146" i="1"/>
  <c r="CT1146" i="1" s="1"/>
  <c r="CW1408" i="1"/>
  <c r="CV1339" i="1"/>
  <c r="DA1339" i="1" s="1"/>
  <c r="DA1402" i="1"/>
  <c r="CV1415" i="1"/>
  <c r="DA550" i="1"/>
  <c r="DA1102" i="1"/>
  <c r="DA1101" i="1"/>
  <c r="DA1188" i="1"/>
  <c r="DA690" i="1"/>
  <c r="DA1469" i="1"/>
  <c r="CV1420" i="1"/>
  <c r="DA1420" i="1" s="1"/>
  <c r="DA767" i="1"/>
  <c r="DA950" i="1"/>
  <c r="CW1420" i="1"/>
  <c r="CY1420" i="1" s="1"/>
  <c r="FA1420" i="1" s="1"/>
  <c r="DA764" i="1"/>
  <c r="DA908" i="1"/>
  <c r="DA560" i="1"/>
  <c r="CS1405" i="1"/>
  <c r="CX1405" i="1" s="1"/>
  <c r="EY1572" i="1"/>
  <c r="DA956" i="1"/>
  <c r="DA547" i="1"/>
  <c r="DA1341" i="1"/>
  <c r="CW713" i="1"/>
  <c r="DA1573" i="1"/>
  <c r="DA971" i="1"/>
  <c r="DA1455" i="1"/>
  <c r="DA1191" i="1"/>
  <c r="DA969" i="1"/>
  <c r="DA621" i="1"/>
  <c r="DA912" i="1"/>
  <c r="DA1489" i="1"/>
  <c r="DA538" i="1"/>
  <c r="CS1380" i="1"/>
  <c r="CX1380" i="1" s="1"/>
  <c r="DA1193" i="1"/>
  <c r="DA886" i="1"/>
  <c r="DA1197" i="1"/>
  <c r="CA613" i="1"/>
  <c r="EY613" i="1" s="1"/>
  <c r="DA1195" i="1"/>
  <c r="DA951" i="1"/>
  <c r="DA1381" i="1"/>
  <c r="DA899" i="1"/>
  <c r="DA1487" i="1"/>
  <c r="DA1486" i="1"/>
  <c r="CW1344" i="1"/>
  <c r="CY1344" i="1" s="1"/>
  <c r="FA1344" i="1" s="1"/>
  <c r="DA1459" i="1"/>
  <c r="DA1574" i="1"/>
  <c r="CS545" i="1"/>
  <c r="CX545" i="1" s="1"/>
  <c r="DA1422" i="1"/>
  <c r="DA1103" i="1"/>
  <c r="DA1493" i="1"/>
  <c r="DA1187" i="1"/>
  <c r="DA1369" i="1"/>
  <c r="DA1488" i="1"/>
  <c r="DA1376" i="1"/>
  <c r="CQ1147" i="1"/>
  <c r="CS1147" i="1"/>
  <c r="CT1147" i="1" s="1"/>
  <c r="CR1147" i="1"/>
  <c r="CW1147" i="1"/>
  <c r="CV1147" i="1"/>
  <c r="CU1147" i="1"/>
  <c r="DA1344" i="1"/>
  <c r="DA625" i="1"/>
  <c r="CU1419" i="1"/>
  <c r="CW1419" i="1"/>
  <c r="CV1419" i="1"/>
  <c r="CS1419" i="1"/>
  <c r="CT1419" i="1" s="1"/>
  <c r="DA1405" i="1"/>
  <c r="CV613" i="1"/>
  <c r="CS613" i="1"/>
  <c r="CT613" i="1" s="1"/>
  <c r="CU613" i="1"/>
  <c r="CW613" i="1"/>
  <c r="CV572" i="1"/>
  <c r="CW572" i="1"/>
  <c r="CU572" i="1"/>
  <c r="CR572" i="1"/>
  <c r="CS572" i="1"/>
  <c r="CT572" i="1" s="1"/>
  <c r="CQ572" i="1"/>
  <c r="CW1573" i="1"/>
  <c r="CY1573" i="1" s="1"/>
  <c r="FA1573" i="1" s="1"/>
  <c r="DA539" i="1"/>
  <c r="CR900" i="1"/>
  <c r="CQ900" i="1"/>
  <c r="CV900" i="1"/>
  <c r="CU900" i="1"/>
  <c r="CS900" i="1"/>
  <c r="CT900" i="1" s="1"/>
  <c r="CW900" i="1"/>
  <c r="CS1382" i="1"/>
  <c r="CT1382" i="1" s="1"/>
  <c r="CW1382" i="1"/>
  <c r="CV1382" i="1"/>
  <c r="CU1382" i="1"/>
  <c r="CW1345" i="1"/>
  <c r="CY1345" i="1" s="1"/>
  <c r="FA1345" i="1" s="1"/>
  <c r="CA1345" i="1"/>
  <c r="EY1345" i="1" s="1"/>
  <c r="DA1458" i="1"/>
  <c r="CW1417" i="1"/>
  <c r="CV1417" i="1"/>
  <c r="CU1417" i="1"/>
  <c r="CS1417" i="1"/>
  <c r="CT1417" i="1" s="1"/>
  <c r="DA1401" i="1"/>
  <c r="CS570" i="1"/>
  <c r="CT570" i="1" s="1"/>
  <c r="CW570" i="1"/>
  <c r="CV570" i="1"/>
  <c r="CU570" i="1"/>
  <c r="CQ570" i="1"/>
  <c r="CR570" i="1"/>
  <c r="DA544" i="1"/>
  <c r="CA544" i="1"/>
  <c r="EY544" i="1" s="1"/>
  <c r="CS1418" i="1"/>
  <c r="CT1418" i="1" s="1"/>
  <c r="CU1418" i="1"/>
  <c r="CW1418" i="1"/>
  <c r="CV1418" i="1"/>
  <c r="CR771" i="1"/>
  <c r="CQ771" i="1"/>
  <c r="CW771" i="1"/>
  <c r="CU771" i="1"/>
  <c r="CS771" i="1"/>
  <c r="CT771" i="1" s="1"/>
  <c r="CV771" i="1"/>
  <c r="DA1198" i="1"/>
  <c r="DA1452" i="1"/>
  <c r="DA887" i="1"/>
  <c r="CV1431" i="1"/>
  <c r="CU1431" i="1"/>
  <c r="CS1431" i="1"/>
  <c r="CT1431" i="1" s="1"/>
  <c r="CW1431" i="1"/>
  <c r="CR1431" i="1"/>
  <c r="CQ1431" i="1"/>
  <c r="CW1425" i="1"/>
  <c r="CV1425" i="1"/>
  <c r="CU1425" i="1"/>
  <c r="CS1425" i="1"/>
  <c r="CT1425" i="1" s="1"/>
  <c r="CW627" i="1"/>
  <c r="CS627" i="1"/>
  <c r="CT627" i="1" s="1"/>
  <c r="CQ627" i="1"/>
  <c r="CV627" i="1"/>
  <c r="CU627" i="1"/>
  <c r="CR627" i="1"/>
  <c r="DA1424" i="1"/>
  <c r="DA954" i="1"/>
  <c r="CW1280" i="1"/>
  <c r="CU1280" i="1"/>
  <c r="CS1280" i="1"/>
  <c r="CT1280" i="1" s="1"/>
  <c r="CR1280" i="1"/>
  <c r="CQ1280" i="1"/>
  <c r="CV1280" i="1"/>
  <c r="DA1104" i="1"/>
  <c r="CR628" i="1"/>
  <c r="CW628" i="1"/>
  <c r="CV628" i="1"/>
  <c r="CU628" i="1"/>
  <c r="CS628" i="1"/>
  <c r="CT628" i="1" s="1"/>
  <c r="CQ628" i="1"/>
  <c r="CW1404" i="1"/>
  <c r="CS1404" i="1"/>
  <c r="CT1404" i="1" s="1"/>
  <c r="CU1404" i="1"/>
  <c r="CV1404" i="1"/>
  <c r="DA1457" i="1"/>
  <c r="CU568" i="1"/>
  <c r="CS568" i="1"/>
  <c r="CT568" i="1" s="1"/>
  <c r="CR568" i="1"/>
  <c r="CQ568" i="1"/>
  <c r="CW568" i="1"/>
  <c r="CV568" i="1"/>
  <c r="CA1585" i="1"/>
  <c r="EY1585" i="1" s="1"/>
  <c r="CW1585" i="1"/>
  <c r="CW574" i="1"/>
  <c r="CU574" i="1"/>
  <c r="CV574" i="1"/>
  <c r="CQ574" i="1"/>
  <c r="CR574" i="1"/>
  <c r="CS574" i="1"/>
  <c r="CT574" i="1" s="1"/>
  <c r="DA543" i="1"/>
  <c r="DA1406" i="1"/>
  <c r="CA543" i="1"/>
  <c r="CV1379" i="1"/>
  <c r="CS1379" i="1"/>
  <c r="CT1379" i="1" s="1"/>
  <c r="CW1379" i="1"/>
  <c r="CU1379" i="1"/>
  <c r="DA1190" i="1"/>
  <c r="DA1153" i="1"/>
  <c r="DA1465" i="1"/>
  <c r="DA1340" i="1"/>
  <c r="DA1468" i="1"/>
  <c r="CA1386" i="1"/>
  <c r="EY1386" i="1" s="1"/>
  <c r="CV960" i="1"/>
  <c r="CU960" i="1"/>
  <c r="CS960" i="1"/>
  <c r="CT960" i="1" s="1"/>
  <c r="CR960" i="1"/>
  <c r="CQ960" i="1"/>
  <c r="CW960" i="1"/>
  <c r="DA976" i="1"/>
  <c r="DA545" i="1"/>
  <c r="DA559" i="1"/>
  <c r="CS604" i="1"/>
  <c r="CT604" i="1" s="1"/>
  <c r="CV604" i="1"/>
  <c r="CW604" i="1"/>
  <c r="CU604" i="1"/>
  <c r="CW1430" i="1"/>
  <c r="CV1430" i="1"/>
  <c r="CU1430" i="1"/>
  <c r="CS1430" i="1"/>
  <c r="CT1430" i="1" s="1"/>
  <c r="CR1430" i="1"/>
  <c r="CQ1430" i="1"/>
  <c r="CV1421" i="1"/>
  <c r="CU1421" i="1"/>
  <c r="CW1421" i="1"/>
  <c r="CY1421" i="1" s="1"/>
  <c r="FA1421" i="1" s="1"/>
  <c r="CU1281" i="1"/>
  <c r="CR1281" i="1"/>
  <c r="CQ1281" i="1"/>
  <c r="CW1281" i="1"/>
  <c r="CV1281" i="1"/>
  <c r="CS1281" i="1"/>
  <c r="CT1281" i="1" s="1"/>
  <c r="CV541" i="1"/>
  <c r="CS541" i="1"/>
  <c r="CT541" i="1" s="1"/>
  <c r="CR541" i="1"/>
  <c r="CQ541" i="1"/>
  <c r="CU541" i="1"/>
  <c r="CW541" i="1"/>
  <c r="CA1574" i="1"/>
  <c r="EY1574" i="1" s="1"/>
  <c r="CW1574" i="1"/>
  <c r="CY1574" i="1" s="1"/>
  <c r="FA1574" i="1" s="1"/>
  <c r="DA1464" i="1"/>
  <c r="DA1471" i="1"/>
  <c r="DA1386" i="1"/>
  <c r="DA1414" i="1"/>
  <c r="DA967" i="1"/>
  <c r="CS551" i="1"/>
  <c r="CT551" i="1" s="1"/>
  <c r="CR551" i="1"/>
  <c r="CQ551" i="1"/>
  <c r="CU551" i="1"/>
  <c r="CW551" i="1"/>
  <c r="CV551" i="1"/>
  <c r="CQ571" i="1"/>
  <c r="CS571" i="1"/>
  <c r="CT571" i="1" s="1"/>
  <c r="CR571" i="1"/>
  <c r="CV571" i="1"/>
  <c r="CW571" i="1"/>
  <c r="CU571" i="1"/>
  <c r="DA974" i="1"/>
  <c r="CW563" i="1"/>
  <c r="CV563" i="1"/>
  <c r="CU563" i="1"/>
  <c r="CS563" i="1"/>
  <c r="CT563" i="1" s="1"/>
  <c r="CR563" i="1"/>
  <c r="CQ563" i="1"/>
  <c r="EY1573" i="1"/>
  <c r="CY573" i="1" l="1"/>
  <c r="FA573" i="1" s="1"/>
  <c r="CY1418" i="1"/>
  <c r="FA1418" i="1" s="1"/>
  <c r="CY1415" i="1"/>
  <c r="FA1415" i="1" s="1"/>
  <c r="CY910" i="1"/>
  <c r="FA910" i="1" s="1"/>
  <c r="CY904" i="1"/>
  <c r="FA904" i="1" s="1"/>
  <c r="CY1431" i="1"/>
  <c r="FA1431" i="1" s="1"/>
  <c r="CY1583" i="1"/>
  <c r="FA1583" i="1" s="1"/>
  <c r="CY1586" i="1"/>
  <c r="FA1586" i="1" s="1"/>
  <c r="CY570" i="1"/>
  <c r="FA570" i="1" s="1"/>
  <c r="CY1585" i="1"/>
  <c r="FA1585" i="1" s="1"/>
  <c r="CY546" i="1"/>
  <c r="FA546" i="1" s="1"/>
  <c r="CY682" i="1"/>
  <c r="FA682" i="1" s="1"/>
  <c r="CY1425" i="1"/>
  <c r="FA1425" i="1" s="1"/>
  <c r="CY1417" i="1"/>
  <c r="FA1417" i="1" s="1"/>
  <c r="CY1146" i="1"/>
  <c r="FA1146" i="1" s="1"/>
  <c r="CY566" i="1"/>
  <c r="FA566" i="1" s="1"/>
  <c r="CY692" i="1"/>
  <c r="FA692" i="1" s="1"/>
  <c r="CY569" i="1"/>
  <c r="FA569" i="1" s="1"/>
  <c r="CY563" i="1"/>
  <c r="FA563" i="1" s="1"/>
  <c r="CY555" i="1"/>
  <c r="FA555" i="1" s="1"/>
  <c r="CY551" i="1"/>
  <c r="FA551" i="1" s="1"/>
  <c r="CY960" i="1"/>
  <c r="FA960" i="1" s="1"/>
  <c r="CY1147" i="1"/>
  <c r="FA1147" i="1" s="1"/>
  <c r="CY575" i="1"/>
  <c r="FA575" i="1" s="1"/>
  <c r="CY1430" i="1"/>
  <c r="FA1430" i="1" s="1"/>
  <c r="CY574" i="1"/>
  <c r="FA574" i="1" s="1"/>
  <c r="CY571" i="1"/>
  <c r="FA571" i="1" s="1"/>
  <c r="CY604" i="1"/>
  <c r="FA604" i="1" s="1"/>
  <c r="CY1407" i="1"/>
  <c r="FA1407" i="1" s="1"/>
  <c r="CY556" i="1"/>
  <c r="FA556" i="1" s="1"/>
  <c r="CY1578" i="1"/>
  <c r="FA1578" i="1" s="1"/>
  <c r="CY1382" i="1"/>
  <c r="FA1382" i="1" s="1"/>
  <c r="CY1380" i="1"/>
  <c r="FA1380" i="1" s="1"/>
  <c r="CY690" i="1"/>
  <c r="FA690" i="1" s="1"/>
  <c r="CY900" i="1"/>
  <c r="FA900" i="1" s="1"/>
  <c r="CY564" i="1"/>
  <c r="FA564" i="1" s="1"/>
  <c r="CY565" i="1"/>
  <c r="FA565" i="1" s="1"/>
  <c r="CY1584" i="1"/>
  <c r="FA1584" i="1" s="1"/>
  <c r="CY553" i="1"/>
  <c r="FA553" i="1" s="1"/>
  <c r="CY686" i="1"/>
  <c r="FA686" i="1" s="1"/>
  <c r="CY628" i="1"/>
  <c r="FA628" i="1" s="1"/>
  <c r="CY1280" i="1"/>
  <c r="FA1280" i="1" s="1"/>
  <c r="CY627" i="1"/>
  <c r="FA627" i="1" s="1"/>
  <c r="CY572" i="1"/>
  <c r="FA572" i="1" s="1"/>
  <c r="CY1408" i="1"/>
  <c r="FA1408" i="1" s="1"/>
  <c r="CY1339" i="1"/>
  <c r="FA1339" i="1" s="1"/>
  <c r="CY552" i="1"/>
  <c r="FA552" i="1" s="1"/>
  <c r="CY542" i="1"/>
  <c r="FA542" i="1" s="1"/>
  <c r="CY771" i="1"/>
  <c r="FA771" i="1" s="1"/>
  <c r="CY1419" i="1"/>
  <c r="FA1419" i="1" s="1"/>
  <c r="CY772" i="1"/>
  <c r="FA772" i="1" s="1"/>
  <c r="CY1426" i="1"/>
  <c r="FA1426" i="1" s="1"/>
  <c r="CY1580" i="1"/>
  <c r="FA1580" i="1" s="1"/>
  <c r="CY912" i="1"/>
  <c r="FA912" i="1" s="1"/>
  <c r="CY541" i="1"/>
  <c r="FA541" i="1" s="1"/>
  <c r="CY1281" i="1"/>
  <c r="FA1281" i="1" s="1"/>
  <c r="CY568" i="1"/>
  <c r="FA568" i="1" s="1"/>
  <c r="CY613" i="1"/>
  <c r="FA613" i="1" s="1"/>
  <c r="CY713" i="1"/>
  <c r="FA713" i="1" s="1"/>
  <c r="CY554" i="1"/>
  <c r="FA554" i="1" s="1"/>
  <c r="CY911" i="1"/>
  <c r="FA911" i="1" s="1"/>
  <c r="CY1406" i="1"/>
  <c r="FA1406" i="1" s="1"/>
  <c r="CY1379" i="1"/>
  <c r="FA1379" i="1" s="1"/>
  <c r="CY1404" i="1"/>
  <c r="FA1404" i="1" s="1"/>
  <c r="CY545" i="1"/>
  <c r="FA545" i="1" s="1"/>
  <c r="CY906" i="1"/>
  <c r="FA906" i="1" s="1"/>
  <c r="CY908" i="1"/>
  <c r="FA908" i="1" s="1"/>
  <c r="CY1383" i="1"/>
  <c r="FA1383" i="1" s="1"/>
  <c r="CY909" i="1"/>
  <c r="FA909" i="1" s="1"/>
  <c r="CY958" i="1"/>
  <c r="FA958" i="1" s="1"/>
  <c r="CY1405" i="1"/>
  <c r="FA1405" i="1" s="1"/>
  <c r="CY548" i="1"/>
  <c r="FA548" i="1" s="1"/>
  <c r="CY1427" i="1"/>
  <c r="FA1427" i="1" s="1"/>
  <c r="DA1415" i="1"/>
  <c r="CX682" i="1"/>
  <c r="CZ682" i="1"/>
  <c r="CX1425" i="1"/>
  <c r="CZ1425" i="1"/>
  <c r="CX1146" i="1"/>
  <c r="CZ1146" i="1"/>
  <c r="CX566" i="1"/>
  <c r="CZ566" i="1"/>
  <c r="CX958" i="1"/>
  <c r="CZ958" i="1"/>
  <c r="CX1379" i="1"/>
  <c r="CZ1379" i="1"/>
  <c r="CX1575" i="1"/>
  <c r="CZ1575" i="1"/>
  <c r="CX1417" i="1"/>
  <c r="CZ1417" i="1"/>
  <c r="CX905" i="1"/>
  <c r="CZ905" i="1"/>
  <c r="CZ549" i="1"/>
  <c r="CX549" i="1"/>
  <c r="CX563" i="1"/>
  <c r="CZ563" i="1"/>
  <c r="CX573" i="1"/>
  <c r="CZ573" i="1"/>
  <c r="CX1418" i="1"/>
  <c r="CZ1418" i="1"/>
  <c r="CX1344" i="1"/>
  <c r="CZ1344" i="1"/>
  <c r="CX1583" i="1"/>
  <c r="CZ1583" i="1"/>
  <c r="CX1586" i="1"/>
  <c r="CZ1586" i="1"/>
  <c r="CX557" i="1"/>
  <c r="CZ557" i="1"/>
  <c r="CZ904" i="1"/>
  <c r="CX904" i="1"/>
  <c r="CX692" i="1"/>
  <c r="CZ692" i="1"/>
  <c r="CX551" i="1"/>
  <c r="CZ551" i="1"/>
  <c r="CZ1421" i="1"/>
  <c r="CX1421" i="1"/>
  <c r="CX960" i="1"/>
  <c r="CZ960" i="1"/>
  <c r="CX574" i="1"/>
  <c r="CZ574" i="1"/>
  <c r="CX570" i="1"/>
  <c r="CZ570" i="1"/>
  <c r="CX686" i="1"/>
  <c r="CZ686" i="1"/>
  <c r="CX1431" i="1"/>
  <c r="CZ1431" i="1"/>
  <c r="CX1345" i="1"/>
  <c r="CZ1345" i="1"/>
  <c r="CX1147" i="1"/>
  <c r="CZ1147" i="1"/>
  <c r="CX564" i="1"/>
  <c r="CZ564" i="1"/>
  <c r="CX575" i="1"/>
  <c r="CZ575" i="1"/>
  <c r="CX1584" i="1"/>
  <c r="CZ1584" i="1"/>
  <c r="CX1574" i="1"/>
  <c r="CZ1574" i="1"/>
  <c r="CX628" i="1"/>
  <c r="CZ628" i="1"/>
  <c r="CX1280" i="1"/>
  <c r="CZ1280" i="1"/>
  <c r="CX572" i="1"/>
  <c r="CZ572" i="1"/>
  <c r="CX1339" i="1"/>
  <c r="CZ1339" i="1"/>
  <c r="CX556" i="1"/>
  <c r="CZ556" i="1"/>
  <c r="CX1578" i="1"/>
  <c r="CZ1578" i="1"/>
  <c r="CX552" i="1"/>
  <c r="CZ552" i="1"/>
  <c r="CX771" i="1"/>
  <c r="CZ771" i="1"/>
  <c r="CX1419" i="1"/>
  <c r="CZ1419" i="1"/>
  <c r="CZ1415" i="1"/>
  <c r="CX1415" i="1"/>
  <c r="CX772" i="1"/>
  <c r="CZ772" i="1"/>
  <c r="CX562" i="1"/>
  <c r="CZ562" i="1"/>
  <c r="CX1426" i="1"/>
  <c r="CZ1426" i="1"/>
  <c r="CX1580" i="1"/>
  <c r="CZ1580" i="1"/>
  <c r="CX1404" i="1"/>
  <c r="CZ1404" i="1"/>
  <c r="CZ1573" i="1"/>
  <c r="CX1573" i="1"/>
  <c r="CX1420" i="1"/>
  <c r="CZ1420" i="1"/>
  <c r="CX900" i="1"/>
  <c r="CZ900" i="1"/>
  <c r="CX688" i="1"/>
  <c r="CZ688" i="1"/>
  <c r="CX569" i="1"/>
  <c r="CZ569" i="1"/>
  <c r="CX907" i="1"/>
  <c r="CZ907" i="1"/>
  <c r="CX1430" i="1"/>
  <c r="CZ1430" i="1"/>
  <c r="CX1572" i="1"/>
  <c r="CZ1572" i="1"/>
  <c r="CX910" i="1"/>
  <c r="CZ910" i="1"/>
  <c r="CX555" i="1"/>
  <c r="CZ555" i="1"/>
  <c r="CX1585" i="1"/>
  <c r="CZ1585" i="1"/>
  <c r="CX565" i="1"/>
  <c r="CZ565" i="1"/>
  <c r="CX571" i="1"/>
  <c r="CZ571" i="1"/>
  <c r="CX604" i="1"/>
  <c r="CZ604" i="1"/>
  <c r="CX627" i="1"/>
  <c r="CZ627" i="1"/>
  <c r="CX1408" i="1"/>
  <c r="CZ1408" i="1"/>
  <c r="CX1407" i="1"/>
  <c r="CZ1407" i="1"/>
  <c r="CX541" i="1"/>
  <c r="CZ541" i="1"/>
  <c r="CX1281" i="1"/>
  <c r="CZ1281" i="1"/>
  <c r="CZ568" i="1"/>
  <c r="CX568" i="1"/>
  <c r="CX1382" i="1"/>
  <c r="CZ1382" i="1"/>
  <c r="CX613" i="1"/>
  <c r="CZ613" i="1"/>
  <c r="CX713" i="1"/>
  <c r="CZ713" i="1"/>
  <c r="CX1416" i="1"/>
  <c r="CZ1416" i="1"/>
  <c r="CX546" i="1"/>
  <c r="CZ546" i="1"/>
  <c r="CX554" i="1"/>
  <c r="CZ554" i="1"/>
  <c r="CT545" i="1"/>
  <c r="CZ545" i="1" s="1"/>
  <c r="CT1380" i="1"/>
  <c r="CZ1380" i="1" s="1"/>
  <c r="CT548" i="1"/>
  <c r="CZ548" i="1" s="1"/>
  <c r="CT909" i="1"/>
  <c r="CZ909" i="1" s="1"/>
  <c r="CT690" i="1"/>
  <c r="CZ690" i="1" s="1"/>
  <c r="CT1405" i="1"/>
  <c r="CZ1405" i="1" s="1"/>
  <c r="CT906" i="1"/>
  <c r="CZ906" i="1" s="1"/>
  <c r="CT553" i="1"/>
  <c r="CZ553" i="1" s="1"/>
  <c r="CT542" i="1"/>
  <c r="CZ542" i="1" s="1"/>
  <c r="CT1427" i="1"/>
  <c r="CZ1427" i="1" s="1"/>
  <c r="CT911" i="1"/>
  <c r="CZ911" i="1" s="1"/>
  <c r="CT1406" i="1"/>
  <c r="CZ1406" i="1" s="1"/>
  <c r="CT908" i="1"/>
  <c r="CZ908" i="1" s="1"/>
  <c r="CT912" i="1"/>
  <c r="CZ912" i="1" s="1"/>
  <c r="CT1383" i="1"/>
  <c r="CZ1383" i="1" s="1"/>
  <c r="DA1427" i="1"/>
  <c r="DA907" i="1"/>
  <c r="DA905" i="1"/>
  <c r="DA1585" i="1"/>
  <c r="DA910" i="1"/>
  <c r="DA549" i="1"/>
  <c r="DA552" i="1"/>
  <c r="DA569" i="1"/>
  <c r="DA565" i="1"/>
  <c r="DA554" i="1"/>
  <c r="DA555" i="1"/>
  <c r="DA1416" i="1"/>
  <c r="DA1578" i="1"/>
  <c r="DA556" i="1"/>
  <c r="DA557" i="1"/>
  <c r="DA562" i="1"/>
  <c r="DA772" i="1"/>
  <c r="DA688" i="1"/>
  <c r="DA1383" i="1"/>
  <c r="DA1382" i="1"/>
  <c r="DA900" i="1"/>
  <c r="DA1419" i="1"/>
  <c r="DA771" i="1"/>
  <c r="DA571" i="1"/>
  <c r="DA1280" i="1"/>
  <c r="DA551" i="1"/>
  <c r="DA574" i="1"/>
  <c r="DA1404" i="1"/>
  <c r="DA1421" i="1"/>
  <c r="DA1418" i="1"/>
  <c r="DA570" i="1"/>
  <c r="DA613" i="1"/>
  <c r="DA1379" i="1"/>
  <c r="DA568" i="1"/>
  <c r="DA1425" i="1"/>
  <c r="DA572" i="1"/>
  <c r="DA541" i="1"/>
  <c r="DA960" i="1"/>
  <c r="DA628" i="1"/>
  <c r="DA627" i="1"/>
  <c r="DA1430" i="1"/>
  <c r="DA1431" i="1"/>
  <c r="DA1147" i="1"/>
  <c r="DA563" i="1"/>
  <c r="DA1281" i="1"/>
  <c r="DA604" i="1"/>
  <c r="DA1417" i="1"/>
  <c r="ER619" i="1" l="1"/>
  <c r="DZ619" i="1"/>
  <c r="DY619" i="1"/>
  <c r="DS619" i="1"/>
  <c r="DR619" i="1"/>
  <c r="DQ619" i="1"/>
  <c r="DP619" i="1"/>
  <c r="DN619" i="1"/>
  <c r="DO619" i="1" s="1"/>
  <c r="DH619" i="1"/>
  <c r="DC619" i="1"/>
  <c r="CP619" i="1"/>
  <c r="BX619" i="1"/>
  <c r="BZ619" i="1" s="1"/>
  <c r="BQ619" i="1"/>
  <c r="BP619" i="1"/>
  <c r="BO619" i="1"/>
  <c r="BF619" i="1"/>
  <c r="BE619" i="1"/>
  <c r="BD619" i="1"/>
  <c r="BC619" i="1"/>
  <c r="BB619" i="1"/>
  <c r="BA619" i="1"/>
  <c r="AZ619" i="1"/>
  <c r="M619" i="1"/>
  <c r="ER618" i="1"/>
  <c r="DZ618" i="1"/>
  <c r="DY618" i="1"/>
  <c r="DS618" i="1"/>
  <c r="DR618" i="1"/>
  <c r="DQ618" i="1"/>
  <c r="DP618" i="1"/>
  <c r="DN618" i="1"/>
  <c r="DO618" i="1" s="1"/>
  <c r="DH618" i="1"/>
  <c r="DC618" i="1"/>
  <c r="CP618" i="1"/>
  <c r="BX618" i="1"/>
  <c r="BZ618" i="1" s="1"/>
  <c r="BQ618" i="1"/>
  <c r="BP618" i="1"/>
  <c r="BO618" i="1"/>
  <c r="BF618" i="1"/>
  <c r="BE618" i="1"/>
  <c r="BD618" i="1"/>
  <c r="BC618" i="1"/>
  <c r="BB618" i="1"/>
  <c r="BA618" i="1"/>
  <c r="AZ618" i="1"/>
  <c r="M618" i="1"/>
  <c r="ER1451" i="1"/>
  <c r="DZ1451" i="1"/>
  <c r="DY1451" i="1"/>
  <c r="DS1451" i="1"/>
  <c r="DR1451" i="1"/>
  <c r="DQ1451" i="1"/>
  <c r="DP1451" i="1"/>
  <c r="DN1451" i="1"/>
  <c r="DO1451" i="1" s="1"/>
  <c r="DH1451" i="1"/>
  <c r="DC1451" i="1"/>
  <c r="CP1451" i="1"/>
  <c r="CU1451" i="1" s="1"/>
  <c r="BX1451" i="1"/>
  <c r="BZ1451" i="1" s="1"/>
  <c r="BW1451" i="1"/>
  <c r="BP1451" i="1"/>
  <c r="BQ1451" i="1" s="1"/>
  <c r="BO1451" i="1"/>
  <c r="BF1451" i="1"/>
  <c r="BE1451" i="1"/>
  <c r="BD1451" i="1"/>
  <c r="BC1451" i="1"/>
  <c r="BB1451" i="1"/>
  <c r="BA1451" i="1"/>
  <c r="AZ1451" i="1"/>
  <c r="M1451" i="1"/>
  <c r="ER1450" i="1"/>
  <c r="DZ1450" i="1"/>
  <c r="DY1450" i="1"/>
  <c r="DS1450" i="1"/>
  <c r="DR1450" i="1"/>
  <c r="DQ1450" i="1"/>
  <c r="DP1450" i="1"/>
  <c r="DN1450" i="1"/>
  <c r="DO1450" i="1" s="1"/>
  <c r="DH1450" i="1"/>
  <c r="DC1450" i="1"/>
  <c r="CP1450" i="1"/>
  <c r="CR1450" i="1" s="1"/>
  <c r="BX1450" i="1"/>
  <c r="BZ1450" i="1" s="1"/>
  <c r="BW1450" i="1"/>
  <c r="BP1450" i="1"/>
  <c r="BQ1450" i="1" s="1"/>
  <c r="BO1450" i="1"/>
  <c r="BF1450" i="1"/>
  <c r="BE1450" i="1"/>
  <c r="BD1450" i="1"/>
  <c r="BC1450" i="1"/>
  <c r="BB1450" i="1"/>
  <c r="BA1450" i="1"/>
  <c r="AZ1450" i="1"/>
  <c r="M1450" i="1"/>
  <c r="ER1449" i="1"/>
  <c r="DZ1449" i="1"/>
  <c r="DY1449" i="1"/>
  <c r="DS1449" i="1"/>
  <c r="DR1449" i="1"/>
  <c r="DQ1449" i="1"/>
  <c r="DP1449" i="1"/>
  <c r="DN1449" i="1"/>
  <c r="DO1449" i="1" s="1"/>
  <c r="DH1449" i="1"/>
  <c r="DC1449" i="1"/>
  <c r="CP1449" i="1"/>
  <c r="CU1449" i="1" s="1"/>
  <c r="BX1449" i="1"/>
  <c r="BZ1449" i="1" s="1"/>
  <c r="BW1449" i="1"/>
  <c r="BP1449" i="1"/>
  <c r="BQ1449" i="1" s="1"/>
  <c r="BO1449" i="1"/>
  <c r="BF1449" i="1"/>
  <c r="BE1449" i="1"/>
  <c r="BD1449" i="1"/>
  <c r="BC1449" i="1"/>
  <c r="BB1449" i="1"/>
  <c r="BA1449" i="1"/>
  <c r="AZ1449" i="1"/>
  <c r="M1449" i="1"/>
  <c r="ER1448" i="1"/>
  <c r="DZ1448" i="1"/>
  <c r="DY1448" i="1"/>
  <c r="DS1448" i="1"/>
  <c r="DR1448" i="1"/>
  <c r="DQ1448" i="1"/>
  <c r="DP1448" i="1"/>
  <c r="DN1448" i="1"/>
  <c r="DO1448" i="1" s="1"/>
  <c r="DH1448" i="1"/>
  <c r="DC1448" i="1"/>
  <c r="CP1448" i="1"/>
  <c r="BX1448" i="1"/>
  <c r="BZ1448" i="1" s="1"/>
  <c r="BW1448" i="1"/>
  <c r="BP1448" i="1"/>
  <c r="BQ1448" i="1" s="1"/>
  <c r="BO1448" i="1"/>
  <c r="BF1448" i="1"/>
  <c r="BE1448" i="1"/>
  <c r="BD1448" i="1"/>
  <c r="BC1448" i="1"/>
  <c r="BB1448" i="1"/>
  <c r="BA1448" i="1"/>
  <c r="AZ1448" i="1"/>
  <c r="M1448" i="1"/>
  <c r="ER1447" i="1"/>
  <c r="DZ1447" i="1"/>
  <c r="DY1447" i="1"/>
  <c r="DS1447" i="1"/>
  <c r="DR1447" i="1"/>
  <c r="DQ1447" i="1"/>
  <c r="DP1447" i="1"/>
  <c r="DN1447" i="1"/>
  <c r="DO1447" i="1" s="1"/>
  <c r="DH1447" i="1"/>
  <c r="DC1447" i="1"/>
  <c r="CP1447" i="1"/>
  <c r="CV1447" i="1" s="1"/>
  <c r="BX1447" i="1"/>
  <c r="BZ1447" i="1" s="1"/>
  <c r="BW1447" i="1"/>
  <c r="BP1447" i="1"/>
  <c r="BQ1447" i="1" s="1"/>
  <c r="BO1447" i="1"/>
  <c r="BF1447" i="1"/>
  <c r="BE1447" i="1"/>
  <c r="BD1447" i="1"/>
  <c r="BC1447" i="1"/>
  <c r="BB1447" i="1"/>
  <c r="BA1447" i="1"/>
  <c r="AZ1447" i="1"/>
  <c r="M1447" i="1"/>
  <c r="ER1446" i="1"/>
  <c r="DZ1446" i="1"/>
  <c r="DY1446" i="1"/>
  <c r="DS1446" i="1"/>
  <c r="DR1446" i="1"/>
  <c r="DQ1446" i="1"/>
  <c r="DP1446" i="1"/>
  <c r="DN1446" i="1"/>
  <c r="DO1446" i="1" s="1"/>
  <c r="DH1446" i="1"/>
  <c r="DC1446" i="1"/>
  <c r="CP1446" i="1"/>
  <c r="CR1446" i="1" s="1"/>
  <c r="BX1446" i="1"/>
  <c r="BZ1446" i="1" s="1"/>
  <c r="BW1446" i="1"/>
  <c r="BP1446" i="1"/>
  <c r="BQ1446" i="1" s="1"/>
  <c r="BO1446" i="1"/>
  <c r="BF1446" i="1"/>
  <c r="BE1446" i="1"/>
  <c r="BD1446" i="1"/>
  <c r="BC1446" i="1"/>
  <c r="BB1446" i="1"/>
  <c r="BA1446" i="1"/>
  <c r="AZ1446" i="1"/>
  <c r="M1446" i="1"/>
  <c r="ER96" i="1"/>
  <c r="DY96" i="1"/>
  <c r="DS96" i="1"/>
  <c r="DR96" i="1"/>
  <c r="DQ96" i="1"/>
  <c r="DP96" i="1"/>
  <c r="DO96" i="1"/>
  <c r="DH96" i="1"/>
  <c r="DC96" i="1"/>
  <c r="CP96" i="1"/>
  <c r="CR96" i="1" s="1"/>
  <c r="BZ96" i="1"/>
  <c r="BP96" i="1"/>
  <c r="BQ96" i="1" s="1"/>
  <c r="BF96" i="1"/>
  <c r="BE96" i="1"/>
  <c r="BD96" i="1"/>
  <c r="BC96" i="1"/>
  <c r="BB96" i="1"/>
  <c r="BA96" i="1"/>
  <c r="BG96" i="1" s="1" a="1"/>
  <c r="BG96" i="1" s="1"/>
  <c r="AZ96" i="1"/>
  <c r="M96" i="1"/>
  <c r="ER95" i="1"/>
  <c r="DY95" i="1"/>
  <c r="DS95" i="1"/>
  <c r="DR95" i="1"/>
  <c r="DQ95" i="1"/>
  <c r="DP95" i="1"/>
  <c r="DO95" i="1"/>
  <c r="DH95" i="1"/>
  <c r="DC95" i="1"/>
  <c r="CP95" i="1"/>
  <c r="CQ95" i="1" s="1"/>
  <c r="BZ95" i="1"/>
  <c r="BP95" i="1"/>
  <c r="BQ95" i="1" s="1"/>
  <c r="BF95" i="1"/>
  <c r="BE95" i="1"/>
  <c r="BD95" i="1"/>
  <c r="BC95" i="1"/>
  <c r="BB95" i="1"/>
  <c r="BA95" i="1"/>
  <c r="BG95" i="1" s="1" a="1"/>
  <c r="BG95" i="1" s="1"/>
  <c r="AZ95" i="1"/>
  <c r="M95" i="1"/>
  <c r="ER97" i="1"/>
  <c r="DY97" i="1"/>
  <c r="DS97" i="1"/>
  <c r="DR97" i="1"/>
  <c r="DQ97" i="1"/>
  <c r="DP97" i="1"/>
  <c r="DO97" i="1"/>
  <c r="DH97" i="1"/>
  <c r="DC97" i="1"/>
  <c r="CP97" i="1"/>
  <c r="CU97" i="1" s="1"/>
  <c r="BZ97" i="1"/>
  <c r="BP97" i="1"/>
  <c r="BQ97" i="1" s="1"/>
  <c r="BF97" i="1"/>
  <c r="BE97" i="1"/>
  <c r="BD97" i="1"/>
  <c r="BC97" i="1"/>
  <c r="BB97" i="1"/>
  <c r="BA97" i="1"/>
  <c r="BG97" i="1" s="1" a="1"/>
  <c r="BG97" i="1" s="1"/>
  <c r="AZ97" i="1"/>
  <c r="M97" i="1"/>
  <c r="ER92" i="1"/>
  <c r="DY92" i="1"/>
  <c r="DS92" i="1"/>
  <c r="DR92" i="1"/>
  <c r="DQ92" i="1"/>
  <c r="DP92" i="1"/>
  <c r="DO92" i="1"/>
  <c r="DH92" i="1"/>
  <c r="DC92" i="1"/>
  <c r="CP92" i="1"/>
  <c r="CQ92" i="1" s="1"/>
  <c r="BZ92" i="1"/>
  <c r="BP92" i="1"/>
  <c r="BQ92" i="1" s="1"/>
  <c r="BF92" i="1"/>
  <c r="BE92" i="1"/>
  <c r="BD92" i="1"/>
  <c r="BC92" i="1"/>
  <c r="BB92" i="1"/>
  <c r="BA92" i="1"/>
  <c r="BG92" i="1" s="1" a="1"/>
  <c r="BG92" i="1" s="1"/>
  <c r="AZ92" i="1"/>
  <c r="M92" i="1"/>
  <c r="ER93" i="1"/>
  <c r="DY93" i="1"/>
  <c r="DS93" i="1"/>
  <c r="DR93" i="1"/>
  <c r="DQ93" i="1"/>
  <c r="DP93" i="1"/>
  <c r="DO93" i="1"/>
  <c r="DH93" i="1"/>
  <c r="DC93" i="1"/>
  <c r="CP93" i="1"/>
  <c r="BX93" i="1"/>
  <c r="BZ93" i="1" s="1"/>
  <c r="BP93" i="1"/>
  <c r="BQ93" i="1" s="1"/>
  <c r="BF93" i="1"/>
  <c r="BE93" i="1"/>
  <c r="BD93" i="1"/>
  <c r="BC93" i="1"/>
  <c r="BB93" i="1"/>
  <c r="BA93" i="1"/>
  <c r="BG93" i="1" s="1" a="1"/>
  <c r="BG93" i="1" s="1"/>
  <c r="AZ93" i="1"/>
  <c r="M93" i="1"/>
  <c r="ER94" i="1"/>
  <c r="DY94" i="1"/>
  <c r="DS94" i="1"/>
  <c r="DR94" i="1"/>
  <c r="DQ94" i="1"/>
  <c r="DP94" i="1"/>
  <c r="DO94" i="1"/>
  <c r="DH94" i="1"/>
  <c r="DC94" i="1"/>
  <c r="CP94" i="1"/>
  <c r="CU94" i="1" s="1"/>
  <c r="BZ94" i="1"/>
  <c r="BP94" i="1"/>
  <c r="BQ94" i="1" s="1"/>
  <c r="BF94" i="1"/>
  <c r="BE94" i="1"/>
  <c r="BD94" i="1"/>
  <c r="BC94" i="1"/>
  <c r="BB94" i="1"/>
  <c r="BA94" i="1"/>
  <c r="BG94" i="1" s="1" a="1"/>
  <c r="BG94" i="1" s="1"/>
  <c r="AZ94" i="1"/>
  <c r="M94" i="1"/>
  <c r="ER1439" i="1"/>
  <c r="DZ1439" i="1"/>
  <c r="DY1439" i="1"/>
  <c r="DS1439" i="1"/>
  <c r="DR1439" i="1"/>
  <c r="DQ1439" i="1"/>
  <c r="DP1439" i="1"/>
  <c r="DN1439" i="1"/>
  <c r="DO1439" i="1" s="1"/>
  <c r="DH1439" i="1"/>
  <c r="DC1439" i="1"/>
  <c r="CP1439" i="1"/>
  <c r="CU1439" i="1" s="1"/>
  <c r="BX1439" i="1"/>
  <c r="BZ1439" i="1" s="1"/>
  <c r="BW1439" i="1"/>
  <c r="BP1439" i="1"/>
  <c r="BQ1439" i="1" s="1"/>
  <c r="BF1439" i="1"/>
  <c r="BE1439" i="1"/>
  <c r="BD1439" i="1"/>
  <c r="BC1439" i="1"/>
  <c r="BB1439" i="1"/>
  <c r="BA1439" i="1"/>
  <c r="BG1439" i="1" s="1" a="1"/>
  <c r="BG1439" i="1" s="1"/>
  <c r="AZ1439" i="1"/>
  <c r="M1439" i="1"/>
  <c r="ER1438" i="1"/>
  <c r="DZ1438" i="1"/>
  <c r="DY1438" i="1"/>
  <c r="DS1438" i="1"/>
  <c r="DR1438" i="1"/>
  <c r="DQ1438" i="1"/>
  <c r="DP1438" i="1"/>
  <c r="DN1438" i="1"/>
  <c r="DO1438" i="1" s="1"/>
  <c r="DH1438" i="1"/>
  <c r="DC1438" i="1"/>
  <c r="CP1438" i="1"/>
  <c r="CU1438" i="1" s="1"/>
  <c r="BX1438" i="1"/>
  <c r="BZ1438" i="1" s="1"/>
  <c r="BW1438" i="1"/>
  <c r="BP1438" i="1"/>
  <c r="BQ1438" i="1" s="1"/>
  <c r="BF1438" i="1"/>
  <c r="BE1438" i="1"/>
  <c r="BD1438" i="1"/>
  <c r="BC1438" i="1"/>
  <c r="BB1438" i="1"/>
  <c r="BA1438" i="1"/>
  <c r="BG1438" i="1" s="1" a="1"/>
  <c r="BG1438" i="1" s="1"/>
  <c r="AZ1438" i="1"/>
  <c r="M1438" i="1"/>
  <c r="ER1437" i="1"/>
  <c r="DZ1437" i="1"/>
  <c r="DY1437" i="1"/>
  <c r="DS1437" i="1"/>
  <c r="DR1437" i="1"/>
  <c r="DQ1437" i="1"/>
  <c r="DP1437" i="1"/>
  <c r="DN1437" i="1"/>
  <c r="DO1437" i="1" s="1"/>
  <c r="DH1437" i="1"/>
  <c r="DC1437" i="1"/>
  <c r="CP1437" i="1"/>
  <c r="CV1437" i="1" s="1"/>
  <c r="BX1437" i="1"/>
  <c r="BZ1437" i="1" s="1"/>
  <c r="BW1437" i="1"/>
  <c r="BP1437" i="1"/>
  <c r="BQ1437" i="1" s="1"/>
  <c r="BF1437" i="1"/>
  <c r="BE1437" i="1"/>
  <c r="BD1437" i="1"/>
  <c r="BC1437" i="1"/>
  <c r="BB1437" i="1"/>
  <c r="BA1437" i="1"/>
  <c r="BG1437" i="1" s="1" a="1"/>
  <c r="BG1437" i="1" s="1"/>
  <c r="AZ1437" i="1"/>
  <c r="M1437" i="1"/>
  <c r="ER1436" i="1"/>
  <c r="DZ1436" i="1"/>
  <c r="DY1436" i="1"/>
  <c r="DS1436" i="1"/>
  <c r="DR1436" i="1"/>
  <c r="DQ1436" i="1"/>
  <c r="DP1436" i="1"/>
  <c r="DN1436" i="1"/>
  <c r="DO1436" i="1" s="1"/>
  <c r="DH1436" i="1"/>
  <c r="DC1436" i="1"/>
  <c r="CP1436" i="1"/>
  <c r="BX1436" i="1"/>
  <c r="BZ1436" i="1" s="1"/>
  <c r="BW1436" i="1"/>
  <c r="BP1436" i="1"/>
  <c r="BQ1436" i="1" s="1"/>
  <c r="BF1436" i="1"/>
  <c r="BE1436" i="1"/>
  <c r="BD1436" i="1"/>
  <c r="BC1436" i="1"/>
  <c r="BB1436" i="1"/>
  <c r="BA1436" i="1"/>
  <c r="BG1436" i="1" s="1" a="1"/>
  <c r="BG1436" i="1" s="1"/>
  <c r="AZ1436" i="1"/>
  <c r="M1436" i="1"/>
  <c r="ER1435" i="1"/>
  <c r="DZ1435" i="1"/>
  <c r="DY1435" i="1"/>
  <c r="DS1435" i="1"/>
  <c r="DR1435" i="1"/>
  <c r="DQ1435" i="1"/>
  <c r="DP1435" i="1"/>
  <c r="DN1435" i="1"/>
  <c r="DO1435" i="1" s="1"/>
  <c r="DH1435" i="1"/>
  <c r="DC1435" i="1"/>
  <c r="CP1435" i="1"/>
  <c r="BX1435" i="1"/>
  <c r="BZ1435" i="1" s="1"/>
  <c r="BW1435" i="1"/>
  <c r="BP1435" i="1"/>
  <c r="BQ1435" i="1" s="1"/>
  <c r="BF1435" i="1"/>
  <c r="BE1435" i="1"/>
  <c r="BD1435" i="1"/>
  <c r="BC1435" i="1"/>
  <c r="BB1435" i="1"/>
  <c r="BA1435" i="1"/>
  <c r="BG1435" i="1" s="1" a="1"/>
  <c r="BG1435" i="1" s="1"/>
  <c r="AZ1435" i="1"/>
  <c r="M1435" i="1"/>
  <c r="ER1434" i="1"/>
  <c r="DZ1434" i="1"/>
  <c r="DY1434" i="1"/>
  <c r="DS1434" i="1"/>
  <c r="DR1434" i="1"/>
  <c r="DQ1434" i="1"/>
  <c r="DP1434" i="1"/>
  <c r="DN1434" i="1"/>
  <c r="DO1434" i="1" s="1"/>
  <c r="DH1434" i="1"/>
  <c r="DC1434" i="1"/>
  <c r="CP1434" i="1"/>
  <c r="CV1434" i="1" s="1"/>
  <c r="BX1434" i="1"/>
  <c r="BZ1434" i="1" s="1"/>
  <c r="BW1434" i="1"/>
  <c r="BP1434" i="1"/>
  <c r="BQ1434" i="1" s="1"/>
  <c r="BF1434" i="1"/>
  <c r="BE1434" i="1"/>
  <c r="BD1434" i="1"/>
  <c r="BC1434" i="1"/>
  <c r="BB1434" i="1"/>
  <c r="BA1434" i="1"/>
  <c r="BG1434" i="1" s="1" a="1"/>
  <c r="BG1434" i="1" s="1"/>
  <c r="AZ1434" i="1"/>
  <c r="M1434" i="1"/>
  <c r="ER1440" i="1"/>
  <c r="DZ1440" i="1"/>
  <c r="DY1440" i="1"/>
  <c r="DS1440" i="1"/>
  <c r="DR1440" i="1"/>
  <c r="DQ1440" i="1"/>
  <c r="DP1440" i="1"/>
  <c r="DN1440" i="1"/>
  <c r="DO1440" i="1" s="1"/>
  <c r="DH1440" i="1"/>
  <c r="DC1440" i="1"/>
  <c r="CP1440" i="1"/>
  <c r="CQ1440" i="1" s="1"/>
  <c r="BX1440" i="1"/>
  <c r="BZ1440" i="1" s="1"/>
  <c r="BW1440" i="1"/>
  <c r="BP1440" i="1"/>
  <c r="BQ1440" i="1" s="1"/>
  <c r="BF1440" i="1"/>
  <c r="BE1440" i="1"/>
  <c r="BD1440" i="1"/>
  <c r="BC1440" i="1"/>
  <c r="BB1440" i="1"/>
  <c r="BA1440" i="1"/>
  <c r="BG1440" i="1" s="1" a="1"/>
  <c r="BG1440" i="1" s="1"/>
  <c r="AZ1440" i="1"/>
  <c r="M1440" i="1"/>
  <c r="ER1441" i="1"/>
  <c r="DZ1441" i="1"/>
  <c r="DY1441" i="1"/>
  <c r="DS1441" i="1"/>
  <c r="DR1441" i="1"/>
  <c r="DQ1441" i="1"/>
  <c r="DP1441" i="1"/>
  <c r="DN1441" i="1"/>
  <c r="DO1441" i="1" s="1"/>
  <c r="DH1441" i="1"/>
  <c r="DC1441" i="1"/>
  <c r="CP1441" i="1"/>
  <c r="CR1441" i="1" s="1"/>
  <c r="BX1441" i="1"/>
  <c r="BZ1441" i="1" s="1"/>
  <c r="BW1441" i="1"/>
  <c r="BP1441" i="1"/>
  <c r="BQ1441" i="1" s="1"/>
  <c r="BF1441" i="1"/>
  <c r="BE1441" i="1"/>
  <c r="BD1441" i="1"/>
  <c r="BC1441" i="1"/>
  <c r="BB1441" i="1"/>
  <c r="BA1441" i="1"/>
  <c r="BG1441" i="1" s="1" a="1"/>
  <c r="BG1441" i="1" s="1"/>
  <c r="AZ1441" i="1"/>
  <c r="M1441" i="1"/>
  <c r="ER1442" i="1"/>
  <c r="DZ1442" i="1"/>
  <c r="DY1442" i="1"/>
  <c r="DS1442" i="1"/>
  <c r="DR1442" i="1"/>
  <c r="DQ1442" i="1"/>
  <c r="DP1442" i="1"/>
  <c r="DN1442" i="1"/>
  <c r="DO1442" i="1" s="1"/>
  <c r="DH1442" i="1"/>
  <c r="DC1442" i="1"/>
  <c r="CP1442" i="1"/>
  <c r="CU1442" i="1" s="1"/>
  <c r="BX1442" i="1"/>
  <c r="BZ1442" i="1" s="1"/>
  <c r="BW1442" i="1"/>
  <c r="BP1442" i="1"/>
  <c r="BQ1442" i="1" s="1"/>
  <c r="BF1442" i="1"/>
  <c r="BE1442" i="1"/>
  <c r="BD1442" i="1"/>
  <c r="BC1442" i="1"/>
  <c r="BB1442" i="1"/>
  <c r="BA1442" i="1"/>
  <c r="BG1442" i="1" s="1" a="1"/>
  <c r="BG1442" i="1" s="1"/>
  <c r="AZ1442" i="1"/>
  <c r="M1442" i="1"/>
  <c r="ER1444" i="1"/>
  <c r="DZ1444" i="1"/>
  <c r="DY1444" i="1"/>
  <c r="DS1444" i="1"/>
  <c r="DR1444" i="1"/>
  <c r="DQ1444" i="1"/>
  <c r="DP1444" i="1"/>
  <c r="DN1444" i="1"/>
  <c r="DO1444" i="1" s="1"/>
  <c r="DH1444" i="1"/>
  <c r="DC1444" i="1"/>
  <c r="CP1444" i="1"/>
  <c r="BX1444" i="1"/>
  <c r="BZ1444" i="1" s="1"/>
  <c r="BW1444" i="1"/>
  <c r="BP1444" i="1"/>
  <c r="BQ1444" i="1" s="1"/>
  <c r="BF1444" i="1"/>
  <c r="BE1444" i="1"/>
  <c r="BD1444" i="1"/>
  <c r="BC1444" i="1"/>
  <c r="BB1444" i="1"/>
  <c r="BA1444" i="1"/>
  <c r="BG1444" i="1" s="1" a="1"/>
  <c r="BG1444" i="1" s="1"/>
  <c r="AZ1444" i="1"/>
  <c r="M1444" i="1"/>
  <c r="ER1443" i="1"/>
  <c r="DZ1443" i="1"/>
  <c r="DY1443" i="1"/>
  <c r="DS1443" i="1"/>
  <c r="DR1443" i="1"/>
  <c r="DQ1443" i="1"/>
  <c r="DP1443" i="1"/>
  <c r="DN1443" i="1"/>
  <c r="DO1443" i="1" s="1"/>
  <c r="DH1443" i="1"/>
  <c r="DC1443" i="1"/>
  <c r="CP1443" i="1"/>
  <c r="CQ1443" i="1" s="1"/>
  <c r="BX1443" i="1"/>
  <c r="BZ1443" i="1" s="1"/>
  <c r="BW1443" i="1"/>
  <c r="BP1443" i="1"/>
  <c r="BQ1443" i="1" s="1"/>
  <c r="BF1443" i="1"/>
  <c r="BE1443" i="1"/>
  <c r="BD1443" i="1"/>
  <c r="BC1443" i="1"/>
  <c r="BB1443" i="1"/>
  <c r="BA1443" i="1"/>
  <c r="BG1443" i="1" s="1" a="1"/>
  <c r="BG1443" i="1" s="1"/>
  <c r="AZ1443" i="1"/>
  <c r="M1443" i="1"/>
  <c r="ER1445" i="1"/>
  <c r="DZ1445" i="1"/>
  <c r="DY1445" i="1"/>
  <c r="DS1445" i="1"/>
  <c r="DR1445" i="1"/>
  <c r="DQ1445" i="1"/>
  <c r="DP1445" i="1"/>
  <c r="DN1445" i="1"/>
  <c r="DO1445" i="1" s="1"/>
  <c r="DH1445" i="1"/>
  <c r="DC1445" i="1"/>
  <c r="CP1445" i="1"/>
  <c r="BX1445" i="1"/>
  <c r="BZ1445" i="1" s="1"/>
  <c r="BW1445" i="1"/>
  <c r="BP1445" i="1"/>
  <c r="BQ1445" i="1" s="1"/>
  <c r="BF1445" i="1"/>
  <c r="BE1445" i="1"/>
  <c r="BD1445" i="1"/>
  <c r="BC1445" i="1"/>
  <c r="BB1445" i="1"/>
  <c r="BA1445" i="1"/>
  <c r="BG1445" i="1" s="1" a="1"/>
  <c r="BG1445" i="1" s="1"/>
  <c r="AZ1445" i="1"/>
  <c r="M1445" i="1"/>
  <c r="ER1390" i="1"/>
  <c r="DZ1390" i="1"/>
  <c r="DY1390" i="1"/>
  <c r="DS1390" i="1"/>
  <c r="DR1390" i="1"/>
  <c r="DQ1390" i="1"/>
  <c r="DP1390" i="1"/>
  <c r="DN1390" i="1"/>
  <c r="DO1390" i="1" s="1"/>
  <c r="DH1390" i="1"/>
  <c r="DC1390" i="1"/>
  <c r="CP1390" i="1"/>
  <c r="CU1390" i="1" s="1"/>
  <c r="CA1390" i="1"/>
  <c r="EY1390" i="1" s="1"/>
  <c r="BZ1390" i="1"/>
  <c r="BQ1390" i="1"/>
  <c r="BP1390" i="1"/>
  <c r="BF1390" i="1"/>
  <c r="BE1390" i="1"/>
  <c r="BD1390" i="1"/>
  <c r="BC1390" i="1"/>
  <c r="BB1390" i="1"/>
  <c r="BA1390" i="1"/>
  <c r="BG1390" i="1" s="1" a="1"/>
  <c r="BG1390" i="1" s="1"/>
  <c r="AZ1390" i="1"/>
  <c r="M1390" i="1"/>
  <c r="ER1288" i="1"/>
  <c r="DZ1288" i="1"/>
  <c r="DY1288" i="1"/>
  <c r="DS1288" i="1"/>
  <c r="DR1288" i="1"/>
  <c r="DQ1288" i="1"/>
  <c r="DP1288" i="1"/>
  <c r="DN1288" i="1"/>
  <c r="DO1288" i="1" s="1"/>
  <c r="DH1288" i="1"/>
  <c r="DC1288" i="1"/>
  <c r="CP1288" i="1"/>
  <c r="BZ1288" i="1"/>
  <c r="BQ1288" i="1"/>
  <c r="BP1288" i="1"/>
  <c r="BF1288" i="1"/>
  <c r="BE1288" i="1"/>
  <c r="BD1288" i="1"/>
  <c r="BC1288" i="1"/>
  <c r="BB1288" i="1"/>
  <c r="BA1288" i="1"/>
  <c r="BG1288" i="1" s="1" a="1"/>
  <c r="BG1288" i="1" s="1"/>
  <c r="AZ1288" i="1"/>
  <c r="M1288" i="1"/>
  <c r="ER1285" i="1"/>
  <c r="DZ1285" i="1"/>
  <c r="DY1285" i="1"/>
  <c r="DS1285" i="1"/>
  <c r="DR1285" i="1"/>
  <c r="DQ1285" i="1"/>
  <c r="DP1285" i="1"/>
  <c r="DN1285" i="1"/>
  <c r="DO1285" i="1" s="1"/>
  <c r="DH1285" i="1"/>
  <c r="DC1285" i="1"/>
  <c r="CP1285" i="1"/>
  <c r="CU1285" i="1" s="1"/>
  <c r="BZ1285" i="1"/>
  <c r="BQ1285" i="1"/>
  <c r="BP1285" i="1"/>
  <c r="BF1285" i="1"/>
  <c r="BE1285" i="1"/>
  <c r="BD1285" i="1"/>
  <c r="BC1285" i="1"/>
  <c r="BB1285" i="1"/>
  <c r="BA1285" i="1"/>
  <c r="BG1285" i="1" s="1" a="1"/>
  <c r="BG1285" i="1" s="1"/>
  <c r="AZ1285" i="1"/>
  <c r="M1285" i="1"/>
  <c r="ER1279" i="1"/>
  <c r="DZ1279" i="1"/>
  <c r="DY1279" i="1"/>
  <c r="DS1279" i="1"/>
  <c r="DR1279" i="1"/>
  <c r="DQ1279" i="1"/>
  <c r="DP1279" i="1"/>
  <c r="DN1279" i="1"/>
  <c r="DO1279" i="1" s="1"/>
  <c r="DH1279" i="1"/>
  <c r="DC1279" i="1"/>
  <c r="CP1279" i="1"/>
  <c r="BZ1279" i="1"/>
  <c r="BQ1279" i="1"/>
  <c r="BP1279" i="1"/>
  <c r="BF1279" i="1"/>
  <c r="BE1279" i="1"/>
  <c r="BD1279" i="1"/>
  <c r="BC1279" i="1"/>
  <c r="BB1279" i="1"/>
  <c r="BA1279" i="1"/>
  <c r="BG1279" i="1" s="1" a="1"/>
  <c r="BG1279" i="1" s="1"/>
  <c r="AZ1279" i="1"/>
  <c r="M1279" i="1"/>
  <c r="ER1278" i="1"/>
  <c r="DZ1278" i="1"/>
  <c r="DY1278" i="1"/>
  <c r="DS1278" i="1"/>
  <c r="DR1278" i="1"/>
  <c r="DQ1278" i="1"/>
  <c r="DP1278" i="1"/>
  <c r="DN1278" i="1"/>
  <c r="DO1278" i="1" s="1"/>
  <c r="DH1278" i="1"/>
  <c r="DC1278" i="1"/>
  <c r="CP1278" i="1"/>
  <c r="CR1278" i="1" s="1"/>
  <c r="BZ1278" i="1"/>
  <c r="BQ1278" i="1"/>
  <c r="BP1278" i="1"/>
  <c r="BF1278" i="1"/>
  <c r="BE1278" i="1"/>
  <c r="BD1278" i="1"/>
  <c r="BC1278" i="1"/>
  <c r="BB1278" i="1"/>
  <c r="BA1278" i="1"/>
  <c r="BG1278" i="1" s="1" a="1"/>
  <c r="BG1278" i="1" s="1"/>
  <c r="AZ1278" i="1"/>
  <c r="M1278" i="1"/>
  <c r="ER1277" i="1"/>
  <c r="DZ1277" i="1"/>
  <c r="DY1277" i="1"/>
  <c r="DS1277" i="1"/>
  <c r="DR1277" i="1"/>
  <c r="DQ1277" i="1"/>
  <c r="DP1277" i="1"/>
  <c r="DN1277" i="1"/>
  <c r="DO1277" i="1" s="1"/>
  <c r="DH1277" i="1"/>
  <c r="DC1277" i="1"/>
  <c r="CP1277" i="1"/>
  <c r="CR1277" i="1" s="1"/>
  <c r="BZ1277" i="1"/>
  <c r="BQ1277" i="1"/>
  <c r="BP1277" i="1"/>
  <c r="BF1277" i="1"/>
  <c r="BE1277" i="1"/>
  <c r="BD1277" i="1"/>
  <c r="BC1277" i="1"/>
  <c r="BB1277" i="1"/>
  <c r="BA1277" i="1"/>
  <c r="BG1277" i="1" s="1" a="1"/>
  <c r="BG1277" i="1" s="1"/>
  <c r="AZ1277" i="1"/>
  <c r="M1277" i="1"/>
  <c r="ER1276" i="1"/>
  <c r="DZ1276" i="1"/>
  <c r="DY1276" i="1"/>
  <c r="DS1276" i="1"/>
  <c r="DR1276" i="1"/>
  <c r="DQ1276" i="1"/>
  <c r="DP1276" i="1"/>
  <c r="DN1276" i="1"/>
  <c r="DO1276" i="1" s="1"/>
  <c r="DH1276" i="1"/>
  <c r="DC1276" i="1"/>
  <c r="CP1276" i="1"/>
  <c r="BZ1276" i="1"/>
  <c r="BQ1276" i="1"/>
  <c r="BP1276" i="1"/>
  <c r="BF1276" i="1"/>
  <c r="BE1276" i="1"/>
  <c r="BD1276" i="1"/>
  <c r="BC1276" i="1"/>
  <c r="BB1276" i="1"/>
  <c r="BA1276" i="1"/>
  <c r="BG1276" i="1" s="1" a="1"/>
  <c r="BG1276" i="1" s="1"/>
  <c r="AZ1276" i="1"/>
  <c r="M1276" i="1"/>
  <c r="ER1267" i="1"/>
  <c r="DZ1267" i="1"/>
  <c r="DY1267" i="1"/>
  <c r="DS1267" i="1"/>
  <c r="DR1267" i="1"/>
  <c r="DQ1267" i="1"/>
  <c r="DP1267" i="1"/>
  <c r="DN1267" i="1"/>
  <c r="DO1267" i="1" s="1"/>
  <c r="DH1267" i="1"/>
  <c r="DC1267" i="1"/>
  <c r="CP1267" i="1"/>
  <c r="CU1267" i="1" s="1"/>
  <c r="BZ1267" i="1"/>
  <c r="BQ1267" i="1"/>
  <c r="BP1267" i="1"/>
  <c r="BF1267" i="1"/>
  <c r="BE1267" i="1"/>
  <c r="BD1267" i="1"/>
  <c r="BC1267" i="1"/>
  <c r="BB1267" i="1"/>
  <c r="BA1267" i="1"/>
  <c r="BG1267" i="1" s="1" a="1"/>
  <c r="BG1267" i="1" s="1"/>
  <c r="AZ1267" i="1"/>
  <c r="M1267" i="1"/>
  <c r="ER1259" i="1"/>
  <c r="DZ1259" i="1"/>
  <c r="DY1259" i="1"/>
  <c r="DS1259" i="1"/>
  <c r="DR1259" i="1"/>
  <c r="DQ1259" i="1"/>
  <c r="DP1259" i="1"/>
  <c r="DN1259" i="1"/>
  <c r="DO1259" i="1" s="1"/>
  <c r="DH1259" i="1"/>
  <c r="DC1259" i="1"/>
  <c r="CP1259" i="1"/>
  <c r="BZ1259" i="1"/>
  <c r="BQ1259" i="1"/>
  <c r="BP1259" i="1"/>
  <c r="BF1259" i="1"/>
  <c r="BE1259" i="1"/>
  <c r="BD1259" i="1"/>
  <c r="BC1259" i="1"/>
  <c r="BB1259" i="1"/>
  <c r="BA1259" i="1"/>
  <c r="BG1259" i="1" s="1" a="1"/>
  <c r="BG1259" i="1" s="1"/>
  <c r="AZ1259" i="1"/>
  <c r="M1259" i="1"/>
  <c r="ER1142" i="1"/>
  <c r="DZ1142" i="1"/>
  <c r="DY1142" i="1"/>
  <c r="DS1142" i="1"/>
  <c r="DR1142" i="1"/>
  <c r="DQ1142" i="1"/>
  <c r="DP1142" i="1"/>
  <c r="DN1142" i="1"/>
  <c r="DO1142" i="1" s="1"/>
  <c r="DH1142" i="1"/>
  <c r="DC1142" i="1"/>
  <c r="CP1142" i="1"/>
  <c r="CR1142" i="1" s="1"/>
  <c r="BZ1142" i="1"/>
  <c r="BQ1142" i="1"/>
  <c r="BP1142" i="1"/>
  <c r="BF1142" i="1"/>
  <c r="BE1142" i="1"/>
  <c r="BD1142" i="1"/>
  <c r="BC1142" i="1"/>
  <c r="BB1142" i="1"/>
  <c r="BA1142" i="1"/>
  <c r="BG1142" i="1" s="1" a="1"/>
  <c r="BG1142" i="1" s="1"/>
  <c r="AZ1142" i="1"/>
  <c r="M1142" i="1"/>
  <c r="ER1140" i="1"/>
  <c r="DZ1140" i="1"/>
  <c r="DY1140" i="1"/>
  <c r="DS1140" i="1"/>
  <c r="DR1140" i="1"/>
  <c r="DQ1140" i="1"/>
  <c r="DP1140" i="1"/>
  <c r="DN1140" i="1"/>
  <c r="DO1140" i="1" s="1"/>
  <c r="DH1140" i="1"/>
  <c r="DC1140" i="1"/>
  <c r="CP1140" i="1"/>
  <c r="CV1140" i="1" s="1"/>
  <c r="BZ1140" i="1"/>
  <c r="BQ1140" i="1"/>
  <c r="BP1140" i="1"/>
  <c r="BF1140" i="1"/>
  <c r="BE1140" i="1"/>
  <c r="BD1140" i="1"/>
  <c r="BC1140" i="1"/>
  <c r="BB1140" i="1"/>
  <c r="BA1140" i="1"/>
  <c r="BG1140" i="1" s="1" a="1"/>
  <c r="BG1140" i="1" s="1"/>
  <c r="AZ1140" i="1"/>
  <c r="M1140" i="1"/>
  <c r="ER1132" i="1"/>
  <c r="DZ1132" i="1"/>
  <c r="DY1132" i="1"/>
  <c r="DS1132" i="1"/>
  <c r="DR1132" i="1"/>
  <c r="DQ1132" i="1"/>
  <c r="DP1132" i="1"/>
  <c r="DN1132" i="1"/>
  <c r="DO1132" i="1" s="1"/>
  <c r="DH1132" i="1"/>
  <c r="DC1132" i="1"/>
  <c r="CP1132" i="1"/>
  <c r="CR1132" i="1" s="1"/>
  <c r="BZ1132" i="1"/>
  <c r="BQ1132" i="1"/>
  <c r="BP1132" i="1"/>
  <c r="BO1132" i="1"/>
  <c r="BF1132" i="1"/>
  <c r="BE1132" i="1"/>
  <c r="BD1132" i="1"/>
  <c r="BC1132" i="1"/>
  <c r="BB1132" i="1"/>
  <c r="BA1132" i="1"/>
  <c r="BG1132" i="1" s="1" a="1"/>
  <c r="BG1132" i="1" s="1"/>
  <c r="AZ1132" i="1"/>
  <c r="M1132" i="1"/>
  <c r="ER1130" i="1"/>
  <c r="DZ1130" i="1"/>
  <c r="DY1130" i="1"/>
  <c r="DS1130" i="1"/>
  <c r="DR1130" i="1"/>
  <c r="DQ1130" i="1"/>
  <c r="DP1130" i="1"/>
  <c r="DN1130" i="1"/>
  <c r="DO1130" i="1" s="1"/>
  <c r="DH1130" i="1"/>
  <c r="DC1130" i="1"/>
  <c r="CP1130" i="1"/>
  <c r="BZ1130" i="1"/>
  <c r="BQ1130" i="1"/>
  <c r="BP1130" i="1"/>
  <c r="BF1130" i="1"/>
  <c r="BE1130" i="1"/>
  <c r="BD1130" i="1"/>
  <c r="BC1130" i="1"/>
  <c r="BB1130" i="1"/>
  <c r="BA1130" i="1"/>
  <c r="BG1130" i="1" s="1" a="1"/>
  <c r="BG1130" i="1" s="1"/>
  <c r="AZ1130" i="1"/>
  <c r="M1130" i="1"/>
  <c r="ER1129" i="1"/>
  <c r="DZ1129" i="1"/>
  <c r="DY1129" i="1"/>
  <c r="DS1129" i="1"/>
  <c r="DR1129" i="1"/>
  <c r="DQ1129" i="1"/>
  <c r="DP1129" i="1"/>
  <c r="DN1129" i="1"/>
  <c r="DO1129" i="1" s="1"/>
  <c r="DH1129" i="1"/>
  <c r="DC1129" i="1"/>
  <c r="CP1129" i="1"/>
  <c r="CR1129" i="1" s="1"/>
  <c r="BZ1129" i="1"/>
  <c r="BQ1129" i="1"/>
  <c r="BP1129" i="1"/>
  <c r="BF1129" i="1"/>
  <c r="BE1129" i="1"/>
  <c r="BD1129" i="1"/>
  <c r="BC1129" i="1"/>
  <c r="BB1129" i="1"/>
  <c r="BA1129" i="1"/>
  <c r="BG1129" i="1" s="1" a="1"/>
  <c r="BG1129" i="1" s="1"/>
  <c r="AZ1129" i="1"/>
  <c r="M1129" i="1"/>
  <c r="ER1125" i="1"/>
  <c r="DZ1125" i="1"/>
  <c r="DY1125" i="1"/>
  <c r="DS1125" i="1"/>
  <c r="DR1125" i="1"/>
  <c r="DQ1125" i="1"/>
  <c r="DP1125" i="1"/>
  <c r="DN1125" i="1"/>
  <c r="DO1125" i="1" s="1"/>
  <c r="DH1125" i="1"/>
  <c r="DC1125" i="1"/>
  <c r="CP1125" i="1"/>
  <c r="CR1125" i="1" s="1"/>
  <c r="BZ1125" i="1"/>
  <c r="BQ1125" i="1"/>
  <c r="BP1125" i="1"/>
  <c r="BF1125" i="1"/>
  <c r="BE1125" i="1"/>
  <c r="BD1125" i="1"/>
  <c r="BC1125" i="1"/>
  <c r="BB1125" i="1"/>
  <c r="BA1125" i="1"/>
  <c r="BG1125" i="1" s="1" a="1"/>
  <c r="BG1125" i="1" s="1"/>
  <c r="AZ1125" i="1"/>
  <c r="M1125" i="1"/>
  <c r="ER1121" i="1"/>
  <c r="DZ1121" i="1"/>
  <c r="DY1121" i="1"/>
  <c r="DS1121" i="1"/>
  <c r="DR1121" i="1"/>
  <c r="DQ1121" i="1"/>
  <c r="DP1121" i="1"/>
  <c r="DN1121" i="1"/>
  <c r="DO1121" i="1" s="1"/>
  <c r="DH1121" i="1"/>
  <c r="DC1121" i="1"/>
  <c r="CP1121" i="1"/>
  <c r="BZ1121" i="1"/>
  <c r="BQ1121" i="1"/>
  <c r="BP1121" i="1"/>
  <c r="BF1121" i="1"/>
  <c r="BE1121" i="1"/>
  <c r="BD1121" i="1"/>
  <c r="BC1121" i="1"/>
  <c r="BB1121" i="1"/>
  <c r="BA1121" i="1"/>
  <c r="BG1121" i="1" s="1" a="1"/>
  <c r="BG1121" i="1" s="1"/>
  <c r="AZ1121" i="1"/>
  <c r="M1121" i="1"/>
  <c r="ER957" i="1"/>
  <c r="DZ957" i="1"/>
  <c r="DY957" i="1"/>
  <c r="DS957" i="1"/>
  <c r="DR957" i="1"/>
  <c r="DQ957" i="1"/>
  <c r="DP957" i="1"/>
  <c r="DN957" i="1"/>
  <c r="DO957" i="1" s="1"/>
  <c r="DH957" i="1"/>
  <c r="DC957" i="1"/>
  <c r="CP957" i="1"/>
  <c r="CU957" i="1" s="1"/>
  <c r="BZ957" i="1"/>
  <c r="BQ957" i="1"/>
  <c r="BP957" i="1"/>
  <c r="BF957" i="1"/>
  <c r="BE957" i="1"/>
  <c r="BD957" i="1"/>
  <c r="BC957" i="1"/>
  <c r="BB957" i="1"/>
  <c r="BA957" i="1"/>
  <c r="BG957" i="1" s="1" a="1"/>
  <c r="BG957" i="1" s="1"/>
  <c r="AZ957" i="1"/>
  <c r="M957" i="1"/>
  <c r="ER1291" i="1"/>
  <c r="DZ1291" i="1"/>
  <c r="DY1291" i="1"/>
  <c r="DS1291" i="1"/>
  <c r="DR1291" i="1"/>
  <c r="DQ1291" i="1"/>
  <c r="DP1291" i="1"/>
  <c r="DN1291" i="1"/>
  <c r="DO1291" i="1" s="1"/>
  <c r="DH1291" i="1"/>
  <c r="DC1291" i="1"/>
  <c r="CP1291" i="1"/>
  <c r="CQ1291" i="1" s="1"/>
  <c r="BX1291" i="1"/>
  <c r="BZ1291" i="1" s="1"/>
  <c r="BW1291" i="1"/>
  <c r="BQ1291" i="1"/>
  <c r="BP1291" i="1"/>
  <c r="BO1291" i="1"/>
  <c r="BF1291" i="1"/>
  <c r="BE1291" i="1"/>
  <c r="BD1291" i="1"/>
  <c r="BC1291" i="1"/>
  <c r="BB1291" i="1"/>
  <c r="BA1291" i="1"/>
  <c r="BG1291" i="1" s="1" a="1"/>
  <c r="BG1291" i="1" s="1"/>
  <c r="AZ1291" i="1"/>
  <c r="M1291" i="1"/>
  <c r="ER676" i="1"/>
  <c r="DZ676" i="1"/>
  <c r="DY676" i="1"/>
  <c r="DS676" i="1"/>
  <c r="DR676" i="1"/>
  <c r="DQ676" i="1"/>
  <c r="DP676" i="1"/>
  <c r="DN676" i="1"/>
  <c r="DO676" i="1" s="1"/>
  <c r="DH676" i="1"/>
  <c r="DC676" i="1"/>
  <c r="CP676" i="1"/>
  <c r="BZ676" i="1"/>
  <c r="BQ676" i="1"/>
  <c r="BP676" i="1"/>
  <c r="BF676" i="1"/>
  <c r="BE676" i="1"/>
  <c r="BD676" i="1"/>
  <c r="BC676" i="1"/>
  <c r="BB676" i="1"/>
  <c r="BA676" i="1"/>
  <c r="BG676" i="1" s="1" a="1"/>
  <c r="BG676" i="1" s="1"/>
  <c r="AZ676" i="1"/>
  <c r="M676" i="1"/>
  <c r="ER859" i="1"/>
  <c r="DZ859" i="1"/>
  <c r="DY859" i="1"/>
  <c r="DS859" i="1"/>
  <c r="DR859" i="1"/>
  <c r="DQ859" i="1"/>
  <c r="DP859" i="1"/>
  <c r="DN859" i="1"/>
  <c r="DO859" i="1" s="1"/>
  <c r="DG859" i="1"/>
  <c r="DH859" i="1" s="1"/>
  <c r="DC859" i="1"/>
  <c r="CP859" i="1"/>
  <c r="BX859" i="1"/>
  <c r="BZ859" i="1" s="1"/>
  <c r="BW859" i="1"/>
  <c r="BP859" i="1"/>
  <c r="BQ859" i="1" s="1"/>
  <c r="BF859" i="1"/>
  <c r="BE859" i="1"/>
  <c r="BD859" i="1"/>
  <c r="BC859" i="1"/>
  <c r="BB859" i="1"/>
  <c r="BA859" i="1"/>
  <c r="BG859" i="1" s="1" a="1"/>
  <c r="BG859" i="1" s="1"/>
  <c r="AZ859" i="1"/>
  <c r="M859" i="1"/>
  <c r="ER860" i="1"/>
  <c r="DZ860" i="1"/>
  <c r="DY860" i="1"/>
  <c r="DS860" i="1"/>
  <c r="DR860" i="1"/>
  <c r="DQ860" i="1"/>
  <c r="DP860" i="1"/>
  <c r="DN860" i="1"/>
  <c r="DO860" i="1" s="1"/>
  <c r="DG860" i="1"/>
  <c r="DH860" i="1" s="1"/>
  <c r="DC860" i="1"/>
  <c r="CP860" i="1"/>
  <c r="CQ860" i="1" s="1"/>
  <c r="BX860" i="1"/>
  <c r="BZ860" i="1" s="1"/>
  <c r="BW860" i="1"/>
  <c r="BP860" i="1"/>
  <c r="BQ860" i="1" s="1"/>
  <c r="BF860" i="1"/>
  <c r="BE860" i="1"/>
  <c r="BD860" i="1"/>
  <c r="BC860" i="1"/>
  <c r="BB860" i="1"/>
  <c r="BA860" i="1"/>
  <c r="BG860" i="1" s="1" a="1"/>
  <c r="BG860" i="1" s="1"/>
  <c r="AZ860" i="1"/>
  <c r="M860" i="1"/>
  <c r="ER855" i="1"/>
  <c r="DZ855" i="1"/>
  <c r="DY855" i="1"/>
  <c r="DS855" i="1"/>
  <c r="DR855" i="1"/>
  <c r="DQ855" i="1"/>
  <c r="DP855" i="1"/>
  <c r="DN855" i="1"/>
  <c r="DO855" i="1" s="1"/>
  <c r="DG855" i="1"/>
  <c r="DH855" i="1" s="1"/>
  <c r="DC855" i="1"/>
  <c r="CP855" i="1"/>
  <c r="CQ855" i="1" s="1"/>
  <c r="BX855" i="1"/>
  <c r="BZ855" i="1" s="1"/>
  <c r="BW855" i="1"/>
  <c r="BP855" i="1"/>
  <c r="BQ855" i="1" s="1"/>
  <c r="BF855" i="1"/>
  <c r="BE855" i="1"/>
  <c r="BD855" i="1"/>
  <c r="BC855" i="1"/>
  <c r="BB855" i="1"/>
  <c r="BA855" i="1"/>
  <c r="BG855" i="1" s="1" a="1"/>
  <c r="BG855" i="1" s="1"/>
  <c r="AZ855" i="1"/>
  <c r="M855" i="1"/>
  <c r="ER856" i="1"/>
  <c r="DZ856" i="1"/>
  <c r="DY856" i="1"/>
  <c r="DS856" i="1"/>
  <c r="DR856" i="1"/>
  <c r="DQ856" i="1"/>
  <c r="DP856" i="1"/>
  <c r="DN856" i="1"/>
  <c r="DO856" i="1" s="1"/>
  <c r="DG856" i="1"/>
  <c r="DH856" i="1" s="1"/>
  <c r="DC856" i="1"/>
  <c r="BX856" i="1"/>
  <c r="BZ856" i="1" s="1"/>
  <c r="BW856" i="1"/>
  <c r="BN856" i="1"/>
  <c r="BF856" i="1"/>
  <c r="BE856" i="1"/>
  <c r="BD856" i="1"/>
  <c r="BC856" i="1"/>
  <c r="BB856" i="1"/>
  <c r="BA856" i="1"/>
  <c r="BG856" i="1" s="1" a="1"/>
  <c r="BG856" i="1" s="1"/>
  <c r="AZ856" i="1"/>
  <c r="M856" i="1"/>
  <c r="ER857" i="1"/>
  <c r="DZ857" i="1"/>
  <c r="DY857" i="1"/>
  <c r="DS857" i="1"/>
  <c r="DR857" i="1"/>
  <c r="DQ857" i="1"/>
  <c r="DP857" i="1"/>
  <c r="DN857" i="1"/>
  <c r="DO857" i="1" s="1"/>
  <c r="DG857" i="1"/>
  <c r="DH857" i="1" s="1"/>
  <c r="DC857" i="1"/>
  <c r="CP857" i="1"/>
  <c r="CV857" i="1" s="1"/>
  <c r="BX857" i="1"/>
  <c r="BZ857" i="1" s="1"/>
  <c r="BW857" i="1"/>
  <c r="BP857" i="1"/>
  <c r="BQ857" i="1" s="1"/>
  <c r="BF857" i="1"/>
  <c r="BE857" i="1"/>
  <c r="BD857" i="1"/>
  <c r="BC857" i="1"/>
  <c r="BB857" i="1"/>
  <c r="BA857" i="1"/>
  <c r="BG857" i="1" s="1" a="1"/>
  <c r="BG857" i="1" s="1"/>
  <c r="AZ857" i="1"/>
  <c r="M857" i="1"/>
  <c r="ER858" i="1"/>
  <c r="DZ858" i="1"/>
  <c r="DY858" i="1"/>
  <c r="DS858" i="1"/>
  <c r="DR858" i="1"/>
  <c r="DQ858" i="1"/>
  <c r="DP858" i="1"/>
  <c r="DN858" i="1"/>
  <c r="DO858" i="1" s="1"/>
  <c r="DG858" i="1"/>
  <c r="DH858" i="1" s="1"/>
  <c r="DC858" i="1"/>
  <c r="CP858" i="1"/>
  <c r="CV858" i="1" s="1"/>
  <c r="BX858" i="1"/>
  <c r="BZ858" i="1" s="1"/>
  <c r="BW858" i="1"/>
  <c r="BP858" i="1"/>
  <c r="BQ858" i="1" s="1"/>
  <c r="BF858" i="1"/>
  <c r="BE858" i="1"/>
  <c r="BD858" i="1"/>
  <c r="BC858" i="1"/>
  <c r="BB858" i="1"/>
  <c r="BA858" i="1"/>
  <c r="BG858" i="1" s="1" a="1"/>
  <c r="BG858" i="1" s="1"/>
  <c r="AZ858" i="1"/>
  <c r="M858" i="1"/>
  <c r="ER76" i="1"/>
  <c r="DZ76" i="1"/>
  <c r="DY76" i="1"/>
  <c r="DS76" i="1"/>
  <c r="DR76" i="1"/>
  <c r="DQ76" i="1"/>
  <c r="DP76" i="1"/>
  <c r="DN76" i="1"/>
  <c r="DO76" i="1" s="1"/>
  <c r="DG76" i="1"/>
  <c r="DH76" i="1" s="1"/>
  <c r="DC76" i="1"/>
  <c r="CP76" i="1"/>
  <c r="BX76" i="1"/>
  <c r="BZ76" i="1" s="1"/>
  <c r="BW76" i="1"/>
  <c r="BP76" i="1"/>
  <c r="BQ76" i="1" s="1"/>
  <c r="BO76" i="1"/>
  <c r="BF76" i="1"/>
  <c r="BE76" i="1"/>
  <c r="BD76" i="1"/>
  <c r="BC76" i="1"/>
  <c r="BB76" i="1"/>
  <c r="BA76" i="1"/>
  <c r="AZ76" i="1"/>
  <c r="M76" i="1"/>
  <c r="ER75" i="1"/>
  <c r="DZ75" i="1"/>
  <c r="DY75" i="1"/>
  <c r="DS75" i="1"/>
  <c r="DR75" i="1"/>
  <c r="DQ75" i="1"/>
  <c r="DP75" i="1"/>
  <c r="DN75" i="1"/>
  <c r="DO75" i="1" s="1"/>
  <c r="DG75" i="1"/>
  <c r="DH75" i="1" s="1"/>
  <c r="DC75" i="1"/>
  <c r="CP75" i="1"/>
  <c r="BX75" i="1"/>
  <c r="BZ75" i="1" s="1"/>
  <c r="BW75" i="1"/>
  <c r="BP75" i="1"/>
  <c r="BQ75" i="1" s="1"/>
  <c r="BO75" i="1"/>
  <c r="BF75" i="1"/>
  <c r="BE75" i="1"/>
  <c r="BD75" i="1"/>
  <c r="BC75" i="1"/>
  <c r="BB75" i="1"/>
  <c r="BA75" i="1"/>
  <c r="AZ75" i="1"/>
  <c r="M75" i="1"/>
  <c r="ER74" i="1"/>
  <c r="DZ74" i="1"/>
  <c r="DY74" i="1"/>
  <c r="DS74" i="1"/>
  <c r="DR74" i="1"/>
  <c r="DQ74" i="1"/>
  <c r="DP74" i="1"/>
  <c r="DN74" i="1"/>
  <c r="DO74" i="1" s="1"/>
  <c r="DG74" i="1"/>
  <c r="DH74" i="1" s="1"/>
  <c r="DC74" i="1"/>
  <c r="CP74" i="1"/>
  <c r="CU74" i="1" s="1"/>
  <c r="BX74" i="1"/>
  <c r="BZ74" i="1" s="1"/>
  <c r="BW74" i="1"/>
  <c r="BP74" i="1"/>
  <c r="BQ74" i="1" s="1"/>
  <c r="BO74" i="1"/>
  <c r="BF74" i="1"/>
  <c r="BE74" i="1"/>
  <c r="BD74" i="1"/>
  <c r="BC74" i="1"/>
  <c r="BB74" i="1"/>
  <c r="BA74" i="1"/>
  <c r="AZ74" i="1"/>
  <c r="M74" i="1"/>
  <c r="ER73" i="1"/>
  <c r="DZ73" i="1"/>
  <c r="DY73" i="1"/>
  <c r="DS73" i="1"/>
  <c r="DR73" i="1"/>
  <c r="DQ73" i="1"/>
  <c r="DP73" i="1"/>
  <c r="DN73" i="1"/>
  <c r="DO73" i="1" s="1"/>
  <c r="DG73" i="1"/>
  <c r="DH73" i="1" s="1"/>
  <c r="DC73" i="1"/>
  <c r="CP73" i="1"/>
  <c r="CV73" i="1" s="1"/>
  <c r="BX73" i="1"/>
  <c r="BZ73" i="1" s="1"/>
  <c r="BW73" i="1"/>
  <c r="BP73" i="1"/>
  <c r="BQ73" i="1" s="1"/>
  <c r="BO73" i="1"/>
  <c r="BF73" i="1"/>
  <c r="BE73" i="1"/>
  <c r="BD73" i="1"/>
  <c r="BC73" i="1"/>
  <c r="BB73" i="1"/>
  <c r="BA73" i="1"/>
  <c r="AZ73" i="1"/>
  <c r="M73" i="1"/>
  <c r="ER72" i="1"/>
  <c r="DZ72" i="1"/>
  <c r="DY72" i="1"/>
  <c r="DS72" i="1"/>
  <c r="DR72" i="1"/>
  <c r="DQ72" i="1"/>
  <c r="DP72" i="1"/>
  <c r="DN72" i="1"/>
  <c r="DO72" i="1" s="1"/>
  <c r="DG72" i="1"/>
  <c r="DH72" i="1" s="1"/>
  <c r="DC72" i="1"/>
  <c r="CP72" i="1"/>
  <c r="BX72" i="1"/>
  <c r="BZ72" i="1" s="1"/>
  <c r="BW72" i="1"/>
  <c r="BP72" i="1"/>
  <c r="BQ72" i="1" s="1"/>
  <c r="BO72" i="1"/>
  <c r="BF72" i="1"/>
  <c r="BE72" i="1"/>
  <c r="BD72" i="1"/>
  <c r="BC72" i="1"/>
  <c r="BB72" i="1"/>
  <c r="BA72" i="1"/>
  <c r="AZ72" i="1"/>
  <c r="M72" i="1"/>
  <c r="ER71" i="1"/>
  <c r="DZ71" i="1"/>
  <c r="DY71" i="1"/>
  <c r="DS71" i="1"/>
  <c r="DR71" i="1"/>
  <c r="DQ71" i="1"/>
  <c r="DP71" i="1"/>
  <c r="DN71" i="1"/>
  <c r="DO71" i="1" s="1"/>
  <c r="DG71" i="1"/>
  <c r="DH71" i="1" s="1"/>
  <c r="DC71" i="1"/>
  <c r="CP71" i="1"/>
  <c r="CR71" i="1" s="1"/>
  <c r="BX71" i="1"/>
  <c r="BZ71" i="1" s="1"/>
  <c r="BW71" i="1"/>
  <c r="BP71" i="1"/>
  <c r="BQ71" i="1" s="1"/>
  <c r="BO71" i="1"/>
  <c r="BF71" i="1"/>
  <c r="BE71" i="1"/>
  <c r="BD71" i="1"/>
  <c r="BC71" i="1"/>
  <c r="BB71" i="1"/>
  <c r="BA71" i="1"/>
  <c r="AZ71" i="1"/>
  <c r="M71" i="1"/>
  <c r="ER70" i="1"/>
  <c r="DZ70" i="1"/>
  <c r="DY70" i="1"/>
  <c r="DS70" i="1"/>
  <c r="DR70" i="1"/>
  <c r="DQ70" i="1"/>
  <c r="DP70" i="1"/>
  <c r="DN70" i="1"/>
  <c r="DO70" i="1" s="1"/>
  <c r="DG70" i="1"/>
  <c r="DH70" i="1" s="1"/>
  <c r="DC70" i="1"/>
  <c r="CP70" i="1"/>
  <c r="CU70" i="1" s="1"/>
  <c r="BX70" i="1"/>
  <c r="BZ70" i="1" s="1"/>
  <c r="BW70" i="1"/>
  <c r="BP70" i="1"/>
  <c r="BQ70" i="1" s="1"/>
  <c r="BO70" i="1"/>
  <c r="BF70" i="1"/>
  <c r="BE70" i="1"/>
  <c r="BD70" i="1"/>
  <c r="BC70" i="1"/>
  <c r="BB70" i="1"/>
  <c r="BA70" i="1"/>
  <c r="AZ70" i="1"/>
  <c r="M70" i="1"/>
  <c r="ER69" i="1"/>
  <c r="DZ69" i="1"/>
  <c r="DY69" i="1"/>
  <c r="DS69" i="1"/>
  <c r="DR69" i="1"/>
  <c r="DQ69" i="1"/>
  <c r="DP69" i="1"/>
  <c r="DN69" i="1"/>
  <c r="DO69" i="1" s="1"/>
  <c r="DG69" i="1"/>
  <c r="DH69" i="1" s="1"/>
  <c r="DC69" i="1"/>
  <c r="CP69" i="1"/>
  <c r="BX69" i="1"/>
  <c r="BZ69" i="1" s="1"/>
  <c r="BW69" i="1"/>
  <c r="BP69" i="1"/>
  <c r="BQ69" i="1" s="1"/>
  <c r="BO69" i="1"/>
  <c r="BF69" i="1"/>
  <c r="BE69" i="1"/>
  <c r="BD69" i="1"/>
  <c r="BC69" i="1"/>
  <c r="BB69" i="1"/>
  <c r="BA69" i="1"/>
  <c r="AZ69" i="1"/>
  <c r="M69" i="1"/>
  <c r="ER66" i="1"/>
  <c r="DZ66" i="1"/>
  <c r="DY66" i="1"/>
  <c r="DS66" i="1"/>
  <c r="DR66" i="1"/>
  <c r="DQ66" i="1"/>
  <c r="DP66" i="1"/>
  <c r="DN66" i="1"/>
  <c r="DO66" i="1" s="1"/>
  <c r="DG66" i="1"/>
  <c r="DH66" i="1" s="1"/>
  <c r="DC66" i="1"/>
  <c r="CP66" i="1"/>
  <c r="CV66" i="1" s="1"/>
  <c r="BX66" i="1"/>
  <c r="BZ66" i="1" s="1"/>
  <c r="BW66" i="1"/>
  <c r="BP66" i="1"/>
  <c r="BQ66" i="1" s="1"/>
  <c r="BO66" i="1"/>
  <c r="BF66" i="1"/>
  <c r="BE66" i="1"/>
  <c r="BD66" i="1"/>
  <c r="BC66" i="1"/>
  <c r="BB66" i="1"/>
  <c r="BA66" i="1"/>
  <c r="AZ66" i="1"/>
  <c r="M66" i="1"/>
  <c r="ER65" i="1"/>
  <c r="DZ65" i="1"/>
  <c r="DY65" i="1"/>
  <c r="DS65" i="1"/>
  <c r="DR65" i="1"/>
  <c r="DQ65" i="1"/>
  <c r="DP65" i="1"/>
  <c r="DN65" i="1"/>
  <c r="DO65" i="1" s="1"/>
  <c r="DG65" i="1"/>
  <c r="DH65" i="1" s="1"/>
  <c r="DC65" i="1"/>
  <c r="CP65" i="1"/>
  <c r="BX65" i="1"/>
  <c r="BZ65" i="1" s="1"/>
  <c r="BW65" i="1"/>
  <c r="BP65" i="1"/>
  <c r="BQ65" i="1" s="1"/>
  <c r="BO65" i="1"/>
  <c r="BF65" i="1"/>
  <c r="BE65" i="1"/>
  <c r="BD65" i="1"/>
  <c r="BC65" i="1"/>
  <c r="BB65" i="1"/>
  <c r="BA65" i="1"/>
  <c r="AZ65" i="1"/>
  <c r="M65" i="1"/>
  <c r="ER68" i="1"/>
  <c r="DZ68" i="1"/>
  <c r="DY68" i="1"/>
  <c r="DS68" i="1"/>
  <c r="DR68" i="1"/>
  <c r="DQ68" i="1"/>
  <c r="DP68" i="1"/>
  <c r="DN68" i="1"/>
  <c r="DO68" i="1" s="1"/>
  <c r="DG68" i="1"/>
  <c r="DH68" i="1" s="1"/>
  <c r="DC68" i="1"/>
  <c r="CP68" i="1"/>
  <c r="CV68" i="1" s="1"/>
  <c r="BX68" i="1"/>
  <c r="BZ68" i="1" s="1"/>
  <c r="BW68" i="1"/>
  <c r="BP68" i="1"/>
  <c r="BQ68" i="1" s="1"/>
  <c r="BO68" i="1"/>
  <c r="BF68" i="1"/>
  <c r="BE68" i="1"/>
  <c r="BD68" i="1"/>
  <c r="BC68" i="1"/>
  <c r="BB68" i="1"/>
  <c r="BA68" i="1"/>
  <c r="AZ68" i="1"/>
  <c r="M68" i="1"/>
  <c r="ER67" i="1"/>
  <c r="DZ67" i="1"/>
  <c r="DY67" i="1"/>
  <c r="DS67" i="1"/>
  <c r="DR67" i="1"/>
  <c r="DQ67" i="1"/>
  <c r="DP67" i="1"/>
  <c r="DN67" i="1"/>
  <c r="DO67" i="1" s="1"/>
  <c r="DG67" i="1"/>
  <c r="DH67" i="1" s="1"/>
  <c r="DC67" i="1"/>
  <c r="CP67" i="1"/>
  <c r="CV67" i="1" s="1"/>
  <c r="BX67" i="1"/>
  <c r="BZ67" i="1" s="1"/>
  <c r="BW67" i="1"/>
  <c r="BP67" i="1"/>
  <c r="BQ67" i="1" s="1"/>
  <c r="BO67" i="1"/>
  <c r="BF67" i="1"/>
  <c r="BE67" i="1"/>
  <c r="BD67" i="1"/>
  <c r="BC67" i="1"/>
  <c r="BB67" i="1"/>
  <c r="BA67" i="1"/>
  <c r="AZ67" i="1"/>
  <c r="M67" i="1"/>
  <c r="ER1114" i="1"/>
  <c r="DZ1114" i="1"/>
  <c r="DY1114" i="1"/>
  <c r="DS1114" i="1"/>
  <c r="DR1114" i="1"/>
  <c r="DQ1114" i="1"/>
  <c r="DP1114" i="1"/>
  <c r="DN1114" i="1"/>
  <c r="DO1114" i="1" s="1"/>
  <c r="DH1114" i="1"/>
  <c r="DC1114" i="1"/>
  <c r="CP1114" i="1"/>
  <c r="CQ1114" i="1" s="1"/>
  <c r="BX1114" i="1"/>
  <c r="BZ1114" i="1" s="1"/>
  <c r="BW1114" i="1"/>
  <c r="BP1114" i="1"/>
  <c r="BQ1114" i="1" s="1"/>
  <c r="BO1114" i="1"/>
  <c r="BF1114" i="1"/>
  <c r="BE1114" i="1"/>
  <c r="BD1114" i="1"/>
  <c r="BC1114" i="1"/>
  <c r="BB1114" i="1"/>
  <c r="BA1114" i="1"/>
  <c r="BG1114" i="1" s="1" a="1"/>
  <c r="BG1114" i="1" s="1"/>
  <c r="AZ1114" i="1"/>
  <c r="M1114" i="1"/>
  <c r="ER1115" i="1"/>
  <c r="DZ1115" i="1"/>
  <c r="DY1115" i="1"/>
  <c r="DS1115" i="1"/>
  <c r="DR1115" i="1"/>
  <c r="DQ1115" i="1"/>
  <c r="DP1115" i="1"/>
  <c r="DN1115" i="1"/>
  <c r="DO1115" i="1" s="1"/>
  <c r="DH1115" i="1"/>
  <c r="DC1115" i="1"/>
  <c r="CP1115" i="1"/>
  <c r="CU1115" i="1" s="1"/>
  <c r="BX1115" i="1"/>
  <c r="BZ1115" i="1" s="1"/>
  <c r="BW1115" i="1"/>
  <c r="BP1115" i="1"/>
  <c r="BQ1115" i="1" s="1"/>
  <c r="BO1115" i="1"/>
  <c r="BF1115" i="1"/>
  <c r="BE1115" i="1"/>
  <c r="BD1115" i="1"/>
  <c r="BC1115" i="1"/>
  <c r="BB1115" i="1"/>
  <c r="BA1115" i="1"/>
  <c r="BG1115" i="1" s="1" a="1"/>
  <c r="BG1115" i="1" s="1"/>
  <c r="AZ1115" i="1"/>
  <c r="M1115" i="1"/>
  <c r="ER996" i="1"/>
  <c r="DZ996" i="1"/>
  <c r="DY996" i="1"/>
  <c r="DS996" i="1"/>
  <c r="DR996" i="1"/>
  <c r="DQ996" i="1"/>
  <c r="DP996" i="1"/>
  <c r="DN996" i="1"/>
  <c r="DO996" i="1" s="1"/>
  <c r="DH996" i="1"/>
  <c r="DC996" i="1"/>
  <c r="CP996" i="1"/>
  <c r="CQ996" i="1" s="1"/>
  <c r="BX996" i="1"/>
  <c r="BZ996" i="1" s="1"/>
  <c r="BW996" i="1"/>
  <c r="BP996" i="1"/>
  <c r="BQ996" i="1" s="1"/>
  <c r="BO996" i="1"/>
  <c r="BF996" i="1"/>
  <c r="BE996" i="1"/>
  <c r="BD996" i="1"/>
  <c r="BC996" i="1"/>
  <c r="BB996" i="1"/>
  <c r="BA996" i="1"/>
  <c r="BG996" i="1" s="1" a="1"/>
  <c r="BG996" i="1" s="1"/>
  <c r="AZ996" i="1"/>
  <c r="M996" i="1"/>
  <c r="ER720" i="1"/>
  <c r="DZ720" i="1"/>
  <c r="DY720" i="1"/>
  <c r="DS720" i="1"/>
  <c r="DR720" i="1"/>
  <c r="DQ720" i="1"/>
  <c r="DP720" i="1"/>
  <c r="DN720" i="1"/>
  <c r="DO720" i="1" s="1"/>
  <c r="DH720" i="1"/>
  <c r="DC720" i="1"/>
  <c r="CP720" i="1"/>
  <c r="BX720" i="1"/>
  <c r="BZ720" i="1" s="1"/>
  <c r="BW720" i="1"/>
  <c r="BP720" i="1"/>
  <c r="BQ720" i="1" s="1"/>
  <c r="BO720" i="1"/>
  <c r="BF720" i="1"/>
  <c r="BE720" i="1"/>
  <c r="BD720" i="1"/>
  <c r="BC720" i="1"/>
  <c r="BB720" i="1"/>
  <c r="BA720" i="1"/>
  <c r="BG720" i="1" s="1" a="1"/>
  <c r="BG720" i="1" s="1"/>
  <c r="AZ720" i="1"/>
  <c r="M720" i="1"/>
  <c r="ER715" i="1"/>
  <c r="DZ715" i="1"/>
  <c r="DY715" i="1"/>
  <c r="DS715" i="1"/>
  <c r="DR715" i="1"/>
  <c r="DQ715" i="1"/>
  <c r="DP715" i="1"/>
  <c r="DN715" i="1"/>
  <c r="DO715" i="1" s="1"/>
  <c r="DH715" i="1"/>
  <c r="DC715" i="1"/>
  <c r="CP715" i="1"/>
  <c r="CV715" i="1" s="1"/>
  <c r="BX715" i="1"/>
  <c r="BZ715" i="1" s="1"/>
  <c r="BW715" i="1"/>
  <c r="BP715" i="1"/>
  <c r="BQ715" i="1" s="1"/>
  <c r="BO715" i="1"/>
  <c r="BF715" i="1"/>
  <c r="BE715" i="1"/>
  <c r="BD715" i="1"/>
  <c r="BC715" i="1"/>
  <c r="BB715" i="1"/>
  <c r="BA715" i="1"/>
  <c r="BG715" i="1" s="1" a="1"/>
  <c r="BG715" i="1" s="1"/>
  <c r="AZ715" i="1"/>
  <c r="M715" i="1"/>
  <c r="ER1120" i="1"/>
  <c r="DZ1120" i="1"/>
  <c r="DY1120" i="1"/>
  <c r="DS1120" i="1"/>
  <c r="DR1120" i="1"/>
  <c r="DQ1120" i="1"/>
  <c r="DP1120" i="1"/>
  <c r="DN1120" i="1"/>
  <c r="DO1120" i="1" s="1"/>
  <c r="DH1120" i="1"/>
  <c r="DC1120" i="1"/>
  <c r="CP1120" i="1"/>
  <c r="BX1120" i="1"/>
  <c r="BZ1120" i="1" s="1"/>
  <c r="BW1120" i="1"/>
  <c r="BP1120" i="1"/>
  <c r="BQ1120" i="1" s="1"/>
  <c r="BO1120" i="1"/>
  <c r="BF1120" i="1"/>
  <c r="BE1120" i="1"/>
  <c r="BD1120" i="1"/>
  <c r="BC1120" i="1"/>
  <c r="BB1120" i="1"/>
  <c r="BA1120" i="1"/>
  <c r="AZ1120" i="1"/>
  <c r="M1120" i="1"/>
  <c r="ER916" i="1"/>
  <c r="DZ916" i="1"/>
  <c r="DY916" i="1"/>
  <c r="DS916" i="1"/>
  <c r="DR916" i="1"/>
  <c r="DQ916" i="1"/>
  <c r="DP916" i="1"/>
  <c r="DN916" i="1"/>
  <c r="DO916" i="1" s="1"/>
  <c r="DH916" i="1"/>
  <c r="DC916" i="1"/>
  <c r="CP916" i="1"/>
  <c r="CQ916" i="1" s="1"/>
  <c r="BX916" i="1"/>
  <c r="BZ916" i="1" s="1"/>
  <c r="BW916" i="1"/>
  <c r="BP916" i="1"/>
  <c r="BQ916" i="1" s="1"/>
  <c r="BO916" i="1"/>
  <c r="BF916" i="1"/>
  <c r="BE916" i="1"/>
  <c r="BD916" i="1"/>
  <c r="BC916" i="1"/>
  <c r="BB916" i="1"/>
  <c r="BA916" i="1"/>
  <c r="AZ916" i="1"/>
  <c r="M916" i="1"/>
  <c r="ER716" i="1"/>
  <c r="DZ716" i="1"/>
  <c r="DY716" i="1"/>
  <c r="DS716" i="1"/>
  <c r="DR716" i="1"/>
  <c r="DQ716" i="1"/>
  <c r="DP716" i="1"/>
  <c r="DN716" i="1"/>
  <c r="DO716" i="1" s="1"/>
  <c r="DH716" i="1"/>
  <c r="DC716" i="1"/>
  <c r="CP716" i="1"/>
  <c r="CQ716" i="1" s="1"/>
  <c r="BX716" i="1"/>
  <c r="BZ716" i="1" s="1"/>
  <c r="BW716" i="1"/>
  <c r="BP716" i="1"/>
  <c r="BQ716" i="1" s="1"/>
  <c r="BO716" i="1"/>
  <c r="BF716" i="1"/>
  <c r="BE716" i="1"/>
  <c r="BD716" i="1"/>
  <c r="BC716" i="1"/>
  <c r="BB716" i="1"/>
  <c r="BA716" i="1"/>
  <c r="AZ716" i="1"/>
  <c r="M716" i="1"/>
  <c r="ER1595" i="1"/>
  <c r="DZ1595" i="1"/>
  <c r="DY1595" i="1"/>
  <c r="DS1595" i="1"/>
  <c r="DR1595" i="1"/>
  <c r="DQ1595" i="1"/>
  <c r="DP1595" i="1"/>
  <c r="DN1595" i="1"/>
  <c r="DO1595" i="1" s="1"/>
  <c r="DH1595" i="1"/>
  <c r="DC1595" i="1"/>
  <c r="BX1595" i="1"/>
  <c r="BZ1595" i="1" s="1"/>
  <c r="BN1595" i="1"/>
  <c r="CP1595" i="1" s="1"/>
  <c r="BF1595" i="1"/>
  <c r="BE1595" i="1"/>
  <c r="BD1595" i="1"/>
  <c r="BC1595" i="1"/>
  <c r="BB1595" i="1"/>
  <c r="BA1595" i="1"/>
  <c r="BG1595" i="1" s="1" a="1"/>
  <c r="BG1595" i="1" s="1"/>
  <c r="AZ1595" i="1"/>
  <c r="M1595" i="1"/>
  <c r="ER1596" i="1"/>
  <c r="DZ1596" i="1"/>
  <c r="DY1596" i="1"/>
  <c r="DS1596" i="1"/>
  <c r="DR1596" i="1"/>
  <c r="DQ1596" i="1"/>
  <c r="DP1596" i="1"/>
  <c r="DN1596" i="1"/>
  <c r="DO1596" i="1" s="1"/>
  <c r="DH1596" i="1"/>
  <c r="DC1596" i="1"/>
  <c r="BX1596" i="1"/>
  <c r="BZ1596" i="1" s="1"/>
  <c r="BN1596" i="1"/>
  <c r="BF1596" i="1"/>
  <c r="BE1596" i="1"/>
  <c r="BD1596" i="1"/>
  <c r="BC1596" i="1"/>
  <c r="BB1596" i="1"/>
  <c r="BA1596" i="1"/>
  <c r="BG1596" i="1" s="1" a="1"/>
  <c r="BG1596" i="1" s="1"/>
  <c r="AZ1596" i="1"/>
  <c r="M1596" i="1"/>
  <c r="ER1387" i="1"/>
  <c r="DZ1387" i="1"/>
  <c r="DY1387" i="1"/>
  <c r="DS1387" i="1"/>
  <c r="DR1387" i="1"/>
  <c r="DQ1387" i="1"/>
  <c r="DP1387" i="1"/>
  <c r="DN1387" i="1"/>
  <c r="DO1387" i="1" s="1"/>
  <c r="DH1387" i="1"/>
  <c r="DC1387" i="1"/>
  <c r="CP1387" i="1"/>
  <c r="CV1387" i="1" s="1"/>
  <c r="BZ1387" i="1"/>
  <c r="BP1387" i="1"/>
  <c r="BQ1387" i="1" s="1"/>
  <c r="BF1387" i="1"/>
  <c r="BE1387" i="1"/>
  <c r="BD1387" i="1"/>
  <c r="BC1387" i="1"/>
  <c r="BB1387" i="1"/>
  <c r="BA1387" i="1"/>
  <c r="BG1387" i="1" s="1" a="1"/>
  <c r="BG1387" i="1" s="1"/>
  <c r="AZ1387" i="1"/>
  <c r="M1387" i="1"/>
  <c r="ER1342" i="1"/>
  <c r="DZ1342" i="1"/>
  <c r="DY1342" i="1"/>
  <c r="DS1342" i="1"/>
  <c r="DR1342" i="1"/>
  <c r="DQ1342" i="1"/>
  <c r="DP1342" i="1"/>
  <c r="DN1342" i="1"/>
  <c r="DO1342" i="1" s="1"/>
  <c r="DH1342" i="1"/>
  <c r="DC1342" i="1"/>
  <c r="CP1342" i="1"/>
  <c r="CR1342" i="1" s="1"/>
  <c r="BZ1342" i="1"/>
  <c r="BP1342" i="1"/>
  <c r="BQ1342" i="1" s="1"/>
  <c r="BF1342" i="1"/>
  <c r="BE1342" i="1"/>
  <c r="BD1342" i="1"/>
  <c r="BC1342" i="1"/>
  <c r="BB1342" i="1"/>
  <c r="BA1342" i="1"/>
  <c r="BG1342" i="1" s="1" a="1"/>
  <c r="BG1342" i="1" s="1"/>
  <c r="AZ1342" i="1"/>
  <c r="M1342" i="1"/>
  <c r="ER1295" i="1"/>
  <c r="DZ1295" i="1"/>
  <c r="DY1295" i="1"/>
  <c r="DS1295" i="1"/>
  <c r="DR1295" i="1"/>
  <c r="DQ1295" i="1"/>
  <c r="DP1295" i="1"/>
  <c r="DN1295" i="1"/>
  <c r="DO1295" i="1" s="1"/>
  <c r="DH1295" i="1"/>
  <c r="DC1295" i="1"/>
  <c r="CP1295" i="1"/>
  <c r="CQ1295" i="1" s="1"/>
  <c r="BZ1295" i="1"/>
  <c r="BP1295" i="1"/>
  <c r="BQ1295" i="1" s="1"/>
  <c r="BF1295" i="1"/>
  <c r="BE1295" i="1"/>
  <c r="BD1295" i="1"/>
  <c r="BC1295" i="1"/>
  <c r="BB1295" i="1"/>
  <c r="BA1295" i="1"/>
  <c r="BG1295" i="1" s="1" a="1"/>
  <c r="BG1295" i="1" s="1"/>
  <c r="AZ1295" i="1"/>
  <c r="M1295" i="1"/>
  <c r="ER1266" i="1"/>
  <c r="DZ1266" i="1"/>
  <c r="DY1266" i="1"/>
  <c r="DS1266" i="1"/>
  <c r="DR1266" i="1"/>
  <c r="DQ1266" i="1"/>
  <c r="DP1266" i="1"/>
  <c r="DN1266" i="1"/>
  <c r="DO1266" i="1" s="1"/>
  <c r="DH1266" i="1"/>
  <c r="DC1266" i="1"/>
  <c r="CP1266" i="1"/>
  <c r="CV1266" i="1" s="1"/>
  <c r="BZ1266" i="1"/>
  <c r="BP1266" i="1"/>
  <c r="BQ1266" i="1" s="1"/>
  <c r="BF1266" i="1"/>
  <c r="BE1266" i="1"/>
  <c r="BD1266" i="1"/>
  <c r="BC1266" i="1"/>
  <c r="BB1266" i="1"/>
  <c r="BA1266" i="1"/>
  <c r="BG1266" i="1" s="1" a="1"/>
  <c r="BG1266" i="1" s="1"/>
  <c r="AZ1266" i="1"/>
  <c r="M1266" i="1"/>
  <c r="ER1571" i="1"/>
  <c r="DZ1571" i="1"/>
  <c r="DY1571" i="1"/>
  <c r="DS1571" i="1"/>
  <c r="DR1571" i="1"/>
  <c r="DQ1571" i="1"/>
  <c r="DP1571" i="1"/>
  <c r="DN1571" i="1"/>
  <c r="DO1571" i="1" s="1"/>
  <c r="DH1571" i="1"/>
  <c r="DC1571" i="1"/>
  <c r="CP1571" i="1"/>
  <c r="BV1571" i="1"/>
  <c r="BU1571" i="1"/>
  <c r="BP1571" i="1"/>
  <c r="BQ1571" i="1" s="1"/>
  <c r="BF1571" i="1"/>
  <c r="BE1571" i="1"/>
  <c r="BD1571" i="1"/>
  <c r="BC1571" i="1"/>
  <c r="BB1571" i="1"/>
  <c r="BA1571" i="1"/>
  <c r="BG1571" i="1" s="1" a="1"/>
  <c r="BG1571" i="1" s="1"/>
  <c r="AZ1571" i="1"/>
  <c r="M1571" i="1"/>
  <c r="ER1495" i="1"/>
  <c r="DZ1495" i="1"/>
  <c r="DY1495" i="1"/>
  <c r="DS1495" i="1"/>
  <c r="DR1495" i="1"/>
  <c r="DQ1495" i="1"/>
  <c r="DP1495" i="1"/>
  <c r="DN1495" i="1"/>
  <c r="DO1495" i="1" s="1"/>
  <c r="DH1495" i="1"/>
  <c r="DC1495" i="1"/>
  <c r="CP1495" i="1"/>
  <c r="CV1495" i="1" s="1"/>
  <c r="BX1495" i="1"/>
  <c r="BZ1495" i="1" s="1"/>
  <c r="BW1495" i="1"/>
  <c r="BP1495" i="1"/>
  <c r="BQ1495" i="1" s="1"/>
  <c r="BO1495" i="1"/>
  <c r="BF1495" i="1"/>
  <c r="BE1495" i="1"/>
  <c r="BD1495" i="1"/>
  <c r="BC1495" i="1"/>
  <c r="BB1495" i="1"/>
  <c r="BA1495" i="1"/>
  <c r="BG1495" i="1" s="1" a="1"/>
  <c r="BG1495" i="1" s="1"/>
  <c r="AZ1495" i="1"/>
  <c r="M1495" i="1"/>
  <c r="ER1292" i="1"/>
  <c r="DZ1292" i="1"/>
  <c r="DY1292" i="1"/>
  <c r="DS1292" i="1"/>
  <c r="DR1292" i="1"/>
  <c r="DQ1292" i="1"/>
  <c r="DP1292" i="1"/>
  <c r="DN1292" i="1"/>
  <c r="DO1292" i="1" s="1"/>
  <c r="DH1292" i="1"/>
  <c r="DC1292" i="1"/>
  <c r="CP1292" i="1"/>
  <c r="CR1292" i="1" s="1"/>
  <c r="BX1292" i="1"/>
  <c r="BZ1292" i="1" s="1"/>
  <c r="BW1292" i="1"/>
  <c r="BP1292" i="1"/>
  <c r="BQ1292" i="1" s="1"/>
  <c r="BO1292" i="1"/>
  <c r="BF1292" i="1"/>
  <c r="BE1292" i="1"/>
  <c r="BD1292" i="1"/>
  <c r="BC1292" i="1"/>
  <c r="BB1292" i="1"/>
  <c r="BA1292" i="1"/>
  <c r="BG1292" i="1" s="1" a="1"/>
  <c r="BG1292" i="1" s="1"/>
  <c r="AZ1292" i="1"/>
  <c r="M1292" i="1"/>
  <c r="BP1596" i="1" l="1"/>
  <c r="CP1275" i="1"/>
  <c r="BO1275" i="1"/>
  <c r="BH1449" i="1" a="1"/>
  <c r="BH1449" i="1" s="1"/>
  <c r="BG1449" i="1" s="1" a="1"/>
  <c r="BG1449" i="1" s="1"/>
  <c r="BH1115" i="1" a="1"/>
  <c r="BH1115" i="1" s="1"/>
  <c r="BH71" i="1" a="1"/>
  <c r="BH71" i="1" s="1"/>
  <c r="BG71" i="1" s="1" a="1"/>
  <c r="BG71" i="1" s="1"/>
  <c r="BH857" i="1" a="1"/>
  <c r="BH857" i="1" s="1"/>
  <c r="BH1140" i="1" a="1"/>
  <c r="BH1140" i="1" s="1"/>
  <c r="BH1276" i="1" a="1"/>
  <c r="BH1276" i="1" s="1"/>
  <c r="BH1285" i="1" a="1"/>
  <c r="BH1285" i="1" s="1"/>
  <c r="BH75" i="1" a="1"/>
  <c r="BH75" i="1" s="1"/>
  <c r="BG75" i="1" s="1" a="1"/>
  <c r="BG75" i="1" s="1"/>
  <c r="BH1259" i="1" a="1"/>
  <c r="BH1259" i="1" s="1"/>
  <c r="BH1278" i="1" a="1"/>
  <c r="BH1278" i="1" s="1"/>
  <c r="BH1390" i="1" a="1"/>
  <c r="BH1390" i="1" s="1"/>
  <c r="BH619" i="1" a="1"/>
  <c r="BH619" i="1" s="1"/>
  <c r="BG619" i="1" s="1" a="1"/>
  <c r="BG619" i="1" s="1"/>
  <c r="BH1266" i="1" a="1"/>
  <c r="BH1266" i="1" s="1"/>
  <c r="BH1595" i="1" a="1"/>
  <c r="BH1595" i="1" s="1"/>
  <c r="BH720" i="1" a="1"/>
  <c r="BH720" i="1" s="1"/>
  <c r="BH715" i="1" a="1"/>
  <c r="BH715" i="1" s="1"/>
  <c r="BH66" i="1" a="1"/>
  <c r="BH66" i="1" s="1"/>
  <c r="BG66" i="1" s="1" a="1"/>
  <c r="BG66" i="1" s="1"/>
  <c r="BH76" i="1" a="1"/>
  <c r="BH76" i="1" s="1"/>
  <c r="BG76" i="1" s="1" a="1"/>
  <c r="BG76" i="1" s="1"/>
  <c r="BH855" i="1" a="1"/>
  <c r="BH855" i="1" s="1"/>
  <c r="BH1291" i="1" a="1"/>
  <c r="BH1291" i="1" s="1"/>
  <c r="BH957" i="1" a="1"/>
  <c r="BH957" i="1" s="1"/>
  <c r="BH1130" i="1" a="1"/>
  <c r="BH1130" i="1" s="1"/>
  <c r="BH1445" i="1" a="1"/>
  <c r="BH1445" i="1" s="1"/>
  <c r="BH1441" i="1" a="1"/>
  <c r="BH1441" i="1" s="1"/>
  <c r="BH1436" i="1" a="1"/>
  <c r="BH1436" i="1" s="1"/>
  <c r="BH94" i="1" a="1"/>
  <c r="BH94" i="1" s="1"/>
  <c r="BH92" i="1" a="1"/>
  <c r="BH92" i="1" s="1"/>
  <c r="BH95" i="1" a="1"/>
  <c r="BH95" i="1" s="1"/>
  <c r="BH1446" i="1" a="1"/>
  <c r="BH1446" i="1" s="1"/>
  <c r="BG1446" i="1" s="1" a="1"/>
  <c r="BG1446" i="1" s="1"/>
  <c r="BH1387" i="1" a="1"/>
  <c r="BH1387" i="1" s="1"/>
  <c r="BH996" i="1" a="1"/>
  <c r="BH996" i="1" s="1"/>
  <c r="BH70" i="1" a="1"/>
  <c r="BH70" i="1" s="1"/>
  <c r="BG70" i="1" s="1" a="1"/>
  <c r="BG70" i="1" s="1"/>
  <c r="BH860" i="1" a="1"/>
  <c r="BH860" i="1" s="1"/>
  <c r="BH1121" i="1" a="1"/>
  <c r="BH1121" i="1" s="1"/>
  <c r="BH1132" i="1" a="1"/>
  <c r="BH1132" i="1" s="1"/>
  <c r="BH1443" i="1" a="1"/>
  <c r="BH1443" i="1" s="1"/>
  <c r="BH1440" i="1" a="1"/>
  <c r="BH1440" i="1" s="1"/>
  <c r="BH1437" i="1" a="1"/>
  <c r="BH1437" i="1" s="1"/>
  <c r="BH1448" i="1" a="1"/>
  <c r="BH1448" i="1" s="1"/>
  <c r="BG1448" i="1" s="1" a="1"/>
  <c r="BG1448" i="1" s="1"/>
  <c r="BH69" i="1" a="1"/>
  <c r="BH69" i="1" s="1"/>
  <c r="BG69" i="1" s="1" a="1"/>
  <c r="BG69" i="1" s="1"/>
  <c r="BH858" i="1" a="1"/>
  <c r="BH858" i="1" s="1"/>
  <c r="BH1267" i="1" a="1"/>
  <c r="BH1267" i="1" s="1"/>
  <c r="BH1279" i="1" a="1"/>
  <c r="BH1279" i="1" s="1"/>
  <c r="BH1447" i="1" a="1"/>
  <c r="BH1447" i="1" s="1"/>
  <c r="BG1447" i="1" s="1" a="1"/>
  <c r="BG1447" i="1" s="1"/>
  <c r="BH1571" i="1" a="1"/>
  <c r="BH1571" i="1" s="1"/>
  <c r="BH1342" i="1" a="1"/>
  <c r="BH1342" i="1" s="1"/>
  <c r="BH1120" i="1" a="1"/>
  <c r="BH1120" i="1" s="1"/>
  <c r="BG1120" i="1" s="1" a="1"/>
  <c r="BG1120" i="1" s="1"/>
  <c r="BH65" i="1" a="1"/>
  <c r="BH65" i="1" s="1"/>
  <c r="BG65" i="1" s="1" a="1"/>
  <c r="BG65" i="1" s="1"/>
  <c r="BH1495" i="1" a="1"/>
  <c r="BH1495" i="1" s="1"/>
  <c r="BH916" i="1" a="1"/>
  <c r="BH916" i="1" s="1"/>
  <c r="BG916" i="1" s="1" a="1"/>
  <c r="BG916" i="1" s="1"/>
  <c r="BH68" i="1" a="1"/>
  <c r="BH68" i="1" s="1"/>
  <c r="BG68" i="1" s="1" a="1"/>
  <c r="BG68" i="1" s="1"/>
  <c r="BH74" i="1" a="1"/>
  <c r="BH74" i="1" s="1"/>
  <c r="BG74" i="1" s="1" a="1"/>
  <c r="BG74" i="1" s="1"/>
  <c r="BH676" i="1" a="1"/>
  <c r="BH676" i="1" s="1"/>
  <c r="BH1129" i="1" a="1"/>
  <c r="BH1129" i="1" s="1"/>
  <c r="BH1442" i="1" a="1"/>
  <c r="BH1442" i="1" s="1"/>
  <c r="BH1435" i="1" a="1"/>
  <c r="BH1435" i="1" s="1"/>
  <c r="BH1439" i="1" a="1"/>
  <c r="BH1439" i="1" s="1"/>
  <c r="BH618" i="1" a="1"/>
  <c r="BH618" i="1" s="1"/>
  <c r="BG618" i="1" s="1" a="1"/>
  <c r="BG618" i="1" s="1"/>
  <c r="BH1292" i="1" a="1"/>
  <c r="BH1292" i="1" s="1"/>
  <c r="BH1596" i="1" a="1"/>
  <c r="BH1596" i="1" s="1"/>
  <c r="BH716" i="1" a="1"/>
  <c r="BH716" i="1" s="1"/>
  <c r="BG716" i="1" s="1" a="1"/>
  <c r="BG716" i="1" s="1"/>
  <c r="BH67" i="1" a="1"/>
  <c r="BH67" i="1" s="1"/>
  <c r="BG67" i="1" s="1" a="1"/>
  <c r="BG67" i="1" s="1"/>
  <c r="BH73" i="1" a="1"/>
  <c r="BH73" i="1" s="1"/>
  <c r="BG73" i="1" s="1" a="1"/>
  <c r="BG73" i="1" s="1"/>
  <c r="BH856" i="1" a="1"/>
  <c r="BH856" i="1" s="1"/>
  <c r="BH1142" i="1" a="1"/>
  <c r="BH1142" i="1" s="1"/>
  <c r="BH1277" i="1" a="1"/>
  <c r="BH1277" i="1" s="1"/>
  <c r="BH1288" i="1" a="1"/>
  <c r="BH1288" i="1" s="1"/>
  <c r="BH1451" i="1" a="1"/>
  <c r="BH1451" i="1" s="1"/>
  <c r="BG1451" i="1" s="1" a="1"/>
  <c r="BG1451" i="1" s="1"/>
  <c r="BH1295" i="1" a="1"/>
  <c r="BH1295" i="1" s="1"/>
  <c r="BH1114" i="1" a="1"/>
  <c r="BH1114" i="1" s="1"/>
  <c r="BH72" i="1" a="1"/>
  <c r="BH72" i="1" s="1"/>
  <c r="BG72" i="1" s="1" a="1"/>
  <c r="BG72" i="1" s="1"/>
  <c r="BH859" i="1" a="1"/>
  <c r="BH859" i="1" s="1"/>
  <c r="BH1125" i="1" a="1"/>
  <c r="BH1125" i="1" s="1"/>
  <c r="BH1444" i="1" a="1"/>
  <c r="BH1444" i="1" s="1"/>
  <c r="BH1434" i="1" a="1"/>
  <c r="BH1434" i="1" s="1"/>
  <c r="BH1438" i="1" a="1"/>
  <c r="BH1438" i="1" s="1"/>
  <c r="BH93" i="1" a="1"/>
  <c r="BH93" i="1" s="1"/>
  <c r="BH97" i="1" a="1"/>
  <c r="BH97" i="1" s="1"/>
  <c r="BH96" i="1" a="1"/>
  <c r="BH96" i="1" s="1"/>
  <c r="BH1450" i="1" a="1"/>
  <c r="BH1450" i="1" s="1"/>
  <c r="BG1450" i="1" s="1" a="1"/>
  <c r="BG1450" i="1" s="1"/>
  <c r="BX1571" i="1"/>
  <c r="BZ1571" i="1" s="1"/>
  <c r="CA1571" i="1" s="1"/>
  <c r="CR1451" i="1"/>
  <c r="CV1451" i="1"/>
  <c r="DA1451" i="1" s="1"/>
  <c r="BQ1596" i="1"/>
  <c r="CA1596" i="1" s="1"/>
  <c r="EY1596" i="1" s="1"/>
  <c r="CP1596" i="1"/>
  <c r="CR1596" i="1" s="1"/>
  <c r="CA1278" i="1"/>
  <c r="EY1278" i="1" s="1"/>
  <c r="CS1440" i="1"/>
  <c r="CT1440" i="1" s="1"/>
  <c r="CR1442" i="1"/>
  <c r="CV96" i="1"/>
  <c r="CA619" i="1"/>
  <c r="EY619" i="1" s="1"/>
  <c r="CQ1266" i="1"/>
  <c r="CV1442" i="1"/>
  <c r="DA1442" i="1" s="1"/>
  <c r="CS855" i="1"/>
  <c r="CT855" i="1" s="1"/>
  <c r="CQ1285" i="1"/>
  <c r="CU71" i="1"/>
  <c r="CS74" i="1"/>
  <c r="CT74" i="1" s="1"/>
  <c r="CS1291" i="1"/>
  <c r="CT1291" i="1" s="1"/>
  <c r="CU1278" i="1"/>
  <c r="CA1285" i="1"/>
  <c r="EY1285" i="1" s="1"/>
  <c r="CS68" i="1"/>
  <c r="CT68" i="1" s="1"/>
  <c r="CR1387" i="1"/>
  <c r="CS858" i="1"/>
  <c r="CT858" i="1" s="1"/>
  <c r="CA1288" i="1"/>
  <c r="EY1288" i="1" s="1"/>
  <c r="CA1120" i="1"/>
  <c r="EY1120" i="1" s="1"/>
  <c r="CA1444" i="1"/>
  <c r="EY1444" i="1" s="1"/>
  <c r="CA1442" i="1"/>
  <c r="EY1442" i="1" s="1"/>
  <c r="CA1276" i="1"/>
  <c r="EY1276" i="1" s="1"/>
  <c r="CU68" i="1"/>
  <c r="DA68" i="1" s="1"/>
  <c r="CQ1450" i="1"/>
  <c r="CA1342" i="1"/>
  <c r="EY1342" i="1" s="1"/>
  <c r="CS916" i="1"/>
  <c r="CT916" i="1" s="1"/>
  <c r="CV996" i="1"/>
  <c r="CU66" i="1"/>
  <c r="DA66" i="1" s="1"/>
  <c r="CW73" i="1"/>
  <c r="CA1259" i="1"/>
  <c r="EY1259" i="1" s="1"/>
  <c r="CS1390" i="1"/>
  <c r="CT1390" i="1" s="1"/>
  <c r="CS1441" i="1"/>
  <c r="CT1441" i="1" s="1"/>
  <c r="CA1448" i="1"/>
  <c r="EY1448" i="1" s="1"/>
  <c r="CA716" i="1"/>
  <c r="EY716" i="1" s="1"/>
  <c r="CS1259" i="1"/>
  <c r="CT1259" i="1" s="1"/>
  <c r="CA1114" i="1"/>
  <c r="EY1114" i="1" s="1"/>
  <c r="CV1259" i="1"/>
  <c r="CS996" i="1"/>
  <c r="CT996" i="1" s="1"/>
  <c r="CQ1129" i="1"/>
  <c r="CQ1390" i="1"/>
  <c r="CU1441" i="1"/>
  <c r="CA72" i="1"/>
  <c r="EY72" i="1" s="1"/>
  <c r="CA1435" i="1"/>
  <c r="EY1435" i="1" s="1"/>
  <c r="CW996" i="1"/>
  <c r="CU858" i="1"/>
  <c r="DA858" i="1" s="1"/>
  <c r="CS1142" i="1"/>
  <c r="CT1142" i="1" s="1"/>
  <c r="CW1443" i="1"/>
  <c r="CS70" i="1"/>
  <c r="CT70" i="1" s="1"/>
  <c r="CS75" i="1"/>
  <c r="CT75" i="1" s="1"/>
  <c r="CA1115" i="1"/>
  <c r="EY1115" i="1" s="1"/>
  <c r="CU73" i="1"/>
  <c r="DA73" i="1" s="1"/>
  <c r="CA860" i="1"/>
  <c r="EY860" i="1" s="1"/>
  <c r="CR1259" i="1"/>
  <c r="CS1267" i="1"/>
  <c r="CT1267" i="1" s="1"/>
  <c r="CS1571" i="1"/>
  <c r="CT1571" i="1" s="1"/>
  <c r="CS66" i="1"/>
  <c r="CT66" i="1" s="1"/>
  <c r="CA74" i="1"/>
  <c r="EY74" i="1" s="1"/>
  <c r="CR855" i="1"/>
  <c r="CA1121" i="1"/>
  <c r="EY1121" i="1" s="1"/>
  <c r="CS1125" i="1"/>
  <c r="CT1125" i="1" s="1"/>
  <c r="CA1140" i="1"/>
  <c r="EY1140" i="1" s="1"/>
  <c r="CU1259" i="1"/>
  <c r="CU1277" i="1"/>
  <c r="CS1434" i="1"/>
  <c r="CT1434" i="1" s="1"/>
  <c r="CS1266" i="1"/>
  <c r="CT1266" i="1" s="1"/>
  <c r="CS720" i="1"/>
  <c r="CT720" i="1" s="1"/>
  <c r="CS1114" i="1"/>
  <c r="CT1114" i="1" s="1"/>
  <c r="CQ74" i="1"/>
  <c r="CQ1140" i="1"/>
  <c r="CA1142" i="1"/>
  <c r="EY1142" i="1" s="1"/>
  <c r="CR1267" i="1"/>
  <c r="CS1278" i="1"/>
  <c r="CT1278" i="1" s="1"/>
  <c r="CV1439" i="1"/>
  <c r="DA1439" i="1" s="1"/>
  <c r="CR92" i="1"/>
  <c r="CA1295" i="1"/>
  <c r="EY1295" i="1" s="1"/>
  <c r="CA1387" i="1"/>
  <c r="EY1387" i="1" s="1"/>
  <c r="CW916" i="1"/>
  <c r="CV74" i="1"/>
  <c r="DA74" i="1" s="1"/>
  <c r="CA857" i="1"/>
  <c r="EY857" i="1" s="1"/>
  <c r="CU1125" i="1"/>
  <c r="CU1140" i="1"/>
  <c r="DA1140" i="1" s="1"/>
  <c r="CV1267" i="1"/>
  <c r="DA1267" i="1" s="1"/>
  <c r="CQ1278" i="1"/>
  <c r="CR1440" i="1"/>
  <c r="CV94" i="1"/>
  <c r="DA94" i="1" s="1"/>
  <c r="CS92" i="1"/>
  <c r="CT92" i="1" s="1"/>
  <c r="CS1446" i="1"/>
  <c r="CT1446" i="1" s="1"/>
  <c r="CA67" i="1"/>
  <c r="EY67" i="1" s="1"/>
  <c r="CA75" i="1"/>
  <c r="EY75" i="1" s="1"/>
  <c r="CW1267" i="1"/>
  <c r="CV1440" i="1"/>
  <c r="CQ1451" i="1"/>
  <c r="CR916" i="1"/>
  <c r="CA1132" i="1"/>
  <c r="EY1132" i="1" s="1"/>
  <c r="CS1292" i="1"/>
  <c r="CT1292" i="1" s="1"/>
  <c r="CV1295" i="1"/>
  <c r="CW1342" i="1"/>
  <c r="CQ1387" i="1"/>
  <c r="CU916" i="1"/>
  <c r="CU67" i="1"/>
  <c r="DA67" i="1" s="1"/>
  <c r="CR73" i="1"/>
  <c r="CQ1259" i="1"/>
  <c r="CV1278" i="1"/>
  <c r="CA1279" i="1"/>
  <c r="EY1279" i="1" s="1"/>
  <c r="CW1390" i="1"/>
  <c r="CU1434" i="1"/>
  <c r="DA1434" i="1" s="1"/>
  <c r="CA1449" i="1"/>
  <c r="EY1449" i="1" s="1"/>
  <c r="CA1291" i="1"/>
  <c r="EY1291" i="1" s="1"/>
  <c r="CW1291" i="1"/>
  <c r="CW859" i="1"/>
  <c r="CA859" i="1"/>
  <c r="EY859" i="1" s="1"/>
  <c r="CU1292" i="1"/>
  <c r="CU1571" i="1"/>
  <c r="CU1387" i="1"/>
  <c r="DA1387" i="1" s="1"/>
  <c r="CV916" i="1"/>
  <c r="CR996" i="1"/>
  <c r="CU1114" i="1"/>
  <c r="CA71" i="1"/>
  <c r="EY71" i="1" s="1"/>
  <c r="CQ857" i="1"/>
  <c r="CU1291" i="1"/>
  <c r="CV1129" i="1"/>
  <c r="CS1277" i="1"/>
  <c r="CT1277" i="1" s="1"/>
  <c r="CA1436" i="1"/>
  <c r="EY1436" i="1" s="1"/>
  <c r="CS96" i="1"/>
  <c r="CT96" i="1" s="1"/>
  <c r="CV1446" i="1"/>
  <c r="CW1449" i="1"/>
  <c r="CW1292" i="1"/>
  <c r="CY1292" i="1" s="1"/>
  <c r="FA1292" i="1" s="1"/>
  <c r="CR1295" i="1"/>
  <c r="CS1342" i="1"/>
  <c r="CT1342" i="1" s="1"/>
  <c r="CA720" i="1"/>
  <c r="EY720" i="1" s="1"/>
  <c r="CU996" i="1"/>
  <c r="CW1114" i="1"/>
  <c r="CQ66" i="1"/>
  <c r="CQ73" i="1"/>
  <c r="CV1291" i="1"/>
  <c r="CS957" i="1"/>
  <c r="CT957" i="1" s="1"/>
  <c r="CQ1125" i="1"/>
  <c r="CA1130" i="1"/>
  <c r="EY1130" i="1" s="1"/>
  <c r="CS1140" i="1"/>
  <c r="CT1140" i="1" s="1"/>
  <c r="CQ1267" i="1"/>
  <c r="CA1277" i="1"/>
  <c r="EY1277" i="1" s="1"/>
  <c r="CV1438" i="1"/>
  <c r="DA1438" i="1" s="1"/>
  <c r="CA93" i="1"/>
  <c r="EY93" i="1" s="1"/>
  <c r="CU96" i="1"/>
  <c r="CS1295" i="1"/>
  <c r="CT1295" i="1" s="1"/>
  <c r="CA68" i="1"/>
  <c r="EY68" i="1" s="1"/>
  <c r="CA65" i="1"/>
  <c r="EY65" i="1" s="1"/>
  <c r="CA70" i="1"/>
  <c r="EY70" i="1" s="1"/>
  <c r="CA858" i="1"/>
  <c r="EY858" i="1" s="1"/>
  <c r="CW957" i="1"/>
  <c r="CW1285" i="1"/>
  <c r="CA1434" i="1"/>
  <c r="EY1434" i="1" s="1"/>
  <c r="CW1140" i="1"/>
  <c r="CQ1439" i="1"/>
  <c r="CQ1447" i="1"/>
  <c r="CQ1495" i="1"/>
  <c r="CR1266" i="1"/>
  <c r="CQ1342" i="1"/>
  <c r="CA715" i="1"/>
  <c r="EY715" i="1" s="1"/>
  <c r="CQ67" i="1"/>
  <c r="CQ68" i="1"/>
  <c r="CR70" i="1"/>
  <c r="CR74" i="1"/>
  <c r="CQ858" i="1"/>
  <c r="CR957" i="1"/>
  <c r="CV1125" i="1"/>
  <c r="CA1129" i="1"/>
  <c r="EY1129" i="1" s="1"/>
  <c r="CW1277" i="1"/>
  <c r="CW1278" i="1"/>
  <c r="CV1390" i="1"/>
  <c r="DA1390" i="1" s="1"/>
  <c r="CV1441" i="1"/>
  <c r="CA1440" i="1"/>
  <c r="EY1440" i="1" s="1"/>
  <c r="CQ1434" i="1"/>
  <c r="CR1439" i="1"/>
  <c r="CU92" i="1"/>
  <c r="CR1447" i="1"/>
  <c r="CA618" i="1"/>
  <c r="EY618" i="1" s="1"/>
  <c r="CR1495" i="1"/>
  <c r="CU1266" i="1"/>
  <c r="DA1266" i="1" s="1"/>
  <c r="CU1342" i="1"/>
  <c r="CS1387" i="1"/>
  <c r="CT1387" i="1" s="1"/>
  <c r="CW1120" i="1"/>
  <c r="CR67" i="1"/>
  <c r="CR68" i="1"/>
  <c r="CA69" i="1"/>
  <c r="EY69" i="1" s="1"/>
  <c r="CV70" i="1"/>
  <c r="DA70" i="1" s="1"/>
  <c r="CR858" i="1"/>
  <c r="CV957" i="1"/>
  <c r="DA957" i="1" s="1"/>
  <c r="CW1142" i="1"/>
  <c r="CQ1442" i="1"/>
  <c r="CR1434" i="1"/>
  <c r="CV92" i="1"/>
  <c r="CV97" i="1"/>
  <c r="DA97" i="1" s="1"/>
  <c r="CA95" i="1"/>
  <c r="EY95" i="1" s="1"/>
  <c r="CA96" i="1"/>
  <c r="EY96" i="1" s="1"/>
  <c r="CQ1446" i="1"/>
  <c r="CU1447" i="1"/>
  <c r="DA1447" i="1" s="1"/>
  <c r="CS1450" i="1"/>
  <c r="CT1450" i="1" s="1"/>
  <c r="CS1451" i="1"/>
  <c r="CT1451" i="1" s="1"/>
  <c r="CA1292" i="1"/>
  <c r="EY1292" i="1" s="1"/>
  <c r="CU1495" i="1"/>
  <c r="DA1495" i="1" s="1"/>
  <c r="CQ1449" i="1"/>
  <c r="CU1450" i="1"/>
  <c r="CA66" i="1"/>
  <c r="EY66" i="1" s="1"/>
  <c r="CU855" i="1"/>
  <c r="CA676" i="1"/>
  <c r="EY676" i="1" s="1"/>
  <c r="CR1291" i="1"/>
  <c r="CA1125" i="1"/>
  <c r="EY1125" i="1" s="1"/>
  <c r="CV1142" i="1"/>
  <c r="CA1267" i="1"/>
  <c r="EY1267" i="1" s="1"/>
  <c r="CA1445" i="1"/>
  <c r="EY1445" i="1" s="1"/>
  <c r="CU1440" i="1"/>
  <c r="CA92" i="1"/>
  <c r="EY92" i="1" s="1"/>
  <c r="CQ96" i="1"/>
  <c r="CU1446" i="1"/>
  <c r="CS1447" i="1"/>
  <c r="CT1447" i="1" s="1"/>
  <c r="CV1449" i="1"/>
  <c r="DA1449" i="1" s="1"/>
  <c r="CV1450" i="1"/>
  <c r="CQ1595" i="1"/>
  <c r="CW1595" i="1"/>
  <c r="CV1595" i="1"/>
  <c r="CR1595" i="1"/>
  <c r="CU1595" i="1"/>
  <c r="CA1266" i="1"/>
  <c r="EY1266" i="1" s="1"/>
  <c r="CA1495" i="1"/>
  <c r="EY1495" i="1" s="1"/>
  <c r="CS1495" i="1"/>
  <c r="CT1495" i="1" s="1"/>
  <c r="CV75" i="1"/>
  <c r="CR75" i="1"/>
  <c r="CQ75" i="1"/>
  <c r="CU1130" i="1"/>
  <c r="CW1130" i="1"/>
  <c r="CV1130" i="1"/>
  <c r="CS1130" i="1"/>
  <c r="CT1130" i="1" s="1"/>
  <c r="CR1130" i="1"/>
  <c r="CQ1130" i="1"/>
  <c r="CA996" i="1"/>
  <c r="EY996" i="1" s="1"/>
  <c r="CW68" i="1"/>
  <c r="CW72" i="1"/>
  <c r="CS72" i="1"/>
  <c r="CT72" i="1" s="1"/>
  <c r="CR72" i="1"/>
  <c r="CW1436" i="1"/>
  <c r="CV1436" i="1"/>
  <c r="CU1436" i="1"/>
  <c r="CS1436" i="1"/>
  <c r="CT1436" i="1" s="1"/>
  <c r="CR1436" i="1"/>
  <c r="CQ1436" i="1"/>
  <c r="BP1595" i="1"/>
  <c r="CA916" i="1"/>
  <c r="EY916" i="1" s="1"/>
  <c r="CV1292" i="1"/>
  <c r="CU1295" i="1"/>
  <c r="CV1342" i="1"/>
  <c r="CW1387" i="1"/>
  <c r="BQ1595" i="1"/>
  <c r="CS1595" i="1" s="1"/>
  <c r="CT1595" i="1" s="1"/>
  <c r="CR716" i="1"/>
  <c r="CQ1120" i="1"/>
  <c r="CQ715" i="1"/>
  <c r="CQ720" i="1"/>
  <c r="CQ1115" i="1"/>
  <c r="CW67" i="1"/>
  <c r="CQ72" i="1"/>
  <c r="CU75" i="1"/>
  <c r="CA76" i="1"/>
  <c r="EY76" i="1" s="1"/>
  <c r="CW860" i="1"/>
  <c r="CV860" i="1"/>
  <c r="CU860" i="1"/>
  <c r="CS860" i="1"/>
  <c r="CT860" i="1" s="1"/>
  <c r="CW1445" i="1"/>
  <c r="CV1445" i="1"/>
  <c r="CS1445" i="1"/>
  <c r="CT1445" i="1" s="1"/>
  <c r="CU1445" i="1"/>
  <c r="CR1445" i="1"/>
  <c r="CS716" i="1"/>
  <c r="CT716" i="1" s="1"/>
  <c r="CR1120" i="1"/>
  <c r="CR715" i="1"/>
  <c r="CR720" i="1"/>
  <c r="CR1115" i="1"/>
  <c r="CV65" i="1"/>
  <c r="CR65" i="1"/>
  <c r="CU69" i="1"/>
  <c r="CS69" i="1"/>
  <c r="CT69" i="1" s="1"/>
  <c r="CU72" i="1"/>
  <c r="CA73" i="1"/>
  <c r="EY73" i="1" s="1"/>
  <c r="CW75" i="1"/>
  <c r="CR76" i="1"/>
  <c r="CW76" i="1"/>
  <c r="BP856" i="1"/>
  <c r="BQ856" i="1" s="1"/>
  <c r="CA856" i="1" s="1"/>
  <c r="EY856" i="1" s="1"/>
  <c r="CP856" i="1"/>
  <c r="CA855" i="1"/>
  <c r="EY855" i="1" s="1"/>
  <c r="CV676" i="1"/>
  <c r="CU676" i="1"/>
  <c r="CS676" i="1"/>
  <c r="CT676" i="1" s="1"/>
  <c r="CR676" i="1"/>
  <c r="CQ676" i="1"/>
  <c r="CA957" i="1"/>
  <c r="EY957" i="1" s="1"/>
  <c r="CQ1121" i="1"/>
  <c r="CW1121" i="1"/>
  <c r="CV1121" i="1"/>
  <c r="CU1121" i="1"/>
  <c r="CS1121" i="1"/>
  <c r="CT1121" i="1" s="1"/>
  <c r="CR1121" i="1"/>
  <c r="CW1129" i="1"/>
  <c r="CQ1276" i="1"/>
  <c r="CW1276" i="1"/>
  <c r="CV1276" i="1"/>
  <c r="CU1276" i="1"/>
  <c r="CS1276" i="1"/>
  <c r="CT1276" i="1" s="1"/>
  <c r="CQ1445" i="1"/>
  <c r="CW1295" i="1"/>
  <c r="CU716" i="1"/>
  <c r="CS1120" i="1"/>
  <c r="CT1120" i="1" s="1"/>
  <c r="CS715" i="1"/>
  <c r="CT715" i="1" s="1"/>
  <c r="CU720" i="1"/>
  <c r="CS1115" i="1"/>
  <c r="CT1115" i="1" s="1"/>
  <c r="CQ65" i="1"/>
  <c r="CQ69" i="1"/>
  <c r="CW70" i="1"/>
  <c r="CV72" i="1"/>
  <c r="CS73" i="1"/>
  <c r="CT73" i="1" s="1"/>
  <c r="CQ76" i="1"/>
  <c r="CR860" i="1"/>
  <c r="CV859" i="1"/>
  <c r="CU859" i="1"/>
  <c r="CS859" i="1"/>
  <c r="CT859" i="1" s="1"/>
  <c r="CR859" i="1"/>
  <c r="CQ859" i="1"/>
  <c r="CW676" i="1"/>
  <c r="CR1276" i="1"/>
  <c r="CW1266" i="1"/>
  <c r="CY1266" i="1" s="1"/>
  <c r="FA1266" i="1" s="1"/>
  <c r="CV716" i="1"/>
  <c r="CU1120" i="1"/>
  <c r="CU715" i="1"/>
  <c r="DA715" i="1" s="1"/>
  <c r="CV720" i="1"/>
  <c r="CV1115" i="1"/>
  <c r="DA1115" i="1" s="1"/>
  <c r="CS67" i="1"/>
  <c r="CT67" i="1" s="1"/>
  <c r="CS65" i="1"/>
  <c r="CT65" i="1" s="1"/>
  <c r="CR69" i="1"/>
  <c r="CQ71" i="1"/>
  <c r="CW71" i="1"/>
  <c r="CV71" i="1"/>
  <c r="CS76" i="1"/>
  <c r="CT76" i="1" s="1"/>
  <c r="CW857" i="1"/>
  <c r="CS857" i="1"/>
  <c r="CT857" i="1" s="1"/>
  <c r="CR857" i="1"/>
  <c r="CW1437" i="1"/>
  <c r="CA1437" i="1"/>
  <c r="EY1437" i="1" s="1"/>
  <c r="CW1495" i="1"/>
  <c r="CY1495" i="1" s="1"/>
  <c r="FA1495" i="1" s="1"/>
  <c r="CV1571" i="1"/>
  <c r="CQ1292" i="1"/>
  <c r="BW1571" i="1"/>
  <c r="CW716" i="1"/>
  <c r="CV1120" i="1"/>
  <c r="CW715" i="1"/>
  <c r="CW720" i="1"/>
  <c r="CW1115" i="1"/>
  <c r="CU65" i="1"/>
  <c r="CV69" i="1"/>
  <c r="CW74" i="1"/>
  <c r="CU76" i="1"/>
  <c r="CW858" i="1"/>
  <c r="CY858" i="1" s="1"/>
  <c r="FA858" i="1" s="1"/>
  <c r="CU1132" i="1"/>
  <c r="CW1132" i="1"/>
  <c r="CV1132" i="1"/>
  <c r="CS1132" i="1"/>
  <c r="CT1132" i="1" s="1"/>
  <c r="CW1288" i="1"/>
  <c r="CS1288" i="1"/>
  <c r="CT1288" i="1" s="1"/>
  <c r="CV1288" i="1"/>
  <c r="CU1288" i="1"/>
  <c r="CR1288" i="1"/>
  <c r="CQ1288" i="1"/>
  <c r="CA1443" i="1"/>
  <c r="EY1443" i="1" s="1"/>
  <c r="CU1444" i="1"/>
  <c r="CS1444" i="1"/>
  <c r="CT1444" i="1" s="1"/>
  <c r="CQ1444" i="1"/>
  <c r="CW1444" i="1"/>
  <c r="CV1444" i="1"/>
  <c r="CW1442" i="1"/>
  <c r="CA94" i="1"/>
  <c r="EY94" i="1" s="1"/>
  <c r="CW94" i="1"/>
  <c r="CV1114" i="1"/>
  <c r="CR1114" i="1"/>
  <c r="CW65" i="1"/>
  <c r="CR66" i="1"/>
  <c r="CW66" i="1"/>
  <c r="CW69" i="1"/>
  <c r="CY69" i="1" s="1"/>
  <c r="FA69" i="1" s="1"/>
  <c r="CS71" i="1"/>
  <c r="CT71" i="1" s="1"/>
  <c r="CV76" i="1"/>
  <c r="CU857" i="1"/>
  <c r="DA857" i="1" s="1"/>
  <c r="CQ1132" i="1"/>
  <c r="CR1444" i="1"/>
  <c r="CA1438" i="1"/>
  <c r="EY1438" i="1" s="1"/>
  <c r="CW1438" i="1"/>
  <c r="CW1435" i="1"/>
  <c r="CV1435" i="1"/>
  <c r="CU1435" i="1"/>
  <c r="CS1435" i="1"/>
  <c r="CT1435" i="1" s="1"/>
  <c r="CW619" i="1"/>
  <c r="CV619" i="1"/>
  <c r="CU619" i="1"/>
  <c r="CS619" i="1"/>
  <c r="CT619" i="1" s="1"/>
  <c r="CR619" i="1"/>
  <c r="CQ619" i="1"/>
  <c r="CU1279" i="1"/>
  <c r="CQ1279" i="1"/>
  <c r="CQ1435" i="1"/>
  <c r="CA97" i="1"/>
  <c r="EY97" i="1" s="1"/>
  <c r="CV855" i="1"/>
  <c r="CR1279" i="1"/>
  <c r="CS1442" i="1"/>
  <c r="CT1442" i="1" s="1"/>
  <c r="CA1441" i="1"/>
  <c r="EY1441" i="1" s="1"/>
  <c r="CW1441" i="1"/>
  <c r="CR1435" i="1"/>
  <c r="CA1439" i="1"/>
  <c r="EY1439" i="1" s="1"/>
  <c r="CW1439" i="1"/>
  <c r="CA1451" i="1"/>
  <c r="EY1451" i="1" s="1"/>
  <c r="CW1451" i="1"/>
  <c r="CY1451" i="1" s="1"/>
  <c r="FA1451" i="1" s="1"/>
  <c r="CW618" i="1"/>
  <c r="CV618" i="1"/>
  <c r="CU618" i="1"/>
  <c r="CS618" i="1"/>
  <c r="CT618" i="1" s="1"/>
  <c r="CR618" i="1"/>
  <c r="CQ70" i="1"/>
  <c r="CW855" i="1"/>
  <c r="CQ957" i="1"/>
  <c r="CW1125" i="1"/>
  <c r="CS1129" i="1"/>
  <c r="CT1129" i="1" s="1"/>
  <c r="CQ1142" i="1"/>
  <c r="CQ1277" i="1"/>
  <c r="CS1279" i="1"/>
  <c r="CT1279" i="1" s="1"/>
  <c r="CS1439" i="1"/>
  <c r="CT1439" i="1" s="1"/>
  <c r="CQ618" i="1"/>
  <c r="CW1259" i="1"/>
  <c r="CV1279" i="1"/>
  <c r="CV1285" i="1"/>
  <c r="DA1285" i="1" s="1"/>
  <c r="CR1285" i="1"/>
  <c r="CV1443" i="1"/>
  <c r="CU1443" i="1"/>
  <c r="CR1443" i="1"/>
  <c r="CW97" i="1"/>
  <c r="CA1447" i="1"/>
  <c r="EY1447" i="1" s="1"/>
  <c r="CW1447" i="1"/>
  <c r="CY1447" i="1" s="1"/>
  <c r="FA1447" i="1" s="1"/>
  <c r="CA1450" i="1"/>
  <c r="EY1450" i="1" s="1"/>
  <c r="CW1450" i="1"/>
  <c r="CW1279" i="1"/>
  <c r="CW93" i="1"/>
  <c r="CV93" i="1"/>
  <c r="CU93" i="1"/>
  <c r="CS93" i="1"/>
  <c r="CT93" i="1" s="1"/>
  <c r="CR93" i="1"/>
  <c r="CQ93" i="1"/>
  <c r="CU1129" i="1"/>
  <c r="CR1140" i="1"/>
  <c r="CU1142" i="1"/>
  <c r="CV1277" i="1"/>
  <c r="CS1285" i="1"/>
  <c r="CT1285" i="1" s="1"/>
  <c r="CR1390" i="1"/>
  <c r="CS1443" i="1"/>
  <c r="CT1443" i="1" s="1"/>
  <c r="CW95" i="1"/>
  <c r="CV95" i="1"/>
  <c r="CU95" i="1"/>
  <c r="CS95" i="1"/>
  <c r="CT95" i="1" s="1"/>
  <c r="CR95" i="1"/>
  <c r="CA1446" i="1"/>
  <c r="EY1446" i="1" s="1"/>
  <c r="CW1446" i="1"/>
  <c r="CY1446" i="1" s="1"/>
  <c r="FA1446" i="1" s="1"/>
  <c r="CW1448" i="1"/>
  <c r="CV1448" i="1"/>
  <c r="CU1448" i="1"/>
  <c r="CS1448" i="1"/>
  <c r="CT1448" i="1" s="1"/>
  <c r="CR1448" i="1"/>
  <c r="CQ1448" i="1"/>
  <c r="CQ1437" i="1"/>
  <c r="CW96" i="1"/>
  <c r="CW1440" i="1"/>
  <c r="CR1437" i="1"/>
  <c r="CQ1438" i="1"/>
  <c r="CQ94" i="1"/>
  <c r="CW92" i="1"/>
  <c r="CQ97" i="1"/>
  <c r="CW1434" i="1"/>
  <c r="CS1437" i="1"/>
  <c r="CT1437" i="1" s="1"/>
  <c r="CR1438" i="1"/>
  <c r="CR94" i="1"/>
  <c r="CR97" i="1"/>
  <c r="CR1449" i="1"/>
  <c r="CQ1441" i="1"/>
  <c r="CU1437" i="1"/>
  <c r="DA1437" i="1" s="1"/>
  <c r="CS1438" i="1"/>
  <c r="CT1438" i="1" s="1"/>
  <c r="CS94" i="1"/>
  <c r="CT94" i="1" s="1"/>
  <c r="CS97" i="1"/>
  <c r="CT97" i="1" s="1"/>
  <c r="CS1449" i="1"/>
  <c r="CT1449" i="1" s="1"/>
  <c r="CY715" i="1" l="1"/>
  <c r="FA715" i="1" s="1"/>
  <c r="CY1125" i="1"/>
  <c r="FA1125" i="1" s="1"/>
  <c r="CY96" i="1"/>
  <c r="FA96" i="1" s="1"/>
  <c r="CY1440" i="1"/>
  <c r="FA1440" i="1" s="1"/>
  <c r="CY75" i="1"/>
  <c r="FA75" i="1" s="1"/>
  <c r="CY1291" i="1"/>
  <c r="FA1291" i="1" s="1"/>
  <c r="CY1277" i="1"/>
  <c r="FA1277" i="1" s="1"/>
  <c r="CY1276" i="1"/>
  <c r="FA1276" i="1" s="1"/>
  <c r="CY860" i="1"/>
  <c r="FA860" i="1" s="1"/>
  <c r="CY1295" i="1"/>
  <c r="FA1295" i="1" s="1"/>
  <c r="CY1444" i="1"/>
  <c r="FA1444" i="1" s="1"/>
  <c r="CY74" i="1"/>
  <c r="FA74" i="1" s="1"/>
  <c r="CY1115" i="1"/>
  <c r="FA1115" i="1" s="1"/>
  <c r="CY1450" i="1"/>
  <c r="FA1450" i="1" s="1"/>
  <c r="CY1448" i="1"/>
  <c r="FA1448" i="1" s="1"/>
  <c r="CY618" i="1"/>
  <c r="FA618" i="1" s="1"/>
  <c r="CY1435" i="1"/>
  <c r="FA1435" i="1" s="1"/>
  <c r="CY1437" i="1"/>
  <c r="FA1437" i="1" s="1"/>
  <c r="CY1121" i="1"/>
  <c r="FA1121" i="1" s="1"/>
  <c r="CY1259" i="1"/>
  <c r="FA1259" i="1" s="1"/>
  <c r="CY1438" i="1"/>
  <c r="FA1438" i="1" s="1"/>
  <c r="CY1130" i="1"/>
  <c r="FA1130" i="1" s="1"/>
  <c r="CY1285" i="1"/>
  <c r="FA1285" i="1" s="1"/>
  <c r="CY676" i="1"/>
  <c r="FA676" i="1" s="1"/>
  <c r="CY1449" i="1"/>
  <c r="FA1449" i="1" s="1"/>
  <c r="CY859" i="1"/>
  <c r="FA859" i="1" s="1"/>
  <c r="CY1288" i="1"/>
  <c r="FA1288" i="1" s="1"/>
  <c r="CY1387" i="1"/>
  <c r="FA1387" i="1" s="1"/>
  <c r="CY1595" i="1"/>
  <c r="FA1595" i="1" s="1"/>
  <c r="CY1114" i="1"/>
  <c r="FA1114" i="1" s="1"/>
  <c r="CY71" i="1"/>
  <c r="FA71" i="1" s="1"/>
  <c r="CY716" i="1"/>
  <c r="FA716" i="1" s="1"/>
  <c r="CY1439" i="1"/>
  <c r="FA1439" i="1" s="1"/>
  <c r="CY65" i="1"/>
  <c r="FA65" i="1" s="1"/>
  <c r="CY857" i="1"/>
  <c r="FA857" i="1" s="1"/>
  <c r="CY1129" i="1"/>
  <c r="FA1129" i="1" s="1"/>
  <c r="CY76" i="1"/>
  <c r="FA76" i="1" s="1"/>
  <c r="CY68" i="1"/>
  <c r="FA68" i="1" s="1"/>
  <c r="CY1142" i="1"/>
  <c r="FA1142" i="1" s="1"/>
  <c r="CY916" i="1"/>
  <c r="FA916" i="1" s="1"/>
  <c r="CY73" i="1"/>
  <c r="FA73" i="1" s="1"/>
  <c r="CY1442" i="1"/>
  <c r="FA1442" i="1" s="1"/>
  <c r="CY1443" i="1"/>
  <c r="FA1443" i="1" s="1"/>
  <c r="CY72" i="1"/>
  <c r="FA72" i="1" s="1"/>
  <c r="CY957" i="1"/>
  <c r="FA957" i="1" s="1"/>
  <c r="CY92" i="1"/>
  <c r="FA92" i="1" s="1"/>
  <c r="CY619" i="1"/>
  <c r="FA619" i="1" s="1"/>
  <c r="CY996" i="1"/>
  <c r="FA996" i="1" s="1"/>
  <c r="CY1434" i="1"/>
  <c r="FA1434" i="1" s="1"/>
  <c r="CY97" i="1"/>
  <c r="FA97" i="1" s="1"/>
  <c r="CY855" i="1"/>
  <c r="FA855" i="1" s="1"/>
  <c r="CY1120" i="1"/>
  <c r="FA1120" i="1" s="1"/>
  <c r="CY93" i="1"/>
  <c r="FA93" i="1" s="1"/>
  <c r="CY70" i="1"/>
  <c r="FA70" i="1" s="1"/>
  <c r="CY1279" i="1"/>
  <c r="FA1279" i="1" s="1"/>
  <c r="CY1445" i="1"/>
  <c r="FA1445" i="1" s="1"/>
  <c r="CY67" i="1"/>
  <c r="FA67" i="1" s="1"/>
  <c r="CY66" i="1"/>
  <c r="FA66" i="1" s="1"/>
  <c r="CY1267" i="1"/>
  <c r="FA1267" i="1" s="1"/>
  <c r="CY1441" i="1"/>
  <c r="FA1441" i="1" s="1"/>
  <c r="CY94" i="1"/>
  <c r="FA94" i="1" s="1"/>
  <c r="CY95" i="1"/>
  <c r="FA95" i="1" s="1"/>
  <c r="CY1132" i="1"/>
  <c r="FA1132" i="1" s="1"/>
  <c r="CY720" i="1"/>
  <c r="FA720" i="1" s="1"/>
  <c r="CY1436" i="1"/>
  <c r="FA1436" i="1" s="1"/>
  <c r="CY1278" i="1"/>
  <c r="FA1278" i="1" s="1"/>
  <c r="CY1140" i="1"/>
  <c r="FA1140" i="1" s="1"/>
  <c r="CY1390" i="1"/>
  <c r="FA1390" i="1" s="1"/>
  <c r="CY1342" i="1"/>
  <c r="FA1342" i="1" s="1"/>
  <c r="CX1447" i="1"/>
  <c r="CZ1447" i="1"/>
  <c r="CX69" i="1"/>
  <c r="CZ69" i="1"/>
  <c r="CX1437" i="1"/>
  <c r="CZ1437" i="1"/>
  <c r="CX66" i="1"/>
  <c r="CZ66" i="1"/>
  <c r="CX1276" i="1"/>
  <c r="CZ1276" i="1"/>
  <c r="CX1434" i="1"/>
  <c r="CZ1434" i="1"/>
  <c r="CX97" i="1"/>
  <c r="CZ97" i="1"/>
  <c r="CX1439" i="1"/>
  <c r="CZ1439" i="1"/>
  <c r="CX65" i="1"/>
  <c r="CZ65" i="1"/>
  <c r="CX74" i="1"/>
  <c r="CZ74" i="1"/>
  <c r="CX857" i="1"/>
  <c r="CZ857" i="1"/>
  <c r="CX1129" i="1"/>
  <c r="CZ1129" i="1"/>
  <c r="CX76" i="1"/>
  <c r="CZ76" i="1"/>
  <c r="CZ68" i="1"/>
  <c r="CX68" i="1"/>
  <c r="CX1142" i="1"/>
  <c r="CZ1142" i="1"/>
  <c r="CX1291" i="1"/>
  <c r="CZ1291" i="1"/>
  <c r="CX916" i="1"/>
  <c r="CZ916" i="1"/>
  <c r="CX73" i="1"/>
  <c r="CZ73" i="1"/>
  <c r="CX618" i="1"/>
  <c r="CZ618" i="1"/>
  <c r="CX1442" i="1"/>
  <c r="CZ1442" i="1"/>
  <c r="CX1266" i="1"/>
  <c r="CZ1266" i="1"/>
  <c r="CX1121" i="1"/>
  <c r="CZ1121" i="1"/>
  <c r="CX1277" i="1"/>
  <c r="CZ1277" i="1"/>
  <c r="CX858" i="1"/>
  <c r="CZ858" i="1"/>
  <c r="CX860" i="1"/>
  <c r="CZ860" i="1"/>
  <c r="CX855" i="1"/>
  <c r="CZ855" i="1"/>
  <c r="CZ957" i="1"/>
  <c r="CX957" i="1"/>
  <c r="CX1449" i="1"/>
  <c r="CZ1449" i="1"/>
  <c r="CX92" i="1"/>
  <c r="CZ92" i="1"/>
  <c r="CX93" i="1"/>
  <c r="CZ93" i="1"/>
  <c r="CX619" i="1"/>
  <c r="CZ619" i="1"/>
  <c r="CX1288" i="1"/>
  <c r="CZ1288" i="1"/>
  <c r="CX70" i="1"/>
  <c r="CZ70" i="1"/>
  <c r="CX1295" i="1"/>
  <c r="CZ1295" i="1"/>
  <c r="CX1387" i="1"/>
  <c r="CZ1387" i="1"/>
  <c r="CX1595" i="1"/>
  <c r="CZ1595" i="1"/>
  <c r="CX1114" i="1"/>
  <c r="CZ1114" i="1"/>
  <c r="CX996" i="1"/>
  <c r="CZ996" i="1"/>
  <c r="CX1440" i="1"/>
  <c r="CZ1440" i="1"/>
  <c r="CX1446" i="1"/>
  <c r="CZ1446" i="1"/>
  <c r="CX1451" i="1"/>
  <c r="CZ1451" i="1"/>
  <c r="CX1130" i="1"/>
  <c r="CZ1130" i="1"/>
  <c r="CX1292" i="1"/>
  <c r="CZ1292" i="1"/>
  <c r="CX1443" i="1"/>
  <c r="CZ1443" i="1"/>
  <c r="CX1279" i="1"/>
  <c r="CZ1279" i="1"/>
  <c r="CX75" i="1"/>
  <c r="CZ75" i="1"/>
  <c r="CX1445" i="1"/>
  <c r="CZ1445" i="1"/>
  <c r="CX67" i="1"/>
  <c r="CZ67" i="1"/>
  <c r="CX715" i="1"/>
  <c r="CZ715" i="1"/>
  <c r="CX96" i="1"/>
  <c r="CZ96" i="1"/>
  <c r="CX1259" i="1"/>
  <c r="CZ1259" i="1"/>
  <c r="CX1438" i="1"/>
  <c r="CZ1438" i="1"/>
  <c r="CX1285" i="1"/>
  <c r="CZ1285" i="1"/>
  <c r="CX1444" i="1"/>
  <c r="CZ1444" i="1"/>
  <c r="CX716" i="1"/>
  <c r="CZ716" i="1"/>
  <c r="CX676" i="1"/>
  <c r="CZ676" i="1"/>
  <c r="CX1120" i="1"/>
  <c r="CZ1120" i="1"/>
  <c r="CX1450" i="1"/>
  <c r="CZ1450" i="1"/>
  <c r="CX1441" i="1"/>
  <c r="CZ1441" i="1"/>
  <c r="CX94" i="1"/>
  <c r="CZ94" i="1"/>
  <c r="CX1115" i="1"/>
  <c r="CZ1115" i="1"/>
  <c r="CX1495" i="1"/>
  <c r="CZ1495" i="1"/>
  <c r="CX71" i="1"/>
  <c r="CZ71" i="1"/>
  <c r="CX1267" i="1"/>
  <c r="CZ1267" i="1"/>
  <c r="CX1448" i="1"/>
  <c r="CZ1448" i="1"/>
  <c r="CX1125" i="1"/>
  <c r="CZ1125" i="1"/>
  <c r="CX1435" i="1"/>
  <c r="CZ1435" i="1"/>
  <c r="CZ72" i="1"/>
  <c r="CX72" i="1"/>
  <c r="CX859" i="1"/>
  <c r="CZ859" i="1"/>
  <c r="CX95" i="1"/>
  <c r="CZ95" i="1"/>
  <c r="CX1132" i="1"/>
  <c r="CZ1132" i="1"/>
  <c r="CX720" i="1"/>
  <c r="CZ720" i="1"/>
  <c r="CX1436" i="1"/>
  <c r="CZ1436" i="1"/>
  <c r="CX1278" i="1"/>
  <c r="CZ1278" i="1"/>
  <c r="CX1140" i="1"/>
  <c r="CZ1140" i="1"/>
  <c r="CX1390" i="1"/>
  <c r="CZ1390" i="1"/>
  <c r="CX1342" i="1"/>
  <c r="CZ1342" i="1"/>
  <c r="CV1275" i="1"/>
  <c r="CU1275" i="1"/>
  <c r="CW1275" i="1"/>
  <c r="CS1275" i="1"/>
  <c r="CT1275" i="1" s="1"/>
  <c r="CQ1275" i="1"/>
  <c r="CR1275" i="1"/>
  <c r="CW1571" i="1"/>
  <c r="CY1571" i="1" s="1"/>
  <c r="FA1571" i="1" s="1"/>
  <c r="CV1596" i="1"/>
  <c r="CU1596" i="1"/>
  <c r="CW1596" i="1"/>
  <c r="CS1596" i="1"/>
  <c r="CT1596" i="1" s="1"/>
  <c r="CQ1596" i="1"/>
  <c r="DA1278" i="1"/>
  <c r="DA71" i="1"/>
  <c r="DA92" i="1"/>
  <c r="DA1277" i="1"/>
  <c r="DA96" i="1"/>
  <c r="DA996" i="1"/>
  <c r="DA1571" i="1"/>
  <c r="DA1441" i="1"/>
  <c r="DA1440" i="1"/>
  <c r="DA1292" i="1"/>
  <c r="DA1259" i="1"/>
  <c r="DA1125" i="1"/>
  <c r="DA1142" i="1"/>
  <c r="EY1571" i="1"/>
  <c r="DA855" i="1"/>
  <c r="DA1450" i="1"/>
  <c r="DA916" i="1"/>
  <c r="DA1279" i="1"/>
  <c r="DA1129" i="1"/>
  <c r="DA1295" i="1"/>
  <c r="DA69" i="1"/>
  <c r="CA1595" i="1"/>
  <c r="EY1595" i="1" s="1"/>
  <c r="DA716" i="1"/>
  <c r="DA76" i="1"/>
  <c r="DA720" i="1"/>
  <c r="DA1446" i="1"/>
  <c r="DA1291" i="1"/>
  <c r="DA1114" i="1"/>
  <c r="DA1132" i="1"/>
  <c r="DA1276" i="1"/>
  <c r="DA1121" i="1"/>
  <c r="DA676" i="1"/>
  <c r="DA1445" i="1"/>
  <c r="DA1435" i="1"/>
  <c r="DA1288" i="1"/>
  <c r="DA1120" i="1"/>
  <c r="DA1342" i="1"/>
  <c r="CS856" i="1"/>
  <c r="CT856" i="1" s="1"/>
  <c r="CR856" i="1"/>
  <c r="CQ856" i="1"/>
  <c r="CW856" i="1"/>
  <c r="CV856" i="1"/>
  <c r="CU856" i="1"/>
  <c r="DA859" i="1"/>
  <c r="DA72" i="1"/>
  <c r="DA75" i="1"/>
  <c r="DA1443" i="1"/>
  <c r="DA65" i="1"/>
  <c r="DA860" i="1"/>
  <c r="DA1595" i="1"/>
  <c r="DA618" i="1"/>
  <c r="DA1448" i="1"/>
  <c r="DA1436" i="1"/>
  <c r="DA1130" i="1"/>
  <c r="DA619" i="1"/>
  <c r="DA95" i="1"/>
  <c r="DA93" i="1"/>
  <c r="DA1444" i="1"/>
  <c r="CY1596" i="1" l="1"/>
  <c r="FA1596" i="1" s="1"/>
  <c r="CY856" i="1"/>
  <c r="FA856" i="1" s="1"/>
  <c r="CY1275" i="1"/>
  <c r="FA1275" i="1" s="1"/>
  <c r="CX856" i="1"/>
  <c r="CZ856" i="1"/>
  <c r="CX1275" i="1"/>
  <c r="CZ1275" i="1"/>
  <c r="CX1596" i="1"/>
  <c r="CZ1596" i="1"/>
  <c r="CX1571" i="1"/>
  <c r="CZ1571" i="1"/>
  <c r="DA1275" i="1"/>
  <c r="DA1596" i="1"/>
  <c r="DA856" i="1"/>
  <c r="ER1038" i="1" l="1"/>
  <c r="DZ1038" i="1"/>
  <c r="DY1038" i="1"/>
  <c r="DS1038" i="1"/>
  <c r="DR1038" i="1"/>
  <c r="DQ1038" i="1"/>
  <c r="DP1038" i="1"/>
  <c r="DN1038" i="1"/>
  <c r="DO1038" i="1" s="1"/>
  <c r="DG1038" i="1"/>
  <c r="DH1038" i="1" s="1"/>
  <c r="DC1038" i="1"/>
  <c r="CP1038" i="1"/>
  <c r="BX1038" i="1"/>
  <c r="BZ1038" i="1" s="1"/>
  <c r="BW1038" i="1"/>
  <c r="BP1038" i="1"/>
  <c r="BQ1038" i="1" s="1"/>
  <c r="BO1038" i="1"/>
  <c r="BF1038" i="1"/>
  <c r="BE1038" i="1"/>
  <c r="BD1038" i="1"/>
  <c r="BC1038" i="1"/>
  <c r="BB1038" i="1"/>
  <c r="BA1038" i="1"/>
  <c r="BG1038" i="1" s="1" a="1"/>
  <c r="BG1038" i="1" s="1"/>
  <c r="AZ1038" i="1"/>
  <c r="M1038" i="1"/>
  <c r="ER1039" i="1"/>
  <c r="DZ1039" i="1"/>
  <c r="DY1039" i="1"/>
  <c r="DS1039" i="1"/>
  <c r="DR1039" i="1"/>
  <c r="DQ1039" i="1"/>
  <c r="DP1039" i="1"/>
  <c r="DN1039" i="1"/>
  <c r="DO1039" i="1" s="1"/>
  <c r="DG1039" i="1"/>
  <c r="DH1039" i="1" s="1"/>
  <c r="DC1039" i="1"/>
  <c r="CP1039" i="1"/>
  <c r="CR1039" i="1" s="1"/>
  <c r="BX1039" i="1"/>
  <c r="BZ1039" i="1" s="1"/>
  <c r="BW1039" i="1"/>
  <c r="BP1039" i="1"/>
  <c r="BQ1039" i="1" s="1"/>
  <c r="BO1039" i="1"/>
  <c r="BF1039" i="1"/>
  <c r="BE1039" i="1"/>
  <c r="BD1039" i="1"/>
  <c r="BC1039" i="1"/>
  <c r="BB1039" i="1"/>
  <c r="BA1039" i="1"/>
  <c r="AZ1039" i="1"/>
  <c r="M1039" i="1"/>
  <c r="ER1040" i="1"/>
  <c r="DZ1040" i="1"/>
  <c r="DY1040" i="1"/>
  <c r="DS1040" i="1"/>
  <c r="DR1040" i="1"/>
  <c r="DQ1040" i="1"/>
  <c r="DP1040" i="1"/>
  <c r="DN1040" i="1"/>
  <c r="DO1040" i="1" s="1"/>
  <c r="DG1040" i="1"/>
  <c r="DH1040" i="1" s="1"/>
  <c r="DC1040" i="1"/>
  <c r="CP1040" i="1"/>
  <c r="CV1040" i="1" s="1"/>
  <c r="BX1040" i="1"/>
  <c r="BZ1040" i="1" s="1"/>
  <c r="BW1040" i="1"/>
  <c r="BP1040" i="1"/>
  <c r="BQ1040" i="1" s="1"/>
  <c r="BO1040" i="1"/>
  <c r="BF1040" i="1"/>
  <c r="BE1040" i="1"/>
  <c r="BD1040" i="1"/>
  <c r="BC1040" i="1"/>
  <c r="BB1040" i="1"/>
  <c r="BA1040" i="1"/>
  <c r="AZ1040" i="1"/>
  <c r="M1040" i="1"/>
  <c r="ER1041" i="1"/>
  <c r="DZ1041" i="1"/>
  <c r="DY1041" i="1"/>
  <c r="DS1041" i="1"/>
  <c r="DR1041" i="1"/>
  <c r="DQ1041" i="1"/>
  <c r="DP1041" i="1"/>
  <c r="DN1041" i="1"/>
  <c r="DO1041" i="1" s="1"/>
  <c r="DG1041" i="1"/>
  <c r="DH1041" i="1" s="1"/>
  <c r="DC1041" i="1"/>
  <c r="CP1041" i="1"/>
  <c r="CV1041" i="1" s="1"/>
  <c r="BX1041" i="1"/>
  <c r="BZ1041" i="1" s="1"/>
  <c r="BW1041" i="1"/>
  <c r="BP1041" i="1"/>
  <c r="BQ1041" i="1" s="1"/>
  <c r="BO1041" i="1"/>
  <c r="BF1041" i="1"/>
  <c r="BE1041" i="1"/>
  <c r="BD1041" i="1"/>
  <c r="BC1041" i="1"/>
  <c r="BB1041" i="1"/>
  <c r="BA1041" i="1"/>
  <c r="AZ1041" i="1"/>
  <c r="M1041" i="1"/>
  <c r="ER1042" i="1"/>
  <c r="DZ1042" i="1"/>
  <c r="DY1042" i="1"/>
  <c r="DS1042" i="1"/>
  <c r="DR1042" i="1"/>
  <c r="DQ1042" i="1"/>
  <c r="DP1042" i="1"/>
  <c r="DN1042" i="1"/>
  <c r="DO1042" i="1" s="1"/>
  <c r="DG1042" i="1"/>
  <c r="DH1042" i="1" s="1"/>
  <c r="DC1042" i="1"/>
  <c r="CP1042" i="1"/>
  <c r="CU1042" i="1" s="1"/>
  <c r="BX1042" i="1"/>
  <c r="BZ1042" i="1" s="1"/>
  <c r="BW1042" i="1"/>
  <c r="BP1042" i="1"/>
  <c r="BQ1042" i="1" s="1"/>
  <c r="BO1042" i="1"/>
  <c r="BF1042" i="1"/>
  <c r="BE1042" i="1"/>
  <c r="BD1042" i="1"/>
  <c r="BC1042" i="1"/>
  <c r="BB1042" i="1"/>
  <c r="BA1042" i="1"/>
  <c r="AZ1042" i="1"/>
  <c r="M1042" i="1"/>
  <c r="ER1043" i="1"/>
  <c r="DZ1043" i="1"/>
  <c r="DY1043" i="1"/>
  <c r="DS1043" i="1"/>
  <c r="DR1043" i="1"/>
  <c r="DQ1043" i="1"/>
  <c r="DP1043" i="1"/>
  <c r="DN1043" i="1"/>
  <c r="DO1043" i="1" s="1"/>
  <c r="DG1043" i="1"/>
  <c r="DH1043" i="1" s="1"/>
  <c r="DC1043" i="1"/>
  <c r="CP1043" i="1"/>
  <c r="CR1043" i="1" s="1"/>
  <c r="BX1043" i="1"/>
  <c r="BZ1043" i="1" s="1"/>
  <c r="BW1043" i="1"/>
  <c r="BP1043" i="1"/>
  <c r="BQ1043" i="1" s="1"/>
  <c r="BO1043" i="1"/>
  <c r="BF1043" i="1"/>
  <c r="BE1043" i="1"/>
  <c r="BD1043" i="1"/>
  <c r="BC1043" i="1"/>
  <c r="BB1043" i="1"/>
  <c r="BA1043" i="1"/>
  <c r="AZ1043" i="1"/>
  <c r="M1043" i="1"/>
  <c r="ER1050" i="1"/>
  <c r="DZ1050" i="1"/>
  <c r="DY1050" i="1"/>
  <c r="DS1050" i="1"/>
  <c r="DR1050" i="1"/>
  <c r="DQ1050" i="1"/>
  <c r="DP1050" i="1"/>
  <c r="DN1050" i="1"/>
  <c r="DO1050" i="1" s="1"/>
  <c r="DG1050" i="1"/>
  <c r="DH1050" i="1" s="1"/>
  <c r="DC1050" i="1"/>
  <c r="CP1050" i="1"/>
  <c r="CQ1050" i="1" s="1"/>
  <c r="BX1050" i="1"/>
  <c r="BZ1050" i="1" s="1"/>
  <c r="BW1050" i="1"/>
  <c r="BP1050" i="1"/>
  <c r="BQ1050" i="1" s="1"/>
  <c r="BO1050" i="1"/>
  <c r="BF1050" i="1"/>
  <c r="BE1050" i="1"/>
  <c r="BD1050" i="1"/>
  <c r="BC1050" i="1"/>
  <c r="BB1050" i="1"/>
  <c r="BA1050" i="1"/>
  <c r="BG1050" i="1" s="1" a="1"/>
  <c r="BG1050" i="1" s="1"/>
  <c r="AZ1050" i="1"/>
  <c r="M1050" i="1"/>
  <c r="ER1051" i="1"/>
  <c r="DZ1051" i="1"/>
  <c r="DY1051" i="1"/>
  <c r="DS1051" i="1"/>
  <c r="DR1051" i="1"/>
  <c r="DQ1051" i="1"/>
  <c r="DP1051" i="1"/>
  <c r="DN1051" i="1"/>
  <c r="DO1051" i="1" s="1"/>
  <c r="DG1051" i="1"/>
  <c r="DH1051" i="1" s="1"/>
  <c r="DC1051" i="1"/>
  <c r="CP1051" i="1"/>
  <c r="CU1051" i="1" s="1"/>
  <c r="BX1051" i="1"/>
  <c r="BZ1051" i="1" s="1"/>
  <c r="BW1051" i="1"/>
  <c r="BP1051" i="1"/>
  <c r="BQ1051" i="1" s="1"/>
  <c r="BO1051" i="1"/>
  <c r="BF1051" i="1"/>
  <c r="BE1051" i="1"/>
  <c r="BD1051" i="1"/>
  <c r="BC1051" i="1"/>
  <c r="BB1051" i="1"/>
  <c r="BA1051" i="1"/>
  <c r="BG1051" i="1" s="1" a="1"/>
  <c r="BG1051" i="1" s="1"/>
  <c r="AZ1051" i="1"/>
  <c r="M1051" i="1"/>
  <c r="ER1006" i="1"/>
  <c r="DZ1006" i="1"/>
  <c r="DY1006" i="1"/>
  <c r="DS1006" i="1"/>
  <c r="DR1006" i="1"/>
  <c r="DQ1006" i="1"/>
  <c r="DP1006" i="1"/>
  <c r="DN1006" i="1"/>
  <c r="DO1006" i="1" s="1"/>
  <c r="DG1006" i="1"/>
  <c r="DH1006" i="1" s="1"/>
  <c r="DC1006" i="1"/>
  <c r="CP1006" i="1"/>
  <c r="BX1006" i="1"/>
  <c r="BZ1006" i="1" s="1"/>
  <c r="CA1006" i="1" s="1"/>
  <c r="BW1006" i="1"/>
  <c r="BF1006" i="1"/>
  <c r="BE1006" i="1"/>
  <c r="BD1006" i="1"/>
  <c r="BC1006" i="1"/>
  <c r="BB1006" i="1"/>
  <c r="BA1006" i="1"/>
  <c r="AZ1006" i="1"/>
  <c r="M1006" i="1"/>
  <c r="ER1030" i="1"/>
  <c r="DZ1030" i="1"/>
  <c r="DY1030" i="1"/>
  <c r="DS1030" i="1"/>
  <c r="DR1030" i="1"/>
  <c r="DQ1030" i="1"/>
  <c r="DP1030" i="1"/>
  <c r="DN1030" i="1"/>
  <c r="DO1030" i="1" s="1"/>
  <c r="DG1030" i="1"/>
  <c r="DH1030" i="1" s="1"/>
  <c r="DC1030" i="1"/>
  <c r="CP1030" i="1"/>
  <c r="CU1030" i="1" s="1"/>
  <c r="BX1030" i="1"/>
  <c r="BZ1030" i="1" s="1"/>
  <c r="CA1030" i="1" s="1"/>
  <c r="BW1030" i="1"/>
  <c r="BF1030" i="1"/>
  <c r="BE1030" i="1"/>
  <c r="BD1030" i="1"/>
  <c r="BC1030" i="1"/>
  <c r="BB1030" i="1"/>
  <c r="BA1030" i="1"/>
  <c r="BG1030" i="1" s="1" a="1"/>
  <c r="BG1030" i="1" s="1"/>
  <c r="AZ1030" i="1"/>
  <c r="M1030" i="1"/>
  <c r="ER1008" i="1"/>
  <c r="DZ1008" i="1"/>
  <c r="DY1008" i="1"/>
  <c r="DS1008" i="1"/>
  <c r="DR1008" i="1"/>
  <c r="DQ1008" i="1"/>
  <c r="DP1008" i="1"/>
  <c r="DN1008" i="1"/>
  <c r="DO1008" i="1" s="1"/>
  <c r="DG1008" i="1"/>
  <c r="DH1008" i="1" s="1"/>
  <c r="DC1008" i="1"/>
  <c r="CP1008" i="1"/>
  <c r="CU1008" i="1" s="1"/>
  <c r="BX1008" i="1"/>
  <c r="BZ1008" i="1" s="1"/>
  <c r="BW1008" i="1"/>
  <c r="BF1008" i="1"/>
  <c r="BE1008" i="1"/>
  <c r="BD1008" i="1"/>
  <c r="BC1008" i="1"/>
  <c r="BB1008" i="1"/>
  <c r="BA1008" i="1"/>
  <c r="AZ1008" i="1"/>
  <c r="M1008" i="1"/>
  <c r="ER1007" i="1"/>
  <c r="DZ1007" i="1"/>
  <c r="DY1007" i="1"/>
  <c r="DS1007" i="1"/>
  <c r="DR1007" i="1"/>
  <c r="DQ1007" i="1"/>
  <c r="DP1007" i="1"/>
  <c r="DN1007" i="1"/>
  <c r="DO1007" i="1" s="1"/>
  <c r="DG1007" i="1"/>
  <c r="DH1007" i="1" s="1"/>
  <c r="DC1007" i="1"/>
  <c r="CP1007" i="1"/>
  <c r="CU1007" i="1" s="1"/>
  <c r="BX1007" i="1"/>
  <c r="BZ1007" i="1" s="1"/>
  <c r="CA1007" i="1" s="1"/>
  <c r="BW1007" i="1"/>
  <c r="BF1007" i="1"/>
  <c r="BE1007" i="1"/>
  <c r="BD1007" i="1"/>
  <c r="BC1007" i="1"/>
  <c r="BB1007" i="1"/>
  <c r="BA1007" i="1"/>
  <c r="AZ1007" i="1"/>
  <c r="M1007" i="1"/>
  <c r="ER1009" i="1"/>
  <c r="DZ1009" i="1"/>
  <c r="DY1009" i="1"/>
  <c r="DS1009" i="1"/>
  <c r="DR1009" i="1"/>
  <c r="DQ1009" i="1"/>
  <c r="DP1009" i="1"/>
  <c r="DN1009" i="1"/>
  <c r="DO1009" i="1" s="1"/>
  <c r="DG1009" i="1"/>
  <c r="DH1009" i="1" s="1"/>
  <c r="DC1009" i="1"/>
  <c r="CP1009" i="1"/>
  <c r="CU1009" i="1" s="1"/>
  <c r="BX1009" i="1"/>
  <c r="BZ1009" i="1" s="1"/>
  <c r="CA1009" i="1" s="1"/>
  <c r="BW1009" i="1"/>
  <c r="BF1009" i="1"/>
  <c r="BE1009" i="1"/>
  <c r="BD1009" i="1"/>
  <c r="BC1009" i="1"/>
  <c r="BB1009" i="1"/>
  <c r="BA1009" i="1"/>
  <c r="AZ1009" i="1"/>
  <c r="M1009" i="1"/>
  <c r="ER1031" i="1"/>
  <c r="DZ1031" i="1"/>
  <c r="DY1031" i="1"/>
  <c r="DS1031" i="1"/>
  <c r="DR1031" i="1"/>
  <c r="DQ1031" i="1"/>
  <c r="DP1031" i="1"/>
  <c r="DN1031" i="1"/>
  <c r="DO1031" i="1" s="1"/>
  <c r="DG1031" i="1"/>
  <c r="DH1031" i="1" s="1"/>
  <c r="DC1031" i="1"/>
  <c r="CP1031" i="1"/>
  <c r="CV1031" i="1" s="1"/>
  <c r="BX1031" i="1"/>
  <c r="BZ1031" i="1" s="1"/>
  <c r="BW1031" i="1"/>
  <c r="BF1031" i="1"/>
  <c r="BE1031" i="1"/>
  <c r="BD1031" i="1"/>
  <c r="BC1031" i="1"/>
  <c r="BB1031" i="1"/>
  <c r="BA1031" i="1"/>
  <c r="BG1031" i="1" s="1" a="1"/>
  <c r="BG1031" i="1" s="1"/>
  <c r="AZ1031" i="1"/>
  <c r="M1031" i="1"/>
  <c r="ER1011" i="1"/>
  <c r="DZ1011" i="1"/>
  <c r="DY1011" i="1"/>
  <c r="DS1011" i="1"/>
  <c r="DR1011" i="1"/>
  <c r="DQ1011" i="1"/>
  <c r="DP1011" i="1"/>
  <c r="DN1011" i="1"/>
  <c r="DO1011" i="1" s="1"/>
  <c r="DG1011" i="1"/>
  <c r="DH1011" i="1" s="1"/>
  <c r="DC1011" i="1"/>
  <c r="CP1011" i="1"/>
  <c r="CV1011" i="1" s="1"/>
  <c r="BX1011" i="1"/>
  <c r="BZ1011" i="1" s="1"/>
  <c r="CA1011" i="1" s="1"/>
  <c r="BW1011" i="1"/>
  <c r="BF1011" i="1"/>
  <c r="BE1011" i="1"/>
  <c r="BD1011" i="1"/>
  <c r="BC1011" i="1"/>
  <c r="BB1011" i="1"/>
  <c r="BA1011" i="1"/>
  <c r="AZ1011" i="1"/>
  <c r="M1011" i="1"/>
  <c r="ER1010" i="1"/>
  <c r="DZ1010" i="1"/>
  <c r="DY1010" i="1"/>
  <c r="DS1010" i="1"/>
  <c r="DR1010" i="1"/>
  <c r="DQ1010" i="1"/>
  <c r="DP1010" i="1"/>
  <c r="DN1010" i="1"/>
  <c r="DO1010" i="1" s="1"/>
  <c r="DG1010" i="1"/>
  <c r="DH1010" i="1" s="1"/>
  <c r="DC1010" i="1"/>
  <c r="CP1010" i="1"/>
  <c r="BX1010" i="1"/>
  <c r="BZ1010" i="1" s="1"/>
  <c r="CA1010" i="1" s="1"/>
  <c r="BW1010" i="1"/>
  <c r="BF1010" i="1"/>
  <c r="BE1010" i="1"/>
  <c r="BD1010" i="1"/>
  <c r="BC1010" i="1"/>
  <c r="BB1010" i="1"/>
  <c r="BA1010" i="1"/>
  <c r="AZ1010" i="1"/>
  <c r="M1010" i="1"/>
  <c r="ER1055" i="1"/>
  <c r="DZ1055" i="1"/>
  <c r="DY1055" i="1"/>
  <c r="DS1055" i="1"/>
  <c r="DR1055" i="1"/>
  <c r="DQ1055" i="1"/>
  <c r="DP1055" i="1"/>
  <c r="DN1055" i="1"/>
  <c r="DO1055" i="1" s="1"/>
  <c r="DG1055" i="1"/>
  <c r="DH1055" i="1" s="1"/>
  <c r="DC1055" i="1"/>
  <c r="CP1055" i="1"/>
  <c r="CV1055" i="1" s="1"/>
  <c r="BX1055" i="1"/>
  <c r="BZ1055" i="1" s="1"/>
  <c r="BW1055" i="1"/>
  <c r="BP1055" i="1"/>
  <c r="BQ1055" i="1" s="1"/>
  <c r="BO1055" i="1"/>
  <c r="BF1055" i="1"/>
  <c r="BE1055" i="1"/>
  <c r="BD1055" i="1"/>
  <c r="BC1055" i="1"/>
  <c r="BB1055" i="1"/>
  <c r="BA1055" i="1"/>
  <c r="AZ1055" i="1"/>
  <c r="M1055" i="1"/>
  <c r="ER1056" i="1"/>
  <c r="DZ1056" i="1"/>
  <c r="DY1056" i="1"/>
  <c r="DS1056" i="1"/>
  <c r="DR1056" i="1"/>
  <c r="DQ1056" i="1"/>
  <c r="DP1056" i="1"/>
  <c r="DN1056" i="1"/>
  <c r="DO1056" i="1" s="1"/>
  <c r="DG1056" i="1"/>
  <c r="DH1056" i="1" s="1"/>
  <c r="DC1056" i="1"/>
  <c r="CP1056" i="1"/>
  <c r="BX1056" i="1"/>
  <c r="BZ1056" i="1" s="1"/>
  <c r="BW1056" i="1"/>
  <c r="BP1056" i="1"/>
  <c r="BQ1056" i="1" s="1"/>
  <c r="BO1056" i="1"/>
  <c r="BF1056" i="1"/>
  <c r="BE1056" i="1"/>
  <c r="BD1056" i="1"/>
  <c r="BC1056" i="1"/>
  <c r="BB1056" i="1"/>
  <c r="BA1056" i="1"/>
  <c r="AZ1056" i="1"/>
  <c r="M1056" i="1"/>
  <c r="ER1058" i="1"/>
  <c r="DZ1058" i="1"/>
  <c r="DY1058" i="1"/>
  <c r="DS1058" i="1"/>
  <c r="DR1058" i="1"/>
  <c r="DQ1058" i="1"/>
  <c r="DP1058" i="1"/>
  <c r="DN1058" i="1"/>
  <c r="DO1058" i="1" s="1"/>
  <c r="DG1058" i="1"/>
  <c r="DH1058" i="1" s="1"/>
  <c r="DC1058" i="1"/>
  <c r="CP1058" i="1"/>
  <c r="CV1058" i="1" s="1"/>
  <c r="BX1058" i="1"/>
  <c r="BZ1058" i="1" s="1"/>
  <c r="BW1058" i="1"/>
  <c r="BP1058" i="1"/>
  <c r="BQ1058" i="1" s="1"/>
  <c r="BO1058" i="1"/>
  <c r="BF1058" i="1"/>
  <c r="BE1058" i="1"/>
  <c r="BD1058" i="1"/>
  <c r="BC1058" i="1"/>
  <c r="BB1058" i="1"/>
  <c r="BA1058" i="1"/>
  <c r="AZ1058" i="1"/>
  <c r="M1058" i="1"/>
  <c r="ER1059" i="1"/>
  <c r="DZ1059" i="1"/>
  <c r="DY1059" i="1"/>
  <c r="DS1059" i="1"/>
  <c r="DR1059" i="1"/>
  <c r="DQ1059" i="1"/>
  <c r="DP1059" i="1"/>
  <c r="DN1059" i="1"/>
  <c r="DO1059" i="1" s="1"/>
  <c r="DG1059" i="1"/>
  <c r="DH1059" i="1" s="1"/>
  <c r="DC1059" i="1"/>
  <c r="CP1059" i="1"/>
  <c r="CU1059" i="1" s="1"/>
  <c r="BX1059" i="1"/>
  <c r="BZ1059" i="1" s="1"/>
  <c r="BW1059" i="1"/>
  <c r="BP1059" i="1"/>
  <c r="BQ1059" i="1" s="1"/>
  <c r="BO1059" i="1"/>
  <c r="BF1059" i="1"/>
  <c r="BE1059" i="1"/>
  <c r="BD1059" i="1"/>
  <c r="BC1059" i="1"/>
  <c r="BB1059" i="1"/>
  <c r="BA1059" i="1"/>
  <c r="AZ1059" i="1"/>
  <c r="M1059" i="1"/>
  <c r="ER1060" i="1"/>
  <c r="DZ1060" i="1"/>
  <c r="DY1060" i="1"/>
  <c r="DS1060" i="1"/>
  <c r="DR1060" i="1"/>
  <c r="DQ1060" i="1"/>
  <c r="DP1060" i="1"/>
  <c r="DN1060" i="1"/>
  <c r="DO1060" i="1" s="1"/>
  <c r="DG1060" i="1"/>
  <c r="DH1060" i="1" s="1"/>
  <c r="DC1060" i="1"/>
  <c r="CP1060" i="1"/>
  <c r="CU1060" i="1" s="1"/>
  <c r="BX1060" i="1"/>
  <c r="BZ1060" i="1" s="1"/>
  <c r="BW1060" i="1"/>
  <c r="BP1060" i="1"/>
  <c r="BQ1060" i="1" s="1"/>
  <c r="BO1060" i="1"/>
  <c r="BF1060" i="1"/>
  <c r="BE1060" i="1"/>
  <c r="BD1060" i="1"/>
  <c r="BC1060" i="1"/>
  <c r="BB1060" i="1"/>
  <c r="BA1060" i="1"/>
  <c r="AZ1060" i="1"/>
  <c r="M1060" i="1"/>
  <c r="ER1064" i="1"/>
  <c r="DZ1064" i="1"/>
  <c r="DY1064" i="1"/>
  <c r="DS1064" i="1"/>
  <c r="DR1064" i="1"/>
  <c r="DQ1064" i="1"/>
  <c r="DP1064" i="1"/>
  <c r="DN1064" i="1"/>
  <c r="DO1064" i="1" s="1"/>
  <c r="DG1064" i="1"/>
  <c r="DH1064" i="1" s="1"/>
  <c r="DC1064" i="1"/>
  <c r="CP1064" i="1"/>
  <c r="BX1064" i="1"/>
  <c r="BZ1064" i="1" s="1"/>
  <c r="BW1064" i="1"/>
  <c r="BP1064" i="1"/>
  <c r="BQ1064" i="1" s="1"/>
  <c r="BO1064" i="1"/>
  <c r="BF1064" i="1"/>
  <c r="BE1064" i="1"/>
  <c r="BD1064" i="1"/>
  <c r="BC1064" i="1"/>
  <c r="BB1064" i="1"/>
  <c r="BA1064" i="1"/>
  <c r="AZ1064" i="1"/>
  <c r="M1064" i="1"/>
  <c r="ER1052" i="1"/>
  <c r="DZ1052" i="1"/>
  <c r="DY1052" i="1"/>
  <c r="DS1052" i="1"/>
  <c r="DR1052" i="1"/>
  <c r="DQ1052" i="1"/>
  <c r="DP1052" i="1"/>
  <c r="DN1052" i="1"/>
  <c r="DO1052" i="1" s="1"/>
  <c r="DG1052" i="1"/>
  <c r="DH1052" i="1" s="1"/>
  <c r="DC1052" i="1"/>
  <c r="CP1052" i="1"/>
  <c r="CQ1052" i="1" s="1"/>
  <c r="BX1052" i="1"/>
  <c r="BZ1052" i="1" s="1"/>
  <c r="BW1052" i="1"/>
  <c r="BP1052" i="1"/>
  <c r="BQ1052" i="1" s="1"/>
  <c r="BO1052" i="1"/>
  <c r="BF1052" i="1"/>
  <c r="BE1052" i="1"/>
  <c r="BD1052" i="1"/>
  <c r="BC1052" i="1"/>
  <c r="BB1052" i="1"/>
  <c r="BA1052" i="1"/>
  <c r="BG1052" i="1" s="1" a="1"/>
  <c r="BG1052" i="1" s="1"/>
  <c r="AZ1052" i="1"/>
  <c r="M1052" i="1"/>
  <c r="ER1053" i="1"/>
  <c r="DZ1053" i="1"/>
  <c r="DY1053" i="1"/>
  <c r="DS1053" i="1"/>
  <c r="DR1053" i="1"/>
  <c r="DQ1053" i="1"/>
  <c r="DP1053" i="1"/>
  <c r="DN1053" i="1"/>
  <c r="DO1053" i="1" s="1"/>
  <c r="DG1053" i="1"/>
  <c r="DH1053" i="1" s="1"/>
  <c r="DC1053" i="1"/>
  <c r="CP1053" i="1"/>
  <c r="CV1053" i="1" s="1"/>
  <c r="BX1053" i="1"/>
  <c r="BZ1053" i="1" s="1"/>
  <c r="BW1053" i="1"/>
  <c r="BP1053" i="1"/>
  <c r="BQ1053" i="1" s="1"/>
  <c r="BO1053" i="1"/>
  <c r="BF1053" i="1"/>
  <c r="BE1053" i="1"/>
  <c r="BD1053" i="1"/>
  <c r="BC1053" i="1"/>
  <c r="BB1053" i="1"/>
  <c r="BA1053" i="1"/>
  <c r="BG1053" i="1" s="1" a="1"/>
  <c r="BG1053" i="1" s="1"/>
  <c r="AZ1053" i="1"/>
  <c r="M1053" i="1"/>
  <c r="ER1054" i="1"/>
  <c r="DZ1054" i="1"/>
  <c r="DY1054" i="1"/>
  <c r="DS1054" i="1"/>
  <c r="DR1054" i="1"/>
  <c r="DQ1054" i="1"/>
  <c r="DP1054" i="1"/>
  <c r="DN1054" i="1"/>
  <c r="DO1054" i="1" s="1"/>
  <c r="DG1054" i="1"/>
  <c r="DH1054" i="1" s="1"/>
  <c r="DC1054" i="1"/>
  <c r="CP1054" i="1"/>
  <c r="CU1054" i="1" s="1"/>
  <c r="BX1054" i="1"/>
  <c r="BZ1054" i="1" s="1"/>
  <c r="BW1054" i="1"/>
  <c r="BP1054" i="1"/>
  <c r="BQ1054" i="1" s="1"/>
  <c r="BO1054" i="1"/>
  <c r="BF1054" i="1"/>
  <c r="BE1054" i="1"/>
  <c r="BD1054" i="1"/>
  <c r="BC1054" i="1"/>
  <c r="BB1054" i="1"/>
  <c r="BA1054" i="1"/>
  <c r="AZ1054" i="1"/>
  <c r="M1054" i="1"/>
  <c r="ER1057" i="1"/>
  <c r="DZ1057" i="1"/>
  <c r="DY1057" i="1"/>
  <c r="DS1057" i="1"/>
  <c r="DR1057" i="1"/>
  <c r="DQ1057" i="1"/>
  <c r="DP1057" i="1"/>
  <c r="DN1057" i="1"/>
  <c r="DO1057" i="1" s="1"/>
  <c r="DG1057" i="1"/>
  <c r="DH1057" i="1" s="1"/>
  <c r="DC1057" i="1"/>
  <c r="CP1057" i="1"/>
  <c r="BX1057" i="1"/>
  <c r="BZ1057" i="1" s="1"/>
  <c r="BW1057" i="1"/>
  <c r="BP1057" i="1"/>
  <c r="BQ1057" i="1" s="1"/>
  <c r="BO1057" i="1"/>
  <c r="BF1057" i="1"/>
  <c r="BE1057" i="1"/>
  <c r="BD1057" i="1"/>
  <c r="BC1057" i="1"/>
  <c r="BB1057" i="1"/>
  <c r="BA1057" i="1"/>
  <c r="AZ1057" i="1"/>
  <c r="M1057" i="1"/>
  <c r="ER1061" i="1"/>
  <c r="DZ1061" i="1"/>
  <c r="DY1061" i="1"/>
  <c r="DS1061" i="1"/>
  <c r="DR1061" i="1"/>
  <c r="DQ1061" i="1"/>
  <c r="DP1061" i="1"/>
  <c r="DN1061" i="1"/>
  <c r="DO1061" i="1" s="1"/>
  <c r="DG1061" i="1"/>
  <c r="DH1061" i="1" s="1"/>
  <c r="DC1061" i="1"/>
  <c r="CP1061" i="1"/>
  <c r="CV1061" i="1" s="1"/>
  <c r="BX1061" i="1"/>
  <c r="BZ1061" i="1" s="1"/>
  <c r="BW1061" i="1"/>
  <c r="BP1061" i="1"/>
  <c r="BQ1061" i="1" s="1"/>
  <c r="BO1061" i="1"/>
  <c r="BF1061" i="1"/>
  <c r="BE1061" i="1"/>
  <c r="BD1061" i="1"/>
  <c r="BC1061" i="1"/>
  <c r="BB1061" i="1"/>
  <c r="BA1061" i="1"/>
  <c r="AZ1061" i="1"/>
  <c r="M1061" i="1"/>
  <c r="ER1062" i="1"/>
  <c r="DZ1062" i="1"/>
  <c r="DY1062" i="1"/>
  <c r="DS1062" i="1"/>
  <c r="DR1062" i="1"/>
  <c r="DQ1062" i="1"/>
  <c r="DP1062" i="1"/>
  <c r="DN1062" i="1"/>
  <c r="DO1062" i="1" s="1"/>
  <c r="DG1062" i="1"/>
  <c r="DH1062" i="1" s="1"/>
  <c r="DC1062" i="1"/>
  <c r="CP1062" i="1"/>
  <c r="CV1062" i="1" s="1"/>
  <c r="BX1062" i="1"/>
  <c r="BZ1062" i="1" s="1"/>
  <c r="BW1062" i="1"/>
  <c r="BP1062" i="1"/>
  <c r="BQ1062" i="1" s="1"/>
  <c r="BO1062" i="1"/>
  <c r="BF1062" i="1"/>
  <c r="BE1062" i="1"/>
  <c r="BD1062" i="1"/>
  <c r="BC1062" i="1"/>
  <c r="BB1062" i="1"/>
  <c r="BA1062" i="1"/>
  <c r="AZ1062" i="1"/>
  <c r="M1062" i="1"/>
  <c r="ER1063" i="1"/>
  <c r="DZ1063" i="1"/>
  <c r="DY1063" i="1"/>
  <c r="DS1063" i="1"/>
  <c r="DR1063" i="1"/>
  <c r="DQ1063" i="1"/>
  <c r="DP1063" i="1"/>
  <c r="DN1063" i="1"/>
  <c r="DO1063" i="1" s="1"/>
  <c r="DG1063" i="1"/>
  <c r="DH1063" i="1" s="1"/>
  <c r="DC1063" i="1"/>
  <c r="CP1063" i="1"/>
  <c r="CR1063" i="1" s="1"/>
  <c r="BX1063" i="1"/>
  <c r="BZ1063" i="1" s="1"/>
  <c r="BW1063" i="1"/>
  <c r="BP1063" i="1"/>
  <c r="BQ1063" i="1" s="1"/>
  <c r="BO1063" i="1"/>
  <c r="BF1063" i="1"/>
  <c r="BE1063" i="1"/>
  <c r="BD1063" i="1"/>
  <c r="BC1063" i="1"/>
  <c r="BB1063" i="1"/>
  <c r="BA1063" i="1"/>
  <c r="AZ1063" i="1"/>
  <c r="M1063" i="1"/>
  <c r="ER1045" i="1"/>
  <c r="DZ1045" i="1"/>
  <c r="DY1045" i="1"/>
  <c r="DS1045" i="1"/>
  <c r="DR1045" i="1"/>
  <c r="DQ1045" i="1"/>
  <c r="DP1045" i="1"/>
  <c r="DN1045" i="1"/>
  <c r="DO1045" i="1" s="1"/>
  <c r="DG1045" i="1"/>
  <c r="DH1045" i="1" s="1"/>
  <c r="DC1045" i="1"/>
  <c r="CP1045" i="1"/>
  <c r="CU1045" i="1" s="1"/>
  <c r="BX1045" i="1"/>
  <c r="BZ1045" i="1" s="1"/>
  <c r="BW1045" i="1"/>
  <c r="BP1045" i="1"/>
  <c r="BQ1045" i="1" s="1"/>
  <c r="BO1045" i="1"/>
  <c r="BF1045" i="1"/>
  <c r="BE1045" i="1"/>
  <c r="BD1045" i="1"/>
  <c r="BC1045" i="1"/>
  <c r="BB1045" i="1"/>
  <c r="BA1045" i="1"/>
  <c r="BG1045" i="1" s="1" a="1"/>
  <c r="BG1045" i="1" s="1"/>
  <c r="AZ1045" i="1"/>
  <c r="M1045" i="1"/>
  <c r="ER1047" i="1"/>
  <c r="DZ1047" i="1"/>
  <c r="DY1047" i="1"/>
  <c r="DS1047" i="1"/>
  <c r="DR1047" i="1"/>
  <c r="DQ1047" i="1"/>
  <c r="DP1047" i="1"/>
  <c r="DN1047" i="1"/>
  <c r="DO1047" i="1" s="1"/>
  <c r="DG1047" i="1"/>
  <c r="DH1047" i="1" s="1"/>
  <c r="DC1047" i="1"/>
  <c r="CP1047" i="1"/>
  <c r="CU1047" i="1" s="1"/>
  <c r="BX1047" i="1"/>
  <c r="BZ1047" i="1" s="1"/>
  <c r="BW1047" i="1"/>
  <c r="BP1047" i="1"/>
  <c r="BQ1047" i="1" s="1"/>
  <c r="BO1047" i="1"/>
  <c r="BF1047" i="1"/>
  <c r="BE1047" i="1"/>
  <c r="BD1047" i="1"/>
  <c r="BC1047" i="1"/>
  <c r="BB1047" i="1"/>
  <c r="BA1047" i="1"/>
  <c r="BG1047" i="1" s="1" a="1"/>
  <c r="BG1047" i="1" s="1"/>
  <c r="AZ1047" i="1"/>
  <c r="M1047" i="1"/>
  <c r="ER1044" i="1"/>
  <c r="DZ1044" i="1"/>
  <c r="DY1044" i="1"/>
  <c r="DS1044" i="1"/>
  <c r="DR1044" i="1"/>
  <c r="DQ1044" i="1"/>
  <c r="DP1044" i="1"/>
  <c r="DN1044" i="1"/>
  <c r="DO1044" i="1" s="1"/>
  <c r="DG1044" i="1"/>
  <c r="DH1044" i="1" s="1"/>
  <c r="DC1044" i="1"/>
  <c r="CP1044" i="1"/>
  <c r="CR1044" i="1" s="1"/>
  <c r="BX1044" i="1"/>
  <c r="BZ1044" i="1" s="1"/>
  <c r="BW1044" i="1"/>
  <c r="BP1044" i="1"/>
  <c r="BQ1044" i="1" s="1"/>
  <c r="BO1044" i="1"/>
  <c r="BF1044" i="1"/>
  <c r="BE1044" i="1"/>
  <c r="BD1044" i="1"/>
  <c r="BC1044" i="1"/>
  <c r="BB1044" i="1"/>
  <c r="BA1044" i="1"/>
  <c r="BG1044" i="1" s="1" a="1"/>
  <c r="BG1044" i="1" s="1"/>
  <c r="AZ1044" i="1"/>
  <c r="M1044" i="1"/>
  <c r="ER1017" i="1"/>
  <c r="DZ1017" i="1"/>
  <c r="DY1017" i="1"/>
  <c r="DS1017" i="1"/>
  <c r="DR1017" i="1"/>
  <c r="DQ1017" i="1"/>
  <c r="DP1017" i="1"/>
  <c r="DN1017" i="1"/>
  <c r="DO1017" i="1" s="1"/>
  <c r="DG1017" i="1"/>
  <c r="DH1017" i="1" s="1"/>
  <c r="DC1017" i="1"/>
  <c r="CP1017" i="1"/>
  <c r="CU1017" i="1" s="1"/>
  <c r="BX1017" i="1"/>
  <c r="BZ1017" i="1" s="1"/>
  <c r="CA1017" i="1" s="1"/>
  <c r="BW1017" i="1"/>
  <c r="BF1017" i="1"/>
  <c r="BE1017" i="1"/>
  <c r="BD1017" i="1"/>
  <c r="BC1017" i="1"/>
  <c r="BB1017" i="1"/>
  <c r="BA1017" i="1"/>
  <c r="AZ1017" i="1"/>
  <c r="M1017" i="1"/>
  <c r="ER1018" i="1"/>
  <c r="DZ1018" i="1"/>
  <c r="DY1018" i="1"/>
  <c r="DS1018" i="1"/>
  <c r="DR1018" i="1"/>
  <c r="DQ1018" i="1"/>
  <c r="DP1018" i="1"/>
  <c r="DN1018" i="1"/>
  <c r="DO1018" i="1" s="1"/>
  <c r="DG1018" i="1"/>
  <c r="DH1018" i="1" s="1"/>
  <c r="DC1018" i="1"/>
  <c r="CP1018" i="1"/>
  <c r="CU1018" i="1" s="1"/>
  <c r="BX1018" i="1"/>
  <c r="BZ1018" i="1" s="1"/>
  <c r="CA1018" i="1" s="1"/>
  <c r="BW1018" i="1"/>
  <c r="BF1018" i="1"/>
  <c r="BE1018" i="1"/>
  <c r="BD1018" i="1"/>
  <c r="BC1018" i="1"/>
  <c r="BB1018" i="1"/>
  <c r="BA1018" i="1"/>
  <c r="AZ1018" i="1"/>
  <c r="M1018" i="1"/>
  <c r="ER1035" i="1"/>
  <c r="DZ1035" i="1"/>
  <c r="DY1035" i="1"/>
  <c r="DS1035" i="1"/>
  <c r="DR1035" i="1"/>
  <c r="DQ1035" i="1"/>
  <c r="DP1035" i="1"/>
  <c r="DN1035" i="1"/>
  <c r="DO1035" i="1" s="1"/>
  <c r="DG1035" i="1"/>
  <c r="DH1035" i="1" s="1"/>
  <c r="DC1035" i="1"/>
  <c r="CP1035" i="1"/>
  <c r="BX1035" i="1"/>
  <c r="BZ1035" i="1" s="1"/>
  <c r="CA1035" i="1" s="1"/>
  <c r="BW1035" i="1"/>
  <c r="BF1035" i="1"/>
  <c r="BE1035" i="1"/>
  <c r="BD1035" i="1"/>
  <c r="BC1035" i="1"/>
  <c r="BB1035" i="1"/>
  <c r="BA1035" i="1"/>
  <c r="BG1035" i="1" s="1" a="1"/>
  <c r="BG1035" i="1" s="1"/>
  <c r="AZ1035" i="1"/>
  <c r="M1035" i="1"/>
  <c r="ER1032" i="1"/>
  <c r="DZ1032" i="1"/>
  <c r="DY1032" i="1"/>
  <c r="DS1032" i="1"/>
  <c r="DR1032" i="1"/>
  <c r="DQ1032" i="1"/>
  <c r="DP1032" i="1"/>
  <c r="DN1032" i="1"/>
  <c r="DO1032" i="1" s="1"/>
  <c r="DG1032" i="1"/>
  <c r="DH1032" i="1" s="1"/>
  <c r="DC1032" i="1"/>
  <c r="CP1032" i="1"/>
  <c r="CV1032" i="1" s="1"/>
  <c r="BX1032" i="1"/>
  <c r="BZ1032" i="1" s="1"/>
  <c r="CA1032" i="1" s="1"/>
  <c r="BW1032" i="1"/>
  <c r="BF1032" i="1"/>
  <c r="BE1032" i="1"/>
  <c r="BD1032" i="1"/>
  <c r="BC1032" i="1"/>
  <c r="BB1032" i="1"/>
  <c r="BA1032" i="1"/>
  <c r="BG1032" i="1" s="1" a="1"/>
  <c r="BG1032" i="1" s="1"/>
  <c r="AZ1032" i="1"/>
  <c r="M1032" i="1"/>
  <c r="ER1014" i="1"/>
  <c r="DZ1014" i="1"/>
  <c r="DY1014" i="1"/>
  <c r="DS1014" i="1"/>
  <c r="DR1014" i="1"/>
  <c r="DQ1014" i="1"/>
  <c r="DP1014" i="1"/>
  <c r="DN1014" i="1"/>
  <c r="DO1014" i="1" s="1"/>
  <c r="DG1014" i="1"/>
  <c r="DH1014" i="1" s="1"/>
  <c r="DC1014" i="1"/>
  <c r="CP1014" i="1"/>
  <c r="CV1014" i="1" s="1"/>
  <c r="BX1014" i="1"/>
  <c r="BZ1014" i="1" s="1"/>
  <c r="BW1014" i="1"/>
  <c r="BF1014" i="1"/>
  <c r="BE1014" i="1"/>
  <c r="BD1014" i="1"/>
  <c r="BC1014" i="1"/>
  <c r="BB1014" i="1"/>
  <c r="BA1014" i="1"/>
  <c r="AZ1014" i="1"/>
  <c r="M1014" i="1"/>
  <c r="ER1020" i="1"/>
  <c r="DZ1020" i="1"/>
  <c r="DY1020" i="1"/>
  <c r="DS1020" i="1"/>
  <c r="DR1020" i="1"/>
  <c r="DQ1020" i="1"/>
  <c r="DP1020" i="1"/>
  <c r="DN1020" i="1"/>
  <c r="DO1020" i="1" s="1"/>
  <c r="DG1020" i="1"/>
  <c r="DH1020" i="1" s="1"/>
  <c r="DC1020" i="1"/>
  <c r="CP1020" i="1"/>
  <c r="BX1020" i="1"/>
  <c r="BZ1020" i="1" s="1"/>
  <c r="CA1020" i="1" s="1"/>
  <c r="BW1020" i="1"/>
  <c r="BF1020" i="1"/>
  <c r="BE1020" i="1"/>
  <c r="BD1020" i="1"/>
  <c r="BC1020" i="1"/>
  <c r="BB1020" i="1"/>
  <c r="BA1020" i="1"/>
  <c r="AZ1020" i="1"/>
  <c r="M1020" i="1"/>
  <c r="ER1013" i="1"/>
  <c r="DZ1013" i="1"/>
  <c r="DY1013" i="1"/>
  <c r="DS1013" i="1"/>
  <c r="DR1013" i="1"/>
  <c r="DQ1013" i="1"/>
  <c r="DP1013" i="1"/>
  <c r="DN1013" i="1"/>
  <c r="DO1013" i="1" s="1"/>
  <c r="DG1013" i="1"/>
  <c r="DH1013" i="1" s="1"/>
  <c r="DC1013" i="1"/>
  <c r="CP1013" i="1"/>
  <c r="CV1013" i="1" s="1"/>
  <c r="BX1013" i="1"/>
  <c r="BZ1013" i="1" s="1"/>
  <c r="CA1013" i="1" s="1"/>
  <c r="BW1013" i="1"/>
  <c r="BF1013" i="1"/>
  <c r="BE1013" i="1"/>
  <c r="BD1013" i="1"/>
  <c r="BC1013" i="1"/>
  <c r="BB1013" i="1"/>
  <c r="BA1013" i="1"/>
  <c r="AZ1013" i="1"/>
  <c r="M1013" i="1"/>
  <c r="ER1019" i="1"/>
  <c r="DZ1019" i="1"/>
  <c r="DY1019" i="1"/>
  <c r="DS1019" i="1"/>
  <c r="DR1019" i="1"/>
  <c r="DQ1019" i="1"/>
  <c r="DP1019" i="1"/>
  <c r="DN1019" i="1"/>
  <c r="DO1019" i="1" s="1"/>
  <c r="DG1019" i="1"/>
  <c r="DH1019" i="1" s="1"/>
  <c r="DC1019" i="1"/>
  <c r="CP1019" i="1"/>
  <c r="CU1019" i="1" s="1"/>
  <c r="BX1019" i="1"/>
  <c r="BZ1019" i="1" s="1"/>
  <c r="CA1019" i="1" s="1"/>
  <c r="BW1019" i="1"/>
  <c r="BF1019" i="1"/>
  <c r="BE1019" i="1"/>
  <c r="BD1019" i="1"/>
  <c r="BC1019" i="1"/>
  <c r="BB1019" i="1"/>
  <c r="BA1019" i="1"/>
  <c r="AZ1019" i="1"/>
  <c r="M1019" i="1"/>
  <c r="ER1012" i="1"/>
  <c r="DZ1012" i="1"/>
  <c r="DY1012" i="1"/>
  <c r="DS1012" i="1"/>
  <c r="DR1012" i="1"/>
  <c r="DQ1012" i="1"/>
  <c r="DP1012" i="1"/>
  <c r="DN1012" i="1"/>
  <c r="DO1012" i="1" s="1"/>
  <c r="DG1012" i="1"/>
  <c r="DH1012" i="1" s="1"/>
  <c r="DC1012" i="1"/>
  <c r="CP1012" i="1"/>
  <c r="BX1012" i="1"/>
  <c r="BZ1012" i="1" s="1"/>
  <c r="CA1012" i="1" s="1"/>
  <c r="BW1012" i="1"/>
  <c r="BF1012" i="1"/>
  <c r="BE1012" i="1"/>
  <c r="BD1012" i="1"/>
  <c r="BC1012" i="1"/>
  <c r="BB1012" i="1"/>
  <c r="BA1012" i="1"/>
  <c r="AZ1012" i="1"/>
  <c r="M1012" i="1"/>
  <c r="ER1023" i="1"/>
  <c r="DZ1023" i="1"/>
  <c r="DY1023" i="1"/>
  <c r="DS1023" i="1"/>
  <c r="DR1023" i="1"/>
  <c r="DQ1023" i="1"/>
  <c r="DP1023" i="1"/>
  <c r="DN1023" i="1"/>
  <c r="DO1023" i="1" s="1"/>
  <c r="DG1023" i="1"/>
  <c r="DH1023" i="1" s="1"/>
  <c r="DC1023" i="1"/>
  <c r="CP1023" i="1"/>
  <c r="BX1023" i="1"/>
  <c r="BZ1023" i="1" s="1"/>
  <c r="CA1023" i="1" s="1"/>
  <c r="BW1023" i="1"/>
  <c r="BF1023" i="1"/>
  <c r="BE1023" i="1"/>
  <c r="BD1023" i="1"/>
  <c r="BC1023" i="1"/>
  <c r="BB1023" i="1"/>
  <c r="BA1023" i="1"/>
  <c r="AZ1023" i="1"/>
  <c r="M1023" i="1"/>
  <c r="ER1034" i="1"/>
  <c r="DZ1034" i="1"/>
  <c r="DY1034" i="1"/>
  <c r="DS1034" i="1"/>
  <c r="DR1034" i="1"/>
  <c r="DQ1034" i="1"/>
  <c r="DP1034" i="1"/>
  <c r="DN1034" i="1"/>
  <c r="DO1034" i="1" s="1"/>
  <c r="DG1034" i="1"/>
  <c r="DH1034" i="1" s="1"/>
  <c r="DC1034" i="1"/>
  <c r="CP1034" i="1"/>
  <c r="CV1034" i="1" s="1"/>
  <c r="BX1034" i="1"/>
  <c r="BZ1034" i="1" s="1"/>
  <c r="BW1034" i="1"/>
  <c r="BF1034" i="1"/>
  <c r="BE1034" i="1"/>
  <c r="BD1034" i="1"/>
  <c r="BC1034" i="1"/>
  <c r="BB1034" i="1"/>
  <c r="BA1034" i="1"/>
  <c r="BG1034" i="1" s="1" a="1"/>
  <c r="BG1034" i="1" s="1"/>
  <c r="AZ1034" i="1"/>
  <c r="M1034" i="1"/>
  <c r="ER1033" i="1"/>
  <c r="DZ1033" i="1"/>
  <c r="DY1033" i="1"/>
  <c r="DS1033" i="1"/>
  <c r="DR1033" i="1"/>
  <c r="DQ1033" i="1"/>
  <c r="DP1033" i="1"/>
  <c r="DN1033" i="1"/>
  <c r="DO1033" i="1" s="1"/>
  <c r="DG1033" i="1"/>
  <c r="DH1033" i="1" s="1"/>
  <c r="DC1033" i="1"/>
  <c r="CP1033" i="1"/>
  <c r="BX1033" i="1"/>
  <c r="BZ1033" i="1" s="1"/>
  <c r="CA1033" i="1" s="1"/>
  <c r="BW1033" i="1"/>
  <c r="BF1033" i="1"/>
  <c r="BE1033" i="1"/>
  <c r="BD1033" i="1"/>
  <c r="BC1033" i="1"/>
  <c r="BB1033" i="1"/>
  <c r="BA1033" i="1"/>
  <c r="BG1033" i="1" s="1" a="1"/>
  <c r="BG1033" i="1" s="1"/>
  <c r="AZ1033" i="1"/>
  <c r="M1033" i="1"/>
  <c r="ER1015" i="1"/>
  <c r="DZ1015" i="1"/>
  <c r="DY1015" i="1"/>
  <c r="DS1015" i="1"/>
  <c r="DR1015" i="1"/>
  <c r="DQ1015" i="1"/>
  <c r="DP1015" i="1"/>
  <c r="DN1015" i="1"/>
  <c r="DO1015" i="1" s="1"/>
  <c r="DG1015" i="1"/>
  <c r="DH1015" i="1" s="1"/>
  <c r="DC1015" i="1"/>
  <c r="CP1015" i="1"/>
  <c r="CU1015" i="1" s="1"/>
  <c r="BX1015" i="1"/>
  <c r="BZ1015" i="1" s="1"/>
  <c r="CA1015" i="1" s="1"/>
  <c r="BW1015" i="1"/>
  <c r="BF1015" i="1"/>
  <c r="BE1015" i="1"/>
  <c r="BD1015" i="1"/>
  <c r="BC1015" i="1"/>
  <c r="BB1015" i="1"/>
  <c r="BA1015" i="1"/>
  <c r="AZ1015" i="1"/>
  <c r="M1015" i="1"/>
  <c r="ER1021" i="1"/>
  <c r="DZ1021" i="1"/>
  <c r="DY1021" i="1"/>
  <c r="DS1021" i="1"/>
  <c r="DR1021" i="1"/>
  <c r="DQ1021" i="1"/>
  <c r="DP1021" i="1"/>
  <c r="DN1021" i="1"/>
  <c r="DO1021" i="1" s="1"/>
  <c r="DG1021" i="1"/>
  <c r="DH1021" i="1" s="1"/>
  <c r="DC1021" i="1"/>
  <c r="CP1021" i="1"/>
  <c r="BX1021" i="1"/>
  <c r="BZ1021" i="1" s="1"/>
  <c r="CA1021" i="1" s="1"/>
  <c r="BW1021" i="1"/>
  <c r="BF1021" i="1"/>
  <c r="BE1021" i="1"/>
  <c r="BD1021" i="1"/>
  <c r="BC1021" i="1"/>
  <c r="BB1021" i="1"/>
  <c r="BA1021" i="1"/>
  <c r="AZ1021" i="1"/>
  <c r="M1021" i="1"/>
  <c r="ER1016" i="1"/>
  <c r="DZ1016" i="1"/>
  <c r="DY1016" i="1"/>
  <c r="DS1016" i="1"/>
  <c r="DR1016" i="1"/>
  <c r="DQ1016" i="1"/>
  <c r="DP1016" i="1"/>
  <c r="DN1016" i="1"/>
  <c r="DO1016" i="1" s="1"/>
  <c r="DG1016" i="1"/>
  <c r="DH1016" i="1" s="1"/>
  <c r="DC1016" i="1"/>
  <c r="CP1016" i="1"/>
  <c r="CU1016" i="1" s="1"/>
  <c r="BX1016" i="1"/>
  <c r="BZ1016" i="1" s="1"/>
  <c r="CA1016" i="1" s="1"/>
  <c r="BW1016" i="1"/>
  <c r="BF1016" i="1"/>
  <c r="BE1016" i="1"/>
  <c r="BD1016" i="1"/>
  <c r="BC1016" i="1"/>
  <c r="BB1016" i="1"/>
  <c r="BA1016" i="1"/>
  <c r="AZ1016" i="1"/>
  <c r="M1016" i="1"/>
  <c r="ER1022" i="1"/>
  <c r="DZ1022" i="1"/>
  <c r="DY1022" i="1"/>
  <c r="DS1022" i="1"/>
  <c r="DR1022" i="1"/>
  <c r="DQ1022" i="1"/>
  <c r="DP1022" i="1"/>
  <c r="DN1022" i="1"/>
  <c r="DO1022" i="1" s="1"/>
  <c r="DG1022" i="1"/>
  <c r="DH1022" i="1" s="1"/>
  <c r="DC1022" i="1"/>
  <c r="CP1022" i="1"/>
  <c r="CV1022" i="1" s="1"/>
  <c r="BX1022" i="1"/>
  <c r="BZ1022" i="1" s="1"/>
  <c r="CA1022" i="1" s="1"/>
  <c r="BW1022" i="1"/>
  <c r="BF1022" i="1"/>
  <c r="BE1022" i="1"/>
  <c r="BD1022" i="1"/>
  <c r="BC1022" i="1"/>
  <c r="BB1022" i="1"/>
  <c r="BA1022" i="1"/>
  <c r="AZ1022" i="1"/>
  <c r="M1022" i="1"/>
  <c r="ER1046" i="1"/>
  <c r="DZ1046" i="1"/>
  <c r="DY1046" i="1"/>
  <c r="DS1046" i="1"/>
  <c r="DR1046" i="1"/>
  <c r="DQ1046" i="1"/>
  <c r="DP1046" i="1"/>
  <c r="DN1046" i="1"/>
  <c r="DO1046" i="1" s="1"/>
  <c r="DG1046" i="1"/>
  <c r="DH1046" i="1" s="1"/>
  <c r="DC1046" i="1"/>
  <c r="CP1046" i="1"/>
  <c r="CV1046" i="1" s="1"/>
  <c r="BX1046" i="1"/>
  <c r="BZ1046" i="1" s="1"/>
  <c r="BW1046" i="1"/>
  <c r="BP1046" i="1"/>
  <c r="BQ1046" i="1" s="1"/>
  <c r="BO1046" i="1"/>
  <c r="BF1046" i="1"/>
  <c r="BE1046" i="1"/>
  <c r="BD1046" i="1"/>
  <c r="BC1046" i="1"/>
  <c r="BB1046" i="1"/>
  <c r="BA1046" i="1"/>
  <c r="BG1046" i="1" s="1" a="1"/>
  <c r="BG1046" i="1" s="1"/>
  <c r="AZ1046" i="1"/>
  <c r="M1046" i="1"/>
  <c r="ER1048" i="1"/>
  <c r="DZ1048" i="1"/>
  <c r="DY1048" i="1"/>
  <c r="DS1048" i="1"/>
  <c r="DR1048" i="1"/>
  <c r="DQ1048" i="1"/>
  <c r="DP1048" i="1"/>
  <c r="DN1048" i="1"/>
  <c r="DO1048" i="1" s="1"/>
  <c r="DG1048" i="1"/>
  <c r="DH1048" i="1" s="1"/>
  <c r="DC1048" i="1"/>
  <c r="CP1048" i="1"/>
  <c r="CU1048" i="1" s="1"/>
  <c r="BX1048" i="1"/>
  <c r="BZ1048" i="1" s="1"/>
  <c r="BW1048" i="1"/>
  <c r="BP1048" i="1"/>
  <c r="BQ1048" i="1" s="1"/>
  <c r="BO1048" i="1"/>
  <c r="BF1048" i="1"/>
  <c r="BE1048" i="1"/>
  <c r="BD1048" i="1"/>
  <c r="BC1048" i="1"/>
  <c r="BB1048" i="1"/>
  <c r="BA1048" i="1"/>
  <c r="BG1048" i="1" s="1" a="1"/>
  <c r="BG1048" i="1" s="1"/>
  <c r="AZ1048" i="1"/>
  <c r="M1048" i="1"/>
  <c r="ER1049" i="1"/>
  <c r="DZ1049" i="1"/>
  <c r="DY1049" i="1"/>
  <c r="DS1049" i="1"/>
  <c r="DR1049" i="1"/>
  <c r="DQ1049" i="1"/>
  <c r="DP1049" i="1"/>
  <c r="DN1049" i="1"/>
  <c r="DO1049" i="1" s="1"/>
  <c r="DG1049" i="1"/>
  <c r="DH1049" i="1" s="1"/>
  <c r="DC1049" i="1"/>
  <c r="CP1049" i="1"/>
  <c r="CV1049" i="1" s="1"/>
  <c r="BX1049" i="1"/>
  <c r="BZ1049" i="1" s="1"/>
  <c r="BW1049" i="1"/>
  <c r="BP1049" i="1"/>
  <c r="BQ1049" i="1" s="1"/>
  <c r="BO1049" i="1"/>
  <c r="BF1049" i="1"/>
  <c r="BE1049" i="1"/>
  <c r="BD1049" i="1"/>
  <c r="BC1049" i="1"/>
  <c r="BB1049" i="1"/>
  <c r="BA1049" i="1"/>
  <c r="BG1049" i="1" s="1" a="1"/>
  <c r="BG1049" i="1" s="1"/>
  <c r="AZ1049" i="1"/>
  <c r="M1049" i="1"/>
  <c r="ER1037" i="1"/>
  <c r="DZ1037" i="1"/>
  <c r="DY1037" i="1"/>
  <c r="DS1037" i="1"/>
  <c r="DR1037" i="1"/>
  <c r="DQ1037" i="1"/>
  <c r="DP1037" i="1"/>
  <c r="DN1037" i="1"/>
  <c r="DO1037" i="1" s="1"/>
  <c r="DG1037" i="1"/>
  <c r="DH1037" i="1" s="1"/>
  <c r="DC1037" i="1"/>
  <c r="CP1037" i="1"/>
  <c r="BX1037" i="1"/>
  <c r="BZ1037" i="1" s="1"/>
  <c r="BW1037" i="1"/>
  <c r="BP1037" i="1"/>
  <c r="BQ1037" i="1" s="1"/>
  <c r="BO1037" i="1"/>
  <c r="BF1037" i="1"/>
  <c r="BE1037" i="1"/>
  <c r="BD1037" i="1"/>
  <c r="BC1037" i="1"/>
  <c r="BB1037" i="1"/>
  <c r="BA1037" i="1"/>
  <c r="BG1037" i="1" s="1" a="1"/>
  <c r="BG1037" i="1" s="1"/>
  <c r="AZ1037" i="1"/>
  <c r="M1037" i="1"/>
  <c r="ER1036" i="1"/>
  <c r="DZ1036" i="1"/>
  <c r="DY1036" i="1"/>
  <c r="DS1036" i="1"/>
  <c r="DR1036" i="1"/>
  <c r="DQ1036" i="1"/>
  <c r="DP1036" i="1"/>
  <c r="DN1036" i="1"/>
  <c r="DO1036" i="1" s="1"/>
  <c r="DG1036" i="1"/>
  <c r="DH1036" i="1" s="1"/>
  <c r="DC1036" i="1"/>
  <c r="CP1036" i="1"/>
  <c r="CU1036" i="1" s="1"/>
  <c r="BX1036" i="1"/>
  <c r="BZ1036" i="1" s="1"/>
  <c r="BW1036" i="1"/>
  <c r="BP1036" i="1"/>
  <c r="BQ1036" i="1" s="1"/>
  <c r="BO1036" i="1"/>
  <c r="BF1036" i="1"/>
  <c r="BE1036" i="1"/>
  <c r="BD1036" i="1"/>
  <c r="BC1036" i="1"/>
  <c r="BB1036" i="1"/>
  <c r="BA1036" i="1"/>
  <c r="BG1036" i="1" s="1" a="1"/>
  <c r="BG1036" i="1" s="1"/>
  <c r="AZ1036" i="1"/>
  <c r="M1036" i="1"/>
  <c r="ER1065" i="1"/>
  <c r="DZ1065" i="1"/>
  <c r="DY1065" i="1"/>
  <c r="DS1065" i="1"/>
  <c r="DR1065" i="1"/>
  <c r="DQ1065" i="1"/>
  <c r="DP1065" i="1"/>
  <c r="DN1065" i="1"/>
  <c r="DO1065" i="1" s="1"/>
  <c r="DG1065" i="1"/>
  <c r="DH1065" i="1" s="1"/>
  <c r="DC1065" i="1"/>
  <c r="CP1065" i="1"/>
  <c r="BX1065" i="1"/>
  <c r="BZ1065" i="1" s="1"/>
  <c r="BW1065" i="1"/>
  <c r="BP1065" i="1"/>
  <c r="BQ1065" i="1" s="1"/>
  <c r="BO1065" i="1"/>
  <c r="BF1065" i="1"/>
  <c r="BE1065" i="1"/>
  <c r="BD1065" i="1"/>
  <c r="BC1065" i="1"/>
  <c r="BB1065" i="1"/>
  <c r="BA1065" i="1"/>
  <c r="AZ1065" i="1"/>
  <c r="M1065" i="1"/>
  <c r="ER1026" i="1"/>
  <c r="DZ1026" i="1"/>
  <c r="DY1026" i="1"/>
  <c r="DS1026" i="1"/>
  <c r="DR1026" i="1"/>
  <c r="DQ1026" i="1"/>
  <c r="DP1026" i="1"/>
  <c r="DN1026" i="1"/>
  <c r="DO1026" i="1" s="1"/>
  <c r="DG1026" i="1"/>
  <c r="DH1026" i="1" s="1"/>
  <c r="DC1026" i="1"/>
  <c r="CP1026" i="1"/>
  <c r="CV1026" i="1" s="1"/>
  <c r="BX1026" i="1"/>
  <c r="BZ1026" i="1" s="1"/>
  <c r="BW1026" i="1"/>
  <c r="BF1026" i="1"/>
  <c r="BE1026" i="1"/>
  <c r="BD1026" i="1"/>
  <c r="BC1026" i="1"/>
  <c r="BB1026" i="1"/>
  <c r="BA1026" i="1"/>
  <c r="BG1026" i="1" s="1" a="1"/>
  <c r="BG1026" i="1" s="1"/>
  <c r="AZ1026" i="1"/>
  <c r="M1026" i="1"/>
  <c r="ER1028" i="1"/>
  <c r="DZ1028" i="1"/>
  <c r="DY1028" i="1"/>
  <c r="DS1028" i="1"/>
  <c r="DR1028" i="1"/>
  <c r="DQ1028" i="1"/>
  <c r="DP1028" i="1"/>
  <c r="DN1028" i="1"/>
  <c r="DO1028" i="1" s="1"/>
  <c r="DG1028" i="1"/>
  <c r="DH1028" i="1" s="1"/>
  <c r="DC1028" i="1"/>
  <c r="CP1028" i="1"/>
  <c r="BX1028" i="1"/>
  <c r="BZ1028" i="1" s="1"/>
  <c r="CA1028" i="1" s="1"/>
  <c r="BW1028" i="1"/>
  <c r="BF1028" i="1"/>
  <c r="BE1028" i="1"/>
  <c r="BD1028" i="1"/>
  <c r="BC1028" i="1"/>
  <c r="BB1028" i="1"/>
  <c r="BA1028" i="1"/>
  <c r="BG1028" i="1" s="1" a="1"/>
  <c r="BG1028" i="1" s="1"/>
  <c r="AZ1028" i="1"/>
  <c r="M1028" i="1"/>
  <c r="ER1029" i="1"/>
  <c r="DZ1029" i="1"/>
  <c r="DY1029" i="1"/>
  <c r="DS1029" i="1"/>
  <c r="DR1029" i="1"/>
  <c r="DQ1029" i="1"/>
  <c r="DP1029" i="1"/>
  <c r="DN1029" i="1"/>
  <c r="DO1029" i="1" s="1"/>
  <c r="DG1029" i="1"/>
  <c r="DH1029" i="1" s="1"/>
  <c r="DC1029" i="1"/>
  <c r="CP1029" i="1"/>
  <c r="CV1029" i="1" s="1"/>
  <c r="BX1029" i="1"/>
  <c r="BZ1029" i="1" s="1"/>
  <c r="CA1029" i="1" s="1"/>
  <c r="BW1029" i="1"/>
  <c r="BF1029" i="1"/>
  <c r="BE1029" i="1"/>
  <c r="BD1029" i="1"/>
  <c r="BC1029" i="1"/>
  <c r="BB1029" i="1"/>
  <c r="BA1029" i="1"/>
  <c r="BG1029" i="1" s="1" a="1"/>
  <c r="BG1029" i="1" s="1"/>
  <c r="AZ1029" i="1"/>
  <c r="M1029" i="1"/>
  <c r="ER1027" i="1"/>
  <c r="DZ1027" i="1"/>
  <c r="DY1027" i="1"/>
  <c r="DS1027" i="1"/>
  <c r="DR1027" i="1"/>
  <c r="DQ1027" i="1"/>
  <c r="DP1027" i="1"/>
  <c r="DN1027" i="1"/>
  <c r="DO1027" i="1" s="1"/>
  <c r="DG1027" i="1"/>
  <c r="DH1027" i="1" s="1"/>
  <c r="DC1027" i="1"/>
  <c r="CP1027" i="1"/>
  <c r="BX1027" i="1"/>
  <c r="BZ1027" i="1" s="1"/>
  <c r="CA1027" i="1" s="1"/>
  <c r="BW1027" i="1"/>
  <c r="BF1027" i="1"/>
  <c r="BE1027" i="1"/>
  <c r="BD1027" i="1"/>
  <c r="BC1027" i="1"/>
  <c r="BB1027" i="1"/>
  <c r="BA1027" i="1"/>
  <c r="BG1027" i="1" s="1" a="1"/>
  <c r="BG1027" i="1" s="1"/>
  <c r="AZ1027" i="1"/>
  <c r="M1027" i="1"/>
  <c r="ER1024" i="1"/>
  <c r="DZ1024" i="1"/>
  <c r="DY1024" i="1"/>
  <c r="DS1024" i="1"/>
  <c r="DR1024" i="1"/>
  <c r="DQ1024" i="1"/>
  <c r="DP1024" i="1"/>
  <c r="DN1024" i="1"/>
  <c r="DO1024" i="1" s="1"/>
  <c r="DG1024" i="1"/>
  <c r="DH1024" i="1" s="1"/>
  <c r="DC1024" i="1"/>
  <c r="CP1024" i="1"/>
  <c r="CU1024" i="1" s="1"/>
  <c r="BX1024" i="1"/>
  <c r="BZ1024" i="1" s="1"/>
  <c r="CA1024" i="1" s="1"/>
  <c r="BW1024" i="1"/>
  <c r="BF1024" i="1"/>
  <c r="BE1024" i="1"/>
  <c r="BD1024" i="1"/>
  <c r="BC1024" i="1"/>
  <c r="BB1024" i="1"/>
  <c r="BA1024" i="1"/>
  <c r="BG1024" i="1" s="1" a="1"/>
  <c r="BG1024" i="1" s="1"/>
  <c r="AZ1024" i="1"/>
  <c r="M1024" i="1"/>
  <c r="ER1025" i="1"/>
  <c r="DZ1025" i="1"/>
  <c r="DY1025" i="1"/>
  <c r="DS1025" i="1"/>
  <c r="DR1025" i="1"/>
  <c r="DQ1025" i="1"/>
  <c r="DP1025" i="1"/>
  <c r="DN1025" i="1"/>
  <c r="DO1025" i="1" s="1"/>
  <c r="DG1025" i="1"/>
  <c r="DH1025" i="1" s="1"/>
  <c r="DC1025" i="1"/>
  <c r="CP1025" i="1"/>
  <c r="BX1025" i="1"/>
  <c r="BZ1025" i="1" s="1"/>
  <c r="CA1025" i="1" s="1"/>
  <c r="BW1025" i="1"/>
  <c r="BF1025" i="1"/>
  <c r="BE1025" i="1"/>
  <c r="BD1025" i="1"/>
  <c r="BC1025" i="1"/>
  <c r="BB1025" i="1"/>
  <c r="BA1025" i="1"/>
  <c r="BG1025" i="1" s="1" a="1"/>
  <c r="BG1025" i="1" s="1"/>
  <c r="AZ1025" i="1"/>
  <c r="M1025" i="1"/>
  <c r="ER741" i="1"/>
  <c r="DZ741" i="1"/>
  <c r="DY741" i="1"/>
  <c r="DS741" i="1"/>
  <c r="DR741" i="1"/>
  <c r="DQ741" i="1"/>
  <c r="DP741" i="1"/>
  <c r="DN741" i="1"/>
  <c r="DO741" i="1" s="1"/>
  <c r="DG741" i="1"/>
  <c r="DH741" i="1" s="1"/>
  <c r="DC741" i="1"/>
  <c r="CP741" i="1"/>
  <c r="CU741" i="1" s="1"/>
  <c r="BX741" i="1"/>
  <c r="BZ741" i="1" s="1"/>
  <c r="BW741" i="1"/>
  <c r="BP741" i="1"/>
  <c r="BQ741" i="1" s="1"/>
  <c r="BO741" i="1"/>
  <c r="BF741" i="1"/>
  <c r="BE741" i="1"/>
  <c r="BD741" i="1"/>
  <c r="BC741" i="1"/>
  <c r="BB741" i="1"/>
  <c r="BA741" i="1"/>
  <c r="AZ741" i="1"/>
  <c r="M741" i="1"/>
  <c r="ER733" i="1"/>
  <c r="DZ733" i="1"/>
  <c r="DY733" i="1"/>
  <c r="DS733" i="1"/>
  <c r="DR733" i="1"/>
  <c r="DQ733" i="1"/>
  <c r="DP733" i="1"/>
  <c r="DN733" i="1"/>
  <c r="DO733" i="1" s="1"/>
  <c r="DG733" i="1"/>
  <c r="DH733" i="1" s="1"/>
  <c r="DC733" i="1"/>
  <c r="CP733" i="1"/>
  <c r="CR733" i="1" s="1"/>
  <c r="BX733" i="1"/>
  <c r="BZ733" i="1" s="1"/>
  <c r="BW733" i="1"/>
  <c r="BP733" i="1"/>
  <c r="BQ733" i="1" s="1"/>
  <c r="BO733" i="1"/>
  <c r="BF733" i="1"/>
  <c r="BE733" i="1"/>
  <c r="BD733" i="1"/>
  <c r="BC733" i="1"/>
  <c r="BB733" i="1"/>
  <c r="BA733" i="1"/>
  <c r="AZ733" i="1"/>
  <c r="M733" i="1"/>
  <c r="ER742" i="1"/>
  <c r="DZ742" i="1"/>
  <c r="DY742" i="1"/>
  <c r="DS742" i="1"/>
  <c r="DR742" i="1"/>
  <c r="DQ742" i="1"/>
  <c r="DP742" i="1"/>
  <c r="DN742" i="1"/>
  <c r="DO742" i="1" s="1"/>
  <c r="DG742" i="1"/>
  <c r="DH742" i="1" s="1"/>
  <c r="DC742" i="1"/>
  <c r="CP742" i="1"/>
  <c r="BX742" i="1"/>
  <c r="BZ742" i="1" s="1"/>
  <c r="BW742" i="1"/>
  <c r="BP742" i="1"/>
  <c r="BQ742" i="1" s="1"/>
  <c r="BO742" i="1"/>
  <c r="BF742" i="1"/>
  <c r="BE742" i="1"/>
  <c r="BD742" i="1"/>
  <c r="BC742" i="1"/>
  <c r="BB742" i="1"/>
  <c r="BA742" i="1"/>
  <c r="AZ742" i="1"/>
  <c r="M742" i="1"/>
  <c r="ER747" i="1"/>
  <c r="DZ747" i="1"/>
  <c r="DY747" i="1"/>
  <c r="DS747" i="1"/>
  <c r="DR747" i="1"/>
  <c r="DQ747" i="1"/>
  <c r="DP747" i="1"/>
  <c r="DN747" i="1"/>
  <c r="DO747" i="1" s="1"/>
  <c r="DG747" i="1"/>
  <c r="DH747" i="1" s="1"/>
  <c r="DC747" i="1"/>
  <c r="CP747" i="1"/>
  <c r="CV747" i="1" s="1"/>
  <c r="BX747" i="1"/>
  <c r="BZ747" i="1" s="1"/>
  <c r="BW747" i="1"/>
  <c r="BP747" i="1"/>
  <c r="BQ747" i="1" s="1"/>
  <c r="BO747" i="1"/>
  <c r="BF747" i="1"/>
  <c r="BE747" i="1"/>
  <c r="BD747" i="1"/>
  <c r="BC747" i="1"/>
  <c r="BB747" i="1"/>
  <c r="BA747" i="1"/>
  <c r="AZ747" i="1"/>
  <c r="M747" i="1"/>
  <c r="ER734" i="1"/>
  <c r="DZ734" i="1"/>
  <c r="DY734" i="1"/>
  <c r="DS734" i="1"/>
  <c r="DR734" i="1"/>
  <c r="DQ734" i="1"/>
  <c r="DP734" i="1"/>
  <c r="DN734" i="1"/>
  <c r="DO734" i="1" s="1"/>
  <c r="DG734" i="1"/>
  <c r="DH734" i="1" s="1"/>
  <c r="DC734" i="1"/>
  <c r="CP734" i="1"/>
  <c r="CU734" i="1" s="1"/>
  <c r="BX734" i="1"/>
  <c r="BZ734" i="1" s="1"/>
  <c r="BW734" i="1"/>
  <c r="BP734" i="1"/>
  <c r="BQ734" i="1" s="1"/>
  <c r="BO734" i="1"/>
  <c r="BF734" i="1"/>
  <c r="BE734" i="1"/>
  <c r="BD734" i="1"/>
  <c r="BC734" i="1"/>
  <c r="BB734" i="1"/>
  <c r="BA734" i="1"/>
  <c r="AZ734" i="1"/>
  <c r="M734" i="1"/>
  <c r="ER743" i="1"/>
  <c r="DZ743" i="1"/>
  <c r="DY743" i="1"/>
  <c r="DS743" i="1"/>
  <c r="DR743" i="1"/>
  <c r="DQ743" i="1"/>
  <c r="DP743" i="1"/>
  <c r="DN743" i="1"/>
  <c r="DO743" i="1" s="1"/>
  <c r="DG743" i="1"/>
  <c r="DH743" i="1" s="1"/>
  <c r="DC743" i="1"/>
  <c r="CP743" i="1"/>
  <c r="CV743" i="1" s="1"/>
  <c r="BX743" i="1"/>
  <c r="BZ743" i="1" s="1"/>
  <c r="BW743" i="1"/>
  <c r="BP743" i="1"/>
  <c r="BQ743" i="1" s="1"/>
  <c r="BO743" i="1"/>
  <c r="BF743" i="1"/>
  <c r="BE743" i="1"/>
  <c r="BD743" i="1"/>
  <c r="BC743" i="1"/>
  <c r="BB743" i="1"/>
  <c r="BA743" i="1"/>
  <c r="AZ743" i="1"/>
  <c r="M743" i="1"/>
  <c r="ER736" i="1"/>
  <c r="DZ736" i="1"/>
  <c r="DY736" i="1"/>
  <c r="DS736" i="1"/>
  <c r="DR736" i="1"/>
  <c r="DQ736" i="1"/>
  <c r="DP736" i="1"/>
  <c r="DN736" i="1"/>
  <c r="DO736" i="1" s="1"/>
  <c r="DG736" i="1"/>
  <c r="DH736" i="1" s="1"/>
  <c r="DC736" i="1"/>
  <c r="CP736" i="1"/>
  <c r="BX736" i="1"/>
  <c r="BZ736" i="1" s="1"/>
  <c r="BW736" i="1"/>
  <c r="BP736" i="1"/>
  <c r="BQ736" i="1" s="1"/>
  <c r="BO736" i="1"/>
  <c r="BF736" i="1"/>
  <c r="BE736" i="1"/>
  <c r="BD736" i="1"/>
  <c r="BC736" i="1"/>
  <c r="BB736" i="1"/>
  <c r="BA736" i="1"/>
  <c r="AZ736" i="1"/>
  <c r="M736" i="1"/>
  <c r="ER744" i="1"/>
  <c r="DZ744" i="1"/>
  <c r="DY744" i="1"/>
  <c r="DS744" i="1"/>
  <c r="DR744" i="1"/>
  <c r="DQ744" i="1"/>
  <c r="DP744" i="1"/>
  <c r="DN744" i="1"/>
  <c r="DO744" i="1" s="1"/>
  <c r="DG744" i="1"/>
  <c r="DH744" i="1" s="1"/>
  <c r="DC744" i="1"/>
  <c r="CP744" i="1"/>
  <c r="CQ744" i="1" s="1"/>
  <c r="BX744" i="1"/>
  <c r="BZ744" i="1" s="1"/>
  <c r="BW744" i="1"/>
  <c r="BP744" i="1"/>
  <c r="BQ744" i="1" s="1"/>
  <c r="BO744" i="1"/>
  <c r="BF744" i="1"/>
  <c r="BE744" i="1"/>
  <c r="BD744" i="1"/>
  <c r="BC744" i="1"/>
  <c r="BB744" i="1"/>
  <c r="BA744" i="1"/>
  <c r="AZ744" i="1"/>
  <c r="M744" i="1"/>
  <c r="ER750" i="1"/>
  <c r="DZ750" i="1"/>
  <c r="DY750" i="1"/>
  <c r="DS750" i="1"/>
  <c r="DR750" i="1"/>
  <c r="DQ750" i="1"/>
  <c r="DP750" i="1"/>
  <c r="DN750" i="1"/>
  <c r="DO750" i="1" s="1"/>
  <c r="DG750" i="1"/>
  <c r="DH750" i="1" s="1"/>
  <c r="DC750" i="1"/>
  <c r="CP750" i="1"/>
  <c r="CU750" i="1" s="1"/>
  <c r="BX750" i="1"/>
  <c r="BZ750" i="1" s="1"/>
  <c r="BW750" i="1"/>
  <c r="BP750" i="1"/>
  <c r="BQ750" i="1" s="1"/>
  <c r="BO750" i="1"/>
  <c r="BF750" i="1"/>
  <c r="BE750" i="1"/>
  <c r="BD750" i="1"/>
  <c r="BC750" i="1"/>
  <c r="BB750" i="1"/>
  <c r="BA750" i="1"/>
  <c r="AZ750" i="1"/>
  <c r="M750" i="1"/>
  <c r="ER745" i="1"/>
  <c r="DZ745" i="1"/>
  <c r="DY745" i="1"/>
  <c r="DS745" i="1"/>
  <c r="DR745" i="1"/>
  <c r="DQ745" i="1"/>
  <c r="DP745" i="1"/>
  <c r="DN745" i="1"/>
  <c r="DO745" i="1" s="1"/>
  <c r="DG745" i="1"/>
  <c r="DH745" i="1" s="1"/>
  <c r="DC745" i="1"/>
  <c r="CP745" i="1"/>
  <c r="BX745" i="1"/>
  <c r="BZ745" i="1" s="1"/>
  <c r="BW745" i="1"/>
  <c r="BP745" i="1"/>
  <c r="BQ745" i="1" s="1"/>
  <c r="BO745" i="1"/>
  <c r="BF745" i="1"/>
  <c r="BE745" i="1"/>
  <c r="BD745" i="1"/>
  <c r="BC745" i="1"/>
  <c r="BB745" i="1"/>
  <c r="BA745" i="1"/>
  <c r="AZ745" i="1"/>
  <c r="M745" i="1"/>
  <c r="ER746" i="1"/>
  <c r="DZ746" i="1"/>
  <c r="DY746" i="1"/>
  <c r="DS746" i="1"/>
  <c r="DR746" i="1"/>
  <c r="DQ746" i="1"/>
  <c r="DP746" i="1"/>
  <c r="DN746" i="1"/>
  <c r="DO746" i="1" s="1"/>
  <c r="DG746" i="1"/>
  <c r="DH746" i="1" s="1"/>
  <c r="DC746" i="1"/>
  <c r="CP746" i="1"/>
  <c r="CQ746" i="1" s="1"/>
  <c r="BX746" i="1"/>
  <c r="BZ746" i="1" s="1"/>
  <c r="BW746" i="1"/>
  <c r="BP746" i="1"/>
  <c r="BQ746" i="1" s="1"/>
  <c r="BO746" i="1"/>
  <c r="BF746" i="1"/>
  <c r="BE746" i="1"/>
  <c r="BD746" i="1"/>
  <c r="BC746" i="1"/>
  <c r="BB746" i="1"/>
  <c r="BA746" i="1"/>
  <c r="AZ746" i="1"/>
  <c r="M746" i="1"/>
  <c r="ER739" i="1"/>
  <c r="DZ739" i="1"/>
  <c r="DY739" i="1"/>
  <c r="DS739" i="1"/>
  <c r="DR739" i="1"/>
  <c r="DQ739" i="1"/>
  <c r="DP739" i="1"/>
  <c r="DN739" i="1"/>
  <c r="DO739" i="1" s="1"/>
  <c r="DG739" i="1"/>
  <c r="DH739" i="1" s="1"/>
  <c r="DC739" i="1"/>
  <c r="CP739" i="1"/>
  <c r="CR739" i="1" s="1"/>
  <c r="BX739" i="1"/>
  <c r="BZ739" i="1" s="1"/>
  <c r="BW739" i="1"/>
  <c r="BP739" i="1"/>
  <c r="BQ739" i="1" s="1"/>
  <c r="BO739" i="1"/>
  <c r="BF739" i="1"/>
  <c r="BE739" i="1"/>
  <c r="BD739" i="1"/>
  <c r="BC739" i="1"/>
  <c r="BB739" i="1"/>
  <c r="BA739" i="1"/>
  <c r="AZ739" i="1"/>
  <c r="M739" i="1"/>
  <c r="ER726" i="1"/>
  <c r="DZ726" i="1"/>
  <c r="DY726" i="1"/>
  <c r="DS726" i="1"/>
  <c r="DR726" i="1"/>
  <c r="DQ726" i="1"/>
  <c r="DP726" i="1"/>
  <c r="DN726" i="1"/>
  <c r="DO726" i="1" s="1"/>
  <c r="DG726" i="1"/>
  <c r="DH726" i="1" s="1"/>
  <c r="DC726" i="1"/>
  <c r="CP726" i="1"/>
  <c r="CR726" i="1" s="1"/>
  <c r="BX726" i="1"/>
  <c r="BZ726" i="1" s="1"/>
  <c r="BW726" i="1"/>
  <c r="BP726" i="1"/>
  <c r="BQ726" i="1" s="1"/>
  <c r="BO726" i="1"/>
  <c r="BF726" i="1"/>
  <c r="BE726" i="1"/>
  <c r="BD726" i="1"/>
  <c r="BC726" i="1"/>
  <c r="BB726" i="1"/>
  <c r="BA726" i="1"/>
  <c r="AZ726" i="1"/>
  <c r="M726" i="1"/>
  <c r="ER752" i="1"/>
  <c r="DZ752" i="1"/>
  <c r="DY752" i="1"/>
  <c r="DS752" i="1"/>
  <c r="DR752" i="1"/>
  <c r="DQ752" i="1"/>
  <c r="DP752" i="1"/>
  <c r="DN752" i="1"/>
  <c r="DO752" i="1" s="1"/>
  <c r="DG752" i="1"/>
  <c r="DH752" i="1" s="1"/>
  <c r="DC752" i="1"/>
  <c r="CP752" i="1"/>
  <c r="CU752" i="1" s="1"/>
  <c r="BX752" i="1"/>
  <c r="BZ752" i="1" s="1"/>
  <c r="BW752" i="1"/>
  <c r="BP752" i="1"/>
  <c r="BQ752" i="1" s="1"/>
  <c r="BO752" i="1"/>
  <c r="BF752" i="1"/>
  <c r="BE752" i="1"/>
  <c r="BD752" i="1"/>
  <c r="BC752" i="1"/>
  <c r="BB752" i="1"/>
  <c r="BA752" i="1"/>
  <c r="AZ752" i="1"/>
  <c r="M752" i="1"/>
  <c r="ER731" i="1"/>
  <c r="DZ731" i="1"/>
  <c r="DY731" i="1"/>
  <c r="DS731" i="1"/>
  <c r="DR731" i="1"/>
  <c r="DQ731" i="1"/>
  <c r="DP731" i="1"/>
  <c r="DN731" i="1"/>
  <c r="DO731" i="1" s="1"/>
  <c r="DG731" i="1"/>
  <c r="DH731" i="1" s="1"/>
  <c r="DC731" i="1"/>
  <c r="CP731" i="1"/>
  <c r="CV731" i="1" s="1"/>
  <c r="BX731" i="1"/>
  <c r="BZ731" i="1" s="1"/>
  <c r="BW731" i="1"/>
  <c r="BP731" i="1"/>
  <c r="BQ731" i="1" s="1"/>
  <c r="BO731" i="1"/>
  <c r="BF731" i="1"/>
  <c r="BE731" i="1"/>
  <c r="BD731" i="1"/>
  <c r="BC731" i="1"/>
  <c r="BB731" i="1"/>
  <c r="BA731" i="1"/>
  <c r="AZ731" i="1"/>
  <c r="M731" i="1"/>
  <c r="ER721" i="1"/>
  <c r="DZ721" i="1"/>
  <c r="DY721" i="1"/>
  <c r="DS721" i="1"/>
  <c r="DR721" i="1"/>
  <c r="DQ721" i="1"/>
  <c r="DP721" i="1"/>
  <c r="DN721" i="1"/>
  <c r="DO721" i="1" s="1"/>
  <c r="DG721" i="1"/>
  <c r="DH721" i="1" s="1"/>
  <c r="DC721" i="1"/>
  <c r="CP721" i="1"/>
  <c r="CU721" i="1" s="1"/>
  <c r="BX721" i="1"/>
  <c r="BZ721" i="1" s="1"/>
  <c r="BW721" i="1"/>
  <c r="BP721" i="1"/>
  <c r="BQ721" i="1" s="1"/>
  <c r="BO721" i="1"/>
  <c r="BF721" i="1"/>
  <c r="BE721" i="1"/>
  <c r="BD721" i="1"/>
  <c r="BC721" i="1"/>
  <c r="BB721" i="1"/>
  <c r="BA721" i="1"/>
  <c r="AZ721" i="1"/>
  <c r="M721" i="1"/>
  <c r="ER735" i="1"/>
  <c r="DZ735" i="1"/>
  <c r="DY735" i="1"/>
  <c r="DS735" i="1"/>
  <c r="DR735" i="1"/>
  <c r="DQ735" i="1"/>
  <c r="DP735" i="1"/>
  <c r="DN735" i="1"/>
  <c r="DO735" i="1" s="1"/>
  <c r="DG735" i="1"/>
  <c r="DH735" i="1" s="1"/>
  <c r="DC735" i="1"/>
  <c r="CP735" i="1"/>
  <c r="CU735" i="1" s="1"/>
  <c r="BX735" i="1"/>
  <c r="BZ735" i="1" s="1"/>
  <c r="BW735" i="1"/>
  <c r="BP735" i="1"/>
  <c r="BQ735" i="1" s="1"/>
  <c r="BO735" i="1"/>
  <c r="BF735" i="1"/>
  <c r="BE735" i="1"/>
  <c r="BD735" i="1"/>
  <c r="BC735" i="1"/>
  <c r="BB735" i="1"/>
  <c r="BA735" i="1"/>
  <c r="AZ735" i="1"/>
  <c r="M735" i="1"/>
  <c r="ER748" i="1"/>
  <c r="DZ748" i="1"/>
  <c r="DY748" i="1"/>
  <c r="DS748" i="1"/>
  <c r="DR748" i="1"/>
  <c r="DQ748" i="1"/>
  <c r="DP748" i="1"/>
  <c r="DN748" i="1"/>
  <c r="DO748" i="1" s="1"/>
  <c r="DG748" i="1"/>
  <c r="DH748" i="1" s="1"/>
  <c r="DC748" i="1"/>
  <c r="CP748" i="1"/>
  <c r="CQ748" i="1" s="1"/>
  <c r="BX748" i="1"/>
  <c r="BZ748" i="1" s="1"/>
  <c r="BW748" i="1"/>
  <c r="BP748" i="1"/>
  <c r="BQ748" i="1" s="1"/>
  <c r="BO748" i="1"/>
  <c r="BF748" i="1"/>
  <c r="BE748" i="1"/>
  <c r="BD748" i="1"/>
  <c r="BC748" i="1"/>
  <c r="BB748" i="1"/>
  <c r="BA748" i="1"/>
  <c r="AZ748" i="1"/>
  <c r="M748" i="1"/>
  <c r="ER723" i="1"/>
  <c r="DZ723" i="1"/>
  <c r="DY723" i="1"/>
  <c r="DS723" i="1"/>
  <c r="DR723" i="1"/>
  <c r="DQ723" i="1"/>
  <c r="DP723" i="1"/>
  <c r="DN723" i="1"/>
  <c r="DO723" i="1" s="1"/>
  <c r="DG723" i="1"/>
  <c r="DH723" i="1" s="1"/>
  <c r="DC723" i="1"/>
  <c r="CP723" i="1"/>
  <c r="CR723" i="1" s="1"/>
  <c r="BX723" i="1"/>
  <c r="BZ723" i="1" s="1"/>
  <c r="BW723" i="1"/>
  <c r="BP723" i="1"/>
  <c r="BQ723" i="1" s="1"/>
  <c r="BO723" i="1"/>
  <c r="BF723" i="1"/>
  <c r="BE723" i="1"/>
  <c r="BD723" i="1"/>
  <c r="BC723" i="1"/>
  <c r="BB723" i="1"/>
  <c r="BA723" i="1"/>
  <c r="AZ723" i="1"/>
  <c r="M723" i="1"/>
  <c r="ER737" i="1"/>
  <c r="DZ737" i="1"/>
  <c r="DY737" i="1"/>
  <c r="DS737" i="1"/>
  <c r="DR737" i="1"/>
  <c r="DQ737" i="1"/>
  <c r="DP737" i="1"/>
  <c r="DN737" i="1"/>
  <c r="DO737" i="1" s="1"/>
  <c r="DG737" i="1"/>
  <c r="DH737" i="1" s="1"/>
  <c r="DC737" i="1"/>
  <c r="CP737" i="1"/>
  <c r="CU737" i="1" s="1"/>
  <c r="BX737" i="1"/>
  <c r="BZ737" i="1" s="1"/>
  <c r="BW737" i="1"/>
  <c r="BP737" i="1"/>
  <c r="BQ737" i="1" s="1"/>
  <c r="BO737" i="1"/>
  <c r="BF737" i="1"/>
  <c r="BE737" i="1"/>
  <c r="BD737" i="1"/>
  <c r="BC737" i="1"/>
  <c r="BB737" i="1"/>
  <c r="BA737" i="1"/>
  <c r="AZ737" i="1"/>
  <c r="M737" i="1"/>
  <c r="ER724" i="1"/>
  <c r="DZ724" i="1"/>
  <c r="DY724" i="1"/>
  <c r="DS724" i="1"/>
  <c r="DR724" i="1"/>
  <c r="DQ724" i="1"/>
  <c r="DP724" i="1"/>
  <c r="DN724" i="1"/>
  <c r="DO724" i="1" s="1"/>
  <c r="DG724" i="1"/>
  <c r="DH724" i="1" s="1"/>
  <c r="DC724" i="1"/>
  <c r="CP724" i="1"/>
  <c r="CU724" i="1" s="1"/>
  <c r="BX724" i="1"/>
  <c r="BZ724" i="1" s="1"/>
  <c r="BW724" i="1"/>
  <c r="BP724" i="1"/>
  <c r="BQ724" i="1" s="1"/>
  <c r="BO724" i="1"/>
  <c r="BF724" i="1"/>
  <c r="BE724" i="1"/>
  <c r="BD724" i="1"/>
  <c r="BC724" i="1"/>
  <c r="BB724" i="1"/>
  <c r="BA724" i="1"/>
  <c r="AZ724" i="1"/>
  <c r="M724" i="1"/>
  <c r="ER728" i="1"/>
  <c r="DZ728" i="1"/>
  <c r="DY728" i="1"/>
  <c r="DS728" i="1"/>
  <c r="DR728" i="1"/>
  <c r="DQ728" i="1"/>
  <c r="DP728" i="1"/>
  <c r="DN728" i="1"/>
  <c r="DO728" i="1" s="1"/>
  <c r="DG728" i="1"/>
  <c r="DH728" i="1" s="1"/>
  <c r="DC728" i="1"/>
  <c r="CP728" i="1"/>
  <c r="CV728" i="1" s="1"/>
  <c r="BX728" i="1"/>
  <c r="BZ728" i="1" s="1"/>
  <c r="BW728" i="1"/>
  <c r="BP728" i="1"/>
  <c r="BQ728" i="1" s="1"/>
  <c r="BO728" i="1"/>
  <c r="BF728" i="1"/>
  <c r="BE728" i="1"/>
  <c r="BD728" i="1"/>
  <c r="BC728" i="1"/>
  <c r="BB728" i="1"/>
  <c r="BA728" i="1"/>
  <c r="AZ728" i="1"/>
  <c r="M728" i="1"/>
  <c r="ER722" i="1"/>
  <c r="DZ722" i="1"/>
  <c r="DY722" i="1"/>
  <c r="DS722" i="1"/>
  <c r="DR722" i="1"/>
  <c r="DQ722" i="1"/>
  <c r="DP722" i="1"/>
  <c r="DN722" i="1"/>
  <c r="DO722" i="1" s="1"/>
  <c r="DG722" i="1"/>
  <c r="DH722" i="1" s="1"/>
  <c r="DC722" i="1"/>
  <c r="CP722" i="1"/>
  <c r="CR722" i="1" s="1"/>
  <c r="BX722" i="1"/>
  <c r="BZ722" i="1" s="1"/>
  <c r="BW722" i="1"/>
  <c r="BP722" i="1"/>
  <c r="BQ722" i="1" s="1"/>
  <c r="BO722" i="1"/>
  <c r="BF722" i="1"/>
  <c r="BE722" i="1"/>
  <c r="BD722" i="1"/>
  <c r="BC722" i="1"/>
  <c r="BB722" i="1"/>
  <c r="BA722" i="1"/>
  <c r="AZ722" i="1"/>
  <c r="M722" i="1"/>
  <c r="ER749" i="1"/>
  <c r="DZ749" i="1"/>
  <c r="DY749" i="1"/>
  <c r="DS749" i="1"/>
  <c r="DR749" i="1"/>
  <c r="DQ749" i="1"/>
  <c r="DP749" i="1"/>
  <c r="DN749" i="1"/>
  <c r="DO749" i="1" s="1"/>
  <c r="DG749" i="1"/>
  <c r="DH749" i="1" s="1"/>
  <c r="DC749" i="1"/>
  <c r="CP749" i="1"/>
  <c r="CV749" i="1" s="1"/>
  <c r="BX749" i="1"/>
  <c r="BZ749" i="1" s="1"/>
  <c r="BW749" i="1"/>
  <c r="BP749" i="1"/>
  <c r="BQ749" i="1" s="1"/>
  <c r="BO749" i="1"/>
  <c r="BF749" i="1"/>
  <c r="BE749" i="1"/>
  <c r="BD749" i="1"/>
  <c r="BC749" i="1"/>
  <c r="BB749" i="1"/>
  <c r="BA749" i="1"/>
  <c r="AZ749" i="1"/>
  <c r="M749" i="1"/>
  <c r="ER725" i="1"/>
  <c r="DZ725" i="1"/>
  <c r="DY725" i="1"/>
  <c r="DS725" i="1"/>
  <c r="DR725" i="1"/>
  <c r="DQ725" i="1"/>
  <c r="DP725" i="1"/>
  <c r="DN725" i="1"/>
  <c r="DO725" i="1" s="1"/>
  <c r="DG725" i="1"/>
  <c r="DH725" i="1" s="1"/>
  <c r="DC725" i="1"/>
  <c r="CP725" i="1"/>
  <c r="CU725" i="1" s="1"/>
  <c r="BX725" i="1"/>
  <c r="BZ725" i="1" s="1"/>
  <c r="BW725" i="1"/>
  <c r="BP725" i="1"/>
  <c r="BQ725" i="1" s="1"/>
  <c r="BO725" i="1"/>
  <c r="BF725" i="1"/>
  <c r="BE725" i="1"/>
  <c r="BD725" i="1"/>
  <c r="BC725" i="1"/>
  <c r="BB725" i="1"/>
  <c r="BA725" i="1"/>
  <c r="AZ725" i="1"/>
  <c r="M725" i="1"/>
  <c r="ER751" i="1"/>
  <c r="DZ751" i="1"/>
  <c r="DY751" i="1"/>
  <c r="DS751" i="1"/>
  <c r="DR751" i="1"/>
  <c r="DQ751" i="1"/>
  <c r="DP751" i="1"/>
  <c r="DN751" i="1"/>
  <c r="DO751" i="1" s="1"/>
  <c r="DG751" i="1"/>
  <c r="DH751" i="1" s="1"/>
  <c r="DC751" i="1"/>
  <c r="CP751" i="1"/>
  <c r="CV751" i="1" s="1"/>
  <c r="BX751" i="1"/>
  <c r="BZ751" i="1" s="1"/>
  <c r="BW751" i="1"/>
  <c r="BP751" i="1"/>
  <c r="BQ751" i="1" s="1"/>
  <c r="BO751" i="1"/>
  <c r="BF751" i="1"/>
  <c r="BE751" i="1"/>
  <c r="BD751" i="1"/>
  <c r="BC751" i="1"/>
  <c r="BB751" i="1"/>
  <c r="BA751" i="1"/>
  <c r="AZ751" i="1"/>
  <c r="M751" i="1"/>
  <c r="ER738" i="1"/>
  <c r="DZ738" i="1"/>
  <c r="DY738" i="1"/>
  <c r="DS738" i="1"/>
  <c r="DR738" i="1"/>
  <c r="DQ738" i="1"/>
  <c r="DP738" i="1"/>
  <c r="DN738" i="1"/>
  <c r="DO738" i="1" s="1"/>
  <c r="DG738" i="1"/>
  <c r="DH738" i="1" s="1"/>
  <c r="DC738" i="1"/>
  <c r="CP738" i="1"/>
  <c r="CV738" i="1" s="1"/>
  <c r="BX738" i="1"/>
  <c r="BZ738" i="1" s="1"/>
  <c r="BW738" i="1"/>
  <c r="BP738" i="1"/>
  <c r="BQ738" i="1" s="1"/>
  <c r="BO738" i="1"/>
  <c r="BF738" i="1"/>
  <c r="BE738" i="1"/>
  <c r="BD738" i="1"/>
  <c r="BC738" i="1"/>
  <c r="BB738" i="1"/>
  <c r="BA738" i="1"/>
  <c r="AZ738" i="1"/>
  <c r="M738" i="1"/>
  <c r="ER727" i="1"/>
  <c r="DZ727" i="1"/>
  <c r="DY727" i="1"/>
  <c r="DS727" i="1"/>
  <c r="DR727" i="1"/>
  <c r="DQ727" i="1"/>
  <c r="DP727" i="1"/>
  <c r="DN727" i="1"/>
  <c r="DO727" i="1" s="1"/>
  <c r="DG727" i="1"/>
  <c r="DH727" i="1" s="1"/>
  <c r="DC727" i="1"/>
  <c r="CP727" i="1"/>
  <c r="BX727" i="1"/>
  <c r="BZ727" i="1" s="1"/>
  <c r="BW727" i="1"/>
  <c r="BP727" i="1"/>
  <c r="BQ727" i="1" s="1"/>
  <c r="BO727" i="1"/>
  <c r="BF727" i="1"/>
  <c r="BE727" i="1"/>
  <c r="BD727" i="1"/>
  <c r="BC727" i="1"/>
  <c r="BB727" i="1"/>
  <c r="BA727" i="1"/>
  <c r="AZ727" i="1"/>
  <c r="M727" i="1"/>
  <c r="ER753" i="1"/>
  <c r="DZ753" i="1"/>
  <c r="DY753" i="1"/>
  <c r="DS753" i="1"/>
  <c r="DR753" i="1"/>
  <c r="DQ753" i="1"/>
  <c r="DP753" i="1"/>
  <c r="DN753" i="1"/>
  <c r="DO753" i="1" s="1"/>
  <c r="DG753" i="1"/>
  <c r="DH753" i="1" s="1"/>
  <c r="DC753" i="1"/>
  <c r="CP753" i="1"/>
  <c r="BX753" i="1"/>
  <c r="BZ753" i="1" s="1"/>
  <c r="BW753" i="1"/>
  <c r="BP753" i="1"/>
  <c r="BQ753" i="1" s="1"/>
  <c r="BO753" i="1"/>
  <c r="BF753" i="1"/>
  <c r="BE753" i="1"/>
  <c r="BD753" i="1"/>
  <c r="BC753" i="1"/>
  <c r="BB753" i="1"/>
  <c r="BA753" i="1"/>
  <c r="AZ753" i="1"/>
  <c r="M753" i="1"/>
  <c r="ER740" i="1"/>
  <c r="DZ740" i="1"/>
  <c r="DY740" i="1"/>
  <c r="DS740" i="1"/>
  <c r="DR740" i="1"/>
  <c r="DQ740" i="1"/>
  <c r="DP740" i="1"/>
  <c r="DN740" i="1"/>
  <c r="DO740" i="1" s="1"/>
  <c r="DG740" i="1"/>
  <c r="DH740" i="1" s="1"/>
  <c r="DC740" i="1"/>
  <c r="CP740" i="1"/>
  <c r="CR740" i="1" s="1"/>
  <c r="BX740" i="1"/>
  <c r="BZ740" i="1" s="1"/>
  <c r="BW740" i="1"/>
  <c r="BP740" i="1"/>
  <c r="BQ740" i="1" s="1"/>
  <c r="BO740" i="1"/>
  <c r="BF740" i="1"/>
  <c r="BE740" i="1"/>
  <c r="BD740" i="1"/>
  <c r="BC740" i="1"/>
  <c r="BB740" i="1"/>
  <c r="BA740" i="1"/>
  <c r="AZ740" i="1"/>
  <c r="M740" i="1"/>
  <c r="ER729" i="1"/>
  <c r="DZ729" i="1"/>
  <c r="DY729" i="1"/>
  <c r="DS729" i="1"/>
  <c r="DR729" i="1"/>
  <c r="DQ729" i="1"/>
  <c r="DP729" i="1"/>
  <c r="DN729" i="1"/>
  <c r="DO729" i="1" s="1"/>
  <c r="DG729" i="1"/>
  <c r="DH729" i="1" s="1"/>
  <c r="DC729" i="1"/>
  <c r="CP729" i="1"/>
  <c r="CV729" i="1" s="1"/>
  <c r="BX729" i="1"/>
  <c r="BZ729" i="1" s="1"/>
  <c r="BW729" i="1"/>
  <c r="BP729" i="1"/>
  <c r="BQ729" i="1" s="1"/>
  <c r="BO729" i="1"/>
  <c r="BF729" i="1"/>
  <c r="BE729" i="1"/>
  <c r="BD729" i="1"/>
  <c r="BC729" i="1"/>
  <c r="BB729" i="1"/>
  <c r="BA729" i="1"/>
  <c r="AZ729" i="1"/>
  <c r="M729" i="1"/>
  <c r="ER730" i="1"/>
  <c r="DZ730" i="1"/>
  <c r="DY730" i="1"/>
  <c r="DS730" i="1"/>
  <c r="DR730" i="1"/>
  <c r="DQ730" i="1"/>
  <c r="DP730" i="1"/>
  <c r="DN730" i="1"/>
  <c r="DO730" i="1" s="1"/>
  <c r="DG730" i="1"/>
  <c r="DH730" i="1" s="1"/>
  <c r="DC730" i="1"/>
  <c r="CP730" i="1"/>
  <c r="CQ730" i="1" s="1"/>
  <c r="BX730" i="1"/>
  <c r="BZ730" i="1" s="1"/>
  <c r="BW730" i="1"/>
  <c r="BP730" i="1"/>
  <c r="BQ730" i="1" s="1"/>
  <c r="BO730" i="1"/>
  <c r="BF730" i="1"/>
  <c r="BE730" i="1"/>
  <c r="BD730" i="1"/>
  <c r="BC730" i="1"/>
  <c r="BB730" i="1"/>
  <c r="BA730" i="1"/>
  <c r="AZ730" i="1"/>
  <c r="M730" i="1"/>
  <c r="ER732" i="1"/>
  <c r="DZ732" i="1"/>
  <c r="DY732" i="1"/>
  <c r="DS732" i="1"/>
  <c r="DR732" i="1"/>
  <c r="DQ732" i="1"/>
  <c r="DP732" i="1"/>
  <c r="DN732" i="1"/>
  <c r="DO732" i="1" s="1"/>
  <c r="DG732" i="1"/>
  <c r="DH732" i="1" s="1"/>
  <c r="DC732" i="1"/>
  <c r="CP732" i="1"/>
  <c r="CU732" i="1" s="1"/>
  <c r="BX732" i="1"/>
  <c r="BZ732" i="1" s="1"/>
  <c r="BW732" i="1"/>
  <c r="BP732" i="1"/>
  <c r="BQ732" i="1" s="1"/>
  <c r="BO732" i="1"/>
  <c r="BF732" i="1"/>
  <c r="BE732" i="1"/>
  <c r="BD732" i="1"/>
  <c r="BC732" i="1"/>
  <c r="BB732" i="1"/>
  <c r="BA732" i="1"/>
  <c r="AZ732" i="1"/>
  <c r="M732" i="1"/>
  <c r="ER630" i="1"/>
  <c r="DZ630" i="1"/>
  <c r="DY630" i="1"/>
  <c r="DS630" i="1"/>
  <c r="DR630" i="1"/>
  <c r="DQ630" i="1"/>
  <c r="DP630" i="1"/>
  <c r="DN630" i="1"/>
  <c r="DO630" i="1" s="1"/>
  <c r="DG630" i="1"/>
  <c r="DH630" i="1" s="1"/>
  <c r="DC630" i="1"/>
  <c r="CP630" i="1"/>
  <c r="CU630" i="1" s="1"/>
  <c r="BV630" i="1"/>
  <c r="BX630" i="1" s="1"/>
  <c r="BZ630" i="1" s="1"/>
  <c r="BP630" i="1"/>
  <c r="BQ630" i="1" s="1"/>
  <c r="BF630" i="1"/>
  <c r="BE630" i="1"/>
  <c r="BD630" i="1"/>
  <c r="BC630" i="1"/>
  <c r="BB630" i="1"/>
  <c r="BA630" i="1"/>
  <c r="BG630" i="1" s="1" a="1"/>
  <c r="BG630" i="1" s="1"/>
  <c r="AZ630" i="1"/>
  <c r="M630" i="1"/>
  <c r="ER695" i="1"/>
  <c r="DZ695" i="1"/>
  <c r="DY695" i="1"/>
  <c r="DS695" i="1"/>
  <c r="DR695" i="1"/>
  <c r="DQ695" i="1"/>
  <c r="DP695" i="1"/>
  <c r="DN695" i="1"/>
  <c r="DO695" i="1" s="1"/>
  <c r="DH695" i="1"/>
  <c r="DF695" i="1"/>
  <c r="DC695" i="1"/>
  <c r="CP695" i="1"/>
  <c r="BZ695" i="1"/>
  <c r="BP695" i="1"/>
  <c r="BQ695" i="1" s="1"/>
  <c r="BF695" i="1"/>
  <c r="BE695" i="1"/>
  <c r="BD695" i="1"/>
  <c r="BC695" i="1"/>
  <c r="BB695" i="1"/>
  <c r="BA695" i="1"/>
  <c r="BG695" i="1" s="1" a="1"/>
  <c r="BG695" i="1" s="1"/>
  <c r="AZ695" i="1"/>
  <c r="M695" i="1"/>
  <c r="ER696" i="1"/>
  <c r="DZ696" i="1"/>
  <c r="DY696" i="1"/>
  <c r="DS696" i="1"/>
  <c r="DR696" i="1"/>
  <c r="DQ696" i="1"/>
  <c r="DP696" i="1"/>
  <c r="DN696" i="1"/>
  <c r="DO696" i="1" s="1"/>
  <c r="DH696" i="1"/>
  <c r="DF696" i="1"/>
  <c r="DC696" i="1"/>
  <c r="CP696" i="1"/>
  <c r="CV696" i="1" s="1"/>
  <c r="BZ696" i="1"/>
  <c r="BP696" i="1"/>
  <c r="BQ696" i="1" s="1"/>
  <c r="BF696" i="1"/>
  <c r="BE696" i="1"/>
  <c r="BD696" i="1"/>
  <c r="BC696" i="1"/>
  <c r="BB696" i="1"/>
  <c r="BA696" i="1"/>
  <c r="BG696" i="1" s="1" a="1"/>
  <c r="BG696" i="1" s="1"/>
  <c r="AZ696" i="1"/>
  <c r="M696" i="1"/>
  <c r="ER698" i="1"/>
  <c r="DZ698" i="1"/>
  <c r="DY698" i="1"/>
  <c r="DS698" i="1"/>
  <c r="DR698" i="1"/>
  <c r="DQ698" i="1"/>
  <c r="DP698" i="1"/>
  <c r="DN698" i="1"/>
  <c r="DO698" i="1" s="1"/>
  <c r="DH698" i="1"/>
  <c r="DF698" i="1"/>
  <c r="DC698" i="1"/>
  <c r="CP698" i="1"/>
  <c r="CQ698" i="1" s="1"/>
  <c r="BZ698" i="1"/>
  <c r="BP698" i="1"/>
  <c r="BQ698" i="1" s="1"/>
  <c r="BF698" i="1"/>
  <c r="BE698" i="1"/>
  <c r="BD698" i="1"/>
  <c r="BC698" i="1"/>
  <c r="BB698" i="1"/>
  <c r="BA698" i="1"/>
  <c r="BG698" i="1" s="1" a="1"/>
  <c r="BG698" i="1" s="1"/>
  <c r="AZ698" i="1"/>
  <c r="M698" i="1"/>
  <c r="ER697" i="1"/>
  <c r="DZ697" i="1"/>
  <c r="DY697" i="1"/>
  <c r="DS697" i="1"/>
  <c r="DR697" i="1"/>
  <c r="DQ697" i="1"/>
  <c r="DP697" i="1"/>
  <c r="DN697" i="1"/>
  <c r="DO697" i="1" s="1"/>
  <c r="DH697" i="1"/>
  <c r="DF697" i="1"/>
  <c r="DC697" i="1"/>
  <c r="CP697" i="1"/>
  <c r="BZ697" i="1"/>
  <c r="BP697" i="1"/>
  <c r="BQ697" i="1" s="1"/>
  <c r="BF697" i="1"/>
  <c r="BE697" i="1"/>
  <c r="BD697" i="1"/>
  <c r="BC697" i="1"/>
  <c r="BB697" i="1"/>
  <c r="BA697" i="1"/>
  <c r="BG697" i="1" s="1" a="1"/>
  <c r="BG697" i="1" s="1"/>
  <c r="AZ697" i="1"/>
  <c r="M697" i="1"/>
  <c r="ER714" i="1"/>
  <c r="DZ714" i="1"/>
  <c r="DY714" i="1"/>
  <c r="DS714" i="1"/>
  <c r="DR714" i="1"/>
  <c r="DQ714" i="1"/>
  <c r="DP714" i="1"/>
  <c r="DN714" i="1"/>
  <c r="DO714" i="1" s="1"/>
  <c r="DG714" i="1"/>
  <c r="DH714" i="1" s="1"/>
  <c r="DC714" i="1"/>
  <c r="CP714" i="1"/>
  <c r="CU714" i="1" s="1"/>
  <c r="BX714" i="1"/>
  <c r="BZ714" i="1" s="1"/>
  <c r="BW714" i="1"/>
  <c r="BP714" i="1"/>
  <c r="BQ714" i="1" s="1"/>
  <c r="BO714" i="1"/>
  <c r="BF714" i="1"/>
  <c r="BE714" i="1"/>
  <c r="BD714" i="1"/>
  <c r="BC714" i="1"/>
  <c r="BB714" i="1"/>
  <c r="BA714" i="1"/>
  <c r="BG714" i="1" s="1" a="1"/>
  <c r="BG714" i="1" s="1"/>
  <c r="AZ714" i="1"/>
  <c r="M714" i="1"/>
  <c r="ER997" i="1"/>
  <c r="DZ997" i="1"/>
  <c r="DY997" i="1"/>
  <c r="DS997" i="1"/>
  <c r="DR997" i="1"/>
  <c r="DQ997" i="1"/>
  <c r="DP997" i="1"/>
  <c r="DN997" i="1"/>
  <c r="DO997" i="1" s="1"/>
  <c r="DH997" i="1"/>
  <c r="DC997" i="1"/>
  <c r="CP997" i="1"/>
  <c r="CV997" i="1" s="1"/>
  <c r="BX997" i="1"/>
  <c r="BZ997" i="1" s="1"/>
  <c r="BW997" i="1"/>
  <c r="BP997" i="1"/>
  <c r="BQ997" i="1" s="1"/>
  <c r="BO997" i="1"/>
  <c r="BF997" i="1"/>
  <c r="BE997" i="1"/>
  <c r="BD997" i="1"/>
  <c r="BC997" i="1"/>
  <c r="BB997" i="1"/>
  <c r="BA997" i="1"/>
  <c r="BG997" i="1" s="1" a="1"/>
  <c r="BG997" i="1" s="1"/>
  <c r="AZ997" i="1"/>
  <c r="M997" i="1"/>
  <c r="ER1135" i="1"/>
  <c r="DZ1135" i="1"/>
  <c r="DY1135" i="1"/>
  <c r="DS1135" i="1"/>
  <c r="DR1135" i="1"/>
  <c r="DQ1135" i="1"/>
  <c r="DP1135" i="1"/>
  <c r="DN1135" i="1"/>
  <c r="DO1135" i="1" s="1"/>
  <c r="DH1135" i="1"/>
  <c r="DC1135" i="1"/>
  <c r="CP1135" i="1"/>
  <c r="CU1135" i="1" s="1"/>
  <c r="BX1135" i="1"/>
  <c r="BZ1135" i="1" s="1"/>
  <c r="BW1135" i="1"/>
  <c r="BP1135" i="1"/>
  <c r="BQ1135" i="1" s="1"/>
  <c r="BO1135" i="1"/>
  <c r="BF1135" i="1"/>
  <c r="BE1135" i="1"/>
  <c r="BD1135" i="1"/>
  <c r="BC1135" i="1"/>
  <c r="BB1135" i="1"/>
  <c r="BA1135" i="1"/>
  <c r="BG1135" i="1" s="1" a="1"/>
  <c r="BG1135" i="1" s="1"/>
  <c r="AZ1135" i="1"/>
  <c r="M1135" i="1"/>
  <c r="ER998" i="1"/>
  <c r="DZ998" i="1"/>
  <c r="DY998" i="1"/>
  <c r="DS998" i="1"/>
  <c r="DR998" i="1"/>
  <c r="DQ998" i="1"/>
  <c r="DP998" i="1"/>
  <c r="DN998" i="1"/>
  <c r="DO998" i="1" s="1"/>
  <c r="DH998" i="1"/>
  <c r="DC998" i="1"/>
  <c r="CP998" i="1"/>
  <c r="CR998" i="1" s="1"/>
  <c r="BX998" i="1"/>
  <c r="BZ998" i="1" s="1"/>
  <c r="BW998" i="1"/>
  <c r="BP998" i="1"/>
  <c r="BQ998" i="1" s="1"/>
  <c r="BO998" i="1"/>
  <c r="BF998" i="1"/>
  <c r="BE998" i="1"/>
  <c r="BD998" i="1"/>
  <c r="BC998" i="1"/>
  <c r="BB998" i="1"/>
  <c r="BA998" i="1"/>
  <c r="BG998" i="1" s="1" a="1"/>
  <c r="BG998" i="1" s="1"/>
  <c r="AZ998" i="1"/>
  <c r="M998" i="1"/>
  <c r="ER963" i="1"/>
  <c r="DZ963" i="1"/>
  <c r="DY963" i="1"/>
  <c r="DS963" i="1"/>
  <c r="DR963" i="1"/>
  <c r="DQ963" i="1"/>
  <c r="DP963" i="1"/>
  <c r="DN963" i="1"/>
  <c r="DO963" i="1" s="1"/>
  <c r="DH963" i="1"/>
  <c r="DC963" i="1"/>
  <c r="CP963" i="1"/>
  <c r="BX963" i="1"/>
  <c r="BZ963" i="1" s="1"/>
  <c r="BW963" i="1"/>
  <c r="BP963" i="1"/>
  <c r="BQ963" i="1" s="1"/>
  <c r="BO963" i="1"/>
  <c r="BF963" i="1"/>
  <c r="BE963" i="1"/>
  <c r="BD963" i="1"/>
  <c r="BC963" i="1"/>
  <c r="BB963" i="1"/>
  <c r="BA963" i="1"/>
  <c r="BG963" i="1" s="1" a="1"/>
  <c r="BG963" i="1" s="1"/>
  <c r="AZ963" i="1"/>
  <c r="M963" i="1"/>
  <c r="ER1113" i="1"/>
  <c r="DZ1113" i="1"/>
  <c r="DY1113" i="1"/>
  <c r="DS1113" i="1"/>
  <c r="DR1113" i="1"/>
  <c r="DQ1113" i="1"/>
  <c r="DP1113" i="1"/>
  <c r="DN1113" i="1"/>
  <c r="DO1113" i="1" s="1"/>
  <c r="DH1113" i="1"/>
  <c r="DC1113" i="1"/>
  <c r="BV1113" i="1"/>
  <c r="BU1113" i="1"/>
  <c r="BN1113" i="1"/>
  <c r="BM1113" i="1"/>
  <c r="BF1113" i="1"/>
  <c r="BE1113" i="1"/>
  <c r="BD1113" i="1"/>
  <c r="BC1113" i="1"/>
  <c r="BB1113" i="1"/>
  <c r="BA1113" i="1"/>
  <c r="BG1113" i="1" s="1" a="1"/>
  <c r="BG1113" i="1" s="1"/>
  <c r="AZ1113" i="1"/>
  <c r="M1113" i="1"/>
  <c r="ER939" i="1"/>
  <c r="DZ939" i="1"/>
  <c r="DY939" i="1"/>
  <c r="DS939" i="1"/>
  <c r="DR939" i="1"/>
  <c r="DQ939" i="1"/>
  <c r="DP939" i="1"/>
  <c r="DN939" i="1"/>
  <c r="DO939" i="1" s="1"/>
  <c r="DH939" i="1"/>
  <c r="DC939" i="1"/>
  <c r="CP939" i="1"/>
  <c r="CU939" i="1" s="1"/>
  <c r="BX939" i="1"/>
  <c r="BZ939" i="1" s="1"/>
  <c r="BP939" i="1"/>
  <c r="BQ939" i="1" s="1"/>
  <c r="BF939" i="1"/>
  <c r="BE939" i="1"/>
  <c r="BD939" i="1"/>
  <c r="BC939" i="1"/>
  <c r="BB939" i="1"/>
  <c r="BA939" i="1"/>
  <c r="BG939" i="1" s="1" a="1"/>
  <c r="BG939" i="1" s="1"/>
  <c r="AZ939" i="1"/>
  <c r="M939" i="1"/>
  <c r="ER938" i="1"/>
  <c r="DZ938" i="1"/>
  <c r="DY938" i="1"/>
  <c r="DS938" i="1"/>
  <c r="DR938" i="1"/>
  <c r="DQ938" i="1"/>
  <c r="DP938" i="1"/>
  <c r="DN938" i="1"/>
  <c r="DO938" i="1" s="1"/>
  <c r="DH938" i="1"/>
  <c r="DC938" i="1"/>
  <c r="CP938" i="1"/>
  <c r="CQ938" i="1" s="1"/>
  <c r="BX938" i="1"/>
  <c r="BZ938" i="1" s="1"/>
  <c r="BP938" i="1"/>
  <c r="BQ938" i="1" s="1"/>
  <c r="BF938" i="1"/>
  <c r="BE938" i="1"/>
  <c r="BD938" i="1"/>
  <c r="BC938" i="1"/>
  <c r="BB938" i="1"/>
  <c r="BA938" i="1"/>
  <c r="BG938" i="1" s="1" a="1"/>
  <c r="BG938" i="1" s="1"/>
  <c r="AZ938" i="1"/>
  <c r="M938" i="1"/>
  <c r="ER933" i="1"/>
  <c r="DZ933" i="1"/>
  <c r="DY933" i="1"/>
  <c r="DS933" i="1"/>
  <c r="DR933" i="1"/>
  <c r="DQ933" i="1"/>
  <c r="DP933" i="1"/>
  <c r="DN933" i="1"/>
  <c r="DO933" i="1" s="1"/>
  <c r="DH933" i="1"/>
  <c r="DC933" i="1"/>
  <c r="CP933" i="1"/>
  <c r="CR933" i="1" s="1"/>
  <c r="BX933" i="1"/>
  <c r="BZ933" i="1" s="1"/>
  <c r="BP933" i="1"/>
  <c r="BQ933" i="1" s="1"/>
  <c r="BF933" i="1"/>
  <c r="BE933" i="1"/>
  <c r="BD933" i="1"/>
  <c r="BC933" i="1"/>
  <c r="BB933" i="1"/>
  <c r="BA933" i="1"/>
  <c r="AZ933" i="1"/>
  <c r="M933" i="1"/>
  <c r="ER942" i="1"/>
  <c r="DZ942" i="1"/>
  <c r="DY942" i="1"/>
  <c r="DS942" i="1"/>
  <c r="DR942" i="1"/>
  <c r="DQ942" i="1"/>
  <c r="DP942" i="1"/>
  <c r="DN942" i="1"/>
  <c r="DO942" i="1" s="1"/>
  <c r="DH942" i="1"/>
  <c r="DC942" i="1"/>
  <c r="CP942" i="1"/>
  <c r="BX942" i="1"/>
  <c r="BZ942" i="1" s="1"/>
  <c r="BP942" i="1"/>
  <c r="BQ942" i="1" s="1"/>
  <c r="BF942" i="1"/>
  <c r="BE942" i="1"/>
  <c r="BD942" i="1"/>
  <c r="BC942" i="1"/>
  <c r="BB942" i="1"/>
  <c r="BA942" i="1"/>
  <c r="BG942" i="1" s="1" a="1"/>
  <c r="BG942" i="1" s="1"/>
  <c r="AZ942" i="1"/>
  <c r="M942" i="1"/>
  <c r="ER947" i="1"/>
  <c r="DZ947" i="1"/>
  <c r="DY947" i="1"/>
  <c r="DS947" i="1"/>
  <c r="DR947" i="1"/>
  <c r="DQ947" i="1"/>
  <c r="DP947" i="1"/>
  <c r="DN947" i="1"/>
  <c r="DO947" i="1" s="1"/>
  <c r="DH947" i="1"/>
  <c r="DC947" i="1"/>
  <c r="CP947" i="1"/>
  <c r="CU947" i="1" s="1"/>
  <c r="BX947" i="1"/>
  <c r="BZ947" i="1" s="1"/>
  <c r="BP947" i="1"/>
  <c r="BQ947" i="1" s="1"/>
  <c r="BF947" i="1"/>
  <c r="BE947" i="1"/>
  <c r="BD947" i="1"/>
  <c r="BC947" i="1"/>
  <c r="BB947" i="1"/>
  <c r="BA947" i="1"/>
  <c r="AZ947" i="1"/>
  <c r="M947" i="1"/>
  <c r="ER935" i="1"/>
  <c r="DZ935" i="1"/>
  <c r="DY935" i="1"/>
  <c r="DS935" i="1"/>
  <c r="DR935" i="1"/>
  <c r="DQ935" i="1"/>
  <c r="DP935" i="1"/>
  <c r="DN935" i="1"/>
  <c r="DO935" i="1" s="1"/>
  <c r="DH935" i="1"/>
  <c r="DC935" i="1"/>
  <c r="CP935" i="1"/>
  <c r="CV935" i="1" s="1"/>
  <c r="BX935" i="1"/>
  <c r="BZ935" i="1" s="1"/>
  <c r="BP935" i="1"/>
  <c r="BQ935" i="1" s="1"/>
  <c r="BF935" i="1"/>
  <c r="BE935" i="1"/>
  <c r="BD935" i="1"/>
  <c r="BC935" i="1"/>
  <c r="BB935" i="1"/>
  <c r="BA935" i="1"/>
  <c r="BG935" i="1" s="1" a="1"/>
  <c r="BG935" i="1" s="1"/>
  <c r="AZ935" i="1"/>
  <c r="M935" i="1"/>
  <c r="ER934" i="1"/>
  <c r="DZ934" i="1"/>
  <c r="DY934" i="1"/>
  <c r="DS934" i="1"/>
  <c r="DR934" i="1"/>
  <c r="DQ934" i="1"/>
  <c r="DP934" i="1"/>
  <c r="DN934" i="1"/>
  <c r="DO934" i="1" s="1"/>
  <c r="DH934" i="1"/>
  <c r="DC934" i="1"/>
  <c r="CP934" i="1"/>
  <c r="CV934" i="1" s="1"/>
  <c r="BX934" i="1"/>
  <c r="BZ934" i="1" s="1"/>
  <c r="BP934" i="1"/>
  <c r="BQ934" i="1" s="1"/>
  <c r="BF934" i="1"/>
  <c r="BE934" i="1"/>
  <c r="BD934" i="1"/>
  <c r="BC934" i="1"/>
  <c r="BB934" i="1"/>
  <c r="BA934" i="1"/>
  <c r="BG934" i="1" s="1" a="1"/>
  <c r="BG934" i="1" s="1"/>
  <c r="AZ934" i="1"/>
  <c r="M934" i="1"/>
  <c r="ER931" i="1"/>
  <c r="DZ931" i="1"/>
  <c r="DY931" i="1"/>
  <c r="DS931" i="1"/>
  <c r="DR931" i="1"/>
  <c r="DQ931" i="1"/>
  <c r="DP931" i="1"/>
  <c r="DN931" i="1"/>
  <c r="DO931" i="1" s="1"/>
  <c r="DH931" i="1"/>
  <c r="DC931" i="1"/>
  <c r="CP931" i="1"/>
  <c r="CQ931" i="1" s="1"/>
  <c r="BX931" i="1"/>
  <c r="BZ931" i="1" s="1"/>
  <c r="BP931" i="1"/>
  <c r="BQ931" i="1" s="1"/>
  <c r="BF931" i="1"/>
  <c r="BE931" i="1"/>
  <c r="BD931" i="1"/>
  <c r="BC931" i="1"/>
  <c r="BB931" i="1"/>
  <c r="BA931" i="1"/>
  <c r="AZ931" i="1"/>
  <c r="M931" i="1"/>
  <c r="ER941" i="1"/>
  <c r="DZ941" i="1"/>
  <c r="DY941" i="1"/>
  <c r="DS941" i="1"/>
  <c r="DR941" i="1"/>
  <c r="DQ941" i="1"/>
  <c r="DP941" i="1"/>
  <c r="DN941" i="1"/>
  <c r="DO941" i="1" s="1"/>
  <c r="DH941" i="1"/>
  <c r="DC941" i="1"/>
  <c r="CP941" i="1"/>
  <c r="CQ941" i="1" s="1"/>
  <c r="BX941" i="1"/>
  <c r="BZ941" i="1" s="1"/>
  <c r="BP941" i="1"/>
  <c r="BQ941" i="1" s="1"/>
  <c r="BF941" i="1"/>
  <c r="BE941" i="1"/>
  <c r="BD941" i="1"/>
  <c r="BC941" i="1"/>
  <c r="BB941" i="1"/>
  <c r="BA941" i="1"/>
  <c r="BG941" i="1" s="1" a="1"/>
  <c r="BG941" i="1" s="1"/>
  <c r="AZ941" i="1"/>
  <c r="M941" i="1"/>
  <c r="ER945" i="1"/>
  <c r="DZ945" i="1"/>
  <c r="DY945" i="1"/>
  <c r="DS945" i="1"/>
  <c r="DR945" i="1"/>
  <c r="DQ945" i="1"/>
  <c r="DP945" i="1"/>
  <c r="DN945" i="1"/>
  <c r="DO945" i="1" s="1"/>
  <c r="DH945" i="1"/>
  <c r="DC945" i="1"/>
  <c r="CP945" i="1"/>
  <c r="CV945" i="1" s="1"/>
  <c r="BX945" i="1"/>
  <c r="BZ945" i="1" s="1"/>
  <c r="BP945" i="1"/>
  <c r="BQ945" i="1" s="1"/>
  <c r="BF945" i="1"/>
  <c r="BE945" i="1"/>
  <c r="BD945" i="1"/>
  <c r="BC945" i="1"/>
  <c r="BB945" i="1"/>
  <c r="BA945" i="1"/>
  <c r="AZ945" i="1"/>
  <c r="M945" i="1"/>
  <c r="ER937" i="1"/>
  <c r="DZ937" i="1"/>
  <c r="DY937" i="1"/>
  <c r="DS937" i="1"/>
  <c r="DR937" i="1"/>
  <c r="DQ937" i="1"/>
  <c r="DP937" i="1"/>
  <c r="DN937" i="1"/>
  <c r="DO937" i="1" s="1"/>
  <c r="DH937" i="1"/>
  <c r="DC937" i="1"/>
  <c r="CP937" i="1"/>
  <c r="CV937" i="1" s="1"/>
  <c r="BX937" i="1"/>
  <c r="BZ937" i="1" s="1"/>
  <c r="BP937" i="1"/>
  <c r="BQ937" i="1" s="1"/>
  <c r="BF937" i="1"/>
  <c r="BE937" i="1"/>
  <c r="BD937" i="1"/>
  <c r="BC937" i="1"/>
  <c r="BB937" i="1"/>
  <c r="BA937" i="1"/>
  <c r="BG937" i="1" s="1" a="1"/>
  <c r="BG937" i="1" s="1"/>
  <c r="AZ937" i="1"/>
  <c r="M937" i="1"/>
  <c r="ER936" i="1"/>
  <c r="DZ936" i="1"/>
  <c r="DY936" i="1"/>
  <c r="DS936" i="1"/>
  <c r="DR936" i="1"/>
  <c r="DQ936" i="1"/>
  <c r="DP936" i="1"/>
  <c r="DN936" i="1"/>
  <c r="DO936" i="1" s="1"/>
  <c r="DH936" i="1"/>
  <c r="DC936" i="1"/>
  <c r="CP936" i="1"/>
  <c r="CQ936" i="1" s="1"/>
  <c r="BX936" i="1"/>
  <c r="BZ936" i="1" s="1"/>
  <c r="BP936" i="1"/>
  <c r="BQ936" i="1" s="1"/>
  <c r="BF936" i="1"/>
  <c r="BE936" i="1"/>
  <c r="BD936" i="1"/>
  <c r="BC936" i="1"/>
  <c r="BB936" i="1"/>
  <c r="BA936" i="1"/>
  <c r="BG936" i="1" s="1" a="1"/>
  <c r="BG936" i="1" s="1"/>
  <c r="AZ936" i="1"/>
  <c r="M936" i="1"/>
  <c r="ER932" i="1"/>
  <c r="DZ932" i="1"/>
  <c r="DY932" i="1"/>
  <c r="DS932" i="1"/>
  <c r="DR932" i="1"/>
  <c r="DQ932" i="1"/>
  <c r="DP932" i="1"/>
  <c r="DN932" i="1"/>
  <c r="DO932" i="1" s="1"/>
  <c r="DH932" i="1"/>
  <c r="DC932" i="1"/>
  <c r="CP932" i="1"/>
  <c r="CR932" i="1" s="1"/>
  <c r="BX932" i="1"/>
  <c r="BZ932" i="1" s="1"/>
  <c r="BP932" i="1"/>
  <c r="BQ932" i="1" s="1"/>
  <c r="BF932" i="1"/>
  <c r="BE932" i="1"/>
  <c r="BD932" i="1"/>
  <c r="BC932" i="1"/>
  <c r="BB932" i="1"/>
  <c r="BA932" i="1"/>
  <c r="AZ932" i="1"/>
  <c r="M932" i="1"/>
  <c r="ER940" i="1"/>
  <c r="DZ940" i="1"/>
  <c r="DY940" i="1"/>
  <c r="DS940" i="1"/>
  <c r="DR940" i="1"/>
  <c r="DQ940" i="1"/>
  <c r="DP940" i="1"/>
  <c r="DN940" i="1"/>
  <c r="DO940" i="1" s="1"/>
  <c r="DH940" i="1"/>
  <c r="DC940" i="1"/>
  <c r="CP940" i="1"/>
  <c r="BX940" i="1"/>
  <c r="BZ940" i="1" s="1"/>
  <c r="BP940" i="1"/>
  <c r="BQ940" i="1" s="1"/>
  <c r="BF940" i="1"/>
  <c r="BE940" i="1"/>
  <c r="BD940" i="1"/>
  <c r="BC940" i="1"/>
  <c r="BB940" i="1"/>
  <c r="BA940" i="1"/>
  <c r="BG940" i="1" s="1" a="1"/>
  <c r="BG940" i="1" s="1"/>
  <c r="AZ940" i="1"/>
  <c r="M940" i="1"/>
  <c r="ER946" i="1"/>
  <c r="DZ946" i="1"/>
  <c r="DY946" i="1"/>
  <c r="DS946" i="1"/>
  <c r="DR946" i="1"/>
  <c r="DQ946" i="1"/>
  <c r="DP946" i="1"/>
  <c r="DN946" i="1"/>
  <c r="DO946" i="1" s="1"/>
  <c r="DH946" i="1"/>
  <c r="DC946" i="1"/>
  <c r="CP946" i="1"/>
  <c r="BX946" i="1"/>
  <c r="BZ946" i="1" s="1"/>
  <c r="BP946" i="1"/>
  <c r="BQ946" i="1" s="1"/>
  <c r="BF946" i="1"/>
  <c r="BE946" i="1"/>
  <c r="BD946" i="1"/>
  <c r="BC946" i="1"/>
  <c r="BB946" i="1"/>
  <c r="BA946" i="1"/>
  <c r="AZ946" i="1"/>
  <c r="M946" i="1"/>
  <c r="ER930" i="1"/>
  <c r="DZ930" i="1"/>
  <c r="DY930" i="1"/>
  <c r="DS930" i="1"/>
  <c r="DR930" i="1"/>
  <c r="DQ930" i="1"/>
  <c r="DP930" i="1"/>
  <c r="DN930" i="1"/>
  <c r="DO930" i="1" s="1"/>
  <c r="DH930" i="1"/>
  <c r="DC930" i="1"/>
  <c r="CP930" i="1"/>
  <c r="CU930" i="1" s="1"/>
  <c r="BZ930" i="1"/>
  <c r="CA930" i="1" s="1"/>
  <c r="BV930" i="1"/>
  <c r="BF930" i="1"/>
  <c r="BE930" i="1"/>
  <c r="BD930" i="1"/>
  <c r="BC930" i="1"/>
  <c r="BB930" i="1"/>
  <c r="BA930" i="1"/>
  <c r="BG930" i="1" s="1" a="1"/>
  <c r="BG930" i="1" s="1"/>
  <c r="AZ930" i="1"/>
  <c r="M930" i="1"/>
  <c r="ER929" i="1"/>
  <c r="DZ929" i="1"/>
  <c r="DY929" i="1"/>
  <c r="DS929" i="1"/>
  <c r="DR929" i="1"/>
  <c r="DQ929" i="1"/>
  <c r="DP929" i="1"/>
  <c r="DN929" i="1"/>
  <c r="DO929" i="1" s="1"/>
  <c r="DH929" i="1"/>
  <c r="DC929" i="1"/>
  <c r="CP929" i="1"/>
  <c r="BZ929" i="1"/>
  <c r="CA929" i="1" s="1"/>
  <c r="BV929" i="1"/>
  <c r="BW929" i="1" s="1"/>
  <c r="BF929" i="1"/>
  <c r="BE929" i="1"/>
  <c r="BD929" i="1"/>
  <c r="BC929" i="1"/>
  <c r="BB929" i="1"/>
  <c r="BA929" i="1"/>
  <c r="BG929" i="1" s="1" a="1"/>
  <c r="BG929" i="1" s="1"/>
  <c r="AZ929" i="1"/>
  <c r="M929" i="1"/>
  <c r="ER943" i="1"/>
  <c r="DZ943" i="1"/>
  <c r="DY943" i="1"/>
  <c r="DS943" i="1"/>
  <c r="DR943" i="1"/>
  <c r="DQ943" i="1"/>
  <c r="DP943" i="1"/>
  <c r="DN943" i="1"/>
  <c r="DO943" i="1" s="1"/>
  <c r="DH943" i="1"/>
  <c r="DC943" i="1"/>
  <c r="CP943" i="1"/>
  <c r="BZ943" i="1"/>
  <c r="CA943" i="1" s="1"/>
  <c r="BV943" i="1"/>
  <c r="BW943" i="1" s="1"/>
  <c r="BF943" i="1"/>
  <c r="BE943" i="1"/>
  <c r="BD943" i="1"/>
  <c r="BC943" i="1"/>
  <c r="BB943" i="1"/>
  <c r="BA943" i="1"/>
  <c r="BG943" i="1" s="1" a="1"/>
  <c r="BG943" i="1" s="1"/>
  <c r="AZ943" i="1"/>
  <c r="M943" i="1"/>
  <c r="ER944" i="1"/>
  <c r="DZ944" i="1"/>
  <c r="DY944" i="1"/>
  <c r="DS944" i="1"/>
  <c r="DR944" i="1"/>
  <c r="DQ944" i="1"/>
  <c r="DP944" i="1"/>
  <c r="DN944" i="1"/>
  <c r="DO944" i="1" s="1"/>
  <c r="DH944" i="1"/>
  <c r="DC944" i="1"/>
  <c r="CP944" i="1"/>
  <c r="BZ944" i="1"/>
  <c r="CA944" i="1" s="1"/>
  <c r="BV944" i="1"/>
  <c r="BW944" i="1" s="1"/>
  <c r="BF944" i="1"/>
  <c r="BE944" i="1"/>
  <c r="BD944" i="1"/>
  <c r="BC944" i="1"/>
  <c r="BB944" i="1"/>
  <c r="BA944" i="1"/>
  <c r="BG944" i="1" s="1" a="1"/>
  <c r="BG944" i="1" s="1"/>
  <c r="AZ944" i="1"/>
  <c r="M944" i="1"/>
  <c r="ER1185" i="1"/>
  <c r="DZ1185" i="1"/>
  <c r="DY1185" i="1"/>
  <c r="DS1185" i="1"/>
  <c r="DR1185" i="1"/>
  <c r="DQ1185" i="1"/>
  <c r="DP1185" i="1"/>
  <c r="DN1185" i="1"/>
  <c r="DO1185" i="1" s="1"/>
  <c r="DH1185" i="1"/>
  <c r="DC1185" i="1"/>
  <c r="CP1185" i="1"/>
  <c r="CV1185" i="1" s="1"/>
  <c r="BX1185" i="1"/>
  <c r="BZ1185" i="1" s="1"/>
  <c r="BP1185" i="1"/>
  <c r="BQ1185" i="1" s="1"/>
  <c r="BF1185" i="1"/>
  <c r="BE1185" i="1"/>
  <c r="BD1185" i="1"/>
  <c r="BC1185" i="1"/>
  <c r="BB1185" i="1"/>
  <c r="BA1185" i="1"/>
  <c r="BG1185" i="1" s="1" a="1"/>
  <c r="BG1185" i="1" s="1"/>
  <c r="AZ1185" i="1"/>
  <c r="M1185" i="1"/>
  <c r="ER1485" i="1"/>
  <c r="DZ1485" i="1"/>
  <c r="DY1485" i="1"/>
  <c r="DS1485" i="1"/>
  <c r="DR1485" i="1"/>
  <c r="DQ1485" i="1"/>
  <c r="DP1485" i="1"/>
  <c r="DN1485" i="1"/>
  <c r="DO1485" i="1" s="1"/>
  <c r="DH1485" i="1"/>
  <c r="DC1485" i="1"/>
  <c r="BX1485" i="1"/>
  <c r="BZ1485" i="1" s="1"/>
  <c r="BW1485" i="1"/>
  <c r="BN1485" i="1"/>
  <c r="BM1485" i="1"/>
  <c r="BF1485" i="1"/>
  <c r="BE1485" i="1"/>
  <c r="BD1485" i="1"/>
  <c r="BC1485" i="1"/>
  <c r="BB1485" i="1"/>
  <c r="BA1485" i="1"/>
  <c r="AZ1485" i="1"/>
  <c r="M1485" i="1"/>
  <c r="ER1484" i="1"/>
  <c r="DZ1484" i="1"/>
  <c r="DY1484" i="1"/>
  <c r="DS1484" i="1"/>
  <c r="DR1484" i="1"/>
  <c r="DQ1484" i="1"/>
  <c r="DP1484" i="1"/>
  <c r="DN1484" i="1"/>
  <c r="DO1484" i="1" s="1"/>
  <c r="DH1484" i="1"/>
  <c r="DC1484" i="1"/>
  <c r="BX1484" i="1"/>
  <c r="BZ1484" i="1" s="1"/>
  <c r="BW1484" i="1"/>
  <c r="BN1484" i="1"/>
  <c r="BM1484" i="1"/>
  <c r="BF1484" i="1"/>
  <c r="BE1484" i="1"/>
  <c r="BD1484" i="1"/>
  <c r="BC1484" i="1"/>
  <c r="BB1484" i="1"/>
  <c r="BA1484" i="1"/>
  <c r="AZ1484" i="1"/>
  <c r="M1484" i="1"/>
  <c r="ER1483" i="1"/>
  <c r="DZ1483" i="1"/>
  <c r="DY1483" i="1"/>
  <c r="DS1483" i="1"/>
  <c r="DR1483" i="1"/>
  <c r="DQ1483" i="1"/>
  <c r="DP1483" i="1"/>
  <c r="DN1483" i="1"/>
  <c r="DO1483" i="1" s="1"/>
  <c r="DH1483" i="1"/>
  <c r="DC1483" i="1"/>
  <c r="BX1483" i="1"/>
  <c r="BZ1483" i="1" s="1"/>
  <c r="BW1483" i="1"/>
  <c r="BN1483" i="1"/>
  <c r="BM1483" i="1"/>
  <c r="BF1483" i="1"/>
  <c r="BE1483" i="1"/>
  <c r="BD1483" i="1"/>
  <c r="BC1483" i="1"/>
  <c r="BB1483" i="1"/>
  <c r="BA1483" i="1"/>
  <c r="AZ1483" i="1"/>
  <c r="M1483" i="1"/>
  <c r="ER1482" i="1"/>
  <c r="DZ1482" i="1"/>
  <c r="DY1482" i="1"/>
  <c r="DS1482" i="1"/>
  <c r="DR1482" i="1"/>
  <c r="DQ1482" i="1"/>
  <c r="DP1482" i="1"/>
  <c r="DN1482" i="1"/>
  <c r="DO1482" i="1" s="1"/>
  <c r="DH1482" i="1"/>
  <c r="DC1482" i="1"/>
  <c r="BX1482" i="1"/>
  <c r="BZ1482" i="1" s="1"/>
  <c r="BW1482" i="1"/>
  <c r="BN1482" i="1"/>
  <c r="BM1482" i="1"/>
  <c r="BF1482" i="1"/>
  <c r="BE1482" i="1"/>
  <c r="BD1482" i="1"/>
  <c r="BC1482" i="1"/>
  <c r="BB1482" i="1"/>
  <c r="BA1482" i="1"/>
  <c r="AZ1482" i="1"/>
  <c r="M1482" i="1"/>
  <c r="ER527" i="1"/>
  <c r="DZ527" i="1"/>
  <c r="DY527" i="1"/>
  <c r="DS527" i="1"/>
  <c r="DR527" i="1"/>
  <c r="DQ527" i="1"/>
  <c r="DP527" i="1"/>
  <c r="DN527" i="1"/>
  <c r="DO527" i="1" s="1"/>
  <c r="DG527" i="1"/>
  <c r="DH527" i="1" s="1"/>
  <c r="DC527" i="1"/>
  <c r="DA527" i="1"/>
  <c r="CP527" i="1"/>
  <c r="BP527" i="1"/>
  <c r="BQ527" i="1" s="1"/>
  <c r="CA527" i="1" s="1"/>
  <c r="EY527" i="1" s="1"/>
  <c r="BF527" i="1"/>
  <c r="BE527" i="1"/>
  <c r="BD527" i="1"/>
  <c r="BC527" i="1"/>
  <c r="BB527" i="1"/>
  <c r="BA527" i="1"/>
  <c r="BG527" i="1" s="1" a="1"/>
  <c r="BG527" i="1" s="1"/>
  <c r="AZ527" i="1"/>
  <c r="M527" i="1"/>
  <c r="ER526" i="1"/>
  <c r="DZ526" i="1"/>
  <c r="DY526" i="1"/>
  <c r="DS526" i="1"/>
  <c r="DR526" i="1"/>
  <c r="DQ526" i="1"/>
  <c r="DP526" i="1"/>
  <c r="DN526" i="1"/>
  <c r="DO526" i="1" s="1"/>
  <c r="DG526" i="1"/>
  <c r="DH526" i="1" s="1"/>
  <c r="DC526" i="1"/>
  <c r="DA526" i="1"/>
  <c r="CP526" i="1"/>
  <c r="BP526" i="1"/>
  <c r="BQ526" i="1" s="1"/>
  <c r="BF526" i="1"/>
  <c r="BE526" i="1"/>
  <c r="BD526" i="1"/>
  <c r="BC526" i="1"/>
  <c r="BB526" i="1"/>
  <c r="BA526" i="1"/>
  <c r="BG526" i="1" s="1" a="1"/>
  <c r="BG526" i="1" s="1"/>
  <c r="AZ526" i="1"/>
  <c r="M526" i="1"/>
  <c r="ER525" i="1"/>
  <c r="DZ525" i="1"/>
  <c r="DY525" i="1"/>
  <c r="DS525" i="1"/>
  <c r="DR525" i="1"/>
  <c r="DQ525" i="1"/>
  <c r="DP525" i="1"/>
  <c r="DN525" i="1"/>
  <c r="DO525" i="1" s="1"/>
  <c r="DG525" i="1"/>
  <c r="DH525" i="1" s="1"/>
  <c r="DC525" i="1"/>
  <c r="DA525" i="1"/>
  <c r="CP525" i="1"/>
  <c r="CR525" i="1" s="1"/>
  <c r="BP525" i="1"/>
  <c r="BQ525" i="1" s="1"/>
  <c r="CA525" i="1" s="1"/>
  <c r="BF525" i="1"/>
  <c r="BE525" i="1"/>
  <c r="BD525" i="1"/>
  <c r="BC525" i="1"/>
  <c r="BB525" i="1"/>
  <c r="BA525" i="1"/>
  <c r="BG525" i="1" s="1" a="1"/>
  <c r="BG525" i="1" s="1"/>
  <c r="AZ525" i="1"/>
  <c r="M525" i="1"/>
  <c r="ER524" i="1"/>
  <c r="DZ524" i="1"/>
  <c r="DY524" i="1"/>
  <c r="DS524" i="1"/>
  <c r="DR524" i="1"/>
  <c r="DQ524" i="1"/>
  <c r="DP524" i="1"/>
  <c r="DN524" i="1"/>
  <c r="DO524" i="1" s="1"/>
  <c r="DG524" i="1"/>
  <c r="DH524" i="1" s="1"/>
  <c r="DC524" i="1"/>
  <c r="DA524" i="1"/>
  <c r="CP524" i="1"/>
  <c r="CR524" i="1" s="1"/>
  <c r="BP524" i="1"/>
  <c r="BQ524" i="1" s="1"/>
  <c r="BF524" i="1"/>
  <c r="BE524" i="1"/>
  <c r="BD524" i="1"/>
  <c r="BC524" i="1"/>
  <c r="BB524" i="1"/>
  <c r="BA524" i="1"/>
  <c r="BG524" i="1" s="1" a="1"/>
  <c r="BG524" i="1" s="1"/>
  <c r="AZ524" i="1"/>
  <c r="M524" i="1"/>
  <c r="ER1109" i="1"/>
  <c r="DZ1109" i="1"/>
  <c r="DY1109" i="1"/>
  <c r="DS1109" i="1"/>
  <c r="DR1109" i="1"/>
  <c r="DQ1109" i="1"/>
  <c r="DP1109" i="1"/>
  <c r="DN1109" i="1"/>
  <c r="DO1109" i="1" s="1"/>
  <c r="DH1109" i="1"/>
  <c r="DC1109" i="1"/>
  <c r="CP1109" i="1"/>
  <c r="CR1109" i="1" s="1"/>
  <c r="BX1109" i="1"/>
  <c r="BZ1109" i="1" s="1"/>
  <c r="BW1109" i="1"/>
  <c r="BP1109" i="1"/>
  <c r="BQ1109" i="1" s="1"/>
  <c r="BF1109" i="1"/>
  <c r="BE1109" i="1"/>
  <c r="BD1109" i="1"/>
  <c r="BC1109" i="1"/>
  <c r="BB1109" i="1"/>
  <c r="BA1109" i="1"/>
  <c r="AZ1109" i="1"/>
  <c r="M1109" i="1"/>
  <c r="ER1112" i="1"/>
  <c r="DZ1112" i="1"/>
  <c r="DY1112" i="1"/>
  <c r="DS1112" i="1"/>
  <c r="DR1112" i="1"/>
  <c r="DQ1112" i="1"/>
  <c r="DP1112" i="1"/>
  <c r="DN1112" i="1"/>
  <c r="DO1112" i="1" s="1"/>
  <c r="DH1112" i="1"/>
  <c r="DC1112" i="1"/>
  <c r="CP1112" i="1"/>
  <c r="CV1112" i="1" s="1"/>
  <c r="BX1112" i="1"/>
  <c r="BZ1112" i="1" s="1"/>
  <c r="BW1112" i="1"/>
  <c r="BP1112" i="1"/>
  <c r="BQ1112" i="1" s="1"/>
  <c r="BF1112" i="1"/>
  <c r="BE1112" i="1"/>
  <c r="BD1112" i="1"/>
  <c r="BC1112" i="1"/>
  <c r="BB1112" i="1"/>
  <c r="BA1112" i="1"/>
  <c r="AZ1112" i="1"/>
  <c r="M1112" i="1"/>
  <c r="ER1111" i="1"/>
  <c r="DZ1111" i="1"/>
  <c r="DY1111" i="1"/>
  <c r="DS1111" i="1"/>
  <c r="DR1111" i="1"/>
  <c r="DQ1111" i="1"/>
  <c r="DP1111" i="1"/>
  <c r="DN1111" i="1"/>
  <c r="DO1111" i="1" s="1"/>
  <c r="DH1111" i="1"/>
  <c r="DC1111" i="1"/>
  <c r="CP1111" i="1"/>
  <c r="CV1111" i="1" s="1"/>
  <c r="BX1111" i="1"/>
  <c r="BZ1111" i="1" s="1"/>
  <c r="BW1111" i="1"/>
  <c r="BP1111" i="1"/>
  <c r="BQ1111" i="1" s="1"/>
  <c r="BF1111" i="1"/>
  <c r="BE1111" i="1"/>
  <c r="BD1111" i="1"/>
  <c r="BC1111" i="1"/>
  <c r="BB1111" i="1"/>
  <c r="BA1111" i="1"/>
  <c r="AZ1111" i="1"/>
  <c r="M1111" i="1"/>
  <c r="ER1110" i="1"/>
  <c r="DZ1110" i="1"/>
  <c r="DY1110" i="1"/>
  <c r="DS1110" i="1"/>
  <c r="DR1110" i="1"/>
  <c r="DQ1110" i="1"/>
  <c r="DP1110" i="1"/>
  <c r="DN1110" i="1"/>
  <c r="DO1110" i="1" s="1"/>
  <c r="DH1110" i="1"/>
  <c r="DC1110" i="1"/>
  <c r="CP1110" i="1"/>
  <c r="CR1110" i="1" s="1"/>
  <c r="BX1110" i="1"/>
  <c r="BZ1110" i="1" s="1"/>
  <c r="BW1110" i="1"/>
  <c r="BP1110" i="1"/>
  <c r="BQ1110" i="1" s="1"/>
  <c r="BF1110" i="1"/>
  <c r="BE1110" i="1"/>
  <c r="BD1110" i="1"/>
  <c r="BC1110" i="1"/>
  <c r="BB1110" i="1"/>
  <c r="BA1110" i="1"/>
  <c r="AZ1110" i="1"/>
  <c r="M1110" i="1"/>
  <c r="ER918" i="1"/>
  <c r="DZ918" i="1"/>
  <c r="DS918" i="1"/>
  <c r="DR918" i="1"/>
  <c r="DQ918" i="1"/>
  <c r="DP918" i="1"/>
  <c r="DN918" i="1"/>
  <c r="DO918" i="1" s="1"/>
  <c r="DH918" i="1"/>
  <c r="DC918" i="1"/>
  <c r="CP918" i="1"/>
  <c r="CQ918" i="1" s="1"/>
  <c r="BV918" i="1"/>
  <c r="BU918" i="1"/>
  <c r="BP918" i="1"/>
  <c r="BQ918" i="1" s="1"/>
  <c r="BO918" i="1"/>
  <c r="BF918" i="1"/>
  <c r="BE918" i="1"/>
  <c r="BD918" i="1"/>
  <c r="BC918" i="1"/>
  <c r="BB918" i="1"/>
  <c r="BA918" i="1"/>
  <c r="AZ918" i="1"/>
  <c r="M918" i="1"/>
  <c r="ER917" i="1"/>
  <c r="DZ917" i="1"/>
  <c r="DS917" i="1"/>
  <c r="DR917" i="1"/>
  <c r="DQ917" i="1"/>
  <c r="DP917" i="1"/>
  <c r="DN917" i="1"/>
  <c r="DO917" i="1" s="1"/>
  <c r="DH917" i="1"/>
  <c r="DC917" i="1"/>
  <c r="CP917" i="1"/>
  <c r="CQ917" i="1" s="1"/>
  <c r="BX917" i="1"/>
  <c r="BZ917" i="1" s="1"/>
  <c r="BW917" i="1"/>
  <c r="BP917" i="1"/>
  <c r="BQ917" i="1" s="1"/>
  <c r="BO917" i="1"/>
  <c r="BF917" i="1"/>
  <c r="BE917" i="1"/>
  <c r="BD917" i="1"/>
  <c r="BC917" i="1"/>
  <c r="BB917" i="1"/>
  <c r="BA917" i="1"/>
  <c r="AZ917" i="1"/>
  <c r="M917" i="1"/>
  <c r="ER925" i="1"/>
  <c r="DZ925" i="1"/>
  <c r="DS925" i="1"/>
  <c r="DR925" i="1"/>
  <c r="DQ925" i="1"/>
  <c r="DP925" i="1"/>
  <c r="DN925" i="1"/>
  <c r="DO925" i="1" s="1"/>
  <c r="DH925" i="1"/>
  <c r="DC925" i="1"/>
  <c r="CP925" i="1"/>
  <c r="CQ925" i="1" s="1"/>
  <c r="BX925" i="1"/>
  <c r="BZ925" i="1" s="1"/>
  <c r="BW925" i="1"/>
  <c r="BP925" i="1"/>
  <c r="BQ925" i="1" s="1"/>
  <c r="BO925" i="1"/>
  <c r="BF925" i="1"/>
  <c r="BE925" i="1"/>
  <c r="BD925" i="1"/>
  <c r="BC925" i="1"/>
  <c r="BB925" i="1"/>
  <c r="BA925" i="1"/>
  <c r="AZ925" i="1"/>
  <c r="M925" i="1"/>
  <c r="ER922" i="1"/>
  <c r="DZ922" i="1"/>
  <c r="DS922" i="1"/>
  <c r="DR922" i="1"/>
  <c r="DQ922" i="1"/>
  <c r="DP922" i="1"/>
  <c r="DN922" i="1"/>
  <c r="DO922" i="1" s="1"/>
  <c r="DH922" i="1"/>
  <c r="DC922" i="1"/>
  <c r="CP922" i="1"/>
  <c r="CU922" i="1" s="1"/>
  <c r="BV922" i="1"/>
  <c r="BX922" i="1" s="1"/>
  <c r="BZ922" i="1" s="1"/>
  <c r="BP922" i="1"/>
  <c r="BQ922" i="1" s="1"/>
  <c r="BO922" i="1"/>
  <c r="BF922" i="1"/>
  <c r="BE922" i="1"/>
  <c r="BD922" i="1"/>
  <c r="BC922" i="1"/>
  <c r="BB922" i="1"/>
  <c r="BA922" i="1"/>
  <c r="BG922" i="1" s="1" a="1"/>
  <c r="BG922" i="1" s="1"/>
  <c r="AZ922" i="1"/>
  <c r="M922" i="1"/>
  <c r="ER921" i="1"/>
  <c r="DZ921" i="1"/>
  <c r="DS921" i="1"/>
  <c r="DR921" i="1"/>
  <c r="DQ921" i="1"/>
  <c r="DP921" i="1"/>
  <c r="DN921" i="1"/>
  <c r="DO921" i="1" s="1"/>
  <c r="DH921" i="1"/>
  <c r="DC921" i="1"/>
  <c r="CP921" i="1"/>
  <c r="CU921" i="1" s="1"/>
  <c r="BX921" i="1"/>
  <c r="BZ921" i="1" s="1"/>
  <c r="BW921" i="1"/>
  <c r="BP921" i="1"/>
  <c r="BQ921" i="1" s="1"/>
  <c r="BO921" i="1"/>
  <c r="BF921" i="1"/>
  <c r="BE921" i="1"/>
  <c r="BD921" i="1"/>
  <c r="BC921" i="1"/>
  <c r="BB921" i="1"/>
  <c r="BA921" i="1"/>
  <c r="BG921" i="1" s="1" a="1"/>
  <c r="BG921" i="1" s="1"/>
  <c r="AZ921" i="1"/>
  <c r="M921" i="1"/>
  <c r="ER927" i="1"/>
  <c r="DZ927" i="1"/>
  <c r="DS927" i="1"/>
  <c r="DR927" i="1"/>
  <c r="DQ927" i="1"/>
  <c r="DP927" i="1"/>
  <c r="DN927" i="1"/>
  <c r="DO927" i="1" s="1"/>
  <c r="DH927" i="1"/>
  <c r="DC927" i="1"/>
  <c r="CP927" i="1"/>
  <c r="CV927" i="1" s="1"/>
  <c r="BX927" i="1"/>
  <c r="BZ927" i="1" s="1"/>
  <c r="BW927" i="1"/>
  <c r="BP927" i="1"/>
  <c r="BQ927" i="1" s="1"/>
  <c r="BO927" i="1"/>
  <c r="BF927" i="1"/>
  <c r="BE927" i="1"/>
  <c r="BD927" i="1"/>
  <c r="BC927" i="1"/>
  <c r="BB927" i="1"/>
  <c r="BA927" i="1"/>
  <c r="BG927" i="1" s="1" a="1"/>
  <c r="BG927" i="1" s="1"/>
  <c r="AZ927" i="1"/>
  <c r="M927" i="1"/>
  <c r="ER924" i="1"/>
  <c r="DZ924" i="1"/>
  <c r="DS924" i="1"/>
  <c r="DR924" i="1"/>
  <c r="DQ924" i="1"/>
  <c r="DP924" i="1"/>
  <c r="DN924" i="1"/>
  <c r="DO924" i="1" s="1"/>
  <c r="DH924" i="1"/>
  <c r="DC924" i="1"/>
  <c r="CP924" i="1"/>
  <c r="BV924" i="1"/>
  <c r="BU924" i="1"/>
  <c r="BP924" i="1"/>
  <c r="BQ924" i="1" s="1"/>
  <c r="BO924" i="1"/>
  <c r="BF924" i="1"/>
  <c r="BE924" i="1"/>
  <c r="BD924" i="1"/>
  <c r="BC924" i="1"/>
  <c r="BB924" i="1"/>
  <c r="BA924" i="1"/>
  <c r="BG924" i="1" s="1" a="1"/>
  <c r="BG924" i="1" s="1"/>
  <c r="AZ924" i="1"/>
  <c r="M924" i="1"/>
  <c r="ER923" i="1"/>
  <c r="DZ923" i="1"/>
  <c r="DS923" i="1"/>
  <c r="DR923" i="1"/>
  <c r="DQ923" i="1"/>
  <c r="DP923" i="1"/>
  <c r="DN923" i="1"/>
  <c r="DO923" i="1" s="1"/>
  <c r="DH923" i="1"/>
  <c r="DC923" i="1"/>
  <c r="CP923" i="1"/>
  <c r="BX923" i="1"/>
  <c r="BZ923" i="1" s="1"/>
  <c r="BW923" i="1"/>
  <c r="BP923" i="1"/>
  <c r="BQ923" i="1" s="1"/>
  <c r="BO923" i="1"/>
  <c r="BF923" i="1"/>
  <c r="BE923" i="1"/>
  <c r="BD923" i="1"/>
  <c r="BC923" i="1"/>
  <c r="BB923" i="1"/>
  <c r="BA923" i="1"/>
  <c r="BG923" i="1" s="1" a="1"/>
  <c r="BG923" i="1" s="1"/>
  <c r="AZ923" i="1"/>
  <c r="M923" i="1"/>
  <c r="ER928" i="1"/>
  <c r="DZ928" i="1"/>
  <c r="DS928" i="1"/>
  <c r="DR928" i="1"/>
  <c r="DQ928" i="1"/>
  <c r="DP928" i="1"/>
  <c r="DN928" i="1"/>
  <c r="DO928" i="1" s="1"/>
  <c r="DH928" i="1"/>
  <c r="DC928" i="1"/>
  <c r="CP928" i="1"/>
  <c r="CU928" i="1" s="1"/>
  <c r="BX928" i="1"/>
  <c r="BZ928" i="1" s="1"/>
  <c r="BW928" i="1"/>
  <c r="BP928" i="1"/>
  <c r="BQ928" i="1" s="1"/>
  <c r="BO928" i="1"/>
  <c r="BF928" i="1"/>
  <c r="BE928" i="1"/>
  <c r="BD928" i="1"/>
  <c r="BC928" i="1"/>
  <c r="BB928" i="1"/>
  <c r="BA928" i="1"/>
  <c r="BG928" i="1" s="1" a="1"/>
  <c r="BG928" i="1" s="1"/>
  <c r="AZ928" i="1"/>
  <c r="M928" i="1"/>
  <c r="ER919" i="1"/>
  <c r="DZ919" i="1"/>
  <c r="DS919" i="1"/>
  <c r="DR919" i="1"/>
  <c r="DQ919" i="1"/>
  <c r="DP919" i="1"/>
  <c r="DN919" i="1"/>
  <c r="DO919" i="1" s="1"/>
  <c r="DH919" i="1"/>
  <c r="DC919" i="1"/>
  <c r="CP919" i="1"/>
  <c r="CR919" i="1" s="1"/>
  <c r="BV919" i="1"/>
  <c r="BU919" i="1"/>
  <c r="BP919" i="1"/>
  <c r="BQ919" i="1" s="1"/>
  <c r="BO919" i="1"/>
  <c r="BF919" i="1"/>
  <c r="BE919" i="1"/>
  <c r="BD919" i="1"/>
  <c r="BC919" i="1"/>
  <c r="BB919" i="1"/>
  <c r="BA919" i="1"/>
  <c r="BG919" i="1" s="1" a="1"/>
  <c r="BG919" i="1" s="1"/>
  <c r="AZ919" i="1"/>
  <c r="M919" i="1"/>
  <c r="ER920" i="1"/>
  <c r="DZ920" i="1"/>
  <c r="DS920" i="1"/>
  <c r="DR920" i="1"/>
  <c r="DQ920" i="1"/>
  <c r="DP920" i="1"/>
  <c r="DN920" i="1"/>
  <c r="DO920" i="1" s="1"/>
  <c r="DH920" i="1"/>
  <c r="DC920" i="1"/>
  <c r="CP920" i="1"/>
  <c r="CV920" i="1" s="1"/>
  <c r="BX920" i="1"/>
  <c r="BZ920" i="1" s="1"/>
  <c r="BW920" i="1"/>
  <c r="BP920" i="1"/>
  <c r="BQ920" i="1" s="1"/>
  <c r="BO920" i="1"/>
  <c r="BF920" i="1"/>
  <c r="BE920" i="1"/>
  <c r="BD920" i="1"/>
  <c r="BC920" i="1"/>
  <c r="BB920" i="1"/>
  <c r="BA920" i="1"/>
  <c r="BG920" i="1" s="1" a="1"/>
  <c r="BG920" i="1" s="1"/>
  <c r="AZ920" i="1"/>
  <c r="M920" i="1"/>
  <c r="ER926" i="1"/>
  <c r="DZ926" i="1"/>
  <c r="DS926" i="1"/>
  <c r="DR926" i="1"/>
  <c r="DQ926" i="1"/>
  <c r="DP926" i="1"/>
  <c r="DN926" i="1"/>
  <c r="DO926" i="1" s="1"/>
  <c r="DH926" i="1"/>
  <c r="DC926" i="1"/>
  <c r="CP926" i="1"/>
  <c r="CU926" i="1" s="1"/>
  <c r="BX926" i="1"/>
  <c r="BZ926" i="1" s="1"/>
  <c r="BW926" i="1"/>
  <c r="BP926" i="1"/>
  <c r="BQ926" i="1" s="1"/>
  <c r="BO926" i="1"/>
  <c r="BF926" i="1"/>
  <c r="BE926" i="1"/>
  <c r="BD926" i="1"/>
  <c r="BC926" i="1"/>
  <c r="BB926" i="1"/>
  <c r="BA926" i="1"/>
  <c r="BG926" i="1" s="1" a="1"/>
  <c r="BG926" i="1" s="1"/>
  <c r="AZ926" i="1"/>
  <c r="M926" i="1"/>
  <c r="ER1476" i="1"/>
  <c r="DZ1476" i="1"/>
  <c r="DY1476" i="1"/>
  <c r="DS1476" i="1"/>
  <c r="DR1476" i="1"/>
  <c r="DQ1476" i="1"/>
  <c r="DP1476" i="1"/>
  <c r="DN1476" i="1"/>
  <c r="DO1476" i="1" s="1"/>
  <c r="DH1476" i="1"/>
  <c r="DC1476" i="1"/>
  <c r="BV1476" i="1"/>
  <c r="BU1476" i="1"/>
  <c r="BN1476" i="1"/>
  <c r="BM1476" i="1"/>
  <c r="BF1476" i="1"/>
  <c r="BE1476" i="1"/>
  <c r="BD1476" i="1"/>
  <c r="BC1476" i="1"/>
  <c r="BB1476" i="1"/>
  <c r="BA1476" i="1"/>
  <c r="BG1476" i="1" s="1" a="1"/>
  <c r="BG1476" i="1" s="1"/>
  <c r="AZ1476" i="1"/>
  <c r="M1476" i="1"/>
  <c r="ER1475" i="1"/>
  <c r="DZ1475" i="1"/>
  <c r="DY1475" i="1"/>
  <c r="DS1475" i="1"/>
  <c r="DR1475" i="1"/>
  <c r="DQ1475" i="1"/>
  <c r="DP1475" i="1"/>
  <c r="DN1475" i="1"/>
  <c r="DO1475" i="1" s="1"/>
  <c r="DH1475" i="1"/>
  <c r="DC1475" i="1"/>
  <c r="BV1475" i="1"/>
  <c r="BU1475" i="1"/>
  <c r="BN1475" i="1"/>
  <c r="BM1475" i="1"/>
  <c r="BF1475" i="1"/>
  <c r="BE1475" i="1"/>
  <c r="BD1475" i="1"/>
  <c r="BC1475" i="1"/>
  <c r="BB1475" i="1"/>
  <c r="BA1475" i="1"/>
  <c r="BG1475" i="1" s="1" a="1"/>
  <c r="BG1475" i="1" s="1"/>
  <c r="AZ1475" i="1"/>
  <c r="M1475" i="1"/>
  <c r="ER1474" i="1"/>
  <c r="DZ1474" i="1"/>
  <c r="DY1474" i="1"/>
  <c r="DS1474" i="1"/>
  <c r="DR1474" i="1"/>
  <c r="DQ1474" i="1"/>
  <c r="DP1474" i="1"/>
  <c r="DN1474" i="1"/>
  <c r="DO1474" i="1" s="1"/>
  <c r="DH1474" i="1"/>
  <c r="DC1474" i="1"/>
  <c r="BX1474" i="1"/>
  <c r="BZ1474" i="1" s="1"/>
  <c r="BN1474" i="1"/>
  <c r="BM1474" i="1"/>
  <c r="BF1474" i="1"/>
  <c r="BE1474" i="1"/>
  <c r="BD1474" i="1"/>
  <c r="BC1474" i="1"/>
  <c r="BB1474" i="1"/>
  <c r="BA1474" i="1"/>
  <c r="BG1474" i="1" s="1" a="1"/>
  <c r="BG1474" i="1" s="1"/>
  <c r="AZ1474" i="1"/>
  <c r="M1474" i="1"/>
  <c r="ER1478" i="1"/>
  <c r="DZ1478" i="1"/>
  <c r="DY1478" i="1"/>
  <c r="DS1478" i="1"/>
  <c r="DR1478" i="1"/>
  <c r="DQ1478" i="1"/>
  <c r="DP1478" i="1"/>
  <c r="DN1478" i="1"/>
  <c r="DO1478" i="1" s="1"/>
  <c r="DH1478" i="1"/>
  <c r="DC1478" i="1"/>
  <c r="BX1478" i="1"/>
  <c r="BZ1478" i="1" s="1"/>
  <c r="BN1478" i="1"/>
  <c r="BM1478" i="1"/>
  <c r="BF1478" i="1"/>
  <c r="BE1478" i="1"/>
  <c r="BD1478" i="1"/>
  <c r="BC1478" i="1"/>
  <c r="BB1478" i="1"/>
  <c r="BA1478" i="1"/>
  <c r="BG1478" i="1" s="1" a="1"/>
  <c r="BG1478" i="1" s="1"/>
  <c r="AZ1478" i="1"/>
  <c r="M1478" i="1"/>
  <c r="ER1477" i="1"/>
  <c r="DZ1477" i="1"/>
  <c r="DY1477" i="1"/>
  <c r="DS1477" i="1"/>
  <c r="DR1477" i="1"/>
  <c r="DQ1477" i="1"/>
  <c r="DP1477" i="1"/>
  <c r="DN1477" i="1"/>
  <c r="DO1477" i="1" s="1"/>
  <c r="DH1477" i="1"/>
  <c r="DC1477" i="1"/>
  <c r="BX1477" i="1"/>
  <c r="BZ1477" i="1" s="1"/>
  <c r="BN1477" i="1"/>
  <c r="BM1477" i="1"/>
  <c r="BF1477" i="1"/>
  <c r="BE1477" i="1"/>
  <c r="BD1477" i="1"/>
  <c r="BC1477" i="1"/>
  <c r="BB1477" i="1"/>
  <c r="BA1477" i="1"/>
  <c r="BG1477" i="1" s="1" a="1"/>
  <c r="BG1477" i="1" s="1"/>
  <c r="AZ1477" i="1"/>
  <c r="M1477" i="1"/>
  <c r="ER1480" i="1"/>
  <c r="DZ1480" i="1"/>
  <c r="DY1480" i="1"/>
  <c r="DS1480" i="1"/>
  <c r="DR1480" i="1"/>
  <c r="DQ1480" i="1"/>
  <c r="DP1480" i="1"/>
  <c r="DN1480" i="1"/>
  <c r="DO1480" i="1" s="1"/>
  <c r="DH1480" i="1"/>
  <c r="DC1480" i="1"/>
  <c r="BX1480" i="1"/>
  <c r="BZ1480" i="1" s="1"/>
  <c r="BN1480" i="1"/>
  <c r="BM1480" i="1"/>
  <c r="BF1480" i="1"/>
  <c r="BE1480" i="1"/>
  <c r="BD1480" i="1"/>
  <c r="BC1480" i="1"/>
  <c r="BB1480" i="1"/>
  <c r="BA1480" i="1"/>
  <c r="BG1480" i="1" s="1" a="1"/>
  <c r="BG1480" i="1" s="1"/>
  <c r="AZ1480" i="1"/>
  <c r="M1480" i="1"/>
  <c r="ER1481" i="1"/>
  <c r="DZ1481" i="1"/>
  <c r="DY1481" i="1"/>
  <c r="DS1481" i="1"/>
  <c r="DR1481" i="1"/>
  <c r="DQ1481" i="1"/>
  <c r="DP1481" i="1"/>
  <c r="DN1481" i="1"/>
  <c r="DO1481" i="1" s="1"/>
  <c r="DH1481" i="1"/>
  <c r="DC1481" i="1"/>
  <c r="BX1481" i="1"/>
  <c r="BZ1481" i="1" s="1"/>
  <c r="BN1481" i="1"/>
  <c r="BM1481" i="1"/>
  <c r="BF1481" i="1"/>
  <c r="BE1481" i="1"/>
  <c r="BD1481" i="1"/>
  <c r="BC1481" i="1"/>
  <c r="BB1481" i="1"/>
  <c r="BA1481" i="1"/>
  <c r="BG1481" i="1" s="1" a="1"/>
  <c r="BG1481" i="1" s="1"/>
  <c r="AZ1481" i="1"/>
  <c r="M1481" i="1"/>
  <c r="ER1479" i="1"/>
  <c r="DZ1479" i="1"/>
  <c r="DY1479" i="1"/>
  <c r="DS1479" i="1"/>
  <c r="DR1479" i="1"/>
  <c r="DQ1479" i="1"/>
  <c r="DP1479" i="1"/>
  <c r="DN1479" i="1"/>
  <c r="DO1479" i="1" s="1"/>
  <c r="DH1479" i="1"/>
  <c r="DC1479" i="1"/>
  <c r="BX1479" i="1"/>
  <c r="BZ1479" i="1" s="1"/>
  <c r="BN1479" i="1"/>
  <c r="BM1479" i="1"/>
  <c r="BF1479" i="1"/>
  <c r="BE1479" i="1"/>
  <c r="BD1479" i="1"/>
  <c r="BC1479" i="1"/>
  <c r="BB1479" i="1"/>
  <c r="BA1479" i="1"/>
  <c r="BG1479" i="1" s="1" a="1"/>
  <c r="BG1479" i="1" s="1"/>
  <c r="AZ1479" i="1"/>
  <c r="M1479" i="1"/>
  <c r="ER1429" i="1"/>
  <c r="DZ1429" i="1"/>
  <c r="DY1429" i="1"/>
  <c r="DS1429" i="1"/>
  <c r="DR1429" i="1"/>
  <c r="DQ1429" i="1"/>
  <c r="DP1429" i="1"/>
  <c r="DN1429" i="1"/>
  <c r="DO1429" i="1" s="1"/>
  <c r="DH1429" i="1"/>
  <c r="DC1429" i="1"/>
  <c r="CP1429" i="1"/>
  <c r="CQ1429" i="1" s="1"/>
  <c r="BZ1429" i="1"/>
  <c r="CA1429" i="1" s="1"/>
  <c r="BP1429" i="1"/>
  <c r="BO1429" i="1"/>
  <c r="BF1429" i="1"/>
  <c r="BE1429" i="1"/>
  <c r="BD1429" i="1"/>
  <c r="BC1429" i="1"/>
  <c r="BB1429" i="1"/>
  <c r="BA1429" i="1"/>
  <c r="BG1429" i="1" s="1" a="1"/>
  <c r="BG1429" i="1" s="1"/>
  <c r="AZ1429" i="1"/>
  <c r="M1429" i="1"/>
  <c r="ER1293" i="1"/>
  <c r="DZ1293" i="1"/>
  <c r="DY1293" i="1"/>
  <c r="DS1293" i="1"/>
  <c r="DR1293" i="1"/>
  <c r="DQ1293" i="1"/>
  <c r="DP1293" i="1"/>
  <c r="DN1293" i="1"/>
  <c r="DO1293" i="1" s="1"/>
  <c r="DH1293" i="1"/>
  <c r="DC1293" i="1"/>
  <c r="CP1293" i="1"/>
  <c r="CQ1293" i="1" s="1"/>
  <c r="BZ1293" i="1"/>
  <c r="CA1293" i="1" s="1"/>
  <c r="BP1293" i="1"/>
  <c r="BO1293" i="1"/>
  <c r="BF1293" i="1"/>
  <c r="BE1293" i="1"/>
  <c r="BD1293" i="1"/>
  <c r="BC1293" i="1"/>
  <c r="BB1293" i="1"/>
  <c r="BA1293" i="1"/>
  <c r="BG1293" i="1" s="1" a="1"/>
  <c r="BG1293" i="1" s="1"/>
  <c r="AZ1293" i="1"/>
  <c r="M1293" i="1"/>
  <c r="ER1287" i="1"/>
  <c r="DZ1287" i="1"/>
  <c r="DY1287" i="1"/>
  <c r="DS1287" i="1"/>
  <c r="DR1287" i="1"/>
  <c r="DQ1287" i="1"/>
  <c r="DP1287" i="1"/>
  <c r="DN1287" i="1"/>
  <c r="DO1287" i="1" s="1"/>
  <c r="DH1287" i="1"/>
  <c r="DC1287" i="1"/>
  <c r="CP1287" i="1"/>
  <c r="CR1287" i="1" s="1"/>
  <c r="BZ1287" i="1"/>
  <c r="CA1287" i="1" s="1"/>
  <c r="BP1287" i="1"/>
  <c r="BO1287" i="1"/>
  <c r="BF1287" i="1"/>
  <c r="BE1287" i="1"/>
  <c r="BD1287" i="1"/>
  <c r="BC1287" i="1"/>
  <c r="BB1287" i="1"/>
  <c r="BA1287" i="1"/>
  <c r="BG1287" i="1" s="1" a="1"/>
  <c r="BG1287" i="1" s="1"/>
  <c r="AZ1287" i="1"/>
  <c r="M1287" i="1"/>
  <c r="ER1271" i="1"/>
  <c r="DZ1271" i="1"/>
  <c r="DY1271" i="1"/>
  <c r="DS1271" i="1"/>
  <c r="DR1271" i="1"/>
  <c r="DQ1271" i="1"/>
  <c r="DP1271" i="1"/>
  <c r="DN1271" i="1"/>
  <c r="DO1271" i="1" s="1"/>
  <c r="DH1271" i="1"/>
  <c r="DC1271" i="1"/>
  <c r="CP1271" i="1"/>
  <c r="CU1271" i="1" s="1"/>
  <c r="BZ1271" i="1"/>
  <c r="CA1271" i="1" s="1"/>
  <c r="BP1271" i="1"/>
  <c r="BO1271" i="1"/>
  <c r="BF1271" i="1"/>
  <c r="BE1271" i="1"/>
  <c r="BD1271" i="1"/>
  <c r="BC1271" i="1"/>
  <c r="BB1271" i="1"/>
  <c r="BA1271" i="1"/>
  <c r="BG1271" i="1" s="1" a="1"/>
  <c r="BG1271" i="1" s="1"/>
  <c r="AZ1271" i="1"/>
  <c r="M1271" i="1"/>
  <c r="ER1263" i="1"/>
  <c r="DZ1263" i="1"/>
  <c r="DY1263" i="1"/>
  <c r="DS1263" i="1"/>
  <c r="DR1263" i="1"/>
  <c r="DQ1263" i="1"/>
  <c r="DP1263" i="1"/>
  <c r="DN1263" i="1"/>
  <c r="DO1263" i="1" s="1"/>
  <c r="DH1263" i="1"/>
  <c r="DC1263" i="1"/>
  <c r="CP1263" i="1"/>
  <c r="CQ1263" i="1" s="1"/>
  <c r="BZ1263" i="1"/>
  <c r="CA1263" i="1" s="1"/>
  <c r="BP1263" i="1"/>
  <c r="BO1263" i="1"/>
  <c r="BF1263" i="1"/>
  <c r="BE1263" i="1"/>
  <c r="BD1263" i="1"/>
  <c r="BC1263" i="1"/>
  <c r="BB1263" i="1"/>
  <c r="BA1263" i="1"/>
  <c r="BG1263" i="1" s="1" a="1"/>
  <c r="BG1263" i="1" s="1"/>
  <c r="AZ1263" i="1"/>
  <c r="M1263" i="1"/>
  <c r="ER1149" i="1"/>
  <c r="DZ1149" i="1"/>
  <c r="DY1149" i="1"/>
  <c r="DS1149" i="1"/>
  <c r="DR1149" i="1"/>
  <c r="DQ1149" i="1"/>
  <c r="DP1149" i="1"/>
  <c r="DN1149" i="1"/>
  <c r="DO1149" i="1" s="1"/>
  <c r="DH1149" i="1"/>
  <c r="DC1149" i="1"/>
  <c r="CP1149" i="1"/>
  <c r="BZ1149" i="1"/>
  <c r="CA1149" i="1" s="1"/>
  <c r="BP1149" i="1"/>
  <c r="BO1149" i="1"/>
  <c r="BF1149" i="1"/>
  <c r="BE1149" i="1"/>
  <c r="BD1149" i="1"/>
  <c r="BC1149" i="1"/>
  <c r="BB1149" i="1"/>
  <c r="BA1149" i="1"/>
  <c r="BG1149" i="1" s="1" a="1"/>
  <c r="BG1149" i="1" s="1"/>
  <c r="AZ1149" i="1"/>
  <c r="M1149" i="1"/>
  <c r="ER689" i="1"/>
  <c r="DZ689" i="1"/>
  <c r="DY689" i="1"/>
  <c r="DS689" i="1"/>
  <c r="DR689" i="1"/>
  <c r="DQ689" i="1"/>
  <c r="DP689" i="1"/>
  <c r="DN689" i="1"/>
  <c r="DO689" i="1" s="1"/>
  <c r="DH689" i="1"/>
  <c r="DC689" i="1"/>
  <c r="CP689" i="1"/>
  <c r="CQ689" i="1" s="1"/>
  <c r="BZ689" i="1"/>
  <c r="CA689" i="1" s="1"/>
  <c r="BP689" i="1"/>
  <c r="BO689" i="1"/>
  <c r="BF689" i="1"/>
  <c r="BE689" i="1"/>
  <c r="BD689" i="1"/>
  <c r="BC689" i="1"/>
  <c r="BB689" i="1"/>
  <c r="BA689" i="1"/>
  <c r="BG689" i="1" s="1" a="1"/>
  <c r="BG689" i="1" s="1"/>
  <c r="AZ689" i="1"/>
  <c r="M689" i="1"/>
  <c r="ER1428" i="1"/>
  <c r="DZ1428" i="1"/>
  <c r="DY1428" i="1"/>
  <c r="DS1428" i="1"/>
  <c r="DR1428" i="1"/>
  <c r="DQ1428" i="1"/>
  <c r="DP1428" i="1"/>
  <c r="DN1428" i="1"/>
  <c r="DO1428" i="1" s="1"/>
  <c r="DH1428" i="1"/>
  <c r="DC1428" i="1"/>
  <c r="CP1428" i="1"/>
  <c r="CV1428" i="1" s="1"/>
  <c r="BZ1428" i="1"/>
  <c r="BP1428" i="1"/>
  <c r="BO1428" i="1"/>
  <c r="BF1428" i="1"/>
  <c r="BE1428" i="1"/>
  <c r="BD1428" i="1"/>
  <c r="BC1428" i="1"/>
  <c r="BB1428" i="1"/>
  <c r="BA1428" i="1"/>
  <c r="BG1428" i="1" s="1" a="1"/>
  <c r="BG1428" i="1" s="1"/>
  <c r="AZ1428" i="1"/>
  <c r="M1428" i="1"/>
  <c r="ER1294" i="1"/>
  <c r="DZ1294" i="1"/>
  <c r="DY1294" i="1"/>
  <c r="DS1294" i="1"/>
  <c r="DR1294" i="1"/>
  <c r="DQ1294" i="1"/>
  <c r="DP1294" i="1"/>
  <c r="DN1294" i="1"/>
  <c r="DO1294" i="1" s="1"/>
  <c r="DH1294" i="1"/>
  <c r="DC1294" i="1"/>
  <c r="CP1294" i="1"/>
  <c r="CV1294" i="1" s="1"/>
  <c r="BZ1294" i="1"/>
  <c r="BP1294" i="1"/>
  <c r="BO1294" i="1"/>
  <c r="BF1294" i="1"/>
  <c r="BE1294" i="1"/>
  <c r="BD1294" i="1"/>
  <c r="BC1294" i="1"/>
  <c r="BB1294" i="1"/>
  <c r="BA1294" i="1"/>
  <c r="BG1294" i="1" s="1" a="1"/>
  <c r="BG1294" i="1" s="1"/>
  <c r="AZ1294" i="1"/>
  <c r="M1294" i="1"/>
  <c r="ER1286" i="1"/>
  <c r="DZ1286" i="1"/>
  <c r="DY1286" i="1"/>
  <c r="DS1286" i="1"/>
  <c r="DR1286" i="1"/>
  <c r="DQ1286" i="1"/>
  <c r="DP1286" i="1"/>
  <c r="DN1286" i="1"/>
  <c r="DO1286" i="1" s="1"/>
  <c r="DH1286" i="1"/>
  <c r="DC1286" i="1"/>
  <c r="CP1286" i="1"/>
  <c r="CV1286" i="1" s="1"/>
  <c r="BZ1286" i="1"/>
  <c r="CA1286" i="1" s="1"/>
  <c r="BP1286" i="1"/>
  <c r="BO1286" i="1"/>
  <c r="BF1286" i="1"/>
  <c r="BE1286" i="1"/>
  <c r="BD1286" i="1"/>
  <c r="BC1286" i="1"/>
  <c r="BB1286" i="1"/>
  <c r="BA1286" i="1"/>
  <c r="BG1286" i="1" s="1" a="1"/>
  <c r="BG1286" i="1" s="1"/>
  <c r="AZ1286" i="1"/>
  <c r="M1286" i="1"/>
  <c r="ER1138" i="1"/>
  <c r="DZ1138" i="1"/>
  <c r="DY1138" i="1"/>
  <c r="DS1138" i="1"/>
  <c r="DR1138" i="1"/>
  <c r="DQ1138" i="1"/>
  <c r="DP1138" i="1"/>
  <c r="DN1138" i="1"/>
  <c r="DO1138" i="1" s="1"/>
  <c r="DH1138" i="1"/>
  <c r="DC1138" i="1"/>
  <c r="CP1138" i="1"/>
  <c r="CV1138" i="1" s="1"/>
  <c r="BZ1138" i="1"/>
  <c r="CA1138" i="1" s="1"/>
  <c r="BP1138" i="1"/>
  <c r="BO1138" i="1"/>
  <c r="BF1138" i="1"/>
  <c r="BE1138" i="1"/>
  <c r="BD1138" i="1"/>
  <c r="BC1138" i="1"/>
  <c r="BB1138" i="1"/>
  <c r="BA1138" i="1"/>
  <c r="BG1138" i="1" s="1" a="1"/>
  <c r="BG1138" i="1" s="1"/>
  <c r="AZ1138" i="1"/>
  <c r="M1138" i="1"/>
  <c r="ER1137" i="1"/>
  <c r="DZ1137" i="1"/>
  <c r="DY1137" i="1"/>
  <c r="DS1137" i="1"/>
  <c r="DR1137" i="1"/>
  <c r="DQ1137" i="1"/>
  <c r="DP1137" i="1"/>
  <c r="DN1137" i="1"/>
  <c r="DO1137" i="1" s="1"/>
  <c r="DH1137" i="1"/>
  <c r="DC1137" i="1"/>
  <c r="CP1137" i="1"/>
  <c r="CU1137" i="1" s="1"/>
  <c r="BZ1137" i="1"/>
  <c r="CA1137" i="1" s="1"/>
  <c r="BP1137" i="1"/>
  <c r="BO1137" i="1"/>
  <c r="BF1137" i="1"/>
  <c r="BE1137" i="1"/>
  <c r="BD1137" i="1"/>
  <c r="BC1137" i="1"/>
  <c r="BB1137" i="1"/>
  <c r="BA1137" i="1"/>
  <c r="BG1137" i="1" s="1" a="1"/>
  <c r="BG1137" i="1" s="1"/>
  <c r="AZ1137" i="1"/>
  <c r="M1137" i="1"/>
  <c r="ER903" i="1"/>
  <c r="DZ903" i="1"/>
  <c r="DY903" i="1"/>
  <c r="DS903" i="1"/>
  <c r="DR903" i="1"/>
  <c r="DQ903" i="1"/>
  <c r="DP903" i="1"/>
  <c r="DN903" i="1"/>
  <c r="DO903" i="1" s="1"/>
  <c r="DH903" i="1"/>
  <c r="DC903" i="1"/>
  <c r="CP903" i="1"/>
  <c r="CS903" i="1" s="1"/>
  <c r="CT903" i="1" s="1"/>
  <c r="BZ903" i="1"/>
  <c r="BP903" i="1"/>
  <c r="BO903" i="1"/>
  <c r="BF903" i="1"/>
  <c r="BE903" i="1"/>
  <c r="BD903" i="1"/>
  <c r="BC903" i="1"/>
  <c r="BB903" i="1"/>
  <c r="BA903" i="1"/>
  <c r="BG903" i="1" s="1" a="1"/>
  <c r="BG903" i="1" s="1"/>
  <c r="AZ903" i="1"/>
  <c r="M903" i="1"/>
  <c r="ER1473" i="1"/>
  <c r="DZ1473" i="1"/>
  <c r="DS1473" i="1"/>
  <c r="DR1473" i="1"/>
  <c r="DQ1473" i="1"/>
  <c r="DP1473" i="1"/>
  <c r="DN1473" i="1"/>
  <c r="DO1473" i="1" s="1"/>
  <c r="DC1473" i="1"/>
  <c r="CP1473" i="1"/>
  <c r="BZ1473" i="1"/>
  <c r="BP1473" i="1"/>
  <c r="BQ1473" i="1" s="1"/>
  <c r="BO1473" i="1"/>
  <c r="BF1473" i="1"/>
  <c r="BE1473" i="1"/>
  <c r="BD1473" i="1"/>
  <c r="BC1473" i="1"/>
  <c r="BB1473" i="1"/>
  <c r="BA1473" i="1"/>
  <c r="BG1473" i="1" s="1" a="1"/>
  <c r="BG1473" i="1" s="1"/>
  <c r="AZ1473" i="1"/>
  <c r="M1473" i="1"/>
  <c r="ER1472" i="1"/>
  <c r="DZ1472" i="1"/>
  <c r="DS1472" i="1"/>
  <c r="DR1472" i="1"/>
  <c r="DQ1472" i="1"/>
  <c r="DP1472" i="1"/>
  <c r="DN1472" i="1"/>
  <c r="DO1472" i="1" s="1"/>
  <c r="DC1472" i="1"/>
  <c r="CP1472" i="1"/>
  <c r="BZ1472" i="1"/>
  <c r="BP1472" i="1"/>
  <c r="BQ1472" i="1" s="1"/>
  <c r="BO1472" i="1"/>
  <c r="BF1472" i="1"/>
  <c r="BE1472" i="1"/>
  <c r="BD1472" i="1"/>
  <c r="BC1472" i="1"/>
  <c r="BB1472" i="1"/>
  <c r="BA1472" i="1"/>
  <c r="BG1472" i="1" s="1" a="1"/>
  <c r="BG1472" i="1" s="1"/>
  <c r="AZ1472" i="1"/>
  <c r="M1472" i="1"/>
  <c r="ER1182" i="1"/>
  <c r="DZ1182" i="1"/>
  <c r="DS1182" i="1"/>
  <c r="DR1182" i="1"/>
  <c r="DQ1182" i="1"/>
  <c r="DP1182" i="1"/>
  <c r="DN1182" i="1"/>
  <c r="DO1182" i="1" s="1"/>
  <c r="DG1182" i="1"/>
  <c r="DH1182" i="1" s="1"/>
  <c r="DC1182" i="1"/>
  <c r="CP1182" i="1"/>
  <c r="CU1182" i="1" s="1"/>
  <c r="BZ1182" i="1"/>
  <c r="BP1182" i="1"/>
  <c r="BQ1182" i="1" s="1"/>
  <c r="BO1182" i="1"/>
  <c r="BF1182" i="1"/>
  <c r="BE1182" i="1"/>
  <c r="BD1182" i="1"/>
  <c r="BC1182" i="1"/>
  <c r="BB1182" i="1"/>
  <c r="BA1182" i="1"/>
  <c r="AZ1182" i="1"/>
  <c r="M1182" i="1"/>
  <c r="ER1176" i="1"/>
  <c r="DZ1176" i="1"/>
  <c r="DS1176" i="1"/>
  <c r="DR1176" i="1"/>
  <c r="DQ1176" i="1"/>
  <c r="DP1176" i="1"/>
  <c r="DN1176" i="1"/>
  <c r="DO1176" i="1" s="1"/>
  <c r="DG1176" i="1"/>
  <c r="DH1176" i="1" s="1"/>
  <c r="DC1176" i="1"/>
  <c r="CP1176" i="1"/>
  <c r="BZ1176" i="1"/>
  <c r="BP1176" i="1"/>
  <c r="BQ1176" i="1" s="1"/>
  <c r="BO1176" i="1"/>
  <c r="BF1176" i="1"/>
  <c r="BE1176" i="1"/>
  <c r="BD1176" i="1"/>
  <c r="BC1176" i="1"/>
  <c r="BB1176" i="1"/>
  <c r="BA1176" i="1"/>
  <c r="AZ1176" i="1"/>
  <c r="M1176" i="1"/>
  <c r="ER1183" i="1"/>
  <c r="DZ1183" i="1"/>
  <c r="DS1183" i="1"/>
  <c r="DR1183" i="1"/>
  <c r="DQ1183" i="1"/>
  <c r="DP1183" i="1"/>
  <c r="DN1183" i="1"/>
  <c r="DO1183" i="1" s="1"/>
  <c r="DG1183" i="1"/>
  <c r="DH1183" i="1" s="1"/>
  <c r="DC1183" i="1"/>
  <c r="CP1183" i="1"/>
  <c r="BZ1183" i="1"/>
  <c r="BP1183" i="1"/>
  <c r="BQ1183" i="1" s="1"/>
  <c r="BO1183" i="1"/>
  <c r="BF1183" i="1"/>
  <c r="BE1183" i="1"/>
  <c r="BD1183" i="1"/>
  <c r="BC1183" i="1"/>
  <c r="BB1183" i="1"/>
  <c r="BA1183" i="1"/>
  <c r="AZ1183" i="1"/>
  <c r="M1183" i="1"/>
  <c r="ER1179" i="1"/>
  <c r="DZ1179" i="1"/>
  <c r="DS1179" i="1"/>
  <c r="DR1179" i="1"/>
  <c r="DQ1179" i="1"/>
  <c r="DP1179" i="1"/>
  <c r="DN1179" i="1"/>
  <c r="DO1179" i="1" s="1"/>
  <c r="DG1179" i="1"/>
  <c r="DH1179" i="1" s="1"/>
  <c r="DC1179" i="1"/>
  <c r="CP1179" i="1"/>
  <c r="BZ1179" i="1"/>
  <c r="BP1179" i="1"/>
  <c r="BQ1179" i="1" s="1"/>
  <c r="BO1179" i="1"/>
  <c r="BF1179" i="1"/>
  <c r="BE1179" i="1"/>
  <c r="BD1179" i="1"/>
  <c r="BC1179" i="1"/>
  <c r="BB1179" i="1"/>
  <c r="BA1179" i="1"/>
  <c r="AZ1179" i="1"/>
  <c r="M1179" i="1"/>
  <c r="ER1171" i="1"/>
  <c r="DZ1171" i="1"/>
  <c r="DS1171" i="1"/>
  <c r="DR1171" i="1"/>
  <c r="DQ1171" i="1"/>
  <c r="DP1171" i="1"/>
  <c r="DN1171" i="1"/>
  <c r="DO1171" i="1" s="1"/>
  <c r="DG1171" i="1"/>
  <c r="DH1171" i="1" s="1"/>
  <c r="DC1171" i="1"/>
  <c r="CP1171" i="1"/>
  <c r="CV1171" i="1" s="1"/>
  <c r="BZ1171" i="1"/>
  <c r="BP1171" i="1"/>
  <c r="BQ1171" i="1" s="1"/>
  <c r="BO1171" i="1"/>
  <c r="BF1171" i="1"/>
  <c r="BE1171" i="1"/>
  <c r="BD1171" i="1"/>
  <c r="BC1171" i="1"/>
  <c r="BB1171" i="1"/>
  <c r="BA1171" i="1"/>
  <c r="BG1171" i="1" s="1" a="1"/>
  <c r="BG1171" i="1" s="1"/>
  <c r="AZ1171" i="1"/>
  <c r="M1171" i="1"/>
  <c r="ER1164" i="1"/>
  <c r="DZ1164" i="1"/>
  <c r="DS1164" i="1"/>
  <c r="DR1164" i="1"/>
  <c r="DQ1164" i="1"/>
  <c r="DP1164" i="1"/>
  <c r="DN1164" i="1"/>
  <c r="DO1164" i="1" s="1"/>
  <c r="DG1164" i="1"/>
  <c r="DH1164" i="1" s="1"/>
  <c r="DC1164" i="1"/>
  <c r="CP1164" i="1"/>
  <c r="BZ1164" i="1"/>
  <c r="BP1164" i="1"/>
  <c r="BQ1164" i="1" s="1"/>
  <c r="BO1164" i="1"/>
  <c r="BF1164" i="1"/>
  <c r="BE1164" i="1"/>
  <c r="BD1164" i="1"/>
  <c r="BC1164" i="1"/>
  <c r="BB1164" i="1"/>
  <c r="BA1164" i="1"/>
  <c r="BG1164" i="1" s="1" a="1"/>
  <c r="BG1164" i="1" s="1"/>
  <c r="AZ1164" i="1"/>
  <c r="M1164" i="1"/>
  <c r="ER1172" i="1"/>
  <c r="DZ1172" i="1"/>
  <c r="DS1172" i="1"/>
  <c r="DR1172" i="1"/>
  <c r="DQ1172" i="1"/>
  <c r="DP1172" i="1"/>
  <c r="DN1172" i="1"/>
  <c r="DO1172" i="1" s="1"/>
  <c r="DG1172" i="1"/>
  <c r="DH1172" i="1" s="1"/>
  <c r="DC1172" i="1"/>
  <c r="CP1172" i="1"/>
  <c r="CQ1172" i="1" s="1"/>
  <c r="BZ1172" i="1"/>
  <c r="BP1172" i="1"/>
  <c r="BQ1172" i="1" s="1"/>
  <c r="BO1172" i="1"/>
  <c r="BF1172" i="1"/>
  <c r="BE1172" i="1"/>
  <c r="BD1172" i="1"/>
  <c r="BC1172" i="1"/>
  <c r="BB1172" i="1"/>
  <c r="BA1172" i="1"/>
  <c r="BG1172" i="1" s="1" a="1"/>
  <c r="BG1172" i="1" s="1"/>
  <c r="AZ1172" i="1"/>
  <c r="M1172" i="1"/>
  <c r="ER1167" i="1"/>
  <c r="DZ1167" i="1"/>
  <c r="DS1167" i="1"/>
  <c r="DR1167" i="1"/>
  <c r="DQ1167" i="1"/>
  <c r="DP1167" i="1"/>
  <c r="DN1167" i="1"/>
  <c r="DO1167" i="1" s="1"/>
  <c r="DG1167" i="1"/>
  <c r="DH1167" i="1" s="1"/>
  <c r="DC1167" i="1"/>
  <c r="CP1167" i="1"/>
  <c r="CR1167" i="1" s="1"/>
  <c r="BZ1167" i="1"/>
  <c r="BP1167" i="1"/>
  <c r="BQ1167" i="1" s="1"/>
  <c r="BO1167" i="1"/>
  <c r="BF1167" i="1"/>
  <c r="BE1167" i="1"/>
  <c r="BD1167" i="1"/>
  <c r="BC1167" i="1"/>
  <c r="BB1167" i="1"/>
  <c r="BA1167" i="1"/>
  <c r="BG1167" i="1" s="1" a="1"/>
  <c r="BG1167" i="1" s="1"/>
  <c r="AZ1167" i="1"/>
  <c r="M1167" i="1"/>
  <c r="ER1180" i="1"/>
  <c r="DZ1180" i="1"/>
  <c r="DS1180" i="1"/>
  <c r="DR1180" i="1"/>
  <c r="DQ1180" i="1"/>
  <c r="DP1180" i="1"/>
  <c r="DN1180" i="1"/>
  <c r="DO1180" i="1" s="1"/>
  <c r="DG1180" i="1"/>
  <c r="DH1180" i="1" s="1"/>
  <c r="DC1180" i="1"/>
  <c r="CP1180" i="1"/>
  <c r="BZ1180" i="1"/>
  <c r="BP1180" i="1"/>
  <c r="BQ1180" i="1" s="1"/>
  <c r="BO1180" i="1"/>
  <c r="BF1180" i="1"/>
  <c r="BE1180" i="1"/>
  <c r="BD1180" i="1"/>
  <c r="BC1180" i="1"/>
  <c r="BB1180" i="1"/>
  <c r="BA1180" i="1"/>
  <c r="AZ1180" i="1"/>
  <c r="M1180" i="1"/>
  <c r="ER1177" i="1"/>
  <c r="DZ1177" i="1"/>
  <c r="DS1177" i="1"/>
  <c r="DR1177" i="1"/>
  <c r="DQ1177" i="1"/>
  <c r="DP1177" i="1"/>
  <c r="DN1177" i="1"/>
  <c r="DO1177" i="1" s="1"/>
  <c r="DG1177" i="1"/>
  <c r="DH1177" i="1" s="1"/>
  <c r="DC1177" i="1"/>
  <c r="CP1177" i="1"/>
  <c r="CQ1177" i="1" s="1"/>
  <c r="BZ1177" i="1"/>
  <c r="BP1177" i="1"/>
  <c r="BQ1177" i="1" s="1"/>
  <c r="BO1177" i="1"/>
  <c r="BF1177" i="1"/>
  <c r="BE1177" i="1"/>
  <c r="BD1177" i="1"/>
  <c r="BC1177" i="1"/>
  <c r="BB1177" i="1"/>
  <c r="BA1177" i="1"/>
  <c r="AZ1177" i="1"/>
  <c r="M1177" i="1"/>
  <c r="ER1181" i="1"/>
  <c r="DZ1181" i="1"/>
  <c r="DS1181" i="1"/>
  <c r="DR1181" i="1"/>
  <c r="DQ1181" i="1"/>
  <c r="DP1181" i="1"/>
  <c r="DN1181" i="1"/>
  <c r="DO1181" i="1" s="1"/>
  <c r="DG1181" i="1"/>
  <c r="DH1181" i="1" s="1"/>
  <c r="DC1181" i="1"/>
  <c r="CP1181" i="1"/>
  <c r="CV1181" i="1" s="1"/>
  <c r="BZ1181" i="1"/>
  <c r="BP1181" i="1"/>
  <c r="BQ1181" i="1" s="1"/>
  <c r="BO1181" i="1"/>
  <c r="BF1181" i="1"/>
  <c r="BE1181" i="1"/>
  <c r="BD1181" i="1"/>
  <c r="BC1181" i="1"/>
  <c r="BB1181" i="1"/>
  <c r="BA1181" i="1"/>
  <c r="AZ1181" i="1"/>
  <c r="M1181" i="1"/>
  <c r="ER1166" i="1"/>
  <c r="DZ1166" i="1"/>
  <c r="DS1166" i="1"/>
  <c r="DR1166" i="1"/>
  <c r="DQ1166" i="1"/>
  <c r="DP1166" i="1"/>
  <c r="DN1166" i="1"/>
  <c r="DO1166" i="1" s="1"/>
  <c r="DG1166" i="1"/>
  <c r="DH1166" i="1" s="1"/>
  <c r="DC1166" i="1"/>
  <c r="CP1166" i="1"/>
  <c r="CQ1166" i="1" s="1"/>
  <c r="BZ1166" i="1"/>
  <c r="BP1166" i="1"/>
  <c r="BQ1166" i="1" s="1"/>
  <c r="BO1166" i="1"/>
  <c r="BF1166" i="1"/>
  <c r="BE1166" i="1"/>
  <c r="BD1166" i="1"/>
  <c r="BC1166" i="1"/>
  <c r="BB1166" i="1"/>
  <c r="BA1166" i="1"/>
  <c r="BG1166" i="1" s="1" a="1"/>
  <c r="BG1166" i="1" s="1"/>
  <c r="AZ1166" i="1"/>
  <c r="M1166" i="1"/>
  <c r="ER1169" i="1"/>
  <c r="DZ1169" i="1"/>
  <c r="DS1169" i="1"/>
  <c r="DR1169" i="1"/>
  <c r="DQ1169" i="1"/>
  <c r="DP1169" i="1"/>
  <c r="DN1169" i="1"/>
  <c r="DO1169" i="1" s="1"/>
  <c r="DG1169" i="1"/>
  <c r="DH1169" i="1" s="1"/>
  <c r="DC1169" i="1"/>
  <c r="CP1169" i="1"/>
  <c r="CV1169" i="1" s="1"/>
  <c r="BZ1169" i="1"/>
  <c r="BP1169" i="1"/>
  <c r="BQ1169" i="1" s="1"/>
  <c r="BO1169" i="1"/>
  <c r="BF1169" i="1"/>
  <c r="BE1169" i="1"/>
  <c r="BD1169" i="1"/>
  <c r="BC1169" i="1"/>
  <c r="BB1169" i="1"/>
  <c r="BA1169" i="1"/>
  <c r="BG1169" i="1" s="1" a="1"/>
  <c r="BG1169" i="1" s="1"/>
  <c r="AZ1169" i="1"/>
  <c r="M1169" i="1"/>
  <c r="ER1170" i="1"/>
  <c r="DZ1170" i="1"/>
  <c r="DS1170" i="1"/>
  <c r="DR1170" i="1"/>
  <c r="DQ1170" i="1"/>
  <c r="DP1170" i="1"/>
  <c r="DN1170" i="1"/>
  <c r="DO1170" i="1" s="1"/>
  <c r="DG1170" i="1"/>
  <c r="DH1170" i="1" s="1"/>
  <c r="DC1170" i="1"/>
  <c r="CP1170" i="1"/>
  <c r="CU1170" i="1" s="1"/>
  <c r="BZ1170" i="1"/>
  <c r="BP1170" i="1"/>
  <c r="BQ1170" i="1" s="1"/>
  <c r="BO1170" i="1"/>
  <c r="BF1170" i="1"/>
  <c r="BE1170" i="1"/>
  <c r="BD1170" i="1"/>
  <c r="BC1170" i="1"/>
  <c r="BB1170" i="1"/>
  <c r="BA1170" i="1"/>
  <c r="BG1170" i="1" s="1" a="1"/>
  <c r="BG1170" i="1" s="1"/>
  <c r="AZ1170" i="1"/>
  <c r="M1170" i="1"/>
  <c r="ER1168" i="1"/>
  <c r="DZ1168" i="1"/>
  <c r="DS1168" i="1"/>
  <c r="DR1168" i="1"/>
  <c r="DQ1168" i="1"/>
  <c r="DP1168" i="1"/>
  <c r="DN1168" i="1"/>
  <c r="DO1168" i="1" s="1"/>
  <c r="DG1168" i="1"/>
  <c r="DH1168" i="1" s="1"/>
  <c r="DC1168" i="1"/>
  <c r="CP1168" i="1"/>
  <c r="BZ1168" i="1"/>
  <c r="BP1168" i="1"/>
  <c r="BQ1168" i="1" s="1"/>
  <c r="BO1168" i="1"/>
  <c r="BF1168" i="1"/>
  <c r="BE1168" i="1"/>
  <c r="BD1168" i="1"/>
  <c r="BC1168" i="1"/>
  <c r="BB1168" i="1"/>
  <c r="BA1168" i="1"/>
  <c r="BG1168" i="1" s="1" a="1"/>
  <c r="BG1168" i="1" s="1"/>
  <c r="AZ1168" i="1"/>
  <c r="M1168" i="1"/>
  <c r="ER1174" i="1"/>
  <c r="DZ1174" i="1"/>
  <c r="DS1174" i="1"/>
  <c r="DR1174" i="1"/>
  <c r="DQ1174" i="1"/>
  <c r="DP1174" i="1"/>
  <c r="DN1174" i="1"/>
  <c r="DO1174" i="1" s="1"/>
  <c r="DG1174" i="1"/>
  <c r="DH1174" i="1" s="1"/>
  <c r="DC1174" i="1"/>
  <c r="CP1174" i="1"/>
  <c r="CQ1174" i="1" s="1"/>
  <c r="BZ1174" i="1"/>
  <c r="BP1174" i="1"/>
  <c r="BQ1174" i="1" s="1"/>
  <c r="BO1174" i="1"/>
  <c r="BF1174" i="1"/>
  <c r="BE1174" i="1"/>
  <c r="BD1174" i="1"/>
  <c r="BC1174" i="1"/>
  <c r="BB1174" i="1"/>
  <c r="BA1174" i="1"/>
  <c r="AZ1174" i="1"/>
  <c r="M1174" i="1"/>
  <c r="ER1173" i="1"/>
  <c r="DZ1173" i="1"/>
  <c r="DS1173" i="1"/>
  <c r="DR1173" i="1"/>
  <c r="DQ1173" i="1"/>
  <c r="DP1173" i="1"/>
  <c r="DN1173" i="1"/>
  <c r="DO1173" i="1" s="1"/>
  <c r="DG1173" i="1"/>
  <c r="DH1173" i="1" s="1"/>
  <c r="DC1173" i="1"/>
  <c r="CP1173" i="1"/>
  <c r="BZ1173" i="1"/>
  <c r="BP1173" i="1"/>
  <c r="BQ1173" i="1" s="1"/>
  <c r="BO1173" i="1"/>
  <c r="BF1173" i="1"/>
  <c r="BE1173" i="1"/>
  <c r="BD1173" i="1"/>
  <c r="BC1173" i="1"/>
  <c r="BB1173" i="1"/>
  <c r="BA1173" i="1"/>
  <c r="AZ1173" i="1"/>
  <c r="M1173" i="1"/>
  <c r="ER1184" i="1"/>
  <c r="DZ1184" i="1"/>
  <c r="DS1184" i="1"/>
  <c r="DR1184" i="1"/>
  <c r="DQ1184" i="1"/>
  <c r="DP1184" i="1"/>
  <c r="DN1184" i="1"/>
  <c r="DO1184" i="1" s="1"/>
  <c r="DG1184" i="1"/>
  <c r="DH1184" i="1" s="1"/>
  <c r="DC1184" i="1"/>
  <c r="CP1184" i="1"/>
  <c r="BZ1184" i="1"/>
  <c r="BP1184" i="1"/>
  <c r="BQ1184" i="1" s="1"/>
  <c r="BO1184" i="1"/>
  <c r="BF1184" i="1"/>
  <c r="BE1184" i="1"/>
  <c r="BD1184" i="1"/>
  <c r="BC1184" i="1"/>
  <c r="BB1184" i="1"/>
  <c r="BA1184" i="1"/>
  <c r="AZ1184" i="1"/>
  <c r="M1184" i="1"/>
  <c r="ER1175" i="1"/>
  <c r="DZ1175" i="1"/>
  <c r="DS1175" i="1"/>
  <c r="DR1175" i="1"/>
  <c r="DQ1175" i="1"/>
  <c r="DP1175" i="1"/>
  <c r="DN1175" i="1"/>
  <c r="DO1175" i="1" s="1"/>
  <c r="DG1175" i="1"/>
  <c r="DH1175" i="1" s="1"/>
  <c r="DC1175" i="1"/>
  <c r="CP1175" i="1"/>
  <c r="BZ1175" i="1"/>
  <c r="BP1175" i="1"/>
  <c r="BQ1175" i="1" s="1"/>
  <c r="BO1175" i="1"/>
  <c r="BF1175" i="1"/>
  <c r="BE1175" i="1"/>
  <c r="BD1175" i="1"/>
  <c r="BC1175" i="1"/>
  <c r="BB1175" i="1"/>
  <c r="BA1175" i="1"/>
  <c r="AZ1175" i="1"/>
  <c r="M1175" i="1"/>
  <c r="ER1178" i="1"/>
  <c r="DZ1178" i="1"/>
  <c r="DS1178" i="1"/>
  <c r="DR1178" i="1"/>
  <c r="DQ1178" i="1"/>
  <c r="DP1178" i="1"/>
  <c r="DN1178" i="1"/>
  <c r="DO1178" i="1" s="1"/>
  <c r="DG1178" i="1"/>
  <c r="DH1178" i="1" s="1"/>
  <c r="DC1178" i="1"/>
  <c r="CP1178" i="1"/>
  <c r="CR1178" i="1" s="1"/>
  <c r="BZ1178" i="1"/>
  <c r="BP1178" i="1"/>
  <c r="BQ1178" i="1" s="1"/>
  <c r="BO1178" i="1"/>
  <c r="BF1178" i="1"/>
  <c r="BE1178" i="1"/>
  <c r="BD1178" i="1"/>
  <c r="BC1178" i="1"/>
  <c r="BB1178" i="1"/>
  <c r="BA1178" i="1"/>
  <c r="AZ1178" i="1"/>
  <c r="M1178" i="1"/>
  <c r="ER1163" i="1"/>
  <c r="DZ1163" i="1"/>
  <c r="DS1163" i="1"/>
  <c r="DR1163" i="1"/>
  <c r="DQ1163" i="1"/>
  <c r="DP1163" i="1"/>
  <c r="DN1163" i="1"/>
  <c r="DO1163" i="1" s="1"/>
  <c r="DG1163" i="1"/>
  <c r="DH1163" i="1" s="1"/>
  <c r="DC1163" i="1"/>
  <c r="CP1163" i="1"/>
  <c r="CU1163" i="1" s="1"/>
  <c r="BZ1163" i="1"/>
  <c r="BP1163" i="1"/>
  <c r="BQ1163" i="1" s="1"/>
  <c r="BO1163" i="1"/>
  <c r="BF1163" i="1"/>
  <c r="BE1163" i="1"/>
  <c r="BD1163" i="1"/>
  <c r="BC1163" i="1"/>
  <c r="BB1163" i="1"/>
  <c r="BA1163" i="1"/>
  <c r="BG1163" i="1" s="1" a="1"/>
  <c r="BG1163" i="1" s="1"/>
  <c r="AZ1163" i="1"/>
  <c r="M1163" i="1"/>
  <c r="ER1161" i="1"/>
  <c r="DZ1161" i="1"/>
  <c r="DS1161" i="1"/>
  <c r="DR1161" i="1"/>
  <c r="DQ1161" i="1"/>
  <c r="DP1161" i="1"/>
  <c r="DN1161" i="1"/>
  <c r="DO1161" i="1" s="1"/>
  <c r="DG1161" i="1"/>
  <c r="DH1161" i="1" s="1"/>
  <c r="DC1161" i="1"/>
  <c r="CP1161" i="1"/>
  <c r="BZ1161" i="1"/>
  <c r="BP1161" i="1"/>
  <c r="BQ1161" i="1" s="1"/>
  <c r="BO1161" i="1"/>
  <c r="BF1161" i="1"/>
  <c r="BE1161" i="1"/>
  <c r="BD1161" i="1"/>
  <c r="BC1161" i="1"/>
  <c r="BB1161" i="1"/>
  <c r="BA1161" i="1"/>
  <c r="BG1161" i="1" s="1" a="1"/>
  <c r="BG1161" i="1" s="1"/>
  <c r="AZ1161" i="1"/>
  <c r="M1161" i="1"/>
  <c r="ER1162" i="1"/>
  <c r="DZ1162" i="1"/>
  <c r="DS1162" i="1"/>
  <c r="DR1162" i="1"/>
  <c r="DQ1162" i="1"/>
  <c r="DP1162" i="1"/>
  <c r="DN1162" i="1"/>
  <c r="DO1162" i="1" s="1"/>
  <c r="DG1162" i="1"/>
  <c r="DH1162" i="1" s="1"/>
  <c r="DC1162" i="1"/>
  <c r="CP1162" i="1"/>
  <c r="CR1162" i="1" s="1"/>
  <c r="BZ1162" i="1"/>
  <c r="BP1162" i="1"/>
  <c r="BQ1162" i="1" s="1"/>
  <c r="BO1162" i="1"/>
  <c r="BF1162" i="1"/>
  <c r="BE1162" i="1"/>
  <c r="BD1162" i="1"/>
  <c r="BC1162" i="1"/>
  <c r="BB1162" i="1"/>
  <c r="BA1162" i="1"/>
  <c r="BG1162" i="1" s="1" a="1"/>
  <c r="BG1162" i="1" s="1"/>
  <c r="AZ1162" i="1"/>
  <c r="M1162" i="1"/>
  <c r="ER1165" i="1"/>
  <c r="DZ1165" i="1"/>
  <c r="DS1165" i="1"/>
  <c r="DR1165" i="1"/>
  <c r="DQ1165" i="1"/>
  <c r="DP1165" i="1"/>
  <c r="DN1165" i="1"/>
  <c r="DO1165" i="1" s="1"/>
  <c r="DG1165" i="1"/>
  <c r="DH1165" i="1" s="1"/>
  <c r="DC1165" i="1"/>
  <c r="CP1165" i="1"/>
  <c r="CV1165" i="1" s="1"/>
  <c r="BZ1165" i="1"/>
  <c r="BP1165" i="1"/>
  <c r="BQ1165" i="1" s="1"/>
  <c r="BO1165" i="1"/>
  <c r="BF1165" i="1"/>
  <c r="BE1165" i="1"/>
  <c r="BD1165" i="1"/>
  <c r="BC1165" i="1"/>
  <c r="BB1165" i="1"/>
  <c r="BA1165" i="1"/>
  <c r="BG1165" i="1" s="1" a="1"/>
  <c r="BG1165" i="1" s="1"/>
  <c r="AZ1165" i="1"/>
  <c r="M1165" i="1"/>
  <c r="ER1364" i="1"/>
  <c r="DZ1364" i="1"/>
  <c r="DS1364" i="1"/>
  <c r="DR1364" i="1"/>
  <c r="DQ1364" i="1"/>
  <c r="DP1364" i="1"/>
  <c r="DN1364" i="1"/>
  <c r="DO1364" i="1" s="1"/>
  <c r="DH1364" i="1"/>
  <c r="DC1364" i="1"/>
  <c r="CP1364" i="1"/>
  <c r="CR1364" i="1" s="1"/>
  <c r="BX1364" i="1"/>
  <c r="BZ1364" i="1" s="1"/>
  <c r="BW1364" i="1"/>
  <c r="BP1364" i="1"/>
  <c r="BQ1364" i="1" s="1"/>
  <c r="BO1364" i="1"/>
  <c r="BF1364" i="1"/>
  <c r="BE1364" i="1"/>
  <c r="BD1364" i="1"/>
  <c r="BC1364" i="1"/>
  <c r="BB1364" i="1"/>
  <c r="BA1364" i="1"/>
  <c r="BG1364" i="1" s="1" a="1"/>
  <c r="BG1364" i="1" s="1"/>
  <c r="AZ1364" i="1"/>
  <c r="M1364" i="1"/>
  <c r="ER1365" i="1"/>
  <c r="DZ1365" i="1"/>
  <c r="DS1365" i="1"/>
  <c r="DR1365" i="1"/>
  <c r="DQ1365" i="1"/>
  <c r="DP1365" i="1"/>
  <c r="DN1365" i="1"/>
  <c r="DO1365" i="1" s="1"/>
  <c r="DH1365" i="1"/>
  <c r="DC1365" i="1"/>
  <c r="CP1365" i="1"/>
  <c r="CV1365" i="1" s="1"/>
  <c r="BX1365" i="1"/>
  <c r="BZ1365" i="1" s="1"/>
  <c r="BW1365" i="1"/>
  <c r="BP1365" i="1"/>
  <c r="BQ1365" i="1" s="1"/>
  <c r="BO1365" i="1"/>
  <c r="BF1365" i="1"/>
  <c r="BE1365" i="1"/>
  <c r="BD1365" i="1"/>
  <c r="BC1365" i="1"/>
  <c r="BB1365" i="1"/>
  <c r="BA1365" i="1"/>
  <c r="BG1365" i="1" s="1" a="1"/>
  <c r="BG1365" i="1" s="1"/>
  <c r="AZ1365" i="1"/>
  <c r="M1365" i="1"/>
  <c r="ER1366" i="1"/>
  <c r="DZ1366" i="1"/>
  <c r="DS1366" i="1"/>
  <c r="DR1366" i="1"/>
  <c r="DQ1366" i="1"/>
  <c r="DP1366" i="1"/>
  <c r="DN1366" i="1"/>
  <c r="DO1366" i="1" s="1"/>
  <c r="DH1366" i="1"/>
  <c r="DC1366" i="1"/>
  <c r="CP1366" i="1"/>
  <c r="CV1366" i="1" s="1"/>
  <c r="BX1366" i="1"/>
  <c r="BZ1366" i="1" s="1"/>
  <c r="BW1366" i="1"/>
  <c r="BP1366" i="1"/>
  <c r="BQ1366" i="1" s="1"/>
  <c r="BO1366" i="1"/>
  <c r="BF1366" i="1"/>
  <c r="BE1366" i="1"/>
  <c r="BD1366" i="1"/>
  <c r="BC1366" i="1"/>
  <c r="BB1366" i="1"/>
  <c r="BA1366" i="1"/>
  <c r="BG1366" i="1" s="1" a="1"/>
  <c r="BG1366" i="1" s="1"/>
  <c r="AZ1366" i="1"/>
  <c r="M1366" i="1"/>
  <c r="ER1367" i="1"/>
  <c r="DZ1367" i="1"/>
  <c r="DS1367" i="1"/>
  <c r="DR1367" i="1"/>
  <c r="DQ1367" i="1"/>
  <c r="DP1367" i="1"/>
  <c r="DN1367" i="1"/>
  <c r="DO1367" i="1" s="1"/>
  <c r="DH1367" i="1"/>
  <c r="DC1367" i="1"/>
  <c r="CP1367" i="1"/>
  <c r="BX1367" i="1"/>
  <c r="BZ1367" i="1" s="1"/>
  <c r="BW1367" i="1"/>
  <c r="BP1367" i="1"/>
  <c r="BQ1367" i="1" s="1"/>
  <c r="BO1367" i="1"/>
  <c r="BF1367" i="1"/>
  <c r="BE1367" i="1"/>
  <c r="BD1367" i="1"/>
  <c r="BC1367" i="1"/>
  <c r="BB1367" i="1"/>
  <c r="BA1367" i="1"/>
  <c r="BG1367" i="1" s="1" a="1"/>
  <c r="BG1367" i="1" s="1"/>
  <c r="AZ1367" i="1"/>
  <c r="M1367" i="1"/>
  <c r="ER1600" i="1"/>
  <c r="DY1600" i="1"/>
  <c r="DS1600" i="1"/>
  <c r="DR1600" i="1"/>
  <c r="DQ1600" i="1"/>
  <c r="DP1600" i="1"/>
  <c r="DO1600" i="1"/>
  <c r="DH1600" i="1"/>
  <c r="DC1600" i="1"/>
  <c r="CP1600" i="1"/>
  <c r="BV1600" i="1"/>
  <c r="BU1600" i="1"/>
  <c r="BP1600" i="1"/>
  <c r="BQ1600" i="1" s="1"/>
  <c r="BF1600" i="1"/>
  <c r="BE1600" i="1"/>
  <c r="BD1600" i="1"/>
  <c r="BC1600" i="1"/>
  <c r="BB1600" i="1"/>
  <c r="BA1600" i="1"/>
  <c r="BG1600" i="1" s="1" a="1"/>
  <c r="BG1600" i="1" s="1"/>
  <c r="AZ1600" i="1"/>
  <c r="M1600" i="1"/>
  <c r="ER1598" i="1"/>
  <c r="DY1598" i="1"/>
  <c r="DS1598" i="1"/>
  <c r="DR1598" i="1"/>
  <c r="DQ1598" i="1"/>
  <c r="DP1598" i="1"/>
  <c r="DO1598" i="1"/>
  <c r="DH1598" i="1"/>
  <c r="DC1598" i="1"/>
  <c r="CP1598" i="1"/>
  <c r="BV1598" i="1"/>
  <c r="BU1598" i="1"/>
  <c r="BP1598" i="1"/>
  <c r="BQ1598" i="1" s="1"/>
  <c r="BF1598" i="1"/>
  <c r="BE1598" i="1"/>
  <c r="BD1598" i="1"/>
  <c r="BC1598" i="1"/>
  <c r="BB1598" i="1"/>
  <c r="BA1598" i="1"/>
  <c r="BG1598" i="1" s="1" a="1"/>
  <c r="BG1598" i="1" s="1"/>
  <c r="AZ1598" i="1"/>
  <c r="M1598" i="1"/>
  <c r="ER1599" i="1"/>
  <c r="DY1599" i="1"/>
  <c r="DS1599" i="1"/>
  <c r="DR1599" i="1"/>
  <c r="DQ1599" i="1"/>
  <c r="DP1599" i="1"/>
  <c r="DO1599" i="1"/>
  <c r="DH1599" i="1"/>
  <c r="DC1599" i="1"/>
  <c r="CP1599" i="1"/>
  <c r="BV1599" i="1"/>
  <c r="BU1599" i="1"/>
  <c r="BP1599" i="1"/>
  <c r="BQ1599" i="1" s="1"/>
  <c r="BF1599" i="1"/>
  <c r="BE1599" i="1"/>
  <c r="BD1599" i="1"/>
  <c r="BC1599" i="1"/>
  <c r="BB1599" i="1"/>
  <c r="BA1599" i="1"/>
  <c r="BG1599" i="1" s="1" a="1"/>
  <c r="BG1599" i="1" s="1"/>
  <c r="AZ1599" i="1"/>
  <c r="M1599" i="1"/>
  <c r="ER1156" i="1"/>
  <c r="DY1156" i="1"/>
  <c r="DS1156" i="1"/>
  <c r="DR1156" i="1"/>
  <c r="DQ1156" i="1"/>
  <c r="DP1156" i="1"/>
  <c r="DO1156" i="1"/>
  <c r="DH1156" i="1"/>
  <c r="DC1156" i="1"/>
  <c r="CP1156" i="1"/>
  <c r="CV1156" i="1" s="1"/>
  <c r="BX1156" i="1"/>
  <c r="BP1156" i="1"/>
  <c r="BQ1156" i="1" s="1"/>
  <c r="BF1156" i="1"/>
  <c r="BE1156" i="1"/>
  <c r="BD1156" i="1"/>
  <c r="BC1156" i="1"/>
  <c r="BB1156" i="1"/>
  <c r="BA1156" i="1"/>
  <c r="BG1156" i="1" s="1" a="1"/>
  <c r="BG1156" i="1" s="1"/>
  <c r="AZ1156" i="1"/>
  <c r="M1156" i="1"/>
  <c r="ER1155" i="1"/>
  <c r="DY1155" i="1"/>
  <c r="DS1155" i="1"/>
  <c r="DR1155" i="1"/>
  <c r="DQ1155" i="1"/>
  <c r="DP1155" i="1"/>
  <c r="DO1155" i="1"/>
  <c r="DH1155" i="1"/>
  <c r="DC1155" i="1"/>
  <c r="CP1155" i="1"/>
  <c r="CW1155" i="1" s="1"/>
  <c r="BX1155" i="1"/>
  <c r="BP1155" i="1"/>
  <c r="BQ1155" i="1" s="1"/>
  <c r="BF1155" i="1"/>
  <c r="BE1155" i="1"/>
  <c r="BD1155" i="1"/>
  <c r="BC1155" i="1"/>
  <c r="BB1155" i="1"/>
  <c r="BA1155" i="1"/>
  <c r="BG1155" i="1" s="1" a="1"/>
  <c r="BG1155" i="1" s="1"/>
  <c r="AZ1155" i="1"/>
  <c r="M1155" i="1"/>
  <c r="ER1154" i="1"/>
  <c r="DY1154" i="1"/>
  <c r="DS1154" i="1"/>
  <c r="DR1154" i="1"/>
  <c r="DQ1154" i="1"/>
  <c r="DP1154" i="1"/>
  <c r="DO1154" i="1"/>
  <c r="DH1154" i="1"/>
  <c r="DC1154" i="1"/>
  <c r="CP1154" i="1"/>
  <c r="CW1154" i="1" s="1"/>
  <c r="BX1154" i="1"/>
  <c r="BP1154" i="1"/>
  <c r="BQ1154" i="1" s="1"/>
  <c r="CA1154" i="1" s="1"/>
  <c r="BF1154" i="1"/>
  <c r="BE1154" i="1"/>
  <c r="BD1154" i="1"/>
  <c r="BC1154" i="1"/>
  <c r="BB1154" i="1"/>
  <c r="BA1154" i="1"/>
  <c r="BG1154" i="1" s="1" a="1"/>
  <c r="BG1154" i="1" s="1"/>
  <c r="AZ1154" i="1"/>
  <c r="M1154" i="1"/>
  <c r="ER1157" i="1"/>
  <c r="DY1157" i="1"/>
  <c r="DS1157" i="1"/>
  <c r="DR1157" i="1"/>
  <c r="DQ1157" i="1"/>
  <c r="DP1157" i="1"/>
  <c r="DO1157" i="1"/>
  <c r="DH1157" i="1"/>
  <c r="DC1157" i="1"/>
  <c r="CP1157" i="1"/>
  <c r="CU1157" i="1" s="1"/>
  <c r="BX1157" i="1"/>
  <c r="BP1157" i="1"/>
  <c r="BQ1157" i="1" s="1"/>
  <c r="BF1157" i="1"/>
  <c r="BE1157" i="1"/>
  <c r="BD1157" i="1"/>
  <c r="BC1157" i="1"/>
  <c r="BB1157" i="1"/>
  <c r="BA1157" i="1"/>
  <c r="BG1157" i="1" s="1" a="1"/>
  <c r="BG1157" i="1" s="1"/>
  <c r="AZ1157" i="1"/>
  <c r="M1157" i="1"/>
  <c r="ER1160" i="1"/>
  <c r="DY1160" i="1"/>
  <c r="DS1160" i="1"/>
  <c r="DR1160" i="1"/>
  <c r="DQ1160" i="1"/>
  <c r="DP1160" i="1"/>
  <c r="DO1160" i="1"/>
  <c r="DH1160" i="1"/>
  <c r="DC1160" i="1"/>
  <c r="CP1160" i="1"/>
  <c r="BX1160" i="1"/>
  <c r="BZ1160" i="1" s="1"/>
  <c r="BP1160" i="1"/>
  <c r="BQ1160" i="1" s="1"/>
  <c r="BF1160" i="1"/>
  <c r="BE1160" i="1"/>
  <c r="BD1160" i="1"/>
  <c r="BC1160" i="1"/>
  <c r="BB1160" i="1"/>
  <c r="BA1160" i="1"/>
  <c r="BG1160" i="1" s="1" a="1"/>
  <c r="BG1160" i="1" s="1"/>
  <c r="AZ1160" i="1"/>
  <c r="M1160" i="1"/>
  <c r="ER1159" i="1"/>
  <c r="DY1159" i="1"/>
  <c r="DS1159" i="1"/>
  <c r="DR1159" i="1"/>
  <c r="DQ1159" i="1"/>
  <c r="DP1159" i="1"/>
  <c r="DO1159" i="1"/>
  <c r="DH1159" i="1"/>
  <c r="DC1159" i="1"/>
  <c r="CP1159" i="1"/>
  <c r="CV1159" i="1" s="1"/>
  <c r="BX1159" i="1"/>
  <c r="BZ1159" i="1" s="1"/>
  <c r="BP1159" i="1"/>
  <c r="BQ1159" i="1" s="1"/>
  <c r="BF1159" i="1"/>
  <c r="BE1159" i="1"/>
  <c r="BD1159" i="1"/>
  <c r="BC1159" i="1"/>
  <c r="BB1159" i="1"/>
  <c r="BA1159" i="1"/>
  <c r="BG1159" i="1" s="1" a="1"/>
  <c r="BG1159" i="1" s="1"/>
  <c r="AZ1159" i="1"/>
  <c r="M1159" i="1"/>
  <c r="ER1158" i="1"/>
  <c r="DY1158" i="1"/>
  <c r="DS1158" i="1"/>
  <c r="DR1158" i="1"/>
  <c r="DQ1158" i="1"/>
  <c r="DP1158" i="1"/>
  <c r="DO1158" i="1"/>
  <c r="DH1158" i="1"/>
  <c r="DC1158" i="1"/>
  <c r="CP1158" i="1"/>
  <c r="CU1158" i="1" s="1"/>
  <c r="BX1158" i="1"/>
  <c r="BZ1158" i="1" s="1"/>
  <c r="BP1158" i="1"/>
  <c r="BQ1158" i="1" s="1"/>
  <c r="BF1158" i="1"/>
  <c r="BE1158" i="1"/>
  <c r="BD1158" i="1"/>
  <c r="BC1158" i="1"/>
  <c r="BB1158" i="1"/>
  <c r="BA1158" i="1"/>
  <c r="BG1158" i="1" s="1" a="1"/>
  <c r="BG1158" i="1" s="1"/>
  <c r="AZ1158" i="1"/>
  <c r="M1158" i="1"/>
  <c r="ER1274" i="1"/>
  <c r="DZ1274" i="1"/>
  <c r="DY1274" i="1"/>
  <c r="DS1274" i="1"/>
  <c r="DR1274" i="1"/>
  <c r="DQ1274" i="1"/>
  <c r="DP1274" i="1"/>
  <c r="DN1274" i="1"/>
  <c r="DO1274" i="1" s="1"/>
  <c r="DH1274" i="1"/>
  <c r="DC1274" i="1"/>
  <c r="CP1274" i="1"/>
  <c r="CV1274" i="1" s="1"/>
  <c r="BX1274" i="1"/>
  <c r="BZ1274" i="1" s="1"/>
  <c r="BP1274" i="1"/>
  <c r="BQ1274" i="1" s="1"/>
  <c r="BF1274" i="1"/>
  <c r="BE1274" i="1"/>
  <c r="BD1274" i="1"/>
  <c r="BC1274" i="1"/>
  <c r="BB1274" i="1"/>
  <c r="BA1274" i="1"/>
  <c r="BG1274" i="1" s="1" a="1"/>
  <c r="BG1274" i="1" s="1"/>
  <c r="AZ1274" i="1"/>
  <c r="M1274" i="1"/>
  <c r="ER965" i="1"/>
  <c r="DZ965" i="1"/>
  <c r="DY965" i="1"/>
  <c r="DS965" i="1"/>
  <c r="DR965" i="1"/>
  <c r="DQ965" i="1"/>
  <c r="DP965" i="1"/>
  <c r="DN965" i="1"/>
  <c r="DO965" i="1" s="1"/>
  <c r="DH965" i="1"/>
  <c r="DC965" i="1"/>
  <c r="CP965" i="1"/>
  <c r="BX965" i="1"/>
  <c r="BZ965" i="1" s="1"/>
  <c r="BW965" i="1"/>
  <c r="BP965" i="1"/>
  <c r="BQ965" i="1" s="1"/>
  <c r="BO965" i="1"/>
  <c r="BF965" i="1"/>
  <c r="BE965" i="1"/>
  <c r="BD965" i="1"/>
  <c r="BC965" i="1"/>
  <c r="BB965" i="1"/>
  <c r="BA965" i="1"/>
  <c r="BG965" i="1" s="1" a="1"/>
  <c r="BG965" i="1" s="1"/>
  <c r="AZ965" i="1"/>
  <c r="M965" i="1"/>
  <c r="ER255" i="1"/>
  <c r="DZ255" i="1"/>
  <c r="DY255" i="1"/>
  <c r="DS255" i="1"/>
  <c r="DR255" i="1"/>
  <c r="DQ255" i="1"/>
  <c r="DP255" i="1"/>
  <c r="DN255" i="1"/>
  <c r="DO255" i="1" s="1"/>
  <c r="DG255" i="1"/>
  <c r="DH255" i="1" s="1"/>
  <c r="DC255" i="1"/>
  <c r="CP255" i="1"/>
  <c r="CQ255" i="1" s="1"/>
  <c r="BX255" i="1"/>
  <c r="BZ255" i="1" s="1"/>
  <c r="CA255" i="1" s="1"/>
  <c r="BW255" i="1"/>
  <c r="BF255" i="1"/>
  <c r="BE255" i="1"/>
  <c r="BD255" i="1"/>
  <c r="BC255" i="1"/>
  <c r="BB255" i="1"/>
  <c r="BA255" i="1"/>
  <c r="BG255" i="1" s="1" a="1"/>
  <c r="BG255" i="1" s="1"/>
  <c r="AZ255" i="1"/>
  <c r="M255" i="1"/>
  <c r="ER256" i="1"/>
  <c r="DZ256" i="1"/>
  <c r="DY256" i="1"/>
  <c r="DS256" i="1"/>
  <c r="DR256" i="1"/>
  <c r="DQ256" i="1"/>
  <c r="DP256" i="1"/>
  <c r="DN256" i="1"/>
  <c r="DO256" i="1" s="1"/>
  <c r="DG256" i="1"/>
  <c r="DH256" i="1" s="1"/>
  <c r="DC256" i="1"/>
  <c r="CP256" i="1"/>
  <c r="CQ256" i="1" s="1"/>
  <c r="BX256" i="1"/>
  <c r="BZ256" i="1" s="1"/>
  <c r="BW256" i="1"/>
  <c r="BF256" i="1"/>
  <c r="BE256" i="1"/>
  <c r="BD256" i="1"/>
  <c r="BC256" i="1"/>
  <c r="BB256" i="1"/>
  <c r="BA256" i="1"/>
  <c r="BG256" i="1" s="1" a="1"/>
  <c r="BG256" i="1" s="1"/>
  <c r="AZ256" i="1"/>
  <c r="M256" i="1"/>
  <c r="ER254" i="1"/>
  <c r="DZ254" i="1"/>
  <c r="DY254" i="1"/>
  <c r="DS254" i="1"/>
  <c r="DR254" i="1"/>
  <c r="DQ254" i="1"/>
  <c r="DP254" i="1"/>
  <c r="DN254" i="1"/>
  <c r="DO254" i="1" s="1"/>
  <c r="DG254" i="1"/>
  <c r="DH254" i="1" s="1"/>
  <c r="DC254" i="1"/>
  <c r="CP254" i="1"/>
  <c r="CQ254" i="1" s="1"/>
  <c r="BX254" i="1"/>
  <c r="BZ254" i="1" s="1"/>
  <c r="BW254" i="1"/>
  <c r="BF254" i="1"/>
  <c r="BE254" i="1"/>
  <c r="BD254" i="1"/>
  <c r="BC254" i="1"/>
  <c r="BB254" i="1"/>
  <c r="BA254" i="1"/>
  <c r="BG254" i="1" s="1" a="1"/>
  <c r="BG254" i="1" s="1"/>
  <c r="AZ254" i="1"/>
  <c r="M254" i="1"/>
  <c r="ER253" i="1"/>
  <c r="DZ253" i="1"/>
  <c r="DY253" i="1"/>
  <c r="DS253" i="1"/>
  <c r="DR253" i="1"/>
  <c r="DQ253" i="1"/>
  <c r="DP253" i="1"/>
  <c r="DN253" i="1"/>
  <c r="DO253" i="1" s="1"/>
  <c r="DG253" i="1"/>
  <c r="DH253" i="1" s="1"/>
  <c r="DC253" i="1"/>
  <c r="CP253" i="1"/>
  <c r="CV253" i="1" s="1"/>
  <c r="BX253" i="1"/>
  <c r="BZ253" i="1" s="1"/>
  <c r="BW253" i="1"/>
  <c r="BF253" i="1"/>
  <c r="BE253" i="1"/>
  <c r="BD253" i="1"/>
  <c r="BC253" i="1"/>
  <c r="BB253" i="1"/>
  <c r="BA253" i="1"/>
  <c r="BG253" i="1" s="1" a="1"/>
  <c r="BG253" i="1" s="1"/>
  <c r="AZ253" i="1"/>
  <c r="M253" i="1"/>
  <c r="ER252" i="1"/>
  <c r="DZ252" i="1"/>
  <c r="DY252" i="1"/>
  <c r="DS252" i="1"/>
  <c r="DR252" i="1"/>
  <c r="DQ252" i="1"/>
  <c r="DP252" i="1"/>
  <c r="DN252" i="1"/>
  <c r="DO252" i="1" s="1"/>
  <c r="DG252" i="1"/>
  <c r="DH252" i="1" s="1"/>
  <c r="DC252" i="1"/>
  <c r="CP252" i="1"/>
  <c r="BX252" i="1"/>
  <c r="BZ252" i="1" s="1"/>
  <c r="CA252" i="1" s="1"/>
  <c r="BW252" i="1"/>
  <c r="BF252" i="1"/>
  <c r="BE252" i="1"/>
  <c r="BD252" i="1"/>
  <c r="BC252" i="1"/>
  <c r="BB252" i="1"/>
  <c r="BA252" i="1"/>
  <c r="BG252" i="1" s="1" a="1"/>
  <c r="BG252" i="1" s="1"/>
  <c r="AZ252" i="1"/>
  <c r="M252" i="1"/>
  <c r="ER251" i="1"/>
  <c r="DZ251" i="1"/>
  <c r="DY251" i="1"/>
  <c r="DS251" i="1"/>
  <c r="DR251" i="1"/>
  <c r="DQ251" i="1"/>
  <c r="DP251" i="1"/>
  <c r="DN251" i="1"/>
  <c r="DO251" i="1" s="1"/>
  <c r="DG251" i="1"/>
  <c r="DH251" i="1" s="1"/>
  <c r="DC251" i="1"/>
  <c r="CP251" i="1"/>
  <c r="CQ251" i="1" s="1"/>
  <c r="BX251" i="1"/>
  <c r="BZ251" i="1" s="1"/>
  <c r="BW251" i="1"/>
  <c r="BF251" i="1"/>
  <c r="BE251" i="1"/>
  <c r="BD251" i="1"/>
  <c r="BC251" i="1"/>
  <c r="BB251" i="1"/>
  <c r="BA251" i="1"/>
  <c r="BG251" i="1" s="1" a="1"/>
  <c r="BG251" i="1" s="1"/>
  <c r="AZ251" i="1"/>
  <c r="M251" i="1"/>
  <c r="BO1325" i="1"/>
  <c r="ER983" i="1"/>
  <c r="DZ983" i="1"/>
  <c r="DY983" i="1"/>
  <c r="DS983" i="1"/>
  <c r="DR983" i="1"/>
  <c r="DQ983" i="1"/>
  <c r="DP983" i="1"/>
  <c r="DN983" i="1"/>
  <c r="DO983" i="1" s="1"/>
  <c r="DG983" i="1"/>
  <c r="DH983" i="1" s="1"/>
  <c r="DC983" i="1"/>
  <c r="BU983" i="1"/>
  <c r="BX983" i="1" s="1"/>
  <c r="BZ983" i="1" s="1"/>
  <c r="BN983" i="1"/>
  <c r="BM983" i="1"/>
  <c r="BF983" i="1"/>
  <c r="BE983" i="1"/>
  <c r="BD983" i="1"/>
  <c r="BC983" i="1"/>
  <c r="BB983" i="1"/>
  <c r="BA983" i="1"/>
  <c r="BG983" i="1" s="1" a="1"/>
  <c r="BG983" i="1" s="1"/>
  <c r="AZ983" i="1"/>
  <c r="M983" i="1"/>
  <c r="ER986" i="1"/>
  <c r="DZ986" i="1"/>
  <c r="DY986" i="1"/>
  <c r="DS986" i="1"/>
  <c r="DR986" i="1"/>
  <c r="DQ986" i="1"/>
  <c r="DP986" i="1"/>
  <c r="DN986" i="1"/>
  <c r="DO986" i="1" s="1"/>
  <c r="DG986" i="1"/>
  <c r="DH986" i="1" s="1"/>
  <c r="DC986" i="1"/>
  <c r="BX986" i="1"/>
  <c r="BZ986" i="1" s="1"/>
  <c r="BW986" i="1"/>
  <c r="BN986" i="1"/>
  <c r="CP986" i="1" s="1"/>
  <c r="CR986" i="1" s="1"/>
  <c r="BF986" i="1"/>
  <c r="BE986" i="1"/>
  <c r="BD986" i="1"/>
  <c r="BC986" i="1"/>
  <c r="BB986" i="1"/>
  <c r="BA986" i="1"/>
  <c r="BG986" i="1" s="1" a="1"/>
  <c r="BG986" i="1" s="1"/>
  <c r="AZ986" i="1"/>
  <c r="M986" i="1"/>
  <c r="ER984" i="1"/>
  <c r="DZ984" i="1"/>
  <c r="DY984" i="1"/>
  <c r="DS984" i="1"/>
  <c r="DR984" i="1"/>
  <c r="DQ984" i="1"/>
  <c r="DP984" i="1"/>
  <c r="DN984" i="1"/>
  <c r="DO984" i="1" s="1"/>
  <c r="DG984" i="1"/>
  <c r="DH984" i="1" s="1"/>
  <c r="DC984" i="1"/>
  <c r="BX984" i="1"/>
  <c r="BZ984" i="1" s="1"/>
  <c r="BW984" i="1"/>
  <c r="BN984" i="1"/>
  <c r="BO683" i="1" s="1"/>
  <c r="BM984" i="1"/>
  <c r="BF984" i="1"/>
  <c r="BE984" i="1"/>
  <c r="BD984" i="1"/>
  <c r="BC984" i="1"/>
  <c r="BB984" i="1"/>
  <c r="BA984" i="1"/>
  <c r="BG984" i="1" s="1" a="1"/>
  <c r="BG984" i="1" s="1"/>
  <c r="AZ984" i="1"/>
  <c r="M984" i="1"/>
  <c r="ER985" i="1"/>
  <c r="DZ985" i="1"/>
  <c r="DY985" i="1"/>
  <c r="DS985" i="1"/>
  <c r="DR985" i="1"/>
  <c r="DQ985" i="1"/>
  <c r="DP985" i="1"/>
  <c r="DN985" i="1"/>
  <c r="DO985" i="1" s="1"/>
  <c r="DG985" i="1"/>
  <c r="DH985" i="1" s="1"/>
  <c r="DC985" i="1"/>
  <c r="BX985" i="1"/>
  <c r="BZ985" i="1" s="1"/>
  <c r="BW985" i="1"/>
  <c r="BN985" i="1"/>
  <c r="BP985" i="1" s="1"/>
  <c r="BQ985" i="1" s="1"/>
  <c r="BF985" i="1"/>
  <c r="BE985" i="1"/>
  <c r="BD985" i="1"/>
  <c r="BC985" i="1"/>
  <c r="BB985" i="1"/>
  <c r="BA985" i="1"/>
  <c r="BG985" i="1" s="1" a="1"/>
  <c r="BG985" i="1" s="1"/>
  <c r="AZ985" i="1"/>
  <c r="M985" i="1"/>
  <c r="ER994" i="1"/>
  <c r="DZ994" i="1"/>
  <c r="DY994" i="1"/>
  <c r="DS994" i="1"/>
  <c r="DR994" i="1"/>
  <c r="DQ994" i="1"/>
  <c r="DP994" i="1"/>
  <c r="DN994" i="1"/>
  <c r="DO994" i="1" s="1"/>
  <c r="DG994" i="1"/>
  <c r="DH994" i="1" s="1"/>
  <c r="DC994" i="1"/>
  <c r="BU994" i="1"/>
  <c r="BX994" i="1" s="1"/>
  <c r="BZ994" i="1" s="1"/>
  <c r="BN994" i="1"/>
  <c r="BM994" i="1"/>
  <c r="BF994" i="1"/>
  <c r="BE994" i="1"/>
  <c r="BD994" i="1"/>
  <c r="BC994" i="1"/>
  <c r="BB994" i="1"/>
  <c r="BA994" i="1"/>
  <c r="BG994" i="1" s="1" a="1"/>
  <c r="BG994" i="1" s="1"/>
  <c r="AZ994" i="1"/>
  <c r="M994" i="1"/>
  <c r="ER992" i="1"/>
  <c r="DZ992" i="1"/>
  <c r="DY992" i="1"/>
  <c r="DS992" i="1"/>
  <c r="DR992" i="1"/>
  <c r="DQ992" i="1"/>
  <c r="DP992" i="1"/>
  <c r="DN992" i="1"/>
  <c r="DO992" i="1" s="1"/>
  <c r="DG992" i="1"/>
  <c r="DH992" i="1" s="1"/>
  <c r="DC992" i="1"/>
  <c r="BU992" i="1"/>
  <c r="BX992" i="1" s="1"/>
  <c r="BZ992" i="1" s="1"/>
  <c r="BN992" i="1"/>
  <c r="BM992" i="1"/>
  <c r="BF992" i="1"/>
  <c r="BE992" i="1"/>
  <c r="BD992" i="1"/>
  <c r="BC992" i="1"/>
  <c r="BB992" i="1"/>
  <c r="BA992" i="1"/>
  <c r="BG992" i="1" s="1" a="1"/>
  <c r="BG992" i="1" s="1"/>
  <c r="AZ992" i="1"/>
  <c r="M992" i="1"/>
  <c r="ER987" i="1"/>
  <c r="DZ987" i="1"/>
  <c r="DY987" i="1"/>
  <c r="DS987" i="1"/>
  <c r="DR987" i="1"/>
  <c r="DQ987" i="1"/>
  <c r="DP987" i="1"/>
  <c r="DN987" i="1"/>
  <c r="DO987" i="1" s="1"/>
  <c r="DG987" i="1"/>
  <c r="DH987" i="1" s="1"/>
  <c r="DC987" i="1"/>
  <c r="BV987" i="1"/>
  <c r="BN987" i="1"/>
  <c r="BM987" i="1"/>
  <c r="BF987" i="1"/>
  <c r="BE987" i="1"/>
  <c r="BD987" i="1"/>
  <c r="BC987" i="1"/>
  <c r="BB987" i="1"/>
  <c r="BA987" i="1"/>
  <c r="BG987" i="1" s="1" a="1"/>
  <c r="BG987" i="1" s="1"/>
  <c r="AZ987" i="1"/>
  <c r="M987" i="1"/>
  <c r="ER988" i="1"/>
  <c r="DZ988" i="1"/>
  <c r="DY988" i="1"/>
  <c r="DS988" i="1"/>
  <c r="DR988" i="1"/>
  <c r="DQ988" i="1"/>
  <c r="DP988" i="1"/>
  <c r="DN988" i="1"/>
  <c r="DO988" i="1" s="1"/>
  <c r="DG988" i="1"/>
  <c r="DH988" i="1" s="1"/>
  <c r="DC988" i="1"/>
  <c r="BU988" i="1"/>
  <c r="BX988" i="1" s="1"/>
  <c r="BZ988" i="1" s="1"/>
  <c r="BN988" i="1"/>
  <c r="BM988" i="1"/>
  <c r="BF988" i="1"/>
  <c r="BE988" i="1"/>
  <c r="BD988" i="1"/>
  <c r="BC988" i="1"/>
  <c r="BB988" i="1"/>
  <c r="BA988" i="1"/>
  <c r="BG988" i="1" s="1" a="1"/>
  <c r="BG988" i="1" s="1"/>
  <c r="AZ988" i="1"/>
  <c r="M988" i="1"/>
  <c r="ER991" i="1"/>
  <c r="DZ991" i="1"/>
  <c r="DY991" i="1"/>
  <c r="DS991" i="1"/>
  <c r="DR991" i="1"/>
  <c r="DQ991" i="1"/>
  <c r="DP991" i="1"/>
  <c r="DN991" i="1"/>
  <c r="DO991" i="1" s="1"/>
  <c r="DG991" i="1"/>
  <c r="DH991" i="1" s="1"/>
  <c r="DC991" i="1"/>
  <c r="BX991" i="1"/>
  <c r="BZ991" i="1" s="1"/>
  <c r="BW991" i="1"/>
  <c r="BN991" i="1"/>
  <c r="BM991" i="1"/>
  <c r="BF991" i="1"/>
  <c r="BE991" i="1"/>
  <c r="BD991" i="1"/>
  <c r="BC991" i="1"/>
  <c r="BB991" i="1"/>
  <c r="BA991" i="1"/>
  <c r="BG991" i="1" s="1" a="1"/>
  <c r="BG991" i="1" s="1"/>
  <c r="AZ991" i="1"/>
  <c r="M991" i="1"/>
  <c r="ER993" i="1"/>
  <c r="DZ993" i="1"/>
  <c r="DY993" i="1"/>
  <c r="DS993" i="1"/>
  <c r="DR993" i="1"/>
  <c r="DQ993" i="1"/>
  <c r="DP993" i="1"/>
  <c r="DN993" i="1"/>
  <c r="DO993" i="1" s="1"/>
  <c r="DG993" i="1"/>
  <c r="DH993" i="1" s="1"/>
  <c r="DC993" i="1"/>
  <c r="BX993" i="1"/>
  <c r="BZ993" i="1" s="1"/>
  <c r="BW993" i="1"/>
  <c r="BN993" i="1"/>
  <c r="BM993" i="1"/>
  <c r="BF993" i="1"/>
  <c r="BE993" i="1"/>
  <c r="BD993" i="1"/>
  <c r="BC993" i="1"/>
  <c r="BB993" i="1"/>
  <c r="BA993" i="1"/>
  <c r="BG993" i="1" s="1" a="1"/>
  <c r="BG993" i="1" s="1"/>
  <c r="AZ993" i="1"/>
  <c r="M993" i="1"/>
  <c r="ER990" i="1"/>
  <c r="DZ990" i="1"/>
  <c r="DY990" i="1"/>
  <c r="DS990" i="1"/>
  <c r="DR990" i="1"/>
  <c r="DQ990" i="1"/>
  <c r="DP990" i="1"/>
  <c r="DN990" i="1"/>
  <c r="DO990" i="1" s="1"/>
  <c r="DG990" i="1"/>
  <c r="DH990" i="1" s="1"/>
  <c r="DC990" i="1"/>
  <c r="BX990" i="1"/>
  <c r="BZ990" i="1" s="1"/>
  <c r="BW990" i="1"/>
  <c r="BN990" i="1"/>
  <c r="BM990" i="1"/>
  <c r="BF990" i="1"/>
  <c r="BE990" i="1"/>
  <c r="BD990" i="1"/>
  <c r="BC990" i="1"/>
  <c r="BB990" i="1"/>
  <c r="BA990" i="1"/>
  <c r="BG990" i="1" s="1" a="1"/>
  <c r="BG990" i="1" s="1"/>
  <c r="AZ990" i="1"/>
  <c r="M990" i="1"/>
  <c r="ER989" i="1"/>
  <c r="DZ989" i="1"/>
  <c r="DY989" i="1"/>
  <c r="DS989" i="1"/>
  <c r="DR989" i="1"/>
  <c r="DQ989" i="1"/>
  <c r="DP989" i="1"/>
  <c r="DN989" i="1"/>
  <c r="DO989" i="1" s="1"/>
  <c r="DG989" i="1"/>
  <c r="DH989" i="1" s="1"/>
  <c r="DC989" i="1"/>
  <c r="BU989" i="1"/>
  <c r="BN989" i="1"/>
  <c r="BM989" i="1"/>
  <c r="BF989" i="1"/>
  <c r="BE989" i="1"/>
  <c r="BD989" i="1"/>
  <c r="BC989" i="1"/>
  <c r="BB989" i="1"/>
  <c r="BA989" i="1"/>
  <c r="BG989" i="1" s="1" a="1"/>
  <c r="BG989" i="1" s="1"/>
  <c r="AZ989" i="1"/>
  <c r="M989" i="1"/>
  <c r="ER711" i="1"/>
  <c r="DZ711" i="1"/>
  <c r="DY711" i="1"/>
  <c r="DS711" i="1"/>
  <c r="DR711" i="1"/>
  <c r="DQ711" i="1"/>
  <c r="DP711" i="1"/>
  <c r="DN711" i="1"/>
  <c r="DO711" i="1" s="1"/>
  <c r="DH711" i="1"/>
  <c r="DC711" i="1"/>
  <c r="BV711" i="1"/>
  <c r="BU711" i="1"/>
  <c r="BN711" i="1"/>
  <c r="BM711" i="1"/>
  <c r="BF711" i="1"/>
  <c r="BE711" i="1"/>
  <c r="BD711" i="1"/>
  <c r="BC711" i="1"/>
  <c r="BB711" i="1"/>
  <c r="BA711" i="1"/>
  <c r="BG711" i="1" s="1" a="1"/>
  <c r="BG711" i="1" s="1"/>
  <c r="AZ711" i="1"/>
  <c r="M711" i="1"/>
  <c r="ER709" i="1"/>
  <c r="DZ709" i="1"/>
  <c r="DY709" i="1"/>
  <c r="DS709" i="1"/>
  <c r="DR709" i="1"/>
  <c r="DQ709" i="1"/>
  <c r="DP709" i="1"/>
  <c r="DN709" i="1"/>
  <c r="DO709" i="1" s="1"/>
  <c r="DH709" i="1"/>
  <c r="DC709" i="1"/>
  <c r="BV709" i="1"/>
  <c r="BN709" i="1"/>
  <c r="CP709" i="1" s="1"/>
  <c r="BF709" i="1"/>
  <c r="BE709" i="1"/>
  <c r="BD709" i="1"/>
  <c r="BC709" i="1"/>
  <c r="BB709" i="1"/>
  <c r="BA709" i="1"/>
  <c r="BG709" i="1" s="1" a="1"/>
  <c r="BG709" i="1" s="1"/>
  <c r="AZ709" i="1"/>
  <c r="M709" i="1"/>
  <c r="ER710" i="1"/>
  <c r="DZ710" i="1"/>
  <c r="DY710" i="1"/>
  <c r="DS710" i="1"/>
  <c r="DR710" i="1"/>
  <c r="DQ710" i="1"/>
  <c r="DP710" i="1"/>
  <c r="DN710" i="1"/>
  <c r="DO710" i="1" s="1"/>
  <c r="DH710" i="1"/>
  <c r="DC710" i="1"/>
  <c r="BV710" i="1"/>
  <c r="BN710" i="1"/>
  <c r="BP710" i="1" s="1"/>
  <c r="BQ710" i="1" s="1"/>
  <c r="BF710" i="1"/>
  <c r="BE710" i="1"/>
  <c r="BD710" i="1"/>
  <c r="BC710" i="1"/>
  <c r="BB710" i="1"/>
  <c r="BA710" i="1"/>
  <c r="BG710" i="1" s="1" a="1"/>
  <c r="BG710" i="1" s="1"/>
  <c r="AZ710" i="1"/>
  <c r="M710" i="1"/>
  <c r="ER1272" i="1"/>
  <c r="DZ1272" i="1"/>
  <c r="DY1272" i="1"/>
  <c r="DS1272" i="1"/>
  <c r="DR1272" i="1"/>
  <c r="DQ1272" i="1"/>
  <c r="DP1272" i="1"/>
  <c r="DN1272" i="1"/>
  <c r="DO1272" i="1" s="1"/>
  <c r="DH1272" i="1"/>
  <c r="DC1272" i="1"/>
  <c r="CP1272" i="1"/>
  <c r="BX1272" i="1"/>
  <c r="BZ1272" i="1" s="1"/>
  <c r="BW1272" i="1"/>
  <c r="BP1272" i="1"/>
  <c r="BQ1272" i="1" s="1"/>
  <c r="BF1272" i="1"/>
  <c r="BE1272" i="1"/>
  <c r="BD1272" i="1"/>
  <c r="BC1272" i="1"/>
  <c r="BB1272" i="1"/>
  <c r="BA1272" i="1"/>
  <c r="BG1272" i="1" s="1" a="1"/>
  <c r="BG1272" i="1" s="1"/>
  <c r="AZ1272" i="1"/>
  <c r="M1272" i="1"/>
  <c r="ER1273" i="1"/>
  <c r="DZ1273" i="1"/>
  <c r="DY1273" i="1"/>
  <c r="DS1273" i="1"/>
  <c r="DR1273" i="1"/>
  <c r="DQ1273" i="1"/>
  <c r="DP1273" i="1"/>
  <c r="DN1273" i="1"/>
  <c r="DO1273" i="1" s="1"/>
  <c r="DH1273" i="1"/>
  <c r="DC1273" i="1"/>
  <c r="BX1273" i="1"/>
  <c r="BZ1273" i="1" s="1"/>
  <c r="BW1273" i="1"/>
  <c r="BN1273" i="1"/>
  <c r="CP1273" i="1" s="1"/>
  <c r="CQ1273" i="1" s="1"/>
  <c r="BF1273" i="1"/>
  <c r="BE1273" i="1"/>
  <c r="BD1273" i="1"/>
  <c r="BC1273" i="1"/>
  <c r="BB1273" i="1"/>
  <c r="BA1273" i="1"/>
  <c r="BG1273" i="1" s="1" a="1"/>
  <c r="BG1273" i="1" s="1"/>
  <c r="AZ1273" i="1"/>
  <c r="M1273" i="1"/>
  <c r="ER1354" i="1"/>
  <c r="DZ1354" i="1"/>
  <c r="DY1354" i="1"/>
  <c r="DS1354" i="1"/>
  <c r="DR1354" i="1"/>
  <c r="DQ1354" i="1"/>
  <c r="DP1354" i="1"/>
  <c r="DN1354" i="1"/>
  <c r="DO1354" i="1" s="1"/>
  <c r="DH1354" i="1"/>
  <c r="DC1354" i="1"/>
  <c r="CP1354" i="1"/>
  <c r="CV1354" i="1" s="1"/>
  <c r="BX1354" i="1"/>
  <c r="BZ1354" i="1" s="1"/>
  <c r="CA1354" i="1" s="1"/>
  <c r="BW1354" i="1"/>
  <c r="BF1354" i="1"/>
  <c r="BE1354" i="1"/>
  <c r="BD1354" i="1"/>
  <c r="BC1354" i="1"/>
  <c r="BB1354" i="1"/>
  <c r="BA1354" i="1"/>
  <c r="BG1354" i="1" s="1" a="1"/>
  <c r="BG1354" i="1" s="1"/>
  <c r="AZ1354" i="1"/>
  <c r="M1354" i="1"/>
  <c r="ER1356" i="1"/>
  <c r="DZ1356" i="1"/>
  <c r="DY1356" i="1"/>
  <c r="DS1356" i="1"/>
  <c r="DR1356" i="1"/>
  <c r="DQ1356" i="1"/>
  <c r="DP1356" i="1"/>
  <c r="DN1356" i="1"/>
  <c r="DO1356" i="1" s="1"/>
  <c r="DH1356" i="1"/>
  <c r="DC1356" i="1"/>
  <c r="CP1356" i="1"/>
  <c r="CU1356" i="1" s="1"/>
  <c r="BX1356" i="1"/>
  <c r="BZ1356" i="1" s="1"/>
  <c r="CA1356" i="1" s="1"/>
  <c r="BW1356" i="1"/>
  <c r="BF1356" i="1"/>
  <c r="BE1356" i="1"/>
  <c r="BD1356" i="1"/>
  <c r="BC1356" i="1"/>
  <c r="BB1356" i="1"/>
  <c r="BA1356" i="1"/>
  <c r="BG1356" i="1" s="1" a="1"/>
  <c r="BG1356" i="1" s="1"/>
  <c r="AZ1356" i="1"/>
  <c r="M1356" i="1"/>
  <c r="ER1355" i="1"/>
  <c r="DZ1355" i="1"/>
  <c r="DY1355" i="1"/>
  <c r="DS1355" i="1"/>
  <c r="DR1355" i="1"/>
  <c r="DQ1355" i="1"/>
  <c r="DP1355" i="1"/>
  <c r="DN1355" i="1"/>
  <c r="DO1355" i="1" s="1"/>
  <c r="DH1355" i="1"/>
  <c r="DC1355" i="1"/>
  <c r="CP1355" i="1"/>
  <c r="CV1355" i="1" s="1"/>
  <c r="BX1355" i="1"/>
  <c r="BZ1355" i="1" s="1"/>
  <c r="CA1355" i="1" s="1"/>
  <c r="BW1355" i="1"/>
  <c r="BF1355" i="1"/>
  <c r="BE1355" i="1"/>
  <c r="BD1355" i="1"/>
  <c r="BC1355" i="1"/>
  <c r="BB1355" i="1"/>
  <c r="BA1355" i="1"/>
  <c r="BG1355" i="1" s="1" a="1"/>
  <c r="BG1355" i="1" s="1"/>
  <c r="AZ1355" i="1"/>
  <c r="M1355" i="1"/>
  <c r="ER1357" i="1"/>
  <c r="DZ1357" i="1"/>
  <c r="DY1357" i="1"/>
  <c r="DS1357" i="1"/>
  <c r="DR1357" i="1"/>
  <c r="DQ1357" i="1"/>
  <c r="DP1357" i="1"/>
  <c r="DN1357" i="1"/>
  <c r="DO1357" i="1" s="1"/>
  <c r="DH1357" i="1"/>
  <c r="DC1357" i="1"/>
  <c r="CP1357" i="1"/>
  <c r="BX1357" i="1"/>
  <c r="BZ1357" i="1" s="1"/>
  <c r="CA1357" i="1" s="1"/>
  <c r="BW1357" i="1"/>
  <c r="BF1357" i="1"/>
  <c r="BE1357" i="1"/>
  <c r="BD1357" i="1"/>
  <c r="BC1357" i="1"/>
  <c r="BB1357" i="1"/>
  <c r="BA1357" i="1"/>
  <c r="BG1357" i="1" s="1" a="1"/>
  <c r="BG1357" i="1" s="1"/>
  <c r="AZ1357" i="1"/>
  <c r="M1357" i="1"/>
  <c r="ER1346" i="1"/>
  <c r="DZ1346" i="1"/>
  <c r="DY1346" i="1"/>
  <c r="DS1346" i="1"/>
  <c r="DR1346" i="1"/>
  <c r="DQ1346" i="1"/>
  <c r="DP1346" i="1"/>
  <c r="DN1346" i="1"/>
  <c r="DO1346" i="1" s="1"/>
  <c r="DH1346" i="1"/>
  <c r="DC1346" i="1"/>
  <c r="BX1346" i="1"/>
  <c r="BZ1346" i="1" s="1"/>
  <c r="BW1346" i="1"/>
  <c r="BN1346" i="1"/>
  <c r="BM1346" i="1"/>
  <c r="BF1346" i="1"/>
  <c r="BE1346" i="1"/>
  <c r="BD1346" i="1"/>
  <c r="BC1346" i="1"/>
  <c r="BB1346" i="1"/>
  <c r="BA1346" i="1"/>
  <c r="BG1346" i="1" s="1" a="1"/>
  <c r="BG1346" i="1" s="1"/>
  <c r="AZ1346" i="1"/>
  <c r="M1346" i="1"/>
  <c r="ER1347" i="1"/>
  <c r="DZ1347" i="1"/>
  <c r="DY1347" i="1"/>
  <c r="DS1347" i="1"/>
  <c r="DR1347" i="1"/>
  <c r="DQ1347" i="1"/>
  <c r="DP1347" i="1"/>
  <c r="DN1347" i="1"/>
  <c r="DO1347" i="1" s="1"/>
  <c r="DH1347" i="1"/>
  <c r="DC1347" i="1"/>
  <c r="BX1347" i="1"/>
  <c r="BZ1347" i="1" s="1"/>
  <c r="BW1347" i="1"/>
  <c r="BN1347" i="1"/>
  <c r="BM1347" i="1"/>
  <c r="BF1347" i="1"/>
  <c r="BE1347" i="1"/>
  <c r="BD1347" i="1"/>
  <c r="BC1347" i="1"/>
  <c r="BB1347" i="1"/>
  <c r="BA1347" i="1"/>
  <c r="BG1347" i="1" s="1" a="1"/>
  <c r="BG1347" i="1" s="1"/>
  <c r="AZ1347" i="1"/>
  <c r="M1347" i="1"/>
  <c r="ER1348" i="1"/>
  <c r="DZ1348" i="1"/>
  <c r="DY1348" i="1"/>
  <c r="DS1348" i="1"/>
  <c r="DR1348" i="1"/>
  <c r="DQ1348" i="1"/>
  <c r="DP1348" i="1"/>
  <c r="DN1348" i="1"/>
  <c r="DO1348" i="1" s="1"/>
  <c r="DH1348" i="1"/>
  <c r="DC1348" i="1"/>
  <c r="BX1348" i="1"/>
  <c r="BZ1348" i="1" s="1"/>
  <c r="BW1348" i="1"/>
  <c r="BN1348" i="1"/>
  <c r="BM1348" i="1"/>
  <c r="BF1348" i="1"/>
  <c r="BE1348" i="1"/>
  <c r="BD1348" i="1"/>
  <c r="BC1348" i="1"/>
  <c r="BB1348" i="1"/>
  <c r="BA1348" i="1"/>
  <c r="BG1348" i="1" s="1" a="1"/>
  <c r="BG1348" i="1" s="1"/>
  <c r="AZ1348" i="1"/>
  <c r="M1348" i="1"/>
  <c r="ER1349" i="1"/>
  <c r="DZ1349" i="1"/>
  <c r="DY1349" i="1"/>
  <c r="DS1349" i="1"/>
  <c r="DR1349" i="1"/>
  <c r="DQ1349" i="1"/>
  <c r="DP1349" i="1"/>
  <c r="DN1349" i="1"/>
  <c r="DO1349" i="1" s="1"/>
  <c r="DH1349" i="1"/>
  <c r="DC1349" i="1"/>
  <c r="BX1349" i="1"/>
  <c r="BZ1349" i="1" s="1"/>
  <c r="BW1349" i="1"/>
  <c r="BN1349" i="1"/>
  <c r="BM1349" i="1"/>
  <c r="BF1349" i="1"/>
  <c r="BE1349" i="1"/>
  <c r="BD1349" i="1"/>
  <c r="BC1349" i="1"/>
  <c r="BB1349" i="1"/>
  <c r="BA1349" i="1"/>
  <c r="BG1349" i="1" s="1" a="1"/>
  <c r="BG1349" i="1" s="1"/>
  <c r="AZ1349" i="1"/>
  <c r="M1349" i="1"/>
  <c r="ER1352" i="1"/>
  <c r="DZ1352" i="1"/>
  <c r="DY1352" i="1"/>
  <c r="DS1352" i="1"/>
  <c r="DR1352" i="1"/>
  <c r="DQ1352" i="1"/>
  <c r="DP1352" i="1"/>
  <c r="DN1352" i="1"/>
  <c r="DO1352" i="1" s="1"/>
  <c r="DH1352" i="1"/>
  <c r="DC1352" i="1"/>
  <c r="CP1352" i="1"/>
  <c r="BX1352" i="1"/>
  <c r="BZ1352" i="1" s="1"/>
  <c r="BW1352" i="1"/>
  <c r="BF1352" i="1"/>
  <c r="BE1352" i="1"/>
  <c r="BD1352" i="1"/>
  <c r="BC1352" i="1"/>
  <c r="BB1352" i="1"/>
  <c r="BA1352" i="1"/>
  <c r="BG1352" i="1" s="1" a="1"/>
  <c r="BG1352" i="1" s="1"/>
  <c r="AZ1352" i="1"/>
  <c r="M1352" i="1"/>
  <c r="ER1353" i="1"/>
  <c r="DZ1353" i="1"/>
  <c r="DY1353" i="1"/>
  <c r="DS1353" i="1"/>
  <c r="DR1353" i="1"/>
  <c r="DQ1353" i="1"/>
  <c r="DP1353" i="1"/>
  <c r="DN1353" i="1"/>
  <c r="DO1353" i="1" s="1"/>
  <c r="DH1353" i="1"/>
  <c r="DC1353" i="1"/>
  <c r="CP1353" i="1"/>
  <c r="CV1353" i="1" s="1"/>
  <c r="BX1353" i="1"/>
  <c r="BZ1353" i="1" s="1"/>
  <c r="CA1353" i="1" s="1"/>
  <c r="BW1353" i="1"/>
  <c r="BF1353" i="1"/>
  <c r="BE1353" i="1"/>
  <c r="BD1353" i="1"/>
  <c r="BC1353" i="1"/>
  <c r="BB1353" i="1"/>
  <c r="BA1353" i="1"/>
  <c r="BG1353" i="1" s="1" a="1"/>
  <c r="BG1353" i="1" s="1"/>
  <c r="AZ1353" i="1"/>
  <c r="M1353" i="1"/>
  <c r="ER1350" i="1"/>
  <c r="DZ1350" i="1"/>
  <c r="DY1350" i="1"/>
  <c r="DS1350" i="1"/>
  <c r="DR1350" i="1"/>
  <c r="DQ1350" i="1"/>
  <c r="DP1350" i="1"/>
  <c r="DN1350" i="1"/>
  <c r="DO1350" i="1" s="1"/>
  <c r="DH1350" i="1"/>
  <c r="DC1350" i="1"/>
  <c r="CP1350" i="1"/>
  <c r="CU1350" i="1" s="1"/>
  <c r="BX1350" i="1"/>
  <c r="BZ1350" i="1" s="1"/>
  <c r="CA1350" i="1" s="1"/>
  <c r="BW1350" i="1"/>
  <c r="BF1350" i="1"/>
  <c r="BE1350" i="1"/>
  <c r="BD1350" i="1"/>
  <c r="BC1350" i="1"/>
  <c r="BB1350" i="1"/>
  <c r="BA1350" i="1"/>
  <c r="BG1350" i="1" s="1" a="1"/>
  <c r="BG1350" i="1" s="1"/>
  <c r="AZ1350" i="1"/>
  <c r="M1350" i="1"/>
  <c r="ER1351" i="1"/>
  <c r="DZ1351" i="1"/>
  <c r="DY1351" i="1"/>
  <c r="DS1351" i="1"/>
  <c r="DR1351" i="1"/>
  <c r="DQ1351" i="1"/>
  <c r="DP1351" i="1"/>
  <c r="DN1351" i="1"/>
  <c r="DO1351" i="1" s="1"/>
  <c r="DH1351" i="1"/>
  <c r="DC1351" i="1"/>
  <c r="CP1351" i="1"/>
  <c r="BX1351" i="1"/>
  <c r="BZ1351" i="1" s="1"/>
  <c r="CA1351" i="1" s="1"/>
  <c r="BW1351" i="1"/>
  <c r="BF1351" i="1"/>
  <c r="BE1351" i="1"/>
  <c r="BD1351" i="1"/>
  <c r="BC1351" i="1"/>
  <c r="BB1351" i="1"/>
  <c r="BA1351" i="1"/>
  <c r="BG1351" i="1" s="1" a="1"/>
  <c r="BG1351" i="1" s="1"/>
  <c r="AZ1351" i="1"/>
  <c r="M1351" i="1"/>
  <c r="ER1622" i="1"/>
  <c r="DY1622" i="1"/>
  <c r="DS1622" i="1"/>
  <c r="DR1622" i="1"/>
  <c r="DQ1622" i="1"/>
  <c r="DP1622" i="1"/>
  <c r="DO1622" i="1"/>
  <c r="DH1622" i="1"/>
  <c r="DC1622" i="1"/>
  <c r="CP1622" i="1"/>
  <c r="BX1622" i="1"/>
  <c r="BZ1622" i="1" s="1"/>
  <c r="BP1622" i="1"/>
  <c r="BQ1622" i="1" s="1"/>
  <c r="BF1622" i="1"/>
  <c r="BE1622" i="1"/>
  <c r="BD1622" i="1"/>
  <c r="BC1622" i="1"/>
  <c r="BB1622" i="1"/>
  <c r="BA1622" i="1"/>
  <c r="BG1622" i="1" s="1" a="1"/>
  <c r="BG1622" i="1" s="1"/>
  <c r="AZ1622" i="1"/>
  <c r="M1622" i="1"/>
  <c r="ER1624" i="1"/>
  <c r="DY1624" i="1"/>
  <c r="DS1624" i="1"/>
  <c r="DR1624" i="1"/>
  <c r="DQ1624" i="1"/>
  <c r="DP1624" i="1"/>
  <c r="DO1624" i="1"/>
  <c r="DH1624" i="1"/>
  <c r="DC1624" i="1"/>
  <c r="CP1624" i="1"/>
  <c r="BX1624" i="1"/>
  <c r="BZ1624" i="1" s="1"/>
  <c r="BP1624" i="1"/>
  <c r="BQ1624" i="1" s="1"/>
  <c r="BF1624" i="1"/>
  <c r="BE1624" i="1"/>
  <c r="BD1624" i="1"/>
  <c r="BC1624" i="1"/>
  <c r="BB1624" i="1"/>
  <c r="BA1624" i="1"/>
  <c r="BG1624" i="1" s="1" a="1"/>
  <c r="BG1624" i="1" s="1"/>
  <c r="AZ1624" i="1"/>
  <c r="M1624" i="1"/>
  <c r="ER1626" i="1"/>
  <c r="DY1626" i="1"/>
  <c r="DS1626" i="1"/>
  <c r="DR1626" i="1"/>
  <c r="DQ1626" i="1"/>
  <c r="DP1626" i="1"/>
  <c r="DO1626" i="1"/>
  <c r="DH1626" i="1"/>
  <c r="DC1626" i="1"/>
  <c r="CP1626" i="1"/>
  <c r="CQ1626" i="1" s="1"/>
  <c r="BX1626" i="1"/>
  <c r="BZ1626" i="1" s="1"/>
  <c r="BP1626" i="1"/>
  <c r="BQ1626" i="1" s="1"/>
  <c r="BF1626" i="1"/>
  <c r="BE1626" i="1"/>
  <c r="BD1626" i="1"/>
  <c r="BC1626" i="1"/>
  <c r="BB1626" i="1"/>
  <c r="BA1626" i="1"/>
  <c r="BG1626" i="1" s="1" a="1"/>
  <c r="BG1626" i="1" s="1"/>
  <c r="AZ1626" i="1"/>
  <c r="M1626" i="1"/>
  <c r="ER1630" i="1"/>
  <c r="DY1630" i="1"/>
  <c r="DS1630" i="1"/>
  <c r="DR1630" i="1"/>
  <c r="DQ1630" i="1"/>
  <c r="DP1630" i="1"/>
  <c r="DO1630" i="1"/>
  <c r="DH1630" i="1"/>
  <c r="DC1630" i="1"/>
  <c r="CP1630" i="1"/>
  <c r="BX1630" i="1"/>
  <c r="BZ1630" i="1" s="1"/>
  <c r="BP1630" i="1"/>
  <c r="BQ1630" i="1" s="1"/>
  <c r="BF1630" i="1"/>
  <c r="BE1630" i="1"/>
  <c r="BD1630" i="1"/>
  <c r="BC1630" i="1"/>
  <c r="BB1630" i="1"/>
  <c r="BA1630" i="1"/>
  <c r="BG1630" i="1" s="1" a="1"/>
  <c r="BG1630" i="1" s="1"/>
  <c r="AZ1630" i="1"/>
  <c r="M1630" i="1"/>
  <c r="ER1625" i="1"/>
  <c r="DY1625" i="1"/>
  <c r="DS1625" i="1"/>
  <c r="DR1625" i="1"/>
  <c r="DQ1625" i="1"/>
  <c r="DP1625" i="1"/>
  <c r="DO1625" i="1"/>
  <c r="DH1625" i="1"/>
  <c r="DC1625" i="1"/>
  <c r="CP1625" i="1"/>
  <c r="CU1625" i="1" s="1"/>
  <c r="BX1625" i="1"/>
  <c r="BZ1625" i="1" s="1"/>
  <c r="BP1625" i="1"/>
  <c r="BQ1625" i="1" s="1"/>
  <c r="BF1625" i="1"/>
  <c r="BE1625" i="1"/>
  <c r="BD1625" i="1"/>
  <c r="BC1625" i="1"/>
  <c r="BB1625" i="1"/>
  <c r="BA1625" i="1"/>
  <c r="BG1625" i="1" s="1" a="1"/>
  <c r="BG1625" i="1" s="1"/>
  <c r="AZ1625" i="1"/>
  <c r="M1625" i="1"/>
  <c r="ER1628" i="1"/>
  <c r="DY1628" i="1"/>
  <c r="DS1628" i="1"/>
  <c r="DR1628" i="1"/>
  <c r="DQ1628" i="1"/>
  <c r="DP1628" i="1"/>
  <c r="DO1628" i="1"/>
  <c r="DH1628" i="1"/>
  <c r="DC1628" i="1"/>
  <c r="CP1628" i="1"/>
  <c r="CV1628" i="1" s="1"/>
  <c r="BX1628" i="1"/>
  <c r="BZ1628" i="1" s="1"/>
  <c r="BP1628" i="1"/>
  <c r="BQ1628" i="1" s="1"/>
  <c r="BF1628" i="1"/>
  <c r="BE1628" i="1"/>
  <c r="BD1628" i="1"/>
  <c r="BC1628" i="1"/>
  <c r="BB1628" i="1"/>
  <c r="BA1628" i="1"/>
  <c r="BG1628" i="1" s="1" a="1"/>
  <c r="BG1628" i="1" s="1"/>
  <c r="AZ1628" i="1"/>
  <c r="M1628" i="1"/>
  <c r="ER1617" i="1"/>
  <c r="DY1617" i="1"/>
  <c r="DS1617" i="1"/>
  <c r="DR1617" i="1"/>
  <c r="DQ1617" i="1"/>
  <c r="DP1617" i="1"/>
  <c r="DO1617" i="1"/>
  <c r="DH1617" i="1"/>
  <c r="DC1617" i="1"/>
  <c r="CP1617" i="1"/>
  <c r="CR1617" i="1" s="1"/>
  <c r="BX1617" i="1"/>
  <c r="BZ1617" i="1" s="1"/>
  <c r="BP1617" i="1"/>
  <c r="BQ1617" i="1" s="1"/>
  <c r="BF1617" i="1"/>
  <c r="BE1617" i="1"/>
  <c r="BD1617" i="1"/>
  <c r="BC1617" i="1"/>
  <c r="BB1617" i="1"/>
  <c r="BA1617" i="1"/>
  <c r="BG1617" i="1" s="1" a="1"/>
  <c r="BG1617" i="1" s="1"/>
  <c r="AZ1617" i="1"/>
  <c r="M1617" i="1"/>
  <c r="ER1631" i="1"/>
  <c r="DY1631" i="1"/>
  <c r="DS1631" i="1"/>
  <c r="DR1631" i="1"/>
  <c r="DQ1631" i="1"/>
  <c r="DP1631" i="1"/>
  <c r="DO1631" i="1"/>
  <c r="DH1631" i="1"/>
  <c r="DC1631" i="1"/>
  <c r="CP1631" i="1"/>
  <c r="BX1631" i="1"/>
  <c r="BZ1631" i="1" s="1"/>
  <c r="BP1631" i="1"/>
  <c r="BQ1631" i="1" s="1"/>
  <c r="BF1631" i="1"/>
  <c r="BE1631" i="1"/>
  <c r="BD1631" i="1"/>
  <c r="BC1631" i="1"/>
  <c r="BB1631" i="1"/>
  <c r="BA1631" i="1"/>
  <c r="BG1631" i="1" s="1" a="1"/>
  <c r="BG1631" i="1" s="1"/>
  <c r="AZ1631" i="1"/>
  <c r="M1631" i="1"/>
  <c r="ER1616" i="1"/>
  <c r="DY1616" i="1"/>
  <c r="DS1616" i="1"/>
  <c r="DR1616" i="1"/>
  <c r="DQ1616" i="1"/>
  <c r="DP1616" i="1"/>
  <c r="DO1616" i="1"/>
  <c r="DH1616" i="1"/>
  <c r="DC1616" i="1"/>
  <c r="CP1616" i="1"/>
  <c r="CU1616" i="1" s="1"/>
  <c r="BX1616" i="1"/>
  <c r="BZ1616" i="1" s="1"/>
  <c r="BP1616" i="1"/>
  <c r="BQ1616" i="1" s="1"/>
  <c r="BF1616" i="1"/>
  <c r="BE1616" i="1"/>
  <c r="BD1616" i="1"/>
  <c r="BC1616" i="1"/>
  <c r="BB1616" i="1"/>
  <c r="BA1616" i="1"/>
  <c r="BG1616" i="1" s="1" a="1"/>
  <c r="BG1616" i="1" s="1"/>
  <c r="AZ1616" i="1"/>
  <c r="M1616" i="1"/>
  <c r="ER1629" i="1"/>
  <c r="DY1629" i="1"/>
  <c r="DS1629" i="1"/>
  <c r="DR1629" i="1"/>
  <c r="DQ1629" i="1"/>
  <c r="DP1629" i="1"/>
  <c r="DO1629" i="1"/>
  <c r="DH1629" i="1"/>
  <c r="DC1629" i="1"/>
  <c r="CP1629" i="1"/>
  <c r="CR1629" i="1" s="1"/>
  <c r="BX1629" i="1"/>
  <c r="BZ1629" i="1" s="1"/>
  <c r="BP1629" i="1"/>
  <c r="BQ1629" i="1" s="1"/>
  <c r="BF1629" i="1"/>
  <c r="BE1629" i="1"/>
  <c r="BD1629" i="1"/>
  <c r="BC1629" i="1"/>
  <c r="BB1629" i="1"/>
  <c r="BA1629" i="1"/>
  <c r="BG1629" i="1" s="1" a="1"/>
  <c r="BG1629" i="1" s="1"/>
  <c r="AZ1629" i="1"/>
  <c r="M1629" i="1"/>
  <c r="ER1627" i="1"/>
  <c r="DY1627" i="1"/>
  <c r="DS1627" i="1"/>
  <c r="DR1627" i="1"/>
  <c r="DQ1627" i="1"/>
  <c r="DP1627" i="1"/>
  <c r="DO1627" i="1"/>
  <c r="DH1627" i="1"/>
  <c r="DC1627" i="1"/>
  <c r="CP1627" i="1"/>
  <c r="CR1627" i="1" s="1"/>
  <c r="BX1627" i="1"/>
  <c r="BZ1627" i="1" s="1"/>
  <c r="BP1627" i="1"/>
  <c r="BQ1627" i="1" s="1"/>
  <c r="BF1627" i="1"/>
  <c r="BE1627" i="1"/>
  <c r="BD1627" i="1"/>
  <c r="BC1627" i="1"/>
  <c r="BB1627" i="1"/>
  <c r="BA1627" i="1"/>
  <c r="BG1627" i="1" s="1" a="1"/>
  <c r="BG1627" i="1" s="1"/>
  <c r="AZ1627" i="1"/>
  <c r="M1627" i="1"/>
  <c r="ER1619" i="1"/>
  <c r="DY1619" i="1"/>
  <c r="DS1619" i="1"/>
  <c r="DR1619" i="1"/>
  <c r="DQ1619" i="1"/>
  <c r="DP1619" i="1"/>
  <c r="DO1619" i="1"/>
  <c r="DH1619" i="1"/>
  <c r="DC1619" i="1"/>
  <c r="CP1619" i="1"/>
  <c r="CV1619" i="1" s="1"/>
  <c r="BX1619" i="1"/>
  <c r="BZ1619" i="1" s="1"/>
  <c r="BP1619" i="1"/>
  <c r="BQ1619" i="1" s="1"/>
  <c r="BF1619" i="1"/>
  <c r="BE1619" i="1"/>
  <c r="BD1619" i="1"/>
  <c r="BC1619" i="1"/>
  <c r="BB1619" i="1"/>
  <c r="BA1619" i="1"/>
  <c r="BG1619" i="1" s="1" a="1"/>
  <c r="BG1619" i="1" s="1"/>
  <c r="AZ1619" i="1"/>
  <c r="M1619" i="1"/>
  <c r="ER1623" i="1"/>
  <c r="DY1623" i="1"/>
  <c r="DS1623" i="1"/>
  <c r="DR1623" i="1"/>
  <c r="DQ1623" i="1"/>
  <c r="DP1623" i="1"/>
  <c r="DO1623" i="1"/>
  <c r="DH1623" i="1"/>
  <c r="DC1623" i="1"/>
  <c r="CP1623" i="1"/>
  <c r="CV1623" i="1" s="1"/>
  <c r="BX1623" i="1"/>
  <c r="BZ1623" i="1" s="1"/>
  <c r="BP1623" i="1"/>
  <c r="BQ1623" i="1" s="1"/>
  <c r="BF1623" i="1"/>
  <c r="BE1623" i="1"/>
  <c r="BD1623" i="1"/>
  <c r="BC1623" i="1"/>
  <c r="BB1623" i="1"/>
  <c r="BA1623" i="1"/>
  <c r="BG1623" i="1" s="1" a="1"/>
  <c r="BG1623" i="1" s="1"/>
  <c r="AZ1623" i="1"/>
  <c r="M1623" i="1"/>
  <c r="ER1632" i="1"/>
  <c r="DY1632" i="1"/>
  <c r="DS1632" i="1"/>
  <c r="DR1632" i="1"/>
  <c r="DQ1632" i="1"/>
  <c r="DP1632" i="1"/>
  <c r="DO1632" i="1"/>
  <c r="DH1632" i="1"/>
  <c r="DC1632" i="1"/>
  <c r="CP1632" i="1"/>
  <c r="BX1632" i="1"/>
  <c r="BZ1632" i="1" s="1"/>
  <c r="BP1632" i="1"/>
  <c r="BQ1632" i="1" s="1"/>
  <c r="BF1632" i="1"/>
  <c r="BE1632" i="1"/>
  <c r="BD1632" i="1"/>
  <c r="BC1632" i="1"/>
  <c r="BB1632" i="1"/>
  <c r="BA1632" i="1"/>
  <c r="BG1632" i="1" s="1" a="1"/>
  <c r="BG1632" i="1" s="1"/>
  <c r="AZ1632" i="1"/>
  <c r="M1632" i="1"/>
  <c r="ER1620" i="1"/>
  <c r="DY1620" i="1"/>
  <c r="DS1620" i="1"/>
  <c r="DR1620" i="1"/>
  <c r="DQ1620" i="1"/>
  <c r="DP1620" i="1"/>
  <c r="DO1620" i="1"/>
  <c r="DH1620" i="1"/>
  <c r="DC1620" i="1"/>
  <c r="CP1620" i="1"/>
  <c r="BX1620" i="1"/>
  <c r="BZ1620" i="1" s="1"/>
  <c r="BP1620" i="1"/>
  <c r="BQ1620" i="1" s="1"/>
  <c r="BF1620" i="1"/>
  <c r="BE1620" i="1"/>
  <c r="BD1620" i="1"/>
  <c r="BC1620" i="1"/>
  <c r="BB1620" i="1"/>
  <c r="BA1620" i="1"/>
  <c r="BG1620" i="1" s="1" a="1"/>
  <c r="BG1620" i="1" s="1"/>
  <c r="AZ1620" i="1"/>
  <c r="M1620" i="1"/>
  <c r="ER1621" i="1"/>
  <c r="DY1621" i="1"/>
  <c r="DS1621" i="1"/>
  <c r="DR1621" i="1"/>
  <c r="DQ1621" i="1"/>
  <c r="DP1621" i="1"/>
  <c r="DO1621" i="1"/>
  <c r="DH1621" i="1"/>
  <c r="DC1621" i="1"/>
  <c r="CP1621" i="1"/>
  <c r="BX1621" i="1"/>
  <c r="BZ1621" i="1" s="1"/>
  <c r="BP1621" i="1"/>
  <c r="BQ1621" i="1" s="1"/>
  <c r="BF1621" i="1"/>
  <c r="BE1621" i="1"/>
  <c r="BD1621" i="1"/>
  <c r="BC1621" i="1"/>
  <c r="BB1621" i="1"/>
  <c r="BA1621" i="1"/>
  <c r="BG1621" i="1" s="1" a="1"/>
  <c r="BG1621" i="1" s="1"/>
  <c r="AZ1621" i="1"/>
  <c r="M1621" i="1"/>
  <c r="ER1618" i="1"/>
  <c r="DY1618" i="1"/>
  <c r="DS1618" i="1"/>
  <c r="DR1618" i="1"/>
  <c r="DQ1618" i="1"/>
  <c r="DP1618" i="1"/>
  <c r="DO1618" i="1"/>
  <c r="DH1618" i="1"/>
  <c r="DC1618" i="1"/>
  <c r="CP1618" i="1"/>
  <c r="CV1618" i="1" s="1"/>
  <c r="BX1618" i="1"/>
  <c r="BZ1618" i="1" s="1"/>
  <c r="BP1618" i="1"/>
  <c r="BQ1618" i="1" s="1"/>
  <c r="BF1618" i="1"/>
  <c r="BE1618" i="1"/>
  <c r="BD1618" i="1"/>
  <c r="BC1618" i="1"/>
  <c r="BB1618" i="1"/>
  <c r="BA1618" i="1"/>
  <c r="BG1618" i="1" s="1" a="1"/>
  <c r="BG1618" i="1" s="1"/>
  <c r="AZ1618" i="1"/>
  <c r="M1618" i="1"/>
  <c r="ER1633" i="1"/>
  <c r="DY1633" i="1"/>
  <c r="DS1633" i="1"/>
  <c r="DR1633" i="1"/>
  <c r="DQ1633" i="1"/>
  <c r="DP1633" i="1"/>
  <c r="DO1633" i="1"/>
  <c r="DH1633" i="1"/>
  <c r="DC1633" i="1"/>
  <c r="CP1633" i="1"/>
  <c r="CU1633" i="1" s="1"/>
  <c r="BX1633" i="1"/>
  <c r="BZ1633" i="1" s="1"/>
  <c r="BP1633" i="1"/>
  <c r="BQ1633" i="1" s="1"/>
  <c r="BF1633" i="1"/>
  <c r="BE1633" i="1"/>
  <c r="BD1633" i="1"/>
  <c r="BC1633" i="1"/>
  <c r="BB1633" i="1"/>
  <c r="BA1633" i="1"/>
  <c r="BG1633" i="1" s="1" a="1"/>
  <c r="BG1633" i="1" s="1"/>
  <c r="AZ1633" i="1"/>
  <c r="M1633" i="1"/>
  <c r="ER615" i="1"/>
  <c r="DY615" i="1"/>
  <c r="DS615" i="1"/>
  <c r="DR615" i="1"/>
  <c r="DQ615" i="1"/>
  <c r="DP615" i="1"/>
  <c r="DO615" i="1"/>
  <c r="DH615" i="1"/>
  <c r="DC615" i="1"/>
  <c r="CP615" i="1"/>
  <c r="BX615" i="1"/>
  <c r="BZ615" i="1" s="1"/>
  <c r="BP615" i="1"/>
  <c r="BQ615" i="1" s="1"/>
  <c r="BF615" i="1"/>
  <c r="BE615" i="1"/>
  <c r="BD615" i="1"/>
  <c r="BC615" i="1"/>
  <c r="BB615" i="1"/>
  <c r="BA615" i="1"/>
  <c r="BG615" i="1" s="1" a="1"/>
  <c r="BG615" i="1" s="1"/>
  <c r="AZ615" i="1"/>
  <c r="M615" i="1"/>
  <c r="ER605" i="1"/>
  <c r="DY605" i="1"/>
  <c r="DS605" i="1"/>
  <c r="DR605" i="1"/>
  <c r="DQ605" i="1"/>
  <c r="DP605" i="1"/>
  <c r="DO605" i="1"/>
  <c r="DH605" i="1"/>
  <c r="DC605" i="1"/>
  <c r="CP605" i="1"/>
  <c r="CV605" i="1" s="1"/>
  <c r="BX605" i="1"/>
  <c r="BZ605" i="1" s="1"/>
  <c r="BP605" i="1"/>
  <c r="BQ605" i="1" s="1"/>
  <c r="BF605" i="1"/>
  <c r="BE605" i="1"/>
  <c r="BD605" i="1"/>
  <c r="BC605" i="1"/>
  <c r="BB605" i="1"/>
  <c r="BA605" i="1"/>
  <c r="BG605" i="1" s="1" a="1"/>
  <c r="BG605" i="1" s="1"/>
  <c r="AZ605" i="1"/>
  <c r="M605" i="1"/>
  <c r="ER609" i="1"/>
  <c r="DY609" i="1"/>
  <c r="DS609" i="1"/>
  <c r="DR609" i="1"/>
  <c r="DQ609" i="1"/>
  <c r="DP609" i="1"/>
  <c r="DO609" i="1"/>
  <c r="DH609" i="1"/>
  <c r="DC609" i="1"/>
  <c r="CP609" i="1"/>
  <c r="CV609" i="1" s="1"/>
  <c r="BX609" i="1"/>
  <c r="BZ609" i="1" s="1"/>
  <c r="BP609" i="1"/>
  <c r="BQ609" i="1" s="1"/>
  <c r="BF609" i="1"/>
  <c r="BE609" i="1"/>
  <c r="BD609" i="1"/>
  <c r="BC609" i="1"/>
  <c r="BB609" i="1"/>
  <c r="BA609" i="1"/>
  <c r="BG609" i="1" s="1" a="1"/>
  <c r="BG609" i="1" s="1"/>
  <c r="AZ609" i="1"/>
  <c r="M609" i="1"/>
  <c r="ER608" i="1"/>
  <c r="DY608" i="1"/>
  <c r="DS608" i="1"/>
  <c r="DR608" i="1"/>
  <c r="DQ608" i="1"/>
  <c r="DP608" i="1"/>
  <c r="DN608" i="1"/>
  <c r="DO608" i="1" s="1"/>
  <c r="DH608" i="1"/>
  <c r="DC608" i="1"/>
  <c r="CP608" i="1"/>
  <c r="CV608" i="1" s="1"/>
  <c r="BX608" i="1"/>
  <c r="BZ608" i="1" s="1"/>
  <c r="BP608" i="1"/>
  <c r="BQ608" i="1" s="1"/>
  <c r="BF608" i="1"/>
  <c r="BE608" i="1"/>
  <c r="BD608" i="1"/>
  <c r="BC608" i="1"/>
  <c r="BB608" i="1"/>
  <c r="BA608" i="1"/>
  <c r="BG608" i="1" s="1" a="1"/>
  <c r="BG608" i="1" s="1"/>
  <c r="AZ608" i="1"/>
  <c r="M608" i="1"/>
  <c r="ER687" i="1"/>
  <c r="DZ687" i="1"/>
  <c r="DY687" i="1"/>
  <c r="DS687" i="1"/>
  <c r="DR687" i="1"/>
  <c r="DQ687" i="1"/>
  <c r="DP687" i="1"/>
  <c r="DN687" i="1"/>
  <c r="DO687" i="1" s="1"/>
  <c r="DH687" i="1"/>
  <c r="DC687" i="1"/>
  <c r="CP687" i="1"/>
  <c r="CV687" i="1" s="1"/>
  <c r="BX687" i="1"/>
  <c r="BZ687" i="1" s="1"/>
  <c r="BW687" i="1"/>
  <c r="BP687" i="1"/>
  <c r="BQ687" i="1" s="1"/>
  <c r="BF687" i="1"/>
  <c r="BE687" i="1"/>
  <c r="BD687" i="1"/>
  <c r="BC687" i="1"/>
  <c r="BB687" i="1"/>
  <c r="BA687" i="1"/>
  <c r="BG687" i="1" s="1" a="1"/>
  <c r="BG687" i="1" s="1"/>
  <c r="AZ687" i="1"/>
  <c r="M687" i="1"/>
  <c r="ER691" i="1"/>
  <c r="DZ691" i="1"/>
  <c r="DY691" i="1"/>
  <c r="DS691" i="1"/>
  <c r="DR691" i="1"/>
  <c r="DQ691" i="1"/>
  <c r="DP691" i="1"/>
  <c r="DN691" i="1"/>
  <c r="DO691" i="1" s="1"/>
  <c r="DH691" i="1"/>
  <c r="DC691" i="1"/>
  <c r="CP691" i="1"/>
  <c r="CV691" i="1" s="1"/>
  <c r="BX691" i="1"/>
  <c r="BZ691" i="1" s="1"/>
  <c r="BW691" i="1"/>
  <c r="BP691" i="1"/>
  <c r="BQ691" i="1" s="1"/>
  <c r="BF691" i="1"/>
  <c r="BE691" i="1"/>
  <c r="BD691" i="1"/>
  <c r="BC691" i="1"/>
  <c r="BB691" i="1"/>
  <c r="BA691" i="1"/>
  <c r="BG691" i="1" s="1" a="1"/>
  <c r="BG691" i="1" s="1"/>
  <c r="AZ691" i="1"/>
  <c r="M691" i="1"/>
  <c r="ER1131" i="1"/>
  <c r="DZ1131" i="1"/>
  <c r="DY1131" i="1"/>
  <c r="DS1131" i="1"/>
  <c r="DR1131" i="1"/>
  <c r="DQ1131" i="1"/>
  <c r="DP1131" i="1"/>
  <c r="DN1131" i="1"/>
  <c r="DO1131" i="1" s="1"/>
  <c r="DH1131" i="1"/>
  <c r="DC1131" i="1"/>
  <c r="CP1131" i="1"/>
  <c r="BV1131" i="1"/>
  <c r="BX1131" i="1" s="1"/>
  <c r="BZ1131" i="1" s="1"/>
  <c r="BP1131" i="1"/>
  <c r="BQ1131" i="1" s="1"/>
  <c r="BF1131" i="1"/>
  <c r="BE1131" i="1"/>
  <c r="BD1131" i="1"/>
  <c r="BC1131" i="1"/>
  <c r="BB1131" i="1"/>
  <c r="BA1131" i="1"/>
  <c r="BG1131" i="1" s="1" a="1"/>
  <c r="BG1131" i="1" s="1"/>
  <c r="AZ1131" i="1"/>
  <c r="M1131" i="1"/>
  <c r="ER1127" i="1"/>
  <c r="DZ1127" i="1"/>
  <c r="DY1127" i="1"/>
  <c r="DS1127" i="1"/>
  <c r="DR1127" i="1"/>
  <c r="DQ1127" i="1"/>
  <c r="DP1127" i="1"/>
  <c r="DN1127" i="1"/>
  <c r="DO1127" i="1" s="1"/>
  <c r="DH1127" i="1"/>
  <c r="DC1127" i="1"/>
  <c r="CP1127" i="1"/>
  <c r="BV1127" i="1"/>
  <c r="BX1127" i="1" s="1"/>
  <c r="BZ1127" i="1" s="1"/>
  <c r="BP1127" i="1"/>
  <c r="BQ1127" i="1" s="1"/>
  <c r="BF1127" i="1"/>
  <c r="BE1127" i="1"/>
  <c r="BD1127" i="1"/>
  <c r="BC1127" i="1"/>
  <c r="BB1127" i="1"/>
  <c r="BA1127" i="1"/>
  <c r="BG1127" i="1" s="1" a="1"/>
  <c r="BG1127" i="1" s="1"/>
  <c r="AZ1127" i="1"/>
  <c r="M1127" i="1"/>
  <c r="ER1257" i="1"/>
  <c r="DZ1257" i="1"/>
  <c r="DY1257" i="1"/>
  <c r="DS1257" i="1"/>
  <c r="DR1257" i="1"/>
  <c r="DQ1257" i="1"/>
  <c r="DP1257" i="1"/>
  <c r="DN1257" i="1"/>
  <c r="DO1257" i="1" s="1"/>
  <c r="DH1257" i="1"/>
  <c r="DC1257" i="1"/>
  <c r="BX1257" i="1"/>
  <c r="BZ1257" i="1" s="1"/>
  <c r="BW1257" i="1"/>
  <c r="BN1257" i="1"/>
  <c r="BF1257" i="1"/>
  <c r="BE1257" i="1"/>
  <c r="BD1257" i="1"/>
  <c r="BC1257" i="1"/>
  <c r="BB1257" i="1"/>
  <c r="BA1257" i="1"/>
  <c r="BG1257" i="1" s="1" a="1"/>
  <c r="BG1257" i="1" s="1"/>
  <c r="AZ1257" i="1"/>
  <c r="M1257" i="1"/>
  <c r="ER1231" i="1"/>
  <c r="DZ1231" i="1"/>
  <c r="DY1231" i="1"/>
  <c r="DS1231" i="1"/>
  <c r="DR1231" i="1"/>
  <c r="DQ1231" i="1"/>
  <c r="DP1231" i="1"/>
  <c r="DN1231" i="1"/>
  <c r="DO1231" i="1" s="1"/>
  <c r="DH1231" i="1"/>
  <c r="DC1231" i="1"/>
  <c r="BX1231" i="1"/>
  <c r="BZ1231" i="1" s="1"/>
  <c r="BN1231" i="1"/>
  <c r="CP1231" i="1" s="1"/>
  <c r="BF1231" i="1"/>
  <c r="BE1231" i="1"/>
  <c r="BD1231" i="1"/>
  <c r="BC1231" i="1"/>
  <c r="BB1231" i="1"/>
  <c r="BA1231" i="1"/>
  <c r="BG1231" i="1" s="1" a="1"/>
  <c r="BG1231" i="1" s="1"/>
  <c r="AZ1231" i="1"/>
  <c r="M1231" i="1"/>
  <c r="ER1245" i="1"/>
  <c r="DZ1245" i="1"/>
  <c r="DY1245" i="1"/>
  <c r="DS1245" i="1"/>
  <c r="DR1245" i="1"/>
  <c r="DQ1245" i="1"/>
  <c r="DP1245" i="1"/>
  <c r="DN1245" i="1"/>
  <c r="DO1245" i="1" s="1"/>
  <c r="DH1245" i="1"/>
  <c r="DC1245" i="1"/>
  <c r="BX1245" i="1"/>
  <c r="BZ1245" i="1" s="1"/>
  <c r="BN1245" i="1"/>
  <c r="CP1245" i="1" s="1"/>
  <c r="CV1245" i="1" s="1"/>
  <c r="BF1245" i="1"/>
  <c r="BE1245" i="1"/>
  <c r="BD1245" i="1"/>
  <c r="BC1245" i="1"/>
  <c r="BB1245" i="1"/>
  <c r="BA1245" i="1"/>
  <c r="BG1245" i="1" s="1" a="1"/>
  <c r="BG1245" i="1" s="1"/>
  <c r="AZ1245" i="1"/>
  <c r="M1245" i="1"/>
  <c r="ER1244" i="1"/>
  <c r="DZ1244" i="1"/>
  <c r="DY1244" i="1"/>
  <c r="DS1244" i="1"/>
  <c r="DR1244" i="1"/>
  <c r="DQ1244" i="1"/>
  <c r="DP1244" i="1"/>
  <c r="DN1244" i="1"/>
  <c r="DO1244" i="1" s="1"/>
  <c r="DH1244" i="1"/>
  <c r="DC1244" i="1"/>
  <c r="BX1244" i="1"/>
  <c r="BZ1244" i="1" s="1"/>
  <c r="BN1244" i="1"/>
  <c r="CP1244" i="1" s="1"/>
  <c r="BF1244" i="1"/>
  <c r="BE1244" i="1"/>
  <c r="BD1244" i="1"/>
  <c r="BC1244" i="1"/>
  <c r="BB1244" i="1"/>
  <c r="BA1244" i="1"/>
  <c r="BG1244" i="1" s="1" a="1"/>
  <c r="BG1244" i="1" s="1"/>
  <c r="AZ1244" i="1"/>
  <c r="M1244" i="1"/>
  <c r="ER1246" i="1"/>
  <c r="DZ1246" i="1"/>
  <c r="DY1246" i="1"/>
  <c r="DS1246" i="1"/>
  <c r="DR1246" i="1"/>
  <c r="DQ1246" i="1"/>
  <c r="DP1246" i="1"/>
  <c r="DN1246" i="1"/>
  <c r="DO1246" i="1" s="1"/>
  <c r="DH1246" i="1"/>
  <c r="DC1246" i="1"/>
  <c r="BX1246" i="1"/>
  <c r="BZ1246" i="1" s="1"/>
  <c r="BN1246" i="1"/>
  <c r="CP1246" i="1" s="1"/>
  <c r="BF1246" i="1"/>
  <c r="BE1246" i="1"/>
  <c r="BD1246" i="1"/>
  <c r="BC1246" i="1"/>
  <c r="BB1246" i="1"/>
  <c r="BA1246" i="1"/>
  <c r="BG1246" i="1" s="1" a="1"/>
  <c r="BG1246" i="1" s="1"/>
  <c r="AZ1246" i="1"/>
  <c r="M1246" i="1"/>
  <c r="ER1230" i="1"/>
  <c r="DZ1230" i="1"/>
  <c r="DY1230" i="1"/>
  <c r="DS1230" i="1"/>
  <c r="DR1230" i="1"/>
  <c r="DQ1230" i="1"/>
  <c r="DP1230" i="1"/>
  <c r="DN1230" i="1"/>
  <c r="DO1230" i="1" s="1"/>
  <c r="DH1230" i="1"/>
  <c r="DC1230" i="1"/>
  <c r="BX1230" i="1"/>
  <c r="BZ1230" i="1" s="1"/>
  <c r="BN1230" i="1"/>
  <c r="BP1230" i="1" s="1"/>
  <c r="BQ1230" i="1" s="1"/>
  <c r="BF1230" i="1"/>
  <c r="BE1230" i="1"/>
  <c r="BD1230" i="1"/>
  <c r="BC1230" i="1"/>
  <c r="BB1230" i="1"/>
  <c r="BA1230" i="1"/>
  <c r="BG1230" i="1" s="1" a="1"/>
  <c r="BG1230" i="1" s="1"/>
  <c r="AZ1230" i="1"/>
  <c r="M1230" i="1"/>
  <c r="ER1241" i="1"/>
  <c r="DZ1241" i="1"/>
  <c r="DY1241" i="1"/>
  <c r="DS1241" i="1"/>
  <c r="DR1241" i="1"/>
  <c r="DQ1241" i="1"/>
  <c r="DP1241" i="1"/>
  <c r="DN1241" i="1"/>
  <c r="DO1241" i="1" s="1"/>
  <c r="DH1241" i="1"/>
  <c r="DC1241" i="1"/>
  <c r="BX1241" i="1"/>
  <c r="BZ1241" i="1" s="1"/>
  <c r="BN1241" i="1"/>
  <c r="BP1241" i="1" s="1"/>
  <c r="BQ1241" i="1" s="1"/>
  <c r="BF1241" i="1"/>
  <c r="BE1241" i="1"/>
  <c r="BD1241" i="1"/>
  <c r="BC1241" i="1"/>
  <c r="BB1241" i="1"/>
  <c r="BA1241" i="1"/>
  <c r="BG1241" i="1" s="1" a="1"/>
  <c r="BG1241" i="1" s="1"/>
  <c r="AZ1241" i="1"/>
  <c r="M1241" i="1"/>
  <c r="ER1242" i="1"/>
  <c r="DZ1242" i="1"/>
  <c r="DY1242" i="1"/>
  <c r="DS1242" i="1"/>
  <c r="DR1242" i="1"/>
  <c r="DQ1242" i="1"/>
  <c r="DP1242" i="1"/>
  <c r="DN1242" i="1"/>
  <c r="DO1242" i="1" s="1"/>
  <c r="DH1242" i="1"/>
  <c r="DC1242" i="1"/>
  <c r="BX1242" i="1"/>
  <c r="BZ1242" i="1" s="1"/>
  <c r="BN1242" i="1"/>
  <c r="CP1242" i="1" s="1"/>
  <c r="CQ1242" i="1" s="1"/>
  <c r="BF1242" i="1"/>
  <c r="BE1242" i="1"/>
  <c r="BD1242" i="1"/>
  <c r="BC1242" i="1"/>
  <c r="BB1242" i="1"/>
  <c r="BA1242" i="1"/>
  <c r="BG1242" i="1" s="1" a="1"/>
  <c r="BG1242" i="1" s="1"/>
  <c r="AZ1242" i="1"/>
  <c r="M1242" i="1"/>
  <c r="ER1243" i="1"/>
  <c r="DZ1243" i="1"/>
  <c r="DY1243" i="1"/>
  <c r="DS1243" i="1"/>
  <c r="DR1243" i="1"/>
  <c r="DQ1243" i="1"/>
  <c r="DP1243" i="1"/>
  <c r="DN1243" i="1"/>
  <c r="DO1243" i="1" s="1"/>
  <c r="DH1243" i="1"/>
  <c r="DC1243" i="1"/>
  <c r="BX1243" i="1"/>
  <c r="BZ1243" i="1" s="1"/>
  <c r="BN1243" i="1"/>
  <c r="BP1243" i="1" s="1"/>
  <c r="BQ1243" i="1" s="1"/>
  <c r="BF1243" i="1"/>
  <c r="BE1243" i="1"/>
  <c r="BD1243" i="1"/>
  <c r="BC1243" i="1"/>
  <c r="BB1243" i="1"/>
  <c r="BA1243" i="1"/>
  <c r="BG1243" i="1" s="1" a="1"/>
  <c r="BG1243" i="1" s="1"/>
  <c r="AZ1243" i="1"/>
  <c r="M1243" i="1"/>
  <c r="ER1229" i="1"/>
  <c r="DZ1229" i="1"/>
  <c r="DY1229" i="1"/>
  <c r="DS1229" i="1"/>
  <c r="DR1229" i="1"/>
  <c r="DQ1229" i="1"/>
  <c r="DP1229" i="1"/>
  <c r="DN1229" i="1"/>
  <c r="DO1229" i="1" s="1"/>
  <c r="DH1229" i="1"/>
  <c r="DC1229" i="1"/>
  <c r="BX1229" i="1"/>
  <c r="BZ1229" i="1" s="1"/>
  <c r="BN1229" i="1"/>
  <c r="CP1229" i="1" s="1"/>
  <c r="CV1229" i="1" s="1"/>
  <c r="BF1229" i="1"/>
  <c r="BE1229" i="1"/>
  <c r="BD1229" i="1"/>
  <c r="BC1229" i="1"/>
  <c r="BB1229" i="1"/>
  <c r="BA1229" i="1"/>
  <c r="BG1229" i="1" s="1" a="1"/>
  <c r="BG1229" i="1" s="1"/>
  <c r="AZ1229" i="1"/>
  <c r="M1229" i="1"/>
  <c r="ER1237" i="1"/>
  <c r="DZ1237" i="1"/>
  <c r="DY1237" i="1"/>
  <c r="DS1237" i="1"/>
  <c r="DR1237" i="1"/>
  <c r="DQ1237" i="1"/>
  <c r="DP1237" i="1"/>
  <c r="DN1237" i="1"/>
  <c r="DO1237" i="1" s="1"/>
  <c r="DH1237" i="1"/>
  <c r="DC1237" i="1"/>
  <c r="BX1237" i="1"/>
  <c r="BZ1237" i="1" s="1"/>
  <c r="BN1237" i="1"/>
  <c r="CP1237" i="1" s="1"/>
  <c r="CQ1237" i="1" s="1"/>
  <c r="BF1237" i="1"/>
  <c r="BE1237" i="1"/>
  <c r="BD1237" i="1"/>
  <c r="BC1237" i="1"/>
  <c r="BB1237" i="1"/>
  <c r="BA1237" i="1"/>
  <c r="BG1237" i="1" s="1" a="1"/>
  <c r="BG1237" i="1" s="1"/>
  <c r="AZ1237" i="1"/>
  <c r="M1237" i="1"/>
  <c r="ER1238" i="1"/>
  <c r="DZ1238" i="1"/>
  <c r="DY1238" i="1"/>
  <c r="DS1238" i="1"/>
  <c r="DR1238" i="1"/>
  <c r="DQ1238" i="1"/>
  <c r="DP1238" i="1"/>
  <c r="DN1238" i="1"/>
  <c r="DO1238" i="1" s="1"/>
  <c r="DH1238" i="1"/>
  <c r="DC1238" i="1"/>
  <c r="BZ1238" i="1"/>
  <c r="BN1238" i="1"/>
  <c r="CP1238" i="1" s="1"/>
  <c r="CV1238" i="1" s="1"/>
  <c r="BF1238" i="1"/>
  <c r="BE1238" i="1"/>
  <c r="BD1238" i="1"/>
  <c r="BC1238" i="1"/>
  <c r="BB1238" i="1"/>
  <c r="BA1238" i="1"/>
  <c r="BG1238" i="1" s="1" a="1"/>
  <c r="BG1238" i="1" s="1"/>
  <c r="AZ1238" i="1"/>
  <c r="M1238" i="1"/>
  <c r="ER1239" i="1"/>
  <c r="DZ1239" i="1"/>
  <c r="DY1239" i="1"/>
  <c r="DS1239" i="1"/>
  <c r="DR1239" i="1"/>
  <c r="DQ1239" i="1"/>
  <c r="DP1239" i="1"/>
  <c r="DN1239" i="1"/>
  <c r="DO1239" i="1" s="1"/>
  <c r="DH1239" i="1"/>
  <c r="DC1239" i="1"/>
  <c r="BX1239" i="1"/>
  <c r="BZ1239" i="1" s="1"/>
  <c r="BN1239" i="1"/>
  <c r="CP1239" i="1" s="1"/>
  <c r="BF1239" i="1"/>
  <c r="BE1239" i="1"/>
  <c r="BD1239" i="1"/>
  <c r="BC1239" i="1"/>
  <c r="BB1239" i="1"/>
  <c r="BA1239" i="1"/>
  <c r="BG1239" i="1" s="1" a="1"/>
  <c r="BG1239" i="1" s="1"/>
  <c r="AZ1239" i="1"/>
  <c r="M1239" i="1"/>
  <c r="ER1240" i="1"/>
  <c r="DZ1240" i="1"/>
  <c r="DY1240" i="1"/>
  <c r="DS1240" i="1"/>
  <c r="DR1240" i="1"/>
  <c r="DQ1240" i="1"/>
  <c r="DP1240" i="1"/>
  <c r="DN1240" i="1"/>
  <c r="DO1240" i="1" s="1"/>
  <c r="DH1240" i="1"/>
  <c r="DC1240" i="1"/>
  <c r="BX1240" i="1"/>
  <c r="BZ1240" i="1" s="1"/>
  <c r="BN1240" i="1"/>
  <c r="BP1240" i="1" s="1"/>
  <c r="BQ1240" i="1" s="1"/>
  <c r="BF1240" i="1"/>
  <c r="BE1240" i="1"/>
  <c r="BD1240" i="1"/>
  <c r="BC1240" i="1"/>
  <c r="BB1240" i="1"/>
  <c r="BA1240" i="1"/>
  <c r="BG1240" i="1" s="1" a="1"/>
  <c r="BG1240" i="1" s="1"/>
  <c r="AZ1240" i="1"/>
  <c r="M1240" i="1"/>
  <c r="ER1228" i="1"/>
  <c r="DZ1228" i="1"/>
  <c r="DY1228" i="1"/>
  <c r="DS1228" i="1"/>
  <c r="DR1228" i="1"/>
  <c r="DQ1228" i="1"/>
  <c r="DP1228" i="1"/>
  <c r="DN1228" i="1"/>
  <c r="DO1228" i="1" s="1"/>
  <c r="DH1228" i="1"/>
  <c r="DC1228" i="1"/>
  <c r="CP1228" i="1"/>
  <c r="CV1228" i="1" s="1"/>
  <c r="BU1228" i="1"/>
  <c r="BX1228" i="1" s="1"/>
  <c r="BZ1228" i="1" s="1"/>
  <c r="BP1228" i="1"/>
  <c r="BQ1228" i="1" s="1"/>
  <c r="BF1228" i="1"/>
  <c r="BE1228" i="1"/>
  <c r="BD1228" i="1"/>
  <c r="BC1228" i="1"/>
  <c r="BB1228" i="1"/>
  <c r="BA1228" i="1"/>
  <c r="BG1228" i="1" s="1" a="1"/>
  <c r="BG1228" i="1" s="1"/>
  <c r="AZ1228" i="1"/>
  <c r="M1228" i="1"/>
  <c r="ER1234" i="1"/>
  <c r="DZ1234" i="1"/>
  <c r="DY1234" i="1"/>
  <c r="DS1234" i="1"/>
  <c r="DR1234" i="1"/>
  <c r="DQ1234" i="1"/>
  <c r="DP1234" i="1"/>
  <c r="DN1234" i="1"/>
  <c r="DO1234" i="1" s="1"/>
  <c r="DH1234" i="1"/>
  <c r="DC1234" i="1"/>
  <c r="CP1234" i="1"/>
  <c r="BX1234" i="1"/>
  <c r="BZ1234" i="1" s="1"/>
  <c r="BP1234" i="1"/>
  <c r="BQ1234" i="1" s="1"/>
  <c r="BF1234" i="1"/>
  <c r="BE1234" i="1"/>
  <c r="BD1234" i="1"/>
  <c r="BC1234" i="1"/>
  <c r="BB1234" i="1"/>
  <c r="BA1234" i="1"/>
  <c r="BG1234" i="1" s="1" a="1"/>
  <c r="BG1234" i="1" s="1"/>
  <c r="AZ1234" i="1"/>
  <c r="M1234" i="1"/>
  <c r="ER1235" i="1"/>
  <c r="DZ1235" i="1"/>
  <c r="DY1235" i="1"/>
  <c r="DS1235" i="1"/>
  <c r="DR1235" i="1"/>
  <c r="DQ1235" i="1"/>
  <c r="DP1235" i="1"/>
  <c r="DN1235" i="1"/>
  <c r="DO1235" i="1" s="1"/>
  <c r="DH1235" i="1"/>
  <c r="DC1235" i="1"/>
  <c r="CP1235" i="1"/>
  <c r="BX1235" i="1"/>
  <c r="BZ1235" i="1" s="1"/>
  <c r="BP1235" i="1"/>
  <c r="BQ1235" i="1" s="1"/>
  <c r="BF1235" i="1"/>
  <c r="BE1235" i="1"/>
  <c r="BD1235" i="1"/>
  <c r="BC1235" i="1"/>
  <c r="BB1235" i="1"/>
  <c r="BA1235" i="1"/>
  <c r="BG1235" i="1" s="1" a="1"/>
  <c r="BG1235" i="1" s="1"/>
  <c r="AZ1235" i="1"/>
  <c r="M1235" i="1"/>
  <c r="ER1236" i="1"/>
  <c r="DZ1236" i="1"/>
  <c r="DY1236" i="1"/>
  <c r="DS1236" i="1"/>
  <c r="DR1236" i="1"/>
  <c r="DQ1236" i="1"/>
  <c r="DP1236" i="1"/>
  <c r="DN1236" i="1"/>
  <c r="DO1236" i="1" s="1"/>
  <c r="DH1236" i="1"/>
  <c r="DC1236" i="1"/>
  <c r="CP1236" i="1"/>
  <c r="BX1236" i="1"/>
  <c r="BZ1236" i="1" s="1"/>
  <c r="BP1236" i="1"/>
  <c r="BQ1236" i="1" s="1"/>
  <c r="BF1236" i="1"/>
  <c r="BE1236" i="1"/>
  <c r="BD1236" i="1"/>
  <c r="BC1236" i="1"/>
  <c r="BB1236" i="1"/>
  <c r="BA1236" i="1"/>
  <c r="BG1236" i="1" s="1" a="1"/>
  <c r="BG1236" i="1" s="1"/>
  <c r="AZ1236" i="1"/>
  <c r="M1236" i="1"/>
  <c r="ER1227" i="1"/>
  <c r="DZ1227" i="1"/>
  <c r="DY1227" i="1"/>
  <c r="DS1227" i="1"/>
  <c r="DR1227" i="1"/>
  <c r="DQ1227" i="1"/>
  <c r="DP1227" i="1"/>
  <c r="DN1227" i="1"/>
  <c r="DO1227" i="1" s="1"/>
  <c r="DH1227" i="1"/>
  <c r="DC1227" i="1"/>
  <c r="CP1227" i="1"/>
  <c r="CR1227" i="1" s="1"/>
  <c r="BX1227" i="1"/>
  <c r="BZ1227" i="1" s="1"/>
  <c r="BP1227" i="1"/>
  <c r="BQ1227" i="1" s="1"/>
  <c r="BF1227" i="1"/>
  <c r="BE1227" i="1"/>
  <c r="BD1227" i="1"/>
  <c r="BC1227" i="1"/>
  <c r="BB1227" i="1"/>
  <c r="BA1227" i="1"/>
  <c r="BG1227" i="1" s="1" a="1"/>
  <c r="BG1227" i="1" s="1"/>
  <c r="AZ1227" i="1"/>
  <c r="M1227" i="1"/>
  <c r="ER1253" i="1"/>
  <c r="DZ1253" i="1"/>
  <c r="DY1253" i="1"/>
  <c r="DS1253" i="1"/>
  <c r="DR1253" i="1"/>
  <c r="DQ1253" i="1"/>
  <c r="DP1253" i="1"/>
  <c r="DN1253" i="1"/>
  <c r="DO1253" i="1" s="1"/>
  <c r="DH1253" i="1"/>
  <c r="DC1253" i="1"/>
  <c r="CP1253" i="1"/>
  <c r="CQ1253" i="1" s="1"/>
  <c r="BX1253" i="1"/>
  <c r="BZ1253" i="1" s="1"/>
  <c r="BP1253" i="1"/>
  <c r="BQ1253" i="1" s="1"/>
  <c r="BF1253" i="1"/>
  <c r="BE1253" i="1"/>
  <c r="BD1253" i="1"/>
  <c r="BC1253" i="1"/>
  <c r="BB1253" i="1"/>
  <c r="BA1253" i="1"/>
  <c r="BG1253" i="1" s="1" a="1"/>
  <c r="BG1253" i="1" s="1"/>
  <c r="AZ1253" i="1"/>
  <c r="M1253" i="1"/>
  <c r="ER1254" i="1"/>
  <c r="DZ1254" i="1"/>
  <c r="DY1254" i="1"/>
  <c r="DS1254" i="1"/>
  <c r="DR1254" i="1"/>
  <c r="DQ1254" i="1"/>
  <c r="DP1254" i="1"/>
  <c r="DN1254" i="1"/>
  <c r="DO1254" i="1" s="1"/>
  <c r="DH1254" i="1"/>
  <c r="DC1254" i="1"/>
  <c r="CP1254" i="1"/>
  <c r="BX1254" i="1"/>
  <c r="BZ1254" i="1" s="1"/>
  <c r="BP1254" i="1"/>
  <c r="BQ1254" i="1" s="1"/>
  <c r="BF1254" i="1"/>
  <c r="BE1254" i="1"/>
  <c r="BD1254" i="1"/>
  <c r="BC1254" i="1"/>
  <c r="BB1254" i="1"/>
  <c r="BA1254" i="1"/>
  <c r="BG1254" i="1" s="1" a="1"/>
  <c r="BG1254" i="1" s="1"/>
  <c r="AZ1254" i="1"/>
  <c r="M1254" i="1"/>
  <c r="ER1255" i="1"/>
  <c r="DZ1255" i="1"/>
  <c r="DY1255" i="1"/>
  <c r="DS1255" i="1"/>
  <c r="DR1255" i="1"/>
  <c r="DQ1255" i="1"/>
  <c r="DP1255" i="1"/>
  <c r="DN1255" i="1"/>
  <c r="DO1255" i="1" s="1"/>
  <c r="DH1255" i="1"/>
  <c r="DC1255" i="1"/>
  <c r="CP1255" i="1"/>
  <c r="BX1255" i="1"/>
  <c r="BZ1255" i="1" s="1"/>
  <c r="BP1255" i="1"/>
  <c r="BQ1255" i="1" s="1"/>
  <c r="BF1255" i="1"/>
  <c r="BE1255" i="1"/>
  <c r="BD1255" i="1"/>
  <c r="BC1255" i="1"/>
  <c r="BB1255" i="1"/>
  <c r="BA1255" i="1"/>
  <c r="BG1255" i="1" s="1" a="1"/>
  <c r="BG1255" i="1" s="1"/>
  <c r="AZ1255" i="1"/>
  <c r="M1255" i="1"/>
  <c r="ER1252" i="1"/>
  <c r="DZ1252" i="1"/>
  <c r="DY1252" i="1"/>
  <c r="DS1252" i="1"/>
  <c r="DR1252" i="1"/>
  <c r="DQ1252" i="1"/>
  <c r="DP1252" i="1"/>
  <c r="DN1252" i="1"/>
  <c r="DO1252" i="1" s="1"/>
  <c r="DH1252" i="1"/>
  <c r="DC1252" i="1"/>
  <c r="CP1252" i="1"/>
  <c r="BX1252" i="1"/>
  <c r="BZ1252" i="1" s="1"/>
  <c r="BP1252" i="1"/>
  <c r="BQ1252" i="1" s="1"/>
  <c r="BF1252" i="1"/>
  <c r="BE1252" i="1"/>
  <c r="BD1252" i="1"/>
  <c r="BC1252" i="1"/>
  <c r="BB1252" i="1"/>
  <c r="BA1252" i="1"/>
  <c r="BG1252" i="1" s="1" a="1"/>
  <c r="BG1252" i="1" s="1"/>
  <c r="AZ1252" i="1"/>
  <c r="M1252" i="1"/>
  <c r="ER1251" i="1"/>
  <c r="DZ1251" i="1"/>
  <c r="DY1251" i="1"/>
  <c r="DS1251" i="1"/>
  <c r="DR1251" i="1"/>
  <c r="DQ1251" i="1"/>
  <c r="DP1251" i="1"/>
  <c r="DN1251" i="1"/>
  <c r="DO1251" i="1" s="1"/>
  <c r="DH1251" i="1"/>
  <c r="DC1251" i="1"/>
  <c r="CP1251" i="1"/>
  <c r="BX1251" i="1"/>
  <c r="BZ1251" i="1" s="1"/>
  <c r="BP1251" i="1"/>
  <c r="BQ1251" i="1" s="1"/>
  <c r="BO1251" i="1"/>
  <c r="BF1251" i="1"/>
  <c r="BE1251" i="1"/>
  <c r="BD1251" i="1"/>
  <c r="BC1251" i="1"/>
  <c r="BB1251" i="1"/>
  <c r="BA1251" i="1"/>
  <c r="BG1251" i="1" s="1" a="1"/>
  <c r="BG1251" i="1" s="1"/>
  <c r="AZ1251" i="1"/>
  <c r="M1251" i="1"/>
  <c r="ER1233" i="1"/>
  <c r="DZ1233" i="1"/>
  <c r="DY1233" i="1"/>
  <c r="DS1233" i="1"/>
  <c r="DR1233" i="1"/>
  <c r="DQ1233" i="1"/>
  <c r="DP1233" i="1"/>
  <c r="DN1233" i="1"/>
  <c r="DO1233" i="1" s="1"/>
  <c r="DH1233" i="1"/>
  <c r="DC1233" i="1"/>
  <c r="CP1233" i="1"/>
  <c r="CR1233" i="1" s="1"/>
  <c r="BX1233" i="1"/>
  <c r="BZ1233" i="1" s="1"/>
  <c r="BW1233" i="1"/>
  <c r="BP1233" i="1"/>
  <c r="BQ1233" i="1" s="1"/>
  <c r="BO1233" i="1"/>
  <c r="BF1233" i="1"/>
  <c r="BE1233" i="1"/>
  <c r="BD1233" i="1"/>
  <c r="BC1233" i="1"/>
  <c r="BB1233" i="1"/>
  <c r="BA1233" i="1"/>
  <c r="BG1233" i="1" s="1" a="1"/>
  <c r="BG1233" i="1" s="1"/>
  <c r="AZ1233" i="1"/>
  <c r="M1233" i="1"/>
  <c r="ER1232" i="1"/>
  <c r="DZ1232" i="1"/>
  <c r="DY1232" i="1"/>
  <c r="DS1232" i="1"/>
  <c r="DR1232" i="1"/>
  <c r="DQ1232" i="1"/>
  <c r="DP1232" i="1"/>
  <c r="DN1232" i="1"/>
  <c r="DO1232" i="1" s="1"/>
  <c r="DH1232" i="1"/>
  <c r="DC1232" i="1"/>
  <c r="CP1232" i="1"/>
  <c r="CV1232" i="1" s="1"/>
  <c r="BX1232" i="1"/>
  <c r="BZ1232" i="1" s="1"/>
  <c r="BP1232" i="1"/>
  <c r="BQ1232" i="1" s="1"/>
  <c r="BF1232" i="1"/>
  <c r="BE1232" i="1"/>
  <c r="BD1232" i="1"/>
  <c r="BC1232" i="1"/>
  <c r="BB1232" i="1"/>
  <c r="BA1232" i="1"/>
  <c r="BG1232" i="1" s="1" a="1"/>
  <c r="BG1232" i="1" s="1"/>
  <c r="AZ1232" i="1"/>
  <c r="M1232" i="1"/>
  <c r="ER1250" i="1"/>
  <c r="DZ1250" i="1"/>
  <c r="DY1250" i="1"/>
  <c r="DS1250" i="1"/>
  <c r="DR1250" i="1"/>
  <c r="DQ1250" i="1"/>
  <c r="DP1250" i="1"/>
  <c r="DN1250" i="1"/>
  <c r="DO1250" i="1" s="1"/>
  <c r="DH1250" i="1"/>
  <c r="DC1250" i="1"/>
  <c r="CP1250" i="1"/>
  <c r="CV1250" i="1" s="1"/>
  <c r="BX1250" i="1"/>
  <c r="BZ1250" i="1" s="1"/>
  <c r="BP1250" i="1"/>
  <c r="BQ1250" i="1" s="1"/>
  <c r="BF1250" i="1"/>
  <c r="BE1250" i="1"/>
  <c r="BD1250" i="1"/>
  <c r="BC1250" i="1"/>
  <c r="BB1250" i="1"/>
  <c r="BA1250" i="1"/>
  <c r="BG1250" i="1" s="1" a="1"/>
  <c r="BG1250" i="1" s="1"/>
  <c r="AZ1250" i="1"/>
  <c r="M1250" i="1"/>
  <c r="ER1249" i="1"/>
  <c r="DZ1249" i="1"/>
  <c r="DY1249" i="1"/>
  <c r="DS1249" i="1"/>
  <c r="DR1249" i="1"/>
  <c r="DQ1249" i="1"/>
  <c r="DP1249" i="1"/>
  <c r="DN1249" i="1"/>
  <c r="DO1249" i="1" s="1"/>
  <c r="DH1249" i="1"/>
  <c r="DC1249" i="1"/>
  <c r="CP1249" i="1"/>
  <c r="BX1249" i="1"/>
  <c r="BZ1249" i="1" s="1"/>
  <c r="BP1249" i="1"/>
  <c r="BQ1249" i="1" s="1"/>
  <c r="BO1249" i="1"/>
  <c r="BF1249" i="1"/>
  <c r="BE1249" i="1"/>
  <c r="BD1249" i="1"/>
  <c r="BC1249" i="1"/>
  <c r="BB1249" i="1"/>
  <c r="BA1249" i="1"/>
  <c r="BG1249" i="1" s="1" a="1"/>
  <c r="BG1249" i="1" s="1"/>
  <c r="AZ1249" i="1"/>
  <c r="M1249" i="1"/>
  <c r="ER1248" i="1"/>
  <c r="DZ1248" i="1"/>
  <c r="DY1248" i="1"/>
  <c r="DS1248" i="1"/>
  <c r="DR1248" i="1"/>
  <c r="DQ1248" i="1"/>
  <c r="DP1248" i="1"/>
  <c r="DN1248" i="1"/>
  <c r="DO1248" i="1" s="1"/>
  <c r="DH1248" i="1"/>
  <c r="DC1248" i="1"/>
  <c r="CP1248" i="1"/>
  <c r="CV1248" i="1" s="1"/>
  <c r="BX1248" i="1"/>
  <c r="BZ1248" i="1" s="1"/>
  <c r="BP1248" i="1"/>
  <c r="BQ1248" i="1" s="1"/>
  <c r="BF1248" i="1"/>
  <c r="BE1248" i="1"/>
  <c r="BD1248" i="1"/>
  <c r="BC1248" i="1"/>
  <c r="BB1248" i="1"/>
  <c r="BA1248" i="1"/>
  <c r="BG1248" i="1" s="1" a="1"/>
  <c r="BG1248" i="1" s="1"/>
  <c r="AZ1248" i="1"/>
  <c r="M1248" i="1"/>
  <c r="ER1247" i="1"/>
  <c r="DZ1247" i="1"/>
  <c r="DY1247" i="1"/>
  <c r="DS1247" i="1"/>
  <c r="DR1247" i="1"/>
  <c r="DQ1247" i="1"/>
  <c r="DP1247" i="1"/>
  <c r="DN1247" i="1"/>
  <c r="DO1247" i="1" s="1"/>
  <c r="DH1247" i="1"/>
  <c r="DC1247" i="1"/>
  <c r="CP1247" i="1"/>
  <c r="BX1247" i="1"/>
  <c r="BZ1247" i="1" s="1"/>
  <c r="BW1247" i="1"/>
  <c r="BP1247" i="1"/>
  <c r="BQ1247" i="1" s="1"/>
  <c r="BO1247" i="1"/>
  <c r="BF1247" i="1"/>
  <c r="BE1247" i="1"/>
  <c r="BD1247" i="1"/>
  <c r="BC1247" i="1"/>
  <c r="BB1247" i="1"/>
  <c r="BA1247" i="1"/>
  <c r="BG1247" i="1" s="1" a="1"/>
  <c r="BG1247" i="1" s="1"/>
  <c r="AZ1247" i="1"/>
  <c r="M1247" i="1"/>
  <c r="ER82" i="1"/>
  <c r="DZ82" i="1"/>
  <c r="DY82" i="1"/>
  <c r="DS82" i="1"/>
  <c r="DR82" i="1"/>
  <c r="DQ82" i="1"/>
  <c r="DP82" i="1"/>
  <c r="DN82" i="1"/>
  <c r="DO82" i="1" s="1"/>
  <c r="DH82" i="1"/>
  <c r="DC82" i="1"/>
  <c r="CP82" i="1"/>
  <c r="BX82" i="1"/>
  <c r="BZ82" i="1" s="1"/>
  <c r="BW82" i="1"/>
  <c r="BP82" i="1"/>
  <c r="BQ82" i="1" s="1"/>
  <c r="BF82" i="1"/>
  <c r="BE82" i="1"/>
  <c r="BD82" i="1"/>
  <c r="BC82" i="1"/>
  <c r="BB82" i="1"/>
  <c r="BA82" i="1"/>
  <c r="BG82" i="1" s="1" a="1"/>
  <c r="BG82" i="1" s="1"/>
  <c r="AZ82" i="1"/>
  <c r="M82" i="1"/>
  <c r="ER83" i="1"/>
  <c r="DZ83" i="1"/>
  <c r="DY83" i="1"/>
  <c r="DS83" i="1"/>
  <c r="DR83" i="1"/>
  <c r="DQ83" i="1"/>
  <c r="DP83" i="1"/>
  <c r="DN83" i="1"/>
  <c r="DO83" i="1" s="1"/>
  <c r="DH83" i="1"/>
  <c r="DC83" i="1"/>
  <c r="CP83" i="1"/>
  <c r="BX83" i="1"/>
  <c r="BZ83" i="1" s="1"/>
  <c r="BW83" i="1"/>
  <c r="BP83" i="1"/>
  <c r="BQ83" i="1" s="1"/>
  <c r="BF83" i="1"/>
  <c r="BE83" i="1"/>
  <c r="BD83" i="1"/>
  <c r="BC83" i="1"/>
  <c r="BB83" i="1"/>
  <c r="BA83" i="1"/>
  <c r="BG83" i="1" s="1" a="1"/>
  <c r="BG83" i="1" s="1"/>
  <c r="AZ83" i="1"/>
  <c r="M83" i="1"/>
  <c r="ER34" i="1"/>
  <c r="DS34" i="1"/>
  <c r="DR34" i="1"/>
  <c r="DQ34" i="1"/>
  <c r="DP34" i="1"/>
  <c r="DN34" i="1"/>
  <c r="DO34" i="1" s="1"/>
  <c r="DG34" i="1"/>
  <c r="DH34" i="1" s="1"/>
  <c r="DC34" i="1"/>
  <c r="CP34" i="1"/>
  <c r="BX34" i="1"/>
  <c r="BZ34" i="1" s="1"/>
  <c r="BW34" i="1"/>
  <c r="BP34" i="1"/>
  <c r="BQ34" i="1" s="1"/>
  <c r="BO34" i="1"/>
  <c r="BF34" i="1"/>
  <c r="BE34" i="1"/>
  <c r="BD34" i="1"/>
  <c r="BC34" i="1"/>
  <c r="BB34" i="1"/>
  <c r="BA34" i="1"/>
  <c r="BG34" i="1" s="1" a="1"/>
  <c r="BG34" i="1" s="1"/>
  <c r="AZ34" i="1"/>
  <c r="M34" i="1"/>
  <c r="ER1139" i="1"/>
  <c r="DZ1139" i="1"/>
  <c r="DY1139" i="1"/>
  <c r="DS1139" i="1"/>
  <c r="DR1139" i="1"/>
  <c r="DQ1139" i="1"/>
  <c r="DP1139" i="1"/>
  <c r="DN1139" i="1"/>
  <c r="DO1139" i="1" s="1"/>
  <c r="DH1139" i="1"/>
  <c r="DC1139" i="1"/>
  <c r="CP1139" i="1"/>
  <c r="CQ1139" i="1" s="1"/>
  <c r="BZ1139" i="1"/>
  <c r="BP1139" i="1"/>
  <c r="BQ1139" i="1" s="1"/>
  <c r="BF1139" i="1"/>
  <c r="BE1139" i="1"/>
  <c r="BD1139" i="1"/>
  <c r="BC1139" i="1"/>
  <c r="BB1139" i="1"/>
  <c r="BA1139" i="1"/>
  <c r="BG1139" i="1" s="1" a="1"/>
  <c r="BG1139" i="1" s="1"/>
  <c r="AZ1139" i="1"/>
  <c r="M1139" i="1"/>
  <c r="ER1141" i="1"/>
  <c r="DZ1141" i="1"/>
  <c r="DY1141" i="1"/>
  <c r="DS1141" i="1"/>
  <c r="DR1141" i="1"/>
  <c r="DQ1141" i="1"/>
  <c r="DP1141" i="1"/>
  <c r="DN1141" i="1"/>
  <c r="DO1141" i="1" s="1"/>
  <c r="DH1141" i="1"/>
  <c r="DC1141" i="1"/>
  <c r="CP1141" i="1"/>
  <c r="CU1141" i="1" s="1"/>
  <c r="BZ1141" i="1"/>
  <c r="BP1141" i="1"/>
  <c r="BQ1141" i="1" s="1"/>
  <c r="BF1141" i="1"/>
  <c r="BE1141" i="1"/>
  <c r="BD1141" i="1"/>
  <c r="BC1141" i="1"/>
  <c r="BB1141" i="1"/>
  <c r="BA1141" i="1"/>
  <c r="BG1141" i="1" s="1" a="1"/>
  <c r="BG1141" i="1" s="1"/>
  <c r="AZ1141" i="1"/>
  <c r="M1141" i="1"/>
  <c r="ER1145" i="1"/>
  <c r="DZ1145" i="1"/>
  <c r="DY1145" i="1"/>
  <c r="DS1145" i="1"/>
  <c r="DR1145" i="1"/>
  <c r="DQ1145" i="1"/>
  <c r="DP1145" i="1"/>
  <c r="DN1145" i="1"/>
  <c r="DO1145" i="1" s="1"/>
  <c r="DH1145" i="1"/>
  <c r="DC1145" i="1"/>
  <c r="CP1145" i="1"/>
  <c r="BZ1145" i="1"/>
  <c r="BP1145" i="1"/>
  <c r="BQ1145" i="1" s="1"/>
  <c r="BF1145" i="1"/>
  <c r="BE1145" i="1"/>
  <c r="BD1145" i="1"/>
  <c r="BC1145" i="1"/>
  <c r="BB1145" i="1"/>
  <c r="BA1145" i="1"/>
  <c r="BG1145" i="1" s="1" a="1"/>
  <c r="BG1145" i="1" s="1"/>
  <c r="AZ1145" i="1"/>
  <c r="M1145" i="1"/>
  <c r="ER1116" i="1"/>
  <c r="DZ1116" i="1"/>
  <c r="DY1116" i="1"/>
  <c r="DS1116" i="1"/>
  <c r="DR1116" i="1"/>
  <c r="DQ1116" i="1"/>
  <c r="DP1116" i="1"/>
  <c r="DN1116" i="1"/>
  <c r="DO1116" i="1" s="1"/>
  <c r="DH1116" i="1"/>
  <c r="DC1116" i="1"/>
  <c r="CP1116" i="1"/>
  <c r="BZ1116" i="1"/>
  <c r="BP1116" i="1"/>
  <c r="BQ1116" i="1" s="1"/>
  <c r="BF1116" i="1"/>
  <c r="BE1116" i="1"/>
  <c r="BD1116" i="1"/>
  <c r="BC1116" i="1"/>
  <c r="BB1116" i="1"/>
  <c r="BA1116" i="1"/>
  <c r="BG1116" i="1" s="1" a="1"/>
  <c r="BG1116" i="1" s="1"/>
  <c r="AZ1116" i="1"/>
  <c r="M1116" i="1"/>
  <c r="ER1118" i="1"/>
  <c r="DZ1118" i="1"/>
  <c r="DY1118" i="1"/>
  <c r="DS1118" i="1"/>
  <c r="DR1118" i="1"/>
  <c r="DQ1118" i="1"/>
  <c r="DP1118" i="1"/>
  <c r="DN1118" i="1"/>
  <c r="DO1118" i="1" s="1"/>
  <c r="DH1118" i="1"/>
  <c r="DC1118" i="1"/>
  <c r="CP1118" i="1"/>
  <c r="BZ1118" i="1"/>
  <c r="BP1118" i="1"/>
  <c r="BQ1118" i="1" s="1"/>
  <c r="BF1118" i="1"/>
  <c r="BE1118" i="1"/>
  <c r="BD1118" i="1"/>
  <c r="BC1118" i="1"/>
  <c r="BB1118" i="1"/>
  <c r="BA1118" i="1"/>
  <c r="BG1118" i="1" s="1" a="1"/>
  <c r="BG1118" i="1" s="1"/>
  <c r="AZ1118" i="1"/>
  <c r="M1118" i="1"/>
  <c r="ER1119" i="1"/>
  <c r="DZ1119" i="1"/>
  <c r="DY1119" i="1"/>
  <c r="DS1119" i="1"/>
  <c r="DR1119" i="1"/>
  <c r="DQ1119" i="1"/>
  <c r="DP1119" i="1"/>
  <c r="DN1119" i="1"/>
  <c r="DO1119" i="1" s="1"/>
  <c r="DH1119" i="1"/>
  <c r="DC1119" i="1"/>
  <c r="CP1119" i="1"/>
  <c r="CU1119" i="1" s="1"/>
  <c r="BZ1119" i="1"/>
  <c r="BP1119" i="1"/>
  <c r="BQ1119" i="1" s="1"/>
  <c r="BF1119" i="1"/>
  <c r="BE1119" i="1"/>
  <c r="BD1119" i="1"/>
  <c r="BC1119" i="1"/>
  <c r="BB1119" i="1"/>
  <c r="BA1119" i="1"/>
  <c r="BG1119" i="1" s="1" a="1"/>
  <c r="BG1119" i="1" s="1"/>
  <c r="AZ1119" i="1"/>
  <c r="M1119" i="1"/>
  <c r="ER964" i="1"/>
  <c r="DZ964" i="1"/>
  <c r="DY964" i="1"/>
  <c r="DS964" i="1"/>
  <c r="DR964" i="1"/>
  <c r="DQ964" i="1"/>
  <c r="DP964" i="1"/>
  <c r="DN964" i="1"/>
  <c r="DO964" i="1" s="1"/>
  <c r="DH964" i="1"/>
  <c r="DC964" i="1"/>
  <c r="CP964" i="1"/>
  <c r="BZ964" i="1"/>
  <c r="BP964" i="1"/>
  <c r="BQ964" i="1" s="1"/>
  <c r="BF964" i="1"/>
  <c r="BE964" i="1"/>
  <c r="BD964" i="1"/>
  <c r="BC964" i="1"/>
  <c r="BB964" i="1"/>
  <c r="BA964" i="1"/>
  <c r="BG964" i="1" s="1" a="1"/>
  <c r="BG964" i="1" s="1"/>
  <c r="AZ964" i="1"/>
  <c r="M964" i="1"/>
  <c r="ER995" i="1"/>
  <c r="DZ995" i="1"/>
  <c r="DY995" i="1"/>
  <c r="DS995" i="1"/>
  <c r="DR995" i="1"/>
  <c r="DQ995" i="1"/>
  <c r="DP995" i="1"/>
  <c r="DN995" i="1"/>
  <c r="DO995" i="1" s="1"/>
  <c r="DH995" i="1"/>
  <c r="DC995" i="1"/>
  <c r="CP995" i="1"/>
  <c r="CU995" i="1" s="1"/>
  <c r="BZ995" i="1"/>
  <c r="BP995" i="1"/>
  <c r="BQ995" i="1" s="1"/>
  <c r="BF995" i="1"/>
  <c r="BE995" i="1"/>
  <c r="BD995" i="1"/>
  <c r="BC995" i="1"/>
  <c r="BB995" i="1"/>
  <c r="BA995" i="1"/>
  <c r="BG995" i="1" s="1" a="1"/>
  <c r="BG995" i="1" s="1"/>
  <c r="AZ995" i="1"/>
  <c r="M995" i="1"/>
  <c r="ER1117" i="1"/>
  <c r="DZ1117" i="1"/>
  <c r="DY1117" i="1"/>
  <c r="DS1117" i="1"/>
  <c r="DR1117" i="1"/>
  <c r="DQ1117" i="1"/>
  <c r="DP1117" i="1"/>
  <c r="DN1117" i="1"/>
  <c r="DO1117" i="1" s="1"/>
  <c r="DH1117" i="1"/>
  <c r="DC1117" i="1"/>
  <c r="CP1117" i="1"/>
  <c r="CR1117" i="1" s="1"/>
  <c r="BZ1117" i="1"/>
  <c r="BP1117" i="1"/>
  <c r="BQ1117" i="1" s="1"/>
  <c r="BF1117" i="1"/>
  <c r="BE1117" i="1"/>
  <c r="BD1117" i="1"/>
  <c r="BC1117" i="1"/>
  <c r="BB1117" i="1"/>
  <c r="BA1117" i="1"/>
  <c r="BG1117" i="1" s="1" a="1"/>
  <c r="BG1117" i="1" s="1"/>
  <c r="AZ1117" i="1"/>
  <c r="M1117" i="1"/>
  <c r="ER1123" i="1"/>
  <c r="DZ1123" i="1"/>
  <c r="DY1123" i="1"/>
  <c r="DS1123" i="1"/>
  <c r="DR1123" i="1"/>
  <c r="DQ1123" i="1"/>
  <c r="DP1123" i="1"/>
  <c r="DN1123" i="1"/>
  <c r="DO1123" i="1" s="1"/>
  <c r="DH1123" i="1"/>
  <c r="DC1123" i="1"/>
  <c r="CP1123" i="1"/>
  <c r="CQ1123" i="1" s="1"/>
  <c r="BZ1123" i="1"/>
  <c r="BP1123" i="1"/>
  <c r="BQ1123" i="1" s="1"/>
  <c r="BF1123" i="1"/>
  <c r="BE1123" i="1"/>
  <c r="BD1123" i="1"/>
  <c r="BC1123" i="1"/>
  <c r="BB1123" i="1"/>
  <c r="BA1123" i="1"/>
  <c r="BG1123" i="1" s="1" a="1"/>
  <c r="BG1123" i="1" s="1"/>
  <c r="AZ1123" i="1"/>
  <c r="M1123" i="1"/>
  <c r="ER1126" i="1"/>
  <c r="DZ1126" i="1"/>
  <c r="DY1126" i="1"/>
  <c r="DS1126" i="1"/>
  <c r="DR1126" i="1"/>
  <c r="DQ1126" i="1"/>
  <c r="DP1126" i="1"/>
  <c r="DN1126" i="1"/>
  <c r="DO1126" i="1" s="1"/>
  <c r="DH1126" i="1"/>
  <c r="DC1126" i="1"/>
  <c r="CP1126" i="1"/>
  <c r="BZ1126" i="1"/>
  <c r="BP1126" i="1"/>
  <c r="BQ1126" i="1" s="1"/>
  <c r="BF1126" i="1"/>
  <c r="BE1126" i="1"/>
  <c r="BD1126" i="1"/>
  <c r="BC1126" i="1"/>
  <c r="BB1126" i="1"/>
  <c r="BA1126" i="1"/>
  <c r="BG1126" i="1" s="1" a="1"/>
  <c r="BG1126" i="1" s="1"/>
  <c r="AZ1126" i="1"/>
  <c r="M1126" i="1"/>
  <c r="ER1133" i="1"/>
  <c r="DZ1133" i="1"/>
  <c r="DY1133" i="1"/>
  <c r="DS1133" i="1"/>
  <c r="DR1133" i="1"/>
  <c r="DQ1133" i="1"/>
  <c r="DP1133" i="1"/>
  <c r="DN1133" i="1"/>
  <c r="DO1133" i="1" s="1"/>
  <c r="DH1133" i="1"/>
  <c r="DC1133" i="1"/>
  <c r="CP1133" i="1"/>
  <c r="BZ1133" i="1"/>
  <c r="BP1133" i="1"/>
  <c r="BQ1133" i="1" s="1"/>
  <c r="BF1133" i="1"/>
  <c r="BE1133" i="1"/>
  <c r="BD1133" i="1"/>
  <c r="BC1133" i="1"/>
  <c r="BB1133" i="1"/>
  <c r="BA1133" i="1"/>
  <c r="BG1133" i="1" s="1" a="1"/>
  <c r="BG1133" i="1" s="1"/>
  <c r="AZ1133" i="1"/>
  <c r="M1133" i="1"/>
  <c r="ER1136" i="1"/>
  <c r="DZ1136" i="1"/>
  <c r="DY1136" i="1"/>
  <c r="DS1136" i="1"/>
  <c r="DR1136" i="1"/>
  <c r="DQ1136" i="1"/>
  <c r="DP1136" i="1"/>
  <c r="DN1136" i="1"/>
  <c r="DO1136" i="1" s="1"/>
  <c r="DH1136" i="1"/>
  <c r="DC1136" i="1"/>
  <c r="CP1136" i="1"/>
  <c r="CU1136" i="1" s="1"/>
  <c r="BZ1136" i="1"/>
  <c r="BP1136" i="1"/>
  <c r="BQ1136" i="1" s="1"/>
  <c r="BF1136" i="1"/>
  <c r="BE1136" i="1"/>
  <c r="BD1136" i="1"/>
  <c r="BC1136" i="1"/>
  <c r="BB1136" i="1"/>
  <c r="BA1136" i="1"/>
  <c r="BG1136" i="1" s="1" a="1"/>
  <c r="BG1136" i="1" s="1"/>
  <c r="AZ1136" i="1"/>
  <c r="M1136" i="1"/>
  <c r="ER1258" i="1"/>
  <c r="DZ1258" i="1"/>
  <c r="DY1258" i="1"/>
  <c r="DS1258" i="1"/>
  <c r="DR1258" i="1"/>
  <c r="DQ1258" i="1"/>
  <c r="DP1258" i="1"/>
  <c r="DN1258" i="1"/>
  <c r="DO1258" i="1" s="1"/>
  <c r="DH1258" i="1"/>
  <c r="DC1258" i="1"/>
  <c r="CP1258" i="1"/>
  <c r="BZ1258" i="1"/>
  <c r="BP1258" i="1"/>
  <c r="BQ1258" i="1" s="1"/>
  <c r="BF1258" i="1"/>
  <c r="BE1258" i="1"/>
  <c r="BD1258" i="1"/>
  <c r="BC1258" i="1"/>
  <c r="BB1258" i="1"/>
  <c r="BA1258" i="1"/>
  <c r="BG1258" i="1" s="1" a="1"/>
  <c r="BG1258" i="1" s="1"/>
  <c r="AZ1258" i="1"/>
  <c r="M1258" i="1"/>
  <c r="ER1262" i="1"/>
  <c r="DZ1262" i="1"/>
  <c r="DY1262" i="1"/>
  <c r="DS1262" i="1"/>
  <c r="DR1262" i="1"/>
  <c r="DQ1262" i="1"/>
  <c r="DP1262" i="1"/>
  <c r="DN1262" i="1"/>
  <c r="DO1262" i="1" s="1"/>
  <c r="DH1262" i="1"/>
  <c r="DC1262" i="1"/>
  <c r="CP1262" i="1"/>
  <c r="CV1262" i="1" s="1"/>
  <c r="BZ1262" i="1"/>
  <c r="BP1262" i="1"/>
  <c r="BQ1262" i="1" s="1"/>
  <c r="BF1262" i="1"/>
  <c r="BE1262" i="1"/>
  <c r="BD1262" i="1"/>
  <c r="BC1262" i="1"/>
  <c r="BB1262" i="1"/>
  <c r="BA1262" i="1"/>
  <c r="BG1262" i="1" s="1" a="1"/>
  <c r="BG1262" i="1" s="1"/>
  <c r="AZ1262" i="1"/>
  <c r="M1262" i="1"/>
  <c r="ER1148" i="1"/>
  <c r="DZ1148" i="1"/>
  <c r="DY1148" i="1"/>
  <c r="DS1148" i="1"/>
  <c r="DR1148" i="1"/>
  <c r="DQ1148" i="1"/>
  <c r="DP1148" i="1"/>
  <c r="DN1148" i="1"/>
  <c r="DO1148" i="1" s="1"/>
  <c r="DH1148" i="1"/>
  <c r="DC1148" i="1"/>
  <c r="CP1148" i="1"/>
  <c r="CV1148" i="1" s="1"/>
  <c r="BZ1148" i="1"/>
  <c r="BP1148" i="1"/>
  <c r="BQ1148" i="1" s="1"/>
  <c r="BF1148" i="1"/>
  <c r="BE1148" i="1"/>
  <c r="BD1148" i="1"/>
  <c r="BC1148" i="1"/>
  <c r="BB1148" i="1"/>
  <c r="BA1148" i="1"/>
  <c r="BG1148" i="1" s="1" a="1"/>
  <c r="BG1148" i="1" s="1"/>
  <c r="AZ1148" i="1"/>
  <c r="M1148" i="1"/>
  <c r="ER1256" i="1"/>
  <c r="DZ1256" i="1"/>
  <c r="DY1256" i="1"/>
  <c r="DS1256" i="1"/>
  <c r="DR1256" i="1"/>
  <c r="DQ1256" i="1"/>
  <c r="DP1256" i="1"/>
  <c r="DN1256" i="1"/>
  <c r="DO1256" i="1" s="1"/>
  <c r="DH1256" i="1"/>
  <c r="DC1256" i="1"/>
  <c r="CP1256" i="1"/>
  <c r="CU1256" i="1" s="1"/>
  <c r="BZ1256" i="1"/>
  <c r="BP1256" i="1"/>
  <c r="BQ1256" i="1" s="1"/>
  <c r="BF1256" i="1"/>
  <c r="BE1256" i="1"/>
  <c r="BD1256" i="1"/>
  <c r="BC1256" i="1"/>
  <c r="BB1256" i="1"/>
  <c r="BA1256" i="1"/>
  <c r="BG1256" i="1" s="1" a="1"/>
  <c r="BG1256" i="1" s="1"/>
  <c r="AZ1256" i="1"/>
  <c r="M1256" i="1"/>
  <c r="ER1260" i="1"/>
  <c r="DZ1260" i="1"/>
  <c r="DY1260" i="1"/>
  <c r="DS1260" i="1"/>
  <c r="DR1260" i="1"/>
  <c r="DQ1260" i="1"/>
  <c r="DP1260" i="1"/>
  <c r="DN1260" i="1"/>
  <c r="DO1260" i="1" s="1"/>
  <c r="DH1260" i="1"/>
  <c r="DC1260" i="1"/>
  <c r="CP1260" i="1"/>
  <c r="BZ1260" i="1"/>
  <c r="BP1260" i="1"/>
  <c r="BQ1260" i="1" s="1"/>
  <c r="BF1260" i="1"/>
  <c r="BE1260" i="1"/>
  <c r="BD1260" i="1"/>
  <c r="BC1260" i="1"/>
  <c r="BB1260" i="1"/>
  <c r="BA1260" i="1"/>
  <c r="BG1260" i="1" s="1" a="1"/>
  <c r="BG1260" i="1" s="1"/>
  <c r="AZ1260" i="1"/>
  <c r="M1260" i="1"/>
  <c r="ER913" i="1"/>
  <c r="DZ913" i="1"/>
  <c r="DY913" i="1"/>
  <c r="DS913" i="1"/>
  <c r="DR913" i="1"/>
  <c r="DQ913" i="1"/>
  <c r="DP913" i="1"/>
  <c r="DN913" i="1"/>
  <c r="DO913" i="1" s="1"/>
  <c r="DH913" i="1"/>
  <c r="DC913" i="1"/>
  <c r="CP913" i="1"/>
  <c r="CU913" i="1" s="1"/>
  <c r="BZ913" i="1"/>
  <c r="BP913" i="1"/>
  <c r="BQ913" i="1" s="1"/>
  <c r="BF913" i="1"/>
  <c r="BE913" i="1"/>
  <c r="BD913" i="1"/>
  <c r="BC913" i="1"/>
  <c r="BB913" i="1"/>
  <c r="BA913" i="1"/>
  <c r="BG913" i="1" s="1" a="1"/>
  <c r="BG913" i="1" s="1"/>
  <c r="AZ913" i="1"/>
  <c r="M913" i="1"/>
  <c r="ER914" i="1"/>
  <c r="DZ914" i="1"/>
  <c r="DY914" i="1"/>
  <c r="DS914" i="1"/>
  <c r="DR914" i="1"/>
  <c r="DQ914" i="1"/>
  <c r="DP914" i="1"/>
  <c r="DN914" i="1"/>
  <c r="DO914" i="1" s="1"/>
  <c r="DH914" i="1"/>
  <c r="DC914" i="1"/>
  <c r="CP914" i="1"/>
  <c r="BZ914" i="1"/>
  <c r="BP914" i="1"/>
  <c r="BQ914" i="1" s="1"/>
  <c r="BF914" i="1"/>
  <c r="BE914" i="1"/>
  <c r="BD914" i="1"/>
  <c r="BC914" i="1"/>
  <c r="BB914" i="1"/>
  <c r="BA914" i="1"/>
  <c r="BG914" i="1" s="1" a="1"/>
  <c r="BG914" i="1" s="1"/>
  <c r="AZ914" i="1"/>
  <c r="M914" i="1"/>
  <c r="ER915" i="1"/>
  <c r="DZ915" i="1"/>
  <c r="DY915" i="1"/>
  <c r="DS915" i="1"/>
  <c r="DR915" i="1"/>
  <c r="DQ915" i="1"/>
  <c r="DP915" i="1"/>
  <c r="DN915" i="1"/>
  <c r="DO915" i="1" s="1"/>
  <c r="DH915" i="1"/>
  <c r="DC915" i="1"/>
  <c r="CP915" i="1"/>
  <c r="BZ915" i="1"/>
  <c r="BP915" i="1"/>
  <c r="BQ915" i="1" s="1"/>
  <c r="BF915" i="1"/>
  <c r="BE915" i="1"/>
  <c r="BD915" i="1"/>
  <c r="BC915" i="1"/>
  <c r="BB915" i="1"/>
  <c r="BA915" i="1"/>
  <c r="BG915" i="1" s="1" a="1"/>
  <c r="BG915" i="1" s="1"/>
  <c r="AZ915" i="1"/>
  <c r="M915" i="1"/>
  <c r="ER718" i="1"/>
  <c r="DZ718" i="1"/>
  <c r="DY718" i="1"/>
  <c r="DS718" i="1"/>
  <c r="DR718" i="1"/>
  <c r="DQ718" i="1"/>
  <c r="DP718" i="1"/>
  <c r="DN718" i="1"/>
  <c r="DO718" i="1" s="1"/>
  <c r="DH718" i="1"/>
  <c r="DC718" i="1"/>
  <c r="CP718" i="1"/>
  <c r="BZ718" i="1"/>
  <c r="BP718" i="1"/>
  <c r="BQ718" i="1" s="1"/>
  <c r="BF718" i="1"/>
  <c r="BE718" i="1"/>
  <c r="BD718" i="1"/>
  <c r="BC718" i="1"/>
  <c r="BB718" i="1"/>
  <c r="BA718" i="1"/>
  <c r="BG718" i="1" s="1" a="1"/>
  <c r="BG718" i="1" s="1"/>
  <c r="AZ718" i="1"/>
  <c r="M718" i="1"/>
  <c r="ER719" i="1"/>
  <c r="DZ719" i="1"/>
  <c r="DY719" i="1"/>
  <c r="DS719" i="1"/>
  <c r="DR719" i="1"/>
  <c r="DQ719" i="1"/>
  <c r="DP719" i="1"/>
  <c r="DN719" i="1"/>
  <c r="DO719" i="1" s="1"/>
  <c r="DH719" i="1"/>
  <c r="DC719" i="1"/>
  <c r="CP719" i="1"/>
  <c r="BZ719" i="1"/>
  <c r="BP719" i="1"/>
  <c r="BQ719" i="1" s="1"/>
  <c r="BF719" i="1"/>
  <c r="BE719" i="1"/>
  <c r="BD719" i="1"/>
  <c r="BC719" i="1"/>
  <c r="BB719" i="1"/>
  <c r="BA719" i="1"/>
  <c r="BG719" i="1" s="1" a="1"/>
  <c r="BG719" i="1" s="1"/>
  <c r="AZ719" i="1"/>
  <c r="M719" i="1"/>
  <c r="ER901" i="1"/>
  <c r="DZ901" i="1"/>
  <c r="DY901" i="1"/>
  <c r="DS901" i="1"/>
  <c r="DR901" i="1"/>
  <c r="DQ901" i="1"/>
  <c r="DP901" i="1"/>
  <c r="DN901" i="1"/>
  <c r="DO901" i="1" s="1"/>
  <c r="DH901" i="1"/>
  <c r="DC901" i="1"/>
  <c r="CP901" i="1"/>
  <c r="CU901" i="1" s="1"/>
  <c r="BZ901" i="1"/>
  <c r="BP901" i="1"/>
  <c r="BQ901" i="1" s="1"/>
  <c r="BF901" i="1"/>
  <c r="BE901" i="1"/>
  <c r="BD901" i="1"/>
  <c r="BC901" i="1"/>
  <c r="BB901" i="1"/>
  <c r="BA901" i="1"/>
  <c r="BG901" i="1" s="1" a="1"/>
  <c r="BG901" i="1" s="1"/>
  <c r="AZ901" i="1"/>
  <c r="M901" i="1"/>
  <c r="ER1124" i="1"/>
  <c r="DZ1124" i="1"/>
  <c r="DY1124" i="1"/>
  <c r="DS1124" i="1"/>
  <c r="DR1124" i="1"/>
  <c r="DQ1124" i="1"/>
  <c r="DP1124" i="1"/>
  <c r="DN1124" i="1"/>
  <c r="DO1124" i="1" s="1"/>
  <c r="DH1124" i="1"/>
  <c r="DC1124" i="1"/>
  <c r="CP1124" i="1"/>
  <c r="BZ1124" i="1"/>
  <c r="BP1124" i="1"/>
  <c r="BQ1124" i="1" s="1"/>
  <c r="BF1124" i="1"/>
  <c r="BE1124" i="1"/>
  <c r="BD1124" i="1"/>
  <c r="BC1124" i="1"/>
  <c r="BB1124" i="1"/>
  <c r="BA1124" i="1"/>
  <c r="BG1124" i="1" s="1" a="1"/>
  <c r="BG1124" i="1" s="1"/>
  <c r="AZ1124" i="1"/>
  <c r="M1124" i="1"/>
  <c r="ER1128" i="1"/>
  <c r="DZ1128" i="1"/>
  <c r="DY1128" i="1"/>
  <c r="DS1128" i="1"/>
  <c r="DR1128" i="1"/>
  <c r="DQ1128" i="1"/>
  <c r="DP1128" i="1"/>
  <c r="DN1128" i="1"/>
  <c r="DO1128" i="1" s="1"/>
  <c r="DH1128" i="1"/>
  <c r="DC1128" i="1"/>
  <c r="CP1128" i="1"/>
  <c r="BZ1128" i="1"/>
  <c r="BP1128" i="1"/>
  <c r="BQ1128" i="1" s="1"/>
  <c r="BF1128" i="1"/>
  <c r="BE1128" i="1"/>
  <c r="BD1128" i="1"/>
  <c r="BC1128" i="1"/>
  <c r="BB1128" i="1"/>
  <c r="BA1128" i="1"/>
  <c r="BG1128" i="1" s="1" a="1"/>
  <c r="BG1128" i="1" s="1"/>
  <c r="AZ1128" i="1"/>
  <c r="M1128" i="1"/>
  <c r="ER1134" i="1"/>
  <c r="DZ1134" i="1"/>
  <c r="DY1134" i="1"/>
  <c r="DS1134" i="1"/>
  <c r="DR1134" i="1"/>
  <c r="DQ1134" i="1"/>
  <c r="DP1134" i="1"/>
  <c r="DN1134" i="1"/>
  <c r="DO1134" i="1" s="1"/>
  <c r="DH1134" i="1"/>
  <c r="DC1134" i="1"/>
  <c r="CP1134" i="1"/>
  <c r="CU1134" i="1" s="1"/>
  <c r="BZ1134" i="1"/>
  <c r="BP1134" i="1"/>
  <c r="BQ1134" i="1" s="1"/>
  <c r="BF1134" i="1"/>
  <c r="BE1134" i="1"/>
  <c r="BD1134" i="1"/>
  <c r="BC1134" i="1"/>
  <c r="BB1134" i="1"/>
  <c r="BA1134" i="1"/>
  <c r="BG1134" i="1" s="1" a="1"/>
  <c r="BG1134" i="1" s="1"/>
  <c r="AZ1134" i="1"/>
  <c r="M1134" i="1"/>
  <c r="ER1144" i="1"/>
  <c r="DZ1144" i="1"/>
  <c r="DY1144" i="1"/>
  <c r="DS1144" i="1"/>
  <c r="DR1144" i="1"/>
  <c r="DQ1144" i="1"/>
  <c r="DP1144" i="1"/>
  <c r="DN1144" i="1"/>
  <c r="DO1144" i="1" s="1"/>
  <c r="DH1144" i="1"/>
  <c r="DC1144" i="1"/>
  <c r="CP1144" i="1"/>
  <c r="CV1144" i="1" s="1"/>
  <c r="BZ1144" i="1"/>
  <c r="BP1144" i="1"/>
  <c r="BQ1144" i="1" s="1"/>
  <c r="BF1144" i="1"/>
  <c r="BE1144" i="1"/>
  <c r="BD1144" i="1"/>
  <c r="BC1144" i="1"/>
  <c r="BB1144" i="1"/>
  <c r="BA1144" i="1"/>
  <c r="BG1144" i="1" s="1" a="1"/>
  <c r="BG1144" i="1" s="1"/>
  <c r="AZ1144" i="1"/>
  <c r="M1144" i="1"/>
  <c r="ER1265" i="1"/>
  <c r="DZ1265" i="1"/>
  <c r="DY1265" i="1"/>
  <c r="DS1265" i="1"/>
  <c r="DR1265" i="1"/>
  <c r="DQ1265" i="1"/>
  <c r="DP1265" i="1"/>
  <c r="DN1265" i="1"/>
  <c r="DO1265" i="1" s="1"/>
  <c r="DH1265" i="1"/>
  <c r="DC1265" i="1"/>
  <c r="CP1265" i="1"/>
  <c r="BZ1265" i="1"/>
  <c r="BP1265" i="1"/>
  <c r="BQ1265" i="1" s="1"/>
  <c r="BF1265" i="1"/>
  <c r="BE1265" i="1"/>
  <c r="BD1265" i="1"/>
  <c r="BC1265" i="1"/>
  <c r="BB1265" i="1"/>
  <c r="BA1265" i="1"/>
  <c r="BG1265" i="1" s="1" a="1"/>
  <c r="BG1265" i="1" s="1"/>
  <c r="AZ1265" i="1"/>
  <c r="M1265" i="1"/>
  <c r="ER1268" i="1"/>
  <c r="DZ1268" i="1"/>
  <c r="DY1268" i="1"/>
  <c r="DS1268" i="1"/>
  <c r="DR1268" i="1"/>
  <c r="DQ1268" i="1"/>
  <c r="DP1268" i="1"/>
  <c r="DN1268" i="1"/>
  <c r="DO1268" i="1" s="1"/>
  <c r="DH1268" i="1"/>
  <c r="DC1268" i="1"/>
  <c r="CP1268" i="1"/>
  <c r="CQ1268" i="1" s="1"/>
  <c r="BZ1268" i="1"/>
  <c r="BP1268" i="1"/>
  <c r="BQ1268" i="1" s="1"/>
  <c r="BF1268" i="1"/>
  <c r="BE1268" i="1"/>
  <c r="BD1268" i="1"/>
  <c r="BC1268" i="1"/>
  <c r="BB1268" i="1"/>
  <c r="BA1268" i="1"/>
  <c r="BG1268" i="1" s="1" a="1"/>
  <c r="BG1268" i="1" s="1"/>
  <c r="AZ1268" i="1"/>
  <c r="M1268" i="1"/>
  <c r="ER1086" i="1"/>
  <c r="DZ1086" i="1"/>
  <c r="DY1086" i="1"/>
  <c r="DS1086" i="1"/>
  <c r="DR1086" i="1"/>
  <c r="DQ1086" i="1"/>
  <c r="DP1086" i="1"/>
  <c r="DN1086" i="1"/>
  <c r="DO1086" i="1" s="1"/>
  <c r="DH1086" i="1"/>
  <c r="DC1086" i="1"/>
  <c r="CP1086" i="1"/>
  <c r="CR1086" i="1" s="1"/>
  <c r="BX1086" i="1"/>
  <c r="BZ1086" i="1" s="1"/>
  <c r="BP1086" i="1"/>
  <c r="BQ1086" i="1" s="1"/>
  <c r="BF1086" i="1"/>
  <c r="BE1086" i="1"/>
  <c r="BD1086" i="1"/>
  <c r="BC1086" i="1"/>
  <c r="BB1086" i="1"/>
  <c r="BA1086" i="1"/>
  <c r="BG1086" i="1" s="1" a="1"/>
  <c r="BG1086" i="1" s="1"/>
  <c r="AZ1086" i="1"/>
  <c r="M1086" i="1"/>
  <c r="ER1085" i="1"/>
  <c r="DZ1085" i="1"/>
  <c r="DY1085" i="1"/>
  <c r="DS1085" i="1"/>
  <c r="DR1085" i="1"/>
  <c r="DQ1085" i="1"/>
  <c r="DP1085" i="1"/>
  <c r="DN1085" i="1"/>
  <c r="DO1085" i="1" s="1"/>
  <c r="DH1085" i="1"/>
  <c r="DC1085" i="1"/>
  <c r="CP1085" i="1"/>
  <c r="BX1085" i="1"/>
  <c r="BZ1085" i="1" s="1"/>
  <c r="BP1085" i="1"/>
  <c r="BQ1085" i="1" s="1"/>
  <c r="BF1085" i="1"/>
  <c r="BE1085" i="1"/>
  <c r="BD1085" i="1"/>
  <c r="BC1085" i="1"/>
  <c r="BB1085" i="1"/>
  <c r="BA1085" i="1"/>
  <c r="BG1085" i="1" s="1" a="1"/>
  <c r="BG1085" i="1" s="1"/>
  <c r="AZ1085" i="1"/>
  <c r="M1085" i="1"/>
  <c r="ER1084" i="1"/>
  <c r="DZ1084" i="1"/>
  <c r="DY1084" i="1"/>
  <c r="DS1084" i="1"/>
  <c r="DR1084" i="1"/>
  <c r="DQ1084" i="1"/>
  <c r="DP1084" i="1"/>
  <c r="DN1084" i="1"/>
  <c r="DO1084" i="1" s="1"/>
  <c r="DH1084" i="1"/>
  <c r="DC1084" i="1"/>
  <c r="CP1084" i="1"/>
  <c r="CR1084" i="1" s="1"/>
  <c r="BX1084" i="1"/>
  <c r="BZ1084" i="1" s="1"/>
  <c r="BP1084" i="1"/>
  <c r="BQ1084" i="1" s="1"/>
  <c r="BF1084" i="1"/>
  <c r="BE1084" i="1"/>
  <c r="BD1084" i="1"/>
  <c r="BC1084" i="1"/>
  <c r="BB1084" i="1"/>
  <c r="BA1084" i="1"/>
  <c r="BG1084" i="1" s="1" a="1"/>
  <c r="BG1084" i="1" s="1"/>
  <c r="AZ1084" i="1"/>
  <c r="M1084" i="1"/>
  <c r="ER1083" i="1"/>
  <c r="DZ1083" i="1"/>
  <c r="DY1083" i="1"/>
  <c r="DS1083" i="1"/>
  <c r="DR1083" i="1"/>
  <c r="DQ1083" i="1"/>
  <c r="DP1083" i="1"/>
  <c r="DN1083" i="1"/>
  <c r="DO1083" i="1" s="1"/>
  <c r="DH1083" i="1"/>
  <c r="DC1083" i="1"/>
  <c r="CP1083" i="1"/>
  <c r="BX1083" i="1"/>
  <c r="BZ1083" i="1" s="1"/>
  <c r="BP1083" i="1"/>
  <c r="BQ1083" i="1" s="1"/>
  <c r="BF1083" i="1"/>
  <c r="BE1083" i="1"/>
  <c r="BD1083" i="1"/>
  <c r="BC1083" i="1"/>
  <c r="BB1083" i="1"/>
  <c r="BA1083" i="1"/>
  <c r="BG1083" i="1" s="1" a="1"/>
  <c r="BG1083" i="1" s="1"/>
  <c r="AZ1083" i="1"/>
  <c r="M1083" i="1"/>
  <c r="ER1080" i="1"/>
  <c r="DZ1080" i="1"/>
  <c r="DY1080" i="1"/>
  <c r="DS1080" i="1"/>
  <c r="DR1080" i="1"/>
  <c r="DQ1080" i="1"/>
  <c r="DP1080" i="1"/>
  <c r="DN1080" i="1"/>
  <c r="DO1080" i="1" s="1"/>
  <c r="DH1080" i="1"/>
  <c r="DC1080" i="1"/>
  <c r="CP1080" i="1"/>
  <c r="CR1080" i="1" s="1"/>
  <c r="BX1080" i="1"/>
  <c r="BZ1080" i="1" s="1"/>
  <c r="BP1080" i="1"/>
  <c r="BQ1080" i="1" s="1"/>
  <c r="BF1080" i="1"/>
  <c r="BE1080" i="1"/>
  <c r="BD1080" i="1"/>
  <c r="BC1080" i="1"/>
  <c r="BB1080" i="1"/>
  <c r="BA1080" i="1"/>
  <c r="BG1080" i="1" s="1" a="1"/>
  <c r="BG1080" i="1" s="1"/>
  <c r="AZ1080" i="1"/>
  <c r="M1080" i="1"/>
  <c r="ER1079" i="1"/>
  <c r="DZ1079" i="1"/>
  <c r="DY1079" i="1"/>
  <c r="DS1079" i="1"/>
  <c r="DR1079" i="1"/>
  <c r="DQ1079" i="1"/>
  <c r="DP1079" i="1"/>
  <c r="DN1079" i="1"/>
  <c r="DO1079" i="1" s="1"/>
  <c r="DH1079" i="1"/>
  <c r="DC1079" i="1"/>
  <c r="CP1079" i="1"/>
  <c r="BX1079" i="1"/>
  <c r="BZ1079" i="1" s="1"/>
  <c r="BP1079" i="1"/>
  <c r="BQ1079" i="1" s="1"/>
  <c r="BF1079" i="1"/>
  <c r="BE1079" i="1"/>
  <c r="BD1079" i="1"/>
  <c r="BC1079" i="1"/>
  <c r="BB1079" i="1"/>
  <c r="BA1079" i="1"/>
  <c r="BG1079" i="1" s="1" a="1"/>
  <c r="BG1079" i="1" s="1"/>
  <c r="AZ1079" i="1"/>
  <c r="M1079" i="1"/>
  <c r="ER1074" i="1"/>
  <c r="DZ1074" i="1"/>
  <c r="DY1074" i="1"/>
  <c r="DS1074" i="1"/>
  <c r="DR1074" i="1"/>
  <c r="DQ1074" i="1"/>
  <c r="DP1074" i="1"/>
  <c r="DN1074" i="1"/>
  <c r="DO1074" i="1" s="1"/>
  <c r="DH1074" i="1"/>
  <c r="DC1074" i="1"/>
  <c r="CP1074" i="1"/>
  <c r="CQ1074" i="1" s="1"/>
  <c r="BX1074" i="1"/>
  <c r="BZ1074" i="1" s="1"/>
  <c r="BP1074" i="1"/>
  <c r="BQ1074" i="1" s="1"/>
  <c r="BF1074" i="1"/>
  <c r="BE1074" i="1"/>
  <c r="BD1074" i="1"/>
  <c r="BC1074" i="1"/>
  <c r="BB1074" i="1"/>
  <c r="BA1074" i="1"/>
  <c r="BG1074" i="1" s="1" a="1"/>
  <c r="BG1074" i="1" s="1"/>
  <c r="AZ1074" i="1"/>
  <c r="M1074" i="1"/>
  <c r="ER1071" i="1"/>
  <c r="DZ1071" i="1"/>
  <c r="DY1071" i="1"/>
  <c r="DS1071" i="1"/>
  <c r="DR1071" i="1"/>
  <c r="DQ1071" i="1"/>
  <c r="DP1071" i="1"/>
  <c r="DN1071" i="1"/>
  <c r="DO1071" i="1" s="1"/>
  <c r="DH1071" i="1"/>
  <c r="DC1071" i="1"/>
  <c r="CP1071" i="1"/>
  <c r="BX1071" i="1"/>
  <c r="BZ1071" i="1" s="1"/>
  <c r="BP1071" i="1"/>
  <c r="BQ1071" i="1" s="1"/>
  <c r="BF1071" i="1"/>
  <c r="BE1071" i="1"/>
  <c r="BD1071" i="1"/>
  <c r="BC1071" i="1"/>
  <c r="BB1071" i="1"/>
  <c r="BA1071" i="1"/>
  <c r="BG1071" i="1" s="1" a="1"/>
  <c r="BG1071" i="1" s="1"/>
  <c r="AZ1071" i="1"/>
  <c r="M1071" i="1"/>
  <c r="ER1070" i="1"/>
  <c r="DZ1070" i="1"/>
  <c r="DY1070" i="1"/>
  <c r="DS1070" i="1"/>
  <c r="DR1070" i="1"/>
  <c r="DQ1070" i="1"/>
  <c r="DP1070" i="1"/>
  <c r="DN1070" i="1"/>
  <c r="DO1070" i="1" s="1"/>
  <c r="DH1070" i="1"/>
  <c r="DC1070" i="1"/>
  <c r="CP1070" i="1"/>
  <c r="BX1070" i="1"/>
  <c r="BZ1070" i="1" s="1"/>
  <c r="BP1070" i="1"/>
  <c r="BQ1070" i="1" s="1"/>
  <c r="BF1070" i="1"/>
  <c r="BE1070" i="1"/>
  <c r="BD1070" i="1"/>
  <c r="BC1070" i="1"/>
  <c r="BB1070" i="1"/>
  <c r="BA1070" i="1"/>
  <c r="BG1070" i="1" s="1" a="1"/>
  <c r="BG1070" i="1" s="1"/>
  <c r="AZ1070" i="1"/>
  <c r="M1070" i="1"/>
  <c r="ER1091" i="1"/>
  <c r="DZ1091" i="1"/>
  <c r="DY1091" i="1"/>
  <c r="DS1091" i="1"/>
  <c r="DR1091" i="1"/>
  <c r="DQ1091" i="1"/>
  <c r="DP1091" i="1"/>
  <c r="DN1091" i="1"/>
  <c r="DO1091" i="1" s="1"/>
  <c r="DH1091" i="1"/>
  <c r="DC1091" i="1"/>
  <c r="CP1091" i="1"/>
  <c r="BX1091" i="1"/>
  <c r="BZ1091" i="1" s="1"/>
  <c r="BP1091" i="1"/>
  <c r="BQ1091" i="1" s="1"/>
  <c r="BF1091" i="1"/>
  <c r="BE1091" i="1"/>
  <c r="BD1091" i="1"/>
  <c r="BC1091" i="1"/>
  <c r="BB1091" i="1"/>
  <c r="BA1091" i="1"/>
  <c r="BG1091" i="1" s="1" a="1"/>
  <c r="BG1091" i="1" s="1"/>
  <c r="AZ1091" i="1"/>
  <c r="M1091" i="1"/>
  <c r="ER1088" i="1"/>
  <c r="DZ1088" i="1"/>
  <c r="DY1088" i="1"/>
  <c r="DS1088" i="1"/>
  <c r="DR1088" i="1"/>
  <c r="DQ1088" i="1"/>
  <c r="DP1088" i="1"/>
  <c r="DN1088" i="1"/>
  <c r="DO1088" i="1" s="1"/>
  <c r="DH1088" i="1"/>
  <c r="DC1088" i="1"/>
  <c r="CP1088" i="1"/>
  <c r="CQ1088" i="1" s="1"/>
  <c r="BX1088" i="1"/>
  <c r="BZ1088" i="1" s="1"/>
  <c r="BP1088" i="1"/>
  <c r="BQ1088" i="1" s="1"/>
  <c r="BF1088" i="1"/>
  <c r="BE1088" i="1"/>
  <c r="BD1088" i="1"/>
  <c r="BC1088" i="1"/>
  <c r="BB1088" i="1"/>
  <c r="BA1088" i="1"/>
  <c r="BG1088" i="1" s="1" a="1"/>
  <c r="BG1088" i="1" s="1"/>
  <c r="AZ1088" i="1"/>
  <c r="M1088" i="1"/>
  <c r="ER1087" i="1"/>
  <c r="DZ1087" i="1"/>
  <c r="DY1087" i="1"/>
  <c r="DS1087" i="1"/>
  <c r="DR1087" i="1"/>
  <c r="DQ1087" i="1"/>
  <c r="DP1087" i="1"/>
  <c r="DN1087" i="1"/>
  <c r="DO1087" i="1" s="1"/>
  <c r="DH1087" i="1"/>
  <c r="DC1087" i="1"/>
  <c r="CP1087" i="1"/>
  <c r="BX1087" i="1"/>
  <c r="BZ1087" i="1" s="1"/>
  <c r="BP1087" i="1"/>
  <c r="BQ1087" i="1" s="1"/>
  <c r="BF1087" i="1"/>
  <c r="BE1087" i="1"/>
  <c r="BD1087" i="1"/>
  <c r="BC1087" i="1"/>
  <c r="BB1087" i="1"/>
  <c r="BA1087" i="1"/>
  <c r="BG1087" i="1" s="1" a="1"/>
  <c r="BG1087" i="1" s="1"/>
  <c r="AZ1087" i="1"/>
  <c r="M1087" i="1"/>
  <c r="ER1081" i="1"/>
  <c r="DZ1081" i="1"/>
  <c r="DY1081" i="1"/>
  <c r="DS1081" i="1"/>
  <c r="DR1081" i="1"/>
  <c r="DQ1081" i="1"/>
  <c r="DP1081" i="1"/>
  <c r="DN1081" i="1"/>
  <c r="DO1081" i="1" s="1"/>
  <c r="DH1081" i="1"/>
  <c r="DC1081" i="1"/>
  <c r="CP1081" i="1"/>
  <c r="CR1081" i="1" s="1"/>
  <c r="BX1081" i="1"/>
  <c r="BZ1081" i="1" s="1"/>
  <c r="BP1081" i="1"/>
  <c r="BQ1081" i="1" s="1"/>
  <c r="BF1081" i="1"/>
  <c r="BE1081" i="1"/>
  <c r="BD1081" i="1"/>
  <c r="BC1081" i="1"/>
  <c r="BB1081" i="1"/>
  <c r="BA1081" i="1"/>
  <c r="BG1081" i="1" s="1" a="1"/>
  <c r="BG1081" i="1" s="1"/>
  <c r="AZ1081" i="1"/>
  <c r="M1081" i="1"/>
  <c r="ER1076" i="1"/>
  <c r="DZ1076" i="1"/>
  <c r="DY1076" i="1"/>
  <c r="DS1076" i="1"/>
  <c r="DR1076" i="1"/>
  <c r="DQ1076" i="1"/>
  <c r="DP1076" i="1"/>
  <c r="DN1076" i="1"/>
  <c r="DO1076" i="1" s="1"/>
  <c r="DH1076" i="1"/>
  <c r="DC1076" i="1"/>
  <c r="CP1076" i="1"/>
  <c r="BX1076" i="1"/>
  <c r="BZ1076" i="1" s="1"/>
  <c r="BP1076" i="1"/>
  <c r="BQ1076" i="1" s="1"/>
  <c r="BF1076" i="1"/>
  <c r="BE1076" i="1"/>
  <c r="BD1076" i="1"/>
  <c r="BC1076" i="1"/>
  <c r="BB1076" i="1"/>
  <c r="BA1076" i="1"/>
  <c r="BG1076" i="1" s="1" a="1"/>
  <c r="BG1076" i="1" s="1"/>
  <c r="AZ1076" i="1"/>
  <c r="M1076" i="1"/>
  <c r="ER1075" i="1"/>
  <c r="DZ1075" i="1"/>
  <c r="DY1075" i="1"/>
  <c r="DS1075" i="1"/>
  <c r="DR1075" i="1"/>
  <c r="DQ1075" i="1"/>
  <c r="DP1075" i="1"/>
  <c r="DN1075" i="1"/>
  <c r="DO1075" i="1" s="1"/>
  <c r="DH1075" i="1"/>
  <c r="DC1075" i="1"/>
  <c r="CP1075" i="1"/>
  <c r="BX1075" i="1"/>
  <c r="BZ1075" i="1" s="1"/>
  <c r="BP1075" i="1"/>
  <c r="BQ1075" i="1" s="1"/>
  <c r="BF1075" i="1"/>
  <c r="BE1075" i="1"/>
  <c r="BD1075" i="1"/>
  <c r="BC1075" i="1"/>
  <c r="BB1075" i="1"/>
  <c r="BA1075" i="1"/>
  <c r="BG1075" i="1" s="1" a="1"/>
  <c r="BG1075" i="1" s="1"/>
  <c r="AZ1075" i="1"/>
  <c r="M1075" i="1"/>
  <c r="ER1072" i="1"/>
  <c r="DZ1072" i="1"/>
  <c r="DY1072" i="1"/>
  <c r="DS1072" i="1"/>
  <c r="DR1072" i="1"/>
  <c r="DQ1072" i="1"/>
  <c r="DP1072" i="1"/>
  <c r="DN1072" i="1"/>
  <c r="DO1072" i="1" s="1"/>
  <c r="DH1072" i="1"/>
  <c r="DC1072" i="1"/>
  <c r="CP1072" i="1"/>
  <c r="BX1072" i="1"/>
  <c r="BZ1072" i="1" s="1"/>
  <c r="BP1072" i="1"/>
  <c r="BQ1072" i="1" s="1"/>
  <c r="BF1072" i="1"/>
  <c r="BE1072" i="1"/>
  <c r="BD1072" i="1"/>
  <c r="BC1072" i="1"/>
  <c r="BB1072" i="1"/>
  <c r="BA1072" i="1"/>
  <c r="BG1072" i="1" s="1" a="1"/>
  <c r="BG1072" i="1" s="1"/>
  <c r="AZ1072" i="1"/>
  <c r="M1072" i="1"/>
  <c r="ER1068" i="1"/>
  <c r="DZ1068" i="1"/>
  <c r="DY1068" i="1"/>
  <c r="DS1068" i="1"/>
  <c r="DR1068" i="1"/>
  <c r="DQ1068" i="1"/>
  <c r="DP1068" i="1"/>
  <c r="DN1068" i="1"/>
  <c r="DO1068" i="1" s="1"/>
  <c r="DH1068" i="1"/>
  <c r="DC1068" i="1"/>
  <c r="CP1068" i="1"/>
  <c r="BX1068" i="1"/>
  <c r="BZ1068" i="1" s="1"/>
  <c r="BP1068" i="1"/>
  <c r="BQ1068" i="1" s="1"/>
  <c r="BF1068" i="1"/>
  <c r="BE1068" i="1"/>
  <c r="BD1068" i="1"/>
  <c r="BC1068" i="1"/>
  <c r="BB1068" i="1"/>
  <c r="BA1068" i="1"/>
  <c r="BG1068" i="1" s="1" a="1"/>
  <c r="BG1068" i="1" s="1"/>
  <c r="AZ1068" i="1"/>
  <c r="M1068" i="1"/>
  <c r="ER1066" i="1"/>
  <c r="DZ1066" i="1"/>
  <c r="DY1066" i="1"/>
  <c r="DS1066" i="1"/>
  <c r="DR1066" i="1"/>
  <c r="DQ1066" i="1"/>
  <c r="DP1066" i="1"/>
  <c r="DN1066" i="1"/>
  <c r="DO1066" i="1" s="1"/>
  <c r="DH1066" i="1"/>
  <c r="DC1066" i="1"/>
  <c r="CP1066" i="1"/>
  <c r="BX1066" i="1"/>
  <c r="BZ1066" i="1" s="1"/>
  <c r="BP1066" i="1"/>
  <c r="BQ1066" i="1" s="1"/>
  <c r="BF1066" i="1"/>
  <c r="BE1066" i="1"/>
  <c r="BD1066" i="1"/>
  <c r="BC1066" i="1"/>
  <c r="BB1066" i="1"/>
  <c r="BA1066" i="1"/>
  <c r="BG1066" i="1" s="1" a="1"/>
  <c r="BG1066" i="1" s="1"/>
  <c r="AZ1066" i="1"/>
  <c r="M1066" i="1"/>
  <c r="ER1092" i="1"/>
  <c r="DZ1092" i="1"/>
  <c r="DY1092" i="1"/>
  <c r="DS1092" i="1"/>
  <c r="DR1092" i="1"/>
  <c r="DQ1092" i="1"/>
  <c r="DP1092" i="1"/>
  <c r="DN1092" i="1"/>
  <c r="DO1092" i="1" s="1"/>
  <c r="DH1092" i="1"/>
  <c r="DC1092" i="1"/>
  <c r="CP1092" i="1"/>
  <c r="BX1092" i="1"/>
  <c r="BZ1092" i="1" s="1"/>
  <c r="BP1092" i="1"/>
  <c r="BQ1092" i="1" s="1"/>
  <c r="BF1092" i="1"/>
  <c r="BE1092" i="1"/>
  <c r="BD1092" i="1"/>
  <c r="BC1092" i="1"/>
  <c r="BB1092" i="1"/>
  <c r="BA1092" i="1"/>
  <c r="BG1092" i="1" s="1" a="1"/>
  <c r="BG1092" i="1" s="1"/>
  <c r="AZ1092" i="1"/>
  <c r="M1092" i="1"/>
  <c r="ER1089" i="1"/>
  <c r="DZ1089" i="1"/>
  <c r="DY1089" i="1"/>
  <c r="DS1089" i="1"/>
  <c r="DR1089" i="1"/>
  <c r="DQ1089" i="1"/>
  <c r="DP1089" i="1"/>
  <c r="DN1089" i="1"/>
  <c r="DO1089" i="1" s="1"/>
  <c r="DH1089" i="1"/>
  <c r="DC1089" i="1"/>
  <c r="CP1089" i="1"/>
  <c r="BX1089" i="1"/>
  <c r="BZ1089" i="1" s="1"/>
  <c r="BP1089" i="1"/>
  <c r="BQ1089" i="1" s="1"/>
  <c r="BF1089" i="1"/>
  <c r="BE1089" i="1"/>
  <c r="BD1089" i="1"/>
  <c r="BC1089" i="1"/>
  <c r="BB1089" i="1"/>
  <c r="BA1089" i="1"/>
  <c r="BG1089" i="1" s="1" a="1"/>
  <c r="BG1089" i="1" s="1"/>
  <c r="AZ1089" i="1"/>
  <c r="M1089" i="1"/>
  <c r="ER1090" i="1"/>
  <c r="DZ1090" i="1"/>
  <c r="DY1090" i="1"/>
  <c r="DS1090" i="1"/>
  <c r="DR1090" i="1"/>
  <c r="DQ1090" i="1"/>
  <c r="DP1090" i="1"/>
  <c r="DN1090" i="1"/>
  <c r="DO1090" i="1" s="1"/>
  <c r="DH1090" i="1"/>
  <c r="DC1090" i="1"/>
  <c r="CP1090" i="1"/>
  <c r="BX1090" i="1"/>
  <c r="BZ1090" i="1" s="1"/>
  <c r="BP1090" i="1"/>
  <c r="BQ1090" i="1" s="1"/>
  <c r="BF1090" i="1"/>
  <c r="BE1090" i="1"/>
  <c r="BD1090" i="1"/>
  <c r="BC1090" i="1"/>
  <c r="BB1090" i="1"/>
  <c r="BA1090" i="1"/>
  <c r="BG1090" i="1" s="1" a="1"/>
  <c r="BG1090" i="1" s="1"/>
  <c r="AZ1090" i="1"/>
  <c r="M1090" i="1"/>
  <c r="ER1082" i="1"/>
  <c r="DZ1082" i="1"/>
  <c r="DY1082" i="1"/>
  <c r="DS1082" i="1"/>
  <c r="DR1082" i="1"/>
  <c r="DQ1082" i="1"/>
  <c r="DP1082" i="1"/>
  <c r="DN1082" i="1"/>
  <c r="DO1082" i="1" s="1"/>
  <c r="DH1082" i="1"/>
  <c r="DC1082" i="1"/>
  <c r="CP1082" i="1"/>
  <c r="BX1082" i="1"/>
  <c r="BZ1082" i="1" s="1"/>
  <c r="BP1082" i="1"/>
  <c r="BQ1082" i="1" s="1"/>
  <c r="BF1082" i="1"/>
  <c r="BE1082" i="1"/>
  <c r="BD1082" i="1"/>
  <c r="BC1082" i="1"/>
  <c r="BB1082" i="1"/>
  <c r="BA1082" i="1"/>
  <c r="BG1082" i="1" s="1" a="1"/>
  <c r="BG1082" i="1" s="1"/>
  <c r="AZ1082" i="1"/>
  <c r="M1082" i="1"/>
  <c r="ER1078" i="1"/>
  <c r="DZ1078" i="1"/>
  <c r="DY1078" i="1"/>
  <c r="DS1078" i="1"/>
  <c r="DR1078" i="1"/>
  <c r="DQ1078" i="1"/>
  <c r="DP1078" i="1"/>
  <c r="DN1078" i="1"/>
  <c r="DO1078" i="1" s="1"/>
  <c r="DH1078" i="1"/>
  <c r="DC1078" i="1"/>
  <c r="CP1078" i="1"/>
  <c r="CR1078" i="1" s="1"/>
  <c r="BX1078" i="1"/>
  <c r="BZ1078" i="1" s="1"/>
  <c r="BP1078" i="1"/>
  <c r="BQ1078" i="1" s="1"/>
  <c r="BF1078" i="1"/>
  <c r="BE1078" i="1"/>
  <c r="BD1078" i="1"/>
  <c r="BC1078" i="1"/>
  <c r="BB1078" i="1"/>
  <c r="BA1078" i="1"/>
  <c r="BG1078" i="1" s="1" a="1"/>
  <c r="BG1078" i="1" s="1"/>
  <c r="AZ1078" i="1"/>
  <c r="M1078" i="1"/>
  <c r="ER1077" i="1"/>
  <c r="DZ1077" i="1"/>
  <c r="DY1077" i="1"/>
  <c r="DS1077" i="1"/>
  <c r="DR1077" i="1"/>
  <c r="DQ1077" i="1"/>
  <c r="DP1077" i="1"/>
  <c r="DN1077" i="1"/>
  <c r="DO1077" i="1" s="1"/>
  <c r="DH1077" i="1"/>
  <c r="DC1077" i="1"/>
  <c r="CP1077" i="1"/>
  <c r="BX1077" i="1"/>
  <c r="BZ1077" i="1" s="1"/>
  <c r="BP1077" i="1"/>
  <c r="BQ1077" i="1" s="1"/>
  <c r="BF1077" i="1"/>
  <c r="BE1077" i="1"/>
  <c r="BD1077" i="1"/>
  <c r="BC1077" i="1"/>
  <c r="BB1077" i="1"/>
  <c r="BA1077" i="1"/>
  <c r="BG1077" i="1" s="1" a="1"/>
  <c r="BG1077" i="1" s="1"/>
  <c r="AZ1077" i="1"/>
  <c r="M1077" i="1"/>
  <c r="ER1073" i="1"/>
  <c r="DZ1073" i="1"/>
  <c r="DY1073" i="1"/>
  <c r="DS1073" i="1"/>
  <c r="DR1073" i="1"/>
  <c r="DQ1073" i="1"/>
  <c r="DP1073" i="1"/>
  <c r="DN1073" i="1"/>
  <c r="DO1073" i="1" s="1"/>
  <c r="DH1073" i="1"/>
  <c r="DC1073" i="1"/>
  <c r="CP1073" i="1"/>
  <c r="BX1073" i="1"/>
  <c r="BZ1073" i="1" s="1"/>
  <c r="BP1073" i="1"/>
  <c r="BQ1073" i="1" s="1"/>
  <c r="BF1073" i="1"/>
  <c r="BE1073" i="1"/>
  <c r="BD1073" i="1"/>
  <c r="BC1073" i="1"/>
  <c r="BB1073" i="1"/>
  <c r="BA1073" i="1"/>
  <c r="BG1073" i="1" s="1" a="1"/>
  <c r="BG1073" i="1" s="1"/>
  <c r="AZ1073" i="1"/>
  <c r="M1073" i="1"/>
  <c r="ER1069" i="1"/>
  <c r="DZ1069" i="1"/>
  <c r="DY1069" i="1"/>
  <c r="DS1069" i="1"/>
  <c r="DR1069" i="1"/>
  <c r="DQ1069" i="1"/>
  <c r="DP1069" i="1"/>
  <c r="DN1069" i="1"/>
  <c r="DO1069" i="1" s="1"/>
  <c r="DH1069" i="1"/>
  <c r="DC1069" i="1"/>
  <c r="CP1069" i="1"/>
  <c r="BX1069" i="1"/>
  <c r="BZ1069" i="1" s="1"/>
  <c r="BP1069" i="1"/>
  <c r="BQ1069" i="1" s="1"/>
  <c r="BF1069" i="1"/>
  <c r="BE1069" i="1"/>
  <c r="BD1069" i="1"/>
  <c r="BC1069" i="1"/>
  <c r="BB1069" i="1"/>
  <c r="BA1069" i="1"/>
  <c r="BG1069" i="1" s="1" a="1"/>
  <c r="BG1069" i="1" s="1"/>
  <c r="AZ1069" i="1"/>
  <c r="M1069" i="1"/>
  <c r="ER1067" i="1"/>
  <c r="DZ1067" i="1"/>
  <c r="DY1067" i="1"/>
  <c r="DS1067" i="1"/>
  <c r="DR1067" i="1"/>
  <c r="DQ1067" i="1"/>
  <c r="DP1067" i="1"/>
  <c r="DN1067" i="1"/>
  <c r="DO1067" i="1" s="1"/>
  <c r="DH1067" i="1"/>
  <c r="DC1067" i="1"/>
  <c r="CP1067" i="1"/>
  <c r="CR1067" i="1" s="1"/>
  <c r="BX1067" i="1"/>
  <c r="BZ1067" i="1" s="1"/>
  <c r="BP1067" i="1"/>
  <c r="BQ1067" i="1" s="1"/>
  <c r="BF1067" i="1"/>
  <c r="BE1067" i="1"/>
  <c r="BD1067" i="1"/>
  <c r="BC1067" i="1"/>
  <c r="BB1067" i="1"/>
  <c r="BA1067" i="1"/>
  <c r="BG1067" i="1" s="1" a="1"/>
  <c r="BG1067" i="1" s="1"/>
  <c r="AZ1067" i="1"/>
  <c r="M1067" i="1"/>
  <c r="ER631" i="1"/>
  <c r="DZ631" i="1"/>
  <c r="DY631" i="1"/>
  <c r="DS631" i="1"/>
  <c r="DR631" i="1"/>
  <c r="DQ631" i="1"/>
  <c r="DP631" i="1"/>
  <c r="DN631" i="1"/>
  <c r="DO631" i="1" s="1"/>
  <c r="DH631" i="1"/>
  <c r="DC631" i="1"/>
  <c r="CP631" i="1"/>
  <c r="BX631" i="1"/>
  <c r="BZ631" i="1" s="1"/>
  <c r="BW631" i="1"/>
  <c r="BP631" i="1"/>
  <c r="BQ631" i="1" s="1"/>
  <c r="BF631" i="1"/>
  <c r="BE631" i="1"/>
  <c r="BD631" i="1"/>
  <c r="BC631" i="1"/>
  <c r="BB631" i="1"/>
  <c r="BA631" i="1"/>
  <c r="BG631" i="1" s="1" a="1"/>
  <c r="BG631" i="1" s="1"/>
  <c r="AZ631" i="1"/>
  <c r="M631" i="1"/>
  <c r="ER632" i="1"/>
  <c r="DZ632" i="1"/>
  <c r="DY632" i="1"/>
  <c r="DS632" i="1"/>
  <c r="DR632" i="1"/>
  <c r="DQ632" i="1"/>
  <c r="DP632" i="1"/>
  <c r="DN632" i="1"/>
  <c r="DO632" i="1" s="1"/>
  <c r="DH632" i="1"/>
  <c r="DC632" i="1"/>
  <c r="CP632" i="1"/>
  <c r="CU632" i="1" s="1"/>
  <c r="BX632" i="1"/>
  <c r="BZ632" i="1" s="1"/>
  <c r="BW632" i="1"/>
  <c r="BP632" i="1"/>
  <c r="BQ632" i="1" s="1"/>
  <c r="BF632" i="1"/>
  <c r="BE632" i="1"/>
  <c r="BD632" i="1"/>
  <c r="BC632" i="1"/>
  <c r="BB632" i="1"/>
  <c r="BA632" i="1"/>
  <c r="BG632" i="1" s="1" a="1"/>
  <c r="BG632" i="1" s="1"/>
  <c r="AZ632" i="1"/>
  <c r="M632" i="1"/>
  <c r="ER633" i="1"/>
  <c r="DZ633" i="1"/>
  <c r="DY633" i="1"/>
  <c r="DS633" i="1"/>
  <c r="DR633" i="1"/>
  <c r="DQ633" i="1"/>
  <c r="DP633" i="1"/>
  <c r="DN633" i="1"/>
  <c r="DO633" i="1" s="1"/>
  <c r="DH633" i="1"/>
  <c r="DC633" i="1"/>
  <c r="CP633" i="1"/>
  <c r="BX633" i="1"/>
  <c r="BZ633" i="1" s="1"/>
  <c r="BW633" i="1"/>
  <c r="BP633" i="1"/>
  <c r="BQ633" i="1" s="1"/>
  <c r="BO633" i="1"/>
  <c r="BF633" i="1"/>
  <c r="BE633" i="1"/>
  <c r="BD633" i="1"/>
  <c r="BC633" i="1"/>
  <c r="BB633" i="1"/>
  <c r="BA633" i="1"/>
  <c r="BG633" i="1" s="1" a="1"/>
  <c r="BG633" i="1" s="1"/>
  <c r="AZ633" i="1"/>
  <c r="M633" i="1"/>
  <c r="ER634" i="1"/>
  <c r="DZ634" i="1"/>
  <c r="DY634" i="1"/>
  <c r="DS634" i="1"/>
  <c r="DR634" i="1"/>
  <c r="DQ634" i="1"/>
  <c r="DP634" i="1"/>
  <c r="DN634" i="1"/>
  <c r="DO634" i="1" s="1"/>
  <c r="DH634" i="1"/>
  <c r="DC634" i="1"/>
  <c r="CP634" i="1"/>
  <c r="CU634" i="1" s="1"/>
  <c r="BX634" i="1"/>
  <c r="BZ634" i="1" s="1"/>
  <c r="BW634" i="1"/>
  <c r="BP634" i="1"/>
  <c r="BQ634" i="1" s="1"/>
  <c r="BO634" i="1"/>
  <c r="BF634" i="1"/>
  <c r="BE634" i="1"/>
  <c r="BD634" i="1"/>
  <c r="BC634" i="1"/>
  <c r="BB634" i="1"/>
  <c r="BA634" i="1"/>
  <c r="BG634" i="1" s="1" a="1"/>
  <c r="BG634" i="1" s="1"/>
  <c r="AZ634" i="1"/>
  <c r="M634" i="1"/>
  <c r="ER635" i="1"/>
  <c r="DZ635" i="1"/>
  <c r="DY635" i="1"/>
  <c r="DS635" i="1"/>
  <c r="DR635" i="1"/>
  <c r="DQ635" i="1"/>
  <c r="DP635" i="1"/>
  <c r="DN635" i="1"/>
  <c r="DO635" i="1" s="1"/>
  <c r="DH635" i="1"/>
  <c r="DC635" i="1"/>
  <c r="CP635" i="1"/>
  <c r="BX635" i="1"/>
  <c r="BZ635" i="1" s="1"/>
  <c r="BW635" i="1"/>
  <c r="BP635" i="1"/>
  <c r="BQ635" i="1" s="1"/>
  <c r="BO635" i="1"/>
  <c r="BF635" i="1"/>
  <c r="BE635" i="1"/>
  <c r="BD635" i="1"/>
  <c r="BC635" i="1"/>
  <c r="BB635" i="1"/>
  <c r="BA635" i="1"/>
  <c r="BG635" i="1" s="1" a="1"/>
  <c r="BG635" i="1" s="1"/>
  <c r="AZ635" i="1"/>
  <c r="M635" i="1"/>
  <c r="ER636" i="1"/>
  <c r="DZ636" i="1"/>
  <c r="DY636" i="1"/>
  <c r="DS636" i="1"/>
  <c r="DR636" i="1"/>
  <c r="DQ636" i="1"/>
  <c r="DP636" i="1"/>
  <c r="DN636" i="1"/>
  <c r="DO636" i="1" s="1"/>
  <c r="DH636" i="1"/>
  <c r="DC636" i="1"/>
  <c r="CP636" i="1"/>
  <c r="BX636" i="1"/>
  <c r="BZ636" i="1" s="1"/>
  <c r="BW636" i="1"/>
  <c r="BP636" i="1"/>
  <c r="BQ636" i="1" s="1"/>
  <c r="BO636" i="1"/>
  <c r="BF636" i="1"/>
  <c r="BE636" i="1"/>
  <c r="BD636" i="1"/>
  <c r="BC636" i="1"/>
  <c r="BB636" i="1"/>
  <c r="BA636" i="1"/>
  <c r="BG636" i="1" s="1" a="1"/>
  <c r="BG636" i="1" s="1"/>
  <c r="AZ636" i="1"/>
  <c r="M636" i="1"/>
  <c r="ER637" i="1"/>
  <c r="DZ637" i="1"/>
  <c r="DY637" i="1"/>
  <c r="DS637" i="1"/>
  <c r="DR637" i="1"/>
  <c r="DQ637" i="1"/>
  <c r="DP637" i="1"/>
  <c r="DN637" i="1"/>
  <c r="DO637" i="1" s="1"/>
  <c r="DH637" i="1"/>
  <c r="DC637" i="1"/>
  <c r="CP637" i="1"/>
  <c r="BX637" i="1"/>
  <c r="BZ637" i="1" s="1"/>
  <c r="BW637" i="1"/>
  <c r="BP637" i="1"/>
  <c r="BQ637" i="1" s="1"/>
  <c r="BO637" i="1"/>
  <c r="BF637" i="1"/>
  <c r="BE637" i="1"/>
  <c r="BD637" i="1"/>
  <c r="BC637" i="1"/>
  <c r="BB637" i="1"/>
  <c r="BA637" i="1"/>
  <c r="BG637" i="1" s="1" a="1"/>
  <c r="BG637" i="1" s="1"/>
  <c r="AZ637" i="1"/>
  <c r="M637" i="1"/>
  <c r="ER638" i="1"/>
  <c r="DZ638" i="1"/>
  <c r="DY638" i="1"/>
  <c r="DS638" i="1"/>
  <c r="DR638" i="1"/>
  <c r="DQ638" i="1"/>
  <c r="DP638" i="1"/>
  <c r="DN638" i="1"/>
  <c r="DO638" i="1" s="1"/>
  <c r="DH638" i="1"/>
  <c r="DC638" i="1"/>
  <c r="CP638" i="1"/>
  <c r="CU638" i="1" s="1"/>
  <c r="BX638" i="1"/>
  <c r="BZ638" i="1" s="1"/>
  <c r="BW638" i="1"/>
  <c r="BP638" i="1"/>
  <c r="BQ638" i="1" s="1"/>
  <c r="BO638" i="1"/>
  <c r="BF638" i="1"/>
  <c r="BE638" i="1"/>
  <c r="BD638" i="1"/>
  <c r="BC638" i="1"/>
  <c r="BB638" i="1"/>
  <c r="BA638" i="1"/>
  <c r="BG638" i="1" s="1" a="1"/>
  <c r="BG638" i="1" s="1"/>
  <c r="AZ638" i="1"/>
  <c r="M638" i="1"/>
  <c r="ER639" i="1"/>
  <c r="DZ639" i="1"/>
  <c r="DY639" i="1"/>
  <c r="DS639" i="1"/>
  <c r="DR639" i="1"/>
  <c r="DQ639" i="1"/>
  <c r="DP639" i="1"/>
  <c r="DN639" i="1"/>
  <c r="DO639" i="1" s="1"/>
  <c r="DH639" i="1"/>
  <c r="DC639" i="1"/>
  <c r="CP639" i="1"/>
  <c r="BX639" i="1"/>
  <c r="BZ639" i="1" s="1"/>
  <c r="BW639" i="1"/>
  <c r="BP639" i="1"/>
  <c r="BQ639" i="1" s="1"/>
  <c r="BO639" i="1"/>
  <c r="BF639" i="1"/>
  <c r="BE639" i="1"/>
  <c r="BD639" i="1"/>
  <c r="BC639" i="1"/>
  <c r="BB639" i="1"/>
  <c r="BA639" i="1"/>
  <c r="BG639" i="1" s="1" a="1"/>
  <c r="BG639" i="1" s="1"/>
  <c r="AZ639" i="1"/>
  <c r="M639" i="1"/>
  <c r="ER640" i="1"/>
  <c r="DZ640" i="1"/>
  <c r="DY640" i="1"/>
  <c r="DS640" i="1"/>
  <c r="DR640" i="1"/>
  <c r="DQ640" i="1"/>
  <c r="DP640" i="1"/>
  <c r="DN640" i="1"/>
  <c r="DO640" i="1" s="1"/>
  <c r="DH640" i="1"/>
  <c r="DC640" i="1"/>
  <c r="CP640" i="1"/>
  <c r="CV640" i="1" s="1"/>
  <c r="BX640" i="1"/>
  <c r="BZ640" i="1" s="1"/>
  <c r="BW640" i="1"/>
  <c r="BP640" i="1"/>
  <c r="BQ640" i="1" s="1"/>
  <c r="BO640" i="1"/>
  <c r="BF640" i="1"/>
  <c r="BE640" i="1"/>
  <c r="BD640" i="1"/>
  <c r="BC640" i="1"/>
  <c r="BB640" i="1"/>
  <c r="BA640" i="1"/>
  <c r="BG640" i="1" s="1" a="1"/>
  <c r="BG640" i="1" s="1"/>
  <c r="AZ640" i="1"/>
  <c r="M640" i="1"/>
  <c r="ER1551" i="1"/>
  <c r="DZ1551" i="1"/>
  <c r="DY1551" i="1"/>
  <c r="DS1551" i="1"/>
  <c r="DR1551" i="1"/>
  <c r="DQ1551" i="1"/>
  <c r="DP1551" i="1"/>
  <c r="DN1551" i="1"/>
  <c r="DO1551" i="1" s="1"/>
  <c r="DH1551" i="1"/>
  <c r="DC1551" i="1"/>
  <c r="CP1551" i="1"/>
  <c r="CU1551" i="1" s="1"/>
  <c r="BX1551" i="1"/>
  <c r="BZ1551" i="1" s="1"/>
  <c r="BW1551" i="1"/>
  <c r="BP1551" i="1"/>
  <c r="BQ1551" i="1" s="1"/>
  <c r="BF1551" i="1"/>
  <c r="BE1551" i="1"/>
  <c r="BD1551" i="1"/>
  <c r="BC1551" i="1"/>
  <c r="BB1551" i="1"/>
  <c r="BA1551" i="1"/>
  <c r="BG1551" i="1" s="1" a="1"/>
  <c r="BG1551" i="1" s="1"/>
  <c r="AZ1551" i="1"/>
  <c r="M1551" i="1"/>
  <c r="ER1552" i="1"/>
  <c r="DZ1552" i="1"/>
  <c r="DY1552" i="1"/>
  <c r="DS1552" i="1"/>
  <c r="DR1552" i="1"/>
  <c r="DQ1552" i="1"/>
  <c r="DP1552" i="1"/>
  <c r="DN1552" i="1"/>
  <c r="DO1552" i="1" s="1"/>
  <c r="DH1552" i="1"/>
  <c r="DC1552" i="1"/>
  <c r="CP1552" i="1"/>
  <c r="CV1552" i="1" s="1"/>
  <c r="BX1552" i="1"/>
  <c r="BZ1552" i="1" s="1"/>
  <c r="BW1552" i="1"/>
  <c r="BP1552" i="1"/>
  <c r="BQ1552" i="1" s="1"/>
  <c r="BO1552" i="1"/>
  <c r="BF1552" i="1"/>
  <c r="BE1552" i="1"/>
  <c r="BD1552" i="1"/>
  <c r="BC1552" i="1"/>
  <c r="BB1552" i="1"/>
  <c r="BA1552" i="1"/>
  <c r="BG1552" i="1" s="1" a="1"/>
  <c r="BG1552" i="1" s="1"/>
  <c r="AZ1552" i="1"/>
  <c r="M1552" i="1"/>
  <c r="ER1553" i="1"/>
  <c r="DZ1553" i="1"/>
  <c r="DY1553" i="1"/>
  <c r="DS1553" i="1"/>
  <c r="DR1553" i="1"/>
  <c r="DQ1553" i="1"/>
  <c r="DP1553" i="1"/>
  <c r="DN1553" i="1"/>
  <c r="DO1553" i="1" s="1"/>
  <c r="DH1553" i="1"/>
  <c r="DC1553" i="1"/>
  <c r="CP1553" i="1"/>
  <c r="CQ1553" i="1" s="1"/>
  <c r="BX1553" i="1"/>
  <c r="BZ1553" i="1" s="1"/>
  <c r="BW1553" i="1"/>
  <c r="BP1553" i="1"/>
  <c r="BQ1553" i="1" s="1"/>
  <c r="BO1553" i="1"/>
  <c r="BF1553" i="1"/>
  <c r="BE1553" i="1"/>
  <c r="BD1553" i="1"/>
  <c r="BC1553" i="1"/>
  <c r="BB1553" i="1"/>
  <c r="BA1553" i="1"/>
  <c r="BG1553" i="1" s="1" a="1"/>
  <c r="BG1553" i="1" s="1"/>
  <c r="AZ1553" i="1"/>
  <c r="M1553" i="1"/>
  <c r="ER1554" i="1"/>
  <c r="DZ1554" i="1"/>
  <c r="DY1554" i="1"/>
  <c r="DS1554" i="1"/>
  <c r="DR1554" i="1"/>
  <c r="DQ1554" i="1"/>
  <c r="DP1554" i="1"/>
  <c r="DN1554" i="1"/>
  <c r="DO1554" i="1" s="1"/>
  <c r="DH1554" i="1"/>
  <c r="DC1554" i="1"/>
  <c r="CP1554" i="1"/>
  <c r="CR1554" i="1" s="1"/>
  <c r="BX1554" i="1"/>
  <c r="BZ1554" i="1" s="1"/>
  <c r="BW1554" i="1"/>
  <c r="BP1554" i="1"/>
  <c r="BQ1554" i="1" s="1"/>
  <c r="BO1554" i="1"/>
  <c r="BF1554" i="1"/>
  <c r="BE1554" i="1"/>
  <c r="BD1554" i="1"/>
  <c r="BC1554" i="1"/>
  <c r="BB1554" i="1"/>
  <c r="BA1554" i="1"/>
  <c r="BG1554" i="1" s="1" a="1"/>
  <c r="BG1554" i="1" s="1"/>
  <c r="AZ1554" i="1"/>
  <c r="M1554" i="1"/>
  <c r="ER1532" i="1"/>
  <c r="DZ1532" i="1"/>
  <c r="DY1532" i="1"/>
  <c r="DS1532" i="1"/>
  <c r="DR1532" i="1"/>
  <c r="DQ1532" i="1"/>
  <c r="DP1532" i="1"/>
  <c r="DN1532" i="1"/>
  <c r="DO1532" i="1" s="1"/>
  <c r="DH1532" i="1"/>
  <c r="DC1532" i="1"/>
  <c r="CP1532" i="1"/>
  <c r="CR1532" i="1" s="1"/>
  <c r="BX1532" i="1"/>
  <c r="BZ1532" i="1" s="1"/>
  <c r="BW1532" i="1"/>
  <c r="BP1532" i="1"/>
  <c r="BQ1532" i="1" s="1"/>
  <c r="BF1532" i="1"/>
  <c r="BE1532" i="1"/>
  <c r="BD1532" i="1"/>
  <c r="BC1532" i="1"/>
  <c r="BB1532" i="1"/>
  <c r="BA1532" i="1"/>
  <c r="BG1532" i="1" s="1" a="1"/>
  <c r="BG1532" i="1" s="1"/>
  <c r="AZ1532" i="1"/>
  <c r="M1532" i="1"/>
  <c r="ER1531" i="1"/>
  <c r="DZ1531" i="1"/>
  <c r="DY1531" i="1"/>
  <c r="DS1531" i="1"/>
  <c r="DR1531" i="1"/>
  <c r="DQ1531" i="1"/>
  <c r="DP1531" i="1"/>
  <c r="DN1531" i="1"/>
  <c r="DO1531" i="1" s="1"/>
  <c r="DH1531" i="1"/>
  <c r="DC1531" i="1"/>
  <c r="CP1531" i="1"/>
  <c r="BX1531" i="1"/>
  <c r="BZ1531" i="1" s="1"/>
  <c r="BW1531" i="1"/>
  <c r="BP1531" i="1"/>
  <c r="BQ1531" i="1" s="1"/>
  <c r="BF1531" i="1"/>
  <c r="BE1531" i="1"/>
  <c r="BD1531" i="1"/>
  <c r="BC1531" i="1"/>
  <c r="BB1531" i="1"/>
  <c r="BA1531" i="1"/>
  <c r="BG1531" i="1" s="1" a="1"/>
  <c r="BG1531" i="1" s="1"/>
  <c r="AZ1531" i="1"/>
  <c r="M1531" i="1"/>
  <c r="ER1530" i="1"/>
  <c r="DZ1530" i="1"/>
  <c r="DY1530" i="1"/>
  <c r="DS1530" i="1"/>
  <c r="DR1530" i="1"/>
  <c r="DQ1530" i="1"/>
  <c r="DP1530" i="1"/>
  <c r="DN1530" i="1"/>
  <c r="DO1530" i="1" s="1"/>
  <c r="DH1530" i="1"/>
  <c r="DC1530" i="1"/>
  <c r="CP1530" i="1"/>
  <c r="CQ1530" i="1" s="1"/>
  <c r="BX1530" i="1"/>
  <c r="BZ1530" i="1" s="1"/>
  <c r="BW1530" i="1"/>
  <c r="BP1530" i="1"/>
  <c r="BQ1530" i="1" s="1"/>
  <c r="BF1530" i="1"/>
  <c r="BE1530" i="1"/>
  <c r="BD1530" i="1"/>
  <c r="BC1530" i="1"/>
  <c r="BB1530" i="1"/>
  <c r="BA1530" i="1"/>
  <c r="BG1530" i="1" s="1" a="1"/>
  <c r="BG1530" i="1" s="1"/>
  <c r="AZ1530" i="1"/>
  <c r="M1530" i="1"/>
  <c r="ER1529" i="1"/>
  <c r="DZ1529" i="1"/>
  <c r="DY1529" i="1"/>
  <c r="DS1529" i="1"/>
  <c r="DR1529" i="1"/>
  <c r="DQ1529" i="1"/>
  <c r="DP1529" i="1"/>
  <c r="DN1529" i="1"/>
  <c r="DO1529" i="1" s="1"/>
  <c r="DH1529" i="1"/>
  <c r="DC1529" i="1"/>
  <c r="CP1529" i="1"/>
  <c r="CQ1529" i="1" s="1"/>
  <c r="BX1529" i="1"/>
  <c r="BZ1529" i="1" s="1"/>
  <c r="BW1529" i="1"/>
  <c r="BP1529" i="1"/>
  <c r="BQ1529" i="1" s="1"/>
  <c r="BF1529" i="1"/>
  <c r="BE1529" i="1"/>
  <c r="BD1529" i="1"/>
  <c r="BC1529" i="1"/>
  <c r="BB1529" i="1"/>
  <c r="BA1529" i="1"/>
  <c r="BG1529" i="1" s="1" a="1"/>
  <c r="BG1529" i="1" s="1"/>
  <c r="AZ1529" i="1"/>
  <c r="M1529" i="1"/>
  <c r="ER1528" i="1"/>
  <c r="DZ1528" i="1"/>
  <c r="DY1528" i="1"/>
  <c r="DS1528" i="1"/>
  <c r="DR1528" i="1"/>
  <c r="DQ1528" i="1"/>
  <c r="DP1528" i="1"/>
  <c r="DN1528" i="1"/>
  <c r="DO1528" i="1" s="1"/>
  <c r="DH1528" i="1"/>
  <c r="DC1528" i="1"/>
  <c r="CP1528" i="1"/>
  <c r="BX1528" i="1"/>
  <c r="BZ1528" i="1" s="1"/>
  <c r="BW1528" i="1"/>
  <c r="BP1528" i="1"/>
  <c r="BQ1528" i="1" s="1"/>
  <c r="BF1528" i="1"/>
  <c r="BE1528" i="1"/>
  <c r="BD1528" i="1"/>
  <c r="BC1528" i="1"/>
  <c r="BB1528" i="1"/>
  <c r="BA1528" i="1"/>
  <c r="BG1528" i="1" s="1" a="1"/>
  <c r="BG1528" i="1" s="1"/>
  <c r="AZ1528" i="1"/>
  <c r="M1528" i="1"/>
  <c r="ER1527" i="1"/>
  <c r="DZ1527" i="1"/>
  <c r="DY1527" i="1"/>
  <c r="DS1527" i="1"/>
  <c r="DR1527" i="1"/>
  <c r="DQ1527" i="1"/>
  <c r="DP1527" i="1"/>
  <c r="DN1527" i="1"/>
  <c r="DO1527" i="1" s="1"/>
  <c r="DH1527" i="1"/>
  <c r="DC1527" i="1"/>
  <c r="CP1527" i="1"/>
  <c r="CV1527" i="1" s="1"/>
  <c r="BX1527" i="1"/>
  <c r="BZ1527" i="1" s="1"/>
  <c r="BW1527" i="1"/>
  <c r="BP1527" i="1"/>
  <c r="BQ1527" i="1" s="1"/>
  <c r="BF1527" i="1"/>
  <c r="BE1527" i="1"/>
  <c r="BD1527" i="1"/>
  <c r="BC1527" i="1"/>
  <c r="BB1527" i="1"/>
  <c r="BA1527" i="1"/>
  <c r="BG1527" i="1" s="1" a="1"/>
  <c r="BG1527" i="1" s="1"/>
  <c r="AZ1527" i="1"/>
  <c r="M1527" i="1"/>
  <c r="ER1526" i="1"/>
  <c r="DZ1526" i="1"/>
  <c r="DY1526" i="1"/>
  <c r="DS1526" i="1"/>
  <c r="DR1526" i="1"/>
  <c r="DQ1526" i="1"/>
  <c r="DP1526" i="1"/>
  <c r="DN1526" i="1"/>
  <c r="DO1526" i="1" s="1"/>
  <c r="DH1526" i="1"/>
  <c r="DC1526" i="1"/>
  <c r="CP1526" i="1"/>
  <c r="CQ1526" i="1" s="1"/>
  <c r="BX1526" i="1"/>
  <c r="BZ1526" i="1" s="1"/>
  <c r="BW1526" i="1"/>
  <c r="BP1526" i="1"/>
  <c r="BQ1526" i="1" s="1"/>
  <c r="BF1526" i="1"/>
  <c r="BE1526" i="1"/>
  <c r="BD1526" i="1"/>
  <c r="BC1526" i="1"/>
  <c r="BB1526" i="1"/>
  <c r="BA1526" i="1"/>
  <c r="BG1526" i="1" s="1" a="1"/>
  <c r="BG1526" i="1" s="1"/>
  <c r="AZ1526" i="1"/>
  <c r="M1526" i="1"/>
  <c r="ER1525" i="1"/>
  <c r="DZ1525" i="1"/>
  <c r="DY1525" i="1"/>
  <c r="DS1525" i="1"/>
  <c r="DR1525" i="1"/>
  <c r="DQ1525" i="1"/>
  <c r="DP1525" i="1"/>
  <c r="DN1525" i="1"/>
  <c r="DO1525" i="1" s="1"/>
  <c r="DH1525" i="1"/>
  <c r="DC1525" i="1"/>
  <c r="CP1525" i="1"/>
  <c r="BX1525" i="1"/>
  <c r="BZ1525" i="1" s="1"/>
  <c r="BW1525" i="1"/>
  <c r="BP1525" i="1"/>
  <c r="BQ1525" i="1" s="1"/>
  <c r="BF1525" i="1"/>
  <c r="BE1525" i="1"/>
  <c r="BD1525" i="1"/>
  <c r="BC1525" i="1"/>
  <c r="BB1525" i="1"/>
  <c r="BA1525" i="1"/>
  <c r="BG1525" i="1" s="1" a="1"/>
  <c r="BG1525" i="1" s="1"/>
  <c r="AZ1525" i="1"/>
  <c r="M1525" i="1"/>
  <c r="ER1524" i="1"/>
  <c r="DZ1524" i="1"/>
  <c r="DY1524" i="1"/>
  <c r="DS1524" i="1"/>
  <c r="DR1524" i="1"/>
  <c r="DQ1524" i="1"/>
  <c r="DP1524" i="1"/>
  <c r="DN1524" i="1"/>
  <c r="DO1524" i="1" s="1"/>
  <c r="DH1524" i="1"/>
  <c r="DC1524" i="1"/>
  <c r="CP1524" i="1"/>
  <c r="CQ1524" i="1" s="1"/>
  <c r="BX1524" i="1"/>
  <c r="BZ1524" i="1" s="1"/>
  <c r="BW1524" i="1"/>
  <c r="BP1524" i="1"/>
  <c r="BQ1524" i="1" s="1"/>
  <c r="BF1524" i="1"/>
  <c r="BE1524" i="1"/>
  <c r="BD1524" i="1"/>
  <c r="BC1524" i="1"/>
  <c r="BB1524" i="1"/>
  <c r="BA1524" i="1"/>
  <c r="BG1524" i="1" s="1" a="1"/>
  <c r="BG1524" i="1" s="1"/>
  <c r="AZ1524" i="1"/>
  <c r="M1524" i="1"/>
  <c r="ER1523" i="1"/>
  <c r="DZ1523" i="1"/>
  <c r="DY1523" i="1"/>
  <c r="DS1523" i="1"/>
  <c r="DR1523" i="1"/>
  <c r="DQ1523" i="1"/>
  <c r="DP1523" i="1"/>
  <c r="DN1523" i="1"/>
  <c r="DO1523" i="1" s="1"/>
  <c r="DH1523" i="1"/>
  <c r="DC1523" i="1"/>
  <c r="CP1523" i="1"/>
  <c r="BX1523" i="1"/>
  <c r="BZ1523" i="1" s="1"/>
  <c r="BW1523" i="1"/>
  <c r="BP1523" i="1"/>
  <c r="BQ1523" i="1" s="1"/>
  <c r="BF1523" i="1"/>
  <c r="BE1523" i="1"/>
  <c r="BD1523" i="1"/>
  <c r="BC1523" i="1"/>
  <c r="BB1523" i="1"/>
  <c r="BA1523" i="1"/>
  <c r="BG1523" i="1" s="1" a="1"/>
  <c r="BG1523" i="1" s="1"/>
  <c r="AZ1523" i="1"/>
  <c r="M1523" i="1"/>
  <c r="ER1522" i="1"/>
  <c r="DZ1522" i="1"/>
  <c r="DY1522" i="1"/>
  <c r="DS1522" i="1"/>
  <c r="DR1522" i="1"/>
  <c r="DQ1522" i="1"/>
  <c r="DP1522" i="1"/>
  <c r="DN1522" i="1"/>
  <c r="DO1522" i="1" s="1"/>
  <c r="DH1522" i="1"/>
  <c r="DC1522" i="1"/>
  <c r="CP1522" i="1"/>
  <c r="CV1522" i="1" s="1"/>
  <c r="BX1522" i="1"/>
  <c r="BZ1522" i="1" s="1"/>
  <c r="BW1522" i="1"/>
  <c r="BP1522" i="1"/>
  <c r="BQ1522" i="1" s="1"/>
  <c r="BF1522" i="1"/>
  <c r="BE1522" i="1"/>
  <c r="BD1522" i="1"/>
  <c r="BC1522" i="1"/>
  <c r="BB1522" i="1"/>
  <c r="BA1522" i="1"/>
  <c r="BG1522" i="1" s="1" a="1"/>
  <c r="BG1522" i="1" s="1"/>
  <c r="AZ1522" i="1"/>
  <c r="M1522" i="1"/>
  <c r="ER1521" i="1"/>
  <c r="DZ1521" i="1"/>
  <c r="DY1521" i="1"/>
  <c r="DS1521" i="1"/>
  <c r="DR1521" i="1"/>
  <c r="DQ1521" i="1"/>
  <c r="DP1521" i="1"/>
  <c r="DN1521" i="1"/>
  <c r="DO1521" i="1" s="1"/>
  <c r="DH1521" i="1"/>
  <c r="DC1521" i="1"/>
  <c r="CP1521" i="1"/>
  <c r="BX1521" i="1"/>
  <c r="BZ1521" i="1" s="1"/>
  <c r="BW1521" i="1"/>
  <c r="BP1521" i="1"/>
  <c r="BQ1521" i="1" s="1"/>
  <c r="BF1521" i="1"/>
  <c r="BE1521" i="1"/>
  <c r="BD1521" i="1"/>
  <c r="BC1521" i="1"/>
  <c r="BB1521" i="1"/>
  <c r="BA1521" i="1"/>
  <c r="BG1521" i="1" s="1" a="1"/>
  <c r="BG1521" i="1" s="1"/>
  <c r="AZ1521" i="1"/>
  <c r="M1521" i="1"/>
  <c r="ER1520" i="1"/>
  <c r="DZ1520" i="1"/>
  <c r="DY1520" i="1"/>
  <c r="DS1520" i="1"/>
  <c r="DR1520" i="1"/>
  <c r="DQ1520" i="1"/>
  <c r="DP1520" i="1"/>
  <c r="DN1520" i="1"/>
  <c r="DO1520" i="1" s="1"/>
  <c r="DH1520" i="1"/>
  <c r="DC1520" i="1"/>
  <c r="CP1520" i="1"/>
  <c r="CU1520" i="1" s="1"/>
  <c r="BX1520" i="1"/>
  <c r="BZ1520" i="1" s="1"/>
  <c r="BW1520" i="1"/>
  <c r="BP1520" i="1"/>
  <c r="BQ1520" i="1" s="1"/>
  <c r="BF1520" i="1"/>
  <c r="BE1520" i="1"/>
  <c r="BD1520" i="1"/>
  <c r="BC1520" i="1"/>
  <c r="BB1520" i="1"/>
  <c r="BA1520" i="1"/>
  <c r="BG1520" i="1" s="1" a="1"/>
  <c r="BG1520" i="1" s="1"/>
  <c r="AZ1520" i="1"/>
  <c r="M1520" i="1"/>
  <c r="ER1519" i="1"/>
  <c r="DZ1519" i="1"/>
  <c r="DY1519" i="1"/>
  <c r="DS1519" i="1"/>
  <c r="DR1519" i="1"/>
  <c r="DQ1519" i="1"/>
  <c r="DP1519" i="1"/>
  <c r="DN1519" i="1"/>
  <c r="DO1519" i="1" s="1"/>
  <c r="DH1519" i="1"/>
  <c r="DC1519" i="1"/>
  <c r="CP1519" i="1"/>
  <c r="CU1519" i="1" s="1"/>
  <c r="BX1519" i="1"/>
  <c r="BZ1519" i="1" s="1"/>
  <c r="BW1519" i="1"/>
  <c r="BP1519" i="1"/>
  <c r="BQ1519" i="1" s="1"/>
  <c r="BF1519" i="1"/>
  <c r="BE1519" i="1"/>
  <c r="BD1519" i="1"/>
  <c r="BC1519" i="1"/>
  <c r="BB1519" i="1"/>
  <c r="BA1519" i="1"/>
  <c r="BG1519" i="1" s="1" a="1"/>
  <c r="BG1519" i="1" s="1"/>
  <c r="AZ1519" i="1"/>
  <c r="M1519" i="1"/>
  <c r="ER1518" i="1"/>
  <c r="DZ1518" i="1"/>
  <c r="DY1518" i="1"/>
  <c r="DS1518" i="1"/>
  <c r="DR1518" i="1"/>
  <c r="DQ1518" i="1"/>
  <c r="DP1518" i="1"/>
  <c r="DN1518" i="1"/>
  <c r="DO1518" i="1" s="1"/>
  <c r="DH1518" i="1"/>
  <c r="DC1518" i="1"/>
  <c r="CP1518" i="1"/>
  <c r="BX1518" i="1"/>
  <c r="BZ1518" i="1" s="1"/>
  <c r="BW1518" i="1"/>
  <c r="BP1518" i="1"/>
  <c r="BQ1518" i="1" s="1"/>
  <c r="BF1518" i="1"/>
  <c r="BE1518" i="1"/>
  <c r="BD1518" i="1"/>
  <c r="BC1518" i="1"/>
  <c r="BB1518" i="1"/>
  <c r="BA1518" i="1"/>
  <c r="BG1518" i="1" s="1" a="1"/>
  <c r="BG1518" i="1" s="1"/>
  <c r="AZ1518" i="1"/>
  <c r="M1518" i="1"/>
  <c r="ER1517" i="1"/>
  <c r="DZ1517" i="1"/>
  <c r="DY1517" i="1"/>
  <c r="DS1517" i="1"/>
  <c r="DR1517" i="1"/>
  <c r="DQ1517" i="1"/>
  <c r="DP1517" i="1"/>
  <c r="DN1517" i="1"/>
  <c r="DO1517" i="1" s="1"/>
  <c r="DH1517" i="1"/>
  <c r="DC1517" i="1"/>
  <c r="CP1517" i="1"/>
  <c r="BX1517" i="1"/>
  <c r="BZ1517" i="1" s="1"/>
  <c r="BW1517" i="1"/>
  <c r="BP1517" i="1"/>
  <c r="BQ1517" i="1" s="1"/>
  <c r="BF1517" i="1"/>
  <c r="BE1517" i="1"/>
  <c r="BD1517" i="1"/>
  <c r="BC1517" i="1"/>
  <c r="BB1517" i="1"/>
  <c r="BA1517" i="1"/>
  <c r="BG1517" i="1" s="1" a="1"/>
  <c r="BG1517" i="1" s="1"/>
  <c r="AZ1517" i="1"/>
  <c r="M1517" i="1"/>
  <c r="ER1516" i="1"/>
  <c r="DZ1516" i="1"/>
  <c r="DY1516" i="1"/>
  <c r="DS1516" i="1"/>
  <c r="DR1516" i="1"/>
  <c r="DQ1516" i="1"/>
  <c r="DP1516" i="1"/>
  <c r="DN1516" i="1"/>
  <c r="DO1516" i="1" s="1"/>
  <c r="DH1516" i="1"/>
  <c r="DC1516" i="1"/>
  <c r="CP1516" i="1"/>
  <c r="CV1516" i="1" s="1"/>
  <c r="BX1516" i="1"/>
  <c r="BZ1516" i="1" s="1"/>
  <c r="BW1516" i="1"/>
  <c r="BP1516" i="1"/>
  <c r="BQ1516" i="1" s="1"/>
  <c r="BF1516" i="1"/>
  <c r="BE1516" i="1"/>
  <c r="BD1516" i="1"/>
  <c r="BC1516" i="1"/>
  <c r="BB1516" i="1"/>
  <c r="BA1516" i="1"/>
  <c r="BG1516" i="1" s="1" a="1"/>
  <c r="BG1516" i="1" s="1"/>
  <c r="AZ1516" i="1"/>
  <c r="M1516" i="1"/>
  <c r="ER1515" i="1"/>
  <c r="DZ1515" i="1"/>
  <c r="DY1515" i="1"/>
  <c r="DS1515" i="1"/>
  <c r="DR1515" i="1"/>
  <c r="DQ1515" i="1"/>
  <c r="DP1515" i="1"/>
  <c r="DN1515" i="1"/>
  <c r="DO1515" i="1" s="1"/>
  <c r="DH1515" i="1"/>
  <c r="DC1515" i="1"/>
  <c r="CP1515" i="1"/>
  <c r="CR1515" i="1" s="1"/>
  <c r="BX1515" i="1"/>
  <c r="BZ1515" i="1" s="1"/>
  <c r="BW1515" i="1"/>
  <c r="BP1515" i="1"/>
  <c r="BQ1515" i="1" s="1"/>
  <c r="BF1515" i="1"/>
  <c r="BE1515" i="1"/>
  <c r="BD1515" i="1"/>
  <c r="BC1515" i="1"/>
  <c r="BB1515" i="1"/>
  <c r="BA1515" i="1"/>
  <c r="BG1515" i="1" s="1" a="1"/>
  <c r="BG1515" i="1" s="1"/>
  <c r="AZ1515" i="1"/>
  <c r="M1515" i="1"/>
  <c r="ER1514" i="1"/>
  <c r="DZ1514" i="1"/>
  <c r="DY1514" i="1"/>
  <c r="DS1514" i="1"/>
  <c r="DR1514" i="1"/>
  <c r="DQ1514" i="1"/>
  <c r="DP1514" i="1"/>
  <c r="DN1514" i="1"/>
  <c r="DO1514" i="1" s="1"/>
  <c r="DH1514" i="1"/>
  <c r="DC1514" i="1"/>
  <c r="CP1514" i="1"/>
  <c r="BX1514" i="1"/>
  <c r="BZ1514" i="1" s="1"/>
  <c r="BW1514" i="1"/>
  <c r="BP1514" i="1"/>
  <c r="BQ1514" i="1" s="1"/>
  <c r="BF1514" i="1"/>
  <c r="BE1514" i="1"/>
  <c r="BD1514" i="1"/>
  <c r="BC1514" i="1"/>
  <c r="BB1514" i="1"/>
  <c r="BA1514" i="1"/>
  <c r="BG1514" i="1" s="1" a="1"/>
  <c r="BG1514" i="1" s="1"/>
  <c r="AZ1514" i="1"/>
  <c r="M1514" i="1"/>
  <c r="ER1513" i="1"/>
  <c r="DZ1513" i="1"/>
  <c r="DY1513" i="1"/>
  <c r="DS1513" i="1"/>
  <c r="DR1513" i="1"/>
  <c r="DQ1513" i="1"/>
  <c r="DP1513" i="1"/>
  <c r="DN1513" i="1"/>
  <c r="DO1513" i="1" s="1"/>
  <c r="DH1513" i="1"/>
  <c r="DC1513" i="1"/>
  <c r="CP1513" i="1"/>
  <c r="CR1513" i="1" s="1"/>
  <c r="BX1513" i="1"/>
  <c r="BZ1513" i="1" s="1"/>
  <c r="BW1513" i="1"/>
  <c r="BP1513" i="1"/>
  <c r="BQ1513" i="1" s="1"/>
  <c r="BF1513" i="1"/>
  <c r="BE1513" i="1"/>
  <c r="BD1513" i="1"/>
  <c r="BC1513" i="1"/>
  <c r="BB1513" i="1"/>
  <c r="BA1513" i="1"/>
  <c r="BG1513" i="1" s="1" a="1"/>
  <c r="BG1513" i="1" s="1"/>
  <c r="AZ1513" i="1"/>
  <c r="M1513" i="1"/>
  <c r="ER1512" i="1"/>
  <c r="DZ1512" i="1"/>
  <c r="DY1512" i="1"/>
  <c r="DS1512" i="1"/>
  <c r="DR1512" i="1"/>
  <c r="DQ1512" i="1"/>
  <c r="DP1512" i="1"/>
  <c r="DN1512" i="1"/>
  <c r="DO1512" i="1" s="1"/>
  <c r="DH1512" i="1"/>
  <c r="DC1512" i="1"/>
  <c r="CP1512" i="1"/>
  <c r="BX1512" i="1"/>
  <c r="BZ1512" i="1" s="1"/>
  <c r="BW1512" i="1"/>
  <c r="BP1512" i="1"/>
  <c r="BQ1512" i="1" s="1"/>
  <c r="BF1512" i="1"/>
  <c r="BE1512" i="1"/>
  <c r="BD1512" i="1"/>
  <c r="BC1512" i="1"/>
  <c r="BB1512" i="1"/>
  <c r="BA1512" i="1"/>
  <c r="BG1512" i="1" s="1" a="1"/>
  <c r="BG1512" i="1" s="1"/>
  <c r="AZ1512" i="1"/>
  <c r="M1512" i="1"/>
  <c r="ER1511" i="1"/>
  <c r="DZ1511" i="1"/>
  <c r="DY1511" i="1"/>
  <c r="DS1511" i="1"/>
  <c r="DR1511" i="1"/>
  <c r="DQ1511" i="1"/>
  <c r="DP1511" i="1"/>
  <c r="DN1511" i="1"/>
  <c r="DO1511" i="1" s="1"/>
  <c r="DH1511" i="1"/>
  <c r="DC1511" i="1"/>
  <c r="CP1511" i="1"/>
  <c r="CR1511" i="1" s="1"/>
  <c r="BX1511" i="1"/>
  <c r="BZ1511" i="1" s="1"/>
  <c r="BW1511" i="1"/>
  <c r="BP1511" i="1"/>
  <c r="BQ1511" i="1" s="1"/>
  <c r="BF1511" i="1"/>
  <c r="BE1511" i="1"/>
  <c r="BD1511" i="1"/>
  <c r="BC1511" i="1"/>
  <c r="BB1511" i="1"/>
  <c r="BA1511" i="1"/>
  <c r="BG1511" i="1" s="1" a="1"/>
  <c r="BG1511" i="1" s="1"/>
  <c r="AZ1511" i="1"/>
  <c r="M1511" i="1"/>
  <c r="ER1510" i="1"/>
  <c r="DZ1510" i="1"/>
  <c r="DY1510" i="1"/>
  <c r="DS1510" i="1"/>
  <c r="DR1510" i="1"/>
  <c r="DQ1510" i="1"/>
  <c r="DP1510" i="1"/>
  <c r="DN1510" i="1"/>
  <c r="DO1510" i="1" s="1"/>
  <c r="DH1510" i="1"/>
  <c r="DC1510" i="1"/>
  <c r="CP1510" i="1"/>
  <c r="BX1510" i="1"/>
  <c r="BZ1510" i="1" s="1"/>
  <c r="BW1510" i="1"/>
  <c r="BP1510" i="1"/>
  <c r="BQ1510" i="1" s="1"/>
  <c r="BF1510" i="1"/>
  <c r="BE1510" i="1"/>
  <c r="BD1510" i="1"/>
  <c r="BC1510" i="1"/>
  <c r="BB1510" i="1"/>
  <c r="BA1510" i="1"/>
  <c r="BG1510" i="1" s="1" a="1"/>
  <c r="BG1510" i="1" s="1"/>
  <c r="AZ1510" i="1"/>
  <c r="M1510" i="1"/>
  <c r="ER1509" i="1"/>
  <c r="DZ1509" i="1"/>
  <c r="DY1509" i="1"/>
  <c r="DS1509" i="1"/>
  <c r="DR1509" i="1"/>
  <c r="DQ1509" i="1"/>
  <c r="DP1509" i="1"/>
  <c r="DN1509" i="1"/>
  <c r="DO1509" i="1" s="1"/>
  <c r="DH1509" i="1"/>
  <c r="DC1509" i="1"/>
  <c r="CP1509" i="1"/>
  <c r="BX1509" i="1"/>
  <c r="BZ1509" i="1" s="1"/>
  <c r="BW1509" i="1"/>
  <c r="BP1509" i="1"/>
  <c r="BQ1509" i="1" s="1"/>
  <c r="BF1509" i="1"/>
  <c r="BE1509" i="1"/>
  <c r="BD1509" i="1"/>
  <c r="BC1509" i="1"/>
  <c r="BB1509" i="1"/>
  <c r="BA1509" i="1"/>
  <c r="BG1509" i="1" s="1" a="1"/>
  <c r="BG1509" i="1" s="1"/>
  <c r="AZ1509" i="1"/>
  <c r="M1509" i="1"/>
  <c r="ER1508" i="1"/>
  <c r="DZ1508" i="1"/>
  <c r="DY1508" i="1"/>
  <c r="DS1508" i="1"/>
  <c r="DR1508" i="1"/>
  <c r="DQ1508" i="1"/>
  <c r="DP1508" i="1"/>
  <c r="DN1508" i="1"/>
  <c r="DO1508" i="1" s="1"/>
  <c r="DH1508" i="1"/>
  <c r="DC1508" i="1"/>
  <c r="CP1508" i="1"/>
  <c r="CR1508" i="1" s="1"/>
  <c r="BX1508" i="1"/>
  <c r="BZ1508" i="1" s="1"/>
  <c r="BW1508" i="1"/>
  <c r="BP1508" i="1"/>
  <c r="BQ1508" i="1" s="1"/>
  <c r="BF1508" i="1"/>
  <c r="BE1508" i="1"/>
  <c r="BD1508" i="1"/>
  <c r="BC1508" i="1"/>
  <c r="BB1508" i="1"/>
  <c r="BA1508" i="1"/>
  <c r="BG1508" i="1" s="1" a="1"/>
  <c r="BG1508" i="1" s="1"/>
  <c r="AZ1508" i="1"/>
  <c r="M1508" i="1"/>
  <c r="ER1507" i="1"/>
  <c r="DZ1507" i="1"/>
  <c r="DY1507" i="1"/>
  <c r="DS1507" i="1"/>
  <c r="DR1507" i="1"/>
  <c r="DQ1507" i="1"/>
  <c r="DP1507" i="1"/>
  <c r="DN1507" i="1"/>
  <c r="DO1507" i="1" s="1"/>
  <c r="DH1507" i="1"/>
  <c r="DC1507" i="1"/>
  <c r="CP1507" i="1"/>
  <c r="CR1507" i="1" s="1"/>
  <c r="BX1507" i="1"/>
  <c r="BZ1507" i="1" s="1"/>
  <c r="BW1507" i="1"/>
  <c r="BP1507" i="1"/>
  <c r="BQ1507" i="1" s="1"/>
  <c r="BF1507" i="1"/>
  <c r="BE1507" i="1"/>
  <c r="BD1507" i="1"/>
  <c r="BC1507" i="1"/>
  <c r="BB1507" i="1"/>
  <c r="BA1507" i="1"/>
  <c r="BG1507" i="1" s="1" a="1"/>
  <c r="BG1507" i="1" s="1"/>
  <c r="AZ1507" i="1"/>
  <c r="M1507" i="1"/>
  <c r="ER1506" i="1"/>
  <c r="DZ1506" i="1"/>
  <c r="DY1506" i="1"/>
  <c r="DS1506" i="1"/>
  <c r="DR1506" i="1"/>
  <c r="DQ1506" i="1"/>
  <c r="DP1506" i="1"/>
  <c r="DN1506" i="1"/>
  <c r="DO1506" i="1" s="1"/>
  <c r="DH1506" i="1"/>
  <c r="DC1506" i="1"/>
  <c r="CP1506" i="1"/>
  <c r="CQ1506" i="1" s="1"/>
  <c r="BX1506" i="1"/>
  <c r="BZ1506" i="1" s="1"/>
  <c r="BW1506" i="1"/>
  <c r="BP1506" i="1"/>
  <c r="BQ1506" i="1" s="1"/>
  <c r="BF1506" i="1"/>
  <c r="BE1506" i="1"/>
  <c r="BD1506" i="1"/>
  <c r="BC1506" i="1"/>
  <c r="BB1506" i="1"/>
  <c r="BA1506" i="1"/>
  <c r="BG1506" i="1" s="1" a="1"/>
  <c r="BG1506" i="1" s="1"/>
  <c r="AZ1506" i="1"/>
  <c r="M1506" i="1"/>
  <c r="ER1505" i="1"/>
  <c r="DZ1505" i="1"/>
  <c r="DY1505" i="1"/>
  <c r="DS1505" i="1"/>
  <c r="DR1505" i="1"/>
  <c r="DQ1505" i="1"/>
  <c r="DP1505" i="1"/>
  <c r="DN1505" i="1"/>
  <c r="DO1505" i="1" s="1"/>
  <c r="DH1505" i="1"/>
  <c r="DC1505" i="1"/>
  <c r="CP1505" i="1"/>
  <c r="BX1505" i="1"/>
  <c r="BZ1505" i="1" s="1"/>
  <c r="BW1505" i="1"/>
  <c r="BP1505" i="1"/>
  <c r="BQ1505" i="1" s="1"/>
  <c r="BF1505" i="1"/>
  <c r="BE1505" i="1"/>
  <c r="BD1505" i="1"/>
  <c r="BC1505" i="1"/>
  <c r="BB1505" i="1"/>
  <c r="BA1505" i="1"/>
  <c r="BG1505" i="1" s="1" a="1"/>
  <c r="BG1505" i="1" s="1"/>
  <c r="AZ1505" i="1"/>
  <c r="M1505" i="1"/>
  <c r="ER1504" i="1"/>
  <c r="DZ1504" i="1"/>
  <c r="DY1504" i="1"/>
  <c r="DS1504" i="1"/>
  <c r="DR1504" i="1"/>
  <c r="DQ1504" i="1"/>
  <c r="DP1504" i="1"/>
  <c r="DN1504" i="1"/>
  <c r="DO1504" i="1" s="1"/>
  <c r="DH1504" i="1"/>
  <c r="DC1504" i="1"/>
  <c r="CP1504" i="1"/>
  <c r="CQ1504" i="1" s="1"/>
  <c r="BX1504" i="1"/>
  <c r="BZ1504" i="1" s="1"/>
  <c r="BW1504" i="1"/>
  <c r="BP1504" i="1"/>
  <c r="BQ1504" i="1" s="1"/>
  <c r="BF1504" i="1"/>
  <c r="BE1504" i="1"/>
  <c r="BD1504" i="1"/>
  <c r="BC1504" i="1"/>
  <c r="BB1504" i="1"/>
  <c r="BA1504" i="1"/>
  <c r="BG1504" i="1" s="1" a="1"/>
  <c r="BG1504" i="1" s="1"/>
  <c r="AZ1504" i="1"/>
  <c r="M1504" i="1"/>
  <c r="ER1503" i="1"/>
  <c r="DZ1503" i="1"/>
  <c r="DY1503" i="1"/>
  <c r="DS1503" i="1"/>
  <c r="DR1503" i="1"/>
  <c r="DQ1503" i="1"/>
  <c r="DP1503" i="1"/>
  <c r="DN1503" i="1"/>
  <c r="DO1503" i="1" s="1"/>
  <c r="DH1503" i="1"/>
  <c r="DC1503" i="1"/>
  <c r="CP1503" i="1"/>
  <c r="CQ1503" i="1" s="1"/>
  <c r="BX1503" i="1"/>
  <c r="BZ1503" i="1" s="1"/>
  <c r="BW1503" i="1"/>
  <c r="BP1503" i="1"/>
  <c r="BQ1503" i="1" s="1"/>
  <c r="BF1503" i="1"/>
  <c r="BE1503" i="1"/>
  <c r="BD1503" i="1"/>
  <c r="BC1503" i="1"/>
  <c r="BB1503" i="1"/>
  <c r="BA1503" i="1"/>
  <c r="BG1503" i="1" s="1" a="1"/>
  <c r="BG1503" i="1" s="1"/>
  <c r="AZ1503" i="1"/>
  <c r="M1503" i="1"/>
  <c r="ER1502" i="1"/>
  <c r="DZ1502" i="1"/>
  <c r="DY1502" i="1"/>
  <c r="DS1502" i="1"/>
  <c r="DR1502" i="1"/>
  <c r="DQ1502" i="1"/>
  <c r="DP1502" i="1"/>
  <c r="DN1502" i="1"/>
  <c r="DO1502" i="1" s="1"/>
  <c r="DH1502" i="1"/>
  <c r="DC1502" i="1"/>
  <c r="CP1502" i="1"/>
  <c r="CU1502" i="1" s="1"/>
  <c r="BX1502" i="1"/>
  <c r="BZ1502" i="1" s="1"/>
  <c r="BW1502" i="1"/>
  <c r="BP1502" i="1"/>
  <c r="BQ1502" i="1" s="1"/>
  <c r="BF1502" i="1"/>
  <c r="BE1502" i="1"/>
  <c r="BD1502" i="1"/>
  <c r="BC1502" i="1"/>
  <c r="BB1502" i="1"/>
  <c r="BA1502" i="1"/>
  <c r="BG1502" i="1" s="1" a="1"/>
  <c r="BG1502" i="1" s="1"/>
  <c r="AZ1502" i="1"/>
  <c r="M1502" i="1"/>
  <c r="ER1501" i="1"/>
  <c r="DZ1501" i="1"/>
  <c r="DY1501" i="1"/>
  <c r="DS1501" i="1"/>
  <c r="DR1501" i="1"/>
  <c r="DQ1501" i="1"/>
  <c r="DP1501" i="1"/>
  <c r="DN1501" i="1"/>
  <c r="DO1501" i="1" s="1"/>
  <c r="DH1501" i="1"/>
  <c r="DC1501" i="1"/>
  <c r="CP1501" i="1"/>
  <c r="BX1501" i="1"/>
  <c r="BZ1501" i="1" s="1"/>
  <c r="BW1501" i="1"/>
  <c r="BP1501" i="1"/>
  <c r="BQ1501" i="1" s="1"/>
  <c r="BF1501" i="1"/>
  <c r="BE1501" i="1"/>
  <c r="BD1501" i="1"/>
  <c r="BC1501" i="1"/>
  <c r="BB1501" i="1"/>
  <c r="BA1501" i="1"/>
  <c r="BG1501" i="1" s="1" a="1"/>
  <c r="BG1501" i="1" s="1"/>
  <c r="AZ1501" i="1"/>
  <c r="M1501" i="1"/>
  <c r="ER1500" i="1"/>
  <c r="DZ1500" i="1"/>
  <c r="DY1500" i="1"/>
  <c r="DS1500" i="1"/>
  <c r="DR1500" i="1"/>
  <c r="DQ1500" i="1"/>
  <c r="DP1500" i="1"/>
  <c r="DN1500" i="1"/>
  <c r="DO1500" i="1" s="1"/>
  <c r="DH1500" i="1"/>
  <c r="DC1500" i="1"/>
  <c r="CP1500" i="1"/>
  <c r="CU1500" i="1" s="1"/>
  <c r="BX1500" i="1"/>
  <c r="BZ1500" i="1" s="1"/>
  <c r="BW1500" i="1"/>
  <c r="BP1500" i="1"/>
  <c r="BQ1500" i="1" s="1"/>
  <c r="BF1500" i="1"/>
  <c r="BE1500" i="1"/>
  <c r="BD1500" i="1"/>
  <c r="BC1500" i="1"/>
  <c r="BB1500" i="1"/>
  <c r="BA1500" i="1"/>
  <c r="BG1500" i="1" s="1" a="1"/>
  <c r="BG1500" i="1" s="1"/>
  <c r="AZ1500" i="1"/>
  <c r="M1500" i="1"/>
  <c r="ER1499" i="1"/>
  <c r="DZ1499" i="1"/>
  <c r="DY1499" i="1"/>
  <c r="DS1499" i="1"/>
  <c r="DR1499" i="1"/>
  <c r="DQ1499" i="1"/>
  <c r="DP1499" i="1"/>
  <c r="DN1499" i="1"/>
  <c r="DO1499" i="1" s="1"/>
  <c r="DH1499" i="1"/>
  <c r="DC1499" i="1"/>
  <c r="CP1499" i="1"/>
  <c r="CU1499" i="1" s="1"/>
  <c r="BX1499" i="1"/>
  <c r="BZ1499" i="1" s="1"/>
  <c r="BW1499" i="1"/>
  <c r="BP1499" i="1"/>
  <c r="BQ1499" i="1" s="1"/>
  <c r="BF1499" i="1"/>
  <c r="BE1499" i="1"/>
  <c r="BD1499" i="1"/>
  <c r="BC1499" i="1"/>
  <c r="BB1499" i="1"/>
  <c r="BA1499" i="1"/>
  <c r="BG1499" i="1" s="1" a="1"/>
  <c r="BG1499" i="1" s="1"/>
  <c r="AZ1499" i="1"/>
  <c r="M1499" i="1"/>
  <c r="ER1498" i="1"/>
  <c r="DZ1498" i="1"/>
  <c r="DY1498" i="1"/>
  <c r="DS1498" i="1"/>
  <c r="DR1498" i="1"/>
  <c r="DQ1498" i="1"/>
  <c r="DP1498" i="1"/>
  <c r="DN1498" i="1"/>
  <c r="DO1498" i="1" s="1"/>
  <c r="DH1498" i="1"/>
  <c r="DC1498" i="1"/>
  <c r="CP1498" i="1"/>
  <c r="CV1498" i="1" s="1"/>
  <c r="BX1498" i="1"/>
  <c r="BZ1498" i="1" s="1"/>
  <c r="BW1498" i="1"/>
  <c r="BP1498" i="1"/>
  <c r="BQ1498" i="1" s="1"/>
  <c r="BF1498" i="1"/>
  <c r="BE1498" i="1"/>
  <c r="BD1498" i="1"/>
  <c r="BC1498" i="1"/>
  <c r="BB1498" i="1"/>
  <c r="BA1498" i="1"/>
  <c r="BG1498" i="1" s="1" a="1"/>
  <c r="BG1498" i="1" s="1"/>
  <c r="AZ1498" i="1"/>
  <c r="M1498" i="1"/>
  <c r="ER1497" i="1"/>
  <c r="DH1497" i="1"/>
  <c r="DC1497" i="1"/>
  <c r="CP1497" i="1"/>
  <c r="CV1497" i="1" s="1"/>
  <c r="BX1497" i="1"/>
  <c r="BZ1497" i="1" s="1"/>
  <c r="BW1497" i="1"/>
  <c r="BP1497" i="1"/>
  <c r="BQ1497" i="1" s="1"/>
  <c r="BF1497" i="1"/>
  <c r="BE1497" i="1"/>
  <c r="BD1497" i="1"/>
  <c r="BC1497" i="1"/>
  <c r="BB1497" i="1"/>
  <c r="BA1497" i="1"/>
  <c r="BG1497" i="1" s="1" a="1"/>
  <c r="BG1497" i="1" s="1"/>
  <c r="AZ1497" i="1"/>
  <c r="ER1496" i="1"/>
  <c r="DH1496" i="1"/>
  <c r="DC1496" i="1"/>
  <c r="CP1496" i="1"/>
  <c r="CV1496" i="1" s="1"/>
  <c r="BX1496" i="1"/>
  <c r="BZ1496" i="1" s="1"/>
  <c r="BW1496" i="1"/>
  <c r="BP1496" i="1"/>
  <c r="BQ1496" i="1" s="1"/>
  <c r="BF1496" i="1"/>
  <c r="BE1496" i="1"/>
  <c r="BD1496" i="1"/>
  <c r="BC1496" i="1"/>
  <c r="BB1496" i="1"/>
  <c r="BA1496" i="1"/>
  <c r="BG1496" i="1" s="1" a="1"/>
  <c r="BG1496" i="1" s="1"/>
  <c r="AZ1496" i="1"/>
  <c r="ER1538" i="1"/>
  <c r="DZ1538" i="1"/>
  <c r="DY1538" i="1"/>
  <c r="DS1538" i="1"/>
  <c r="DR1538" i="1"/>
  <c r="DQ1538" i="1"/>
  <c r="DP1538" i="1"/>
  <c r="DN1538" i="1"/>
  <c r="DO1538" i="1" s="1"/>
  <c r="DH1538" i="1"/>
  <c r="DC1538" i="1"/>
  <c r="CP1538" i="1"/>
  <c r="CR1538" i="1" s="1"/>
  <c r="BX1538" i="1"/>
  <c r="BZ1538" i="1" s="1"/>
  <c r="BW1538" i="1"/>
  <c r="BP1538" i="1"/>
  <c r="BQ1538" i="1" s="1"/>
  <c r="BO1538" i="1"/>
  <c r="BF1538" i="1"/>
  <c r="BE1538" i="1"/>
  <c r="BD1538" i="1"/>
  <c r="BC1538" i="1"/>
  <c r="BB1538" i="1"/>
  <c r="BA1538" i="1"/>
  <c r="AZ1538" i="1"/>
  <c r="M1538" i="1"/>
  <c r="ER1537" i="1"/>
  <c r="DZ1537" i="1"/>
  <c r="DY1537" i="1"/>
  <c r="DS1537" i="1"/>
  <c r="DR1537" i="1"/>
  <c r="DQ1537" i="1"/>
  <c r="DP1537" i="1"/>
  <c r="DN1537" i="1"/>
  <c r="DO1537" i="1" s="1"/>
  <c r="DH1537" i="1"/>
  <c r="DC1537" i="1"/>
  <c r="CP1537" i="1"/>
  <c r="CR1537" i="1" s="1"/>
  <c r="BX1537" i="1"/>
  <c r="BZ1537" i="1" s="1"/>
  <c r="BW1537" i="1"/>
  <c r="BP1537" i="1"/>
  <c r="BQ1537" i="1" s="1"/>
  <c r="BO1537" i="1"/>
  <c r="BF1537" i="1"/>
  <c r="BE1537" i="1"/>
  <c r="BD1537" i="1"/>
  <c r="BC1537" i="1"/>
  <c r="BB1537" i="1"/>
  <c r="BA1537" i="1"/>
  <c r="AZ1537" i="1"/>
  <c r="M1537" i="1"/>
  <c r="ER1536" i="1"/>
  <c r="DZ1536" i="1"/>
  <c r="DY1536" i="1"/>
  <c r="DS1536" i="1"/>
  <c r="DR1536" i="1"/>
  <c r="DQ1536" i="1"/>
  <c r="DP1536" i="1"/>
  <c r="DN1536" i="1"/>
  <c r="DO1536" i="1" s="1"/>
  <c r="DH1536" i="1"/>
  <c r="DC1536" i="1"/>
  <c r="CP1536" i="1"/>
  <c r="CR1536" i="1" s="1"/>
  <c r="BX1536" i="1"/>
  <c r="BZ1536" i="1" s="1"/>
  <c r="BW1536" i="1"/>
  <c r="BP1536" i="1"/>
  <c r="BQ1536" i="1" s="1"/>
  <c r="BO1536" i="1"/>
  <c r="BF1536" i="1"/>
  <c r="BE1536" i="1"/>
  <c r="BD1536" i="1"/>
  <c r="BC1536" i="1"/>
  <c r="BB1536" i="1"/>
  <c r="BA1536" i="1"/>
  <c r="AZ1536" i="1"/>
  <c r="M1536" i="1"/>
  <c r="ER1535" i="1"/>
  <c r="DZ1535" i="1"/>
  <c r="DY1535" i="1"/>
  <c r="DS1535" i="1"/>
  <c r="DR1535" i="1"/>
  <c r="DQ1535" i="1"/>
  <c r="DP1535" i="1"/>
  <c r="DN1535" i="1"/>
  <c r="DO1535" i="1" s="1"/>
  <c r="DH1535" i="1"/>
  <c r="DC1535" i="1"/>
  <c r="CP1535" i="1"/>
  <c r="BX1535" i="1"/>
  <c r="BZ1535" i="1" s="1"/>
  <c r="BW1535" i="1"/>
  <c r="BP1535" i="1"/>
  <c r="BQ1535" i="1" s="1"/>
  <c r="BO1535" i="1"/>
  <c r="BF1535" i="1"/>
  <c r="BE1535" i="1"/>
  <c r="BD1535" i="1"/>
  <c r="BC1535" i="1"/>
  <c r="BB1535" i="1"/>
  <c r="BA1535" i="1"/>
  <c r="AZ1535" i="1"/>
  <c r="M1535" i="1"/>
  <c r="ER1534" i="1"/>
  <c r="DZ1534" i="1"/>
  <c r="DY1534" i="1"/>
  <c r="DS1534" i="1"/>
  <c r="DR1534" i="1"/>
  <c r="DQ1534" i="1"/>
  <c r="DP1534" i="1"/>
  <c r="DN1534" i="1"/>
  <c r="DO1534" i="1" s="1"/>
  <c r="DH1534" i="1"/>
  <c r="DC1534" i="1"/>
  <c r="CP1534" i="1"/>
  <c r="BX1534" i="1"/>
  <c r="BZ1534" i="1" s="1"/>
  <c r="BW1534" i="1"/>
  <c r="BP1534" i="1"/>
  <c r="BQ1534" i="1" s="1"/>
  <c r="BO1534" i="1"/>
  <c r="BF1534" i="1"/>
  <c r="BE1534" i="1"/>
  <c r="BD1534" i="1"/>
  <c r="BC1534" i="1"/>
  <c r="BB1534" i="1"/>
  <c r="BA1534" i="1"/>
  <c r="AZ1534" i="1"/>
  <c r="M1534" i="1"/>
  <c r="ER1533" i="1"/>
  <c r="DZ1533" i="1"/>
  <c r="DY1533" i="1"/>
  <c r="DS1533" i="1"/>
  <c r="DR1533" i="1"/>
  <c r="DQ1533" i="1"/>
  <c r="DP1533" i="1"/>
  <c r="DN1533" i="1"/>
  <c r="DO1533" i="1" s="1"/>
  <c r="DH1533" i="1"/>
  <c r="DC1533" i="1"/>
  <c r="CP1533" i="1"/>
  <c r="BX1533" i="1"/>
  <c r="BZ1533" i="1" s="1"/>
  <c r="BW1533" i="1"/>
  <c r="BP1533" i="1"/>
  <c r="BQ1533" i="1" s="1"/>
  <c r="BO1533" i="1"/>
  <c r="BF1533" i="1"/>
  <c r="BE1533" i="1"/>
  <c r="BD1533" i="1"/>
  <c r="BC1533" i="1"/>
  <c r="BB1533" i="1"/>
  <c r="BA1533" i="1"/>
  <c r="AZ1533" i="1"/>
  <c r="M1533" i="1"/>
  <c r="ER1566" i="1"/>
  <c r="DZ1566" i="1"/>
  <c r="DY1566" i="1"/>
  <c r="DS1566" i="1"/>
  <c r="DR1566" i="1"/>
  <c r="DQ1566" i="1"/>
  <c r="DP1566" i="1"/>
  <c r="DN1566" i="1"/>
  <c r="DO1566" i="1" s="1"/>
  <c r="DH1566" i="1"/>
  <c r="DC1566" i="1"/>
  <c r="CP1566" i="1"/>
  <c r="CR1566" i="1" s="1"/>
  <c r="BX1566" i="1"/>
  <c r="BZ1566" i="1" s="1"/>
  <c r="BW1566" i="1"/>
  <c r="BP1566" i="1"/>
  <c r="BQ1566" i="1" s="1"/>
  <c r="BO1566" i="1"/>
  <c r="BF1566" i="1"/>
  <c r="BE1566" i="1"/>
  <c r="BD1566" i="1"/>
  <c r="BC1566" i="1"/>
  <c r="BB1566" i="1"/>
  <c r="BA1566" i="1"/>
  <c r="BG1566" i="1" s="1" a="1"/>
  <c r="BG1566" i="1" s="1"/>
  <c r="AZ1566" i="1"/>
  <c r="M1566" i="1"/>
  <c r="ER1565" i="1"/>
  <c r="DZ1565" i="1"/>
  <c r="DY1565" i="1"/>
  <c r="DS1565" i="1"/>
  <c r="DR1565" i="1"/>
  <c r="DQ1565" i="1"/>
  <c r="DP1565" i="1"/>
  <c r="DN1565" i="1"/>
  <c r="DO1565" i="1" s="1"/>
  <c r="DH1565" i="1"/>
  <c r="DC1565" i="1"/>
  <c r="CP1565" i="1"/>
  <c r="CR1565" i="1" s="1"/>
  <c r="BX1565" i="1"/>
  <c r="BZ1565" i="1" s="1"/>
  <c r="BW1565" i="1"/>
  <c r="BP1565" i="1"/>
  <c r="BQ1565" i="1" s="1"/>
  <c r="BO1565" i="1"/>
  <c r="BF1565" i="1"/>
  <c r="BE1565" i="1"/>
  <c r="BD1565" i="1"/>
  <c r="BC1565" i="1"/>
  <c r="BB1565" i="1"/>
  <c r="BA1565" i="1"/>
  <c r="BG1565" i="1" s="1" a="1"/>
  <c r="BG1565" i="1" s="1"/>
  <c r="AZ1565" i="1"/>
  <c r="M1565" i="1"/>
  <c r="ER1564" i="1"/>
  <c r="DZ1564" i="1"/>
  <c r="DY1564" i="1"/>
  <c r="DS1564" i="1"/>
  <c r="DR1564" i="1"/>
  <c r="DQ1564" i="1"/>
  <c r="DP1564" i="1"/>
  <c r="DN1564" i="1"/>
  <c r="DO1564" i="1" s="1"/>
  <c r="DH1564" i="1"/>
  <c r="DC1564" i="1"/>
  <c r="CP1564" i="1"/>
  <c r="BX1564" i="1"/>
  <c r="BZ1564" i="1" s="1"/>
  <c r="BW1564" i="1"/>
  <c r="BP1564" i="1"/>
  <c r="BQ1564" i="1" s="1"/>
  <c r="BO1564" i="1"/>
  <c r="BF1564" i="1"/>
  <c r="BE1564" i="1"/>
  <c r="BD1564" i="1"/>
  <c r="BC1564" i="1"/>
  <c r="BB1564" i="1"/>
  <c r="BA1564" i="1"/>
  <c r="BG1564" i="1" s="1" a="1"/>
  <c r="BG1564" i="1" s="1"/>
  <c r="AZ1564" i="1"/>
  <c r="M1564" i="1"/>
  <c r="ER1563" i="1"/>
  <c r="DZ1563" i="1"/>
  <c r="DY1563" i="1"/>
  <c r="DS1563" i="1"/>
  <c r="DR1563" i="1"/>
  <c r="DQ1563" i="1"/>
  <c r="DP1563" i="1"/>
  <c r="DN1563" i="1"/>
  <c r="DO1563" i="1" s="1"/>
  <c r="DH1563" i="1"/>
  <c r="DC1563" i="1"/>
  <c r="CP1563" i="1"/>
  <c r="BX1563" i="1"/>
  <c r="BZ1563" i="1" s="1"/>
  <c r="BW1563" i="1"/>
  <c r="BP1563" i="1"/>
  <c r="BQ1563" i="1" s="1"/>
  <c r="BO1563" i="1"/>
  <c r="BF1563" i="1"/>
  <c r="BE1563" i="1"/>
  <c r="BD1563" i="1"/>
  <c r="BC1563" i="1"/>
  <c r="BB1563" i="1"/>
  <c r="BA1563" i="1"/>
  <c r="BG1563" i="1" s="1" a="1"/>
  <c r="BG1563" i="1" s="1"/>
  <c r="AZ1563" i="1"/>
  <c r="M1563" i="1"/>
  <c r="ER1562" i="1"/>
  <c r="DZ1562" i="1"/>
  <c r="DY1562" i="1"/>
  <c r="DS1562" i="1"/>
  <c r="DR1562" i="1"/>
  <c r="DQ1562" i="1"/>
  <c r="DP1562" i="1"/>
  <c r="DN1562" i="1"/>
  <c r="DO1562" i="1" s="1"/>
  <c r="DH1562" i="1"/>
  <c r="DC1562" i="1"/>
  <c r="CP1562" i="1"/>
  <c r="BX1562" i="1"/>
  <c r="BZ1562" i="1" s="1"/>
  <c r="BW1562" i="1"/>
  <c r="BP1562" i="1"/>
  <c r="BQ1562" i="1" s="1"/>
  <c r="BO1562" i="1"/>
  <c r="BF1562" i="1"/>
  <c r="BE1562" i="1"/>
  <c r="BD1562" i="1"/>
  <c r="BC1562" i="1"/>
  <c r="BB1562" i="1"/>
  <c r="BA1562" i="1"/>
  <c r="BG1562" i="1" s="1" a="1"/>
  <c r="BG1562" i="1" s="1"/>
  <c r="AZ1562" i="1"/>
  <c r="M1562" i="1"/>
  <c r="ER1561" i="1"/>
  <c r="DZ1561" i="1"/>
  <c r="DY1561" i="1"/>
  <c r="DS1561" i="1"/>
  <c r="DR1561" i="1"/>
  <c r="DQ1561" i="1"/>
  <c r="DP1561" i="1"/>
  <c r="DN1561" i="1"/>
  <c r="DO1561" i="1" s="1"/>
  <c r="DH1561" i="1"/>
  <c r="DC1561" i="1"/>
  <c r="CP1561" i="1"/>
  <c r="BX1561" i="1"/>
  <c r="BZ1561" i="1" s="1"/>
  <c r="BW1561" i="1"/>
  <c r="BP1561" i="1"/>
  <c r="BQ1561" i="1" s="1"/>
  <c r="BO1561" i="1"/>
  <c r="BF1561" i="1"/>
  <c r="BE1561" i="1"/>
  <c r="BD1561" i="1"/>
  <c r="BC1561" i="1"/>
  <c r="BB1561" i="1"/>
  <c r="BA1561" i="1"/>
  <c r="BG1561" i="1" s="1" a="1"/>
  <c r="BG1561" i="1" s="1"/>
  <c r="AZ1561" i="1"/>
  <c r="M1561" i="1"/>
  <c r="ER1560" i="1"/>
  <c r="DZ1560" i="1"/>
  <c r="DY1560" i="1"/>
  <c r="DS1560" i="1"/>
  <c r="DR1560" i="1"/>
  <c r="DQ1560" i="1"/>
  <c r="DP1560" i="1"/>
  <c r="DN1560" i="1"/>
  <c r="DO1560" i="1" s="1"/>
  <c r="DH1560" i="1"/>
  <c r="DC1560" i="1"/>
  <c r="CP1560" i="1"/>
  <c r="CR1560" i="1" s="1"/>
  <c r="BX1560" i="1"/>
  <c r="BZ1560" i="1" s="1"/>
  <c r="BW1560" i="1"/>
  <c r="BP1560" i="1"/>
  <c r="BQ1560" i="1" s="1"/>
  <c r="BO1560" i="1"/>
  <c r="BF1560" i="1"/>
  <c r="BE1560" i="1"/>
  <c r="BD1560" i="1"/>
  <c r="BC1560" i="1"/>
  <c r="BB1560" i="1"/>
  <c r="BA1560" i="1"/>
  <c r="BG1560" i="1" s="1" a="1"/>
  <c r="BG1560" i="1" s="1"/>
  <c r="AZ1560" i="1"/>
  <c r="M1560" i="1"/>
  <c r="ER1559" i="1"/>
  <c r="DZ1559" i="1"/>
  <c r="DY1559" i="1"/>
  <c r="DS1559" i="1"/>
  <c r="DR1559" i="1"/>
  <c r="DQ1559" i="1"/>
  <c r="DP1559" i="1"/>
  <c r="DN1559" i="1"/>
  <c r="DO1559" i="1" s="1"/>
  <c r="DH1559" i="1"/>
  <c r="DC1559" i="1"/>
  <c r="CP1559" i="1"/>
  <c r="CR1559" i="1" s="1"/>
  <c r="BX1559" i="1"/>
  <c r="BZ1559" i="1" s="1"/>
  <c r="BW1559" i="1"/>
  <c r="BP1559" i="1"/>
  <c r="BQ1559" i="1" s="1"/>
  <c r="BO1559" i="1"/>
  <c r="BF1559" i="1"/>
  <c r="BE1559" i="1"/>
  <c r="BD1559" i="1"/>
  <c r="BC1559" i="1"/>
  <c r="BB1559" i="1"/>
  <c r="BA1559" i="1"/>
  <c r="BG1559" i="1" s="1" a="1"/>
  <c r="BG1559" i="1" s="1"/>
  <c r="AZ1559" i="1"/>
  <c r="M1559" i="1"/>
  <c r="ER1558" i="1"/>
  <c r="DZ1558" i="1"/>
  <c r="DY1558" i="1"/>
  <c r="DS1558" i="1"/>
  <c r="DR1558" i="1"/>
  <c r="DQ1558" i="1"/>
  <c r="DP1558" i="1"/>
  <c r="DN1558" i="1"/>
  <c r="DO1558" i="1" s="1"/>
  <c r="DH1558" i="1"/>
  <c r="DC1558" i="1"/>
  <c r="CP1558" i="1"/>
  <c r="CQ1558" i="1" s="1"/>
  <c r="BX1558" i="1"/>
  <c r="BZ1558" i="1" s="1"/>
  <c r="BW1558" i="1"/>
  <c r="BP1558" i="1"/>
  <c r="BQ1558" i="1" s="1"/>
  <c r="BO1558" i="1"/>
  <c r="BF1558" i="1"/>
  <c r="BE1558" i="1"/>
  <c r="BD1558" i="1"/>
  <c r="BC1558" i="1"/>
  <c r="BB1558" i="1"/>
  <c r="BA1558" i="1"/>
  <c r="BG1558" i="1" s="1" a="1"/>
  <c r="BG1558" i="1" s="1"/>
  <c r="AZ1558" i="1"/>
  <c r="M1558" i="1"/>
  <c r="ER1557" i="1"/>
  <c r="DZ1557" i="1"/>
  <c r="DY1557" i="1"/>
  <c r="DS1557" i="1"/>
  <c r="DR1557" i="1"/>
  <c r="DQ1557" i="1"/>
  <c r="DP1557" i="1"/>
  <c r="DN1557" i="1"/>
  <c r="DO1557" i="1" s="1"/>
  <c r="DH1557" i="1"/>
  <c r="DC1557" i="1"/>
  <c r="CP1557" i="1"/>
  <c r="BX1557" i="1"/>
  <c r="BZ1557" i="1" s="1"/>
  <c r="BW1557" i="1"/>
  <c r="BP1557" i="1"/>
  <c r="BQ1557" i="1" s="1"/>
  <c r="BO1557" i="1"/>
  <c r="BF1557" i="1"/>
  <c r="BE1557" i="1"/>
  <c r="BD1557" i="1"/>
  <c r="BC1557" i="1"/>
  <c r="BB1557" i="1"/>
  <c r="BA1557" i="1"/>
  <c r="BG1557" i="1" s="1" a="1"/>
  <c r="BG1557" i="1" s="1"/>
  <c r="AZ1557" i="1"/>
  <c r="M1557" i="1"/>
  <c r="ER1556" i="1"/>
  <c r="DZ1556" i="1"/>
  <c r="DY1556" i="1"/>
  <c r="DS1556" i="1"/>
  <c r="DR1556" i="1"/>
  <c r="DQ1556" i="1"/>
  <c r="DP1556" i="1"/>
  <c r="DN1556" i="1"/>
  <c r="DO1556" i="1" s="1"/>
  <c r="DH1556" i="1"/>
  <c r="DC1556" i="1"/>
  <c r="CP1556" i="1"/>
  <c r="CR1556" i="1" s="1"/>
  <c r="BX1556" i="1"/>
  <c r="BZ1556" i="1" s="1"/>
  <c r="BW1556" i="1"/>
  <c r="BP1556" i="1"/>
  <c r="BQ1556" i="1" s="1"/>
  <c r="BO1556" i="1"/>
  <c r="BF1556" i="1"/>
  <c r="BE1556" i="1"/>
  <c r="BD1556" i="1"/>
  <c r="BC1556" i="1"/>
  <c r="BB1556" i="1"/>
  <c r="BA1556" i="1"/>
  <c r="BG1556" i="1" s="1" a="1"/>
  <c r="BG1556" i="1" s="1"/>
  <c r="AZ1556" i="1"/>
  <c r="M1556" i="1"/>
  <c r="ER1555" i="1"/>
  <c r="DZ1555" i="1"/>
  <c r="DY1555" i="1"/>
  <c r="DS1555" i="1"/>
  <c r="DR1555" i="1"/>
  <c r="DQ1555" i="1"/>
  <c r="DP1555" i="1"/>
  <c r="DN1555" i="1"/>
  <c r="DO1555" i="1" s="1"/>
  <c r="DH1555" i="1"/>
  <c r="DC1555" i="1"/>
  <c r="CP1555" i="1"/>
  <c r="CR1555" i="1" s="1"/>
  <c r="BX1555" i="1"/>
  <c r="BZ1555" i="1" s="1"/>
  <c r="BW1555" i="1"/>
  <c r="BP1555" i="1"/>
  <c r="BQ1555" i="1" s="1"/>
  <c r="BO1555" i="1"/>
  <c r="BF1555" i="1"/>
  <c r="BE1555" i="1"/>
  <c r="BD1555" i="1"/>
  <c r="BC1555" i="1"/>
  <c r="BB1555" i="1"/>
  <c r="BA1555" i="1"/>
  <c r="BG1555" i="1" s="1" a="1"/>
  <c r="BG1555" i="1" s="1"/>
  <c r="AZ1555" i="1"/>
  <c r="M1555" i="1"/>
  <c r="ER1569" i="1"/>
  <c r="DZ1569" i="1"/>
  <c r="DY1569" i="1"/>
  <c r="DS1569" i="1"/>
  <c r="DR1569" i="1"/>
  <c r="DQ1569" i="1"/>
  <c r="DP1569" i="1"/>
  <c r="DN1569" i="1"/>
  <c r="DO1569" i="1" s="1"/>
  <c r="DH1569" i="1"/>
  <c r="DC1569" i="1"/>
  <c r="CP1569" i="1"/>
  <c r="CQ1569" i="1" s="1"/>
  <c r="BX1569" i="1"/>
  <c r="BZ1569" i="1" s="1"/>
  <c r="BW1569" i="1"/>
  <c r="BP1569" i="1"/>
  <c r="BQ1569" i="1" s="1"/>
  <c r="BO1569" i="1"/>
  <c r="BF1569" i="1"/>
  <c r="BE1569" i="1"/>
  <c r="BD1569" i="1"/>
  <c r="BC1569" i="1"/>
  <c r="BB1569" i="1"/>
  <c r="BA1569" i="1"/>
  <c r="BG1569" i="1" s="1" a="1"/>
  <c r="BG1569" i="1" s="1"/>
  <c r="AZ1569" i="1"/>
  <c r="M1569" i="1"/>
  <c r="ER1568" i="1"/>
  <c r="DZ1568" i="1"/>
  <c r="DY1568" i="1"/>
  <c r="DS1568" i="1"/>
  <c r="DR1568" i="1"/>
  <c r="DQ1568" i="1"/>
  <c r="DP1568" i="1"/>
  <c r="DN1568" i="1"/>
  <c r="DO1568" i="1" s="1"/>
  <c r="DH1568" i="1"/>
  <c r="DC1568" i="1"/>
  <c r="CP1568" i="1"/>
  <c r="CR1568" i="1" s="1"/>
  <c r="BX1568" i="1"/>
  <c r="BZ1568" i="1" s="1"/>
  <c r="BW1568" i="1"/>
  <c r="BP1568" i="1"/>
  <c r="BQ1568" i="1" s="1"/>
  <c r="BO1568" i="1"/>
  <c r="BF1568" i="1"/>
  <c r="BE1568" i="1"/>
  <c r="BD1568" i="1"/>
  <c r="BC1568" i="1"/>
  <c r="BB1568" i="1"/>
  <c r="BA1568" i="1"/>
  <c r="BG1568" i="1" s="1" a="1"/>
  <c r="BG1568" i="1" s="1"/>
  <c r="AZ1568" i="1"/>
  <c r="M1568" i="1"/>
  <c r="ER1567" i="1"/>
  <c r="DZ1567" i="1"/>
  <c r="DY1567" i="1"/>
  <c r="DS1567" i="1"/>
  <c r="DR1567" i="1"/>
  <c r="DQ1567" i="1"/>
  <c r="DP1567" i="1"/>
  <c r="DN1567" i="1"/>
  <c r="DO1567" i="1" s="1"/>
  <c r="DH1567" i="1"/>
  <c r="DC1567" i="1"/>
  <c r="CP1567" i="1"/>
  <c r="CQ1567" i="1" s="1"/>
  <c r="BX1567" i="1"/>
  <c r="BZ1567" i="1" s="1"/>
  <c r="BW1567" i="1"/>
  <c r="BP1567" i="1"/>
  <c r="BQ1567" i="1" s="1"/>
  <c r="BO1567" i="1"/>
  <c r="BF1567" i="1"/>
  <c r="BE1567" i="1"/>
  <c r="BD1567" i="1"/>
  <c r="BC1567" i="1"/>
  <c r="BB1567" i="1"/>
  <c r="BA1567" i="1"/>
  <c r="BG1567" i="1" s="1" a="1"/>
  <c r="BG1567" i="1" s="1"/>
  <c r="AZ1567" i="1"/>
  <c r="M1567" i="1"/>
  <c r="ER1550" i="1"/>
  <c r="DZ1550" i="1"/>
  <c r="DY1550" i="1"/>
  <c r="DS1550" i="1"/>
  <c r="DR1550" i="1"/>
  <c r="DQ1550" i="1"/>
  <c r="DP1550" i="1"/>
  <c r="DN1550" i="1"/>
  <c r="DO1550" i="1" s="1"/>
  <c r="DH1550" i="1"/>
  <c r="DC1550" i="1"/>
  <c r="CP1550" i="1"/>
  <c r="BX1550" i="1"/>
  <c r="BZ1550" i="1" s="1"/>
  <c r="BW1550" i="1"/>
  <c r="BP1550" i="1"/>
  <c r="BQ1550" i="1" s="1"/>
  <c r="BF1550" i="1"/>
  <c r="BE1550" i="1"/>
  <c r="BD1550" i="1"/>
  <c r="BC1550" i="1"/>
  <c r="BB1550" i="1"/>
  <c r="BA1550" i="1"/>
  <c r="BG1550" i="1" s="1" a="1"/>
  <c r="BG1550" i="1" s="1"/>
  <c r="AZ1550" i="1"/>
  <c r="M1550" i="1"/>
  <c r="ER1549" i="1"/>
  <c r="DZ1549" i="1"/>
  <c r="DY1549" i="1"/>
  <c r="DS1549" i="1"/>
  <c r="DR1549" i="1"/>
  <c r="DQ1549" i="1"/>
  <c r="DP1549" i="1"/>
  <c r="DN1549" i="1"/>
  <c r="DO1549" i="1" s="1"/>
  <c r="DH1549" i="1"/>
  <c r="DC1549" i="1"/>
  <c r="CP1549" i="1"/>
  <c r="BX1549" i="1"/>
  <c r="BZ1549" i="1" s="1"/>
  <c r="BW1549" i="1"/>
  <c r="BP1549" i="1"/>
  <c r="BQ1549" i="1" s="1"/>
  <c r="BF1549" i="1"/>
  <c r="BE1549" i="1"/>
  <c r="BD1549" i="1"/>
  <c r="BC1549" i="1"/>
  <c r="BB1549" i="1"/>
  <c r="BA1549" i="1"/>
  <c r="BG1549" i="1" s="1" a="1"/>
  <c r="BG1549" i="1" s="1"/>
  <c r="AZ1549" i="1"/>
  <c r="M1549" i="1"/>
  <c r="ER1548" i="1"/>
  <c r="DZ1548" i="1"/>
  <c r="DY1548" i="1"/>
  <c r="DS1548" i="1"/>
  <c r="DR1548" i="1"/>
  <c r="DQ1548" i="1"/>
  <c r="DP1548" i="1"/>
  <c r="DN1548" i="1"/>
  <c r="DO1548" i="1" s="1"/>
  <c r="DH1548" i="1"/>
  <c r="DC1548" i="1"/>
  <c r="CP1548" i="1"/>
  <c r="CQ1548" i="1" s="1"/>
  <c r="BX1548" i="1"/>
  <c r="BZ1548" i="1" s="1"/>
  <c r="BW1548" i="1"/>
  <c r="BP1548" i="1"/>
  <c r="BQ1548" i="1" s="1"/>
  <c r="BF1548" i="1"/>
  <c r="BE1548" i="1"/>
  <c r="BD1548" i="1"/>
  <c r="BC1548" i="1"/>
  <c r="BB1548" i="1"/>
  <c r="BA1548" i="1"/>
  <c r="BG1548" i="1" s="1" a="1"/>
  <c r="BG1548" i="1" s="1"/>
  <c r="AZ1548" i="1"/>
  <c r="M1548" i="1"/>
  <c r="ER1547" i="1"/>
  <c r="DZ1547" i="1"/>
  <c r="DY1547" i="1"/>
  <c r="DS1547" i="1"/>
  <c r="DR1547" i="1"/>
  <c r="DQ1547" i="1"/>
  <c r="DP1547" i="1"/>
  <c r="DN1547" i="1"/>
  <c r="DO1547" i="1" s="1"/>
  <c r="DH1547" i="1"/>
  <c r="DC1547" i="1"/>
  <c r="CP1547" i="1"/>
  <c r="BX1547" i="1"/>
  <c r="BZ1547" i="1" s="1"/>
  <c r="BW1547" i="1"/>
  <c r="BP1547" i="1"/>
  <c r="BQ1547" i="1" s="1"/>
  <c r="BF1547" i="1"/>
  <c r="BE1547" i="1"/>
  <c r="BD1547" i="1"/>
  <c r="BC1547" i="1"/>
  <c r="BB1547" i="1"/>
  <c r="BA1547" i="1"/>
  <c r="BG1547" i="1" s="1" a="1"/>
  <c r="BG1547" i="1" s="1"/>
  <c r="AZ1547" i="1"/>
  <c r="M1547" i="1"/>
  <c r="ER1546" i="1"/>
  <c r="DZ1546" i="1"/>
  <c r="DY1546" i="1"/>
  <c r="DS1546" i="1"/>
  <c r="DR1546" i="1"/>
  <c r="DQ1546" i="1"/>
  <c r="DP1546" i="1"/>
  <c r="DN1546" i="1"/>
  <c r="DO1546" i="1" s="1"/>
  <c r="DH1546" i="1"/>
  <c r="DC1546" i="1"/>
  <c r="CP1546" i="1"/>
  <c r="CV1546" i="1" s="1"/>
  <c r="BX1546" i="1"/>
  <c r="BZ1546" i="1" s="1"/>
  <c r="BW1546" i="1"/>
  <c r="BP1546" i="1"/>
  <c r="BQ1546" i="1" s="1"/>
  <c r="BF1546" i="1"/>
  <c r="BE1546" i="1"/>
  <c r="BD1546" i="1"/>
  <c r="BC1546" i="1"/>
  <c r="BB1546" i="1"/>
  <c r="BA1546" i="1"/>
  <c r="BG1546" i="1" s="1" a="1"/>
  <c r="BG1546" i="1" s="1"/>
  <c r="AZ1546" i="1"/>
  <c r="M1546" i="1"/>
  <c r="ER1545" i="1"/>
  <c r="DZ1545" i="1"/>
  <c r="DY1545" i="1"/>
  <c r="DS1545" i="1"/>
  <c r="DR1545" i="1"/>
  <c r="DQ1545" i="1"/>
  <c r="DP1545" i="1"/>
  <c r="DN1545" i="1"/>
  <c r="DO1545" i="1" s="1"/>
  <c r="DH1545" i="1"/>
  <c r="DC1545" i="1"/>
  <c r="CP1545" i="1"/>
  <c r="CU1545" i="1" s="1"/>
  <c r="BX1545" i="1"/>
  <c r="BZ1545" i="1" s="1"/>
  <c r="BW1545" i="1"/>
  <c r="BP1545" i="1"/>
  <c r="BQ1545" i="1" s="1"/>
  <c r="BF1545" i="1"/>
  <c r="BE1545" i="1"/>
  <c r="BD1545" i="1"/>
  <c r="BC1545" i="1"/>
  <c r="BB1545" i="1"/>
  <c r="BA1545" i="1"/>
  <c r="BG1545" i="1" s="1" a="1"/>
  <c r="BG1545" i="1" s="1"/>
  <c r="AZ1545" i="1"/>
  <c r="M1545" i="1"/>
  <c r="ER1544" i="1"/>
  <c r="DZ1544" i="1"/>
  <c r="DY1544" i="1"/>
  <c r="DS1544" i="1"/>
  <c r="DR1544" i="1"/>
  <c r="DQ1544" i="1"/>
  <c r="DP1544" i="1"/>
  <c r="DN1544" i="1"/>
  <c r="DO1544" i="1" s="1"/>
  <c r="DH1544" i="1"/>
  <c r="DC1544" i="1"/>
  <c r="CP1544" i="1"/>
  <c r="CU1544" i="1" s="1"/>
  <c r="BX1544" i="1"/>
  <c r="BZ1544" i="1" s="1"/>
  <c r="BW1544" i="1"/>
  <c r="BP1544" i="1"/>
  <c r="BQ1544" i="1" s="1"/>
  <c r="BF1544" i="1"/>
  <c r="BE1544" i="1"/>
  <c r="BD1544" i="1"/>
  <c r="BC1544" i="1"/>
  <c r="BB1544" i="1"/>
  <c r="BA1544" i="1"/>
  <c r="BG1544" i="1" s="1" a="1"/>
  <c r="BG1544" i="1" s="1"/>
  <c r="AZ1544" i="1"/>
  <c r="M1544" i="1"/>
  <c r="ER1543" i="1"/>
  <c r="DZ1543" i="1"/>
  <c r="DY1543" i="1"/>
  <c r="DS1543" i="1"/>
  <c r="DR1543" i="1"/>
  <c r="DQ1543" i="1"/>
  <c r="DP1543" i="1"/>
  <c r="DN1543" i="1"/>
  <c r="DO1543" i="1" s="1"/>
  <c r="DH1543" i="1"/>
  <c r="DC1543" i="1"/>
  <c r="CP1543" i="1"/>
  <c r="CU1543" i="1" s="1"/>
  <c r="BX1543" i="1"/>
  <c r="BZ1543" i="1" s="1"/>
  <c r="BW1543" i="1"/>
  <c r="BP1543" i="1"/>
  <c r="BQ1543" i="1" s="1"/>
  <c r="BF1543" i="1"/>
  <c r="BE1543" i="1"/>
  <c r="BD1543" i="1"/>
  <c r="BC1543" i="1"/>
  <c r="BB1543" i="1"/>
  <c r="BA1543" i="1"/>
  <c r="BG1543" i="1" s="1" a="1"/>
  <c r="BG1543" i="1" s="1"/>
  <c r="AZ1543" i="1"/>
  <c r="M1543" i="1"/>
  <c r="ER1542" i="1"/>
  <c r="DZ1542" i="1"/>
  <c r="DY1542" i="1"/>
  <c r="DS1542" i="1"/>
  <c r="DR1542" i="1"/>
  <c r="DQ1542" i="1"/>
  <c r="DP1542" i="1"/>
  <c r="DN1542" i="1"/>
  <c r="DO1542" i="1" s="1"/>
  <c r="DH1542" i="1"/>
  <c r="DC1542" i="1"/>
  <c r="CP1542" i="1"/>
  <c r="CR1542" i="1" s="1"/>
  <c r="BX1542" i="1"/>
  <c r="BZ1542" i="1" s="1"/>
  <c r="BW1542" i="1"/>
  <c r="BP1542" i="1"/>
  <c r="BQ1542" i="1" s="1"/>
  <c r="BF1542" i="1"/>
  <c r="BE1542" i="1"/>
  <c r="BD1542" i="1"/>
  <c r="BC1542" i="1"/>
  <c r="BB1542" i="1"/>
  <c r="BA1542" i="1"/>
  <c r="BG1542" i="1" s="1" a="1"/>
  <c r="BG1542" i="1" s="1"/>
  <c r="AZ1542" i="1"/>
  <c r="M1542" i="1"/>
  <c r="ER1541" i="1"/>
  <c r="DZ1541" i="1"/>
  <c r="DY1541" i="1"/>
  <c r="DS1541" i="1"/>
  <c r="DR1541" i="1"/>
  <c r="DQ1541" i="1"/>
  <c r="DP1541" i="1"/>
  <c r="DN1541" i="1"/>
  <c r="DO1541" i="1" s="1"/>
  <c r="DH1541" i="1"/>
  <c r="DC1541" i="1"/>
  <c r="CP1541" i="1"/>
  <c r="BX1541" i="1"/>
  <c r="BZ1541" i="1" s="1"/>
  <c r="BW1541" i="1"/>
  <c r="BP1541" i="1"/>
  <c r="BQ1541" i="1" s="1"/>
  <c r="BF1541" i="1"/>
  <c r="BE1541" i="1"/>
  <c r="BD1541" i="1"/>
  <c r="BC1541" i="1"/>
  <c r="BB1541" i="1"/>
  <c r="BA1541" i="1"/>
  <c r="BG1541" i="1" s="1" a="1"/>
  <c r="BG1541" i="1" s="1"/>
  <c r="AZ1541" i="1"/>
  <c r="M1541" i="1"/>
  <c r="ER1540" i="1"/>
  <c r="DZ1540" i="1"/>
  <c r="DY1540" i="1"/>
  <c r="DS1540" i="1"/>
  <c r="DR1540" i="1"/>
  <c r="DQ1540" i="1"/>
  <c r="DP1540" i="1"/>
  <c r="DN1540" i="1"/>
  <c r="DO1540" i="1" s="1"/>
  <c r="DH1540" i="1"/>
  <c r="DC1540" i="1"/>
  <c r="CP1540" i="1"/>
  <c r="BX1540" i="1"/>
  <c r="BZ1540" i="1" s="1"/>
  <c r="BW1540" i="1"/>
  <c r="BP1540" i="1"/>
  <c r="BQ1540" i="1" s="1"/>
  <c r="BF1540" i="1"/>
  <c r="BE1540" i="1"/>
  <c r="BD1540" i="1"/>
  <c r="BC1540" i="1"/>
  <c r="BB1540" i="1"/>
  <c r="BA1540" i="1"/>
  <c r="BG1540" i="1" s="1" a="1"/>
  <c r="BG1540" i="1" s="1"/>
  <c r="AZ1540" i="1"/>
  <c r="M1540" i="1"/>
  <c r="ER1539" i="1"/>
  <c r="DZ1539" i="1"/>
  <c r="DY1539" i="1"/>
  <c r="DS1539" i="1"/>
  <c r="DR1539" i="1"/>
  <c r="DQ1539" i="1"/>
  <c r="DP1539" i="1"/>
  <c r="DN1539" i="1"/>
  <c r="DO1539" i="1" s="1"/>
  <c r="DH1539" i="1"/>
  <c r="DC1539" i="1"/>
  <c r="CP1539" i="1"/>
  <c r="CU1539" i="1" s="1"/>
  <c r="BX1539" i="1"/>
  <c r="BZ1539" i="1" s="1"/>
  <c r="BW1539" i="1"/>
  <c r="BP1539" i="1"/>
  <c r="BQ1539" i="1" s="1"/>
  <c r="BF1539" i="1"/>
  <c r="BE1539" i="1"/>
  <c r="BD1539" i="1"/>
  <c r="BC1539" i="1"/>
  <c r="BB1539" i="1"/>
  <c r="BA1539" i="1"/>
  <c r="BG1539" i="1" s="1" a="1"/>
  <c r="BG1539" i="1" s="1"/>
  <c r="AZ1539" i="1"/>
  <c r="M1539" i="1"/>
  <c r="CP1257" i="1" l="1"/>
  <c r="CQ1257" i="1" s="1"/>
  <c r="BO611" i="1"/>
  <c r="ER6" i="1"/>
  <c r="CP1347" i="1"/>
  <c r="CV1347" i="1" s="1"/>
  <c r="BW1113" i="1"/>
  <c r="BO1474" i="1"/>
  <c r="CP990" i="1"/>
  <c r="CU990" i="1" s="1"/>
  <c r="BP991" i="1"/>
  <c r="BQ991" i="1" s="1"/>
  <c r="CA991" i="1" s="1"/>
  <c r="BH1293" i="1" a="1"/>
  <c r="BH1293" i="1" s="1"/>
  <c r="BH1149" i="1" a="1"/>
  <c r="BH1149" i="1" s="1"/>
  <c r="BH1170" i="1" a="1"/>
  <c r="BH1170" i="1" s="1"/>
  <c r="BH1164" i="1" a="1"/>
  <c r="BH1164" i="1" s="1"/>
  <c r="BH1286" i="1" a="1"/>
  <c r="BH1286" i="1" s="1"/>
  <c r="BH1478" i="1" a="1"/>
  <c r="BH1478" i="1" s="1"/>
  <c r="BH1476" i="1" a="1"/>
  <c r="BH1476" i="1" s="1"/>
  <c r="BH928" i="1" a="1"/>
  <c r="BH928" i="1" s="1"/>
  <c r="BH921" i="1" a="1"/>
  <c r="BH921" i="1" s="1"/>
  <c r="BH929" i="1" a="1"/>
  <c r="BH929" i="1" s="1"/>
  <c r="BH941" i="1" a="1"/>
  <c r="BH941" i="1" s="1"/>
  <c r="BH939" i="1" a="1"/>
  <c r="BH939" i="1" s="1"/>
  <c r="BH714" i="1" a="1"/>
  <c r="BH714" i="1" s="1"/>
  <c r="BH1051" i="1" a="1"/>
  <c r="BH1051" i="1" s="1"/>
  <c r="BH1054" i="1" a="1"/>
  <c r="BH1054" i="1" s="1"/>
  <c r="BG1054" i="1" s="1" a="1"/>
  <c r="BG1054" i="1" s="1"/>
  <c r="BH1055" i="1" a="1"/>
  <c r="BH1055" i="1" s="1"/>
  <c r="BG1055" i="1" s="1" a="1"/>
  <c r="BG1055" i="1" s="1"/>
  <c r="BH1176" i="1" a="1"/>
  <c r="BH1176" i="1" s="1"/>
  <c r="BG1176" i="1" s="1" a="1"/>
  <c r="BG1176" i="1" s="1"/>
  <c r="BH1137" i="1" a="1"/>
  <c r="BH1137" i="1" s="1"/>
  <c r="BH1428" i="1" a="1"/>
  <c r="BH1428" i="1" s="1"/>
  <c r="BH1271" i="1" a="1"/>
  <c r="BH1271" i="1" s="1"/>
  <c r="BH1479" i="1" a="1"/>
  <c r="BH1479" i="1" s="1"/>
  <c r="BH920" i="1" a="1"/>
  <c r="BH920" i="1" s="1"/>
  <c r="BH924" i="1" a="1"/>
  <c r="BH924" i="1" s="1"/>
  <c r="BH527" i="1" a="1"/>
  <c r="BH527" i="1" s="1"/>
  <c r="BH932" i="1" a="1"/>
  <c r="BH932" i="1" s="1"/>
  <c r="BG932" i="1" s="1" a="1"/>
  <c r="BG932" i="1" s="1"/>
  <c r="BH947" i="1" a="1"/>
  <c r="BH947" i="1" s="1"/>
  <c r="BG947" i="1" s="1" a="1"/>
  <c r="BG947" i="1" s="1"/>
  <c r="BH963" i="1" a="1"/>
  <c r="BH963" i="1" s="1"/>
  <c r="BH732" i="1" a="1"/>
  <c r="BH732" i="1" s="1"/>
  <c r="BG732" i="1" s="1" a="1"/>
  <c r="BG732" i="1" s="1"/>
  <c r="BH725" i="1" a="1"/>
  <c r="BH725" i="1" s="1"/>
  <c r="BG725" i="1" s="1" a="1"/>
  <c r="BG725" i="1" s="1"/>
  <c r="BH735" i="1" a="1"/>
  <c r="BH735" i="1" s="1"/>
  <c r="BG735" i="1" s="1" a="1"/>
  <c r="BG735" i="1" s="1"/>
  <c r="BH750" i="1" a="1"/>
  <c r="BH750" i="1" s="1"/>
  <c r="BG750" i="1" s="1" a="1"/>
  <c r="BG750" i="1" s="1"/>
  <c r="BH741" i="1" a="1"/>
  <c r="BH741" i="1" s="1"/>
  <c r="BG741" i="1" s="1" a="1"/>
  <c r="BG741" i="1" s="1"/>
  <c r="BH1026" i="1" a="1"/>
  <c r="BH1026" i="1" s="1"/>
  <c r="BH1046" i="1" a="1"/>
  <c r="BH1046" i="1" s="1"/>
  <c r="BH1034" i="1" a="1"/>
  <c r="BH1034" i="1" s="1"/>
  <c r="BH1035" i="1" a="1"/>
  <c r="BH1035" i="1" s="1"/>
  <c r="BH1559" i="1" a="1"/>
  <c r="BH1559" i="1" s="1"/>
  <c r="BH1533" i="1" a="1"/>
  <c r="BH1533" i="1" s="1"/>
  <c r="BG1533" i="1" s="1" a="1"/>
  <c r="BG1533" i="1" s="1"/>
  <c r="BH1501" i="1" a="1"/>
  <c r="BH1501" i="1" s="1"/>
  <c r="BH1505" i="1" a="1"/>
  <c r="BH1505" i="1" s="1"/>
  <c r="BH1509" i="1" a="1"/>
  <c r="BH1509" i="1" s="1"/>
  <c r="BH1513" i="1" a="1"/>
  <c r="BH1513" i="1" s="1"/>
  <c r="BH1517" i="1" a="1"/>
  <c r="BH1517" i="1" s="1"/>
  <c r="BH1521" i="1" a="1"/>
  <c r="BH1521" i="1" s="1"/>
  <c r="BH1525" i="1" a="1"/>
  <c r="BH1525" i="1" s="1"/>
  <c r="BH1529" i="1" a="1"/>
  <c r="BH1529" i="1" s="1"/>
  <c r="BH1554" i="1" a="1"/>
  <c r="BH1554" i="1" s="1"/>
  <c r="BH637" i="1" a="1"/>
  <c r="BH637" i="1" s="1"/>
  <c r="BH1082" i="1" a="1"/>
  <c r="BH1082" i="1" s="1"/>
  <c r="BH1076" i="1" a="1"/>
  <c r="BH1076" i="1" s="1"/>
  <c r="BH1079" i="1" a="1"/>
  <c r="BH1079" i="1" s="1"/>
  <c r="BH1144" i="1" a="1"/>
  <c r="BH1144" i="1" s="1"/>
  <c r="BH914" i="1" a="1"/>
  <c r="BH914" i="1" s="1"/>
  <c r="BH1133" i="1" a="1"/>
  <c r="BH1133" i="1" s="1"/>
  <c r="BH1116" i="1" a="1"/>
  <c r="BH1116" i="1" s="1"/>
  <c r="BH1251" i="1" a="1"/>
  <c r="BH1251" i="1" s="1"/>
  <c r="BH1253" i="1" a="1"/>
  <c r="BH1253" i="1" s="1"/>
  <c r="BH1354" i="1" a="1"/>
  <c r="BH1354" i="1" s="1"/>
  <c r="BH710" i="1" a="1"/>
  <c r="BH710" i="1" s="1"/>
  <c r="BH711" i="1" a="1"/>
  <c r="BH711" i="1" s="1"/>
  <c r="BH983" i="1" a="1"/>
  <c r="BH983" i="1" s="1"/>
  <c r="BH965" i="1" a="1"/>
  <c r="BH965" i="1" s="1"/>
  <c r="BH1600" i="1" a="1"/>
  <c r="BH1600" i="1" s="1"/>
  <c r="BH1173" i="1" a="1"/>
  <c r="BH1173" i="1" s="1"/>
  <c r="BG1173" i="1" s="1" a="1"/>
  <c r="BG1173" i="1" s="1"/>
  <c r="BH1180" i="1" a="1"/>
  <c r="BH1180" i="1" s="1"/>
  <c r="BG1180" i="1" s="1" a="1"/>
  <c r="BG1180" i="1" s="1"/>
  <c r="BH1182" i="1" a="1"/>
  <c r="BH1182" i="1" s="1"/>
  <c r="BG1182" i="1" s="1" a="1"/>
  <c r="BG1182" i="1" s="1"/>
  <c r="BH1542" i="1" a="1"/>
  <c r="BH1542" i="1" s="1"/>
  <c r="BH1546" i="1" a="1"/>
  <c r="BH1546" i="1" s="1"/>
  <c r="BH1550" i="1" a="1"/>
  <c r="BH1550" i="1" s="1"/>
  <c r="BH1558" i="1" a="1"/>
  <c r="BH1558" i="1" s="1"/>
  <c r="BH1022" i="1" a="1"/>
  <c r="BH1022" i="1" s="1"/>
  <c r="BG1022" i="1" s="1" a="1"/>
  <c r="BG1022" i="1" s="1"/>
  <c r="BH1019" i="1" a="1"/>
  <c r="BH1019" i="1" s="1"/>
  <c r="BG1019" i="1" s="1" a="1"/>
  <c r="BG1019" i="1" s="1"/>
  <c r="BH1010" i="1" a="1"/>
  <c r="BH1010" i="1" s="1"/>
  <c r="BG1010" i="1" s="1" a="1"/>
  <c r="BG1010" i="1" s="1"/>
  <c r="BH1541" i="1" a="1"/>
  <c r="BH1541" i="1" s="1"/>
  <c r="BH1545" i="1" a="1"/>
  <c r="BH1545" i="1" s="1"/>
  <c r="BH1549" i="1" a="1"/>
  <c r="BH1549" i="1" s="1"/>
  <c r="BH1556" i="1" a="1"/>
  <c r="BH1556" i="1" s="1"/>
  <c r="BH1564" i="1" a="1"/>
  <c r="BH1564" i="1" s="1"/>
  <c r="BH1538" i="1" a="1"/>
  <c r="BH1538" i="1" s="1"/>
  <c r="BG1538" i="1" s="1" a="1"/>
  <c r="BG1538" i="1" s="1"/>
  <c r="BH1060" i="1" a="1"/>
  <c r="BH1060" i="1" s="1"/>
  <c r="BG1060" i="1" s="1" a="1"/>
  <c r="BG1060" i="1" s="1"/>
  <c r="BH1481" i="1" a="1"/>
  <c r="BH1481" i="1" s="1"/>
  <c r="BH1044" i="1" a="1"/>
  <c r="BH1044" i="1" s="1"/>
  <c r="BH1053" i="1" a="1"/>
  <c r="BH1053" i="1" s="1"/>
  <c r="BH1566" i="1" a="1"/>
  <c r="BH1566" i="1" s="1"/>
  <c r="BH1496" i="1" a="1"/>
  <c r="BH1496" i="1" s="1"/>
  <c r="BH638" i="1" a="1"/>
  <c r="BH638" i="1" s="1"/>
  <c r="BH631" i="1" a="1"/>
  <c r="BH631" i="1" s="1"/>
  <c r="BH1073" i="1" a="1"/>
  <c r="BH1073" i="1" s="1"/>
  <c r="BH1068" i="1" a="1"/>
  <c r="BH1068" i="1" s="1"/>
  <c r="BH1070" i="1" a="1"/>
  <c r="BH1070" i="1" s="1"/>
  <c r="BH1086" i="1" a="1"/>
  <c r="BH1086" i="1" s="1"/>
  <c r="BH719" i="1" a="1"/>
  <c r="BH719" i="1" s="1"/>
  <c r="BH1262" i="1" a="1"/>
  <c r="BH1262" i="1" s="1"/>
  <c r="BH964" i="1" a="1"/>
  <c r="BH964" i="1" s="1"/>
  <c r="BH83" i="1" a="1"/>
  <c r="BH83" i="1" s="1"/>
  <c r="BH1249" i="1" a="1"/>
  <c r="BH1249" i="1" s="1"/>
  <c r="BH1233" i="1" a="1"/>
  <c r="BH1233" i="1" s="1"/>
  <c r="BH1228" i="1" a="1"/>
  <c r="BH1228" i="1" s="1"/>
  <c r="BH1131" i="1" a="1"/>
  <c r="BH1131" i="1" s="1"/>
  <c r="BH1163" i="1" a="1"/>
  <c r="BH1163" i="1" s="1"/>
  <c r="BH1169" i="1" a="1"/>
  <c r="BH1169" i="1" s="1"/>
  <c r="BH1171" i="1" a="1"/>
  <c r="BH1171" i="1" s="1"/>
  <c r="BH1474" i="1" a="1"/>
  <c r="BH1474" i="1" s="1"/>
  <c r="BH1057" i="1" a="1"/>
  <c r="BH1057" i="1" s="1"/>
  <c r="BG1057" i="1" s="1" a="1"/>
  <c r="BG1057" i="1" s="1"/>
  <c r="BH1056" i="1" a="1"/>
  <c r="BH1056" i="1" s="1"/>
  <c r="BG1056" i="1" s="1" a="1"/>
  <c r="BG1056" i="1" s="1"/>
  <c r="BH1011" i="1" a="1"/>
  <c r="BH1011" i="1" s="1"/>
  <c r="BG1011" i="1" s="1" a="1"/>
  <c r="BG1011" i="1" s="1"/>
  <c r="BH1042" i="1" a="1"/>
  <c r="BH1042" i="1" s="1"/>
  <c r="BG1042" i="1" s="1" a="1"/>
  <c r="BG1042" i="1" s="1"/>
  <c r="BH917" i="1" a="1"/>
  <c r="BH917" i="1" s="1"/>
  <c r="BG917" i="1" s="1" a="1"/>
  <c r="BG917" i="1" s="1"/>
  <c r="BH1112" i="1" a="1"/>
  <c r="BH1112" i="1" s="1"/>
  <c r="BH1482" i="1" a="1"/>
  <c r="BH1482" i="1" s="1"/>
  <c r="BH1023" i="1" a="1"/>
  <c r="BH1023" i="1" s="1"/>
  <c r="BG1023" i="1" s="1" a="1"/>
  <c r="BG1023" i="1" s="1"/>
  <c r="BH1018" i="1" a="1"/>
  <c r="BH1018" i="1" s="1"/>
  <c r="BG1018" i="1" s="1" a="1"/>
  <c r="BG1018" i="1" s="1"/>
  <c r="BH1045" i="1" a="1"/>
  <c r="BH1045" i="1" s="1"/>
  <c r="BH1064" i="1" a="1"/>
  <c r="BH1064" i="1" s="1"/>
  <c r="BG1064" i="1" s="1" a="1"/>
  <c r="BG1064" i="1" s="1"/>
  <c r="BH1030" i="1" a="1"/>
  <c r="BH1030" i="1" s="1"/>
  <c r="BH640" i="1" a="1"/>
  <c r="BH640" i="1" s="1"/>
  <c r="BH632" i="1" a="1"/>
  <c r="BH632" i="1" s="1"/>
  <c r="BH1346" i="1" a="1"/>
  <c r="BH1346" i="1" s="1"/>
  <c r="BH1356" i="1" a="1"/>
  <c r="BH1356" i="1" s="1"/>
  <c r="BH990" i="1" a="1"/>
  <c r="BH990" i="1" s="1"/>
  <c r="BH986" i="1" a="1"/>
  <c r="BH986" i="1" s="1"/>
  <c r="BH255" i="1" a="1"/>
  <c r="BH255" i="1" s="1"/>
  <c r="BH1598" i="1" a="1"/>
  <c r="BH1598" i="1" s="1"/>
  <c r="BH1366" i="1" a="1"/>
  <c r="BH1366" i="1" s="1"/>
  <c r="BH1184" i="1" a="1"/>
  <c r="BH1184" i="1" s="1"/>
  <c r="BG1184" i="1" s="1" a="1"/>
  <c r="BG1184" i="1" s="1"/>
  <c r="BH1177" i="1" a="1"/>
  <c r="BH1177" i="1" s="1"/>
  <c r="BG1177" i="1" s="1" a="1"/>
  <c r="BG1177" i="1" s="1"/>
  <c r="BH1008" i="1" a="1"/>
  <c r="BH1008" i="1" s="1"/>
  <c r="BG1008" i="1" s="1" a="1"/>
  <c r="BG1008" i="1" s="1"/>
  <c r="BH1031" i="1" a="1"/>
  <c r="BH1031" i="1" s="1"/>
  <c r="BH1539" i="1" a="1"/>
  <c r="BH1539" i="1" s="1"/>
  <c r="BH691" i="1" a="1"/>
  <c r="BH691" i="1" s="1"/>
  <c r="BH609" i="1" a="1"/>
  <c r="BH609" i="1" s="1"/>
  <c r="BH615" i="1" a="1"/>
  <c r="BH615" i="1" s="1"/>
  <c r="BH1618" i="1" a="1"/>
  <c r="BH1618" i="1" s="1"/>
  <c r="BH1620" i="1" a="1"/>
  <c r="BH1620" i="1" s="1"/>
  <c r="BH1623" i="1" a="1"/>
  <c r="BH1623" i="1" s="1"/>
  <c r="BH1627" i="1" a="1"/>
  <c r="BH1627" i="1" s="1"/>
  <c r="BH1616" i="1" a="1"/>
  <c r="BH1616" i="1" s="1"/>
  <c r="BH1617" i="1" a="1"/>
  <c r="BH1617" i="1" s="1"/>
  <c r="BH1625" i="1" a="1"/>
  <c r="BH1625" i="1" s="1"/>
  <c r="BH1626" i="1" a="1"/>
  <c r="BH1626" i="1" s="1"/>
  <c r="BH1622" i="1" a="1"/>
  <c r="BH1622" i="1" s="1"/>
  <c r="BH1349" i="1" a="1"/>
  <c r="BH1349" i="1" s="1"/>
  <c r="BH1357" i="1" a="1"/>
  <c r="BH1357" i="1" s="1"/>
  <c r="BH993" i="1" a="1"/>
  <c r="BH993" i="1" s="1"/>
  <c r="BH254" i="1" a="1"/>
  <c r="BH254" i="1" s="1"/>
  <c r="BH1565" i="1" a="1"/>
  <c r="BH1565" i="1" s="1"/>
  <c r="BH1500" i="1" a="1"/>
  <c r="BH1500" i="1" s="1"/>
  <c r="BH1504" i="1" a="1"/>
  <c r="BH1504" i="1" s="1"/>
  <c r="BH1508" i="1" a="1"/>
  <c r="BH1508" i="1" s="1"/>
  <c r="BH1512" i="1" a="1"/>
  <c r="BH1512" i="1" s="1"/>
  <c r="BH1516" i="1" a="1"/>
  <c r="BH1516" i="1" s="1"/>
  <c r="BH1520" i="1" a="1"/>
  <c r="BH1520" i="1" s="1"/>
  <c r="BH1524" i="1" a="1"/>
  <c r="BH1524" i="1" s="1"/>
  <c r="BH1528" i="1" a="1"/>
  <c r="BH1528" i="1" s="1"/>
  <c r="BH1532" i="1" a="1"/>
  <c r="BH1532" i="1" s="1"/>
  <c r="BH1484" i="1" a="1"/>
  <c r="BH1484" i="1" s="1"/>
  <c r="BH1630" i="1" a="1"/>
  <c r="BH1630" i="1" s="1"/>
  <c r="BH1543" i="1" a="1"/>
  <c r="BH1543" i="1" s="1"/>
  <c r="BH1547" i="1" a="1"/>
  <c r="BH1547" i="1" s="1"/>
  <c r="BH1567" i="1" a="1"/>
  <c r="BH1567" i="1" s="1"/>
  <c r="BH1560" i="1" a="1"/>
  <c r="BH1560" i="1" s="1"/>
  <c r="BH1534" i="1" a="1"/>
  <c r="BH1534" i="1" s="1"/>
  <c r="BG1534" i="1" s="1" a="1"/>
  <c r="BG1534" i="1" s="1"/>
  <c r="BH1497" i="1" a="1"/>
  <c r="BH1497" i="1" s="1"/>
  <c r="BH1553" i="1" a="1"/>
  <c r="BH1553" i="1" s="1"/>
  <c r="BH636" i="1" a="1"/>
  <c r="BH636" i="1" s="1"/>
  <c r="BH1067" i="1" a="1"/>
  <c r="BH1067" i="1" s="1"/>
  <c r="BH1092" i="1" a="1"/>
  <c r="BH1092" i="1" s="1"/>
  <c r="BH1088" i="1" a="1"/>
  <c r="BH1088" i="1" s="1"/>
  <c r="BH1084" i="1" a="1"/>
  <c r="BH1084" i="1" s="1"/>
  <c r="BH1124" i="1" a="1"/>
  <c r="BH1124" i="1" s="1"/>
  <c r="BH1256" i="1" a="1"/>
  <c r="BH1256" i="1" s="1"/>
  <c r="BH1117" i="1" a="1"/>
  <c r="BH1117" i="1" s="1"/>
  <c r="BH1139" i="1" a="1"/>
  <c r="BH1139" i="1" s="1"/>
  <c r="BH82" i="1" a="1"/>
  <c r="BH82" i="1" s="1"/>
  <c r="BH1250" i="1" a="1"/>
  <c r="BH1250" i="1" s="1"/>
  <c r="BH1235" i="1" a="1"/>
  <c r="BH1235" i="1" s="1"/>
  <c r="BH1127" i="1" a="1"/>
  <c r="BH1127" i="1" s="1"/>
  <c r="BH687" i="1" a="1"/>
  <c r="BH687" i="1" s="1"/>
  <c r="BH1353" i="1" a="1"/>
  <c r="BH1353" i="1" s="1"/>
  <c r="BH1348" i="1" a="1"/>
  <c r="BH1348" i="1" s="1"/>
  <c r="BH991" i="1" a="1"/>
  <c r="BH991" i="1" s="1"/>
  <c r="BH992" i="1" a="1"/>
  <c r="BH992" i="1" s="1"/>
  <c r="BH984" i="1" a="1"/>
  <c r="BH984" i="1" s="1"/>
  <c r="BH252" i="1" a="1"/>
  <c r="BH252" i="1" s="1"/>
  <c r="BH1364" i="1" a="1"/>
  <c r="BH1364" i="1" s="1"/>
  <c r="BH1161" i="1" a="1"/>
  <c r="BH1161" i="1" s="1"/>
  <c r="BH753" i="1" a="1"/>
  <c r="BH753" i="1" s="1"/>
  <c r="BG753" i="1" s="1" a="1"/>
  <c r="BG753" i="1" s="1"/>
  <c r="BH724" i="1" a="1"/>
  <c r="BH724" i="1" s="1"/>
  <c r="BG724" i="1" s="1" a="1"/>
  <c r="BG724" i="1" s="1"/>
  <c r="BH726" i="1" a="1"/>
  <c r="BH726" i="1" s="1"/>
  <c r="BG726" i="1" s="1" a="1"/>
  <c r="BG726" i="1" s="1"/>
  <c r="BH734" i="1" a="1"/>
  <c r="BH734" i="1" s="1"/>
  <c r="BG734" i="1" s="1" a="1"/>
  <c r="BG734" i="1" s="1"/>
  <c r="BH1024" i="1" a="1"/>
  <c r="BH1024" i="1" s="1"/>
  <c r="BH1036" i="1" a="1"/>
  <c r="BH1036" i="1" s="1"/>
  <c r="BH1016" i="1" a="1"/>
  <c r="BH1016" i="1" s="1"/>
  <c r="BG1016" i="1" s="1" a="1"/>
  <c r="BG1016" i="1" s="1"/>
  <c r="BH1013" i="1" a="1"/>
  <c r="BH1013" i="1" s="1"/>
  <c r="BG1013" i="1" s="1" a="1"/>
  <c r="BG1013" i="1" s="1"/>
  <c r="BH1063" i="1" a="1"/>
  <c r="BH1063" i="1" s="1"/>
  <c r="BG1063" i="1" s="1" a="1"/>
  <c r="BG1063" i="1" s="1"/>
  <c r="BH1185" i="1" a="1"/>
  <c r="BH1185" i="1" s="1"/>
  <c r="BH936" i="1" a="1"/>
  <c r="BH936" i="1" s="1"/>
  <c r="BH942" i="1" a="1"/>
  <c r="BH942" i="1" s="1"/>
  <c r="BH997" i="1" a="1"/>
  <c r="BH997" i="1" s="1"/>
  <c r="BH695" i="1" a="1"/>
  <c r="BH695" i="1" s="1"/>
  <c r="BH740" i="1" a="1"/>
  <c r="BH740" i="1" s="1"/>
  <c r="BG740" i="1" s="1" a="1"/>
  <c r="BG740" i="1" s="1"/>
  <c r="BH728" i="1" a="1"/>
  <c r="BH728" i="1" s="1"/>
  <c r="BG728" i="1" s="1" a="1"/>
  <c r="BG728" i="1" s="1"/>
  <c r="BH752" i="1" a="1"/>
  <c r="BH752" i="1" s="1"/>
  <c r="BG752" i="1" s="1" a="1"/>
  <c r="BG752" i="1" s="1"/>
  <c r="BH743" i="1" a="1"/>
  <c r="BH743" i="1" s="1"/>
  <c r="BG743" i="1" s="1" a="1"/>
  <c r="BG743" i="1" s="1"/>
  <c r="BH1065" i="1" a="1"/>
  <c r="BH1065" i="1" s="1"/>
  <c r="BG1065" i="1" s="1" a="1"/>
  <c r="BG1065" i="1" s="1"/>
  <c r="BH1043" i="1" a="1"/>
  <c r="BH1043" i="1" s="1"/>
  <c r="BG1043" i="1" s="1" a="1"/>
  <c r="BG1043" i="1" s="1"/>
  <c r="BH1365" i="1" a="1"/>
  <c r="BH1365" i="1" s="1"/>
  <c r="BH1178" i="1" a="1"/>
  <c r="BH1178" i="1" s="1"/>
  <c r="BG1178" i="1" s="1" a="1"/>
  <c r="BG1178" i="1" s="1"/>
  <c r="BH1166" i="1" a="1"/>
  <c r="BH1166" i="1" s="1"/>
  <c r="BH1179" i="1" a="1"/>
  <c r="BH1179" i="1" s="1"/>
  <c r="BG1179" i="1" s="1" a="1"/>
  <c r="BG1179" i="1" s="1"/>
  <c r="BH1473" i="1" a="1"/>
  <c r="BH1473" i="1" s="1"/>
  <c r="BH1138" i="1" a="1"/>
  <c r="BH1138" i="1" s="1"/>
  <c r="BH689" i="1" a="1"/>
  <c r="BH689" i="1" s="1"/>
  <c r="BH1287" i="1" a="1"/>
  <c r="BH1287" i="1" s="1"/>
  <c r="BH1475" i="1" a="1"/>
  <c r="BH1475" i="1" s="1"/>
  <c r="BH919" i="1" a="1"/>
  <c r="BH919" i="1" s="1"/>
  <c r="BH927" i="1" a="1"/>
  <c r="BH927" i="1" s="1"/>
  <c r="BH525" i="1" a="1"/>
  <c r="BH525" i="1" s="1"/>
  <c r="BH946" i="1" a="1"/>
  <c r="BH946" i="1" s="1"/>
  <c r="BG946" i="1" s="1" a="1"/>
  <c r="BG946" i="1" s="1"/>
  <c r="BH934" i="1" a="1"/>
  <c r="BH934" i="1" s="1"/>
  <c r="BH1135" i="1" a="1"/>
  <c r="BH1135" i="1" s="1"/>
  <c r="BH729" i="1" a="1"/>
  <c r="BH729" i="1" s="1"/>
  <c r="BG729" i="1" s="1" a="1"/>
  <c r="BG729" i="1" s="1"/>
  <c r="BH722" i="1" a="1"/>
  <c r="BH722" i="1" s="1"/>
  <c r="BG722" i="1" s="1" a="1"/>
  <c r="BG722" i="1" s="1"/>
  <c r="BH731" i="1" a="1"/>
  <c r="BH731" i="1" s="1"/>
  <c r="BG731" i="1" s="1" a="1"/>
  <c r="BG731" i="1" s="1"/>
  <c r="BH736" i="1" a="1"/>
  <c r="BH736" i="1" s="1"/>
  <c r="BG736" i="1" s="1" a="1"/>
  <c r="BG736" i="1" s="1"/>
  <c r="BH1029" i="1" a="1"/>
  <c r="BH1029" i="1" s="1"/>
  <c r="BH1015" i="1" a="1"/>
  <c r="BH1015" i="1" s="1"/>
  <c r="BG1015" i="1" s="1" a="1"/>
  <c r="BG1015" i="1" s="1"/>
  <c r="BH1014" i="1" a="1"/>
  <c r="BH1014" i="1" s="1"/>
  <c r="BG1014" i="1" s="1" a="1"/>
  <c r="BG1014" i="1" s="1"/>
  <c r="BH1047" i="1" a="1"/>
  <c r="BH1047" i="1" s="1"/>
  <c r="BH1052" i="1" a="1"/>
  <c r="BH1052" i="1" s="1"/>
  <c r="BH1009" i="1" a="1"/>
  <c r="BH1009" i="1" s="1"/>
  <c r="BG1009" i="1" s="1" a="1"/>
  <c r="BG1009" i="1" s="1"/>
  <c r="BH1050" i="1" a="1"/>
  <c r="BH1050" i="1" s="1"/>
  <c r="BH1557" i="1" a="1"/>
  <c r="BH1557" i="1" s="1"/>
  <c r="BH639" i="1" a="1"/>
  <c r="BH639" i="1" s="1"/>
  <c r="BH1089" i="1" a="1"/>
  <c r="BH1089" i="1" s="1"/>
  <c r="BH1087" i="1" a="1"/>
  <c r="BH1087" i="1" s="1"/>
  <c r="BH1083" i="1" a="1"/>
  <c r="BH1083" i="1" s="1"/>
  <c r="BH1128" i="1" a="1"/>
  <c r="BH1128" i="1" s="1"/>
  <c r="BH1260" i="1" a="1"/>
  <c r="BH1260" i="1" s="1"/>
  <c r="BH1123" i="1" a="1"/>
  <c r="BH1123" i="1" s="1"/>
  <c r="BH1141" i="1" a="1"/>
  <c r="BH1141" i="1" s="1"/>
  <c r="BH1236" i="1" a="1"/>
  <c r="BH1236" i="1" s="1"/>
  <c r="BH1239" i="1" a="1"/>
  <c r="BH1239" i="1" s="1"/>
  <c r="BH1237" i="1" a="1"/>
  <c r="BH1237" i="1" s="1"/>
  <c r="BH1243" i="1" a="1"/>
  <c r="BH1243" i="1" s="1"/>
  <c r="BH1241" i="1" a="1"/>
  <c r="BH1241" i="1" s="1"/>
  <c r="BH1246" i="1" a="1"/>
  <c r="BH1246" i="1" s="1"/>
  <c r="BH1245" i="1" a="1"/>
  <c r="BH1245" i="1" s="1"/>
  <c r="BH1257" i="1" a="1"/>
  <c r="BH1257" i="1" s="1"/>
  <c r="BH1350" i="1" a="1"/>
  <c r="BH1350" i="1" s="1"/>
  <c r="BH1272" i="1" a="1"/>
  <c r="BH1272" i="1" s="1"/>
  <c r="BH987" i="1" a="1"/>
  <c r="BH987" i="1" s="1"/>
  <c r="BH985" i="1" a="1"/>
  <c r="BH985" i="1" s="1"/>
  <c r="BH251" i="1" a="1"/>
  <c r="BH251" i="1" s="1"/>
  <c r="BH1158" i="1" a="1"/>
  <c r="BH1158" i="1" s="1"/>
  <c r="BH1160" i="1" a="1"/>
  <c r="BH1160" i="1" s="1"/>
  <c r="BH1154" i="1" a="1"/>
  <c r="BH1154" i="1" s="1"/>
  <c r="BH1156" i="1" a="1"/>
  <c r="BH1156" i="1" s="1"/>
  <c r="BH1162" i="1" a="1"/>
  <c r="BH1162" i="1" s="1"/>
  <c r="BH1168" i="1" a="1"/>
  <c r="BH1168" i="1" s="1"/>
  <c r="BH1172" i="1" a="1"/>
  <c r="BH1172" i="1" s="1"/>
  <c r="BH1477" i="1" a="1"/>
  <c r="BH1477" i="1" s="1"/>
  <c r="BH925" i="1" a="1"/>
  <c r="BH925" i="1" s="1"/>
  <c r="BG925" i="1" s="1" a="1"/>
  <c r="BG925" i="1" s="1"/>
  <c r="BH1111" i="1" a="1"/>
  <c r="BH1111" i="1" s="1"/>
  <c r="BH1485" i="1" a="1"/>
  <c r="BH1485" i="1" s="1"/>
  <c r="BH943" i="1" a="1"/>
  <c r="BH943" i="1" s="1"/>
  <c r="BH945" i="1" a="1"/>
  <c r="BH945" i="1" s="1"/>
  <c r="BG945" i="1" s="1" a="1"/>
  <c r="BG945" i="1" s="1"/>
  <c r="BH938" i="1" a="1"/>
  <c r="BH938" i="1" s="1"/>
  <c r="BH998" i="1" a="1"/>
  <c r="BH998" i="1" s="1"/>
  <c r="BH696" i="1" a="1"/>
  <c r="BH696" i="1" s="1"/>
  <c r="BH730" i="1" a="1"/>
  <c r="BH730" i="1" s="1"/>
  <c r="BG730" i="1" s="1" a="1"/>
  <c r="BG730" i="1" s="1"/>
  <c r="BH749" i="1" a="1"/>
  <c r="BH749" i="1" s="1"/>
  <c r="BG749" i="1" s="1" a="1"/>
  <c r="BG749" i="1" s="1"/>
  <c r="BH721" i="1" a="1"/>
  <c r="BH721" i="1" s="1"/>
  <c r="BG721" i="1" s="1" a="1"/>
  <c r="BG721" i="1" s="1"/>
  <c r="BH744" i="1" a="1"/>
  <c r="BH744" i="1" s="1"/>
  <c r="BG744" i="1" s="1" a="1"/>
  <c r="BG744" i="1" s="1"/>
  <c r="BH1025" i="1" a="1"/>
  <c r="BH1025" i="1" s="1"/>
  <c r="BH1078" i="1" a="1"/>
  <c r="BH1078" i="1" s="1"/>
  <c r="BH1075" i="1" a="1"/>
  <c r="BH1075" i="1" s="1"/>
  <c r="BH1074" i="1" a="1"/>
  <c r="BH1074" i="1" s="1"/>
  <c r="BH1265" i="1" a="1"/>
  <c r="BH1265" i="1" s="1"/>
  <c r="BH915" i="1" a="1"/>
  <c r="BH915" i="1" s="1"/>
  <c r="BH1136" i="1" a="1"/>
  <c r="BH1136" i="1" s="1"/>
  <c r="BH1118" i="1" a="1"/>
  <c r="BH1118" i="1" s="1"/>
  <c r="BH1254" i="1" a="1"/>
  <c r="BH1254" i="1" s="1"/>
  <c r="BH1038" i="1" a="1"/>
  <c r="BH1038" i="1" s="1"/>
  <c r="BH1555" i="1" a="1"/>
  <c r="BH1555" i="1" s="1"/>
  <c r="BH1563" i="1" a="1"/>
  <c r="BH1563" i="1" s="1"/>
  <c r="BH1537" i="1" a="1"/>
  <c r="BH1537" i="1" s="1"/>
  <c r="BG1537" i="1" s="1" a="1"/>
  <c r="BG1537" i="1" s="1"/>
  <c r="BH1499" i="1" a="1"/>
  <c r="BH1499" i="1" s="1"/>
  <c r="BH1503" i="1" a="1"/>
  <c r="BH1503" i="1" s="1"/>
  <c r="BH1507" i="1" a="1"/>
  <c r="BH1507" i="1" s="1"/>
  <c r="BH1511" i="1" a="1"/>
  <c r="BH1511" i="1" s="1"/>
  <c r="BH1515" i="1" a="1"/>
  <c r="BH1515" i="1" s="1"/>
  <c r="BH1519" i="1" a="1"/>
  <c r="BH1519" i="1" s="1"/>
  <c r="BH1523" i="1" a="1"/>
  <c r="BH1523" i="1" s="1"/>
  <c r="BH1527" i="1" a="1"/>
  <c r="BH1527" i="1" s="1"/>
  <c r="BH1531" i="1" a="1"/>
  <c r="BH1531" i="1" s="1"/>
  <c r="BH633" i="1" a="1"/>
  <c r="BH633" i="1" s="1"/>
  <c r="BH1069" i="1" a="1"/>
  <c r="BH1069" i="1" s="1"/>
  <c r="BH1066" i="1" a="1"/>
  <c r="BH1066" i="1" s="1"/>
  <c r="BH1091" i="1" a="1"/>
  <c r="BH1091" i="1" s="1"/>
  <c r="BH1085" i="1" a="1"/>
  <c r="BH1085" i="1" s="1"/>
  <c r="BH901" i="1" a="1"/>
  <c r="BH901" i="1" s="1"/>
  <c r="BH1148" i="1" a="1"/>
  <c r="BH1148" i="1" s="1"/>
  <c r="BH995" i="1" a="1"/>
  <c r="BH995" i="1" s="1"/>
  <c r="BH34" i="1" a="1"/>
  <c r="BH34" i="1" s="1"/>
  <c r="BH1248" i="1" a="1"/>
  <c r="BH1248" i="1" s="1"/>
  <c r="BH1232" i="1" a="1"/>
  <c r="BH1232" i="1" s="1"/>
  <c r="BH1234" i="1" a="1"/>
  <c r="BH1234" i="1" s="1"/>
  <c r="BH1352" i="1" a="1"/>
  <c r="BH1352" i="1" s="1"/>
  <c r="BH709" i="1" a="1"/>
  <c r="BH709" i="1" s="1"/>
  <c r="BH994" i="1" a="1"/>
  <c r="BH994" i="1" s="1"/>
  <c r="BH253" i="1" a="1"/>
  <c r="BH253" i="1" s="1"/>
  <c r="BH1110" i="1" a="1"/>
  <c r="BH1110" i="1" s="1"/>
  <c r="BH524" i="1" a="1"/>
  <c r="BH524" i="1" s="1"/>
  <c r="BH930" i="1" a="1"/>
  <c r="BH930" i="1" s="1"/>
  <c r="BH931" i="1" a="1"/>
  <c r="BH931" i="1" s="1"/>
  <c r="BG931" i="1" s="1" a="1"/>
  <c r="BG931" i="1" s="1"/>
  <c r="BH698" i="1" a="1"/>
  <c r="BH698" i="1" s="1"/>
  <c r="BH751" i="1" a="1"/>
  <c r="BH751" i="1" s="1"/>
  <c r="BG751" i="1" s="1" a="1"/>
  <c r="BG751" i="1" s="1"/>
  <c r="BH748" i="1" a="1"/>
  <c r="BH748" i="1" s="1"/>
  <c r="BG748" i="1" s="1" a="1"/>
  <c r="BG748" i="1" s="1"/>
  <c r="BH745" i="1" a="1"/>
  <c r="BH745" i="1" s="1"/>
  <c r="BG745" i="1" s="1" a="1"/>
  <c r="BG745" i="1" s="1"/>
  <c r="BH733" i="1" a="1"/>
  <c r="BH733" i="1" s="1"/>
  <c r="BG733" i="1" s="1" a="1"/>
  <c r="BG733" i="1" s="1"/>
  <c r="BH1027" i="1" a="1"/>
  <c r="BH1027" i="1" s="1"/>
  <c r="BH1048" i="1" a="1"/>
  <c r="BH1048" i="1" s="1"/>
  <c r="BH1021" i="1" a="1"/>
  <c r="BH1021" i="1" s="1"/>
  <c r="BG1021" i="1" s="1" a="1"/>
  <c r="BG1021" i="1" s="1"/>
  <c r="BH1020" i="1" a="1"/>
  <c r="BH1020" i="1" s="1"/>
  <c r="BG1020" i="1" s="1" a="1"/>
  <c r="BG1020" i="1" s="1"/>
  <c r="BH1039" i="1" a="1"/>
  <c r="BH1039" i="1" s="1"/>
  <c r="BG1039" i="1" s="1" a="1"/>
  <c r="BG1039" i="1" s="1"/>
  <c r="BH1540" i="1" a="1"/>
  <c r="BH1540" i="1" s="1"/>
  <c r="BH1548" i="1" a="1"/>
  <c r="BH1548" i="1" s="1"/>
  <c r="BH1569" i="1" a="1"/>
  <c r="BH1569" i="1" s="1"/>
  <c r="BH1562" i="1" a="1"/>
  <c r="BH1562" i="1" s="1"/>
  <c r="BH1536" i="1" a="1"/>
  <c r="BH1536" i="1" s="1"/>
  <c r="BG1536" i="1" s="1" a="1"/>
  <c r="BG1536" i="1" s="1"/>
  <c r="BH1551" i="1" a="1"/>
  <c r="BH1551" i="1" s="1"/>
  <c r="BH634" i="1" a="1"/>
  <c r="BH634" i="1" s="1"/>
  <c r="BH1090" i="1" a="1"/>
  <c r="BH1090" i="1" s="1"/>
  <c r="BH1081" i="1" a="1"/>
  <c r="BH1081" i="1" s="1"/>
  <c r="BH1080" i="1" a="1"/>
  <c r="BH1080" i="1" s="1"/>
  <c r="BH1134" i="1" a="1"/>
  <c r="BH1134" i="1" s="1"/>
  <c r="BH913" i="1" a="1"/>
  <c r="BH913" i="1" s="1"/>
  <c r="BH1126" i="1" a="1"/>
  <c r="BH1126" i="1" s="1"/>
  <c r="BH1145" i="1" a="1"/>
  <c r="BH1145" i="1" s="1"/>
  <c r="BH1247" i="1" a="1"/>
  <c r="BH1247" i="1" s="1"/>
  <c r="BH1227" i="1" a="1"/>
  <c r="BH1227" i="1" s="1"/>
  <c r="BH608" i="1" a="1"/>
  <c r="BH608" i="1" s="1"/>
  <c r="BH605" i="1" a="1"/>
  <c r="BH605" i="1" s="1"/>
  <c r="BH1633" i="1" a="1"/>
  <c r="BH1633" i="1" s="1"/>
  <c r="BH1621" i="1" a="1"/>
  <c r="BH1621" i="1" s="1"/>
  <c r="BH1632" i="1" a="1"/>
  <c r="BH1632" i="1" s="1"/>
  <c r="BH1619" i="1" a="1"/>
  <c r="BH1619" i="1" s="1"/>
  <c r="BH1629" i="1" a="1"/>
  <c r="BH1629" i="1" s="1"/>
  <c r="BH1631" i="1" a="1"/>
  <c r="BH1631" i="1" s="1"/>
  <c r="BH1628" i="1" a="1"/>
  <c r="BH1628" i="1" s="1"/>
  <c r="BH1624" i="1" a="1"/>
  <c r="BH1624" i="1" s="1"/>
  <c r="BH1351" i="1" a="1"/>
  <c r="BH1351" i="1" s="1"/>
  <c r="BH1347" i="1" a="1"/>
  <c r="BH1347" i="1" s="1"/>
  <c r="BH1273" i="1" a="1"/>
  <c r="BH1273" i="1" s="1"/>
  <c r="BH988" i="1" a="1"/>
  <c r="BH988" i="1" s="1"/>
  <c r="BH1274" i="1" a="1"/>
  <c r="BH1274" i="1" s="1"/>
  <c r="BH1367" i="1" a="1"/>
  <c r="BH1367" i="1" s="1"/>
  <c r="BH1165" i="1" a="1"/>
  <c r="BH1165" i="1" s="1"/>
  <c r="BH1174" i="1" a="1"/>
  <c r="BH1174" i="1" s="1"/>
  <c r="BG1174" i="1" s="1" a="1"/>
  <c r="BG1174" i="1" s="1"/>
  <c r="BH1167" i="1" a="1"/>
  <c r="BH1167" i="1" s="1"/>
  <c r="BH1472" i="1" a="1"/>
  <c r="BH1472" i="1" s="1"/>
  <c r="BH903" i="1" a="1"/>
  <c r="BH903" i="1" s="1"/>
  <c r="BH1294" i="1" a="1"/>
  <c r="BH1294" i="1" s="1"/>
  <c r="BH1263" i="1" a="1"/>
  <c r="BH1263" i="1" s="1"/>
  <c r="BH1429" i="1" a="1"/>
  <c r="BH1429" i="1" s="1"/>
  <c r="BH1480" i="1" a="1"/>
  <c r="BH1480" i="1" s="1"/>
  <c r="BH926" i="1" a="1"/>
  <c r="BH926" i="1" s="1"/>
  <c r="BH923" i="1" a="1"/>
  <c r="BH923" i="1" s="1"/>
  <c r="BH922" i="1" a="1"/>
  <c r="BH922" i="1" s="1"/>
  <c r="BH944" i="1" a="1"/>
  <c r="BH944" i="1" s="1"/>
  <c r="BH937" i="1" a="1"/>
  <c r="BH937" i="1" s="1"/>
  <c r="BH933" i="1" a="1"/>
  <c r="BH933" i="1" s="1"/>
  <c r="BG933" i="1" s="1" a="1"/>
  <c r="BG933" i="1" s="1"/>
  <c r="BH1113" i="1" a="1"/>
  <c r="BH1113" i="1" s="1"/>
  <c r="BH738" i="1" a="1"/>
  <c r="BH738" i="1" s="1"/>
  <c r="BG738" i="1" s="1" a="1"/>
  <c r="BG738" i="1" s="1"/>
  <c r="BH723" i="1" a="1"/>
  <c r="BH723" i="1" s="1"/>
  <c r="BG723" i="1" s="1" a="1"/>
  <c r="BG723" i="1" s="1"/>
  <c r="BH746" i="1" a="1"/>
  <c r="BH746" i="1" s="1"/>
  <c r="BG746" i="1" s="1" a="1"/>
  <c r="BG746" i="1" s="1"/>
  <c r="BH742" i="1" a="1"/>
  <c r="BH742" i="1" s="1"/>
  <c r="BG742" i="1" s="1" a="1"/>
  <c r="BG742" i="1" s="1"/>
  <c r="BH1049" i="1" a="1"/>
  <c r="BH1049" i="1" s="1"/>
  <c r="BH1012" i="1" a="1"/>
  <c r="BH1012" i="1" s="1"/>
  <c r="BG1012" i="1" s="1" a="1"/>
  <c r="BG1012" i="1" s="1"/>
  <c r="BH1017" i="1" a="1"/>
  <c r="BH1017" i="1" s="1"/>
  <c r="BG1017" i="1" s="1" a="1"/>
  <c r="BG1017" i="1" s="1"/>
  <c r="BH1061" i="1" a="1"/>
  <c r="BH1061" i="1" s="1"/>
  <c r="BG1061" i="1" s="1" a="1"/>
  <c r="BG1061" i="1" s="1"/>
  <c r="BH1058" i="1" a="1"/>
  <c r="BH1058" i="1" s="1"/>
  <c r="BG1058" i="1" s="1" a="1"/>
  <c r="BG1058" i="1" s="1"/>
  <c r="BH1006" i="1" a="1"/>
  <c r="BH1006" i="1" s="1"/>
  <c r="BG1006" i="1" s="1" a="1"/>
  <c r="BG1006" i="1" s="1"/>
  <c r="BH1040" i="1" a="1"/>
  <c r="BH1040" i="1" s="1"/>
  <c r="BG1040" i="1" s="1" a="1"/>
  <c r="BG1040" i="1" s="1"/>
  <c r="BH1544" i="1" a="1"/>
  <c r="BH1544" i="1" s="1"/>
  <c r="BH1568" i="1" a="1"/>
  <c r="BH1568" i="1" s="1"/>
  <c r="BH1561" i="1" a="1"/>
  <c r="BH1561" i="1" s="1"/>
  <c r="BH1535" i="1" a="1"/>
  <c r="BH1535" i="1" s="1"/>
  <c r="BG1535" i="1" s="1" a="1"/>
  <c r="BG1535" i="1" s="1"/>
  <c r="BH1498" i="1" a="1"/>
  <c r="BH1498" i="1" s="1"/>
  <c r="BH1502" i="1" a="1"/>
  <c r="BH1502" i="1" s="1"/>
  <c r="BH1506" i="1" a="1"/>
  <c r="BH1506" i="1" s="1"/>
  <c r="BH1510" i="1" a="1"/>
  <c r="BH1510" i="1" s="1"/>
  <c r="BH1514" i="1" a="1"/>
  <c r="BH1514" i="1" s="1"/>
  <c r="BH1518" i="1" a="1"/>
  <c r="BH1518" i="1" s="1"/>
  <c r="BH1522" i="1" a="1"/>
  <c r="BH1522" i="1" s="1"/>
  <c r="BH1526" i="1" a="1"/>
  <c r="BH1526" i="1" s="1"/>
  <c r="BH1530" i="1" a="1"/>
  <c r="BH1530" i="1" s="1"/>
  <c r="BH1552" i="1" a="1"/>
  <c r="BH1552" i="1" s="1"/>
  <c r="BH635" i="1" a="1"/>
  <c r="BH635" i="1" s="1"/>
  <c r="BH1077" i="1" a="1"/>
  <c r="BH1077" i="1" s="1"/>
  <c r="BH1072" i="1" a="1"/>
  <c r="BH1072" i="1" s="1"/>
  <c r="BH1071" i="1" a="1"/>
  <c r="BH1071" i="1" s="1"/>
  <c r="BH1268" i="1" a="1"/>
  <c r="BH1268" i="1" s="1"/>
  <c r="BH718" i="1" a="1"/>
  <c r="BH718" i="1" s="1"/>
  <c r="BH1258" i="1" a="1"/>
  <c r="BH1258" i="1" s="1"/>
  <c r="BH1119" i="1" a="1"/>
  <c r="BH1119" i="1" s="1"/>
  <c r="BH1252" i="1" a="1"/>
  <c r="BH1252" i="1" s="1"/>
  <c r="BH1255" i="1" a="1"/>
  <c r="BH1255" i="1" s="1"/>
  <c r="BH1240" i="1" a="1"/>
  <c r="BH1240" i="1" s="1"/>
  <c r="BH1238" i="1" a="1"/>
  <c r="BH1238" i="1" s="1"/>
  <c r="BH1229" i="1" a="1"/>
  <c r="BH1229" i="1" s="1"/>
  <c r="BH1242" i="1" a="1"/>
  <c r="BH1242" i="1" s="1"/>
  <c r="BH1230" i="1" a="1"/>
  <c r="BH1230" i="1" s="1"/>
  <c r="BH1244" i="1" a="1"/>
  <c r="BH1244" i="1" s="1"/>
  <c r="BH1231" i="1" a="1"/>
  <c r="BH1231" i="1" s="1"/>
  <c r="BH1355" i="1" a="1"/>
  <c r="BH1355" i="1" s="1"/>
  <c r="BH989" i="1" a="1"/>
  <c r="BH989" i="1" s="1"/>
  <c r="BH256" i="1" a="1"/>
  <c r="BH256" i="1" s="1"/>
  <c r="BH1159" i="1" a="1"/>
  <c r="BH1159" i="1" s="1"/>
  <c r="BH1157" i="1" a="1"/>
  <c r="BH1157" i="1" s="1"/>
  <c r="BH1155" i="1" a="1"/>
  <c r="BH1155" i="1" s="1"/>
  <c r="BH1599" i="1" a="1"/>
  <c r="BH1599" i="1" s="1"/>
  <c r="BH1175" i="1" a="1"/>
  <c r="BH1175" i="1" s="1"/>
  <c r="BG1175" i="1" s="1" a="1"/>
  <c r="BG1175" i="1" s="1"/>
  <c r="BH1181" i="1" a="1"/>
  <c r="BH1181" i="1" s="1"/>
  <c r="BG1181" i="1" s="1" a="1"/>
  <c r="BG1181" i="1" s="1"/>
  <c r="BH1183" i="1" a="1"/>
  <c r="BH1183" i="1" s="1"/>
  <c r="BG1183" i="1" s="1" a="1"/>
  <c r="BG1183" i="1" s="1"/>
  <c r="BH918" i="1" a="1"/>
  <c r="BH918" i="1" s="1"/>
  <c r="BG918" i="1" s="1" a="1"/>
  <c r="BG918" i="1" s="1"/>
  <c r="BH1109" i="1" a="1"/>
  <c r="BH1109" i="1" s="1"/>
  <c r="BH526" i="1" a="1"/>
  <c r="BH526" i="1" s="1"/>
  <c r="BH1483" i="1" a="1"/>
  <c r="BH1483" i="1" s="1"/>
  <c r="BH940" i="1" a="1"/>
  <c r="BH940" i="1" s="1"/>
  <c r="BH935" i="1" a="1"/>
  <c r="BH935" i="1" s="1"/>
  <c r="BH697" i="1" a="1"/>
  <c r="BH697" i="1" s="1"/>
  <c r="BH630" i="1" a="1"/>
  <c r="BH630" i="1" s="1"/>
  <c r="BH727" i="1" a="1"/>
  <c r="BH727" i="1" s="1"/>
  <c r="BG727" i="1" s="1" a="1"/>
  <c r="BG727" i="1" s="1"/>
  <c r="BH737" i="1" a="1"/>
  <c r="BH737" i="1" s="1"/>
  <c r="BG737" i="1" s="1" a="1"/>
  <c r="BG737" i="1" s="1"/>
  <c r="BH739" i="1" a="1"/>
  <c r="BH739" i="1" s="1"/>
  <c r="BG739" i="1" s="1" a="1"/>
  <c r="BG739" i="1" s="1"/>
  <c r="BH747" i="1" a="1"/>
  <c r="BH747" i="1" s="1"/>
  <c r="BG747" i="1" s="1" a="1"/>
  <c r="BG747" i="1" s="1"/>
  <c r="BH1028" i="1" a="1"/>
  <c r="BH1028" i="1" s="1"/>
  <c r="BH1037" i="1" a="1"/>
  <c r="BH1037" i="1" s="1"/>
  <c r="BH1033" i="1" a="1"/>
  <c r="BH1033" i="1" s="1"/>
  <c r="BH1032" i="1" a="1"/>
  <c r="BH1032" i="1" s="1"/>
  <c r="BH1062" i="1" a="1"/>
  <c r="BH1062" i="1" s="1"/>
  <c r="BG1062" i="1" s="1" a="1"/>
  <c r="BG1062" i="1" s="1"/>
  <c r="BH1059" i="1" a="1"/>
  <c r="BH1059" i="1" s="1"/>
  <c r="BG1059" i="1" s="1" a="1"/>
  <c r="BG1059" i="1" s="1"/>
  <c r="BH1007" i="1" a="1"/>
  <c r="BH1007" i="1" s="1"/>
  <c r="BG1007" i="1" s="1" a="1"/>
  <c r="BG1007" i="1" s="1"/>
  <c r="BH1041" i="1" a="1"/>
  <c r="BH1041" i="1" s="1"/>
  <c r="BG1041" i="1" s="1" a="1"/>
  <c r="BG1041" i="1" s="1"/>
  <c r="BO711" i="1"/>
  <c r="CP989" i="1"/>
  <c r="CR989" i="1" s="1"/>
  <c r="CV1600" i="1"/>
  <c r="CP710" i="1"/>
  <c r="CR710" i="1" s="1"/>
  <c r="CP1241" i="1"/>
  <c r="CS1241" i="1" s="1"/>
  <c r="CT1241" i="1" s="1"/>
  <c r="BO1480" i="1"/>
  <c r="BP1349" i="1"/>
  <c r="BQ1349" i="1" s="1"/>
  <c r="CA1349" i="1" s="1"/>
  <c r="BP1347" i="1"/>
  <c r="BQ1347" i="1" s="1"/>
  <c r="CA1347" i="1" s="1"/>
  <c r="BP984" i="1"/>
  <c r="BQ984" i="1" s="1"/>
  <c r="CA984" i="1" s="1"/>
  <c r="BP1246" i="1"/>
  <c r="BQ1246" i="1" s="1"/>
  <c r="CS1246" i="1" s="1"/>
  <c r="CT1246" i="1" s="1"/>
  <c r="BW918" i="1"/>
  <c r="CP993" i="1"/>
  <c r="CR993" i="1" s="1"/>
  <c r="CP1480" i="1"/>
  <c r="CR1480" i="1" s="1"/>
  <c r="BP1484" i="1"/>
  <c r="BQ1484" i="1" s="1"/>
  <c r="CA1484" i="1" s="1"/>
  <c r="CP1485" i="1"/>
  <c r="CQ1485" i="1" s="1"/>
  <c r="BP1479" i="1"/>
  <c r="BQ1479" i="1" s="1"/>
  <c r="CA1479" i="1" s="1"/>
  <c r="EY1479" i="1" s="1"/>
  <c r="CS1268" i="1"/>
  <c r="CT1268" i="1" s="1"/>
  <c r="CS1059" i="1"/>
  <c r="CT1059" i="1" s="1"/>
  <c r="CA1139" i="1"/>
  <c r="CR1040" i="1"/>
  <c r="BP1244" i="1"/>
  <c r="BQ1244" i="1" s="1"/>
  <c r="CA1244" i="1" s="1"/>
  <c r="BP1245" i="1"/>
  <c r="BQ1245" i="1" s="1"/>
  <c r="CA1245" i="1" s="1"/>
  <c r="BX710" i="1"/>
  <c r="BZ710" i="1" s="1"/>
  <c r="CP991" i="1"/>
  <c r="CQ991" i="1" s="1"/>
  <c r="BP1474" i="1"/>
  <c r="BQ1474" i="1" s="1"/>
  <c r="CA1474" i="1" s="1"/>
  <c r="CP1240" i="1"/>
  <c r="CV1240" i="1" s="1"/>
  <c r="BX1113" i="1"/>
  <c r="BZ1113" i="1" s="1"/>
  <c r="BO1347" i="1"/>
  <c r="BX1600" i="1"/>
  <c r="BZ1600" i="1" s="1"/>
  <c r="CA1600" i="1" s="1"/>
  <c r="BX1475" i="1"/>
  <c r="BZ1475" i="1" s="1"/>
  <c r="BX924" i="1"/>
  <c r="BZ924" i="1" s="1"/>
  <c r="CA924" i="1" s="1"/>
  <c r="CP1346" i="1"/>
  <c r="CU1346" i="1" s="1"/>
  <c r="CP1481" i="1"/>
  <c r="CU1481" i="1" s="1"/>
  <c r="BP1477" i="1"/>
  <c r="BQ1477" i="1" s="1"/>
  <c r="CA1477" i="1" s="1"/>
  <c r="BW924" i="1"/>
  <c r="CP1482" i="1"/>
  <c r="CU1482" i="1" s="1"/>
  <c r="BP1257" i="1"/>
  <c r="BQ1257" i="1" s="1"/>
  <c r="CA1257" i="1" s="1"/>
  <c r="BP992" i="1"/>
  <c r="BQ992" i="1" s="1"/>
  <c r="CA992" i="1" s="1"/>
  <c r="CP994" i="1"/>
  <c r="CQ994" i="1" s="1"/>
  <c r="BP986" i="1"/>
  <c r="BQ986" i="1" s="1"/>
  <c r="CA986" i="1" s="1"/>
  <c r="BP983" i="1"/>
  <c r="BQ983" i="1" s="1"/>
  <c r="CA983" i="1" s="1"/>
  <c r="CW1166" i="1"/>
  <c r="CA928" i="1"/>
  <c r="CQ1167" i="1"/>
  <c r="CV1166" i="1"/>
  <c r="CS1056" i="1"/>
  <c r="CT1056" i="1" s="1"/>
  <c r="CA963" i="1"/>
  <c r="CA1260" i="1"/>
  <c r="CS1182" i="1"/>
  <c r="CT1182" i="1" s="1"/>
  <c r="CA1518" i="1"/>
  <c r="CS697" i="1"/>
  <c r="CT697" i="1" s="1"/>
  <c r="CU255" i="1"/>
  <c r="CS1625" i="1"/>
  <c r="CT1625" i="1" s="1"/>
  <c r="CV1182" i="1"/>
  <c r="DA1182" i="1" s="1"/>
  <c r="CQ1111" i="1"/>
  <c r="CW256" i="1"/>
  <c r="CU609" i="1"/>
  <c r="DA609" i="1" s="1"/>
  <c r="CA725" i="1"/>
  <c r="CA1622" i="1"/>
  <c r="CS1160" i="1"/>
  <c r="CT1160" i="1" s="1"/>
  <c r="CR1111" i="1"/>
  <c r="CV752" i="1"/>
  <c r="DA752" i="1" s="1"/>
  <c r="CR1088" i="1"/>
  <c r="CS1515" i="1"/>
  <c r="CT1515" i="1" s="1"/>
  <c r="CR748" i="1"/>
  <c r="CA731" i="1"/>
  <c r="CS634" i="1"/>
  <c r="CT634" i="1" s="1"/>
  <c r="CA1617" i="1"/>
  <c r="CS1274" i="1"/>
  <c r="CT1274" i="1" s="1"/>
  <c r="CS1170" i="1"/>
  <c r="CT1170" i="1" s="1"/>
  <c r="CS1169" i="1"/>
  <c r="CT1169" i="1" s="1"/>
  <c r="CW1061" i="1"/>
  <c r="CA1145" i="1"/>
  <c r="CA1141" i="1"/>
  <c r="CS1065" i="1"/>
  <c r="CT1065" i="1" s="1"/>
  <c r="CA1560" i="1"/>
  <c r="CA1533" i="1"/>
  <c r="CS1067" i="1"/>
  <c r="CT1067" i="1" s="1"/>
  <c r="CS1250" i="1"/>
  <c r="CT1250" i="1" s="1"/>
  <c r="CS609" i="1"/>
  <c r="CT609" i="1" s="1"/>
  <c r="CS1157" i="1"/>
  <c r="CT1157" i="1" s="1"/>
  <c r="CS752" i="1"/>
  <c r="CT752" i="1" s="1"/>
  <c r="CW640" i="1"/>
  <c r="CV1170" i="1"/>
  <c r="DA1170" i="1" s="1"/>
  <c r="CS1171" i="1"/>
  <c r="CT1171" i="1" s="1"/>
  <c r="CA1053" i="1"/>
  <c r="CV741" i="1"/>
  <c r="DA741" i="1" s="1"/>
  <c r="CV1051" i="1"/>
  <c r="DA1051" i="1" s="1"/>
  <c r="CW1073" i="1"/>
  <c r="CA1066" i="1"/>
  <c r="CS1074" i="1"/>
  <c r="CT1074" i="1" s="1"/>
  <c r="CS1236" i="1"/>
  <c r="CT1236" i="1" s="1"/>
  <c r="CS608" i="1"/>
  <c r="CT608" i="1" s="1"/>
  <c r="CW605" i="1"/>
  <c r="CQ1625" i="1"/>
  <c r="CQ1159" i="1"/>
  <c r="CW1015" i="1"/>
  <c r="CY1015" i="1" s="1"/>
  <c r="FA1015" i="1" s="1"/>
  <c r="CS1633" i="1"/>
  <c r="CT1633" i="1" s="1"/>
  <c r="CR1172" i="1"/>
  <c r="CU1507" i="1"/>
  <c r="CS1088" i="1"/>
  <c r="CT1088" i="1" s="1"/>
  <c r="CW1074" i="1"/>
  <c r="CW1134" i="1"/>
  <c r="CA1262" i="1"/>
  <c r="CS1232" i="1"/>
  <c r="CT1232" i="1" s="1"/>
  <c r="CR1625" i="1"/>
  <c r="CR255" i="1"/>
  <c r="CU1274" i="1"/>
  <c r="DA1274" i="1" s="1"/>
  <c r="CW1156" i="1"/>
  <c r="CU1364" i="1"/>
  <c r="CQ1165" i="1"/>
  <c r="CU1162" i="1"/>
  <c r="CR1170" i="1"/>
  <c r="CA748" i="1"/>
  <c r="CR1429" i="1"/>
  <c r="CV1508" i="1"/>
  <c r="CV1625" i="1"/>
  <c r="DA1625" i="1" s="1"/>
  <c r="CV1054" i="1"/>
  <c r="DA1054" i="1" s="1"/>
  <c r="CS615" i="1"/>
  <c r="CT615" i="1" s="1"/>
  <c r="CR1543" i="1"/>
  <c r="CR638" i="1"/>
  <c r="CS1086" i="1"/>
  <c r="CT1086" i="1" s="1"/>
  <c r="CS913" i="1"/>
  <c r="CT913" i="1" s="1"/>
  <c r="CS1294" i="1"/>
  <c r="CT1294" i="1" s="1"/>
  <c r="CS928" i="1"/>
  <c r="CT928" i="1" s="1"/>
  <c r="CS1111" i="1"/>
  <c r="CT1111" i="1" s="1"/>
  <c r="CA695" i="1"/>
  <c r="CA1052" i="1"/>
  <c r="CA1069" i="1"/>
  <c r="CA1236" i="1"/>
  <c r="CU1429" i="1"/>
  <c r="CR1558" i="1"/>
  <c r="CS1078" i="1"/>
  <c r="CT1078" i="1" s="1"/>
  <c r="CA1082" i="1"/>
  <c r="CS1090" i="1"/>
  <c r="CT1090" i="1" s="1"/>
  <c r="CW1148" i="1"/>
  <c r="CR251" i="1"/>
  <c r="CS1600" i="1"/>
  <c r="CT1600" i="1" s="1"/>
  <c r="CU1166" i="1"/>
  <c r="CW1179" i="1"/>
  <c r="CW1183" i="1"/>
  <c r="CS927" i="1"/>
  <c r="CT927" i="1" s="1"/>
  <c r="CS730" i="1"/>
  <c r="CT730" i="1" s="1"/>
  <c r="CA1063" i="1"/>
  <c r="CS1061" i="1"/>
  <c r="CT1061" i="1" s="1"/>
  <c r="CR1293" i="1"/>
  <c r="CS728" i="1"/>
  <c r="CT728" i="1" s="1"/>
  <c r="CS743" i="1"/>
  <c r="CT743" i="1" s="1"/>
  <c r="CA1043" i="1"/>
  <c r="CA1039" i="1"/>
  <c r="CV1543" i="1"/>
  <c r="DA1543" i="1" s="1"/>
  <c r="CV1545" i="1"/>
  <c r="DA1545" i="1" s="1"/>
  <c r="CU1558" i="1"/>
  <c r="CA1564" i="1"/>
  <c r="CS1507" i="1"/>
  <c r="CT1507" i="1" s="1"/>
  <c r="CS1520" i="1"/>
  <c r="CT1520" i="1" s="1"/>
  <c r="CS1073" i="1"/>
  <c r="CT1073" i="1" s="1"/>
  <c r="CA1089" i="1"/>
  <c r="CS1092" i="1"/>
  <c r="CT1092" i="1" s="1"/>
  <c r="CQ1136" i="1"/>
  <c r="CV995" i="1"/>
  <c r="DA995" i="1" s="1"/>
  <c r="CW1248" i="1"/>
  <c r="CW1249" i="1"/>
  <c r="CW1633" i="1"/>
  <c r="CS251" i="1"/>
  <c r="CT251" i="1" s="1"/>
  <c r="CU256" i="1"/>
  <c r="CR1166" i="1"/>
  <c r="CS1293" i="1"/>
  <c r="CT1293" i="1" s="1"/>
  <c r="CS920" i="1"/>
  <c r="CT920" i="1" s="1"/>
  <c r="CS1112" i="1"/>
  <c r="CT1112" i="1" s="1"/>
  <c r="CA1109" i="1"/>
  <c r="CW945" i="1"/>
  <c r="CQ998" i="1"/>
  <c r="CS1054" i="1"/>
  <c r="CT1054" i="1" s="1"/>
  <c r="CS1543" i="1"/>
  <c r="CT1543" i="1" s="1"/>
  <c r="CW1543" i="1"/>
  <c r="CU1546" i="1"/>
  <c r="DA1546" i="1" s="1"/>
  <c r="CA1503" i="1"/>
  <c r="CA1504" i="1"/>
  <c r="CS1522" i="1"/>
  <c r="CT1522" i="1" s="1"/>
  <c r="CA1526" i="1"/>
  <c r="CW1081" i="1"/>
  <c r="CA914" i="1"/>
  <c r="CW1133" i="1"/>
  <c r="CR1633" i="1"/>
  <c r="CW1623" i="1"/>
  <c r="CW1351" i="1"/>
  <c r="CY1351" i="1" s="1"/>
  <c r="FA1351" i="1" s="1"/>
  <c r="CU251" i="1"/>
  <c r="CS1178" i="1"/>
  <c r="CT1178" i="1" s="1"/>
  <c r="CW1174" i="1"/>
  <c r="CU1293" i="1"/>
  <c r="CQ945" i="1"/>
  <c r="CA939" i="1"/>
  <c r="CW997" i="1"/>
  <c r="CA698" i="1"/>
  <c r="CS753" i="1"/>
  <c r="CT753" i="1" s="1"/>
  <c r="CW750" i="1"/>
  <c r="CU1043" i="1"/>
  <c r="CV1043" i="1"/>
  <c r="CQ1543" i="1"/>
  <c r="CS1545" i="1"/>
  <c r="CT1545" i="1" s="1"/>
  <c r="CS1529" i="1"/>
  <c r="CT1529" i="1" s="1"/>
  <c r="CS1552" i="1"/>
  <c r="CT1552" i="1" s="1"/>
  <c r="CQ1073" i="1"/>
  <c r="CW1078" i="1"/>
  <c r="CY1078" i="1" s="1"/>
  <c r="FA1078" i="1" s="1"/>
  <c r="CA1265" i="1"/>
  <c r="CW1173" i="1"/>
  <c r="CR1174" i="1"/>
  <c r="CR697" i="1"/>
  <c r="CA749" i="1"/>
  <c r="CQ750" i="1"/>
  <c r="CW1027" i="1"/>
  <c r="CY1027" i="1" s="1"/>
  <c r="FA1027" i="1" s="1"/>
  <c r="CW1035" i="1"/>
  <c r="CY1035" i="1" s="1"/>
  <c r="FA1035" i="1" s="1"/>
  <c r="CW1064" i="1"/>
  <c r="CS640" i="1"/>
  <c r="CT640" i="1" s="1"/>
  <c r="CR1073" i="1"/>
  <c r="CS1068" i="1"/>
  <c r="CT1068" i="1" s="1"/>
  <c r="CV1633" i="1"/>
  <c r="DA1633" i="1" s="1"/>
  <c r="CS1165" i="1"/>
  <c r="CT1165" i="1" s="1"/>
  <c r="CW1161" i="1"/>
  <c r="CU1178" i="1"/>
  <c r="CW1175" i="1"/>
  <c r="CU1174" i="1"/>
  <c r="CR1177" i="1"/>
  <c r="CQ1137" i="1"/>
  <c r="CW1149" i="1"/>
  <c r="CS922" i="1"/>
  <c r="CT922" i="1" s="1"/>
  <c r="CQ1109" i="1"/>
  <c r="CA942" i="1"/>
  <c r="CW696" i="1"/>
  <c r="CS732" i="1"/>
  <c r="CT732" i="1" s="1"/>
  <c r="CR750" i="1"/>
  <c r="CW744" i="1"/>
  <c r="CQ1042" i="1"/>
  <c r="CA1558" i="1"/>
  <c r="CA1534" i="1"/>
  <c r="CV1507" i="1"/>
  <c r="CR1527" i="1"/>
  <c r="CW1529" i="1"/>
  <c r="CS1080" i="1"/>
  <c r="CT1080" i="1" s="1"/>
  <c r="CW1116" i="1"/>
  <c r="CW1145" i="1"/>
  <c r="CS1141" i="1"/>
  <c r="CT1141" i="1" s="1"/>
  <c r="CS1227" i="1"/>
  <c r="CT1227" i="1" s="1"/>
  <c r="CA1620" i="1"/>
  <c r="CS1166" i="1"/>
  <c r="CT1166" i="1" s="1"/>
  <c r="CU1177" i="1"/>
  <c r="CR1137" i="1"/>
  <c r="BG1109" i="1" a="1"/>
  <c r="BG1109" i="1" s="1"/>
  <c r="CA937" i="1"/>
  <c r="CS963" i="1"/>
  <c r="CT963" i="1" s="1"/>
  <c r="CQ696" i="1"/>
  <c r="CA745" i="1"/>
  <c r="CA1511" i="1"/>
  <c r="CA1256" i="1"/>
  <c r="CA1126" i="1"/>
  <c r="CW83" i="1"/>
  <c r="CS1137" i="1"/>
  <c r="CT1137" i="1" s="1"/>
  <c r="CU744" i="1"/>
  <c r="CW742" i="1"/>
  <c r="CR1046" i="1"/>
  <c r="CV1015" i="1"/>
  <c r="DA1015" i="1" s="1"/>
  <c r="CA1062" i="1"/>
  <c r="CQ1233" i="1"/>
  <c r="CA1561" i="1"/>
  <c r="CR1530" i="1"/>
  <c r="CU1530" i="1"/>
  <c r="CV1530" i="1"/>
  <c r="CQ1551" i="1"/>
  <c r="CA1079" i="1"/>
  <c r="CA1080" i="1"/>
  <c r="CR1251" i="1"/>
  <c r="CU1251" i="1"/>
  <c r="CS1251" i="1"/>
  <c r="CT1251" i="1" s="1"/>
  <c r="CV1499" i="1"/>
  <c r="DA1499" i="1" s="1"/>
  <c r="CV1272" i="1"/>
  <c r="CU1272" i="1"/>
  <c r="CR1272" i="1"/>
  <c r="CQ1272" i="1"/>
  <c r="CA635" i="1"/>
  <c r="CA1247" i="1"/>
  <c r="CW1235" i="1"/>
  <c r="CS1235" i="1"/>
  <c r="CT1235" i="1" s="1"/>
  <c r="CR1235" i="1"/>
  <c r="CV1621" i="1"/>
  <c r="CU1621" i="1"/>
  <c r="CQ718" i="1"/>
  <c r="CW718" i="1"/>
  <c r="CV718" i="1"/>
  <c r="CU718" i="1"/>
  <c r="CS252" i="1"/>
  <c r="CT252" i="1" s="1"/>
  <c r="CV252" i="1"/>
  <c r="CU252" i="1"/>
  <c r="CQ252" i="1"/>
  <c r="CS718" i="1"/>
  <c r="CT718" i="1" s="1"/>
  <c r="CQ1621" i="1"/>
  <c r="CA1077" i="1"/>
  <c r="CA1091" i="1"/>
  <c r="CS1070" i="1"/>
  <c r="CT1070" i="1" s="1"/>
  <c r="CQ1070" i="1"/>
  <c r="CQ1249" i="1"/>
  <c r="CV1249" i="1"/>
  <c r="CU1249" i="1"/>
  <c r="CR633" i="1"/>
  <c r="CQ633" i="1"/>
  <c r="CU1514" i="1"/>
  <c r="CR1514" i="1"/>
  <c r="CV1514" i="1"/>
  <c r="CA1072" i="1"/>
  <c r="CR718" i="1"/>
  <c r="CV1117" i="1"/>
  <c r="CU1117" i="1"/>
  <c r="CA1569" i="1"/>
  <c r="CS1560" i="1"/>
  <c r="CT1560" i="1" s="1"/>
  <c r="CQ1514" i="1"/>
  <c r="CR1528" i="1"/>
  <c r="CU1528" i="1"/>
  <c r="CQ1528" i="1"/>
  <c r="CQ1117" i="1"/>
  <c r="CA1497" i="1"/>
  <c r="CS1505" i="1"/>
  <c r="CT1505" i="1" s="1"/>
  <c r="CS1547" i="1"/>
  <c r="CT1547" i="1" s="1"/>
  <c r="CA1565" i="1"/>
  <c r="CQ1538" i="1"/>
  <c r="CA1535" i="1"/>
  <c r="CA1536" i="1"/>
  <c r="CA1505" i="1"/>
  <c r="CS1528" i="1"/>
  <c r="CT1528" i="1" s="1"/>
  <c r="CR1249" i="1"/>
  <c r="CS1599" i="1"/>
  <c r="CT1599" i="1" s="1"/>
  <c r="CA1234" i="1"/>
  <c r="CU1161" i="1"/>
  <c r="CW1181" i="1"/>
  <c r="CU1181" i="1"/>
  <c r="DA1181" i="1" s="1"/>
  <c r="CR1181" i="1"/>
  <c r="CQ1181" i="1"/>
  <c r="CW1068" i="1"/>
  <c r="CY1068" i="1" s="1"/>
  <c r="FA1068" i="1" s="1"/>
  <c r="CA1071" i="1"/>
  <c r="CA1083" i="1"/>
  <c r="CA1084" i="1"/>
  <c r="CA1085" i="1"/>
  <c r="CA1086" i="1"/>
  <c r="CA1144" i="1"/>
  <c r="CQ1228" i="1"/>
  <c r="CQ687" i="1"/>
  <c r="CS1623" i="1"/>
  <c r="CT1623" i="1" s="1"/>
  <c r="CA1627" i="1"/>
  <c r="CQ1616" i="1"/>
  <c r="CA1366" i="1"/>
  <c r="CA1566" i="1"/>
  <c r="CR1074" i="1"/>
  <c r="CR1228" i="1"/>
  <c r="CR687" i="1"/>
  <c r="CV1616" i="1"/>
  <c r="DA1616" i="1" s="1"/>
  <c r="CQ1157" i="1"/>
  <c r="CU1175" i="1"/>
  <c r="CW1184" i="1"/>
  <c r="CU1184" i="1"/>
  <c r="CQ1184" i="1"/>
  <c r="CA1557" i="1"/>
  <c r="CW1075" i="1"/>
  <c r="CQ1545" i="1"/>
  <c r="CA1550" i="1"/>
  <c r="CS1567" i="1"/>
  <c r="CT1567" i="1" s="1"/>
  <c r="CR1522" i="1"/>
  <c r="CQ1075" i="1"/>
  <c r="CA1076" i="1"/>
  <c r="CW1080" i="1"/>
  <c r="CY1080" i="1" s="1"/>
  <c r="FA1080" i="1" s="1"/>
  <c r="CS1084" i="1"/>
  <c r="CT1084" i="1" s="1"/>
  <c r="CU1086" i="1"/>
  <c r="CQ1141" i="1"/>
  <c r="CS83" i="1"/>
  <c r="CT83" i="1" s="1"/>
  <c r="CQ1232" i="1"/>
  <c r="CS1233" i="1"/>
  <c r="CT1233" i="1" s="1"/>
  <c r="CA1227" i="1"/>
  <c r="CU687" i="1"/>
  <c r="DA687" i="1" s="1"/>
  <c r="CQ1619" i="1"/>
  <c r="CS1272" i="1"/>
  <c r="CT1272" i="1" s="1"/>
  <c r="CS253" i="1"/>
  <c r="CT253" i="1" s="1"/>
  <c r="CR1159" i="1"/>
  <c r="CR1157" i="1"/>
  <c r="CU1366" i="1"/>
  <c r="DA1366" i="1" s="1"/>
  <c r="CV1184" i="1"/>
  <c r="CR1168" i="1"/>
  <c r="CU1168" i="1"/>
  <c r="CS1180" i="1"/>
  <c r="CT1180" i="1" s="1"/>
  <c r="CU1180" i="1"/>
  <c r="CR1180" i="1"/>
  <c r="CQ1180" i="1"/>
  <c r="CA1501" i="1"/>
  <c r="CQ1522" i="1"/>
  <c r="CA631" i="1"/>
  <c r="CS1555" i="1"/>
  <c r="CT1555" i="1" s="1"/>
  <c r="CS1556" i="1"/>
  <c r="CT1556" i="1" s="1"/>
  <c r="CS1499" i="1"/>
  <c r="CT1499" i="1" s="1"/>
  <c r="CQ1511" i="1"/>
  <c r="CA1531" i="1"/>
  <c r="CR1552" i="1"/>
  <c r="CS1539" i="1"/>
  <c r="CT1539" i="1" s="1"/>
  <c r="CR1545" i="1"/>
  <c r="CS1559" i="1"/>
  <c r="CT1559" i="1" s="1"/>
  <c r="CQ1566" i="1"/>
  <c r="CQ1507" i="1"/>
  <c r="CS1514" i="1"/>
  <c r="CT1514" i="1" s="1"/>
  <c r="CA1517" i="1"/>
  <c r="CR1519" i="1"/>
  <c r="CU1522" i="1"/>
  <c r="DA1522" i="1" s="1"/>
  <c r="CU1529" i="1"/>
  <c r="CS1530" i="1"/>
  <c r="CT1530" i="1" s="1"/>
  <c r="CA1553" i="1"/>
  <c r="CU1552" i="1"/>
  <c r="DA1552" i="1" s="1"/>
  <c r="CQ1067" i="1"/>
  <c r="CR1075" i="1"/>
  <c r="CQ1081" i="1"/>
  <c r="CA1087" i="1"/>
  <c r="CV1086" i="1"/>
  <c r="CU1144" i="1"/>
  <c r="DA1144" i="1" s="1"/>
  <c r="CA1128" i="1"/>
  <c r="CS901" i="1"/>
  <c r="CT901" i="1" s="1"/>
  <c r="CW915" i="1"/>
  <c r="CW1136" i="1"/>
  <c r="CA1133" i="1"/>
  <c r="CR1141" i="1"/>
  <c r="CU1248" i="1"/>
  <c r="DA1248" i="1" s="1"/>
  <c r="CU1232" i="1"/>
  <c r="DA1232" i="1" s="1"/>
  <c r="CA1255" i="1"/>
  <c r="EY1255" i="1" s="1"/>
  <c r="CA1253" i="1"/>
  <c r="EY1253" i="1" s="1"/>
  <c r="CS687" i="1"/>
  <c r="CT687" i="1" s="1"/>
  <c r="CQ609" i="1"/>
  <c r="CU1619" i="1"/>
  <c r="DA1619" i="1" s="1"/>
  <c r="CR256" i="1"/>
  <c r="CV1157" i="1"/>
  <c r="DA1157" i="1" s="1"/>
  <c r="CR1155" i="1"/>
  <c r="CU1156" i="1"/>
  <c r="DA1156" i="1" s="1"/>
  <c r="CW1165" i="1"/>
  <c r="CY1165" i="1" s="1"/>
  <c r="FA1165" i="1" s="1"/>
  <c r="CU1164" i="1"/>
  <c r="CV1164" i="1"/>
  <c r="CQ1164" i="1"/>
  <c r="CU1176" i="1"/>
  <c r="CV1176" i="1"/>
  <c r="CQ1176" i="1"/>
  <c r="CV1473" i="1"/>
  <c r="CU1473" i="1"/>
  <c r="CQ1552" i="1"/>
  <c r="CQ1519" i="1"/>
  <c r="CR1529" i="1"/>
  <c r="CS1546" i="1"/>
  <c r="CT1546" i="1" s="1"/>
  <c r="CA1555" i="1"/>
  <c r="CA1563" i="1"/>
  <c r="CA1537" i="1"/>
  <c r="CA1516" i="1"/>
  <c r="CQ1527" i="1"/>
  <c r="CV1529" i="1"/>
  <c r="CV1134" i="1"/>
  <c r="DA1134" i="1" s="1"/>
  <c r="CA1124" i="1"/>
  <c r="CA719" i="1"/>
  <c r="CA1123" i="1"/>
  <c r="CS1249" i="1"/>
  <c r="CT1249" i="1" s="1"/>
  <c r="CR1242" i="1"/>
  <c r="CR609" i="1"/>
  <c r="CA1630" i="1"/>
  <c r="CS256" i="1"/>
  <c r="CT256" i="1" s="1"/>
  <c r="CV1155" i="1"/>
  <c r="CR1165" i="1"/>
  <c r="CU1165" i="1"/>
  <c r="DA1165" i="1" s="1"/>
  <c r="CS1161" i="1"/>
  <c r="CT1161" i="1" s="1"/>
  <c r="CR1472" i="1"/>
  <c r="CS1472" i="1"/>
  <c r="CT1472" i="1" s="1"/>
  <c r="CA923" i="1"/>
  <c r="CA729" i="1"/>
  <c r="CR1051" i="1"/>
  <c r="CS1175" i="1"/>
  <c r="CT1175" i="1" s="1"/>
  <c r="CV1172" i="1"/>
  <c r="CS1138" i="1"/>
  <c r="CT1138" i="1" s="1"/>
  <c r="CQ1271" i="1"/>
  <c r="CQ922" i="1"/>
  <c r="CS724" i="1"/>
  <c r="CT724" i="1" s="1"/>
  <c r="CQ721" i="1"/>
  <c r="CR734" i="1"/>
  <c r="CU1026" i="1"/>
  <c r="DA1026" i="1" s="1"/>
  <c r="CU1062" i="1"/>
  <c r="DA1062" i="1" s="1"/>
  <c r="CS1064" i="1"/>
  <c r="CT1064" i="1" s="1"/>
  <c r="CQ1059" i="1"/>
  <c r="CQ1040" i="1"/>
  <c r="CS1184" i="1"/>
  <c r="CT1184" i="1" s="1"/>
  <c r="CQ1170" i="1"/>
  <c r="CW1167" i="1"/>
  <c r="CU1138" i="1"/>
  <c r="DA1138" i="1" s="1"/>
  <c r="CR1271" i="1"/>
  <c r="CV1293" i="1"/>
  <c r="CR922" i="1"/>
  <c r="CU1111" i="1"/>
  <c r="DA1111" i="1" s="1"/>
  <c r="BG1485" i="1" a="1"/>
  <c r="BG1485" i="1" s="1"/>
  <c r="CW1185" i="1"/>
  <c r="CA946" i="1"/>
  <c r="CA940" i="1"/>
  <c r="CA727" i="1"/>
  <c r="CQ728" i="1"/>
  <c r="CA1065" i="1"/>
  <c r="CW1047" i="1"/>
  <c r="CV1052" i="1"/>
  <c r="CV1059" i="1"/>
  <c r="DA1059" i="1" s="1"/>
  <c r="CU689" i="1"/>
  <c r="CS1271" i="1"/>
  <c r="CT1271" i="1" s="1"/>
  <c r="CW1293" i="1"/>
  <c r="CW925" i="1"/>
  <c r="CW1110" i="1"/>
  <c r="CW930" i="1"/>
  <c r="CY930" i="1" s="1"/>
  <c r="FA930" i="1" s="1"/>
  <c r="CS946" i="1"/>
  <c r="CT946" i="1" s="1"/>
  <c r="CW940" i="1"/>
  <c r="CS998" i="1"/>
  <c r="CT998" i="1" s="1"/>
  <c r="CQ697" i="1"/>
  <c r="CW727" i="1"/>
  <c r="CA751" i="1"/>
  <c r="CR728" i="1"/>
  <c r="CS1036" i="1"/>
  <c r="CT1036" i="1" s="1"/>
  <c r="CQ1046" i="1"/>
  <c r="CA1041" i="1"/>
  <c r="CU1040" i="1"/>
  <c r="DA1040" i="1" s="1"/>
  <c r="CS734" i="1"/>
  <c r="CT734" i="1" s="1"/>
  <c r="CA1057" i="1"/>
  <c r="CU1167" i="1"/>
  <c r="CQ1183" i="1"/>
  <c r="CQ1182" i="1"/>
  <c r="CS1286" i="1"/>
  <c r="CT1286" i="1" s="1"/>
  <c r="CS1287" i="1"/>
  <c r="CT1287" i="1" s="1"/>
  <c r="CR927" i="1"/>
  <c r="CQ1112" i="1"/>
  <c r="CW937" i="1"/>
  <c r="CQ740" i="1"/>
  <c r="CV725" i="1"/>
  <c r="DA725" i="1" s="1"/>
  <c r="CQ722" i="1"/>
  <c r="CS746" i="1"/>
  <c r="CT746" i="1" s="1"/>
  <c r="CV750" i="1"/>
  <c r="DA750" i="1" s="1"/>
  <c r="CR747" i="1"/>
  <c r="CS742" i="1"/>
  <c r="CT742" i="1" s="1"/>
  <c r="CW1025" i="1"/>
  <c r="CY1025" i="1" s="1"/>
  <c r="FA1025" i="1" s="1"/>
  <c r="CU1049" i="1"/>
  <c r="DA1049" i="1" s="1"/>
  <c r="CA1048" i="1"/>
  <c r="CU1046" i="1"/>
  <c r="DA1046" i="1" s="1"/>
  <c r="CW1022" i="1"/>
  <c r="CY1022" i="1" s="1"/>
  <c r="FA1022" i="1" s="1"/>
  <c r="CW1013" i="1"/>
  <c r="CY1013" i="1" s="1"/>
  <c r="FA1013" i="1" s="1"/>
  <c r="CU1035" i="1"/>
  <c r="CR1064" i="1"/>
  <c r="CQ1058" i="1"/>
  <c r="CU1031" i="1"/>
  <c r="DA1031" i="1" s="1"/>
  <c r="CW1006" i="1"/>
  <c r="CY1006" i="1" s="1"/>
  <c r="FA1006" i="1" s="1"/>
  <c r="CQ1041" i="1"/>
  <c r="CS1040" i="1"/>
  <c r="CT1040" i="1" s="1"/>
  <c r="CS1168" i="1"/>
  <c r="CT1168" i="1" s="1"/>
  <c r="CS1181" i="1"/>
  <c r="CT1181" i="1" s="1"/>
  <c r="CV1167" i="1"/>
  <c r="CU1183" i="1"/>
  <c r="CS1176" i="1"/>
  <c r="CT1176" i="1" s="1"/>
  <c r="CR1182" i="1"/>
  <c r="CS1473" i="1"/>
  <c r="CT1473" i="1" s="1"/>
  <c r="CW1286" i="1"/>
  <c r="CY1286" i="1" s="1"/>
  <c r="FA1286" i="1" s="1"/>
  <c r="CW1294" i="1"/>
  <c r="CU927" i="1"/>
  <c r="DA927" i="1" s="1"/>
  <c r="CU918" i="1"/>
  <c r="CQ997" i="1"/>
  <c r="CW698" i="1"/>
  <c r="CS722" i="1"/>
  <c r="CT722" i="1" s="1"/>
  <c r="CU743" i="1"/>
  <c r="DA743" i="1" s="1"/>
  <c r="CU1025" i="1"/>
  <c r="CU1022" i="1"/>
  <c r="DA1022" i="1" s="1"/>
  <c r="CW1021" i="1"/>
  <c r="CY1021" i="1" s="1"/>
  <c r="FA1021" i="1" s="1"/>
  <c r="CW1020" i="1"/>
  <c r="CY1020" i="1" s="1"/>
  <c r="FA1020" i="1" s="1"/>
  <c r="CV1018" i="1"/>
  <c r="DA1018" i="1" s="1"/>
  <c r="CR1058" i="1"/>
  <c r="CV1009" i="1"/>
  <c r="DA1009" i="1" s="1"/>
  <c r="CV1008" i="1"/>
  <c r="DA1008" i="1" s="1"/>
  <c r="CV1030" i="1"/>
  <c r="DA1030" i="1" s="1"/>
  <c r="CR1041" i="1"/>
  <c r="CW1164" i="1"/>
  <c r="CV1183" i="1"/>
  <c r="CA925" i="1"/>
  <c r="CW1052" i="1"/>
  <c r="CU1041" i="1"/>
  <c r="DA1041" i="1" s="1"/>
  <c r="CA1539" i="1"/>
  <c r="CA1546" i="1"/>
  <c r="CW1546" i="1"/>
  <c r="CA1541" i="1"/>
  <c r="CQ1498" i="1"/>
  <c r="CV1501" i="1"/>
  <c r="CW1501" i="1"/>
  <c r="CV1523" i="1"/>
  <c r="CU1523" i="1"/>
  <c r="CW1070" i="1"/>
  <c r="CW719" i="1"/>
  <c r="CV719" i="1"/>
  <c r="CU719" i="1"/>
  <c r="CR719" i="1"/>
  <c r="CQ719" i="1"/>
  <c r="CS1254" i="1"/>
  <c r="CT1254" i="1" s="1"/>
  <c r="CR1254" i="1"/>
  <c r="CU1501" i="1"/>
  <c r="CQ1521" i="1"/>
  <c r="CV1521" i="1"/>
  <c r="CR1521" i="1"/>
  <c r="CV639" i="1"/>
  <c r="CU639" i="1"/>
  <c r="CR639" i="1"/>
  <c r="CQ639" i="1"/>
  <c r="CV637" i="1"/>
  <c r="CU637" i="1"/>
  <c r="CS637" i="1"/>
  <c r="CT637" i="1" s="1"/>
  <c r="CQ637" i="1"/>
  <c r="CS636" i="1"/>
  <c r="CT636" i="1" s="1"/>
  <c r="CA1067" i="1"/>
  <c r="CW1067" i="1"/>
  <c r="CW635" i="1"/>
  <c r="CV635" i="1"/>
  <c r="CQ635" i="1"/>
  <c r="CQ1565" i="1"/>
  <c r="CV1506" i="1"/>
  <c r="CU1506" i="1"/>
  <c r="CR1506" i="1"/>
  <c r="CW1509" i="1"/>
  <c r="CU635" i="1"/>
  <c r="CR1539" i="1"/>
  <c r="CQ1568" i="1"/>
  <c r="CR1498" i="1"/>
  <c r="CV1539" i="1"/>
  <c r="DA1539" i="1" s="1"/>
  <c r="CA1562" i="1"/>
  <c r="CQ1496" i="1"/>
  <c r="CQ1497" i="1"/>
  <c r="CU1498" i="1"/>
  <c r="DA1498" i="1" s="1"/>
  <c r="CU1547" i="1"/>
  <c r="CV1547" i="1"/>
  <c r="CR1496" i="1"/>
  <c r="CR1497" i="1"/>
  <c r="CQ1500" i="1"/>
  <c r="CV1500" i="1"/>
  <c r="DA1500" i="1" s="1"/>
  <c r="CA1512" i="1"/>
  <c r="CU1521" i="1"/>
  <c r="CR637" i="1"/>
  <c r="CQ634" i="1"/>
  <c r="CV634" i="1"/>
  <c r="DA634" i="1" s="1"/>
  <c r="CR634" i="1"/>
  <c r="CS964" i="1"/>
  <c r="CT964" i="1" s="1"/>
  <c r="CA964" i="1"/>
  <c r="CA82" i="1"/>
  <c r="CV1502" i="1"/>
  <c r="DA1502" i="1" s="1"/>
  <c r="CS1561" i="1"/>
  <c r="CT1561" i="1" s="1"/>
  <c r="CQ1560" i="1"/>
  <c r="CW1502" i="1"/>
  <c r="CS1553" i="1"/>
  <c r="CT1553" i="1" s="1"/>
  <c r="CW1552" i="1"/>
  <c r="CA1552" i="1"/>
  <c r="CV636" i="1"/>
  <c r="CW636" i="1"/>
  <c r="CU636" i="1"/>
  <c r="CR636" i="1"/>
  <c r="CQ636" i="1"/>
  <c r="CA1088" i="1"/>
  <c r="CW1088" i="1"/>
  <c r="CV964" i="1"/>
  <c r="CU964" i="1"/>
  <c r="CR964" i="1"/>
  <c r="CQ964" i="1"/>
  <c r="CQ1539" i="1"/>
  <c r="CW1531" i="1"/>
  <c r="CA1090" i="1"/>
  <c r="CW1090" i="1"/>
  <c r="CW1128" i="1"/>
  <c r="CR1128" i="1"/>
  <c r="CQ1128" i="1"/>
  <c r="CS1496" i="1"/>
  <c r="CT1496" i="1" s="1"/>
  <c r="CS1497" i="1"/>
  <c r="CT1497" i="1" s="1"/>
  <c r="CU1497" i="1"/>
  <c r="DA1497" i="1" s="1"/>
  <c r="CU1496" i="1"/>
  <c r="DA1496" i="1" s="1"/>
  <c r="CA1545" i="1"/>
  <c r="CA1549" i="1"/>
  <c r="CR1567" i="1"/>
  <c r="CU1562" i="1"/>
  <c r="CR1562" i="1"/>
  <c r="CA1502" i="1"/>
  <c r="CU1513" i="1"/>
  <c r="CW1084" i="1"/>
  <c r="CA1523" i="1"/>
  <c r="CR1070" i="1"/>
  <c r="CW1262" i="1"/>
  <c r="CS995" i="1"/>
  <c r="CT995" i="1" s="1"/>
  <c r="CR1232" i="1"/>
  <c r="CA1251" i="1"/>
  <c r="CQ691" i="1"/>
  <c r="CR1616" i="1"/>
  <c r="CV1357" i="1"/>
  <c r="CU1357" i="1"/>
  <c r="CA1092" i="1"/>
  <c r="CA1068" i="1"/>
  <c r="CQ1229" i="1"/>
  <c r="CR691" i="1"/>
  <c r="CA1632" i="1"/>
  <c r="CU1631" i="1"/>
  <c r="CQ1631" i="1"/>
  <c r="CA1508" i="1"/>
  <c r="CA1510" i="1"/>
  <c r="CA632" i="1"/>
  <c r="CR1268" i="1"/>
  <c r="CQ913" i="1"/>
  <c r="CQ1262" i="1"/>
  <c r="CQ1116" i="1"/>
  <c r="CS1247" i="1"/>
  <c r="CT1247" i="1" s="1"/>
  <c r="CQ1250" i="1"/>
  <c r="CU691" i="1"/>
  <c r="DA691" i="1" s="1"/>
  <c r="CQ608" i="1"/>
  <c r="CQ1618" i="1"/>
  <c r="CW1622" i="1"/>
  <c r="CV1622" i="1"/>
  <c r="CR1622" i="1"/>
  <c r="CQ1622" i="1"/>
  <c r="CQ1499" i="1"/>
  <c r="CU1515" i="1"/>
  <c r="CA1519" i="1"/>
  <c r="CA1524" i="1"/>
  <c r="CU1527" i="1"/>
  <c r="DA1527" i="1" s="1"/>
  <c r="CV1528" i="1"/>
  <c r="CQ640" i="1"/>
  <c r="CQ1090" i="1"/>
  <c r="CQ1092" i="1"/>
  <c r="CQ1068" i="1"/>
  <c r="CS1081" i="1"/>
  <c r="CT1081" i="1" s="1"/>
  <c r="CU1268" i="1"/>
  <c r="CQ1134" i="1"/>
  <c r="CQ915" i="1"/>
  <c r="CR913" i="1"/>
  <c r="CR1262" i="1"/>
  <c r="CV1136" i="1"/>
  <c r="DA1136" i="1" s="1"/>
  <c r="CQ995" i="1"/>
  <c r="CA1119" i="1"/>
  <c r="CR1116" i="1"/>
  <c r="CQ1145" i="1"/>
  <c r="CV1247" i="1"/>
  <c r="CA1249" i="1"/>
  <c r="CR1250" i="1"/>
  <c r="CR1257" i="1"/>
  <c r="CR608" i="1"/>
  <c r="CA609" i="1"/>
  <c r="CA605" i="1"/>
  <c r="CA615" i="1"/>
  <c r="CR1618" i="1"/>
  <c r="CQ1623" i="1"/>
  <c r="CW1626" i="1"/>
  <c r="CU1622" i="1"/>
  <c r="CA1559" i="1"/>
  <c r="CS1564" i="1"/>
  <c r="CT1564" i="1" s="1"/>
  <c r="CR1499" i="1"/>
  <c r="CU1508" i="1"/>
  <c r="CS1513" i="1"/>
  <c r="CT1513" i="1" s="1"/>
  <c r="CV1515" i="1"/>
  <c r="CS1521" i="1"/>
  <c r="CT1521" i="1" s="1"/>
  <c r="CA1532" i="1"/>
  <c r="CS1551" i="1"/>
  <c r="CT1551" i="1" s="1"/>
  <c r="CR640" i="1"/>
  <c r="CS632" i="1"/>
  <c r="CT632" i="1" s="1"/>
  <c r="CQ1078" i="1"/>
  <c r="CR1090" i="1"/>
  <c r="CR1092" i="1"/>
  <c r="CR1068" i="1"/>
  <c r="CQ1080" i="1"/>
  <c r="CQ1084" i="1"/>
  <c r="CQ1086" i="1"/>
  <c r="CV1268" i="1"/>
  <c r="CR1134" i="1"/>
  <c r="CV915" i="1"/>
  <c r="CV913" i="1"/>
  <c r="DA913" i="1" s="1"/>
  <c r="CS1262" i="1"/>
  <c r="CT1262" i="1" s="1"/>
  <c r="CR995" i="1"/>
  <c r="CV1116" i="1"/>
  <c r="CU1250" i="1"/>
  <c r="DA1250" i="1" s="1"/>
  <c r="CQ1251" i="1"/>
  <c r="CS1253" i="1"/>
  <c r="CT1253" i="1" s="1"/>
  <c r="CW1131" i="1"/>
  <c r="CS691" i="1"/>
  <c r="CT691" i="1" s="1"/>
  <c r="CU608" i="1"/>
  <c r="DA608" i="1" s="1"/>
  <c r="CU1618" i="1"/>
  <c r="DA1618" i="1" s="1"/>
  <c r="CR1623" i="1"/>
  <c r="CS1616" i="1"/>
  <c r="CT1616" i="1" s="1"/>
  <c r="CW1497" i="1"/>
  <c r="CW1498" i="1"/>
  <c r="CS1500" i="1"/>
  <c r="CT1500" i="1" s="1"/>
  <c r="CS1506" i="1"/>
  <c r="CT1506" i="1" s="1"/>
  <c r="CA1509" i="1"/>
  <c r="CW1515" i="1"/>
  <c r="CU640" i="1"/>
  <c r="DA640" i="1" s="1"/>
  <c r="CS638" i="1"/>
  <c r="CT638" i="1" s="1"/>
  <c r="CA633" i="1"/>
  <c r="CS1075" i="1"/>
  <c r="CT1075" i="1" s="1"/>
  <c r="CS1134" i="1"/>
  <c r="CT1134" i="1" s="1"/>
  <c r="CS719" i="1"/>
  <c r="CT719" i="1" s="1"/>
  <c r="CU1262" i="1"/>
  <c r="DA1262" i="1" s="1"/>
  <c r="CW1117" i="1"/>
  <c r="CW964" i="1"/>
  <c r="CW1119" i="1"/>
  <c r="CA1118" i="1"/>
  <c r="CA1235" i="1"/>
  <c r="CA687" i="1"/>
  <c r="CW609" i="1"/>
  <c r="CU1623" i="1"/>
  <c r="DA1623" i="1" s="1"/>
  <c r="CV1352" i="1"/>
  <c r="CU1352" i="1"/>
  <c r="CA1525" i="1"/>
  <c r="CA1554" i="1"/>
  <c r="CW1092" i="1"/>
  <c r="CA1258" i="1"/>
  <c r="CA1252" i="1"/>
  <c r="CW1254" i="1"/>
  <c r="CS1618" i="1"/>
  <c r="CT1618" i="1" s="1"/>
  <c r="CA1176" i="1"/>
  <c r="CW1350" i="1"/>
  <c r="CY1350" i="1" s="1"/>
  <c r="FA1350" i="1" s="1"/>
  <c r="CR254" i="1"/>
  <c r="CS255" i="1"/>
  <c r="CT255" i="1" s="1"/>
  <c r="CW1157" i="1"/>
  <c r="CU1155" i="1"/>
  <c r="CQ1365" i="1"/>
  <c r="CV1364" i="1"/>
  <c r="CV1162" i="1"/>
  <c r="CV1178" i="1"/>
  <c r="CQ1173" i="1"/>
  <c r="CS1174" i="1"/>
  <c r="CT1174" i="1" s="1"/>
  <c r="CV1168" i="1"/>
  <c r="CS1177" i="1"/>
  <c r="CT1177" i="1" s="1"/>
  <c r="CV1180" i="1"/>
  <c r="CU1172" i="1"/>
  <c r="CQ1179" i="1"/>
  <c r="CU1472" i="1"/>
  <c r="CA1294" i="1"/>
  <c r="CS1428" i="1"/>
  <c r="CT1428" i="1" s="1"/>
  <c r="CV689" i="1"/>
  <c r="CS1429" i="1"/>
  <c r="CT1429" i="1" s="1"/>
  <c r="CS921" i="1"/>
  <c r="CT921" i="1" s="1"/>
  <c r="CS254" i="1"/>
  <c r="CT254" i="1" s="1"/>
  <c r="CR1365" i="1"/>
  <c r="CS1364" i="1"/>
  <c r="CT1364" i="1" s="1"/>
  <c r="CW1162" i="1"/>
  <c r="CR1173" i="1"/>
  <c r="CR1179" i="1"/>
  <c r="CV1472" i="1"/>
  <c r="CU1428" i="1"/>
  <c r="DA1428" i="1" s="1"/>
  <c r="CW689" i="1"/>
  <c r="CA920" i="1"/>
  <c r="CV1350" i="1"/>
  <c r="DA1350" i="1" s="1"/>
  <c r="CV251" i="1"/>
  <c r="CQ253" i="1"/>
  <c r="CU254" i="1"/>
  <c r="CV256" i="1"/>
  <c r="CV255" i="1"/>
  <c r="CQ1160" i="1"/>
  <c r="CQ1154" i="1"/>
  <c r="CQ1366" i="1"/>
  <c r="CU1365" i="1"/>
  <c r="DA1365" i="1" s="1"/>
  <c r="CS1162" i="1"/>
  <c r="CT1162" i="1" s="1"/>
  <c r="CQ1161" i="1"/>
  <c r="CR1163" i="1"/>
  <c r="CQ1175" i="1"/>
  <c r="CR1184" i="1"/>
  <c r="CU1173" i="1"/>
  <c r="CV1174" i="1"/>
  <c r="CQ1169" i="1"/>
  <c r="CV1177" i="1"/>
  <c r="CR1164" i="1"/>
  <c r="CQ1171" i="1"/>
  <c r="CU1179" i="1"/>
  <c r="CR1183" i="1"/>
  <c r="CR1176" i="1"/>
  <c r="CQ1286" i="1"/>
  <c r="CQ1294" i="1"/>
  <c r="CQ1287" i="1"/>
  <c r="CV1429" i="1"/>
  <c r="CS918" i="1"/>
  <c r="CT918" i="1" s="1"/>
  <c r="CR918" i="1"/>
  <c r="CA1110" i="1"/>
  <c r="CR253" i="1"/>
  <c r="CV254" i="1"/>
  <c r="CW255" i="1"/>
  <c r="CA1158" i="1"/>
  <c r="CR1160" i="1"/>
  <c r="CR1154" i="1"/>
  <c r="CR1366" i="1"/>
  <c r="CR1161" i="1"/>
  <c r="CV1163" i="1"/>
  <c r="DA1163" i="1" s="1"/>
  <c r="CR1175" i="1"/>
  <c r="CV1173" i="1"/>
  <c r="CR1169" i="1"/>
  <c r="CS1172" i="1"/>
  <c r="CT1172" i="1" s="1"/>
  <c r="CR1171" i="1"/>
  <c r="CV1179" i="1"/>
  <c r="CS1183" i="1"/>
  <c r="CT1183" i="1" s="1"/>
  <c r="CW1472" i="1"/>
  <c r="CR1286" i="1"/>
  <c r="CR1294" i="1"/>
  <c r="CW1429" i="1"/>
  <c r="CA926" i="1"/>
  <c r="CR921" i="1"/>
  <c r="CQ921" i="1"/>
  <c r="CW917" i="1"/>
  <c r="CV917" i="1"/>
  <c r="CS527" i="1"/>
  <c r="CR527" i="1"/>
  <c r="CQ527" i="1"/>
  <c r="CV1154" i="1"/>
  <c r="CS1365" i="1"/>
  <c r="CT1365" i="1" s="1"/>
  <c r="CA1629" i="1"/>
  <c r="CS1622" i="1"/>
  <c r="CT1622" i="1" s="1"/>
  <c r="CR252" i="1"/>
  <c r="CU253" i="1"/>
  <c r="DA253" i="1" s="1"/>
  <c r="CA256" i="1"/>
  <c r="CS1158" i="1"/>
  <c r="CT1158" i="1" s="1"/>
  <c r="CU1599" i="1"/>
  <c r="CS1366" i="1"/>
  <c r="CT1366" i="1" s="1"/>
  <c r="CQ1364" i="1"/>
  <c r="CQ1162" i="1"/>
  <c r="CV1161" i="1"/>
  <c r="CQ1178" i="1"/>
  <c r="CV1175" i="1"/>
  <c r="CS1173" i="1"/>
  <c r="CT1173" i="1" s="1"/>
  <c r="CQ1168" i="1"/>
  <c r="CU1169" i="1"/>
  <c r="DA1169" i="1" s="1"/>
  <c r="CU1171" i="1"/>
  <c r="DA1171" i="1" s="1"/>
  <c r="CS1179" i="1"/>
  <c r="CT1179" i="1" s="1"/>
  <c r="CA1182" i="1"/>
  <c r="CQ1472" i="1"/>
  <c r="CW903" i="1"/>
  <c r="CY903" i="1" s="1"/>
  <c r="FA903" i="1" s="1"/>
  <c r="CU1286" i="1"/>
  <c r="DA1286" i="1" s="1"/>
  <c r="CU1294" i="1"/>
  <c r="DA1294" i="1" s="1"/>
  <c r="CV1149" i="1"/>
  <c r="CQ926" i="1"/>
  <c r="CV921" i="1"/>
  <c r="DA921" i="1" s="1"/>
  <c r="CR917" i="1"/>
  <c r="CV1110" i="1"/>
  <c r="CU1110" i="1"/>
  <c r="CA1626" i="1"/>
  <c r="CU986" i="1"/>
  <c r="CA1160" i="1"/>
  <c r="CQ1155" i="1"/>
  <c r="CV1599" i="1"/>
  <c r="CA1367" i="1"/>
  <c r="CS1167" i="1"/>
  <c r="CT1167" i="1" s="1"/>
  <c r="CS1164" i="1"/>
  <c r="CT1164" i="1" s="1"/>
  <c r="CA903" i="1"/>
  <c r="CQ1110" i="1"/>
  <c r="BG1112" i="1" a="1"/>
  <c r="BG1112" i="1" s="1"/>
  <c r="CU1112" i="1"/>
  <c r="DA1112" i="1" s="1"/>
  <c r="CR1112" i="1"/>
  <c r="CA721" i="1"/>
  <c r="CV732" i="1"/>
  <c r="DA732" i="1" s="1"/>
  <c r="CW724" i="1"/>
  <c r="CW748" i="1"/>
  <c r="CS735" i="1"/>
  <c r="CT735" i="1" s="1"/>
  <c r="CV735" i="1"/>
  <c r="DA735" i="1" s="1"/>
  <c r="CV742" i="1"/>
  <c r="CW944" i="1"/>
  <c r="CY944" i="1" s="1"/>
  <c r="FA944" i="1" s="1"/>
  <c r="CQ937" i="1"/>
  <c r="CA935" i="1"/>
  <c r="CQ939" i="1"/>
  <c r="CQ963" i="1"/>
  <c r="CR696" i="1"/>
  <c r="CW732" i="1"/>
  <c r="CA730" i="1"/>
  <c r="CQ738" i="1"/>
  <c r="CQ725" i="1"/>
  <c r="CQ749" i="1"/>
  <c r="CU722" i="1"/>
  <c r="CU728" i="1"/>
  <c r="DA728" i="1" s="1"/>
  <c r="CQ723" i="1"/>
  <c r="CQ752" i="1"/>
  <c r="CQ726" i="1"/>
  <c r="CR746" i="1"/>
  <c r="CV734" i="1"/>
  <c r="DA734" i="1" s="1"/>
  <c r="CA733" i="1"/>
  <c r="CQ741" i="1"/>
  <c r="CV1025" i="1"/>
  <c r="CR1036" i="1"/>
  <c r="CW1049" i="1"/>
  <c r="CQ1048" i="1"/>
  <c r="CV1019" i="1"/>
  <c r="DA1019" i="1" s="1"/>
  <c r="CU1020" i="1"/>
  <c r="CV1035" i="1"/>
  <c r="CA1038" i="1"/>
  <c r="CS919" i="1"/>
  <c r="CT919" i="1" s="1"/>
  <c r="CQ927" i="1"/>
  <c r="BG1110" i="1" a="1"/>
  <c r="BG1110" i="1" s="1"/>
  <c r="CW943" i="1"/>
  <c r="CY943" i="1" s="1"/>
  <c r="FA943" i="1" s="1"/>
  <c r="CU937" i="1"/>
  <c r="DA937" i="1" s="1"/>
  <c r="CA941" i="1"/>
  <c r="CR939" i="1"/>
  <c r="CR963" i="1"/>
  <c r="CU696" i="1"/>
  <c r="DA696" i="1" s="1"/>
  <c r="CU738" i="1"/>
  <c r="DA738" i="1" s="1"/>
  <c r="CR725" i="1"/>
  <c r="CR749" i="1"/>
  <c r="CV722" i="1"/>
  <c r="CR752" i="1"/>
  <c r="CR741" i="1"/>
  <c r="CV1036" i="1"/>
  <c r="DA1036" i="1" s="1"/>
  <c r="CR1049" i="1"/>
  <c r="CR1048" i="1"/>
  <c r="CU1034" i="1"/>
  <c r="DA1034" i="1" s="1"/>
  <c r="CW1019" i="1"/>
  <c r="CY1019" i="1" s="1"/>
  <c r="FA1019" i="1" s="1"/>
  <c r="CV1020" i="1"/>
  <c r="CU1014" i="1"/>
  <c r="DA1014" i="1" s="1"/>
  <c r="CV1017" i="1"/>
  <c r="DA1017" i="1" s="1"/>
  <c r="CQ1062" i="1"/>
  <c r="CQ1061" i="1"/>
  <c r="CU1064" i="1"/>
  <c r="CR1059" i="1"/>
  <c r="CS1058" i="1"/>
  <c r="CT1058" i="1" s="1"/>
  <c r="CW1011" i="1"/>
  <c r="CY1011" i="1" s="1"/>
  <c r="FA1011" i="1" s="1"/>
  <c r="CV1006" i="1"/>
  <c r="CV943" i="1"/>
  <c r="CW936" i="1"/>
  <c r="CA933" i="1"/>
  <c r="CA697" i="1"/>
  <c r="CS725" i="1"/>
  <c r="CT725" i="1" s="1"/>
  <c r="CU749" i="1"/>
  <c r="DA749" i="1" s="1"/>
  <c r="CA735" i="1"/>
  <c r="CU1013" i="1"/>
  <c r="DA1013" i="1" s="1"/>
  <c r="CW1017" i="1"/>
  <c r="CY1017" i="1" s="1"/>
  <c r="FA1017" i="1" s="1"/>
  <c r="CS1045" i="1"/>
  <c r="CT1045" i="1" s="1"/>
  <c r="CR1062" i="1"/>
  <c r="CR1061" i="1"/>
  <c r="CR1052" i="1"/>
  <c r="CV1064" i="1"/>
  <c r="CU1058" i="1"/>
  <c r="DA1058" i="1" s="1"/>
  <c r="CR1050" i="1"/>
  <c r="CS1043" i="1"/>
  <c r="CT1043" i="1" s="1"/>
  <c r="CS1041" i="1"/>
  <c r="CT1041" i="1" s="1"/>
  <c r="CA740" i="1"/>
  <c r="CA753" i="1"/>
  <c r="CA922" i="1"/>
  <c r="CW934" i="1"/>
  <c r="CW933" i="1"/>
  <c r="CA938" i="1"/>
  <c r="CR997" i="1"/>
  <c r="CR698" i="1"/>
  <c r="CS696" i="1"/>
  <c r="CT696" i="1" s="1"/>
  <c r="CQ732" i="1"/>
  <c r="CQ729" i="1"/>
  <c r="CQ724" i="1"/>
  <c r="CA723" i="1"/>
  <c r="CQ735" i="1"/>
  <c r="CQ742" i="1"/>
  <c r="CQ733" i="1"/>
  <c r="CS741" i="1"/>
  <c r="CT741" i="1" s="1"/>
  <c r="CW1046" i="1"/>
  <c r="CU1032" i="1"/>
  <c r="DA1032" i="1" s="1"/>
  <c r="CQ1044" i="1"/>
  <c r="CQ1063" i="1"/>
  <c r="CU1061" i="1"/>
  <c r="DA1061" i="1" s="1"/>
  <c r="CQ1060" i="1"/>
  <c r="CA1055" i="1"/>
  <c r="CU997" i="1"/>
  <c r="DA997" i="1" s="1"/>
  <c r="CU698" i="1"/>
  <c r="CR732" i="1"/>
  <c r="CU729" i="1"/>
  <c r="DA729" i="1" s="1"/>
  <c r="CW725" i="1"/>
  <c r="CR724" i="1"/>
  <c r="CR735" i="1"/>
  <c r="CR742" i="1"/>
  <c r="CA1037" i="1"/>
  <c r="CS1049" i="1"/>
  <c r="CT1049" i="1" s="1"/>
  <c r="CS1062" i="1"/>
  <c r="CT1062" i="1" s="1"/>
  <c r="CS1039" i="1"/>
  <c r="CT1039" i="1" s="1"/>
  <c r="CS997" i="1"/>
  <c r="CT997" i="1" s="1"/>
  <c r="CV698" i="1"/>
  <c r="CS729" i="1"/>
  <c r="CT729" i="1" s="1"/>
  <c r="CA738" i="1"/>
  <c r="CW749" i="1"/>
  <c r="CV724" i="1"/>
  <c r="DA724" i="1" s="1"/>
  <c r="CA726" i="1"/>
  <c r="CU742" i="1"/>
  <c r="CW1018" i="1"/>
  <c r="CY1018" i="1" s="1"/>
  <c r="FA1018" i="1" s="1"/>
  <c r="CA1047" i="1"/>
  <c r="CA1064" i="1"/>
  <c r="CW1043" i="1"/>
  <c r="CW1246" i="1"/>
  <c r="CV1246" i="1"/>
  <c r="CU1246" i="1"/>
  <c r="CQ1246" i="1"/>
  <c r="CW630" i="1"/>
  <c r="CW1354" i="1"/>
  <c r="CY1354" i="1" s="1"/>
  <c r="FA1354" i="1" s="1"/>
  <c r="CQ709" i="1"/>
  <c r="CU709" i="1"/>
  <c r="CR709" i="1"/>
  <c r="CV1551" i="1"/>
  <c r="DA1551" i="1" s="1"/>
  <c r="CV1237" i="1"/>
  <c r="CU1354" i="1"/>
  <c r="DA1354" i="1" s="1"/>
  <c r="BP994" i="1"/>
  <c r="BQ994" i="1" s="1"/>
  <c r="CA994" i="1" s="1"/>
  <c r="CP985" i="1"/>
  <c r="CR985" i="1" s="1"/>
  <c r="CP984" i="1"/>
  <c r="CR984" i="1" s="1"/>
  <c r="CV986" i="1"/>
  <c r="CA965" i="1"/>
  <c r="BX1598" i="1"/>
  <c r="BZ1598" i="1" s="1"/>
  <c r="CA1598" i="1" s="1"/>
  <c r="CQ1163" i="1"/>
  <c r="CP1477" i="1"/>
  <c r="CQ1477" i="1" s="1"/>
  <c r="CA1185" i="1"/>
  <c r="CV932" i="1"/>
  <c r="CU945" i="1"/>
  <c r="DA945" i="1" s="1"/>
  <c r="CV947" i="1"/>
  <c r="DA947" i="1" s="1"/>
  <c r="CP992" i="1"/>
  <c r="CQ992" i="1" s="1"/>
  <c r="CA1127" i="1"/>
  <c r="CR1229" i="1"/>
  <c r="CP1349" i="1"/>
  <c r="BP1273" i="1"/>
  <c r="BQ1273" i="1" s="1"/>
  <c r="CS1273" i="1" s="1"/>
  <c r="CT1273" i="1" s="1"/>
  <c r="BP709" i="1"/>
  <c r="BQ709" i="1" s="1"/>
  <c r="CS709" i="1" s="1"/>
  <c r="CT709" i="1" s="1"/>
  <c r="BP989" i="1"/>
  <c r="BQ989" i="1" s="1"/>
  <c r="BP990" i="1"/>
  <c r="BQ990" i="1" s="1"/>
  <c r="CA990" i="1" s="1"/>
  <c r="CS1163" i="1"/>
  <c r="CT1163" i="1" s="1"/>
  <c r="CA1473" i="1"/>
  <c r="BP1480" i="1"/>
  <c r="BQ1480" i="1" s="1"/>
  <c r="BO1477" i="1"/>
  <c r="CP1474" i="1"/>
  <c r="CV1474" i="1" s="1"/>
  <c r="CP1475" i="1"/>
  <c r="CV1475" i="1" s="1"/>
  <c r="CQ524" i="1"/>
  <c r="CP1484" i="1"/>
  <c r="CU1484" i="1" s="1"/>
  <c r="CR1185" i="1"/>
  <c r="CQ946" i="1"/>
  <c r="CA936" i="1"/>
  <c r="CU935" i="1"/>
  <c r="DA935" i="1" s="1"/>
  <c r="CQ933" i="1"/>
  <c r="CQ630" i="1"/>
  <c r="BP1239" i="1"/>
  <c r="BQ1239" i="1" s="1"/>
  <c r="CA1239" i="1" s="1"/>
  <c r="CU1229" i="1"/>
  <c r="DA1229" i="1" s="1"/>
  <c r="CP1243" i="1"/>
  <c r="CR1243" i="1" s="1"/>
  <c r="BP987" i="1"/>
  <c r="BQ987" i="1" s="1"/>
  <c r="CS932" i="1"/>
  <c r="CT932" i="1" s="1"/>
  <c r="CA714" i="1"/>
  <c r="CR630" i="1"/>
  <c r="CA747" i="1"/>
  <c r="CR1551" i="1"/>
  <c r="BP1237" i="1"/>
  <c r="BQ1237" i="1" s="1"/>
  <c r="CS1237" i="1" s="1"/>
  <c r="CT1237" i="1" s="1"/>
  <c r="BO1349" i="1"/>
  <c r="CP1479" i="1"/>
  <c r="CW1479" i="1" s="1"/>
  <c r="CV630" i="1"/>
  <c r="DA630" i="1" s="1"/>
  <c r="CW1238" i="1"/>
  <c r="CA1241" i="1"/>
  <c r="CA1230" i="1"/>
  <c r="BW1127" i="1"/>
  <c r="CU1355" i="1"/>
  <c r="DA1355" i="1" s="1"/>
  <c r="CU1273" i="1"/>
  <c r="BW710" i="1"/>
  <c r="BP711" i="1"/>
  <c r="BQ711" i="1" s="1"/>
  <c r="BX1599" i="1"/>
  <c r="BZ1599" i="1" s="1"/>
  <c r="CW1599" i="1" s="1"/>
  <c r="CU1600" i="1"/>
  <c r="BO1479" i="1"/>
  <c r="BX1476" i="1"/>
  <c r="BZ1476" i="1" s="1"/>
  <c r="CQ525" i="1"/>
  <c r="CQ932" i="1"/>
  <c r="CQ947" i="1"/>
  <c r="BW630" i="1"/>
  <c r="CA34" i="1"/>
  <c r="CR1237" i="1"/>
  <c r="CP1230" i="1"/>
  <c r="CR1230" i="1" s="1"/>
  <c r="CV1273" i="1"/>
  <c r="CA985" i="1"/>
  <c r="CU932" i="1"/>
  <c r="CA743" i="1"/>
  <c r="CW1547" i="1"/>
  <c r="CA1547" i="1"/>
  <c r="CA1530" i="1"/>
  <c r="CW1530" i="1"/>
  <c r="CA1548" i="1"/>
  <c r="CW1548" i="1"/>
  <c r="CW1540" i="1"/>
  <c r="CA1540" i="1"/>
  <c r="CA1542" i="1"/>
  <c r="CW1542" i="1"/>
  <c r="CS1568" i="1"/>
  <c r="CT1568" i="1" s="1"/>
  <c r="CA1568" i="1"/>
  <c r="CR1541" i="1"/>
  <c r="CU1541" i="1"/>
  <c r="CS1541" i="1"/>
  <c r="CT1541" i="1" s="1"/>
  <c r="CQ1541" i="1"/>
  <c r="CQ1550" i="1"/>
  <c r="CW1550" i="1"/>
  <c r="CV1550" i="1"/>
  <c r="CU1550" i="1"/>
  <c r="CA1567" i="1"/>
  <c r="CQ1542" i="1"/>
  <c r="CV1542" i="1"/>
  <c r="CU1542" i="1"/>
  <c r="CS1542" i="1"/>
  <c r="CT1542" i="1" s="1"/>
  <c r="CS1544" i="1"/>
  <c r="CT1544" i="1" s="1"/>
  <c r="CS1550" i="1"/>
  <c r="CT1550" i="1" s="1"/>
  <c r="CU1569" i="1"/>
  <c r="CQ1555" i="1"/>
  <c r="CW1555" i="1"/>
  <c r="CV1555" i="1"/>
  <c r="CU1555" i="1"/>
  <c r="CA1556" i="1"/>
  <c r="CR1561" i="1"/>
  <c r="CV1565" i="1"/>
  <c r="CW1565" i="1"/>
  <c r="CU1565" i="1"/>
  <c r="CQ1537" i="1"/>
  <c r="CW1537" i="1"/>
  <c r="CU1537" i="1"/>
  <c r="CV1537" i="1"/>
  <c r="CS1537" i="1"/>
  <c r="CT1537" i="1" s="1"/>
  <c r="CW1538" i="1"/>
  <c r="CU1538" i="1"/>
  <c r="CS1538" i="1"/>
  <c r="CT1538" i="1" s="1"/>
  <c r="CV1538" i="1"/>
  <c r="CW1523" i="1"/>
  <c r="CA1551" i="1"/>
  <c r="EY1551" i="1" s="1"/>
  <c r="CW1551" i="1"/>
  <c r="CA634" i="1"/>
  <c r="CW634" i="1"/>
  <c r="CW1625" i="1"/>
  <c r="CA1625" i="1"/>
  <c r="CS1540" i="1"/>
  <c r="CT1540" i="1" s="1"/>
  <c r="CU1540" i="1"/>
  <c r="CQ1540" i="1"/>
  <c r="CR1540" i="1"/>
  <c r="CA1543" i="1"/>
  <c r="CW1556" i="1"/>
  <c r="CV1556" i="1"/>
  <c r="CU1556" i="1"/>
  <c r="CS1562" i="1"/>
  <c r="CT1562" i="1" s="1"/>
  <c r="CV1562" i="1"/>
  <c r="CW1562" i="1"/>
  <c r="CQ1505" i="1"/>
  <c r="CW1505" i="1"/>
  <c r="CV1505" i="1"/>
  <c r="CU1505" i="1"/>
  <c r="CU1510" i="1"/>
  <c r="CV1510" i="1"/>
  <c r="CR1510" i="1"/>
  <c r="CQ1510" i="1"/>
  <c r="CS1510" i="1"/>
  <c r="CT1510" i="1" s="1"/>
  <c r="CA1513" i="1"/>
  <c r="CW1514" i="1"/>
  <c r="CA1514" i="1"/>
  <c r="CR1520" i="1"/>
  <c r="CW1520" i="1"/>
  <c r="CV1520" i="1"/>
  <c r="DA1520" i="1" s="1"/>
  <c r="CU1531" i="1"/>
  <c r="CQ1531" i="1"/>
  <c r="CS1531" i="1"/>
  <c r="CT1531" i="1" s="1"/>
  <c r="CR1531" i="1"/>
  <c r="CW1532" i="1"/>
  <c r="CV1532" i="1"/>
  <c r="CU1532" i="1"/>
  <c r="CS1532" i="1"/>
  <c r="CT1532" i="1" s="1"/>
  <c r="CU1554" i="1"/>
  <c r="CV1554" i="1"/>
  <c r="CW1554" i="1"/>
  <c r="CS1554" i="1"/>
  <c r="CT1554" i="1" s="1"/>
  <c r="CA1232" i="1"/>
  <c r="CW1232" i="1"/>
  <c r="CR1549" i="1"/>
  <c r="CV1549" i="1"/>
  <c r="CU1549" i="1"/>
  <c r="CS1549" i="1"/>
  <c r="CT1549" i="1" s="1"/>
  <c r="CW1539" i="1"/>
  <c r="CV1540" i="1"/>
  <c r="CV1568" i="1"/>
  <c r="CW1568" i="1"/>
  <c r="CU1568" i="1"/>
  <c r="CQ1556" i="1"/>
  <c r="CQ1559" i="1"/>
  <c r="CW1559" i="1"/>
  <c r="CV1559" i="1"/>
  <c r="CU1559" i="1"/>
  <c r="CQ1562" i="1"/>
  <c r="CA1496" i="1"/>
  <c r="CW1496" i="1"/>
  <c r="CR1504" i="1"/>
  <c r="CW1504" i="1"/>
  <c r="CS1504" i="1"/>
  <c r="CT1504" i="1" s="1"/>
  <c r="CV1504" i="1"/>
  <c r="CU1504" i="1"/>
  <c r="CR1505" i="1"/>
  <c r="CW1510" i="1"/>
  <c r="CS1511" i="1"/>
  <c r="CT1511" i="1" s="1"/>
  <c r="CU1511" i="1"/>
  <c r="CW1511" i="1"/>
  <c r="CV1511" i="1"/>
  <c r="CQ1513" i="1"/>
  <c r="CW1513" i="1"/>
  <c r="CV1513" i="1"/>
  <c r="CS1519" i="1"/>
  <c r="CT1519" i="1" s="1"/>
  <c r="CW1519" i="1"/>
  <c r="CV1519" i="1"/>
  <c r="DA1519" i="1" s="1"/>
  <c r="CQ1520" i="1"/>
  <c r="CV1531" i="1"/>
  <c r="CQ1532" i="1"/>
  <c r="CQ1554" i="1"/>
  <c r="CR1553" i="1"/>
  <c r="CV1553" i="1"/>
  <c r="CW1553" i="1"/>
  <c r="CU1553" i="1"/>
  <c r="CA1274" i="1"/>
  <c r="CW1274" i="1"/>
  <c r="CW1560" i="1"/>
  <c r="CV1560" i="1"/>
  <c r="CU1560" i="1"/>
  <c r="CS1565" i="1"/>
  <c r="CT1565" i="1" s="1"/>
  <c r="CS1566" i="1"/>
  <c r="CT1566" i="1" s="1"/>
  <c r="CV1566" i="1"/>
  <c r="CW1566" i="1"/>
  <c r="CU1566" i="1"/>
  <c r="CW1516" i="1"/>
  <c r="CU1516" i="1"/>
  <c r="DA1516" i="1" s="1"/>
  <c r="CR1516" i="1"/>
  <c r="CQ1516" i="1"/>
  <c r="CS1516" i="1"/>
  <c r="CT1516" i="1" s="1"/>
  <c r="CU1526" i="1"/>
  <c r="CV1526" i="1"/>
  <c r="CW1526" i="1"/>
  <c r="CS1526" i="1"/>
  <c r="CT1526" i="1" s="1"/>
  <c r="CV1557" i="1"/>
  <c r="CW1557" i="1"/>
  <c r="CU1557" i="1"/>
  <c r="CQ1563" i="1"/>
  <c r="CW1563" i="1"/>
  <c r="CV1563" i="1"/>
  <c r="CU1563" i="1"/>
  <c r="CS1498" i="1"/>
  <c r="CT1498" i="1" s="1"/>
  <c r="CA1498" i="1"/>
  <c r="CR1512" i="1"/>
  <c r="CU1512" i="1"/>
  <c r="CW1512" i="1"/>
  <c r="CV1512" i="1"/>
  <c r="CV1517" i="1"/>
  <c r="CW1517" i="1"/>
  <c r="CU1517" i="1"/>
  <c r="CS1517" i="1"/>
  <c r="CT1517" i="1" s="1"/>
  <c r="CR1517" i="1"/>
  <c r="CA1522" i="1"/>
  <c r="CW1522" i="1"/>
  <c r="CV1525" i="1"/>
  <c r="CW1525" i="1"/>
  <c r="CU1525" i="1"/>
  <c r="CS1525" i="1"/>
  <c r="CT1525" i="1" s="1"/>
  <c r="CQ1549" i="1"/>
  <c r="CR1563" i="1"/>
  <c r="CW1564" i="1"/>
  <c r="CV1564" i="1"/>
  <c r="CU1564" i="1"/>
  <c r="CQ1533" i="1"/>
  <c r="CW1533" i="1"/>
  <c r="CV1533" i="1"/>
  <c r="CU1533" i="1"/>
  <c r="CS1533" i="1"/>
  <c r="CT1533" i="1" s="1"/>
  <c r="CW1534" i="1"/>
  <c r="CU1534" i="1"/>
  <c r="CV1534" i="1"/>
  <c r="CS1534" i="1"/>
  <c r="CT1534" i="1" s="1"/>
  <c r="CV1535" i="1"/>
  <c r="CU1535" i="1"/>
  <c r="CW1535" i="1"/>
  <c r="CS1535" i="1"/>
  <c r="CT1535" i="1" s="1"/>
  <c r="CQ1512" i="1"/>
  <c r="CQ1517" i="1"/>
  <c r="CU1518" i="1"/>
  <c r="CW1518" i="1"/>
  <c r="CV1518" i="1"/>
  <c r="CS1518" i="1"/>
  <c r="CT1518" i="1" s="1"/>
  <c r="CR1518" i="1"/>
  <c r="CW1524" i="1"/>
  <c r="CV1524" i="1"/>
  <c r="CR1524" i="1"/>
  <c r="CU1524" i="1"/>
  <c r="CS1524" i="1"/>
  <c r="CT1524" i="1" s="1"/>
  <c r="CQ1525" i="1"/>
  <c r="CR1526" i="1"/>
  <c r="CA1529" i="1"/>
  <c r="CV1544" i="1"/>
  <c r="DA1544" i="1" s="1"/>
  <c r="CW1544" i="1"/>
  <c r="CQ1544" i="1"/>
  <c r="CW1549" i="1"/>
  <c r="CR1557" i="1"/>
  <c r="CV1561" i="1"/>
  <c r="CW1561" i="1"/>
  <c r="CU1561" i="1"/>
  <c r="CS1563" i="1"/>
  <c r="CT1563" i="1" s="1"/>
  <c r="CQ1564" i="1"/>
  <c r="CR1533" i="1"/>
  <c r="CQ1534" i="1"/>
  <c r="CQ1535" i="1"/>
  <c r="CS1536" i="1"/>
  <c r="CT1536" i="1" s="1"/>
  <c r="CV1536" i="1"/>
  <c r="CU1536" i="1"/>
  <c r="CW1536" i="1"/>
  <c r="CA1506" i="1"/>
  <c r="CW1506" i="1"/>
  <c r="CA1507" i="1"/>
  <c r="CW1507" i="1"/>
  <c r="CS1512" i="1"/>
  <c r="CT1512" i="1" s="1"/>
  <c r="CQ1518" i="1"/>
  <c r="CA1521" i="1"/>
  <c r="CW1521" i="1"/>
  <c r="CR1525" i="1"/>
  <c r="CV1089" i="1"/>
  <c r="CU1089" i="1"/>
  <c r="CW1089" i="1"/>
  <c r="CS1089" i="1"/>
  <c r="CT1089" i="1" s="1"/>
  <c r="CR1089" i="1"/>
  <c r="CQ1089" i="1"/>
  <c r="CS1569" i="1"/>
  <c r="CT1569" i="1" s="1"/>
  <c r="CW1569" i="1"/>
  <c r="CV1569" i="1"/>
  <c r="CQ1557" i="1"/>
  <c r="CV1541" i="1"/>
  <c r="CW1541" i="1"/>
  <c r="CR1544" i="1"/>
  <c r="CS1548" i="1"/>
  <c r="CT1548" i="1" s="1"/>
  <c r="CV1548" i="1"/>
  <c r="CU1548" i="1"/>
  <c r="CR1548" i="1"/>
  <c r="CR1550" i="1"/>
  <c r="CW1567" i="1"/>
  <c r="CV1567" i="1"/>
  <c r="CU1567" i="1"/>
  <c r="CR1569" i="1"/>
  <c r="CS1557" i="1"/>
  <c r="CT1557" i="1" s="1"/>
  <c r="CS1558" i="1"/>
  <c r="CT1558" i="1" s="1"/>
  <c r="CW1558" i="1"/>
  <c r="CV1558" i="1"/>
  <c r="CQ1561" i="1"/>
  <c r="CR1564" i="1"/>
  <c r="CR1534" i="1"/>
  <c r="CR1535" i="1"/>
  <c r="CQ1536" i="1"/>
  <c r="CA1538" i="1"/>
  <c r="CS1503" i="1"/>
  <c r="CT1503" i="1" s="1"/>
  <c r="CW1503" i="1"/>
  <c r="CV1503" i="1"/>
  <c r="CU1503" i="1"/>
  <c r="CR1503" i="1"/>
  <c r="CW1527" i="1"/>
  <c r="CA1527" i="1"/>
  <c r="CW1528" i="1"/>
  <c r="CA1528" i="1"/>
  <c r="CA638" i="1"/>
  <c r="CA254" i="1"/>
  <c r="CW254" i="1"/>
  <c r="CA1515" i="1"/>
  <c r="CA1520" i="1"/>
  <c r="CS1523" i="1"/>
  <c r="CT1523" i="1" s="1"/>
  <c r="CV1077" i="1"/>
  <c r="CU1077" i="1"/>
  <c r="CW1077" i="1"/>
  <c r="CS1077" i="1"/>
  <c r="CT1077" i="1" s="1"/>
  <c r="CR1077" i="1"/>
  <c r="CQ1077" i="1"/>
  <c r="CA1075" i="1"/>
  <c r="CV1071" i="1"/>
  <c r="CU1071" i="1"/>
  <c r="CW1071" i="1"/>
  <c r="CR1071" i="1"/>
  <c r="CQ1071" i="1"/>
  <c r="CS1071" i="1"/>
  <c r="CT1071" i="1" s="1"/>
  <c r="CA913" i="1"/>
  <c r="CW913" i="1"/>
  <c r="CU1238" i="1"/>
  <c r="DA1238" i="1" s="1"/>
  <c r="CW1237" i="1"/>
  <c r="CQ1245" i="1"/>
  <c r="CW1245" i="1"/>
  <c r="CU1245" i="1"/>
  <c r="DA1245" i="1" s="1"/>
  <c r="CR1245" i="1"/>
  <c r="CW687" i="1"/>
  <c r="CA608" i="1"/>
  <c r="BP1348" i="1"/>
  <c r="BQ1348" i="1" s="1"/>
  <c r="CA1348" i="1" s="1"/>
  <c r="CP1348" i="1"/>
  <c r="BO1348" i="1"/>
  <c r="BX709" i="1"/>
  <c r="BZ709" i="1" s="1"/>
  <c r="CV709" i="1"/>
  <c r="BW709" i="1"/>
  <c r="CP711" i="1"/>
  <c r="CP983" i="1"/>
  <c r="CA1111" i="1"/>
  <c r="CW1111" i="1"/>
  <c r="CA636" i="1"/>
  <c r="CV1076" i="1"/>
  <c r="CU1076" i="1"/>
  <c r="CW1076" i="1"/>
  <c r="CR1076" i="1"/>
  <c r="CQ1076" i="1"/>
  <c r="CS1076" i="1"/>
  <c r="CT1076" i="1" s="1"/>
  <c r="CS1256" i="1"/>
  <c r="CT1256" i="1" s="1"/>
  <c r="CW1139" i="1"/>
  <c r="CV1139" i="1"/>
  <c r="CU1139" i="1"/>
  <c r="CS1139" i="1"/>
  <c r="CT1139" i="1" s="1"/>
  <c r="CR1139" i="1"/>
  <c r="CA83" i="1"/>
  <c r="CW1233" i="1"/>
  <c r="CV1233" i="1"/>
  <c r="CU1233" i="1"/>
  <c r="CR1244" i="1"/>
  <c r="CQ1244" i="1"/>
  <c r="CU1244" i="1"/>
  <c r="CW1244" i="1"/>
  <c r="CV1244" i="1"/>
  <c r="CW691" i="1"/>
  <c r="CA691" i="1"/>
  <c r="CS605" i="1"/>
  <c r="CT605" i="1" s="1"/>
  <c r="CR605" i="1"/>
  <c r="CU605" i="1"/>
  <c r="DA605" i="1" s="1"/>
  <c r="CQ605" i="1"/>
  <c r="CA1624" i="1"/>
  <c r="CW1355" i="1"/>
  <c r="CY1355" i="1" s="1"/>
  <c r="FA1355" i="1" s="1"/>
  <c r="CA1155" i="1"/>
  <c r="CS1155" i="1"/>
  <c r="CX1155" i="1" s="1"/>
  <c r="CW1366" i="1"/>
  <c r="CV1083" i="1"/>
  <c r="CU1083" i="1"/>
  <c r="CW1083" i="1"/>
  <c r="CR1083" i="1"/>
  <c r="CS1083" i="1"/>
  <c r="CT1083" i="1" s="1"/>
  <c r="CQ1083" i="1"/>
  <c r="CA1268" i="1"/>
  <c r="CW1268" i="1"/>
  <c r="CW1124" i="1"/>
  <c r="CV1124" i="1"/>
  <c r="CU1124" i="1"/>
  <c r="CS1124" i="1"/>
  <c r="CT1124" i="1" s="1"/>
  <c r="CR1258" i="1"/>
  <c r="CQ1258" i="1"/>
  <c r="CU1258" i="1"/>
  <c r="CS1258" i="1"/>
  <c r="CT1258" i="1" s="1"/>
  <c r="CV1255" i="1"/>
  <c r="CU1255" i="1"/>
  <c r="CW1255" i="1"/>
  <c r="CS1255" i="1"/>
  <c r="CT1255" i="1" s="1"/>
  <c r="CR1255" i="1"/>
  <c r="CV1234" i="1"/>
  <c r="CU1234" i="1"/>
  <c r="CW1234" i="1"/>
  <c r="CR1234" i="1"/>
  <c r="CS1234" i="1"/>
  <c r="CT1234" i="1" s="1"/>
  <c r="CQ1234" i="1"/>
  <c r="CA1228" i="1"/>
  <c r="CW1228" i="1"/>
  <c r="CR1231" i="1"/>
  <c r="CV1231" i="1"/>
  <c r="CU1231" i="1"/>
  <c r="CQ1231" i="1"/>
  <c r="CU1127" i="1"/>
  <c r="CS1127" i="1"/>
  <c r="CT1127" i="1" s="1"/>
  <c r="CV1127" i="1"/>
  <c r="CW1127" i="1"/>
  <c r="CR1127" i="1"/>
  <c r="CV1620" i="1"/>
  <c r="CU1620" i="1"/>
  <c r="CW1620" i="1"/>
  <c r="CS1620" i="1"/>
  <c r="CT1620" i="1" s="1"/>
  <c r="CR1620" i="1"/>
  <c r="CQ1620" i="1"/>
  <c r="CW1632" i="1"/>
  <c r="CV1632" i="1"/>
  <c r="CU1632" i="1"/>
  <c r="CS1632" i="1"/>
  <c r="CT1632" i="1" s="1"/>
  <c r="CS1630" i="1"/>
  <c r="CT1630" i="1" s="1"/>
  <c r="CR1630" i="1"/>
  <c r="CW1630" i="1"/>
  <c r="CW1624" i="1"/>
  <c r="CS1624" i="1"/>
  <c r="CT1624" i="1" s="1"/>
  <c r="CR1624" i="1"/>
  <c r="CV1624" i="1"/>
  <c r="CU1624" i="1"/>
  <c r="CQ1624" i="1"/>
  <c r="CW252" i="1"/>
  <c r="CW965" i="1"/>
  <c r="CV965" i="1"/>
  <c r="CR965" i="1"/>
  <c r="CQ965" i="1"/>
  <c r="CU965" i="1"/>
  <c r="CS965" i="1"/>
  <c r="CT965" i="1" s="1"/>
  <c r="CA1428" i="1"/>
  <c r="CW1428" i="1"/>
  <c r="CV1069" i="1"/>
  <c r="CU1069" i="1"/>
  <c r="CW1069" i="1"/>
  <c r="CR1069" i="1"/>
  <c r="CQ1069" i="1"/>
  <c r="CS1069" i="1"/>
  <c r="CT1069" i="1" s="1"/>
  <c r="CV1091" i="1"/>
  <c r="CU1091" i="1"/>
  <c r="CW1091" i="1"/>
  <c r="CQ1091" i="1"/>
  <c r="CS1091" i="1"/>
  <c r="CT1091" i="1" s="1"/>
  <c r="CR1091" i="1"/>
  <c r="CQ1124" i="1"/>
  <c r="CA901" i="1"/>
  <c r="CV1258" i="1"/>
  <c r="CU82" i="1"/>
  <c r="CS82" i="1"/>
  <c r="CT82" i="1" s="1"/>
  <c r="CW82" i="1"/>
  <c r="CV82" i="1"/>
  <c r="CQ1255" i="1"/>
  <c r="BP1231" i="1"/>
  <c r="BQ1231" i="1" s="1"/>
  <c r="CS1231" i="1" s="1"/>
  <c r="CT1231" i="1" s="1"/>
  <c r="CW1257" i="1"/>
  <c r="CV1257" i="1"/>
  <c r="CU1257" i="1"/>
  <c r="CQ1127" i="1"/>
  <c r="CA1621" i="1"/>
  <c r="CW1621" i="1"/>
  <c r="CQ1632" i="1"/>
  <c r="CA1619" i="1"/>
  <c r="CW1619" i="1"/>
  <c r="CW1629" i="1"/>
  <c r="CV1629" i="1"/>
  <c r="CU1629" i="1"/>
  <c r="CS1629" i="1"/>
  <c r="CT1629" i="1" s="1"/>
  <c r="CV1617" i="1"/>
  <c r="CU1617" i="1"/>
  <c r="CW1617" i="1"/>
  <c r="CS1617" i="1"/>
  <c r="CT1617" i="1" s="1"/>
  <c r="CQ1630" i="1"/>
  <c r="CA921" i="1"/>
  <c r="CW921" i="1"/>
  <c r="CA640" i="1"/>
  <c r="CA1078" i="1"/>
  <c r="CV1072" i="1"/>
  <c r="CU1072" i="1"/>
  <c r="CW1072" i="1"/>
  <c r="CR1072" i="1"/>
  <c r="CS1072" i="1"/>
  <c r="CT1072" i="1" s="1"/>
  <c r="CQ1072" i="1"/>
  <c r="CA1074" i="1"/>
  <c r="CR1124" i="1"/>
  <c r="CR901" i="1"/>
  <c r="CQ901" i="1"/>
  <c r="CW901" i="1"/>
  <c r="CV901" i="1"/>
  <c r="DA901" i="1" s="1"/>
  <c r="CW1258" i="1"/>
  <c r="CQ82" i="1"/>
  <c r="CA1254" i="1"/>
  <c r="CW1239" i="1"/>
  <c r="BW1131" i="1"/>
  <c r="CR1632" i="1"/>
  <c r="CQ1629" i="1"/>
  <c r="CS1631" i="1"/>
  <c r="CT1631" i="1" s="1"/>
  <c r="CR1631" i="1"/>
  <c r="CW1631" i="1"/>
  <c r="CQ1617" i="1"/>
  <c r="CU1630" i="1"/>
  <c r="CP988" i="1"/>
  <c r="BP988" i="1"/>
  <c r="BQ988" i="1" s="1"/>
  <c r="CA988" i="1" s="1"/>
  <c r="CA251" i="1"/>
  <c r="CW251" i="1"/>
  <c r="CA1365" i="1"/>
  <c r="CW1365" i="1"/>
  <c r="CA1177" i="1"/>
  <c r="CW1177" i="1"/>
  <c r="CA639" i="1"/>
  <c r="CW639" i="1"/>
  <c r="CV1082" i="1"/>
  <c r="CU1082" i="1"/>
  <c r="CW1082" i="1"/>
  <c r="CR1082" i="1"/>
  <c r="CQ1082" i="1"/>
  <c r="CS1082" i="1"/>
  <c r="CT1082" i="1" s="1"/>
  <c r="CA1081" i="1"/>
  <c r="CV1079" i="1"/>
  <c r="CU1079" i="1"/>
  <c r="CW1079" i="1"/>
  <c r="CR1079" i="1"/>
  <c r="CS1079" i="1"/>
  <c r="CT1079" i="1" s="1"/>
  <c r="CQ1079" i="1"/>
  <c r="CS914" i="1"/>
  <c r="CT914" i="1" s="1"/>
  <c r="CW914" i="1"/>
  <c r="CU914" i="1"/>
  <c r="CV914" i="1"/>
  <c r="CS1148" i="1"/>
  <c r="CT1148" i="1" s="1"/>
  <c r="CA995" i="1"/>
  <c r="CW995" i="1"/>
  <c r="CR82" i="1"/>
  <c r="CA1250" i="1"/>
  <c r="CW1250" i="1"/>
  <c r="CV1236" i="1"/>
  <c r="CU1236" i="1"/>
  <c r="CW1236" i="1"/>
  <c r="CA1240" i="1"/>
  <c r="CR1238" i="1"/>
  <c r="CQ1238" i="1"/>
  <c r="CA1243" i="1"/>
  <c r="CA1131" i="1"/>
  <c r="CV615" i="1"/>
  <c r="CU615" i="1"/>
  <c r="CW615" i="1"/>
  <c r="CA1618" i="1"/>
  <c r="CA1616" i="1"/>
  <c r="CW1616" i="1"/>
  <c r="CY1616" i="1" s="1"/>
  <c r="FA1616" i="1" s="1"/>
  <c r="CV1630" i="1"/>
  <c r="CA1352" i="1"/>
  <c r="CW1352" i="1"/>
  <c r="CY1352" i="1" s="1"/>
  <c r="FA1352" i="1" s="1"/>
  <c r="CW1273" i="1"/>
  <c r="BX989" i="1"/>
  <c r="BZ989" i="1" s="1"/>
  <c r="BW989" i="1"/>
  <c r="CA1172" i="1"/>
  <c r="CW1172" i="1"/>
  <c r="CV631" i="1"/>
  <c r="CU631" i="1"/>
  <c r="CW631" i="1"/>
  <c r="CR631" i="1"/>
  <c r="CS631" i="1"/>
  <c r="CT631" i="1" s="1"/>
  <c r="CQ631" i="1"/>
  <c r="CV1087" i="1"/>
  <c r="CU1087" i="1"/>
  <c r="CW1087" i="1"/>
  <c r="CS1087" i="1"/>
  <c r="CT1087" i="1" s="1"/>
  <c r="CR1087" i="1"/>
  <c r="CQ1087" i="1"/>
  <c r="CA915" i="1"/>
  <c r="CQ914" i="1"/>
  <c r="CV1260" i="1"/>
  <c r="CU1260" i="1"/>
  <c r="CS1260" i="1"/>
  <c r="CT1260" i="1" s="1"/>
  <c r="CR1260" i="1"/>
  <c r="CW1260" i="1"/>
  <c r="CQ1260" i="1"/>
  <c r="CU1133" i="1"/>
  <c r="CS1133" i="1"/>
  <c r="CT1133" i="1" s="1"/>
  <c r="CV1133" i="1"/>
  <c r="CR1133" i="1"/>
  <c r="CV1126" i="1"/>
  <c r="CU1126" i="1"/>
  <c r="CW1126" i="1"/>
  <c r="CQ1126" i="1"/>
  <c r="CS1126" i="1"/>
  <c r="CT1126" i="1" s="1"/>
  <c r="CR1126" i="1"/>
  <c r="CV34" i="1"/>
  <c r="CU34" i="1"/>
  <c r="CW34" i="1"/>
  <c r="CQ34" i="1"/>
  <c r="CS34" i="1"/>
  <c r="CT34" i="1" s="1"/>
  <c r="CR34" i="1"/>
  <c r="CA1248" i="1"/>
  <c r="CW1227" i="1"/>
  <c r="CQ1236" i="1"/>
  <c r="BP1238" i="1"/>
  <c r="BQ1238" i="1" s="1"/>
  <c r="CS1238" i="1" s="1"/>
  <c r="CT1238" i="1" s="1"/>
  <c r="CW1231" i="1"/>
  <c r="CQ615" i="1"/>
  <c r="CA1623" i="1"/>
  <c r="BX987" i="1"/>
  <c r="BZ987" i="1" s="1"/>
  <c r="CA1156" i="1"/>
  <c r="CS1156" i="1"/>
  <c r="CT1156" i="1" s="1"/>
  <c r="CA1499" i="1"/>
  <c r="CW1499" i="1"/>
  <c r="CA1500" i="1"/>
  <c r="CV1509" i="1"/>
  <c r="CU1509" i="1"/>
  <c r="CR1509" i="1"/>
  <c r="CS1509" i="1"/>
  <c r="CT1509" i="1" s="1"/>
  <c r="CQ1509" i="1"/>
  <c r="CQ638" i="1"/>
  <c r="CW638" i="1"/>
  <c r="CV638" i="1"/>
  <c r="DA638" i="1" s="1"/>
  <c r="CA637" i="1"/>
  <c r="CW637" i="1"/>
  <c r="CW633" i="1"/>
  <c r="CS633" i="1"/>
  <c r="CT633" i="1" s="1"/>
  <c r="CV633" i="1"/>
  <c r="CU633" i="1"/>
  <c r="CA1073" i="1"/>
  <c r="CV1066" i="1"/>
  <c r="CU1066" i="1"/>
  <c r="CW1066" i="1"/>
  <c r="CQ1066" i="1"/>
  <c r="CS1066" i="1"/>
  <c r="CT1066" i="1" s="1"/>
  <c r="CR1066" i="1"/>
  <c r="CA1070" i="1"/>
  <c r="CV1085" i="1"/>
  <c r="CU1085" i="1"/>
  <c r="CW1085" i="1"/>
  <c r="CR1085" i="1"/>
  <c r="CS1085" i="1"/>
  <c r="CT1085" i="1" s="1"/>
  <c r="CQ1085" i="1"/>
  <c r="CR915" i="1"/>
  <c r="CU915" i="1"/>
  <c r="CS915" i="1"/>
  <c r="CT915" i="1" s="1"/>
  <c r="CR914" i="1"/>
  <c r="CQ1133" i="1"/>
  <c r="CW1123" i="1"/>
  <c r="CV1123" i="1"/>
  <c r="CS1123" i="1"/>
  <c r="CT1123" i="1" s="1"/>
  <c r="CR1123" i="1"/>
  <c r="CU1123" i="1"/>
  <c r="CA1117" i="1"/>
  <c r="CS1117" i="1"/>
  <c r="CT1117" i="1" s="1"/>
  <c r="CV1145" i="1"/>
  <c r="CU1145" i="1"/>
  <c r="CS1145" i="1"/>
  <c r="CT1145" i="1" s="1"/>
  <c r="CR1145" i="1"/>
  <c r="CR1236" i="1"/>
  <c r="CW608" i="1"/>
  <c r="CR615" i="1"/>
  <c r="CV1631" i="1"/>
  <c r="CW1356" i="1"/>
  <c r="CY1356" i="1" s="1"/>
  <c r="FA1356" i="1" s="1"/>
  <c r="CV1356" i="1"/>
  <c r="DA1356" i="1" s="1"/>
  <c r="BP993" i="1"/>
  <c r="BQ993" i="1" s="1"/>
  <c r="CA993" i="1" s="1"/>
  <c r="CA1159" i="1"/>
  <c r="CW1159" i="1"/>
  <c r="CA1157" i="1"/>
  <c r="CR1367" i="1"/>
  <c r="CQ1367" i="1"/>
  <c r="CW1367" i="1"/>
  <c r="CS1367" i="1"/>
  <c r="CT1367" i="1" s="1"/>
  <c r="CU1367" i="1"/>
  <c r="CV1367" i="1"/>
  <c r="CR1265" i="1"/>
  <c r="CU1265" i="1"/>
  <c r="CS1265" i="1"/>
  <c r="CT1265" i="1" s="1"/>
  <c r="CW1252" i="1"/>
  <c r="CV1252" i="1"/>
  <c r="CS1252" i="1"/>
  <c r="CT1252" i="1" s="1"/>
  <c r="CR1252" i="1"/>
  <c r="CW1242" i="1"/>
  <c r="CV1242" i="1"/>
  <c r="CU1242" i="1"/>
  <c r="CR1131" i="1"/>
  <c r="CQ1131" i="1"/>
  <c r="CW1618" i="1"/>
  <c r="CA1628" i="1"/>
  <c r="BP1346" i="1"/>
  <c r="BQ1346" i="1" s="1"/>
  <c r="CA1346" i="1" s="1"/>
  <c r="BO1346" i="1"/>
  <c r="CA1161" i="1"/>
  <c r="CA927" i="1"/>
  <c r="CW927" i="1"/>
  <c r="CW932" i="1"/>
  <c r="CA932" i="1"/>
  <c r="CQ1502" i="1"/>
  <c r="CQ1508" i="1"/>
  <c r="CW632" i="1"/>
  <c r="CV632" i="1"/>
  <c r="DA632" i="1" s="1"/>
  <c r="CW1086" i="1"/>
  <c r="CS1144" i="1"/>
  <c r="CT1144" i="1" s="1"/>
  <c r="CW1144" i="1"/>
  <c r="CW1256" i="1"/>
  <c r="CV1256" i="1"/>
  <c r="DA1256" i="1" s="1"/>
  <c r="CS1118" i="1"/>
  <c r="CT1118" i="1" s="1"/>
  <c r="CR1118" i="1"/>
  <c r="CW1118" i="1"/>
  <c r="CV1118" i="1"/>
  <c r="BP1229" i="1"/>
  <c r="BQ1229" i="1" s="1"/>
  <c r="CS1229" i="1" s="1"/>
  <c r="CT1229" i="1" s="1"/>
  <c r="CW1229" i="1"/>
  <c r="CQ1627" i="1"/>
  <c r="CW1628" i="1"/>
  <c r="CU1628" i="1"/>
  <c r="DA1628" i="1" s="1"/>
  <c r="CS1628" i="1"/>
  <c r="CT1628" i="1" s="1"/>
  <c r="CA1162" i="1"/>
  <c r="CA1164" i="1"/>
  <c r="CW1545" i="1"/>
  <c r="CQ1546" i="1"/>
  <c r="CQ1547" i="1"/>
  <c r="CR1501" i="1"/>
  <c r="CR1502" i="1"/>
  <c r="CQ1515" i="1"/>
  <c r="CR1523" i="1"/>
  <c r="CS635" i="1"/>
  <c r="CT635" i="1" s="1"/>
  <c r="CR635" i="1"/>
  <c r="CQ632" i="1"/>
  <c r="CV1265" i="1"/>
  <c r="CQ1144" i="1"/>
  <c r="CQ1256" i="1"/>
  <c r="CA1136" i="1"/>
  <c r="CQ1118" i="1"/>
  <c r="CV83" i="1"/>
  <c r="CU83" i="1"/>
  <c r="CR83" i="1"/>
  <c r="CQ83" i="1"/>
  <c r="CU1252" i="1"/>
  <c r="CR1239" i="1"/>
  <c r="CQ1239" i="1"/>
  <c r="CV1239" i="1"/>
  <c r="CU1239" i="1"/>
  <c r="CU1131" i="1"/>
  <c r="CQ1628" i="1"/>
  <c r="CU1351" i="1"/>
  <c r="CW1353" i="1"/>
  <c r="CY1353" i="1" s="1"/>
  <c r="FA1353" i="1" s="1"/>
  <c r="CA1272" i="1"/>
  <c r="CW1272" i="1"/>
  <c r="CA1163" i="1"/>
  <c r="CW1163" i="1"/>
  <c r="CA1178" i="1"/>
  <c r="CW1178" i="1"/>
  <c r="CA1184" i="1"/>
  <c r="CA524" i="1"/>
  <c r="CS524" i="1"/>
  <c r="CY524" i="1" s="1"/>
  <c r="FA524" i="1" s="1"/>
  <c r="CA752" i="1"/>
  <c r="CW752" i="1"/>
  <c r="CW1508" i="1"/>
  <c r="CA1148" i="1"/>
  <c r="CR1119" i="1"/>
  <c r="CQ1119" i="1"/>
  <c r="CA1116" i="1"/>
  <c r="CV1627" i="1"/>
  <c r="CU1627" i="1"/>
  <c r="CW1627" i="1"/>
  <c r="CA253" i="1"/>
  <c r="CW253" i="1"/>
  <c r="CW1500" i="1"/>
  <c r="CQ1501" i="1"/>
  <c r="CQ1523" i="1"/>
  <c r="CQ1265" i="1"/>
  <c r="CA1134" i="1"/>
  <c r="CA718" i="1"/>
  <c r="CR1148" i="1"/>
  <c r="CQ1148" i="1"/>
  <c r="CS1119" i="1"/>
  <c r="CT1119" i="1" s="1"/>
  <c r="CR1247" i="1"/>
  <c r="CQ1247" i="1"/>
  <c r="CW1247" i="1"/>
  <c r="CQ1252" i="1"/>
  <c r="CV1253" i="1"/>
  <c r="CU1253" i="1"/>
  <c r="CW1253" i="1"/>
  <c r="BP1242" i="1"/>
  <c r="BQ1242" i="1" s="1"/>
  <c r="CS1131" i="1"/>
  <c r="CT1131" i="1" s="1"/>
  <c r="BX711" i="1"/>
  <c r="BZ711" i="1" s="1"/>
  <c r="BW711" i="1"/>
  <c r="CR1598" i="1"/>
  <c r="CQ1598" i="1"/>
  <c r="CV1598" i="1"/>
  <c r="CU1598" i="1"/>
  <c r="CS1598" i="1"/>
  <c r="CT1598" i="1" s="1"/>
  <c r="CA526" i="1"/>
  <c r="EY526" i="1" s="1"/>
  <c r="CS526" i="1"/>
  <c r="CA1544" i="1"/>
  <c r="CR1546" i="1"/>
  <c r="CR1547" i="1"/>
  <c r="CR1500" i="1"/>
  <c r="CS1501" i="1"/>
  <c r="CT1501" i="1" s="1"/>
  <c r="CS1502" i="1"/>
  <c r="CT1502" i="1" s="1"/>
  <c r="CS1508" i="1"/>
  <c r="CT1508" i="1" s="1"/>
  <c r="CS1527" i="1"/>
  <c r="CT1527" i="1" s="1"/>
  <c r="CS639" i="1"/>
  <c r="CT639" i="1" s="1"/>
  <c r="CR632" i="1"/>
  <c r="CV1067" i="1"/>
  <c r="CU1067" i="1"/>
  <c r="CV1073" i="1"/>
  <c r="CU1073" i="1"/>
  <c r="CV1078" i="1"/>
  <c r="CU1078" i="1"/>
  <c r="CV1090" i="1"/>
  <c r="CU1090" i="1"/>
  <c r="CV1092" i="1"/>
  <c r="CU1092" i="1"/>
  <c r="CV1068" i="1"/>
  <c r="CU1068" i="1"/>
  <c r="CV1075" i="1"/>
  <c r="CU1075" i="1"/>
  <c r="CV1081" i="1"/>
  <c r="CU1081" i="1"/>
  <c r="CV1088" i="1"/>
  <c r="CU1088" i="1"/>
  <c r="CV1070" i="1"/>
  <c r="CU1070" i="1"/>
  <c r="CV1074" i="1"/>
  <c r="CU1074" i="1"/>
  <c r="CV1080" i="1"/>
  <c r="CU1080" i="1"/>
  <c r="CV1084" i="1"/>
  <c r="CU1084" i="1"/>
  <c r="CW1265" i="1"/>
  <c r="CR1144" i="1"/>
  <c r="CV1128" i="1"/>
  <c r="CU1128" i="1"/>
  <c r="CS1128" i="1"/>
  <c r="CT1128" i="1" s="1"/>
  <c r="CR1256" i="1"/>
  <c r="CU1148" i="1"/>
  <c r="DA1148" i="1" s="1"/>
  <c r="CS1136" i="1"/>
  <c r="CT1136" i="1" s="1"/>
  <c r="CR1136" i="1"/>
  <c r="CV1119" i="1"/>
  <c r="DA1119" i="1" s="1"/>
  <c r="CU1118" i="1"/>
  <c r="CU1247" i="1"/>
  <c r="CA1233" i="1"/>
  <c r="CR1253" i="1"/>
  <c r="CV1131" i="1"/>
  <c r="CQ1633" i="1"/>
  <c r="CS1627" i="1"/>
  <c r="CT1627" i="1" s="1"/>
  <c r="CA1631" i="1"/>
  <c r="CR1628" i="1"/>
  <c r="CV1626" i="1"/>
  <c r="CU1626" i="1"/>
  <c r="CS1626" i="1"/>
  <c r="CT1626" i="1" s="1"/>
  <c r="CR1626" i="1"/>
  <c r="CV1351" i="1"/>
  <c r="CU1353" i="1"/>
  <c r="DA1353" i="1" s="1"/>
  <c r="CW1160" i="1"/>
  <c r="CV1160" i="1"/>
  <c r="CU1160" i="1"/>
  <c r="CA1364" i="1"/>
  <c r="CA1180" i="1"/>
  <c r="CW1180" i="1"/>
  <c r="CS1046" i="1"/>
  <c r="CT1046" i="1" s="1"/>
  <c r="CA1046" i="1"/>
  <c r="BO1478" i="1"/>
  <c r="BP1478" i="1"/>
  <c r="BQ1478" i="1" s="1"/>
  <c r="CA1478" i="1" s="1"/>
  <c r="BP1476" i="1"/>
  <c r="BQ1476" i="1" s="1"/>
  <c r="BO1476" i="1"/>
  <c r="CV923" i="1"/>
  <c r="CU923" i="1"/>
  <c r="CW923" i="1"/>
  <c r="CR924" i="1"/>
  <c r="CQ924" i="1"/>
  <c r="CS1110" i="1"/>
  <c r="CT1110" i="1" s="1"/>
  <c r="CA1112" i="1"/>
  <c r="CA1014" i="1"/>
  <c r="CW1014" i="1"/>
  <c r="CY1014" i="1" s="1"/>
  <c r="FA1014" i="1" s="1"/>
  <c r="CR1600" i="1"/>
  <c r="CQ1600" i="1"/>
  <c r="CA1170" i="1"/>
  <c r="CW1170" i="1"/>
  <c r="CA1169" i="1"/>
  <c r="CW1169" i="1"/>
  <c r="CW1176" i="1"/>
  <c r="CS689" i="1"/>
  <c r="CT689" i="1" s="1"/>
  <c r="CR689" i="1"/>
  <c r="CU1149" i="1"/>
  <c r="CS1149" i="1"/>
  <c r="CT1149" i="1" s="1"/>
  <c r="CR1149" i="1"/>
  <c r="CQ1149" i="1"/>
  <c r="CU920" i="1"/>
  <c r="DA920" i="1" s="1"/>
  <c r="CQ923" i="1"/>
  <c r="CS924" i="1"/>
  <c r="CT924" i="1" s="1"/>
  <c r="BG1482" i="1" a="1"/>
  <c r="BG1482" i="1" s="1"/>
  <c r="BP1485" i="1"/>
  <c r="BQ1485" i="1" s="1"/>
  <c r="CR946" i="1"/>
  <c r="CW946" i="1"/>
  <c r="CV946" i="1"/>
  <c r="CU946" i="1"/>
  <c r="CA998" i="1"/>
  <c r="CA1135" i="1"/>
  <c r="CU753" i="1"/>
  <c r="CW753" i="1"/>
  <c r="CV753" i="1"/>
  <c r="CR753" i="1"/>
  <c r="CQ753" i="1"/>
  <c r="CA728" i="1"/>
  <c r="CW728" i="1"/>
  <c r="CA739" i="1"/>
  <c r="CS739" i="1"/>
  <c r="CT739" i="1" s="1"/>
  <c r="CA1036" i="1"/>
  <c r="CW1036" i="1"/>
  <c r="CA1045" i="1"/>
  <c r="CA1168" i="1"/>
  <c r="CW1168" i="1"/>
  <c r="CW1182" i="1"/>
  <c r="CW1137" i="1"/>
  <c r="CV1137" i="1"/>
  <c r="DA1137" i="1" s="1"/>
  <c r="CW1138" i="1"/>
  <c r="CR1138" i="1"/>
  <c r="CQ1138" i="1"/>
  <c r="CV1263" i="1"/>
  <c r="CU1263" i="1"/>
  <c r="CW1263" i="1"/>
  <c r="CS1263" i="1"/>
  <c r="CT1263" i="1" s="1"/>
  <c r="CR1263" i="1"/>
  <c r="CW1287" i="1"/>
  <c r="CV1287" i="1"/>
  <c r="CU1287" i="1"/>
  <c r="CR923" i="1"/>
  <c r="CU924" i="1"/>
  <c r="CV925" i="1"/>
  <c r="CU925" i="1"/>
  <c r="CS925" i="1"/>
  <c r="CT925" i="1" s="1"/>
  <c r="CR925" i="1"/>
  <c r="CS941" i="1"/>
  <c r="CT941" i="1" s="1"/>
  <c r="CR941" i="1"/>
  <c r="CW941" i="1"/>
  <c r="CV941" i="1"/>
  <c r="CU941" i="1"/>
  <c r="CA934" i="1"/>
  <c r="CA696" i="1"/>
  <c r="CA732" i="1"/>
  <c r="CQ1037" i="1"/>
  <c r="CV1037" i="1"/>
  <c r="CU1037" i="1"/>
  <c r="CW1037" i="1"/>
  <c r="CS1037" i="1"/>
  <c r="CT1037" i="1" s="1"/>
  <c r="CR1037" i="1"/>
  <c r="CA1058" i="1"/>
  <c r="CW1058" i="1"/>
  <c r="BP1481" i="1"/>
  <c r="BQ1481" i="1" s="1"/>
  <c r="CA1481" i="1" s="1"/>
  <c r="EY1481" i="1" s="1"/>
  <c r="BO1481" i="1"/>
  <c r="CP1478" i="1"/>
  <c r="CS923" i="1"/>
  <c r="CT923" i="1" s="1"/>
  <c r="CV924" i="1"/>
  <c r="CS525" i="1"/>
  <c r="CY525" i="1" s="1"/>
  <c r="FA525" i="1" s="1"/>
  <c r="CW929" i="1"/>
  <c r="CY929" i="1" s="1"/>
  <c r="FA929" i="1" s="1"/>
  <c r="CV929" i="1"/>
  <c r="CU929" i="1"/>
  <c r="CS936" i="1"/>
  <c r="CT936" i="1" s="1"/>
  <c r="CR936" i="1"/>
  <c r="CV936" i="1"/>
  <c r="CU936" i="1"/>
  <c r="CW697" i="1"/>
  <c r="CV697" i="1"/>
  <c r="CQ727" i="1"/>
  <c r="CU727" i="1"/>
  <c r="CS727" i="1"/>
  <c r="CT727" i="1" s="1"/>
  <c r="CV727" i="1"/>
  <c r="CR727" i="1"/>
  <c r="CS749" i="1"/>
  <c r="CT749" i="1" s="1"/>
  <c r="CA737" i="1"/>
  <c r="CW723" i="1"/>
  <c r="CV723" i="1"/>
  <c r="CU723" i="1"/>
  <c r="CW735" i="1"/>
  <c r="CR1065" i="1"/>
  <c r="CQ1065" i="1"/>
  <c r="CV1065" i="1"/>
  <c r="CU1065" i="1"/>
  <c r="CA1049" i="1"/>
  <c r="CV1033" i="1"/>
  <c r="CU1033" i="1"/>
  <c r="CW1033" i="1"/>
  <c r="CY1033" i="1" s="1"/>
  <c r="FA1033" i="1" s="1"/>
  <c r="CV944" i="1"/>
  <c r="CA947" i="1"/>
  <c r="CW947" i="1"/>
  <c r="CS939" i="1"/>
  <c r="CT939" i="1" s="1"/>
  <c r="CW714" i="1"/>
  <c r="CV714" i="1"/>
  <c r="DA714" i="1" s="1"/>
  <c r="CR714" i="1"/>
  <c r="CQ714" i="1"/>
  <c r="CS751" i="1"/>
  <c r="CT751" i="1" s="1"/>
  <c r="CR751" i="1"/>
  <c r="CQ751" i="1"/>
  <c r="CW751" i="1"/>
  <c r="CR731" i="1"/>
  <c r="CS731" i="1"/>
  <c r="CT731" i="1" s="1"/>
  <c r="CQ731" i="1"/>
  <c r="CW747" i="1"/>
  <c r="CA1044" i="1"/>
  <c r="CS1044" i="1"/>
  <c r="CT1044" i="1" s="1"/>
  <c r="CW1062" i="1"/>
  <c r="CR1057" i="1"/>
  <c r="CV1057" i="1"/>
  <c r="CU1057" i="1"/>
  <c r="CW1057" i="1"/>
  <c r="CS1057" i="1"/>
  <c r="CT1057" i="1" s="1"/>
  <c r="CA1040" i="1"/>
  <c r="CW1040" i="1"/>
  <c r="CP1476" i="1"/>
  <c r="BX919" i="1"/>
  <c r="BZ919" i="1" s="1"/>
  <c r="CA919" i="1" s="1"/>
  <c r="BW919" i="1"/>
  <c r="CR940" i="1"/>
  <c r="CU940" i="1"/>
  <c r="CS940" i="1"/>
  <c r="CT940" i="1" s="1"/>
  <c r="CV940" i="1"/>
  <c r="CQ940" i="1"/>
  <c r="CS931" i="1"/>
  <c r="CT931" i="1" s="1"/>
  <c r="CR931" i="1"/>
  <c r="CV931" i="1"/>
  <c r="CU931" i="1"/>
  <c r="CS714" i="1"/>
  <c r="CT714" i="1" s="1"/>
  <c r="CS698" i="1"/>
  <c r="CT698" i="1" s="1"/>
  <c r="CW695" i="1"/>
  <c r="CR695" i="1"/>
  <c r="CQ695" i="1"/>
  <c r="CV695" i="1"/>
  <c r="CU695" i="1"/>
  <c r="CS695" i="1"/>
  <c r="CT695" i="1" s="1"/>
  <c r="CV730" i="1"/>
  <c r="CW730" i="1"/>
  <c r="CU730" i="1"/>
  <c r="CU751" i="1"/>
  <c r="DA751" i="1" s="1"/>
  <c r="CU731" i="1"/>
  <c r="DA731" i="1" s="1"/>
  <c r="CW741" i="1"/>
  <c r="CA741" i="1"/>
  <c r="CV1027" i="1"/>
  <c r="CU1027" i="1"/>
  <c r="CW1065" i="1"/>
  <c r="CQ1057" i="1"/>
  <c r="CV919" i="1"/>
  <c r="CU919" i="1"/>
  <c r="BP1483" i="1"/>
  <c r="BQ1483" i="1" s="1"/>
  <c r="CA1483" i="1" s="1"/>
  <c r="CP1483" i="1"/>
  <c r="BW930" i="1"/>
  <c r="CV930" i="1"/>
  <c r="DA930" i="1" s="1"/>
  <c r="CS935" i="1"/>
  <c r="CT935" i="1" s="1"/>
  <c r="CR935" i="1"/>
  <c r="CW935" i="1"/>
  <c r="CV942" i="1"/>
  <c r="CS942" i="1"/>
  <c r="CT942" i="1" s="1"/>
  <c r="CR942" i="1"/>
  <c r="CW942" i="1"/>
  <c r="CU942" i="1"/>
  <c r="CQ942" i="1"/>
  <c r="CS723" i="1"/>
  <c r="CT723" i="1" s="1"/>
  <c r="CW736" i="1"/>
  <c r="CA736" i="1"/>
  <c r="CA1050" i="1"/>
  <c r="CA1166" i="1"/>
  <c r="BP1475" i="1"/>
  <c r="BQ1475" i="1" s="1"/>
  <c r="BO1475" i="1"/>
  <c r="CR920" i="1"/>
  <c r="CQ920" i="1"/>
  <c r="CW920" i="1"/>
  <c r="CQ919" i="1"/>
  <c r="BW922" i="1"/>
  <c r="CA917" i="1"/>
  <c r="BP1482" i="1"/>
  <c r="BQ1482" i="1" s="1"/>
  <c r="CA1482" i="1" s="1"/>
  <c r="BG1483" i="1" a="1"/>
  <c r="BG1483" i="1" s="1"/>
  <c r="CU943" i="1"/>
  <c r="CA945" i="1"/>
  <c r="CW931" i="1"/>
  <c r="CQ935" i="1"/>
  <c r="CA997" i="1"/>
  <c r="CU697" i="1"/>
  <c r="CR730" i="1"/>
  <c r="CW731" i="1"/>
  <c r="CA734" i="1"/>
  <c r="CW734" i="1"/>
  <c r="CW1016" i="1"/>
  <c r="CY1016" i="1" s="1"/>
  <c r="FA1016" i="1" s="1"/>
  <c r="CV1016" i="1"/>
  <c r="DA1016" i="1" s="1"/>
  <c r="CW1038" i="1"/>
  <c r="CV1038" i="1"/>
  <c r="CU1038" i="1"/>
  <c r="CS1038" i="1"/>
  <c r="CT1038" i="1" s="1"/>
  <c r="CR1038" i="1"/>
  <c r="CQ1038" i="1"/>
  <c r="CS1621" i="1"/>
  <c r="CT1621" i="1" s="1"/>
  <c r="CR1621" i="1"/>
  <c r="CR1273" i="1"/>
  <c r="CP987" i="1"/>
  <c r="CQ986" i="1"/>
  <c r="CW986" i="1"/>
  <c r="CA1173" i="1"/>
  <c r="CA1171" i="1"/>
  <c r="CW1171" i="1"/>
  <c r="CA1179" i="1"/>
  <c r="CV903" i="1"/>
  <c r="CU903" i="1"/>
  <c r="CR903" i="1"/>
  <c r="CQ903" i="1"/>
  <c r="CW928" i="1"/>
  <c r="CV928" i="1"/>
  <c r="DA928" i="1" s="1"/>
  <c r="CR928" i="1"/>
  <c r="CQ928" i="1"/>
  <c r="CU917" i="1"/>
  <c r="CS917" i="1"/>
  <c r="CT917" i="1" s="1"/>
  <c r="CU1185" i="1"/>
  <c r="DA1185" i="1" s="1"/>
  <c r="CS1185" i="1"/>
  <c r="CT1185" i="1" s="1"/>
  <c r="CS745" i="1"/>
  <c r="CT745" i="1" s="1"/>
  <c r="CV745" i="1"/>
  <c r="CU745" i="1"/>
  <c r="CR745" i="1"/>
  <c r="CQ745" i="1"/>
  <c r="CA1026" i="1"/>
  <c r="CW1026" i="1"/>
  <c r="CY1026" i="1" s="1"/>
  <c r="FA1026" i="1" s="1"/>
  <c r="CA1034" i="1"/>
  <c r="CW1034" i="1"/>
  <c r="CY1034" i="1" s="1"/>
  <c r="FA1034" i="1" s="1"/>
  <c r="CR1248" i="1"/>
  <c r="CQ1248" i="1"/>
  <c r="CV1254" i="1"/>
  <c r="CU1254" i="1"/>
  <c r="CV1227" i="1"/>
  <c r="CU1227" i="1"/>
  <c r="CV1235" i="1"/>
  <c r="CU1235" i="1"/>
  <c r="CU1116" i="1"/>
  <c r="CS1116" i="1"/>
  <c r="CT1116" i="1" s="1"/>
  <c r="CW1141" i="1"/>
  <c r="CV1141" i="1"/>
  <c r="DA1141" i="1" s="1"/>
  <c r="CS1248" i="1"/>
  <c r="CT1248" i="1" s="1"/>
  <c r="CW1251" i="1"/>
  <c r="CV1251" i="1"/>
  <c r="CQ1254" i="1"/>
  <c r="CQ1227" i="1"/>
  <c r="CQ1235" i="1"/>
  <c r="CU1228" i="1"/>
  <c r="DA1228" i="1" s="1"/>
  <c r="CS1228" i="1"/>
  <c r="CT1228" i="1" s="1"/>
  <c r="CU1237" i="1"/>
  <c r="CR1246" i="1"/>
  <c r="CA1633" i="1"/>
  <c r="CS1619" i="1"/>
  <c r="CT1619" i="1" s="1"/>
  <c r="CR1619" i="1"/>
  <c r="CW1357" i="1"/>
  <c r="CY1357" i="1" s="1"/>
  <c r="FA1357" i="1" s="1"/>
  <c r="CR1158" i="1"/>
  <c r="CQ1158" i="1"/>
  <c r="CW1158" i="1"/>
  <c r="CV1158" i="1"/>
  <c r="DA1158" i="1" s="1"/>
  <c r="CR1156" i="1"/>
  <c r="CQ1156" i="1"/>
  <c r="CR1473" i="1"/>
  <c r="CQ1473" i="1"/>
  <c r="CW1473" i="1"/>
  <c r="CS926" i="1"/>
  <c r="CT926" i="1" s="1"/>
  <c r="CR926" i="1"/>
  <c r="CW926" i="1"/>
  <c r="CV926" i="1"/>
  <c r="DA926" i="1" s="1"/>
  <c r="CV918" i="1"/>
  <c r="BX918" i="1"/>
  <c r="BZ918" i="1" s="1"/>
  <c r="CW1109" i="1"/>
  <c r="CV1109" i="1"/>
  <c r="CU1109" i="1"/>
  <c r="CS1109" i="1"/>
  <c r="CT1109" i="1" s="1"/>
  <c r="CQ1185" i="1"/>
  <c r="CU944" i="1"/>
  <c r="CA931" i="1"/>
  <c r="CR1135" i="1"/>
  <c r="CW1135" i="1"/>
  <c r="CV1135" i="1"/>
  <c r="DA1135" i="1" s="1"/>
  <c r="CS1135" i="1"/>
  <c r="CT1135" i="1" s="1"/>
  <c r="CQ1135" i="1"/>
  <c r="CW740" i="1"/>
  <c r="CV740" i="1"/>
  <c r="CU740" i="1"/>
  <c r="CS740" i="1"/>
  <c r="CT740" i="1" s="1"/>
  <c r="CA722" i="1"/>
  <c r="CW722" i="1"/>
  <c r="CW745" i="1"/>
  <c r="CS750" i="1"/>
  <c r="CT750" i="1" s="1"/>
  <c r="CA750" i="1"/>
  <c r="CV1012" i="1"/>
  <c r="CU1012" i="1"/>
  <c r="CW1012" i="1"/>
  <c r="CY1012" i="1" s="1"/>
  <c r="FA1012" i="1" s="1"/>
  <c r="CU1154" i="1"/>
  <c r="CS1154" i="1"/>
  <c r="CX1154" i="1" s="1"/>
  <c r="CR1599" i="1"/>
  <c r="CQ1599" i="1"/>
  <c r="CW1364" i="1"/>
  <c r="CA1175" i="1"/>
  <c r="CA1181" i="1"/>
  <c r="CA1183" i="1"/>
  <c r="CR1428" i="1"/>
  <c r="CQ1428" i="1"/>
  <c r="CW1271" i="1"/>
  <c r="CV1271" i="1"/>
  <c r="DA1271" i="1" s="1"/>
  <c r="CW1112" i="1"/>
  <c r="CS937" i="1"/>
  <c r="CT937" i="1" s="1"/>
  <c r="CR937" i="1"/>
  <c r="CS934" i="1"/>
  <c r="CT934" i="1" s="1"/>
  <c r="CR934" i="1"/>
  <c r="CU934" i="1"/>
  <c r="DA934" i="1" s="1"/>
  <c r="CQ934" i="1"/>
  <c r="CW963" i="1"/>
  <c r="CV963" i="1"/>
  <c r="CU963" i="1"/>
  <c r="CQ737" i="1"/>
  <c r="CW737" i="1"/>
  <c r="CV737" i="1"/>
  <c r="DA737" i="1" s="1"/>
  <c r="CS737" i="1"/>
  <c r="CT737" i="1" s="1"/>
  <c r="CR737" i="1"/>
  <c r="CV721" i="1"/>
  <c r="DA721" i="1" s="1"/>
  <c r="CS721" i="1"/>
  <c r="CT721" i="1" s="1"/>
  <c r="CR721" i="1"/>
  <c r="CW721" i="1"/>
  <c r="CR736" i="1"/>
  <c r="CS736" i="1"/>
  <c r="CT736" i="1" s="1"/>
  <c r="CQ736" i="1"/>
  <c r="CV736" i="1"/>
  <c r="CU736" i="1"/>
  <c r="CQ747" i="1"/>
  <c r="CU747" i="1"/>
  <c r="DA747" i="1" s="1"/>
  <c r="CS747" i="1"/>
  <c r="CT747" i="1" s="1"/>
  <c r="CS1063" i="1"/>
  <c r="CT1063" i="1" s="1"/>
  <c r="CW1063" i="1"/>
  <c r="CV1063" i="1"/>
  <c r="CU1063" i="1"/>
  <c r="CR1274" i="1"/>
  <c r="CQ1274" i="1"/>
  <c r="CU1159" i="1"/>
  <c r="DA1159" i="1" s="1"/>
  <c r="CS1159" i="1"/>
  <c r="CT1159" i="1" s="1"/>
  <c r="CA1165" i="1"/>
  <c r="CA1174" i="1"/>
  <c r="CA1167" i="1"/>
  <c r="CA1472" i="1"/>
  <c r="CW922" i="1"/>
  <c r="CV922" i="1"/>
  <c r="DA922" i="1" s="1"/>
  <c r="BG1111" i="1" a="1"/>
  <c r="BG1111" i="1" s="1"/>
  <c r="CR526" i="1"/>
  <c r="CQ526" i="1"/>
  <c r="BG1484" i="1" a="1"/>
  <c r="BG1484" i="1" s="1"/>
  <c r="CV933" i="1"/>
  <c r="CU933" i="1"/>
  <c r="CS933" i="1"/>
  <c r="CT933" i="1" s="1"/>
  <c r="CV938" i="1"/>
  <c r="CW938" i="1"/>
  <c r="CU938" i="1"/>
  <c r="CS938" i="1"/>
  <c r="CT938" i="1" s="1"/>
  <c r="CR938" i="1"/>
  <c r="CV939" i="1"/>
  <c r="DA939" i="1" s="1"/>
  <c r="CW939" i="1"/>
  <c r="CU726" i="1"/>
  <c r="CV726" i="1"/>
  <c r="CS726" i="1"/>
  <c r="CT726" i="1" s="1"/>
  <c r="CW726" i="1"/>
  <c r="CQ739" i="1"/>
  <c r="CW739" i="1"/>
  <c r="CV739" i="1"/>
  <c r="CU739" i="1"/>
  <c r="CA744" i="1"/>
  <c r="CQ1047" i="1"/>
  <c r="CV1047" i="1"/>
  <c r="DA1047" i="1" s="1"/>
  <c r="CS1047" i="1"/>
  <c r="CT1047" i="1" s="1"/>
  <c r="CR1047" i="1"/>
  <c r="CA1061" i="1"/>
  <c r="CS945" i="1"/>
  <c r="CT945" i="1" s="1"/>
  <c r="CR945" i="1"/>
  <c r="CU998" i="1"/>
  <c r="CW998" i="1"/>
  <c r="CV998" i="1"/>
  <c r="CR729" i="1"/>
  <c r="CW729" i="1"/>
  <c r="CW738" i="1"/>
  <c r="CS738" i="1"/>
  <c r="CT738" i="1" s="1"/>
  <c r="CR738" i="1"/>
  <c r="CA724" i="1"/>
  <c r="CA746" i="1"/>
  <c r="CR743" i="1"/>
  <c r="CQ743" i="1"/>
  <c r="CW743" i="1"/>
  <c r="CS733" i="1"/>
  <c r="CT733" i="1" s="1"/>
  <c r="CW733" i="1"/>
  <c r="CV733" i="1"/>
  <c r="CU733" i="1"/>
  <c r="CS1048" i="1"/>
  <c r="CT1048" i="1" s="1"/>
  <c r="CW1048" i="1"/>
  <c r="CV1048" i="1"/>
  <c r="DA1048" i="1" s="1"/>
  <c r="CV1021" i="1"/>
  <c r="CU1021" i="1"/>
  <c r="CU1053" i="1"/>
  <c r="DA1053" i="1" s="1"/>
  <c r="CS1053" i="1"/>
  <c r="CT1053" i="1" s="1"/>
  <c r="CW1053" i="1"/>
  <c r="CR1053" i="1"/>
  <c r="CQ1053" i="1"/>
  <c r="CS947" i="1"/>
  <c r="CT947" i="1" s="1"/>
  <c r="CR947" i="1"/>
  <c r="CP1113" i="1"/>
  <c r="BP1113" i="1"/>
  <c r="BQ1113" i="1" s="1"/>
  <c r="CA630" i="1"/>
  <c r="CS748" i="1"/>
  <c r="CT748" i="1" s="1"/>
  <c r="CV748" i="1"/>
  <c r="CU748" i="1"/>
  <c r="CW1024" i="1"/>
  <c r="CY1024" i="1" s="1"/>
  <c r="FA1024" i="1" s="1"/>
  <c r="CV1024" i="1"/>
  <c r="DA1024" i="1" s="1"/>
  <c r="CU1029" i="1"/>
  <c r="DA1029" i="1" s="1"/>
  <c r="CW1029" i="1"/>
  <c r="CY1029" i="1" s="1"/>
  <c r="FA1029" i="1" s="1"/>
  <c r="CU1044" i="1"/>
  <c r="CW1044" i="1"/>
  <c r="CV1044" i="1"/>
  <c r="CA742" i="1"/>
  <c r="CV1028" i="1"/>
  <c r="CU1028" i="1"/>
  <c r="CU1023" i="1"/>
  <c r="CW1023" i="1"/>
  <c r="CY1023" i="1" s="1"/>
  <c r="FA1023" i="1" s="1"/>
  <c r="CA1059" i="1"/>
  <c r="CW1059" i="1"/>
  <c r="CS630" i="1"/>
  <c r="CT630" i="1" s="1"/>
  <c r="CW746" i="1"/>
  <c r="CV746" i="1"/>
  <c r="CU746" i="1"/>
  <c r="CV744" i="1"/>
  <c r="CS744" i="1"/>
  <c r="CT744" i="1" s="1"/>
  <c r="CR744" i="1"/>
  <c r="CW1028" i="1"/>
  <c r="CY1028" i="1" s="1"/>
  <c r="FA1028" i="1" s="1"/>
  <c r="CQ1049" i="1"/>
  <c r="CV1023" i="1"/>
  <c r="CR1056" i="1"/>
  <c r="CQ1056" i="1"/>
  <c r="CW1056" i="1"/>
  <c r="CV1056" i="1"/>
  <c r="CU1056" i="1"/>
  <c r="CW1045" i="1"/>
  <c r="CQ1045" i="1"/>
  <c r="CV1045" i="1"/>
  <c r="DA1045" i="1" s="1"/>
  <c r="CS1060" i="1"/>
  <c r="CT1060" i="1" s="1"/>
  <c r="CQ734" i="1"/>
  <c r="CQ1036" i="1"/>
  <c r="CW1032" i="1"/>
  <c r="CY1032" i="1" s="1"/>
  <c r="FA1032" i="1" s="1"/>
  <c r="CR1045" i="1"/>
  <c r="CW1054" i="1"/>
  <c r="CR1054" i="1"/>
  <c r="CQ1054" i="1"/>
  <c r="CW1010" i="1"/>
  <c r="CY1010" i="1" s="1"/>
  <c r="FA1010" i="1" s="1"/>
  <c r="CV1010" i="1"/>
  <c r="CU1010" i="1"/>
  <c r="CW1007" i="1"/>
  <c r="CY1007" i="1" s="1"/>
  <c r="FA1007" i="1" s="1"/>
  <c r="CW1008" i="1"/>
  <c r="CY1008" i="1" s="1"/>
  <c r="FA1008" i="1" s="1"/>
  <c r="CA1008" i="1"/>
  <c r="CA1042" i="1"/>
  <c r="CA1054" i="1"/>
  <c r="CA1060" i="1"/>
  <c r="CA1056" i="1"/>
  <c r="CW1055" i="1"/>
  <c r="CU1055" i="1"/>
  <c r="DA1055" i="1" s="1"/>
  <c r="CS1055" i="1"/>
  <c r="CT1055" i="1" s="1"/>
  <c r="CR1055" i="1"/>
  <c r="CQ1055" i="1"/>
  <c r="CW1031" i="1"/>
  <c r="CY1031" i="1" s="1"/>
  <c r="FA1031" i="1" s="1"/>
  <c r="CA1031" i="1"/>
  <c r="CA1051" i="1"/>
  <c r="CS1042" i="1"/>
  <c r="CT1042" i="1" s="1"/>
  <c r="CS1052" i="1"/>
  <c r="CT1052" i="1" s="1"/>
  <c r="CV1060" i="1"/>
  <c r="DA1060" i="1" s="1"/>
  <c r="CW1030" i="1"/>
  <c r="CY1030" i="1" s="1"/>
  <c r="FA1030" i="1" s="1"/>
  <c r="CW1051" i="1"/>
  <c r="CS1050" i="1"/>
  <c r="CT1050" i="1" s="1"/>
  <c r="CV1042" i="1"/>
  <c r="DA1042" i="1" s="1"/>
  <c r="CU1039" i="1"/>
  <c r="CU1052" i="1"/>
  <c r="CQ1064" i="1"/>
  <c r="CW1060" i="1"/>
  <c r="CW1009" i="1"/>
  <c r="CY1009" i="1" s="1"/>
  <c r="FA1009" i="1" s="1"/>
  <c r="CU1050" i="1"/>
  <c r="CQ1043" i="1"/>
  <c r="CW1042" i="1"/>
  <c r="CV1039" i="1"/>
  <c r="CV1050" i="1"/>
  <c r="CW1039" i="1"/>
  <c r="CU1006" i="1"/>
  <c r="CQ1051" i="1"/>
  <c r="CW1050" i="1"/>
  <c r="CW1041" i="1"/>
  <c r="CR1060" i="1"/>
  <c r="CU1011" i="1"/>
  <c r="DA1011" i="1" s="1"/>
  <c r="CV1007" i="1"/>
  <c r="DA1007" i="1" s="1"/>
  <c r="CS1051" i="1"/>
  <c r="CT1051" i="1" s="1"/>
  <c r="CR1042" i="1"/>
  <c r="CQ1039" i="1"/>
  <c r="CY1506" i="1" l="1"/>
  <c r="FA1506" i="1" s="1"/>
  <c r="CY637" i="1"/>
  <c r="FA637" i="1" s="1"/>
  <c r="CY1500" i="1"/>
  <c r="FA1500" i="1" s="1"/>
  <c r="CY913" i="1"/>
  <c r="FA913" i="1" s="1"/>
  <c r="CY634" i="1"/>
  <c r="FA634" i="1" s="1"/>
  <c r="CY932" i="1"/>
  <c r="FA932" i="1" s="1"/>
  <c r="CY1545" i="1"/>
  <c r="FA1545" i="1" s="1"/>
  <c r="CY1559" i="1"/>
  <c r="FA1559" i="1" s="1"/>
  <c r="CY1059" i="1"/>
  <c r="FA1059" i="1" s="1"/>
  <c r="CY255" i="1"/>
  <c r="FA255" i="1" s="1"/>
  <c r="CY1515" i="1"/>
  <c r="FA1515" i="1" s="1"/>
  <c r="CY1182" i="1"/>
  <c r="FA1182" i="1" s="1"/>
  <c r="CY1366" i="1"/>
  <c r="FA1366" i="1" s="1"/>
  <c r="CY964" i="1"/>
  <c r="FA964" i="1" s="1"/>
  <c r="CY753" i="1"/>
  <c r="FA753" i="1" s="1"/>
  <c r="CY1062" i="1"/>
  <c r="FA1062" i="1" s="1"/>
  <c r="CY1364" i="1"/>
  <c r="FA1364" i="1" s="1"/>
  <c r="CY1237" i="1"/>
  <c r="FA1237" i="1" s="1"/>
  <c r="CY1178" i="1"/>
  <c r="FA1178" i="1" s="1"/>
  <c r="CY1556" i="1"/>
  <c r="FA1556" i="1" s="1"/>
  <c r="CY1251" i="1"/>
  <c r="FA1251" i="1" s="1"/>
  <c r="CY1170" i="1"/>
  <c r="FA1170" i="1" s="1"/>
  <c r="CY1618" i="1"/>
  <c r="FA1618" i="1" s="1"/>
  <c r="CY1560" i="1"/>
  <c r="FA1560" i="1" s="1"/>
  <c r="CY1599" i="1"/>
  <c r="FA1599" i="1" s="1"/>
  <c r="CY1112" i="1"/>
  <c r="FA1112" i="1" s="1"/>
  <c r="CY1253" i="1"/>
  <c r="FA1253" i="1" s="1"/>
  <c r="CY1180" i="1"/>
  <c r="FA1180" i="1" s="1"/>
  <c r="CY752" i="1"/>
  <c r="FA752" i="1" s="1"/>
  <c r="CY1137" i="1"/>
  <c r="FA1137" i="1" s="1"/>
  <c r="CY1111" i="1"/>
  <c r="FA1111" i="1" s="1"/>
  <c r="CY735" i="1"/>
  <c r="FA735" i="1" s="1"/>
  <c r="CY923" i="1"/>
  <c r="FA923" i="1" s="1"/>
  <c r="CY1524" i="1"/>
  <c r="FA1524" i="1" s="1"/>
  <c r="CY742" i="1"/>
  <c r="FA742" i="1" s="1"/>
  <c r="CY920" i="1"/>
  <c r="FA920" i="1" s="1"/>
  <c r="CY1246" i="1"/>
  <c r="FA1246" i="1" s="1"/>
  <c r="CY1265" i="1"/>
  <c r="FA1265" i="1" s="1"/>
  <c r="CY1536" i="1"/>
  <c r="FA1536" i="1" s="1"/>
  <c r="CY1530" i="1"/>
  <c r="FA1530" i="1" s="1"/>
  <c r="CY1088" i="1"/>
  <c r="FA1088" i="1" s="1"/>
  <c r="CY746" i="1"/>
  <c r="FA746" i="1" s="1"/>
  <c r="CY1625" i="1"/>
  <c r="FA1625" i="1" s="1"/>
  <c r="CY1274" i="1"/>
  <c r="FA1274" i="1" s="1"/>
  <c r="CY1171" i="1"/>
  <c r="FA1171" i="1" s="1"/>
  <c r="CY1565" i="1"/>
  <c r="FA1565" i="1" s="1"/>
  <c r="CY1040" i="1"/>
  <c r="FA1040" i="1" s="1"/>
  <c r="CY608" i="1"/>
  <c r="FA608" i="1" s="1"/>
  <c r="CY251" i="1"/>
  <c r="FA251" i="1" s="1"/>
  <c r="CY1158" i="1"/>
  <c r="FA1158" i="1" s="1"/>
  <c r="CY928" i="1"/>
  <c r="FA928" i="1" s="1"/>
  <c r="CY729" i="1"/>
  <c r="FA729" i="1" s="1"/>
  <c r="CY946" i="1"/>
  <c r="FA946" i="1" s="1"/>
  <c r="CY1558" i="1"/>
  <c r="FA1558" i="1" s="1"/>
  <c r="CY1553" i="1"/>
  <c r="FA1553" i="1" s="1"/>
  <c r="CY1519" i="1"/>
  <c r="FA1519" i="1" s="1"/>
  <c r="CY1555" i="1"/>
  <c r="FA1555" i="1" s="1"/>
  <c r="CY1043" i="1"/>
  <c r="FA1043" i="1" s="1"/>
  <c r="CY724" i="1"/>
  <c r="FA724" i="1" s="1"/>
  <c r="CY1176" i="1"/>
  <c r="FA1176" i="1" s="1"/>
  <c r="CY1272" i="1"/>
  <c r="FA1272" i="1" s="1"/>
  <c r="CY1086" i="1"/>
  <c r="FA1086" i="1" s="1"/>
  <c r="CY638" i="1"/>
  <c r="FA638" i="1" s="1"/>
  <c r="CY1547" i="1"/>
  <c r="FA1547" i="1" s="1"/>
  <c r="CY632" i="1"/>
  <c r="FA632" i="1" s="1"/>
  <c r="CY1039" i="1"/>
  <c r="FA1039" i="1" s="1"/>
  <c r="CY1048" i="1"/>
  <c r="FA1048" i="1" s="1"/>
  <c r="CY942" i="1"/>
  <c r="FA942" i="1" s="1"/>
  <c r="CY1058" i="1"/>
  <c r="FA1058" i="1" s="1"/>
  <c r="CY1138" i="1"/>
  <c r="FA1138" i="1" s="1"/>
  <c r="CY253" i="1"/>
  <c r="FA253" i="1" s="1"/>
  <c r="CY1621" i="1"/>
  <c r="FA1621" i="1" s="1"/>
  <c r="CY1127" i="1"/>
  <c r="FA1127" i="1" s="1"/>
  <c r="CY1228" i="1"/>
  <c r="FA1228" i="1" s="1"/>
  <c r="CY1498" i="1"/>
  <c r="FA1498" i="1" s="1"/>
  <c r="CY635" i="1"/>
  <c r="FA635" i="1" s="1"/>
  <c r="CY1047" i="1"/>
  <c r="FA1047" i="1" s="1"/>
  <c r="CY915" i="1"/>
  <c r="FA915" i="1" s="1"/>
  <c r="CY1161" i="1"/>
  <c r="FA1161" i="1" s="1"/>
  <c r="CY1633" i="1"/>
  <c r="FA1633" i="1" s="1"/>
  <c r="CY1179" i="1"/>
  <c r="FA1179" i="1" s="1"/>
  <c r="CY998" i="1"/>
  <c r="FA998" i="1" s="1"/>
  <c r="CY1066" i="1"/>
  <c r="FA1066" i="1" s="1"/>
  <c r="CY1067" i="1"/>
  <c r="FA1067" i="1" s="1"/>
  <c r="CY1287" i="1"/>
  <c r="FA1287" i="1" s="1"/>
  <c r="CY1521" i="1"/>
  <c r="FA1521" i="1" s="1"/>
  <c r="CY1041" i="1"/>
  <c r="FA1041" i="1" s="1"/>
  <c r="CY938" i="1"/>
  <c r="FA938" i="1" s="1"/>
  <c r="CY1256" i="1"/>
  <c r="FA1256" i="1" s="1"/>
  <c r="CY1177" i="1"/>
  <c r="FA1177" i="1" s="1"/>
  <c r="CY1123" i="1"/>
  <c r="FA1123" i="1" s="1"/>
  <c r="CY1053" i="1"/>
  <c r="FA1053" i="1" s="1"/>
  <c r="CY1505" i="1"/>
  <c r="FA1505" i="1" s="1"/>
  <c r="CY1084" i="1"/>
  <c r="FA1084" i="1" s="1"/>
  <c r="CY1168" i="1"/>
  <c r="FA1168" i="1" s="1"/>
  <c r="CY1172" i="1"/>
  <c r="FA1172" i="1" s="1"/>
  <c r="CY1564" i="1"/>
  <c r="FA1564" i="1" s="1"/>
  <c r="CY1232" i="1"/>
  <c r="FA1232" i="1" s="1"/>
  <c r="CY1157" i="1"/>
  <c r="FA1157" i="1" s="1"/>
  <c r="CY1497" i="1"/>
  <c r="FA1497" i="1" s="1"/>
  <c r="CY1054" i="1"/>
  <c r="FA1054" i="1" s="1"/>
  <c r="CY927" i="1"/>
  <c r="FA927" i="1" s="1"/>
  <c r="CY1631" i="1"/>
  <c r="FA1631" i="1" s="1"/>
  <c r="CY1630" i="1"/>
  <c r="FA1630" i="1" s="1"/>
  <c r="CY1561" i="1"/>
  <c r="FA1561" i="1" s="1"/>
  <c r="CY1045" i="1"/>
  <c r="FA1045" i="1" s="1"/>
  <c r="CY1044" i="1"/>
  <c r="FA1044" i="1" s="1"/>
  <c r="CY939" i="1"/>
  <c r="FA939" i="1" s="1"/>
  <c r="CY1271" i="1"/>
  <c r="FA1271" i="1" s="1"/>
  <c r="CY745" i="1"/>
  <c r="FA745" i="1" s="1"/>
  <c r="CY1263" i="1"/>
  <c r="FA1263" i="1" s="1"/>
  <c r="CY1231" i="1"/>
  <c r="FA1231" i="1" s="1"/>
  <c r="CY254" i="1"/>
  <c r="FA254" i="1" s="1"/>
  <c r="CY1526" i="1"/>
  <c r="FA1526" i="1" s="1"/>
  <c r="CY1551" i="1"/>
  <c r="FA1551" i="1" s="1"/>
  <c r="CY1049" i="1"/>
  <c r="FA1049" i="1" s="1"/>
  <c r="CY1293" i="1"/>
  <c r="FA1293" i="1" s="1"/>
  <c r="CY1056" i="1"/>
  <c r="FA1056" i="1" s="1"/>
  <c r="CY739" i="1"/>
  <c r="FA739" i="1" s="1"/>
  <c r="CY1141" i="1"/>
  <c r="FA1141" i="1" s="1"/>
  <c r="CY734" i="1"/>
  <c r="FA734" i="1" s="1"/>
  <c r="CY1273" i="1"/>
  <c r="FA1273" i="1" s="1"/>
  <c r="CY901" i="1"/>
  <c r="FA901" i="1" s="1"/>
  <c r="CY1268" i="1"/>
  <c r="FA1268" i="1" s="1"/>
  <c r="CY1254" i="1"/>
  <c r="FA1254" i="1" s="1"/>
  <c r="CY1529" i="1"/>
  <c r="FA1529" i="1" s="1"/>
  <c r="CY737" i="1"/>
  <c r="FA737" i="1" s="1"/>
  <c r="CY609" i="1"/>
  <c r="FA609" i="1" s="1"/>
  <c r="CY691" i="1"/>
  <c r="FA691" i="1" s="1"/>
  <c r="CY1233" i="1"/>
  <c r="FA1233" i="1" s="1"/>
  <c r="CY1528" i="1"/>
  <c r="FA1528" i="1" s="1"/>
  <c r="CY1534" i="1"/>
  <c r="FA1534" i="1" s="1"/>
  <c r="CY1429" i="1"/>
  <c r="FA1429" i="1" s="1"/>
  <c r="CY945" i="1"/>
  <c r="FA945" i="1" s="1"/>
  <c r="CY922" i="1"/>
  <c r="FA922" i="1" s="1"/>
  <c r="CY963" i="1"/>
  <c r="FA963" i="1" s="1"/>
  <c r="CY741" i="1"/>
  <c r="FA741" i="1" s="1"/>
  <c r="CY751" i="1"/>
  <c r="FA751" i="1" s="1"/>
  <c r="CY697" i="1"/>
  <c r="FA697" i="1" s="1"/>
  <c r="CY995" i="1"/>
  <c r="FA995" i="1" s="1"/>
  <c r="CY1365" i="1"/>
  <c r="FA1365" i="1" s="1"/>
  <c r="CY921" i="1"/>
  <c r="FA921" i="1" s="1"/>
  <c r="CY965" i="1"/>
  <c r="FA965" i="1" s="1"/>
  <c r="CY1255" i="1"/>
  <c r="FA1255" i="1" s="1"/>
  <c r="CY1539" i="1"/>
  <c r="FA1539" i="1" s="1"/>
  <c r="CY1554" i="1"/>
  <c r="FA1554" i="1" s="1"/>
  <c r="CY1550" i="1"/>
  <c r="FA1550" i="1" s="1"/>
  <c r="CY1090" i="1"/>
  <c r="FA1090" i="1" s="1"/>
  <c r="CY1552" i="1"/>
  <c r="FA1552" i="1" s="1"/>
  <c r="CY1235" i="1"/>
  <c r="FA1235" i="1" s="1"/>
  <c r="CY723" i="1"/>
  <c r="FA723" i="1" s="1"/>
  <c r="CY728" i="1"/>
  <c r="FA728" i="1" s="1"/>
  <c r="CY1499" i="1"/>
  <c r="FA1499" i="1" s="1"/>
  <c r="CY34" i="1"/>
  <c r="FA34" i="1" s="1"/>
  <c r="CY1087" i="1"/>
  <c r="FA1087" i="1" s="1"/>
  <c r="CY1258" i="1"/>
  <c r="FA1258" i="1" s="1"/>
  <c r="CY252" i="1"/>
  <c r="FA252" i="1" s="1"/>
  <c r="CY1541" i="1"/>
  <c r="FA1541" i="1" s="1"/>
  <c r="CY1517" i="1"/>
  <c r="FA1517" i="1" s="1"/>
  <c r="CY732" i="1"/>
  <c r="FA732" i="1" s="1"/>
  <c r="CY1163" i="1"/>
  <c r="FA1163" i="1" s="1"/>
  <c r="CY733" i="1"/>
  <c r="FA733" i="1" s="1"/>
  <c r="CY722" i="1"/>
  <c r="FA722" i="1" s="1"/>
  <c r="CY1169" i="1"/>
  <c r="FA1169" i="1" s="1"/>
  <c r="CY615" i="1"/>
  <c r="FA615" i="1" s="1"/>
  <c r="CY1629" i="1"/>
  <c r="FA1629" i="1" s="1"/>
  <c r="CY1124" i="1"/>
  <c r="FA1124" i="1" s="1"/>
  <c r="CY1507" i="1"/>
  <c r="FA1507" i="1" s="1"/>
  <c r="CY1065" i="1"/>
  <c r="FA1065" i="1" s="1"/>
  <c r="CY730" i="1"/>
  <c r="FA730" i="1" s="1"/>
  <c r="CY1617" i="1"/>
  <c r="FA1617" i="1" s="1"/>
  <c r="CY1496" i="1"/>
  <c r="FA1496" i="1" s="1"/>
  <c r="CY1546" i="1"/>
  <c r="FA1546" i="1" s="1"/>
  <c r="CY1074" i="1"/>
  <c r="FA1074" i="1" s="1"/>
  <c r="CY1042" i="1"/>
  <c r="FA1042" i="1" s="1"/>
  <c r="CY721" i="1"/>
  <c r="FA721" i="1" s="1"/>
  <c r="CY1628" i="1"/>
  <c r="FA1628" i="1" s="1"/>
  <c r="CY1250" i="1"/>
  <c r="FA1250" i="1" s="1"/>
  <c r="CY1544" i="1"/>
  <c r="FA1544" i="1" s="1"/>
  <c r="CY1568" i="1"/>
  <c r="FA1568" i="1" s="1"/>
  <c r="CY636" i="1"/>
  <c r="FA636" i="1" s="1"/>
  <c r="CY1070" i="1"/>
  <c r="FA1070" i="1" s="1"/>
  <c r="CY1069" i="1"/>
  <c r="FA1069" i="1" s="1"/>
  <c r="CY1632" i="1"/>
  <c r="FA1632" i="1" s="1"/>
  <c r="CY1532" i="1"/>
  <c r="FA1532" i="1" s="1"/>
  <c r="CY1092" i="1"/>
  <c r="FA1092" i="1" s="1"/>
  <c r="CY947" i="1"/>
  <c r="FA947" i="1" s="1"/>
  <c r="CY1082" i="1"/>
  <c r="FA1082" i="1" s="1"/>
  <c r="CY1428" i="1"/>
  <c r="FA1428" i="1" s="1"/>
  <c r="CY1533" i="1"/>
  <c r="FA1533" i="1" s="1"/>
  <c r="CY917" i="1"/>
  <c r="FA917" i="1" s="1"/>
  <c r="CY937" i="1"/>
  <c r="FA937" i="1" s="1"/>
  <c r="CY727" i="1"/>
  <c r="FA727" i="1" s="1"/>
  <c r="CY1075" i="1"/>
  <c r="FA1075" i="1" s="1"/>
  <c r="CY83" i="1"/>
  <c r="FA83" i="1" s="1"/>
  <c r="CY1116" i="1"/>
  <c r="FA1116" i="1" s="1"/>
  <c r="CY744" i="1"/>
  <c r="FA744" i="1" s="1"/>
  <c r="CY1073" i="1"/>
  <c r="FA1073" i="1" s="1"/>
  <c r="CY1473" i="1"/>
  <c r="FA1473" i="1" s="1"/>
  <c r="CY931" i="1"/>
  <c r="FA931" i="1" s="1"/>
  <c r="CY736" i="1"/>
  <c r="FA736" i="1" s="1"/>
  <c r="CY935" i="1"/>
  <c r="FA935" i="1" s="1"/>
  <c r="CY1037" i="1"/>
  <c r="FA1037" i="1" s="1"/>
  <c r="CY1247" i="1"/>
  <c r="FA1247" i="1" s="1"/>
  <c r="CY1118" i="1"/>
  <c r="FA1118" i="1" s="1"/>
  <c r="CY1236" i="1"/>
  <c r="FA1236" i="1" s="1"/>
  <c r="CY1079" i="1"/>
  <c r="FA1079" i="1" s="1"/>
  <c r="CY1620" i="1"/>
  <c r="FA1620" i="1" s="1"/>
  <c r="CY1567" i="1"/>
  <c r="FA1567" i="1" s="1"/>
  <c r="CY1089" i="1"/>
  <c r="FA1089" i="1" s="1"/>
  <c r="CY1518" i="1"/>
  <c r="FA1518" i="1" s="1"/>
  <c r="CY1525" i="1"/>
  <c r="FA1525" i="1" s="1"/>
  <c r="CY1566" i="1"/>
  <c r="FA1566" i="1" s="1"/>
  <c r="CY1511" i="1"/>
  <c r="FA1511" i="1" s="1"/>
  <c r="CY1504" i="1"/>
  <c r="FA1504" i="1" s="1"/>
  <c r="CY1562" i="1"/>
  <c r="FA1562" i="1" s="1"/>
  <c r="CY1046" i="1"/>
  <c r="FA1046" i="1" s="1"/>
  <c r="CY689" i="1"/>
  <c r="FA689" i="1" s="1"/>
  <c r="CY1117" i="1"/>
  <c r="FA1117" i="1" s="1"/>
  <c r="CY1531" i="1"/>
  <c r="FA1531" i="1" s="1"/>
  <c r="CY1502" i="1"/>
  <c r="FA1502" i="1" s="1"/>
  <c r="CY718" i="1"/>
  <c r="FA718" i="1" s="1"/>
  <c r="CY1133" i="1"/>
  <c r="FA1133" i="1" s="1"/>
  <c r="CY1543" i="1"/>
  <c r="FA1543" i="1" s="1"/>
  <c r="CY1148" i="1"/>
  <c r="FA1148" i="1" s="1"/>
  <c r="CY1061" i="1"/>
  <c r="FA1061" i="1" s="1"/>
  <c r="CY256" i="1"/>
  <c r="FA256" i="1" s="1"/>
  <c r="CY1060" i="1"/>
  <c r="FA1060" i="1" s="1"/>
  <c r="CY1055" i="1"/>
  <c r="FA1055" i="1" s="1"/>
  <c r="CY738" i="1"/>
  <c r="FA738" i="1" s="1"/>
  <c r="CY1063" i="1"/>
  <c r="FA1063" i="1" s="1"/>
  <c r="CY1135" i="1"/>
  <c r="FA1135" i="1" s="1"/>
  <c r="CY1109" i="1"/>
  <c r="FA1109" i="1" s="1"/>
  <c r="CY695" i="1"/>
  <c r="FA695" i="1" s="1"/>
  <c r="CY941" i="1"/>
  <c r="FA941" i="1" s="1"/>
  <c r="CX526" i="1"/>
  <c r="CY526" i="1"/>
  <c r="FA526" i="1" s="1"/>
  <c r="CY1159" i="1"/>
  <c r="FA1159" i="1" s="1"/>
  <c r="CY1072" i="1"/>
  <c r="FA1072" i="1" s="1"/>
  <c r="CY1619" i="1"/>
  <c r="FA1619" i="1" s="1"/>
  <c r="CY1234" i="1"/>
  <c r="FA1234" i="1" s="1"/>
  <c r="CY1139" i="1"/>
  <c r="FA1139" i="1" s="1"/>
  <c r="CY1077" i="1"/>
  <c r="FA1077" i="1" s="1"/>
  <c r="CY1503" i="1"/>
  <c r="FA1503" i="1" s="1"/>
  <c r="CY1549" i="1"/>
  <c r="FA1549" i="1" s="1"/>
  <c r="CY1563" i="1"/>
  <c r="FA1563" i="1" s="1"/>
  <c r="CY1523" i="1"/>
  <c r="FA1523" i="1" s="1"/>
  <c r="CY1537" i="1"/>
  <c r="FA1537" i="1" s="1"/>
  <c r="CY1540" i="1"/>
  <c r="FA1540" i="1" s="1"/>
  <c r="CY749" i="1"/>
  <c r="FA749" i="1" s="1"/>
  <c r="CY748" i="1"/>
  <c r="FA748" i="1" s="1"/>
  <c r="CY1164" i="1"/>
  <c r="FA1164" i="1" s="1"/>
  <c r="CY1167" i="1"/>
  <c r="FA1167" i="1" s="1"/>
  <c r="CY1173" i="1"/>
  <c r="FA1173" i="1" s="1"/>
  <c r="CY1134" i="1"/>
  <c r="FA1134" i="1" s="1"/>
  <c r="CY743" i="1"/>
  <c r="FA743" i="1" s="1"/>
  <c r="CY747" i="1"/>
  <c r="FA747" i="1" s="1"/>
  <c r="CY1160" i="1"/>
  <c r="FA1160" i="1" s="1"/>
  <c r="CY1227" i="1"/>
  <c r="FA1227" i="1" s="1"/>
  <c r="CY639" i="1"/>
  <c r="FA639" i="1" s="1"/>
  <c r="CY1071" i="1"/>
  <c r="FA1071" i="1" s="1"/>
  <c r="CY1522" i="1"/>
  <c r="FA1522" i="1" s="1"/>
  <c r="CY1512" i="1"/>
  <c r="FA1512" i="1" s="1"/>
  <c r="CY1520" i="1"/>
  <c r="FA1520" i="1" s="1"/>
  <c r="CY1548" i="1"/>
  <c r="FA1548" i="1" s="1"/>
  <c r="CY936" i="1"/>
  <c r="FA936" i="1" s="1"/>
  <c r="CY1626" i="1"/>
  <c r="FA1626" i="1" s="1"/>
  <c r="CY1262" i="1"/>
  <c r="FA1262" i="1" s="1"/>
  <c r="CY719" i="1"/>
  <c r="FA719" i="1" s="1"/>
  <c r="CY1294" i="1"/>
  <c r="FA1294" i="1" s="1"/>
  <c r="CY940" i="1"/>
  <c r="FA940" i="1" s="1"/>
  <c r="CY1185" i="1"/>
  <c r="FA1185" i="1" s="1"/>
  <c r="CY696" i="1"/>
  <c r="FA696" i="1" s="1"/>
  <c r="CY1175" i="1"/>
  <c r="FA1175" i="1" s="1"/>
  <c r="CY1064" i="1"/>
  <c r="FA1064" i="1" s="1"/>
  <c r="CY1174" i="1"/>
  <c r="FA1174" i="1" s="1"/>
  <c r="CY1081" i="1"/>
  <c r="FA1081" i="1" s="1"/>
  <c r="CY605" i="1"/>
  <c r="FA605" i="1" s="1"/>
  <c r="CY726" i="1"/>
  <c r="FA726" i="1" s="1"/>
  <c r="CY731" i="1"/>
  <c r="FA731" i="1" s="1"/>
  <c r="CY1057" i="1"/>
  <c r="FA1057" i="1" s="1"/>
  <c r="CY1036" i="1"/>
  <c r="FA1036" i="1" s="1"/>
  <c r="CY633" i="1"/>
  <c r="FA633" i="1" s="1"/>
  <c r="CY914" i="1"/>
  <c r="FA914" i="1" s="1"/>
  <c r="CY1569" i="1"/>
  <c r="FA1569" i="1" s="1"/>
  <c r="CY1510" i="1"/>
  <c r="FA1510" i="1" s="1"/>
  <c r="CY1131" i="1"/>
  <c r="FA1131" i="1" s="1"/>
  <c r="CY1136" i="1"/>
  <c r="FA1136" i="1" s="1"/>
  <c r="CY1184" i="1"/>
  <c r="FA1184" i="1" s="1"/>
  <c r="CY1181" i="1"/>
  <c r="FA1181" i="1" s="1"/>
  <c r="CY750" i="1"/>
  <c r="FA750" i="1" s="1"/>
  <c r="CY1183" i="1"/>
  <c r="FA1183" i="1" s="1"/>
  <c r="CY1156" i="1"/>
  <c r="FA1156" i="1" s="1"/>
  <c r="CY1557" i="1"/>
  <c r="FA1557" i="1" s="1"/>
  <c r="CY1050" i="1"/>
  <c r="FA1050" i="1" s="1"/>
  <c r="CY1051" i="1"/>
  <c r="FA1051" i="1" s="1"/>
  <c r="CY740" i="1"/>
  <c r="FA740" i="1" s="1"/>
  <c r="CY926" i="1"/>
  <c r="FA926" i="1" s="1"/>
  <c r="CY714" i="1"/>
  <c r="FA714" i="1" s="1"/>
  <c r="CY1508" i="1"/>
  <c r="FA1508" i="1" s="1"/>
  <c r="CY1229" i="1"/>
  <c r="FA1229" i="1" s="1"/>
  <c r="CY1144" i="1"/>
  <c r="FA1144" i="1" s="1"/>
  <c r="CY1367" i="1"/>
  <c r="FA1367" i="1" s="1"/>
  <c r="CY1085" i="1"/>
  <c r="FA1085" i="1" s="1"/>
  <c r="CY1126" i="1"/>
  <c r="FA1126" i="1" s="1"/>
  <c r="CY1260" i="1"/>
  <c r="FA1260" i="1" s="1"/>
  <c r="CY631" i="1"/>
  <c r="FA631" i="1" s="1"/>
  <c r="CY82" i="1"/>
  <c r="FA82" i="1" s="1"/>
  <c r="CY1624" i="1"/>
  <c r="FA1624" i="1" s="1"/>
  <c r="CY687" i="1"/>
  <c r="FA687" i="1" s="1"/>
  <c r="CY1527" i="1"/>
  <c r="FA1527" i="1" s="1"/>
  <c r="CY1535" i="1"/>
  <c r="FA1535" i="1" s="1"/>
  <c r="CY1513" i="1"/>
  <c r="FA1513" i="1" s="1"/>
  <c r="CY1514" i="1"/>
  <c r="FA1514" i="1" s="1"/>
  <c r="CY1538" i="1"/>
  <c r="FA1538" i="1" s="1"/>
  <c r="CY630" i="1"/>
  <c r="FA630" i="1" s="1"/>
  <c r="CY725" i="1"/>
  <c r="FA725" i="1" s="1"/>
  <c r="CY933" i="1"/>
  <c r="FA933" i="1" s="1"/>
  <c r="CX527" i="1"/>
  <c r="CY527" i="1"/>
  <c r="FA527" i="1" s="1"/>
  <c r="CY1162" i="1"/>
  <c r="FA1162" i="1" s="1"/>
  <c r="CY1128" i="1"/>
  <c r="FA1128" i="1" s="1"/>
  <c r="CY1509" i="1"/>
  <c r="FA1509" i="1" s="1"/>
  <c r="CY1110" i="1"/>
  <c r="FA1110" i="1" s="1"/>
  <c r="CY1249" i="1"/>
  <c r="FA1249" i="1" s="1"/>
  <c r="CY640" i="1"/>
  <c r="FA640" i="1" s="1"/>
  <c r="CY1155" i="1"/>
  <c r="FA1155" i="1" s="1"/>
  <c r="CY1038" i="1"/>
  <c r="FA1038" i="1" s="1"/>
  <c r="CY1627" i="1"/>
  <c r="FA1627" i="1" s="1"/>
  <c r="CY1252" i="1"/>
  <c r="FA1252" i="1" s="1"/>
  <c r="CY1091" i="1"/>
  <c r="FA1091" i="1" s="1"/>
  <c r="CY1083" i="1"/>
  <c r="FA1083" i="1" s="1"/>
  <c r="CY1076" i="1"/>
  <c r="FA1076" i="1" s="1"/>
  <c r="CY1516" i="1"/>
  <c r="FA1516" i="1" s="1"/>
  <c r="CY1542" i="1"/>
  <c r="FA1542" i="1" s="1"/>
  <c r="CY1238" i="1"/>
  <c r="FA1238" i="1" s="1"/>
  <c r="CY934" i="1"/>
  <c r="FA934" i="1" s="1"/>
  <c r="CY1472" i="1"/>
  <c r="FA1472" i="1" s="1"/>
  <c r="CY1119" i="1"/>
  <c r="FA1119" i="1" s="1"/>
  <c r="CY1622" i="1"/>
  <c r="FA1622" i="1" s="1"/>
  <c r="CY1501" i="1"/>
  <c r="FA1501" i="1" s="1"/>
  <c r="CY1052" i="1"/>
  <c r="FA1052" i="1" s="1"/>
  <c r="CY698" i="1"/>
  <c r="FA698" i="1" s="1"/>
  <c r="CY925" i="1"/>
  <c r="FA925" i="1" s="1"/>
  <c r="CY1145" i="1"/>
  <c r="FA1145" i="1" s="1"/>
  <c r="CY1149" i="1"/>
  <c r="FA1149" i="1" s="1"/>
  <c r="CY997" i="1"/>
  <c r="FA997" i="1" s="1"/>
  <c r="CY1623" i="1"/>
  <c r="FA1623" i="1" s="1"/>
  <c r="CY1248" i="1"/>
  <c r="FA1248" i="1" s="1"/>
  <c r="CY1166" i="1"/>
  <c r="FA1166" i="1" s="1"/>
  <c r="CY1154" i="1"/>
  <c r="FA1154" i="1" s="1"/>
  <c r="CX746" i="1"/>
  <c r="CZ746" i="1"/>
  <c r="CX1058" i="1"/>
  <c r="CZ1058" i="1"/>
  <c r="CX1632" i="1"/>
  <c r="CZ1632" i="1"/>
  <c r="CX1544" i="1"/>
  <c r="CZ1544" i="1"/>
  <c r="CZ1429" i="1"/>
  <c r="CX1429" i="1"/>
  <c r="CX1157" i="1"/>
  <c r="CZ1157" i="1"/>
  <c r="CX1294" i="1"/>
  <c r="CZ1294" i="1"/>
  <c r="CX1031" i="1"/>
  <c r="CZ1031" i="1"/>
  <c r="CX1265" i="1"/>
  <c r="CZ1265" i="1"/>
  <c r="CX1173" i="1"/>
  <c r="CZ1173" i="1"/>
  <c r="CX1134" i="1"/>
  <c r="CZ1134" i="1"/>
  <c r="CX255" i="1"/>
  <c r="CZ255" i="1"/>
  <c r="CX1092" i="1"/>
  <c r="CZ1092" i="1"/>
  <c r="CX1022" i="1"/>
  <c r="CZ1022" i="1"/>
  <c r="CX1064" i="1"/>
  <c r="CZ1064" i="1"/>
  <c r="CX1081" i="1"/>
  <c r="CZ1081" i="1"/>
  <c r="CX605" i="1"/>
  <c r="CZ605" i="1"/>
  <c r="CX1028" i="1"/>
  <c r="CZ1028" i="1"/>
  <c r="CX1158" i="1"/>
  <c r="CZ1158" i="1"/>
  <c r="CX1251" i="1"/>
  <c r="CZ1251" i="1"/>
  <c r="CX741" i="1"/>
  <c r="CZ741" i="1"/>
  <c r="CT525" i="1"/>
  <c r="CZ525" i="1" s="1"/>
  <c r="CX525" i="1"/>
  <c r="CX1014" i="1"/>
  <c r="CZ1014" i="1"/>
  <c r="CX752" i="1"/>
  <c r="CZ752" i="1"/>
  <c r="CX1252" i="1"/>
  <c r="CZ1252" i="1"/>
  <c r="CX1076" i="1"/>
  <c r="CZ1076" i="1"/>
  <c r="CX1535" i="1"/>
  <c r="CZ1535" i="1"/>
  <c r="CX1513" i="1"/>
  <c r="CZ1513" i="1"/>
  <c r="CX1538" i="1"/>
  <c r="CZ1538" i="1"/>
  <c r="CX630" i="1"/>
  <c r="CZ630" i="1"/>
  <c r="CX725" i="1"/>
  <c r="CZ725" i="1"/>
  <c r="CX933" i="1"/>
  <c r="CZ933" i="1"/>
  <c r="CX1011" i="1"/>
  <c r="CZ1011" i="1"/>
  <c r="CX944" i="1"/>
  <c r="CZ944" i="1"/>
  <c r="CX1162" i="1"/>
  <c r="CZ1162" i="1"/>
  <c r="CX1497" i="1"/>
  <c r="CZ1497" i="1"/>
  <c r="CX635" i="1"/>
  <c r="CZ635" i="1"/>
  <c r="CX1136" i="1"/>
  <c r="CZ1136" i="1"/>
  <c r="CX1184" i="1"/>
  <c r="CZ1184" i="1"/>
  <c r="CX1181" i="1"/>
  <c r="CZ1181" i="1"/>
  <c r="CX1035" i="1"/>
  <c r="CZ1035" i="1"/>
  <c r="CX1078" i="1"/>
  <c r="CZ1078" i="1"/>
  <c r="CX750" i="1"/>
  <c r="CZ750" i="1"/>
  <c r="CX1183" i="1"/>
  <c r="CZ1183" i="1"/>
  <c r="CX1156" i="1"/>
  <c r="CZ1156" i="1"/>
  <c r="CX1287" i="1"/>
  <c r="CZ1287" i="1"/>
  <c r="CX923" i="1"/>
  <c r="CZ923" i="1"/>
  <c r="CX1256" i="1"/>
  <c r="CZ1256" i="1"/>
  <c r="CX1123" i="1"/>
  <c r="CZ1123" i="1"/>
  <c r="CX1564" i="1"/>
  <c r="CZ1564" i="1"/>
  <c r="CX1546" i="1"/>
  <c r="CZ1546" i="1"/>
  <c r="CX1013" i="1"/>
  <c r="CZ1013" i="1"/>
  <c r="CX1167" i="1"/>
  <c r="CZ1167" i="1"/>
  <c r="CX1529" i="1"/>
  <c r="CZ1529" i="1"/>
  <c r="CX1354" i="1"/>
  <c r="CZ1354" i="1"/>
  <c r="CX903" i="1"/>
  <c r="CZ903" i="1"/>
  <c r="CX940" i="1"/>
  <c r="CZ940" i="1"/>
  <c r="CX1009" i="1"/>
  <c r="CZ1009" i="1"/>
  <c r="CX1054" i="1"/>
  <c r="CZ1054" i="1"/>
  <c r="CX1059" i="1"/>
  <c r="CZ1059" i="1"/>
  <c r="CX1053" i="1"/>
  <c r="CZ1053" i="1"/>
  <c r="CX922" i="1"/>
  <c r="CZ922" i="1"/>
  <c r="CX928" i="1"/>
  <c r="CZ928" i="1"/>
  <c r="CX1545" i="1"/>
  <c r="CZ1545" i="1"/>
  <c r="CX927" i="1"/>
  <c r="CZ927" i="1"/>
  <c r="CX995" i="1"/>
  <c r="CZ995" i="1"/>
  <c r="CX1365" i="1"/>
  <c r="CZ1365" i="1"/>
  <c r="CX965" i="1"/>
  <c r="CZ965" i="1"/>
  <c r="CX1083" i="1"/>
  <c r="CZ1083" i="1"/>
  <c r="CX1514" i="1"/>
  <c r="CZ1514" i="1"/>
  <c r="CX634" i="1"/>
  <c r="CZ634" i="1"/>
  <c r="CX1060" i="1"/>
  <c r="CZ1060" i="1"/>
  <c r="CX939" i="1"/>
  <c r="CZ939" i="1"/>
  <c r="CX1271" i="1"/>
  <c r="CZ1271" i="1"/>
  <c r="CX745" i="1"/>
  <c r="CZ745" i="1"/>
  <c r="CX947" i="1"/>
  <c r="CZ947" i="1"/>
  <c r="CX1263" i="1"/>
  <c r="CZ1263" i="1"/>
  <c r="CX1182" i="1"/>
  <c r="CZ1182" i="1"/>
  <c r="CZ1176" i="1"/>
  <c r="CX1176" i="1"/>
  <c r="CX1272" i="1"/>
  <c r="CZ1272" i="1"/>
  <c r="CX1086" i="1"/>
  <c r="CZ1086" i="1"/>
  <c r="CX1499" i="1"/>
  <c r="CZ1499" i="1"/>
  <c r="CX34" i="1"/>
  <c r="CZ34" i="1"/>
  <c r="CX1087" i="1"/>
  <c r="CZ1087" i="1"/>
  <c r="CX1258" i="1"/>
  <c r="CZ1258" i="1"/>
  <c r="CX252" i="1"/>
  <c r="CZ252" i="1"/>
  <c r="CX254" i="1"/>
  <c r="CZ254" i="1"/>
  <c r="CX1541" i="1"/>
  <c r="CZ1541" i="1"/>
  <c r="CX1561" i="1"/>
  <c r="CZ1561" i="1"/>
  <c r="CX1560" i="1"/>
  <c r="CZ1560" i="1"/>
  <c r="CX1539" i="1"/>
  <c r="CZ1539" i="1"/>
  <c r="CX1554" i="1"/>
  <c r="CZ1554" i="1"/>
  <c r="CX1550" i="1"/>
  <c r="CZ1550" i="1"/>
  <c r="CX1542" i="1"/>
  <c r="CZ1542" i="1"/>
  <c r="CX1238" i="1"/>
  <c r="CZ1238" i="1"/>
  <c r="CX1509" i="1"/>
  <c r="CZ1509" i="1"/>
  <c r="CX1006" i="1"/>
  <c r="CZ1006" i="1"/>
  <c r="CX1047" i="1"/>
  <c r="CZ1047" i="1"/>
  <c r="CX1161" i="1"/>
  <c r="CZ1161" i="1"/>
  <c r="CX945" i="1"/>
  <c r="CZ945" i="1"/>
  <c r="CX1179" i="1"/>
  <c r="CZ1179" i="1"/>
  <c r="CX1048" i="1"/>
  <c r="CZ1048" i="1"/>
  <c r="CX1253" i="1"/>
  <c r="CZ1253" i="1"/>
  <c r="CZ637" i="1"/>
  <c r="CX637" i="1"/>
  <c r="CZ1177" i="1"/>
  <c r="CX1177" i="1"/>
  <c r="CX1228" i="1"/>
  <c r="CZ1228" i="1"/>
  <c r="CX1534" i="1"/>
  <c r="CZ1534" i="1"/>
  <c r="CX1017" i="1"/>
  <c r="CZ1017" i="1"/>
  <c r="CX998" i="1"/>
  <c r="CZ998" i="1"/>
  <c r="CX740" i="1"/>
  <c r="CZ740" i="1"/>
  <c r="CX926" i="1"/>
  <c r="CZ926" i="1"/>
  <c r="CX1163" i="1"/>
  <c r="CZ1163" i="1"/>
  <c r="CX1229" i="1"/>
  <c r="CZ1229" i="1"/>
  <c r="CX1618" i="1"/>
  <c r="CZ1618" i="1"/>
  <c r="CX1356" i="1"/>
  <c r="CZ1356" i="1"/>
  <c r="CX1085" i="1"/>
  <c r="CZ1085" i="1"/>
  <c r="CX1260" i="1"/>
  <c r="CZ1260" i="1"/>
  <c r="CX687" i="1"/>
  <c r="CZ687" i="1"/>
  <c r="CX1521" i="1"/>
  <c r="CZ1521" i="1"/>
  <c r="CX1557" i="1"/>
  <c r="CZ1557" i="1"/>
  <c r="CX636" i="1"/>
  <c r="CZ636" i="1"/>
  <c r="CX1070" i="1"/>
  <c r="CZ1070" i="1"/>
  <c r="CX1286" i="1"/>
  <c r="CZ1286" i="1"/>
  <c r="CX696" i="1"/>
  <c r="CZ696" i="1"/>
  <c r="CX1174" i="1"/>
  <c r="CZ1174" i="1"/>
  <c r="CZ1074" i="1"/>
  <c r="CX1074" i="1"/>
  <c r="CX1030" i="1"/>
  <c r="CZ1030" i="1"/>
  <c r="CX1045" i="1"/>
  <c r="CZ1045" i="1"/>
  <c r="CX1044" i="1"/>
  <c r="CZ1044" i="1"/>
  <c r="CX963" i="1"/>
  <c r="CZ963" i="1"/>
  <c r="CX1034" i="1"/>
  <c r="CZ1034" i="1"/>
  <c r="CX1038" i="1"/>
  <c r="CZ1038" i="1"/>
  <c r="CX751" i="1"/>
  <c r="CZ751" i="1"/>
  <c r="CX697" i="1"/>
  <c r="CZ697" i="1"/>
  <c r="CX1137" i="1"/>
  <c r="CZ1137" i="1"/>
  <c r="CX1627" i="1"/>
  <c r="CZ1627" i="1"/>
  <c r="CX1631" i="1"/>
  <c r="CZ1631" i="1"/>
  <c r="CX921" i="1"/>
  <c r="CZ921" i="1"/>
  <c r="CX1091" i="1"/>
  <c r="CZ1091" i="1"/>
  <c r="CX1630" i="1"/>
  <c r="CZ1630" i="1"/>
  <c r="CX1255" i="1"/>
  <c r="CZ1255" i="1"/>
  <c r="CX1556" i="1"/>
  <c r="CZ1556" i="1"/>
  <c r="CX1018" i="1"/>
  <c r="CZ1018" i="1"/>
  <c r="CX1008" i="1"/>
  <c r="CZ1008" i="1"/>
  <c r="CX1062" i="1"/>
  <c r="CZ1062" i="1"/>
  <c r="CX728" i="1"/>
  <c r="CZ728" i="1"/>
  <c r="CX638" i="1"/>
  <c r="CZ638" i="1"/>
  <c r="CX1231" i="1"/>
  <c r="CZ1231" i="1"/>
  <c r="CX1082" i="1"/>
  <c r="CZ1082" i="1"/>
  <c r="CZ1428" i="1"/>
  <c r="CX1428" i="1"/>
  <c r="CX1516" i="1"/>
  <c r="CZ1516" i="1"/>
  <c r="CX1505" i="1"/>
  <c r="CZ1505" i="1"/>
  <c r="CX1599" i="1"/>
  <c r="CZ1599" i="1"/>
  <c r="CX934" i="1"/>
  <c r="CZ934" i="1"/>
  <c r="CZ1019" i="1"/>
  <c r="CX1019" i="1"/>
  <c r="CX943" i="1"/>
  <c r="CZ943" i="1"/>
  <c r="CX1472" i="1"/>
  <c r="CZ1472" i="1"/>
  <c r="CX1350" i="1"/>
  <c r="CZ1350" i="1"/>
  <c r="CX1119" i="1"/>
  <c r="CZ1119" i="1"/>
  <c r="CX1622" i="1"/>
  <c r="CZ1622" i="1"/>
  <c r="CX1084" i="1"/>
  <c r="CZ1084" i="1"/>
  <c r="CX1128" i="1"/>
  <c r="CZ1128" i="1"/>
  <c r="CX1067" i="1"/>
  <c r="CZ1067" i="1"/>
  <c r="CX930" i="1"/>
  <c r="CZ930" i="1"/>
  <c r="CZ915" i="1"/>
  <c r="CX915" i="1"/>
  <c r="CX742" i="1"/>
  <c r="CZ742" i="1"/>
  <c r="CX1027" i="1"/>
  <c r="CZ1027" i="1"/>
  <c r="CX1633" i="1"/>
  <c r="CZ1633" i="1"/>
  <c r="CX1039" i="1"/>
  <c r="CZ1039" i="1"/>
  <c r="CX1007" i="1"/>
  <c r="CZ1007" i="1"/>
  <c r="CZ1032" i="1"/>
  <c r="CX1032" i="1"/>
  <c r="CX1023" i="1"/>
  <c r="CZ1023" i="1"/>
  <c r="CX1029" i="1"/>
  <c r="CZ1029" i="1"/>
  <c r="CX733" i="1"/>
  <c r="CZ733" i="1"/>
  <c r="CX722" i="1"/>
  <c r="CZ722" i="1"/>
  <c r="CX1473" i="1"/>
  <c r="CZ1473" i="1"/>
  <c r="CX1026" i="1"/>
  <c r="CZ1026" i="1"/>
  <c r="CX1016" i="1"/>
  <c r="CZ1016" i="1"/>
  <c r="CX931" i="1"/>
  <c r="CZ931" i="1"/>
  <c r="CX920" i="1"/>
  <c r="CZ920" i="1"/>
  <c r="CX736" i="1"/>
  <c r="CZ736" i="1"/>
  <c r="CX935" i="1"/>
  <c r="CZ935" i="1"/>
  <c r="CX1040" i="1"/>
  <c r="CZ1040" i="1"/>
  <c r="CX1037" i="1"/>
  <c r="CZ1037" i="1"/>
  <c r="CX1168" i="1"/>
  <c r="CZ1168" i="1"/>
  <c r="CX1169" i="1"/>
  <c r="CZ1169" i="1"/>
  <c r="CX1247" i="1"/>
  <c r="CZ1247" i="1"/>
  <c r="CT524" i="1"/>
  <c r="CZ524" i="1" s="1"/>
  <c r="CX524" i="1"/>
  <c r="CX1118" i="1"/>
  <c r="CZ1118" i="1"/>
  <c r="CX608" i="1"/>
  <c r="CZ608" i="1"/>
  <c r="CX1172" i="1"/>
  <c r="CZ1172" i="1"/>
  <c r="CX615" i="1"/>
  <c r="CZ615" i="1"/>
  <c r="CZ1236" i="1"/>
  <c r="CX1236" i="1"/>
  <c r="CX1079" i="1"/>
  <c r="CZ1079" i="1"/>
  <c r="CX251" i="1"/>
  <c r="CZ251" i="1"/>
  <c r="CX1629" i="1"/>
  <c r="CZ1629" i="1"/>
  <c r="CX1620" i="1"/>
  <c r="CZ1620" i="1"/>
  <c r="CX1124" i="1"/>
  <c r="CZ1124" i="1"/>
  <c r="CX1567" i="1"/>
  <c r="CZ1567" i="1"/>
  <c r="CX1533" i="1"/>
  <c r="CZ1533" i="1"/>
  <c r="CX1517" i="1"/>
  <c r="CZ1517" i="1"/>
  <c r="CX1526" i="1"/>
  <c r="CZ1526" i="1"/>
  <c r="CX1274" i="1"/>
  <c r="CZ1274" i="1"/>
  <c r="CX1559" i="1"/>
  <c r="CZ1559" i="1"/>
  <c r="CX1551" i="1"/>
  <c r="CZ1551" i="1"/>
  <c r="CX1547" i="1"/>
  <c r="CZ1547" i="1"/>
  <c r="CX1049" i="1"/>
  <c r="CZ1049" i="1"/>
  <c r="CX732" i="1"/>
  <c r="CZ732" i="1"/>
  <c r="CX917" i="1"/>
  <c r="CZ917" i="1"/>
  <c r="CX964" i="1"/>
  <c r="CZ964" i="1"/>
  <c r="CX1090" i="1"/>
  <c r="CZ1090" i="1"/>
  <c r="CZ1088" i="1"/>
  <c r="CX1088" i="1"/>
  <c r="CX1552" i="1"/>
  <c r="CZ1552" i="1"/>
  <c r="CX1501" i="1"/>
  <c r="CZ1501" i="1"/>
  <c r="CX1052" i="1"/>
  <c r="CZ1052" i="1"/>
  <c r="CX698" i="1"/>
  <c r="CZ698" i="1"/>
  <c r="CX1110" i="1"/>
  <c r="CZ1110" i="1"/>
  <c r="CX1165" i="1"/>
  <c r="CZ1165" i="1"/>
  <c r="CX1351" i="1"/>
  <c r="CZ1351" i="1"/>
  <c r="CX1249" i="1"/>
  <c r="CZ1249" i="1"/>
  <c r="CX640" i="1"/>
  <c r="CZ640" i="1"/>
  <c r="CX1171" i="1"/>
  <c r="CZ1171" i="1"/>
  <c r="CX942" i="1"/>
  <c r="CZ942" i="1"/>
  <c r="CX1138" i="1"/>
  <c r="CZ1138" i="1"/>
  <c r="CX1621" i="1"/>
  <c r="CZ1621" i="1"/>
  <c r="CX1127" i="1"/>
  <c r="CZ1127" i="1"/>
  <c r="CX1568" i="1"/>
  <c r="CZ1568" i="1"/>
  <c r="CX1041" i="1"/>
  <c r="CZ1041" i="1"/>
  <c r="CX253" i="1"/>
  <c r="CZ253" i="1"/>
  <c r="CX1066" i="1"/>
  <c r="CZ1066" i="1"/>
  <c r="CX1069" i="1"/>
  <c r="CZ1069" i="1"/>
  <c r="CX1510" i="1"/>
  <c r="CZ1510" i="1"/>
  <c r="CX1131" i="1"/>
  <c r="CZ1131" i="1"/>
  <c r="CX719" i="1"/>
  <c r="CZ719" i="1"/>
  <c r="CX1050" i="1"/>
  <c r="CZ1050" i="1"/>
  <c r="CX1364" i="1"/>
  <c r="CZ1364" i="1"/>
  <c r="CX929" i="1"/>
  <c r="CZ929" i="1"/>
  <c r="CX1508" i="1"/>
  <c r="CZ1508" i="1"/>
  <c r="CZ932" i="1"/>
  <c r="CX932" i="1"/>
  <c r="CX1367" i="1"/>
  <c r="CZ1367" i="1"/>
  <c r="CX631" i="1"/>
  <c r="CZ631" i="1"/>
  <c r="CX82" i="1"/>
  <c r="CZ82" i="1"/>
  <c r="CX1527" i="1"/>
  <c r="CZ1527" i="1"/>
  <c r="CX1536" i="1"/>
  <c r="CZ1536" i="1"/>
  <c r="CX1524" i="1"/>
  <c r="CZ1524" i="1"/>
  <c r="CX1625" i="1"/>
  <c r="CZ1625" i="1"/>
  <c r="CX1498" i="1"/>
  <c r="CZ1498" i="1"/>
  <c r="CX1055" i="1"/>
  <c r="CZ1055" i="1"/>
  <c r="CX738" i="1"/>
  <c r="CZ738" i="1"/>
  <c r="CX739" i="1"/>
  <c r="CZ739" i="1"/>
  <c r="CX1063" i="1"/>
  <c r="CZ1063" i="1"/>
  <c r="CX1135" i="1"/>
  <c r="CZ1135" i="1"/>
  <c r="CX695" i="1"/>
  <c r="CZ695" i="1"/>
  <c r="CX1159" i="1"/>
  <c r="CZ1159" i="1"/>
  <c r="CX1273" i="1"/>
  <c r="CZ1273" i="1"/>
  <c r="CX901" i="1"/>
  <c r="CZ901" i="1"/>
  <c r="CX1234" i="1"/>
  <c r="CZ1234" i="1"/>
  <c r="CX1268" i="1"/>
  <c r="CZ1268" i="1"/>
  <c r="CX1139" i="1"/>
  <c r="CZ1139" i="1"/>
  <c r="CX1089" i="1"/>
  <c r="CZ1089" i="1"/>
  <c r="CX1525" i="1"/>
  <c r="CZ1525" i="1"/>
  <c r="CX1504" i="1"/>
  <c r="CZ1504" i="1"/>
  <c r="CZ1562" i="1"/>
  <c r="CX1562" i="1"/>
  <c r="CZ1046" i="1"/>
  <c r="CX1046" i="1"/>
  <c r="CX1515" i="1"/>
  <c r="CZ1515" i="1"/>
  <c r="CX1025" i="1"/>
  <c r="CZ1025" i="1"/>
  <c r="CX937" i="1"/>
  <c r="CZ937" i="1"/>
  <c r="CX1149" i="1"/>
  <c r="CZ1149" i="1"/>
  <c r="CX997" i="1"/>
  <c r="CZ997" i="1"/>
  <c r="CX1248" i="1"/>
  <c r="CZ1248" i="1"/>
  <c r="CX729" i="1"/>
  <c r="CZ729" i="1"/>
  <c r="CX1065" i="1"/>
  <c r="CZ1065" i="1"/>
  <c r="CX730" i="1"/>
  <c r="CZ730" i="1"/>
  <c r="CX747" i="1"/>
  <c r="CZ747" i="1"/>
  <c r="CX1033" i="1"/>
  <c r="CZ1033" i="1"/>
  <c r="CX735" i="1"/>
  <c r="CZ735" i="1"/>
  <c r="CX946" i="1"/>
  <c r="CZ946" i="1"/>
  <c r="CX1170" i="1"/>
  <c r="CZ1170" i="1"/>
  <c r="CX1160" i="1"/>
  <c r="CZ1160" i="1"/>
  <c r="CX1227" i="1"/>
  <c r="CZ1227" i="1"/>
  <c r="CX1352" i="1"/>
  <c r="CZ1352" i="1"/>
  <c r="CX639" i="1"/>
  <c r="CZ639" i="1"/>
  <c r="CX1617" i="1"/>
  <c r="CZ1617" i="1"/>
  <c r="CX1111" i="1"/>
  <c r="CZ1111" i="1"/>
  <c r="CX1237" i="1"/>
  <c r="CZ1237" i="1"/>
  <c r="CX1071" i="1"/>
  <c r="CZ1071" i="1"/>
  <c r="CX1558" i="1"/>
  <c r="CZ1558" i="1"/>
  <c r="CX1549" i="1"/>
  <c r="CZ1549" i="1"/>
  <c r="CX1563" i="1"/>
  <c r="CZ1563" i="1"/>
  <c r="CX1523" i="1"/>
  <c r="CZ1523" i="1"/>
  <c r="CX1537" i="1"/>
  <c r="CZ1537" i="1"/>
  <c r="CX1540" i="1"/>
  <c r="CZ1540" i="1"/>
  <c r="CX1246" i="1"/>
  <c r="CZ1246" i="1"/>
  <c r="CX749" i="1"/>
  <c r="CZ749" i="1"/>
  <c r="CX748" i="1"/>
  <c r="CZ748" i="1"/>
  <c r="CX1254" i="1"/>
  <c r="CZ1254" i="1"/>
  <c r="CX1531" i="1"/>
  <c r="CZ1531" i="1"/>
  <c r="CX1502" i="1"/>
  <c r="CZ1502" i="1"/>
  <c r="CX1020" i="1"/>
  <c r="CZ1020" i="1"/>
  <c r="CX727" i="1"/>
  <c r="CZ727" i="1"/>
  <c r="CX1293" i="1"/>
  <c r="CZ1293" i="1"/>
  <c r="CX1075" i="1"/>
  <c r="CZ1075" i="1"/>
  <c r="CX1068" i="1"/>
  <c r="CZ1068" i="1"/>
  <c r="CX83" i="1"/>
  <c r="CZ83" i="1"/>
  <c r="CX1116" i="1"/>
  <c r="CZ1116" i="1"/>
  <c r="CX744" i="1"/>
  <c r="CZ744" i="1"/>
  <c r="CX1015" i="1"/>
  <c r="CZ1015" i="1"/>
  <c r="CX1073" i="1"/>
  <c r="CZ1073" i="1"/>
  <c r="CX938" i="1"/>
  <c r="CZ938" i="1"/>
  <c r="CX753" i="1"/>
  <c r="CZ753" i="1"/>
  <c r="CX1355" i="1"/>
  <c r="CZ1355" i="1"/>
  <c r="CX1232" i="1"/>
  <c r="CZ1232" i="1"/>
  <c r="CX1051" i="1"/>
  <c r="CZ1051" i="1"/>
  <c r="CX1112" i="1"/>
  <c r="CZ1112" i="1"/>
  <c r="CX714" i="1"/>
  <c r="CZ714" i="1"/>
  <c r="CX723" i="1"/>
  <c r="CZ723" i="1"/>
  <c r="CX1180" i="1"/>
  <c r="CZ1180" i="1"/>
  <c r="CX1144" i="1"/>
  <c r="CZ1144" i="1"/>
  <c r="CX1126" i="1"/>
  <c r="CZ1126" i="1"/>
  <c r="CX1616" i="1"/>
  <c r="CZ1616" i="1"/>
  <c r="CX1624" i="1"/>
  <c r="CZ1624" i="1"/>
  <c r="CX913" i="1"/>
  <c r="CZ913" i="1"/>
  <c r="CX1532" i="1"/>
  <c r="CZ1532" i="1"/>
  <c r="CX1565" i="1"/>
  <c r="CZ1565" i="1"/>
  <c r="CX1530" i="1"/>
  <c r="CZ1530" i="1"/>
  <c r="CX1185" i="1"/>
  <c r="CZ1185" i="1"/>
  <c r="CX1175" i="1"/>
  <c r="CZ1175" i="1"/>
  <c r="CX1056" i="1"/>
  <c r="CZ1056" i="1"/>
  <c r="CX1109" i="1"/>
  <c r="CZ1109" i="1"/>
  <c r="CX1357" i="1"/>
  <c r="CZ1357" i="1"/>
  <c r="CX1141" i="1"/>
  <c r="CZ1141" i="1"/>
  <c r="CX734" i="1"/>
  <c r="CZ734" i="1"/>
  <c r="CX941" i="1"/>
  <c r="CZ941" i="1"/>
  <c r="CX1353" i="1"/>
  <c r="CZ1353" i="1"/>
  <c r="CX632" i="1"/>
  <c r="CZ632" i="1"/>
  <c r="CX1072" i="1"/>
  <c r="CZ1072" i="1"/>
  <c r="CX1619" i="1"/>
  <c r="CZ1619" i="1"/>
  <c r="CX1366" i="1"/>
  <c r="CZ1366" i="1"/>
  <c r="CX1077" i="1"/>
  <c r="CZ1077" i="1"/>
  <c r="CZ1503" i="1"/>
  <c r="CX1503" i="1"/>
  <c r="CX1507" i="1"/>
  <c r="CZ1507" i="1"/>
  <c r="CX1518" i="1"/>
  <c r="CZ1518" i="1"/>
  <c r="CX1566" i="1"/>
  <c r="CZ1566" i="1"/>
  <c r="CZ1511" i="1"/>
  <c r="CX1511" i="1"/>
  <c r="CX689" i="1"/>
  <c r="CZ689" i="1"/>
  <c r="CX1117" i="1"/>
  <c r="CZ1117" i="1"/>
  <c r="CX925" i="1"/>
  <c r="CZ925" i="1"/>
  <c r="CX1235" i="1"/>
  <c r="CZ1235" i="1"/>
  <c r="CX1145" i="1"/>
  <c r="CZ1145" i="1"/>
  <c r="CX1623" i="1"/>
  <c r="CZ1623" i="1"/>
  <c r="CX1166" i="1"/>
  <c r="CZ1166" i="1"/>
  <c r="CX743" i="1"/>
  <c r="CZ743" i="1"/>
  <c r="CX737" i="1"/>
  <c r="CZ737" i="1"/>
  <c r="CX1012" i="1"/>
  <c r="CZ1012" i="1"/>
  <c r="CX1042" i="1"/>
  <c r="CZ1042" i="1"/>
  <c r="CX1010" i="1"/>
  <c r="CZ1010" i="1"/>
  <c r="CX1024" i="1"/>
  <c r="CZ1024" i="1"/>
  <c r="CX726" i="1"/>
  <c r="CZ726" i="1"/>
  <c r="CX721" i="1"/>
  <c r="CZ721" i="1"/>
  <c r="CX731" i="1"/>
  <c r="CZ731" i="1"/>
  <c r="CX1057" i="1"/>
  <c r="CZ1057" i="1"/>
  <c r="CX1036" i="1"/>
  <c r="CZ1036" i="1"/>
  <c r="CX1500" i="1"/>
  <c r="CZ1500" i="1"/>
  <c r="CX1178" i="1"/>
  <c r="CZ1178" i="1"/>
  <c r="CX1628" i="1"/>
  <c r="CZ1628" i="1"/>
  <c r="CX633" i="1"/>
  <c r="CZ633" i="1"/>
  <c r="CX1250" i="1"/>
  <c r="CZ1250" i="1"/>
  <c r="CX914" i="1"/>
  <c r="CZ914" i="1"/>
  <c r="CX691" i="1"/>
  <c r="CZ691" i="1"/>
  <c r="CX1233" i="1"/>
  <c r="CZ1233" i="1"/>
  <c r="CX1528" i="1"/>
  <c r="CZ1528" i="1"/>
  <c r="CX1569" i="1"/>
  <c r="CZ1569" i="1"/>
  <c r="CX1506" i="1"/>
  <c r="CZ1506" i="1"/>
  <c r="CX1522" i="1"/>
  <c r="CZ1522" i="1"/>
  <c r="CX1512" i="1"/>
  <c r="CZ1512" i="1"/>
  <c r="CX1553" i="1"/>
  <c r="CZ1553" i="1"/>
  <c r="CX1519" i="1"/>
  <c r="CZ1519" i="1"/>
  <c r="CX1496" i="1"/>
  <c r="CZ1496" i="1"/>
  <c r="CX1520" i="1"/>
  <c r="CZ1520" i="1"/>
  <c r="CX1555" i="1"/>
  <c r="CZ1555" i="1"/>
  <c r="CX1548" i="1"/>
  <c r="CZ1548" i="1"/>
  <c r="CX1043" i="1"/>
  <c r="CZ1043" i="1"/>
  <c r="CX936" i="1"/>
  <c r="CZ936" i="1"/>
  <c r="CX724" i="1"/>
  <c r="CZ724" i="1"/>
  <c r="CZ609" i="1"/>
  <c r="CX609" i="1"/>
  <c r="CX1626" i="1"/>
  <c r="CZ1626" i="1"/>
  <c r="CX1262" i="1"/>
  <c r="CZ1262" i="1"/>
  <c r="CX1164" i="1"/>
  <c r="CZ1164" i="1"/>
  <c r="CX1021" i="1"/>
  <c r="CZ1021" i="1"/>
  <c r="CX1080" i="1"/>
  <c r="CZ1080" i="1"/>
  <c r="CX718" i="1"/>
  <c r="CZ718" i="1"/>
  <c r="CX1133" i="1"/>
  <c r="CZ1133" i="1"/>
  <c r="CX1543" i="1"/>
  <c r="CZ1543" i="1"/>
  <c r="CX1148" i="1"/>
  <c r="CZ1148" i="1"/>
  <c r="CX1061" i="1"/>
  <c r="CZ1061" i="1"/>
  <c r="CX256" i="1"/>
  <c r="CZ256" i="1"/>
  <c r="CT1154" i="1"/>
  <c r="CZ1154" i="1" s="1"/>
  <c r="CT526" i="1"/>
  <c r="CZ526" i="1" s="1"/>
  <c r="CT1155" i="1"/>
  <c r="CZ1155" i="1" s="1"/>
  <c r="CT527" i="1"/>
  <c r="CZ527" i="1" s="1"/>
  <c r="CR1347" i="1"/>
  <c r="CW1347" i="1"/>
  <c r="CU1347" i="1"/>
  <c r="DA1347" i="1" s="1"/>
  <c r="CQ1347" i="1"/>
  <c r="CV990" i="1"/>
  <c r="DA990" i="1" s="1"/>
  <c r="CQ990" i="1"/>
  <c r="CW990" i="1"/>
  <c r="CR990" i="1"/>
  <c r="CA1113" i="1"/>
  <c r="CA1246" i="1"/>
  <c r="CS710" i="1"/>
  <c r="CT710" i="1" s="1"/>
  <c r="CU710" i="1"/>
  <c r="DA1600" i="1"/>
  <c r="DA1086" i="1"/>
  <c r="CQ1346" i="1"/>
  <c r="CQ989" i="1"/>
  <c r="CU989" i="1"/>
  <c r="CV989" i="1"/>
  <c r="CS989" i="1"/>
  <c r="CT989" i="1" s="1"/>
  <c r="DA718" i="1"/>
  <c r="CS1347" i="1"/>
  <c r="DA256" i="1"/>
  <c r="DA1178" i="1"/>
  <c r="DA744" i="1"/>
  <c r="DA1530" i="1"/>
  <c r="DA722" i="1"/>
  <c r="DA1166" i="1"/>
  <c r="CU993" i="1"/>
  <c r="CW1482" i="1"/>
  <c r="CQ993" i="1"/>
  <c r="CV993" i="1"/>
  <c r="DA1429" i="1"/>
  <c r="CQ710" i="1"/>
  <c r="CW993" i="1"/>
  <c r="CV710" i="1"/>
  <c r="DA1168" i="1"/>
  <c r="CU1241" i="1"/>
  <c r="CV1241" i="1"/>
  <c r="DA251" i="1"/>
  <c r="CW710" i="1"/>
  <c r="CR1485" i="1"/>
  <c r="CW1485" i="1"/>
  <c r="CV1485" i="1"/>
  <c r="CS1245" i="1"/>
  <c r="CX1245" i="1" s="1"/>
  <c r="CS1485" i="1"/>
  <c r="CT1485" i="1" s="1"/>
  <c r="CU1485" i="1"/>
  <c r="CS1349" i="1"/>
  <c r="CT1349" i="1" s="1"/>
  <c r="CQ1241" i="1"/>
  <c r="CQ1474" i="1"/>
  <c r="CR1241" i="1"/>
  <c r="CA1273" i="1"/>
  <c r="CW1241" i="1"/>
  <c r="CY1241" i="1" s="1"/>
  <c r="FA1241" i="1" s="1"/>
  <c r="CS1257" i="1"/>
  <c r="CX1257" i="1" s="1"/>
  <c r="CW1600" i="1"/>
  <c r="CY1600" i="1" s="1"/>
  <c r="FA1600" i="1" s="1"/>
  <c r="CS1244" i="1"/>
  <c r="CX1244" i="1" s="1"/>
  <c r="DA1174" i="1"/>
  <c r="CW1480" i="1"/>
  <c r="CV1480" i="1"/>
  <c r="CQ1480" i="1"/>
  <c r="CS1480" i="1"/>
  <c r="CT1480" i="1" s="1"/>
  <c r="CU1480" i="1"/>
  <c r="DA1622" i="1"/>
  <c r="DA1035" i="1"/>
  <c r="CS986" i="1"/>
  <c r="CX986" i="1" s="1"/>
  <c r="DA1006" i="1"/>
  <c r="CU994" i="1"/>
  <c r="DA1183" i="1"/>
  <c r="CV994" i="1"/>
  <c r="CR994" i="1"/>
  <c r="CW924" i="1"/>
  <c r="CY924" i="1" s="1"/>
  <c r="FA924" i="1" s="1"/>
  <c r="DA1149" i="1"/>
  <c r="CW994" i="1"/>
  <c r="CS1243" i="1"/>
  <c r="CT1243" i="1" s="1"/>
  <c r="DA1515" i="1"/>
  <c r="CW992" i="1"/>
  <c r="CA710" i="1"/>
  <c r="CR991" i="1"/>
  <c r="DA1272" i="1"/>
  <c r="DA1473" i="1"/>
  <c r="DA1179" i="1"/>
  <c r="DA1352" i="1"/>
  <c r="CS991" i="1"/>
  <c r="CT991" i="1" s="1"/>
  <c r="CV1346" i="1"/>
  <c r="DA1346" i="1" s="1"/>
  <c r="CW1346" i="1"/>
  <c r="CV991" i="1"/>
  <c r="CR1346" i="1"/>
  <c r="CW991" i="1"/>
  <c r="CU991" i="1"/>
  <c r="CS1479" i="1"/>
  <c r="CX1479" i="1" s="1"/>
  <c r="CW1230" i="1"/>
  <c r="DA1508" i="1"/>
  <c r="DA1184" i="1"/>
  <c r="CW1481" i="1"/>
  <c r="CQ1349" i="1"/>
  <c r="CQ1481" i="1"/>
  <c r="CR1349" i="1"/>
  <c r="CA1476" i="1"/>
  <c r="DA255" i="1"/>
  <c r="CV1481" i="1"/>
  <c r="DA1481" i="1" s="1"/>
  <c r="DA1116" i="1"/>
  <c r="DA1631" i="1"/>
  <c r="CA987" i="1"/>
  <c r="CS1474" i="1"/>
  <c r="CT1474" i="1" s="1"/>
  <c r="DA689" i="1"/>
  <c r="CR1481" i="1"/>
  <c r="CW1240" i="1"/>
  <c r="CQ1240" i="1"/>
  <c r="CR1240" i="1"/>
  <c r="CS1240" i="1"/>
  <c r="CT1240" i="1" s="1"/>
  <c r="CA711" i="1"/>
  <c r="DA1164" i="1"/>
  <c r="CU1240" i="1"/>
  <c r="DA1240" i="1" s="1"/>
  <c r="DA918" i="1"/>
  <c r="CV1479" i="1"/>
  <c r="DA1506" i="1"/>
  <c r="DA709" i="1"/>
  <c r="DA1249" i="1"/>
  <c r="DA1268" i="1"/>
  <c r="DA1293" i="1"/>
  <c r="DA1507" i="1"/>
  <c r="DA1569" i="1"/>
  <c r="DA1273" i="1"/>
  <c r="CV1482" i="1"/>
  <c r="DA1482" i="1" s="1"/>
  <c r="CS994" i="1"/>
  <c r="CT994" i="1" s="1"/>
  <c r="DA1529" i="1"/>
  <c r="CS1230" i="1"/>
  <c r="CT1230" i="1" s="1"/>
  <c r="CQ1482" i="1"/>
  <c r="CR1482" i="1"/>
  <c r="CA1480" i="1"/>
  <c r="EY1480" i="1" s="1"/>
  <c r="CV1230" i="1"/>
  <c r="DA1176" i="1"/>
  <c r="CQ1475" i="1"/>
  <c r="DA1155" i="1"/>
  <c r="DA1251" i="1"/>
  <c r="CR992" i="1"/>
  <c r="DA1537" i="1"/>
  <c r="CU1475" i="1"/>
  <c r="DA1475" i="1" s="1"/>
  <c r="DA1562" i="1"/>
  <c r="DA636" i="1"/>
  <c r="CA989" i="1"/>
  <c r="CS1475" i="1"/>
  <c r="CT1475" i="1" s="1"/>
  <c r="CQ1230" i="1"/>
  <c r="DA1541" i="1"/>
  <c r="DA1077" i="1"/>
  <c r="CS985" i="1"/>
  <c r="CT985" i="1" s="1"/>
  <c r="DA1547" i="1"/>
  <c r="DA254" i="1"/>
  <c r="DA727" i="1"/>
  <c r="DA915" i="1"/>
  <c r="DA914" i="1"/>
  <c r="DA252" i="1"/>
  <c r="DA1039" i="1"/>
  <c r="DA1237" i="1"/>
  <c r="CU1230" i="1"/>
  <c r="DA1172" i="1"/>
  <c r="DA1528" i="1"/>
  <c r="DA1025" i="1"/>
  <c r="DA1534" i="1"/>
  <c r="DA1043" i="1"/>
  <c r="DA1357" i="1"/>
  <c r="DA903" i="1"/>
  <c r="DA1265" i="1"/>
  <c r="DA1553" i="1"/>
  <c r="DA730" i="1"/>
  <c r="CW1475" i="1"/>
  <c r="DA1071" i="1"/>
  <c r="DA1526" i="1"/>
  <c r="DA1514" i="1"/>
  <c r="DA1621" i="1"/>
  <c r="CU1474" i="1"/>
  <c r="DA1474" i="1" s="1"/>
  <c r="DA723" i="1"/>
  <c r="CW1477" i="1"/>
  <c r="DA1123" i="1"/>
  <c r="CU992" i="1"/>
  <c r="CW1243" i="1"/>
  <c r="DA1175" i="1"/>
  <c r="CA1229" i="1"/>
  <c r="CU985" i="1"/>
  <c r="CU1243" i="1"/>
  <c r="DA1020" i="1"/>
  <c r="CV985" i="1"/>
  <c r="DA1161" i="1"/>
  <c r="DA1173" i="1"/>
  <c r="DA1177" i="1"/>
  <c r="CV1243" i="1"/>
  <c r="DA1052" i="1"/>
  <c r="DA1154" i="1"/>
  <c r="CW919" i="1"/>
  <c r="CY919" i="1" s="1"/>
  <c r="FA919" i="1" s="1"/>
  <c r="CR1474" i="1"/>
  <c r="CU1477" i="1"/>
  <c r="CA1599" i="1"/>
  <c r="CS992" i="1"/>
  <c r="CT992" i="1" s="1"/>
  <c r="CW1598" i="1"/>
  <c r="CY1598" i="1" s="1"/>
  <c r="FA1598" i="1" s="1"/>
  <c r="CW985" i="1"/>
  <c r="CR1475" i="1"/>
  <c r="DA1162" i="1"/>
  <c r="CR1477" i="1"/>
  <c r="CS1477" i="1"/>
  <c r="CT1477" i="1" s="1"/>
  <c r="DA1558" i="1"/>
  <c r="CW1474" i="1"/>
  <c r="DA1247" i="1"/>
  <c r="DA1080" i="1"/>
  <c r="DA1081" i="1"/>
  <c r="DA1090" i="1"/>
  <c r="CV1477" i="1"/>
  <c r="CV992" i="1"/>
  <c r="CQ985" i="1"/>
  <c r="DA1513" i="1"/>
  <c r="DA986" i="1"/>
  <c r="DA1180" i="1"/>
  <c r="DA1364" i="1"/>
  <c r="DA964" i="1"/>
  <c r="DA1117" i="1"/>
  <c r="DA1083" i="1"/>
  <c r="DA1072" i="1"/>
  <c r="DA932" i="1"/>
  <c r="DA1131" i="1"/>
  <c r="DA698" i="1"/>
  <c r="DA736" i="1"/>
  <c r="DA1523" i="1"/>
  <c r="DA1234" i="1"/>
  <c r="DA1110" i="1"/>
  <c r="CA1237" i="1"/>
  <c r="DA719" i="1"/>
  <c r="DA1065" i="1"/>
  <c r="DA924" i="1"/>
  <c r="DA1287" i="1"/>
  <c r="DA1599" i="1"/>
  <c r="DA1044" i="1"/>
  <c r="DA1518" i="1"/>
  <c r="DA1133" i="1"/>
  <c r="DA1064" i="1"/>
  <c r="DA1501" i="1"/>
  <c r="DA1085" i="1"/>
  <c r="DA1066" i="1"/>
  <c r="DA1167" i="1"/>
  <c r="DA1263" i="1"/>
  <c r="CS990" i="1"/>
  <c r="CT990" i="1" s="1"/>
  <c r="DA1253" i="1"/>
  <c r="DA635" i="1"/>
  <c r="DA1521" i="1"/>
  <c r="DA1254" i="1"/>
  <c r="DA1128" i="1"/>
  <c r="DA1074" i="1"/>
  <c r="DA1075" i="1"/>
  <c r="DA1078" i="1"/>
  <c r="CA1231" i="1"/>
  <c r="DA1079" i="1"/>
  <c r="DA1082" i="1"/>
  <c r="CS984" i="1"/>
  <c r="CT984" i="1" s="1"/>
  <c r="DA1535" i="1"/>
  <c r="DA1560" i="1"/>
  <c r="CS1239" i="1"/>
  <c r="CX1239" i="1" s="1"/>
  <c r="DA742" i="1"/>
  <c r="DA637" i="1"/>
  <c r="DA917" i="1"/>
  <c r="CS1481" i="1"/>
  <c r="CT1481" i="1" s="1"/>
  <c r="DA1057" i="1"/>
  <c r="DA1145" i="1"/>
  <c r="DA633" i="1"/>
  <c r="DA1629" i="1"/>
  <c r="DA1632" i="1"/>
  <c r="DA1548" i="1"/>
  <c r="DA1512" i="1"/>
  <c r="DA943" i="1"/>
  <c r="DA946" i="1"/>
  <c r="DA1139" i="1"/>
  <c r="DA1531" i="1"/>
  <c r="DA1510" i="1"/>
  <c r="DA1472" i="1"/>
  <c r="DA1010" i="1"/>
  <c r="DA1160" i="1"/>
  <c r="DA1067" i="1"/>
  <c r="DA1511" i="1"/>
  <c r="DA1109" i="1"/>
  <c r="DA1084" i="1"/>
  <c r="DA1088" i="1"/>
  <c r="DA1092" i="1"/>
  <c r="DA1598" i="1"/>
  <c r="DA1239" i="1"/>
  <c r="DA726" i="1"/>
  <c r="DA919" i="1"/>
  <c r="DA1351" i="1"/>
  <c r="DA83" i="1"/>
  <c r="CA1238" i="1"/>
  <c r="CQ1243" i="1"/>
  <c r="DA1258" i="1"/>
  <c r="DA1069" i="1"/>
  <c r="DA965" i="1"/>
  <c r="DA1233" i="1"/>
  <c r="DA1540" i="1"/>
  <c r="DA1555" i="1"/>
  <c r="DA1542" i="1"/>
  <c r="DA639" i="1"/>
  <c r="CU1479" i="1"/>
  <c r="CR1479" i="1"/>
  <c r="CQ1479" i="1"/>
  <c r="DA1231" i="1"/>
  <c r="CW984" i="1"/>
  <c r="CV984" i="1"/>
  <c r="CQ984" i="1"/>
  <c r="CU984" i="1"/>
  <c r="DA933" i="1"/>
  <c r="DA942" i="1"/>
  <c r="CV1484" i="1"/>
  <c r="DA1484" i="1" s="1"/>
  <c r="CR1484" i="1"/>
  <c r="DA929" i="1"/>
  <c r="DA1244" i="1"/>
  <c r="CW1349" i="1"/>
  <c r="CV1349" i="1"/>
  <c r="CU1349" i="1"/>
  <c r="DA1246" i="1"/>
  <c r="CQ1484" i="1"/>
  <c r="CS1484" i="1"/>
  <c r="CT1484" i="1" s="1"/>
  <c r="CW1484" i="1"/>
  <c r="DA1050" i="1"/>
  <c r="DA1021" i="1"/>
  <c r="DA938" i="1"/>
  <c r="DA1012" i="1"/>
  <c r="DA740" i="1"/>
  <c r="DA1227" i="1"/>
  <c r="DA1027" i="1"/>
  <c r="CA1485" i="1"/>
  <c r="DA1252" i="1"/>
  <c r="DA615" i="1"/>
  <c r="DA1257" i="1"/>
  <c r="DA1624" i="1"/>
  <c r="DA1620" i="1"/>
  <c r="CA709" i="1"/>
  <c r="CW709" i="1"/>
  <c r="CY709" i="1" s="1"/>
  <c r="FA709" i="1" s="1"/>
  <c r="DA1503" i="1"/>
  <c r="DA1564" i="1"/>
  <c r="DA1538" i="1"/>
  <c r="CU1113" i="1"/>
  <c r="CS1113" i="1"/>
  <c r="CT1113" i="1" s="1"/>
  <c r="CQ1113" i="1"/>
  <c r="CW1113" i="1"/>
  <c r="CV1113" i="1"/>
  <c r="CR1113" i="1"/>
  <c r="DA944" i="1"/>
  <c r="CA1475" i="1"/>
  <c r="DA753" i="1"/>
  <c r="CW988" i="1"/>
  <c r="CV988" i="1"/>
  <c r="CQ988" i="1"/>
  <c r="CS988" i="1"/>
  <c r="CT988" i="1" s="1"/>
  <c r="CR988" i="1"/>
  <c r="CU988" i="1"/>
  <c r="DA1557" i="1"/>
  <c r="DA1566" i="1"/>
  <c r="DA1504" i="1"/>
  <c r="CR1483" i="1"/>
  <c r="CQ1483" i="1"/>
  <c r="CS1483" i="1"/>
  <c r="CT1483" i="1" s="1"/>
  <c r="CW1483" i="1"/>
  <c r="CV1483" i="1"/>
  <c r="CU1483" i="1"/>
  <c r="CV1476" i="1"/>
  <c r="CU1476" i="1"/>
  <c r="CS1476" i="1"/>
  <c r="CT1476" i="1" s="1"/>
  <c r="CR1476" i="1"/>
  <c r="CW1476" i="1"/>
  <c r="CQ1476" i="1"/>
  <c r="CR1478" i="1"/>
  <c r="CQ1478" i="1"/>
  <c r="CW1478" i="1"/>
  <c r="CV1478" i="1"/>
  <c r="CU1478" i="1"/>
  <c r="CS1478" i="1"/>
  <c r="CT1478" i="1" s="1"/>
  <c r="CS1482" i="1"/>
  <c r="CT1482" i="1" s="1"/>
  <c r="CS1346" i="1"/>
  <c r="CT1346" i="1" s="1"/>
  <c r="DA1630" i="1"/>
  <c r="DA1236" i="1"/>
  <c r="DA1617" i="1"/>
  <c r="DA1091" i="1"/>
  <c r="CV983" i="1"/>
  <c r="CU983" i="1"/>
  <c r="CW983" i="1"/>
  <c r="CS983" i="1"/>
  <c r="CT983" i="1" s="1"/>
  <c r="CR983" i="1"/>
  <c r="CQ983" i="1"/>
  <c r="CS1348" i="1"/>
  <c r="CT1348" i="1" s="1"/>
  <c r="CR1348" i="1"/>
  <c r="CQ1348" i="1"/>
  <c r="CW1348" i="1"/>
  <c r="CV1348" i="1"/>
  <c r="CU1348" i="1"/>
  <c r="DA1567" i="1"/>
  <c r="DA1536" i="1"/>
  <c r="DA697" i="1"/>
  <c r="DA1118" i="1"/>
  <c r="DA1524" i="1"/>
  <c r="DA1517" i="1"/>
  <c r="DA1532" i="1"/>
  <c r="DA1565" i="1"/>
  <c r="DA1023" i="1"/>
  <c r="DA748" i="1"/>
  <c r="DA998" i="1"/>
  <c r="CW918" i="1"/>
  <c r="CY918" i="1" s="1"/>
  <c r="FA918" i="1" s="1"/>
  <c r="CA918" i="1"/>
  <c r="DA1038" i="1"/>
  <c r="DA940" i="1"/>
  <c r="DA923" i="1"/>
  <c r="DA1627" i="1"/>
  <c r="DA1242" i="1"/>
  <c r="DA1126" i="1"/>
  <c r="DA631" i="1"/>
  <c r="DA82" i="1"/>
  <c r="DA1127" i="1"/>
  <c r="DA1076" i="1"/>
  <c r="DA1561" i="1"/>
  <c r="DA1533" i="1"/>
  <c r="DA1525" i="1"/>
  <c r="DA1563" i="1"/>
  <c r="DA1568" i="1"/>
  <c r="CR711" i="1"/>
  <c r="CQ711" i="1"/>
  <c r="CW711" i="1"/>
  <c r="CV711" i="1"/>
  <c r="CU711" i="1"/>
  <c r="CS711" i="1"/>
  <c r="CT711" i="1" s="1"/>
  <c r="DA1505" i="1"/>
  <c r="DA733" i="1"/>
  <c r="DA739" i="1"/>
  <c r="DA963" i="1"/>
  <c r="DA1235" i="1"/>
  <c r="DA745" i="1"/>
  <c r="DA695" i="1"/>
  <c r="DA931" i="1"/>
  <c r="DA936" i="1"/>
  <c r="DA1037" i="1"/>
  <c r="DA941" i="1"/>
  <c r="DA925" i="1"/>
  <c r="CA1242" i="1"/>
  <c r="CS1242" i="1"/>
  <c r="CX1242" i="1" s="1"/>
  <c r="DA1367" i="1"/>
  <c r="DA1509" i="1"/>
  <c r="CW989" i="1"/>
  <c r="DA34" i="1"/>
  <c r="DA1260" i="1"/>
  <c r="DA1087" i="1"/>
  <c r="CS993" i="1"/>
  <c r="CT993" i="1" s="1"/>
  <c r="DA1255" i="1"/>
  <c r="DA1124" i="1"/>
  <c r="DA1089" i="1"/>
  <c r="DA1559" i="1"/>
  <c r="DA1549" i="1"/>
  <c r="DA1556" i="1"/>
  <c r="DA1550" i="1"/>
  <c r="DA1028" i="1"/>
  <c r="DA1056" i="1"/>
  <c r="DA746" i="1"/>
  <c r="DA1063" i="1"/>
  <c r="CR987" i="1"/>
  <c r="CQ987" i="1"/>
  <c r="CS987" i="1"/>
  <c r="CT987" i="1" s="1"/>
  <c r="CW987" i="1"/>
  <c r="CV987" i="1"/>
  <c r="CU987" i="1"/>
  <c r="DA1033" i="1"/>
  <c r="DA1626" i="1"/>
  <c r="DA1070" i="1"/>
  <c r="DA1068" i="1"/>
  <c r="DA1073" i="1"/>
  <c r="DA1554" i="1"/>
  <c r="CY1476" i="1" l="1"/>
  <c r="FA1476" i="1" s="1"/>
  <c r="CY1349" i="1"/>
  <c r="FA1349" i="1" s="1"/>
  <c r="CY1474" i="1"/>
  <c r="FA1474" i="1" s="1"/>
  <c r="CY1485" i="1"/>
  <c r="FA1485" i="1" s="1"/>
  <c r="CY985" i="1"/>
  <c r="FA985" i="1" s="1"/>
  <c r="CY711" i="1"/>
  <c r="FA711" i="1" s="1"/>
  <c r="CY1475" i="1"/>
  <c r="FA1475" i="1" s="1"/>
  <c r="CY1240" i="1"/>
  <c r="FA1240" i="1" s="1"/>
  <c r="CY1478" i="1"/>
  <c r="FA1478" i="1" s="1"/>
  <c r="CY1243" i="1"/>
  <c r="FA1243" i="1" s="1"/>
  <c r="CY992" i="1"/>
  <c r="FA992" i="1" s="1"/>
  <c r="CY987" i="1"/>
  <c r="FA987" i="1" s="1"/>
  <c r="CY1483" i="1"/>
  <c r="FA1483" i="1" s="1"/>
  <c r="CY1484" i="1"/>
  <c r="FA1484" i="1" s="1"/>
  <c r="CY984" i="1"/>
  <c r="FA984" i="1" s="1"/>
  <c r="CY1479" i="1"/>
  <c r="FA1479" i="1" s="1"/>
  <c r="CY1477" i="1"/>
  <c r="FA1477" i="1" s="1"/>
  <c r="CY1230" i="1"/>
  <c r="FA1230" i="1" s="1"/>
  <c r="CY993" i="1"/>
  <c r="FA993" i="1" s="1"/>
  <c r="CY1245" i="1"/>
  <c r="FA1245" i="1" s="1"/>
  <c r="CY983" i="1"/>
  <c r="FA983" i="1" s="1"/>
  <c r="CY1480" i="1"/>
  <c r="FA1480" i="1" s="1"/>
  <c r="CY1348" i="1"/>
  <c r="FA1348" i="1" s="1"/>
  <c r="CY1113" i="1"/>
  <c r="FA1113" i="1" s="1"/>
  <c r="CY994" i="1"/>
  <c r="FA994" i="1" s="1"/>
  <c r="CY710" i="1"/>
  <c r="FA710" i="1" s="1"/>
  <c r="CY1239" i="1"/>
  <c r="FA1239" i="1" s="1"/>
  <c r="CY991" i="1"/>
  <c r="FA991" i="1" s="1"/>
  <c r="CY990" i="1"/>
  <c r="FA990" i="1" s="1"/>
  <c r="CY1347" i="1"/>
  <c r="FA1347" i="1" s="1"/>
  <c r="CY1242" i="1"/>
  <c r="FA1242" i="1" s="1"/>
  <c r="CY989" i="1"/>
  <c r="FA989" i="1" s="1"/>
  <c r="CY988" i="1"/>
  <c r="FA988" i="1" s="1"/>
  <c r="CY986" i="1"/>
  <c r="FA986" i="1" s="1"/>
  <c r="CY1481" i="1"/>
  <c r="FA1481" i="1" s="1"/>
  <c r="CY1482" i="1"/>
  <c r="FA1482" i="1" s="1"/>
  <c r="CY1244" i="1"/>
  <c r="FA1244" i="1" s="1"/>
  <c r="CY1346" i="1"/>
  <c r="FA1346" i="1" s="1"/>
  <c r="CY1257" i="1"/>
  <c r="FA1257" i="1" s="1"/>
  <c r="CX918" i="1"/>
  <c r="CZ918" i="1"/>
  <c r="CX1474" i="1"/>
  <c r="CZ1474" i="1"/>
  <c r="CX1478" i="1"/>
  <c r="CZ1478" i="1"/>
  <c r="CX992" i="1"/>
  <c r="CZ992" i="1"/>
  <c r="CX987" i="1"/>
  <c r="CZ987" i="1"/>
  <c r="CX1484" i="1"/>
  <c r="CZ1484" i="1"/>
  <c r="CZ1230" i="1"/>
  <c r="CX1230" i="1"/>
  <c r="CX1482" i="1"/>
  <c r="CZ1482" i="1"/>
  <c r="CX1475" i="1"/>
  <c r="CZ1475" i="1"/>
  <c r="CX1240" i="1"/>
  <c r="CZ1240" i="1"/>
  <c r="CX919" i="1"/>
  <c r="CZ919" i="1"/>
  <c r="CX993" i="1"/>
  <c r="CZ993" i="1"/>
  <c r="CX983" i="1"/>
  <c r="CZ983" i="1"/>
  <c r="CX709" i="1"/>
  <c r="CZ709" i="1"/>
  <c r="CX1480" i="1"/>
  <c r="CZ1480" i="1"/>
  <c r="CX989" i="1"/>
  <c r="CZ989" i="1"/>
  <c r="CX1600" i="1"/>
  <c r="CZ1600" i="1"/>
  <c r="CX1346" i="1"/>
  <c r="CZ1346" i="1"/>
  <c r="CX1241" i="1"/>
  <c r="CZ1241" i="1"/>
  <c r="CX711" i="1"/>
  <c r="CZ711" i="1"/>
  <c r="CX1483" i="1"/>
  <c r="CZ1483" i="1"/>
  <c r="CX984" i="1"/>
  <c r="CZ984" i="1"/>
  <c r="CX1477" i="1"/>
  <c r="CZ1477" i="1"/>
  <c r="CZ1485" i="1"/>
  <c r="CX1485" i="1"/>
  <c r="CX1476" i="1"/>
  <c r="CZ1476" i="1"/>
  <c r="CX988" i="1"/>
  <c r="CZ988" i="1"/>
  <c r="CX924" i="1"/>
  <c r="CZ924" i="1"/>
  <c r="CX1243" i="1"/>
  <c r="CZ1243" i="1"/>
  <c r="CX1481" i="1"/>
  <c r="CZ1481" i="1"/>
  <c r="CX1349" i="1"/>
  <c r="CZ1349" i="1"/>
  <c r="CX1348" i="1"/>
  <c r="CZ1348" i="1"/>
  <c r="CX1113" i="1"/>
  <c r="CZ1113" i="1"/>
  <c r="CX985" i="1"/>
  <c r="CZ985" i="1"/>
  <c r="CX994" i="1"/>
  <c r="CZ994" i="1"/>
  <c r="CX710" i="1"/>
  <c r="CZ710" i="1"/>
  <c r="CX1598" i="1"/>
  <c r="CZ1598" i="1"/>
  <c r="CZ991" i="1"/>
  <c r="CX991" i="1"/>
  <c r="CX990" i="1"/>
  <c r="CZ990" i="1"/>
  <c r="CX1347" i="1"/>
  <c r="CT1245" i="1"/>
  <c r="CZ1245" i="1" s="1"/>
  <c r="CT1242" i="1"/>
  <c r="CZ1242" i="1" s="1"/>
  <c r="CT986" i="1"/>
  <c r="CZ986" i="1" s="1"/>
  <c r="CT1257" i="1"/>
  <c r="CZ1257" i="1" s="1"/>
  <c r="CT1479" i="1"/>
  <c r="CZ1479" i="1" s="1"/>
  <c r="CT1347" i="1"/>
  <c r="CZ1347" i="1" s="1"/>
  <c r="CT1239" i="1"/>
  <c r="CZ1239" i="1" s="1"/>
  <c r="CT1244" i="1"/>
  <c r="CZ1244" i="1" s="1"/>
  <c r="DA710" i="1"/>
  <c r="DA989" i="1"/>
  <c r="DA1485" i="1"/>
  <c r="DA1241" i="1"/>
  <c r="DA993" i="1"/>
  <c r="DA994" i="1"/>
  <c r="DA1480" i="1"/>
  <c r="DA1477" i="1"/>
  <c r="DA991" i="1"/>
  <c r="DA1479" i="1"/>
  <c r="DA1230" i="1"/>
  <c r="DA992" i="1"/>
  <c r="DA1243" i="1"/>
  <c r="DA985" i="1"/>
  <c r="DA1113" i="1"/>
  <c r="DA1478" i="1"/>
  <c r="DA988" i="1"/>
  <c r="DA983" i="1"/>
  <c r="DA1476" i="1"/>
  <c r="DA1349" i="1"/>
  <c r="DA987" i="1"/>
  <c r="DA984" i="1"/>
  <c r="DA1348" i="1"/>
  <c r="DA1483" i="1"/>
  <c r="DA711" i="1"/>
  <c r="EY1013" i="1" l="1"/>
  <c r="EY1022" i="1"/>
  <c r="EY986" i="1"/>
  <c r="EY988" i="1"/>
  <c r="EY1258" i="1"/>
  <c r="EY635" i="1"/>
  <c r="EY1630" i="1"/>
  <c r="EY1043" i="1"/>
  <c r="EY943" i="1"/>
  <c r="EY992" i="1"/>
  <c r="EY1354" i="1"/>
  <c r="EY1235" i="1"/>
  <c r="EY1128" i="1"/>
  <c r="EY1080" i="1"/>
  <c r="EY1531" i="1"/>
  <c r="EY1025" i="1"/>
  <c r="EY983" i="1"/>
  <c r="EY994" i="1"/>
  <c r="EY1032" i="1"/>
  <c r="EY255" i="1"/>
  <c r="EY1185" i="1"/>
  <c r="EY631" i="1"/>
  <c r="EY1007" i="1"/>
  <c r="EY1504" i="1"/>
  <c r="EY1019" i="1"/>
  <c r="EY1144" i="1"/>
  <c r="EY1598" i="1"/>
  <c r="EY1119" i="1"/>
  <c r="EY1027" i="1"/>
  <c r="EY1068" i="1"/>
  <c r="EY1133" i="1"/>
  <c r="EY1023" i="1"/>
  <c r="EY1565" i="1"/>
  <c r="EY1567" i="1"/>
  <c r="EY1508" i="1"/>
  <c r="EY1519" i="1"/>
  <c r="EY638" i="1"/>
  <c r="EY1513" i="1"/>
  <c r="EY1353" i="1"/>
  <c r="EY1109" i="1"/>
  <c r="EY725" i="1"/>
  <c r="EY1017" i="1"/>
  <c r="EY928" i="1"/>
  <c r="EY256" i="1"/>
  <c r="EY1033" i="1"/>
  <c r="EY251" i="1"/>
  <c r="EY1048" i="1"/>
  <c r="EY1060" i="1"/>
  <c r="EY738" i="1"/>
  <c r="EY1042" i="1"/>
  <c r="EY1537" i="1"/>
  <c r="EY987" i="1"/>
  <c r="EY924" i="1"/>
  <c r="EY719" i="1"/>
  <c r="EY1009" i="1"/>
  <c r="EY1091" i="1"/>
  <c r="EY1632" i="1"/>
  <c r="EY1260" i="1"/>
  <c r="EY1367" i="1"/>
  <c r="EY914" i="1"/>
  <c r="EY964" i="1"/>
  <c r="EY1563" i="1"/>
  <c r="EY1047" i="1"/>
  <c r="EY82" i="1"/>
  <c r="EY1546" i="1"/>
  <c r="EY1569" i="1"/>
  <c r="EY1561" i="1"/>
  <c r="EY1568" i="1"/>
  <c r="EY1063" i="1"/>
  <c r="EY965" i="1"/>
  <c r="EY752" i="1"/>
  <c r="EY929" i="1"/>
  <c r="EY1012" i="1"/>
  <c r="EY1558" i="1"/>
  <c r="EY1556" i="1"/>
  <c r="EY984" i="1"/>
  <c r="EY1622" i="1"/>
  <c r="EY1071" i="1"/>
  <c r="EY1351" i="1"/>
  <c r="EY1126" i="1"/>
  <c r="EY1118" i="1"/>
  <c r="EY1355" i="1"/>
  <c r="EY721" i="1"/>
  <c r="EY1057" i="1"/>
  <c r="EY1028" i="1"/>
  <c r="EY1349" i="1"/>
  <c r="EY751" i="1"/>
  <c r="EY921" i="1"/>
  <c r="EY1008" i="1"/>
  <c r="EY1030" i="1"/>
  <c r="EY1158" i="1"/>
  <c r="EY1560" i="1"/>
  <c r="EY1247" i="1"/>
  <c r="EY1501" i="1"/>
  <c r="EY1016" i="1"/>
  <c r="EY1037" i="1"/>
  <c r="EY1555" i="1"/>
  <c r="EY1145" i="1"/>
  <c r="EY1020" i="1"/>
  <c r="EY944" i="1"/>
  <c r="EY1110" i="1"/>
  <c r="EY1064" i="1"/>
  <c r="EY1539" i="1"/>
  <c r="EY1227" i="1"/>
  <c r="EY1564" i="1"/>
  <c r="EY1562" i="1"/>
  <c r="EY254" i="1"/>
  <c r="EY1566" i="1"/>
  <c r="EY1516" i="1"/>
  <c r="EY1532" i="1"/>
  <c r="EY1065" i="1"/>
  <c r="EY1077" i="1"/>
  <c r="EY985" i="1"/>
  <c r="EY1523" i="1"/>
  <c r="EY735" i="1"/>
  <c r="EY1086" i="1"/>
  <c r="EY252" i="1"/>
  <c r="EY1021" i="1"/>
  <c r="EY1533" i="1"/>
  <c r="EY1083" i="1"/>
  <c r="EY1350" i="1"/>
  <c r="EY1010" i="1"/>
  <c r="EY1559" i="1"/>
  <c r="EY1006" i="1"/>
  <c r="EY1085" i="1"/>
  <c r="EY1127" i="1"/>
  <c r="EY1530" i="1"/>
  <c r="EY1557" i="1"/>
  <c r="EY633" i="1"/>
  <c r="EY1018" i="1"/>
  <c r="EY1082" i="1"/>
  <c r="EY1498" i="1"/>
  <c r="EY726" i="1"/>
  <c r="EY731" i="1"/>
  <c r="EY1366" i="1"/>
  <c r="EY1552" i="1"/>
  <c r="EY1356" i="1"/>
  <c r="EY1365" i="1"/>
  <c r="EY1045" i="1"/>
  <c r="EY1038" i="1"/>
  <c r="EY1015" i="1"/>
  <c r="EY1553" i="1"/>
  <c r="EY749" i="1"/>
  <c r="EY1062" i="1"/>
  <c r="EY1230" i="1"/>
  <c r="EY1024" i="1"/>
  <c r="EY1011" i="1"/>
  <c r="EY727" i="1"/>
  <c r="EY1512" i="1"/>
  <c r="EY1058" i="1"/>
  <c r="EY1357" i="1"/>
  <c r="EY1511" i="1"/>
  <c r="EY1029" i="1"/>
  <c r="EY733" i="1"/>
  <c r="EY34" i="1"/>
  <c r="EY1154" i="1"/>
  <c r="EY963" i="1"/>
  <c r="EY1111" i="1"/>
  <c r="EY1518" i="1"/>
  <c r="EY1052" i="1"/>
  <c r="EY1035" i="1"/>
  <c r="EY1554" i="1"/>
  <c r="EY1600" i="1"/>
  <c r="EY1087" i="1"/>
  <c r="EY1502" i="1"/>
  <c r="EY1072" i="1"/>
  <c r="EY1509" i="1"/>
  <c r="EY1347" i="1"/>
  <c r="EY1623" i="1"/>
  <c r="EY253" i="1"/>
  <c r="EY1254" i="1"/>
  <c r="EY728" i="1"/>
  <c r="EY637" i="1"/>
  <c r="EY1540" i="1"/>
  <c r="EY1148" i="1"/>
  <c r="EY1155" i="1"/>
  <c r="EY1616" i="1"/>
  <c r="EY993" i="1"/>
  <c r="EY1051" i="1"/>
  <c r="EY1248" i="1"/>
  <c r="EY1633" i="1"/>
  <c r="EY1348" i="1"/>
  <c r="EY1054" i="1"/>
  <c r="EY1136" i="1"/>
  <c r="EY1548" i="1"/>
  <c r="EY917" i="1"/>
  <c r="EY1074" i="1"/>
  <c r="EY1159" i="1"/>
  <c r="EY1232" i="1"/>
  <c r="EY742" i="1"/>
  <c r="EY1113" i="1"/>
  <c r="EY1352" i="1"/>
  <c r="EY1156" i="1"/>
  <c r="EY744" i="1"/>
  <c r="EY1543" i="1"/>
  <c r="EY722" i="1"/>
  <c r="EY1233" i="1"/>
  <c r="EY737" i="1"/>
  <c r="EY1547" i="1"/>
  <c r="EY1026" i="1"/>
  <c r="EY1515" i="1"/>
  <c r="EY1599" i="1"/>
  <c r="EY1073" i="1"/>
  <c r="EY711" i="1"/>
  <c r="EY1031" i="1"/>
  <c r="EY1499" i="1"/>
  <c r="EY709" i="1"/>
  <c r="EY1507" i="1"/>
  <c r="EY1544" i="1"/>
  <c r="EY1134" i="1"/>
  <c r="EY991" i="1"/>
  <c r="EY1040" i="1"/>
  <c r="EY930" i="1"/>
  <c r="EY1157" i="1"/>
  <c r="EY1014" i="1"/>
  <c r="EY1036" i="1"/>
  <c r="EY1483" i="1"/>
  <c r="EY1116" i="1"/>
  <c r="EY640" i="1"/>
  <c r="EY1050" i="1"/>
  <c r="EY1238" i="1"/>
  <c r="EY997" i="1"/>
  <c r="EY1034" i="1"/>
  <c r="EY732" i="1"/>
  <c r="EY919" i="1"/>
  <c r="EY1631" i="1"/>
  <c r="EY1624" i="1"/>
  <c r="EY718" i="1"/>
  <c r="EY1242" i="1"/>
  <c r="EY918" i="1"/>
  <c r="EY1485" i="1"/>
  <c r="EY1090" i="1"/>
  <c r="EY1528" i="1" l="1"/>
  <c r="EY1049" i="1"/>
  <c r="EY691" i="1"/>
  <c r="EY1538" i="1"/>
  <c r="EY1231" i="1"/>
  <c r="EY1228" i="1"/>
  <c r="EY1135" i="1"/>
  <c r="EY1364" i="1"/>
  <c r="EY1056" i="1"/>
  <c r="EY736" i="1"/>
  <c r="EY998" i="1"/>
  <c r="EY1268" i="1"/>
  <c r="EY750" i="1"/>
  <c r="EY1046" i="1"/>
  <c r="EY743" i="1"/>
  <c r="EY740" i="1"/>
  <c r="EY745" i="1"/>
  <c r="EY923" i="1"/>
  <c r="EY1520" i="1"/>
  <c r="EY1541" i="1"/>
  <c r="EY1536" i="1"/>
  <c r="EY1626" i="1"/>
  <c r="EY1079" i="1"/>
  <c r="EY723" i="1"/>
  <c r="EY1550" i="1"/>
  <c r="EY1089" i="1"/>
  <c r="EY1514" i="1"/>
  <c r="EY1141" i="1"/>
  <c r="EY1039" i="1"/>
  <c r="EY747" i="1"/>
  <c r="EY714" i="1"/>
  <c r="EY730" i="1"/>
  <c r="EY1521" i="1"/>
  <c r="EY1044" i="1"/>
  <c r="EY1618" i="1"/>
  <c r="EY746" i="1"/>
  <c r="EY922" i="1"/>
  <c r="EY927" i="1"/>
  <c r="EY1628" i="1"/>
  <c r="EY1229" i="1"/>
  <c r="EY1078" i="1"/>
  <c r="EY915" i="1"/>
  <c r="EY1061" i="1"/>
  <c r="EY724" i="1"/>
  <c r="EY1272" i="1"/>
  <c r="EY1619" i="1"/>
  <c r="EY1265" i="1"/>
  <c r="EY1517" i="1"/>
  <c r="EY1244" i="1"/>
  <c r="EY1076" i="1"/>
  <c r="EY741" i="1"/>
  <c r="EY1627" i="1"/>
  <c r="EY1273" i="1"/>
  <c r="EY1484" i="1"/>
  <c r="EY1239" i="1"/>
  <c r="EY1617" i="1"/>
  <c r="EY925" i="1"/>
  <c r="EY1066" i="1"/>
  <c r="EY687" i="1"/>
  <c r="EY1069" i="1"/>
  <c r="EY1112" i="1"/>
  <c r="EY1256" i="1"/>
  <c r="EY1620" i="1"/>
  <c r="EY639" i="1"/>
  <c r="EY1070" i="1"/>
  <c r="EY1059" i="1"/>
  <c r="EY636" i="1"/>
  <c r="EY1500" i="1"/>
  <c r="EY1117" i="1"/>
  <c r="EY1542" i="1"/>
  <c r="EY1131" i="1"/>
  <c r="EY1075" i="1"/>
  <c r="EY989" i="1"/>
  <c r="EY913" i="1"/>
  <c r="EY1482" i="1"/>
  <c r="EY1506" i="1"/>
  <c r="EY1124" i="1"/>
  <c r="EY1545" i="1"/>
  <c r="EY1346" i="1"/>
  <c r="EY1629" i="1"/>
  <c r="EY1088" i="1"/>
  <c r="EY729" i="1"/>
  <c r="EY1053" i="1"/>
  <c r="EY634" i="1"/>
  <c r="EY710" i="1"/>
  <c r="EY1505" i="1"/>
  <c r="EY990" i="1"/>
  <c r="EY739" i="1"/>
  <c r="EY1160" i="1"/>
  <c r="EY748" i="1"/>
  <c r="EY1139" i="1"/>
  <c r="EY695" i="1"/>
  <c r="EY632" i="1"/>
  <c r="EY1510" i="1"/>
  <c r="EY926" i="1"/>
  <c r="EY1535" i="1"/>
  <c r="EY1092" i="1"/>
  <c r="EY1526" i="1"/>
  <c r="EY1286" i="1"/>
  <c r="EY936" i="1"/>
  <c r="EY933" i="1"/>
  <c r="EY1429" i="1"/>
  <c r="EY609" i="1"/>
  <c r="EY1236" i="1"/>
  <c r="EY689" i="1"/>
  <c r="EY1237" i="1"/>
  <c r="EY1138" i="1"/>
  <c r="EY1477" i="1"/>
  <c r="EY1294" i="1"/>
  <c r="EY1241" i="1"/>
  <c r="EY1474" i="1"/>
  <c r="EY1182" i="1"/>
  <c r="EY1149" i="1"/>
  <c r="EY935" i="1"/>
  <c r="EY1176" i="1"/>
  <c r="EY605" i="1"/>
  <c r="EY1252" i="1"/>
  <c r="EY1245" i="1"/>
  <c r="EY1263" i="1"/>
  <c r="EY1249" i="1"/>
  <c r="EY525" i="1"/>
  <c r="EY1293" i="1"/>
  <c r="EY615" i="1"/>
  <c r="EY938" i="1"/>
  <c r="EY940" i="1"/>
  <c r="EY937" i="1"/>
  <c r="EY1251" i="1"/>
  <c r="EY942" i="1"/>
  <c r="EY946" i="1"/>
  <c r="EY939" i="1"/>
  <c r="EY698" i="1"/>
  <c r="EY941" i="1"/>
  <c r="EY903" i="1"/>
  <c r="EY1287" i="1"/>
  <c r="EY1271" i="1"/>
  <c r="EY1137" i="1"/>
  <c r="EY1234" i="1"/>
  <c r="EY1473" i="1"/>
  <c r="EY1178" i="1"/>
  <c r="EY1172" i="1"/>
  <c r="EY1174" i="1"/>
  <c r="EY931" i="1"/>
  <c r="EY1177" i="1"/>
  <c r="EY1184" i="1"/>
  <c r="EY934" i="1"/>
  <c r="EY1162" i="1"/>
  <c r="EY1169" i="1"/>
  <c r="EY1167" i="1"/>
  <c r="EY1161" i="1"/>
  <c r="EY1181" i="1"/>
  <c r="EY1180" i="1"/>
  <c r="EY630" i="1"/>
  <c r="EY947" i="1"/>
  <c r="EY524" i="1"/>
  <c r="EY1166" i="1"/>
  <c r="EY1428" i="1"/>
  <c r="EY1250" i="1"/>
  <c r="EY1476" i="1"/>
  <c r="EY1240" i="1"/>
  <c r="EY1171" i="1"/>
  <c r="EY1478" i="1"/>
  <c r="EY1183" i="1"/>
  <c r="EY608" i="1"/>
  <c r="EY696" i="1"/>
  <c r="EY1175" i="1"/>
  <c r="EY1168" i="1"/>
  <c r="EY1170" i="1"/>
  <c r="EY1472" i="1"/>
  <c r="EY1164" i="1"/>
  <c r="EY945" i="1"/>
  <c r="EY1163" i="1"/>
  <c r="EY1173" i="1"/>
  <c r="EY1165" i="1"/>
  <c r="EY932" i="1"/>
  <c r="EY1246" i="1"/>
  <c r="EY1243" i="1"/>
  <c r="EY1179" i="1"/>
  <c r="EY1475" i="1"/>
  <c r="EY1081" i="1"/>
  <c r="EY1625" i="1"/>
  <c r="EY1621" i="1"/>
  <c r="EY734" i="1"/>
  <c r="EY901" i="1"/>
  <c r="EY1529" i="1"/>
  <c r="EY1527" i="1"/>
  <c r="EY1274" i="1"/>
  <c r="EY83" i="1"/>
  <c r="EY1522" i="1"/>
  <c r="EY995" i="1"/>
  <c r="EY1257" i="1"/>
  <c r="EY1549" i="1"/>
  <c r="EY1503" i="1"/>
  <c r="EY1055" i="1"/>
  <c r="EY1525" i="1"/>
  <c r="EY1262" i="1"/>
  <c r="EY1534" i="1"/>
  <c r="EY920" i="1"/>
  <c r="EY1067" i="1"/>
  <c r="EY1084" i="1"/>
  <c r="EY1123" i="1"/>
  <c r="EY753" i="1"/>
  <c r="EY1524" i="1"/>
  <c r="EY1041" i="1"/>
  <c r="EY697" i="1"/>
  <c r="J368" i="7" l="1"/>
  <c r="I368" i="7"/>
  <c r="H353" i="7"/>
  <c r="G353" i="7"/>
  <c r="F353" i="7"/>
  <c r="E353" i="7"/>
  <c r="D353" i="7"/>
  <c r="C353" i="7"/>
  <c r="AA345" i="7"/>
  <c r="X345" i="7"/>
  <c r="W345" i="7"/>
  <c r="L345" i="7"/>
  <c r="AB345" i="7" s="1"/>
  <c r="K345" i="7"/>
  <c r="J345" i="7"/>
  <c r="Z345" i="7" s="1"/>
  <c r="I345" i="7"/>
  <c r="Y345" i="7" s="1"/>
  <c r="H345" i="7"/>
  <c r="G345" i="7"/>
  <c r="E338" i="7"/>
  <c r="B338" i="7"/>
  <c r="I336" i="7"/>
  <c r="H336" i="7"/>
  <c r="G336" i="7"/>
  <c r="F336" i="7"/>
  <c r="R316" i="7"/>
  <c r="Q316" i="7"/>
  <c r="P316" i="7"/>
  <c r="O316" i="7"/>
  <c r="I306" i="7"/>
  <c r="H306" i="7"/>
  <c r="G306" i="7"/>
  <c r="F306" i="7"/>
  <c r="K282" i="7"/>
  <c r="J282" i="7"/>
  <c r="I282" i="7"/>
  <c r="H282" i="7"/>
  <c r="G282" i="7"/>
  <c r="F275" i="7"/>
  <c r="E275" i="7"/>
  <c r="D275" i="7"/>
  <c r="H274" i="7"/>
  <c r="G274" i="7"/>
  <c r="H273" i="7"/>
  <c r="G273" i="7"/>
  <c r="H272" i="7"/>
  <c r="G272" i="7"/>
  <c r="H271" i="7"/>
  <c r="G271" i="7"/>
  <c r="H270" i="7"/>
  <c r="G270" i="7"/>
  <c r="H269" i="7"/>
  <c r="H275" i="7" s="1"/>
  <c r="G269" i="7"/>
  <c r="H268" i="7"/>
  <c r="G268" i="7"/>
  <c r="G275" i="7" s="1"/>
  <c r="F264" i="7"/>
  <c r="E264" i="7"/>
  <c r="D264" i="7"/>
  <c r="H263" i="7"/>
  <c r="G263" i="7"/>
  <c r="H262" i="7"/>
  <c r="G262" i="7"/>
  <c r="H261" i="7"/>
  <c r="G261" i="7"/>
  <c r="H260" i="7"/>
  <c r="G260" i="7"/>
  <c r="H259" i="7"/>
  <c r="G259" i="7"/>
  <c r="H258" i="7"/>
  <c r="G258" i="7"/>
  <c r="H257" i="7"/>
  <c r="H264" i="7" s="1"/>
  <c r="G257" i="7"/>
  <c r="G264" i="7" s="1"/>
  <c r="H253" i="7"/>
  <c r="F253" i="7"/>
  <c r="E253" i="7"/>
  <c r="D253" i="7"/>
  <c r="H252" i="7"/>
  <c r="G252" i="7"/>
  <c r="H251" i="7"/>
  <c r="G251" i="7"/>
  <c r="H250" i="7"/>
  <c r="G250" i="7"/>
  <c r="H249" i="7"/>
  <c r="G249" i="7"/>
  <c r="H248" i="7"/>
  <c r="G248" i="7"/>
  <c r="H247" i="7"/>
  <c r="G247" i="7"/>
  <c r="G253" i="7" s="1"/>
  <c r="H246" i="7"/>
  <c r="G246" i="7"/>
  <c r="G242" i="7"/>
  <c r="F242" i="7"/>
  <c r="E242" i="7"/>
  <c r="D242" i="7"/>
  <c r="H241" i="7"/>
  <c r="G241" i="7"/>
  <c r="H240" i="7"/>
  <c r="G240" i="7"/>
  <c r="H239" i="7"/>
  <c r="G239" i="7"/>
  <c r="H238" i="7"/>
  <c r="G238" i="7"/>
  <c r="H237" i="7"/>
  <c r="G237" i="7"/>
  <c r="H236" i="7"/>
  <c r="G236" i="7"/>
  <c r="H235" i="7"/>
  <c r="H242" i="7" s="1"/>
  <c r="G235" i="7"/>
  <c r="H231" i="7"/>
  <c r="G231" i="7"/>
  <c r="F231" i="7"/>
  <c r="E231" i="7"/>
  <c r="D231" i="7"/>
  <c r="I218" i="7"/>
  <c r="H218" i="7"/>
  <c r="G218" i="7"/>
  <c r="F218" i="7"/>
  <c r="E218" i="7"/>
  <c r="D218" i="7"/>
  <c r="S208" i="7"/>
  <c r="R208" i="7"/>
  <c r="Q208" i="7"/>
  <c r="P208" i="7"/>
  <c r="O208" i="7"/>
  <c r="N208" i="7"/>
  <c r="S207" i="7"/>
  <c r="R207" i="7"/>
  <c r="Q207" i="7"/>
  <c r="P207" i="7"/>
  <c r="O207" i="7"/>
  <c r="N207" i="7"/>
  <c r="S206" i="7"/>
  <c r="R206" i="7"/>
  <c r="Q206" i="7"/>
  <c r="P206" i="7"/>
  <c r="O206" i="7"/>
  <c r="N206" i="7"/>
  <c r="S205" i="7"/>
  <c r="S209" i="7" s="1"/>
  <c r="S215" i="7" s="1"/>
  <c r="R205" i="7"/>
  <c r="R209" i="7" s="1"/>
  <c r="R215" i="7" s="1"/>
  <c r="Q205" i="7"/>
  <c r="Q209" i="7" s="1"/>
  <c r="Q215" i="7" s="1"/>
  <c r="P205" i="7"/>
  <c r="P209" i="7" s="1"/>
  <c r="P215" i="7" s="1"/>
  <c r="O205" i="7"/>
  <c r="O209" i="7" s="1"/>
  <c r="O215" i="7" s="1"/>
  <c r="N205" i="7"/>
  <c r="N209" i="7" s="1"/>
  <c r="N215" i="7" s="1"/>
  <c r="G191" i="7"/>
  <c r="F191" i="7"/>
  <c r="G189" i="7"/>
  <c r="F189" i="7"/>
  <c r="G187" i="7"/>
  <c r="F187" i="7"/>
  <c r="E181" i="7"/>
  <c r="D181" i="7"/>
  <c r="C181" i="7"/>
  <c r="B178" i="7"/>
  <c r="B179" i="7" s="1"/>
  <c r="B180" i="7" s="1"/>
  <c r="B177" i="7"/>
  <c r="E173" i="7"/>
  <c r="D173" i="7"/>
  <c r="C173" i="7"/>
  <c r="B169" i="7"/>
  <c r="B170" i="7" s="1"/>
  <c r="B171" i="7" s="1"/>
  <c r="B172" i="7" s="1"/>
  <c r="G163" i="7"/>
  <c r="G161" i="7"/>
  <c r="E156" i="7"/>
  <c r="D156" i="7"/>
  <c r="C156" i="7"/>
  <c r="B156" i="7"/>
  <c r="P481" i="6"/>
  <c r="O481" i="6"/>
  <c r="N481" i="6"/>
  <c r="K481" i="6"/>
  <c r="P479" i="6"/>
  <c r="O479" i="6"/>
  <c r="N479" i="6"/>
  <c r="M479" i="6"/>
  <c r="M481" i="6" s="1"/>
  <c r="L479" i="6"/>
  <c r="L481" i="6" s="1"/>
  <c r="K479" i="6"/>
  <c r="Q456" i="6"/>
  <c r="Q455" i="6"/>
  <c r="Q454" i="6"/>
  <c r="AI443" i="6"/>
  <c r="AI442" i="6"/>
  <c r="AI441" i="6"/>
  <c r="AI440" i="6"/>
  <c r="AI439" i="6"/>
  <c r="AI438" i="6"/>
  <c r="AI437" i="6"/>
  <c r="AI436" i="6"/>
  <c r="AI435" i="6"/>
  <c r="AI434" i="6"/>
  <c r="AI433" i="6"/>
  <c r="AI432" i="6"/>
  <c r="AI431" i="6"/>
  <c r="AI430" i="6"/>
  <c r="AI429" i="6"/>
  <c r="AI428" i="6"/>
  <c r="AI427" i="6"/>
  <c r="AI426" i="6"/>
  <c r="AI425" i="6"/>
  <c r="AI424" i="6"/>
  <c r="R424" i="6"/>
  <c r="K424" i="6"/>
  <c r="AI423" i="6"/>
  <c r="R423" i="6"/>
  <c r="K423" i="6"/>
  <c r="AI422" i="6"/>
  <c r="R422" i="6"/>
  <c r="K422" i="6"/>
  <c r="AI421" i="6"/>
  <c r="R421" i="6"/>
  <c r="K421" i="6"/>
  <c r="AI420" i="6"/>
  <c r="AF463" i="6" s="1"/>
  <c r="R420" i="6"/>
  <c r="K420" i="6"/>
  <c r="AG419" i="6"/>
  <c r="AF419" i="6"/>
  <c r="AD419" i="6"/>
  <c r="M408" i="6"/>
  <c r="AA370" i="6" s="1"/>
  <c r="R395" i="6"/>
  <c r="V395" i="6" s="1"/>
  <c r="Q395" i="6"/>
  <c r="U395" i="6" s="1"/>
  <c r="P395" i="6"/>
  <c r="O395" i="6"/>
  <c r="T402" i="6" s="1"/>
  <c r="N395" i="6"/>
  <c r="S402" i="6" s="1"/>
  <c r="Q390" i="6"/>
  <c r="U390" i="6" s="1"/>
  <c r="P390" i="6"/>
  <c r="R390" i="6" s="1"/>
  <c r="V390" i="6" s="1"/>
  <c r="O390" i="6"/>
  <c r="N390" i="6"/>
  <c r="P385" i="6"/>
  <c r="R385" i="6" s="1"/>
  <c r="V385" i="6" s="1"/>
  <c r="O385" i="6"/>
  <c r="Q385" i="6" s="1"/>
  <c r="U385" i="6" s="1"/>
  <c r="N385" i="6"/>
  <c r="P380" i="6"/>
  <c r="R380" i="6" s="1"/>
  <c r="O380" i="6"/>
  <c r="N380" i="6"/>
  <c r="S377" i="6"/>
  <c r="Q377" i="6"/>
  <c r="P377" i="6"/>
  <c r="O377" i="6"/>
  <c r="N377" i="6"/>
  <c r="R377" i="6" s="1"/>
  <c r="R374" i="6"/>
  <c r="Q374" i="6"/>
  <c r="S374" i="6" s="1"/>
  <c r="P374" i="6"/>
  <c r="O374" i="6"/>
  <c r="N374" i="6"/>
  <c r="O372" i="6"/>
  <c r="N372" i="6"/>
  <c r="O371" i="6"/>
  <c r="N371" i="6"/>
  <c r="AC370" i="6"/>
  <c r="AB370" i="6"/>
  <c r="O370" i="6"/>
  <c r="N370" i="6"/>
  <c r="AC369" i="6"/>
  <c r="AB369" i="6"/>
  <c r="AA369" i="6"/>
  <c r="O369" i="6"/>
  <c r="N369" i="6"/>
  <c r="AC368" i="6"/>
  <c r="AB368" i="6"/>
  <c r="O368" i="6"/>
  <c r="N368" i="6"/>
  <c r="AC367" i="6"/>
  <c r="AB367" i="6"/>
  <c r="AA367" i="6"/>
  <c r="O367" i="6"/>
  <c r="N367" i="6"/>
  <c r="AC366" i="6"/>
  <c r="AB366" i="6"/>
  <c r="AA366" i="6"/>
  <c r="O366" i="6"/>
  <c r="N366" i="6"/>
  <c r="AC365" i="6"/>
  <c r="AB365" i="6"/>
  <c r="AA365" i="6"/>
  <c r="O365" i="6"/>
  <c r="N365" i="6"/>
  <c r="AC364" i="6"/>
  <c r="AB364" i="6"/>
  <c r="AA364" i="6"/>
  <c r="O364" i="6"/>
  <c r="N364" i="6"/>
  <c r="AC363" i="6"/>
  <c r="AB363" i="6"/>
  <c r="AA363" i="6"/>
  <c r="O363" i="6"/>
  <c r="N363" i="6"/>
  <c r="AC362" i="6"/>
  <c r="AB362" i="6"/>
  <c r="AA362" i="6"/>
  <c r="O362" i="6"/>
  <c r="N362" i="6"/>
  <c r="O361" i="6"/>
  <c r="N361" i="6"/>
  <c r="AJ357" i="6"/>
  <c r="AI357" i="6"/>
  <c r="AE357" i="6"/>
  <c r="AJ356" i="6"/>
  <c r="AI356" i="6"/>
  <c r="AE356" i="6"/>
  <c r="AJ355" i="6"/>
  <c r="AI355" i="6"/>
  <c r="AE355" i="6"/>
  <c r="AJ354" i="6"/>
  <c r="AI354" i="6"/>
  <c r="AE354" i="6"/>
  <c r="AJ353" i="6"/>
  <c r="AI353" i="6"/>
  <c r="AE353" i="6"/>
  <c r="AJ352" i="6"/>
  <c r="AI352" i="6"/>
  <c r="AE352" i="6"/>
  <c r="AJ351" i="6"/>
  <c r="AI351" i="6"/>
  <c r="AE351" i="6"/>
  <c r="AJ350" i="6"/>
  <c r="AI350" i="6"/>
  <c r="AE350" i="6"/>
  <c r="AJ349" i="6"/>
  <c r="AI349" i="6"/>
  <c r="AE349" i="6"/>
  <c r="AJ348" i="6"/>
  <c r="AI348" i="6"/>
  <c r="AE348" i="6"/>
  <c r="AJ347" i="6"/>
  <c r="AI347" i="6"/>
  <c r="AE347" i="6"/>
  <c r="AJ346" i="6"/>
  <c r="AI346" i="6"/>
  <c r="AE346" i="6"/>
  <c r="AJ345" i="6"/>
  <c r="AI345" i="6"/>
  <c r="AE345" i="6"/>
  <c r="AJ344" i="6"/>
  <c r="AI344" i="6"/>
  <c r="AE344" i="6"/>
  <c r="AJ343" i="6"/>
  <c r="AI343" i="6"/>
  <c r="AE343" i="6"/>
  <c r="AJ342" i="6"/>
  <c r="AI342" i="6"/>
  <c r="AE342" i="6"/>
  <c r="AJ341" i="6"/>
  <c r="AI341" i="6"/>
  <c r="AE341" i="6"/>
  <c r="AJ340" i="6"/>
  <c r="AI340" i="6"/>
  <c r="AE340" i="6"/>
  <c r="AJ339" i="6"/>
  <c r="AI339" i="6"/>
  <c r="AE339" i="6"/>
  <c r="AJ338" i="6"/>
  <c r="AI338" i="6"/>
  <c r="AE338" i="6"/>
  <c r="AJ337" i="6"/>
  <c r="AI337" i="6"/>
  <c r="AE337" i="6"/>
  <c r="AJ336" i="6"/>
  <c r="AI336" i="6"/>
  <c r="AE336" i="6"/>
  <c r="AJ335" i="6"/>
  <c r="AI335" i="6"/>
  <c r="AE335" i="6"/>
  <c r="AJ334" i="6"/>
  <c r="AI334" i="6"/>
  <c r="AE334" i="6"/>
  <c r="AJ333" i="6"/>
  <c r="AI333" i="6"/>
  <c r="AE333" i="6"/>
  <c r="AJ332" i="6"/>
  <c r="AI332" i="6"/>
  <c r="AE332" i="6"/>
  <c r="AJ331" i="6"/>
  <c r="AI331" i="6"/>
  <c r="AE331" i="6"/>
  <c r="AJ330" i="6"/>
  <c r="AI330" i="6"/>
  <c r="AE330" i="6"/>
  <c r="AJ329" i="6"/>
  <c r="AI329" i="6"/>
  <c r="AE329" i="6"/>
  <c r="AJ328" i="6"/>
  <c r="AI328" i="6"/>
  <c r="AE328" i="6"/>
  <c r="AJ327" i="6"/>
  <c r="AI327" i="6"/>
  <c r="AE327" i="6"/>
  <c r="J327" i="6"/>
  <c r="AJ326" i="6"/>
  <c r="AI326" i="6"/>
  <c r="AE326" i="6"/>
  <c r="J326" i="6"/>
  <c r="AJ325" i="6"/>
  <c r="AI325" i="6"/>
  <c r="AE325" i="6"/>
  <c r="J325" i="6"/>
  <c r="AJ324" i="6"/>
  <c r="AI324" i="6"/>
  <c r="AE324" i="6"/>
  <c r="J324" i="6"/>
  <c r="AJ323" i="6"/>
  <c r="AI323" i="6"/>
  <c r="AE323" i="6"/>
  <c r="J323" i="6"/>
  <c r="AJ322" i="6"/>
  <c r="AI322" i="6"/>
  <c r="AE322" i="6"/>
  <c r="J322" i="6"/>
  <c r="AJ321" i="6"/>
  <c r="AI321" i="6"/>
  <c r="AE321" i="6"/>
  <c r="AJ320" i="6"/>
  <c r="AI320" i="6"/>
  <c r="AE320" i="6"/>
  <c r="AJ319" i="6"/>
  <c r="AI319" i="6"/>
  <c r="AE319" i="6"/>
  <c r="AJ318" i="6"/>
  <c r="AI318" i="6"/>
  <c r="AE318" i="6"/>
  <c r="AJ317" i="6"/>
  <c r="AI317" i="6"/>
  <c r="AE317" i="6"/>
  <c r="AJ316" i="6"/>
  <c r="AI316" i="6"/>
  <c r="AE316" i="6"/>
  <c r="AJ315" i="6"/>
  <c r="AI315" i="6"/>
  <c r="AE315" i="6"/>
  <c r="AJ314" i="6"/>
  <c r="AI314" i="6"/>
  <c r="AE314" i="6"/>
  <c r="AJ313" i="6"/>
  <c r="AI313" i="6"/>
  <c r="AE313" i="6"/>
  <c r="AJ312" i="6"/>
  <c r="AI312" i="6"/>
  <c r="AE312" i="6"/>
  <c r="AJ311" i="6"/>
  <c r="AI311" i="6"/>
  <c r="AE311" i="6"/>
  <c r="AJ310" i="6"/>
  <c r="AI310" i="6"/>
  <c r="AE310" i="6"/>
  <c r="AJ309" i="6"/>
  <c r="AI309" i="6"/>
  <c r="AE309" i="6"/>
  <c r="AJ308" i="6"/>
  <c r="AI308" i="6"/>
  <c r="AE308" i="6"/>
  <c r="AJ307" i="6"/>
  <c r="AI307" i="6"/>
  <c r="AE307" i="6"/>
  <c r="AJ306" i="6"/>
  <c r="AI306" i="6"/>
  <c r="AE306" i="6"/>
  <c r="AJ305" i="6"/>
  <c r="AI305" i="6"/>
  <c r="AE305" i="6"/>
  <c r="AJ304" i="6"/>
  <c r="AI304" i="6"/>
  <c r="AE304" i="6"/>
  <c r="AJ303" i="6"/>
  <c r="AI303" i="6"/>
  <c r="AE303" i="6"/>
  <c r="AJ302" i="6"/>
  <c r="AI302" i="6"/>
  <c r="AE302" i="6"/>
  <c r="AJ301" i="6"/>
  <c r="AI301" i="6"/>
  <c r="AE301" i="6"/>
  <c r="AJ300" i="6"/>
  <c r="AI300" i="6"/>
  <c r="AE300" i="6"/>
  <c r="AJ299" i="6"/>
  <c r="AI299" i="6"/>
  <c r="AE299" i="6"/>
  <c r="AJ298" i="6"/>
  <c r="AI298" i="6"/>
  <c r="AE298" i="6"/>
  <c r="AJ297" i="6"/>
  <c r="AI297" i="6"/>
  <c r="AE297" i="6"/>
  <c r="AJ296" i="6"/>
  <c r="AI296" i="6"/>
  <c r="AE296" i="6"/>
  <c r="AJ295" i="6"/>
  <c r="AI295" i="6"/>
  <c r="AE295" i="6"/>
  <c r="AJ294" i="6"/>
  <c r="AI294" i="6"/>
  <c r="AE294" i="6"/>
  <c r="AJ293" i="6"/>
  <c r="AI293" i="6"/>
  <c r="AE293" i="6"/>
  <c r="AJ292" i="6"/>
  <c r="AI292" i="6"/>
  <c r="AE292" i="6"/>
  <c r="AJ291" i="6"/>
  <c r="AI291" i="6"/>
  <c r="AE291" i="6"/>
  <c r="AJ290" i="6"/>
  <c r="AI290" i="6"/>
  <c r="AE290" i="6"/>
  <c r="AJ289" i="6"/>
  <c r="AI289" i="6"/>
  <c r="AE289" i="6"/>
  <c r="AJ288" i="6"/>
  <c r="AI288" i="6"/>
  <c r="AE288" i="6"/>
  <c r="AJ287" i="6"/>
  <c r="AI287" i="6"/>
  <c r="AE287" i="6"/>
  <c r="AJ286" i="6"/>
  <c r="AI286" i="6"/>
  <c r="AE286" i="6"/>
  <c r="P252" i="6"/>
  <c r="P251" i="6"/>
  <c r="P250" i="6"/>
  <c r="P249" i="6"/>
  <c r="P248" i="6"/>
  <c r="P247" i="6"/>
  <c r="O242" i="6"/>
  <c r="N242" i="6"/>
  <c r="M242" i="6"/>
  <c r="L242" i="6"/>
  <c r="K242" i="6"/>
  <c r="R242" i="6" s="1"/>
  <c r="R241" i="6"/>
  <c r="N241" i="6"/>
  <c r="M241" i="6"/>
  <c r="L241" i="6"/>
  <c r="K241" i="6"/>
  <c r="R240" i="6"/>
  <c r="Q240" i="6"/>
  <c r="N240" i="6"/>
  <c r="M240" i="6"/>
  <c r="L240" i="6"/>
  <c r="K240" i="6"/>
  <c r="O239" i="6"/>
  <c r="N239" i="6"/>
  <c r="M239" i="6"/>
  <c r="L239" i="6"/>
  <c r="Q239" i="6" s="1"/>
  <c r="K239" i="6"/>
  <c r="O238" i="6"/>
  <c r="N238" i="6"/>
  <c r="M238" i="6"/>
  <c r="L238" i="6"/>
  <c r="K238" i="6"/>
  <c r="R237" i="6"/>
  <c r="N237" i="6"/>
  <c r="M237" i="6"/>
  <c r="P237" i="6" s="1"/>
  <c r="L237" i="6"/>
  <c r="K237" i="6"/>
  <c r="R236" i="6"/>
  <c r="P236" i="6"/>
  <c r="Q236" i="6" s="1"/>
  <c r="N236" i="6"/>
  <c r="M236" i="6"/>
  <c r="L236" i="6"/>
  <c r="K236" i="6"/>
  <c r="R235" i="6"/>
  <c r="O235" i="6"/>
  <c r="N235" i="6"/>
  <c r="M235" i="6"/>
  <c r="L235" i="6"/>
  <c r="Q235" i="6" s="1"/>
  <c r="K235" i="6"/>
  <c r="O229" i="6"/>
  <c r="O228" i="6"/>
  <c r="O241" i="6" s="1"/>
  <c r="O227" i="6"/>
  <c r="O240" i="6" s="1"/>
  <c r="O226" i="6"/>
  <c r="O225" i="6"/>
  <c r="O224" i="6"/>
  <c r="O237" i="6" s="1"/>
  <c r="O223" i="6"/>
  <c r="O236" i="6" s="1"/>
  <c r="O222" i="6"/>
  <c r="AD193" i="6"/>
  <c r="Q193" i="6"/>
  <c r="P193" i="6"/>
  <c r="O193" i="6"/>
  <c r="M193" i="6"/>
  <c r="L193" i="6"/>
  <c r="K193" i="6"/>
  <c r="E193" i="6"/>
  <c r="AA192" i="6"/>
  <c r="V192" i="6"/>
  <c r="Q192" i="6"/>
  <c r="P192" i="6"/>
  <c r="O192" i="6"/>
  <c r="M192" i="6"/>
  <c r="L192" i="6"/>
  <c r="K192" i="6"/>
  <c r="E192" i="6"/>
  <c r="Q191" i="6"/>
  <c r="P191" i="6"/>
  <c r="O191" i="6"/>
  <c r="M191" i="6"/>
  <c r="L191" i="6"/>
  <c r="K191" i="6"/>
  <c r="E191" i="6"/>
  <c r="AA190" i="6"/>
  <c r="V190" i="6"/>
  <c r="Q190" i="6"/>
  <c r="P190" i="6"/>
  <c r="M190" i="6"/>
  <c r="L190" i="6"/>
  <c r="K190" i="6"/>
  <c r="E190" i="6"/>
  <c r="Q189" i="6"/>
  <c r="P189" i="6"/>
  <c r="O189" i="6"/>
  <c r="M189" i="6"/>
  <c r="L189" i="6"/>
  <c r="K189" i="6"/>
  <c r="E189" i="6"/>
  <c r="AA188" i="6"/>
  <c r="Z188" i="6"/>
  <c r="V188" i="6"/>
  <c r="U188" i="6"/>
  <c r="Q188" i="6"/>
  <c r="P188" i="6"/>
  <c r="M188" i="6"/>
  <c r="L188" i="6"/>
  <c r="K188" i="6"/>
  <c r="E188" i="6"/>
  <c r="Q187" i="6"/>
  <c r="P187" i="6"/>
  <c r="O187" i="6"/>
  <c r="M187" i="6"/>
  <c r="L187" i="6"/>
  <c r="K187" i="6"/>
  <c r="E187" i="6"/>
  <c r="AE186" i="6"/>
  <c r="AD186" i="6"/>
  <c r="AA186" i="6"/>
  <c r="Z186" i="6"/>
  <c r="V186" i="6"/>
  <c r="U186" i="6"/>
  <c r="Q186" i="6"/>
  <c r="P186" i="6"/>
  <c r="O186" i="6"/>
  <c r="M186" i="6"/>
  <c r="L186" i="6"/>
  <c r="K186" i="6"/>
  <c r="E186" i="6"/>
  <c r="Q185" i="6"/>
  <c r="P185" i="6"/>
  <c r="O185" i="6"/>
  <c r="M185" i="6"/>
  <c r="L185" i="6"/>
  <c r="K185" i="6"/>
  <c r="E185" i="6"/>
  <c r="AA184" i="6"/>
  <c r="Z184" i="6"/>
  <c r="V184" i="6"/>
  <c r="U184" i="6"/>
  <c r="Q184" i="6"/>
  <c r="P184" i="6"/>
  <c r="O184" i="6"/>
  <c r="M184" i="6"/>
  <c r="L184" i="6"/>
  <c r="K184" i="6"/>
  <c r="E184" i="6"/>
  <c r="Q183" i="6"/>
  <c r="P183" i="6"/>
  <c r="O183" i="6"/>
  <c r="M183" i="6"/>
  <c r="L183" i="6"/>
  <c r="K183" i="6"/>
  <c r="E183" i="6"/>
  <c r="AE193" i="6" s="1"/>
  <c r="Z182" i="6"/>
  <c r="U182" i="6"/>
  <c r="Q182" i="6"/>
  <c r="P182" i="6"/>
  <c r="O182" i="6"/>
  <c r="M182" i="6"/>
  <c r="L182" i="6"/>
  <c r="K182" i="6"/>
  <c r="E182" i="6"/>
  <c r="I174" i="6"/>
  <c r="H174" i="6"/>
  <c r="G174" i="6"/>
  <c r="F174" i="6"/>
  <c r="I173" i="6"/>
  <c r="I175" i="6" s="1"/>
  <c r="H173" i="6"/>
  <c r="H175" i="6" s="1"/>
  <c r="G173" i="6"/>
  <c r="F173" i="6"/>
  <c r="F175" i="6" s="1"/>
  <c r="L157" i="6"/>
  <c r="J157" i="6"/>
  <c r="L154" i="6"/>
  <c r="J154" i="6"/>
  <c r="L151" i="6"/>
  <c r="J151" i="6"/>
  <c r="N148" i="6"/>
  <c r="L148" i="6"/>
  <c r="J148" i="6"/>
  <c r="M144" i="6"/>
  <c r="I144" i="6"/>
  <c r="M143" i="6"/>
  <c r="J143" i="6"/>
  <c r="I143" i="6"/>
  <c r="M142" i="6"/>
  <c r="L142" i="6"/>
  <c r="K142" i="6"/>
  <c r="J142" i="6"/>
  <c r="J144" i="6" s="1"/>
  <c r="I142" i="6"/>
  <c r="U137" i="6"/>
  <c r="S137" i="6"/>
  <c r="Y137" i="6" s="1"/>
  <c r="R137" i="6"/>
  <c r="X137" i="6" s="1"/>
  <c r="Q137" i="6"/>
  <c r="W137" i="6" s="1"/>
  <c r="P137" i="6"/>
  <c r="V137" i="6" s="1"/>
  <c r="O137" i="6"/>
  <c r="M137" i="6"/>
  <c r="L137" i="6"/>
  <c r="K137" i="6"/>
  <c r="J137" i="6"/>
  <c r="I137" i="6"/>
  <c r="Y136" i="6"/>
  <c r="W136" i="6"/>
  <c r="S136" i="6"/>
  <c r="R136" i="6"/>
  <c r="X136" i="6" s="1"/>
  <c r="Q136" i="6"/>
  <c r="P136" i="6"/>
  <c r="V136" i="6" s="1"/>
  <c r="O136" i="6"/>
  <c r="U136" i="6" s="1"/>
  <c r="M136" i="6"/>
  <c r="L136" i="6"/>
  <c r="K136" i="6"/>
  <c r="J136" i="6"/>
  <c r="I136" i="6"/>
  <c r="Y135" i="6"/>
  <c r="X135" i="6"/>
  <c r="S135" i="6"/>
  <c r="R135" i="6"/>
  <c r="Q135" i="6"/>
  <c r="W135" i="6" s="1"/>
  <c r="P135" i="6"/>
  <c r="V135" i="6" s="1"/>
  <c r="O135" i="6"/>
  <c r="U135" i="6" s="1"/>
  <c r="M135" i="6"/>
  <c r="L135" i="6"/>
  <c r="K135" i="6"/>
  <c r="J135" i="6"/>
  <c r="I135" i="6"/>
  <c r="G123" i="6"/>
  <c r="I117" i="6"/>
  <c r="G115" i="6"/>
  <c r="H114" i="6"/>
  <c r="E114" i="6"/>
  <c r="I113" i="6"/>
  <c r="H113" i="6"/>
  <c r="G113" i="6"/>
  <c r="F113" i="6"/>
  <c r="E113" i="6"/>
  <c r="D113" i="6"/>
  <c r="I112" i="6"/>
  <c r="I114" i="6" s="1"/>
  <c r="H112" i="6"/>
  <c r="G112" i="6"/>
  <c r="F112" i="6"/>
  <c r="F114" i="6" s="1"/>
  <c r="E112" i="6"/>
  <c r="D112" i="6"/>
  <c r="I111" i="6"/>
  <c r="H111" i="6"/>
  <c r="G111" i="6"/>
  <c r="F111" i="6"/>
  <c r="F115" i="6" s="1"/>
  <c r="E111" i="6"/>
  <c r="D111" i="6"/>
  <c r="D115" i="6" s="1"/>
  <c r="I110" i="6"/>
  <c r="H110" i="6"/>
  <c r="G110" i="6"/>
  <c r="F110" i="6"/>
  <c r="E110" i="6"/>
  <c r="E115" i="6" s="1"/>
  <c r="D110" i="6"/>
  <c r="I109" i="6"/>
  <c r="I116" i="6" s="1"/>
  <c r="H109" i="6"/>
  <c r="G109" i="6"/>
  <c r="F109" i="6"/>
  <c r="F116" i="6" s="1"/>
  <c r="E109" i="6"/>
  <c r="D109" i="6"/>
  <c r="G94" i="6"/>
  <c r="F94" i="6"/>
  <c r="H93" i="6"/>
  <c r="G93" i="6"/>
  <c r="F93" i="6"/>
  <c r="H92" i="6"/>
  <c r="H91" i="6"/>
  <c r="H90" i="6"/>
  <c r="H94" i="6" s="1"/>
  <c r="C90" i="6"/>
  <c r="H89" i="6"/>
  <c r="M68" i="6"/>
  <c r="M67" i="6"/>
  <c r="M66" i="6"/>
  <c r="M65" i="6"/>
  <c r="K13" i="6"/>
  <c r="J13" i="6"/>
  <c r="I13" i="6"/>
  <c r="K12" i="6"/>
  <c r="J12" i="6"/>
  <c r="I12" i="6"/>
  <c r="K11" i="6"/>
  <c r="J11" i="6"/>
  <c r="I11" i="6"/>
  <c r="K10" i="6"/>
  <c r="J10" i="6"/>
  <c r="I10" i="6"/>
  <c r="K9" i="6"/>
  <c r="J9" i="6"/>
  <c r="I9" i="6"/>
  <c r="P7" i="6"/>
  <c r="O7" i="6"/>
  <c r="N7" i="6"/>
  <c r="A2" i="4" a="1"/>
  <c r="C115" i="4" s="1"/>
  <c r="B5" i="3"/>
  <c r="E2" i="3"/>
  <c r="X297" i="6"/>
  <c r="X317" i="6"/>
  <c r="AB336" i="6"/>
  <c r="X332" i="6"/>
  <c r="AA287" i="6"/>
  <c r="Z323" i="6"/>
  <c r="X327" i="6"/>
  <c r="X339" i="6"/>
  <c r="Z355" i="6"/>
  <c r="Z347" i="6"/>
  <c r="Z354" i="6"/>
  <c r="AA291" i="6"/>
  <c r="X320" i="6"/>
  <c r="X292" i="6"/>
  <c r="Y350" i="6"/>
  <c r="AB306" i="6"/>
  <c r="W349" i="6"/>
  <c r="X328" i="6"/>
  <c r="AB339" i="6"/>
  <c r="AA304" i="6"/>
  <c r="X355" i="6"/>
  <c r="AB299" i="6"/>
  <c r="AB328" i="6"/>
  <c r="AB338" i="6"/>
  <c r="X316" i="6"/>
  <c r="X311" i="6"/>
  <c r="AB303" i="6"/>
  <c r="AB322" i="6"/>
  <c r="W338" i="6"/>
  <c r="X338" i="6"/>
  <c r="X323" i="6"/>
  <c r="AA331" i="6"/>
  <c r="AB313" i="6"/>
  <c r="X344" i="6"/>
  <c r="AB335" i="6"/>
  <c r="Z318" i="6"/>
  <c r="AB352" i="6"/>
  <c r="W335" i="6"/>
  <c r="X342" i="6"/>
  <c r="AA344" i="6"/>
  <c r="AB301" i="6"/>
  <c r="Y349" i="6"/>
  <c r="Y352" i="6"/>
  <c r="X309" i="6"/>
  <c r="Z328" i="6"/>
  <c r="X313" i="6"/>
  <c r="AB332" i="6"/>
  <c r="AA339" i="6"/>
  <c r="Z303" i="6"/>
  <c r="Z334" i="6"/>
  <c r="Z352" i="6"/>
  <c r="X319" i="6"/>
  <c r="X289" i="6"/>
  <c r="X300" i="6"/>
  <c r="AB319" i="6"/>
  <c r="Y346" i="6"/>
  <c r="AA312" i="6"/>
  <c r="Z329" i="6"/>
  <c r="X299" i="6"/>
  <c r="Z342" i="6"/>
  <c r="Y338" i="6"/>
  <c r="AB314" i="6"/>
  <c r="X304" i="6"/>
  <c r="AB325" i="6"/>
  <c r="Y341" i="6"/>
  <c r="Z291" i="6"/>
  <c r="X324" i="6"/>
  <c r="X353" i="6"/>
  <c r="Y340" i="6"/>
  <c r="AB345" i="6"/>
  <c r="X337" i="6"/>
  <c r="X305" i="6"/>
  <c r="AB308" i="6"/>
  <c r="AB321" i="6"/>
  <c r="Z289" i="6"/>
  <c r="X286" i="6"/>
  <c r="AA330" i="6"/>
  <c r="W348" i="6"/>
  <c r="Z345" i="6"/>
  <c r="AA314" i="6"/>
  <c r="AB346" i="6"/>
  <c r="X321" i="6"/>
  <c r="AA295" i="6"/>
  <c r="AB312" i="6"/>
  <c r="Z309" i="6"/>
  <c r="AA319" i="6"/>
  <c r="AB357" i="6"/>
  <c r="W354" i="6"/>
  <c r="AA335" i="6"/>
  <c r="AA317" i="6"/>
  <c r="AA347" i="6"/>
  <c r="AB307" i="6"/>
  <c r="X310" i="6"/>
  <c r="Z337" i="6"/>
  <c r="X336" i="6"/>
  <c r="X329" i="6"/>
  <c r="X341" i="6"/>
  <c r="AA308" i="6"/>
  <c r="X295" i="6"/>
  <c r="AB331" i="6"/>
  <c r="X354" i="6"/>
  <c r="W345" i="6"/>
  <c r="AB288" i="6"/>
  <c r="AB326" i="6"/>
  <c r="X333" i="6"/>
  <c r="AB356" i="6"/>
  <c r="X345" i="6"/>
  <c r="AB333" i="6"/>
  <c r="AB340" i="6"/>
  <c r="AA299" i="6"/>
  <c r="X347" i="6"/>
  <c r="AB290" i="6"/>
  <c r="AA296" i="6"/>
  <c r="X307" i="6"/>
  <c r="AB323" i="6"/>
  <c r="Z296" i="6"/>
  <c r="Y345" i="6"/>
  <c r="AA306" i="6"/>
  <c r="Z292" i="6"/>
  <c r="W357" i="6"/>
  <c r="AB354" i="6"/>
  <c r="AB351" i="6"/>
  <c r="AB341" i="6"/>
  <c r="X318" i="6"/>
  <c r="AB327" i="6"/>
  <c r="W343" i="6"/>
  <c r="AB295" i="6"/>
  <c r="Z327" i="6"/>
  <c r="X326" i="6"/>
  <c r="AB309" i="6"/>
  <c r="AB344" i="6"/>
  <c r="Z308" i="6"/>
  <c r="AA311" i="6"/>
  <c r="X335" i="6"/>
  <c r="Z299" i="6"/>
  <c r="Y339" i="6"/>
  <c r="Z346" i="6"/>
  <c r="Z349" i="6"/>
  <c r="AB329" i="6"/>
  <c r="X293" i="6"/>
  <c r="AA303" i="6"/>
  <c r="AB287" i="6"/>
  <c r="X346" i="6"/>
  <c r="Y344" i="6"/>
  <c r="X298" i="6"/>
  <c r="AB305" i="6"/>
  <c r="W344" i="6"/>
  <c r="Z304" i="6"/>
  <c r="AB349" i="6"/>
  <c r="W339" i="6"/>
  <c r="AA351" i="6"/>
  <c r="Y347" i="6"/>
  <c r="AA333" i="6"/>
  <c r="AA328" i="6"/>
  <c r="X349" i="6"/>
  <c r="Z300" i="6"/>
  <c r="Z348" i="6"/>
  <c r="AB355" i="6"/>
  <c r="Z332" i="6"/>
  <c r="Z340" i="6"/>
  <c r="X350" i="6"/>
  <c r="Z315" i="6"/>
  <c r="Z357" i="6"/>
  <c r="X334" i="6"/>
  <c r="AA345" i="6"/>
  <c r="X306" i="6"/>
  <c r="AB315" i="6"/>
  <c r="X330" i="6"/>
  <c r="AA301" i="6"/>
  <c r="AB343" i="6"/>
  <c r="AB300" i="6"/>
  <c r="X312" i="6"/>
  <c r="X294" i="6"/>
  <c r="X351" i="6"/>
  <c r="AA316" i="6"/>
  <c r="X357" i="6"/>
  <c r="W340" i="6"/>
  <c r="W353" i="6"/>
  <c r="Y343" i="6"/>
  <c r="AB291" i="6"/>
  <c r="X287" i="6"/>
  <c r="X331" i="6"/>
  <c r="W336" i="6"/>
  <c r="Z343" i="6"/>
  <c r="AB334" i="6"/>
  <c r="AA293" i="6"/>
  <c r="AA320" i="6"/>
  <c r="AB311" i="6"/>
  <c r="Z320" i="6"/>
  <c r="AA354" i="6"/>
  <c r="AA353" i="6"/>
  <c r="Y354" i="6"/>
  <c r="AB350" i="6"/>
  <c r="X315" i="6"/>
  <c r="Z353" i="6"/>
  <c r="Z356" i="6"/>
  <c r="W351" i="6"/>
  <c r="AA298" i="6"/>
  <c r="AB348" i="6"/>
  <c r="AA343" i="6"/>
  <c r="AB316" i="6"/>
  <c r="X308" i="6"/>
  <c r="AA292" i="6"/>
  <c r="Z310" i="6"/>
  <c r="W342" i="6"/>
  <c r="Z295" i="6"/>
  <c r="AA290" i="6"/>
  <c r="Y342" i="6"/>
  <c r="W356" i="6"/>
  <c r="X343" i="6"/>
  <c r="Y336" i="6"/>
  <c r="AA315" i="6"/>
  <c r="Z322" i="6"/>
  <c r="X348" i="6"/>
  <c r="AA337" i="6"/>
  <c r="AB292" i="6"/>
  <c r="AB324" i="6"/>
  <c r="Z314" i="6"/>
  <c r="AA307" i="6"/>
  <c r="Y357" i="6"/>
  <c r="W341" i="6"/>
  <c r="Z288" i="6"/>
  <c r="Z312" i="6"/>
  <c r="AA355" i="6"/>
  <c r="AB337" i="6"/>
  <c r="X296" i="6"/>
  <c r="AA352" i="6"/>
  <c r="AB304" i="6"/>
  <c r="Z319" i="6"/>
  <c r="AA336" i="6"/>
  <c r="X325" i="6"/>
  <c r="Y337" i="6"/>
  <c r="Z301" i="6"/>
  <c r="Z331" i="6"/>
  <c r="Z287" i="6"/>
  <c r="Z350" i="6"/>
  <c r="X314" i="6"/>
  <c r="Z333" i="6"/>
  <c r="X356" i="6"/>
  <c r="W346" i="6"/>
  <c r="Z306" i="6"/>
  <c r="Y351" i="6"/>
  <c r="Z311" i="6"/>
  <c r="Z351" i="6"/>
  <c r="X288" i="6"/>
  <c r="W355" i="6"/>
  <c r="Y355" i="6"/>
  <c r="X340" i="6"/>
  <c r="X291" i="6"/>
  <c r="AB330" i="6"/>
  <c r="W350" i="6"/>
  <c r="AA346" i="6"/>
  <c r="AB296" i="6"/>
  <c r="AB320" i="6"/>
  <c r="Z341" i="6"/>
  <c r="W337" i="6"/>
  <c r="Z339" i="6"/>
  <c r="X303" i="6"/>
  <c r="Z313" i="6"/>
  <c r="W352" i="6"/>
  <c r="X302" i="6"/>
  <c r="Z286" i="6"/>
  <c r="Y334" i="6"/>
  <c r="AA309" i="6"/>
  <c r="Y335" i="6"/>
  <c r="AA338" i="6"/>
  <c r="AB342" i="6"/>
  <c r="AA288" i="6"/>
  <c r="W347" i="6"/>
  <c r="Z294" i="6"/>
  <c r="Z302" i="6"/>
  <c r="Y353" i="6"/>
  <c r="AB293" i="6"/>
  <c r="Z297" i="6"/>
  <c r="Z335" i="6"/>
  <c r="X290" i="6"/>
  <c r="Z324" i="6"/>
  <c r="Z336" i="6"/>
  <c r="Z305" i="6"/>
  <c r="Z298" i="6"/>
  <c r="Z325" i="6"/>
  <c r="Z293" i="6"/>
  <c r="X301" i="6"/>
  <c r="Z307" i="6"/>
  <c r="Z317" i="6"/>
  <c r="Y348" i="6"/>
  <c r="Z290" i="6"/>
  <c r="AB317" i="6"/>
  <c r="X352" i="6"/>
  <c r="AA329" i="6"/>
  <c r="Z321" i="6"/>
  <c r="Z316" i="6"/>
  <c r="X322" i="6"/>
  <c r="Z344" i="6"/>
  <c r="AB347" i="6"/>
  <c r="AB353" i="6"/>
  <c r="AA300" i="6"/>
  <c r="Y356" i="6"/>
  <c r="W334" i="6"/>
  <c r="Z330" i="6"/>
  <c r="Z326" i="6"/>
  <c r="Z338" i="6"/>
  <c r="AB298" i="6"/>
  <c r="C8" i="4" l="1"/>
  <c r="A32" i="4"/>
  <c r="C53" i="4"/>
  <c r="A76" i="4"/>
  <c r="C98" i="4"/>
  <c r="C14" i="4"/>
  <c r="B36" i="4"/>
  <c r="C59" i="4"/>
  <c r="B81" i="4"/>
  <c r="A104" i="4"/>
  <c r="C17" i="4"/>
  <c r="B39" i="4"/>
  <c r="B62" i="4"/>
  <c r="B84" i="4"/>
  <c r="A106" i="4"/>
  <c r="B20" i="4"/>
  <c r="C42" i="4"/>
  <c r="B64" i="4"/>
  <c r="B87" i="4"/>
  <c r="B109" i="4"/>
  <c r="C22" i="4"/>
  <c r="C45" i="4"/>
  <c r="B67" i="4"/>
  <c r="A90" i="4"/>
  <c r="B112" i="4"/>
  <c r="A4" i="4"/>
  <c r="C25" i="4"/>
  <c r="B48" i="4"/>
  <c r="B70" i="4"/>
  <c r="B92" i="4"/>
  <c r="B115" i="4"/>
  <c r="B6" i="4"/>
  <c r="C28" i="4"/>
  <c r="C50" i="4"/>
  <c r="B73" i="4"/>
  <c r="B95" i="4"/>
  <c r="A118" i="4"/>
  <c r="C11" i="4"/>
  <c r="C34" i="4"/>
  <c r="C56" i="4"/>
  <c r="B78" i="4"/>
  <c r="C101" i="4"/>
  <c r="C4" i="4"/>
  <c r="A11" i="4"/>
  <c r="B15" i="4"/>
  <c r="C21" i="4"/>
  <c r="B27" i="4"/>
  <c r="C32" i="4"/>
  <c r="C38" i="4"/>
  <c r="C43" i="4"/>
  <c r="C49" i="4"/>
  <c r="A55" i="4"/>
  <c r="B60" i="4"/>
  <c r="C66" i="4"/>
  <c r="B71" i="4"/>
  <c r="C77" i="4"/>
  <c r="B83" i="4"/>
  <c r="B88" i="4"/>
  <c r="B94" i="4"/>
  <c r="B99" i="4"/>
  <c r="B105" i="4"/>
  <c r="A111" i="4"/>
  <c r="A116" i="4"/>
  <c r="B5" i="4"/>
  <c r="B11" i="4"/>
  <c r="A17" i="4"/>
  <c r="B22" i="4"/>
  <c r="B28" i="4"/>
  <c r="A33" i="4"/>
  <c r="A39" i="4"/>
  <c r="C44" i="4"/>
  <c r="A50" i="4"/>
  <c r="B56" i="4"/>
  <c r="C60" i="4"/>
  <c r="A67" i="4"/>
  <c r="C72" i="4"/>
  <c r="A78" i="4"/>
  <c r="A84" i="4"/>
  <c r="C88" i="4"/>
  <c r="C94" i="4"/>
  <c r="B100" i="4"/>
  <c r="C105" i="4"/>
  <c r="A112" i="4"/>
  <c r="C116" i="4"/>
  <c r="A2" i="4"/>
  <c r="B7" i="4"/>
  <c r="A12" i="4"/>
  <c r="A18" i="4"/>
  <c r="A24" i="4"/>
  <c r="B29" i="4"/>
  <c r="B35" i="4"/>
  <c r="A40" i="4"/>
  <c r="A46" i="4"/>
  <c r="C51" i="4"/>
  <c r="A57" i="4"/>
  <c r="A63" i="4"/>
  <c r="A68" i="4"/>
  <c r="A74" i="4"/>
  <c r="B79" i="4"/>
  <c r="C84" i="4"/>
  <c r="A91" i="4"/>
  <c r="A96" i="4"/>
  <c r="A102" i="4"/>
  <c r="C107" i="4"/>
  <c r="C112" i="4"/>
  <c r="C118" i="4"/>
  <c r="A8" i="4"/>
  <c r="C13" i="4"/>
  <c r="C18" i="4"/>
  <c r="C24" i="4"/>
  <c r="C29" i="4"/>
  <c r="C35" i="4"/>
  <c r="B41" i="4"/>
  <c r="C46" i="4"/>
  <c r="C52" i="4"/>
  <c r="B57" i="4"/>
  <c r="B63" i="4"/>
  <c r="B69" i="4"/>
  <c r="C74" i="4"/>
  <c r="C80" i="4"/>
  <c r="B85" i="4"/>
  <c r="B91" i="4"/>
  <c r="A97" i="4"/>
  <c r="B102" i="4"/>
  <c r="B108" i="4"/>
  <c r="A113" i="4"/>
  <c r="A119" i="4"/>
  <c r="A3" i="4"/>
  <c r="B8" i="4"/>
  <c r="B14" i="4"/>
  <c r="B19" i="4"/>
  <c r="B25" i="4"/>
  <c r="C30" i="4"/>
  <c r="A36" i="4"/>
  <c r="A42" i="4"/>
  <c r="A47" i="4"/>
  <c r="B53" i="4"/>
  <c r="A59" i="4"/>
  <c r="A64" i="4"/>
  <c r="A70" i="4"/>
  <c r="A75" i="4"/>
  <c r="A81" i="4"/>
  <c r="C86" i="4"/>
  <c r="C91" i="4"/>
  <c r="C97" i="4"/>
  <c r="C102" i="4"/>
  <c r="C108" i="4"/>
  <c r="C114" i="4"/>
  <c r="B4" i="4"/>
  <c r="A10" i="4"/>
  <c r="A15" i="4"/>
  <c r="B21" i="4"/>
  <c r="A26" i="4"/>
  <c r="B32" i="4"/>
  <c r="A38" i="4"/>
  <c r="A43" i="4"/>
  <c r="A49" i="4"/>
  <c r="A54" i="4"/>
  <c r="A60" i="4"/>
  <c r="C65" i="4"/>
  <c r="A71" i="4"/>
  <c r="B77" i="4"/>
  <c r="C81" i="4"/>
  <c r="A88" i="4"/>
  <c r="C93" i="4"/>
  <c r="A99" i="4"/>
  <c r="A105" i="4"/>
  <c r="C109" i="4"/>
  <c r="B3" i="3"/>
  <c r="B2" i="3"/>
  <c r="AL190" i="6"/>
  <c r="AL191" i="6" s="1"/>
  <c r="AP189" i="6"/>
  <c r="AG189" i="6"/>
  <c r="AF191" i="6"/>
  <c r="AI190" i="6"/>
  <c r="AI191" i="6" s="1"/>
  <c r="AN189" i="6"/>
  <c r="AE189" i="6"/>
  <c r="AI184" i="6"/>
  <c r="AH183" i="6"/>
  <c r="AL182" i="6"/>
  <c r="AE191" i="6"/>
  <c r="AH190" i="6"/>
  <c r="AH191" i="6" s="1"/>
  <c r="AM189" i="6"/>
  <c r="AD189" i="6"/>
  <c r="AH184" i="6"/>
  <c r="AP183" i="6"/>
  <c r="AG183" i="6"/>
  <c r="AK182" i="6"/>
  <c r="AO190" i="6"/>
  <c r="AO191" i="6" s="1"/>
  <c r="AF190" i="6"/>
  <c r="AK189" i="6"/>
  <c r="AN183" i="6"/>
  <c r="AN184" i="6" s="1"/>
  <c r="AE183" i="6"/>
  <c r="AE184" i="6" s="1"/>
  <c r="AH182" i="6"/>
  <c r="AK191" i="6"/>
  <c r="AN190" i="6"/>
  <c r="AN191" i="6" s="1"/>
  <c r="AE190" i="6"/>
  <c r="AI189" i="6"/>
  <c r="AM183" i="6"/>
  <c r="AD183" i="6"/>
  <c r="AD184" i="6" s="1"/>
  <c r="AP182" i="6"/>
  <c r="AG182" i="6"/>
  <c r="AK190" i="6"/>
  <c r="AK184" i="6"/>
  <c r="AK183" i="6"/>
  <c r="AD182" i="6"/>
  <c r="AG190" i="6"/>
  <c r="AG184" i="6"/>
  <c r="AI183" i="6"/>
  <c r="AD190" i="6"/>
  <c r="AF183" i="6"/>
  <c r="AF184" i="6" s="1"/>
  <c r="AO182" i="6"/>
  <c r="AO189" i="6"/>
  <c r="AN182" i="6"/>
  <c r="AM191" i="6"/>
  <c r="AL189" i="6"/>
  <c r="AM182" i="6"/>
  <c r="AD191" i="6"/>
  <c r="AP190" i="6"/>
  <c r="AP191" i="6" s="1"/>
  <c r="AF189" i="6"/>
  <c r="AM184" i="6"/>
  <c r="AO183" i="6"/>
  <c r="AO184" i="6" s="1"/>
  <c r="AF182" i="6"/>
  <c r="AM190" i="6"/>
  <c r="AL183" i="6"/>
  <c r="AL184" i="6" s="1"/>
  <c r="AE182" i="6"/>
  <c r="AP184" i="6"/>
  <c r="AG191" i="6"/>
  <c r="AH189" i="6"/>
  <c r="AI182" i="6"/>
  <c r="E3" i="4" a="1"/>
  <c r="E3" i="4" s="1"/>
  <c r="I2" i="4"/>
  <c r="G2" i="4"/>
  <c r="C119" i="4"/>
  <c r="A117" i="4"/>
  <c r="B114" i="4"/>
  <c r="C111" i="4"/>
  <c r="A109" i="4"/>
  <c r="B106" i="4"/>
  <c r="C103" i="4"/>
  <c r="A101" i="4"/>
  <c r="B98" i="4"/>
  <c r="C95" i="4"/>
  <c r="A93" i="4"/>
  <c r="B90" i="4"/>
  <c r="C87" i="4"/>
  <c r="A85" i="4"/>
  <c r="B82" i="4"/>
  <c r="C79" i="4"/>
  <c r="A77" i="4"/>
  <c r="B74" i="4"/>
  <c r="C71" i="4"/>
  <c r="A69" i="4"/>
  <c r="B66" i="4"/>
  <c r="C63" i="4"/>
  <c r="A61" i="4"/>
  <c r="B58" i="4"/>
  <c r="C55" i="4"/>
  <c r="A53" i="4"/>
  <c r="B50" i="4"/>
  <c r="C47" i="4"/>
  <c r="A45" i="4"/>
  <c r="B42" i="4"/>
  <c r="C39" i="4"/>
  <c r="A37" i="4"/>
  <c r="B34" i="4"/>
  <c r="C31" i="4"/>
  <c r="A29" i="4"/>
  <c r="B26" i="4"/>
  <c r="C23" i="4"/>
  <c r="A21" i="4"/>
  <c r="B18" i="4"/>
  <c r="C15" i="4"/>
  <c r="A13" i="4"/>
  <c r="B10" i="4"/>
  <c r="C7" i="4"/>
  <c r="A5" i="4"/>
  <c r="B2" i="4"/>
  <c r="K2" i="4" s="1"/>
  <c r="B119" i="4"/>
  <c r="B116" i="4"/>
  <c r="B113" i="4"/>
  <c r="B110" i="4"/>
  <c r="B107" i="4"/>
  <c r="B104" i="4"/>
  <c r="B101" i="4"/>
  <c r="A98" i="4"/>
  <c r="A95" i="4"/>
  <c r="A92" i="4"/>
  <c r="A89" i="4"/>
  <c r="A86" i="4"/>
  <c r="A83" i="4"/>
  <c r="A80" i="4"/>
  <c r="C76" i="4"/>
  <c r="C73" i="4"/>
  <c r="C70" i="4"/>
  <c r="C67" i="4"/>
  <c r="C64" i="4"/>
  <c r="C61" i="4"/>
  <c r="C58" i="4"/>
  <c r="B55" i="4"/>
  <c r="B52" i="4"/>
  <c r="B49" i="4"/>
  <c r="B46" i="4"/>
  <c r="B43" i="4"/>
  <c r="B40" i="4"/>
  <c r="B37" i="4"/>
  <c r="A34" i="4"/>
  <c r="A31" i="4"/>
  <c r="A28" i="4"/>
  <c r="A25" i="4"/>
  <c r="A22" i="4"/>
  <c r="A19" i="4"/>
  <c r="A16" i="4"/>
  <c r="C12" i="4"/>
  <c r="C9" i="4"/>
  <c r="C6" i="4"/>
  <c r="C3" i="4"/>
  <c r="C5" i="4"/>
  <c r="A9" i="4"/>
  <c r="B12" i="4"/>
  <c r="B16" i="4"/>
  <c r="C19" i="4"/>
  <c r="A23" i="4"/>
  <c r="C26" i="4"/>
  <c r="A30" i="4"/>
  <c r="B33" i="4"/>
  <c r="C36" i="4"/>
  <c r="C40" i="4"/>
  <c r="A44" i="4"/>
  <c r="B47" i="4"/>
  <c r="A51" i="4"/>
  <c r="B54" i="4"/>
  <c r="C57" i="4"/>
  <c r="B61" i="4"/>
  <c r="A65" i="4"/>
  <c r="B68" i="4"/>
  <c r="A72" i="4"/>
  <c r="B75" i="4"/>
  <c r="C78" i="4"/>
  <c r="A82" i="4"/>
  <c r="C85" i="4"/>
  <c r="B89" i="4"/>
  <c r="C92" i="4"/>
  <c r="B96" i="4"/>
  <c r="C99" i="4"/>
  <c r="A103" i="4"/>
  <c r="C106" i="4"/>
  <c r="A110" i="4"/>
  <c r="C113" i="4"/>
  <c r="B117" i="4"/>
  <c r="C2" i="4"/>
  <c r="A6" i="4"/>
  <c r="B9" i="4"/>
  <c r="B13" i="4"/>
  <c r="C16" i="4"/>
  <c r="A20" i="4"/>
  <c r="B23" i="4"/>
  <c r="A27" i="4"/>
  <c r="B30" i="4"/>
  <c r="C33" i="4"/>
  <c r="C37" i="4"/>
  <c r="A41" i="4"/>
  <c r="B44" i="4"/>
  <c r="A48" i="4"/>
  <c r="B51" i="4"/>
  <c r="C54" i="4"/>
  <c r="A58" i="4"/>
  <c r="A62" i="4"/>
  <c r="B65" i="4"/>
  <c r="C68" i="4"/>
  <c r="B72" i="4"/>
  <c r="C75" i="4"/>
  <c r="A79" i="4"/>
  <c r="C82" i="4"/>
  <c r="B86" i="4"/>
  <c r="C89" i="4"/>
  <c r="B93" i="4"/>
  <c r="C96" i="4"/>
  <c r="A100" i="4"/>
  <c r="B103" i="4"/>
  <c r="A107" i="4"/>
  <c r="C110" i="4"/>
  <c r="A114" i="4"/>
  <c r="C117" i="4"/>
  <c r="B3" i="4"/>
  <c r="A7" i="4"/>
  <c r="C10" i="4"/>
  <c r="A14" i="4"/>
  <c r="B17" i="4"/>
  <c r="C20" i="4"/>
  <c r="B24" i="4"/>
  <c r="C27" i="4"/>
  <c r="B31" i="4"/>
  <c r="A35" i="4"/>
  <c r="B38" i="4"/>
  <c r="C41" i="4"/>
  <c r="B45" i="4"/>
  <c r="C48" i="4"/>
  <c r="A52" i="4"/>
  <c r="A56" i="4"/>
  <c r="B59" i="4"/>
  <c r="C62" i="4"/>
  <c r="A66" i="4"/>
  <c r="C69" i="4"/>
  <c r="A73" i="4"/>
  <c r="B76" i="4"/>
  <c r="B80" i="4"/>
  <c r="C83" i="4"/>
  <c r="A87" i="4"/>
  <c r="C90" i="4"/>
  <c r="A94" i="4"/>
  <c r="B97" i="4"/>
  <c r="C100" i="4"/>
  <c r="C104" i="4"/>
  <c r="A108" i="4"/>
  <c r="B111" i="4"/>
  <c r="A115" i="4"/>
  <c r="B118" i="4"/>
  <c r="K143" i="6"/>
  <c r="K144" i="6"/>
  <c r="AF193" i="6"/>
  <c r="AG186" i="6"/>
  <c r="AF186" i="6"/>
  <c r="AH193" i="6"/>
  <c r="AI186" i="6"/>
  <c r="K157" i="6"/>
  <c r="D114" i="6"/>
  <c r="F117" i="6"/>
  <c r="K154" i="6"/>
  <c r="Q238" i="6"/>
  <c r="R238" i="6"/>
  <c r="P241" i="6"/>
  <c r="L143" i="6"/>
  <c r="L144" i="6"/>
  <c r="K148" i="6"/>
  <c r="H115" i="6"/>
  <c r="I115" i="6"/>
  <c r="R239" i="6"/>
  <c r="K151" i="6"/>
  <c r="G175" i="6"/>
  <c r="G114" i="6"/>
  <c r="AG422" i="6"/>
  <c r="AG425" i="6"/>
  <c r="AG427" i="6"/>
  <c r="AG429" i="6"/>
  <c r="AG431" i="6"/>
  <c r="AG433" i="6"/>
  <c r="AG435" i="6"/>
  <c r="AG437" i="6"/>
  <c r="AG439" i="6"/>
  <c r="AG441" i="6"/>
  <c r="AG443" i="6"/>
  <c r="AG448" i="6"/>
  <c r="AF451" i="6"/>
  <c r="AF458" i="6"/>
  <c r="AG463" i="6"/>
  <c r="AH186" i="6"/>
  <c r="AG193" i="6"/>
  <c r="AA368" i="6"/>
  <c r="Q380" i="6"/>
  <c r="S380" i="6" s="1"/>
  <c r="R402" i="6"/>
  <c r="AF421" i="6"/>
  <c r="AF446" i="6"/>
  <c r="AG451" i="6"/>
  <c r="AG458" i="6"/>
  <c r="AF461" i="6"/>
  <c r="AG421" i="6"/>
  <c r="AG446" i="6"/>
  <c r="AF449" i="6"/>
  <c r="AF454" i="6"/>
  <c r="AF456" i="6"/>
  <c r="AG461" i="6"/>
  <c r="AF464" i="6"/>
  <c r="AI193" i="6"/>
  <c r="Q242" i="6"/>
  <c r="AF420" i="6"/>
  <c r="AD420" i="6" s="1"/>
  <c r="AF424" i="6"/>
  <c r="AF426" i="6"/>
  <c r="AF428" i="6"/>
  <c r="AF430" i="6"/>
  <c r="AF432" i="6"/>
  <c r="AF434" i="6"/>
  <c r="AF436" i="6"/>
  <c r="AF438" i="6"/>
  <c r="AF440" i="6"/>
  <c r="AF442" i="6"/>
  <c r="AF444" i="6"/>
  <c r="AG449" i="6"/>
  <c r="AF452" i="6"/>
  <c r="AG454" i="6"/>
  <c r="AG456" i="6"/>
  <c r="AF459" i="6"/>
  <c r="AG464" i="6"/>
  <c r="AG420" i="6"/>
  <c r="AG424" i="6"/>
  <c r="AG426" i="6"/>
  <c r="AG428" i="6"/>
  <c r="AG430" i="6"/>
  <c r="AG432" i="6"/>
  <c r="AG434" i="6"/>
  <c r="AG436" i="6"/>
  <c r="AG438" i="6"/>
  <c r="AG440" i="6"/>
  <c r="AG442" i="6"/>
  <c r="AG444" i="6"/>
  <c r="AF447" i="6"/>
  <c r="AG452" i="6"/>
  <c r="AG459" i="6"/>
  <c r="AF462" i="6"/>
  <c r="AF423" i="6"/>
  <c r="AG447" i="6"/>
  <c r="AF450" i="6"/>
  <c r="AF457" i="6"/>
  <c r="AG462" i="6"/>
  <c r="AG423" i="6"/>
  <c r="AF445" i="6"/>
  <c r="AG450" i="6"/>
  <c r="AF453" i="6"/>
  <c r="AF455" i="6"/>
  <c r="AG457" i="6"/>
  <c r="AF460" i="6"/>
  <c r="AF422" i="6"/>
  <c r="AF425" i="6"/>
  <c r="AF427" i="6"/>
  <c r="AF429" i="6"/>
  <c r="AF431" i="6"/>
  <c r="AF433" i="6"/>
  <c r="AF435" i="6"/>
  <c r="AF437" i="6"/>
  <c r="AF439" i="6"/>
  <c r="AF441" i="6"/>
  <c r="AF443" i="6"/>
  <c r="AG445" i="6"/>
  <c r="AF448" i="6"/>
  <c r="AG453" i="6"/>
  <c r="AG455" i="6"/>
  <c r="AG460" i="6"/>
  <c r="AA332" i="6"/>
  <c r="AA297" i="6"/>
  <c r="AA325" i="6"/>
  <c r="AA349" i="6"/>
  <c r="AA348" i="6"/>
  <c r="AA324" i="6"/>
  <c r="AA334" i="6"/>
  <c r="AA350" i="6"/>
  <c r="AA313" i="6"/>
  <c r="AA342" i="6"/>
  <c r="AA321" i="6"/>
  <c r="AB297" i="6"/>
  <c r="AA289" i="6"/>
  <c r="AA294" i="6"/>
  <c r="AA327" i="6"/>
  <c r="AA326" i="6"/>
  <c r="AA318" i="6"/>
  <c r="AA341" i="6"/>
  <c r="AB289" i="6"/>
  <c r="AA323" i="6"/>
  <c r="AA305" i="6"/>
  <c r="AA357" i="6"/>
  <c r="AB286" i="6"/>
  <c r="AB310" i="6"/>
  <c r="AB302" i="6"/>
  <c r="AA302" i="6"/>
  <c r="AA322" i="6"/>
  <c r="AB318" i="6"/>
  <c r="AA310" i="6"/>
  <c r="AA356" i="6"/>
  <c r="AB294" i="6"/>
  <c r="AA340" i="6"/>
  <c r="AA286" i="6"/>
  <c r="AD425" i="6" l="1"/>
  <c r="AD430" i="6" s="1"/>
  <c r="AD435" i="6" s="1"/>
  <c r="AD440" i="6" s="1"/>
  <c r="AD445" i="6" s="1"/>
  <c r="AD450" i="6" s="1"/>
  <c r="AD455" i="6" s="1"/>
  <c r="AD460" i="6" s="1"/>
  <c r="AD421" i="6"/>
  <c r="M252" i="6"/>
  <c r="M248" i="6"/>
  <c r="M250" i="6"/>
  <c r="M249" i="6"/>
  <c r="M251" i="6"/>
  <c r="M247" i="6"/>
  <c r="B4" i="3"/>
  <c r="C2" i="8"/>
  <c r="G3" i="4"/>
  <c r="I3" i="4"/>
  <c r="E4" i="4" a="1"/>
  <c r="E4" i="4" s="1"/>
  <c r="B2" i="8" l="1"/>
  <c r="AD422" i="6"/>
  <c r="AD426" i="6"/>
  <c r="AD431" i="6" s="1"/>
  <c r="AD436" i="6" s="1"/>
  <c r="AD441" i="6" s="1"/>
  <c r="AD446" i="6" s="1"/>
  <c r="AD451" i="6" s="1"/>
  <c r="AD456" i="6" s="1"/>
  <c r="AD461" i="6" s="1"/>
  <c r="I4" i="4"/>
  <c r="G4" i="4"/>
  <c r="E5" i="4" a="1"/>
  <c r="E5" i="4" s="1"/>
  <c r="E6" i="4" s="1" a="1"/>
  <c r="E6" i="4" s="1"/>
  <c r="F156" i="7"/>
  <c r="F164" i="7"/>
  <c r="G164" i="7" s="1"/>
  <c r="F162" i="7"/>
  <c r="G162" i="7" s="1"/>
  <c r="G93" i="7"/>
  <c r="F93" i="7"/>
  <c r="G156" i="7"/>
  <c r="E7" i="4" l="1" a="1"/>
  <c r="E7" i="4" s="1"/>
  <c r="E8" i="4" s="1" a="1"/>
  <c r="E8" i="4" s="1"/>
  <c r="G6" i="4"/>
  <c r="I6" i="4"/>
  <c r="G5" i="4"/>
  <c r="I5" i="4"/>
  <c r="AD427" i="6"/>
  <c r="AD432" i="6" s="1"/>
  <c r="AD437" i="6" s="1"/>
  <c r="AD442" i="6" s="1"/>
  <c r="AD447" i="6" s="1"/>
  <c r="AD452" i="6" s="1"/>
  <c r="AD457" i="6" s="1"/>
  <c r="AD462" i="6" s="1"/>
  <c r="AD423" i="6"/>
  <c r="B1" i="8" l="1"/>
  <c r="G7" i="4"/>
  <c r="I7" i="4"/>
  <c r="G8" i="4"/>
  <c r="I8" i="4"/>
  <c r="C1" i="8"/>
  <c r="AD428" i="6"/>
  <c r="AD433" i="6" s="1"/>
  <c r="AD438" i="6" s="1"/>
  <c r="AD443" i="6" s="1"/>
  <c r="AD448" i="6" s="1"/>
  <c r="AD453" i="6" s="1"/>
  <c r="AD458" i="6" s="1"/>
  <c r="AD463" i="6" s="1"/>
  <c r="AD424" i="6"/>
  <c r="AD429" i="6" s="1"/>
  <c r="AD434" i="6" s="1"/>
  <c r="AD439" i="6" s="1"/>
  <c r="AD444" i="6" s="1"/>
  <c r="AD449" i="6" s="1"/>
  <c r="AD454" i="6" s="1"/>
  <c r="AD459" i="6" s="1"/>
  <c r="AD464" i="6" s="1"/>
  <c r="E9" i="4" a="1"/>
  <c r="E9" i="4" s="1"/>
  <c r="G9" i="4" l="1"/>
  <c r="I9" i="4"/>
  <c r="E10" i="4" a="1"/>
  <c r="E10" i="4" s="1"/>
  <c r="I10" i="4" l="1"/>
  <c r="G10" i="4"/>
  <c r="E11" i="4" a="1"/>
  <c r="E11" i="4" s="1"/>
  <c r="G11" i="4" l="1"/>
  <c r="I11" i="4"/>
  <c r="E12" i="4" a="1"/>
  <c r="E12" i="4" s="1"/>
  <c r="I12" i="4" l="1"/>
  <c r="G12" i="4"/>
  <c r="E13" i="4" a="1"/>
  <c r="E13" i="4" s="1"/>
  <c r="G13" i="4" l="1"/>
  <c r="I13" i="4"/>
  <c r="E14" i="4" a="1"/>
  <c r="E14" i="4" s="1"/>
  <c r="E15" i="4" s="1" a="1"/>
  <c r="E15" i="4" s="1"/>
  <c r="I14" i="4" l="1"/>
  <c r="G14" i="4"/>
  <c r="G15" i="4" l="1"/>
  <c r="I15" i="4"/>
  <c r="E16" i="4" a="1"/>
  <c r="E16" i="4" s="1"/>
  <c r="I16" i="4" l="1"/>
  <c r="G16" i="4"/>
  <c r="E17" i="4" a="1"/>
  <c r="E17" i="4" s="1"/>
  <c r="G17" i="4" l="1"/>
  <c r="I17" i="4"/>
  <c r="E18" i="4" a="1"/>
  <c r="E18" i="4" s="1"/>
  <c r="G18" i="4" l="1"/>
  <c r="I18" i="4"/>
  <c r="E19" i="4" a="1"/>
  <c r="E19" i="4" s="1"/>
  <c r="E20" i="4" s="1" a="1"/>
  <c r="E20" i="4" s="1"/>
  <c r="G19" i="4" l="1"/>
  <c r="I19" i="4"/>
  <c r="I20" i="4" l="1"/>
  <c r="G20" i="4"/>
  <c r="E21" i="4" a="1"/>
  <c r="E21" i="4" s="1"/>
  <c r="G21" i="4" l="1"/>
  <c r="I21" i="4"/>
  <c r="E22" i="4" a="1"/>
  <c r="E22" i="4" s="1"/>
  <c r="I22" i="4" l="1"/>
  <c r="G22" i="4"/>
  <c r="E23" i="4" a="1"/>
  <c r="E23" i="4" s="1"/>
  <c r="G23" i="4" l="1"/>
  <c r="I23" i="4"/>
  <c r="E24" i="4" a="1"/>
  <c r="E24" i="4" s="1"/>
  <c r="I24" i="4" l="1"/>
  <c r="G24" i="4"/>
  <c r="E25" i="4" a="1"/>
  <c r="E25" i="4" s="1"/>
  <c r="G25" i="4" l="1"/>
  <c r="I25" i="4"/>
  <c r="E26" i="4" a="1"/>
  <c r="E26" i="4" s="1"/>
  <c r="I26" i="4" l="1"/>
  <c r="G26" i="4"/>
  <c r="E27" i="4" a="1"/>
  <c r="E27" i="4" s="1"/>
  <c r="G27" i="4" l="1"/>
  <c r="I27" i="4"/>
  <c r="E28" i="4" a="1"/>
  <c r="E28" i="4" s="1"/>
  <c r="I28" i="4" l="1"/>
  <c r="G28" i="4"/>
  <c r="E29" i="4" a="1"/>
  <c r="E29" i="4" s="1"/>
  <c r="E30" i="4" s="1" a="1"/>
  <c r="E30" i="4" s="1"/>
  <c r="G30" i="4" l="1"/>
  <c r="I30" i="4"/>
  <c r="E31" i="4" a="1"/>
  <c r="E31" i="4" s="1"/>
  <c r="G29" i="4"/>
  <c r="I29" i="4"/>
  <c r="G31" i="4" l="1"/>
  <c r="I31" i="4"/>
  <c r="E32" i="4" a="1"/>
  <c r="E32" i="4" s="1"/>
  <c r="EY1361" i="1"/>
  <c r="EY1360" i="1"/>
  <c r="EY1358" i="1"/>
  <c r="EY1362" i="1"/>
  <c r="EY1359" i="1"/>
  <c r="I32" i="4" l="1"/>
  <c r="G32" i="4"/>
  <c r="E33" i="4" a="1"/>
  <c r="E33" i="4" s="1"/>
  <c r="EY1004" i="1"/>
  <c r="EY1003" i="1"/>
  <c r="EY1002" i="1"/>
  <c r="EY228" i="1"/>
  <c r="EY1335" i="1"/>
  <c r="EY1336" i="1"/>
  <c r="EY861" i="1"/>
  <c r="EY1333" i="1"/>
  <c r="EY1334" i="1"/>
  <c r="EY1570" i="1"/>
  <c r="EY1363" i="1"/>
  <c r="EY862" i="1"/>
  <c r="G33" i="4" l="1"/>
  <c r="I33" i="4"/>
  <c r="E34" i="4" a="1"/>
  <c r="E34" i="4" s="1"/>
  <c r="G34" i="4" l="1"/>
  <c r="I34" i="4"/>
  <c r="E35" i="4" a="1"/>
  <c r="E35" i="4" s="1"/>
  <c r="E36" i="4" l="1" a="1"/>
  <c r="E36" i="4" s="1"/>
  <c r="G35" i="4"/>
  <c r="I35" i="4"/>
  <c r="I36" i="4" l="1"/>
  <c r="G36" i="4"/>
  <c r="E37" i="4" a="1"/>
  <c r="E37" i="4" s="1"/>
  <c r="E38" i="4" l="1" a="1"/>
  <c r="E38" i="4" s="1"/>
  <c r="I37" i="4"/>
  <c r="G37" i="4"/>
  <c r="E39" i="4" l="1" a="1"/>
  <c r="E39" i="4" s="1"/>
  <c r="G38" i="4"/>
  <c r="I38" i="4"/>
  <c r="E40" i="4" l="1" a="1"/>
  <c r="E40" i="4" s="1"/>
  <c r="G39" i="4"/>
  <c r="I39" i="4"/>
  <c r="E41" i="4" l="1" a="1"/>
  <c r="E41" i="4" s="1"/>
  <c r="I40" i="4"/>
  <c r="G40" i="4"/>
  <c r="E42" i="4" l="1" a="1"/>
  <c r="E42" i="4" s="1"/>
  <c r="G41" i="4"/>
  <c r="I41" i="4"/>
  <c r="E43" i="4" l="1" a="1"/>
  <c r="E43" i="4" s="1"/>
  <c r="G42" i="4"/>
  <c r="I42" i="4"/>
  <c r="E44" i="4" l="1" a="1"/>
  <c r="E44" i="4" s="1"/>
  <c r="G43" i="4"/>
  <c r="I43" i="4"/>
  <c r="E45" i="4" l="1" a="1"/>
  <c r="E45" i="4" s="1"/>
  <c r="E46" i="4" s="1" a="1"/>
  <c r="E46" i="4" s="1"/>
  <c r="G44" i="4"/>
  <c r="I4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tc={003E00CD-00AE-4422-B5D5-00BF00E10024}</author>
    <author>tc={006C007C-002F-4F20-B8B1-006E00A600AE}</author>
    <author>tc={00CC003E-006B-456E-AD65-001D00CB003C}</author>
    <author>tc={00AF00D7-00AF-449C-A506-0087004900B8}</author>
    <author>tc={009300DF-00F0-4BE1-A6B8-004D00C10054}</author>
    <author>tc={00310097-00E0-42B6-8ECE-003C004300F3}</author>
    <author>tc={007D004A-00C0-4FC5-A256-0094008E002B}</author>
    <author>tc={00D40055-0009-4680-9336-003100D1000A}</author>
    <author>tc={00230028-0053-42FB-BDAD-001D008200CB}</author>
    <author>tc={00B500A3-001F-4CD5-81DB-00EA00A50012}</author>
    <author>tc={00B900A3-0072-4DEA-9694-0064000200B2}</author>
    <author>tc={0075002C-0036-46A9-8935-00F7004B007B}</author>
    <author>tc={00C9003F-005E-40E7-B232-00A8000900CF}</author>
    <author>tc={002A00F8-00EE-440B-BECB-00FB00B700F1}</author>
    <author>tc={0092000D-0020-4C1B-BA18-005400750047}</author>
    <author>tc={008600F3-0054-4A80-A7EC-0089001C001D}</author>
    <author>tc={00610090-003F-472A-83D8-0020006F001E}</author>
    <author>tc={00220046-000C-46DB-B26D-00F3003100C2}</author>
    <author>tc={00D8002E-00D5-44BB-9723-00C8009B0081}</author>
    <author>tc={006700B6-007E-4F2B-A3BA-00CF008B0064}</author>
    <author>tc={001A00E9-0080-4657-AFCA-00F00018005E}</author>
    <author>tc={006900AF-00A0-4BE8-8FD5-005A00DC00B1}</author>
    <author>tc={003E00CE-0033-474C-AD6B-00050077003B}</author>
    <author>tc={00160020-00A7-47B8-8D92-00AF00C900EA}</author>
    <author>tc={00420031-0088-4391-B9DE-009E001000BF}</author>
    <author>tc={00060019-00AA-427D-B9D8-00A100830036}</author>
    <author>tc={0086003F-00DE-4493-A3CC-00FE00A200CA}</author>
    <author>tc={00870009-00FA-465B-9042-0063007B0021}</author>
    <author>tc={006800CB-00A6-4E5E-90CA-005C009D0089}</author>
    <author>tc={00D000CB-0064-4306-8F25-000E00FD0077}</author>
    <author>tc={00C9001F-00BB-43A8-BA7B-007C00CA0006}</author>
    <author>chaste</author>
    <author>tc={00DE0036-0060-421B-8E4B-00E500630047}</author>
    <author>tc={00270063-00AA-4C40-B979-000800430066}</author>
    <author>tc={00AC0038-00B8-45C0-BBCC-00AF0097006C}</author>
    <author>tc={00DD0084-00A9-4338-AA26-004000E4002E}</author>
    <author>tc={007B00A0-002F-43CD-9B94-007100A60047}</author>
    <author>tc={00C40065-0007-457C-AB2B-009800900003}</author>
    <author>tc={00110064-0039-4EAB-80D9-0003004B006A}</author>
  </authors>
  <commentList>
    <comment ref="EE7" authorId="0" shapeId="0" xr:uid="{003E00CD-00AE-4422-B5D5-00BF00E10024}">
      <text>
        <r>
          <rPr>
            <b/>
            <sz val="9"/>
            <color rgb="FF000000"/>
            <rFont val="Tahoma"/>
            <family val="2"/>
          </rPr>
          <t>Microsoft Office User:</t>
        </r>
        <r>
          <rPr>
            <sz val="9"/>
            <color rgb="FF000000"/>
            <rFont val="Tahoma"/>
            <family val="2"/>
          </rPr>
          <t xml:space="preserve">
</t>
        </r>
        <r>
          <rPr>
            <sz val="9"/>
            <color rgb="FF000000"/>
            <rFont val="Tahoma"/>
            <family val="2"/>
          </rPr>
          <t xml:space="preserve">ie : C-neutrality of wood assumed = 0, C-emissions of wood at eol accounted = 1
</t>
        </r>
        <r>
          <rPr>
            <sz val="9"/>
            <color rgb="FF000000"/>
            <rFont val="Tahoma"/>
            <family val="2"/>
          </rPr>
          <t xml:space="preserve">
</t>
        </r>
      </text>
    </comment>
    <comment ref="EF7" authorId="1" shapeId="0" xr:uid="{006C007C-002F-4F20-B8B1-006E00A600AE}">
      <text>
        <r>
          <rPr>
            <b/>
            <sz val="9"/>
            <color rgb="FF000000"/>
            <rFont val="Tahoma"/>
            <family val="2"/>
          </rPr>
          <t>Microsoft Office User:</t>
        </r>
        <r>
          <rPr>
            <sz val="9"/>
            <color rgb="FF000000"/>
            <rFont val="Tahoma"/>
            <family val="2"/>
          </rPr>
          <t xml:space="preserve">
</t>
        </r>
        <r>
          <rPr>
            <sz val="9"/>
            <color rgb="FF000000"/>
            <rFont val="Tahoma"/>
            <family val="2"/>
          </rPr>
          <t xml:space="preserve">accounts for avoided emissions,wood reuseor recycling outside of the lifetime of the product itself
</t>
        </r>
        <r>
          <rPr>
            <sz val="9"/>
            <color rgb="FF000000"/>
            <rFont val="Tahoma"/>
            <family val="2"/>
          </rPr>
          <t xml:space="preserve">
</t>
        </r>
      </text>
    </comment>
    <comment ref="EG7" authorId="2" shapeId="0" xr:uid="{00CC003E-006B-456E-AD65-001D00CB003C}">
      <text>
        <r>
          <rPr>
            <b/>
            <sz val="9"/>
            <color rgb="FF000000"/>
            <rFont val="Tahoma"/>
            <family val="2"/>
          </rPr>
          <t>Microsoft Office User:</t>
        </r>
        <r>
          <rPr>
            <sz val="9"/>
            <color rgb="FF000000"/>
            <rFont val="Tahoma"/>
            <family val="2"/>
          </rPr>
          <t xml:space="preserve">
</t>
        </r>
        <r>
          <rPr>
            <sz val="9"/>
            <color rgb="FF000000"/>
            <rFont val="Tahoma"/>
            <family val="2"/>
          </rPr>
          <t xml:space="preserve">may be accounted for through the use of a displacement factor
</t>
        </r>
        <r>
          <rPr>
            <sz val="9"/>
            <color rgb="FF000000"/>
            <rFont val="Tahoma"/>
            <family val="2"/>
          </rPr>
          <t xml:space="preserve">
</t>
        </r>
      </text>
    </comment>
    <comment ref="EA92" authorId="3" shapeId="0" xr:uid="{F718EB6C-E7B4-B34B-B3C9-E35B4EEF29E2}">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
        </r>
      </text>
    </comment>
    <comment ref="EB92" authorId="4" shapeId="0" xr:uid="{2E2AE627-3AEB-9642-AD8F-157853F379D3}">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page 4: 
Logging residue supply curves are based on regional supply curve functions estimated using the spatial allocation optimization routine described in Baker et al. (2018).
</t>
        </r>
      </text>
    </comment>
    <comment ref="EC92" authorId="5" shapeId="0" xr:uid="{64319D15-4B74-2F40-9A3B-23348EAB12C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reflecting of hauling forest biomass from plot to final demand point post-harvest.
</t>
        </r>
      </text>
    </comment>
    <comment ref="ED92" authorId="6" shapeId="0" xr:uid="{DC9B3706-C053-B247-8072-A4CF66C05D7E}">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Je ne suis pas sûre
</t>
        </r>
      </text>
    </comment>
    <comment ref="EG92" authorId="7" shapeId="0" xr:uid="{974E9578-17F8-5D4C-87AB-ED4C98E53F33}">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Change on domestic demand
</t>
        </r>
      </text>
    </comment>
    <comment ref="DQ93" authorId="8" shapeId="0" xr:uid="{0F865AF2-9252-4A4C-A7F1-F334D021D283}">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
        </r>
      </text>
    </comment>
    <comment ref="DR93" authorId="9" shapeId="0" xr:uid="{1FE4D9A1-E891-4F44-82D8-F001A519F555}">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page 4: 
Logging residue supply curves are based on regional supply curve functions estimated using the spatial allocation optimization routine described in Baker et al. (2018).
</t>
        </r>
      </text>
    </comment>
    <comment ref="DS93" authorId="10" shapeId="0" xr:uid="{467C89ED-02B2-4F43-97B9-215DA61F9F7A}">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reflecting of hauling forest biomass from plot to final demand point post-harvest.
</t>
        </r>
      </text>
    </comment>
    <comment ref="EG93" authorId="11" shapeId="0" xr:uid="{EC3F197C-1D80-A546-A4D2-D0384C0C03E8}">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Change on domestic demand
</t>
        </r>
      </text>
    </comment>
    <comment ref="EG94" authorId="12" shapeId="0" xr:uid="{2200AFEB-BF77-5640-A285-B0D954FA7F3C}">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Change on domestic demand
</t>
        </r>
      </text>
    </comment>
    <comment ref="AA95" authorId="13" shapeId="0" xr:uid="{E84B2DBD-52B9-504F-B2DD-1DA09A0064A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Change on domestic demand
</t>
        </r>
      </text>
    </comment>
    <comment ref="EA95" authorId="14" shapeId="0" xr:uid="{41945BA9-3E1F-B949-998B-CC3EA6ED56C2}">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
        </r>
      </text>
    </comment>
    <comment ref="EB95" authorId="15" shapeId="0" xr:uid="{639E034C-CA48-414B-A1FA-E301ACECF0E2}">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page 4: 
Logging residue supply curves are based on regional supply curve functions estimated using the spatial allocation optimization routine described in Baker et al. (2018).
</t>
        </r>
      </text>
    </comment>
    <comment ref="EC95" authorId="16" shapeId="0" xr:uid="{6AF41656-48C6-4542-8DEC-B6307F95EC39}">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reflecting of hauling forest biomass from plot to final demand point post-harvest.
</t>
        </r>
      </text>
    </comment>
    <comment ref="ED95" authorId="17" shapeId="0" xr:uid="{8E72354E-ADDD-A04F-B286-B0B48ADA4417}">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Je ne suis pas sûre
</t>
        </r>
      </text>
    </comment>
    <comment ref="EH95" authorId="18" shapeId="0" xr:uid="{F6E68B72-C645-334A-9EEB-6F9E253DBF8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We aggregated spatially explicit (FIA plot-level) data from the LURA model to the 11 FASOMGHG regions, and then incorporated an objective function component that maximizes the present value of producer and consumer surplus over the simulation horizon, incorporating both price endogenous revenue and detailed cost components (including harvest, management, transportation, processing, land transfer, and fixed capital costs in each period). Forest product demand and export demand are based on exogenous demand growth assumptions tied to income growth
</t>
        </r>
      </text>
    </comment>
    <comment ref="AA96" authorId="19" shapeId="0" xr:uid="{43EEE2DF-4D4C-984C-A638-09FAB6ACD08C}">
      <text>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Change on domestic demand
</t>
        </r>
        <r>
          <rPr>
            <sz val="12"/>
            <color rgb="FF000000"/>
            <rFont val="Calibri"/>
            <family val="2"/>
          </rPr>
          <t xml:space="preserve">
</t>
        </r>
      </text>
    </comment>
    <comment ref="EA96" authorId="20" shapeId="0" xr:uid="{16DB65F4-3006-6446-BDC0-81A6930EEFDC}">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
        </r>
      </text>
    </comment>
    <comment ref="EB96" authorId="21" shapeId="0" xr:uid="{6D194F2E-3375-E748-ABFD-DCE4D429663B}">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page 4: 
Logging residue supply curves are based on regional supply curve functions estimated using the spatial allocation optimization routine described in Baker et al. (2018).
</t>
        </r>
      </text>
    </comment>
    <comment ref="EC96" authorId="22" shapeId="0" xr:uid="{607D2338-3200-6A40-BB44-68203F1068B2}">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reflecting of hauling forest biomass from plot to final demand point post-harvest.
</t>
        </r>
      </text>
    </comment>
    <comment ref="ED96" authorId="23" shapeId="0" xr:uid="{A0F45041-B503-484D-AB27-30206FA1B256}">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Je ne suis pas sûre
</t>
        </r>
      </text>
    </comment>
    <comment ref="EH96" authorId="24" shapeId="0" xr:uid="{34499F9E-7DDD-8D49-8BE1-FB56EEE8913D}">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We aggregated spatially explicit (FIA plot-level) data from the LURA model to the 11 FASOMGHG regions, and then incorporated an objective function component that maximizes the present value of producer and consumer surplus over the simulation horizon, incorporating both price endogenous revenue and detailed cost components (including harvest, management, transportation, processing, land transfer, and fixed capital costs in each period). Forest product demand and export demand are based on exogenous demand growth assumptions tied to income growth
</t>
        </r>
      </text>
    </comment>
    <comment ref="AA97" authorId="25" shapeId="0" xr:uid="{96210DFB-9397-994B-8D93-5C94AA415278}">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Change on domestic demand
</t>
        </r>
      </text>
    </comment>
    <comment ref="EA97" authorId="26" shapeId="0" xr:uid="{DBB60EE3-7D5F-2041-92BE-4771D57F6332}">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
        </r>
      </text>
    </comment>
    <comment ref="EB97" authorId="27" shapeId="0" xr:uid="{2FB3E104-7AAD-EF43-80EE-5826843F27C3}">
      <text>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page 4: 
</t>
        </r>
        <r>
          <rPr>
            <sz val="12"/>
            <color rgb="FF000000"/>
            <rFont val="Calibri"/>
            <family val="2"/>
          </rPr>
          <t xml:space="preserve">Logging residue supply curves are based on regional supply curve functions estimated using the spatial allocation optimization routine described in Baker et al. (2018).
</t>
        </r>
      </text>
    </comment>
    <comment ref="EC97" authorId="28" shapeId="0" xr:uid="{5EB8AFBB-29CD-F047-BF5B-1908B619E65D}">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reflecting of hauling forest biomass from plot to final demand point post-harvest.
</t>
        </r>
      </text>
    </comment>
    <comment ref="ED97" authorId="29" shapeId="0" xr:uid="{7C1D5A00-A473-B142-8F2A-5ADE930E8527}">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Je ne suis pas sûre
</t>
        </r>
      </text>
    </comment>
    <comment ref="EH97" authorId="30" shapeId="0" xr:uid="{689C74F9-8834-E147-B4B0-DDEE6B372FB6}">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We aggregated spatially explicit (FIA plot-level) data from the LURA model to the 11 FASOMGHG regions, and then incorporated an objective function component that maximizes the present value of producer and consumer surplus over the simulation horizon, incorporating both price endogenous revenue and detailed cost components (including harvest, management, transportation, processing, land transfer, and fixed capital costs in each period). Forest product demand and export demand are based on exogenous demand growth assumptions tied to income growth
</t>
        </r>
      </text>
    </comment>
    <comment ref="EC263" authorId="31" shapeId="0" xr:uid="{0F6171C5-347C-F84B-8F47-2AC118ADB7AF}">
      <text>
        <r>
          <rPr>
            <b/>
            <sz val="9"/>
            <color indexed="81"/>
            <rFont val="Tahoma"/>
            <family val="2"/>
          </rPr>
          <t>chaste:</t>
        </r>
        <r>
          <rPr>
            <sz val="9"/>
            <color indexed="81"/>
            <rFont val="Tahoma"/>
            <family val="2"/>
          </rPr>
          <t xml:space="preserve">
Juste aboveground
</t>
        </r>
      </text>
    </comment>
    <comment ref="X264" authorId="31" shapeId="0" xr:uid="{094E432B-4279-EE41-8132-4D56BBB5E2F6}">
      <text>
        <r>
          <rPr>
            <b/>
            <sz val="9"/>
            <color indexed="81"/>
            <rFont val="Tahoma"/>
            <family val="2"/>
          </rPr>
          <t>chaste:</t>
        </r>
        <r>
          <rPr>
            <sz val="9"/>
            <color indexed="81"/>
            <rFont val="Tahoma"/>
            <family val="2"/>
          </rPr>
          <t xml:space="preserve">
J'ai mis oui ici car entre </t>
        </r>
      </text>
    </comment>
    <comment ref="EC264" authorId="31" shapeId="0" xr:uid="{A90F69F3-4736-9E4D-9FC1-EB2960DBEA22}">
      <text>
        <r>
          <rPr>
            <b/>
            <sz val="9"/>
            <color indexed="81"/>
            <rFont val="Tahoma"/>
            <family val="2"/>
          </rPr>
          <t>chaste:</t>
        </r>
        <r>
          <rPr>
            <sz val="9"/>
            <color indexed="81"/>
            <rFont val="Tahoma"/>
            <family val="2"/>
          </rPr>
          <t xml:space="preserve">
Juste aboveground
</t>
        </r>
      </text>
    </comment>
    <comment ref="EC265" authorId="31" shapeId="0" xr:uid="{BDE62D52-9738-224D-BE63-B46449FAD4AB}">
      <text>
        <r>
          <rPr>
            <b/>
            <sz val="9"/>
            <color indexed="81"/>
            <rFont val="Tahoma"/>
            <family val="2"/>
          </rPr>
          <t>chaste:</t>
        </r>
        <r>
          <rPr>
            <sz val="9"/>
            <color indexed="81"/>
            <rFont val="Tahoma"/>
            <family val="2"/>
          </rPr>
          <t xml:space="preserve">
Juste aboveground
</t>
        </r>
      </text>
    </comment>
    <comment ref="EC266" authorId="31" shapeId="0" xr:uid="{0D793A3D-65F8-2B4B-8B4E-DD5F90260139}">
      <text>
        <r>
          <rPr>
            <b/>
            <sz val="9"/>
            <color indexed="81"/>
            <rFont val="Tahoma"/>
            <family val="2"/>
          </rPr>
          <t>chaste:</t>
        </r>
        <r>
          <rPr>
            <sz val="9"/>
            <color indexed="81"/>
            <rFont val="Tahoma"/>
            <family val="2"/>
          </rPr>
          <t xml:space="preserve">
Juste aboveground
</t>
        </r>
      </text>
    </comment>
    <comment ref="X267" authorId="31" shapeId="0" xr:uid="{2BAA0295-E32B-0B49-815B-676787AB5DE4}">
      <text>
        <r>
          <rPr>
            <b/>
            <sz val="9"/>
            <color indexed="81"/>
            <rFont val="Tahoma"/>
            <family val="2"/>
          </rPr>
          <t>chaste:</t>
        </r>
        <r>
          <rPr>
            <sz val="9"/>
            <color indexed="81"/>
            <rFont val="Tahoma"/>
            <family val="2"/>
          </rPr>
          <t xml:space="preserve">
j'ai mis oui dans ce cas là car entre les deux pays ce qui change c'est les importations de bois et donc ce qui est extrait sur place
</t>
        </r>
      </text>
    </comment>
    <comment ref="EC267" authorId="31" shapeId="0" xr:uid="{9EDE7275-374A-3E43-B5DB-5F2E45E4739A}">
      <text>
        <r>
          <rPr>
            <b/>
            <sz val="9"/>
            <color rgb="FF000000"/>
            <rFont val="Tahoma"/>
            <family val="2"/>
          </rPr>
          <t>chaste:</t>
        </r>
        <r>
          <rPr>
            <sz val="9"/>
            <color rgb="FF000000"/>
            <rFont val="Tahoma"/>
            <family val="2"/>
          </rPr>
          <t xml:space="preserve">
</t>
        </r>
        <r>
          <rPr>
            <sz val="9"/>
            <color rgb="FF000000"/>
            <rFont val="Tahoma"/>
            <family val="2"/>
          </rPr>
          <t xml:space="preserve">Juste aboveground
</t>
        </r>
      </text>
    </comment>
    <comment ref="EC268" authorId="31" shapeId="0" xr:uid="{14ADC146-299B-0B42-A219-3302F84F2C0C}">
      <text>
        <r>
          <rPr>
            <b/>
            <sz val="9"/>
            <color indexed="81"/>
            <rFont val="Tahoma"/>
            <family val="2"/>
          </rPr>
          <t>chaste:</t>
        </r>
        <r>
          <rPr>
            <sz val="9"/>
            <color indexed="81"/>
            <rFont val="Tahoma"/>
            <family val="2"/>
          </rPr>
          <t xml:space="preserve">
Juste aboveground
</t>
        </r>
      </text>
    </comment>
    <comment ref="EC269" authorId="31" shapeId="0" xr:uid="{CAD0DF23-021E-BA42-888D-F5B0488988D4}">
      <text>
        <r>
          <rPr>
            <b/>
            <sz val="9"/>
            <color indexed="81"/>
            <rFont val="Tahoma"/>
            <family val="2"/>
          </rPr>
          <t>chaste:</t>
        </r>
        <r>
          <rPr>
            <sz val="9"/>
            <color indexed="81"/>
            <rFont val="Tahoma"/>
            <family val="2"/>
          </rPr>
          <t xml:space="preserve">
Juste aboveground
</t>
        </r>
      </text>
    </comment>
    <comment ref="EC270" authorId="31" shapeId="0" xr:uid="{9B0A3C64-F041-0C43-95A4-38CCC5BEC1D0}">
      <text>
        <r>
          <rPr>
            <b/>
            <sz val="9"/>
            <color indexed="81"/>
            <rFont val="Tahoma"/>
            <family val="2"/>
          </rPr>
          <t>chaste:</t>
        </r>
        <r>
          <rPr>
            <sz val="9"/>
            <color indexed="81"/>
            <rFont val="Tahoma"/>
            <family val="2"/>
          </rPr>
          <t xml:space="preserve">
Juste aboveground
</t>
        </r>
      </text>
    </comment>
    <comment ref="DI615" authorId="32" shapeId="0" xr:uid="{F1BE51CB-DF14-7A47-8296-589098C9936C}">
      <text>
        <r>
          <rPr>
            <b/>
            <sz val="9"/>
            <rFont val="Tahoma"/>
            <family val="2"/>
          </rPr>
          <t>chaste:</t>
        </r>
        <r>
          <rPr>
            <sz val="9"/>
            <rFont val="Tahoma"/>
            <family val="2"/>
          </rPr>
          <t xml:space="preserve">
Il y a aussi un scenario "Upstream" dont les données émissions sont disponibles mais pas les données Qwood. Fait-on la somme des autres Qwood? 
</t>
        </r>
      </text>
    </comment>
    <comment ref="DT615" authorId="33" shapeId="0" xr:uid="{B951225B-3E3B-414C-9A71-31F3F2495F47}">
      <text>
        <r>
          <rPr>
            <b/>
            <sz val="9"/>
            <rFont val="Tahoma"/>
            <family val="2"/>
          </rPr>
          <t>chaste:</t>
        </r>
        <r>
          <rPr>
            <sz val="9"/>
            <rFont val="Tahoma"/>
            <family val="2"/>
          </rPr>
          <t xml:space="preserve">
They evaluated reductions in carbon emissions by substituting wood for fossil fuels for energy production = scenario "heavy oil". See page 8 of the document: 
"We evaluated reductions in carbon emissions by substituting wood for fossil fuels for energy production. Assuming the displacement of heavy oil, we calculated the substitution amounts (L) of heavy oil by multiplying the energy use amounts (m3) of logging residues; wood residues from processing, construction, and furniture production; and waste wood after use in building and furniture by the specific gravity in absolute dry condition (t/m3) (see Table S-1) and the calorific value of wood (GJ/t) (Kayo et al., 2011). We then divided that product by the calorific value of heavy oil (GJ/L) (Kayo et al.,2011). We estimated reductions of carbon emissions (tC) from heavy oil consumption by multiplying the displaced amounts (L) of heavy oil by the carbon emission intensity (tC/L) for the combustion of heavy oil (Kayo et al., 2011)."
But this scenario is not well explicited in the document with explicit values so this requires some calculations. I put values for this substitution evaluated in the Onglet "Kayo_2014", lines 23 and 45 extracted from Figure 4 and 5.
</t>
        </r>
      </text>
    </comment>
    <comment ref="AH631" authorId="34" shapeId="0" xr:uid="{350B7A52-B56D-8D4E-97EF-5B8F18ABFC4B}">
      <text>
        <r>
          <rPr>
            <b/>
            <sz val="9"/>
            <color rgb="FF000000"/>
            <rFont val="Tahoma"/>
            <family val="2"/>
          </rPr>
          <t>Microsoft Office User:</t>
        </r>
        <r>
          <rPr>
            <sz val="9"/>
            <color rgb="FF000000"/>
            <rFont val="Tahoma"/>
            <family val="2"/>
          </rPr>
          <t xml:space="preserve">
</t>
        </r>
        <r>
          <rPr>
            <sz val="9"/>
            <color rgb="FF000000"/>
            <rFont val="Tahoma"/>
            <family val="2"/>
          </rPr>
          <t xml:space="preserve">to be listed as a secondary driver
</t>
        </r>
      </text>
    </comment>
    <comment ref="AH632" authorId="35" shapeId="0" xr:uid="{FB54EBFB-FB18-8E42-9E29-841BB5EB63AE}">
      <text>
        <r>
          <rPr>
            <b/>
            <sz val="9"/>
            <color rgb="FF000000"/>
            <rFont val="Tahoma"/>
            <family val="2"/>
          </rPr>
          <t>Microsoft Office User:</t>
        </r>
        <r>
          <rPr>
            <sz val="9"/>
            <color rgb="FF000000"/>
            <rFont val="Tahoma"/>
            <family val="2"/>
          </rPr>
          <t xml:space="preserve">
</t>
        </r>
        <r>
          <rPr>
            <sz val="9"/>
            <color rgb="FF000000"/>
            <rFont val="Tahoma"/>
            <family val="2"/>
          </rPr>
          <t xml:space="preserve">to be listed as a secondary driver
</t>
        </r>
      </text>
    </comment>
    <comment ref="M1143" authorId="31" shapeId="0" xr:uid="{3D2F01C2-3A74-5548-8662-3DC518023CA0}">
      <text>
        <r>
          <rPr>
            <b/>
            <sz val="9"/>
            <color indexed="81"/>
            <rFont val="Tahoma"/>
            <family val="2"/>
          </rPr>
          <t>chaste:</t>
        </r>
        <r>
          <rPr>
            <sz val="9"/>
            <color indexed="81"/>
            <rFont val="Tahoma"/>
            <family val="2"/>
          </rPr>
          <t xml:space="preserve">
Hart et al. 2021
</t>
        </r>
      </text>
    </comment>
    <comment ref="AF1158" authorId="36" shapeId="0" xr:uid="{4A04E53A-4C0F-E348-98F2-440C0D199632}">
      <text>
        <r>
          <rPr>
            <b/>
            <sz val="9"/>
            <color rgb="FF000000"/>
            <rFont val="Tahoma"/>
            <family val="2"/>
          </rPr>
          <t>chaste:</t>
        </r>
        <r>
          <rPr>
            <sz val="9"/>
            <color rgb="FF000000"/>
            <rFont val="Tahoma"/>
            <family val="2"/>
          </rPr>
          <t xml:space="preserve">
</t>
        </r>
        <r>
          <rPr>
            <sz val="9"/>
            <color rgb="FF000000"/>
            <rFont val="Tahoma"/>
            <family val="2"/>
          </rPr>
          <t xml:space="preserve">Il y a un scenario de machine manuelle et machine motorisée mais il n'y a pas les résultats pour les deux (partie 2.2.2). C'est un scénario mixte alors je ne sais pas si je dois l'indiquer. 
</t>
        </r>
      </text>
    </comment>
    <comment ref="M1261" authorId="31" shapeId="0" xr:uid="{B812E2A8-05CB-D846-A27B-D69692FD1CAF}">
      <text>
        <r>
          <rPr>
            <b/>
            <sz val="9"/>
            <color rgb="FF000000"/>
            <rFont val="Tahoma"/>
            <family val="2"/>
          </rPr>
          <t>chaste:</t>
        </r>
        <r>
          <rPr>
            <sz val="9"/>
            <color rgb="FF000000"/>
            <rFont val="Tahoma"/>
            <family val="2"/>
          </rPr>
          <t xml:space="preserve">
</t>
        </r>
        <r>
          <rPr>
            <sz val="9"/>
            <color rgb="FF000000"/>
            <rFont val="Tahoma"/>
            <family val="2"/>
          </rPr>
          <t xml:space="preserve">Hart et al. 2021
</t>
        </r>
      </text>
    </comment>
    <comment ref="M1264" authorId="31" shapeId="0" xr:uid="{08438B3F-8FC9-334E-BFE6-6A2324FF471F}">
      <text>
        <r>
          <rPr>
            <b/>
            <sz val="9"/>
            <color indexed="81"/>
            <rFont val="Tahoma"/>
            <family val="2"/>
          </rPr>
          <t>chaste:</t>
        </r>
        <r>
          <rPr>
            <sz val="9"/>
            <color indexed="81"/>
            <rFont val="Tahoma"/>
            <family val="2"/>
          </rPr>
          <t xml:space="preserve">
Hart et al. 2021
</t>
        </r>
      </text>
    </comment>
    <comment ref="M1270" authorId="31" shapeId="0" xr:uid="{405B7105-02F2-5648-8C69-9BB1779D136F}">
      <text>
        <r>
          <rPr>
            <b/>
            <sz val="9"/>
            <color indexed="81"/>
            <rFont val="Tahoma"/>
            <family val="2"/>
          </rPr>
          <t>chaste:</t>
        </r>
        <r>
          <rPr>
            <sz val="9"/>
            <color indexed="81"/>
            <rFont val="Tahoma"/>
            <family val="2"/>
          </rPr>
          <t xml:space="preserve">
Hart et al. 2021
</t>
        </r>
      </text>
    </comment>
    <comment ref="M1283" authorId="31" shapeId="0" xr:uid="{14FB840A-05B0-5B44-8E61-A8F9A09D8F77}">
      <text>
        <r>
          <rPr>
            <b/>
            <sz val="9"/>
            <color rgb="FF000000"/>
            <rFont val="Tahoma"/>
            <family val="2"/>
          </rPr>
          <t>chaste:</t>
        </r>
        <r>
          <rPr>
            <sz val="9"/>
            <color rgb="FF000000"/>
            <rFont val="Tahoma"/>
            <family val="2"/>
          </rPr>
          <t xml:space="preserve">
</t>
        </r>
        <r>
          <rPr>
            <sz val="9"/>
            <color rgb="FF000000"/>
            <rFont val="Tahoma"/>
            <family val="2"/>
          </rPr>
          <t xml:space="preserve">Hart et al. 2021
</t>
        </r>
      </text>
    </comment>
    <comment ref="M1284" authorId="31" shapeId="0" xr:uid="{873A79C4-EEA6-DE45-B902-B4104FC4B7CC}">
      <text>
        <r>
          <rPr>
            <b/>
            <sz val="9"/>
            <color indexed="81"/>
            <rFont val="Tahoma"/>
            <family val="2"/>
          </rPr>
          <t>chaste:</t>
        </r>
        <r>
          <rPr>
            <sz val="9"/>
            <color indexed="81"/>
            <rFont val="Tahoma"/>
            <family val="2"/>
          </rPr>
          <t xml:space="preserve">
Hart et al. 2021
</t>
        </r>
      </text>
    </comment>
    <comment ref="EG1599" authorId="37" shapeId="0" xr:uid="{997ECA5B-C222-BB45-B6FC-3B3B366C43FD}">
      <text>
        <r>
          <rPr>
            <b/>
            <sz val="9"/>
            <color rgb="FF000000"/>
            <rFont val="Tahoma"/>
            <family val="2"/>
          </rPr>
          <t>chaste:</t>
        </r>
        <r>
          <rPr>
            <sz val="9"/>
            <color rgb="FF000000"/>
            <rFont val="Tahoma"/>
            <family val="2"/>
          </rPr>
          <t xml:space="preserve">
</t>
        </r>
        <r>
          <rPr>
            <sz val="9"/>
            <color rgb="FF000000"/>
            <rFont val="Tahoma"/>
            <family val="2"/>
          </rPr>
          <t xml:space="preserve">The scope of this study includes forest growth and cultivation, collection and processing of wood products and by-products, densification (chipping and bundling) and combustion in bioenergy facility to generate electricity.
</t>
        </r>
        <r>
          <rPr>
            <sz val="9"/>
            <color rgb="FF000000"/>
            <rFont val="Tahoma"/>
            <family val="2"/>
          </rPr>
          <t xml:space="preserve">
</t>
        </r>
        <r>
          <rPr>
            <sz val="9"/>
            <color rgb="FF000000"/>
            <rFont val="Tahoma"/>
            <family val="2"/>
          </rPr>
          <t xml:space="preserve">The scope of the study excludes emissions associated with extraction and production of materials for manufacturing trucks, forestry equipment and transportation of fuels, fertilizer and seedling production, which are considered as indirect emissions of this study (Mann and Spath, 1997).
</t>
        </r>
      </text>
    </comment>
    <comment ref="EH1599" authorId="38" shapeId="0" xr:uid="{3F3D22F8-4CCA-754A-82A5-1532980C6CB1}">
      <text>
        <r>
          <rPr>
            <b/>
            <sz val="9"/>
            <color rgb="FF000000"/>
            <rFont val="Tahoma"/>
            <family val="2"/>
          </rPr>
          <t>chaste:</t>
        </r>
        <r>
          <rPr>
            <sz val="9"/>
            <color rgb="FF000000"/>
            <rFont val="Tahoma"/>
            <family val="2"/>
          </rPr>
          <t xml:space="preserve">
</t>
        </r>
        <r>
          <rPr>
            <sz val="9"/>
            <color rgb="FF000000"/>
            <rFont val="Tahoma"/>
            <family val="2"/>
          </rPr>
          <t xml:space="preserve">The scope of this study includes forest growth and cultivation, collection and processing of wood products and by-products, densification (chipping and bundling) and combustion in bioenergy facility to generate electricity.
</t>
        </r>
        <r>
          <rPr>
            <sz val="9"/>
            <color rgb="FF000000"/>
            <rFont val="Tahoma"/>
            <family val="2"/>
          </rPr>
          <t xml:space="preserve">
</t>
        </r>
        <r>
          <rPr>
            <sz val="9"/>
            <color rgb="FF000000"/>
            <rFont val="Tahoma"/>
            <family val="2"/>
          </rPr>
          <t xml:space="preserve">The scope of the study excludes emissions associated with extraction and production of materials for manufacturing trucks, forestry equipment and transportation of fuels, fertilizer and seedling production, which are considered as indirect emissions of this study (Mann and Spath, 1997).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tc={00B60088-0080-489A-8313-00FA007800FE}</author>
  </authors>
  <commentList>
    <comment ref="E2" authorId="0" shapeId="0" xr:uid="{00B60088-0080-489A-8313-00FA007800FE}">
      <text>
        <r>
          <rPr>
            <b/>
            <sz val="9"/>
            <rFont val="Tahoma"/>
            <family val="2"/>
          </rPr>
          <t>vbellassen:</t>
        </r>
        <r>
          <rPr>
            <sz val="9"/>
            <rFont val="Tahoma"/>
            <family val="2"/>
          </rPr>
          <t xml:space="preserve">
400 pour du résineux mais pour du feuillu on est plutôt à 580. Moyenne des deux ?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<sst xmlns="http://schemas.openxmlformats.org/spreadsheetml/2006/main" count="41796" uniqueCount="5125">
  <si>
    <t>Metadata</t>
  </si>
  <si>
    <t>Protocol</t>
  </si>
  <si>
    <t>Drivers</t>
  </si>
  <si>
    <t>Outcomes</t>
  </si>
  <si>
    <t>Model</t>
  </si>
  <si>
    <t>Paper description</t>
  </si>
  <si>
    <t>Extraction</t>
  </si>
  <si>
    <t>Post-extraction</t>
  </si>
  <si>
    <t>Extraction round</t>
  </si>
  <si>
    <t>Driver</t>
  </si>
  <si>
    <t>Change in practices</t>
  </si>
  <si>
    <t>Environmental change</t>
  </si>
  <si>
    <t>QC</t>
  </si>
  <si>
    <t>Carbon_outcome</t>
  </si>
  <si>
    <t>Non_c_outcomes</t>
  </si>
  <si>
    <t>DataCorrection</t>
  </si>
  <si>
    <t>Context definition</t>
  </si>
  <si>
    <t>Processes</t>
  </si>
  <si>
    <t>ProcessesDetails</t>
  </si>
  <si>
    <t>#CAACCB</t>
  </si>
  <si>
    <t>#994F93</t>
  </si>
  <si>
    <t>#77777</t>
  </si>
  <si>
    <t>#90C987</t>
  </si>
  <si>
    <t>#90C988</t>
  </si>
  <si>
    <t>#90C989</t>
  </si>
  <si>
    <t>#90C990</t>
  </si>
  <si>
    <t>#90C991</t>
  </si>
  <si>
    <t>Publication</t>
  </si>
  <si>
    <t>Topic</t>
  </si>
  <si>
    <t>Authors</t>
  </si>
  <si>
    <t>Journal</t>
  </si>
  <si>
    <t>Exclusion</t>
  </si>
  <si>
    <t>Full revision</t>
  </si>
  <si>
    <t>Revision</t>
  </si>
  <si>
    <t>driver description</t>
  </si>
  <si>
    <t>Supply chain</t>
  </si>
  <si>
    <t>Technology</t>
  </si>
  <si>
    <t>Demand</t>
  </si>
  <si>
    <t>All</t>
  </si>
  <si>
    <t>AllEnvir</t>
  </si>
  <si>
    <t>MainDriver</t>
  </si>
  <si>
    <t>Wood amount</t>
  </si>
  <si>
    <t>Cumulated C balance</t>
  </si>
  <si>
    <t>Substitution coefficient</t>
  </si>
  <si>
    <t>LCAOutcomes</t>
  </si>
  <si>
    <t>biogeochemicalOutcomes</t>
  </si>
  <si>
    <t>biophysicalOutcomes</t>
  </si>
  <si>
    <t>ecologicalOutcomes</t>
  </si>
  <si>
    <t>economicalOutcomes</t>
  </si>
  <si>
    <t>Location</t>
  </si>
  <si>
    <t>Time period</t>
  </si>
  <si>
    <t>Wood affected by driver change</t>
  </si>
  <si>
    <t>Sector scale</t>
  </si>
  <si>
    <t>SubstitutionShortcut</t>
  </si>
  <si>
    <t>C fluxes</t>
  </si>
  <si>
    <t>Dynamics</t>
  </si>
  <si>
    <t>DriverCheck</t>
  </si>
  <si>
    <t>#D9CCE3</t>
  </si>
  <si>
    <t>#BA8DB4</t>
  </si>
  <si>
    <t>#994F88</t>
  </si>
  <si>
    <t>#882E72</t>
  </si>
  <si>
    <t>#CAE0AB</t>
  </si>
  <si>
    <t>#4EB265</t>
  </si>
  <si>
    <t>Biogenic in-situ C</t>
  </si>
  <si>
    <t>Biogenic ex-situ C</t>
  </si>
  <si>
    <t>Fossil in-situ</t>
  </si>
  <si>
    <t>Fossil ex-situ</t>
  </si>
  <si>
    <t>C dynamics</t>
  </si>
  <si>
    <t>Market-based feedbacks</t>
  </si>
  <si>
    <t>QCv7</t>
  </si>
  <si>
    <t>Source Title</t>
  </si>
  <si>
    <t>Author Keywords</t>
  </si>
  <si>
    <t>Keywords Plus</t>
  </si>
  <si>
    <t>Article_Title</t>
  </si>
  <si>
    <t>Abstract</t>
  </si>
  <si>
    <t>Journal_ISO_Abbreviation</t>
  </si>
  <si>
    <t>Document type</t>
  </si>
  <si>
    <t>Publication_Year</t>
  </si>
  <si>
    <t>Times_cited</t>
  </si>
  <si>
    <t>DOI</t>
  </si>
  <si>
    <t>multipaper_index</t>
  </si>
  <si>
    <t>PaperID</t>
  </si>
  <si>
    <t>Reviewer</t>
  </si>
  <si>
    <t>Reviewer2</t>
  </si>
  <si>
    <t>ReviewerQCv7</t>
  </si>
  <si>
    <t>driver definition</t>
  </si>
  <si>
    <t>name_ref</t>
  </si>
  <si>
    <t>name_alternative</t>
  </si>
  <si>
    <t>area subject to harvest</t>
  </si>
  <si>
    <t>unspecified harvest increase</t>
  </si>
  <si>
    <t>rotation length</t>
  </si>
  <si>
    <t xml:space="preserve">cutting intensity </t>
  </si>
  <si>
    <t>species</t>
  </si>
  <si>
    <t>plantation density</t>
  </si>
  <si>
    <t>fertilisation</t>
  </si>
  <si>
    <t>site fertility</t>
  </si>
  <si>
    <t>harvesting system</t>
  </si>
  <si>
    <t>location of industry</t>
  </si>
  <si>
    <t>supply chain organization</t>
  </si>
  <si>
    <t>recycling</t>
  </si>
  <si>
    <t xml:space="preserve">end of life disposal </t>
  </si>
  <si>
    <t>products lifespan</t>
  </si>
  <si>
    <t>efficiency improvement</t>
  </si>
  <si>
    <t>technologies/design switch</t>
  </si>
  <si>
    <t>CCS</t>
  </si>
  <si>
    <t>Water table</t>
  </si>
  <si>
    <t>Temperature</t>
  </si>
  <si>
    <t>rainfall</t>
  </si>
  <si>
    <t>CO2 fertilization</t>
  </si>
  <si>
    <t>disturbance</t>
  </si>
  <si>
    <t>N deposition</t>
  </si>
  <si>
    <t>Unspecified policy</t>
  </si>
  <si>
    <t>gdp, population</t>
  </si>
  <si>
    <t>Exogenous wood price</t>
  </si>
  <si>
    <t>Exogenous C price</t>
  </si>
  <si>
    <t>exogenous land use change</t>
  </si>
  <si>
    <t>driverCheck</t>
  </si>
  <si>
    <t>PracticesCheck</t>
  </si>
  <si>
    <t>Nsilvicuture</t>
  </si>
  <si>
    <t>Nsupplychain</t>
  </si>
  <si>
    <t>Ntechnology</t>
  </si>
  <si>
    <t>Ndemand</t>
  </si>
  <si>
    <t>Nenvir</t>
  </si>
  <si>
    <t>driver1</t>
  </si>
  <si>
    <t>driver1Cat</t>
  </si>
  <si>
    <t>Qwood_stageInput</t>
  </si>
  <si>
    <t>Qwood_varInput</t>
  </si>
  <si>
    <t>QwoodInPublication</t>
  </si>
  <si>
    <t>Qwood_unitInput</t>
  </si>
  <si>
    <t>Qwood_refInput</t>
  </si>
  <si>
    <t>Qwood_alternativeInput</t>
  </si>
  <si>
    <t>Qwood_ratioInput</t>
  </si>
  <si>
    <t>Qwood_deltaInput</t>
  </si>
  <si>
    <t>Qwood_delta_m3woodInput</t>
  </si>
  <si>
    <t>C_signInput</t>
  </si>
  <si>
    <t>CInPublication</t>
  </si>
  <si>
    <t>C_unitInput</t>
  </si>
  <si>
    <t>C_refInput</t>
  </si>
  <si>
    <t>C_alternativeInput</t>
  </si>
  <si>
    <t>CratioInput</t>
  </si>
  <si>
    <t>CdeltaInput</t>
  </si>
  <si>
    <t>Cdelta_tCO2</t>
  </si>
  <si>
    <t>substitutionInput</t>
  </si>
  <si>
    <t>LCA scores</t>
  </si>
  <si>
    <t>CH4</t>
  </si>
  <si>
    <t>CO</t>
  </si>
  <si>
    <t>N2O</t>
  </si>
  <si>
    <t>Nox</t>
  </si>
  <si>
    <t>Sox</t>
  </si>
  <si>
    <t>VOC</t>
  </si>
  <si>
    <t>Climate</t>
  </si>
  <si>
    <t>albedo</t>
  </si>
  <si>
    <t>water quantity</t>
  </si>
  <si>
    <t>water quality</t>
  </si>
  <si>
    <t>erosion</t>
  </si>
  <si>
    <t>biodiversity</t>
  </si>
  <si>
    <t>price/economic welfare/social cost</t>
  </si>
  <si>
    <t>Ref_check</t>
  </si>
  <si>
    <t>Qwood_ref</t>
  </si>
  <si>
    <t>Qwood_alternative</t>
  </si>
  <si>
    <t>Qwood_delta_m3wood</t>
  </si>
  <si>
    <t>C_ref</t>
  </si>
  <si>
    <t>C_alternative</t>
  </si>
  <si>
    <t>substitution</t>
  </si>
  <si>
    <t>Cratio</t>
  </si>
  <si>
    <t>scale</t>
  </si>
  <si>
    <t>scaleAgg</t>
  </si>
  <si>
    <t>country</t>
  </si>
  <si>
    <t>time_start</t>
  </si>
  <si>
    <t>time_end</t>
  </si>
  <si>
    <t>time_length</t>
  </si>
  <si>
    <t>time_horizon</t>
  </si>
  <si>
    <t>UpstreamInput</t>
  </si>
  <si>
    <t>EnergyInput</t>
  </si>
  <si>
    <t>PulpPaperInput</t>
  </si>
  <si>
    <t>TimberInput</t>
  </si>
  <si>
    <t>economy_sector</t>
  </si>
  <si>
    <t>productsCheck</t>
  </si>
  <si>
    <t>singleProduct</t>
  </si>
  <si>
    <t>Upstream</t>
  </si>
  <si>
    <t>Energy</t>
  </si>
  <si>
    <t>Pulp/Paper</t>
  </si>
  <si>
    <t>Timber</t>
  </si>
  <si>
    <t>self-calculated DF</t>
  </si>
  <si>
    <t>displacement factor used</t>
  </si>
  <si>
    <t>energy DF origin</t>
  </si>
  <si>
    <t>material DF origin</t>
  </si>
  <si>
    <t>overall DF origin</t>
  </si>
  <si>
    <t>substitutionDFCheck</t>
  </si>
  <si>
    <t>substitution_shortcut</t>
  </si>
  <si>
    <t>soilC</t>
  </si>
  <si>
    <t>harv_residues</t>
  </si>
  <si>
    <t>live_biomass_C</t>
  </si>
  <si>
    <t>products_storage_C</t>
  </si>
  <si>
    <t>eol_biogenic</t>
  </si>
  <si>
    <t>off_product_biogenic</t>
  </si>
  <si>
    <t>forestry_emiss</t>
  </si>
  <si>
    <t>manufacturing_emiss</t>
  </si>
  <si>
    <t>maintenance_emiss</t>
  </si>
  <si>
    <t>eol_fossil_emiss</t>
  </si>
  <si>
    <t>biogenic_dyn</t>
  </si>
  <si>
    <t>fossil_dyn</t>
  </si>
  <si>
    <t>LUC_dyn</t>
  </si>
  <si>
    <t>rebound_dyn</t>
  </si>
  <si>
    <t>Publication quality</t>
  </si>
  <si>
    <t>modelApproach</t>
  </si>
  <si>
    <t>ecosystem aproach</t>
  </si>
  <si>
    <t>technology approach</t>
  </si>
  <si>
    <t>Comment</t>
  </si>
  <si>
    <t>Check exclusion</t>
  </si>
  <si>
    <t>Outlier?</t>
  </si>
  <si>
    <t>Check outlier</t>
  </si>
  <si>
    <t>Check_AV</t>
  </si>
  <si>
    <t>CheckSL</t>
  </si>
  <si>
    <t>EUROPEAN JOURNAL OF FOREST RESEARCH</t>
  </si>
  <si>
    <t>Ecosystem model; Emission calculation; Energy wood production; Management; Boreal ecosystem</t>
  </si>
  <si>
    <t>GREENHOUSE-GAS EMISSIONS; NORWAY SPRUCE STANDS; SCOTS PINE; CARBON SEQUESTRATION; CLIMATE-CHANGE; SIMULATION-MODEL; ROTATION LENGTH; BIOMASS ENERGY; FOREST BIOMASS; GROWTH</t>
  </si>
  <si>
    <t>Alam, A; Kilpelainen, A; Kellomaki, S</t>
  </si>
  <si>
    <t>Impacts of initial stand density and thinning regimes on energy wood production and management-related CO2 emissions in boreal ecosystems</t>
  </si>
  <si>
    <t>An ecosystem model (Sima) was utilised to investigate the impact of forest management (by changing both the initial stand density and basal area thinning thresholds from current recommendations) on energy wood production (at energy wood thinning and final felling) and management-related carbon dioxide (CO2) emissions for the energy wood production in Finnish boreal conditions (62A degrees 39' N, 29A degrees 37' E). The simultaneous effects of energy wood, timber and C stocks in the forest ecosystem (live and dead biomass) were also assessed. The analyses were carried out at stand level during a rotation period of 80 years for Scots pine (Pinus sylvestris L.) and Norway spruce (Picea abies L. Karst.) growing in different fertility sites. Generally, the results showed that decreased basal area thinning thresholds, compared with current thinning, reduced energy wood (logging residues) and timber production, as well as carbon stocks in the forest ecosystem. Conversely, increased thinning thresholds increased energy wood production (ca. 1-27%) at both energy wood thinning and final felling and reduced CO2 emissions (ca. 2-6%) related to the production chain (e.g. management operations), depending on the thinning threshold levels, initial stand density, species and site. Increased thinning thresholds also enhanced timber production and carbon stocks in the forest ecosystem. Additionally, increased initial stand density enhanced energy wood production for energy wood thinning for both species, but this reduced energy wood production at final felling for Scots pine and Norway spruce. This study concluded that increases in both initial stand density and thinning thresholds, compared with the current level, could be useful in energy wood, timber and carbon stocks enhancement, as well as reducing management-related CO2 emissions for energy wood production. Only 2.4-3.3% of input of the produced energy (energy wood) was required during the whole production chain, depending on the management regime, species and sites. However, a comprehensive substitution analysis of wood-based energy, in respect to environmental benefits, would also require the inclusion of CO2 emissions related to ecosystem processes (e.g. decomposition).</t>
  </si>
  <si>
    <t>Eur. J. For. Res.</t>
  </si>
  <si>
    <t>10.1007/s10342-011-0539-8</t>
  </si>
  <si>
    <t>included</t>
  </si>
  <si>
    <t>AV</t>
  </si>
  <si>
    <t>v4</t>
  </si>
  <si>
    <t>SL</t>
  </si>
  <si>
    <t>thinning</t>
  </si>
  <si>
    <t>M1</t>
  </si>
  <si>
    <t>Cu</t>
  </si>
  <si>
    <t>HWP</t>
  </si>
  <si>
    <t>energy wood production</t>
  </si>
  <si>
    <t>Mg.ha-1</t>
  </si>
  <si>
    <t>Sequestration positive</t>
  </si>
  <si>
    <t>kgCO2.MWh-1</t>
  </si>
  <si>
    <t>std</t>
  </si>
  <si>
    <t>Finland</t>
  </si>
  <si>
    <t>wood and C estimates do not have the same functional unit (ha or MWh) so no substitution can be calculated</t>
  </si>
  <si>
    <t>M3</t>
  </si>
  <si>
    <t>M4</t>
  </si>
  <si>
    <t>M6</t>
  </si>
  <si>
    <t>initial stand density</t>
  </si>
  <si>
    <t>site</t>
  </si>
  <si>
    <t>Myrtillus</t>
  </si>
  <si>
    <t>Oxalis-Myrtillus</t>
  </si>
  <si>
    <t>Vaccinium</t>
  </si>
  <si>
    <t>scots pine</t>
  </si>
  <si>
    <t>norway spruce</t>
  </si>
  <si>
    <t>ENERGY AND BUILDINGS</t>
  </si>
  <si>
    <t>Life Cycle Assessment; Buildings; Biogenic carbon; Cross laminated timber; Forest transformation</t>
  </si>
  <si>
    <t>TEMPORARY-STORAGE; IMPACT ASSESSMENT; LCA; CONSTRUCTION; ENERGY; CHALLENGES; EMISSIONS; END</t>
  </si>
  <si>
    <t>Andersen, JH; Rasmussen, NL; Ryberg, MW</t>
  </si>
  <si>
    <t>Comparative life cycle assessment of cross laminated timber building and concrete building with special focus on biogenic carbon</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</si>
  <si>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</si>
  <si>
    <t>Energy Build.</t>
  </si>
  <si>
    <t>Article</t>
  </si>
  <si>
    <t>10.1016/j.enbuild.2021.111604</t>
  </si>
  <si>
    <t>v5</t>
  </si>
  <si>
    <t>construction material</t>
  </si>
  <si>
    <t>concrete</t>
  </si>
  <si>
    <t>CLT</t>
  </si>
  <si>
    <t>wood quantity in building</t>
  </si>
  <si>
    <t>kg/m2</t>
  </si>
  <si>
    <t>kgCO2eq/m2</t>
  </si>
  <si>
    <t>prd</t>
  </si>
  <si>
    <t>Norway</t>
  </si>
  <si>
    <t>SCIENCE OF THE TOTAL ENVIRONMENT</t>
  </si>
  <si>
    <t>Wood products; Carbon storage; Climate mitigation; Dynamic material flow analysis; Dynamic life cycle assessment; Land-use strategies</t>
  </si>
  <si>
    <t>GAS DISPLACEMENT FACTORS; IMPACT ASSESSMENT; FOREST; BIOENERGY; TREE; ENERGY; SUBSTITUTION; RESTORATION; CHALLENGES; PRODUCTS</t>
  </si>
  <si>
    <t>Aryapratama, R; Pauliuk, S</t>
  </si>
  <si>
    <t>Life cycle carbon emissions of different land conversion and woody biomass utilization scenarios in Indonesia</t>
  </si>
  <si>
    <t>Wood-based products can contribute to climate change mitigation by prolonging the storage of carbon in the anthroposphere. In Indonesia, however, many wood-based products originate from unsustainable sources due to widespread land-use changes over the past decades. To reconcile economic development and climate policy, a detailed and comprehensive carbon life cycle assessment is needed, covering biospheric and technospheric woody carbon flows and emissions over time. In this study, we combine dynamic material flow analysis, stock modeling, and life cycle assessment to estimate life cycle carbon emissions over time of wood products from different land conversion types in Indonesia on a hectare (ha) basis. Wood production from clear-cut primary forest conversions to oil palm, secondary forest, and timber plantations lead to net carbon emissions between 1206-1282, 436-449, and 629-958 t-CO2-eq/ha, respectively, at the end of the 200-year time horizon (TH). The counter-use scenarios of using non-renewable materials or energy instead of wood-based products for the same set of scenarios while leaving primary forests untouched display 44-57, 59-88, and 5-48% lower global warming potentials, respectively, at the end of the TH. Wood products from forest plantations on restored degraded land (DL_FP), reduced-impact logging (RIL), and improved reduced-impact logging (RIL-C) of primary forest went beyond carbon neutrality, displaying carbon removal potentials of up to around -218, -378, and -739 t-CO2-eq/ha, respectively, by year 200. At the one ha-scale, our results indicate that keeping primary forests intact is the climate-preferable option, even when emissions from the counter-use of non-renewable materials or energy are factored in, except if RIL is performed. Therefore, wood product utilization would only be favorable from a climate perspective in DL_FP or RIL pathways. These results help screen different land conversion policy options and providing information about the climate mitigation potential of wood products in different supply chains. (C) 2021 The Authors. Published by Elsevier B.V.</t>
  </si>
  <si>
    <t>Sci. Total Environ.</t>
  </si>
  <si>
    <t>10.1016/j.scitotenv.2021.150226</t>
  </si>
  <si>
    <t>Aryapratama_2022</t>
  </si>
  <si>
    <t>KN</t>
  </si>
  <si>
    <t>PF_SF_M</t>
  </si>
  <si>
    <t>PF_PO_M</t>
  </si>
  <si>
    <t>wood product</t>
  </si>
  <si>
    <t>tC/ha</t>
  </si>
  <si>
    <t>tCO2/ha</t>
  </si>
  <si>
    <t>Indonesia</t>
  </si>
  <si>
    <t>Suter2016 Hoglmeier2017</t>
  </si>
  <si>
    <t>external DF used</t>
  </si>
  <si>
    <t>RIL_C_M</t>
  </si>
  <si>
    <t>RIL_M</t>
  </si>
  <si>
    <t>forest C stock</t>
  </si>
  <si>
    <t>changedVB</t>
  </si>
  <si>
    <t>plantation forest from either degraded land or primary forest</t>
  </si>
  <si>
    <t>DL_FP_M_Ac_7yr</t>
  </si>
  <si>
    <t>PF_FP_M_Ac_7yr</t>
  </si>
  <si>
    <t>changed driver. Since it compares with primary forest it looks at area increase</t>
  </si>
  <si>
    <t>PF_PO_NR_M</t>
  </si>
  <si>
    <t>Suter2016 Hoglmeier2015</t>
  </si>
  <si>
    <t>PF_SF_NR_M</t>
  </si>
  <si>
    <t>VB automated extraction and changed the sign</t>
  </si>
  <si>
    <t>PF_FP_NR_M_Ac_7yr</t>
  </si>
  <si>
    <t>changed from prulpwood to timber because t is a furniture use</t>
  </si>
  <si>
    <t>PF_FP_NR_M_Tgr_60yr</t>
  </si>
  <si>
    <t>PF_FP_M_Tgr_60yr</t>
  </si>
  <si>
    <t>PF_FP_NR_M_Ac_18yr</t>
  </si>
  <si>
    <t>PF_FP_M_Ac_18yr</t>
  </si>
  <si>
    <t>Suter2016 Hoglmeier2016</t>
  </si>
  <si>
    <t>RIL_NR_E</t>
  </si>
  <si>
    <t>RIL_E</t>
  </si>
  <si>
    <t>Dwivedi2019 Meijide2020 Jing 2020</t>
  </si>
  <si>
    <t>RIL_NR_M</t>
  </si>
  <si>
    <t>DL_FP_NR_M_Ac_7yr</t>
  </si>
  <si>
    <t>DL_FP_NR_M_Ac_18yr</t>
  </si>
  <si>
    <t>DL_FP_M_Ac_18yr</t>
  </si>
  <si>
    <t>DL_FP_NR_M_Tgr_60yr</t>
  </si>
  <si>
    <t>DL_FP_M_Tgr_60yr</t>
  </si>
  <si>
    <t>RIL_C_NR_E</t>
  </si>
  <si>
    <t>RIL_C_E</t>
  </si>
  <si>
    <t>RIL_C_NR_M</t>
  </si>
  <si>
    <t>Rotation length</t>
  </si>
  <si>
    <t>PF_FP_M_18y</t>
  </si>
  <si>
    <t>PF_FP_M_7y</t>
  </si>
  <si>
    <t>DL_FP_M_18y</t>
  </si>
  <si>
    <t>DL_FP_M_7y</t>
  </si>
  <si>
    <t>main wood product as materials or energy</t>
  </si>
  <si>
    <t>PF_SF_E</t>
  </si>
  <si>
    <t>Roundwood</t>
  </si>
  <si>
    <t>Harvested wood flow from primary forest and forest/plantation management</t>
  </si>
  <si>
    <t>AppD F1-2</t>
  </si>
  <si>
    <t>see above+requalified as "supply chain organization"</t>
  </si>
  <si>
    <t>changed the Qwood variable extracted to reflect the total harvest, more consistent with the driver recorded since harvest is the same and only the use of wood differs</t>
  </si>
  <si>
    <t>PF_PO_E</t>
  </si>
  <si>
    <t>PF_PO_NR_E</t>
  </si>
  <si>
    <t>PF_SF_NR_E</t>
  </si>
  <si>
    <t>PF_FP_NR_E_Hbr_40yr</t>
  </si>
  <si>
    <t>PF_FP_E_Hbr_40yr</t>
  </si>
  <si>
    <t>DL_FP_NR_E_Hbr_40yr</t>
  </si>
  <si>
    <t>DL_FP_E_Hbr_40yr</t>
  </si>
  <si>
    <t>BUILDING AND ENVIRONMENT</t>
  </si>
  <si>
    <t>Climate change mitigation; Life cycle assessment; Industrial building system (IBS); Laminated veneer lumber (LVL); Glued laminated timber (GLT); Sustainability</t>
  </si>
  <si>
    <t>CYCLE ENERGY-CONSUMPTION; LIFE-CYCLE; ENVIRONMENTAL PERFORMANCE; WOOD PRODUCTS; CONSTRUCTION; TIMBER; IMPACT; COSTS</t>
  </si>
  <si>
    <t>Balasbaneh, AT; Bin Marsono, AK</t>
  </si>
  <si>
    <t>Strategies for reducing greenhouse gas emissions from residential sector by proposing new building structures in hot and humid climatic conditions</t>
  </si>
  <si>
    <t>Malaysian government has advised builders to apply Industrial Building System (IBS) technique in construction due to so many advantages such as productivity, efficiency and cost. This study attempted to reduce greenhouse gas (GHG) emissions from building sector by representing two new building compositions into IBS structures categories. Life cycle assessment (LCA) tool Simapro.8 has been used to identify the environmental performance of buildings from cradle to grave. The full LCA has been run to assess the six different types of prefabricated buildings system, of which four are currently recognized and the other two are designed by current research. The primary result shows that timber prefabricate is the best choice due to having lower emissions toward climate change mitigation of building construction. However, timber houses have rarely been built due to some defects that occurred to its material and structure over time. Rate of applying wood in the construction industry in Malaysia has gone down from about 60% to 7% over the last 40 years. Therefore, this research aims to contribute to the body of knowledge by introducing new composite. First composite is Glued laminated timber (GLT) with steel stud and the second is a combination of laminated veneer lumber (LVL) with steel stud as two new compositions which not only have significantly less global warming potential (GWP) than prefabricated concrete structure or steel framing system, but can be replaced rather than abandoned timber structure. Therefore, new compositions can be suggested to house builders and facilitate the decision making process. (C) 2017 Elsevier Ltd. All rights reserved.</t>
  </si>
  <si>
    <t>Build. Environ.</t>
  </si>
  <si>
    <t>10.1016/j.buildenv.2017.08.025</t>
  </si>
  <si>
    <t>TH</t>
  </si>
  <si>
    <t>Glued laminated instead of Precast 500 yrs</t>
  </si>
  <si>
    <t xml:space="preserve">Precast concrete framing </t>
  </si>
  <si>
    <t xml:space="preserve">Glued laminated timber </t>
  </si>
  <si>
    <t>kg</t>
  </si>
  <si>
    <t>kg CO2 eq</t>
  </si>
  <si>
    <t>cit</t>
  </si>
  <si>
    <t>Malaysia</t>
  </si>
  <si>
    <t>Fix sequestration sign</t>
  </si>
  <si>
    <t>Laminated veneer instead of Precast 500 yrs</t>
  </si>
  <si>
    <t>Laminated veneer lumber</t>
  </si>
  <si>
    <t>Glued laminated instead of Precast 20 yrs</t>
  </si>
  <si>
    <t>Glued laminated instead of Precast 100 yrs</t>
  </si>
  <si>
    <t>Laminated veneer instead of Precast 100 yrs</t>
  </si>
  <si>
    <t>Laminated veneer instead of Precast 20 yrs</t>
  </si>
  <si>
    <t>timber instead of Precast 500 yrs</t>
  </si>
  <si>
    <t xml:space="preserve">timber prefabricated </t>
  </si>
  <si>
    <t>timber instead of Precast 100 yrs</t>
  </si>
  <si>
    <t>timber instead of Precast 20 yrs</t>
  </si>
  <si>
    <t>timber instead of Steel 500 yrs</t>
  </si>
  <si>
    <t xml:space="preserve">Steel frame work system </t>
  </si>
  <si>
    <t>Glued laminated instead of Steel 500 yrs</t>
  </si>
  <si>
    <t>Laminated veneer instead of Steel 500 yrs</t>
  </si>
  <si>
    <t>timber instead of Steel 100 yrs</t>
  </si>
  <si>
    <t>timber instead of Steel 20 yrs</t>
  </si>
  <si>
    <t>Glued laminated instead of Steel 100 yrs</t>
  </si>
  <si>
    <t>Glued laminated instead of Steel 20 yrs</t>
  </si>
  <si>
    <t>Laminated veneer instead of Steel 100 yrs</t>
  </si>
  <si>
    <t>Laminated veneer instead of Steel 20 yrs</t>
  </si>
  <si>
    <t>timber instead of blockwork 500 yrs</t>
  </si>
  <si>
    <t>blockwork system</t>
  </si>
  <si>
    <t>Glued laminated instead of blockwork 500 yrs</t>
  </si>
  <si>
    <t>Laminated veneer instead of blockwork 500 yrs</t>
  </si>
  <si>
    <t>timber instead of blockwork 100 yrs</t>
  </si>
  <si>
    <t>timber instead of blockwork 20 yrs</t>
  </si>
  <si>
    <t>Glued laminated instead of blockwork 100 yrs</t>
  </si>
  <si>
    <t>Laminated veneer instead of blockwork 100 yrs</t>
  </si>
  <si>
    <t>Glued laminated instead of blockwork 20 yrs</t>
  </si>
  <si>
    <t>Laminated veneer instead of blockwork 20 yrs</t>
  </si>
  <si>
    <t>INTERNATIONAL JOURNAL OF LIFE CYCLE ASSESSMENT</t>
  </si>
  <si>
    <t>Building structure; Life cycle assessment; Cross-laminated timber; Composite structure</t>
  </si>
  <si>
    <t>CROSS-LAMINATED TIMBER; LIFE-CYCLE ASSESSMENT; GLOBAL WARMING MITIGATION; RESIDENTIAL CONSTRUCTION; ENERGY EFFICIENCY; GREENHOUSE-GAS; COMPOSITE; LCA; STRATEGIES; DEFECTS</t>
  </si>
  <si>
    <t>Balasbaneh, AT; Sher, W; Yeoh, D</t>
  </si>
  <si>
    <t>Recommending a new building structure to alleviate environmental impact in tropical climates: increasing the use of wood in construction</t>
  </si>
  <si>
    <t>Purpose The construction sector is interested in considering environmental implications as necessary criteria for sustainability. In this regard, wood materials, especially engineering wood, are a promising choice for sustainable buildings. In some countries such as Malaysia, timber is rarely considered in the construction sector despite there being abundant access to wood. This is because of the scarcity of timber structures and the dominance of alternative materials such as steel and concrete. The cross-laminated timber-steel composite introduced in this research benefits both the wood and the steel markets leading to standardization and a more extensive market. At the same time, it contributes to environmentally friendly requirements. The main objective was to investigate timber applications in local construction and make proposals for its promotion. The new specimen described here could potentially enhance the strength of timber beams using steel plates. Four current structural methods have been chosen based on environmental and economic comparisons with a new composite structure. Methods The life cycle assessment (LCA) and life cycle cost (LCC) have been used to compare the performance of four current conventional structures. Results and discussion The results showed that the new proposed structure has lower emissions in all environmental categories, namely, Global Warming Potential (GWP), Human Carcinogenic Toxicity (HCT), Fossil Depletion Potential (FDP), Ozone Layer Depletion (OLD), Terrestrial Acidification (TA) and embodied energy. The results of the LCC are consistent with the environmental issue as the new composite has a lower cost over its entire life span. Conclusions The new structure provides a novel and sustainable alternative for the construction industry.</t>
  </si>
  <si>
    <t>Int. J. Life Cycle Assess.</t>
  </si>
  <si>
    <t>10.1007/s11367-022-02074-5</t>
  </si>
  <si>
    <t>a</t>
  </si>
  <si>
    <t>v6</t>
  </si>
  <si>
    <t>Building technology</t>
  </si>
  <si>
    <t>concrete structure</t>
  </si>
  <si>
    <t>new composite structure with CLT</t>
  </si>
  <si>
    <t>wood materials</t>
  </si>
  <si>
    <t>table 1</t>
  </si>
  <si>
    <t>Emissions positive</t>
  </si>
  <si>
    <t>table3</t>
  </si>
  <si>
    <t>kgCO2eq</t>
  </si>
  <si>
    <t>JOURNAL OF BUILDING ENGINEERING</t>
  </si>
  <si>
    <t>GLT-Concrete composite; Composite floor structures; Lightweight floor; Life cycle assessment; Life cycle cost</t>
  </si>
  <si>
    <t>LIFE-CYCLE ASSESSMENT; BUILDING REFURBISHMENT; MASS TIMBER; WOOD; DESIGN; PERFORMANCE; BEHAVIOR; ENERGY; SHEAR</t>
  </si>
  <si>
    <t>Balasbaneh, AT; Sher, W; Yeoh, D; Koushfar, K</t>
  </si>
  <si>
    <t>LCA &amp; LCC analysis of hybrid glued laminated Timber-Concrete composite floor slab system</t>
  </si>
  <si>
    <t>The increasing request for energy-saving and saving materials and growing concern related to the impacts of materials used on environmental and economical has driven the construction industry toward redesigning critical structural systems and elements. This research proposes solutions for mitigating ecological effects and sustainable built environments. For example, the floor slab is considered the top environmental impact emission after walls compared to other non-load-bearing elements among different building components. Therefore, this research expands the new slab comprising Glued laminated timber (GLT) with concrete as a novel lightweight flooring system. The related methodology includes life cycle assessment (LCA) and life cycle cost (LCC) analysis. Thus, the environmental and economic impacts of three common slab systems were compared to the proposed slab. The evaluation results revealed that GLT-concrete has lower emissions in all environmental categories, namely: Global warming potential (GWP), Eutrophi-cation Potential (EP), human toxicity potential (HTP), fossil depletion potential (FDP), terrestrial Ecotoxicity (TE), and Acidification Potential (AP). Likewise, Embodied energy value showed that GLT-concrete has a lower value by 26%, 9%, and 24% than Lightweight steel slab, Precast reinforced slab, and Cofradal slab. Finally, the result of LCC shows a new GLT-concrete slab despite having a higher construction cost, but by considering the end of life scenario as reuse, it will have a lower total cost. Thus, current research can expand the assessment of environmentally friendly floor structures and step toward sustainable construction.</t>
  </si>
  <si>
    <t>J. Build. Eng.</t>
  </si>
  <si>
    <t>10.1016/j.jobe.2022.104005</t>
  </si>
  <si>
    <t>b</t>
  </si>
  <si>
    <t>lightweight steel composite decking S1</t>
  </si>
  <si>
    <t>new clt-concrete structure</t>
  </si>
  <si>
    <t>glue laminated timber</t>
  </si>
  <si>
    <t>table1</t>
  </si>
  <si>
    <t>fig3/text</t>
  </si>
  <si>
    <t>ENERGIES</t>
  </si>
  <si>
    <t>biochar pellet; forest residues; lifecycle assessment; minimum selling price; environmental impacts</t>
  </si>
  <si>
    <t>ECONOMIC-ANALYSIS; SOIL QUALITY; BIOMASS; ENERGY; CARBON; PERFORMANCE; BIOFUELS; OPTIONS; COSTS</t>
  </si>
  <si>
    <t>Bergman, R; Sahoo, K; Englund, K; Mousavi-Avval, SH</t>
  </si>
  <si>
    <t>Lifecycle Assessment and Techno-Economic Analysis of Biochar Pellet Production from Forest Residues and Field Application</t>
  </si>
  <si>
    <t>Biochar produced from low-value forest biomass can provide substantial benefits to ecosystems and mitigate climate change-induced risks such as forest fires. Forest residues from restoration activities and timber harvest and biochar itself are bulky and thus incur high logistic costs, so are considered major bottlenecks for the commercialization of the biochar industry. The objectives of this study were to assess the environmental footprints and techno-economic feasibility of converting forest residues in Pacific Northwest United States into biochar pellets using portable systems followed by delivery of the final product to end-users for land application (dispersion). Two portable systems (Biochar Solutions Incorporated (BSI) and Air Curtain Burner (ACB)) were considered for biochar production. A cradle-to-grave lifecycle assessment (LCA) and a discounted cash flow analysis method were used to quantify the environmental impacts and minimum selling price (MSP) of biochar. The global warming (GW) impact of biochar production through BSI and ACB was estimated to be 306-444, and 750-1016 kgCO(2)eq/tonne biochar applied to the field, respectively. The MSP of biochar produced through BSI and ACB was 1674-1909 and 528-1051 USD/tonne biochar applied to the field, respectively. Pelletizing of biochar reduced GW impacts during outbound logistics (similar to 8-20%) but increased emissions during pelletizing (similar to 1-9%). Results show the BSI system was a more viable option in terms of GW impact, whereas the ACB system can produce biochar with lower MSP. The results of the study conclude that the production of biochar pellets through the two portable systems and applied to fields can be both an environmentally beneficial and economically viable option.</t>
  </si>
  <si>
    <t>Energies</t>
  </si>
  <si>
    <t>10.3390/en15041559</t>
  </si>
  <si>
    <t>biochar production system</t>
  </si>
  <si>
    <t>BSI Biochar Solutions Incorporated</t>
  </si>
  <si>
    <t xml:space="preserve">ACB Air Curtain Burner </t>
  </si>
  <si>
    <t>feedstock</t>
  </si>
  <si>
    <t>table2</t>
  </si>
  <si>
    <t>kg (oven-dried)</t>
  </si>
  <si>
    <t>fig3</t>
  </si>
  <si>
    <t>kgCO2eq/tonne biochar</t>
  </si>
  <si>
    <t>USA</t>
  </si>
  <si>
    <t>fig4</t>
  </si>
  <si>
    <t>ENERGY POLICY</t>
  </si>
  <si>
    <t>greenhouse gas mitigation; forest land use; building construction; life-cycle perspective</t>
  </si>
  <si>
    <t>ENERGY; BIOMASS</t>
  </si>
  <si>
    <t>Borjesson, P; Gustavsson, L</t>
  </si>
  <si>
    <t>Greenhouse gas balances in building construction: wood versus concrete from life-cycle and forest land-use perspectives</t>
  </si>
  <si>
    <t>In this paper, primary energy use and carbon dioxide (CO2) and methane (CH4) emissions from the construction of a multi-storey building, with either a wood or a concrete frame, were calculated from life-cycle and forest land-use perspectives. The primary energy input (mainly fossil fuels) in the production of building materials was found to be about 60-80% higher when concrete frames were considered instead of wood frames. The net greenhouse gas (GHG) balance for wood materials will depend strongly on how the wood is handled after demolition of the building. The net GHG balance will be slightly positive if all the demolition wood is used to replace fossil fuels, slightly negative if part of the demolition wood is re-used, and clearly positive if all wood is deposited in landfills, due to the production of CH4. However, if the biogas produced is collected and used to replace fossil fuels, the net GHG emissions will be insignificant. If concrete frames are used, the net GHG emissions will be about those when demolition wood from the wood-framed building is deposited in landfills and no biogas is collected. We have considered that the CO2 released from the chemical processes in the production of cement will be re-bound to the concrete by the carbonisation process. Otherwise, the net GHG emission would be more than twice as high when concrete frames are used. If forest biomass is used instead of fossil fuels, the net area of forest land required to supply both raw material and energy for the production of building materials, will be about twice as high when wood frames are used instead of concrete frames. However, the GHG mitigation efficiency, expressed as CO, equivalents per unit area of forest land, will be 2-3 times higher when wood frames are used if excess wood waste and logging residues are used to replace fossil fuels. The excess forest in the: concrete frame alternative is used to replace fossil fuels, but if this forest is used for carbon storage, the mitigation efficiency will be higher for the first forest rotation period (100 yr), but lower for the following rotation periods. Some of the data used in the analyses are uncertain, but an understanding of the complexity in comparing different alternatives for utilising forest for GHG mitigation, and of the fact that the time perspective applied affects the results markedly, is more important for the results than the precise figures in the input data. (C) 2000 Elsevier Science Ltd. All lights reserved.</t>
  </si>
  <si>
    <t>Energy Policy</t>
  </si>
  <si>
    <t>10.1016/S0301-4215(00)00049-5</t>
  </si>
  <si>
    <t>construction type 300yr</t>
  </si>
  <si>
    <t>5b concrete frame</t>
  </si>
  <si>
    <t>4 wood frame,  demolition wood inlandfill no biogas (20% decomposition)</t>
  </si>
  <si>
    <t>carbon storage in building</t>
  </si>
  <si>
    <t>tC</t>
  </si>
  <si>
    <t>tCeq</t>
  </si>
  <si>
    <t>Sweden</t>
  </si>
  <si>
    <t>Extreme values because the accounting spans over 300 years</t>
  </si>
  <si>
    <t>6b concrete frame</t>
  </si>
  <si>
    <t>5a concrete frame</t>
  </si>
  <si>
    <t>3 wood frame,  demolition wood in landfill biogas collected (20% decomposition)</t>
  </si>
  <si>
    <t>6a concrete frame</t>
  </si>
  <si>
    <t>okVB</t>
  </si>
  <si>
    <t>5b concrete frame  (oil)</t>
  </si>
  <si>
    <t>1 wood frame,  demolition wood reused and fore energy (oil)</t>
  </si>
  <si>
    <t>6b concrete frame  (oil)</t>
  </si>
  <si>
    <t>construction type 100yr</t>
  </si>
  <si>
    <t>1 wood frame,  demolition wood reused and for energy (oil)</t>
  </si>
  <si>
    <t>2 wood frame, demolition wood reused and used for energy (oil)</t>
  </si>
  <si>
    <t xml:space="preserve">6b concrete frame crushed gravel </t>
  </si>
  <si>
    <t>building lifespan</t>
  </si>
  <si>
    <t>50 years (demolition wood for landfill, no biogas)</t>
  </si>
  <si>
    <t>100 years</t>
  </si>
  <si>
    <t>50 years (demolition wood for landfill with biogas collection)</t>
  </si>
  <si>
    <t>50 years (demolition wood for energy)</t>
  </si>
  <si>
    <t>50 years (demolition wood for reuse and energy)</t>
  </si>
  <si>
    <t>fate of demolition wood 300yr</t>
  </si>
  <si>
    <t>4 landfill_no_biogas (10% decomposition)</t>
  </si>
  <si>
    <t>1 demolition wood for energy (coal)</t>
  </si>
  <si>
    <t>4 landfill_no_biogas (40% decomposition)</t>
  </si>
  <si>
    <t>1 demolition wood for energy (NG)</t>
  </si>
  <si>
    <t>1 demolition wood for energy (oil)</t>
  </si>
  <si>
    <t>2 demolition wood reused and for energy (coal)</t>
  </si>
  <si>
    <t>2 demolition wood reused and for energy (NG)</t>
  </si>
  <si>
    <t>2 demolition wood reused and for energy (oil)</t>
  </si>
  <si>
    <t>3 demolition wood in landfill biogas collected (10% decomposition)</t>
  </si>
  <si>
    <t>3 demolition wood in landfill biogas collected (40% decomposition)</t>
  </si>
  <si>
    <t>forest use 300yr</t>
  </si>
  <si>
    <t>5a forest used for carbon storag</t>
  </si>
  <si>
    <t>5b forest used for energy (NG)</t>
  </si>
  <si>
    <t>carbon storage in excess forest</t>
  </si>
  <si>
    <t>fix driver to technology shift</t>
  </si>
  <si>
    <t>6a forest used for carbon storag</t>
  </si>
  <si>
    <t>6b forest used for energy (NG)</t>
  </si>
  <si>
    <t>5b forest used for energy (oil)</t>
  </si>
  <si>
    <t>6b forest used for energy (oil)</t>
  </si>
  <si>
    <t>5b forest used for energy (coal)</t>
  </si>
  <si>
    <t>6b forest used for energy (coal)</t>
  </si>
  <si>
    <t>FOREST ECOSYSTEMS</t>
  </si>
  <si>
    <t>Timber growth; Carbon recovery; Silvicultural treatment; Logging cycle; Above-ground biomass</t>
  </si>
  <si>
    <t>REDUCED-IMPACT; EAST KALIMANTAN; SILVICULTURAL TREATMENTS; ABOVEGROUND BIOMASS; GROWTH-RATES; DYNAMICS; EMISSIONS; MODELS; STOCKS; TREES</t>
  </si>
  <si>
    <t>Butarbutar, T; Soedirman, S; Neupane, PR; Kohl, M</t>
  </si>
  <si>
    <t>Carbon recovery following selective logging in tropical rainforests in Kalimantan, Indonesia</t>
  </si>
  <si>
    <t>Background The knowledge gap regarding post-logging carbon recovery by increased growth is becoming more crucial to understand the significant contribution of forest to climate change mitigation. We assessed the ability of tropical forests in Indonesia to recover carbon following conventional logging. We evaluated carbon re-growth of 10,415 trees in permanent sample plots (PSPs) in East Kalimantan. Four different post-harvesting silvicultural treatments including liberation, refining, thinning, and control were applied in the PSPs. We estimated the carbon recovery period using three different scenarios of total carbon losses due to logging. In the first scenario, we used an existing factor of logging damage and increased it for assuming the range of carbon losses due to different logging practices. Results Under the existing conventional logging practice, the concession annually emits 51.18 tC center dot ha(- 1), of which 16.8% are extracted from the forest as raw timber, 38% are logging losses, and 45.2% are emissions due to infrastructure development for logging operation. Increasing the logging damage factor two and three times led to an increase in carbon emission to 70.76 and 90.34 tC center dot ha(- 1), respectively. The recovery time of the aboveground carbon is 26 years in Scenario 1, 36 years in Scenario 2, and 46 years in Scenario 3. We found no significant effect of the silvicultural treatment type on carbon recovery, but significant effect of the sites was observed. Conclusions We found that the time taken to restore the carbon to the level found in undisturbed forests is considerably longer than the current intervention cycles. The time needed to recover biomass and carbon-stock noticeably depends on the intensity of logging interventions, demonstrating the benefits of using improved harvesting e.g., reduced impact logging to reduce emissions. The study found that site variability has a significant effect on the carbon recovery time. Different silvicultural treatments, on the other hand, have no effect on the recovery time. The study suggests that it is not appropriate to establish an intervention cycle based on arbitrary choice; the time between interventions must be based on logging losses and site specific growth potential to ensure sustainable management of forests.</t>
  </si>
  <si>
    <t>For. Ecosyst.</t>
  </si>
  <si>
    <t>10.1186/s40663-019-0195-x</t>
  </si>
  <si>
    <t>silvicultural treatment</t>
  </si>
  <si>
    <t>control</t>
  </si>
  <si>
    <t>liberation</t>
  </si>
  <si>
    <t>total harvested volume</t>
  </si>
  <si>
    <t>m3</t>
  </si>
  <si>
    <t>refinement</t>
  </si>
  <si>
    <t>RESOURCES CONSERVATION AND RECYCLING</t>
  </si>
  <si>
    <t>Circular economy; Life cycle assessment (lca); Biogenic carbon; Climate change; Bio-concrete; Transportation</t>
  </si>
  <si>
    <t>LIFE-CYCLE ASSESSMENT; ENVIRONMENTAL EVALUATION; SUPPLY CHAIN; LCA; CONSTRUCTION; CARBON; STRATEGIES; GERMANY</t>
  </si>
  <si>
    <t>Caldas, LR; Saraiva, AB; Lucena, AFP; Da Gloria, MY; Santos, AS; Toledo, RD</t>
  </si>
  <si>
    <t>Building materials in a circular economy: The case of wood waste as CO2-sink in bio concrete</t>
  </si>
  <si>
    <t>This paper aims to assess greenhouse gases' (GHG) emissions in the life cycle of wood bio-concretes (WBC) production when recycled wood shavings (WS) are used as a circular economy (CE) strategy. Two WBC were evaluated, one with a higher content of WS (WBC-HC) and another with a lower content (WBC-LC). Different WS recycling and transportation scenarios were evaluated. The Life Cycle Assessment (LCA) methodology was used, considering a cradle-to-gate scope, comparing two methods for calculation of GHG emissions: IPCC GWP100 and GWP(bi)(o). The transport analysis was carried out considering the WBC production in 26 Brazilian cities, according to different locations where waste WS are generated. In order to increase the robustness of the study, a sensitivity analysis was performed for: types of WS allocation, the origin of WS (waste x virgin materials), transportation efficiency, and electricity grid matrix. We verified that the waste WS content increase in WBC resulted in climate change mitigation for all cases and scenarios (when the biogenic carbon is considered). However, this benefit can vary according to WS availability and transport efficiency. Therefore, transportation must deserve special attention for the CE evaluation. When the GWP(bi)(o) method is used and CO2 capture during the eucalypt growth is accounted for, the GHG emissions of WBC production can be very low (15 kgCO(2)-eq/m(3)). We conclude that recycling wood waste to use in WBC can be considered a good CO2 sink and a pathway for the low-carbon and circular construction industry.</t>
  </si>
  <si>
    <t>Resour. Conserv. Recycl.</t>
  </si>
  <si>
    <t>10.1016/j.resconrec.2020.105346</t>
  </si>
  <si>
    <t>SC</t>
  </si>
  <si>
    <t>location</t>
  </si>
  <si>
    <t>wood shavings content</t>
  </si>
  <si>
    <t>kg/m3 of concrete</t>
  </si>
  <si>
    <t>kgCO2-eq/m3 concrete</t>
  </si>
  <si>
    <t>Brazil</t>
  </si>
  <si>
    <t>transport distance</t>
  </si>
  <si>
    <t>Life cycle assessment (LCA); Greenhouse gas (GHG) emissions; Forest residues; Wood residues; Biomass; Bioenergy; Remote communities</t>
  </si>
  <si>
    <t>FAST PYROLYSIS; ENERGY; LCA</t>
  </si>
  <si>
    <t>Cambero, C; Alexandre, MH; Sowlati, T</t>
  </si>
  <si>
    <t>Life cycle greenhouse gas analysis of bioenergy generation alternatives using forest and wood residues in remote locations: A case study in British Columbia, Canada</t>
  </si>
  <si>
    <t>Utilization of forest and wood residues as bioenergy feedstock in some remote communities could reduce environmental burdens and increase development opportunities. In a thorough bioenergy project planning, in addition to the economic performance, the potential greenhouse gas (GHG) emissions from investment alternatives should be considered. We present an economic assessment and a life cycle analysis of GHG emissions of alternative bioenergy systems, which include four combustion and gasification technologies with different capacities (0.5 MW, 2 MW and 5 MW), in two remote communities in British Columbia, Canada. In the analysis, all stages from harvesting to energy production are included, and the GHG emissions of the baseline system in each community (the current situation with all the products and services it provides) are used as the reference for comparison. Results of this study show that for small scale alternatives (0.5 MW and 2 MW), cogenerating plants using boiler/steam turbines generate the cheapest electricity, while for larger scale alternatives (5 MW), the most economical plant alternative is a gasification cogeneration system. In the community where all energy needs are currently satisfied using fossil fuels, and all biomass residues (forest and sawmill residues) are currently disposed by burning, net reductions of up to 40,909 t of CO2 equivalent GHG emissions could be achieved with the installation of a 5 MW boiler/steam turbine cogenerating heat and electricity. In the community where the current energy mix is mostly supplied from other renewable sources (i.e. hydro), and where forest residues are disposed by burning and sawmill residues are landfilled, the net GHG emission reductions that can be achieved with a bioenergy system are considerably lower (2535 t of CO2 equivalent emissions with a 5 MW cogenerating gasification system) or null, since the carbon capture of current biomass disposal in landfill outweighs the carbon emission reduction of most bioenergy alternatives. (C) 2015 Elsevier B.V. All rights reserved.</t>
  </si>
  <si>
    <t>10.1016/j.resconrec.2015.10.014</t>
  </si>
  <si>
    <t>technology for energy supply</t>
  </si>
  <si>
    <t>baseline (diesel + fuel oil)</t>
  </si>
  <si>
    <t>ST*</t>
  </si>
  <si>
    <t>biomass demand</t>
  </si>
  <si>
    <t>oven-dry metric tons per year</t>
  </si>
  <si>
    <t>tCO2eq</t>
  </si>
  <si>
    <t>Canada</t>
  </si>
  <si>
    <t>ST</t>
  </si>
  <si>
    <t>ORC</t>
  </si>
  <si>
    <t>Gas</t>
  </si>
  <si>
    <t/>
  </si>
  <si>
    <t>SOUTH AFRICAN JOURNAL OF SCIENCE</t>
  </si>
  <si>
    <t>life-cycle assessment; pine; steel; novel truss materials; green building</t>
  </si>
  <si>
    <t>LIFE-CYCLE; GREENHOUSE-GAS; WOOD PRODUCTS; SUBSTITUTION; CARBON; CONSTRUCTION</t>
  </si>
  <si>
    <t>Crafford, PL; Blumentritt, M; Wessels, CB</t>
  </si>
  <si>
    <t>The potential of South African timber products to reduce the environmental impact of buildings</t>
  </si>
  <si>
    <t>South Africa was the first country in Africa to implement a locally developed green building rating tool and has a growing number of rated green building projects. The method of life-cycle assessment can help to compare and assess the environmental performance of building products. At present, more than 70% of all sawn timber in South Africa is used in buildings, mainly in roof structures. Light gauge steel trusses have recently also been gaining market share. However, to date, no studies have been conducted that quantify and compare the environmental impacts of the different roof truss systems in South Africa. We thus compared several roof truss systems (South African pine, Biligom and light gauge steel) found in low- and medium-income house designs in South Africa using a simplified life-cycle assessment approach. Our results show that the two timber systems had overall the lowest environmental impact. Although the difference between the timber systems was small, light gauge steel had a 40% higher normalised impact over all assessed environmental impact categories. The benefit of biogenic carbon dioxide present in timber proved to play a significant positive role in the global warming potential impact and could even be further reduced if wood were used to generate energy at its end-of-life. This study demonstrates the potential advantage of using local timber products to reduce the environmental impact of the truss and building industry in South Africa. Significance: Timber truss systems showed overall lower environmental impact than light gauge steel trusses, with implications for green building.</t>
  </si>
  <si>
    <t>S. Afr. J. Sci.</t>
  </si>
  <si>
    <t>10.17159/sajs.2017/20160354</t>
  </si>
  <si>
    <t>wood species for roof truss (42m2 house)</t>
  </si>
  <si>
    <t>biligom</t>
  </si>
  <si>
    <t>pine</t>
  </si>
  <si>
    <t>volume of wood used</t>
  </si>
  <si>
    <t>South Africa</t>
  </si>
  <si>
    <t>wood species for roof truss (168m2 house)</t>
  </si>
  <si>
    <t>material of roof truss (42m2)</t>
  </si>
  <si>
    <t>light gauge steel</t>
  </si>
  <si>
    <t>material of roof truss (168m2)</t>
  </si>
  <si>
    <t>ENVIRONMENTAL SCIENCE &amp; TECHNOLOGY</t>
  </si>
  <si>
    <t>INPUT-OUTPUT-ANALYSIS; ENERGY</t>
  </si>
  <si>
    <t>Crawford, RH</t>
  </si>
  <si>
    <t>Greenhouse Gas Emissions Embodied in Reinforced Concrete and Timber Railway Sleepers</t>
  </si>
  <si>
    <t>In Australia, there are currently two main materials used for railway sleepers: timber (river red gum, a species of eucalypt) and reinforced concrete. Within the state of Victoria alone, there are currently seven million railway sleepers that make up the rail network. It is estimated that around two million sleepers, or 29%, are presently required to replace timber sleepers and upgrade the entire network, for which there are significant environmental implications, such as the emission of greenhouse gases. These emissions are mainly as a result of the energy and other resources required or embodied through the sleeper manufacture, including those associated with harvesting timber and mining raw materials for manufacturing cement. Where alternatives are readily available, it is important that the environmental impacts of the various choices are assessed, ensuring that these impacts are minimized. This study aimed to assess the life cycle greenhouse gas emissions associated with timber and reinforced concrete railway sleepers and showed that the life cycle emissions of reinforced concrete sleepers were up to six times less than the emissions associated with timber sleepers. Taking the potential errors associated with this type of assessment into account, there appears to be a significant advantage in using reinforced concrete sleepers, in terms of reducing the life cycle emissions associated with the provision of railway sleepers.</t>
  </si>
  <si>
    <t>Environ. Sci. Technol.</t>
  </si>
  <si>
    <t>10.1021/es8023836</t>
  </si>
  <si>
    <t>service-life of wood sleepers</t>
  </si>
  <si>
    <t>T1 20 years lifespan no fastenings reuse</t>
  </si>
  <si>
    <t>T2 30 years lifespan no fastenings reuse</t>
  </si>
  <si>
    <t>weight per km of track</t>
  </si>
  <si>
    <t>tCO2eq/km</t>
  </si>
  <si>
    <t>Australia</t>
  </si>
  <si>
    <t>T3 20 years, 50% fastenings reuse</t>
  </si>
  <si>
    <t>T4 30 years 50% reuse</t>
  </si>
  <si>
    <t>T5 20 years 96% reuse</t>
  </si>
  <si>
    <t>T6 30 years 96%</t>
  </si>
  <si>
    <t>material for railway sleepers</t>
  </si>
  <si>
    <t>C1 30years lifespan no fastenings reuse</t>
  </si>
  <si>
    <t>table 5</t>
  </si>
  <si>
    <t>C2 50 years lifespan no fastenings reuse</t>
  </si>
  <si>
    <t>consistent with abstract</t>
  </si>
  <si>
    <t>Concrete C1 30years lifespan no fastenings reuse</t>
  </si>
  <si>
    <t>Concrete C2 50 years lifespan no fastenings reuse</t>
  </si>
  <si>
    <t>T4 30 years 50%steel fastenings  reuse</t>
  </si>
  <si>
    <t>JOURNAL OF CLEANER PRODUCTION</t>
  </si>
  <si>
    <t>Buildings; Frame; Structures; Design; Carbon; Mass</t>
  </si>
  <si>
    <t>LIFE-CYCLE; CARBON EMISSIONS; MASS TIMBER; ENERGY USE; STEEL; DESIGN; WOOD</t>
  </si>
  <si>
    <t>D'Amico, B; Pomponi, F; Hart, J</t>
  </si>
  <si>
    <t>Global potential for material substitution in building construction: The case of cross laminated timber</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</si>
  <si>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</si>
  <si>
    <t>J. Clean Prod.</t>
  </si>
  <si>
    <t>10.1016/j.jclepro.2020.123487</t>
  </si>
  <si>
    <t>material used for floor slabs</t>
  </si>
  <si>
    <t>additional timber need</t>
  </si>
  <si>
    <t>Mt</t>
  </si>
  <si>
    <t>MtCO2eq</t>
  </si>
  <si>
    <t>BUILDINGS</t>
  </si>
  <si>
    <t>life cycle assessment; carbon emissions; embodied carbon; operational carbon; cradle-to-cradle; light timber house; light steel house; New Zealand</t>
  </si>
  <si>
    <t>COLD-FORMED STEEL; ASSESSMENT LCA; FRAMEWORK; STRENGTH; BEHAVIOR; DESIGN; SECTOR</t>
  </si>
  <si>
    <t>Dani, AA; Roy, K; Masood, R; Fang, ZY; Lim, JBP</t>
  </si>
  <si>
    <t>A Comparative Study on the Life Cycle Assessment of New Zealand Residential Buildings</t>
  </si>
  <si>
    <t>In New Zealand, housing is typically low density, with light timber framing being the dominant form of construction with more than 90% of the market. From 2020, as a result of the global pandemic, there was a shortage of timber in New Zealand, resulting in increased popularity for light steel framing, the main alternative to timber for housing. At the same time, the New Zealand government is committed to sustainability practises through legislation and frameworks, such as the reduction of whole-of-life carbon emissions for the building industry. New Zealand recently announced reducing its net greenhouse gas emissions by 50% within 2030. Life cycle assessment (LCA) is a technique for assessing the environmental aspects associated with a product over its life cycle. Despite the popularity of LCA in the construction industry of New Zealand, prior research results seem varied. There is no unified NZ context database to perform an LCA for buildings. Therefore, in this paper, a comprehensive study using LCA was conducted to quantify and compare the quantity of carbon emissions from two commonly designed houses in the Auckland region, one built from light timber and the other from light steel, both designed for a lifespan of 90 years. The cradle-to-cradle system boundary was used for the LCA. From the results of this study, it was found that the light steel house had 12.3% more carbon in total (including embodied and operational carbons) when compared to the light timber house, of which the manufacturing of two houses had a difference of 50.4% in terms of carbon emissions. However, when the end-of-life (EOL) analysis was included, it was found that the extra carbon could be offset due to the steel's recyclability, reducing the amount of embodied carbon in the manufacturing process. Therefore, there was no significant difference in carbon emissions between the light steel and the light timber building, with the difference being only 12.3%.</t>
  </si>
  <si>
    <t>BUILDINGS-BASEL</t>
  </si>
  <si>
    <t>10.3390/buildings12010050</t>
  </si>
  <si>
    <t>house construction system</t>
  </si>
  <si>
    <t>house B : light steel</t>
  </si>
  <si>
    <t>house A : light timber</t>
  </si>
  <si>
    <t>wood laterials</t>
  </si>
  <si>
    <t>table5</t>
  </si>
  <si>
    <t>kgCO2/m2/yr (multiply by m2 area to have full budget)</t>
  </si>
  <si>
    <t>New Zealand</t>
  </si>
  <si>
    <t>STRUCTURES</t>
  </si>
  <si>
    <t>Building; Environmental impact; Floors; Life cycle assessment; Rehabilitation</t>
  </si>
  <si>
    <t>REINFORCED-CONCRETE STRUCTURES; COMPOSITE-MATERIALS; OPTIMIZATION; PANELS</t>
  </si>
  <si>
    <t>Demertzi, M; Silvestre, J; Garrido, M; Correia, JR; Durao, V; Proenca, M</t>
  </si>
  <si>
    <t>Life cycle assessment of alternative building floor rehabilitation systems</t>
  </si>
  <si>
    <t>The aim of this study is to quantify and compare the environmental impact from cradle-to-gate of different systems for building floor rehabilitation. The Life Cycle Assessment (LCA) method was used for the evaluation of the potential environmental impact of the production of each floor system in eight categories and a monetisation method was used for the weighting of the results and for their expression into one single indicator. Five functionally equivalent (from a structural standpoint) systems were assessed, including: (i) traditional solutions, such as timber floors and reinforced concrete (RC) slabs; (ii) less conventional solutions, such as beam-and-block and steel-concrete composite slab systems; and (iii) an innovative glass fibre reinforced polymer (GFRP) sandwich panel system. The environmental impacts of these systems are compared in this paper for the first time. It was found out that timber is the most environmentally friendly solution, since it presents the lowest total values in all environmental impact categories (under 1% of the impact of the solution with highest impact in each category, RC or GFRP), except for primary renewable energy consumption, for which the RC solution presents the least consumption. On the other hand, it was found out that: the steel-concrete composite floor is the least environmentally friendly solution in abiotic resource depletion; the RC solution is the least performing option in terms of global warming potential and ozone depletion potential; and the GFRP system presents the worst behaviour in five environmental impact categories - non-renewable energy consumption, photochemical ozone formation potential, acidification potential, eutrophication potential and Eco-costs. However, if the most important inefficiencies identified during the production of the latter floor system are at least partly amended, its impacts would be substantially reduced, particularly regarding the Eco-costs indicator, which considers four environmental categories at once - in that case, the RC solution would become the worst solution and GFRP sandwich panels would have an aggregated result of 80% of the RC. The final part of the paper presents a qualitative assessment of the gate-to-grave performance of the different solutions.</t>
  </si>
  <si>
    <t>Structures</t>
  </si>
  <si>
    <t>10.1016/j.istruc.2020.03.060</t>
  </si>
  <si>
    <t>type of floor</t>
  </si>
  <si>
    <t>Beam-and-block</t>
  </si>
  <si>
    <t>timber</t>
  </si>
  <si>
    <t xml:space="preserve">wood amount </t>
  </si>
  <si>
    <t>Portugal</t>
  </si>
  <si>
    <t>steel-concrete composite</t>
  </si>
  <si>
    <t>GFRP</t>
  </si>
  <si>
    <t>reinforced concrete</t>
  </si>
  <si>
    <t>Reuse; Concrete; Existing Structures; Footbridge; Arch; Structural Design; Life Cycle Assessment; Circular Economy</t>
  </si>
  <si>
    <t>STEEL REUSE; CONSTRUCTION; BARRIERS; COMPONENTS</t>
  </si>
  <si>
    <t>Devenes, J; Brutting, J; Kupfer, C; Bastien-Masse, M; Fivet, C</t>
  </si>
  <si>
    <t>Re:Crete-Reuse of concrete blocks from cast-in-place building to arch footbridge</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</si>
  <si>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</si>
  <si>
    <t>10.1016/j.istruc.2022.07.012</t>
  </si>
  <si>
    <t>bridge construction system</t>
  </si>
  <si>
    <t>reused concrete blocks</t>
  </si>
  <si>
    <t>materials data for LCA</t>
  </si>
  <si>
    <t>Switzerland</t>
  </si>
  <si>
    <t>recycled concrete monolithic arch</t>
  </si>
  <si>
    <t>Lifecycle; Carbon footprint; Wood-based building; Structural system; Massive timber; Beam-and-column; Volume elements</t>
  </si>
  <si>
    <t>GREENHOUSE-GAS EMISSIONS; ENVIRONMENTAL PERFORMANCE; RESIDENTIAL CONSTRUCTION; URBAN INFILL; WOOD; PRODUCTS; BALANCES; CONCRETE; IMPACTS; COSTS</t>
  </si>
  <si>
    <t>Dodoo, A; Gustavsson, L; Sathre, R</t>
  </si>
  <si>
    <t>Lifecycle carbon implications of conventional and low-energy multi-storey timber building systems</t>
  </si>
  <si>
    <t>A consequential-based lifecycle approach is used here to explore the carbon implications of conventional and low-energy versions of three timber multi-storey building systems. The building systems are made of massive wood using cross laminated timber (CLT) elements; beam-and-column using glulam and laminated veneer lumber (LVL) elements; and prefabricated modules using light-frame volume elements. The analysis encompasses the entire resource chains during the lifecycle of the buildings, and tracks the flows of carbon from fossil energy, industrial process reactions, changes in carbon stocks in materials, and potential avoided fossil emissions from substitution of fossil energy by woody residues. The results show that the low-energy version of the CLT building gives the lowest lifecycle carbon emission while the conventional version of the beam-and-column building gives the highest lifecycle emission. Compared to the conventional designs, the low-energy designs reduce the total carbon emissions (excluding from tap water heating and household and facility electricity) by 9%, 8% and 9% for the CLT, beam-and-column and modular systems, respectively, for a 50-year lifespan located in Vaxjo. The relative significance of the construction materials to the fossil carbon emission varies for the different energy-efficiency levels of the buildings, with insulation dominating for the low-energy houses and plasterboard dominating for the conventional houses. (C) 2014 Elsevier B.V. All rights reserved.</t>
  </si>
  <si>
    <t>10.1016/j.enbuild.2014.06.034</t>
  </si>
  <si>
    <t>construction type</t>
  </si>
  <si>
    <t>modular system conventional</t>
  </si>
  <si>
    <t>beam-and-column conventional</t>
  </si>
  <si>
    <t>mass</t>
  </si>
  <si>
    <t>t</t>
  </si>
  <si>
    <t>modular system low-energy</t>
  </si>
  <si>
    <t>beam-and-column low-energy</t>
  </si>
  <si>
    <t>CLT low-energy</t>
  </si>
  <si>
    <t>CLT conventional</t>
  </si>
  <si>
    <t>SUSTAINABILITY</t>
  </si>
  <si>
    <t>mass timber; life cycle assessment; comparative LCA; timber construction</t>
  </si>
  <si>
    <t>LIFE-CYCLE ASSESSMENT</t>
  </si>
  <si>
    <t>Dolezal, F; Dornigg, I; Wurm, M; Figl, H</t>
  </si>
  <si>
    <t>Overview and Main Findings for the Austrian Case Study</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</si>
  <si>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</si>
  <si>
    <t>Sustainability</t>
  </si>
  <si>
    <t>10.3390/su13147584</t>
  </si>
  <si>
    <t>Use of timber instead of concrete</t>
  </si>
  <si>
    <t>Concrete</t>
  </si>
  <si>
    <t>Austria</t>
  </si>
  <si>
    <t>CONSTRUCTION AND BUILDING MATERIALS</t>
  </si>
  <si>
    <t>LCA; Private building; High-rise building; Precast concrete; Prefabrication; Carbon emission</t>
  </si>
  <si>
    <t>HONG-KONG; PREFABRICATION</t>
  </si>
  <si>
    <t>Dong, YH; Jaillon, L; Chu, P; Poon, CS</t>
  </si>
  <si>
    <t>Comparing carbon emissions of precast and cast-in-situ construction methods - A case study of high-rise private building</t>
  </si>
  <si>
    <t>Buildings are one of the primary contributors to carbon emissions. Given the small size of construction site and increasing housing demand in Hong Kong, precast concrete has been frequently adopted in not only public residential buildings, but also the private sector. This study compares the carbon emissions of precast and traditional cast-in-situ construction methods based on a case study of a private residential building in Hong Kong. Life cycle assessment (LCA) model is established to consider the system processes from cradle to end of construction. The comparison is conducted based on eight scenarios at four levels, i.e. cubic meter concrete, precast facade, group of facade elements, and an apartment. It is found that the carbon emission of the studied residential apartment is 669 kg carbon dioxide equivalent per one square meter floor area. Precasting can lead to 10% carbon reduction for one cubic meter concrete. Steel formwork for precasting performs better than timber formwork used in cast-in-situ concrete. Adopting more precast concrete can lead to less carbon emission. Based on the research findings, it is highly recommended to adopt precast concrete in building construction. The building industry should consider the carbon reduction as a benefit of implementing precast concrete. (C) 2015 Elsevier Ltd. All rights reserved.</t>
  </si>
  <si>
    <t>Constr. Build. Mater.</t>
  </si>
  <si>
    <t>10.1016/j.conbuildmat.2015.08.145</t>
  </si>
  <si>
    <t>S2-PC</t>
  </si>
  <si>
    <t>S1-IS</t>
  </si>
  <si>
    <t>wood amount needed to form 1m3 concrete</t>
  </si>
  <si>
    <t>kg/m3</t>
  </si>
  <si>
    <t>kgCO2/m3</t>
  </si>
  <si>
    <t>Hong Kong</t>
  </si>
  <si>
    <t>Life cycle assessment; Life cycle greenhouse gas emissions; Life cycle primary energy; RC building; CLT building; Hybrid CLT building</t>
  </si>
  <si>
    <t>ENERGY USE; EMBODIED ENERGY; CLIMATE; CONSTRUCTION; IMPACT; CARBON; WOOD; COMFORT; BALANCE; DESIGN</t>
  </si>
  <si>
    <t>Duan, ZC; Huang, Q; Sun, QM; Zhang, Q</t>
  </si>
  <si>
    <t>Comparative life cycle assessment of a reinforced concrete residential building with equivalent cross laminated timber alternatives in China</t>
  </si>
  <si>
    <t>With the development of mass timber, cross laminated timber (CLT) has gradually become a sustainable alternative to conventional building materials to alleviate the increasing energy consumption and carbon emissions by the building sector. This study aims to explore the life cycle greenhouse gas emissions (LCGHGE) and life cycle primary energy (LCPE) of three high-rise residential buildings in the cold region of China through a life cycle assessment approach. The three buildings are conventional reinforced concrete (RC), CLT and hybrid CLT buildings. The results show that CLT and hybrid CLT buildings produce 15.00% and 10.77% lower LCGHGE, respectively, compared to the RC building within a 50-year service life. A clear difference in greenhouse gas (GHG) emissions and primary energy (PE) in the product and construction stages is visible, with 46.52% and 37.24% of embodied GHG emissions reduced in CLT and hybrid CLT buildings, respectively, compared to the RC building. In the operational stage, RC building has lower PE and GHG emissions to CLT alternatives. The thermal mass effect has led to a 2.25% and 2.12% PE increase for space heating and cooling in CLT and hybrid CLT buildings, respectively, compared to the RC building. For the End-of-Life (EoL) stage, CLT demonstrates great recycling potential and biomass residues. The sensitivity analysis shows that the design of the low U-value of the building envelope and high-efficiency energy systems has a significant relationship with energy reduction during the operational phase of the three buildings, magnifying the impacts of the initial and EoL stages.</t>
  </si>
  <si>
    <t>10.1016/j.jobe.2022.105357</t>
  </si>
  <si>
    <t>construction materials</t>
  </si>
  <si>
    <t>table4</t>
  </si>
  <si>
    <t>fig8</t>
  </si>
  <si>
    <t>China</t>
  </si>
  <si>
    <t xml:space="preserve">Eriksson, E., Gillespie, A. R., Gustavsson, L., Langvall, O., Olsson, M., Sathre, R., &amp; Stendahl, J. </t>
  </si>
  <si>
    <t xml:space="preserve"> Integrated carbon analysis of forest management practices and wood substitution</t>
  </si>
  <si>
    <t xml:space="preserve"> Canadian Journal of Forest Research</t>
  </si>
  <si>
    <t>10.1139/X06-257</t>
  </si>
  <si>
    <t>management system</t>
  </si>
  <si>
    <t>fertilization</t>
  </si>
  <si>
    <t>mean biomass production</t>
  </si>
  <si>
    <t>table6</t>
  </si>
  <si>
    <t>m3/ha/a</t>
  </si>
  <si>
    <t>fig2</t>
  </si>
  <si>
    <t>tC/ha/year</t>
  </si>
  <si>
    <t>change Qwood variable to m3 harvested</t>
  </si>
  <si>
    <t>intensive</t>
  </si>
  <si>
    <t>m3/ha/yr</t>
  </si>
  <si>
    <t>Fix conversion units Qwood</t>
  </si>
  <si>
    <t>LCA; LCIA; mid-rise timber buildings; carbon storage; passive zero carbon housing</t>
  </si>
  <si>
    <t>Felmer, G; Morales-Vera, R; Astroza, R; Gonzalez, I; Puettmann, M; Wishnie, M</t>
  </si>
  <si>
    <t>A Lifecycle Assessment of a Low-Energy Mass-Timber Building and Mainstream Concrete Alternative in Central Chile</t>
  </si>
  <si>
    <t>While high-rise mass-timber construction is booming worldwide as a more sustainable alternative to mainstream cement and steel, in South America, there are still many gaps to overcome regarding sourcing, design, and environmental performance. The aim of this study was to assess the carbon emission footprint of using mass-timber products to build a mid-rise low-energy residential building in central Chile (CCL). The design presented at a solar decathlon contest in Santiago was assessed through lifecycle analysis (LCA) and compared to an equivalent mainstream concrete building. Greenhouse gas emissions, expressed as global warming potential (GWP), from cradle-to-usage over a 50-year life span, were lower for the timber design, with 131 kg CO2 eq/m(2) of floor area (compared to 353 kg CO2 eq/m(2)) and a biogenic carbon storage of 447 tons of CO2 eq/m(2) based on sustainable forestry practices. From cradle-to-construction, the embodied emissions of the mass-timber building were 42% lower (101 kg CO2 eq/m(2)) than those of the equivalent concrete building (167 kg CO2 eq/m(2)). The embodied energy of the mass-timber building was 37% higher than that of its equivalent concrete building and its envelope design helped reduce space-conditioning emissions by as much as 83%, from 187 kg CO2 eq/m(2) as estimated for the equivalent concrete building to 31 kg CO2 eq/m(2) 50-yr. Overall, provided that further efforts are made to address residual energy end-uses and end-of-life waste management options, the use of mass-timber products offers a promising potential in CCL for delivering zero carbon residential multistory buildings.</t>
  </si>
  <si>
    <t>10.3390/su14031249</t>
  </si>
  <si>
    <t>construction system</t>
  </si>
  <si>
    <t>RC design</t>
  </si>
  <si>
    <t>MT design</t>
  </si>
  <si>
    <t>material quantities</t>
  </si>
  <si>
    <t>table A1</t>
  </si>
  <si>
    <t>tCO2eq/building</t>
  </si>
  <si>
    <t>Chile</t>
  </si>
  <si>
    <t>Life cycle assessment (LCA); Building; Biogenic carbon; Dynamic; Prospective</t>
  </si>
  <si>
    <t>LIFE-CYCLE ASSESSMENT; FOREST PRODUCTS; IMPACT; DECOMPOSITION; EMISSIONS; TIME</t>
  </si>
  <si>
    <t>Fouquet, M; Levasseur, A; Margni, M; Lebert, A; Lasvaux, S; Souyri, B; Buhe, C; Woloszyn, M</t>
  </si>
  <si>
    <t>Methodological challenges and developments in LCA of low energy buildings: Application to biogenic carbon and global warming assessment</t>
  </si>
  <si>
    <t>In Europe, low energy buildings become common for new constructions and life cycle assessment (LCA) is increasingly used to assess their environmental performance. The overall objective of this study is to investigate known challenges related to buildings LCA such as biogenic carbon accounting and dynamic and prospective aspects, and to discuss how they affect LCA results for low energy buildings and what developments are still needed. Three single family houses built respectively with timber frame, concrete blocks cavity wall, and cast concrete are used as a case study, focusing on the global warming impact category. When biogenic carbon is addressed, the timber house is the less impacting choice, whether it is landfilled or burned at the end-of-life. The cavity wall house is the second most favourable option, and the cast concrete house is the worst one. In the case of landfilling for the timber house, the biogenic carbon balance is not neutral and worth to be considered. When a dynamic approach and specific prospective scenarios are considered, the ranking between houses stays the same, but the gaps between options vary e.g. the gap between the landfilled timber house and the cast concrete house vary from 40 % to 60 % when optimistic changes in the electricity mix are considered. Dynamic LCA allows for a more consistent analysis of emissions flows and global warming impacts over time. Prospective LCA could provide more relevant LCA results but increases uncertainty and could be used as sensitivity analysis for long life span buildings. (C) 2015 Elsevier Ltd. All rights reserved.</t>
  </si>
  <si>
    <t>10.1016/j.buildenv.2015.03.022</t>
  </si>
  <si>
    <t>Landfilling or incineration</t>
  </si>
  <si>
    <t>Incineration</t>
  </si>
  <si>
    <t>C sequestered in products</t>
  </si>
  <si>
    <t>kgCO2</t>
  </si>
  <si>
    <t>France</t>
  </si>
  <si>
    <t>Timber frame vs cast concrete house</t>
  </si>
  <si>
    <t>Timber frame vs concrete blocks house</t>
  </si>
  <si>
    <t>Italy</t>
  </si>
  <si>
    <t xml:space="preserve">Gustavsson, L., &amp; Sathre, R. </t>
  </si>
  <si>
    <t xml:space="preserve"> Variability in energy and carbon dioxide balances of wood and concrete building materials</t>
  </si>
  <si>
    <t xml:space="preserve"> Building and Environment</t>
  </si>
  <si>
    <t xml:space="preserve">10.1016/j.buildenv.2005.04.008 </t>
  </si>
  <si>
    <t>recovery of logging residue</t>
  </si>
  <si>
    <t>not recovered</t>
  </si>
  <si>
    <t>recovered</t>
  </si>
  <si>
    <t>flow of wood-based materials</t>
  </si>
  <si>
    <t>tonnes oven-dry material</t>
  </si>
  <si>
    <t>Table 4</t>
  </si>
  <si>
    <t>Europe</t>
  </si>
  <si>
    <t>recovery of sawmill residues</t>
  </si>
  <si>
    <t>recovery of construction waste</t>
  </si>
  <si>
    <t>transportation distance</t>
  </si>
  <si>
    <t>short</t>
  </si>
  <si>
    <t>long</t>
  </si>
  <si>
    <t>growth of unharvested forest</t>
  </si>
  <si>
    <t>50% growth</t>
  </si>
  <si>
    <t>0% growth</t>
  </si>
  <si>
    <t>building type</t>
  </si>
  <si>
    <t>concrete-frame</t>
  </si>
  <si>
    <t>wood-frame</t>
  </si>
  <si>
    <t>harvested roundwood</t>
  </si>
  <si>
    <t>tonne</t>
  </si>
  <si>
    <t xml:space="preserve">Gustavsson, L., Pingoud, K., &amp; Sathre, R. </t>
  </si>
  <si>
    <t xml:space="preserve"> Carbon dioxide balance of wood substitution: comparing concrete-and wood-framed buildings</t>
  </si>
  <si>
    <t xml:space="preserve"> Mitigation and adaptation strategies for global change</t>
  </si>
  <si>
    <t xml:space="preserve">10.1007/s11027-006-7207-1 </t>
  </si>
  <si>
    <t>table II</t>
  </si>
  <si>
    <t>ton air-dry material</t>
  </si>
  <si>
    <t>table V</t>
  </si>
  <si>
    <t>Building type (Vikkii, Coal) SF-untouched</t>
  </si>
  <si>
    <t>Building type (Vikkii, Coal) SF-bioenergy</t>
  </si>
  <si>
    <t>two reviewers and different metadata</t>
  </si>
  <si>
    <t xml:space="preserve">Gustavsson, L., Haus, S., Ortiz, C. A., Sathre, R., &amp; Le Truong, N. </t>
  </si>
  <si>
    <t xml:space="preserve"> Climate effects of bioenergy from forest residues in comparison to fossil energy</t>
  </si>
  <si>
    <t xml:space="preserve"> Applied Energy</t>
  </si>
  <si>
    <t>10.1016/j.apenergy.2014.10.013</t>
  </si>
  <si>
    <t>residue harvest</t>
  </si>
  <si>
    <t>base case fossil system</t>
  </si>
  <si>
    <t>base case biogenic system</t>
  </si>
  <si>
    <t>harvested residue</t>
  </si>
  <si>
    <t>BIOMASS &amp; BIOENERGY</t>
  </si>
  <si>
    <t xml:space="preserve"> Biomass and Bioenergy</t>
  </si>
  <si>
    <t>fig6</t>
  </si>
  <si>
    <t>t/ha</t>
  </si>
  <si>
    <t>fig12</t>
  </si>
  <si>
    <t>fig5</t>
  </si>
  <si>
    <t>fig7</t>
  </si>
  <si>
    <t>LCA; GHG emissions; CO2 emissions; industrial buildings; timber; concrete; steel; portal frame</t>
  </si>
  <si>
    <t>CONSTRUCTION</t>
  </si>
  <si>
    <t>Hegeir, OA; Kvande, T; Stamatopoulos, H; Bohne, RA</t>
  </si>
  <si>
    <t>Comparative Life Cycle Analysis of Timber, Steel and Reinforced Concrete Portal Frames: A Theoretical Study on a Norwegian Industrial Building</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</si>
  <si>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</si>
  <si>
    <t>10.3390/buildings12050573</t>
  </si>
  <si>
    <t>portal frame material</t>
  </si>
  <si>
    <t>steel</t>
  </si>
  <si>
    <t>timber quantity</t>
  </si>
  <si>
    <t>m3 ( converted to m3/m2 with Area=25*42 according to table1)</t>
  </si>
  <si>
    <t>Coal</t>
  </si>
  <si>
    <t>Concrete; Cross Laminated Timber; Life cycle greenhouse gas emissions; Life cycle cost; Operational energy; Embodied energy</t>
  </si>
  <si>
    <t>ENERGY ANALYSIS; SUSTAINABLE CONSTRUCTION; THERMAL PERFORMANCE; CARBON FOOTPRINT; CLT PANELS; IMPACT; STEEL; BENEFITS; INDUSTRY; SECTOR</t>
  </si>
  <si>
    <t>Jayalath, A; Navaratnam, S; Ngo, T; Mendis, P; Hewson, N; Aye, L</t>
  </si>
  <si>
    <t>Life cycle performance of Cross Laminated Timber mid-rise residential buildings in Australia</t>
  </si>
  <si>
    <t>Engineering wood products have significant potential as a sustainable alternative for concrete and steel in construction. Cross Laminated Timber (CLT) can add value to conventional timber products due to its high strength-to-weight ratio, simple installation, aesthetic features and environmental benefits. Recent changes in the national construction code permit structural timber buildings with a height of up to 25m, which demonstrates the strong commitment of the construction industry to adopt more sustainable practices. This paper aims to compare life cycle greenhouse gas emissions (LCGHGE) and life cycle cost (LCC) of CLT and reinforced concrete (RC) in identical midrise residential buildings in three most populated cities in Australia. It has shown that the CLT building has 30 % less LCGHGE compared with the RC building over a life span of 50 years in Melbourne, and 34% and 29% reduction in LCGHCE in Sydney and Brisbane, respectively. The results from LCC analysis showed that CLT building is 1.3% lower than conventional RC in Melbourne, and 0.9% lower in Sydney and Brisbane. The initial and end of life phases reflected reductions in LCGHGE and LCC for the CLT building whilst the operation phase incurred higher values. The extended service life of buildings has a major impact on the operational phase while changes in the discount rate have strong effects on the lifecycle operational and maintenance costs. Overall the CLT building outperformed the RC building in terms of LCGHGE and LCC across three cities. However, further savings in the operational phase with energy efficient methodologies and reuse or recycling of timber products at the end of life of the building can reinforce CLT as a sustainable alternative to RC construction. (c) 2020 Elsevier B.V. All rights reserved.</t>
  </si>
  <si>
    <t>10.1016/j.enbuild.2020.110091</t>
  </si>
  <si>
    <t>city for building installation</t>
  </si>
  <si>
    <t>Brisbane</t>
  </si>
  <si>
    <t>Sydney</t>
  </si>
  <si>
    <t>Materials (clt+</t>
  </si>
  <si>
    <t>CLT instead of concrete</t>
  </si>
  <si>
    <t>RC</t>
  </si>
  <si>
    <t>Table 2</t>
  </si>
  <si>
    <t>t Co2eq</t>
  </si>
  <si>
    <t>Table 3</t>
  </si>
  <si>
    <t>ENERGY</t>
  </si>
  <si>
    <t>Combined heat and power plant; District heating; Energy analysis; Global warming; Life-cycle analysis; Material flow analysis</t>
  </si>
  <si>
    <t>LIFE-CYCLE ASSESSMENT; WASTE INCINERATION; GREENHOUSE GASES; CENTRAL NORWAY; EMISSIONS; SYSTEMS; CITY</t>
  </si>
  <si>
    <t>Karlsson, J; Brunzell, L; Venkatesh, G</t>
  </si>
  <si>
    <t>Material-flow analysis, energy analysis, and partial environmental-LCA of a district-heating combined heat and power plant in Sweden</t>
  </si>
  <si>
    <t>Combined heat and power (CHP) plants are a great improvement over waste-to-energy incineration plants supplying only heat, and power plants supplying only electricity. The primary purpose of a functioning CHP plant however, may be to provide district heating services, and thereby its main output will be heat energy. This paper is a case study commissioned by Karlskoga Energi och Miljo AB (KEMAB in short; Karlskoga Energy and Environment) in the Varmland State of south-central Sweden, and focuses on the functioning of the CHP plant owned and operated by the company. The life-cycles of the fuels used by the CHP - household/industrial waste, bio-oil, light fuel oil, wood waste, wood chips, a slaughterhouse-waste-derived product and peat to generate 202,222 MWh of heat, 119,234 MWh of steam and 28,220 MWh of electricity have been studied, and the carbon footprint calculated for year-2016. Using two sets of emissions factors for the combustion stage of the life-cycle, as part of a data uncertainty analysis, the total emissions were 44,000 tonnes carbon dioxide equivalents (CO2-eq) and 58,000 tonnes CO2-eq respectively. A quasi-realistic scenario analysis in which plastics are not available for incineration and have to be substituted with alternatives has also been carried out, and while wood waste has been suggested as the best alternative with regard to greenhouse gas (GHG) emissions, availability permitting, a combination of alternatives has been mooted as the practical option. (C) 2017 Elsevier Ltd. All rights reserved.</t>
  </si>
  <si>
    <t>10.1016/j.energy.2017.11.159</t>
  </si>
  <si>
    <t>Types of fuel in CHP</t>
  </si>
  <si>
    <t>Plastics</t>
  </si>
  <si>
    <t>Wood wastes</t>
  </si>
  <si>
    <t>Wood waste</t>
  </si>
  <si>
    <t>tCO2</t>
  </si>
  <si>
    <t>Wood chips</t>
  </si>
  <si>
    <t xml:space="preserve"> GCB Bioenergy</t>
  </si>
  <si>
    <t>timber production</t>
  </si>
  <si>
    <t xml:space="preserve">Knight, L., Huff, M., Stockhausen, J. I., &amp; Ross, R. J. </t>
  </si>
  <si>
    <t xml:space="preserve"> Comparing energy use and environmental emissions of reinforced wood doors and steel doors</t>
  </si>
  <si>
    <t xml:space="preserve"> Forest products journal</t>
  </si>
  <si>
    <t>Knight_2005_NO_DOI</t>
  </si>
  <si>
    <t>door type</t>
  </si>
  <si>
    <t>steel door</t>
  </si>
  <si>
    <t>wood door</t>
  </si>
  <si>
    <t>wood weight</t>
  </si>
  <si>
    <t>pounds</t>
  </si>
  <si>
    <t>kgCO2-eq</t>
  </si>
  <si>
    <t>ENVIRONMENTAL RESEARCH LETTERS</t>
  </si>
  <si>
    <t>cross-laminated timber; life cycle assessment; dynamic; carbon analysis; greenhouse gas emissions; energy consumption</t>
  </si>
  <si>
    <t>GREENHOUSE-GAS EMISSIONS; SOFTWOOD LUMBER; FUEL CHARACTERISTICS; INLAND NORTHWEST; FOREST RESIDUES; CO2 EMISSIONS; BULK-DENSITY; PINE; BIOMASS; PYROLYSIS</t>
  </si>
  <si>
    <t>Lan, K; Kelley, SS; Nepal, P; Yao, Y</t>
  </si>
  <si>
    <t>Dynamic life cycle carbon and energy analysis for cross-laminated timber in the Southeastern United States</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</si>
  <si>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</si>
  <si>
    <t>Environ. Res. Lett.</t>
  </si>
  <si>
    <t>10.1088/1748-9326/abc5e6</t>
  </si>
  <si>
    <t>eol recycling rate</t>
  </si>
  <si>
    <t>scenario 1 (Fig. 4)</t>
  </si>
  <si>
    <t>scenario 2 (Fig. 4)</t>
  </si>
  <si>
    <t>ton CO2-eq ha-1</t>
  </si>
  <si>
    <t>Fixed calculation of Cdelta</t>
  </si>
  <si>
    <t>scenario 3 (Fig. 4)</t>
  </si>
  <si>
    <t>scenario 4 (Fig. 4)</t>
  </si>
  <si>
    <t>scenario 5 (Fig. 4)</t>
  </si>
  <si>
    <t>scenario 6 (Fig. 4)</t>
  </si>
  <si>
    <t>scenario 7 (Fig. 4)</t>
  </si>
  <si>
    <t>scenario 8 (Fig. 4)</t>
  </si>
  <si>
    <t>aboveground biomass</t>
  </si>
  <si>
    <t>wet metric tonnes ha-1</t>
  </si>
  <si>
    <t>Energy recovery from residues</t>
  </si>
  <si>
    <t>mill residues sold to market and energy from gas scenario 7(Fig. 4)</t>
  </si>
  <si>
    <t>Mill residues recovery for energy scenario 5 (Fig. 4)</t>
  </si>
  <si>
    <t>mill residues sold to market and energy from gas scenario 8 (Fig. 4)</t>
  </si>
  <si>
    <t>Mill residues recovery for energy scenario 6 (Fig. 4)</t>
  </si>
  <si>
    <t>mill residues sold to market and energy from gas scenario 3 (Fig. 4)</t>
  </si>
  <si>
    <t xml:space="preserve">Mill residues recovery for energy  scenario 1 (Fig. 4) </t>
  </si>
  <si>
    <t>mill residues sold to market and energy from gas scenario 4 (Fig. 4)</t>
  </si>
  <si>
    <t>Mill residues recovery for energy scenario 2 (Fig. 4)</t>
  </si>
  <si>
    <t>JOURNAL OF INDUSTRIAL ECOLOGY</t>
  </si>
  <si>
    <t>Lausselet,C;Forero Urrego, JP;Resch, E;Brattebo,H</t>
  </si>
  <si>
    <t>Temporal analysis of the material flows and embodied greenhouse gas emissions of a neighborhood building stock</t>
  </si>
  <si>
    <t>Art</t>
  </si>
  <si>
    <t>10.1111/jiec.13049</t>
  </si>
  <si>
    <t>Building surface</t>
  </si>
  <si>
    <t>S1-30m2/cap</t>
  </si>
  <si>
    <t>Baseline (Table 2)</t>
  </si>
  <si>
    <t>1.333</t>
  </si>
  <si>
    <t>fig4d&amp;fig5</t>
  </si>
  <si>
    <t>ktonCO2</t>
  </si>
  <si>
    <t>Improving production efficiency</t>
  </si>
  <si>
    <t>S5-Ecoinvent 40%</t>
  </si>
  <si>
    <t>S6-EPD</t>
  </si>
  <si>
    <t>Change in lifetime</t>
  </si>
  <si>
    <t>S2-Ren40</t>
  </si>
  <si>
    <t>S4-Con100</t>
  </si>
  <si>
    <t>S3-Ren20</t>
  </si>
  <si>
    <t>Circular economy; Sustainability; Reliability; Cross laminated timber; Reinforced concrete</t>
  </si>
  <si>
    <t>UNCERTAINTY ANALYSIS; INDICATORS</t>
  </si>
  <si>
    <t>Lei, HR; Yang, W; Wang, WG; Li, CQ</t>
  </si>
  <si>
    <t>A new method for probabilistic circular economy assessment of buildings</t>
  </si>
  <si>
    <t>Circular economy (CE) is increasingly applied to support circular and sustainable development of buildings and infrastructures. To effectively monitor the implementation of CE, a unified assessment procedure is in urgent need. This paper aims to develop an overall CE index for probabilistic CE assessment of building materials. Models for material circularity and sustain -ability are established. The proposed overall CE index is demonstrated in a case study of two buildings made of cross laminated timber (CLT) and reinforced concrete (RC), considering mul-tiple uncertain variables in different end-of-life scenarios. It is found in this paper that the circularity and sustainability indexes can facilitate the standardization of CE assessments and align them with existing limit state design codes for structural safety, e.g., Eurocodes. Results of the case study suggest that the CLT building has significant lower probability of unsatisfactory CE performance over RC building in terms of material circularity indicator, embodied energy and carbon emission. The paper concludes that the overall CE index can integrate reliability methods with CE assessment effectively.</t>
  </si>
  <si>
    <t>10.1016/j.jobe.2022.104875</t>
  </si>
  <si>
    <t>quantities of timber</t>
  </si>
  <si>
    <t>Timber; CLT; High rise building; Embodied energy; Embodied carbon</t>
  </si>
  <si>
    <t>LIFE-CYCLE ASSESSMENT; ENERGY; DESIGN; CARBON; LCA</t>
  </si>
  <si>
    <t>Li, JH; Rismanchi, B; Ngo, T</t>
  </si>
  <si>
    <t>Feasibility study to estimate the environmental benefits of utilising timber to construct high-rise buildings in Australia</t>
  </si>
  <si>
    <t>Reinforced concrete has played a significant role in the construction industry and is one of the most popular construction materials. However, different studies suggest that reinforced concrete is not environmentally friendly with a significant adverse environmental impact during its production, usage and end of life. Therefore, a more sustainable material that could perform as well as reinforced concrete can overcome this limitation. During the past decade, a number of studies on timber construction have shown the potential to replace concrete with timber in parts of a building without compromising the resilience of the structure. Most of them focused on greenhouse gas emissions rather than embodied energy and structural requirements. Therefore, this research has focused on the feasibility of timber and its potential benefits as a construction material in parts of a high-rise building located in Australia. The potential benefits and limitations of utilising timber to construct a high-rise building in Australia were investigated. For this purpose, a hypothetical 43-storey building is considered, to make it comparable with the existing studies in the literature; the baseline model is designed according to the study by Kuilen et al. (2011). Three scenarios were considered with different proportion of timber. Parametric studies were subsequently conducted on the effects of materials, size and shape of the structural elements on the performance of the building. It was found that in the selected site, using timber to construct internal parts of high-rise buildings would provide the best solution in terms of structural and environmental benefits.</t>
  </si>
  <si>
    <t>10.1016/j.buildenv.2018.09.052</t>
  </si>
  <si>
    <t>Building construction design</t>
  </si>
  <si>
    <t>Scenario 1 Concrete (Table 15)</t>
  </si>
  <si>
    <t>Scenario 3 CLT (Table 15)</t>
  </si>
  <si>
    <t>wood consumption by weight</t>
  </si>
  <si>
    <t>Scenario 1 concrete (Table 15)</t>
  </si>
  <si>
    <t>Scenario 2 partial CLT (Table 15)</t>
  </si>
  <si>
    <t xml:space="preserve">Lippke, B., Wilson, J., Perez-Garcia, J., Bowyer, J., &amp; Meil, J. </t>
  </si>
  <si>
    <t xml:space="preserve"> CORRIM: Life-cycle environmental performance of renewable building materials</t>
  </si>
  <si>
    <t xml:space="preserve"> Forest Products Journal</t>
  </si>
  <si>
    <t>Lippke_2004_NO_DOI</t>
  </si>
  <si>
    <t>steel frame</t>
  </si>
  <si>
    <t>wood frame</t>
  </si>
  <si>
    <t>wood fiber quantity in building</t>
  </si>
  <si>
    <t>Minneapolis house</t>
  </si>
  <si>
    <t>construction</t>
  </si>
  <si>
    <t>CANADIAN JOURNAL OF FOREST RESEARCH</t>
  </si>
  <si>
    <t>carbon sequestration; climate change; bioenergy; nitrogen balance; whole-tree harvesting</t>
  </si>
  <si>
    <t>ORGANIC-MATTER DYNAMICS; SOIL CARBON; LOGGING RESIDUE; SCOTS PINE; FOREST ECOSYSTEMS; THINNING REGIMES; GROWTH; NITROGEN; MODEL; BOREAL</t>
  </si>
  <si>
    <t>Makipaa, R; Linkosalo, T; Komarov, A; Makela, A</t>
  </si>
  <si>
    <t>Mitigation of climate change with biomass harvesting in Norway spruce stands: are harvesting practices carbon neutral?</t>
  </si>
  <si>
    <t>Biomass combustion is considered to be carbon neutral, but intensive biomass harvesting may negatively impact carbon stocks in forest soil and vegetation, which can offset the benefits of substituting fossil fuels with biomass. Here we evaluated conventional stem-only harvesting, whole-tree harvesting (WTH), and WTH excluding needles in terms of timber yield, biomass harvests, and forest carbon sequestration. We simulated harvest scenarios in current and changed climates with a process-based growth model (PipeQual) that was integrated with models describing soil decomposition (ROMUL) and soil water dynamics. Furthermore, we compared gains and losses of forest carbon with reductions in fossil-fuel emissions that result from using harvested biomass for energy production. WTH negatively affected stand growth, biomass, and soil carbon stock; negative effects on growth and biomass can be reduced by leaving nitrogen-rich needles behind during WTH. In a changed climate, organic-matter decomposition and nitrogen mineralization accelerated and tree growth was enhanced, increasing the carbon stock of trees and slightly decreasing the soil carbon stock. In the changed climate, WTH had less influence on forest growth and a similar influence on soil carbon sequestration than in the current climate. In the current climate, the WTH decreased the forest carbon stock by, on average, 26.8 Mg C.ha(-1) over the rotation period. If harvested forest residues are used for energy production instead of fossil fuels, emissions decline by 19 Mg C.ha(-1) (when WTH is applied over a rotation period). Thus, our analysis suggests that using forest residues for energy production leads to a net increase in carbon emissions.</t>
  </si>
  <si>
    <t>Can. J. For. Res.</t>
  </si>
  <si>
    <t>10.1139/cjfr-2014-0120</t>
  </si>
  <si>
    <t>total tree harvest</t>
  </si>
  <si>
    <t>Stem only harvest (SOH) current climate</t>
  </si>
  <si>
    <t>WTH (WTH) currentc climate</t>
  </si>
  <si>
    <t>Wood harvest=stem wood + energy wood</t>
  </si>
  <si>
    <t>MgC</t>
  </si>
  <si>
    <t>IPCC 2006a</t>
  </si>
  <si>
    <t>Life cycle assessment; Embodied carbon; Timber; Steel; Bio-based; Glulam</t>
  </si>
  <si>
    <t>LIFE-CYCLE ASSESSMENT; CLIMATE IMPACT ASSESSMENT; BIO-BASED MATERIALS; CONSTRUCTION MATERIALS; TEMPORARY-STORAGE; BIOGENIC CARBON; PRODUCTS; SYSTEM; ALTERNATIVES; FOOTPRINT</t>
  </si>
  <si>
    <t>Morris, F; Allen, S; Hawkins, W</t>
  </si>
  <si>
    <t>On the embodied carbon of structural timber versus steel, and the influence of LCA methodology</t>
  </si>
  <si>
    <t>Reducing greenhouse gas emissions in the built environment is key to mitigating climate change. This paper uses Life Cycle Assessment (LCA) to explore whether glue-laminated timber (glulam) has a significantly lower wholelife embodied carbon (Global Warming Potential; GWP) than functionally-equivalent structural steel. Alongside a baseline assessment that follows standard practice, a variety of further sensitivity analyses establish how differing assumptions affect results. Assessment found that the GWPs were highly dependent on: (1) the assumed end-of-life scenarios; (2) the approach used to consider biogenic CO2, and; (3) whether the timing of emissions was considered. In general, glulam had the lowest GWP when incinerated (with energy recovery) at end-of-life. However, when recycling is modelled according to current standards, glulam GWPs were in amongst those of steel, giving no clear ranking of materials. Landfilled glulam had a lower GWP than steel if some biogenic carbon was assumed to be permanently stored. That may be appropriate given recent guidance from the Intergovernmental Panel on Climate Change, but is not allowed in the updated standards for LCA of construction products (e. g. EN 15804:2019). Six additional impact categories were also assessed to give a broader environmental comparison. The relative impact of the two materials depended on the impact category assessed, with glulam generally having a similar or lower impact than steel. Given the findings of this paper, further research on end-oflife treatment and LCA methodology is critical to ensure that strategies aiming to reduce GWP by material selection are effective in practice.</t>
  </si>
  <si>
    <t>10.1016/j.buildenv.2021.108285</t>
  </si>
  <si>
    <t>end-of life disposal</t>
  </si>
  <si>
    <t>landfilling</t>
  </si>
  <si>
    <t>incineration</t>
  </si>
  <si>
    <t>beam weight</t>
  </si>
  <si>
    <t>kgCOE-eq</t>
  </si>
  <si>
    <t>beam material</t>
  </si>
  <si>
    <t>glulam</t>
  </si>
  <si>
    <t>Fix sequestration sign; calculate C balance from yearly harvest instead of cumulated harvest using equations (1) (2) and (3)</t>
  </si>
  <si>
    <t>Fix sequestration sign; calculate C balance from yearly harvest instead of cumulated harvest using equations (1) (2) and (3)calculate C balance from yearly harvest instead of cumulated harvest using equations (1) (2) and (3), add products into perimeters as C variable includes HWP</t>
  </si>
  <si>
    <t>EC</t>
  </si>
  <si>
    <t>Japan</t>
  </si>
  <si>
    <t>explicit C balance</t>
  </si>
  <si>
    <t xml:space="preserve">Petersen, A. K., &amp; Solberg, B. </t>
  </si>
  <si>
    <t xml:space="preserve"> Greenhouse gas emissions, life-cycle inventory and cost-efficiency of using laminated wood instead of steel construction: Case: beams at Gardermoen airport</t>
  </si>
  <si>
    <t xml:space="preserve"> Environmental Science &amp; Policy</t>
  </si>
  <si>
    <t>10.1016/S1462-9011(01)00044-2</t>
  </si>
  <si>
    <t>B2</t>
  </si>
  <si>
    <t>B1</t>
  </si>
  <si>
    <t>metre cube input of sawn wood</t>
  </si>
  <si>
    <t>Table 5</t>
  </si>
  <si>
    <t>tCO2 / (m3 input of sawnwood)</t>
  </si>
  <si>
    <t>Prd</t>
  </si>
  <si>
    <t>B3</t>
  </si>
  <si>
    <t>basis scenario</t>
  </si>
  <si>
    <t xml:space="preserve"> Substitution between floor constructions in wood and natural stone: comparison of energy consumption, greenhouse gas emissions, and costs over the life cycle</t>
  </si>
  <si>
    <t>10.1139/x03-020</t>
  </si>
  <si>
    <t>G2</t>
  </si>
  <si>
    <t>Header table 4</t>
  </si>
  <si>
    <t>end-of-life wood product</t>
  </si>
  <si>
    <t>corrected AV, forest area scenarios excluded, perimeters not consistent</t>
  </si>
  <si>
    <t>lifetime wood product</t>
  </si>
  <si>
    <t>tCO2/ (m3 input of sawnwood)</t>
  </si>
  <si>
    <t>include forest regrowth (= change in boundaries)</t>
  </si>
  <si>
    <t>effciency wood product</t>
  </si>
  <si>
    <t xml:space="preserve"> Greenhouse gas emissions and costs over the life cycle of wood and alternative flooring materials</t>
  </si>
  <si>
    <t xml:space="preserve"> Climatic change</t>
  </si>
  <si>
    <t>10.1023/B:CLIM.0000024689.70143.79</t>
  </si>
  <si>
    <t>B3 highest estimate GHG emissions solid oak</t>
  </si>
  <si>
    <t>B1 lowest estimated GHG emissions solid oak</t>
  </si>
  <si>
    <t>Header table V</t>
  </si>
  <si>
    <t>Table V</t>
  </si>
  <si>
    <t>C2 No energy recovery</t>
  </si>
  <si>
    <t>Linoleum 1</t>
  </si>
  <si>
    <t>oak floorboard</t>
  </si>
  <si>
    <t xml:space="preserve">Linoleum 2 </t>
  </si>
  <si>
    <t>Vinyl 1</t>
  </si>
  <si>
    <t xml:space="preserve">Linoleum 1 </t>
  </si>
  <si>
    <t>oak flooring</t>
  </si>
  <si>
    <t xml:space="preserve">Vinyl 1 </t>
  </si>
  <si>
    <t xml:space="preserve">Vinyl 2 </t>
  </si>
  <si>
    <t>Vinyl 2</t>
  </si>
  <si>
    <t>Carpet, polyamide 1</t>
  </si>
  <si>
    <t>Carpet polyamide</t>
  </si>
  <si>
    <t>Carpet wool</t>
  </si>
  <si>
    <t xml:space="preserve">Carpet, wool 1 </t>
  </si>
  <si>
    <t>Life cycle analysis; Primary energy; Carbon emissions; Modelling options; Wood materials; Energy scenarios; Biogenic carbon; Multi-functional processes</t>
  </si>
  <si>
    <t>LIFE-CYCLE ASSESSMENT; GREENHOUSE-GAS; FOREST MANAGEMENT; WOOD; EFFICIENCY; CONCRETE; LCA; CONSTRUCTION; SUBSTITUTION; FOOTPRINT</t>
  </si>
  <si>
    <t>Piccardo, C; Gustavsson, L</t>
  </si>
  <si>
    <t>Implications of different modelling choices in primary energy and carbon emission analysis of buildings</t>
  </si>
  <si>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</si>
  <si>
    <t>10.1016/j.enbuild.2021.111145</t>
  </si>
  <si>
    <t>Changes in End-of-life</t>
  </si>
  <si>
    <t>Glue-laminated wood, Lumber, Plywood, Particleboard</t>
  </si>
  <si>
    <t>Table 1</t>
  </si>
  <si>
    <t>tons</t>
  </si>
  <si>
    <t>Table 17</t>
  </si>
  <si>
    <t>t CO2</t>
  </si>
  <si>
    <t>Modular</t>
  </si>
  <si>
    <t>Changes in construction + energy recovery</t>
  </si>
  <si>
    <t>Changes in construction + wood recycling</t>
  </si>
  <si>
    <t>R</t>
  </si>
  <si>
    <t>Steel</t>
  </si>
  <si>
    <t>Table2</t>
  </si>
  <si>
    <t>m3 ha-1 a-1</t>
  </si>
  <si>
    <t>Embodied carbon; Lifecycle analysis; Uncertainty analysis; Monte Carlo simulation; Mass timber structure; Cross-laminated timber</t>
  </si>
  <si>
    <t>LIFE-CYCLE ASSESSMENT; GREENHOUSE-GAS EMISSIONS; BIO-BASED MATERIALS; ENVIRONMENTAL BENEFITS; STRUCTURAL DESIGN; LAMINATED TIMBER; ASSESSMENT LCA; ENERGY; CEMENT; SYSTEM</t>
  </si>
  <si>
    <t>Robati, M; Oldfield, P</t>
  </si>
  <si>
    <t>The embodied carbon of mass timber and concrete buildings in Australia: An uncertainty analysis</t>
  </si>
  <si>
    <t>This research uses uncertainty analysis to determine and compare the range of embodied carbon outcomes of mid-rise mass timber and concrete buildings in Australia. In doing so, it measures the variability in inventory databases, transportation distance, lifetime of building components, biogenic carbon emissions, carbonation of concrete materials and end-of-life scenarios. Through the use of Monte Carlo analysis, the research found that the embodied carbon of a mass timber building ranged from 196 kgCO(2-e)/m(2) to 590 kgCO(2-e)/m(2) with a mean of 417 kgCO(2-e)/m(2). For a post-tensioned concrete building the range was 307 kgCO(2-e)/m(2) to 618 kgCO(2-e)/m(2) with a mean of 465 kgCO(2-e)/m(2). This equates to a 48 kgCO(2-e)/m(2) reduction in mean embodied carbon for the mass timber building. Using deterministic analysis, previous research suggested a more substantive 129 kgCO(2-e)/m(2) reduction. These results demonstrate that mass timber buildings do typically have a lower embodied carbon, compared to concrete buildings, however the significance of this depends on the assumptions made, and the input data used. For the concrete building, the variation in embodied carbon is primarily influenced by the inventory data and building products' lifetime. The greater range of embodied carbon in the mass timber building is due to variations associated with the inventory data, allocation of biogenic carbon emissions (sequestration, and forest management losses) and, different end-of-life scenarios associated with timber products. Despite this, the research suggests that with a carefully planned end-of-life strategy, mass timber mid-rise buildings have the potential to benefit from lower embodied carbon emissions, as compared to concrete buildings, across their full lifecycle.</t>
  </si>
  <si>
    <t>10.1016/j.buildenv.2022.108944</t>
  </si>
  <si>
    <t>Mass timber building</t>
  </si>
  <si>
    <t>quantity of material</t>
  </si>
  <si>
    <t>m3 converted to /m2 by dividing by area</t>
  </si>
  <si>
    <t xml:space="preserve">kgCO2eq/m2 </t>
  </si>
  <si>
    <t>Post-tension concrete building</t>
  </si>
  <si>
    <t>Base case</t>
  </si>
  <si>
    <t>GLOBAL CHANGE BIOLOGY BIOENERGY</t>
  </si>
  <si>
    <t>GCB Bioenergy</t>
  </si>
  <si>
    <t>BAU</t>
  </si>
  <si>
    <t>m3 ha-1 yr-1</t>
  </si>
  <si>
    <t>SUSTAINABLE CITIES AND SOCIETY</t>
  </si>
  <si>
    <t>Greenhouse gas; Concrete; Timber; Buildings; Life cycle assessment; Construction</t>
  </si>
  <si>
    <t>LIFE-CYCLE ASSESSMENT; OFFICE BUILDINGS; ENVIRONMENTAL EMISSIONS; REINFORCED-CONCRETE; INVENTORY ANALYSIS; EMBODIED ENERGY; UNITED-STATES; CO2 EMISSIONS; LCA; IMPACTS</t>
  </si>
  <si>
    <t>Sandanayake, M; Lokuge, W; Zhang, GM; Setunge, S; Thushar, Q</t>
  </si>
  <si>
    <t>Greenhouse gas emissions during timber and concrete building construction - A scenario based comparative case study</t>
  </si>
  <si>
    <t>Greenhouse gas (GHG) is a major air emission pollutant that creates environmental burden in buildings. Timber buildings are gaining notable popularity in the building industry due to life cycle environmental and economic benefits over conventional buildings. However, little or no studies have made attempts to compare greenhouse gas emission variations in timber and concrete buildings during the construction stage. Knowledge of emission at the construction stage is critical for passionate contractors who wants to maintain an environmental friendly built environment. The study presented in this paper aims to compare GHG emissions and energy consumptions during timber and concrete building construction. A process based quantitative assessment is conducted for evaluating emissions from materials, equipment and transportation stages. The comparative results of the study indicated that use of timber can reduce embodied emissions as well as transportation emissions during the construction stage. Scenario analyses results comprehends that recycling of materials and use of regional materials influence GHG emissions the most while transportation distance has medium effect on total GHG emissions at the construction stage of timber building. The results of the study are important in aggregate level decision making of timber and concrete buildings. Further studies are encouraged on conducting comprehensive assessment of different timber usages in a building to investigate the GHG emission variation.</t>
  </si>
  <si>
    <t>Sust. Cities Soc.</t>
  </si>
  <si>
    <t>10.1016/j.scs.2017.12.017</t>
  </si>
  <si>
    <t>CLTwoodBuildingVersusConcrete</t>
  </si>
  <si>
    <t>Structural Timber</t>
  </si>
  <si>
    <t>This paper was really stupid</t>
  </si>
  <si>
    <t>FORESTS</t>
  </si>
  <si>
    <t>Forests</t>
  </si>
  <si>
    <t>TgCO2e</t>
  </si>
  <si>
    <t>mass timber construction; recycling potential; material recycling; zero waste; concrete buildings</t>
  </si>
  <si>
    <t>LIFE-CYCLE; ENERGY NEED; CLT</t>
  </si>
  <si>
    <t>Recycling Potential Comparison of Mass Timber Constructions and Concrete Buildings: A Case Study in China</t>
  </si>
  <si>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</si>
  <si>
    <t>10.3390/su14106174</t>
  </si>
  <si>
    <t>100th year consumption</t>
  </si>
  <si>
    <t>table 3</t>
  </si>
  <si>
    <t>kg (converted to /m2 with area 3000m2)</t>
  </si>
  <si>
    <t>table 9</t>
  </si>
  <si>
    <t>kgCO2/m2</t>
  </si>
  <si>
    <t>VB</t>
  </si>
  <si>
    <t>Baseline</t>
  </si>
  <si>
    <t xml:space="preserve">Upton, B., Miner, R., Spinney, M., &amp; Heath, L. S. </t>
  </si>
  <si>
    <t xml:space="preserve"> The greenhouse gas and energy impacts of using wood instead of alternatives in residential construction in the United States</t>
  </si>
  <si>
    <t>10.1016/j.biombioe.2007.07.001</t>
  </si>
  <si>
    <t>wall type in Minneapolis' house</t>
  </si>
  <si>
    <t>steel frame wall system</t>
  </si>
  <si>
    <t>wood-frame wall system</t>
  </si>
  <si>
    <t>Product sequestration</t>
  </si>
  <si>
    <t>MtCO2 eq.</t>
  </si>
  <si>
    <t>OK</t>
  </si>
  <si>
    <t>Fix sequestration sign; added driver category, changed Qwood to absolute value instead of %</t>
  </si>
  <si>
    <t>wall type in Atlanta's house</t>
  </si>
  <si>
    <t>concrete frame wall system</t>
  </si>
  <si>
    <t>PROCEEDINGS OF THE INSTITUTION OF CIVIL ENGINEERS-ENGINEERING SUSTAINABILITY</t>
  </si>
  <si>
    <t>structural frameworks; energy</t>
  </si>
  <si>
    <t>LIFE-CYCLE ENERGY</t>
  </si>
  <si>
    <t>Vukotic, L; Fenner, RA; Symons, K</t>
  </si>
  <si>
    <t>Assessing embodied energy of building structural elements</t>
  </si>
  <si>
    <t>Although operational energy is currently the focal point of sustainability in building regulations, embodied energy and carbon dioxide emissions will become more significant as operational energy consumption is reduced. In the near future, embodied energy could account for a significant proportion of a building's carbon footprint over its lifetime, bearing in mind that the construction of energy-efficient buildings is carbon and energy intensive. Unlike operational energy, embodied energy savings have an immediate significant effect on carbon footprint and are independent of human behaviour. However, there is a lack of consensus within the construction industry on how to assess embodied energy and carbon dioxide and where to draw system boundaries, which has impeded advancement on the issue. This paper analyses the life-cycle embodied energy and carbon dioxide emissions of a building's structural elements, and examines which stages within a building's life are the most significant and offer the most opportunities for a reduction of embodied energy and carbon dioxide. The embodied energy and associated carbon dioxide at the product and construction, maintenance and end-of-life stages of a structure are examined, as well as the potential for energy recovery and carbon dioxide offsetting. A simple single-storey structure is used as a case study to perform comparative analyses between two structural design alternatives: glue-laminated timber panels and steel frame with infill concrete blockwork.</t>
  </si>
  <si>
    <t>Proc. Inst. Civ. Eng.-Eng. Sustain.</t>
  </si>
  <si>
    <t>10.1680/ensu.2010.163.3.147</t>
  </si>
  <si>
    <t>Type of building (here a school sports hall)</t>
  </si>
  <si>
    <t>Steel frame</t>
  </si>
  <si>
    <t>Wooden framed (local wood)</t>
  </si>
  <si>
    <t>Amount of wood per m2 of building</t>
  </si>
  <si>
    <t>t wood product m-2</t>
  </si>
  <si>
    <t>kg CO2e m-2</t>
  </si>
  <si>
    <t>Wooden framed (imported wood)</t>
  </si>
  <si>
    <t>S2</t>
  </si>
  <si>
    <t>J. Ind. Ecol.</t>
  </si>
  <si>
    <t>Greenhouse gas emissions (GHG); Wood; House; Carbon; LCA; Landfill</t>
  </si>
  <si>
    <t>LIFE-CYCLE; WASTE; MANAGEMENT; LANDFILLS; IMPACTS; ENERGY</t>
  </si>
  <si>
    <t>Ximenes, FA; Grant, T</t>
  </si>
  <si>
    <t>Quantifying the greenhouse benefits of the use of wood products in two popular house designs in Sydney, Australia</t>
  </si>
  <si>
    <t>As the average wood products usage per unit of floor area in Australia has decreased significantly over time, there is potential for increased greenhouse gas (GHG) mitigation benefits through an increased use of wood products in buildings. This study determined the GHG outcomes of the extraction, manufacture, transport, use in construction, maintenance and disposal of wood products and other building materials for two popular house designs in Sydney, Australia. The life cycle assessment (LCA) was undertaken using the computer model SimaPro 7.1, with the functional unit being the supply of base building elements for domestic houses in Sydney and its subsequent use over a 50-year period. The key data libraries used were the Australian Life Cycle Inventory library, the ecoinvent library (with data adapted to Australian circumstances where appropriate) and data for timber production from an Australian study for a range of Australian forestry production systems and wood products. Two construction variations were assessed: the original intended construction, and a timber-maximised alternative. The indicator assessed was global warming, as the focus was on GHG emissions, and the effect of timber production, use and disposal on the fate of carbon. The timber maximised design resulted in approximately half the GHG emissions associated with the base designs. The sub-floor had the largest greenhouse impact due to the concrete components, followed by the walls due to the usage of bricks. The use of a timber maximised design offset between 23 and 25 % of the total operational energy of the houses. Inclusion of carbon storage in landfill made a very significant difference to GHG outcomes, equivalent to 40-60 % of total house GHG emissions. The most beneficial options for disposal from a GHG perspective were landfill and incineration with energy recovery. The study showed that significant GHG emission savings were achieved by optimising the use of wood products for two common house designs in Sydney. The switch of the sub-floor and floor covering components to a wood option accounted for most of the GHG savings. Inclusion of end of life parameters significantly impacted on the outcomes of the study.</t>
  </si>
  <si>
    <t>10.1007/s11367-012-0533-5</t>
  </si>
  <si>
    <t>House with more or less wood components</t>
  </si>
  <si>
    <t>Affinity house as designed</t>
  </si>
  <si>
    <t>Affinity house timber maximized</t>
  </si>
  <si>
    <t>Amount of wood in the house</t>
  </si>
  <si>
    <t>tCO2e</t>
  </si>
  <si>
    <t>Amount of wood in each house deducted from carbon stored in landfill after demolition. Order of magnitude consistent with average amount of wood per m2 in Australia given in the article.</t>
  </si>
  <si>
    <t>Tractor</t>
  </si>
  <si>
    <t>Cableway</t>
  </si>
  <si>
    <t>reg</t>
  </si>
  <si>
    <t>S1</t>
  </si>
  <si>
    <t>S0</t>
  </si>
  <si>
    <t>S3</t>
  </si>
  <si>
    <t>coy</t>
  </si>
  <si>
    <t>SILVA FENNICA</t>
  </si>
  <si>
    <t>boreal forest; carbon sequestration; forest biofuel; forest management planning; optimization</t>
  </si>
  <si>
    <t>FOREST MANAGEMENT; BIOMASS; SOILS; BIODIVERSITY; SIMULATOR; DYNAMICS; SWEDEN; SECTOR; BUDGET</t>
  </si>
  <si>
    <t>Backeus, S; Wikstrom, P; Lamas, T</t>
  </si>
  <si>
    <t>Modeling carbon sequestration and timber production in a regional case study</t>
  </si>
  <si>
    <t>Forests make up large ecosystems and by the uptake of carbon dioxide can play an important role in mitigating the greenhouse effect. In this study, mitigation of carbon emissions through carbon uptake and storage in forest biomass and the use of forest biofuel for fossil fuel substitution were considered. The analysis was performed for a 3.2 million hectare region in northern Sweden. The objective was to maximize net present value for harvested timber, biofuel production and carbon sequestration. A carbon price for build-up of carbon storage and for emissions from harvested forest products was introduced to achieve an economic value for carbon sequestration. Forest development was simulated using an optimizing stand-level planning model, and the solution for the whole region was found using linear programming. A range of carbon prices was used to study the effect on harvest levels and carbon sequestration. At a zero carbon price, the mean annual harvest level was 5.4 million m(3), the mean annual carbon sequestration in forest biomass was 1.48 million tonnes and the mean annual replacement of carbon from fossil fuel with forest biofuel was 61000 tonnes. Increasing the carbon price led to decreasing harvest levels of timber and decreasing harvest levels of forest biofuel. Also, thinning activities decreased more than clear-cut activities when the carbon prices increased. The level of carbon sequestration was governed by the harvest level and the site productivity. This led to varying results for different parts of the region.</t>
  </si>
  <si>
    <t>Silva. Fenn.</t>
  </si>
  <si>
    <t>10.14214/sf.318</t>
  </si>
  <si>
    <t>75SEK</t>
  </si>
  <si>
    <t>0SEK</t>
  </si>
  <si>
    <t>Mm3/yr</t>
  </si>
  <si>
    <t>MtC/yr</t>
  </si>
  <si>
    <t>150SEK</t>
  </si>
  <si>
    <t>300SEK</t>
  </si>
  <si>
    <t>600SEK</t>
  </si>
  <si>
    <t>1200SEK</t>
  </si>
  <si>
    <t>Cascading use; Woody biomass; Forest bioenergy; Resource use efficiency; GHG emissions reduction; Circular bioeconomy</t>
  </si>
  <si>
    <t>GLOBAL WARMING CONTRIBUTIONS; ENVIRONMENTAL IMPACTS; CARBON SEQUESTRATION; ROTATION LENGTH; PAPER-INDUSTRY; BIOMASS; ENERGY; METHODOLOGY; BIOENERGY; TRANSPORT</t>
  </si>
  <si>
    <t>Bais-Moleman, AL; Sikkema, R; Vis, M; Reumerman, P; Theurl, MC; Erb, KH</t>
  </si>
  <si>
    <t>Assessing wood use efficiency and greenhouse gas emissions of wood product cascading in the European Union</t>
  </si>
  <si>
    <t>Cascading use of biomass is a recognized strategy contributing to an efficient development of the bio-economy and for mitigating climate change. This study aims at assessing the potential of cascading use of woody biomass for reducing GHG (greenhouse gas) emissions and increasing the overall wood flow efficiency in the European Union's forest and bioeconomy sectors. A scenario and life cycle approach was followed to quantify the potential benefits of cascading use of woody biomass. We started from a reference scenario in which (post-consumer) waste wood and paper are re-utilized for energy only (S0). Then we compared the reference scenario with two alternative scenarios, the current waste wood and paper recycling practices (S1) and the maximum technical potential to increase recycling of waste wood and paper flows (S2). Following a supply chain perspective, different stages of production were analysed, including forgone fossil-fuels substitution, optimization at manufacturing level and forest regrowth. Through cascading use, the wood use efficiency ratio (cascade factor) in the European wood sector would be increased by 23% (S0 vs S1) and 31% (S0 vs S2) and GHG emissions (cradle-to-gate energy use) would be reduced by 42% (28 MtCO(2)-eq/year) and 52% (35 MtCO(2)-eq/year) in scenarios S1 and S2. However, increased wood product cascading is counter effected in the short term by reduced savings in the energy sector by 49% and 48% (-43 and -42 MtCO(2)-eq/year) in scenarios S1 and S2 due to delayed availability of waste wood and waste paper fibers. This explorative study highlights the potential of cascading use of woody biomass in the wood production chains to contribute to a reduction of environmental impacts related to wood resource and energy use, but it also reveals trade-offs in terms of GHG emissions reduction, relevant especially in meeting short-term (2020-2030) renewable energy targets. (C) 2017 Elsevier Ltd. All rights reserved.</t>
  </si>
  <si>
    <t>10.1016/j.jclepro.2017.04.153</t>
  </si>
  <si>
    <t>Recycling (wood product cascade for less wood pruduct use or extraction)</t>
  </si>
  <si>
    <t>S1 (state of art recycling practices)</t>
  </si>
  <si>
    <t>cascades in wood products</t>
  </si>
  <si>
    <t>TABLE4</t>
  </si>
  <si>
    <t>MtCO2eq/yr</t>
  </si>
  <si>
    <t>eur</t>
  </si>
  <si>
    <t>S2 (future improved recycling practices)</t>
  </si>
  <si>
    <t>ENVIRONMENTAL PROGRESS &amp; SUSTAINABLE ENERGY</t>
  </si>
  <si>
    <t>sustainability; life cycle assessment; climate change; CO2; greenhouse gas</t>
  </si>
  <si>
    <t>LIFE-CYCLE ASSESSMENT; ENERGY; MALAYSIA; CARBON; HOUSE; WOOD</t>
  </si>
  <si>
    <t>New residential construction building and composite post and beam structure toward global warming mitigation</t>
  </si>
  <si>
    <t>The construction industry has become one of the major sources of global greenhouse gas (GHG) emissions. Therefore, low carbon buildings have been assigned for reduction of human impact on the environment. The aim of this research is to decrease the CO2 effect from the building sector by eventually proposing a new structure for Malaysian construction with regard to the needs of this industry. Life cycle assessment (LCA) has been performed to analyze the CO2 emission for the Malaysian residential single family house. Seven different materials or structures have been assessed and the result shows that timber prefabricated post and beam is the best choice due to releasing less CO2 emissions to the atmosphere. However, timber has become almost forgotten as building material for house builders in Malaysia in the last four decades. The alternative building scheme has been made by reinforced steel plate into wooden beam and column and timber wall (S8) to improve the building structure deficiency and load bearing while releasing less CO2 emissions in comparison to other buildings. New structure has been designed by steel plate sandwiched between wood members and held together with bolts in beam and post toward decreasing the percentage of improper design and to improve accuracy in the execution of timber structure. Thus, new scheme (S8) could be advised to house maker and government as a new policy to promote the sustainability in construction sector. (c) 2017 American Institute of Chemical Engineers Environ Prog, 37: 1394-1402, 2018</t>
  </si>
  <si>
    <t>Environ. Prog. Sustain. Energy</t>
  </si>
  <si>
    <t>10.1002/ep.12807</t>
  </si>
  <si>
    <t>Timber &amp; brick instead of Brick &amp; concrete 500</t>
  </si>
  <si>
    <t>Timber &amp; brick instead of Brick &amp; concrete 100</t>
  </si>
  <si>
    <t>Timber &amp; brick instead of Brick &amp; concrete 20</t>
  </si>
  <si>
    <t>Timber &amp; brick instead of Precast concrete 500 yrs</t>
  </si>
  <si>
    <t>Timber &amp; brick instead of Precast concrete 100 yrs</t>
  </si>
  <si>
    <t>Timber &amp; brick instead of Precast concrete 20 yrs</t>
  </si>
  <si>
    <t>Timber prefabricated instead of Brick &amp; concrete 500</t>
  </si>
  <si>
    <t>Timber prefabricated instead of Brick &amp; concrete 100</t>
  </si>
  <si>
    <t>Timber prefabricated instead of Precast concrete 500 yrs</t>
  </si>
  <si>
    <t>Timber prefabricated instead of Brick &amp; concrete 20</t>
  </si>
  <si>
    <t>Timber prefabricated instead of Precast concrete 100 yrs</t>
  </si>
  <si>
    <t>Timber prefabricated instead of Precast concrete 20 yrs</t>
  </si>
  <si>
    <t>Timber prefabricated instead of Brick 500 yrs</t>
  </si>
  <si>
    <t>Timber &amp; brick instead of Brick 500 yrs</t>
  </si>
  <si>
    <t>Timber prefabricated instead of Brick 100 yrs</t>
  </si>
  <si>
    <t>Timber &amp; brick instead of Brick 100 yrs</t>
  </si>
  <si>
    <t>Timber prefabricated instead of Brick 20 yrs</t>
  </si>
  <si>
    <t>Timber &amp; brick instead of Brick 20 yrs</t>
  </si>
  <si>
    <t>Timber prefabricated instead of block work 500 yrs</t>
  </si>
  <si>
    <t>Timber prefabricated instead of Steel &amp; work 500</t>
  </si>
  <si>
    <t>Timber prefabricated instead of Steel &amp; work 100</t>
  </si>
  <si>
    <t>Timber &amp; brick instead of block work 500 yrs</t>
  </si>
  <si>
    <t>Timber prefabricated instead of Steel &amp; work 20</t>
  </si>
  <si>
    <t>Timber &amp; brick instead of Steel &amp; work 500</t>
  </si>
  <si>
    <t>Timber &amp; brick instead of Steel &amp; work 100</t>
  </si>
  <si>
    <t>Timber prefabricated instead of block work 100 yrs</t>
  </si>
  <si>
    <t>Timber &amp; brick instead of Steel &amp; work 20</t>
  </si>
  <si>
    <t>Timber prefabricated instead of block work 20 yrs</t>
  </si>
  <si>
    <t>Timber &amp; brick instead of block work 100 yrs</t>
  </si>
  <si>
    <t>Timber &amp; brick instead of block work 20 yrs</t>
  </si>
  <si>
    <t>JOURNAL OF ENVIRONMENTAL MANAGEMENT</t>
  </si>
  <si>
    <t>Biodiversity; Carbon; Climate change; Forest management; Simulation; Water</t>
  </si>
  <si>
    <t>DECISION-SUPPORT SYSTEM; FOREST-MANAGEMENT; ECOSYSTEM SERVICES; SEQUESTRATION; YIELD; WOOD; UNCERTAINTY; HARVEST; IMPACTS; STRATEGIES</t>
  </si>
  <si>
    <t>Baskent, EZ</t>
  </si>
  <si>
    <t>Exploring the effects of climate change mitigation scenarios on timber, water, biodiversity and carbon values: A case study in Pozanti planning unit, Turkey</t>
  </si>
  <si>
    <t>This study evaluated the performance of three climate change mitigation management scenarios; business as usual (BAU), low intensity management (LIM) and high intensity management (HIM) to provide ecosystem services. ETCAP simulation model was used to forecast forest development for Pozanti area with 17,603 ha forests in Turkey. Wood production, biodiversity conservation, carbon sequestration and water provision were the primary ecosystem services. The species composition, natural composition, key habitats and understory vegetation are maintained and small forest openings were left intact for wildlife. Some forest areas were allowed to develop older to provide better opportunities of biodiversity conservation. The increase of carbon stock was related to age class shifts to older stages due mainly to increasing afforestation areas and productivity. The marginal differences in total carbon balance were related to a smaller increase in volume increment in BAU scenario and a higher allocation of harvest to energy production for the LIM and HIM scenarios. The planning scenarios allowed better production of water runoffs with slight differences among the output of management scenarios. The prevailing variable was the areas of afforestation. The impacts of a forest management scenario on ecosystem services highly depend on the development rate and intensity of management interventions.</t>
  </si>
  <si>
    <t>J. Environ. Manage.</t>
  </si>
  <si>
    <t>10.1016/j.jenvman.2019.03.024</t>
  </si>
  <si>
    <t>Many simultaneous driver changes. According to theconclusions, afforested areas is the most important one</t>
  </si>
  <si>
    <t>LIM</t>
  </si>
  <si>
    <t>Cumulated harvest (tC/ha)</t>
  </si>
  <si>
    <t>Turkey</t>
  </si>
  <si>
    <t>(Sathre and O'Connor et al., 2010; Oliver et al.,2014)</t>
  </si>
  <si>
    <t>Changed to cumulated values</t>
  </si>
  <si>
    <t>fix boundaries, forest stock / forest stock+HWP/+substitution</t>
  </si>
  <si>
    <t>HIM</t>
  </si>
  <si>
    <t>CARBON MANAGEMENT</t>
  </si>
  <si>
    <t>Germany; forestry; carbon sequestration; substitution effects; scenario analysis</t>
  </si>
  <si>
    <t>CARBON SEQUESTRATION; WOOD; PRODUCT</t>
  </si>
  <si>
    <t>Bosch, M; Elsasser, P; Rock, J; Weimar, H; Dieter, M</t>
  </si>
  <si>
    <t>Extent and costs of forest-based climate change mitigation in Germany: accounting for substitution</t>
  </si>
  <si>
    <t>The objective of this study is to quantify the contribution of the German forestry to climate change mitigation and to calculate the associated costs at the national level. For that, the forest and harvested wood products carbon pools are considered as well as energy and material substitution. We compare five different scenarios, each referring to an alternative level of timber harvests (due to changing rotation lengths or setting aside of forest areas). The study shows that enhancing the use of wood products at the expense of other materials, such as steel, plastic or concrete, can have a substantial impact on the overall carbon balance.</t>
  </si>
  <si>
    <t>Carbon Manag.</t>
  </si>
  <si>
    <t>10.1080/17583004.2018.1560194</t>
  </si>
  <si>
    <t>Mobilizing +5% of  area (opposite ref as paper)</t>
  </si>
  <si>
    <t>Scenario 4</t>
  </si>
  <si>
    <t>Scenario 0</t>
  </si>
  <si>
    <t>harvested volume</t>
  </si>
  <si>
    <t>fig1</t>
  </si>
  <si>
    <t>Mm3 under bark cumulated over period</t>
  </si>
  <si>
    <t>MtCO2</t>
  </si>
  <si>
    <t>Germany</t>
  </si>
  <si>
    <t>Fix sequestration sign and extract cumulated values</t>
  </si>
  <si>
    <t>Scenario 3</t>
  </si>
  <si>
    <t>Ruter S. Projection of net emissions from harvested wood products in European countries: for the period 2013–2020. Work Report 2011/1 of the Institute of Wood Technology and Wood Biology. Hamburg: Johann Heinrich von Th€unen-Institut (2011).</t>
  </si>
  <si>
    <t>Knauf M, K€ohl M, Mues V, Olschofsky K, Fr€uhwald A. Modeling the CO2-effects of forest management and wood usage on a regional basis. Carbon Balance Manage. 10, 13 (2015).</t>
  </si>
  <si>
    <t>Harvesting age decreased by ~17 years to reach lower standing stock: following the protocol, the original ref scenario is used as "alternative" and opposite values of deltas are retained.</t>
  </si>
  <si>
    <t>Scenario 1</t>
  </si>
  <si>
    <t>Diameter threshold for harvesting decreased by 10 cm (opposite ref as paper)</t>
  </si>
  <si>
    <t>Scenario 2</t>
  </si>
  <si>
    <t>JOURNAL OF THE FACULTY OF FORESTRY-ISTANBUL UNIVERSITY</t>
  </si>
  <si>
    <t>Climate change mitigation; national GHG inventory; harvested wood products</t>
  </si>
  <si>
    <t>CLIMATE-CHANGE MITIGATION; FOREST ECOSYSTEMS; BIOMASS</t>
  </si>
  <si>
    <t>Bouyer, O; Serengil, Y</t>
  </si>
  <si>
    <t>Carbon stored in harvested wood products in Turkey and projections for 2020</t>
  </si>
  <si>
    <t>Turkey is an Annex-I country under the United Nations Framework Convention on Climate Change (UNFCCC) and therefore submits its Greenhouse gases (GHG) emissions and removals from anthropogenic sources to the UNFCCC secretariat on an annual basis, through a National GHG Inventory Report (NIR). GHG emissions and removals from Land Use, Land Use and Forestry (LULUCF) constitute one of the main sectors in this report. One of the major land use categories in this sector is Forestland, and harvests in this category must be considered as a direct GHG emission to the atmosphere, unless the fate of the Harvested Wood Products (HWP) is reported. In this study, we estimated the carbon sequestration in the HWP category of the Turkish NIR, according to the 2006 Guidelines for GHG inventory in the Agriculture, Forestry and Other Land Use (AFOLU) sector, from the International Panel of Experts on Climate Change (IPCC). This is the first time such an estimate of carbon stocks and carbon stock changes in the HWP pool has been carried out in Turkey. The calculation has been done in Tier 2. We used United Nations Economic Commission for Europe (UNECE) Timber database disaggregated figures for HWP produced in Turkey from 1964 to 2013. We focused on the two main HWP categories, which are sawnwood and wood-based panels. Comparing UNECE data series with Orman Genel Mfidtirlfigil (OGM, the Republic of Turkey, General Directorate of Forestry) data series for industrial roundwood over 1976-2013 (starting date for OGM data series), we noticed some anomalies (with UNECE data series as a basis: max: + 47%, min = -2 3%, mean = + 16%). Thus, the UNECE data on sawnwood and wood based panels were corrected based on OGM data. These anomalies could be due to: (i) use of volume over bark for UNECE and volume under bark for OGM (+ 15% for volume over bark), and (ii) integration of industrial roundwood coming from the private sector for UNECE. In order to ensure coherence, we then corrected the 1976-2013 UNECE data series for sawnwood and wood-based panels production taking into account for each year the percentage of anomaly. However, from 1976 to 1982, the anomalies are much reduced (-1% in average), which allow using the UNECE data series from 1964 to 1975. We estimated the average share of each HWP over the last ten years: 4 8% for sawnwood and 38% for wood-based panels. The 14% of other HWP are not considered in the analysis, either because they are short-lived products or marginal or difficult to estimate. A projection of HWP has been done until 2020 based on 2 alternative scenarios based on OGM strategy documents: intensive harvesting and extensive harvesting. For each scenario, intensive vs extensive, we disaggregated the 2013-2020 volume of industrial roundwood into the two HWPs, using the calculated percentages. The results of our analysis revealed that the HWP pool can add 3.14 Gg C02 eq yr(-1) additional removal to LULUCF sector in the GHG inventory of Turkey for 2013 compared to 1990. The amount of contribution is estimated to rise up to 13.70 Mt CO2 eq yr-, and 10.99 Mt C02 eq yr(-1) for intensive and extensive scenarios that are developed based on OGM strategic plans in 2020.</t>
  </si>
  <si>
    <t>J. Fac. For.-Istanb. Univ.</t>
  </si>
  <si>
    <t>10.17099/jffiu.48603</t>
  </si>
  <si>
    <t xml:space="preserve">harvest level including thinnings. Seems like the dimensions of the harvested wood have an effect on wood use and product life span </t>
  </si>
  <si>
    <t>extensive</t>
  </si>
  <si>
    <t>intensive harvest (Fig 2)</t>
  </si>
  <si>
    <t>Harvest</t>
  </si>
  <si>
    <t>Mm3</t>
  </si>
  <si>
    <t>Fix data pair to record effect of driver and not time evolution</t>
  </si>
  <si>
    <t>CARBON MANAGEMENT, TECHNOLOGIES, AND TRENDS IN MEDITERRANEAN ECOSYSTEMS</t>
  </si>
  <si>
    <t>Climate change; Mitigation; Cost-benefit analysis; Kyoto Protocol; LULUCF</t>
  </si>
  <si>
    <t>Cost-Benefit Assessment of Implementing LULUCF Accounting Rules in Turkey</t>
  </si>
  <si>
    <t>Turkey is an Annex 1 Party with Specific circumstances because it has the fastest population growth rate among the Organization for Economic Cooperation and Development (OECD) countries and lowest per capita energy-related CO2 emissions among the International Energy Agency (IEA) countries. In addition, all national indicators show that Turkey is in fact a developing country. It was deleted from Annex 2 of the United Nations Framework Convention on Climate Change (UNFCCC) and not included in the Annex B of the first term of the Kyoto Protocol (KP1). In the context of preparation of a 2015 multilateral treaty on climate change, which would enter into force in 2020, differentiation between Annex 1 and non-Annex 1 Parties may be revisited, and it seems useful to explore the possible consequences of such a reclassification. Accordingly, this study aims at providing a neutral cost/benefit assessment of implementing Land Use, Land Use Change and Forestry (LULUCF) accounting rules in Turkey in the future, as one possible scenario. The rationale for this assessment is based on a technical and objective deduction and does not in any way pre-empt the national positions put forward by Turkey in the climate negotiations or any possible COP decision that may determine its future classification, considering its specific circumstances. Turkey started reporting LULUCF under the Climate Convention in 2006. Presently, the LULUCF sink (made of a forest sink for its bigger part) is estimated to offset 12 % of Turkey's total greenhouse emissions. For afforestation/reforestation (A/R) (Article 3.3), the objectives of the 2014-2017 OGM (General Directorate of Forestry Turkish abbreviation) Strategic Plan were considered. For forest management (FM) (Article 3.4), two alternative scenarios were considered: 90 Mm3 of roundwood harvest between 2013 and 2017 (intensive harvest) and 25 Mm3/year of felling (industrial round wood) harvest by 2020 (extensive harvest). The corresponding volumes of firewood, felling and total round wood were forecast accordingly from 2013 to 2020. The carbon credits or Removal Units (RMUs) for Article 3.3 ARD and Article 3.4 FM (including the carbon storage in harvested wood products) were estimated using the guidelines from the intergovernmental panel of experts on climate change and taking into account the upgraded LULUCF rules. For Article 3.3, it was estimated that 119.4 million RMUs could be generated between 2013 and 2020, which is more than twice the maximum amount of RMUs to be generated under Article 3.4 FM. The total economic values (TEVs) of Turkey's forests have been estimated based on recent studies and then used to calculate benefits. Taking into account the recent European Union (EU) market price (Kyoto market) or the recent forest carbon price (Kyoto and voluntary markets), carbon benefits are reduced in all scenarios compared with other values included in the TEV of the forest. If we consider the carbon shadow price (i.e. the recommended carbon price from 2011 to 2050, to achieve the EU target of reducing GHG emissions fourfold by 2050), it is worth noting that the situation is quite different: for the 3.4 FM areas and mainly for 3.3 ARD areas, the carbon benefits are substantial. However, this price level is still far from attainable as negotiations stand now, unless the international community is able to adopt a strong political commitment in coming years.</t>
  </si>
  <si>
    <t>Article; Book Chapter</t>
  </si>
  <si>
    <t>10.1007/978-3-319-45035-3_8</t>
  </si>
  <si>
    <t>Increased harvest</t>
  </si>
  <si>
    <t>Text and figure 8.16 &amp; 8.17</t>
  </si>
  <si>
    <t>Figure 8,18</t>
  </si>
  <si>
    <t>MtCO2/yr</t>
  </si>
  <si>
    <t>carbon storage; GHG accounting; mitigation measures; harvested wood products</t>
  </si>
  <si>
    <t>AREA INCREMENT MODEL; CARBON; SECTOR; IMPACTS; STORAGE</t>
  </si>
  <si>
    <t>Braun, M; Fritz, D; Weiss, P; Braschel, N; Buchsenmeister, R; Freudenschuss, A; Gschwantner, T; Jandl, R; Ledermann, T; Neumann, M; Polz, W; Schadauer, K; Schmid, C; Schwarzbauer, P; Stern, T</t>
  </si>
  <si>
    <t>A holistic assessment of greenhouse gas dynamics from forests to the effects of wood products use in Austria</t>
  </si>
  <si>
    <t>Anthropogenic GHG emissions add a fast reinforcing feedback cycle to global carbon dynamics which continues to influence GHG concentrations in the Earth's atmosphere. When looking at forest carbon cycles there is potential in utilizing another feedback cycle, namely the carbon cycle involving harvested wood products. To assess the potential of the mitigation options arising from these carbon flows, the forest-based sector in Austria was modelled to assess causal links, dependencies and dynamics involved in GHG-relevant processes. Carbon dynamics were investigated in forests and forest soil carbon, the forest product chain and life-cycle analyses for substitution of conventional products with wood products in a cascade of different modelling approaches and paradigms, and the results synthesized. It was found that material use of products from domestic timber sources has the highest climate change mitigation efficiency when originating from sustainably managed forests regarding biomass stocks. The emissions saved through building up a carbon stock from harvested wood products and through emissions substitution can be as high as similar to 20 years of total annual Austrian emissions in 90 years. Additional conservation measures while sustaining sawnwood production and the related GHG benefits at a high level had the highest contribution to an overall carbon sink.</t>
  </si>
  <si>
    <t>10.1080/17583004.2016.1230990</t>
  </si>
  <si>
    <t>managed area</t>
  </si>
  <si>
    <t>scenario 2</t>
  </si>
  <si>
    <t>m3 utilized wood</t>
  </si>
  <si>
    <t>Gm3</t>
  </si>
  <si>
    <t>GtCO2-eq</t>
  </si>
  <si>
    <t>VB_changed</t>
  </si>
  <si>
    <t>policy type</t>
  </si>
  <si>
    <t>1a</t>
  </si>
  <si>
    <t>1b</t>
  </si>
  <si>
    <t>1c</t>
  </si>
  <si>
    <t>no driver</t>
  </si>
  <si>
    <t>FORESTRY</t>
  </si>
  <si>
    <t>Forestry</t>
  </si>
  <si>
    <t>million m3</t>
  </si>
  <si>
    <t>lumber</t>
  </si>
  <si>
    <t>FORESTRY CHRONICLE</t>
  </si>
  <si>
    <t>For. Chron.</t>
  </si>
  <si>
    <t>MtC</t>
  </si>
  <si>
    <t>FOREST ECOLOGY AND MANAGEMENT</t>
  </si>
  <si>
    <t>Carbon storage; Climate change mitigation; Forest management; Harvesting; Natural disturbance; Sustainability</t>
  </si>
  <si>
    <t>CANADIAN BOREAL FOREST; FIRE SUPPRESSION; CARBON STOCKS; WOOD PRODUCTS; MANAGEMENT; DISTURBANCE; REGIMES; FUTURE; DYNAMICS; HISTORY</t>
  </si>
  <si>
    <t>Colombo, SJ; Chen, JX; Ter-Mikaelian, MT; McKechnie, J; Elkie, PC; MacLean, HL; Heath, LS</t>
  </si>
  <si>
    <t>Forest protection and forest harvest as strategies for ecological sustainability and climate change mitigation</t>
  </si>
  <si>
    <t>An important consideration in forest management to mitigate climate change is the balance between forest carbon (C) storage and ecological sustainability. We explore the effects of management strategies on tradeoffs between forest C stocks and ecological sustainability under five scenarios, three of which included management and two scenarios which provide baselines emulating the natural forest. Managed forest scenarios were: (a) Protection (PROT), i.e., management by suppression of natural disturbance and harvest exclusion; (b) Harvest at a higher rate removing all sustainably available wood (HHARV); (c) Harvest at the lower historical average rate of harvest, AHARV. Both harvest scenarios reflected current forest management practices in the study area, including suppression of natural disturbance and a large (&gt;20% of total) forest area reserved from harvest. Scenarios (d) and (e) simulated natural forest with unsuppressed fire at higher (NDH) or lower (NDL) levels and no harvest. Ecological sustainability was evaluated using a coarse filter approach where forest age class and tree species composition were indicators of condition. The study area encompassed 3.4 million hectares of forest in northeastern Ontario at the interface between the temperate hardwood and boreal forest zones. Future forest condition for each scenario was modeled using a timber supply model (SFMM), and C stored in forests and wood products were estimated using the FORCARB-ON model. Forest protection (PROT) resulted in greatest forest C stocks, especially in the near term, but was within 95% of its maximum, becoming saturated within 30 years. Harvesting (HHARV and AHARV) resulted in less forest C stock compared to PROT, however, after 100 years of adding C in wood products to that in regenerating forests total C storage was equivalent or greater than forest C with PROT. In contrast, removing management (NDH and NDL) decreased C relative to any of the management regimes, though in NDL the decrease was delayed for 30 years compared to HHARV. Forest sustainability measured by similarity to natural forest age class was superior with HHARV and AHARV compared to PROT, although no management regime produced a fully natural result. PROT in particular largely lacked younger age classes. All management regimes produced species composition that was near or within the range of natural variation. This analysis provides an example of the types of tradeoffs that can be considered in evaluating the contribution of forests to climate change mitigation, either in a commercial forestry context or in an approach based on protected areas. Crown Copyright (C) 2012 Published by Elsevier B.V. All rights reserved.</t>
  </si>
  <si>
    <t>For. Ecol. Manage.</t>
  </si>
  <si>
    <t>10.1016/j.foreco.2012.06.016</t>
  </si>
  <si>
    <t>forest management</t>
  </si>
  <si>
    <t>Protection</t>
  </si>
  <si>
    <t>AHARV Lower harvest rate</t>
  </si>
  <si>
    <t>C stock of wood-in-use + in landfill</t>
  </si>
  <si>
    <t>TgC</t>
  </si>
  <si>
    <t>Fixed conversion Qwood</t>
  </si>
  <si>
    <t>HHARV Higher harvest rate</t>
  </si>
  <si>
    <t>natural disturbance rate</t>
  </si>
  <si>
    <t>Higher natural disturbance rate</t>
  </si>
  <si>
    <t>Lower natural disturbance rate</t>
  </si>
  <si>
    <t>JOURNAL OF FOREST ECONOMICS</t>
  </si>
  <si>
    <t>Forest sector; climate change; carbon balance; climate warming mitigation; bio-economic model</t>
  </si>
  <si>
    <t>LAND-USE CHANGE; WOOD-BASED ENERGY; CARBON SEQUESTRATION; RESPONSE FUNCTIONS; ECONOMIC-IMPACTS; TREE MORTALITY; US FORESTS; EUROPE; MODELS; BIOENERGY</t>
  </si>
  <si>
    <t>Delacote, P; Lobianco, A; Caurla, S; Bontemps, JD; Lungarska, A; Merian, P; Riviere, M; Barkaoui, A</t>
  </si>
  <si>
    <t>The Loop Effect: How Climate Change Impacts the Mitigation Potential of the French Forest Sector</t>
  </si>
  <si>
    <t>Objectives: Evaluate the capacity of temperate forest resources to both provide climate change mitigation and to sustain the downstream timber sector explicitly considering the cascade of biophysical and economic drivers (in particular, climate change impacts and subsequent adaptation actions) and their uncertainty. Methodology: A recursive bio-economic model of French forest resources, management, and timber markets has been coupled for this study with spatial statistical models of forest response to climate change long-term scenarios and land-use change. Main Results: (a) Climate change impacts on tree mortality are greater than those on tree growth variations; (b) Due to increasing competition with agriculture, climate change may reverse current trends in forest area expansion; (c) Due to rising average tree sizes, volume growth strongly declines over time and may eventually cease within the next century; (d) Future climate change impacts already have strong consequences on today's forest investment profitability; (e) The relative importance of forest substitution over forest sequestration increases as the timeframe increases; (f) While the forest sector has the potential to counterbalance a significant share of the national carbon emissions, this potential is threatened by climate change and the need to adapt to it. Profit-driven forest management does increase mitigation; (g) Uncertainty derived from using different climatic models over the same IPCC storyline has the same order of magnitude as the uncertainty derived from using the same climatic model under different storylines.</t>
  </si>
  <si>
    <t>J. For. Econ.</t>
  </si>
  <si>
    <t>10.1561/112.00000522</t>
  </si>
  <si>
    <t>forest area dynamics</t>
  </si>
  <si>
    <t>arpege_a1b</t>
  </si>
  <si>
    <t>arpege_a1b_carea</t>
  </si>
  <si>
    <t>Lobianco et al., 2016</t>
  </si>
  <si>
    <t>forest owners expectations</t>
  </si>
  <si>
    <t>arpege_a1b_fullexp</t>
  </si>
  <si>
    <t>risk aversion</t>
  </si>
  <si>
    <t>arpege_a1b_nora</t>
  </si>
  <si>
    <t>adaptive management</t>
  </si>
  <si>
    <t>arpege_a1b_nomgm</t>
  </si>
  <si>
    <t>driver changed to species</t>
  </si>
  <si>
    <t>constant</t>
  </si>
  <si>
    <t>LLP</t>
  </si>
  <si>
    <t>ECOLOGICAL APPLICATIONS</t>
  </si>
  <si>
    <t>carbon emissions; climate change mitigation; forest carbon; harvested wood products; United States Climate Alliance; Vermont forests</t>
  </si>
  <si>
    <t>CLIMATE-CHANGE MITIGATION; CONTERMINOUS UNITED-STATES; LAND-COVER DATABASE; OLD-GROWTH FORESTS; CARBON SEQUESTRATION; NEW-ENGLAND; MANAGEMENT; BIOENERGY; PRODUCTIVITY; METAANALYSIS</t>
  </si>
  <si>
    <t>Dugan, AJ; Lichstein, JW; Steele, A; Metsaranta, JM; Bick, S; Hollinger, DY</t>
  </si>
  <si>
    <t>Opportunities for forest sector emissions reductions: a state-level analysis</t>
  </si>
  <si>
    <t>The forest sector can play a significant role in climate change mitigation. We evaluated forest sector carbon trends and potential mitigation scenarios in Vermont using a systems-based modeling framework that accounts for net emissions from all forest sector components. These components comprise (1) the forest ecosystem, including land-use change, (2) harvested wood products (HWP), and (3) substitution effects associated with using renewable wood-based products and fuels in place of more emission-intensive materials and fossil fuel-based energy. We assessed baseline carbon trends from 1995 through 2050 using a business as usual (BAU) scenario. Emission reductions associated with different forest management and HWP scenarios were evaluated relative to the BAU scenario from 2020 to 2050. We estimated uncertainty for each forest sector component and used a Monte Carlo approach to estimate the distribution of cumulative total mitigation for each scenario relative to baseline. Our analysis indicates that the strength of the forest sector carbon sink in Vermont has been declining and will continue to decline over coming decades under the BAU scenario. However, several scenarios evaluated here could be effective in reducing emissions and enhancing carbon uptake. Shifting HWP to longer-lived commodities resulted in a 14% reduction in net cumulative emissions by 2050, the largest reduction of all scenarios. A scenario that combined extending harvest rotations, utilizing additional harvest residues for bioenergy, and increasing forest productivity resulted in a 12% reduction in net cumulative emissions. Shifting commodities from pulp and paper to bioenergy showed a 7.3% reduction in emissions. In contrast, shortening rotations to increase harvests for bioenergy use resulted in a 5.5% increase in emissions. In summary, model simulations suggest that net emissions could be reduced by up to 14% relative to BAU, depending on the management and HWP-use scenario. Combining multiple scenarios could further enhance reductions. However, realizing the full climate mitigation potential of these forests may be challenging due to socioeconomic barriers to implementation, as well as alternative management objectives that must be considered along with carbon sequestration.</t>
  </si>
  <si>
    <t>Ecol. Appl.</t>
  </si>
  <si>
    <t>10.1002/eap.2327</t>
  </si>
  <si>
    <t>Productivity+residue+ExtendedRotation</t>
  </si>
  <si>
    <t>Portfolio</t>
  </si>
  <si>
    <t>HWP (final product)</t>
  </si>
  <si>
    <t>Smyth et al.2017</t>
  </si>
  <si>
    <t>Leskinen et al. 2018</t>
  </si>
  <si>
    <t>ExtendRotation</t>
  </si>
  <si>
    <t>ShortRot</t>
  </si>
  <si>
    <t>Increased fertility through unspecified practices including genetics</t>
  </si>
  <si>
    <t>Productivity</t>
  </si>
  <si>
    <t>HWP proportions</t>
  </si>
  <si>
    <t>IncreaseBioenergy</t>
  </si>
  <si>
    <t>Residue removal</t>
  </si>
  <si>
    <t>Residue</t>
  </si>
  <si>
    <t>More to bioenergy</t>
  </si>
  <si>
    <t>ShortRotBio</t>
  </si>
  <si>
    <t>FOREST POLICY AND ECONOMICS</t>
  </si>
  <si>
    <t>Climate change; Forest adaption; Economic trade-offs; Forest carbon</t>
  </si>
  <si>
    <t>ECOSYSTEM MODEL ANALYSIS; CLIMATE-CHANGE; CARBON SEQUESTRATION; ADAPTIVE MANAGEMENT; DISCOUNT RATE; WHITE SPRUCE; GROWTH; TIMBER; PRODUCTIVITY; BOREAL</t>
  </si>
  <si>
    <t>Dymond, CC; Giles-Hansen, K; Asante, P</t>
  </si>
  <si>
    <t>The forest mitigation-adaptation nexus: Economic benefits of novel planting regimes</t>
  </si>
  <si>
    <t>Previous studies have examined the economic trade-offs of climate change mitigation in forestry. However, most have not explicitly accounted for the impact of climate change on productivity or the value of carbon sequestration when considering the higher costs of adaptive planting. Here we build on previous studies from northwestern Canada, using the Woodstock optimization model to assess the economic trade-offs of the standard and two adaptive planting regimes under historical climate and a severe climate change scenario. We considered planting and harvesting costs and revenue from timber and carbon sequestration over 100 years. The analyses were done at a forest level using a continuous production process to identify the best combination of stand-level management to achieve multiple objectives, because that is consistent with strategic decision-making on public land in North America. Our results showed there are potential negative risks from climate change to: harvest volumes, net present value, growing stock, and ecosystem carbon sinks. Despite increased regeneration costs, we found some risk mitigation through adaptive planting, with the greatest benefits through diversification which had higher net present value, growing stock and ecosystem carbon than historic climate with standard stocking. This was a result of planting more valuable species, higher growth rates in mixed stands, and adaption of novel species to new climates. Adaptation through novel planting regimes is a cog-effective forest management strategy that can potentially offset some negative impacts of climate change.</t>
  </si>
  <si>
    <t>Forest Policy Econ.</t>
  </si>
  <si>
    <t>10.1016/j.forpol.2020.102124</t>
  </si>
  <si>
    <t>Species change</t>
  </si>
  <si>
    <t>GovStockingStand</t>
  </si>
  <si>
    <t>DouglasFir</t>
  </si>
  <si>
    <t>Harvest volume</t>
  </si>
  <si>
    <t>Diversity</t>
  </si>
  <si>
    <t>boreal forest; carbon credits; timber supply; market incentives; sustainable forest management; optimization; Carbon Budget Model of the Canadian Forest Sector (CBM-CFS3); Woodstock Forest Management Model</t>
  </si>
  <si>
    <t>NATURAL FORESTS; CLIMATE-CHANGE; BUDGET MODEL; SEQUESTRATION; TIMBER; DYNAMICS; BIOMASS; SECTOR; SCALE; STRATEGIES</t>
  </si>
  <si>
    <t>Elgie, S; McCarney, GR; Adamowicz, WL</t>
  </si>
  <si>
    <t>Assessing the implications of a carbon market for boreal forest management</t>
  </si>
  <si>
    <t>Canada's forests particularly the boreal-are a major storehouse of carbon. How they are managed could significantly affect Canada's greenhouse gas emissions while also presenting a new revenue source for forest managers. This study attempts to assess how a carbon price could affect forest management, particularly in Canada's boreal plains region. An integrated modelling approach is developed to incorporate both forest carbon and timber supply considerations within an optimal management framework. This modelling approach allows for consideration of alternative market and regulatory scenarios, along with a range of possible management intensity and harvest scheduling options over the landscape. The overall conclusion is that carbon incentives will increase the value of the boreal forest potentially quite significantly and will generally encourage management changes consistent with sustainable forest management practices.</t>
  </si>
  <si>
    <t>10.5558/tfc2011-027</t>
  </si>
  <si>
    <t>C price</t>
  </si>
  <si>
    <t>$25/tC</t>
  </si>
  <si>
    <t>$9/tC</t>
  </si>
  <si>
    <t>Cumulated harvest volume</t>
  </si>
  <si>
    <t>$1/tC</t>
  </si>
  <si>
    <t>$0/tC</t>
  </si>
  <si>
    <t>Environmental impacts; Renewable energy policy; Forest-wood chain; Climate change mitigation; Life cycle assessment; Alpine region</t>
  </si>
  <si>
    <t>LIFE-CYCLE ASSESSMENT; ENERGY; LCA</t>
  </si>
  <si>
    <t>Elisa, P; Alessandro, P; Andrea, A; Silvia, B; Mathis, P; Dominik, P; Manuela, R; Francesca, T; Voglar, GE; Tine, G; Nike, K; Thomas, S</t>
  </si>
  <si>
    <t>Environmental and climate change impacts of eighteen biomass-based plants in the alpine region: A comparative analysis</t>
  </si>
  <si>
    <t>In the energy and climate policy commitments of the European Union, the following targets have been foreseen up to 2030: reducing the greenhouse gas emissions of 40%, improving the energy conversion efficiency of 27%, and producing 27% of the energy from renewable energy sources. Nowadays, thanks to the development of reliable and efficient technologies, several possibilities exist to replace fossil fuels with renewable energy sources, such as wind power, solar, hydropower, geothermal, and biomass. In the Alpine region, biomass can play a key role for achieving the objectives foreseen by the EU policy strategy. In the last few years, due to the high available potentials of residues from forestry operations and sawmill processing, the Alpine region witnessed the development of centralized biomass district heating plants. The aim of the present study is to assess the environmental impacts of 18 biomass-based plants located in the Alpine region using a Life Cycle Assessment approach and to analyse the current market destination of the wood residues. The data were collected through face-to-face interviews with the stakeholders of the forest-wood supply chain (managers of biomass-based plant, sawmills, forest owners and enterprises). From the environmental point of view, the results of the Life Cycle Assessment (global climate change impact: 5-90 gCO(2) MJ(-1)) show that the critical points in the forest-wood supply chain are: the transport phase (1-54 gCO(2) MJ(-1)) and the wood processing phase (6-36 gCO(2) MJ(-1)). The results provided by Life Cycle Assessment can be used to increase the scientific knowledge of the environmental impacts related to the biomass conversion technology and to underline the weak points of the forest-wood supply chain. Furthermore, these results can support the decision makers in defining climate change mitigation strategies at regional and local level. (c) 2019 Elsevier Ltd. All rights reserved.</t>
  </si>
  <si>
    <t>10.1016/j.jclepro.2019.118449</t>
  </si>
  <si>
    <t xml:space="preserve">comparison of several biomass -based plants </t>
  </si>
  <si>
    <t>B</t>
  </si>
  <si>
    <t>C</t>
  </si>
  <si>
    <t>annual feedstock consumption</t>
  </si>
  <si>
    <t>fig.6</t>
  </si>
  <si>
    <t>fig7 x table3</t>
  </si>
  <si>
    <t>-7.0181175</t>
  </si>
  <si>
    <t>-20.604</t>
  </si>
  <si>
    <t>Eur</t>
  </si>
  <si>
    <t>-6.9106425</t>
  </si>
  <si>
    <t>-20.4226666666667</t>
  </si>
  <si>
    <t>D</t>
  </si>
  <si>
    <t>-18.6530153333333</t>
  </si>
  <si>
    <t>-18.4790944444444</t>
  </si>
  <si>
    <t>E</t>
  </si>
  <si>
    <t>-165.625</t>
  </si>
  <si>
    <t>-163.541666666667</t>
  </si>
  <si>
    <t>M</t>
  </si>
  <si>
    <t>-46.75</t>
  </si>
  <si>
    <t>-45.9861111111111</t>
  </si>
  <si>
    <t>A</t>
  </si>
  <si>
    <t>-11.2152777777778</t>
  </si>
  <si>
    <t>-10.9777777777778</t>
  </si>
  <si>
    <t>-0.107475</t>
  </si>
  <si>
    <t>-0.2375</t>
  </si>
  <si>
    <t>-0.173920888888889</t>
  </si>
  <si>
    <t>-0.181333333333333</t>
  </si>
  <si>
    <t>-0.763888888888889</t>
  </si>
  <si>
    <t>-2.08333333333333</t>
  </si>
  <si>
    <t>H</t>
  </si>
  <si>
    <t>-111.331133333333</t>
  </si>
  <si>
    <t>-109.302833333333</t>
  </si>
  <si>
    <t>-82.3375</t>
  </si>
  <si>
    <t>-80.7916666666667</t>
  </si>
  <si>
    <t>F</t>
  </si>
  <si>
    <t>-23.1756055833333</t>
  </si>
  <si>
    <t>P</t>
  </si>
  <si>
    <t>-25.5630416666667</t>
  </si>
  <si>
    <t>-22.7498070555556</t>
  </si>
  <si>
    <t>-25.0408333333333</t>
  </si>
  <si>
    <t>N</t>
  </si>
  <si>
    <t>-101.474383333333</t>
  </si>
  <si>
    <t>O</t>
  </si>
  <si>
    <t>-25.9134608</t>
  </si>
  <si>
    <t>-99.1751666666667</t>
  </si>
  <si>
    <t>-25.4376486666667</t>
  </si>
  <si>
    <t>G</t>
  </si>
  <si>
    <t>-437.095</t>
  </si>
  <si>
    <t>-429.4</t>
  </si>
  <si>
    <t>I</t>
  </si>
  <si>
    <t>-208.041166666667</t>
  </si>
  <si>
    <t>L</t>
  </si>
  <si>
    <t>-127.730146116667</t>
  </si>
  <si>
    <t>-197.041288888889</t>
  </si>
  <si>
    <t>-122.760463888889</t>
  </si>
  <si>
    <t>Q</t>
  </si>
  <si>
    <t>-19.7333333333333</t>
  </si>
  <si>
    <t>-18.2222222222222</t>
  </si>
  <si>
    <t>-2.0283</t>
  </si>
  <si>
    <t>S</t>
  </si>
  <si>
    <t>-0.338888888888889</t>
  </si>
  <si>
    <t>-1.54583333333333</t>
  </si>
  <si>
    <t>-0.522208333333333</t>
  </si>
  <si>
    <t>-1.51111111111111</t>
  </si>
  <si>
    <t>-2.29921666666667</t>
  </si>
  <si>
    <t>T</t>
  </si>
  <si>
    <t>-0.219777777777778</t>
  </si>
  <si>
    <t>-0.425798527777778</t>
  </si>
  <si>
    <t>-0.475812133333333</t>
  </si>
  <si>
    <t>-10.9998777777778</t>
  </si>
  <si>
    <t>-7.695</t>
  </si>
  <si>
    <t>-4.96968222777778</t>
  </si>
  <si>
    <t>-2.95</t>
  </si>
  <si>
    <t>-2.61111111111111</t>
  </si>
  <si>
    <t>-2.55491666666667</t>
  </si>
  <si>
    <t>-2.33513888888889</t>
  </si>
  <si>
    <t>Plywood</t>
  </si>
  <si>
    <t>Circular Economy; Time-dependency; Global Warming Potential (GWP); Dynamic life cycle assessment (LCA); Quality; Resource cascading</t>
  </si>
  <si>
    <t>LIFE-CYCLE ASSESSMENTS; IMPACT ASSESSMENT; BIOMASS RESOURCES; ENERGY; PRODUCTS; CARBON; LCA; OPTIMIZATION; EFFICIENCY; INVENTORY</t>
  </si>
  <si>
    <t>Faraca, G; Tonini, D; Astrup, TF</t>
  </si>
  <si>
    <t>Dynamic accounting of greenhouse gas emissions from cascading utilisation of wood waste</t>
  </si>
  <si>
    <t>Cascading utilisation of post-consumer wood waste has recently gained increasing attention in the European Union, aiming for a society in which the resource's properties are optimized through sequential uses. To date, material utilisation of wood waste has been limited to particleboard production, with additional niche alternatives being restricted by quality requirements for wood waste. In this consequential life cycle assessment focusing on post-consumer wood collected at Danish recycling centres, Global Warming Potential (GWP) impacts from quality-driven choices for cascading management of wood waste were compared with those from handling mixed wood waste qualities. GWPs were modelled by considering the dynamic profile of greenhouse gas emissions (including biogenic carbon dioxide) for two time horizons (100 and 500 years). The robustness of the results was tested by varying modelling assumptions with respect to electricity system, wood sourcing and associated rotation period, and impacts from indirect land use changes. The results demonstrated that valuing quality over quantity in wood waste management can ensure larger GWP savings, especially if recycling applications have a long lifetime and/or substitute energy-intensive products; such results were confirmed under all scenario analyses. Inclusion of land use changes credited land-intensive products. More cascade steps of the wood waste resource ensured larger savings; however, assumptions on the electricity mix, on the source of the wood alongside the choice of the time horizon for GWP greatly influenced the results on cascading management. (c) 2018 Elsevier B.V. All rights reserved.</t>
  </si>
  <si>
    <t>10.1016/j.scitotenv.2018.10.136</t>
  </si>
  <si>
    <t>Technical efficiency</t>
  </si>
  <si>
    <t>A1</t>
  </si>
  <si>
    <t>Supplementary E</t>
  </si>
  <si>
    <t>Denmark</t>
  </si>
  <si>
    <t>Czarnecki et al. 2005; Höglmeier et al., 2014;  Kim and Song, 2014;  Vis et al., 2016</t>
  </si>
  <si>
    <t>Lifespan</t>
  </si>
  <si>
    <t>C1 (50 years floor board)</t>
  </si>
  <si>
    <t>B1 (10 years)</t>
  </si>
  <si>
    <t>A1 (10 years floor board)</t>
  </si>
  <si>
    <t>Change in number of cascades</t>
  </si>
  <si>
    <t>B4</t>
  </si>
  <si>
    <t>wood recycled</t>
  </si>
  <si>
    <t>A4</t>
  </si>
  <si>
    <t>C1</t>
  </si>
  <si>
    <t>C4</t>
  </si>
  <si>
    <t>F1</t>
  </si>
  <si>
    <t>Forest carbon pool; Harvested wood product carbon pool; Methane emissions; Sessile oak; Forest management; Fossil fuel substitution</t>
  </si>
  <si>
    <t>LIFE-CYCLE ANALYSIS; ROTATION LENGTH; BEECH STANDS; SEQUESTRATION; DECOMPOSITION; SUBSTITUTION; INVENTORIES; EMISSIONS; BIOENERGY; SYSTEMS</t>
  </si>
  <si>
    <t>Fortin, M.; Ningre, F.; Robert, N; Mothe, F.</t>
  </si>
  <si>
    <t>Quantifying the impact of forest management on the carbon balance of the forest-wood product chain: A case study applied to even-aged oak stands in France</t>
  </si>
  <si>
    <t>In this study, we evaluated three different management scenarios in relation to their ability to maximize the carbon balance. The study was carried out within a context of managed even-aged sessile oak stands, and the management scenarios were contrasted in terms of stem density and rotation length. A system of models designed to represent the whole forest-wood product chain was used to assess the carbon balance of each scenario. The boundaries of this system were extended as far as possible to prevent any carbon leaks. Dead organic matter and disposed harvested wood products (HWPs) were taken into account in the assessment. The scenarios were compared in terms of their average stock in the forest and the HWP carbon pools, as well as some additional fluxes. These included: (i) substitution for fossil fuel; (ii) carbon emissions due to HWP processing; (iii) the accumulation of non-degradable carbon in the landfill; and (iv) methane emissions resulting from anaerobic decomposition of disposed HWPs. Results showed that the HWP carbon pools were about 10 times smaller than the forest carbon pools. The substitution for fossil fuel constituted the largest positive flux, whereas methane emissions in absence of methane recovery facilities accounted for 40% of the negative fluxes. The burning of wood products for energy was preferable to HWP disposal at the landfill site. As long as the risk of extreme climate events remains marginal, management scenarios that maintain higher stem densities over longer rotation lengths appeared to be favorable to carbon sequestration. (C) 2012 Elsevier B.V. All rights reserved.</t>
  </si>
  <si>
    <t>10.1016/j.foreco.2012.05.031</t>
  </si>
  <si>
    <t>Stand density</t>
  </si>
  <si>
    <t>low</t>
  </si>
  <si>
    <t>Standard</t>
  </si>
  <si>
    <t>MgC ha-1 CO2 eq</t>
  </si>
  <si>
    <t>Petersen Raymer (2006, see Table 14)</t>
  </si>
  <si>
    <t>Petersen and Solberg (2005)</t>
  </si>
  <si>
    <t>high</t>
  </si>
  <si>
    <t>Biomass; Co-firing; Coal; Energy crops; Great Lakes States; Greenhouse gas mitigation; Life Cycle Assessment; Sequestration</t>
  </si>
  <si>
    <t>UNITED-STATES; SEQUESTRATION; ENERGY; SOIL; DIVERSITY; CROPS; LAND; CO2</t>
  </si>
  <si>
    <t>Froese, RE; Shonnard, DR; Miller, CA; Koers, KP; Johnson, DM</t>
  </si>
  <si>
    <t>An evaluation of greenhouse gas mitigation options for coal-fired power plants in the US Great Lakes States</t>
  </si>
  <si>
    <t>We assessed options for mitigating greenhouse gas emissions from electricity generation in the US Great Lakes States, a region heavily dependent on coal-fired power plants. A proposed 600 MW power plant in northern Lower Michigan, USA provided context for our evaluation. Options to offset fossil CO2 emissions by 20% included biomass fuel substitution from (1) forest residuals, (2) short-rotation woody crops, or (3) switchgrass; (4) biologic sequestration in forest plantations; and (5) geologic sequestration using CO2 capture. Review of timber product output data, land cover data, and expected energy crop productivity on idle agriculture land within 120 km of the plant revealed that biomass from forestry residuals has the potential to offset 6% and from energy crops 27% of the annual fossil fuel requirement. Furthermore, annual forest harvest in the region is only 26% of growth and the surplus represents a large opportunity for forest products and bioenergy applications. We used Life Cycle Assessment (LCA) to compare mitigation options, using fossil energy demand and greenhouse gas emissions per unit electricity generation as criteria. LCA results revealed that co-firing with forestry residuals is the most attractive option and geologic sequestration is the least attractive option, based on the two criteria. Biologic sequestration is intermediate but likely infeasible because of very large land area requirements. Our study revealed that biomass feedstock potentials from land and forest resources are not limiting mitigation activities, but the most practical approach is likely a combination of options that optimize additional social, environmental and economic criteria. (C) 2009 Elsevier Ltd. All rights reserved.</t>
  </si>
  <si>
    <t>Biomass Bioenerg.</t>
  </si>
  <si>
    <t>10.1016/j.biombioe.2009.10.013</t>
  </si>
  <si>
    <t>Residues used for energy</t>
  </si>
  <si>
    <t>Short rotation wood</t>
  </si>
  <si>
    <t>Wood used</t>
  </si>
  <si>
    <t>kgCO2eq/kWh</t>
  </si>
  <si>
    <t>Fixed conversion</t>
  </si>
  <si>
    <t>forest products; global warming potential (GWP); industrial ecosystem; environmental assessment; life cycle assessment (LCA); carbon sequestration</t>
  </si>
  <si>
    <t>LIFE-CYCLE ASSESSMENT; IMPACT ASSESSMENT; BUILDING-MATERIALS; TEMPORARY-STORAGE; BIOGENIC CARBON; GREENHOUSE-GAS; ENERGY IMPACTS; MANAGEMENT; SYSTEMS; METRICS</t>
  </si>
  <si>
    <t>Ganguly, I; Pierobon, F; Hall, ES</t>
  </si>
  <si>
    <t>Global Warming Mitigating Role of Wood Products from Washington State's Private Forests</t>
  </si>
  <si>
    <t>Similar to standing trees in the forests, wood products play an important role in enhancing the global sequestered carbon pool, by retaining the atmospheric carbon in a sequestered form for the duration of the functional life of the wood products. This study uses a temporal radiative forcing analysis along with the functional half-life of different wood products to evaluate the impacts of wood products on global warming, including carbon storage and life cycle greenhouse gas production/extraction emissions. The methodology is applied to Washington State's aboveground biomass and timber harvest data, and to the State's comprehensive wood products mix. A moderate harvest rate simulation within Washington Biomass Calculator is used to estimate state harvest level, and statewide wood products manufacturing data is used for developing wood product mix estimates. Using this method, we estimate that the temporal carbon storage leads to a global warming mitigation benefit equivalent to 4.3 million tCO(2eq). Even after factoring in the greenhouse gas emissions associated with the harvest operations and wood products manufacturing processes, within the temporal model, the results show a net beneficial impact of approximately 1.7 million tCO(2eq), on an annual basis. It can further be noted that Washington State's annual biomass growth in its private forests exceeds its annual harvest, by a significant margin. This net yearly accumulation of biomass in the State's private forests leads to additional global warming mitigation benefits equivalent to 7.4 million tCO(2eq). Based on these results, we conclude that Washington's private forestry industry is a net global warming mitigator for the State, equivalent to 12% of the State's greenhouse gas emissions in 2015.</t>
  </si>
  <si>
    <t>10.3390/f11020194</t>
  </si>
  <si>
    <t>economic area</t>
  </si>
  <si>
    <t>Puget sound</t>
  </si>
  <si>
    <t>Olympic peninsula</t>
  </si>
  <si>
    <t>total harvest</t>
  </si>
  <si>
    <t>table 2</t>
  </si>
  <si>
    <t>bone-dry tons</t>
  </si>
  <si>
    <t>fig.5</t>
  </si>
  <si>
    <t>changed driver. Wood use is not a scenario because they are interlinked. Switched to location as a driver. Added the "without emissions" data</t>
  </si>
  <si>
    <t>inland empire</t>
  </si>
  <si>
    <t>LIFE-CYCLE ASSESSMENT; ENVIRONMENTAL PERFORMANCE; RESIDENTIAL CONSTRUCTION; ENERGY-CONSUMPTION; EMISSIONS; IMPACTS; SECTOR; DOORS</t>
  </si>
  <si>
    <t>Geng, AX; Chen, JX; Yang, HQ</t>
  </si>
  <si>
    <t>Assessing the Greenhouse Gas Mitigation Potential of Harvested Wood Products Substitution in China</t>
  </si>
  <si>
    <t>Substituting harvested wood products (HWP) for greenhouse gas (GHG) intensive nonwood materials in long-lived end uses has the potential to significantly reduce GHG emissions. To determine the mitigation effects of HWP substitution, we produced China-specific wood displacement factors (DFs) by HWP end use subcategory, defined as tonnes of carbon (tC) of reduced emissions per tC contained by the HWP substituted for typical alternative nonwood materials. The weighted average DFs for substituting HWP for nonwood materials in construction and furniture production in China were estimated to be 3.48 tC/tC and 1.36 tC/tC, respectively, or 2.90 tC/tC for HWP substitution when these two sectors were combined. If annual solid HWP consumption in China increased by 10% on the basis of 2014 consumption (an increase of 25.9 million m(3) of HWP) and these HWP were used to substitute for GHG-intensive materials in construction and furniture production, 18.76 Mt C of emission reduction can be achieved annually. Substituting HWP for nonwood materials in construction appeared to be more effective than in furniture manufacture in mitigating GHG emissions. Our study suggested that increasing HWP use in China, especially in the construction industry to substitute for nonwood materials can significantly contribute to China's emission reduction targets.</t>
  </si>
  <si>
    <t>10.1021/acs.est.8b06510</t>
  </si>
  <si>
    <t>material substitution</t>
  </si>
  <si>
    <t>HWP mass consumed in the material assembly</t>
  </si>
  <si>
    <t>kg/unit</t>
  </si>
  <si>
    <t>kgCO2eq/unit</t>
  </si>
  <si>
    <t>tonnes of carbon (tC) of reduced emissions per tC contained by the HWP substituted for typical alternative nonwood materials.</t>
  </si>
  <si>
    <t>added driver category and entered wood and emissions data.</t>
  </si>
  <si>
    <t>tCO2eq/m2</t>
  </si>
  <si>
    <t>AGROFORESTRY SYSTEMS</t>
  </si>
  <si>
    <t>ethanol; greenhouse gas; renewable energy; wood waste</t>
  </si>
  <si>
    <t>AGRICULTURAL LANDS; WESTERN CANADA; FEASIBILITY; ETHANOL; TREES</t>
  </si>
  <si>
    <t>Graham, PJ</t>
  </si>
  <si>
    <t>Potential for climate change mitigation through afforestation: an economic analysis of fossil fuel substitution and carbon sequestration benefits</t>
  </si>
  <si>
    <t>The impetus for this paper is Canada's commitment under the Kyoto Protocol to reduce national greenhouse gas emissions as well as reducing dependency on fossil fuels. This research assesses the economic viability of using biomass from afforested lands and industrial wood waste as a feedstock for ethanol production to substitute for fossil fuels in the transportation sector. Afforestation can increase the size of the carbon sink and also provide a source of renewable energy. Ethanol offers an excellent opportunity for greenhouse gas mitigation due to market potential, an ability to offset significant emissions from the transportation sector, and reduce emissions from CO2-intensive waste-management systems. A case study of the economics of a hypothetical ethanol production facility found that a facility capable of producing 122 million litres of ethanol annually could have a net present value of CDN$245 million over a planning horizon of 36 years. This facility would require a supply of up to 960 oven-dry tonnes of wood-biomass per day and would result in net annual reductions of greenhouse gas emissions of approximately 349,000 tonnes of CO2. This includes the carbon sequestered through the afforestation as well as emissions avoided through fossil fuel substitution. Using biomass from afforested lands and industrial wood waste as a fuel for energy production can be an economically viable tool for reducing greenhouse gas levels in the atmosphere, reducing reliance on fossil fuels and reducing the sensitivity of transportation fuel prices to changes in gasoline prices.</t>
  </si>
  <si>
    <t>Agrofor. Syst.</t>
  </si>
  <si>
    <t>Article; Proceedings Paper</t>
  </si>
  <si>
    <t>10.1023/A:1026145321640</t>
  </si>
  <si>
    <t>ethanol production plant</t>
  </si>
  <si>
    <t>Not specified, listed in table A1</t>
  </si>
  <si>
    <t>fixed timeunit consistency (annual)</t>
  </si>
  <si>
    <t>EARTHS FUTURE</t>
  </si>
  <si>
    <t>forest management; climate change mitigation; substitution effects; climate-smart forestry; ecosystem services; robust optimization</t>
  </si>
  <si>
    <t>GREENHOUSE-GAS CONCENTRATIONS; SHORT-ROTATION COPPICE; LPJ-GUESS V4.0; VEGETATION DYNAMICS; ECOSYSTEM SERVICES; LAND-USE; BIOMASS PRODUCTIVITY; CARBON SEQUESTRATION; UNMANAGED FORESTS; MANAGEMENT</t>
  </si>
  <si>
    <t>Gregor, K; Knoke, T; Krause, A; Reyer, CPO; Lindeskog, M; Papastefanou, P; Smith, B; Lanso, AS; Rammig, A</t>
  </si>
  <si>
    <t>Trade-Offs for Climate-Smart Forestry in Europe Under Uncertain Future Climate</t>
  </si>
  <si>
    <t>Forests mitigate climate change by storing carbon and reducing emissions via substitution effects of wood products. Additionally, they provide many other important ecosystem services (ESs), but are vulnerable to climate change; therefore, adaptation is necessary. Climate-smart forestry combines mitigation with adaptation, whilst facilitating the provision of many ESs. This is particularly challenging due to large uncertainties about future climate. Here, we combined ecosystem modeling with robust multi-criteria optimization to assess how the provision of various ESs (climate change mitigation, timber provision, local cooling, water availability, and biodiversity habitat) can be guaranteed under a broad range of climate futures across Europe. Our optimized portfolios contain 29% unmanaged forests, and implicate a successive conversion of 34% of coniferous to broad-leaved forests (11% vice versa). Coppices practically vanish from Southern Europe, mainly due to their high water requirement. We find the high shares of unmanaged forests necessary to keep European forests a carbon sink while broad-leaved and unmanaged forests contribute to local cooling through biogeophysical effects. Unmanaged forests also pose the largest benefit for biodiversity habitat. However, the increased shares of unmanaged and broad-leaved forests lead to reductions in harvests. This raises the question of how to meet increasing wood demands without transferring ecological impacts elsewhere or enhancing the dependence on more carbon-intensive industries. Furthermore, the mitigation potential of forests depends on assumptions about the decarbonization of other industries and is consequently crucially dependent on the emission scenario. Our findings highlight that trade-offs must be assessed when developing concrete strategies for climate-smart forestry.</t>
  </si>
  <si>
    <t>Earth Future</t>
  </si>
  <si>
    <t>10.1029/2022EF002796</t>
  </si>
  <si>
    <t>management type</t>
  </si>
  <si>
    <t>unmanaged</t>
  </si>
  <si>
    <t>base</t>
  </si>
  <si>
    <t>harvest</t>
  </si>
  <si>
    <t>m3/ha/yr (summed over all years)</t>
  </si>
  <si>
    <t>mitigation table4</t>
  </si>
  <si>
    <t>kgC/m2 (convert to /ha)</t>
  </si>
  <si>
    <t>Knauf et al., 2015</t>
  </si>
  <si>
    <t>C-pool table4</t>
  </si>
  <si>
    <t>toNe</t>
  </si>
  <si>
    <t>toBd</t>
  </si>
  <si>
    <t xml:space="preserve">Gustavsson, L., Holmberg, J., Dornburg, V., Sathre, R., Eggers, T., Mahapatra, K., &amp; Marland, G. </t>
  </si>
  <si>
    <t xml:space="preserve"> Using biomass for climate change mitigation and oil use reduction</t>
  </si>
  <si>
    <t xml:space="preserve"> Energy policy</t>
  </si>
  <si>
    <t>10.1016/j.enpol.2007.05.023</t>
  </si>
  <si>
    <t>energy technology used</t>
  </si>
  <si>
    <t>wood-frame building</t>
  </si>
  <si>
    <t>biomass cost of co2avoided. Text gives 400kgdrymatter/m3 and 15.3GJ/tonne dry matter</t>
  </si>
  <si>
    <t>power plant coal</t>
  </si>
  <si>
    <t>BLGCC</t>
  </si>
  <si>
    <t>diesel</t>
  </si>
  <si>
    <t>BLG DME</t>
  </si>
  <si>
    <t>DME</t>
  </si>
  <si>
    <t>gasoline</t>
  </si>
  <si>
    <t>methanol</t>
  </si>
  <si>
    <t>fuel oil lime kiln</t>
  </si>
  <si>
    <t>bark lime kiln</t>
  </si>
  <si>
    <t>gas boiler</t>
  </si>
  <si>
    <t>medium scale wood boiler</t>
  </si>
  <si>
    <t>small scale oil boiler</t>
  </si>
  <si>
    <t>pellet boiler</t>
  </si>
  <si>
    <t>biomass. Given in heating value with assumption of 15.3GJ/tonne and 400kg dry matter/m3</t>
  </si>
  <si>
    <t>DH gas CHP</t>
  </si>
  <si>
    <t>DH-BIG/CC CHP</t>
  </si>
  <si>
    <t>industrial space heating, oil boiler</t>
  </si>
  <si>
    <t>small scale gas boiler</t>
  </si>
  <si>
    <t>heat pump with bio-electricity</t>
  </si>
  <si>
    <t>Power-BIG/CC CHP</t>
  </si>
  <si>
    <t>heat plant base-load oil</t>
  </si>
  <si>
    <t>electric resistance</t>
  </si>
  <si>
    <t>electric boiler</t>
  </si>
  <si>
    <t>forest management models; carbon sink; forest harvest; forest reference level; production forests; multifunctional forests; set-aside forests</t>
  </si>
  <si>
    <t>IRREGULAR SHELTERWOOD SYSTEM; ECOSYSTEM SERVICES; IMPACTS; SUPPORT; CLIMATE; SINK</t>
  </si>
  <si>
    <t>Gusti, M; Di Fulvio, F; Biber, P; Korosuo, A; Forsell, N</t>
  </si>
  <si>
    <t>The Effect of Alternative Forest Management Models on the Forest Harvest and Emissions as Compared to the Forest Reference Level</t>
  </si>
  <si>
    <t>Background and Objectives: Under the Paris Agreement, the European Union (EU) sets rules for accounting the greenhouse gas emissions and removals from forest land (FL). According to these rules, the average FL emissions of each member state in 2021-2025 (compliance period 1, CP1) and in 2026-2030 (compliance period 2, CP2) will be compared to a projected forest reference level (FRL). The FRL is estimated by modelling forest development under fixed forest management practices, based on those observed in 2000-2009. In this context, the objective of this study was to estimate the effects of large-scale uptake of alternative forest management models (aFMMs), developed in the ALTERFOR project (Alternative models and robust decision-making for future forest management), on forest harvest and forest carbon sink, considering that the proposed aFMMs are expanded to most of the suitable areas in EU27+UK and Turkey. Methods: We applied the Global Forest Model (G4M) for projecting the harvest and sink with the aFMMs and compared our results to previous FRL projections. The simulations were performed under the condition that the countries should match the harvest levels estimated for their FRLs as closely as possible. A representation of such aFMMs as clearcut, selective logging, shelterwood logging and tree species change was included in G4M. The aFMMs were modeled under four scenarios of spatial allocation and two scenarios of uptake rate. Finally, we compared our results to the business as usual. Results: The introduction of the aFMMs enhanced the forest sink in CP1 and CP2 in all studied regions when compared to the business as usual. Conclusions: Our results suggest that if a balanced mixture of aFMMs is chosen, a similar level of wood harvest can be maintained as in the FRL projection, while at the same time enhancing the forest sink. In particular, a mixture of multifunctional aFMMs, like selective logging and shelterwood, could enhance the carbon sink by up to 21% over the ALTERFOR region while limiting harvest leakages.</t>
  </si>
  <si>
    <t>10.3390/f11080794</t>
  </si>
  <si>
    <t>Balanced forestry (all aFMMs are allowed equally, for trying to achieve a harvest close to the BAU-only case);</t>
  </si>
  <si>
    <t>Thousand m3 / year</t>
  </si>
  <si>
    <t>MtCO2 per year</t>
  </si>
  <si>
    <t>correct sign of Cdelta that is negative is the study, small change in wood harvest because objective is to see the effect of a change in harvest type for similar harvest level</t>
  </si>
  <si>
    <t>Multifunctional forestry (aFMMs aimed at multifunctional forest use, including selective logging, high production aimed forest management with untouched patches (hereinafter referred to as EU habitats) or with species change are prioritized)</t>
  </si>
  <si>
    <t>correct sign of Cdelta that is negative is the study</t>
  </si>
  <si>
    <t>Set-aside forestry (aimed at biodiversity, wilderness, restoration, stand edge management and other nature protection low-intensity management).</t>
  </si>
  <si>
    <t>Production forestry (alternative FMMs aimed at wood production, i.e., clearcut and shelterwood logging are prioritized)</t>
  </si>
  <si>
    <t>building structures; construction; cross&amp;#8208; laminated timber (CLT); embodied carbon; life cycle assessment (LCA); material efficiency</t>
  </si>
  <si>
    <t>Hart, J; D'Amico, B; Pomponi, F</t>
  </si>
  <si>
    <t>Whole-life embodied carbon in multistory buildings: Steel, concrete and timber structures</t>
  </si>
  <si>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</si>
  <si>
    <t>10.1111/jiec.13139</t>
  </si>
  <si>
    <t>Changes in wood amount component in building structure</t>
  </si>
  <si>
    <t>STEEL FRAME with COMPOSITE FLOOR DECK</t>
  </si>
  <si>
    <t>GLULAM FRAME with CLT FLOOR SLABS</t>
  </si>
  <si>
    <t xml:space="preserve">Total mass timber </t>
  </si>
  <si>
    <t>Tonne / m2</t>
  </si>
  <si>
    <t>table S4</t>
  </si>
  <si>
    <t xml:space="preserve"> kgCO2e/m2  </t>
  </si>
  <si>
    <t>REINFORCED CONCRETE FRAME</t>
  </si>
  <si>
    <t>Life cycle assessment; Building design; Embodied carbon; Timber; Climate emergency</t>
  </si>
  <si>
    <t>LIFE-CYCLE ASSESSMENT; BIO-BASED MATERIALS; TEMPORARY-STORAGE; CHANGE MITIGATION; BIOGENIC CARBON; SEQUESTRATION; EMISSIONS; WOOD; LCA; CONSTRUCTION</t>
  </si>
  <si>
    <t>Hawkins, W; Cooper, S; Allen, S; Roynon, J; Ibell, T</t>
  </si>
  <si>
    <t>Embodied carbon assessment using a dynamic climate model: Case-study comparison of a concrete, steel and timber building structure</t>
  </si>
  <si>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</si>
  <si>
    <t>10.1016/j.istruc.2020.12.013</t>
  </si>
  <si>
    <t>Wood + BECCS instead of Wood Year 100</t>
  </si>
  <si>
    <t>Wood</t>
  </si>
  <si>
    <t>Wood + BECCS</t>
  </si>
  <si>
    <t>Wood + BECCS instead of Wood Year 35</t>
  </si>
  <si>
    <t>Wood + BECCS instead of Wood Year 2</t>
  </si>
  <si>
    <t>Wood instead of Wood + no replanting Year 35</t>
  </si>
  <si>
    <t>Wood + no replanting</t>
  </si>
  <si>
    <t>can be split by LCA stages</t>
  </si>
  <si>
    <t>Wood instead of Wood + no replanting Year 100</t>
  </si>
  <si>
    <t>Wood instead of Wood + no replanting Year 2</t>
  </si>
  <si>
    <t>Steel instead of Wood Year 100</t>
  </si>
  <si>
    <t>Concrete instead of Wood Year 100</t>
  </si>
  <si>
    <t>Steel instead of Wood Year 2</t>
  </si>
  <si>
    <t>Steel instead of Wood Year 35</t>
  </si>
  <si>
    <t>Concrete instead of Wood Year 2</t>
  </si>
  <si>
    <t>Concrete instead of Wood Year 35</t>
  </si>
  <si>
    <t>Harvesting intensity</t>
  </si>
  <si>
    <t>Climate change; SSP; Forestry; Agriculture</t>
  </si>
  <si>
    <t>CLIMATE-CHANGE; SCENARIOS; ASSUMPTIONS; MITIGATION; PATHWAYS; IMPACTS; CHOICES; SYSTEM; HEALTH</t>
  </si>
  <si>
    <t>Jones, JPH; Baker, JS; Austin, K; Latta, G; Wade, CM; Cai, YX; Aramayo-Lipa, L; Beach, R; Ohrel, SB; Ragnauth, S; Creason, J; Cole, J</t>
  </si>
  <si>
    <t>Importance of Cross-Sector Interactions When Projecting Forest Carbon across Alternative Socioeconomic Futures</t>
  </si>
  <si>
    <t>In recent decades, the carbon sink provided by the U.S. forest sector has offset a sizable portion of domestic greenhouse gas (GHG) emissions. In the future, the magnitude of this sink has important implications not only for projected U.S. net GHG emissions under a reference case but also for the cost of achieving a given mitigation target. The larger the contribution of the forest sector towards reducing net GHG emissions, the less mitigation is needed from other sectors. Conversely, if the forest sector begins to contribute a smaller sink, or even becomes a net source, mitigation requirements from other sectors may need to become more stringent and costlier to achieve economy wide emissions targets. There is acknowledged uncertainty in estimates of the carbon sink provided by the U.S. forest sector, attributable to large ranges in the projections of, among other things, future economic conditions, population growth, policy implementation, and technological advancement. We examined these drivers in the context of an economic model of the agricultural and forestry sectors, to demonstrate the importance of cross-sector interactions on projections of emissions and carbon sequestration. Using this model, we compared detailed scenarios that differ in their assumptions of demand for agriculture and forestry products, trade, rates of (sub)urbanization, and limits on timber harvest on protected lands. We found that a scenario assuming higher demand and more trade for forest products resulted in increased forest growth and larger net GHG sequestration, while a scenario featuring higher agricultural demand, ceteris paribus led to forest land conversion and increased anthropogenic emissions. Importantly, when high demand scenarios are implemented conjunctively, agricultural sector emissions under a high income-growth world with increased livestock-product demand are fully displaced by substantial GHG sequestration from the forest sector with increased forest product demand. This finding highlights the potential limitations of single-sector modeling approaches that ignore important interaction effects between sectors.</t>
  </si>
  <si>
    <t>10.1561/112.00000449</t>
  </si>
  <si>
    <t>Increase in patterns of urban- and suburbanization</t>
  </si>
  <si>
    <t xml:space="preserve"> SSP5-Dev</t>
  </si>
  <si>
    <t>SSP5-For</t>
  </si>
  <si>
    <t>Total Sawlog and Pulplog Supply</t>
  </si>
  <si>
    <t>See onglet Jones_2019</t>
  </si>
  <si>
    <t>See onglet Jones_2021</t>
  </si>
  <si>
    <t>t Co2</t>
  </si>
  <si>
    <t>use cumulative harvest for Qwood since C is cumulative</t>
  </si>
  <si>
    <t xml:space="preserve">Increase in domestic demand for, and international trade of, forest products </t>
  </si>
  <si>
    <t>SSP1</t>
  </si>
  <si>
    <t>Increase in domestic demand for agricultural products due to small changes in income but large shifts in dietary preferences, as well as shifts in export demand due to dietary changes</t>
  </si>
  <si>
    <t>SSP5-Ag</t>
  </si>
  <si>
    <t>TECHNOLOGICAL FORECASTING AND SOCIAL CHANGE</t>
  </si>
  <si>
    <t>Scenario analysis; Forest sector modelling; Bioeconomy; Sustainability; Employment; Climate change mitigation</t>
  </si>
  <si>
    <t>WOOD-PRODUCT MARKETS; LAND-USE CHANGE; SCENARIO ANALYSIS; CARBON-DYNAMICS; GREENHOUSE-GAS; CONSTRUCTION; ENERGY; MANAGEMENT; FUTURE; INDUSTRY</t>
  </si>
  <si>
    <t>Jonsson, R; Rinaldi, F; Pilli, R; Fiorese, G; Hurmekoski, E; Cazzaniga, N; Robert, N; Camia, A</t>
  </si>
  <si>
    <t>Boosting the EU forest-based bioeconomy: Market, climate, and employment impacts</t>
  </si>
  <si>
    <t>This study adds to the scientific literature dealing with the climate change mitigation implications of wood substitution. Its main scientific contribution rests with the modelling approach. By fully integrating forest resource and wood-product markets modelling in quantitative scenario analysis, we account for international trade in wood products as well as impacts on EU forests and forest-based sector employment of an increased EU uptake of wood-based construction and/or biochemicals and biofuels. Our results confirm the crucial role of the sawmilling industry in the forest-based bioeconomy. Thus, boosting wood-based construction in the EU would be most effective in increasing EU production and employment-in logging and solid wood-products manufacturing, but also in sectors using sawmilling byproducts as feedstock. Vertical integration in wood-based biorefineries should thus be advantageous. The positive EU climate-change mitigation effects of increased carbon storage in harvested wood products (HWP) and material substitution from increased wood construction are more than offset by reduced net forests carbon sinks by 2030, due to increased EU harvests. Further, increased EU imports, resulting in lower consumption of sawnwood outside the EU, would reduce extra-EU long-life HWP carbon storage and substitution of GHG-intensive materials, highlighting the need for concerted international climate change mitigation.</t>
  </si>
  <si>
    <t>Technol. Forecast. Soc. Chang.</t>
  </si>
  <si>
    <t>10.1016/j.techfore.2020.120478</t>
  </si>
  <si>
    <t>Harvest increase for construction (perimeter = total forest sector)</t>
  </si>
  <si>
    <t>Harvest construction</t>
  </si>
  <si>
    <t>10^3 m3</t>
  </si>
  <si>
    <t>Valade, A., Bellassen, V., Magand, C., Luyssaert, S., 2017. Sustaining the sequestration</t>
  </si>
  <si>
    <t>***</t>
  </si>
  <si>
    <t>Harvest increase for construction (perimeter = value chain only)</t>
  </si>
  <si>
    <t>Harvest increase for both construction and energy/chemistry (perimeter = total forest sector)</t>
  </si>
  <si>
    <t>Harvest construction and energy/chemistry</t>
  </si>
  <si>
    <t>Harvest increase for both construction and energy/chemistry (perimeter = value chain only)</t>
  </si>
  <si>
    <t>Harvest increase for energy/chemistry (perimeter = total forest sector)</t>
  </si>
  <si>
    <t>Harvest energy/chemistry</t>
  </si>
  <si>
    <t>Harvest increase for energy/chemistry (perimeter = value chain only)</t>
  </si>
  <si>
    <t>GHG accounting; carbon savings; material substitution; material stocks; wood construction; dynamic stock model</t>
  </si>
  <si>
    <t>GREENHOUSE-GAS DYNAMICS; LIFE-CYCLE ASSESSMENT; ENERGY; PRODUCTS; IMPACTS; SUBSTITUTION; EMISSIONS; BIOMASS</t>
  </si>
  <si>
    <t>Kalt, G</t>
  </si>
  <si>
    <t>Carbon dynamics and GHG implications of increasing wood construction: long-term scenarios for residential buildings in Austria</t>
  </si>
  <si>
    <t>Wooden construction elements often exhibit lower life cycle greenhouse gas (GHG) emissions than conventional counterparts (material substitution effect'). Moreover, the building stock represents a carbon (C) sink if timber inflows (construction) surpass outflows (demolition) (C-stock effect'). A dynamic stock model incorporating these effects is applied to quantify potential climate benefits of wood construction in Austria's residential building sector. If present trends are maintained, culminating in a wood construction share (WCS) of 50% during 2050-2100, building shells could contain three times as much C in 2100 as today. Annual timber demand for residential construction could double, but would remain well below Austria's current net exports. Compared to a baseline scenario with constant WCS (22%), cumulated GHG savings from material substitution until 2050 are estimated 2 to 4.2 Tg CO2-equivalent - clearly less than savings from C-stock expansion (9.2 Tg). Savings from both effects would double in a highly ambitious scenario (WCS=80% during 2050-2100). The applied 'Stock Change Approach' is consistent with IPCC Guidelines, but the above-mentioned savings from C-stock changes would not materialize under the current default GHG inventory accounting approach. Moreover, savings from C-stock effects must eventually be weighed against forest C-stock changes, as growing domestic demand might stimulate wood harvesting.</t>
  </si>
  <si>
    <t>10.1080/17583004.2018.1469948</t>
  </si>
  <si>
    <t>Share of wood in construction</t>
  </si>
  <si>
    <t>Baseline 22%</t>
  </si>
  <si>
    <t>Rapid increase 80%</t>
  </si>
  <si>
    <t>Hafner A, Sch€afer S. Comparative LCA study of different</t>
  </si>
  <si>
    <t>Continued increase 50%</t>
  </si>
  <si>
    <t>bioenergy; bioethanol; carbon accounting; greenhouse gas (GHG) emissions; industrial ecology; short-rotation woody crops</t>
  </si>
  <si>
    <t>PRODUCTS; MANAGEMENT</t>
  </si>
  <si>
    <t>Kayo, C; Aramaki, T; Hanaki, K</t>
  </si>
  <si>
    <t>Effect of Change of Forest Carbon Storage on Net Carbon Dioxide Balance of Wood Use for Energy in Japan</t>
  </si>
  <si>
    <t>This study analyzed the net carbon dioxide (CO(2)) emission reductions between 2005 and 2050 by using wood for energy under various scenarios of forest management and energy conversion technology in Japan, considering both CO(2) emission reductions from replacement of fossil fuels and changes in carbon storage in forests. According to our model, wood production for energy results in a significant reduction of carbon storage levels in forests (by 46% to 77% in 2050 from the 2005 level). Thus, the net CO(2) emission reduction when wood is used for energy becomes drastically smaller. Conventional tree production for energy increases net CO(2) emissions relative to preserving forests, but fast-growing tree production may reduce net CO(2) emissions more than preserving forests does. When wood from fast-growing trees is used to generate electricity with gas turbines, displacing natural gas, the net CO(2) emission reduction from the combination of fast-growing trees and electricity generation with gas turbines is about 58% of the CO(2) emission reduction from electricity generation from gas turbines alone in 2050, and an energy conversion efficiency of around 20% or more is required to obtain net reductions over the entire period until 2050. When wood is used to produce bioethanol, displacing gasoline, net reductions are realized after 2030, provided that heat energy is recovered from residues from ethanol production. These results show the importance of considering the change in carbon storage when estimating the net CO(2) emission reduction effect of the wood use for energy.</t>
  </si>
  <si>
    <t>10.1111/j.1530-9290.2010.00308.x</t>
  </si>
  <si>
    <t>ethanol from wood RT=45 years</t>
  </si>
  <si>
    <t>ethanol from wood RT=30 years</t>
  </si>
  <si>
    <t xml:space="preserve">Wood and harvest residues </t>
  </si>
  <si>
    <t>electricty from wood gaseification conventional Tree RT =45 years; P_Gas</t>
  </si>
  <si>
    <t>electricty from wood gaseification fast growing Tree RT =10 years; P_Gas</t>
  </si>
  <si>
    <t>ethanol from wood RT=10 years</t>
  </si>
  <si>
    <t>electricity from wood gaseification conventional Tree RT =30 years; P_Gas</t>
  </si>
  <si>
    <t>electricity from natural gas</t>
  </si>
  <si>
    <t>electricty from natural gas</t>
  </si>
  <si>
    <t>electricty from direct burning fast growing Tree RT =10 years; P_Steam</t>
  </si>
  <si>
    <t>electricty from combined direct burning and steam turbine fast growing Tree RT =10 years; P_Combined</t>
  </si>
  <si>
    <t>ENVIRONMENTAL SCIENCE &amp; POLICY</t>
  </si>
  <si>
    <t>Carbon stock; Fossil fuel consumption; Future scenario analysis; Harvested wood products; Inter-regional flow</t>
  </si>
  <si>
    <t>US FOREST SECTOR; SEQUESTRATION; MANAGEMENT</t>
  </si>
  <si>
    <t>Kayo, C; Tsunetsugu, Y; Noda, H; Tonosaki, M</t>
  </si>
  <si>
    <t>Carbon balance assessments of harvested wood products in japan taking account of inter-regional flows</t>
  </si>
  <si>
    <t>We constructed a model to assess the carbon balance of harvested wood products (HWP) used for building, furniture, paper/paperboard and energy, taking into account flows of wood between regions of Japan. We projected the carbon balance in each region until 2050 under two future scenarios, a BAU (business as usual) scenario and a wood use promotion scenario. We found the carbon stock in domestic harvested wood products became a carbon emission source, with Central Japan becoming the largest emission source, after 2020 in the BAU scenario but continued to function as a carbon sink in every region over the whole period in the wood promotion scenario. Therefore, unless future supply and demand amounts of domestic wood are increased by factors such as policies promoting the use of wood, the carbon stock of domestic wood may become an emission source rather than a sink. By promoting the use of domestic wood, the carbon stock acts as a carbon sink in every region. Carbon emissions from fossil fuel consumption with respect to HWP in the whole of Japan fell to 72% of the 2004 value in 2050 in the BAU scenario, but rose to 112% in the wood promotion scenario. Emissions from wood transport were greatest in Central Japan, emissions from sawn wood processing were highest in West Japan, and emissions from plywood processing and woodchip processing were greatest in East Japan. In carbon balances that included the annual changes in the carbon stock amounts of domestic harvested wood, only Central Japan in the wood promotion scenario had carbon removals greater than its carbon emissions from fossil fuel consumption in the years 2005-2045. In addition, when considering reductions in carbon emissions by substitution of fossil fuels with wood residues and waste wood in the carbon balances, the sum of the removals from carbon stock changes and the reductions of carbon emissions were greater than the carbon emissions associated with HWP over the entire period in all three regions in both scenarios. (C) 2013 Elsevier Ltd. All rights reserved.</t>
  </si>
  <si>
    <t>Environ. Sci. Policy</t>
  </si>
  <si>
    <t>10.1016/j.envsci.2013.09.006</t>
  </si>
  <si>
    <t>Amounts of wood used increases in the future in accordance with policies promoting supply and demand for wood</t>
  </si>
  <si>
    <t>Production</t>
  </si>
  <si>
    <t>m3/year</t>
  </si>
  <si>
    <t>bioenergy; calculation tool; carbon balance; decomposition; ecosystem; life cycle; sustainability</t>
  </si>
  <si>
    <t>GREENHOUSE-GAS EMISSIONS; CLIMATE-CHANGE; TEMPERATURE SENSITIVITY; NORWAY SPRUCE; CARBON STOCKS; SOIL; BIOFUELS; ENERGY; TIMBER; MANAGEMENT</t>
  </si>
  <si>
    <t>Kilpelainen, A; Alam, A; Strandman, H; Kellomaki, S</t>
  </si>
  <si>
    <t>Life cycle assessment tool for estimating net CO2 exchange of forest production</t>
  </si>
  <si>
    <t>The study describes an integrated impact assessment tool for the net carbon dioxide (CO2) exchange in forest production. The components of the net carbon exchange include the uptake of carbon into biomass, the decomposition of litter and humus, emissions from forest management operations and carbon released from the combustion of biomass and degradation of wood-based products. The tool enables the allocation of the total carbon emissions to the timber and energy biomass and to the energy produced on the basis of biomass. In example computations, ecosystem model simulations were utilized as an input to the tool. We present results for traditional timber production (pulpwood and saw logs) and integrated timber and bioenergy production (logging residues, stumps and roots) for Norway spruce, in boreal conditions in Finland, with two climate scenarios over one rotation period. The results showed that the magnitude of management related emissions on net carbon exchange was smaller when compared with the total ecosystem fluxes; decomposition being the largest emission contributor. In addition, the effects of management and climate were higher on the decomposition of new humus compared with old humus. The results also showed that probable increased biomass growth, obtained under the changing climate (CC), could not compensate for decomposition and biomass combustion related carbon loss in southern Finland. In our examples, the emissions allocated for the energy from biomass in southern Finland were 172 and 188 kg CO2 MW h(-1) in the current climate and in a CC, respectively, and 199 and 157 kg CO2 MW h(-1) in northern Finland. This study concludes that the tool is suitable for estimating the net carbon exchange of forest production. The tool also enables the allocation of direct and indirect carbon emissions, related to forest production over its life cycle, in different environmental conditions and for alternative time periods and land uses. Simulations of forest management regimes together with the CC give new insights into ecologically sustainable forest bioenergy and timber production, as well as climate change mitigation options in boreal forests.</t>
  </si>
  <si>
    <t>10.1111/j.1757-1707.2011.01101.x</t>
  </si>
  <si>
    <t>supply chain</t>
  </si>
  <si>
    <t>traditional timber production regime Southern Finland</t>
  </si>
  <si>
    <t>integrated timber Southern Finland</t>
  </si>
  <si>
    <t xml:space="preserve">Quantity of logs, pulp and energy wood harvested </t>
  </si>
  <si>
    <t>g CO2eq/m2/year</t>
  </si>
  <si>
    <t>traditional timber production regime Northern Finland</t>
  </si>
  <si>
    <t>integrated timber Northern Finland</t>
  </si>
  <si>
    <t>climate change mitigation; carbon offset in forest projects; harvested wood products; substitution effects; unmanaged forests</t>
  </si>
  <si>
    <t>OLD-GROWTH FORESTS; SOIL CARBON; EUROPEAN BEECH; DEAD WOOD; DYNAMICS; STORAGE; SEQUESTRATION; DECOMPOSITION; BUDGET; STOCKS</t>
  </si>
  <si>
    <t>Klein, D; Hollerl, S; Blaschke, M; Schulz, C</t>
  </si>
  <si>
    <t>The Contribution of Managed and Unmanaged Forests to Climate Change Mitigation-A Model Approach at Stand Level for the Main Tree Species in Bavaria</t>
  </si>
  <si>
    <t>Forestry-based carbon sequestration projects demand a comprehensive quantification of the different climate change mitigation effects. In our study, we modeled a life cycle of managed pure stands consisting of the four main tree species in Bavaria (spruce, pine, beech and oak). For spruce and beech, an unmanaged stand was additionally integrated in order to analyze the differences in climate change mitigation effects compared to the managed stands. We developed a climate change mitigation model, where stand development and silvicultural treatments including harvested timber volumes were conducted using the tree growth model Silva 2.3. The harvested wood products (HWP), including their substitution effects were calculated with a subsequent model. For unmanaged beech forests, we compiled measured data from the literature, and Bavarian strict forest reserves for validating our model results. The results for the managed stands reveal that spruce provides the highest total climate change mitigation effects. After a simulation period of 180 years, one hectare leads to a mean mitigation benefit of 13.5 Mg CO2 ha(-1) year(-1). In comparison, results for pine, beech and oak reveal lesser benefits with 10.1 Mg CO2 ha(-1) year(-1), 9.1 Mg CO2 ha(-1) year(-1) and 7.2 Mg CO2 ha(-1) year(-1), respectively. However, these results assume current growing conditions. Considering climate change, it is very likely that spruce will not be suitable in several regions of Bavaria in the future. Furthermore, excessive disturbances could affect spruce more drastically than the other tree species. In that case, the order could change and beech could exceed spruce. Thus the results cannot be seen as a general recommendation to establish spruce stands in order to achieve optimal climate change mitigation benefits. Nevertheless, results for spruce illustrate that high increment and especially wood use in long-lived products is crucial for high climate change mitigation effects. Mitigation effects in unmanaged spruce and beech stands do not differ in the first decades from their managed counterparts, but are below them in the long term with a total climate change mitigation benefit of 8.0 Mg CO2 ha(-1) year(-1) and 7.2 Mg CO2 ha(-1) year(-1), respectively. These differences are mainly caused by the missing substitution effects in the unmanaged stands. However, the precise dimensions of substitution effects still remain uncertain and the lack of data should be reduced via additional life cycle assessments for more products and product classes. However, neglecting substitution effects in climate change mitigation models leads to severe underestimations of the mitigation effects in managed forests.</t>
  </si>
  <si>
    <t>10.3390/f4010043</t>
  </si>
  <si>
    <t>Presence of active forest management</t>
  </si>
  <si>
    <t>No management</t>
  </si>
  <si>
    <t>With management</t>
  </si>
  <si>
    <t>Harvesting of HWP cumulated over the 180 year period</t>
  </si>
  <si>
    <t>0.675 Mg CO2 m−3: Köhl, M.; Frühwald, A.; Kenter, B.; Olschofsky, K.; Köhler, R.; Köthke, M.; Rüter, S.;
Pretzsch, H.; Rötzer, T.; Makeschin, F.; et al. Potential und Dynamik der Kohlenstoffspeicherung
in Wald und Holz: Beitrag des deutschen Forst- und Holzsektors zum Klimaschutz. vTI Agric. For.
Res. Sonderheft 2009, 327, 103–109.</t>
  </si>
  <si>
    <t>0.7 Mg CO2 m−3: Hofer, P.; Taverna, R.; Werner, F.; Kaufmann, E.; Thürig, E. CO2-Effekte der Schweitzer
Wald- und Holzwirtschaft. Szenarien zukünftiger Beiträge zum Klimaschutz; Bundesamt für
Umwelt, BAFU: Bern, Switzerland, 2007; p. 102.</t>
  </si>
  <si>
    <t>Type of species</t>
  </si>
  <si>
    <t>Beech</t>
  </si>
  <si>
    <t>Oak</t>
  </si>
  <si>
    <t>Pine</t>
  </si>
  <si>
    <t>Spruce</t>
  </si>
  <si>
    <t>logistics; supply chain management; multimodal and unimodal transport; forest products industry; decision support systems</t>
  </si>
  <si>
    <t>CHAIN; OPTIMIZATION; DESIGN</t>
  </si>
  <si>
    <t>Kogler, C; Rauch, P</t>
  </si>
  <si>
    <t>A discrete-event simulation model to test multimodal strategies for a greener and more resilient wood supply</t>
  </si>
  <si>
    <t>Increasing occurrences of natural disturbances, including windstorms and high snow cover, and supply chain risks lead to severe irregularities in wood harvest and transport. To overcome resulting supply difficulties, innovative multimodal systems via rail terminals are promising options offering the potential to increase buffer capacity, improve supply chain resilience, and reduce greenhouse gas emissions. Therefore, a train terminal is included in a virtual simulation environment spanning the entire wood supply chain from forest to industry to test, analyze, and evaluate a complex multimodal system in different scenario settings. Furthermore, the simulation model provides intuitive decision support through animation and a cockpit of key performance indicators, facilitating hands-on workshops with supply chain managers. Results show the advantage of a combination of unimodal and multimodal transport in the wood supply chain of the observed case-study region. This combination proves to be resilient and outperforms other tested supply chain strategies by avoiding both bottlenecks and ill-timed plans and reducing carbon dioxide (CO2) emissions. Furthermore, workshops conducted with industry experts indicate that adapting collaborative supply chain control strategies by means of a participatory simulation environment enhances the development of advanced risk management and therefore improves supply chain resilience, efficiency, and sustainability.</t>
  </si>
  <si>
    <t>10.1139/cjfr-2018-0542</t>
  </si>
  <si>
    <t>Wood production face to climate risk</t>
  </si>
  <si>
    <t>SNOW(MULTI)</t>
  </si>
  <si>
    <t>BAU(MULTI)</t>
  </si>
  <si>
    <t>transported</t>
  </si>
  <si>
    <t>CO2 eq (Table5)</t>
  </si>
  <si>
    <t>STORM(MULTI)</t>
  </si>
  <si>
    <t>SNOW(BOTH)</t>
  </si>
  <si>
    <t>BAU(BOTH)</t>
  </si>
  <si>
    <t>STORM(BOTH)</t>
  </si>
  <si>
    <t xml:space="preserve">SWOW(UNI) </t>
  </si>
  <si>
    <t>BAU(UNI)</t>
  </si>
  <si>
    <t>STORM(UNI)</t>
  </si>
  <si>
    <t>Organization of transports</t>
  </si>
  <si>
    <t>SNOW(UNI)</t>
  </si>
  <si>
    <t>ECOLOGICAL MODELLING</t>
  </si>
  <si>
    <t>Climate change; Carbon; Sustainable carbon storage capacity; Forest management; Wood products; Modelling</t>
  </si>
  <si>
    <t>Liu, GL; Han, SJ</t>
  </si>
  <si>
    <t>Long-term forest management and timely transfer of carbon into wood products help reduce atmospheric carbon</t>
  </si>
  <si>
    <t>In their efforts I to deal with global climate change, scientists and governments have given much attention to the carbon &amp;apos;emissions associated with fossil fuels and to strategies for reducing their use. While it is very important to burn less fossil fuel and to employ alternative energy sources, other carbon-reduction options must also be considered. Given that forests comprise a large portion of the global landbase and that they play a very significant role in the global carbon cycle, it is logical to examine how forest management practices could effect reductions in carbon emissions. Many papers that discuss forest carbon sinks or sources refer only to the short term (&lt;20 years). This paper focuses on the sustainable carbon storage contributions of a forest over the long term. This paper explains that long-term carbon storage and reduced carbon fluctuation can be achieved by a combination of improved forest management and efficient transfer of carbon into wood products. Here we show how three different forest management scenarios affect the overall carbon storage capacity of forest and wood products combined over the long term. We used a timber supply model and scenario analysis to predict forest carbon and other resource conditions over time in the Prince George Forest District, a 3.4-million-ha landbase in northern British Columbia. We found that the high-harvest scenario stores 3% more carbon than the low-harvest scenario and 27% (120 million tonnes) more carbon than the no-harvest scenario even though only 1.2-million ha is in timber harvesting landbase. Our results tell us that forest management practices that maintain and increase forest area, reduce natural disturbances in the forest, improve forest conditions, and ensure the appropriate and timely transfer of carbon into wood products lead to increasing overall carbon storage, thereby reducing carbon in the atmosphere. (C) 2009 Elsevier B.V. All rights reserved.</t>
  </si>
  <si>
    <t>Ecol. Model.</t>
  </si>
  <si>
    <t>10.1016/j.ecolmodel.2009.04.005</t>
  </si>
  <si>
    <t>no harvest (Fig. 6)</t>
  </si>
  <si>
    <t>high harvest (Fig. 6)</t>
  </si>
  <si>
    <t>yearly million tonnes</t>
  </si>
  <si>
    <t>low harvest (Fig. 6)</t>
  </si>
  <si>
    <t>wood product life span</t>
  </si>
  <si>
    <t>50 years (Fig. 7)</t>
  </si>
  <si>
    <t>100 years (Fig. 7)</t>
  </si>
  <si>
    <t>Cross Laminated Timber (CLT); cold regions; cradle-to-grave; LCA</t>
  </si>
  <si>
    <t>CONCRETE; EMISSIONS; ENERGY; PLATES; WOOD</t>
  </si>
  <si>
    <t>Liu, Y; Guo, HB; Sun, C; Chang, WS</t>
  </si>
  <si>
    <t>Assessing Cross Laminated Timber (CLT) as an Alternative Material for Mid-Rise Residential Buildings in Cold Regions in China-A Life-Cycle Assessment Approach</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</si>
  <si>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Xi&amp;apos;an was selected as a case study in comparison with a redesigned CLT building. Two cities in China, in cold and severe cold regions (Xi&amp;apos;an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</si>
  <si>
    <t>10.3390/su8101047</t>
  </si>
  <si>
    <t>recycling ratio</t>
  </si>
  <si>
    <t>timber used</t>
  </si>
  <si>
    <t>ton</t>
  </si>
  <si>
    <t>assumption that concrete building includes no timber at all</t>
  </si>
  <si>
    <t>Fix sequestration sign; driver was missing, model boundaries fixed</t>
  </si>
  <si>
    <t xml:space="preserve">replace concrete building by wood </t>
  </si>
  <si>
    <t>Xian Concrete (Fig. 9)</t>
  </si>
  <si>
    <t>Xian CLT (Fig. 9)</t>
  </si>
  <si>
    <t>Harbin Concrete (Fig. 9)</t>
  </si>
  <si>
    <t>Harbin CLT (Fig. 9)</t>
  </si>
  <si>
    <t>Forest sector; Carbon balance; Climate change; Bio-economic model</t>
  </si>
  <si>
    <t>COARSE WOODY DEBRIS; TREE MORTALITY; LAND-USE; EMISSIONS; PRODUCTS; DROUGHT; MODEL; US</t>
  </si>
  <si>
    <t>Lobianco, A; Caurla, S; Delacote, P; Barkaoui, A</t>
  </si>
  <si>
    <t>Carbon mitigation potential of the French forest sector under threat of combined physical and market impacts due to climate change</t>
  </si>
  <si>
    <t>Objectives: (1) To quantify the contribution of the French forest wood product chain in terms of carbon sequestration and substitution when accounting for both the physical impacts (shifts in tree growth and mortality rates) and the market impacts (increased demand of harvested wood products (HWP)) of climate change (cc) and the subsequent forest managers adaptations; (2) To assess the uncertainty of the impacts on the above carbon balance and on forest allocation; and (3) To assess the role of managers&amp;apos; expectations toward these future, uncertain but highly anticipated, impacts. Methodology: We used a bio-economic model of the French Forest Sector (FFSM++) that is able to consider and integrate: (a) the effects of climate change over forest dynamics; (b) forest investment decisions (among groups of species) according to expected profitability; and (c) market effects in terms of regionalised supply, consumption and trade of HWP, depending on the forest resource stocks and international prices. By including both forest dynamics and forest products, we can evaluate the carbon balance taking the following elements into consideration: (a) carbon sequestered in live and dead biomass in the forest; (b) carbon sequestered in HWP; (c) carbon substituted when wood is used in place of fossil fuels or more energy-intensive materials; and (d) carbon released by forest operations. When the model is run at constant conditions for the next century, the average carbon potential of French forests is 66.2-125.3 Mt CO2 y(-1), depending on whether we consider only inventoried wood resources, HWP pools and direct energy substitution, or if we also account for the carbon stored in tree branches and roots and if we consider the more indirect, but also largely more subjective, material substitution. These values correspond to 18.3% and 34.7%, respectively, of the French 2010 emissions (361 Mt CO2). However, when we consider both the probable increment of coniferous mortality and changes in forest growth, plus the rise in HWP demand worldwide, the average sequestration rate of the French forest decreases by 6.6-5.8% to 61.8-118.0 Mt CO2 Y-1. Running partial scenarios, we can assess the relative interplay of these two factors, where the price factor increases the HWP stock while decreasing the forest stocks (where the latter effect prevails), while the physical impact of climate change reduces both, but to a lesser extent. Considering short-sighted forest managers, whose behaviour is based uniquely on the observed conditions at the time decisions are made, we obtain a limited effect of the overall carbon balance but a relatively large impact on the area allocation of broadleaved vs. coniferous species. (C) 2015 Department of Forest Economics, SLU Limed, Sweden. Published by Elsevier GmbH. All rights reserved.</t>
  </si>
  <si>
    <t>10.1016/j.jfe.2015.12.003</t>
  </si>
  <si>
    <t>Full agent expectations</t>
  </si>
  <si>
    <t>MtCO2eq . y−1</t>
  </si>
  <si>
    <t>Upper price impact</t>
  </si>
  <si>
    <t>Fixed prices</t>
  </si>
  <si>
    <t>No agent expectations</t>
  </si>
  <si>
    <t>combined drivers: price, climate, agent expectations</t>
  </si>
  <si>
    <t>Constant</t>
  </si>
  <si>
    <t>Upper physical impact</t>
  </si>
  <si>
    <t>TREE PHYSIOLOGY</t>
  </si>
  <si>
    <t>carbon balance; climate scenario; forest management; temperate forest</t>
  </si>
  <si>
    <t>LONG-TERM RESPONSE; NITROGEN DEPOSITION; CO2 CONCENTRATION; CARBON BALANCE; USE EFFICIENCY; ELEVATED CO2; CANOPY; GROWTH; PARAMETERIZATIONS; TRANSPIRATION</t>
  </si>
  <si>
    <t>Loustau, D; Bosc, A; Colin, A; Ogee, J; Davi, H; Francois, C; Dufrene, E; Deque, M; Cloppet, E; Arrouays, D; Le Bas, C; Saby, N; Pignard, G; Hamza, N; Granier, A; Breda, N; Ciais, P; Viovy, N; Delage, F</t>
  </si>
  <si>
    <t>Modeling climate change effects on the potential production of French plains forests at the sub-regional level</t>
  </si>
  <si>
    <t>We modeled the effects of climate change and two forest management scenarios on wood production and forest carbon balance in French forests using process-based models of forest growth. We combined data from the national forest inventory and soil network survey, which were aggregated over a 50 x 50-km grid, i.e., the spatial resolution of the climate scenario data. We predicted and analyzed the climate impact on potential forest production over the period 1960-2100. All models predicted a slight increase in potential forest yield until 20302050, followed by a plateau or a decline around 2070-2100, with overall, a greater increase in yield in northern France than in the south. Gross and net primary productivities were more negatively affected by soil water and atmospheric water vapor saturation deficits in western France because of a more pronounced shift in seasonal rainfall from summer to winter. The rotation-averaged values of carbon flux and production for different forest management options were estimated during four years (1980, 2015, 2045 and 2080). Predictions were made using a two-dimensional matrix covering the range of local soil and climate conditions. The changes in ecosystem fluxes and forest production were explained by the counterbalancing effect of rising CO2 concentration and increasing water deficit. The effect of climate change decreased with rotation length from short rotations with high production rates and low standing biomasses to long rotations with low productivities and greater standing biomasses. Climate effects on productivity, both negative and positive, were greatest on high fertility sites. Forest productivity in northern France was enhanced by climate change, increasingly from west to east, whereas in the southwestern Atlantic region, productivity was reduced by climate change to an increasing degree from west to east.</t>
  </si>
  <si>
    <t>Tree Physiol.</t>
  </si>
  <si>
    <t>10.1093/treephys/25.7.813</t>
  </si>
  <si>
    <t>southwest A triangle (Fig. 8)</t>
  </si>
  <si>
    <t>Southwest A square (Fig. 8)</t>
  </si>
  <si>
    <t>g C m-2 y-1</t>
  </si>
  <si>
    <t>South A triangle (Fig. 8)</t>
  </si>
  <si>
    <t>south A square (Fig. 8)</t>
  </si>
  <si>
    <t>North A square (Fig. 8)</t>
  </si>
  <si>
    <t>north A triangle (Fig. 8)</t>
  </si>
  <si>
    <t>Northeast A square (Fig. 8)</t>
  </si>
  <si>
    <t>northeast A triangle (Fig. 8)</t>
  </si>
  <si>
    <t>southwest A circle (Fig. 8)</t>
  </si>
  <si>
    <t>South A circle (Fig. 8)</t>
  </si>
  <si>
    <t>South A square (Fig. 8)</t>
  </si>
  <si>
    <t>FRONTIERS IN ECOLOGY AND EVOLUTION</t>
  </si>
  <si>
    <t>Front. Ecol. Evol.</t>
  </si>
  <si>
    <t>CARBON BALANCE AND MANAGEMENT</t>
  </si>
  <si>
    <t>Carbon sink; Sequestration; European forests; EFISCEN; Forest management; Wood mobilisation</t>
  </si>
  <si>
    <t>CLIMATE; SCIENCE</t>
  </si>
  <si>
    <t>Nabuurs, GJ; Arets, EJMM; Schelhaas, MJ</t>
  </si>
  <si>
    <t>Understanding the implications of the EU-LULUCF regulation for the wood supply from EU forests to the EU</t>
  </si>
  <si>
    <t>Background: In June 2018, the European Parliament and Council of the European Union adopted a legislative regulation for incorporating greenhouse gas emissions and removals from Land Use, Land Use Change and Forestry (EULULUCF) under its 2030 Climate and Energy Framework. The LULUCF regulation aim to incentivise EU Member States to decrease greenhouse gas emissions and increase removals in the LULUCF sector. The regulation, however, does not set a target for increasing the LULUCF carbon sink, but rather includes a'no net debit' target for LULUCF (Forests and Agricultural soils). For Managed Forest Land (MFL) an accounting framework with capped credits for additional mitigation against a set forest reference level (FRL) was agreed for 2021-2030. The FRL gives the projected future carbon sink in the two compliance periods 2021-2025 and 2026-2030 undercontinuation of forest management practices as they were in the reference period 2000-2009' This FRL was disputed by some Member States as it was perceived to put a limit on their future wood harvesting from MFL. Here we simulated with the EFISCEN European forest model the continuation of forest management practices and determined the corresponding wood harvest for 26 EU countries under progressing age classes. Results: The simulations showed that undercontinuation of forest management practices the harvest (wood removals) in the 26 EU countries as a whole can increase from 420 million m(3)/year in 2000-2009 to 560 million m(3)/ year in 2050 due to progressing age classes. This implies there is a possibility to increase absolute wood harvests without creating debits compared to the forest reference level. However, the manner in which 'continuation of forest management' developed with a progressing age class development over time, meant that in some countries the future harvesting exceeded 90% of the increment. Since this generally is considered to be unsustainable we additionally set a harvesting cut-off as max 90% of increment to be harvested for each individual country as a possible interpretation of sustainability criteria that are included in the regulation. Using this additional limit the projected harvest will only increase to 493 million m(3)/year. Conclusions: The worry from Member States (MS) that the FRL will prevent any additional harvesting seems unwarranted. Due to differences between Member States concerning the state of their forest resources, the FRL as a baseline for harvesting works out very differently for the different Member States. The FRL may have other unforeseen consequences which we discuss. Under all scenarios the living forest biomass sink shows a decline. This can be counteracted through incentivising measures under Climate Smart Forestry.</t>
  </si>
  <si>
    <t>Carbon Balanc. Manag.</t>
  </si>
  <si>
    <t>10.1186/s13021-018-0107-3</t>
  </si>
  <si>
    <t>Amount of harvest</t>
  </si>
  <si>
    <t>Constant absolute amount of harvest</t>
  </si>
  <si>
    <t>Constant intensity</t>
  </si>
  <si>
    <t>Harvest Removals overbark</t>
  </si>
  <si>
    <t>m3/y</t>
  </si>
  <si>
    <t>tCO2/y</t>
  </si>
  <si>
    <t>Constant intensity plus cut off at sustainable level</t>
  </si>
  <si>
    <t>Cradle-to-gate; Forest management; Land use; Life cycle assessment (LCA); Round wood; Silviculture</t>
  </si>
  <si>
    <t>LIFE-CYCLE ASSESSMENT; FOREST OPERATIONS; ENERGY; IMPACTS; INVENTORY</t>
  </si>
  <si>
    <t>Nakano, K; Shibahara, N; Nakai, T; Shintani, K; Komata, H; Iwaoka, M; Hattori, N</t>
  </si>
  <si>
    <t>Greenhouse gas emissions from round wood production in Japan</t>
  </si>
  <si>
    <t>Wood has a long-standing history as an industrial material and fuel. Generic life cycle assessment data is therefore needed to assess the quantitative environmental impact of wood. The aim of this study was to estimate cradle-to-gate greenhouse gas emissions for round wood production of four common Japanese tree species. This study focused on Japanese cedar (Cryptomeria japonica), hinoki cypress (Chamaecyparis obtusa), Japanese larch (Larix kaempferi) and Sakhalin fir (Abies sachalinensis) because these four tree species constitute more than 80% of total round wood production in Japan. This study encompassed all major forestry activities, such as planting, thinning and final felling. In addition to these activities, indirect processes, such as construction of forest roads, were also included. The functional unit used for this study was 1 m(3) over bark of green wood (ob). All 47 prefectures were modeled in order to investigate the site characteristics across Japan. Activity data such as yield per area, required seedling numbers, and thinning method were collected for each tree species and for each prefecture. By combining actual surveyed data and simulation data, information collection challenges on variations in sites and time were overcome. The results of this study suggested that greenhouse gas emissions relating to round wood production of Japanese cedar, hinoki cypress, Japanese larch, and Sakhalin fir were 21.7, 25.9, 24.9 and 25.5 kg-CO(2)e/m(3) ob, respectively. The weighted average value for all of Japan was estimated to be 23.0 kg-CO(2)e/m(3) ob. The amount of temporal carbon storage for these tree species was calculated as 585 -762 kg-CO(2)e/m(3) ob. The results also revealed large variation between different prefectures across Japan. Regarding hinoki cypress, for example, the largest greenhouse gas emissions and land use values as an inventory indicator among evaluated prefectures were approximately 1.5 times and 2.7 times larger than the smallest emissions and land use values, respectively. A prefecture with a higher share of heavy forestry machinery tended to indicate relatively higher greenhouse gas emissions. A comprehensive analysis of the target geographical area is therefore required to produce values representative of the region of interest. Among the processes assessed, the final felling process contributed to the largest portion of greenhouse gas emissions in all tree species. An improvement of the energy efficiency of this process is therefore needed. Improving labor productivity would reduce greenhouse gas emissions resulting from commuting workers. (C) 2016 Elsevier Ltd. All rights reserved.</t>
  </si>
  <si>
    <t>10.1016/j.jclepro.2016.10.024</t>
  </si>
  <si>
    <t xml:space="preserve">Species </t>
  </si>
  <si>
    <t>Sakhalin fir</t>
  </si>
  <si>
    <t>Japanese Cedar</t>
  </si>
  <si>
    <t xml:space="preserve">Round wood production </t>
  </si>
  <si>
    <t>See onglet Nakano_2018</t>
  </si>
  <si>
    <t>m3 ob</t>
  </si>
  <si>
    <t>t-CO2e</t>
  </si>
  <si>
    <t>Japanese Larch</t>
  </si>
  <si>
    <t>Hikoni Cypress</t>
  </si>
  <si>
    <t>size of logs (diameter at breast height)</t>
  </si>
  <si>
    <t>18cm(Hikoni Cypressr)</t>
  </si>
  <si>
    <t>8cm(Hikoni Cypressr)</t>
  </si>
  <si>
    <t>t-CO2e/m3 obs</t>
  </si>
  <si>
    <t>Size of logs (diameter at breast height)</t>
  </si>
  <si>
    <t>18cm(Japanese Cedar)</t>
  </si>
  <si>
    <t>8cm(Japanese Cedar)</t>
  </si>
  <si>
    <t>18cm(Japanese Larch)</t>
  </si>
  <si>
    <t>8cm(Japanese Larch)</t>
  </si>
  <si>
    <t>18cm(Sakhalin fir)</t>
  </si>
  <si>
    <t>8cm(Sakhalin fir)</t>
  </si>
  <si>
    <t>Biomass; Life cycle impact; Renewable energy; Rural communities; Sustainable energy</t>
  </si>
  <si>
    <t>LIFE-CYCLE ASSESSMENT; POWER-GENERATION; FOREST; BIOENERGY; CONVERSION; EMISSIONS; RESIDUES</t>
  </si>
  <si>
    <t>Nandimandalam, H; Gude, VG; Marufuzzaman, M</t>
  </si>
  <si>
    <t>Environmental impact assessment of biomass supported electricity generation for sustainable rural energy systems-A case study of Grenada County, Mississippi, USA</t>
  </si>
  <si>
    <t>Fossil fuels have been the major source of electricity supply in the United States of America (USA) for many decades. While a significant shift has occurred from coal-dominated supply to natural gas and renewable source based supplies in recent decades, there is still large potential to improve biomass supported electricity contribution in rural communities, which depend majorly on forest-related activities. Wood waste, an underutilized renewable resource, has the potential for electricity generation in rural areas to reduce the contribution of electricity generated from fossil fuels and assist in greenhouse gas savings. In this study, a life cycle assessment approach was used to estimate the emissions of electricity generated by wood residues in a rural community (Grenada County, Mississippi (MS), USA) and compared with those emissions from the recent electricity mix (2018), a previous electricity mix (2010) supply, along with natural gas (NG) and coal (Bituminous Coal, BC) based electricity generation options. A significant reduction (85.9-94.6%) in global warming impact was observed when compared with BC, NG and grid supplied electricity for years 2010 and 2018. When compared to the current electricity mix at the grid (2018), acidification, eutrophication, respiratory effects and smog formation showed higher emissions ranging from 30.8% to 72.4%. The sensitivity analysis showed an improvement in emissions savings with increased biomass to power conversion efficiency (40%), lower moisture content of the biomass (0%, bone dry biomass), and reduced transportation distance (35 km). This study showed an improvement in the electricity mix supplied to Grenada county, MS, which implies sustainable development opportunities for promoting energy security in rural communities with forest-based industries. (c) 2021 Elsevier B.V. All rights reserved.</t>
  </si>
  <si>
    <t>10.1016/j.scitotenv.2021.149716</t>
  </si>
  <si>
    <t>Changes in chain organization to generate electricity from wood residues</t>
  </si>
  <si>
    <t xml:space="preserve">mill residues (MR) </t>
  </si>
  <si>
    <t xml:space="preserve">Forest Residue case 1 (FR1) </t>
  </si>
  <si>
    <t>amount of residue available</t>
  </si>
  <si>
    <t>tCO2eq/kWh</t>
  </si>
  <si>
    <t>Forest Residue case 2 (FR2)</t>
  </si>
  <si>
    <t>Forest Residue case 1 (FR1) = chipping</t>
  </si>
  <si>
    <t>Forest Residue case 2 (FR2) = bunding + chipping</t>
  </si>
  <si>
    <t>CO2; Forest residues; Forest management; Climate change; Amazon rainforest</t>
  </si>
  <si>
    <t>ABOVEGROUND LIVE BIOMASS; CARBON SEQUESTRATION; NUTRIENT RELEASE; CLIMATE-CHANGE; TROPICAL FORESTS; LOGGED FORESTS; BOREAL FOREST; WOOD PRODUCTS; MANAGEMENT; DEFORESTATION</t>
  </si>
  <si>
    <t>Numazawa, CTD; Numazawa, S; Pacca, S; John, VM</t>
  </si>
  <si>
    <t>Logging residues and CO2 of Brazilian Amazon timber: Two case studies of forest harvesting</t>
  </si>
  <si>
    <t>Forest management has been repeatedly mentioned as a strategy to reduce damage caused by logging when compared with conventional logging. Much has been learned about logging impacts and prospects for forest management, but there are still too many gaps regarding the CO2 emissions in logging, due to residues and their impact on the carbon balance. Here we compare CO2 emissions between two timber harvesting intensity systems. Logging with an intensity of 30 m(3) ha(-1) (L30) and logging with an intensity of 15 m3 ha(-1) (L15) were compared over 4 rotation periods (120 year total timeframe). Original logging residues (LR) data was used to determine emissions from residues decomposition. On average, L30 has produced more LR (41.60 t ha(-1)), than L15 (20.90 t ha(-1)); for each tonne of commercial stem in 130, 2.13 tonnes of logging residues were obtained and 2.05 tonnes of residues were found in L15. Moreover, we have created a scenario representing the carbon balance (emissions from residues versus carbon uptake from biomass re-growth) over a 120 year long period to evaluate the outcomes for both logging intensities. We find that it will need about 38.3 years under 130; whereas 18.2 years were required in the case of L15. The 130 growth period is greater than the cutting cycle, which means that aboveground standing biomass is not able to fully recover until the next cutting cycle. Fully biomass recovery was only achieved when L15 was applied. Furthermore, the diameter of the commercial tree species takes a longer time to recover than the cutting cycle. Finally, ignoring the post harvesting life cycle phases, both CO2 balances were negative, which means that both practices ended up uptaking CO2 from the atmosphere. (C) 2017 Elsevier B.V. All rights reserved.</t>
  </si>
  <si>
    <t>10.1016/j.resconrec.2017.02.016</t>
  </si>
  <si>
    <t>tCO2/ha (tCO2 uptake by biomass - tCO2 emissions for one ha)</t>
  </si>
  <si>
    <t>Reg</t>
  </si>
  <si>
    <t>sustainable forest management; charcoal production; biogeochemistry management (BGC-MAN) model</t>
  </si>
  <si>
    <t>TROPICAL RAIN-FOREST; CARBON EMISSIONS; TREE GROWTH; BIOMASS; DEFORESTATION; CLIMATE; STOCKS; AVAILABILITY; EFFICIENCY; DYNAMICS</t>
  </si>
  <si>
    <t>Numazawa, CTD; Krasovskiy, A; Kraxner, F; Pietsch, SA</t>
  </si>
  <si>
    <t>Logging residues for charcoal production through forest management in the Brazilian Amazon: economic gains and forest regrowth effects</t>
  </si>
  <si>
    <t>Sustainable forest management (SFM) practices can potentially reverse loss of forest cover due to deforestation, while concomitantly preserving and maintaining biodiversity, and stimulating jobs, income, and forest services. Recent studies found that significant logging residues (LR) (i.e. leaves, branches, and buttress roots) suitable for bioenergy production were often left in the felling area, triggering risks of forest fires and increased CO2 emissions due to wildfires or decomposition processes. For impact assessment of forest management practices, we collected primary harvesting data and estimated net primary productivity (NPP) and net ecosystem exchange (NEE) for 13 forest plots in the Brazilian Amazon. We applied a process-based forestry growth model (BGC-Man) to analyze the impacts on forest dynamics of selective logging and removal of LR, subject to landscape, soil texture, and daily weather. We explored the following selective logging scenarios: the Legal Reserve (i.e. reference) scenario, a scenario with one cutting cycle over the whole period, and a scenario with three timber rotation periods of 30 yr. Two of the later scenarios were complemented with harvesting of the woody LR (o 10 cm) for charcoal production. For each scenario, we computed forest NPP and NEE over a 120 yr time horizon. Results suggest that using woody LR (i.e. 77% of total LR) for charcoal production would result in an economic gain equivalent to 24%-46% of the timber price. Our findings indicate that under scenarios where LR were removed, forest NPP recovered to the reference level and even higher, while income and jobs from harvesting LR for charcoal production were generated. We conclude that SFM could enhance forest productivity and deliver economic benefit from otherwise unexploited LR.</t>
  </si>
  <si>
    <t>10.1088/1748-9326/abb495</t>
  </si>
  <si>
    <t xml:space="preserve">Harvesting intensity </t>
  </si>
  <si>
    <t xml:space="preserve">Legal reserve </t>
  </si>
  <si>
    <t xml:space="preserve">3 harvests over 120 years </t>
  </si>
  <si>
    <t xml:space="preserve">t/ha </t>
  </si>
  <si>
    <t xml:space="preserve">tC stored in forest /ha </t>
  </si>
  <si>
    <t>1 harvest over 120 years</t>
  </si>
  <si>
    <t xml:space="preserve">Harvesting intensity + removal of logging residues </t>
  </si>
  <si>
    <t xml:space="preserve">3 harvests + logging residues removed over 120 years </t>
  </si>
  <si>
    <t xml:space="preserve">1 harvest + logging residues removed over 120 years </t>
  </si>
  <si>
    <t xml:space="preserve">Olguin, M., Wayson, C., Fellows, M., Birdsey, R., Smyth, C. E., Magnan, M., ... &amp; Kurz, W. A. </t>
  </si>
  <si>
    <t xml:space="preserve"> Applying a systems approach to assess carbon emission reductions from climate change mitigation in Mexico’s forest sector</t>
  </si>
  <si>
    <t xml:space="preserve"> Environmental Research Letters</t>
  </si>
  <si>
    <t>10.1088/1748-9326/aaaa03</t>
  </si>
  <si>
    <t>The BAU baseline estimates the GHG fluxes if forest management and disturbance rates observed in the past continue into the future (2018–2050).</t>
  </si>
  <si>
    <t>Increased forest productivity and timber production with increased proportion of products with medium displacement factors value</t>
  </si>
  <si>
    <t>tC/yr</t>
  </si>
  <si>
    <t>TgCO2/yr</t>
  </si>
  <si>
    <t>Mexico</t>
  </si>
  <si>
    <t>CBM-CFS3 (KurzWA et al 2009 CBM-CFS3: A model of carbon-dynamics in
forestry and landuse change implementing IPCC standards
Ecol. Model. 220 480–504)</t>
  </si>
  <si>
    <t>Increased forest productivity and timber production with increased proportion of long-lived products</t>
  </si>
  <si>
    <t xml:space="preserve">TgCO2/yr </t>
  </si>
  <si>
    <t>Increased forest productivity and timber production with increased proportion of products with low displacement factors value</t>
  </si>
  <si>
    <t>Increased forest productivity and timber production with same products as in BAU</t>
  </si>
  <si>
    <t>CBM-CFS3 (KurzWA et al 2009 CBM-CFS3</t>
  </si>
  <si>
    <t>ANNALS OF FOREST SCIENCE</t>
  </si>
  <si>
    <t>Biophysical assessment; Economic evaluation; Carbon stock; Carbon sequestration; Recreational activities; Multiple-criteria decision analysis (MCDA)</t>
  </si>
  <si>
    <t>Paletto, A; Pieratti, E; De Meo, I; Agnelli, AE; Cantiani, P; Chiavetta, U; Mazza, G; Lagomarsino, A</t>
  </si>
  <si>
    <t>A multi-criteria analysis of forest restoration strategies to improve the ecosystem services supply: an application in Central Italy</t>
  </si>
  <si>
    <t>center dot Key message A multi-criteria analysis can be an interesting tool to assess the effects of silvicultural treatments on ecosystem services supply. In the degraded forests, thinning has a positive effect on the provision of ecosystem services such as timber and bioenergy production, climate change mitigation, and recreational attractiveness. center dot Context The Millennium Ecosystem Assessment highlights the importance of the ecosystem services for human well-being and for maintaining conditions for life on Earth. Silvicultural treatments can improve the provision of ecosystem services to increase local communities' well-being. center dot Aims The aim of this study is to understand the effects of two-forest restoration practices (selective thinning and thinning from below) on three ecosystem services (wood production, climate change mitigation, and recreational opportunities) in an Italian case study. center dot Methods A multi-criteria decision analysis (MCDA) was performed to compare the effects of three forest restoration scenarios (baseline, selective thinning, thinning from below) on ecosystem services. Wood production was estimated considering the local market prices and the wood volumes harvested, while climate change mitigation was quantified through the C-stock and C-sequestration changes in carbon pools due to the silvicultural treatments. The recreational activities were assessed through a questionnaire survey. A sample of 200 visitors was interviewed face-to-face to estimate the impact of thinning on recreational activities. center dot Results The results of the MCDA show that the selective thinning scenario is the optimal forest restoration practice to increase the recreational attractiveness and the wood production in the study area. center dot Conclusion The results concerning the effects of the silvicultural treatments on ecosystem services supply are an important tool to support decision makers.</t>
  </si>
  <si>
    <t>Ann. For. Sci.</t>
  </si>
  <si>
    <t>10.1007/s13595-020-01020-5</t>
  </si>
  <si>
    <t>Type of thinning</t>
  </si>
  <si>
    <t xml:space="preserve">Baseline scenario (BU) No silvicultural treatments </t>
  </si>
  <si>
    <t>Selective thinning scenario (ST):  all crownvolume
competitors are harvested (thinned 30–40% of
basal area). Standing dead trees and logs of the first two decay classes with a diameter more than 20 cm are removed.</t>
  </si>
  <si>
    <t>m3/ha</t>
  </si>
  <si>
    <t xml:space="preserve">tCO2/ha (change in C stock over the 15 years period ) </t>
  </si>
  <si>
    <t>Thinning from below scenario (TB): only small and leaned living trees and snags are harvested (thinned from below 15–20% of basal area). The logs are not removed during the harvesting operations</t>
  </si>
  <si>
    <t>carbon balance; harvested wood products; wood utilization; roundwood supply; foreign trade</t>
  </si>
  <si>
    <t>CARBON; SEQUESTRATION; IMPACTS; ENERGY; MODEL</t>
  </si>
  <si>
    <t>Palus, H; Parobek, J; Moravcik, M; Kovalcik, M; Dzian, M; Murgas, V</t>
  </si>
  <si>
    <t>Projecting Climate Change Potential of Harvested Wood Products under Different Scenarios of Wood Production and Utilization: Study of Slovakia</t>
  </si>
  <si>
    <t>The forestry and forest-based sector play a significant role in climate change mitigation strategies and can contribute to the achievement of a climate-neutral economy. In this context, the ability of harvested wood products (HWP) to sequester carbon is of significant importance. The objective of this work is to make a projection of climate change mitigation potential of HWP, under different scenarios of wood utilization in Slovakia. This study builds on the comparison of different scenarios of industrial wood utilization till 2035 and presents the resulting impacts on the national carbon balance. The results suggest that the development of timber supplies after 2020 in Slovakia will be influenced, in particular, by the future changes in the age distribution and tree species composition as well as the extent of future accidental felling. Consequently, a predicted structure and availability of wood resources in Slovakia will be reflected in a higher share of the production of products with shorter life cycle and thus will negatively affect the carbon pool in HWP. By comparing the results of the four designed scenarios, it follows that the scenario with the greatest mitigation potential, is the one assuming the optimal use of wood assortments and limitation of industrial roundwood foreign trade.</t>
  </si>
  <si>
    <t>10.3390/su12062510</t>
  </si>
  <si>
    <t>1000m3</t>
  </si>
  <si>
    <t>thousands tons CO2</t>
  </si>
  <si>
    <t>Slovakia</t>
  </si>
  <si>
    <t>bioeconomy; wood utilization; harvested wood products; carbon storage; CO2 emission</t>
  </si>
  <si>
    <t>ENERGY; CONSUMPTION; BIOECONOMY; RESOURCES; IMPACTS; BIOMASS; STORAGE; FORESTS</t>
  </si>
  <si>
    <t>Parobek, J; Palus, H; Moravcik, M; Kovalcik, M; Dzian, M; Murgas, V; Simo-Svrcek, S</t>
  </si>
  <si>
    <t>Changes in Carbon Balance of Harvested Wood Products Resulting from DifferentWood Utilization Scenarios</t>
  </si>
  <si>
    <t>The bioeconomy focuses on the production of renewable biological resources and the utilisation of these resources and waste streams into value added products. One of the most important aims of the forest industry is the sustainable production of wood. Improved utilization of available industrial wood assortments generates profit for all in the supply chain. At the same time, it may ensure the production of long-life harvested wood products (HWP), and consequently, increase the volume of carbon stored. The objective of this study is to compare di ff erent scenarios of industrial wood utilization in Slovakia and the resulting impacts on the national carbon balance. In the proposed scenarios, we aimed to evaluate changes in the current utilization of domestic wood resources through optimizing harvested wood assortments. Two inventory stock methods were applied to determine the potential quality of domestic wood and its utilization through appropriate distribution of outputs. The model scenario assumes that the higher share of industrial roundwood utilised to produce long-life HWP (sawnwood, wood-based panels) will increase carbon sequestration in HWP. Other scenarios quantify the di ff erences between the carbon volumes stored in HWP using the modelled wood assortment supplemented with alternatives with and without export. The results confirmed that increasing the level of carbon stored in HWP can be achieved by changing the wood assortment structure, while maintaining the same level of volume felled. The highest level of carbon stock was observed in the scenario assuming the optimal structure of wood assortments and no wood export. The scenario that optimized wood assortments and excluded wood exports resulted in the highest level of predicted carbon stock, estimated at 4.87 million tons (mil. tons).</t>
  </si>
  <si>
    <t>10.3390/f10070590</t>
  </si>
  <si>
    <t>domestic wood supply+ exported logs</t>
  </si>
  <si>
    <t>thousand metric tons co2equivalent</t>
  </si>
  <si>
    <t>Southeast Asia; carbon stock; tropical forest management; land-use change</t>
  </si>
  <si>
    <t>EXCHANGE-RATES; DIOXIDE; CO2</t>
  </si>
  <si>
    <t>Phat, NK; Knorr, W; Kim, S</t>
  </si>
  <si>
    <t>Appropriate measures for conservation of terrestrial carbon stocks - Analysis of trends of forest management in Southeast Asia</t>
  </si>
  <si>
    <t>The 21st century has brought new challenges for forest management at a time when global climate change is becoming increasingly apparent. Additional to various goods and services being provided to human beings, forest ecosystems are a large store of terrestrial carbon and account for a-major part of the carbon exchange between the atmosphere and the land surface. Depending on the management regime, forests can thus be either a sink, or a source of atmospheric carbon. Southeast Asia or ASEAN comprises 10 countries of different cultures and political background. Rapid economic development and fast-growing population in the region have raised much concern over the use of natural resources, especially forest resources. This study aims at finding the appropriate measures for sustainable use and management of tropical forests on a long-term basis. Between 1990 and 2000, about 2.3 million ha of forest were cleared every year and lost to other forms of land use. In terms of carbon emissions, a net amount of approximately 465 million t per year were released to the atmosphere over the same period, which amounts to 29% of the global net carbon release from deforestation worldwide. This study provides an approach to analyzing the implications of alternative forest and land management options on forest carbon stocks. This is done in three steps: First, observed trends in land use are expressed in terms of a model in order to create a scenario for the period 1980-2050. Second, forest management practices and timber production rates are analyzed and three management scenarios are created: (1) continuing the current rate of exploitation, (2) management for long-term economic gains, and (3) climate-beneficial management. Third, the impact of the three scenarios on regional carbon storage is estimated on the basis of a carbon balance model. Comparing the additional rate of carbon sequestration of scenario (3) over scenario (2), and taking into account differing management costs, we also discuss a framework for industrialized countries to invest in carbon credits in the region in order to fulfil their commitments under present and future climate protection agreements. (C) 2004 Elsevier B.V. All rights reserved.</t>
  </si>
  <si>
    <t>10.1016/j.foreco.2003.12.019</t>
  </si>
  <si>
    <t>Changes in forest management and wood use (LEGA)</t>
  </si>
  <si>
    <t>LEGA</t>
  </si>
  <si>
    <t>BAUSU</t>
  </si>
  <si>
    <t>WH + WP</t>
  </si>
  <si>
    <t>section 4.2</t>
  </si>
  <si>
    <t>Pg C</t>
  </si>
  <si>
    <t>SE Asia</t>
  </si>
  <si>
    <t>Changes in forest management and wood use (CLIBO)</t>
  </si>
  <si>
    <t>CLIBO</t>
  </si>
  <si>
    <t>Fig. 5</t>
  </si>
  <si>
    <t>BIOGEOSCIENCES</t>
  </si>
  <si>
    <t>Biogeosciences</t>
  </si>
  <si>
    <t>Carbon balance; Substitution effects; Rotation forestry; Uneven-aged management</t>
  </si>
  <si>
    <t>FINE-ROOT BIOMASS; SCOTS PINE; NORWAY SPRUCE; SOIL CARBON; FOREST MANAGEMENT; STAND AGE; DECOMPOSITION; EMISSIONS; FINLAND; STORAGE</t>
  </si>
  <si>
    <t>Pukkala, T</t>
  </si>
  <si>
    <t>Does biofuel harvesting and continuous cover management increase carbon sequestration?</t>
  </si>
  <si>
    <t>The study used an existing forest planning system to analyze the influence of fuel feedstock harvesting and type of forest management on the carbon balance of forestry. The carbon balance module simulated changes in the carbon storage in living biomass, dead organic matter and products. Carbon releases from timber harvesting, transporting and manufacturing were included in the carbon balance, as well as the substitution, recycling and reuse effects of different types of wood products (avoided releases from fossil fuels due to the use of wood). Prediction models were developed for the initial pools of wood products and dead organic matter. The results show that collecting branches, stumps and coarse roots for bioenergy improves the carbon balance very little during the first 30 years of biofuel harvesting. This is because decreased carbon balance of forest soil partially cancels the positive substitution effects of fuel feedstock harvesting. Using high thinnings and continuous cover management instead of low thinnings, clear felling and artificial regeneration have an immediate positive effect on the carbon balance. This is because the sizes of the wood product and living biomass pools increase, and manufacturing releases decrease. (C) 2014 Elsevier B.V. All rights reserved.</t>
  </si>
  <si>
    <t>10.1016/j.forpol.2014.03.004</t>
  </si>
  <si>
    <t>Continuous cover vs clearfelling</t>
  </si>
  <si>
    <t>Continuous cover forestry (CCF)</t>
  </si>
  <si>
    <t>Current management with fuel feedstock harvesting (RF low, biofuel)</t>
  </si>
  <si>
    <t>Inflow to HWP pool</t>
  </si>
  <si>
    <t>Table 7</t>
  </si>
  <si>
    <t>tC/ha/yr</t>
  </si>
  <si>
    <t>Table 6</t>
  </si>
  <si>
    <t>Liski, J., Pussinen, A., Pingoud, K., Mäkipää, R., Karjalainen, T., 2001.Which rotation length
is favourable to carbon sequestration? Can. J. For. Res. 31, 2004–2013.</t>
  </si>
  <si>
    <t>High thinning vs low thinning</t>
  </si>
  <si>
    <t>Current management with fuel feedstock harvesting and high thinnings instead of low thinning (RF high, biofuel)</t>
  </si>
  <si>
    <t>Residue harvesting or not</t>
  </si>
  <si>
    <t>Current management without fuel feedstock harvesting (RF low, no biofuel)</t>
  </si>
  <si>
    <t>Any-aged management (AAF) = continuous cover forestry and high thinnings</t>
  </si>
  <si>
    <t>Forest biomass; Intensive management; Carbon balance in forestry; Energy carbon balance; Carbon neutrality; Substitution</t>
  </si>
  <si>
    <t>FOREST MANAGEMENT; SCOTS PINE; DIOXIDE EMISSIONS; TIMBER PRODUCTION; CLIMATE-CHANGE; IMPACTS; GROWTH; STOCKS; FERTILIZATION; SENSITIVITY</t>
  </si>
  <si>
    <t>Pyorala, P; Kellomaki, S; Peltola, H</t>
  </si>
  <si>
    <t>Effects of management on biomass production in Norway spruce stands and carbon balance of bioenergy use</t>
  </si>
  <si>
    <t>In this study, we analyzed the effects of management on the production of timber and energy biomass, and ecosystem carbon balance in Norway spruce (Picea abies) stands, with impacts on carbon neutrality of the use of biomass in energy production. In simulations, we employed the ecosystem model and life cycle analyses tool with varying management scenarios (thinning, nitrogen fertilization and rotation length) on medium fertile and fertile sites in central Finland. We found that the annual mean timber production could be increased by using longer rotation lengths of 60-80 years. This was opposite to energy biomass production, which was increased the most by using shorter rotations of 30-50 years. On the other hand, both of them could be increased by applying nitrogen fertilization and by maintaining higher stocking over the rotation compared to the current Finnish baseline management. This positively affected both the carbon storage and carbon balance in forestry, as well as the energy carbon balance which takes into account both carbon balance for forestry and the CO2 emissions from the burning of energy biomass. It also decreased the CO2 emissions per unit of energy by approx. 30% compared to baseline management, regardless of site fertility type. Similarly, the carbon neutrality of the bioenergy system could be increased in this way compared to the use of coal instead. To conclude, based on proper management it will be possible to increase simultaneously the production of timber and energy biomass, and carbon stock in the forest ecosystem and to improve the forest ecosystem carbon balance so that in the long-term the CO2 uptake will exceed concurrent emissions. (C) 2012 Elsevier B.V. All rights reserved.</t>
  </si>
  <si>
    <t>10.1016/j.foreco.2012.02.037</t>
  </si>
  <si>
    <t>R40</t>
  </si>
  <si>
    <t>RB</t>
  </si>
  <si>
    <t>timber +energy</t>
  </si>
  <si>
    <t>Statistics Finland_2005</t>
  </si>
  <si>
    <t>thinning intensity ( Fertile OMT, 80y rotation)</t>
  </si>
  <si>
    <t>Bioenergy</t>
  </si>
  <si>
    <t>kg CO2 MWh-1</t>
  </si>
  <si>
    <t>forest planning; multi-function forest; ecosystem services; combinatorial optimization; adjacency constraints; simulated annealing</t>
  </si>
  <si>
    <t>SEQUESTRATION; CONSTRAINTS; ADJACENCY; BIOMASS; FIRE; PROFITABILITY; DYNAMICS; STORAGE; SEARCH; IMPACT</t>
  </si>
  <si>
    <t>Qin, HY; Dong, LB; Huang, YL</t>
  </si>
  <si>
    <t>Evaluating the Effects of Carbon Prices on Trade-Offs between Carbon and Timber Management Objectives in Forest Spatial Harvest Scheduling Problems: A Case Study from Northeast China</t>
  </si>
  <si>
    <t>To mitigate global climatic changes, long-term carbon trading and carbon taxes have been implemented in many countries. However, carbon prices have varied in many of these regions. Therefore, the goal of this paper was to evaluate the effects of carbon prices on trade-offs between forest carbon and timber management objectives in spatial harvest scheduling problems. The objective function of the planning problem was designed to maximize the discounted net present value of harvested timber and the differences of carbon stocks in living tree biomass between the beginning and end of the planning horizon (DoC) within a 30-year time frame for a large forest region in northeast China. The constraints primarily related to maintaining an even flow of harvested timber and guaranteeing the maximum opening size. Forest developments were simulated using a set of standard stand-level growth and yield models, and the solutions of the planning problem were generated using the standard version of a simulated annealing algorithm. The effects of a wide range of carbon prices on the harvested timber and DoC levels were examined. The results showed that the trade-offs between forest harvested timber and the DoC displayed a typical nonlinear tendency as carbon prices increased. The current carbon prices (i.e., 25, 50 and 75 (sic)/ton) in China had no significant effects on the optimal forest management plans compared with a scenario that used a carbon price of zero. The minimum carbon price that can provide the financial incentive for the forests to function as a significant carbon sink was estimated to be somewhat over 800 (sic)/ton. This result could be useful in determining the appropriate carbon offset standard in this region.</t>
  </si>
  <si>
    <t>10.3390/f8020043</t>
  </si>
  <si>
    <t>carbon price (5000 yen per ton)</t>
  </si>
  <si>
    <t>Zero Yen</t>
  </si>
  <si>
    <t>carbon price (3000 yen per ton)</t>
  </si>
  <si>
    <t>carbon price (1500 yen per ton)</t>
  </si>
  <si>
    <t>carbon price (800 yen per ton)</t>
  </si>
  <si>
    <t>Optimal forest management; Greenhouse gas mitigation; Material substitution; Energy substitution; Regional analysis</t>
  </si>
  <si>
    <t>GREENHOUSE-GAS EMISSIONS; TIMBER PRODUCTION; WOOD PRODUCTS; LIFE-CYCLE; SEQUESTRATION; MANAGEMENT; SUBSTITUTION; BIOMASS; SOILS; ACCUMULATION</t>
  </si>
  <si>
    <t>Raymer, AK; Gobakken, T; Solberg, B; Hoen, HF; Bergseng, E</t>
  </si>
  <si>
    <t>A forest optimisation model including carbon flows: Application to a forest in Norway</t>
  </si>
  <si>
    <t>We analyse which management to choose in order to increase the carbon benefit from the 1.342 million ha forest area in Hedmark County, Norway, and the cost of doing this compared to traditional profit maximising behaviour. The model used in the analysis is a dynamic forest management optimisation model which includes the main carbon flows and benefits from the forest area: tree growth and mortality, litter accumulation, decomposition of dead wood and harvest residues, soil processes, end-use of wood products, and saved greenhouse gas emissions from using wood products instead of more energy intensive materials and fossil fuels. The overall harvest from the region is restricted to the present level, in order to see which carbon benefits can be achieved while keeping a steady supply of timber to the forest industry. Under this restriction, maximising carbon benefit decreases the net present value of timber revenue from the region by 21%. There is more planting and less thinning compared to when timber revenue is maximised. If substitution effects, i.e. saved greenhouse gas emissions from use of wood products, are included in the analysis, it is optimal with more planting and thinning, although the changes are small in this case study because harvest level is held constant. On the other hand, net present value of carbon benefit (in ton CO2-equivalent) is increased by 1.4-1.6 times when substitution effects are included. Changing forest management is a cost effective mitigation option. For a cost of (sic) 0-10 per ton discounted CO2-equivalent, the net present value of carbon benefit from the area can be increased with 0.2-0.3 million tonnes CO2-equivalents on average in every year of the 120 years long planning horizon taking discounting into account (annuity). (C) 2009 Elsevier B.V. All rights reserved.</t>
  </si>
  <si>
    <t>10.1016/j.foreco.2009.04.036</t>
  </si>
  <si>
    <t>Maximize timber revenues</t>
  </si>
  <si>
    <t>MaxTimberNPV</t>
  </si>
  <si>
    <t>milion m3</t>
  </si>
  <si>
    <t>MaxCarbonNPV_withsubstitution</t>
  </si>
  <si>
    <t>residue management</t>
  </si>
  <si>
    <t>coal and natural gas are included in the study but not  used in the data extraction</t>
  </si>
  <si>
    <t xml:space="preserve">Repo, A., Tuovinen, J. P., &amp; Liski, J. </t>
  </si>
  <si>
    <t xml:space="preserve"> Can we produce carbon and climate neutral forest bioenergy?</t>
  </si>
  <si>
    <t xml:space="preserve"> Gcb Bioenergy</t>
  </si>
  <si>
    <t>10.1111/gcbb.12134</t>
  </si>
  <si>
    <t>no residue removal (Fig 5)</t>
  </si>
  <si>
    <t>Bioenergy -21% (Fig 5)</t>
  </si>
  <si>
    <t>average biomass harvested over a rotation</t>
  </si>
  <si>
    <t>J m-2</t>
  </si>
  <si>
    <t>Bioenergy +10 (Fig 5)</t>
  </si>
  <si>
    <t>Bioenergy (Fig 5)</t>
  </si>
  <si>
    <t>Bioenergy +38% (Fig 5)</t>
  </si>
  <si>
    <t>coal and natural gas are included in the study but not used in the data extraction</t>
  </si>
  <si>
    <t>WOODY BIOMASS ENERGY; OPTIMAL MANAGEMENT; SEQUESTER CARBON; IMPACTS; SECTOR; POLICY; MITIGATION; BIOENERGY; PAYMENTS; INSIGHTS</t>
  </si>
  <si>
    <t>Riviere, M; Caurla, S</t>
  </si>
  <si>
    <t>Landscape implications of managing forests for carbon sequestration</t>
  </si>
  <si>
    <t>We explore the implications of managing forests for the dual purpose of sequestering carbon and producing timber, using a model of the forest sector that includes a Hartman-based representation of forest owners' behaviour as well as heterogeneity in environmental conditions. We focus on France, where recent policies aim at increasing the carbon sink and where the diversity of forests makes an analysis of spatial dynamics relevant, and we use recent estimates of the shadow price of carbon consistent with the country's climate commitments. Results suggest that forests may sequester up to 550 MtCO(2)eq by 2100, driven by changes in harvest levels and species choice, whilst rotation lengths increase overall. A spatial analysis reveals a high spatial variability for these trends, highlighting the importance of considering the local context. Changes in investment patterns affect the spatial distribution of forest cover types: by the end of the century, a majority of regions comprise a larger share of older, multiple-species and mixed-structure forests. Whilst such an evolution may present benefits in terms of biodiversity, ecosystem services provision and resilience, it raises questions regarding the adequacy of such developments with current forest policy, which also aims at increasing harvest levels. An overall mitigation strategy for the forest sector would likely include incentives to energy and material substitution in downstream industries, which we did not consider and may interact with sequestration incentives.</t>
  </si>
  <si>
    <t>10.1093/forestry/cpaa015</t>
  </si>
  <si>
    <t>Low price of carbon</t>
  </si>
  <si>
    <t>LOW</t>
  </si>
  <si>
    <t>Harvested Volume</t>
  </si>
  <si>
    <t>Main (reported) price of carbon</t>
  </si>
  <si>
    <t>MAIN</t>
  </si>
  <si>
    <t>High price of carbon</t>
  </si>
  <si>
    <t>High</t>
  </si>
  <si>
    <t>Main (reported) price of carbon_landownerDoesNOtaccountforC</t>
  </si>
  <si>
    <t>MAIN-F</t>
  </si>
  <si>
    <t>Canada; Managed forest; Harvested wood products; Cascade; Cradle-to-cradle utilization; Carbon footprint; Energy wood</t>
  </si>
  <si>
    <t>EMISSIONS; WASTE; PARTICLEBOARD; CONSUMPTION; INVENTORY; BALANCES; IMPACTS; PELLETS; STORAGE; MARKET</t>
  </si>
  <si>
    <t>Sikkema, R; Junginger, M; McFarlane, P; Faaij, A</t>
  </si>
  <si>
    <t>The GHG contribution of the cascaded use of harvested wood products in comparison with the use of wood for energy-A case study on available forest resources in Canada</t>
  </si>
  <si>
    <t>Some Parties (Countries) to the UNFCCC decided to include the carbon uptake by harvested wood products (HWP) in a new general accounting framework after 2012 (post Kyoto). The analysis aims to make a comparison between the cascaded use of HWP and the use of wood for energy. We combine the new HWP framework with an assumed increased 50 million m(3) harvest level in Canada and evaluate the impact of the GHG emissions over a 100-year period. Our reference case assumes all harvested wood is an immediate CO2 emission (IPCC default) and no substitution effects, i.e. annual GHG emissions of 41 million tonnes CO2eq. In our wood utilization scenario's, harvested trees are allocated (in varying shares) to three end-products: construction wood, paper products and pellets for power production. In comparison with our base case, a combination of fossil fuel substitution, material substitution and temporary carbon uptake by HWP leads to significant decreases in GHG emissions. All scenario's show annual GHG emission between 18 and 21 million tonnes CO2eq except for triple use without recycling (at least 24 million tonnes CO2eq). We conclude that GHG emissions of our scenarios are substantially lower than IPCC default. However, it is difficult to incorporate one single method to account for GHG uptake and emissions by HWP, due to end use efficiency and recycling options. Further GHG allocation over individual countries is not straightforward and needs further research. (C) 2013 Elsevier Ltd. All rights reserved.</t>
  </si>
  <si>
    <t>10.1016/j.envsci.2013.03.007</t>
  </si>
  <si>
    <t>Triple Use of wood products for construction, paper, and pellets; solid waste combustion with 30% efficiency; no recycling</t>
  </si>
  <si>
    <t>Wood harvested</t>
  </si>
  <si>
    <t>38%; https://link.springer.com/article/10.1007/s10086-009-1107-4</t>
  </si>
  <si>
    <t>Fix sequestration sign; C_alternative values checked from file Valade_2018_data</t>
  </si>
  <si>
    <t>Triple Use of wood products for construction, paper, and pellets; solid waste combustion with 20% efficiency; no recycling</t>
  </si>
  <si>
    <t>Triple Use of wood products for construction, paper, and pellets; solid waste combustion with 30% efficiency; with recycling</t>
  </si>
  <si>
    <t>Triple Use of wood products for construction, paper, and pellets; solid waste combustion with 20% efficiency; with recycling</t>
  </si>
  <si>
    <t>Duel Use of wood products for construction and pellets; solid waste combustion with 30% efficiency; with recycling</t>
  </si>
  <si>
    <t>Duel Use of wood products for construction and pellets; solid waste combustion with 30% efficiency; no recycling</t>
  </si>
  <si>
    <t>Single Use of wood products for energy pellets; no recycling</t>
  </si>
  <si>
    <t>Duel Use of wood products for construction and pellets; solid waste combustion with 20% efficiency; with recycling</t>
  </si>
  <si>
    <t>Duel Use of wood products for construction and pellets; solid waste combustion with 20% efficiency; no recycling</t>
  </si>
  <si>
    <t>GROWING POPLAR PLANTATIONS; LIFE-CYCLE ASSESSMENT; CARBON SEQUESTRATION; ENVIRONMENTAL PERFORMANCE; BOREAL FORESTS; MANAGEMENT; BIOENERGY; IMPACTS; BIOMASS; AFFORESTATION</t>
  </si>
  <si>
    <t>Smyth, CE; Stinson, G; Neilson, E; Lempriere, TC; Hafer, M; Rampley, GJ; Kurz, WA</t>
  </si>
  <si>
    <t>Quantifying the biophysical climate change mitigation potential of Canada's forest sector</t>
  </si>
  <si>
    <t>The potential of forests and the forest sector to mitigate greenhouse gas (GHG) emissions is widely recognized, but challenging to quantify at a national scale. Forests and their carbon (C) sequestration potential are affected by management practices, where wood harvesting transfers C out of the forest into products, and subsequent regrowth allows further C sequestration. Here we determine the mitigation potential of the 2.3 x 10(6) km(2) of Canada's managed forests from 2015 to 2050 using the Carbon Budget Model of the Canadian Forest Sector (CBM-CFS3), a harvested wood products (HWP) model that estimates emissions based on product half-life decay times, and an account of emission substitution benefits from the use of wood products and bioenergy. We examine several mitigation scenarios with different assumptions about forest management activity levels relative to a base case scenario, including improved growth from silvicultural activities, increased harvest and residue management for bioenergy, and reduced harvest for conservation. We combine forest management options with two mitigation scenarios for harvested wood product use involving an increase in either long-lived products or bioenergy uses. Results demonstrate large differences among alternative scenarios, and we identify potential mitigation scenarios with increasing benefits to the atmosphere for many decades into the future, as well as scenarios with no net benefit over many decades. The greatest mitigation impact was achieved through a mix of strategies that varied across the country and had cumulative mitigation of 254 Tg CO(2)e in 2030, and 1180 Tg CO(2)e in 2050. There was a trade-off between short-term and long-term goals, in that maximizing short-term emissions reduction could reduce the forest sector's ability to contribute to longer-term objectives. We conclude that (i) national-scale forest sector mitigation options need to be assessed rigorously from a systems perspective to avoid the development of policies that deliver no net benefits to the atmosphere, (ii) a mix of strategies implemented across the country achieves the greatest mitigation impact, and (iii) because of the time delays in achieving carbon benefits for many forest-based mitigation activities, future contributions of the forest sector to climate mitigation can be maximized if implemented soon.</t>
  </si>
  <si>
    <t>10.5194/bg-11-3515-2014</t>
  </si>
  <si>
    <t>Increased growth from fertilization, use of improved seed or stand</t>
  </si>
  <si>
    <t>better growth</t>
  </si>
  <si>
    <t>; varies for type of wood product from 0.38 to .77 Mg C avoided per Mg C of wood and varied btw -.08 and .779 for energy (across Canada)</t>
  </si>
  <si>
    <t>Commercial thinning for bionergy feedstock</t>
  </si>
  <si>
    <t>Bioenergy PCT</t>
  </si>
  <si>
    <t>Additional harvest</t>
  </si>
  <si>
    <t>Tg C yr-1</t>
  </si>
  <si>
    <t>Fix C estimates, they are given as cumulated but wood amount is given as yearly so C estimate should be divided by time period</t>
  </si>
  <si>
    <t>Pre-commercial thinning for bionergy feedstock</t>
  </si>
  <si>
    <t>Bioenergy CT</t>
  </si>
  <si>
    <t>Increase harvest utilization rates and utilize residues</t>
  </si>
  <si>
    <t>bettter utilization</t>
  </si>
  <si>
    <t>Utilization</t>
  </si>
  <si>
    <t>Reduce harvest levels and restrict harvest area</t>
  </si>
  <si>
    <t>harvest less</t>
  </si>
  <si>
    <t>Harvest Reduction</t>
  </si>
  <si>
    <t>correct Qwood multiplied by number of years to have the cumulative value</t>
  </si>
  <si>
    <t>fix C to put it /yr like Qwood</t>
  </si>
  <si>
    <t>Faster regeneration from post-harvest planting</t>
  </si>
  <si>
    <t>planting</t>
  </si>
  <si>
    <t>Clear-cut harvest for bionergy feedstock</t>
  </si>
  <si>
    <t>Bioenergy harvest</t>
  </si>
  <si>
    <t>Increase proportion of harvested wood for bionenergy feedstock</t>
  </si>
  <si>
    <t>bioenergy feedstock</t>
  </si>
  <si>
    <t>Increase proportion of harvest for longer-lived wood products</t>
  </si>
  <si>
    <t>bioenergy; Canada's managed forest; Carbon Budget Model of the Canadian Forest Sector; climate change mitigation; GHG emissions; harvest residues</t>
  </si>
  <si>
    <t>FOREST RESIDUES; CARBON EMISSIONS; SMALL-SCALE; BIOMASS; ENERGY; PRODUCTIVITY; MANAGEMENT; DYNAMICS; REMOVAL; BOREAL</t>
  </si>
  <si>
    <t>Smyth, C; Kurz, WA; Rampley, G; Lempriere, TC; Schwab, O</t>
  </si>
  <si>
    <t>Climate change mitigation potential of local use of harvest residues for bioenergy in Canada</t>
  </si>
  <si>
    <t>We estimate the mitigation potential of local use of bioenergy from harvest residues for the 2.3 x 10(6) km(2) (232 Mha) of Canada's managed forests from 2017 to 2050 using three models: Carbon Budget Model of the Canadian Forest Sector (CBM-CFS3), a harvested wood products (HWP) model that estimates bioenergy emissions, and a model of emission substitution benefits from the use of bioenergy. We compare the use of harvest residues for local heat and electricity production relative to a base case scenario and estimate the climate change mitigation potential at the forest management unit level. Results demonstrate large differences between and within provinces and territories across Canada. We identify regions with increasing benefits to the atmosphere for many decades into the future and regions where no net benefit would occur over the 33-year study horizon. The cumulative mitigation potential for regions with positive mitigation was predicted to be 429 Tg CO(2)e in 2050, with 7.1 TgC yr (-1) of harvest residues producing bioenergy that met 3.1% of the heat demand and 2.9% of the electricity demand for 32.1 million people living within these regions. Our results show that regions with positive mitigation produced bioenergy, mainly from combined heat and power facilities, with emissions intensities that ranged from roughly 90 to 500 kg CO(2)e MWh(-1). Roughly 40% of the total captured harvest residue was associated with regions that were predicted to have a negative cumulative mitigation potential in 2050 of -152 Tg CO(2)e. We conclude that the capture of harvest residues to produce local bioenergy can reduce GHG emissions in populated regions where bioenergy, mainly from combined heat and power facilities, offsets fossil fuel sources (fuel oil, coal and petcoke, and natural gas).</t>
  </si>
  <si>
    <t>10.1111/gcbb.12387</t>
  </si>
  <si>
    <t>Use harvest residues for bioenergy; reduce slashburning</t>
  </si>
  <si>
    <t>Residue Use</t>
  </si>
  <si>
    <t>; https://onlinelibrary.wiley.com/doi/full/10.1111/gcbb.12389</t>
  </si>
  <si>
    <t>Climate change mitigation; Forest sector; British Columbia; Cost per tonne; Socio-economic impact; GCBM</t>
  </si>
  <si>
    <t>LAND-USE CHANGE; CARBON-DYNAMICS; CANADA; WOOD; UNCERTAINTY; ENERGY; AFFORESTATION; SUBSTITUTION; BIODIVERSITY; MANAGEMENT</t>
  </si>
  <si>
    <t>Smyth, CE; Xu, Z; Lempriere, TC; Kurz, WA</t>
  </si>
  <si>
    <t>Climate change mitigation in British Columbia's forest sector: GHG reductions, costs, and environmental impacts</t>
  </si>
  <si>
    <t>Background The potential contributions from forest-based greenhouse gas (GHG) mitigation actions need to be quantified to develop pathways towards net negative emissions. Here we present results from a comparative analysis that examined mitigation options for British Columbia's forest sector. Mitigation scenarios were evaluated using a systems perspective that takes into account the changes in emissions and removals in forest ecosystems, in harvested wood product (HWP) carbon stocks, and in other sectors where wood products substitute for emission-intensive materials and fossil fuels. All mitigation activities were assessed relative to a forward-looking 'business as usual' baseline for three implementation levels. In addition to quantifying net GHG emission reductions, we assessed economic, and socio-economic impacts as well as other environmental indicators relating to forest species, age class, deadwood availability and future timber supply. We further considered risks of reversal for land-based scenarios, by assessing impacts of increasing future wildfires on stands that were not harvested. Results Our spatially explicit analyses of forest sector mitigation options demonstrated a cost-effective portfolio of regionally differentiated scenarios that directed more of the harvested wood to longer-lived wood products, stopped burning of harvest residues and instead produced bioenergy to displace fossil fuel burning, and reduced harvest levels in regions with low disturbance rates. Domestically, net GHG emissions were reduced by an average of -9 MtCO(2)e year(-1)over 2020-2050 for a portfolio of mitigation activities at a default implementation level, with about 85% of the GHG emission reductions achieved below a cost of $50/tCO(2)e. Normalizing the net GHG reduction by changes in harvested wood levels permitted comparisons of the scenarios with different ambition levels, and showed that a 1 MtCO(2)increase in cumulative harvested stemwood results in a 1 MtCO(2)e reduction in cumulative emissions, relative to the baseline, for theHigher Recoveryscenario in 2070. Conclusions The analyses conducted in this study contribute to the global understanding of forest sector mitigation options by providing an integrated framework to synthesize the methods, assumptions, datasets and models needed to quantify mitigation activities using a systems approach. An understanding of economically feasible and socio-economically attractive mitigation scenarios along with trade offs for environmental indicators relating to species composition and age, helps decision makers with long-term planning for land sector contributions to GHG emission reduction efforts, and provides valuable information for stakeholder consultations.</t>
  </si>
  <si>
    <t>10.1186/s13021-020-00155-2</t>
  </si>
  <si>
    <t>Harvest reduction; low substitution benefit</t>
  </si>
  <si>
    <t>Harvest less_lowSub</t>
  </si>
  <si>
    <t>cumulated future timber supply</t>
  </si>
  <si>
    <t>MtCO2e</t>
  </si>
  <si>
    <t>Fix sequestration sign; Added wood harvest &amp; fixed reference assignment</t>
  </si>
  <si>
    <t>Reduced harvest of old stands; low substitution benefit</t>
  </si>
  <si>
    <t>Restricted Harvest_lowSub</t>
  </si>
  <si>
    <t>Harvest reduction; high substitution benefit</t>
  </si>
  <si>
    <t>Harvest less_highSub</t>
  </si>
  <si>
    <t>Reduced harvest of old stands; high substitution benefit</t>
  </si>
  <si>
    <t>Restricted Harvest_highSub</t>
  </si>
  <si>
    <t>Increase use of harvested stemwood for wood products without changing harvest area; high substitution benefit</t>
  </si>
  <si>
    <t>Higher Recovery_highSub</t>
  </si>
  <si>
    <t>Higher recovery plus residue use for bioenergy plus longer lived products; low substitution benefit</t>
  </si>
  <si>
    <t>Higher Recovery + Residues for Bioenergy_lowSub + LLP</t>
  </si>
  <si>
    <t>Higher recovery plus residue use for bioenergy plus longer-lived products; high substitution benefit</t>
  </si>
  <si>
    <t>Higher Recovery + Residues for Bioenergy_highSub + LLP</t>
  </si>
  <si>
    <t>Wood products shifted from pulp and paper to longer-lived products; low substitution benefit</t>
  </si>
  <si>
    <t>Longer-lived wood products_lowSub</t>
  </si>
  <si>
    <t>Wood products shifted from pulp and paper to longer-lived products; high substitution benefit</t>
  </si>
  <si>
    <t>Longer-lived wood products_highSub</t>
  </si>
  <si>
    <t>Increase use of harvested stemwood for wood products without changing harvest area; low substitution benefit</t>
  </si>
  <si>
    <t>Use harvest residues for bioenergy; low substitution benefit</t>
  </si>
  <si>
    <t>Residues for Bioenergy_lowSub</t>
  </si>
  <si>
    <t>Use harvest residues for bioenergy; high substitution benefit</t>
  </si>
  <si>
    <t>Residues for Bioenergy_highSub</t>
  </si>
  <si>
    <t>MITIGATION AND ADAPTATION STRATEGIES FOR GLOBAL CHANGE</t>
  </si>
  <si>
    <t>Forest; Carbon; Sequestration; Substitution; Sink; Avoided emissions</t>
  </si>
  <si>
    <t>Soimakallio, S; Kalliokoski, T; Lehtonen, A; Salminen, O</t>
  </si>
  <si>
    <t>On the trade-offs and synergies between forest carbon sequestration and substitution</t>
  </si>
  <si>
    <t>Forest biomass can be used in two different ways to limit the growth of the atmospheric greenhouse gas (GHG) concentrations: (1) to provide negative emissions through sequestration of carbon into forests and harvested wood products or (2) to avoid GHG emissions through substitution of non-renewable raw materials with wood. We study the trade-offs and synergies between these strategies using three different Finnish national-level forest scenarios between 2015 and 2044 as examples. We demonstrate how GHG emissions change when wood harvest rates are increased. We take into account CO2 and other greenhouse gas flows in the forest, the decay rate of harvested wood products and fossil-based CO2 emissions that can be avoided by substituting alternative materials with wood derived from increased harvests. We considered uncertainties of key parameters by using stochastic simulation. According to our results, an increase in harvest rates in Finland increased the total net GHG flow to the atmosphere virtually certainly or very likely, given the uncertainties and time frame considered. This was because the increased biomass-based CO2 and other greenhouse gas emissions to the atmosphere together with decreased carbon sequestration into the forest were very likely higher than the avoided fossil-based CO2 emissions. The reverse of this conclusion would require that compared to what was studied in this paper, the share of long-living wood products in the product mix would be higher, carbon dioxide from bioenergy production would be captured and stored, and reduction in forest carbon equivalent net sink due to wood harvesting would be minimized.</t>
  </si>
  <si>
    <t>Mitig. Adapt. Strateg. Glob. Chang.</t>
  </si>
  <si>
    <t>10.1007/s11027-021-09942-9</t>
  </si>
  <si>
    <t>Increase harvest to sustain maximum yield</t>
  </si>
  <si>
    <t>Harvested wood product</t>
  </si>
  <si>
    <t>; Soimakallion 2016; between 0.6 and 1.25 depending on product or energy</t>
  </si>
  <si>
    <t>na</t>
  </si>
  <si>
    <t>Increase harvest to use pellets</t>
  </si>
  <si>
    <t>Wood flow; Cascade utilisation; Logistics network; Mixed integer linear programming; UMBERTO</t>
  </si>
  <si>
    <t>LIFE-CYCLE ASSESSMENT; CHAIN OPTIMIZATION; BIOMASS; ENERGY; DESIGN; SYSTEM; MODEL; GENERATION</t>
  </si>
  <si>
    <t>Taskhiri, MS; Garbs, M; Geldermann, J</t>
  </si>
  <si>
    <t>Sustainable logistics network for wood flow considering cascade utilisation</t>
  </si>
  <si>
    <t>To address the growing demand for wood as a renewable resource, a trend that has arisen in recent years is to follow the principle of cascade utilisation and to use wood residues from by-products. The cascading principle represents a method supporting resource efficiency through the sequential use of the remaining quality resources from previous commodities and substances. The logistics concept deserves special attention with respect to the utilisation of wood resources and the cascading principle as logistics processes constitute the largest share of costs. This work considers a logistics network for wood flow for different products in various sectors. Examples include a logistics network for particle board in the material-based sector, pulp and paper production in the chemical sector, and wood pellets production in the energy sector using cascade utilisation and recovered wood. A transportation problem is modelled using a mixed-integer linear programming (MILP) model, and it is applied to a case study in Lower Saxony using the software CPLEX v12.5. The aim is to minimise the total logistics costs of a logistics network, including those associated with harvesting, chipping, storage and transportation, for several companies in different sectors. UMBERTO, a life cycle assessment (LCA) software, is used to investigate the potential environmental impacts of the optimised logistics network. The approach is applied to three scenarios in Lower Saxony, a state in Germany. The initial results indicate that the total cost of the considered wood logistics network does not change significantly for the cascading scenarios in comparison to that associated with fresh wood, but there would be a substantial reduction in CO2 emissions if cascade utilisation is used in the logistics network. (c) 2015 Elsevier Ltd. All rights reserved.</t>
  </si>
  <si>
    <t>10.1016/j.jclepro.2015.09.098</t>
  </si>
  <si>
    <t>% of recovered wood used to make panels (different types of panels are considered)</t>
  </si>
  <si>
    <t>Amount of wood recovered from waste wood</t>
  </si>
  <si>
    <t>forest carbon; managed forest; harvested wood products; emissions</t>
  </si>
  <si>
    <t>ECOSYSTEM SERVICES; MANAGEMENT; MITIGATION; IMPACTS; DISTURBANCE</t>
  </si>
  <si>
    <t>Ter-Mikaelian, MT; Colombo, SJ; Chen, JX</t>
  </si>
  <si>
    <t>Harvest volumes and carbon stocks in boreal forests of Ontario, Canada</t>
  </si>
  <si>
    <t>We used models to project forest carbon stocks for a series of harvesting scenarios for 29 boreal forest management units totalling 23.3 million ha in Ontario, Canada. Scenarios evaluated for 2020 to 2050 ranged from a no harvesting option to annual harvesting of 2% of the total merchantable volume present in 2020. For each scenario, we estimated the following carbon quantities: (a) forest ecosystem carbon stocks, (b) sum of carbon stocks in forest ecosystem and harvested wood products (HWP) minus emissions associated with HWP production and decomposition, and (c) net greenhouse gas (GHG) effects of harvesting estimated as (b) combined with emissions avoided by substituting HWP for non-wood materials. The average of each carbon quantity for 2020 to 2050 was linearly dependent on the annual harvest volume. The developed relationships were used to estimate harvest volumes for which the three carbon quantities would equal equilibrium forest ecosystem carbon stocks for a pre-suppression natural disturbance cycle. These estimates indicate the range of harvest volumes for which resulting carbon stocks would equal or exceed those in an unmanaged forest. Also discussed are possible criteria for determining annual harvest volume.</t>
  </si>
  <si>
    <t>10.5558/tfc2021-018</t>
  </si>
  <si>
    <t>No harvest</t>
  </si>
  <si>
    <t>Historical average</t>
  </si>
  <si>
    <t>m3 harvested over the 30 year period</t>
  </si>
  <si>
    <t>Original C balance given as "average stock", somehow cumulating forest and fossil stocks over the period. Original stock values are muliplied by 2 to reconstruct cumulated flux after aribitrarily setting the "No harvest" scenario at zero flux. Given that the relationship between harvest and cumulated emissions is found to be linear, no specific scenario is explicited. Here, three scenarios have been arbitrarily defined for the meta-analysis. Because of the linearity, they result in the same ratios and substitution factors.</t>
  </si>
  <si>
    <t>changedAV</t>
  </si>
  <si>
    <t>Doubled harvest</t>
  </si>
  <si>
    <t>Chen et al. 2018: https://academic.oup.com/forestry/article/91/2/193/4812633</t>
  </si>
  <si>
    <t>climate change; climate impact; energy biomass; forest management; radiative forcing; substitution</t>
  </si>
  <si>
    <t>CARBON-DIOXIDE EMISSIONS; FOREST BIOENERGY; SEQUESTRATION; NEUTRALITY; RESIDUES; TIMBER; DEBT</t>
  </si>
  <si>
    <t>Torssonen, P; Kilpelainen, A; Strandman, H; Kellomaki, S; Jylha, K; Asikainen, A; Peltola, H</t>
  </si>
  <si>
    <t>Effects of climate change and management on net climate impacts of production and utilization of energy biomass in Norway spruce with stable age-class distribution</t>
  </si>
  <si>
    <t>We studied the effects of climate change and forest management scenarios on net climate impacts (radiative forcing) of production and utilization of energy biomass, in a Norway spruce forest area over an 80-year simulation period in Finnish boreal conditions. A stable age-class distribution was used in model-based analyses to identify purely the management effects under the current and changing climate (SRES B1 and A2 scenarios). The radiative forcing was calculated based on an integrated use of forest ecosystem model simulations and a life cycle assessment (LCA) tool. In this work, forest-based energy was used to substitute coal, and current forest management (baseline management) was used as a reference management. In alternative management scenarios, the stocking was maintained 20% higher in thinning compared to the baseline management, and nitrogen fertilization was applied. Intensity of energy biomass harvest (e.g. logging residues, coarse roots and stumps) was varied in the final felling of the stands at the age of 80years. Also, the economic profitability (NPV, 3% interest rate) of integrated production of timber and energy biomass was calculated for each management scenario. Our results showed that compared to the baseline management, climate benefits could be increased by maintaining higher stocking in thinning over rotation, using nitrogen fertilization and harvesting logging residues, stumps and coarse roots in the final felling. Under the gradually changing climate (in both SRES B1 and A2), the climate benefits were lower compared to the current climate. Trade-offs between NPV and net climate impacts also existed.</t>
  </si>
  <si>
    <t>10.1111/gcbb.12258</t>
  </si>
  <si>
    <t>Haverting logging residues for energy</t>
  </si>
  <si>
    <t>BN</t>
  </si>
  <si>
    <t>table S1</t>
  </si>
  <si>
    <t>gCO2/m2/a (convert to per hectare)</t>
  </si>
  <si>
    <t>change cumulated radiative forcing for NEE to have the climate variable</t>
  </si>
  <si>
    <t>BNR</t>
  </si>
  <si>
    <t>BNR20</t>
  </si>
  <si>
    <t>BN20</t>
  </si>
  <si>
    <t>BNF</t>
  </si>
  <si>
    <t>BN20F</t>
  </si>
  <si>
    <t>change driver for fertilization</t>
  </si>
  <si>
    <t>BNRF</t>
  </si>
  <si>
    <t>BNR20F</t>
  </si>
  <si>
    <t>JOURNAL OF WOOD SCIENCE</t>
  </si>
  <si>
    <t>Kyoto protocol; Carbon reduction; Carbon storage; Low-carbon society; Biomass energy</t>
  </si>
  <si>
    <t>GREENHOUSE-GAS INVENTORIES; UNITED-STATES</t>
  </si>
  <si>
    <t>Tsunetsugu, Y; Tonosaki, M</t>
  </si>
  <si>
    <t>Quantitative estimation of carbon removal effects due to wood utilization up to 2050 in Japan: effects from carbon storage and substitution of fossil fuels by harvested wood products</t>
  </si>
  <si>
    <t>Carbon absorbed by forests remains stored in the timber used for wood products, and a change in wood product stock can be evaluated as substantial removal/emission of atmospheric carbon. Since the carbon storage effect due to harvested wood products (HWP) might be taken into account in the future framework of carbon mitigation, it is crucial to estimate the carbon flow and stock concerning HWP for the next commitment period. In the present study, we developed a model for estimating the flow and stock of wood products in Japan's building, furniture, and paper sectors. The HWP carbon storage effect and substitution effect (carbon reduction by substituting fossil fuels and energy-intensive materials with HWP) up to 2050 were quantitatively estimated by lifetime analysis. Our model simulation revealed that (i) the carbon stock change in Japan due to HWP would be evaluated as a large emission if the atmospheric-flow approach is adopted, (ii) carbon removal would not significantly increase if the ratio of newly constructed wooden buildings/furniture remains stable, and (iii) the carbon storage effect together with the substitution effect would have a significant impact on climate change mitigation if the ratio of newly constructed wooden buildings/furniture is gradually improved to 70% by 2050.</t>
  </si>
  <si>
    <t>J. Wood Sci.</t>
  </si>
  <si>
    <t>10.1007/s10086-009-1107-4</t>
  </si>
  <si>
    <t>Share of wood-based buildings and furniture</t>
  </si>
  <si>
    <t>Promotion</t>
  </si>
  <si>
    <t>Wood harvest in 2050</t>
  </si>
  <si>
    <t>Mm3 yr-1</t>
  </si>
  <si>
    <t>MtC yr-1</t>
  </si>
  <si>
    <t>Reference</t>
  </si>
  <si>
    <t>Forest management; Renewable energy; Wood harvest; Forest stands; Carbon balance; Forest modelling; Forest growth; Wood-use; Energy substitution; Product substitution</t>
  </si>
  <si>
    <t>PINUS-SYLVESTRIS L.; STAND-DENSITY; EUROPEAN FORESTS; CLIMATE-CHANGE; CO2 EMISSIONS; BIOENERGY; BALANCE; MANAGEMENT; DEBT; CONSEQUENCES</t>
  </si>
  <si>
    <t>Valade, A; Luyssaert, S; Vallet, P; Djomo, SN; Van Der Kellen, IJ; Bellassen, V</t>
  </si>
  <si>
    <t>Carbon costs and benefits of France's biomass energy production targets</t>
  </si>
  <si>
    <t>Background: Concern about climate change has motivated France to reduce its reliance on fossil fuel by setting targets for increased biomass-based renewable energy production. This study quantifies the carbon costs and benefits for the French forestry sector in meeting these targets. A forest growth and harvest simulator was developed for French forests using recent forest inventory data, and the wood-use chain was reconstructed from national wood product statistics. We then projected wood production, bioenergy production, and carbon balance for three realistic intensification scenarios and a business-as-usual scenario. These intensification scenarios targeted either overstocked, harvest-delayed or currently actively managed stands. Results: All three intensification strategies produced 11.6-12.4 million tonnes of oil equivalent per year of wood-based energy by 2026, which corresponds to the target assigned to French wood-energy to meet the EU 2020 renewable energy target. Sustaining this level past 2026 will be challenging, let alone further increasing it. Although energy production targets can be reached, the management intensification required will degrade the near-term carbon balance of the forestry sector, compared to continuing present-day management. Even for the best-performing intensification strategy, i.e., reducing the harvest diameter of actively managed stands, the carbon benefits would only become apparent after 2040. The carbon balance of a strategy putting abandoned forests back into production would only break even by 2055; the carbon balance from increasing thinning in managed but untended stands would not break even within the studied time periods, i.e. 2015-2045 and 2046-2100. Owing to the temporal dynamics in the components of the carbon balance, i.e., the biomass stock in the forest, the carbon stock in wood products, and substitution benefits, the merit order of the examined strategies varies over time. Conclusions: No single solution was found to improve the carbon balance of the forestry sector by 2040 in a way that also met energy targets. We therefore searched for the intensification scenario that produces energy at the lowest carbon cost. Reducing rotation time of actively managed stands is slightly more efficient than targeting harvest-delayed stands, but in both cases, each unit of energy produced has a carbon cost that only turns into a benefit between 2060 and 2080.</t>
  </si>
  <si>
    <t>10.1186/s13021-018-0113-5</t>
  </si>
  <si>
    <t>Harvest harvest-delayed forests</t>
  </si>
  <si>
    <t>D: Extra mobilization of harvestdelayed forests</t>
  </si>
  <si>
    <t>Cumulated harvest over the period</t>
  </si>
  <si>
    <t>Thinning of overstocked forests</t>
  </si>
  <si>
    <t>Ov: Extra mobilization of overstocked forests</t>
  </si>
  <si>
    <t>Three drivers together</t>
  </si>
  <si>
    <t>A: Extra mobilization of all forests</t>
  </si>
  <si>
    <t>Reduction in threshold diameter for final felling</t>
  </si>
  <si>
    <t>M: Extra mobilization of actively managed forests</t>
  </si>
  <si>
    <t>ADEME. Forêt et atténuation du changement climatique; 2015</t>
  </si>
  <si>
    <t>FCBA (pers.comm.)</t>
  </si>
  <si>
    <t>Thinning in unthinned stand</t>
  </si>
  <si>
    <t xml:space="preserve">Werner, F., Taverna, R., Hofer, P., &amp; Richter, K. </t>
  </si>
  <si>
    <t xml:space="preserve"> Carbon pool and substitution effects of an increased use of wood in buildings in Switzerland: first estimates</t>
  </si>
  <si>
    <t xml:space="preserve"> Annals of Forest Science</t>
  </si>
  <si>
    <t>10.1051/forest:2005080</t>
  </si>
  <si>
    <t>Amount of wood used in construction</t>
  </si>
  <si>
    <t>current use (Table 1)</t>
  </si>
  <si>
    <t>optimistic scenario (Table 1)</t>
  </si>
  <si>
    <t>wood use for construction</t>
  </si>
  <si>
    <t>Mm3 y-1</t>
  </si>
  <si>
    <t>MtCO2 eq./yr</t>
  </si>
  <si>
    <t>Cummulative emission over 130 years in fig 9 converted to yearly</t>
  </si>
  <si>
    <t>added driver</t>
  </si>
  <si>
    <t>Climate change; CO2; GHG; Kyoto Protocol; Life cycle assessment; Sink; Substitution; Wood product; Forest management; Switzerland</t>
  </si>
  <si>
    <t>CARBON; PRODUCTS; ENERGY; SEQUESTRATION; CONSTRUCTION; CONSERVATION; LEAKAGE; TIMBER</t>
  </si>
  <si>
    <t>Werner, F; Taverna, R; Hofer, P; Thurig, E; Kaufmann, E</t>
  </si>
  <si>
    <t>National and global greenhouse gas dynamics of different forest management and wood use scenarios: a model-based assessment</t>
  </si>
  <si>
    <t>An increased use of wood products and an adequate management of forests can help to mitigate climate change. However, planning horizons and response time to changes in forest management are usually long and the respective GHG effects related to the use of wood depend on the availability of harvested wood. Therefore, an integral long-term strategic approach is required to formulate the most effective forest and wood management strategies for mitigating climate change. The greenhouse gas (GHG) dynamics related to the production, use and disposal of wood products are manifold and show a complex time pattern. On the one hand, wood products can be considered as a carbon pool, as is the forest itself. On the other hand, an increased use of wood can lead to the substitution of usually more energy-intense materials and to the substitution of fossil fuels when the thermal energy of wood is recovered. Country-specific import/export flows of wood products and their alternative products as well as their processing stage have to be considered if substitution effects are assessed on a national basis. We present an integral model-based approach to evaluate the GHG impacts of various forest management and wood use scenarios. Our approach allows us to analyse the complex temporal and spatial patterns of GHG emissions and removals including trade-offs of different forest management and wood use strategies. This study shows that the contributions of the forestry and timber sector to mitigate climate change can be optimized with the following key recommendations: (1) the maximum possible, sustainable increment should be generated in the forest, taking into account biodiversity conservation as well as the long-term preservation of soil quality and growth performance; (2) this increment should be harvested continuously; (3) the harvested wood should be processed in accordance with the principle of cascade use, i.e. first be used as a material as long as possible, preferably in structural components; (4) waste wood that is not suitable for further use should be used to generate energy. Political strategies to solely increase the use of wood as a biofuel cannot be considered efficient from a climate perspective; (5) forest management strategies to enhance carbon sinks in forests via reduced harvesting are not only ineffective because of a compensatory increase in fossil fuel consumption for the production of non-wooden products and thermal energy but also because of the Kyoto-cap that limits the accountability of GHG removals by sinks under Article 3.3 and 3.4, at least for the first commitment period; (6) the effect of substitution through the material and energy use of wood is more significant and sustained as compared with the stock effects in wood products, which tend towards new steady-state flow equilibria with no further increase of C stocks; (7) from a global perspective, the effect of material substitution exceeds that of energy recovery from wood. In the Swiss context, however, the energy recovery from wood generates a greater substitution effect than material substitution. (C) 2009 Elsevier Ltd. All rights reserved.</t>
  </si>
  <si>
    <t>10.1016/j.envsci.2009.10.004</t>
  </si>
  <si>
    <t>Longer rotation length and more set aside forest</t>
  </si>
  <si>
    <t>Reduced forest maintenance</t>
  </si>
  <si>
    <t>ecoinvent 2000 (Jungbluth, 2003; Faist and Heck, 2003; Bauer, 2003).</t>
  </si>
  <si>
    <t>Werner et al. (2006) or Taverna et al. (2007)</t>
  </si>
  <si>
    <t>Many time periods can be extracted (see Extraction sheet)</t>
  </si>
  <si>
    <t>Kyoto-optimized</t>
  </si>
  <si>
    <t>Optimized increment, building</t>
  </si>
  <si>
    <t>Optimized increment, energy</t>
  </si>
  <si>
    <t>scenario 1</t>
  </si>
  <si>
    <t>Biofuel; Carbon sequestration; Net present value; Forest management; Energy biomass</t>
  </si>
  <si>
    <t>TREE GROWTH; TIMBER PRODUCTION; CO2 ELEVATION; NORWAY SPRUCE; MANAGEMENT; PRODUCTS; IMPACTS; SEQUESTRATION; TEMPERATURE; ECOSYSTEM</t>
  </si>
  <si>
    <t>Zubizarreta-Gerendiain, A; Pukkala, T; Peltola, H</t>
  </si>
  <si>
    <t>Effects of wood harvesting and utilisation policies on the carbon balance of forestry under changing climate: a Finnish case study</t>
  </si>
  <si>
    <t>We studied the effects of different wood harvesting and utilisation policies on the carbon balance and economic profitability of forestry under the current and changing climate (A1B climate scenario). Sixty-year carbon balance was calculated for two Finnish boreal case study areas, one dominated by Scots pine and the other by Norway spruce. Carbon balance included changes in the carbon pools of living forest biomass (above- and below-ground), dead organic matter and wood products, as well as carbon releases from harvesting, transporting and manufacturing. Substitution effects of using biofuel instead of fossil-fuels were also taken into account. Business-as-usual (baseline) management policy (even-aged forestry: thinning from below, harvesting timber for wood-based products from thinning and final felling) and five other management policies were applied by changing the timing and type of thinning and the utilisation of harvested trees. Net present value (NPV, 2%) and carbon balance were maximised with even-flow net income constraints. In both case study areas, postponing the thinning of young stands and using thinning from above improved carbon balance and NPV. The use of pulpwood, logging residues and stumps as biofuel also increased carbon balance. Climate warming improved carbon balance and NPV when harvests were not increased from those under the current climate. (C) 2015 Elsevier B.V. All rights reserved.</t>
  </si>
  <si>
    <t>10.1016/j.forpol.2015.08.007</t>
  </si>
  <si>
    <t>Small diameters used for pulp rather than energy and more thinnings (baseline = alternative here)</t>
  </si>
  <si>
    <t>Spruce-dominated forest &amp; TB3 Same as TB2 except that postponing of thinnings in young stands is allowed</t>
  </si>
  <si>
    <t>Spruce-dominated forest &amp; TB1 Thinning from below; thinnings done according to the thinning instructions (immediately when stand basal area exceeds the ‘thinning limit’ of the instructions). Only saw logs and pulpwood are harvested.</t>
  </si>
  <si>
    <t>Total harvested biomass</t>
  </si>
  <si>
    <t>kt harvested biomass</t>
  </si>
  <si>
    <t>OtherQCneeded</t>
  </si>
  <si>
    <t>Spruce-dominated forest &amp; TA4: same as TB3 except that thinning from below was replaced by thinning from above</t>
  </si>
  <si>
    <t>Pine-dominated forest &amp; TB3 Same as TB2 except that postponing of thinnings in young stands is allowed</t>
  </si>
  <si>
    <t>Pine-dominated forest &amp; TB1 Thinning from below; thinnings done according to the thinning instructions (immediately when stand basal area exceeds the ‘thinning limit’ of the instructions). Only saw logs and pulpwood are harvested.</t>
  </si>
  <si>
    <t>Pine-dominated forest &amp; TA4: same as TB3 except that thinning from below was replaced by thinning from above</t>
  </si>
  <si>
    <t>Small diameters (all species) used for pulp rather than energy and more thinnings (baseline = alternative here)</t>
  </si>
  <si>
    <t>Pine-dominated forest &amp; TA5: same as Same as TA4 except that pine and birch pulpwood is not harvested. Small stems and the upper parts of log-sized pines and birches are harvested as fuel feedstock (from the top diameter of saw log until 5 cm diameter)</t>
  </si>
  <si>
    <t>Let's not compute a DF here: although there is a small increase in wood use, most of the C benefit is due to a reallocation of wood from pulp to energy.</t>
  </si>
  <si>
    <t>Spruce-dominated forest &amp; TA5: same as Same as TA4 except that pine and birch pulpwood is not harvested. Small stems and the upper parts of log-sized pines and birches are harvested as fuel feedstock (from the top diameter of saw log until 5 cm diameter)</t>
  </si>
  <si>
    <t>A1B climate &amp; Pine-dominated forest &amp; TA5: same as Same as TA4 except that pine and birch pulpwood is not harvested. Small stems and the upper parts of log-sized pines and birches are harvested as fuel feedstock (from the top diameter of saw log until 5 cm diameter)</t>
  </si>
  <si>
    <t>A1B climate &amp; Pine-dominated forest &amp; TB1 Thinning from below; thinnings done according to the thinning instructions (immediately when stand basal area exceeds the ‘thinning limit’ of the instructions). Only saw logs and pulpwood are harvested.</t>
  </si>
  <si>
    <t>A1B climate &amp; Pine-dominated forest &amp; TA4: same as TB3 except that thinning from below was replaced by thinning from above</t>
  </si>
  <si>
    <t>A1B climate &amp; Pine-dominated forest &amp; TB3 Same as TB2 except that postponing of thinnings in young stands is allowed</t>
  </si>
  <si>
    <t>A1B climate &amp; Spruce-dominated forest &amp; TA5: same as Same as TA4 except that pine and birch pulpwood is not harvested. Small stems and the upper parts of log-sized pines and birches are harvested as fuel feedstock (from the top diameter of saw log until 5 cm diameter)</t>
  </si>
  <si>
    <t>A1B climate &amp; Spruce-dominated forest &amp; TB1 Thinning from below; thinnings done according to the thinning instructions (immediately when stand basal area exceeds the ‘thinning limit’ of the instructions). Only saw logs and pulpwood are harvested.</t>
  </si>
  <si>
    <t>A1B climate &amp; Spruce-dominated forest &amp; TA4: same as TB3 except that thinning from below was replaced by thinning from above</t>
  </si>
  <si>
    <t>A1B climate &amp; Spruce-dominated forest &amp; TB3 Same as TB2 except that postponing of thinnings in young stands is allowed</t>
  </si>
  <si>
    <t>Small diameters used for energy rather than pulp</t>
  </si>
  <si>
    <t>Spruce-dominated forest &amp; TB2 Same as TB1 except that spruce pulpwood is not harvested. Norway spruce stem parts from diameter 16 cm (minimum top diameter of log) down to 5 cm are harvested as fuel feedstock.</t>
  </si>
  <si>
    <t>Pine-dominated forest &amp; TB2 Same as TB1 except that spruce pulpwood is not harvested. Norway spruce stem parts from diameter 16 cm (minimum top diameter of log) down to 5 cm are harvested as fuel feedstock.</t>
  </si>
  <si>
    <t>Small diameters used for energy rather than pulp in A1B climate scenario (+2,5°c)</t>
  </si>
  <si>
    <t>A1B climate &amp; Spruce-dominated forest &amp; TB2 Same as TB1 except that spruce pulpwood is not harvested. Norway spruce stem parts from diameter 16 cm (minimum top diameter of log) down to 5 cm are harvested as fuel feedstock.</t>
  </si>
  <si>
    <t>A1B climate &amp; Pine-dominated forest &amp; TB2 Same as TB1 except that spruce pulpwood is not harvested. Norway spruce stem parts from diameter 16 cm (minimum top diameter of log) down to 5 cm are harvested as fuel feedstock.</t>
  </si>
  <si>
    <t>0,8 tC/tC Díaz-Balteiro and Rodriguez, 2006</t>
  </si>
  <si>
    <t>0,4 tC/tC Hennigar et al., 2008</t>
  </si>
  <si>
    <t>Whole tree harvesting</t>
  </si>
  <si>
    <t>Spruce-dominated forest &amp; Same as TA4 except that 70% of tree tops, branches and stumps were harvested for biofuel in clear felling sites</t>
  </si>
  <si>
    <t>Pine-dominated forest &amp; Same as TA4 except that 70% of tree tops, branches and stumps were harvested for biofuel in clear felling sites</t>
  </si>
  <si>
    <t>A1B climate &amp; Pine-dominated forest &amp; Same as TA4 except that 70% of tree tops, branches and stumps were harvested for biofuel in clear felling sites</t>
  </si>
  <si>
    <t>A1B climate &amp; Spruce-dominated forest &amp; Same as TA4 except that 70% of tree tops, branches and stumps were harvested for biofuel in clear felling sites</t>
  </si>
  <si>
    <t>Life Cycle Assessment (LCA); Environmental performance; Sustainability; Medium density particleboard(MDP); Environmental impact; Sustainable strategy</t>
  </si>
  <si>
    <t>WOOD; INVENTORY; PARTICLEBOARD; FORMALDEHYDE; RESOURCES; INNOVATION; EMISSIONS; SELECTION; PRODUCTS; ENERGY</t>
  </si>
  <si>
    <t>Iritani, DR; Silva, DAL; Saavedra, YMB; Grael, PFF; Ometto, AR</t>
  </si>
  <si>
    <t>Sustainable strategies analysis through Life Cycle Assessment: a case study in a furniture industry</t>
  </si>
  <si>
    <t>This article aims to analyze sustainable strategies by assessing the environmental performance of a wardrobe built from medium density particleboard. For this, the Life cycle assessment technique was used. The product life cycle studied was a cradle-to-gate type, including three main stages: raw materials supply, wardrobe manufacturing and distribution of the wardrobe. The functional unit was 40 kg of stored goods/5 years and the reference flow was one wardrobe unit. The LCA modeling process was undertaken using the GaBi software, Professional 4.4 version based on attributional modeling and the EDIP-97 method. The life cycle assessment results indicated that the most significant environmental impacts occur at the stages of raw materials supply and the distribution of the wardrobe, and the most relevant impact categories were human toxicity, global warming and acidification, totaling 68.0% of the overall life cycle impacts. Based on this results and a literature review of life cycle assessment studies of furniture products, two sustainable strategies were presented: to optimize transport system and the use of alternatives raw materials during the manufacturing of medium density particleboard. In addition, three scenarios for the production of the medium density particleboard were analyzed with focus on using recycled wood as raw material instead of virgin wood. The results showed that use of 100% wood waste was more sustainable because there was a global minimization of potential impacts. These conclusions can assist furniture and the wood-based panel industries in improving their environmental profile and encourage research about alternative options to promote cleaner production of furniture components in a life cycle perspective. (C) 2014 Elsevier Ltd. All rights reserved.</t>
  </si>
  <si>
    <t>10.1016/j.jclepro.2014.05.029</t>
  </si>
  <si>
    <t>Share of recycled wood for MDP</t>
  </si>
  <si>
    <t>quantity of recycled wood</t>
  </si>
  <si>
    <t>w</t>
  </si>
  <si>
    <t>world</t>
  </si>
  <si>
    <t>Climate change; Land use change; Forest carbon; Carbon emissions</t>
  </si>
  <si>
    <t>CLIMATE-CHANGE; TIMBER; MANAGEMENT; ECONOMICS; IMPACTS; COVER; MODEL</t>
  </si>
  <si>
    <t>Mendelsohn, R; Sohngen, B</t>
  </si>
  <si>
    <t>The Net Carbon Emissions from Historic Land Use and Land Use Change</t>
  </si>
  <si>
    <t>Deforestation from timber harvests and farmland conversions have led to 565 GtCO(2) (billion tons of carbon dioxide) being emitted into the atmosphere. Taking into account natural regeneration on forestland, Houghton (2003, 2008) and Houghton et al. (2012) estimate that deforestation has caused a net loss of 484 GtCO(2) since 1900 which is about one third of all manmade emissions. However, these estimates do not take into account the substantial investment into fire management, plantations, and replanting since 1950, as well as the effect of carbon fertilization on a younger forest. We compare the outcome of a deforestation scenario with subsequent forest management with what would have happened if the natural forest in 1900 had not been harvested thereafter. Deforestation plus forest management suggests current forests actually hold about 94 GtCO(2) more today than they did in 1900. However, natural forests would have held an additional 186 GtCO(2). Human activities on forestland have therefore caused about 92 GtCO(2) of net emissions since 1900. The effect of manmade land use and land use change is relatively small compared to the 1294 GtCO(2) from industrial emissions over the same time period (Marland et al., 2008).</t>
  </si>
  <si>
    <t>10.1561/112.00000505</t>
  </si>
  <si>
    <t>forest use (deforestation, forest management and planting)</t>
  </si>
  <si>
    <t>Natural Forest Scenario</t>
  </si>
  <si>
    <t>Historical Market Scenario</t>
  </si>
  <si>
    <t>Cumulated wood harvest</t>
  </si>
  <si>
    <t>Gt CO2</t>
  </si>
  <si>
    <t>different perimeters</t>
  </si>
  <si>
    <t>no C output</t>
  </si>
  <si>
    <t>no journal</t>
  </si>
  <si>
    <t>C var cannot be cumulated</t>
  </si>
  <si>
    <t>review</t>
  </si>
  <si>
    <t>t_to_m3</t>
  </si>
  <si>
    <t>Wood density</t>
  </si>
  <si>
    <t>dry wood</t>
  </si>
  <si>
    <t>IPCC 2006</t>
  </si>
  <si>
    <t>kg_to_m3</t>
  </si>
  <si>
    <t>Carbon density</t>
  </si>
  <si>
    <t>tC/t dry matter</t>
  </si>
  <si>
    <t>tC_to_m3</t>
  </si>
  <si>
    <t>C_to_CO2</t>
  </si>
  <si>
    <t>Exclusion criteria</t>
  </si>
  <si>
    <t>cat2</t>
  </si>
  <si>
    <t>colcat2</t>
  </si>
  <si>
    <t>cat1</t>
  </si>
  <si>
    <t>colcat1</t>
  </si>
  <si>
    <t>cat0</t>
  </si>
  <si>
    <t>colcat0</t>
  </si>
  <si>
    <t>#777777</t>
  </si>
  <si>
    <t>#437DBF</t>
  </si>
  <si>
    <t>#7BAFDE</t>
  </si>
  <si>
    <t>#1965B0</t>
  </si>
  <si>
    <t>#F4A736</t>
  </si>
  <si>
    <t>#DC050C</t>
  </si>
  <si>
    <t>#A5170E</t>
  </si>
  <si>
    <t>#72190E</t>
  </si>
  <si>
    <t>Fig1</t>
  </si>
  <si>
    <t>QC_AV</t>
  </si>
  <si>
    <t>Aude's edits in colors</t>
  </si>
  <si>
    <t>avg</t>
  </si>
  <si>
    <t>scenario</t>
  </si>
  <si>
    <t>MtCO2/an</t>
  </si>
  <si>
    <t>Fig, 2</t>
  </si>
  <si>
    <t>Fig,5</t>
  </si>
  <si>
    <t>Fig,4</t>
  </si>
  <si>
    <t>Fig,3</t>
  </si>
  <si>
    <t>Forest</t>
  </si>
  <si>
    <t>Net effect</t>
  </si>
  <si>
    <t>Cdelta?</t>
  </si>
  <si>
    <t>Substitution</t>
  </si>
  <si>
    <t>???</t>
  </si>
  <si>
    <t>Taskhiri_2016</t>
  </si>
  <si>
    <t>Harvest+Chip&amp;Storage</t>
  </si>
  <si>
    <t>Total</t>
  </si>
  <si>
    <t>Processing (incl. Transport)</t>
  </si>
  <si>
    <t>CO2 emissions (tCO2e)</t>
  </si>
  <si>
    <t>MDF</t>
  </si>
  <si>
    <t>OSB</t>
  </si>
  <si>
    <t>Particle board</t>
  </si>
  <si>
    <t>paper</t>
  </si>
  <si>
    <t>Wood pellets</t>
  </si>
  <si>
    <t>Teh 2017</t>
  </si>
  <si>
    <t>2050 bau residential</t>
  </si>
  <si>
    <t>2050 timber residential without sequestration</t>
  </si>
  <si>
    <t>2050 timber residential with sequestration</t>
  </si>
  <si>
    <t>2050 bau commercial</t>
  </si>
  <si>
    <t>2050 timber commercial without sequestration</t>
  </si>
  <si>
    <t>2050 timber commercial with sequestration</t>
  </si>
  <si>
    <t>2050 bau total australian economy</t>
  </si>
  <si>
    <t>2050 timber total australian economy without sequestration</t>
  </si>
  <si>
    <t>2050 timber total australian economy with sequestration</t>
  </si>
  <si>
    <t>Torsonnen 2015</t>
  </si>
  <si>
    <t>NEE (gCO2/m2/yr)</t>
  </si>
  <si>
    <t>BT, constant climate</t>
  </si>
  <si>
    <t>BT, B1</t>
  </si>
  <si>
    <t>BT, A2</t>
  </si>
  <si>
    <t>Radiative forcing</t>
  </si>
  <si>
    <t>Re-calibrated to compare all scenarios with BT_constant climate</t>
  </si>
  <si>
    <t>Constant climate</t>
  </si>
  <si>
    <t>A2</t>
  </si>
  <si>
    <t>BN-BT</t>
  </si>
  <si>
    <t>BNF-BT</t>
  </si>
  <si>
    <t>BN20-BT</t>
  </si>
  <si>
    <t>BN20F-BT</t>
  </si>
  <si>
    <t>BNRF-BT</t>
  </si>
  <si>
    <t>BNR-BT</t>
  </si>
  <si>
    <t>BNR20-BT</t>
  </si>
  <si>
    <t>BNR20F-BT</t>
  </si>
  <si>
    <t>Promotion scenario</t>
  </si>
  <si>
    <t>Delta</t>
  </si>
  <si>
    <t>Tsunetsugu 2010</t>
  </si>
  <si>
    <t>FF substsitution</t>
  </si>
  <si>
    <t>Energy saving</t>
  </si>
  <si>
    <t>Vukotic 2010</t>
  </si>
  <si>
    <t>Emissions (kgCO2/m2)</t>
  </si>
  <si>
    <t>Local timber</t>
  </si>
  <si>
    <t>Production &amp; construction</t>
  </si>
  <si>
    <t>Amount of wood in timber structure (t wood/m2, deducted from data p7)</t>
  </si>
  <si>
    <t>Use (maintenance)</t>
  </si>
  <si>
    <t>Distance (local option, km)</t>
  </si>
  <si>
    <t>Demolition</t>
  </si>
  <si>
    <t>C footprint of transport (kgCO2/t wood/km)</t>
  </si>
  <si>
    <t>Recovery potential</t>
  </si>
  <si>
    <t>C footprint of transport (local option, kgCO2/m2)</t>
  </si>
  <si>
    <t>EoL</t>
  </si>
  <si>
    <t>C footprint of transport (baseline option = imported timber, kgCO2/m2)</t>
  </si>
  <si>
    <t>2011 Weight</t>
  </si>
  <si>
    <t>Scenario A: timber landfilled at end of life and not used for energy</t>
  </si>
  <si>
    <t>Scenario B: timber landfilled at end of life with capped landfill energy recovery from methane</t>
  </si>
  <si>
    <t>Scenario C: as scenario A, but timber sent for incineration for energy at end of life</t>
  </si>
  <si>
    <t>Scenario D: enhancement of scenario C for adding combined heat and power for heat which is a by-product of electrical generation</t>
  </si>
  <si>
    <t>Scenario E: highly manufactured timber</t>
  </si>
  <si>
    <t>Scenario F: use of unsustainably sourced timber (deforestation without replanting)</t>
  </si>
  <si>
    <t>Growth*</t>
  </si>
  <si>
    <t>Forestry_processes</t>
  </si>
  <si>
    <t>Transport</t>
  </si>
  <si>
    <t>Manufacturing</t>
  </si>
  <si>
    <t>Transport_to/from_site</t>
  </si>
  <si>
    <t>Energy_from_incineration</t>
  </si>
  <si>
    <t>Emissions_in_landfill</t>
  </si>
  <si>
    <t>Capping_and_biogas</t>
  </si>
  <si>
    <t>kgCO2/kg_of_product</t>
  </si>
  <si>
    <t>In-situ</t>
  </si>
  <si>
    <t>Manufacturing &amp; transport</t>
  </si>
  <si>
    <t>EoL biogenic</t>
  </si>
  <si>
    <t>EoL&amp;Manufacturing</t>
  </si>
  <si>
    <t>Total LCA</t>
  </si>
  <si>
    <t>In-situ&amp;forest</t>
  </si>
  <si>
    <t>In-situ&amp;forestry&amp;manufacturing</t>
  </si>
  <si>
    <t>2010 - Werner</t>
  </si>
  <si>
    <t>Total cumulative effects</t>
  </si>
  <si>
    <t>Substitution (domestic)</t>
  </si>
  <si>
    <t>HWP stock</t>
  </si>
  <si>
    <t>Swiss forest</t>
  </si>
  <si>
    <t>Substition (abroad)</t>
  </si>
  <si>
    <t>Year</t>
  </si>
  <si>
    <t>Forest + HWP</t>
  </si>
  <si>
    <t>Harvest in 2000</t>
  </si>
  <si>
    <t>Average harvest from 2030-&gt;2100</t>
  </si>
  <si>
    <t>Cumulated harvest (Mm3)</t>
  </si>
  <si>
    <t>Ximenes 2013</t>
  </si>
  <si>
    <t>kgC stored per kg timber in landfill</t>
  </si>
  <si>
    <t>C-storage</t>
  </si>
  <si>
    <t>Amount of wood (kg wood in use)</t>
  </si>
  <si>
    <t>GHG balance (tCO2e)</t>
  </si>
  <si>
    <t>Affinity as designed</t>
  </si>
  <si>
    <t>Affinity timber maximized</t>
  </si>
  <si>
    <t>Villina as designed</t>
  </si>
  <si>
    <t>Villina timber maximized</t>
  </si>
  <si>
    <t>Zhang 2018</t>
  </si>
  <si>
    <t>(3) ethanol by biochemical process</t>
  </si>
  <si>
    <t>(1) ethanol by process without catalytic methane reformation</t>
  </si>
  <si>
    <t>(2) ethanol by process with catalytic methane reformation</t>
  </si>
  <si>
    <t>Zhang 2018 (2)</t>
  </si>
  <si>
    <t>kgCO2/M3</t>
  </si>
  <si>
    <t>Tractor &amp; EQ140</t>
  </si>
  <si>
    <t>Cableway &amp; EQ140</t>
  </si>
  <si>
    <t>Tractor &amp; Diesel vehicle</t>
  </si>
  <si>
    <t>Cableway &amp; Diesel vehicle</t>
  </si>
  <si>
    <t>Cutting</t>
  </si>
  <si>
    <t>Chainsaw</t>
  </si>
  <si>
    <t>Forest operation</t>
  </si>
  <si>
    <t>Skidding</t>
  </si>
  <si>
    <t>Loading</t>
  </si>
  <si>
    <t>Winch</t>
  </si>
  <si>
    <t>Transporting</t>
  </si>
  <si>
    <t>EQ140</t>
  </si>
  <si>
    <t>Diesel</t>
  </si>
  <si>
    <t>vehicle</t>
  </si>
  <si>
    <t>Lumberyard</t>
  </si>
  <si>
    <t>production</t>
  </si>
  <si>
    <t>all points in fig.4</t>
  </si>
  <si>
    <t>Time period (yrs)</t>
  </si>
  <si>
    <t>Current climate</t>
  </si>
  <si>
    <t>A1B</t>
  </si>
  <si>
    <t>Pine-dominated forest</t>
  </si>
  <si>
    <t>Spruce-dominate forest</t>
  </si>
  <si>
    <t>Area</t>
  </si>
  <si>
    <t>Zubizaretta 2016</t>
  </si>
  <si>
    <t>climate</t>
  </si>
  <si>
    <t>scenario mngt</t>
  </si>
  <si>
    <t>Total (tC/ha/yr)</t>
  </si>
  <si>
    <t>Forest soil</t>
  </si>
  <si>
    <t>Forest biomass</t>
  </si>
  <si>
    <t>Log+Pulp</t>
  </si>
  <si>
    <t>Total harvest (kt biomass)</t>
  </si>
  <si>
    <t>Log harvest (kt biomass)</t>
  </si>
  <si>
    <t>Pulp</t>
  </si>
  <si>
    <t>Fuel</t>
  </si>
  <si>
    <t>Log+pulp</t>
  </si>
  <si>
    <t>TB1</t>
  </si>
  <si>
    <t>TB2</t>
  </si>
  <si>
    <t>TB3</t>
  </si>
  <si>
    <t>TA4</t>
  </si>
  <si>
    <t>TA5</t>
  </si>
  <si>
    <t>TA6</t>
  </si>
  <si>
    <t>Total (tCO2)</t>
  </si>
  <si>
    <t>Forest &amp; soil (tCO2)</t>
  </si>
  <si>
    <t>Forest + Soil + HWP (tCO2)</t>
  </si>
  <si>
    <t>Delta_pulp</t>
  </si>
  <si>
    <t>Delta_wood (kt biomass)</t>
  </si>
  <si>
    <t>Spruce-dominated forest</t>
  </si>
  <si>
    <t>Forest &amp; soil</t>
  </si>
  <si>
    <t>Forest + Soil + HWP</t>
  </si>
  <si>
    <t>Delta_wood</t>
  </si>
  <si>
    <t>2021 - Dugan</t>
  </si>
  <si>
    <t>Cumulative effect (MtCO2e) vs BAU</t>
  </si>
  <si>
    <t>Energy substitution</t>
  </si>
  <si>
    <t>Product substitution</t>
  </si>
  <si>
    <t>DeltaWood (MtC)</t>
  </si>
  <si>
    <t>Total mitigation</t>
  </si>
  <si>
    <t>ShortRotation</t>
  </si>
  <si>
    <t>ShortRotationBioE</t>
  </si>
  <si>
    <t>ExtendedRotation</t>
  </si>
  <si>
    <t>Residues</t>
  </si>
  <si>
    <t>IncreaseBioE</t>
  </si>
  <si>
    <t>DF (tC/tC)</t>
  </si>
  <si>
    <t>Forest+HWP stock</t>
  </si>
  <si>
    <t>For extraction sheet (possibly inverted if ref !=BAU)</t>
  </si>
  <si>
    <t>Cref</t>
  </si>
  <si>
    <t>C_scenario</t>
  </si>
  <si>
    <t>2006 - Backeus</t>
  </si>
  <si>
    <t>HWP harvest (Mm3/yr)</t>
  </si>
  <si>
    <t>Biofuel (1000 t/yr)</t>
  </si>
  <si>
    <t>Total harvest</t>
  </si>
  <si>
    <t>Biomass C storage</t>
  </si>
  <si>
    <t>Total (MtC/yr)</t>
  </si>
  <si>
    <t>Cumulated GWP (tCO2/ha</t>
  </si>
  <si>
    <t>2022 - Aryapratama</t>
  </si>
  <si>
    <t>Positive = emissions</t>
  </si>
  <si>
    <t>Time</t>
  </si>
  <si>
    <t>PF_FP_Hbr_40y_E</t>
  </si>
  <si>
    <t>PF_FP_Hbr_40y_NR_E</t>
  </si>
  <si>
    <t>PF_FP_AC_18y_M</t>
  </si>
  <si>
    <t>PF_FP_AC_18y_NR_M</t>
  </si>
  <si>
    <t>PF_FP_Tgr_60y_NR_M</t>
  </si>
  <si>
    <t>PF_FP_Tgr_60y_M</t>
  </si>
  <si>
    <t>DL_FP_AC_18y_NR_M</t>
  </si>
  <si>
    <t>DL_FP_Hbr_40y_NR_E</t>
  </si>
  <si>
    <t>DL_FP_Tgr_60y_NR_M</t>
  </si>
  <si>
    <t>DL_FP_Hbr_40y_E</t>
  </si>
  <si>
    <t>DL_FP_Tgr_60y_M</t>
  </si>
  <si>
    <t>DL_FP_AC_18y_M</t>
  </si>
  <si>
    <t>Ref</t>
  </si>
  <si>
    <t>Scenario</t>
  </si>
  <si>
    <t>Delta Wood (tC/ha)</t>
  </si>
  <si>
    <t>Harvest Scenario</t>
  </si>
  <si>
    <t>Harvest Ref</t>
  </si>
  <si>
    <t>HWP Ref</t>
  </si>
  <si>
    <t>HWP scenario (tC/ha)</t>
  </si>
  <si>
    <t>Cumulated GWP (tCO2/ha) Ref</t>
  </si>
  <si>
    <t>Cumulated GWP (tCO2/ha) Scenario</t>
  </si>
  <si>
    <t>Nb_Car_Scenario</t>
  </si>
  <si>
    <t>Line</t>
  </si>
  <si>
    <t>File</t>
  </si>
  <si>
    <t>Wood Ref</t>
  </si>
  <si>
    <t>Wood scenario (tC/ha)</t>
  </si>
  <si>
    <t>'[2022 - Aryapratama &amp; Pauliuk - STE - AppF.xlsx]GWPdyn_PF_PO - Fig.4(f)'!L</t>
  </si>
  <si>
    <t>'[2022 - Aryapratama &amp; Pauliuk - STE - AppF.xlsx]GWPdyn_PF_SF - Fig.4(g)'!L</t>
  </si>
  <si>
    <t>PF_FP_NR_M_Ac_7y</t>
  </si>
  <si>
    <t>PF_FP_M_Ac_7y</t>
  </si>
  <si>
    <t>'[2022 - Aryapratama &amp; Pauliuk - STE - AppF.xlsx]GWPdyn_PF_FP - Fig.4(h)'!L</t>
  </si>
  <si>
    <t>PF_FP_NR_M_Ac_18y</t>
  </si>
  <si>
    <t>PF_FP_M_Ac_18y</t>
  </si>
  <si>
    <t>PF_FP_NR_M_Tgr_60y</t>
  </si>
  <si>
    <t>PF_FP_M_Tgr_60y</t>
  </si>
  <si>
    <t>PF_FP_NR_E_Hbr_40y</t>
  </si>
  <si>
    <t>PF_FP_E_Hbr_40y</t>
  </si>
  <si>
    <t>DL_FP_NR_M_Ac_7y</t>
  </si>
  <si>
    <t>DL_FP_M_Ac_7y</t>
  </si>
  <si>
    <t>'[2022 - Aryapratama &amp; Pauliuk - STE - AppF.xlsx]GWPdyn_DL_FP - Fig.4(i)'!L</t>
  </si>
  <si>
    <t>DL_FP_NR_M_Ac_18y</t>
  </si>
  <si>
    <t>DL_FP_M_Ac_18y</t>
  </si>
  <si>
    <t>DL_FP_NR_M_Tgr_60y</t>
  </si>
  <si>
    <t>DL_FP_M_Tgr_60y</t>
  </si>
  <si>
    <t>DL_FP_NR_E_Hbr_40y</t>
  </si>
  <si>
    <t>DL_FP_E_Hbr_40y</t>
  </si>
  <si>
    <t>'[2022 - Aryapratama &amp; Pauliuk - STE - AppF.xlsx]GWPdyn_RIL - Fig.4(j)'!L</t>
  </si>
  <si>
    <t>NR_RIL_M</t>
  </si>
  <si>
    <t>NR_RIL_E</t>
  </si>
  <si>
    <t>2019 - Baskent</t>
  </si>
  <si>
    <t>Forest stock (tC/ha)</t>
  </si>
  <si>
    <t>HWP stock (tC/ha)</t>
  </si>
  <si>
    <t>Cumulated substitution  (tC/ha)</t>
  </si>
  <si>
    <t>Forest only</t>
  </si>
  <si>
    <t>Forest + HWP + Substitution</t>
  </si>
  <si>
    <t>Fig10</t>
  </si>
  <si>
    <t>Product sub</t>
  </si>
  <si>
    <t>Energy sub</t>
  </si>
  <si>
    <t>Product sub factor</t>
  </si>
  <si>
    <t>Fig9</t>
  </si>
  <si>
    <t>Sawlogs</t>
  </si>
  <si>
    <t>WBP</t>
  </si>
  <si>
    <t>Harvest (tC/ha/yr)</t>
  </si>
  <si>
    <t>Average HWP use</t>
  </si>
  <si>
    <t>Braun et al 2016</t>
  </si>
  <si>
    <t>Forest stock (GtCO2)</t>
  </si>
  <si>
    <t>HWP (GtCO2)</t>
  </si>
  <si>
    <t>Cumulated Substitution (GtCO2)</t>
  </si>
  <si>
    <t>Total (GtCO2)</t>
  </si>
  <si>
    <t>Material sub</t>
  </si>
  <si>
    <t>Energy sub (MtCO2/yr)</t>
  </si>
  <si>
    <t>Material sub (GtCO2/yr)</t>
  </si>
  <si>
    <t>HWP (Gm3)</t>
  </si>
  <si>
    <t>CCME (tCO2/m3 of wood used)</t>
  </si>
  <si>
    <t>Harvested amounts</t>
  </si>
  <si>
    <t>Carbon storage (MtC)</t>
  </si>
  <si>
    <t>2011 - Elgie</t>
  </si>
  <si>
    <t>$/tC temporary credit</t>
  </si>
  <si>
    <t>2010 - Eshun</t>
  </si>
  <si>
    <t>Air-dried_lumber</t>
  </si>
  <si>
    <t>Kiln-dried_lumber</t>
  </si>
  <si>
    <t>Veneer</t>
  </si>
  <si>
    <t>Furniture_parts</t>
  </si>
  <si>
    <t>Logs (Mm3/yr)</t>
  </si>
  <si>
    <t>CO2 (kt/yr)</t>
  </si>
  <si>
    <t>CH4 (t/yr)</t>
  </si>
  <si>
    <t>N2O (t/yr)</t>
  </si>
  <si>
    <t>CO2e (kt/yr)</t>
  </si>
  <si>
    <t>C footprint (tCO2/m3)</t>
  </si>
  <si>
    <t>Repo_2012</t>
  </si>
  <si>
    <t>Fig. 2</t>
  </si>
  <si>
    <t>biomass type</t>
  </si>
  <si>
    <t>total emissions gCO2eq/MJ</t>
  </si>
  <si>
    <t>effect of wood type</t>
  </si>
  <si>
    <t>effect of location</t>
  </si>
  <si>
    <t>effect of technology</t>
  </si>
  <si>
    <t>Northern Finland</t>
  </si>
  <si>
    <t>stumps</t>
  </si>
  <si>
    <t>Southern Finland</t>
  </si>
  <si>
    <t>thinning wood</t>
  </si>
  <si>
    <t>branches</t>
  </si>
  <si>
    <t>Heavy fuel oil</t>
  </si>
  <si>
    <t>natural gas</t>
  </si>
  <si>
    <t>Smyth 2020 Fig8</t>
  </si>
  <si>
    <t>Base</t>
  </si>
  <si>
    <t>Restricted harvest</t>
  </si>
  <si>
    <t>Harvest less</t>
  </si>
  <si>
    <t>Higher recovery</t>
  </si>
  <si>
    <t>4.2Mm3/year (p6/22)</t>
  </si>
  <si>
    <t>Bioenergy from residues</t>
  </si>
  <si>
    <t>Higher recovery+Bioenergy</t>
  </si>
  <si>
    <t>Future timber supply cumulated MtC</t>
  </si>
  <si>
    <t>Smyth 2020. Fig S87 Total harvest</t>
  </si>
  <si>
    <t>X</t>
  </si>
  <si>
    <t>restricted harvest</t>
  </si>
  <si>
    <t>higher recovery</t>
  </si>
  <si>
    <t>Maikipaa_2015</t>
  </si>
  <si>
    <t>year</t>
  </si>
  <si>
    <t>Cstock of trees</t>
  </si>
  <si>
    <t>Compensated fossil emissions (tC)</t>
  </si>
  <si>
    <t>harvested stem</t>
  </si>
  <si>
    <t>harvested energy wood</t>
  </si>
  <si>
    <t>total harvested biomass (stem+energy)</t>
  </si>
  <si>
    <t>ChC-SOH</t>
  </si>
  <si>
    <t>ChC-WTH</t>
  </si>
  <si>
    <t>CC-SOH</t>
  </si>
  <si>
    <t>CC-WTH</t>
  </si>
  <si>
    <t>Shoyama_2014</t>
  </si>
  <si>
    <t>Carbon sequestered (MgC)</t>
  </si>
  <si>
    <t>Biodiversity</t>
  </si>
  <si>
    <t>Trend</t>
  </si>
  <si>
    <t>SUM (2020:2060)</t>
  </si>
  <si>
    <t>Timber production (m3)</t>
  </si>
  <si>
    <t>Gustavsson_2005</t>
  </si>
  <si>
    <t>Sum excluding each line respectively</t>
  </si>
  <si>
    <t>Fig.3</t>
  </si>
  <si>
    <t>material production fossil fuel end-use</t>
  </si>
  <si>
    <t>material production eectric end-use</t>
  </si>
  <si>
    <t>cement reactions</t>
  </si>
  <si>
    <t>fossil fuel for biomass recovery</t>
  </si>
  <si>
    <t>replacement of fossil fuel by biofuel</t>
  </si>
  <si>
    <t>forest stock change</t>
  </si>
  <si>
    <t>balance</t>
  </si>
  <si>
    <t>Gustavsson_2006</t>
  </si>
  <si>
    <t>table I</t>
  </si>
  <si>
    <t>tableIV</t>
  </si>
  <si>
    <t>Wälluden</t>
  </si>
  <si>
    <t>Vikkii</t>
  </si>
  <si>
    <t>Wood product production</t>
  </si>
  <si>
    <t>recovery (%)</t>
  </si>
  <si>
    <t>moisture content (%)</t>
  </si>
  <si>
    <t>heat value (MJ/kg dry biomass)</t>
  </si>
  <si>
    <t>recovery/transport energy (% of heat value)</t>
  </si>
  <si>
    <t>wooden-frame</t>
  </si>
  <si>
    <t>concrete frame (SF-untouched)</t>
  </si>
  <si>
    <t>concrete-frame (SF-bioenergy)</t>
  </si>
  <si>
    <t>roots and stumps</t>
  </si>
  <si>
    <t>forest residues</t>
  </si>
  <si>
    <t>branches, foliage, tops</t>
  </si>
  <si>
    <t>prcessing residues</t>
  </si>
  <si>
    <t>bark</t>
  </si>
  <si>
    <t>construction waste</t>
  </si>
  <si>
    <t>processing residues</t>
  </si>
  <si>
    <t>demolition waste</t>
  </si>
  <si>
    <t>total biofuels</t>
  </si>
  <si>
    <t>demolition wood</t>
  </si>
  <si>
    <t>particleboard</t>
  </si>
  <si>
    <t>surplus forest for. Bioenergy</t>
  </si>
  <si>
    <t>calcul kg recovered</t>
  </si>
  <si>
    <t>t dry biomass</t>
  </si>
  <si>
    <t>stemwood</t>
  </si>
  <si>
    <t>amount of wood materials (tons air-dry materials)</t>
  </si>
  <si>
    <t>total wood used materials+residues</t>
  </si>
  <si>
    <t>concrete frame</t>
  </si>
  <si>
    <t>plywood</t>
  </si>
  <si>
    <t>total</t>
  </si>
  <si>
    <t>Bosch_2019</t>
  </si>
  <si>
    <t>Webplotdigitizer</t>
  </si>
  <si>
    <t>Mm3under bark per year</t>
  </si>
  <si>
    <t>Label</t>
  </si>
  <si>
    <t>scenario 0</t>
  </si>
  <si>
    <t>scenario 3</t>
  </si>
  <si>
    <t>scenario 4</t>
  </si>
  <si>
    <t>2014-2018</t>
  </si>
  <si>
    <t>2019-2023</t>
  </si>
  <si>
    <t>2024-2028</t>
  </si>
  <si>
    <t>2029-2033</t>
  </si>
  <si>
    <t>2034-2038</t>
  </si>
  <si>
    <t>2039-2043</t>
  </si>
  <si>
    <t>2044-2048</t>
  </si>
  <si>
    <t>sum of 5-year periods</t>
  </si>
  <si>
    <t xml:space="preserve">Scenario I </t>
  </si>
  <si>
    <r>
      <t>Relative emissions  (in million tons CO</t>
    </r>
    <r>
      <rPr>
        <sz val="7"/>
        <color theme="1"/>
        <rFont val="AdvOTc20ddc96"/>
      </rPr>
      <t xml:space="preserve">2 </t>
    </r>
    <r>
      <rPr>
        <sz val="10"/>
        <color theme="1"/>
        <rFont val="AdvOTc20ddc96"/>
      </rPr>
      <t xml:space="preserve">per year; negative values indicate removals from the atmosphere). </t>
    </r>
  </si>
  <si>
    <t>forest</t>
  </si>
  <si>
    <t>hwp</t>
  </si>
  <si>
    <t>net emissions</t>
  </si>
  <si>
    <t>net , no substitution</t>
  </si>
  <si>
    <t>scenario II</t>
  </si>
  <si>
    <t xml:space="preserve">Relative emissions  (in million tons CO2 per year; negative values indicate removals from the atmosphere). </t>
  </si>
  <si>
    <t>forest II</t>
  </si>
  <si>
    <t>hwp II</t>
  </si>
  <si>
    <t>substitution II</t>
  </si>
  <si>
    <t>scenario III</t>
  </si>
  <si>
    <t>forest III</t>
  </si>
  <si>
    <t>hwp III</t>
  </si>
  <si>
    <t>substitution III</t>
  </si>
  <si>
    <t>scenario IV</t>
  </si>
  <si>
    <t>forest IV</t>
  </si>
  <si>
    <t>hwp  IV</t>
  </si>
  <si>
    <t>substitution  IV</t>
  </si>
  <si>
    <t>Jones_2019</t>
  </si>
  <si>
    <t>SSP5-All</t>
  </si>
  <si>
    <t>SSP5-Dev</t>
  </si>
  <si>
    <t>from EC's extraction sheet</t>
  </si>
  <si>
    <t>CONVERSION EN m3 et SOMME POUR PULP AND SAW</t>
  </si>
  <si>
    <t>Cumulative harvest (assuming annual values are displayed)</t>
  </si>
  <si>
    <t>Bosch 2019</t>
  </si>
  <si>
    <t>correction from v5_SL_update</t>
  </si>
  <si>
    <t>cumulated over period</t>
  </si>
  <si>
    <t>cumulated over periods</t>
  </si>
  <si>
    <t>ERREUR DE CAPTURE</t>
  </si>
  <si>
    <t>Forest+HWP</t>
  </si>
  <si>
    <t>Jayalath_2020</t>
  </si>
  <si>
    <t>14 apartments of 53.6m2</t>
  </si>
  <si>
    <t>two mid-to-high rise eight-floors with area 156m2</t>
  </si>
  <si>
    <t>eol emissions and benefits</t>
  </si>
  <si>
    <t>Melbourne</t>
  </si>
  <si>
    <t>operation</t>
  </si>
  <si>
    <t>eol_fossil</t>
  </si>
  <si>
    <t>demolition</t>
  </si>
  <si>
    <t>products stage raw materials</t>
  </si>
  <si>
    <t>transportation to landfill</t>
  </si>
  <si>
    <t>construction stage transport</t>
  </si>
  <si>
    <t>recycling of steel</t>
  </si>
  <si>
    <t>construction stage installation</t>
  </si>
  <si>
    <t>CLT incinerated (energy recovered)</t>
  </si>
  <si>
    <t>per m2</t>
  </si>
  <si>
    <t>end of life</t>
  </si>
  <si>
    <t>quantity CLT</t>
  </si>
  <si>
    <t>quantity RC</t>
  </si>
  <si>
    <t>mistake in the paper???</t>
  </si>
  <si>
    <t>Wood quantities</t>
  </si>
  <si>
    <t>Material</t>
  </si>
  <si>
    <t>Unit</t>
  </si>
  <si>
    <t>EE(MJ/unit)</t>
  </si>
  <si>
    <t>EGHG (kgCO2/unit)</t>
  </si>
  <si>
    <t>cost ($/unit)</t>
  </si>
  <si>
    <t>Mortar</t>
  </si>
  <si>
    <t>Gypsum</t>
  </si>
  <si>
    <t>-</t>
  </si>
  <si>
    <t>Masonry</t>
  </si>
  <si>
    <t>Rockwool</t>
  </si>
  <si>
    <t>Particle</t>
  </si>
  <si>
    <t>m</t>
  </si>
  <si>
    <t>fibre cement sheet</t>
  </si>
  <si>
    <t>Total Wood</t>
  </si>
  <si>
    <t>DF</t>
  </si>
  <si>
    <t>Average</t>
  </si>
  <si>
    <t>Standard deviation</t>
  </si>
  <si>
    <t>number of stddev to define outliers</t>
  </si>
  <si>
    <t>QC To do</t>
  </si>
  <si>
    <t>ref need correct</t>
  </si>
  <si>
    <t>Olguin_2018, maybe a problem of unit conversion</t>
  </si>
  <si>
    <t>Complete missing Qwood_stageInput</t>
  </si>
  <si>
    <t>Alam_2012</t>
  </si>
  <si>
    <t>Fig 8 - Fig 9</t>
  </si>
  <si>
    <t>refOK</t>
  </si>
  <si>
    <t>loc</t>
  </si>
  <si>
    <t>71-100</t>
  </si>
  <si>
    <t>fig8 (P&amp;C)</t>
  </si>
  <si>
    <t>Balanced</t>
  </si>
  <si>
    <t>Multifunction</t>
  </si>
  <si>
    <t>Set-Aside</t>
  </si>
  <si>
    <t>Fig. 3</t>
  </si>
  <si>
    <t>Fig 8</t>
  </si>
  <si>
    <t>Checked</t>
  </si>
  <si>
    <t>MSY (maximum sustainable yield)</t>
  </si>
  <si>
    <t>POL (policy)</t>
  </si>
  <si>
    <t>Harvest effect of varied carbon price for SEQUESTERED carbon (from zero to 1200 SEK per tonne C)</t>
  </si>
  <si>
    <t>change driver to cutting intensity because primary effect of the C price is to decreases thinning ; no DF in this record</t>
  </si>
  <si>
    <t>Virgin wood Scenario 1</t>
  </si>
  <si>
    <t>100 % recycled wood Scenario 3</t>
  </si>
  <si>
    <t>table5 and text 4.2</t>
  </si>
  <si>
    <t>fix scale and location; off_product_biogenic</t>
  </si>
  <si>
    <t>50 % recycled wood Scenario 2</t>
  </si>
  <si>
    <t>fix driver, whole tree harvest driver is cutting intensity; fix processes, no storage in products</t>
  </si>
  <si>
    <t>biomass production</t>
  </si>
  <si>
    <t>use is not timber, the context is for bioenergy but C calculations are really only upstream</t>
  </si>
  <si>
    <t>Scenario 2 (1%of waste wood can be recovered)</t>
  </si>
  <si>
    <t>text 4.2.2</t>
  </si>
  <si>
    <t>only process recorded is manufacturing</t>
  </si>
  <si>
    <t>scenario 2 (1%of waste wood can be recovered)</t>
  </si>
  <si>
    <t>Scenario 3 (10%of waste wood can be recovered)</t>
  </si>
  <si>
    <t>only process recorded is manufacturing; correct driver name</t>
  </si>
  <si>
    <t>correct driver name</t>
  </si>
  <si>
    <t>NR : non-renewable materials or energy instead of wood</t>
  </si>
  <si>
    <t xml:space="preserve">AppD SM/E </t>
  </si>
  <si>
    <t>fig4 (values in AppF)</t>
  </si>
  <si>
    <t>C : Change machinery to reduce harvest damage</t>
  </si>
  <si>
    <t>Conversion to secondary forest or palm oil plantation</t>
  </si>
  <si>
    <t>block work (S1)</t>
  </si>
  <si>
    <t>Timber &amp; brick (S6)</t>
  </si>
  <si>
    <t>Brick  (S3)</t>
  </si>
  <si>
    <t>Brick &amp; concrete (S2)</t>
  </si>
  <si>
    <t>Precast concrete (S4)</t>
  </si>
  <si>
    <t>Steel frame work (S5)</t>
  </si>
  <si>
    <t>Timber prefabricated (S7)</t>
  </si>
  <si>
    <t>In-situ or precast concrete for1m3 concrete</t>
  </si>
  <si>
    <t>add off_product_biogenic because recycling is including and contributes to the difference between steel and timber formwork; add a line for functional unit of 1m3 concrete</t>
  </si>
  <si>
    <t>In-situ or precast concrete for forwork used for 1m3 concrete</t>
  </si>
  <si>
    <t>Lifespan (Net GWP100)</t>
  </si>
  <si>
    <t>supplementary section E1</t>
  </si>
  <si>
    <t>Lifespan (Net GWP500)</t>
  </si>
  <si>
    <t>Lifespan (reprocessing+ wood combustion)</t>
  </si>
  <si>
    <t>C1 (50 years floor board) (reprocessing + wood combustion)</t>
  </si>
  <si>
    <t>A1 (10 years floor board) (reprocessing + wood combustion)</t>
  </si>
  <si>
    <t>B1 (10 years) (reprocessing + wood combustion)</t>
  </si>
  <si>
    <t>Technical efficiency (reprocessing + wood combustion)</t>
  </si>
  <si>
    <t>Technical efficiency (reprocessing + wood combustion + substitution)</t>
  </si>
  <si>
    <t>Change in wood use (reprocessing + wood combustion)</t>
  </si>
  <si>
    <t>Change in wood use (reprocessing + wood combustion + substitution)</t>
  </si>
  <si>
    <t>Change in wood use (Net with iluc)</t>
  </si>
  <si>
    <t>Change in number of cascades (reprocessing + wood combustion)</t>
  </si>
  <si>
    <t>Change in number of cascades (reprocessing + wood combustion + substitution)</t>
  </si>
  <si>
    <t>Change in number of cascades (Net : reprocessing + wood combustion + substitution + metal recycling + landfilling)</t>
  </si>
  <si>
    <t>Change in number of cascades  (reprocessing + wood combustion + substitution)</t>
  </si>
  <si>
    <t>MJ/kg converted to kWh/kg then kg/kWh</t>
  </si>
  <si>
    <t>functional unit is a kWh</t>
  </si>
  <si>
    <t>added details about the conversion</t>
  </si>
  <si>
    <t>text p36 section 45.</t>
  </si>
  <si>
    <t>remove maintenance_emiss</t>
  </si>
  <si>
    <t>Wood promotion</t>
  </si>
  <si>
    <t>fig S6, S7, S8</t>
  </si>
  <si>
    <t>Fig4&amp;fig5</t>
  </si>
  <si>
    <t>ktC/year</t>
  </si>
  <si>
    <t>driver is supply chain instead of cutting intensity (there is no mention of forest management choices), fix conversion ktC to tCO2, fix stacked barchart extraction</t>
  </si>
  <si>
    <t>million tCO2</t>
  </si>
  <si>
    <t>paper excluded because when the units are corrected the perimeters for transported volume and CO2 emissions do not have the same perimeter</t>
  </si>
  <si>
    <t>ok</t>
  </si>
  <si>
    <t xml:space="preserve">Fixed calculation of Cdelta </t>
  </si>
  <si>
    <t>residues used for wood products instead of energy -&gt; driver is supply chain</t>
  </si>
  <si>
    <t>table12</t>
  </si>
  <si>
    <t>table15</t>
  </si>
  <si>
    <t>take Qwood in m3 instead of kg</t>
  </si>
  <si>
    <t>annual harvest converted to 400yr total harvest</t>
  </si>
  <si>
    <t>text p1721</t>
  </si>
  <si>
    <t>text p1722</t>
  </si>
  <si>
    <t>poor quality, no units, no methodological details</t>
  </si>
  <si>
    <t>no harv_residues</t>
  </si>
  <si>
    <t xml:space="preserve">Pr_C </t>
  </si>
  <si>
    <t>harvested volumes</t>
  </si>
  <si>
    <t>SI 00_Master Tab5</t>
  </si>
  <si>
    <t>Mm3 yearly</t>
  </si>
  <si>
    <t>SI 00_Master Tab6</t>
  </si>
  <si>
    <t>Qwood values for harvested wood extracted from supplementary ; split between two levels of modeling boundaries, one including off_product_biogenic . There is no manufacturing. Fossil emissions are from transport or forestry operations only</t>
  </si>
  <si>
    <t>Pr_U</t>
  </si>
  <si>
    <t>Exp_1</t>
  </si>
  <si>
    <t>Exp_0</t>
  </si>
  <si>
    <t xml:space="preserve">Baseline </t>
  </si>
  <si>
    <t>SI 00_Master Tab2</t>
  </si>
  <si>
    <t>SI 00_Master Tab3</t>
  </si>
  <si>
    <t xml:space="preserve">Ph_U </t>
  </si>
  <si>
    <t>Fig7</t>
  </si>
  <si>
    <t>No Qwood (Qwood must be harvested wood not growth)</t>
  </si>
  <si>
    <t>LUC is exogenous</t>
  </si>
  <si>
    <t>Fig4</t>
  </si>
  <si>
    <t>m3 ob/yr 2014</t>
  </si>
  <si>
    <t>Fig5</t>
  </si>
  <si>
    <t>only one driver</t>
  </si>
  <si>
    <t>Fig9a</t>
  </si>
  <si>
    <t>text SI1</t>
  </si>
  <si>
    <t>m3/yr 2018</t>
  </si>
  <si>
    <t>Table3 and Table1 to convert gwp per kWh into gwp/year</t>
  </si>
  <si>
    <t>C estimates have to be multiplied by total energy consumption to have the regional GWP associated with the Qwood + fix drivers</t>
  </si>
  <si>
    <t xml:space="preserve">M3 (i) low, (state DGO period A, </t>
  </si>
  <si>
    <t xml:space="preserve">M3 (i) low, (state QROO period A, </t>
  </si>
  <si>
    <t xml:space="preserve">M3 (i) medium, (state QROO period A, </t>
  </si>
  <si>
    <t xml:space="preserve">M3 (i) medium(state DGO period A, </t>
  </si>
  <si>
    <t>M3 (ii) low (state DGO period A)</t>
  </si>
  <si>
    <t xml:space="preserve">M3 (ii) low, (state QROO period A, </t>
  </si>
  <si>
    <t>M3 (ii) medium DF, (state DGO, period A (2021-2030)</t>
  </si>
  <si>
    <t xml:space="preserve">M3 (ii) medium, (state QROO period A, </t>
  </si>
  <si>
    <t xml:space="preserve">M4 (ii) medium, (state DGO period A, </t>
  </si>
  <si>
    <t xml:space="preserve">M3 (i) low, (state DGO period B, </t>
  </si>
  <si>
    <t>M3 (i) low, (state QROO period B)</t>
  </si>
  <si>
    <t xml:space="preserve">M3 (i) medium, (state QROO period B, </t>
  </si>
  <si>
    <t xml:space="preserve">M3(i) medium, (state DGO period B, </t>
  </si>
  <si>
    <t xml:space="preserve">M3 (ii) low, (state QROO period B, </t>
  </si>
  <si>
    <t xml:space="preserve">M3 (ii) medium, (state DGO period B, </t>
  </si>
  <si>
    <t xml:space="preserve">M3(ii) low, (state DGO period B) </t>
  </si>
  <si>
    <t>M3 (i) low, (state DGO period C)</t>
  </si>
  <si>
    <t>M3 (i) low, (state QROO period C)</t>
  </si>
  <si>
    <t xml:space="preserve">M3(i) medium, (state DGO period C, </t>
  </si>
  <si>
    <t xml:space="preserve">M3(i) medium(state QROO period C, </t>
  </si>
  <si>
    <t xml:space="preserve">M3 (ii) low, (state DGO period C) </t>
  </si>
  <si>
    <t xml:space="preserve">M3 (ii) low, (state QROO period C, </t>
  </si>
  <si>
    <t xml:space="preserve">M3 (ii) medium, (state DGO period C, </t>
  </si>
  <si>
    <t xml:space="preserve">M3 (ii) medium, (state QROO period C, </t>
  </si>
  <si>
    <t>eol_biogenic is included in basis scenario (option C1 in basis scenario) but eol_fossil is not included</t>
  </si>
  <si>
    <t>"The exception is carpet in wool, because the emissions from manufacturing of this material is more than 30 times the emissions from solid oak"</t>
  </si>
  <si>
    <t>Concrete building w/ wood energy recovery</t>
  </si>
  <si>
    <t>Concrete building with wood recycling</t>
  </si>
  <si>
    <t>no live biomas included (only products_storage_C), eol_biogenic included</t>
  </si>
  <si>
    <t>CLT w/ wood energy recovery</t>
  </si>
  <si>
    <t>CLT  w/ wood recycling</t>
  </si>
  <si>
    <t>Modular w/ wood energy recovery</t>
  </si>
  <si>
    <t>Concrete building w/ wood recycling</t>
  </si>
  <si>
    <t xml:space="preserve">Concrete building </t>
  </si>
  <si>
    <t xml:space="preserve">CLT </t>
  </si>
  <si>
    <t>fix C conversion to CO2, according to protocol biofuel harvesting is the driver supply chain organization. Hight thinning driver is cutting intensity</t>
  </si>
  <si>
    <t>5000yen per ton</t>
  </si>
  <si>
    <t>harvested timber</t>
  </si>
  <si>
    <t>fig4a</t>
  </si>
  <si>
    <t>fig4b</t>
  </si>
  <si>
    <t>10^6 ton</t>
  </si>
  <si>
    <t>fix Qwood for harvestedtimber and add a simcilture driver with nuspecified harvest increase as price increase for carbon decreases harvest without precision on where or how.</t>
  </si>
  <si>
    <t>3000 yen per ton</t>
  </si>
  <si>
    <t>10^6 tonC</t>
  </si>
  <si>
    <t>1500 yen per ton</t>
  </si>
  <si>
    <t>800 yen per ton</t>
  </si>
  <si>
    <t>ton C ha-1</t>
  </si>
  <si>
    <t>paper is excluded, there is no C output only a radiative forcing for which we do not have an easy conversion back to C emissions</t>
  </si>
  <si>
    <t>correct harvest. Reported value is annual. Fixed by multiplying by time length of simulations (80yrs)</t>
  </si>
  <si>
    <t>Concrete (case A)</t>
  </si>
  <si>
    <t>CLT Wood building (case B0)</t>
  </si>
  <si>
    <t>table 7</t>
  </si>
  <si>
    <t>tons CO2e</t>
  </si>
  <si>
    <t>remove products_storage boundary and change driver to change in technology, C values in tons from table 7 instead of per unit area in text.</t>
  </si>
  <si>
    <t>only keep Cdelta since it is traceable, whereas Cref and Calt were not. Remove maintenance and fossil model components that cannot be found in the paper, add lines for C balance components (forest only , forest+HWP, forest + HWP+displacement)</t>
  </si>
  <si>
    <t>text p3521</t>
  </si>
  <si>
    <t>TgCO2e/yr</t>
  </si>
  <si>
    <t>Table1</t>
  </si>
  <si>
    <t>text p824</t>
  </si>
  <si>
    <t>set single driver, cumulate wood amount over time period to match C balance unit, no indication found thatmanufacturing emissions are accounted for</t>
  </si>
  <si>
    <t>text</t>
  </si>
  <si>
    <t>fig. 4</t>
  </si>
  <si>
    <t>off_product_biogenic set to 1 since energy saving is accounted for</t>
  </si>
  <si>
    <t>no DF used in base case but add line accounting for recycling of debris for both locations</t>
  </si>
  <si>
    <t>table 11 in Taverna 2007</t>
  </si>
  <si>
    <t>fig49 in Taverna 2007</t>
  </si>
  <si>
    <t>specify that data are taken from companion report Taverna 2007, clarify use of DF</t>
  </si>
  <si>
    <t>Optimized rotation length and slash recovery</t>
  </si>
  <si>
    <t>fig 3,4,5</t>
  </si>
  <si>
    <t>done</t>
  </si>
  <si>
    <t>change single product to mixed because all chain is concerned</t>
  </si>
  <si>
    <t>add off_product_biogenic, change single product to mixed because all chain is concerned</t>
  </si>
  <si>
    <t>add off_product_biogenic</t>
  </si>
  <si>
    <t>Fig3</t>
  </si>
  <si>
    <t>ok, Qwood in table1; C in Fig. 3</t>
  </si>
  <si>
    <t>All good. See excel.</t>
  </si>
  <si>
    <t>ok, data found in Fig. 7 and 8</t>
  </si>
  <si>
    <t>Gjbiomass/MgC</t>
  </si>
  <si>
    <t>Changed Qwood ref</t>
  </si>
  <si>
    <t>Changed the start year</t>
  </si>
  <si>
    <t>Changed the start year; corrected Qwood to be cumulative until 2040 (instead of 2060) to be consistent with period for C</t>
  </si>
  <si>
    <t xml:space="preserve">In text sect 4.2 </t>
  </si>
  <si>
    <t>Added place in publication</t>
  </si>
  <si>
    <t>Changed Qwood with cumulative harvest according to section 4.2</t>
  </si>
  <si>
    <t>fig3 vs fig4</t>
  </si>
  <si>
    <t>checked</t>
  </si>
  <si>
    <t>table 3 (carbon storage in building)</t>
  </si>
  <si>
    <t>table3 (5a)</t>
  </si>
  <si>
    <t>table3 (6a)</t>
  </si>
  <si>
    <t>Fig. 7 (mean annual flux * years for material and energy)</t>
  </si>
  <si>
    <t>fig8 (Total)</t>
  </si>
  <si>
    <t>m3 utilized wood calculated from CCME to account for both wood products and biomass for energy. VB: ok, but seemingly erroneous extraction from fig 8</t>
  </si>
  <si>
    <t>fig8 (Forest stock)</t>
  </si>
  <si>
    <t>fig8 (forest + HWP)</t>
  </si>
  <si>
    <t>m3 utilized wood calculated from CCME to account for both wood products and biomass for energy.</t>
  </si>
  <si>
    <t xml:space="preserve">m3 utilized wood calculated from CCME to account for both wood products and biomass for energy. </t>
  </si>
  <si>
    <t xml:space="preserve">Fig. 4 (Hanceville, 2 MW) </t>
  </si>
  <si>
    <t>Fig. 6 (Hanceville)</t>
  </si>
  <si>
    <t xml:space="preserve">Fig. 4 (Anahim, 2 MW) </t>
  </si>
  <si>
    <t>Fig. 6 (Anahim)</t>
  </si>
  <si>
    <t>Table 4 (2 vs 1)</t>
  </si>
  <si>
    <t>Table 3 (1 vs 2)</t>
  </si>
  <si>
    <t>Table 4 (5 vs 4)</t>
  </si>
  <si>
    <t>Table 3 (4 vs 5)</t>
  </si>
  <si>
    <t>Table 4 (3 vs 2)</t>
  </si>
  <si>
    <t>Table 4 (3 vs 1))</t>
  </si>
  <si>
    <t>Table 4 (6 vs 5)</t>
  </si>
  <si>
    <t>Table 4 (6 vs 4)</t>
  </si>
  <si>
    <t>Table 3 (3 vs 1)</t>
  </si>
  <si>
    <t>Table 3 (3 vs 2)</t>
  </si>
  <si>
    <t>Table 3 (6 vs 4)</t>
  </si>
  <si>
    <t>Table 3 (6 vs 5)</t>
  </si>
  <si>
    <t>table5 (total)</t>
  </si>
  <si>
    <t>table5 (maintenance and use)</t>
  </si>
  <si>
    <t>table5 (production + construction)</t>
  </si>
  <si>
    <t>table5 (end of life)</t>
  </si>
  <si>
    <t>table5 (reuse, recovery, recycling)</t>
  </si>
  <si>
    <t>supplementary data p4 (option a vs e)</t>
  </si>
  <si>
    <t>supplementary excel table composed based on SM p5</t>
  </si>
  <si>
    <t>supplementary data p4 (option e vs c)</t>
  </si>
  <si>
    <t>Table 4 (sum of different rows - see extraction file)</t>
  </si>
  <si>
    <t>Table 8 (Total CO2 emission)</t>
  </si>
  <si>
    <t>Table 8 (material production+ building construction - C in wood)</t>
  </si>
  <si>
    <t>Table 8 (Overall balance)</t>
  </si>
  <si>
    <t xml:space="preserve">Fig 2 </t>
  </si>
  <si>
    <t>Fig 4 (B4+B6+C)</t>
  </si>
  <si>
    <t>kgCO2eq/m2 * surface area of the building</t>
  </si>
  <si>
    <t>Fig 2</t>
  </si>
  <si>
    <t>Fig 4 (sum of all)</t>
  </si>
  <si>
    <t>Fig 3 (sum of all bars)</t>
  </si>
  <si>
    <t>Fig 3 (harvest) + Table 1 (change in harvest)</t>
  </si>
  <si>
    <t>Extraction table (change in forest and HWP excludes substitution)</t>
  </si>
  <si>
    <t>Extraction table (change in total net emission)</t>
  </si>
  <si>
    <t>Extraction table (change in forest)</t>
  </si>
  <si>
    <t>Fig. 5 (A) cummulated over 100 years</t>
  </si>
  <si>
    <t>Fig.5 (D)</t>
  </si>
  <si>
    <t xml:space="preserve">OB Landfilling </t>
  </si>
  <si>
    <t>OB Incineration</t>
  </si>
  <si>
    <t>Appendix Table 7</t>
  </si>
  <si>
    <t>Fig 1</t>
  </si>
  <si>
    <t>OB Landfilling</t>
  </si>
  <si>
    <t>(BB) Cast Concrete</t>
  </si>
  <si>
    <t>(OB) timber landfill</t>
  </si>
  <si>
    <t>(DM) Concrete blocks</t>
  </si>
  <si>
    <t>(OB) timber incineration</t>
  </si>
  <si>
    <t>Table 4 (direct from table)</t>
  </si>
  <si>
    <t>table2 (biomass removed from forest - Sawmill residue - sawmill residue available)</t>
  </si>
  <si>
    <t>table2 (biomass removed from forest - recovered construction waste)</t>
  </si>
  <si>
    <t>table2 (column: concrete frame)</t>
  </si>
  <si>
    <t>Fig 3 (cement reactions + fossil fuel for biomass recovery + replacement of fossil + forest stock change)</t>
  </si>
  <si>
    <t>Fig 3 (balance - fossil fuel for biomass recovery)</t>
  </si>
  <si>
    <t>Section 2.3.1</t>
  </si>
  <si>
    <t>Table 2 (seems like columns CLT and RC are swapped in this table because the CLT column has a value of 0 for CLT)</t>
  </si>
  <si>
    <t>Fig. 7</t>
  </si>
  <si>
    <t>t CO2eq/m2 of building</t>
  </si>
  <si>
    <t>Table 9 (RC vs CLT for Melbourne)</t>
  </si>
  <si>
    <t xml:space="preserve">Fig. 7 + Fig. 6 + Fig. 5 (Melbourne) </t>
  </si>
  <si>
    <t>2050: Rotation lenght for ethanol production from wood (2050)</t>
  </si>
  <si>
    <t>Fig. 4 (2050; add residuals)</t>
  </si>
  <si>
    <t>Mt /year</t>
  </si>
  <si>
    <t>Fig. 9 (square vs circle)</t>
  </si>
  <si>
    <t xml:space="preserve">2020: Rotation lenght for ethanol production from wood </t>
  </si>
  <si>
    <t>Fig. 4 (2020; add residuals)</t>
  </si>
  <si>
    <t>2020: Rotation lenght for electricty production from wood</t>
  </si>
  <si>
    <t>Fig. 6 (squares vs circles)</t>
  </si>
  <si>
    <t>Fig. 9 (square vs triangle)</t>
  </si>
  <si>
    <t xml:space="preserve">2050: Rotation lenght for ethanol production from wood </t>
  </si>
  <si>
    <t>Fig. 8 vs 7</t>
  </si>
  <si>
    <t>Fig. 6 (squares vs triangles)</t>
  </si>
  <si>
    <t>2020: ethanol production instead of gasoline</t>
  </si>
  <si>
    <t>Fig. 9 (white square, full line)</t>
  </si>
  <si>
    <t>2020: Type of fuel for electricty production</t>
  </si>
  <si>
    <t>Fig.  8</t>
  </si>
  <si>
    <t>2050: ethanol production instead of gasoline</t>
  </si>
  <si>
    <t>2020: Type of technology replaced for electrity production</t>
  </si>
  <si>
    <t>2050: Type of technology replaced for electrity production</t>
  </si>
  <si>
    <t>electricity from direct burning fast growing Tree RT =10 years; P_gas</t>
  </si>
  <si>
    <t>Table 2 (TP, CU vs BP, CU)</t>
  </si>
  <si>
    <t>Fig.5 column HWP. Confirmed in Section 3.2</t>
  </si>
  <si>
    <t>Fig. 8</t>
  </si>
  <si>
    <t>Fig.5 column HWP</t>
  </si>
  <si>
    <t>Page 49, first column</t>
  </si>
  <si>
    <t>Table 1 Minneapolis)</t>
  </si>
  <si>
    <t>Table 1 (Atlanta)</t>
  </si>
  <si>
    <t>Atlanta house</t>
  </si>
  <si>
    <t>Section 2.1.1. Functional unit</t>
  </si>
  <si>
    <t>Fig 3 (extracted)</t>
  </si>
  <si>
    <t>Fig 4 (extracted)</t>
  </si>
  <si>
    <t>Fig. 3 (extraction file, mean for all steel vs mean glulam landfill)</t>
  </si>
  <si>
    <t>Fig. 4 (extraction file, mean for all steel vs mean glulam landfill)</t>
  </si>
  <si>
    <t>Fig. 3 (extraction file, mean for all steel vs mean glulam recycling)</t>
  </si>
  <si>
    <t>Fig. 4 (extraction file, mean for all steel vs mean glulam incineration)</t>
  </si>
  <si>
    <t>Fig. 3 (extraction file, mean for all steel vs mean glulam incireation)</t>
  </si>
  <si>
    <t>Fig.3 (orange vs grey for 2025)</t>
  </si>
  <si>
    <t>Fig.4 (orange vs grey for 2025)</t>
  </si>
  <si>
    <t>Fig.3 (orange vs grey for 2050)</t>
  </si>
  <si>
    <t>Fig.4 (orange vs grey for 2050)</t>
  </si>
  <si>
    <t>Fig.3 (orange vs blue for 2025)</t>
  </si>
  <si>
    <t>Fig.4 (orange vs blue for 2025)</t>
  </si>
  <si>
    <t>Fig.3 (orange vs blue for 2050)</t>
  </si>
  <si>
    <t>Fig.4 (orange vs blue for 2050)</t>
  </si>
  <si>
    <t>Table 8 (column: total)</t>
  </si>
  <si>
    <t>Fig S8</t>
  </si>
  <si>
    <t>Fig 2 b (low substitution)</t>
  </si>
  <si>
    <t>Fig 2 a (high substitution)</t>
  </si>
  <si>
    <t>Fig S8 vs 388 + calculated 4,2 Mm3 (p6)* number of years * conversion</t>
  </si>
  <si>
    <t>Fig S8 vs baseline + calculated 4,2 Mm3 (p6)* number of years * conversion</t>
  </si>
  <si>
    <t>Value from equation 1 (C forest) with Vhar = 14,44 (Table A1)</t>
  </si>
  <si>
    <t xml:space="preserve">Value from equation 2(C forest + C HWP) with Vhar = 14,44 (Table A1) </t>
  </si>
  <si>
    <t>Value from equation 2(C forest + C HWP) with Vhar = 14,44 (Table A1)</t>
  </si>
  <si>
    <t>Value from equation 3 (C for + HWP + substitution) with Vhar = 14,44 (Table A1)</t>
  </si>
  <si>
    <t>Fig S1</t>
  </si>
  <si>
    <t>Fig 3b</t>
  </si>
  <si>
    <t>Fig 3a</t>
  </si>
  <si>
    <t>Fig 3a-3c</t>
  </si>
  <si>
    <t>Fig.4 (timber)</t>
  </si>
  <si>
    <t>tCO2-eq</t>
  </si>
  <si>
    <t>Fig. 11</t>
  </si>
  <si>
    <t>biomass used</t>
  </si>
  <si>
    <t>ongoing QC</t>
  </si>
  <si>
    <t xml:space="preserve">AV changed driver to "area subject to .." if no harvest involved or "cutting intensity" if doubled harvest involved </t>
  </si>
  <si>
    <t>change unspecified to cutting intensity</t>
  </si>
  <si>
    <t>fix Qwood for harvestedtimber and add a simcilture driver with cutting intensity as price increase for carbon decreases harvest without precision on where or how.</t>
  </si>
  <si>
    <t>no journal ,exclusion</t>
  </si>
  <si>
    <t>Total volume yield</t>
  </si>
  <si>
    <t>table 4</t>
  </si>
  <si>
    <t>changed values to /year for wood and for carbon.</t>
  </si>
  <si>
    <t>table S2</t>
  </si>
  <si>
    <t>wood cumulative material flow (column C insheet Figure 4c</t>
  </si>
  <si>
    <t>table S2 and table 2 for 25% reduction in S1-30m2cap</t>
  </si>
  <si>
    <t>changed driver</t>
  </si>
  <si>
    <t>remove wood value that did not reflect the change in wood consumption, fix carbon unit conversion</t>
  </si>
  <si>
    <t>Fertilisation</t>
  </si>
  <si>
    <t>fig2 (NEE, only uptake in forst growth and decaying soil organic matter)</t>
  </si>
  <si>
    <t>include timber wood, correct Qwood_delta calculation mistake, correct model perimeter as C reported is NEE that only includes live biomass and soil c</t>
  </si>
  <si>
    <t>United Kingdom</t>
  </si>
  <si>
    <t>Life-cycle assessment; Forest products; Roundwood; Wood harvesting; Greenhouse gas emissions; Fossil energy demand; Tennessee</t>
  </si>
  <si>
    <t>ENVIRONMENTAL IMPACTS; SUPPLY CHAIN; PERFORMANCE; EMISSIONS; MICHIGAN; ENERGY</t>
  </si>
  <si>
    <t>Abbas, D; Handler, RM</t>
  </si>
  <si>
    <t>Life-cycle assessment of forest harvesting and transportation operations in Tennessee</t>
  </si>
  <si>
    <t>A life-cycle assessment study of roundwood supply chain activities occurring within the state of Tennessee was performed, in an effort to quantify the environmental impacts associated with wood harvest and transport operations. Statewide data from a survey given to Tennessee forest industry operators was used to construct representative primary life cycle input datasets that are unique to the industry profile within the state. This data was combined with inputs and assumptions from other relevant reports and publications to fully characterize the supply chain. Results of the life cycle assessment study indicated that greenhouse gas emissions and fossil energy demand per green tonne of wood were lower for chainsaw-based harvesting systems compared to feller buncher-based harvesting, because the relatively low harvest productivity of the chainsaw systems was more than made up for by the low inputs of fuels, lubricants, and machinery for this system. Transport of roundwood by truck resulted in transport impacts that were nearly as large as harvesting impacts, assuming a 150-km roundtrip based on Tennessee survey data. Results of this supply chain study can help the state of Tennessee understand the environmental impacts associated with traditional forest products industry operations, and guide development of new bio-based products, where environmental performance will be a key driver of successful development and implementation. (C) 2017 Published by Elsevier Ltd.</t>
  </si>
  <si>
    <t>10.1016/j.jclepro.2017.11.238</t>
  </si>
  <si>
    <t>type of cut</t>
  </si>
  <si>
    <t>selective (30% cut)</t>
  </si>
  <si>
    <t>clearcutting</t>
  </si>
  <si>
    <t>harvested ton of wood</t>
  </si>
  <si>
    <t>dry ton</t>
  </si>
  <si>
    <t>table7</t>
  </si>
  <si>
    <t>kgCO2eq/t</t>
  </si>
  <si>
    <t>shelterwood (70% cutting)</t>
  </si>
  <si>
    <t>equipment configuration</t>
  </si>
  <si>
    <t>feller-buncher</t>
  </si>
  <si>
    <t>chainsaw</t>
  </si>
  <si>
    <t>harvest system</t>
  </si>
  <si>
    <t>selective cut</t>
  </si>
  <si>
    <t>clearcut</t>
  </si>
  <si>
    <t>250km</t>
  </si>
  <si>
    <t>50km</t>
  </si>
  <si>
    <t>APPLIED ENGINEERING IN AGRICULTURE</t>
  </si>
  <si>
    <t>Bioenergy; Biomass densification; Briquette; Forest residues; Life-cycle assessment; Sawdust</t>
  </si>
  <si>
    <t>WOOD-BASED PRODUCTS; ENVIRONMENTAL-IMPACT; INLAND NORTHWEST; BIOMASS; ENERGY; EMISSIONS; PERFORMANCE; PELLETS; TORREFACTION; EXPERIENCES</t>
  </si>
  <si>
    <t>Alanya-Rosenbaum, S; Bergman, RD; Ganguly, I; Pierobon, F</t>
  </si>
  <si>
    <t>A COMPARATIVE LIFE-CYCLE ASSESSMENT OF BRIQUETTING LOGGING RESIDUES AND LUMBER MANUFACTURING COPRODUCTS IN WESTERN UNITED STATES</t>
  </si>
  <si>
    <t>Timber harvest activities in the western United States have resulted in large volumes of low-to no-value logging (forest) residues. Alternatives to pile-and-burning are needed to best utilize this material and to mitigate the resultant environmental impacts. Briquetting (densifying) forest residues near-woods is one such option and is the focus of this study. This study presents a cradle-to-grave life-cycle assessment (LCA) performed to evaluate the overall environmental impacts associated with briquetting post-harvest forest residues and dry sawmill residues (sawdust) in the Pacific Northwest (PNW) region of the United States. Environmental impacts resulting from the two briquette production systems were compared with firewood and propane production, which are common residential heating sources in rural areas of the PNW, on a per 1 MJ of useful energy for domestic heating. In the briquetted post-harvest forest residue system, the feedstock preparation stage had the largest share in global warming (GW) impact, mainly resulting from the drying process (69.5%), followed by transportation. Valorization of post-harvest forest residues, in combination with a briquetter, to produce a bioenergy carrier was revealed to be advantageous in smog, acidification, and eutrophication impact categories, with considerable environmental benefits from avoided pile-and-burn emissions. With all scenarios investigated, briquette production from post-harvest forest residues with high dryer efficiency showed lowest GW impact compared to briquetting sawmill residues and firewood supply chain. For a scenario analysis, LCA showed that using a diesel generator to support the forest residue briquetter operation resulted in 45% higher GW impact compared to use of a wood-gas-powered generator.</t>
  </si>
  <si>
    <t>Appl. Eng. Agric.</t>
  </si>
  <si>
    <t>10.13031/aea.12378</t>
  </si>
  <si>
    <t>technology used</t>
  </si>
  <si>
    <t>S1a</t>
  </si>
  <si>
    <t>split results by LCA stages possible</t>
  </si>
  <si>
    <t>S1b</t>
  </si>
  <si>
    <t>S1c</t>
  </si>
  <si>
    <t>Bioenergy; Biogenic carbon; Carbon sequestration; Climate change; Dynamic LCA</t>
  </si>
  <si>
    <t>LIFE-CYCLE ASSESSMENT; CLIMATE IMPACT ASSESSMENT; BIO-BASED MATERIALS; BIOGENIC CARBON; LAND-USE; SYSTEM BOUNDARIES; FOREST MANAGEMENT; TEMPORARY-STORAGE; CO2 EMISSIONS; LCA</t>
  </si>
  <si>
    <t>Albers, A; Collet, P; Benoist, A; Helias, A</t>
  </si>
  <si>
    <t>Back to the future: dynamic full carbon accounting applied to prospective bioenergy scenarios</t>
  </si>
  <si>
    <t>PurposeOngoing debates focus on the role of forest-sourced bioenergy within climate mitigation efforts, due to the long rotation lengths of forest biomass. Valuing sequestration is debated due to its reversibility; however, dynamic modelling of biogenic carbon (C-bio) flows captures both negative and positive emissions. The objective of this work is to respond to the key issue of timing sequestration associated with two opposed modelling choices (historic vs. future) in the context of dynamic life cycle assessment (LCA).MethodsThe outputs of a partial-equilibrium model are used to inform prospective evaluations of the use of forest wood residues in response to an energy transition policy. Dynamic forest carbon modelling represents the carbon cycle between the atmosphere and technosphere: C-bio fixation and release through combustion and/or decay. Time-dependent characterization is used to assess the time-sensitive climate change effects. The two C-bio sequestration perspectives for bioenergy (forest biomass use) and reference (no use) scenarios are contrasted to assess (i) their temporal profiles, (ii) their climatic consequences concerning C-complete (fossil + biogenic C) vs. C-neutral (fossil C) approaches, and (iii) the implications of comparing the two approaches with dynamic LCA.Results and discussionFull lifetime carbon accounting confirms that C-bio entering the bioenergy system equals the C-bio leaving it in the net balance, but not within annual dynamic balances, which alter the atmospheric greenhouse gas composition. The impacts of the historic approach differed considerably from those of the future. Moreover, the no use scenario yielded higher forcing effects than the bioenergy due to the higher methane proportions. The chicken-egg dilemma arises in attributional LCA: as the forcing depends on the timing of the C-bio sequestration and its allocation to a harvest activity. A decision tree supported by case study applications provides general rules for selecting the adequate time-related modelling approach based the criteria of provision of wood and regrowth from managed and unmanaged forests, determined by the origin of biotic resources and related spheres.ConclusionsExcluding dynamic C-bio introduces under- (future) or over- (historic) estimation of the results, misleading mitigation decisions. Further research is needed to close the gap between forest stand and landscape level, addressing issues beyond the chicken-egg dilemma and developing complete dynamic LCA studies.</t>
  </si>
  <si>
    <t>10.1007/s11367-019-01695-7</t>
  </si>
  <si>
    <t>fate of residues</t>
  </si>
  <si>
    <t>future "no use" C complete</t>
  </si>
  <si>
    <t>future "bioenergy" C complete</t>
  </si>
  <si>
    <t>historic "no use" C complete</t>
  </si>
  <si>
    <t>historic "bioenergy" C complete</t>
  </si>
  <si>
    <t>future "no use" C biogenic</t>
  </si>
  <si>
    <t>future "bioenergy" C biogenic</t>
  </si>
  <si>
    <t>historic "no use" C biogenic</t>
  </si>
  <si>
    <t>historic "bioenergy" C biogenic</t>
  </si>
  <si>
    <t>Buildings; Built environment; Carbon sequestration; Sustainable development goals; System-dynamics modelling; Net-zero emissions; Decarbonisation</t>
  </si>
  <si>
    <t>GREENHOUSE-GAS EMISSIONS; HOUSE SIZE; SENSITIVITY-ANALYSIS; DEEP UNCERTAINTY; BUILDING SECTOR; EMBODIED ENERGY; CONSTRUCTION; STRATEGIES; EFFICIENCY; SCENARIOS</t>
  </si>
  <si>
    <t>Allen, C; Oldfield, P; Teh, SH; Wiedmann, T; Langdon, S; Yu, M; Yang, JJ</t>
  </si>
  <si>
    <t>Modelling ambitious climate mitigation pathways for Australia's built environment</t>
  </si>
  <si>
    <t>Achieving net zero operational and embodied greenhouse gas (GHG) emissions in the built environment is recognised in Australia and globally as a key strategy to address climate change and achieve the United Nations Sustainable Development Goals (SDGs). However, gaps in knowledge remain regarding potential national pathways to achieve this outcome in Australia. This study further extends and applies a national-scale integrated macroeconomic simulation model to explore coherent pathways to net zero emissions in the built environment sector by 2050. The scope of the study includes residential and commercial buildings and both operational and embodied emissions. It applies scenario analysis incorporating different levels of climate ambition, including a shift to renewable energy, electrifying buildings, improving energy efficiency and replacing carbon-intensive materials. We find that a high ambition scenario (Scenario 2) delivers a 94% reduction in GHG emissions by 2050 when compared against business-as-usual, placing a net-zero target within reach. Improvements on Australia's SDGs performance are also attained. Through subsequent pathways analysis we find that achieving net zero or even net negative operational and embodied emissions is feasible with more ambitious action in key areas, including increasing the share of mass-timber buildings and reducing end-of-life losses in sequestered carbon.</t>
  </si>
  <si>
    <t>10.1016/j.scs.2021.103554</t>
  </si>
  <si>
    <t>National policy</t>
  </si>
  <si>
    <t>BAU scenario</t>
  </si>
  <si>
    <t>sustainability transition</t>
  </si>
  <si>
    <t>JOURNAL OF APPLIED ECOLOGY</t>
  </si>
  <si>
    <t>climate change; habitat restoration; mitigation; nature-based solutions; net zero; peatland; saltmarsh; woodland</t>
  </si>
  <si>
    <t>ECOSYSTEM SERVICES; LAND; CARBON</t>
  </si>
  <si>
    <t>Bradfer-Lawrence, T; Finch, T; Bradbury, RB; Buchanan, GM; Midgley, A; Field, RH</t>
  </si>
  <si>
    <t>The potential contribution of terrestrial nature-based solutions to a national 'net zero' climate target</t>
  </si>
  <si>
    <t>Many national governments have incorporated nature-based solutions (NbS) in their plans to reduce net greenhouse gas emissions. However, uncertainties persist regarding both feasibility and consequences of major NbS deployment. Using the United Kingdom as a national-level case study, we examined the potential contribution of three terrestrial NbS: peatland restoration, saltmarsh creation and woodland creation. While there is substantial political and societal interest in these three NbS, they also have strong potential for competition with other land uses, which will be a critical barrier to substantial deployment. We conducted a national mapping exercise to assess the potential area available for woodland creation. We then assessed the combined climate change mitigation potential to 2100 for the three NbS options under a range of ambition levels. In line with the most ambitious targets examined, 2 Mha of land is potentially available for new woodland. However, climate change mitigation benefits of woodland are strongly dependent on management choices. By 2100, scenarios with a greater proportion of broadleaved woodlands outsequester non-native conifer plantations, which are limited by regular timber harvesting. Peatland restoration offers the greatest mitigation per unit area, whilst the contribution from saltmarsh creation is limited by the small areas involved. Overall, the contribution of these NbS to the United Kingdom's net zero emissions target is relatively modest. Even with the most ambitious targets considered here, by 2100, the total cumulative mitigation from the three NbS is equivalent to only 3 years' worth of UK emissions at current levels. Policy implications. Major deployment of nature-based solutions (NbS) is possible in the United Kingdom but reaching 'net zero' primarily requires substantial and sustained reductions in fossil fuel use. However, facilitating these NbS at the national scale could offer many additional benefits for people and biodiversity. This demands that policy-makers commit to a UK-wide strategic approach that prioritises the 'nature' aspect of NbS. In the push to reach 'net zero', climate change mitigation should not be used to justify land management practices that threaten biodiversity ambitions.</t>
  </si>
  <si>
    <t>J. Appl. Ecol.</t>
  </si>
  <si>
    <t>10.1111/1365-2664.14003</t>
  </si>
  <si>
    <t>woodland creation area</t>
  </si>
  <si>
    <t>business as usual</t>
  </si>
  <si>
    <t>balanced net zero pathway</t>
  </si>
  <si>
    <t>UK</t>
  </si>
  <si>
    <t>anomaly QC_AV</t>
  </si>
  <si>
    <t>headwinds</t>
  </si>
  <si>
    <t>widespread engagement</t>
  </si>
  <si>
    <t>main reforestation species</t>
  </si>
  <si>
    <t>tailwinds</t>
  </si>
  <si>
    <t>widespread innovation</t>
  </si>
  <si>
    <t>CHEMICAL ENGINEERING RESEARCH &amp; DESIGN</t>
  </si>
  <si>
    <t>Multi-objective optimization; Life cycle assessment; Economic and environmental optimization; Biorefinery supply chain; Bioenergy and biofuels</t>
  </si>
  <si>
    <t>PYROLYSIS BIO-OIL; BIOMASS FAST PYROLYSIS; MULTIOBJECTIVE OPTIMIZATION; ENERGY-PRODUCTION; POWER PRODUCTION; DESIGN; LOGISTICS; NETWORKS; FOOTPRINTS; CHEMICALS</t>
  </si>
  <si>
    <t>Cambero, C; Sowlati, T; Pavel, M</t>
  </si>
  <si>
    <t>Economic and life cycle environmental optimization of forest-based biorefinery supply chains for bioenergy and biofuel production</t>
  </si>
  <si>
    <t>The increased use of forest and wood residues for the production of bioenergy, biofuels, and other bioproducts is essential to enhance the economic performance of forest products industries and reduce environmental impacts. Bi-objective optimization models have been developed recently to support the optimum design of either bioenergy or biofuels supply chains considering economic as well as environmental impacts. In an integrated bioenergy and biofuels supply chain where biofuel producers are also users of the generated energy, the energy flows among co-located supply chain entities affect the environmental and economic objective functions and consequently the optimal design of the supply chain, therefore, the energy flows have to be considered in the optimization model. This type of bi-objective problem has not been modeled in previous studies. In this paper, a bi-objective biorefinery supply chain optimization model for the production of bioenergy and biofuels using forest and wood residues is developed. The model considers energy flows among co-located technologies and is formulated as a multi-period mixed integer program (MIP) that calculates the net present value (NPV) and the life cycle greenhouse gas (GHG) emission savings associated with the biorefinery supply chain. The applicability of the proposed model is illustrated through a case study in British Columbia, Canada. (C) 2015 The Institution of Chemical Engineers. Published by Elsevier B.V. All rights reserved.</t>
  </si>
  <si>
    <t>Chem. Eng. Res. Des.</t>
  </si>
  <si>
    <t>10.1016/j.cherd.2015.10.040</t>
  </si>
  <si>
    <t>network of energy systems</t>
  </si>
  <si>
    <t>solution A (Maximum NPV)</t>
  </si>
  <si>
    <t>solution B (Compromise)</t>
  </si>
  <si>
    <t>solution C (Max GHG savings)</t>
  </si>
  <si>
    <t>LIFE-CYCLE ASSESSMENT; UNITED-STATES; RESIDENTIAL CONSTRUCTION; BUILDING CONSTRUCTION; CARBON STOCKS; MITIGATION; SUBSTITUTION; IMPACTS; CONCRETE; ALTERNATIVES</t>
  </si>
  <si>
    <t>Chen, JX; Ter-Mikaelian, MT; Yang, HQ; Colombo, SJ</t>
  </si>
  <si>
    <t>Assessing the greenhouse gas effects of harvested wood products manufactured from managed forests in Canada</t>
  </si>
  <si>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</si>
  <si>
    <t>10.1093/forestry/cpx056</t>
  </si>
  <si>
    <t>primary use of harvested wood</t>
  </si>
  <si>
    <t>pulp and paper</t>
  </si>
  <si>
    <t>extra wood harvested over 100 years</t>
  </si>
  <si>
    <t>MtCO2-eq</t>
  </si>
  <si>
    <t>non-structural panel</t>
  </si>
  <si>
    <t>structural panel</t>
  </si>
  <si>
    <t>greenhouse gas mitigation; forest carbon budget modelling; harvested wood products (HWP); life-cycle analysis (LCA); HWP substitution; FORCARB-ON2; HWP-CASE</t>
  </si>
  <si>
    <t>LIFE-CYCLE ASSESSMENT; CARBON STORAGE; FOSSIL-FUEL; IMPACTS; CANADA; SUBSTITUTION</t>
  </si>
  <si>
    <t>Chen, JX; Ter-Mikaelian, MT; Ng, PQ; Colombo, SJ</t>
  </si>
  <si>
    <t>Ontario's managed forests and harvested wood products contribute to greenhouse gas mitigation from 2020 to 2100</t>
  </si>
  <si>
    <t>We used an integrated approach to estimate the greenhouse gas (GHG) mitigation potential of Ontario's forestry sector, defined as the managed forests and the harvested wood products (HWP) originating from these forests. The 44.7 million ha of managed forests in this study included Crown forests designated as 41 forest management units (FMUs) for timber harvesting, productive forests north of the area of undertaking, large parks, and private forest land. Forests and HWP were simulated from approximately 2010 to 2100, with carbon (C) stocks and emissions reported for the period 2020 to 2100. A baseline scenario was defined to represent business as usual forestry operations in Ontario, in which the 41 FMUs and the private forests were harvested at historical (1990-2009) rates, and HWP production and end uses were assumed to follow Ontario's historical values (1991-2010). In the baseline scenario, the forest C stocks were projected to increase from 7229.7 million tonnes (Mt C) in 2020 to 7424 Mt C in 2100. The C stocks of HWP originating from the 41 FMUs and the private forests were estimated to increase from 171.0 Mt C, the initial HWP C stocks in 2020 from previous harvesting, to 334.7 Mt C in 2100, in which the C stocks of HWP in use and in landfills, HWP production emissions, landfill methane emissions from decomposing mill residue and waste HWP discarded, and the reduced emissions from substituting HWP for non-wood materials in construction were all considered. On average, Ontario's forestry sector was estimated to increase C stocks by 44.8 Mt per decade over the 80-year period. Six alternative scenarios were defined based on increased harvesting in the 41 FMUs and varied use of the increased harvested wood in HWP production and differing HWP end uses. Depending on how the increased harvested wood is used, increased forest harvesting (relative to historical rates) may increase or reduce the mitigation potential of Ontario's forestry sector. Based on historical use statistics, the life-cycle analysis HWP C stocks/emissions plus HWP substitution benefits were insufficient to compensate for forest C decreases from increased harvesting. However, if the increased harvested wood was used to produce solid HWP and these products were used in construction, increasing forest harvesting to 95% of the maximum allowable harvest level would require 20.0 years to achieve a positive net mitigation contribution. Factoring out the decrease in forest C due to increased harvesting, this amounts to 187.9 Mt C of additional mitigation contribution by 2100. We conclude that Ontario's forestry sector has the potential to contribute significantly to medium- and long-term GHG mitigation. Our results indicate that harvesting sustainably managed forests to produce solid HWP and using these HWP in long-lived end uses such as construction is a better mitigation option than protecting forest from harvesting.</t>
  </si>
  <si>
    <t>10.5558/tfc2018-040</t>
  </si>
  <si>
    <t>use of harvested wood</t>
  </si>
  <si>
    <t>BAUP (+AH+BAUE)</t>
  </si>
  <si>
    <t>ISP (+AH+BAUE)</t>
  </si>
  <si>
    <t>merchantable wood harvested</t>
  </si>
  <si>
    <t>end use of harvested wood products (type of construction)</t>
  </si>
  <si>
    <t>BAUE (+AH+ISP)</t>
  </si>
  <si>
    <t>ICU (+AH+ISP</t>
  </si>
  <si>
    <t>There is a back-of-the-enveloppe calculation of avoided emissions through substitution by all HWP, but if the implicit reference scenario is then "no HWP at all", then it lacks a quantification on the other compartments such as standing biomass</t>
  </si>
  <si>
    <t xml:space="preserve">Cherubini, F., Guest, G., &amp; Strømman, A. H. </t>
  </si>
  <si>
    <t xml:space="preserve"> Bioenergy from forestry and changes in atmospheric CO2: Reconciling single stand and landscape level approaches</t>
  </si>
  <si>
    <t xml:space="preserve"> Journal of environmental management</t>
  </si>
  <si>
    <t>10.1016/j.jenvman.2013.07.021</t>
  </si>
  <si>
    <t>energy source</t>
  </si>
  <si>
    <t>coal</t>
  </si>
  <si>
    <t>old forest</t>
  </si>
  <si>
    <t>gCO2-eq/MJ</t>
  </si>
  <si>
    <t>type of forest</t>
  </si>
  <si>
    <t>managed forest</t>
  </si>
  <si>
    <t>SUSTAINABLE ENVIRONMENT</t>
  </si>
  <si>
    <t>Land-use land cover change; ecosystem service valuation; deforestation; Gambia; GIS; remote sensing; Carbon storage and sequestration</t>
  </si>
  <si>
    <t>CLIMATE-CHANGE; RANDOM FOREST; EMISSIONS; ECONOMICS; CLASSIFICATION; DYNAMICS; MAP</t>
  </si>
  <si>
    <t>Dampha, NK</t>
  </si>
  <si>
    <t>Change detection (1985-2020): Projections on land-use land cover, carbon storage, sequestration, and valuation in Southwestern Gambia</t>
  </si>
  <si>
    <t>This study assesses land-use/land cover (LULC) change in the southwestern region of The Gambia, using remotely sensed satellite imagery. Using a geographic information system (GIS) software, I conducted a pixel-based supervised LULC classification applying the Random Forest Algorithm. I further used the classified LULC maps as part of the input parameters required to run the Integrated Valuation of Ecosystem Services and Tradeoffs (InVEST) Carbon Storage and Sequestration model. This study attributes the critical drivers of LULC change to deforestation, urbanization, industrial expansion, real estate development, climate change impacts, timber extraction, migration, and population density. Some of the factors are necessary for economic growth but not suitable for sustainable growth or development. The analysis reveals a forest cover loss of 22,408 ha (18% decrease) from 1985 to 2020 in the study area. The deforestation and other LULC changes between 2003 and 2020 have contributed to 21,824 metric tons of carbon emissions. The carbon loss is equivalent to an economic value ranging from US$521,526 to US$6,899,830. The study also presents three LULC projection (2020-2050) scenarios, namely, a business-as-usual (BAU), a new capital city (NCC) development, and a sustainability (SUST) pathway. Consideration of the study recommendations will minimize deforestation, increase carbon sequestration rate, support climate change mitigation, and provide adaptation co-benefits (e.g. urban flood mitigation).</t>
  </si>
  <si>
    <t>Sustain. Environ.</t>
  </si>
  <si>
    <t>10.1080/23311843.2021.1875556</t>
  </si>
  <si>
    <t>land use change trajectory</t>
  </si>
  <si>
    <t>SUST</t>
  </si>
  <si>
    <t>Gambia</t>
  </si>
  <si>
    <t>adds increased harvest area as driver because text says that conservation efforts are reinforced in sust scenario</t>
  </si>
  <si>
    <t>NCC</t>
  </si>
  <si>
    <t>adds increased harvest area as driver because text says that conservation efforts are not maintained in forest remaining forest in ncc</t>
  </si>
  <si>
    <t xml:space="preserve">Dugan, A. J., Birdsey, R., Mascorro, V. S., Magnan, M., Smyth, C. E., Olguin, M., &amp; Kurz, W. A. </t>
  </si>
  <si>
    <t xml:space="preserve"> A systems approach to assess climate change mitigation options in landscapes of the United States forest sector</t>
  </si>
  <si>
    <t xml:space="preserve"> Carbon balance and management</t>
  </si>
  <si>
    <t>10.1186/s13021-018-0100-x</t>
  </si>
  <si>
    <t>fate of harevsted wood</t>
  </si>
  <si>
    <t>extend rotation</t>
  </si>
  <si>
    <t>baseline</t>
  </si>
  <si>
    <t xml:space="preserve">HWP amount </t>
  </si>
  <si>
    <t>Sathre O'Connor 2010</t>
  </si>
  <si>
    <t>Fix sequestration sign ; Fix conversion units; Qwood cannot be taken from the HWP mitigation potential</t>
  </si>
  <si>
    <t>increase collection of harvest residues</t>
  </si>
  <si>
    <t>residues</t>
  </si>
  <si>
    <t>harvested area</t>
  </si>
  <si>
    <t>harvest BioE</t>
  </si>
  <si>
    <t>HWP amount</t>
  </si>
  <si>
    <t>bioenergy</t>
  </si>
  <si>
    <t>Functional units; Ghanaian timber; Inventory analysis; Life cycle inventory (LCI); Tropical wood</t>
  </si>
  <si>
    <t>LIFE-CYCLE INVENTORY; RENEWABLE RESOURCES; WOOD; THINKING; POLICY</t>
  </si>
  <si>
    <t>Eshun, JF; Potting, J; Leemans, R</t>
  </si>
  <si>
    <t>Inventory analysis of the timber industry in Ghana</t>
  </si>
  <si>
    <t>The timber sector, i.e., forestry and timber industry, plays an important role in the socioeconomic development of Ghana through timber products export. Timber production in this sector is associated with increasing environmental burdens in terms of use of materials and energy, production of emissions and waste, and land use changes. The purpose of this study was to compile a comprehensive life cycle inventory (LCI) to identify the most dominant environmental pressures for five major production lines in the timber industry, and to evaluate the influence of the choice of the functional unit on the results (1 m(3), 1 kg, and 1 euro). LCA's of wood typically base their functional unit on volume, but mass or money may be more appropriate for the rather different products considered in this study. The LCI covers five timber production lines, namely, air-dried lumber, kiln-dried lumber, plywood, veneer, and furniture parts. Three functional units were used for this study to identify the most appropriate basis for a fair comparison of the different timber products (functional units were 1 m(3), 1 kg and 1 euro). Questionnaires were administered to thirty selected companies in Ghana. These companies provided data about their material uses, energy requirements, and waste production for their operations from 2000 to 2007. The collected data were first converted into total annual average values, and next extrapolated to reflect the national average data for all 104 active companies. Finally, these data were expressed per functional unit for each of the five product lines on the basis of their production outputs (in volume, mass or money according to functional unit applied). Forest land used changes data was taken from the Ghana Timber Industry Development Division. Emissions for the several activities were taken from literature. Land use change for timber production in Ghana between the estimated periods turned out to be 34.0 x 10(3) ha per year, which will lead to complete deforestation in the year 2023 if continued. The total energy consumed by the timber sector per year was estimated at 1.9 x 10(9) MJ per year. The results showed that CO2 emissions by the timber sector activities per year accounted for 745k tons per year and dominate overall greenhouse gases emissions in the timber sector (changes in carbons storage related to land use changes not included). Wood waste by the timber sector accounted for 0.8 million m(3) per year. The enormous wastage of wood contributes enormously to the rapid depletion of the country's timber resources. The choice of the functional unit influences inventory results. The money-based functional unit, which also seems more appropriate for the different products considered, favors the value-added. Value-added products with strict sustainable forest management policy hold a promising future in terms of sustainability for the timber industry in Ghana. This study has yielded good quality primary data unique for LCA research in Africa. This will enhance LCA approaches in Ghana, and allows here identification of the main environmental pressures and their dominantly contributing processes in the timber sector. Land use changes due to forestry form a critical issue and require urgent attention. The chosen functional units' plays a crucial role in the environmental comparison of production line in the timber sector in Ghana. A comprehensive and transparent inventory for the timber industry provides the industry with an overview of areas in which material and thus economic savings can be made for the good of both environment and the industry finances. Good data keeping in the Ghanaian timber industry will help to build the required research capacity to develop local familiarity and competence in LCA techniques and applying these techniques will help to further certify tropical timber international markets.</t>
  </si>
  <si>
    <t>10.1007/s11367-010-0207-0</t>
  </si>
  <si>
    <t>Change in wood use</t>
  </si>
  <si>
    <t>Air-dried lumber</t>
  </si>
  <si>
    <t>Furniture parts</t>
  </si>
  <si>
    <t>Amount of wood entering the processing chain</t>
  </si>
  <si>
    <t>tCO2/m3</t>
  </si>
  <si>
    <t>Ghana</t>
  </si>
  <si>
    <t>Huge C ratios, but the perimeter (processing emissions) is limited to a small part of the C budget</t>
  </si>
  <si>
    <t>Kiln-dried lumber</t>
  </si>
  <si>
    <t>bio-ethanol; bio-fuel; biomass; cellulose bio-ethanol; enzymatic hydrolysis; ethanol; LCA; life cycle analysis; life cycle assessment; life cycle engineering</t>
  </si>
  <si>
    <t>Fu, GZ; Chan, AW; Minns, DE</t>
  </si>
  <si>
    <t>Life cycle assessment of bio-ethanol derived from cellulose</t>
  </si>
  <si>
    <t>Objective, Scope, Background. A comprehensive Life Cycle Assessment was conducted on bio-ethanol produced using a new process that converts cellulosic biomass by enzymatic hydrolysis. Options for sourcing the feedstock either from agricultural and wood waste, or, if the demand for bio-ethanol is sufficient, from cultivation are examined. The main focus of the analysis was to determine its potential for reducing greenhouse gas emissions in a 10% blend of this bio-ethanol with gasoline (E10) as a transportation fuel. Methods. SimaPro 4.0 was used as the analysis tool, which allowed a range of other environmental impacts also to be examined to assess the overall relative performance to gasoline alone. All impacts were assigned to the fuel because of uncertainties in markets for the by-products. This LCA therefore represents a worst case scenario. Results, Conclusion. It is shown that E10 gives an improved environmental performance in some impact categories, including greenhouse gas emissions, but has inferior performances in others. Whether the potential benefits of the bio-ethanol blend to reduce greenhouse gas emissions will be realized is shown to be particularly sensitive to the source of energy used to produce the process steam required to break down the cellulose to produce sugars and to distil the final product. One key area where improvements in environmental performance might be derived is in enzyme production. Recommendations and Outlook. The LCA profile helps to highlight those areas where positive and negative environmental impacts can be expected. Technological innovation can be directed accordingly to preserve the benefits while minimizing the negative impacts as development progresses to commercial scales.</t>
  </si>
  <si>
    <t>10.1007/BF02978458</t>
  </si>
  <si>
    <t>Feedstock (process energy source: fossil electric grid; table 1)</t>
  </si>
  <si>
    <t>cultivated</t>
  </si>
  <si>
    <t>Wate biomass</t>
  </si>
  <si>
    <t>g CO2 eq / km</t>
  </si>
  <si>
    <t>Emissions from E10 (bioethanol based fuel) per km driven</t>
  </si>
  <si>
    <t>Feedstock (process energy source: waste biomass; table 1)</t>
  </si>
  <si>
    <t>Proces energy source (feedstock: waste biomass; table 1)</t>
  </si>
  <si>
    <t>Fossil electric grid</t>
  </si>
  <si>
    <t>Fix sequestration sign; fix driver it is a tchnology shift</t>
  </si>
  <si>
    <t>Proces energy source (feedstock: cultivated; table 1)</t>
  </si>
  <si>
    <t>Renewable portfolio standard; Biomass; FASOMGHG; SRTS; Forest carbon</t>
  </si>
  <si>
    <t>FOREST BIOMASS; MARKETS; CARBON; TIMBER; WOOD; ELECTRICITY; PRODUCTS; DEMAND; ENERGY; SECTOR</t>
  </si>
  <si>
    <t>Galik, CS; Abt, RC; Latta, G; Vegh, T</t>
  </si>
  <si>
    <t>The environmental and economic effects of regional bioenergy policy in the southeastern US</t>
  </si>
  <si>
    <t>The unique generation, landownership, and resource attributes of the southeastern United States make the region an important test bed for implementation of novel renewable energy policy interventions. This study evaluates the environmental and economic implications of one such intervention, a hypothetical region-wide renewable portfolio standard (RPS) with biomass carve-outs. It utilizes the Forest and Agriculture Sector Optimization Model with Greenhouse Gases (FASOMGHG) to assess the multi-sector and interregional allocation of forest harvest activity, and then uses the Sub-Regional Timber Supply (SRTS) model to assess intraregional variation in forest composition and greenhouse gas (GHG) mitigation potential. The analysis finds that existing resource conditions influence the regional distribution of land use and harvest changes, resulting in a spatially and temporally diverse forest carbon response. Net forest carbon in the Southeast is greater in the RPS Scenario than in the No RPS Scenario in all but the final years of the model run. Accounting for displaced fossil emissions yields net GHG reductions in all time periods. Both research methodology and findings are also applicable to a broader suite of domestic and international policies, including European Union renewable energy initiatives and GHG mitigation under Section 111 of the U.S. Clean Air Act. (C) 2015 Elsevier Ltd. All rights reserved.</t>
  </si>
  <si>
    <t>10.1016/j.enpol.2015.05.018</t>
  </si>
  <si>
    <t>Bioenergy target RPS Replaces Coal</t>
  </si>
  <si>
    <t>Wood Bioenergy</t>
  </si>
  <si>
    <t>MgCO2eq</t>
  </si>
  <si>
    <t>Bioenergy target RPS Replaces Natural Gas</t>
  </si>
  <si>
    <t>Natural Gas</t>
  </si>
  <si>
    <t>CLEAN TECHNOLOGIES AND ENVIRONMENTAL POLICY</t>
  </si>
  <si>
    <t>Techno-ecological synergy; Biosolids management; Carbon sequestration ecosystem service; Multiobjective optimization</t>
  </si>
  <si>
    <t>SEWAGE-SLUDGE TREATMENT; WASTE HANDLING SYSTEMS; LIFE-CYCLE ASSESSMENT; MULTIOBJECTIVE OPTIMIZATION; INDUSTRIAL NETWORKS; RESOURCE-MANAGEMENT; SIMULATION-MODEL; LAND APPLICATION; SUSTAINABILITY; SCENARIOS</t>
  </si>
  <si>
    <t>Gopalakrishnan, V; Grubb, GF; Bakshi, BR</t>
  </si>
  <si>
    <t>Biosolids management with net-zero CO2 emissions: a techno-ecological synergy design</t>
  </si>
  <si>
    <t>Management of biosolids from industrial and municipal wastewater facilities presents multifaceted issues ranging from greenhouse gas emissions, high odor and high treatment costs. Until now, most studies that have focused on identifying the best treatment pathway are based on optimization of technological alternatives and life cycle analysis studies. Such studies aim toward sustainability but ignore the capacity of local ecological systems to provide ecosystem services, thus leading to design solutions that may be sub-optimal due to shifting of impacts outside the boundary, resulting in degradation. This work uses a techno-ecological synergy design methodology to identify optimal strategies for biosolids treatment and disposal, by balancing the supply and demand for carbon sequestration ecosystem service. Both the technological systems that create the ecosystem service demand and ecological systems that supply those services are included within one design framework. Technological alternatives for biosolids management in Central Ohio considered in this work are land filling, land application, incineration and composting. Approaches for supplying the carbon sequestration capacity include forestation, extension of timber cycles and geological sequestration. An additional case where biomass utilization from extension of timber cycle to produce renewable energy is also explored. Results from this study demonstrate that including carbon sequestration ecosystem service explicitly in the design problem leads to solutions where the ecosystem service demand and supply can be balanced, while also being cost-effective. Thus by including ecological systems in the design boundary, the optimal solution space expands to reveal novel solutions that cannot be found by the conventional techno-centric approach.</t>
  </si>
  <si>
    <t>Clean Technol. Environ. Policy</t>
  </si>
  <si>
    <t>10.1007/s10098-017-1398-x</t>
  </si>
  <si>
    <t>BAU_Biosolids Incinerated; small proportion to landfill</t>
  </si>
  <si>
    <t>HalfLandfillHalfCompost_minimizeCost</t>
  </si>
  <si>
    <t>MgC_per_year</t>
  </si>
  <si>
    <t>HalfLandfillhalfCompost_minimizeCO2emissions</t>
  </si>
  <si>
    <t>WithForestandGeoSequestrationAdded_minimizeCost</t>
  </si>
  <si>
    <t>WithForestandGeoSequestrationAdded_minimizeEmissions</t>
  </si>
  <si>
    <t>WithForestGeoFert_carboncredits_minimizeCost</t>
  </si>
  <si>
    <t>WithForestGeoFert_carboncredits_minimizeEmissions</t>
  </si>
  <si>
    <t>WithForestGeoFert_carboncredits_optimizeMinEmissionsMinCost</t>
  </si>
  <si>
    <t>PLOS ONE</t>
  </si>
  <si>
    <t>OLD-GROWTH FORESTS; CARBON SEQUESTRATION; ECOSYSTEM SERVICES; COVER CROPS; CROPPING SYSTEMS; NITROUS-OXIDE; MANAGEMENT; RESTORATION; MITIGATION; WILDFIRE</t>
  </si>
  <si>
    <t>Graves, RA; Haugo, RD; Holz, A; Nielsen-Pincus, M; Jones, A; Kellogg, B; Macdonald, C; Popper, K; Schindel, M</t>
  </si>
  <si>
    <t>Potential greenhouse gas reductions from Natural Climate Solutions in Oregon, USA</t>
  </si>
  <si>
    <t>Increasing concentrations of greenhouse gases (GHGs) are causing global climate change and decreasing the stability of the climate system. Long-term solutions to climate change will require reduction in GHG emissions as well as the removal of large quantities of GHGs from the atmosphere. Natural climate solutions (NCS), i.e., changes in land management, ecosystem restoration, and avoided conversion of habitats, have substantial potential to meet global and national greenhouse gas (GHG) reduction targets and contribute to the global drawdown of GHGs. However, the relative role of NCS to contribute to GHG reduction at subnational scales is not well known. We examined the potential for 12 NCS activities on natural and working lands in Oregon, USA to reduce GHG emissions in the context of the state's climate mitigation goals. We evaluated three alternative scenarios wherein NCS implementation increased across the applicable private or public land base, depending on the activity, and estimated the annual GHG reduction in carbon dioxide equivalents (CO(2)e) attributable to NCS from 2020 to 2050. We found that NCS within Oregon could contribute annual GHG emission reductions of 2.7 to 8.3 MMT CO(2)e by 2035 and 2.9 to 9.8 MMT CO(2)e by 2050. Changes in forest-based activities including deferred timber harvest, riparian reforestation, and replanting after wildfires contributed most to potential GHG reductions (76 to 94% of the overall annual reductions), followed by changes to agricultural management through no-till, cover crops, and nitrogen management (3 to 15% of overall annual reductions). GHG reduction benefits are relatively high per unit area for avoided conversion of forests (125-400 MT CO(2)e ha(-1)). However, the existing land use policy in Oregon limits the current geographic extent of active conversion of natural lands and thus, avoided conversions results in modest overall potential GHG reduction benefits (i.e., less than 5% of the overall annual reductions). Tidal wetland restoration, which has high per unit area carbon sequestration benefits (8.8 MT CO(2)e ha(-1) yr(-1)), also has limited possible geographic extent resulting in low potential (&lt; 1%) of state-level GHG reduction contributions. However, co-benefits such as improved habitat and water quality delivered by restoration NCS pathways are substantial. Ultimately, reducing GHG emissions and increasing carbon sequestration to combat climate change will require actions across multiple sectors. We demonstrate that the adoption of alternative land management practices on working lands and avoided conversion and restoration of native habitats can achieve meaningful state-level GHG reductions.</t>
  </si>
  <si>
    <t>PLoS One</t>
  </si>
  <si>
    <t>10.1371/journal.pone.0230424</t>
  </si>
  <si>
    <t>NCS solution : forest avoided conversion</t>
  </si>
  <si>
    <t>avoided forest conversion</t>
  </si>
  <si>
    <t>baseline forest conversion</t>
  </si>
  <si>
    <t>table S3</t>
  </si>
  <si>
    <t>million metric tons CO2-eq (MMTCO2)</t>
  </si>
  <si>
    <t>NCS solution : post-wildfire replanting</t>
  </si>
  <si>
    <t>post-wildfire reforestation</t>
  </si>
  <si>
    <t>baseline post-wildfire reforestation</t>
  </si>
  <si>
    <t>NCS solution : deferred harvest</t>
  </si>
  <si>
    <t>deferred harvest (ambitious)</t>
  </si>
  <si>
    <t>baseline harvest</t>
  </si>
  <si>
    <t>deferred harvest (moderate)</t>
  </si>
  <si>
    <t>BIOTECHNOLOGY FOR BIOFUELS</t>
  </si>
  <si>
    <t>2G biofuel; Perenial bioenergy crop; Poplar; Bioethanol; Supply chain; Life cycle assessment; Carbon and nitrogen cycling; Biogeochemistry model; DNDC</t>
  </si>
  <si>
    <t>NITROUS-OXIDE EMISSIONS; GREENHOUSE-GAS EMISSIONS; LIFE-CYCLE ASSESSMENT; DNDC MODEL; CARBON SEQUESTRATION; FIELD VALIDATION; N2O EMISSIONS; SYSTEMS; FLUXES; ENERGY</t>
  </si>
  <si>
    <t>Guo, M; Li, CS; Facciotto, G; Bergante, S; Bhatia, R; Comolli, R; Ferre, C; Murphy, R</t>
  </si>
  <si>
    <t>Bioethanol from poplar clone Imola: an environmentally viable alternative to fossil fuel?</t>
  </si>
  <si>
    <t>Background: Environmental issues, e.g. climate change, fossil resource depletion have triggered ambitious national/regional policies to develop biofuel and bioenergy roles within the overall energy portfolio to achieve decarbonising the global economy and increase energy security. With the 10 % binding target for the transport sector, the Renewable Energy Directive confirms the EU's commitment to renewable transport fuels especially advanced biofuels. Imola is an elite poplar clone crossed from Populus deltoides Bartr. and Populus nigra L. by Research Units for Intensive Wood Production, Agriculture Research Council in Italy. This study examines its suitability for plantation cultivation under short or very short rotation coppice regimes as a potential lignocellulosic feedstock for the production of ethanol as a transport biofuel. A life cycle assessment (LCA) approach was used to model the cradle-to-gate environmental profile of Imola-derived biofuel benchmarked against conventional fossil gasoline. Specific attention was given to analysing the agroecosystem fluxes of carbon and nitrogen occurring in the cultivation of the Imola biomass in the biofuel life cycle using a process-oriented biogeochemistry model (DeNitrification-DeComposition) specifically modified for application to 2G perennial bioenergy crops and carbon and nitrogen cycling. Results: Our results demonstrate that carbon and nitrogen cycling in perennial crop-soil ecosystems such as this example can be expected to have significant effects on the overall environmental profiles of 2G biofuels. In particular, soil carbon accumulation in perennial biomass plantations is likely to be a significant component in the overall greenhouse gas balance of future biofuel and other biorefinery products and warrants ongoing research and data collection for LCA models. We conclude that bioethanol produced from Imola represents a promising alternative transport fuel offering some savings ranging from 35 to 100 % over petrol in global warming potential, ozone depletion and photochemical oxidation impact categories. Conclusions: Via comparative analyses for Imola-derived bioethanol across potential supply chains, we highlight priority issues for potential improvement in 2G biofuel profiling. Advanced clones of poplar such as Imola for 2G biofuel production in Italy as modelled here show potential to deliver an environmentally sustainable lignocellulosic biorefinery industry and accelerate advanced biofuel penetration in the transport sector.</t>
  </si>
  <si>
    <t>Biotechnol. Biofuels</t>
  </si>
  <si>
    <t>10.1186/s13068-015-0318-8</t>
  </si>
  <si>
    <t>plantation type</t>
  </si>
  <si>
    <t>SRC (DA)</t>
  </si>
  <si>
    <t>VSRC (DA)</t>
  </si>
  <si>
    <t>kg ethanol</t>
  </si>
  <si>
    <t xml:space="preserve">table S4&amp; S6 </t>
  </si>
  <si>
    <t>SRC (LHW)</t>
  </si>
  <si>
    <t>VSRC (LHW)</t>
  </si>
  <si>
    <t>VSRC(DA)</t>
  </si>
  <si>
    <t>ethanol production technology</t>
  </si>
  <si>
    <t>DA (SRC)</t>
  </si>
  <si>
    <t>LHW (SRC)</t>
  </si>
  <si>
    <t xml:space="preserve">Haus, S., Gustavsson, L., &amp; Sathre, R. </t>
  </si>
  <si>
    <t xml:space="preserve"> Climate mitigation comparison of woody biomass systems with the inclusion of land-use in the reference fossil system</t>
  </si>
  <si>
    <t>While issues of land-use have been considered in many direct analyses of biomass sys- tems, little attention has heretofore been paid to land-use in reference fossil systems. Here we address this limitation by comparing forest biomass systems to reference fossil systems with explicit consideration of land-use in both systems. We estimate and compare the time profiles of greenhouse gas (GHG) emission and cumulative radiative forcing (CRF) of woody biomass systems and reference fossil systems. A life cycle perspective is used that includes all significant elements of both systems, including GHG emissions along the full material and energy chains. We consider the growth dynamics of forests under different manage- ment regimes, as well as energy and material substitution effects of harvested biomass. We determine the annual net emissions of CO2, N2O and CH4 for each system over a 240-year period, and then calculate time profiles of CRF as a proxy measurement of climate change impact. The results show greatest potential for climate change mitigation when intensive forest management is applied in the woody biomass system. This methodological frame- work provides a tool to help determine optimal strategies for managing forests so as to minimize climate change impacts. The inclusion of land-use in the reference system im- proves the accuracy of quantitative projections of climate benefits of biomass-based systems.</t>
  </si>
  <si>
    <t>10.1016/j.biombioe.2014.04.012</t>
  </si>
  <si>
    <t>management alternative</t>
  </si>
  <si>
    <t>unmanaged (low)</t>
  </si>
  <si>
    <t>conventional</t>
  </si>
  <si>
    <t>Only extracting biogenic as reported in fig. 4. CRF estimate was not extracted because given as either a non-Carbon unit or non cumulative variable. Technosphere and Substitution are accounted for only with CRF</t>
  </si>
  <si>
    <t>unmanaged (high)</t>
  </si>
  <si>
    <t>fig10</t>
  </si>
  <si>
    <t>fertilized</t>
  </si>
  <si>
    <t>fig9</t>
  </si>
  <si>
    <t>fig11</t>
  </si>
  <si>
    <t>Wood particleboard; Construction waste; Carbon sequestration; Life cycle assessment; Waste recycling; Biomass valorization</t>
  </si>
  <si>
    <t>LIFE-CYCLE ASSESSMENT; REACTIVE MGO CEMENTS; PORTLAND-CEMENT; CONTAMINATED WOOD; CONCRETE BLOCKS; MAGNESIA CEMENT; MIXTURE DESIGN; HONG-KONG; IMPACT; LCA</t>
  </si>
  <si>
    <t>Hossain, MU; Wang, L; Yu, IKM; Tsang, DCW; Poon, CS</t>
  </si>
  <si>
    <t>Environmental and technical feasibility study of upcycling wood waste into cement-bonded particleboard</t>
  </si>
  <si>
    <t>The scarceness of virgin resources and sustainable management of waste materials in high-density city arouse heightened focus on new technology development for waste recycling and local utilization. Wood waste recovery from construction activities and upcycling into secondary products allow the substitution of virgin resources and minimize the environmental burdens within the frontier of industrial ecology. This study assessed the technical viability and environmental sustainability of cement-bonded particleboards (CBPs) produced with recycled wood aggregates and alternative binder; and compared the performance of its counterpart produced with virgin wood and ordinary binder using experimental analysis and life cycle assessment (LCA). The experimental results showed acceptable mechanical performance of the developed CBPs in compliance with the required standards. Adoption of carbon dioxide curing technology further enhanced the durability of the developed CBPs. Although similar greenhouse gases (GHGs) emission was observed for imported conventional CBPs and locally produced CBPs with alternative materials, the considerations of direct carbon sequestration and landfill avoidance contributed to a 9% reduction of the total GHGs compared to conventional CBPs. The LCA results also demonstrated that substantial amount of GHGs can be potentially saved depending on the recycling rates of wood waste in Hong Kong. Hence, technological innovation can effectively address problem of wood waste disposal and enhance material utilization and sustainability of the construction industry. (C) 2018 Elsevier Ltd. All rights reserved.</t>
  </si>
  <si>
    <t>10.1016/j.conbuildmat.2018.04.066</t>
  </si>
  <si>
    <t>Type of wood &amp; technology used: recycled wood &amp;air curing</t>
  </si>
  <si>
    <t>Virgin wood</t>
  </si>
  <si>
    <t>recycled wood &amp; air curing</t>
  </si>
  <si>
    <t>kgCO2eq per tonne of Cement-Bounded ParticleBoard</t>
  </si>
  <si>
    <t>Type of wood &amp; technology used: recycled wood &amp; CO2 curing</t>
  </si>
  <si>
    <t>recycled wood &amp; CO2 curing</t>
  </si>
  <si>
    <t>Type of wood &amp; technology used: recycled wood &amp; CO2 curing &amp; landfill emissions accounted for</t>
  </si>
  <si>
    <t>recycled wood &amp; CO2 curing &amp; landfill emissions</t>
  </si>
  <si>
    <t>Building construction activities; Energy consumption; Greenhouse gases emission; Life cycle assessment; Wood waste</t>
  </si>
  <si>
    <t>LIFE-CYCLE ASSESSMENT; COMPARATIVE ENVIRONMENTAL EVALUATION; DEMOLITION WASTE; IMPACT ASSESSMENT; HONG-KONG; SENSITIVITY-ANALYSIS; PARTICLEBOARD; INVENTORY; SYSTEMS; CEMENT</t>
  </si>
  <si>
    <t>Hossain, MU; Poon, CS</t>
  </si>
  <si>
    <t>Comparative LCA of wood waste management strategies generated from building construction activities</t>
  </si>
  <si>
    <t>The management of a large amount of wood waste generated from construction activities is a challenging issue. However, wood waste is an inherently renewable resource that can be recycled and utilized for the production of green products and renewable energy. In order to minimize the environmental impacts and to provide a scientific basis for the decision-making process on the wood waste management systems, a life cycle assessment (LCA) approach was employed in this study to evaluate the potential management systems from an environmental point of view. Three alternative scenarios, including the recycling and reusing of wood waste to produce organic polymer based particleboard, cement-bonded particleboard and energy were compared with the current disposal strategy (landfill disposal), with the functional unit of 1 tonne of wood waste within a cradle-to-grave system boundary. The LCA results showed that significant reductions of environmental impacts were observed for the production of particleboard (scenario 1) and wood-cement composite (scenario 2) from wood waste compared to that of using virgin wood. However, the results also showed that scenario 3 (energy generation from bio-fuel derived from wood waste) was the best strategy, as this technology reduces more than 1 tonne of CO2 eq greenhouse gases compared to the energy generation from coal. The analysis conducted in this study can serve as guidelines to design a sustainable and resource-efficient wood waste management system. (C) 2017 Elsevier Ltd. All rights reserved.</t>
  </si>
  <si>
    <t>10.1016/j.jclepro.2017.12.233</t>
  </si>
  <si>
    <t>Use of eol wood products</t>
  </si>
  <si>
    <t>Recycling for cement-bounded particleboard</t>
  </si>
  <si>
    <t>kgCO2eq per m3 of wood ParticleBoard</t>
  </si>
  <si>
    <t>Recycling for particleboard</t>
  </si>
  <si>
    <t>kgCO2eq per m3 of Cement-Bounded ParticleBoard</t>
  </si>
  <si>
    <t>Biofuel with recycled wood</t>
  </si>
  <si>
    <t>kgCO2 eq per t of wood</t>
  </si>
  <si>
    <t>INTERNATIONAL JOURNAL OF HYDROGEN ENERGY</t>
  </si>
  <si>
    <t>LCA; Hydrogen for transport; Fuel cell vehicles</t>
  </si>
  <si>
    <t>NATURAL-GAS; ENERGY; CONSUMPTION; VEHICLES</t>
  </si>
  <si>
    <t>Iannuzzi, L; Hilbert, JA; Lora, EES</t>
  </si>
  <si>
    <t>Life Cycle Assessment (LCA) for use on renewable sourced hydrogen fuel cell buses vs diesel engines buses in the city of Rosario, Argentina</t>
  </si>
  <si>
    <t>The purpose of this paper is to build the first Energy and Life Cycle Analysis (LCA) comparison between buses with internal combustion engine currently used in the city of Rosario, Province of Santa Fe, Argentina, and some technological alternatives and their variants focusing on buses with an electrical engine powered by compressed hydrogen that feet fuel cells of polymer electrolyte membrane (PEM). This LCA comprehend raw material extraction up to its consumption as fuel. Specifically, hydrogen production considering different production processes from renewable sources called green hydrogen  (Velazquez Abad and Dodds, 2020) [1] and non-renewable sources called grey hydrogen  (Velazquez Abad and Dodds, 2020) [1]. Renewable sources for hydrogen production are rapid cut densified poplar energy plantation, post-industrial wood residues such as chips pallets, and maize silage. For non-renewable hydrogen production sources are the local electrical power grid from water electrolysis and natural gas from the steam methane reforming process. Buses whose fuel would be renewable hydrogen, produced near the City of Rosario, Province of Santa Fe, Argentina, meet one of the main criteria of sustainability biofuels of the European Union (EU) taken into account Renewable Energy Directive (RED) 2009/28 [2] and EU RED Directive 2018/2001 [3] that need significant reduction on net greenhouse gases (GHG) from biomass origin row material respect fossil fuels. At least 70% of GHG would be avoided fromits main fossil counterpart of the intern combustion engine (ICE), in the worst and current scenario of the emission factor of the electrical grid of Argentina in the point of use that is about 0.40 kg CO2eq/kWh with energy and environmental load of 100% in the allocation factor in the hydrogen production stage of the LCA analysis. (C) 2021 Hydrogen Energy Publications LLC. Published by Elsevier Ltd. All rights reserved.</t>
  </si>
  <si>
    <t>Int. J. Hydrog. Energy</t>
  </si>
  <si>
    <t>10.1016/j.ijhydene.2021.01.065</t>
  </si>
  <si>
    <t>Use od eol wood for H2 production</t>
  </si>
  <si>
    <t>Crude oil and Soy biodiesel</t>
  </si>
  <si>
    <t>Recycled wood residues</t>
  </si>
  <si>
    <t>gCO2eq/MJ</t>
  </si>
  <si>
    <t>Argentina</t>
  </si>
  <si>
    <t>Use of SRC wood for H2 production</t>
  </si>
  <si>
    <t>SRC poplar</t>
  </si>
  <si>
    <t>RESOURCES-BASEL</t>
  </si>
  <si>
    <t>Ostrya carpinifolia; ecosystem assessment; life cycle assessment; stove; fireplace; bioenergy</t>
  </si>
  <si>
    <t>LIFE-CYCLE ASSESSMENT; GLOBAL-SCALE; BIODIVERSITY; IMPACT; EMISSIONS; FORESTRY; OPTIMIZATION; MANAGEMENT; CONVERSION; SERVICES</t>
  </si>
  <si>
    <t>Ilari, A; Fabrizi, S; Pedretti, EF</t>
  </si>
  <si>
    <t>European Hophornbeam Biomass for Energy Application: Influence of Different Production Processes and Heating Devices on Environmental Sustainability</t>
  </si>
  <si>
    <t>Environmental sustainability has recently shifted towards biodiversity protection via governmental and intergovernmental initiatives (e.g., the UN Millennium Ecosystem Assessment, MA). The life cycle assessment, the widespread method for assessing environmental sustainability, was not created to evaluate impacts on biodiversity. However, several authors recognize its ability to estimate biodiversity loss drivers (impact indices on land use change and ecosystem). The study aims to apply LCA to the forest sector, precisely to the wood-energy chain of Hophornbeam, to cover suggestions of the MA for the biodiversity impact assessment. Six different scenarios for stove (3) and fireplace (3) wood production were analyzed, evaluating two baselines and four alternative scenarios, including sensitivity analyses related to transport distances for the raw materials. The functional unit is 1 MJ of energy. The fireplace combustion scenarios are relatively more sustainable than the stove ones are (2.95-3.21% less). The global warming potential (around 3 g CO2 eq/MJ) is consistent with current European directives on the sustainability of biofuels and scientific literature. The scenarios showed similarities regarding the impact of the categories related to MA drivers. Although biodiversity is protected by limiting forest management, some authors argue that for some species (e.g., Hophornbeam), a rational tree felling could produce biofuels, increasing biodiversity.</t>
  </si>
  <si>
    <t>Resources-Basel</t>
  </si>
  <si>
    <t>10.3390/resources11020011</t>
  </si>
  <si>
    <t>fireplace technology</t>
  </si>
  <si>
    <t>BS2 stove</t>
  </si>
  <si>
    <t>AS firewood</t>
  </si>
  <si>
    <t>functional unit</t>
  </si>
  <si>
    <t>tons dried logs</t>
  </si>
  <si>
    <t>table6b</t>
  </si>
  <si>
    <t>AS stove</t>
  </si>
  <si>
    <t>BS1 firewood</t>
  </si>
  <si>
    <t>BS1 stove</t>
  </si>
  <si>
    <t>climate change mitigation; forest fellings; carbon stock; policy implications; ToSIA; EFISCEN</t>
  </si>
  <si>
    <t>CLIMATE-CHANGE; MARKET BALANCE; MANAGEMENT; RESOURCES; BIOMASS; FUTURE; STOCKS</t>
  </si>
  <si>
    <t>Jasinevicius, G; Lindner, M; Verkerk, PJ; Aleinikovas, M</t>
  </si>
  <si>
    <t>Assessing Impacts of Wood Utilisation Scenarios for a Lithuanian Bioeconomy: Impacts on Carbon in Forests and Harvested Wood Products and on the Socio-Economic Performance of the Forest-Based Sector</t>
  </si>
  <si>
    <t>Climate change and transition towards a bioeconomy are seen as both challenges and opportunities for the forest-based sector in Europe. Transition towards a bioeconomy will in most cases rely on intensified use of renewable resources and/or advancement in technology. However, how can the intensified use of renewable resources be combined with climate change mitigation measures to increase carbon sinks in the forest-based sector? Additionally, what are the possible socio-economic and environmental impacts of intensified wood use? In this study, we examined the impacts of increased wood utilisation in Lithuania. The objective of this study was to assess the effects of increased domestic wood utilisation on: (i) employment; (ii) the economic performance of the sector; (iii) carbon in forest biomass and soil; and (iv) carbon in harvested wood products (HWP). The system boundaries were set in accordance with international greenhouse gas reporting to include only domestic wood flows. We assessed alternative wood utilisation scenarios using a forest resource model and a tool to assess sustainability impacts of (wood) value chains, using country specific data on wood (carbon) flows. Our results indicate that increased wood use could lead to trade-offs between six selected indicators. Opportunities for employment and the economic performance of the forest-based sector improved in all scenarios due to increased wood utilisation. However, when forest fellings increased, the carbon stored in forests decreased, the carbon stored in HWP increased, but overall the total carbon stored in forests and HWP decreased. When considering also additional substitution effects until the year 2100, the scenario with reduced wood exports generated larger total climate change mitigation effects than the baseline. Our results suggest that increased wood utilisation might support Lithuania's bioeconomy through increased socio-economic benefits. National positive climate change mitigation effects could be gained only if additional actions to utilise more domestic wood for long-life HWP will be taken.</t>
  </si>
  <si>
    <t>10.3390/f8040133</t>
  </si>
  <si>
    <t>Baseline + 20% harvest by 2040</t>
  </si>
  <si>
    <t>Lithuania</t>
  </si>
  <si>
    <t>Sathre, R.; O’Connor, J. A Synthesis of Research on Wood Products and Greenhouse Gas Impacts, 2nd ed.; Technical Report TR-19R; FPInnovations: Vancouver, BC, Canada, 2010; p. 117.</t>
  </si>
  <si>
    <t>INTERNATIONAL JOURNAL OF ENVIRONMENTAL RESEARCH AND PUBLIC HEALTH</t>
  </si>
  <si>
    <t>circular economy; Life cycle assessment; environmental hotspots; impact categories; sustainable strategy</t>
  </si>
  <si>
    <t>FURNITURE; INVENTORY</t>
  </si>
  <si>
    <t>Jia, LL; Chu, J; Ma, L; Qi, XM; Kumar, A</t>
  </si>
  <si>
    <t>Life Cycle Assessment of Plywood Manufacturing Process in China</t>
  </si>
  <si>
    <t>Life cycle assessment (LCA) has been an important issue in the development of a circular economy. LCA is used to identify environmental impacts and hotspots associated with plywood manufacturing. Based on our results and a literature review of LCA studies involving plywood, a sustainable and environmentally friendly scenario was proposed for the plywood processing industry to improve environmental performance and sustainability. This study covers the life cycle of plywood production from a cradle-to-gate perspective, including raw material preparation and plywood manufacturing and processing to analysis of environment impacts and hotspots. Analysis of abiotic depletion (ADP), acidification effect (AP), primary energy depletion (PED), freshwater eutrophication (EP), global warming potential (GWP), and particulate matter (RI) were selected as major impact categories in this study. All data were obtained from on-site measurements (plywood production) and investigations of the Eco-invent database and CLCD database (upstream data of materials and energy). These data can be ignored when environmental contributions comprise less than 0.001% of environmental impact and auxiliary material quality is less than 0.01% of total raw material consumption. An eco-design strategy with eco-alternatives was proposed: pyrolysis bio-oil can be used to produce green resin to replace traditional phenolic formaldehyde (PF) resin to decrease the impacts of GWP, PED, AP, PM, and especially ADP and EP. A new technology of gluing green wood was used to replace conventional plywood production technology; wood waste could undergo a gasification process to produce resultant gas rather than combusting. Plywood was also compared with other wood-based panels in China to identify additional scenarios to improve environmental sustainability.</t>
  </si>
  <si>
    <t>Int. J. Environ. Res. Public Health</t>
  </si>
  <si>
    <t>10.3390/ijerph16112037</t>
  </si>
  <si>
    <t>Using bio oil instead of petrochemical resin for plywood</t>
  </si>
  <si>
    <t>petrochemical resin</t>
  </si>
  <si>
    <t>bio oil</t>
  </si>
  <si>
    <t>table &amp; fig4</t>
  </si>
  <si>
    <t>Using new technology of gluing wood</t>
  </si>
  <si>
    <t>dry wood gluing</t>
  </si>
  <si>
    <t>green wood gluing</t>
  </si>
  <si>
    <t>Secondary forest; Rubber plantation; Land use; Carbon sequestration; Central Africa; Tropical agriculture; Gabon</t>
  </si>
  <si>
    <t>AGRICULTURAL EXPANSION; HEVEA-BRASILIENSIS; BURN AGRICULTURE; SOIL FERTILITY; STOCKS; SEQUESTRATION; FOREST; LANDSCAPE; BIOMASS; DEFORESTATION</t>
  </si>
  <si>
    <t>Jong, YW; Beirne, C; Meunier, Q; Biyogo, APM; Mbele, AE; Stewart, CG; Poulsen, JR</t>
  </si>
  <si>
    <t>Expected carbon emissions from a rubber plantation in Central Africa</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</si>
  <si>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</si>
  <si>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10.1016/j.foreco.2020.118668</t>
  </si>
  <si>
    <t>Natural Forest to Rubber Plantation (30-yr rotation)</t>
  </si>
  <si>
    <t>No Harvest</t>
  </si>
  <si>
    <t>30-year rubber plantation</t>
  </si>
  <si>
    <t>MgC_per_hectare</t>
  </si>
  <si>
    <t>Gabon</t>
  </si>
  <si>
    <t>Natural Forest to Palm Oil Plantation (30-yr rotation)</t>
  </si>
  <si>
    <t>30-year oil plam rotation</t>
  </si>
  <si>
    <t>Natural Forest to Rubber Plantation (Extended rotation)</t>
  </si>
  <si>
    <t>Extended rotation rubber plantation</t>
  </si>
  <si>
    <t>RENEWABLE &amp; SUSTAINABLE ENERGY REVIEWS</t>
  </si>
  <si>
    <t>Energy efficiency; GWP; PEI; Resources efficiency; Materials</t>
  </si>
  <si>
    <t>MATERIAL FLOW-ANALYSIS; RESIDENTIAL BUILDINGS; ENVIRONMENTAL-IMPACT; ASSESSMENT LCA; DEMAND; CONSTRUCTION; EMISSIONS</t>
  </si>
  <si>
    <t>Kovacic, I; Reisinger, J; Honic, M</t>
  </si>
  <si>
    <t>Life Cycle Assessment of embodied and operational energy for a passive housing block in Austria</t>
  </si>
  <si>
    <t>The creation of a sustainable built environment is related not only to energy-efficient construction but also to the efficient use of materials, in order to minimise environmental impacts and avoid further depletion of natural resources. However, passive or zero-energy buildings, which optimise operational energy, require additional materials (e.g. insulation) or the installation of technologies (e.g. mechanical ventilation) which further increase the embodied energy of the building and related environmental emissions. This paper questions the environmental impact and benefits of adding materials and technologies in order to reduce the energy consumption of a building by evaluating the embodied and operational energy of a case study of a passive housing block in Austria. The analysis is carried out using real data, based on energy monitoring carried out over three years, and on original documentation of the materials and construction of the building. Applying a Life Cycle Assessment (LCA) method, the environmental impacts of the building materials, the heating, ventilation and air-conditioning (HVAC) technologies, and the operational energy were assessed and compared for time scenarios of 20, 50 and 80 years using the environmental indicators: Global Warming Potential (GWP); Primary Energy Intensity (PEI); and Acidification Potential (AP). Two different variants of the as built building were modelled and investigated in terms of their ecological impacts. It was found that distribution pipes for building services apparently contributes 10% of the GWP, and the optimisation using timber instead of concrete is advantageous in terms of minimising GWP and AP, but is less effective in terms of PEI. Finally, the apartment block as built to a passive house standard was compared with a low-energy equivalent building in order to question whether the increased input of materials for the passive house is justified in terms of the reduction of the energy demand during the operation of the building. It was found that the passive house performs better in terms of environmental impacts, but not significantly so (max. GWP saving of 7% in the 80 years scenario). The reasons are multifaceted, and include additional heating of the apartments by the occupants, uncontrolled window opening patterns and increased hours of occupancy.</t>
  </si>
  <si>
    <t>Renew. Sust. Energ. Rev.</t>
  </si>
  <si>
    <t>Review</t>
  </si>
  <si>
    <t>10.1016/j.rser.2017.07.058</t>
  </si>
  <si>
    <t xml:space="preserve">Use of Timber instead of Concrete to build passive house </t>
  </si>
  <si>
    <t>Concrete house</t>
  </si>
  <si>
    <t>Timber House</t>
  </si>
  <si>
    <t>kg CO2/m2 of house floor</t>
  </si>
  <si>
    <t>Coy</t>
  </si>
  <si>
    <t>CROATIAN JOURNAL OF FOREST ENGINEERING</t>
  </si>
  <si>
    <t>forest operations; sustainable forestry; close-to-nature; environmental impacts; greenhouse gas emissions</t>
  </si>
  <si>
    <t>GREENHOUSE-GAS EMISSIONS; LIFE-CYCLE ASSESSMENT; WOOD; CONSUMPTION; MANAGEMENT; INVENTORY; ROUNDWOOD; ENERGY; LCA</t>
  </si>
  <si>
    <t>Labelle, ER; Lemmer, KJ</t>
  </si>
  <si>
    <t>Selected Environmental Impacts of Forest Harvesting Operations with Varying Degree of Mechanization</t>
  </si>
  <si>
    <t>Climate change affects forest ecosystems, impacting timber production and eco-services. Conversely, sustainable forest management has been identified as a means to help mitigate carbon dioxide emissions, a greenhouse gas and contributor to climate change, while also maximizing multiuse benefits through close-to-nature silviculture. In this study, a life cycle assessment was performed on forest harvesting operations at three research sites to provide real-world understanding of the selected environmental impacts associated with harvesting systems typical of Germany: motor-manual (chainsaw and forest tractor), semi-mechanized (single-grip harvester, chainsaw, and forwarder), and fully-mechanized (single-grip harvester and forwarder). Environmental impact categories assessed included greenhouse gas emissions, particulate matter emissions, and non-renewable energy consumption. Results from the three research sites were estimated on a machine basis. The semi-mechanized system resulted in the lowest environmental impact, the majority of which was attributed to felling and processing operations. Next, the environmental impacts were estimated for a complete rotation period and compared amongst the different harvesting systems. According to results, semi-mechanized harvesting systems had the lowest impact over the full rotation period as well as for thinning treatments when compared to motor-manual and fully-mechanized systems. The fully-mechanized system performed the best for final felling treatments. Considering variability between the research sites as well as the system boundary assessed, a diversified approach to harvesting operations may be considered, integrating semi-mechanized and fully-mechanized systems for different treatments throughout the rotation period.</t>
  </si>
  <si>
    <t>Croat. J. For. Eng.</t>
  </si>
  <si>
    <t>10.5552/crojfe.2019.537</t>
  </si>
  <si>
    <t>harvesting operations</t>
  </si>
  <si>
    <t>motor-manual (MM)</t>
  </si>
  <si>
    <t>fully-mechanized (FM)  (Table 8)</t>
  </si>
  <si>
    <t>kg CO2-eq/m3</t>
  </si>
  <si>
    <t>semi-mechanized (SM) (Table 8)</t>
  </si>
  <si>
    <t>LCA; LCCA; mass timber building; environmental impacts; carbon analysis; cross-laminated timber</t>
  </si>
  <si>
    <t>WOOD PRODUCTS; CONSTRUCTION; CONCRETE; INDUSTRY; BIOMASS; CARBON</t>
  </si>
  <si>
    <t>Liang, SB; Gu, HM; Bergman, R</t>
  </si>
  <si>
    <t>Environmental Life-Cycle Assessment and Life-Cycle Cost Analysis of a High-Rise Mass Timber Building: A Case Study in Pacific Northwestern United States</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</si>
  <si>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</si>
  <si>
    <t>10.3390/su13147831</t>
  </si>
  <si>
    <t>Landfilling at the end of life</t>
  </si>
  <si>
    <t>0% recycled (Fig 5)</t>
  </si>
  <si>
    <t>100% recycled (Fig 5)</t>
  </si>
  <si>
    <t>kg CO2-eq / m2 floor area</t>
  </si>
  <si>
    <t>25% recycled (Fig 5)</t>
  </si>
  <si>
    <t>50% recycled (Fig 5)</t>
  </si>
  <si>
    <t>75% recycled (Fig 5)</t>
  </si>
  <si>
    <t>Source of raw material, local processing and transport</t>
  </si>
  <si>
    <t>Current</t>
  </si>
  <si>
    <t>S4 (Fig, 4)</t>
  </si>
  <si>
    <t>S3 (Fig. 4)</t>
  </si>
  <si>
    <t>S1 (Fig. 4)</t>
  </si>
  <si>
    <t>S2 (Fig. 4)</t>
  </si>
  <si>
    <t>carbon footprint; life cycle analysis; harvested wood products; carbon flow</t>
  </si>
  <si>
    <t>ENERGY; INVENTORY; SEQUESTRATION; EMISSIONS; RESOURCES; IRELAND; BALANCE; BUDGET; INPUTS; TERMS</t>
  </si>
  <si>
    <t>Lun, F; Liu, MC; Zhang, D; Li, WH; Liu, JG</t>
  </si>
  <si>
    <t>Life Cycle Analysis of Carbon Flow and Carbon Footprint of Harvested Wood Products of Larix principis-rupprechtii in China</t>
  </si>
  <si>
    <t>Larix principis-rupprechtii is a native tree species in North China with a large distribution; and its harvested timbers can be used for producing wood products. This study focused on estimating and comparing carbon flows and carbon footprints of different harvested wood products (HWPs) from Larix principis-ruppechtii based on the life cycle analysis (from seedling cultivation to HWP final disposal). Based on our interviews and surveys, the system boundary in this study was divided into three processes: the forestry process, the manufacturing process, and the use and disposal process. By tracking carbon flows of HWPs along the entire life cycle, we found that, for one forest rotation period, a total of 26.81 tC/ha sequestered carbon was transferred into these HWPs, 66.2% of which were still stored in the HWP when the rotation period had ended; however, the HWP carbon storage decreased to 0.25 tC/ha (only 0.9% left) in the 100th year after forest plantation. The manufacturing process contributed more than 90% of the total HWP carbon footprint, but it was still smaller than the HWP carbon storage. In terms of the carbon storage and the carbon footprint, construction products had the largest net positive carbon balance compared to furniture and panel products. In addition, HWP are known to have a positive impact on global carbon mitigation because they can store parts of the sequestered carbon for a certain period of time and they have a substitution effect on carbon mitigation. Furthermore, there still exist great opportunities for carbon mitigation from HWPs through the use of cleaner energy and increasing the utilization efficiency of wood fuel.</t>
  </si>
  <si>
    <t>10.3390/su8030247</t>
  </si>
  <si>
    <t>Wood product</t>
  </si>
  <si>
    <t>furniture</t>
  </si>
  <si>
    <t>panel</t>
  </si>
  <si>
    <t>kgC/m3</t>
  </si>
  <si>
    <t>Ref 30, 31 and 32</t>
  </si>
  <si>
    <t>BIOFUELS BIOPRODUCTS &amp; BIOREFINING-BIOFPR</t>
  </si>
  <si>
    <t>sustainable biomass potential; sustainability criteria; wood pellet price; GHG emissions; energy policy; supply chain analysis; sourcing country; biomass trade</t>
  </si>
  <si>
    <t>LAND-USE; BIOENERGY PRODUCTION; ENERGY POTENTIALS; ORGANIC-CARBON; RESIDUES; AVAILABILITY; SYSTEMS; REMOVAL; PELLETS; CROP</t>
  </si>
  <si>
    <t>Mai-Moulin, T; Visser, L; Fingerman, KR; Elbersen, W; Elbersen, B; Nabuurs, GJ; Fritsche, UR; Colmenar, ID; Rutz, D; Diaz-Chavez, RA; Roozen, A; Weck, M; Iriarte, L; Pelkmans, L; Gonzalez, DS; Janssen, R; Junginger, M</t>
  </si>
  <si>
    <t>Sourcing overseas biomass for EU ambitions: assessing net sustainable export potential from various sourcing countries</t>
  </si>
  <si>
    <t>Low-cost sustainable biomass availability in the European Union may not be able to meet increasing demand; exploring the option of importing biomass is therefore imperative for the years to come. This article assesses sustainable biomass export potential from Brazil, Colombia, Indonesia, Kenya, Ukraine, and the United States by applying a number of sustainability criteria. Only biomass types with the highest potential are selected, to take advantage of economies of scale, e.g. pulpwood, wood waste, and residues in the United States, and agricultural residues in Ukraine. This study found that, except for the United States, pellet markets in the sourcing regions are largely undeveloped. The export potential depends strongly on pellet mill capacity and assumed growth rates in the pellet industry. Results show that the United States, Ukraine, Indonesia, and Brazil offer the highest biomass export potential. In the Business As Usual 2030 scenario, up to 204 PJ could potentially be mobilized; in the High Export scenario this could increase to 1423 PJ, with 89% of the potential being available for costs ranging from 6.4 to 15 euro/GJ. These potentials meet the European Commission requirements for a 70% reduction in greenhouse gas emissions set in the Renewable Energy Directive. The total export potentials do not reflect the net possible import potentials to the European Union, as biomass could be imported to other countries where there is a demand for it, where less strict sustainability requirements are applied, and which are proximate to the sourcing regions, notably South Korea, Japan, and China. (c) 2018 The Authors. Biofuels, Bioproducts and Biorefining published by Society of Chemical Industry and John Wiley &amp; Sons, Ltd.</t>
  </si>
  <si>
    <t>Biofuels Bioprod. Biorefining</t>
  </si>
  <si>
    <t>10.1002/bbb.1853</t>
  </si>
  <si>
    <t>biomass harvest</t>
  </si>
  <si>
    <t>Min supply potential</t>
  </si>
  <si>
    <t>Max supply potential</t>
  </si>
  <si>
    <t>kg CO2/GJ</t>
  </si>
  <si>
    <t>Ukraine</t>
  </si>
  <si>
    <t>removed Colombia, Kenya and ìndonesia because no forest products. Changed driver to efficiency because the reported change referes to different suply potentials</t>
  </si>
  <si>
    <t>life cycle assessment (LCA); cross-laminated timber (CLT); cradle-to-installation; wooden building; environmentally conscious design; biogenic carbon; construction</t>
  </si>
  <si>
    <t>LIFE-CYCLE ASSESSMENT; EMISSIONS; LCA</t>
  </si>
  <si>
    <t>Nakano, K; Karube, M; Hattori, N</t>
  </si>
  <si>
    <t>Environmental Impacts of Building Construction Using Cross-laminated Timber Panel Construction Method: A Case of the Research Building in Kyushu, Japan</t>
  </si>
  <si>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</si>
  <si>
    <t>10.3390/su12062220</t>
  </si>
  <si>
    <t>Changes in energy production for CLT manufacturing</t>
  </si>
  <si>
    <t xml:space="preserve">grid electricity and steam provided by biomass fuel </t>
  </si>
  <si>
    <t>cogeneration system using biomass fuel</t>
  </si>
  <si>
    <t>GHG emissions</t>
  </si>
  <si>
    <t>t/CO2e</t>
  </si>
  <si>
    <t>ANNALS OF THE ASSOCIATION OF AMERICAN GEOGRAPHERS</t>
  </si>
  <si>
    <t>carbon labels; emissions; land use change; life cycle assessment; paper industry</t>
  </si>
  <si>
    <t>GREENHOUSE-GAS EMISSIONS; LIFE-CYCLE INVENTORY; OLD-GROWTH FORESTS; LAND-USE; IMPACT ASSESSMENT; POLITICS; GOVERNANCE; BIOFUELS; STORAGE</t>
  </si>
  <si>
    <t>Newell, JP; Vos, RO</t>
  </si>
  <si>
    <t>Papering Over Space and Place: Product Carbon Footprint Modeling in the Global Paper Industry</t>
  </si>
  <si>
    <t>We are witnessing an explosion in carbon calculators for estimating the greenhouse gas (GHG) emissions (i.e., carbon footprint) of households, buildings, cities, and processes. Seeking to capitalize on the emergent ogreeno consumer, corporations are leading the next iteration in carbon footprinting: consumer products. This potentially lucrative low-carbon frontier, however, faces steep challenges due to complexities of scale, largely a function of the number of actors and geographies involved in globalized commodity and energy networks, and scope, which increasingly demands inclusion of emissions due to land use change (e.g., biofuel production, timber harvest, livestock grazing, mining). Life cycle assessment (LCA)the principal method behind product-level GHG emissions footprint protocolsfrequently avoids these challenges by narrowly delineating system boundaries, thereby excluding the omessinesso of space and place. Through a comparative model of energy sources and emissions in the globalized paper industry, this article reveals how complexities associated with geographic variation and land use change create indeterminacy in footprints based on these protocols. Using industry and trade data, the authors develop geographic information system transportation and energy models to map the globally dispersed pulp supply networks and to rescale Intergovernmental Panel on Climate Change GHG inventory guidelines to include carbon loss associated with land use change in the carbon footprint of coated paper. Given their integrative abilities to conceptualize and model coupled human-ecological systems, sophisticated understanding of time-space dynamics and critical theoretical insights, geographers have much to contribute to the LCA and product carbon footprinting enterprise, which to date has been largely the intellectual domain of engineers.</t>
  </si>
  <si>
    <t>Ann. Assoc. Am. Geogr.</t>
  </si>
  <si>
    <t>10.1080/00045608.2011.567929</t>
  </si>
  <si>
    <t>Land use change USA</t>
  </si>
  <si>
    <t>Scenario 2 (forests converted to plantation forest)</t>
  </si>
  <si>
    <t>Scenario 1 (forestland-to-annual-cropland)</t>
  </si>
  <si>
    <t>One metric of finished paper</t>
  </si>
  <si>
    <t>See onglet Newell_2021</t>
  </si>
  <si>
    <t xml:space="preserve">tCO2 per finished metric ton </t>
  </si>
  <si>
    <t>Land use change China</t>
  </si>
  <si>
    <t>Same land use but different importation between two countries</t>
  </si>
  <si>
    <t>Scenario 1 - USA</t>
  </si>
  <si>
    <t>Scenario 1 - China</t>
  </si>
  <si>
    <t>Scenario 2 - China</t>
  </si>
  <si>
    <t>Scenario 2 - USA</t>
  </si>
  <si>
    <t>Life Cycle Assessment; Dynamic LCA; Wood construction; Biogenic carbon dioxide; Climate impact assessment</t>
  </si>
  <si>
    <t>LIFE-CYCLE ASSESSMENT; CARBON SEQUESTRATION; ENERGY BUILDINGS; LCA; SECTOR; WOOD</t>
  </si>
  <si>
    <t>Penaloza, D; Erlandsson, M; Falk, A</t>
  </si>
  <si>
    <t>Exploring the climate impact effects of increased use of bio-based materials in buildings</t>
  </si>
  <si>
    <t>Whenever Life Cycle Assessment (LCA) is used to assess the climate impact of buildings, those with high content of biobased materials result with the lowest impact. Traditional approaches to LCA fail to capture aspects such as biogenic carbon exchanges, their timing and the effects from carbon storage. This paper explores a prospective increase of biobased materials in Swedish buildings, using traditional and dynamic LCA to assess the climate impact effects of this increase. Three alternative designs are analysed; one without biobased material content, a CLT building and an alternative timber design with increased bio. Different scenario setups explore the sensitivity to key assumptions such as the building's service life, end-of-life scenario, setting of forest sequestration before (growth) or after (regrowth) harvesting and time horizon of the dynamic LCA. Results show that increasing the biobased material content in a building reduces its climate impact when biogenic sequestration and emissions are accounted for using traditional or dynamic LCA in all the scenarios explored. The extent of these reductions is significantly sensitive to the end-of-life scenario assumed, the timing of the forest growth or regrowth and the time horizon of the integrated global warming impact in a dynamic LCA. A time horizon longer than one hundred years is necessary if biogenic flows from forest carbon sequestration and the building's life cycle are accounted for. Further climate impact reductions can be obtained by keeping the biogenic carbon dioxide stored after end-of-life or by extending the building's service life, but the time horizon and impact allocation among different life cycles must be properly addressed. (C) 2016 Elsevier Ltd. All rights reserved.</t>
  </si>
  <si>
    <t>10.1016/j.conbuildmat.2016.08.041</t>
  </si>
  <si>
    <t>Wood material + extended lifespan of material</t>
  </si>
  <si>
    <t>Concrete house + extended lifespan</t>
  </si>
  <si>
    <t>kgCO2 per m2 of living area</t>
  </si>
  <si>
    <t xml:space="preserve">Sweden </t>
  </si>
  <si>
    <t>Wood material +landfilling</t>
  </si>
  <si>
    <t>Concrete house + landfilling</t>
  </si>
  <si>
    <t>Wood material and indoor design + extended lifespan of material</t>
  </si>
  <si>
    <t>Wood material and indoor design+ landfilling</t>
  </si>
  <si>
    <t>Wood material + Dynamic LCA (forest growth)</t>
  </si>
  <si>
    <t xml:space="preserve">Concrete house + forest growth </t>
  </si>
  <si>
    <t>Wood material and indoor design + Dynamic LCA (forest growth)</t>
  </si>
  <si>
    <t>Wood material in construction</t>
  </si>
  <si>
    <t xml:space="preserve">Concrete house </t>
  </si>
  <si>
    <t>Wood material in construction and indoor design</t>
  </si>
  <si>
    <t>C sequestration; Tree biomass; Soil organic matter; CO(2)Fix</t>
  </si>
  <si>
    <t>SOIL ORGANIC-CARBON; LAND-USE CHANGE; FOREST MANAGEMENT; EUCALYPTUS-NITENS; RADIATA PINE; ABOVEGROUND BIOMASS; EMPIRICAL-MODELS; WOOD PRODUCTS; PLANTATIONS; SEQUESTRATION</t>
  </si>
  <si>
    <t>Perez-Cruzado, C; Mohren, GMJ; Merino, A; Rodriguez-Soalleiro, R</t>
  </si>
  <si>
    <t>Carbon balance for different management practices for fast growing tree species planted on former pastureland in southern Europe: a case study using the CO(2)Fix model</t>
  </si>
  <si>
    <t>Although it is known that forestry mitigates carbon emissions to some degree, there is still a need to investigate the extent to which changes in forest management regimes affect the carbon cycle. In a climate-change scenario, forest management schemes must be optimized to maximize product supply and minimize environmental impacts. It is difficult to predict the mitigating effects of different silvicultural regimes because of differences in the growth characteristics of each species, destination of products, and industrial efficiencies. The objective of the present study was to use a modeling approach to evaluate the effects of different management regimes for fast growing species in southern temperate Europe in relation to mitigating climate change. A comprehensive study was carried out considering the C sink effect in biomass, soil and wood products, the substitutive effect of bioenergy, and particular conditions of the forest industry in southern Europe. The mechanistic CO(2)Fix model was parameterized for three species used in fast growing plantations in southern Europe: Eucalyptus globulus, Eucalyptus nitens, and Pinus radiata. Data from 120 plots covering the complete age range observed for each species were used to calculate changes in C stocks in aboveground biomass and organic and mineral soil and to validate the parameterized model for these conditions. Additional information about the efficiency of forest industry processes in the region was also considered. A strong bias in soil organic carbon estimation was observed and attributed to overestimations in the decomposition rates of soil compartments. Slight bias was also observed in the carbon biomass estimation when forest-specific yield models were used to simulate afforestation over former pastureland. As regards the model sensitivity, the Yasso model was strongly robust to turnover of leaves, roots, and branches. The chip wood production alternative yielded higher carbon stock in biomass and products, as well as in bioenergy substitution effect, than the sawn wood production alternative. Nevertheless, the sawn wood alternative was the most effective as regards the C stock in the soil. Site index had an important effect for all species, alternatives, and compartments, and mitigating effects increased with site index. Harvesting of clearcutting and thinning slash for bioenergy use led to a slight decrease in the soil carbon equilibrium but significantly increased the mitigation effect through bioenergy use.</t>
  </si>
  <si>
    <t>10.1007/s10342-012-0609-6</t>
  </si>
  <si>
    <t xml:space="preserve">Species change </t>
  </si>
  <si>
    <t>E. globus (B-H)</t>
  </si>
  <si>
    <t>E. nitens (B-H)</t>
  </si>
  <si>
    <t>Table 9</t>
  </si>
  <si>
    <t>Mg C ha-1</t>
  </si>
  <si>
    <t>Spain</t>
  </si>
  <si>
    <t>P. radiata (A-H)</t>
  </si>
  <si>
    <t>Use the wood for bioenergy instead of timber</t>
  </si>
  <si>
    <t>P. radiata (B-H)</t>
  </si>
  <si>
    <t>E. nitens (A-H)</t>
  </si>
  <si>
    <t xml:space="preserve">E. globus (A-H) </t>
  </si>
  <si>
    <t>50% of the slash is harvested</t>
  </si>
  <si>
    <t>E. globus (A-H)</t>
  </si>
  <si>
    <t>E. globus (A-H) 50% slash</t>
  </si>
  <si>
    <t>E. nitens (A-H) 50% slash</t>
  </si>
  <si>
    <t>P. radiata (A-H) 50% slash</t>
  </si>
  <si>
    <t>CLIMATE-CHANGE; STOCK CHANGES; MODEL; IMPACTS; BOREAL; BIODIVERSITY; TEMPERATE; INVENTORY; DYNAMICS; CBM-CFS3</t>
  </si>
  <si>
    <t>Pilli, R; Grassi, G; Kurz, WA; Fiorese, G; Cescatti, A</t>
  </si>
  <si>
    <t>The European forest sector: past and future carbon budget and fluxes under different management scenarios</t>
  </si>
  <si>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</si>
  <si>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10.5194/bg-14-2387-2017</t>
  </si>
  <si>
    <t>Harvest Rate</t>
  </si>
  <si>
    <t>Constant Harvest</t>
  </si>
  <si>
    <t>Increase Harvest 20%</t>
  </si>
  <si>
    <t>TgC_per_Year</t>
  </si>
  <si>
    <t>Decrease Harvest 20%</t>
  </si>
  <si>
    <t>Carbon storage; Wall; Fast-growing materials; Biogenic materials; Dynamic life cycle assessment; LCA</t>
  </si>
  <si>
    <t>LIFE-CYCLE ASSESSMENT; FOREST MANAGEMENT-PRACTICES; BIOGENIC CARBON; CLIMATE IMPACT; CO2 EMISSIONS; WOOD; LIME; TIME; DIFFUSION; STORAGE</t>
  </si>
  <si>
    <t>Pittau, F; Krause, F; Lumia, G; Habert, G</t>
  </si>
  <si>
    <t>Fast-growing bio-based materials as an opportunity for storing carbon in exterior walls</t>
  </si>
  <si>
    <t>Storing carbon in construction products and building components seems a particularly attractive strategy for compensating the initial greenhouse gas (GHG) emissions from production and construction. Typically, in LCA methods, when a sustainable forestry management is assumed, biogenic carbon is not included in the calculation since forest products are considered as carbon neutral due to the full regeneration of biomass in forest at the end of a rotation period. The purpose of this article is to investigate the effect of storing carbon in biogenic materials and lime-based products when they are used as construction materials and left long in a building. Five different alternative exterior walls with different construction technologies are compared. In the first two alternatives (STR and HEM), a significant amount of fast-growing biogenic material is used as thermal insulation, while the third (TIM) represents a typical timber frame structure with mineral insulation. The last two are traditional wall alternatives based on bricks (BRI) and cast concrete (CON) with an additional external thermal insulation composite system (ETICS) in EPS. A model based on a dynamic LCA is adopted to include timing in the calculation. The results, expressed in terms of radiative forcing in the atmosphere, show that storing carbon in fast-growing biogenic materials is much more efficient than in timber elements. The carbon stored in fast-growing biogenic materials is fully captured by crop regrowth only one year after construction, while a longer time is expected for forest products due to the long rotation period required for forest regrowth.</t>
  </si>
  <si>
    <t>10.1016/j.buildenv.2017.12.006</t>
  </si>
  <si>
    <t>Hempcrete_Landfill_EOL</t>
  </si>
  <si>
    <t>Concrete_EnergyRecovery_incineratinOfEPSInsulation</t>
  </si>
  <si>
    <t>kgC02</t>
  </si>
  <si>
    <t>Straw_Landfill_EOL</t>
  </si>
  <si>
    <t>Timber_Landfill_EOL</t>
  </si>
  <si>
    <t>Bricks_Landfill_EOL</t>
  </si>
  <si>
    <t>Straw_Recycling_EOL</t>
  </si>
  <si>
    <t>Hempcrete_Recycling_EOL</t>
  </si>
  <si>
    <t>Hempcrete_EnergyRecovery_EOL</t>
  </si>
  <si>
    <t>Straw_EnergyRecovery_EOL (Incineration with Energy Recovery)</t>
  </si>
  <si>
    <t>Timber_Recycling_EOL</t>
  </si>
  <si>
    <t>Timber_EnergyRecovery_EOL</t>
  </si>
  <si>
    <t>Concrete_Landfill_EOL</t>
  </si>
  <si>
    <t>Concrete_Recycling_EOL</t>
  </si>
  <si>
    <t>Bricks_Recycling_EOL</t>
  </si>
  <si>
    <t>Bricks_EnergyRecovery_EOL</t>
  </si>
  <si>
    <t>SUSTAINABLE BUILT ENVIRONMENT D-A-CH CONFERENCE 2019 (SBE19 GRAZ)</t>
  </si>
  <si>
    <t>Pittau, F; Dotelli, G; Arrigoni, A; Habert, G; Iannaccone, G</t>
  </si>
  <si>
    <t>Massive timber building vs. conventional masonry building. A comparative life cycle assessment of an Italian case study</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</si>
  <si>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</si>
  <si>
    <t>IOP Conf. Ser. Earth Envir. Sci.</t>
  </si>
  <si>
    <t>Proceedings Paper</t>
  </si>
  <si>
    <t>10.1088/1755-1315/323/1/012016</t>
  </si>
  <si>
    <t>MassTimber versus Concrete</t>
  </si>
  <si>
    <t>MassTimber(CLT)</t>
  </si>
  <si>
    <t>EcoInvent</t>
  </si>
  <si>
    <t>refurbishment; demolition; reconstruction; LCA; construction materials</t>
  </si>
  <si>
    <t>BUILDINGS; ENERGY</t>
  </si>
  <si>
    <t>Pittau, F; Giacomel, D; Iannaccone, G; Malighetti, L</t>
  </si>
  <si>
    <t>ENVIRONMENTAL CONSEQUENCES OF REFURBISHMENT VERSUS DEMOLITION AND RECONSTRUCTION: A COMPARATIVE LIFE CYCLE ASSESSMENT OF AN ITALIAN CASE STUDY</t>
  </si>
  <si>
    <t>In the building sector, new standards for energy efficiency are reducing the energy consumption and the carbon emissions for building operation to nearly zero. As a result, the greenhouse gas emissions and related environmental impacts from materials production, and especially insulation, are becoming key factors. In the near future, most of the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a case study. Five alternative construction systems (EPS, WOOD, ROCK, PU, HEMP) for renovating the building envelopes were assumed, and a life cycle assessment (LCA) adopted in order to measure the environmental impact of each alternative. The results were compared with a scenario which included demolition and reconstruction of a similar building with the same net volume and thermal resistance. The results showed that timber and concrete are the most environmentally friendly materials to rebuild the structures in case of demolition, contrary to steel which leads generally to higher environmental impacts, except land use. In general, EPS, WOOD and HEMP technological alternatives accounted for the highest scores, both in terms of burdens on the ecosystems and on depletion of resources, while ROCK accounted for the lowest scores. Finally, refurbishment scenarios generally accounted for a lower global warming potential (GWP) even if demolition, waste treatment and the benefit from recycling/reuse are taken into account.</t>
  </si>
  <si>
    <t>J. Green Build.</t>
  </si>
  <si>
    <t>10.1088/1755-1315/296/1/012037</t>
  </si>
  <si>
    <t>NewConstruction_Wood fiber insulation boards (WOOD) applied on the exterior surface of the envelope</t>
  </si>
  <si>
    <t>NewConstruction_Expanded Polystirene (EPS) boards applied on the exterior surface of the envelope;</t>
  </si>
  <si>
    <t>N_WOOD</t>
  </si>
  <si>
    <t>Refurbished_Wood fiber insulation boards (WOOD) applied on the exterior surface of the envelope</t>
  </si>
  <si>
    <t>R_WOOD</t>
  </si>
  <si>
    <t>NewConstruction_Hempcrete blocks (HEMP) applied on the exterior surface</t>
  </si>
  <si>
    <t>N_HEMP</t>
  </si>
  <si>
    <t>NewConstruction_Polyurethane rigid boards (PU) applied on the exterior surface of the envelope</t>
  </si>
  <si>
    <t>N_PU</t>
  </si>
  <si>
    <t>NewConstruction_Mineral wool panels (ROCK) applied on the exterior surface of the envelope</t>
  </si>
  <si>
    <t>N_ROCK</t>
  </si>
  <si>
    <t>Refurbished_Expanded Polystirene (EPS) boards applied on the exterior surface of the envelope</t>
  </si>
  <si>
    <t>R_EPS</t>
  </si>
  <si>
    <t>Refurbished_Hempcrete blocks (HEMP) applied on the exterior surface</t>
  </si>
  <si>
    <t>R_HEMP</t>
  </si>
  <si>
    <t>Refurbished_Polyurethane rigid boards (PU) applied on the exterior surface of the envelope</t>
  </si>
  <si>
    <t>R_PU</t>
  </si>
  <si>
    <t>Refurbished_Mineral wool panels (ROCK) applied on the exterior surface of the envelope</t>
  </si>
  <si>
    <t>R_ROCK</t>
  </si>
  <si>
    <t>WORLD MULTIDISCIPLINARY EARTH SCIENCES SYMPOSIUM (WMESS 2016), PTS 1-4</t>
  </si>
  <si>
    <t>OPERATIONS; IMPACTS</t>
  </si>
  <si>
    <t>Plch, R; Pulkrab, K; Bukacek, J; Sloup, R; Cudlin, P</t>
  </si>
  <si>
    <t>Effect of Forest Management of Picea abies and Fagus sylvatica with Different Types of Felling on Carbon and Economic Balances in the Czech Republic</t>
  </si>
  <si>
    <t>The selection of the most sustainable forest management under given site conditions needs suitable criteria and indicators. For this purpose, carbon and economic balance assessment, completed with environmental impact computation using the Life Cycle Assessment (LCA) were used. The aim of this study was to compare forestry operations and wood production of selected forest stands with different i) tree species composition (Norway spruce - Picea abies and European beech - Fagus sylvatica) and ii) type of felling (chainsaw and harvester). Carbon and economic balance methods consist in the comparison of quantified inputs (fossil fuels, electricity, used machinery, fertilizers, etc., converted into emission units of carbon in Mg of C-CO2-eq. or EUR) with quantified outputs (biomass production in Mg of carbon or EUR). In this contribution, similar forest stands (forest site complexes) in the 4th forest vegetation zone (in the Czech Republic approximately 400-700 m above sea-level) were selected. Forestry operations were divided into 5 main stages: i) seedling production, ii) stand establishment and pruning, iii) thinning and final cutting, iv) skidding, and v) secondary timber transport and modelled for one rotation period of timber production (ca. 100 years). The differences between Norway spruce and European beech forest stands in the carbon efficiency were relatively small while higher differences were achieved in the economic efficiency (forest stands with Norway spruce had a higher economic efficiency). Concerning the comparison of different types of felling in Norway spruce forest stands, the harvester use proved to induce significantly higher environmental impacts (emission of carbon) and lower economic costs. The comparison of forestry operation stages showed that the main part of carbon emissions, originating from fuel production and combustion, is connected with a thinning and final cutting, skidding and secondary timber transport in relations to different types of felling.</t>
  </si>
  <si>
    <t>10.1088/1755-1315/44/5/052042</t>
  </si>
  <si>
    <t>Harvester Felling</t>
  </si>
  <si>
    <t>Harvester</t>
  </si>
  <si>
    <t>Chainsaw Felling</t>
  </si>
  <si>
    <t>kgCO2eq_per_m3Wood</t>
  </si>
  <si>
    <t>Std</t>
  </si>
  <si>
    <t>Czech Republic</t>
  </si>
  <si>
    <t>Double skin facade; Structural timber; Embodied carbon; Whole life carbon; Energy savings; Life cycle assessment (LCA)</t>
  </si>
  <si>
    <t>OFFICE BUILDINGS; NATURAL VENTILATION; ENERGY PERFORMANCE; EMBODIED CARBON; REDUCTION</t>
  </si>
  <si>
    <t>Pomponi, F; D'Amico, B</t>
  </si>
  <si>
    <t>Holistic study of a timber double skin facade: Whole life carbon emissions and structural optimisation</t>
  </si>
  <si>
    <t>The upkeep of existing buildings has a great role to play in reducing the carbon emissions of the built environment. Facade upgrade represents one of the most effective interventions to improve both thermal efficiency and aesthetic appeal of existing buildings. Double Skin Facades (DSFs) have much to offer due to their use of solar and wind energy to passively heat and cool indoor spaces, whilst guaranteeing freedom and flexibility in the aesthetic design of the refurbished building. However, DSFs also bear an increase in the embodied energy and carbon due to the additional materials required for the extra skin throughout all life cycle stages. In this article, life cycle assessment (LCA) and dynamic energy modelling have been combined through a parametric approach to obtain figures for the whole-life cycle carbon assessment of 384 different configurations of an innovative, timber-made DSF for UK low-carbon refurbishments. Additionally, the structural design of the facade was also investigated through a structural optimisation procedure which takes into account all relevant loads and ensures minimal use of the structural material. Results show that operational savings outweigh the embodied impacts and therefore the proposed DSF is a viable and effective solution for net carbon-negative refurbishments. The operational energy modelling also contributes to the characterisation of DSFs thermal behaviour in temperate climates. (C) 2017 Elsevier Ltd. All rights reserved.</t>
  </si>
  <si>
    <t>10.1016/j.buildenv.2017.07.046</t>
  </si>
  <si>
    <t>Aluminum Double Skin Façade (DSF)</t>
  </si>
  <si>
    <t>Aluminum</t>
  </si>
  <si>
    <t>Timber DSF Climate Zone 1</t>
  </si>
  <si>
    <t>kgCO2e</t>
  </si>
  <si>
    <t>ELCD</t>
  </si>
  <si>
    <t>IPCC</t>
  </si>
  <si>
    <t>Steel Double Skin Façade (DSF)</t>
  </si>
  <si>
    <t>Timber DSF Climate Zone 2</t>
  </si>
  <si>
    <t>Timber DSF Climate Zone 3</t>
  </si>
  <si>
    <t>WOOD AND FIBER SCIENCE</t>
  </si>
  <si>
    <t>LCA; sustainable; renewable; flooring; cork; cement; CLT</t>
  </si>
  <si>
    <t>CROSS-LAMINATED TIMBER</t>
  </si>
  <si>
    <t>Portugal, RSE; Lawrence, B; Laleicke, PF; Sinha, A</t>
  </si>
  <si>
    <t>TECHNICAL NOTE: A PRELIMINARY STUDY TO QUANTIFY THE ENVIRONMENTAL IMPACTS OF CONCRETE AND CORK FLOORING</t>
  </si>
  <si>
    <t>Cross-laminated timber (CLT) is currently sought as a sustainable and green building material. It does not meet the International Building Code sound insulating requirements, and either a concrete slab or hardwood flooring is needed to meet the acoustic and vibrational performance benchmark. Cork, the bark of the cork oak, is well known for its sound insulating properties and often used for flooring applications in Europe. The cork-based flooring system is a potential solution to the acoustic problem faced by the CLT building industry. The goal of this preliminary study was to quantify the environmental impacts of a concrete and a cork-based flooring system that includes CLT. A life-cycle analysis (LCA) is conducted to focus on a cradle-to-gate comparison of a cork flooring system with a locally sourced concrete flooring system for use in a proposed CLT structure in Portland, OR. The LCA reveals that the global warming potential (GWP) of concrete is 25% higher for the concrete flooring system. For cork flooring, the GWP is mainly driven by inorganic compounds in the flooring assembly. The main source for cork is Portugal, which increases the GWP of the cork flooring system, in contrast to that of concrete flooring, which typically has a regional production and supply system. As environmental abatement costs increase, the profitability of cork flooring can increase to justify the creation of an appropriate system to close the loop.</t>
  </si>
  <si>
    <t>Wood Fiber Sci.</t>
  </si>
  <si>
    <t>10.22382/wfs-2018-011</t>
  </si>
  <si>
    <t>cork floor instead of concrete</t>
  </si>
  <si>
    <t>Concrete floor</t>
  </si>
  <si>
    <t>Cork floor</t>
  </si>
  <si>
    <t>the cork floor is made from cork stopper pruduction waste. There is no information regarding how much cork tree wood is needed to create the 11 square meters of floor</t>
  </si>
  <si>
    <t>Harvested wood products; Carbon sequestration; Product lifetime; Thinning from above; Thinning from below</t>
  </si>
  <si>
    <t>SUBSTITUTION; INVENTORIES; QUALITY; IMPACTS; NORWAY; SECTOR; DEBRIS; STOCKS; TRADE</t>
  </si>
  <si>
    <t>Profft, I; Mund, M; Weber, GE; Weller, E; Schulze, ED</t>
  </si>
  <si>
    <t>Forest management and carbon sequestration in wood products</t>
  </si>
  <si>
    <t>Wood products are considered to contribute to the mitigation of carbon dioxide emissions. A critical gap in the life cycle of wood products is to transfer the raw timber from the forest to the processing wood industry and, thus, the primary wood products. Therefore, often rough estimates are used for this step to obtain total forestry carbon balances. The objectives of this study were (1) to examine the fate of timber harvested in Thuringian state forests (central Germany), representing a large, intensively managed forested region, and (2) to quantify carbon stocks and the lifetime of primary wood products made from this timber. The analyses were based on the amount and assortments of actually sold timber, and production parameters of the companies that bought and processed this timber. In addition, for coniferous stands of a selected Thuringian forest district, we calculated potential effects of management, as expressed by different thinning regimes on wood products and their lifetimes. Total annual timber sale of soft- and hardwoods from Thuringian state forests (195,000 ha) increased from about 136,893 t C (similar to 0.7 t C ha(-1) year(-1)) in 1996 to 280,194 t C (similar to 1.4 t C ha(-1) year(-1)) in 2005. About 47% of annual total timber harvest went into short-lived wood products with a mean residence time (MRT) &lt; 25 years. Thirty-one per cent of the total harvest went into wood products with an MRT of 25-43 years, and only 22% was used as construction wood and glued wood, products with the longest MRT (50 years). The average MRT of carbon in harvested wood products was 20 years. Thinning from above throughout the rotation of spruce forests would lead to an average MRT in harvested wood products of about 23 years, thinning from below of about 18 years. A comparison of our calculations with estimates that resulted from the products module of the CO2FIX model (Nabuurs et al. 2001) demonstrates the influence of regional differences in forest management and wood processing industry on the lifetime of harvested wood products. To our knowledge, the present study provides for the first time real carbon inputs of a defined forest management unit to the wood product sector by linking data on raw timber production, timber sales and wood processing. With this new approach and using this data, it should be possible to substantially improve the net-carbon balance of the entire forestry sector.</t>
  </si>
  <si>
    <t>10.1007/s10342-009-0283-5</t>
  </si>
  <si>
    <t>Thin from below</t>
  </si>
  <si>
    <t>Thin Below</t>
  </si>
  <si>
    <t>Thin from above</t>
  </si>
  <si>
    <t>MgC_hectare_year</t>
  </si>
  <si>
    <t>TRANSPORTATION RESEARCH PART D-TRANSPORT AND ENVIRONMENT</t>
  </si>
  <si>
    <t>Life cycle assessment; Life cycle costing; Carbon footprint; Greenhouse gas emissions; Rail track; Railway sleepers</t>
  </si>
  <si>
    <t>LIFE-CYCLE ASSESSMENT; GREENHOUSE-GAS EMISSIONS; CONCRETE</t>
  </si>
  <si>
    <t>Rempelos, G; Preston, J; Blainey, S</t>
  </si>
  <si>
    <t>A carbon footprint analysis of railway sleepers in the United Kingdom</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</si>
  <si>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</si>
  <si>
    <t>Transport. Res. Part D-Transport. Environ.</t>
  </si>
  <si>
    <t>10.1016/j.trd.2020.102285</t>
  </si>
  <si>
    <t>low tonnage use</t>
  </si>
  <si>
    <t xml:space="preserve">steel </t>
  </si>
  <si>
    <t>hardwood</t>
  </si>
  <si>
    <t>Fig 5</t>
  </si>
  <si>
    <t>t CO2 e stkm</t>
  </si>
  <si>
    <t>high tonnage use</t>
  </si>
  <si>
    <t>softwood</t>
  </si>
  <si>
    <t xml:space="preserve">Repo, A., Känkänen, R., Tuovinen, J. P., Antikainen, R., Tuomi, M., Vanhala, P., &amp; Liski, J. </t>
  </si>
  <si>
    <t xml:space="preserve"> Forest bioenergy climate impact can be improved by allocating forest residue removal</t>
  </si>
  <si>
    <t>10.1111/j.1757-1707.2011.01124.x</t>
  </si>
  <si>
    <t>young stand thinnings (Fig. 5b)</t>
  </si>
  <si>
    <t>branches (Fig 5b)</t>
  </si>
  <si>
    <t xml:space="preserve"> gCO2eq/MJ</t>
  </si>
  <si>
    <t>stumps (Fig 5b)</t>
  </si>
  <si>
    <t>energy type</t>
  </si>
  <si>
    <t>PEERJ</t>
  </si>
  <si>
    <t>Climate change; Nature-based; Natural climate solutions; Mitigation; Justice; Equity; Distribution; Resiliency; Adaptation; Washington</t>
  </si>
  <si>
    <t>CLIMATE SOLUTIONS; MITIGATION; RESTORATION</t>
  </si>
  <si>
    <t>Robertson, JC; Randrup, KV; Howe, ER; Case, MJ; Levin, PS</t>
  </si>
  <si>
    <t>Leveraging the potential of nature to meet net zero greenhouse gas emissions in Washington State</t>
  </si>
  <si>
    <t>The State of Washington, USA, has set a goal to reach net zero greenhouse gas emissions by 2050, the year around which the Intergovernmental Panel on Climate Change (IPCC) recommended we must limit global warming to 1.5 degrees C above that of pre-industrial times or face catastrophic changes. We employed existing approaches to calculate the potential for a suite of Natural Climate Solution (NCS) pathways to reduce Washington's net emissions under three implementation scenarios: Limited, Moderate, and Ambitious. We found that NCS could reduce emissions between 4.3 and 8.8 MMT CO(2)e(yr-1) in thirty-one years, accounting for 4% to 9% of the State's net zero goal. These potential reductions largely rely on changing forest management practices on portions of private and public timber lands. We also mapped the distribution of each pathway's Ambitious potential emissions reductions by county, revealing spatial clustering of high potential reductions in three regions closely tied to major business sectors: private industrial forestry in southwestern coastal forests, cropland agriculture in the Columbia Basin, and urban and rural development in the Puget Trough. Overall, potential emissions reductions are provided largely by a single pathway, Extended Timber Harvest Rotations, which mostly clusters in southwestern counties. However, mapping distribution of each of the other pathways reveals wider distribution of each pathway's unique geographic relevance to support fair, just, and efficient deployment. Although the relative potential for a single pathway to contribute to statewide emissions reductions may be small, they could provide co-benefits to people, communities, economies, and nature for adaptation and resiliency across the state.</t>
  </si>
  <si>
    <t>PeerJ</t>
  </si>
  <si>
    <t>10.7717/peerj.11802</t>
  </si>
  <si>
    <t>Reforestation: low</t>
  </si>
  <si>
    <t>reforest</t>
  </si>
  <si>
    <t>Reforestation:medium</t>
  </si>
  <si>
    <t>Reforestation:high</t>
  </si>
  <si>
    <t>Avoided deforestation:low</t>
  </si>
  <si>
    <t>Avoided deforestation:med</t>
  </si>
  <si>
    <t>Avoided deforestation: High</t>
  </si>
  <si>
    <t>Replanting after wildfire: low</t>
  </si>
  <si>
    <t>Replanting after wildfire: medium</t>
  </si>
  <si>
    <t>Replanting after wildfire: high</t>
  </si>
  <si>
    <t>Extended harvest rotations: med, up to 50% counties</t>
  </si>
  <si>
    <t>Extended harvest rotations: low, less counties</t>
  </si>
  <si>
    <t>Extended harvest rotations: high, most counties</t>
  </si>
  <si>
    <t>CO2 emissions; energy balance; energy biomass; fertilization; forestmanagement; wood energy</t>
  </si>
  <si>
    <t>NITROGEN SATURATION; BOREAL FORESTS; ECOSYSTEMS; NORTHERN; IMPACT; SOILS; FERTILIZATION; COMPUTATIONS; ACCUMULATION; TEMPERATE</t>
  </si>
  <si>
    <t>Routa, J; Kellomaki, S; Kilpelainen, A; Peltola, H; Strandman, H</t>
  </si>
  <si>
    <t>Effects of forest management on the carbon dioxide emissions of wood energy in integrated production of timber and energy biomass</t>
  </si>
  <si>
    <t>The aim of this work was to study the sensitivity of carbon dioxide (CO2) emissions from wood energy to different forest management regimes when aiming at an integrated production of timber and energy biomass. For this purpose, the production of timber and energy biomass in Norway spruce [Picea abies (L.) Karst] and Scots pine (Pinus sylvestris L.) stands was simulated using an ecosystem model (SIMA) on sites of varying fertility under different management regimes, including various thinning and fertilization treatments over a fixed simulation period of 80 years. The simulations included timber (sawlogs, pulp), energy biomass (small-sized stem wood) and/or logging residues (top part of stem, branches and needles) from first thinning, and logging residues and stumps from final felling for energy production. In this context, a life cycle analysis/emission calculation tool was used to assess the CO2 emissions per unit of energy (kg CO2 MW h(-1)) which was produced based on the use of wood energy. The energy balance (GJ ha(-1)) of the supply chain was also calculated. The evaluation of CO2 emissions and energy balance of the supply chain considered the whole forest bioenergy production chain, representing all operations needed to grow and harvest biomass and transport it to a power plant for energy production. Fertilization and high precommercial stand density clearly increased stem wood production (i.e. sawlogs, pulp and small-sized stem wood), but also the amount of logging residues, stump wood and roots for energy use. Similarly, the lowest CO2 emissions per unit of energy were obtained, regardless of tree species and site fertility, when applying extremely or very dense precommercial stand density, as well as fertilization three times during the rotation. For Norway spruce such management also provided a high energy balance (GJ ha(-1)). On the other hand, the highest energy balance for Scots pine was obtained concurrently with extremely dense precommercial stands without fertilization on the medium-fertility site, while on the low-fertility site fertilization three times during the rotation was needed to attain this balance. Thus, clear differences existed between species and sites. In general, the forest bioenergy supply chain seemed to be effective; i.e. the fossil fuel energy consumption varied between 2.2% and 2.8% of the energy produced based on the forest biomass. To conclude, the primary energy use and CO2 emissions related to the forest operations, including the production and application of fertilizer, were small in relation to the increased potential of energy biomass.</t>
  </si>
  <si>
    <t>10.1111/j.1757-1707.2011.01106.x</t>
  </si>
  <si>
    <t>NorwaySpruce; Late energy wood thinning extremeleydense precommercial stand; Fertilized</t>
  </si>
  <si>
    <t>NorwaySpruce; Late energy wood thinning very dense precommercial stand; Fertilized</t>
  </si>
  <si>
    <t>NorwaySpruce; Late energy wood thinning with dense precommercial stand; Fertilized</t>
  </si>
  <si>
    <t>NorwaySpruce; Late energy wood thinning with moderate dense precommercial stand; Fertilized</t>
  </si>
  <si>
    <t>NorwaySpruce; Early energy wood thinning with moderate dense precommercial stand; Fertilized</t>
  </si>
  <si>
    <t>NorwaySpruce; Early energy wood thinning with very dense precommercial stand; Fertilized</t>
  </si>
  <si>
    <t>NorwaySpruce; Early energy wood thinning with dense precommercial stand; Fertilized</t>
  </si>
  <si>
    <t>NorwaySpruce; Early energy wood thinning with extremely dense precommercial stand; Fertilized</t>
  </si>
  <si>
    <t>ScotsPine; Early energy wood thinning with very dense precommercial stand; Fertilized</t>
  </si>
  <si>
    <t>ScotsPine; Late energy wood thinning with dense precommercial stand; Fertilized</t>
  </si>
  <si>
    <t>ScotsPine; Late energy wood thinning very dense precommercial stand; Fertilized</t>
  </si>
  <si>
    <t>ScotsPine; Early energy wood thinning with extremely dense precommercial stand; Fertilized</t>
  </si>
  <si>
    <t>ScotsPine; Late energy wood thinning with moderate dense precommercial stand; Fertilized</t>
  </si>
  <si>
    <t>NorwaySpruce; Late energy wood thinning extremeleydense precommercial stand; Unfertilized</t>
  </si>
  <si>
    <t>ScotsPine; Late energy wood thinning extremeleydense precommercial stand; Fertilized</t>
  </si>
  <si>
    <t>ScotsPine; Early energy wood thinning with dense precommercial stand; Fertilized</t>
  </si>
  <si>
    <t>NorwaySpruce; Late energy wood thinning with dense precommercial stand; Unfertilized</t>
  </si>
  <si>
    <t>NorwaySpruce; Early energy wood thinning with extremely dense precommercial stand; Unfertilized</t>
  </si>
  <si>
    <t>NorwaySpruce; Early energy wood thinning with very dense precommercial stand; Unfertilized</t>
  </si>
  <si>
    <t>NorwaySpruce; Late energy wood thinning very dense precommercial stand; Unfertilized</t>
  </si>
  <si>
    <t>NorwaySpruce; Early energy wood thinning with moderate dense precommercial stand; Unfertilized</t>
  </si>
  <si>
    <t>NorwaySpruce; Early energy wood thinning with dense precommercial stand; Unfertilized</t>
  </si>
  <si>
    <t>ScotsPine; Late energy wood thinning very dense precommercial stand; Unfertilized</t>
  </si>
  <si>
    <t>ScotsPine; Early energy wood thinning with moderate dense precommercial stand; Fertilized</t>
  </si>
  <si>
    <t>NorwaySpruce; Late energy wood thinning with moderate dense precommercial stand; Unfertilized</t>
  </si>
  <si>
    <t>ScotsPine; Late energy wood thinning extremeleydense precommercial stand; Unfertilized</t>
  </si>
  <si>
    <t>ScotsPine; Late energy wood thinning with dense precommercial stand; Unfertilized</t>
  </si>
  <si>
    <t>ScotsPine; Early energy wood thinning with very dense precommercial stand; Unfertilized</t>
  </si>
  <si>
    <t>ScotsPine; Late energy wood thinning with moderate dense precommercial stand; Unfertilized</t>
  </si>
  <si>
    <t>ScotsPine; Early energy wood thinning with extremely dense precommercial stand; Unfertilized</t>
  </si>
  <si>
    <t>ScotsPine; Early energy wood thinning with dense precommercial stand; Unfertilized</t>
  </si>
  <si>
    <t>ScotsPine; Early energy wood thinning with moderate dense precommercial stand; Unfertilized</t>
  </si>
  <si>
    <t>ECOLOGICAL ECONOMICS</t>
  </si>
  <si>
    <t>Carbon accounting; Forest residue based biomass heating; Carbon lifecycle analysis; Carbon markets; Economic cluster analysis; Bioenergy</t>
  </si>
  <si>
    <t>SITKA SPRUCE STANDS; WESTERN HEMLOCK; UNDERSTORY VEGETATION; FOREST; MANAGEMENT; BIOMASS; FOOTPRINT; GROWTH; CONSERVATION; FEASIBILITY</t>
  </si>
  <si>
    <t>Saah, D; Patterson, T; Buchholz, T; Ganz, D; Albert, D; Rush, K</t>
  </si>
  <si>
    <t>Modeling economic and carbon consequences of a shift to wood-based energy in a rural 'cluster'; a network analysis in southeast Alaska</t>
  </si>
  <si>
    <t>Integrated ecological and economic solutions are increasingly sought after by communities to provide basic energy needs such as home heating, transport, and electricity, while reducing drivers of and vulnerability to climate change. Small rural communities may require a coordinated approach to overcome the limitations of economies of scale. Low-carbon development strategies present potential for large payoffs at a household and community scale. Southeast Alaskan forests previously harvested for timber are currently re-growing and require thinning to maintain ecosystem service benefits such as wildlife habitat and hunting. Thinned material presents a potential biofuel source. However, without verification among decision alternatives, communities may not have the momentum, vision, or conviction to stimulate a shift to a new energy source. We present a network approach to evaluating multiple energy delivery pathways, and a calculation of carbon, energy, and dollar savings presented by each pathway. We quantify chain of production impacts; from the point of energy extraction and transport (upstream), through consumption and emission accounting (downstream). Our findings suggest substantial greenhouse gas emission savings of over 70% as well as heating cost savings for all bioenergy scenarios compared to fossil fuel scenarios. Outputs can facilitate dialog between land managers, planners, community members and decision-makers. (C) 2014 Elsevier B.V. All rights reserved.</t>
  </si>
  <si>
    <t>Ecol. Econ.</t>
  </si>
  <si>
    <t>10.1016/j.ecolecon.2014.08.011</t>
  </si>
  <si>
    <t>WesternShoreCraigSortingLot_HybridTransport</t>
  </si>
  <si>
    <t>MgCO2e</t>
  </si>
  <si>
    <t>WesternShoreCraigSortingLot_BargeTransport</t>
  </si>
  <si>
    <t>CentrallyLocatedLakeCrossroads_BargeTransport</t>
  </si>
  <si>
    <t>EasternShoreThornSortingLot_BargeTransport</t>
  </si>
  <si>
    <t>EasternShoreThornSortingLot_HybridTransport</t>
  </si>
  <si>
    <t>CentrallyLocatedLakeCrossroads_HybridTransport</t>
  </si>
  <si>
    <t>CentrallyLocatedLakeCrossroads_RoadTransport</t>
  </si>
  <si>
    <t>WesternShoreCraigSortingLot_RoadTransport</t>
  </si>
  <si>
    <t>EasternShoreThornSortingLot_RoadTransport</t>
  </si>
  <si>
    <t>APPLIED ENERGY</t>
  </si>
  <si>
    <t>Climate change mitigation; Wood products; Social cost of carbon; Energy tax; Building materials; Economic competitiveness</t>
  </si>
  <si>
    <t>CARBON TAXES; LIFE-CYCLE; BIOMASS; CONCRETE; BALANCES; ENERGY</t>
  </si>
  <si>
    <t>Sathre, R; Gustavsson, L</t>
  </si>
  <si>
    <t>Using wood products to mitigate climate change: External costs and structural change</t>
  </si>
  <si>
    <t>In this study we examine the use of wood products as a means to mitigate climate change. We describe the life cycle of wood products including forest growth, wood harvest and processing, and product use and disposal, focusing on the multiple roles of wood as both material and fuel. We present a comparative case study of a building constructed with either a wood or a reinforced concrete frame. We find that the production of wood building material uses less energy and emits less carbon than the production of reinforced concrete material. We compare the relative cost of the two building methods without environmental taxation, under the Current Swedish industrial energy taxation regime, and in scenarios that incorporate estimates of the full social cost of carbon emission. We find that the inclusion of climate-related external costs improves the economic standing of wood construction vis-A-vis concrete construction. We conclude that policy instruments that internalise the external costs of carbon emission should encourage a structural change toward the increased use of sustainability produced wood products. (c) 2008 Elsevier Ltd. All rights reserved.</t>
  </si>
  <si>
    <t>Appl. Energy</t>
  </si>
  <si>
    <t>10.1016/j.apenergy.2008.04.007</t>
  </si>
  <si>
    <t>Wood Building versus Concrete/Steel</t>
  </si>
  <si>
    <t>multi-objective optimization; beetle-killed biomass; forest products; supply chain; production scenario comparison; bioenergy; salvage logging</t>
  </si>
  <si>
    <t>MOUNTAIN PINE-BEETLE; FUEL-REDUCTION TREATMENTS; LODGEPOLE PINE; ROCKY-MOUNTAINS; KEY ISSUES; BIOMASS; WOOD; ENERGY; RESIDUES; BIOFUEL</t>
  </si>
  <si>
    <t>She, J; Chung, W; Han, H</t>
  </si>
  <si>
    <t>Economic and Environmental Optimization of the Forest Supply Chain for Timber and Bioenergy Production from Beetle-Killed Forests in Northern Colorado</t>
  </si>
  <si>
    <t>Harvesting mountain pine beetle-infested forest stands in the northern Colorado Rocky Mountains provides an opportunity to utilize otherwise wasted resources, generate net revenues, and minimize greenhouse gas (GHG) emissions. Timber and bioenergy production are commonly managed separately, and their integration is seldom considered. Yet, degraded wood and logging residues can provide a feedstock for bioenergy, while the sound wood from beetle-killed stands can still be used for traditional timber products. In addition, beneficial greenhouse gas emission (GHG) savings are often realized only by compromising net revenues during salvage harvest where beetle-killed wood has a relatively low market value and high harvesting cost. In this study we compared Sequential and Integrated decision-making scenarios for managing the supply chain from beetle-killed forest salvage operations. In the Sequential scenario, timber and bioenergy production was managed sequentially in two separate processes, where salvage harvest was conducted without considering influences on or from bioenergy production. Biomass availability was assessed next as an outcome from timber production managed to produce bioenergy products. In the Integrated scenario, timber and bioenergy production were managed jointly, where collective decisions were made regarding tree salvage harvest, residue treatment, and bioenergy product selection and production. We applied a multi-objective optimization approach to integrate the economic and environmental objectives of producing timber and bioenergy, and measured results by total net revenues and total net GHG emission savings, respectively. The optimization model results show that distinctively different decisions are made in selecting the harvesting system and residue treatment under the two scenarios. When the optimization is fully economic-oriented, 49.6% more forest areas are harvested under the Integrated scenario than the Sequential scenario, generating 12.3% more net revenues and 50.5% more net GHG emission savings. Comparison of modelled Pareto fronts also indicate the Integrated decision scenario provides more efficient trade-offs between the two objectives and performs better than the Sequential scenario in both objectives.</t>
  </si>
  <si>
    <t>10.3390/f10080689</t>
  </si>
  <si>
    <t>Salvage Logging Beetle-Kill; Integrated Timber and Bionergy Supply Chains; Maximize net GHG savings of Timber and Bioenergy Supply Chain (forest supply chain)</t>
  </si>
  <si>
    <t>Salvage Logging Beetle-Kill; Sequential Timber and Bionergy Supply Chains; Maximize net revenue of Timber Supply Chain; Maximize Net revenue of Bioenergy Supply Chain</t>
  </si>
  <si>
    <t>; https://meridian.allenpress.com/fpj/article/62/4/289/136357/Life-Cycle-Inventory-of-Wood-Pellet-Manufacturing; https://www.fs.usda.gov/treesearch/pubs/54276; https://www.nature.com/articles/srep39857</t>
  </si>
  <si>
    <t>?</t>
  </si>
  <si>
    <t>Salvage Logging Beetle-Kill; Sequential Timber and Bionergy Supply Chains; Maximize net GHG savings of Timber Supply Chain; Maximize Net revenue of Bioenergy Supply Chain</t>
  </si>
  <si>
    <t>Salvage Logging Beetle-Kill; Sequential Timber and Bionergy Supply Chains; Maximize net GHG savings of Timber Supply Chain; Maximize Net GHG savings of Bioenergy Supply Chain</t>
  </si>
  <si>
    <t>C_alternative values checked from file Valade_2018_data</t>
  </si>
  <si>
    <t>Salvage Logging Beetle-Kill; Integrated Timber and Bionergy Supply Chains; Maximize net revenue of Timber and Bioenergy Supply Chain (forest supply chain)</t>
  </si>
  <si>
    <t>Salvage Logging Beetle-Kill; Sequential Timber and Bionergy Supply Chains; Maximize net revenue of Timber Supply Chain; Maximize Net GHG savings of Bioenergy Supply Chain</t>
  </si>
  <si>
    <t>The real reference scenario should be fossil energy and products but the paper didn't include the baseline emissions</t>
  </si>
  <si>
    <t xml:space="preserve">Smyth, C. E., Smiley, B. P., Magnan, M., Birdsey, R., Dugan, A. J., Olguin, M., ... &amp; Kurz, W. A. </t>
  </si>
  <si>
    <t xml:space="preserve"> Climate change mitigation in Canada’s forest sector: a spatially explicit case study for two regions</t>
  </si>
  <si>
    <t>10.1186/s13021-018-0099-z</t>
  </si>
  <si>
    <t>Gg CO2 eq. y-1</t>
  </si>
  <si>
    <t>harvest residues for bioenergy</t>
  </si>
  <si>
    <t>No slashburning</t>
  </si>
  <si>
    <t>Higher utilisation</t>
  </si>
  <si>
    <t>long lived products</t>
  </si>
  <si>
    <t>JOURNAL OF ENVIRONMENTAL QUALITY</t>
  </si>
  <si>
    <t>MONTE-CARLO-SIMULATION; CARBON STORAGE; MANAGEMENT; SEQUESTRATION; INVENTORY</t>
  </si>
  <si>
    <t>Sonne, E</t>
  </si>
  <si>
    <t>Greenhouse gas emissions from forestry operations: A life cycle assessment</t>
  </si>
  <si>
    <t>Most forest carbon assessments focus only on biomass carbon and assume that greenhouse gas (GHG) emissions from forestry activities are minimal. This study took an in-depth look at the direct and indirect emissions from Pacific Northwest (PNW) Douglas-fir [Pseudotsuga menziesii (Mirbel) Franco] forestry activities to support or deny this claim. Greenhouse gas budgets for 408 management regimes were calculated using Life Cycle Assessment (LCA) methodology. These management regimes were comprised of different combinations of three types of seedlings (P + 1, 1 + 1, and large plug), two types of site preparation (pile and burn, and chemical), 17 combinations of management intensity including fertilization, herbicide treatment, precommercial thinning (PCT), commercial thinning (CT), and nothing, and four different rotation ages (30, 40, 50, and 60 yr). Normalized to 50 yr, average direct GHG emissions were 8.6 megagrams (Mg) carbon dioxide equivalents (CO(2)e) ha(-1), which accounted for 84% of total GHG emissions from the average of 408 management regimes. Harvesting (PCT, CT, and clear cuffing) contributed the most to total GHG emissions (5.9 Mg CO(2)e per 700 m(3) harvested timber), followed by pile and burn site preparation (4.0 Mg CO(2)e ha(-1) or 32% of total GHG emissions) and then fertilization (1.9 Mg CO(2)e, ha(-1) or 15% of total GHG emissions). Seedling production, seedling transportation, chemical site preparation, and herbicide treatment each contributed less than 1% of total GHG emissions when assessed per hectare of planted timberland. Total emissions per 100 m(3) averaged 1.6 Mg CO(2)e ha(-1) over all 408 management regimes. An uncertainty analysis using Monte Carlo simulations revealed that there are significant differences between most alternative management regimes.</t>
  </si>
  <si>
    <t>J. Environ. Qual.</t>
  </si>
  <si>
    <t>10.2134/jeq2005.0159</t>
  </si>
  <si>
    <t>Number of thinnings</t>
  </si>
  <si>
    <t>No thinning</t>
  </si>
  <si>
    <t>One Pre commercial thinning</t>
  </si>
  <si>
    <t xml:space="preserve">tCO2/m3 of wood harvested </t>
  </si>
  <si>
    <t xml:space="preserve">One pre commercial thinning + one commercial thinning </t>
  </si>
  <si>
    <t>No fertilisation</t>
  </si>
  <si>
    <t xml:space="preserve">Fertilisation </t>
  </si>
  <si>
    <t>Density at plantation</t>
  </si>
  <si>
    <t>865 seedlings per ha</t>
  </si>
  <si>
    <t>1235 seedlings per ha</t>
  </si>
  <si>
    <t xml:space="preserve">60 years </t>
  </si>
  <si>
    <t xml:space="preserve">40 years </t>
  </si>
  <si>
    <t xml:space="preserve">50 years </t>
  </si>
  <si>
    <t xml:space="preserve">30 years </t>
  </si>
  <si>
    <t>bioenergy; biofuels; wood pellets; greenhouse gas emissions; climate change; system dynamics</t>
  </si>
  <si>
    <t>FOREST BIOMASS; CARBON; POLICY; GROWTH</t>
  </si>
  <si>
    <t>Sterman, JD; Siegel, L; Rooney-Varga, JN</t>
  </si>
  <si>
    <t>Does replacing coal with wood lower CO2 emissions? Dynamic lifecycle analysis of wood bioenergy</t>
  </si>
  <si>
    <t>Bioenergy is booming as nations seek to cut their greenhouse gas emissions. The European Union declared biofuels to be carbon-neutral, triggering a surge in wood use. But do biofuels actually reduce emissions? A molecule of CO2 emitted today has the same impact on radiative forcing whether it comes from coal or biomass. Biofuels can only reduce atmospheric CO2 over time through post-harvest increases in net primary production (NPP). The climate impact of biofuels therefore depends on CO2 emissions from combustion of biofuels versus fossil fuels, the fate of the harvested land and dynamics of NPP. Here we develop a model for dynamic bioenergy lifecycle analysis. The model tracks carbon stocks and fluxes among the atmosphere, biomass, and soils, is extensible to multiple land types and regions, and runs in approximate to 1s, enabling rapid, interactive policy design and sensitivity testing. We simulate substitution of wood for coal in power generation, estimating the parameters governing NPP and other fluxes using data for forests in the eastern US and using published estimates for supply chain emissions. Because combustion and processing efficiencies for wood are less than coal, the immediate impact of substituting wood for coal is an increase in atmospheric CO2 relative to coal. The payback time for this carbon debt ranges from 44-104 years after clearcut, depending on forest type-assuming the land remains forest. Surprisingly, replanting hardwood forests with fast-growing pine plantations raises the CO2 impact of wood because the equilibrium carbon density of plantations is lower than natural forests. Further, projected growth in wood harvest for bioenergy would increase atmospheric CO2 for at least a century because new carbon debt continuously exceeds NPP. Assuming biofuels are carbon neutral may worsen irreversible impacts of climate change before benefits accrue. Instead, explicit dynamic models should be used to assess the climate impacts of biofuels.</t>
  </si>
  <si>
    <t>10.1088/1748-9326/aaa512</t>
  </si>
  <si>
    <t>Change in atmospheric CO2 if 1 EJ of end-use energy from coal were orfset by zero carbon energy source (e.g. solar)</t>
  </si>
  <si>
    <t>BAU (coal)</t>
  </si>
  <si>
    <t>Solar</t>
  </si>
  <si>
    <t>ppm</t>
  </si>
  <si>
    <t>Several self-calculated based on conversion of wood to energy versus coal, however Sterman calculates that wood pellets emit approximately 0.071 tC more CO2 per GJ of end-use energy than coal</t>
  </si>
  <si>
    <t>this paper</t>
  </si>
  <si>
    <t>Bioenergy assumed to have greater emissions than coal; Realistic combustion and processing efficiency in supply chain emissions; 95% removal of biomass with clearcut; NOT ALLOWED TO REGROW; WITH decomp emissions; Oak Hickory forest</t>
  </si>
  <si>
    <t>Bioenergy assumed to have greater emissions than coal; Realistic combustion and processing efficiency in supply chain emissions; 95% removal of biomass with clearcut; NOT ALLOWED TO REGROW; WITH decomp emissions;  Loblolly pine forest</t>
  </si>
  <si>
    <t>Bioenergy assumed to have greater emissions than coal; Realistic combustion and processing efficiency in supply chain emissions; 95% removal of biomass with clearcut; NOT ALLOWED TO REGROW; no decomp emissions; Oak Hickory forest</t>
  </si>
  <si>
    <t>Bioenergy assumed to have greater emissions than coal; Realistic combustion and processing efficiency in supply chain emissions; 95% removal of biomass with clearcut; NOT ALLOWED TO REGROW; no decomp emissions;  Loblolly pine forest</t>
  </si>
  <si>
    <t>Bioenergy assumed to have greater emissions than coal; Realistic combustion and processing efficiency in supply chain emissions; 95% removal of biomass with clearcut; Oak Hickory forest</t>
  </si>
  <si>
    <t>Bioenergy assumed to have greater emissions than coal; Realistic combustion and processing efficiency in supply chain emissions; 25% removal of biomass with thinning; Oak Hickory forest</t>
  </si>
  <si>
    <t>Bioenergy assumed to have same emissions as coal, same combustion and processing efficiency in supply chain emissions; 25% removal of biomass with thinning; Oak Hickory forest</t>
  </si>
  <si>
    <t>Bioenergy assumed to have greater emissions than coal; Realistic combustion and processing efficiency in supply chain emissions; 25% removal of biomass with thinning;  Loblolly pine forest</t>
  </si>
  <si>
    <t>Bioenergy assumed to have greater emissions than coal; Realistic combustion and processing efficiency in supply chain emissions; 95% removal of biomass with clearcut;  Loblolly pine forest</t>
  </si>
  <si>
    <t>Bioenergy assumed to have same emissions as coal, same combustion and processing efficiency in supply chain emissions; 25% removal of biomass with thinning; Loblolly pine forest</t>
  </si>
  <si>
    <t>ENERGY REPORTS</t>
  </si>
  <si>
    <t>Life cycle net zero carbon building; Building information modelling; Building energy simulation; Life cycle assessment; Life cycle cost; Compact house</t>
  </si>
  <si>
    <t>LCA; CONSTRUCTION</t>
  </si>
  <si>
    <t>Szalay, Z; Szagri, D; Bihari, A; Nagy, B; Kiss, B; Horvath, M; Medgyasszay, P</t>
  </si>
  <si>
    <t>Development of a life cycle net zero carbon compact house concept</t>
  </si>
  <si>
    <t>The paper presents the development process of an innovative, prefabricated compact house, which aims at creating a net zero greenhouse gas emission building design over the whole life cycle. Building Information Modelling helped to quantify the required building materials. Dynamic building simulations were performed in DesignBuilder to calculate the energy demand of the building for the operational period. To evaluate the financial feasibility and the carbon balance of the building, life cycle assessment and life cycle costing were used. A heat and moisture transfer simulation was carried out to provide a more accurate analysis and to identify possible moisture problems.The assessment showed that the ratio of embodied impacts and operational impacts is typically 1:2 for wooden buildings and 1:1.5 for brick buildings. Life cycle carbon neutrality could be achieved in both cases with additional photovoltaic panels installed on the roof. However, a major difference between timber and brick buildings is the time factor: while the initial emissions from the production of brick buildings are gradually offset with excess solar energy, timber buildings act as carbon storage with negative emissions over the study period and the carbon is only released at the eventual end -of-life stage. The necessary size of photovoltaics is largely influenced by the avoided grid impact: if dynamic decarbonization of the electricity mix is considered, the size of photovoltaics required is about 1.5 times larger to offset the environmental load of the construction due to the diminishing benefits.(c) 2022 The Author(s). Published by Elsevier Ltd. This is an open access article under the CC BY-NC-ND license (http://creativecommons.org/licenses/by-nc-nd/4.0/).</t>
  </si>
  <si>
    <t>Energy Rep.</t>
  </si>
  <si>
    <t>10.1016/j.egyr.2022.09.197</t>
  </si>
  <si>
    <t>brick_V02_same</t>
  </si>
  <si>
    <t>CC_V02_wood</t>
  </si>
  <si>
    <t>Hungary</t>
  </si>
  <si>
    <t>INTERNATIONAL HIGH-PERFORMANCE BUILT ENVIRONMENT CONFERENCE - A SUSTAINABLE BUILT ENVIRONMENT CONFERENCE 2016 SERIES (SBE16), IHBE 2016</t>
  </si>
  <si>
    <t>construction materials; construction industry; engineered wood products; input-output modelling; residential and non-residential buildings</t>
  </si>
  <si>
    <t>LIFE-CYCLE ASSESSMENT; CARBON FOOTPRINT; OUTPUT; GEOPOLYMER; EMISSIONS; CONCRETE</t>
  </si>
  <si>
    <t>Teh, SH; Wiedmann, T; Schinabeck, J; Moore, S</t>
  </si>
  <si>
    <t>Replacement scenarios for construction materials based on economy-wide hybrid LCA</t>
  </si>
  <si>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</si>
  <si>
    <t>10.1016/j.proeng.2017.04.177</t>
  </si>
  <si>
    <t>% of CLT buildings in the residential "building stock" (total amount of buildings built in a given year)</t>
  </si>
  <si>
    <t>Timber with sequestration</t>
  </si>
  <si>
    <t>Not available</t>
  </si>
  <si>
    <t>Implicit reference scenario for wood = it is not harvested (otherwise, storage in HWP should deduct what would have happened to harvested wood without rise in CLT buildings). Interestingly, the effect on the entire economy of the substitution of concrete by CLT in buildings is much higher (last two lines) than the effect on the sole building sector (sum of lines 1 and 3 or 2 and 4). I'm not sure I understand why. If useful, a "non-zero" BAU can be selected for the first four lines: linear growth of CLT share from 0 to 100% is simulated.</t>
  </si>
  <si>
    <t>% of CLT buildings in the "building stock" (total amount of buildings built in a given year)</t>
  </si>
  <si>
    <t>% of CLT buildings in the commercial "building stock" (total amount of buildings built in a given year)</t>
  </si>
  <si>
    <t>Timber without sequestration</t>
  </si>
  <si>
    <t>INTERNATIONAL JOURNAL OF FOREST ENGINEERING</t>
  </si>
  <si>
    <t>Bioenergy; technological innovations; value chains; sustainability; Renewable Energy Directive targets</t>
  </si>
  <si>
    <t>ENERGY; PRODUCTIVITY; OPERATIONS; HARVEST; FINLAND; STUMPS; FUELS; CHIPS; COST; WOOD</t>
  </si>
  <si>
    <t>Tuomasjukka, D; Martire, S; Lindner, M; Athanassiadis, D; Kuhmaier, M; Tumajer, J; Vis, M; Spinelli, R; Dees, M; Prinz, R; Routa, J; Asikainen, A</t>
  </si>
  <si>
    <t>Sustainability impacts of increased forest biomass feedstock supply - a comparative assessment of technological solutions</t>
  </si>
  <si>
    <t>Sustainably managed forests provide renewable raw material that can be used for primary/secondary conversion products and as biomass for energy generation. The potentially available amounts of timber, which are still lower than annual increments, have been published earlier. Access to this timber can be challenging for small-dimensioned assortments; however, technologically improved value chains can make them accessible while fulfilling economic and environment criteria. This paper evaluates the economic, environmental and social sustainability impacts of making the potentially available timber available with current and technologically improved value chains. This paper focuses on increasing the biomass feedstock supply for energy generation. Quantified impact assessments show which improvements - in terms of costs, employment, fuel and energy use, and reduced greenhouse gas emissions - can be expected if better mechanized machines are provided. Using three different methods - Sustainability Impacts Assessment (SIA), Life Cycle Assessment (LCA), and Emission Saving Criteria (ESC) - we calculated current and innovative machine solutions in terms of fuel use, energy use, and greenhouse gas emissions, to quantify the impact of the technology choice and also the effect of the choice of assessment method. Absolute stand-alone values can be misleading in analyses, and the use of different impact calculation approaches in parallel is clarifying the limits of using LCA-based approaches. The ESC has been discussed for the recast of the Renewable Energy Directive. Potential EU-wide results are presented.</t>
  </si>
  <si>
    <t>Int. J. Forest Eng.</t>
  </si>
  <si>
    <t>10.1080/14942119.2018.1459372</t>
  </si>
  <si>
    <t>Improvement in harvest machinery</t>
  </si>
  <si>
    <t>CEU Thinning with harvester
with MAMA head in CTL
system</t>
  </si>
  <si>
    <t>gCO2/MJ</t>
  </si>
  <si>
    <t>Improvement in chipping machinery</t>
  </si>
  <si>
    <t>Chipping with Hybrid chipper</t>
  </si>
  <si>
    <t>Chipping with Pezzolato chipper</t>
  </si>
  <si>
    <t>Improvement in harvest and chipping machinery</t>
  </si>
  <si>
    <t>Harvesting with combi harvester and chipper</t>
  </si>
  <si>
    <t>LIFE-CYCLE INVENTORY; CARBON SEQUESTRATION; EMISSIONS; SUSTAINABILITY; RESOURCES; OPTIONS; TERMS</t>
  </si>
  <si>
    <t>Ullah, N; Bano, SA; Habiba, U; Sabir, M; Akhtar, A; Ramzan, S; Shoukat, A; Israr, M; Shah, S; Nizami, SM; Hussain, M</t>
  </si>
  <si>
    <t>Environmental impacts, water footprint and cumulative energy demand of match industry in Pakistan</t>
  </si>
  <si>
    <t>A comprehensive life cycle assessment (LCA) was conducted for the matchsticks industry in the Khyber Pakhtunkhwa province of Pakistan to quantify environmental footprint, water footprint, cumulative energy use, and to identify improvement opportunities in the matchsticks manufacturing process. One carton of matchsticks was used as reference unit for this study. Foreground data was collected from the matchsticks industry through questionnaire surveys, personal meetings, and field measurements. The collected data was transformed into potential environmental impacts through the Centre for Environment Studies (CML) 2000 v.2.05 method present by default in the SimaPro v.9.1 software. Water footprint was calculated using methodology developed by Hoekstra et al., 2012 (water scarcity index) V1.02 and cumulative energy demand by SimaPro v.9.1 software. The results showed that transport of primary material (wood logs), sawn wood for matchsticks, red phosphorous, acrylic varnish, and kerosene fuel oil contributed to the overall environmental impacts. Transport of primary materials and sawn timber for matchsticks contributed significantly to abiotic depletion, global warming, eutrophication potential, ozone depletion, corrosion, human toxicity, and aquatic ecotoxicity effects. The total water footprint for manufacturing one carton of matchsticks was 0.265332 m(3), whereas the total cumulative energy demand was 715.860 Mega Joules (MJ), mainly sourced from non-renewable fossil fuels (708.979 MJ). Scenario analysis was also conducted for 20% and 30% reduction in the primary material distance covered by trucks and revealed that reducing direct material transport distances could diminish environmental impacts and energy consumption. Therefore, environmental footprint could be minimized through diverting matchsticks industries freight from indigenous routes to high mobility highways and by promoting industrial forestry close to industrial zones in Pakistan. Many industries did not have emissions control systems, exceeding the permissible limit for emissions established by the National Environmental Quality Standards (NEQS) of Pakistan. Thus, installation of emissions control system could also diminish emissions from match industry in Pakistan.</t>
  </si>
  <si>
    <t>10.1371/journal.pone.0251928</t>
  </si>
  <si>
    <t>Reduction in primary transport (transport of logs)</t>
  </si>
  <si>
    <t>20% reduction</t>
  </si>
  <si>
    <t>kg CO2e</t>
  </si>
  <si>
    <t>Pakistan</t>
  </si>
  <si>
    <t>30% reduction</t>
  </si>
  <si>
    <t>ACTA FACULTATIS XYLOLOGIAE ZVOLEN</t>
  </si>
  <si>
    <t>environmental impact; structural wood; eco-design; life cycle assessment; glulam; plywood; three-layer solid wood panel</t>
  </si>
  <si>
    <t>LIFE-CYCLE; TIMBER; LCA; BENEFITS</t>
  </si>
  <si>
    <t>Vanova, R; Stefko, J</t>
  </si>
  <si>
    <t>ASSESSMENT OF SELECTED TYPES OF THE STRUCTURAL ENGINEERED WOOD PRODUCTION FROM THE ENVIRONMENTAL POINT OF VIEW</t>
  </si>
  <si>
    <t>According to recent findings, the construction industry contributes to almost 40% of global CO2 emissions. Life Cycle Assessment is one of the methods assessing the anthropogenic impact on the environment. This paper compares the production of selected types of structural wood-glued laminated timber (glulam), plywood and three-layer solid wood panel (SWP) in terms of their environmental impact. The results of this analysis are important especially for designers and architects, who can reduce the environmental footprint by choosing materials already in the design phase and thus be part of the building eco-design creation. This direction is becoming increasingly popular in the world and, in addition, it increases market competitiveness. The selected structural wood products were compared using the IMPACT 2002+ method and SimaPro 8.5.2 software was used for the assessment. Characterization and single score results were assessed. Glulam for indoor use achieved the lowest total environmental impact. On the other side, plywood for outdoor use was found the worst one of the assessed products. The two most affected impact category for all evaluated wood products was the impact on Human health and Ecosystem quality, respectively. Generally, plywood products present a considerable environmental burden, therefore it could be replaced by SWP. The study also showed the importance of production technology in the environmental context.</t>
  </si>
  <si>
    <t>Acta Fac.Xylol. Zvolen</t>
  </si>
  <si>
    <t>10.17423/afx.2021.63.2.10</t>
  </si>
  <si>
    <t>Type of board manufacturing technique</t>
  </si>
  <si>
    <t>Softwood board planned and undried</t>
  </si>
  <si>
    <t>Softwood board unplanned and dried</t>
  </si>
  <si>
    <t>kg CO2e m-3 of product</t>
  </si>
  <si>
    <t>Type of engineered wood</t>
  </si>
  <si>
    <t>Glulam, indoor use</t>
  </si>
  <si>
    <t>SWP</t>
  </si>
  <si>
    <t>Glulam, outdoor use</t>
  </si>
  <si>
    <t>Species type (softwood vs hardwood) for veneer</t>
  </si>
  <si>
    <t>Hardwood veneer</t>
  </si>
  <si>
    <t>Softwood veneer</t>
  </si>
  <si>
    <t>Plywood, indoor use</t>
  </si>
  <si>
    <t>Plywood, outdoor use</t>
  </si>
  <si>
    <t>BIORESOURCES</t>
  </si>
  <si>
    <t>Solid wood bed; Dijkstra algorithms; Greenhouse gas; Sawn timber; Laminated timber</t>
  </si>
  <si>
    <t>LIFE-CYCLE ASSESSMENT; SUSTAINABILITY; DESIGN; FORMULATION; PRODUCTS; EMISSION; IMPACT; COST</t>
  </si>
  <si>
    <t>Wang, H; Wu, JZ; Chen, ZL</t>
  </si>
  <si>
    <t>Carbon Footprint Accounting and Low-Carbon Path Optimization for Imported Timber-based Wooden Furniture Supply Chains</t>
  </si>
  <si>
    <t>Using an imported timber-based solid wood box bed (2000 mm x 1800 mm) as the functional unit, the ILCD 2011 midpoint assessment method was used to measure the life cycle carbon emissions of the product. Using this assessment, the Dijkstra algorithm was adopted to determine the shortest supply chain path and to obtain the minimum carbon footprint of the supply chain. Results showed that the total carbon footprint of the wood bed was 464 kg for the control case. For experimental cases, the carbon footprint ranged from 456 kg to 517 kg CO2-eq. The upstream process was identified as the primary contributor to the carbon footprint, accounting for 74.6% to 80.7% of the total carbon footprint, followed by the downstream and the core-stream processes. Configuration of a timber harvesting system with lower fuel consumption, purchasing timber from areas within shorter transportation distance, and reducing the proportion of incineration for waste treatment were feasible solutions to reduce the carbon footprint of the product. A case study optimizing the low-carbon path for the wooden furniture supply chain determined the shortest path for the participants in each link, such that the minimum total carbon footprint of the supply chain was 463 kg CO2-eq.</t>
  </si>
  <si>
    <t>BioResources</t>
  </si>
  <si>
    <t>10.15376/biores.16.4.6870-6890</t>
  </si>
  <si>
    <t>waste treatment</t>
  </si>
  <si>
    <t>90% incineration/10% landfill</t>
  </si>
  <si>
    <t>60% incineration/40% landfill</t>
  </si>
  <si>
    <t>volume of timber consumed</t>
  </si>
  <si>
    <t>text p6875</t>
  </si>
  <si>
    <t>fig4d</t>
  </si>
  <si>
    <t>S5</t>
  </si>
  <si>
    <t>text p6882</t>
  </si>
  <si>
    <t>domestic transportation distance</t>
  </si>
  <si>
    <t>400km</t>
  </si>
  <si>
    <t>800km</t>
  </si>
  <si>
    <t>origins of imported timber</t>
  </si>
  <si>
    <t>PROCEEDINGS OF THE INSTITUTION OF CIVIL ENGINEERS-ENERGY</t>
  </si>
  <si>
    <t>energy; environment; waste management &amp; disposal</t>
  </si>
  <si>
    <t>WOOD</t>
  </si>
  <si>
    <t>Weight, DH</t>
  </si>
  <si>
    <t>Embodied through-life carbon dioxide equivalent assessment for timber products</t>
  </si>
  <si>
    <t>This study illustrates the relative importance of embodied energy to buildings and summarises the broad merits of various material types. It then focuses on timber, being the most abundant bio-renewable material used. An audit is carried out on carbon flows from forest to end of life for timber products, initially based on the assumption that the timber will be disposed of to landfill at the end of life, and then considering alternative scenarios. The author challenges a common view that, when landfilled, nearly all the embodied carbon dioxide will be eventually released by rotting and that carbon dioxide sequestration should therefore be excluded. Two opposing arguments are given. Firstly, when landfilled, only a relatively small percentage of the embodied carbon will be released by rotting. Secondly, it is very probable that in the future most waste wood, rather than being landfilled, will be used as fuel, when it will displace some fossil fuel that would otherwise have been used. The study includes a sensitivity analysis of carbon dioxide equivalent emissions per final kilogramme of product and provides a summary of six scenarios, covering manufacturing complexity, various end-of-life scenarios and, most importantly, the provenance of the timber and the effect of sustainable forest management. A further sensitivity study is carried out for all scenarios on different levels of economic allocation and fossil fuel displacement.</t>
  </si>
  <si>
    <t>Proc. Inst. Civ. Eng.-Energy</t>
  </si>
  <si>
    <t>10.1680/ener.2011.164.4.167</t>
  </si>
  <si>
    <t>Type of timber product (raw sawn structural timber vs highly engineered wooden windows)</t>
  </si>
  <si>
    <t>Scenario C: structural timber (EoL = incineration for electricity)</t>
  </si>
  <si>
    <t>Scenario E: highly engineered wooden windows (EoL = incineration for electricity)</t>
  </si>
  <si>
    <t>kgCO2e m-3 of dry harvested timber wood</t>
  </si>
  <si>
    <t>Surprising functional unit (m3 of dry harvested timber wood, followed by economic allocation of impacts between timber and co-products, the reported impact being that of timber). Scenario F Excluded: the deforestation scenario double counts emissions from wood (once when deforestation occurs and a second time at the EoL of wood products whereas the reference scenario counts them only once, and counts storage as the cleared forest stand is assumed to regrow</t>
  </si>
  <si>
    <t>End of life (landfill vs methane capture and burning for electricity)</t>
  </si>
  <si>
    <t>Scenario A: uncovered landfill</t>
  </si>
  <si>
    <t>Scenario B: landfill with methane capture and burning for electricity</t>
  </si>
  <si>
    <t>okAV</t>
  </si>
  <si>
    <t>End of life (landfill vs incineration for electricity)</t>
  </si>
  <si>
    <t>Scenario C: incineration for electricity</t>
  </si>
  <si>
    <t>End of life (landfill vs incineration for CHP)</t>
  </si>
  <si>
    <t>Scenario D: incineration for CHP</t>
  </si>
  <si>
    <t>carbon dioxide (CO2) emissions; greenhouse gas (GHG) emissions; harvested wood products (HWPs); industrial ecology; power grid; wastepaper recycling</t>
  </si>
  <si>
    <t>LIFE-CYCLE ASSESSMENT; TECHNOLOGY</t>
  </si>
  <si>
    <t>Wells, JR; Boucher, JF; Laurent, AB; Villeneuve, C</t>
  </si>
  <si>
    <t>Carbon Footprint Assessment of a Paperback Book Can Planned Integration of Deinked Market Pulp be Detrimental to Climate?</t>
  </si>
  <si>
    <t>This study presents the carbon footprint of a paperback book for which the cover and inside papers were produced in the United States and printed in Canada. The choice of paper mills for both cover and page papers was based on criteria such as percentage of recycled content in the pulp mix, transport distances (pulp mill to paper mill, paper mill to print), and technologies. The cradle-to-gate assessment of greenhouse gas (GHG) emissions follows recognized guidelines for carbon footprint assessment. The results show that the production of 400,000 books, mainly distributed in North America, would generate 1,084 tonnes carbon dioxide equivalent (CO2-eq), or 2.71 kilograms (kg) CO2-eq per book. The impact of using deinked market pulp (DMP) is shown here to be detrimental, accounting for 54% of total GHG emissions and being 32% higher than reference virgin Kraft pulp. This supports findings that DMP mill GHG emissions strongly correlate with the carbon intensity of the power grid supplying the pulp mill and that virgin Kraft mills that reuse wood residue and black liquor to produce heat and electricity can achieve lower GHG emissions per tonne of pulp produced. Although contrary to common thinking, this is consistent with the Paper Task Force 2002 conclusion for office paper (the closest paper grade to writing paper or fine paper) (EDF 2002a). To get a cradle-to-grave perspective, three different end-of-life (EOL) scenarios were analyzed, all of which included a harvested wood product (HWP) carbon storage benefit for 25 years. The GHG offset concept within the context of the book editor's carbon-neutral paper claims is also discussed.</t>
  </si>
  <si>
    <t>10.1111/j.1530-9290.2011.00414.x</t>
  </si>
  <si>
    <t>Share of recycled books</t>
  </si>
  <si>
    <t>EOL-A: 100% landfill</t>
  </si>
  <si>
    <t>EOL-B: 100% recycling</t>
  </si>
  <si>
    <t>kgCO2e per book</t>
  </si>
  <si>
    <t>There are also four other scenarios compared, involving virgin pulp, but it's difficult to understand what are the scenarios and how the results add up to something comparable.</t>
  </si>
  <si>
    <t>EOL-C: 50% recycling, 50% landfill</t>
  </si>
  <si>
    <t>FRONTIERS IN ENVIRONMENTAL SCIENCE</t>
  </si>
  <si>
    <t>climate change mitigation; harvested wood products; production approach; recovered paper; IPCC; carbon stock</t>
  </si>
  <si>
    <t>BUDGET; FORESTS; CYCLE; SEQUESTRATION; CONSEQUENCES; CONSTRUCTION; STORAGE; MODELS; SECTOR; SINK</t>
  </si>
  <si>
    <t>Yu, ZH; Zhang, H; Tu, QS; Yang, HQ</t>
  </si>
  <si>
    <t>Methodological Comparison of the Production Approach 2013 and 2019 for Quantifying the Carbon Stock in Harvested Wood Products in China</t>
  </si>
  <si>
    <t>Harvested wood products (HWP) play an important role in global climate change mitigation. The Production Approach, an internationally accepted HWP carbon accounting approach by the Intergovernmental Panel on Climate Change (IPCC), has been revised several times to enhance the accuracy of the accounting results. This study compared the methodological differences in the Production Approach elaborated in the 2013 Revised Supplementary Methods and Good Practice Guidance Arising from the Kyoto Protocol (PA2013) and 2019 Refinement to the 2006 IPCC Guidelines for National Greenhouse Gas Inventories (PA2019). We used PA2019 to calculate the HWP carbon stock in China under different wood utilization scenarios. In terms of recycling and reusing of recovered paper, we found that PA2019 has a more accurate representation of the increasing proportion of paper and paperboard materials produced using recovered paper in the world. In 2019, the HWP carbon stock in China was 815.94 Mt (1 Mt = 10(6) t) using PA2019. In detail, the carbon stock of sawnwood, wood-based panels, and paper and paperboard were 208.52 Mt, 559.73 Mt, and 47.69 Mt, respectively. Scenario simulation results show that half-life was an important factor that affecting HWP carbon stock. China can improve HWP carbon stock by increasing the recovered paper utilization rate for paper products or increasing the utilization rate of HWP with long half-life in construction (structural material). The additional carbon stock obtained by changing the utilization structure of wood and improve the half-life of HWP will not be large until decades later but nonetheless important.</t>
  </si>
  <si>
    <t>Front. Environ. Sci.</t>
  </si>
  <si>
    <t>10.3389/fenvs.2022.758857</t>
  </si>
  <si>
    <t>scenario of wood utilization</t>
  </si>
  <si>
    <t>bau</t>
  </si>
  <si>
    <t>Clinker; Greenhouse gas; Landfill; Life cycle assessment; Low carbon fuel</t>
  </si>
  <si>
    <t>ENVIRONMENTAL ASSESSMENT; ALTERNATIVE FUELS; LCA; ENERGY; TOOL</t>
  </si>
  <si>
    <t>Zhang, LH; Mabee, WE</t>
  </si>
  <si>
    <t>Comparative study on the life-cycle greenhouse gas emissions of the utilization of potential low carbon fuels for the cement industry</t>
  </si>
  <si>
    <t>A life cycle assessment (LCA) model has been developed to evaluate the greenhouse gas (GHG) emissions associated with the use of alternative fuels in the production of clinker, an intermediate product in the manufacture of cement, and to confirm the categorization of these alternatives as low carbon fuels (LCFs) compared to the conventional use of fossil fuels. This model has included all GHG emission sources associated with clinker production, such as the kiln process, production and transportation of raw materials and fuels, and electricity production. Four potential LCFs are investigated including construction and demolition (C&amp;D) wood waste, asphalt shingles, railway ties, and plastics. At the case study plant (Lafarge Cement in Bath, Ontario), the model estimates that the production of 1 metric tonne (t) of clinker produces a total of 971.4 kg of carbon dioxide equivalents (including all GHGs from fuels and raw materials), of which 388.6 kg CO2-e are associated with combustion of fossil fuels at a mixture of 99 wt% petroleum coke and 1 wt% coal. Emissions are decreased to 582.6 kg CO2-eit clinker (a 40% reduction) when 100% fossil fuels are replaced with C&amp;D wood waste, in which all carbon is from biogenic sources. If the volume of C&amp;D waste required to fuel 100% of cement plant operation were to be diverted from a typical landfill (with no flaring or energy recovery), emissions equivalent to 488.6 kg of CO2-eit clinker would be avoided. Using 100% C&amp;D waste, the reduced emissions in energy production coupled with avoided emissions at the landfill would effectively reduce total emissions at the plant by more than 90% compared to the baseline emissions associated with fossil fuel use. All four of the alternative fuels examined with the model provided significant GHG emission reductions at higher substitution rates, confirming their characterization as LCFs, and suggesting that the use of LCFs in cement manufacture can be effective in reducing emissions associated with global warming. Since the LCA model is able to predict the global warming potential (GWP) for any potential LCFs at any substitution ratios, it may be used as a pre-screening tool for the selection of future LCFs for the cement and other carbon-intensive industries, facilitating increased LCF usage and hence contributing to GHG reductions across the cement sector. (C) 2016 Elsevier Ltd. All rights reserved.</t>
  </si>
  <si>
    <t>10.1016/j.jclepro.2016.02.019</t>
  </si>
  <si>
    <t>Recycling wood from building demolition as fuel for clinker production instead of landfilling with methane flaring</t>
  </si>
  <si>
    <t>C&amp;D wood waste</t>
  </si>
  <si>
    <t>kgCO2e/t clinker</t>
  </si>
  <si>
    <t>One could probably deduct the amount of wood based on the amount of landfill methane but it is not a straightforward estimate and there is no way in the article to check the order of magnitude of the result.</t>
  </si>
  <si>
    <t>Recycling wood from building demolition as fuel for clinker production instead of landfilling with methane capture and burning for electricity</t>
  </si>
  <si>
    <t>Recycling wood from railway ties as fuel for clinker production instead of landfilling with methane flaring</t>
  </si>
  <si>
    <t>Recycling wood from railway ties as fuel for clinker production instead of landfilling with methane capture and burning for electricity</t>
  </si>
  <si>
    <t>Recycling wood from building demolition as fuel for clinker production instead of landfilling</t>
  </si>
  <si>
    <t>Recycling wood from railway ties as fuel for clinker production instead of landfilling</t>
  </si>
  <si>
    <t>FRESENIUS ENVIRONMENTAL BULLETIN</t>
  </si>
  <si>
    <t>Timber production; Operation models; GHG emissions; Life cycle assessment; Emission reduction; Energy consumption</t>
  </si>
  <si>
    <t>CARBON FOOTPRINT; ENERGY-CONSUMPTION; TEMPERATURE-DEPENDENCE; FOREST; ELECTRICITY; NETWORK; SEQUESTRATION; DYNAMICS; MIGRANTS; INDUSTRY</t>
  </si>
  <si>
    <t>Zhou, Y; Zheng, LF; Zhou, XN; Hu, XS; Wu, ZL; Zhou, CJ; Li, D</t>
  </si>
  <si>
    <t>GREENHOUSE GAS (GHG) EMISSIONS AND THE OPTIMUM OPERATION MODEL OF TIMBER PRODUCTION SYSTEMS IN SOUTHERN CHINA</t>
  </si>
  <si>
    <t>Deforestation as an activity of forest management is an intermediate link in timber production. Different models of timber production make a difference in GHG emissions and to a certain extent affect the sustainable development of the ecological environment. Accordingly, due to global climate change, energy conservation and emission reduction have become critical issues concerning all humans. This paper taking the operating systems of timber production in the southern China, as a case study, and GHG emissions and the optimum operation model of timber production are analysed with the B2B model of life cycle assessment (LCA) and the current forest industry standard. The results indicate that the total emissions of GHG range between 11.600 9 kg/m(3) and 15.303 6 kg/m(3), accounting for approximately 4.5 percent to 5.5 percent of their carbon sequestration abilities. Direct GHG emissions generated by fuel consumption during harvesting, skidding, loading, transportation and production are the primary emissions, accounting for approximately 69.1 percent to 91.5 percent of the total emissions. Moreover, the emission of every type of GHG is lowest under model IV (which included chainsaw cutting, cableway skidding, winch loading, diesel vehicle transportation and vehicle transmission). From the perspective of ecology, therefore, model IV is the optimal operation model. On the other hand, the emission from timber transportation is highest, accounting for approximately 61.5 percent to 72.3 percent. Therefore, appropriate operation models should be choose according to the mechanical production and management, production tasks and scales, foundations of forest mechanization and economic conditions. In terms of carbon reduction, improvement of the mechanical equipment efficiency, operation skills and utilization of new energy resources should be considered.</t>
  </si>
  <si>
    <t>Fresenius Environ. Bull.</t>
  </si>
  <si>
    <t>Zhou_2015_no_DOI</t>
  </si>
  <si>
    <t>Transport vehicle efficiency</t>
  </si>
  <si>
    <t>kgCO2/m3 of harvestable wood</t>
  </si>
  <si>
    <t>Skidding technology</t>
  </si>
  <si>
    <t>Skidding technology &amp; transport vehicle efficiency</t>
  </si>
  <si>
    <t>no delta wood</t>
  </si>
  <si>
    <t>ecosystem services; biodiversity; wood production; carbon sequestration; forest management; sustainability; simulation; Europe</t>
  </si>
  <si>
    <t>ECOSYSTEM SERVICES; CLIMATE-CHANGE; TREE MORTALITY; MANAGEMENT; IMPACTS; MONOCULTURES; STRATEGIES; DIVERSITY; CONFLICTS; DROUGHT</t>
  </si>
  <si>
    <t>Biber, P; Felton, A; Nieuwenhuis, M; Lindbladh, M; Black, K; Bahyl, J; Bingol, O; Borges, JG; Botequim, B; Brukas, V; Bugalho, MN; Corradini, G; Eriksson, LO; Forsell, N; Hengeveld, GM; Hoogstra-Klein, MA; Kadiogullari, AI; Karahalil, U; Lodin, I; Lundholm, A; Makrickiene, E; Masiero, M; Mozgeris, G; Pivoriunas, N; Poschenrieder, W; Pretzsch, H; Sedmak, R; Tucek, J</t>
  </si>
  <si>
    <t>Forest Biodiversity, Carbon Sequestration, and Wood Production: Modeling Synergies and Trade-Offs for Ten Forest Landscapes Across Europe</t>
  </si>
  <si>
    <t>Europe&amp;apos;s forests provide vital habitat for biodiversity and essential ecosystem services whose provision must be sustained or enhanced over the coming century. However, the potential to secure or increase forest ecosystem services, while securing the habitat requirements of taxa remains unclear, especially within the context of uncertain climate and socio-economic developments. To tease out the associated trade-offs and synergies, we used 10 case study landscapes within nine countries throughout Europe. Starting with the current status of the forests in the case study landscapes, we simulated forest development 100 years into the future. Simulations were embedded in three combined climate and socio-economic frame scenarios based on global and European policies which varied in their climate change mitigation efficiency. Scenarios were translated into country specific projections of climate variables, and resultant demands for wood products. Forest management regimes were projected to vary in response to these scenarios at local scales. The specific combinations of alternative forest management practices were based on parallel research and input from local forest stakeholders. For each case study, a specific forest growth simulator was used. In general, the climate scenarios applied did not cause fundamentally different ecosystem service outputs at the case study level. Our results revealed almost no reduction in outcomes for biodiversity indicators with an increase in wood production, and in some cases synergistic results occurred when diversity was actively promoted as part of the management concept. Net carbon uptake was not strongly correlated with biodiversity, indicating that biodiversity-friendly forest management doesn&amp;apos;t need to curtail carbon sequestration. Notably, we obtained heterogeneous results for the relation between sustainable wood production and net carbon uptake. Most scenarios resulted in a more or less reduced net carbon uptake over the long term, often due to stand age class distribution shifts. Levels of sustainable wood production varied widely during the simulation period, from significant increases (Sweden, Lithuania) to minor changes (Slovakia, Turkey) and slight decreases (Ireland, Netherlands). We place our results within the larger context of European forest policy and the challenges of simulating and contrasting forest biodiversity and the ecosystem services that societies depend on.</t>
  </si>
  <si>
    <t>10.3389/fevo.2020.547696</t>
  </si>
  <si>
    <t>changed_to_C_output_cannot_be_cumulated</t>
  </si>
  <si>
    <t>bioenergy; climate impact; forest biomass; forest management; radiative forcing; substitution</t>
  </si>
  <si>
    <t>ENERGY WOOD PRODUCTION; CARBON NEUTRALITY; NORWAY SPRUCE; BIOENERGY; EMISSIONS; TIMBER; RESIDUES; FINLAND; STAND; DEBT</t>
  </si>
  <si>
    <t>Kilpelainen, A; Torssonen, P; Strandman, H; Kellomaki, S; Asikainen, A; Peltola, H</t>
  </si>
  <si>
    <t>Net climate impacts of forest biomass production and utilization in managed boreal forests</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</si>
  <si>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</si>
  <si>
    <t>10.1111/gcbb.12243</t>
  </si>
  <si>
    <t>Biogenic carbon; Climate change mitigation; Time-dynamic LCA; Transport sector; Partial-equilibrium model</t>
  </si>
  <si>
    <t>LIFE-CYCLE ASSESSMENT; BIOMASS SUPPLY CHAINS; IMPACT ASSESSMENT; CLIMATE IMPACTS; SYSTEM BOUNDARIES; BIOENERGY SYSTEMS; TEMPORARY-STORAGE; CONSEQUENTIAL LCA; FOREST RESIDUES; KEY ISSUES</t>
  </si>
  <si>
    <t>Albers, A; Collet, P; Lorne, D; Benoist, A; Helias, A</t>
  </si>
  <si>
    <t>Coupling partial-equilibrium and dynamic biogenic carbon models to assess future transport scenarios in France</t>
  </si>
  <si>
    <t>Bioenergy systems are promoted in an effort to mitigate climate change, and policies are defined accordingly to be implemented in the coming decades. Life Cycle Assessment (LCA) is used to assess the environmental performance of bioenergy systems, yet subject to the limitations of static approaches. In classical LCA, no temporal differentiation is undertaken: all inventoried instant to long-term greenhouse gases emissions (GHG) are aggregated and characterised in the same way, over a fixed time horizon, by means of fixed characterisation factors. Positive and negative impact contributions of dynamic biogenic carbon (C-bio) sum up to zero, yielding the same result as carbon neutral estimates. Climate mitigation results are biased without the temporal consideration of these flows. The purpose of the study is to highlight the time-sensitive potential climatic consequences of policy-driven transport strategies for metropolitan France, in the specific context of the dynamic LCA framework and climate change mitigation. We therefore propose a dynamic approach coupling a partial equilibrium model (PEM) with dynamic C-bio models. The PEM analyses in detail the techno-economic performance of the metropolitan French energy-transport sector. It explores prospective optimization options (supply demand equilibrium) of emerging commodity and energy process pathways in response to a policy in question. The C-bio model generates dynamic inventories of the C-bio embedded in the primary renewable biomass outputs of the PEM. It captures the dynamic C-bio exchange flows between the atmosphere and the technosphere over time: negative emissions from fixation (sequestration) and positive emissions from release (e.g. combustion or decay). A dynamic impact method is applied to evaluate the mitigation effects of C-bio from forest wood residues by comparing the climate change impacts from complete carbon (fossil + biogenic) with carbon neutral inventories across scenarios. Two sets of results are computed concerning the overall transport (all emissions) and bioethanol (wood-to-fuel emissions) systems. The mitigation effect from long-term historic sequestration allocated to bioethanol (462%) is significantly larger than for transport (3%), expressed as the difference with carbon neutral estimates. The fossil-sourced emissions from bioethanol production represents only 5.4%. In contrast, a comparison with an alternative reference scenario involving wood decay demonstrated higher impacts (i.e. an increase of 316%) than carbon neutral estimates. The representation of the actual climatic consequences depends on the chosen fixed end-year of the dynamic impact assessment. Moreover, the mitigation effect is proven sensitive to the rotation length of forestry wood: the shorter the length the lower the mitigation from using renewable forest resources. Other energy-policy scenarios, C-bio modelling approaches and consequences of indirect effects should be further studied and contrasted.</t>
  </si>
  <si>
    <t>10.1016/j.apenergy.2019.01.186</t>
  </si>
  <si>
    <t>The "unharvested" forest compartment of the BAU scenario is not accounted. A sensitivity analysis on rotation length could possibly be exploited, but it is not the core of the article and there is little detail about it (amount of harvested wood, …).</t>
  </si>
  <si>
    <t>whole building; cross-laminated timber (CLT); environmental impacts; embodied carbon; cradle-to-grave</t>
  </si>
  <si>
    <t>WOOD; SUBSTITUTION; CONSTRUCTION; LCA</t>
  </si>
  <si>
    <t>Chen, ZJ; Gu, HM; Bergman, RD; Liang, SB</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</si>
  <si>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</si>
  <si>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</si>
  <si>
    <t>10.3390/su12114709</t>
  </si>
  <si>
    <t xml:space="preserve"> actually live biomass C is only accounted for in the alternative system (regrowth) but not in the reference system (no accounting of loss in growth from harvest)</t>
  </si>
  <si>
    <t>IFOREST-BIOGEOSCIENCES AND FORESTRY</t>
  </si>
  <si>
    <t>Bioenergy policy; Carbon sinks; Disposed thinned wood; Thinning; Woody biomass</t>
  </si>
  <si>
    <t>BIOMASS; ENERGY</t>
  </si>
  <si>
    <t>Etoh, H; Sasaki, N; Chay, S; Ninomiya, H</t>
  </si>
  <si>
    <t>Carbon emission reduction potentials through thinned wood in Japan</t>
  </si>
  <si>
    <t>Substituting fossil fuel with woody biomass for bioelectricity production has great potentials for carbon emission reductions while increasing forest productivity to increase carbon sequestration and improve ecological functionalities. Until recently, study on such potentials was very limited. Beginning in 2007, Japan's special budgets were allocated for a 6-year intensive thinning on about 3.3 million ha of young stands for increasing carbon sinks in Japanese forests to meet the capped amount of 47.7 Tg CO2 year(-1) allowed under the Marrakesh Accord. Because of only 30% of the thinned wood were used for sawntimber, CO2 and CH4 must have been emitted from the disposed thinned wood and wood waste. Such emissions and reduction potentials need to be assessed to provide future alternatives for climate change mitigation. We assessed carbon emission reduction potentials when woody biomass from thinned wood is fully utilized for bioelectricity production as compared with the generation of the same amount of energy produced under coal, oil, and natural gas scenarios. Our analytical results show that if all disposed thinned wood and wood waste are utilized to generate energy, about 62.6, 58.3, and 37.8 Tg CO2 year-1 could be prevented from emitting depending on emission scenarios or about 33.2, 30.9, and 20.0% of Japan's reduction commitment to the Kyoto Protocol. On the other hand, if thinned wood and wood waste are not utilized, about 13.4 Tg CO2 year(-1) would be released due to thinning. Our results suggest that incentives to reducing emission reductions in forest sector in the future climate change mitigation agreements will likely lead to large emission reductions, otherwise leakages due to thinning are unavoidable.</t>
  </si>
  <si>
    <t>iForest</t>
  </si>
  <si>
    <t>10.3832/ifor0574-004</t>
  </si>
  <si>
    <t>disagree: losses from the forest compartments are clearly ignored, but they are equally ignored in the 3 scenarios (coal, gas, oil), as in many "LCA" papers</t>
  </si>
  <si>
    <t>Engineered wood products; Policy drivers; Scenario modelling; Potential GHG emission savings</t>
  </si>
  <si>
    <t>OPPORTUNITIES; INNOVATION; GERMANY</t>
  </si>
  <si>
    <t>Hildebrandt, J; Hagemann, N; Thran, D</t>
  </si>
  <si>
    <t>The contribution of wood-based construction materials for leveraging a low carbon building sector in europe</t>
  </si>
  <si>
    <t>Increasing the use of engineered wood products in the European Union can contribute to leveraging a shift towards a more emission-efficient production of construction materials. Engineered timber products have already been substituted for carbon and energy intensive concrete and steel-based building constructions, but they still lack the capacities and market demand to be more than just a niche market. However, in the post-crisis period after 2008 the consumption of engineered wood products began rising in Europe. In this paper we analyse options for the future development of engineered wood products taking into consideration policy barriers and technical and environmental potentials for accelerating market introduction as part of a comprehensive scenario approach. For the European building sector we assessed an achievable potential for net carbon storage of about 46 million tonnes CO2-eqv. per year in 2030. To unlock this potential a bundle of instruments is necessary for increasing the market share for engineered wood products against the backdrop of existing policy instruments such as the gradual introduction of stricter rules for carbon emissions trading or more incentives for the voluntary use of innovative wood construction materials.</t>
  </si>
  <si>
    <t>10.1016/j.scs.2017.06.013</t>
  </si>
  <si>
    <t>Two scenarios are compared but only emissions and storage from wood materials are accounted for, which results in different perimeters for the two scenarios (the scenario with less wood misses emissions from alternative materials).</t>
  </si>
  <si>
    <t>changed_to_different_perimeters</t>
  </si>
  <si>
    <t>ECOSYSTEM SERVICES</t>
  </si>
  <si>
    <t>Scenario analysis; Land-use and cover change; Raral landscape; Ecosystem service trade-offs</t>
  </si>
  <si>
    <t>IMPACT; PHILIPPINES; SYSTEMS; FUTURE; MODELS</t>
  </si>
  <si>
    <t>Shoyama, K; Yamagata, Y</t>
  </si>
  <si>
    <t>Predicting land-use change for biodiversity conservation and climate-change mitigation and its effect on ecosystem services in a watershed in Japan</t>
  </si>
  <si>
    <t>Potential conflicts between biodiversity conservation and climate-change mitigation can result in trade-offs in multiple-use land management. This study aimed to detect possible changes in land-use patterns in response to biodiversity conservation and climate-change mitigation measures and the effects on ecosystem services across a watershed. We analyzed land-cover change based on past and future scenarios in the rural Kushiro watershed in northern japan. The analysis showed that if no conservation measures were implemented and the timber and agricultural industry remained small until 2060, supporting and provisioning services would decline due to less land management. Although biodiversity conservation measures are predicted to improve three of the ecosystem services that we studied, carbon sequestration and timber production would be improved to a greater degree by climate-change mitigation measures. The greatest land-cover changes are likely to occur in the unprotected area around the middle reaches of the Kushiro River, and such changes could affect the provision of ecosystem services throughout the entire watershed. Thus, our findings indicate that landuse decisions for the middle reaches of the watershed are particularly important for managing the integrated ecosystem services of the entire watershed for the future. (C) 2014 Elsevier B.V. All rights reserved.</t>
  </si>
  <si>
    <t>Ecosyst. Serv.</t>
  </si>
  <si>
    <t>10.1016/j.ecoser.2014.02.004</t>
  </si>
  <si>
    <t xml:space="preserve">No details on where the C andharvest data come from. Exclude </t>
  </si>
  <si>
    <t>timber; harvest residues; ethanol; GHG savings; Michigan</t>
  </si>
  <si>
    <t>WOODY BIOMASS; ETHANOL-PRODUCTION; UNITED-STATES; ENERGY; MICHIGAN; RESOURCES; BIOENERGY; USA; PERSPECTIVES; EMISSIONS</t>
  </si>
  <si>
    <t>Zhang, FL; Johnson, DM; Wang, JJ; Liu, SH; Zhang, SM</t>
  </si>
  <si>
    <t>Measuring the Regional Availability of Forest Biomass for Biofuels and the Potential of GHG Reduction</t>
  </si>
  <si>
    <t>Forest biomass is an important resource for producing bioenergy and reducing greenhouse gas (GHG) emissions. The State of Michigan in the United States (U.S.) is one region recognized for its high potential of supplying forest biomass; however, the long-term availability of timber harvests and the associated harvest residues from this area has not been fully explored. In this study time trend analyses was employed for long term timber assessment and developed mathematical models for harvest residue estimation, as well as the implications of use for ethanol. The GHG savings potential of ethanol over gasoline was also modeled. The methods were applied in Michigan under scenarios of different harvest solutions, harvest types, transportation distances, conversion technologies, and higher heating values over a 50-year period. Our results indicate that the study region has the potential to supply 0.75-1.4 Megatonnes (Mt) dry timber annually and less than 0.05 Mt of dry residue produced from these harvests. This amount of forest biomass could generate 0.15-1.01 Mt of ethanol, which contains 0.68-17.32 GJ of energy. The substitution of ethanol for gasoline as transportation fuel has potential to reduce emissions by 0.043-1.09 Mt CO2eq annually. The developed method is generalizable in other similar regions of different countries for bioenergy related analyses.</t>
  </si>
  <si>
    <t>10.3390/en11010198</t>
  </si>
  <si>
    <t>Surprisingly large difference between technologies. Article looks more like a coarse draft than like a peer-reviewed article. Journal published by MDPI: beware!!!</t>
  </si>
  <si>
    <t>ENVIRONMENTAL IMPACT ASSESSMENT REVIEW</t>
  </si>
  <si>
    <t>Forest carbon; Land use change; Land use modification; Product carbon footprint protocols; Biogenic carbon; Wood life cycle inventories</t>
  </si>
  <si>
    <t>LIFE-CYCLE ASSESSMENT; OLD-GROWTH FORESTS; LAND-USE CHANGE; WOOD PRODUCTS; NET FLUX; STORAGE; MANAGEMENT; EMISSIONS; BIOMASS; MODEL</t>
  </si>
  <si>
    <t>Accounting for forest carbon pool dynamics in product carbon footprints: Challenges and opportunities</t>
  </si>
  <si>
    <t>Modification and loss of forests due to natural and anthropogenic disturbance contribute an estimated 20% of annual greenhouse gas (GHG) emissions worldwide. Although forest carbon pool modeling rarely suggests a 'carbon neutral' flux profile, the life cycle assessment community and associated product carbon footprint protocols have struggled to account for the GHG emissions associated with forestry, specifically, and land use generally. Principally, this is due to underdeveloped linkages between life cycle inventory (LCI) modeling for wood and forest carbon modeling for a full range of forest types and harvest practices, as well as a lack of transparency in globalized forest supply chains. In this paper, through a comparative study of U.S. and Chinese coated freesheet paper, we develop the initial foundations for a methodology that rescales IPCC methods from the national to the product level, with reference to the approaches in three international product carbon footprint protocols. Due to differences in geographic origin of the wood fiber, the results for two scenarios are highly divergent. This suggests that both wood LCI models and the protocols need further development to capture the range of spatial and temporal dimensions for supply chains (and the associated land use change and modification) for specific product systems. The paper concludes by outlining opportunities to measure and reduce uncertainty in accounting for net emissions of biogenic carbon from forestland, where timber is harvested for consumer products. (C) 2012 Elsevier Inc. All rights reserved.</t>
  </si>
  <si>
    <t>Environ. Impact Assess. Rev.</t>
  </si>
  <si>
    <t>10.1016/j.eiar.2012.03.005</t>
  </si>
  <si>
    <t>US FOREST; CARBON; IMPACTS</t>
  </si>
  <si>
    <t>Alig, RJ; Bair, LS</t>
  </si>
  <si>
    <t>Forest environmental investments and implications for climate change mitigation</t>
  </si>
  <si>
    <t>Forest environmental conditions are affected by climate change, but investments in forest environmental quality can be used as part of the climate change mitigation strategy. A key question involving the potential use of forests to store more carbon as part of climate change mitigation is the impact of forest investments on the timing and quantity of forest volumes that affect carbon storage. Using an economic optimization model, we project levels of U.S. forest volumes as indicators of carbon storage for a wide range of private forest investment scenarios. Results show that economic opportunities exist to further intensify timber management on some hectares and reduce the average timber rotation length such that the national volume of standing timber stocks could be reduced relative to projections reflecting historical trends. The national amount of timber volume is projected to increase over the next 50 yr, but then is projected to decline if private owners follow an economic optimization path, such as with more forest type conversions and shorter timber rotations. With perfect foresight, future forest investments can affect current timber harvest levels, with intertemporal linkages based on adjustments through markets. Forest investments that boost regenerated timber yields per hectare would act to enhance ecosystem services (e.g., forest carbon storage) if they are related to the rate of growth and extent of growing stock inventory.</t>
  </si>
  <si>
    <t>10.2134/jeq2005.0154</t>
  </si>
  <si>
    <t>ENGINEERING GEOLOGY</t>
  </si>
  <si>
    <t>Forestry; Climate variability and change; Modeling; Pacific Northwest; Landslides; Slope stability; Mass wasting</t>
  </si>
  <si>
    <t>OREGON COAST RANGE; BRITISH-COLUMBIA; SLOPE STABILITY; ROOT REINFORCEMENT; PACIFIC-NORTHWEST; HAZARD EVALUATION; VEGETATION MODEL; CHANGE SCENARIOS; RISK-ASSESSMENT; UNITED-STATES</t>
  </si>
  <si>
    <t>Barik, MG; Adam, JC; Barber, ME; Muhunthan, B</t>
  </si>
  <si>
    <t>Improved landslide susceptibility prediction for sustainable forest management in an altered climate</t>
  </si>
  <si>
    <t>Landslide occurrences, which result in significant casualties, economic losses, and ecological impacts, have been increasing worldwide over the last few decades. Thus, it is crucial for future landslide susceptibility to be considered when making long-term plans for timber extraction. Two factors that are known to reduce soil strength and increase landslide susceptibility are clear cutting (due to reduced root contributions to soil strength) and degree of soil saturation. Therefore, as projected climate change is expected to result in storms with higher intensity precipitation in many mountainous regions, these areas are likely to become more susceptible to landslide activity resulting in potentially severe consequences to aquatic habitat due to increased sediment loads. There is a need to investigate potential management plans that simultaneously protect the economic viability of the forest industry and the ecosystem services of the forest. The primary objectives of this study are to explore the impact of timber harvesting on landslide susceptibility under climate change and to create high resolution (10 m) landslide susceptibility maps to inform land management decisions in an altered climate. The Distributed Hydrology Soil Vegetation Model (DHSVM), a physically-based hydrology model that has been improved to incorporate mass wasting and erosion processes, was used to assess the sensitivity of landslide susceptibility to timber extraction. To investigate the impacts of climate change on landslide susceptibility we applied down scaled output from two General Circulation Models (GCMs) with two greenhouse gas (GHG) emission scenarios, MB and B1, for the year 2045. The areal extent classified with a high landslide susceptibility increased on average by 7.1% and 10.7% for the B1 and A1B GHG emissions scenarios, respectively. The landslide susceptibility maps produced in this study can enable forest managers to plan for climate change by identifying areas that are more prone to landslide activity under altered climate conditions. The methodologies developed herein can be used by forest managers around the world to better assess landslide potential.</t>
  </si>
  <si>
    <t>Eng. Geol.</t>
  </si>
  <si>
    <t>10.1016/j.enggeo.2017.09.026</t>
  </si>
  <si>
    <t>climate cooling impact; displacement factor; forest landscape; initial age structure; mitigation efficiency; radiative forcing</t>
  </si>
  <si>
    <t>GAS DISPLACEMENT FACTORS; HARVESTED WOOD PRODUCTS; NET CLIMATE IMPACTS; LIFE-CYCLE IMPACTS; FOSSIL-FUEL; CARBON; ENERGY; SUBSTITUTION; BIOENERGY; MANAGEMENT</t>
  </si>
  <si>
    <t>Baul, TK; Alam, A; Strandman, H; Seppala, J; Peltola, H; Kilpelainen, A</t>
  </si>
  <si>
    <t>Radiative forcing of forest biomass production and use under different thinning regimes and initial age structures of a Norway spruce forest landscape</t>
  </si>
  <si>
    <t>We studied how different thinning regimes and initial age structures of a Norway spruce (Picea abies (L.) Karst.) forest landscape affect the radiative forcing of forest biomass production and use. We considered the effects of forest carbon sequestration, substitution of materials and fossil fuels with forest biomass, and timber use efficiency. The initial age structures of our hypothetical forest landscapes in the middle boreal zone in Finland were young, middle-aged, and mature. Forest landscapes were thinned using either the current thinning recommendations (baseline) or maintaining 20% higher or 20% lower stocking over the 80-year study period. We employed forest ecosystem model simulations together with a life cycle assessment tool. The highest carbon sequestration was obtained by maintaining higher stocking in the landscapes. The initially middle-aged and mature age structures resulted in the strongest cooling of the climate in the first three decades of the simulation, but the highest cooling was found in the young age structure. However, radiative forcing was less sensitive to the thinning than to the substitution or timber use efficiency. Our results indicate that modeled climate impacts are affected by both initial age structure and forest management, which should be considered when generalizing the climate change mitigation potential of forests and forestry.</t>
  </si>
  <si>
    <t>10.1139/cjfr-2019-0286</t>
  </si>
  <si>
    <t>removed extraction because no C output and cumulative raditive forcing not convertible to tCO2</t>
  </si>
  <si>
    <r>
      <t xml:space="preserve">Borjesson, M., Athanassiadis, D., Lundmark, R., &amp; Ahlgren, E. O. . . , </t>
    </r>
    <r>
      <rPr>
        <i/>
        <sz val="12"/>
        <color theme="1"/>
        <rFont val="Calibri"/>
        <family val="2"/>
        <scheme val="minor"/>
      </rPr>
      <t>7</t>
    </r>
    <r>
      <rPr>
        <sz val="12"/>
        <color theme="1"/>
        <rFont val="Calibri"/>
        <family val="2"/>
        <scheme val="minor"/>
      </rPr>
      <t>(5), 1118-1135.</t>
    </r>
  </si>
  <si>
    <t>Bioenergy futures in Sweden–system effects of CO 2 reduction and fossil fuel phase‐out policies</t>
  </si>
  <si>
    <t>Gcb Bioenergy</t>
  </si>
  <si>
    <t>10.1111/gcbb.12225</t>
  </si>
  <si>
    <t>INTERFACE FOCUS</t>
  </si>
  <si>
    <t>indirect land-use change; biofuels; greenhouse gas; ecosystem services; environmental economics; feedstocks</t>
  </si>
  <si>
    <t>GREENHOUSE-GAS EMISSIONS; ORGANIC-CARBON; CLIMATE-CHANGE; BIOFUELS; ENERGY; AGRICULTURE; AGAVE</t>
  </si>
  <si>
    <t>Davis, SC; House, JI; Diaz-Chavez, RA; Molnar, A; Valin, H; DeLucia, EH</t>
  </si>
  <si>
    <t>How can land-use modelling tools inform bioenergy policies?</t>
  </si>
  <si>
    <t>Targets for bioenergy have been set worldwide to mitigate climate change. Although feedstock sources are often ambiguous, pledges in European nations, the United States and Brazil amount to more than 100 Mtoe of biorenewable fuel production by 2020. As a consequence, the biofuel sector is developing rapidly, and it is increasingly important to distinguish bioenergy options that can address energy security and greenhouse gas mitigation from those that cannot. This paper evaluates how bioenergy production affects land-use change (LUC), and to what extent land-use modelling can inform sound decision-making. We identified local and global internalities and externalities of biofuel development scenarios, reviewed relevant data sources and modelling approaches, identified sources of controversy about indirect LUC (iLUC) and then suggested a framework for comprehensive assessments of bioenergy. Ultimately, plant biomass must be managed to produce energy in a way that is consistent with the management of food, feed, fibre, timber and environmental services. Bioenergy production provides opportunities for improved energy security, climate mitigation and rural development, but the environmental and social consequences depend on feedstock choices and geographical location. The most desirable solutions for bioenergy production will include policies that incentivize regionally integrated management of diverse resources with low inputs, high yields, co-products, multiple benefits and minimal risks of iLUC. Many integrated assessment models include energy resources, trade, technological development and regional environmental conditions, but do not account for biodiversity and lack detailed data on the location of degraded and underproductive lands that would be ideal for bioenergy production. Specific practices that would maximize the benefits of bioenergy production regionally need to be identified before a global analysis of bioenergy-related LUC can be accomplished.</t>
  </si>
  <si>
    <t>Interface Focus</t>
  </si>
  <si>
    <t>10.1098/rsfs.2010.0023</t>
  </si>
  <si>
    <t>Forest; Nutrient balance; Timber harvesting; Nutrient availability; Harvesting guidelines; Harvest residues; Netherlands</t>
  </si>
  <si>
    <t>NORWAY SPRUCE; NITROGEN DEPOSITION; RESIDUE REMOVAL; SCOTS PINE; CARBON; IMPACTS; PHOSPHORUS; CHEMISTRY; BOREAL; ACIDIFICATION</t>
  </si>
  <si>
    <t>de Vries, W; de Jong, A; Kros, J; Spijker, J</t>
  </si>
  <si>
    <t>The use of soil nutrient balances in deriving forest biomass harvesting guidelines specific to region, tree species and soil type in the Netherlands</t>
  </si>
  <si>
    <t>The substitution of biomass for fossil fuels in energy consumption is a measure to decrease the emissions of greenhouse gases and thereby mitigate global warming. During recent years, this has led to an increasing interest to use tree harvest residues as feedstock for bioenergy. An important concern related to the removal of har vesting residues is, however, the potential adverse effects on soil fertility caused by increased nutrient removal, relative to conventional stem-only harvesting. In the Netherlands this is a major concern, since most forests are located on poor sandy soils. To develop forest harvesting guidelines, we applied a mass balance approach comparing nutrient inputs by deposition and weathering with nutrient outputs by harvesting and leaching for various timber harvesting scenarios, including both stem-only harvesting and additional removal of tree tops and branches. A distinction was made in seven major tree species, six soil types (three sandy soils, loam, clay and peat soils) and nine regions, with clear variations in atmospheric deposition of phosphorus (P), calcium (Ca), magnesium (Mg) and potassium (K). For each region-tree-soil combination we calculated the maximum amounts that can be harvested such that the output of the nutrients Ca, Mg, K and P is balanced with the inputs. Results showed that at current harvesting rates, a negative balance of Ca, Mg, K or P is hardly calculated for the richer loamy to clayey soil types, while depletion can occur for the poorer sandy soils, particularly of P and K. Results are used to derive forest biomass harvesting guidelines, taking the uncertainties in the mass balance approach into account. The role of mitigating management approaches is also discussed.</t>
  </si>
  <si>
    <t>10.1016/j.foreco.2020.118591</t>
  </si>
  <si>
    <t>Avoided carbon emissions; Carbon in wood products; Faustmann model; Life-cycle assessment; Optimal rotation age; Southern United States</t>
  </si>
  <si>
    <t>UNITED-STATES; LIFE-CYCLE; FOREST; SEQUESTRATION; TIMBER; MANAGEMENT; BIOENERGY; PINE</t>
  </si>
  <si>
    <t>Dwivedi, P; Bailis, R; Stainback, A; Carter, DR</t>
  </si>
  <si>
    <t>Impact of payments for carbon sequestered in wood products and avoided carbon emissions on the profitability of NIPF landowners in the US South</t>
  </si>
  <si>
    <t>This study determines economic impact of payments for carbon sequestered in wood products and avoided carbon emissions due to use of forest biomass for electricity generation instead of fossil fuels on the profitability of non-industrial private forest (NIPF) landowners in the US South. Penalties for carbon emitted at the time of undertaking various silvicultural activities and exponential decay of wood products were also considered. We used life-cycle assessment to evaluate carbon emissions from various silvicultural activities. We modified the traditional Faustmann forest rotation model to incorporate identified carbon payments and penalties. Slash pine (Pinus elliottii) was selected as a representative species. We found that the overall global warming impact (GWI) for managing a hectare of intensively managed slash pine plantation was 6539 kg carbon dioxide equivalent. The maximum land expectation value (LEV) for the scenario when all carbon payments and penalties along with payments for timber products were considered was $1299/ha using a 20 year rotation age. This value is about 71% higher than the LEV when only payments for timber products were taken into account ($760/ha using a 21 year rotation age). Our results clearly indicate that emerging carbon markets could greatly benefit southern NIPF landowners. (C) 2012 Elsevier B.V. All rights reserved.</t>
  </si>
  <si>
    <t>10.1016/j.ecolecon.2012.03.014</t>
  </si>
  <si>
    <t>Mathematical modelling; Sustainability; Cross-laminated; Timber; Construction</t>
  </si>
  <si>
    <t>Fernandez, M; Martinez, A; Alonso, A; Lizondo, L</t>
  </si>
  <si>
    <t>A mathematical model for the sustainability of the use of cross-laminated timber in the construction industry: the case of Spain</t>
  </si>
  <si>
    <t>In recent years, computerized mathematical modelling has enabled construction-related problems to be resolved and predictions to be made regarding the behaviours of buildings and their environments in a more rigorous fashion than was the case with the deterministic models used until now. This model enables the analysis of a simulation of the sustainability of the use of timber as a major structural component in construction. Thus, using a unique model, which could be adapted to the particular characteristics of any country, the viability of a sustainable use of woodland can be verified, with extraction rates below 100 %, in order to supply an industry which accounts for a high percentage of the carbon dioxide emissions released into the atmosphere. In the specific case of Spain, the demographic forecasts for the next 40 years were used as the basis on which to establish the operational period of the model. For this period, the different variables involved in the natural production of wood were compared, along with felling strategies. The results point to sustainable scenarios for the most part during the target period in Spain, with the most unfavourable combinations of the variables preventing the sustainability of the use of timber from being achieved.</t>
  </si>
  <si>
    <t>10.1007/s10098-014-0738-3</t>
  </si>
  <si>
    <t>NEW ZEALAND JOURNAL OF AGRICULTURAL RESEARCH</t>
  </si>
  <si>
    <t>Agriculture; emissions trading scheme; forestry carbon sequestration; general equilibrium; global timber model; linking; New Zealand; pricing</t>
  </si>
  <si>
    <t>Fernandez, MA; Daigneault, A</t>
  </si>
  <si>
    <t>The Paris Agreement and its impact on cattle and food sectors of New Zealand</t>
  </si>
  <si>
    <t>The Paris Agreement asserts that greenhouse gas emission pathways should be consistent with holding the increase in global temperature below 1.5 degrees C, or 2 degrees C above pre-industrial levels. The purpose of this paper is to assess the economic impact of this agreement on the cattle and food product sectors of New Zealand. We used a general equilibrium approach to evaluate the economic impacts, and the Global Timber Model to estimate forestry carbon sequestration. We simulated eight scenarios where we allow accounting/not accounting for sequestration, pricing/not pricing agricultural emissions, and linking/not linking the New Zealand Emissions Trading Scheme (ETS) with the European Union ETS. We found that significant negative impacts occur if sequestration is not accounted, the ETS remains unlinked and agriculture is priced. Competitiveness, in turn, is not significantly affected if sequestration is accounted, regardless of the linking scheme of the ETS.</t>
  </si>
  <si>
    <t>N. Z. J. Agric. Res.</t>
  </si>
  <si>
    <t>10.1080/00288233.2016.1215335</t>
  </si>
  <si>
    <t>bioproductive area; electronic products; environmental indicator; industrial ecology; information and communications technology (ICT); natural capital accounting</t>
  </si>
  <si>
    <t>Frey, SD; Harrison, DJ; Billett, EH</t>
  </si>
  <si>
    <t>Ecological footprint analysis applied to mobile phones</t>
  </si>
  <si>
    <t>Ecological footprints (EF) have been used for more than 15 yr as an aggregate measure of sustainability of geographical regions, but also for certain products and activities. EF analysis measures the bioproductive areas required to produce resources such as crops and timber, the directly occupied areas for infrastructure, and areas for absorbing waste flows (mostly limited to carbon dioxide) in a given year for a defined population. The need to extend ecological footprint analysis to electronic products arose because so far, mobile phones have mainly been evaluated using life-cycle assessments with a focus on toxicity, end-of-life management, and energy use, thus ignoring the wider sustainability implications. This article presents the footprint results from three mobile phone case studies. To establish the land areas consumed by the mined materials used in electronic products, a database was developed based on literature data and on approximations from the density and overburden of materials. The relationship between abundance and overburden values was used in a regression analysis to estimate energy requirements in materials extraction where other data were not available. Using a life-cycle assessment approach, environmental burdens for producing and using a mobile phone were calculated and transformed into the instantaneous rate of resource consumption. Key results were that different electronic products have different ecological footprints and that the methodology proved sensitive enough to reveal differences in small electronic products and for monitoring technologies that use bioproductive space efficiently.</t>
  </si>
  <si>
    <t>10.1162/108819806775545330</t>
  </si>
  <si>
    <t>Fuelwood; Timber market; Forest sector model; Partial equilibrium model</t>
  </si>
  <si>
    <t>BIOENERGY DEMAND; TRADE IMPACTS; UNITED-STATES; MARKET MODEL; WOOD; CARBON; SUBSTITUTION; EUROPE; ENERGY; ROUNDWOOD</t>
  </si>
  <si>
    <t>Guo, JG; Gong, PC</t>
  </si>
  <si>
    <t>Assessing the impacts of rising fuelwood demand on Swedish forest sector: An intertemporal optimization approach</t>
  </si>
  <si>
    <t>An increase in the demand for fuelwood has the potential to affect traditional timber production. Based on a partial equilibrium model of the Swedish forest sector, this paper evaluates the supply and price of sawlogs, pulpwood and fuelwood under differing levels of future fuelwood demand. The results indicate that an increasing demand for fuelwood would intensify the competition between pulpwood and fuelwood, which would cause the prices of pulpwood and fuelwood to increase. The pulpwood supply would decrease and the fuelwood supply would increase in response to fuelwood demand expansion. An increasing demand for fuelwood would affect the harvest of sawlogs positively, though the effect would be small. It is concluded that an increase in the use of fuelwood would affect mainly the pulp and paper industry in terms of the provision of raw materials. Besides, the annual increment of forest standing volume would exceed the harvest in all the scenarios analyzed, implying that the Swedish forests are a carbon sink.</t>
  </si>
  <si>
    <t>10.1016/j.forpol.2019.05.020</t>
  </si>
  <si>
    <t>disagree: driver = unspecified harvest increase + gdp/pop/consumption, C output (in situ forest C) can be obtaine from fig 1</t>
  </si>
  <si>
    <t>the paper studies the price response to changes in the demand for fuelwood. Wood stocks and/or emissions are not reported in the study.</t>
  </si>
  <si>
    <t>Building retrofit; Hygrothermics; Energy efficiency; Indoor air quality; Occupant comfort; Mould growth</t>
  </si>
  <si>
    <t>CLOSED ENVIRONMENTS; PERFORMANCE; UNCERTAINTY; SAVINGS; SYSTEM</t>
  </si>
  <si>
    <t>Hall, MR; Casey, SP; Loveday, DL; Gillott, M</t>
  </si>
  <si>
    <t>Analysis of UK domestic building retrofit scenarios based on the E.ON Retrofit Research House using energetic hygrothermics simulation - Energy efficiency, indoor air quality, occupant comfort, and mould growth potential</t>
  </si>
  <si>
    <t>The work forms part of the CALEBRE project (2008-2013), the aim of which was to investigate a suite of technologies and staged approaches for retrofit upgrades for 'hard-to-treat' solid/thin cavity masonry-walled UK domestic buildings that would i) reduce operational energy demand/carbon emissions, and ii) be acceptable and appealing to the building occupants. The E.ON Retrofit Research House (Nottingham, UK) was used as an instrumented test platform as part of this study. The retrofitting phases (and technologies) have been used as the basis for the modelling methodology in this paper, together with the corresponding envelope assemblies, material properties, climate, and internal load parameters. The approach to retrofit was to increase air tightness (reduce ACH), decrease static U-values of the external envelope (wall, floor and glazing), and upgrade heating system efficiency. This was complemented by a combination of options that included a whole-building system of mechanical ventilation with heat recovery (MVHR). These interventions were analysed alongside simulated passive buffering of variations in indoor air psychrometric conditions using conventional (clay, timber) and advanced (mesoporous silica) wall surface treatments. Each retrofit scenario was modelled using an energetic hygrothermics building performance simulation (BPS) approach to determine the combined effects of retrofit packages on indoor air psychrometric conditions, external envelope (dynamic) heat transfer, operational energy efficiency, occupant comfort, and mould growth potential. It is proposed that this approach can provide the basis for an intelligent risk management strategy to inform both the design and deployment of retrofit upgrade packages intended for residential buildings. (C) 2013 Elsevier Ltd. All rights reserved.</t>
  </si>
  <si>
    <t>10.1016/j.buildenv.2013.08.015</t>
  </si>
  <si>
    <t>IPCC default approach; Stock-change approach; Atmospheric-flow approach; Production approach; Simple decay approach; Forest carbon stock; Substitution</t>
  </si>
  <si>
    <t>LIFE-CYCLE ASSESSMENT; LAND-USE CHANGE; CARBON STORAGE; MANAGED FORESTS; FUEL ETHANOL; ENERGY; EMISSIONS; BIOMASS; CO2; SEQUESTRATION</t>
  </si>
  <si>
    <t>Hashimoto, S</t>
  </si>
  <si>
    <t>Different accounting approaches to harvested wood products in national greenhouse gas inventories: their incentives to achievement of major policy goals</t>
  </si>
  <si>
    <t>The 2006 IPCC Guidelines for National Greenhouse Gas Inventories provide four accounting approaches to harvested wood products (HWP). These differ in the way they define system boundaries. Therefore, reported national carbon emissions differ according to the accounting approach used, and the implications of each accounting approach differ for different countries. This paper investigates four IPCC accounting approaches, as well as the 1996 IPCC default approach, to determine whether they provide incentives to achievement of major policy goals related to climate, forest, trade, and waste, taking into account indirect effects of wood use change (i.e., the effects on forest carbon stocks and on carbon emissions from the use of other fuels and materials). Conclusions are as follows: (1) The analyses produced many different results from those of previous studies. These differences appear to be attributable to whether or not the indirect effects of wood use change are taken into account and the reference scenarios that are assumed; (2) The best approaches for achieving each policy goal differ, and the best approaches for particular policy goals might pose problems for other policy goals; (3) Overall, the IPCC default approach is the best accounting approach from the viewpoint of greater compatibility with, or integration across, the array of policy goals, although it does not address the issue of an increasing global carbon stock in HWP. (C) 2008 Elsevier Ltd. All rights reserved.</t>
  </si>
  <si>
    <t>10.1016/j.envsci.2008.08.002</t>
  </si>
  <si>
    <t>GLOBAL ENVIRONMENTAL CHANGE-HUMAN AND POLICY DIMENSIONS</t>
  </si>
  <si>
    <t>Forestry; Bioenergy; SSP; Climate change mitigation; Regression models</t>
  </si>
  <si>
    <t>LAND-USE; SCENARIO FRAMEWORK; IMPACTS; PRODUCTIVITY; MITIGATION; BIOENERGY; DEMAND</t>
  </si>
  <si>
    <t>Hu, XP; Iordan, CM; Cherubini, F</t>
  </si>
  <si>
    <t>Estimating future wood outtakes in the Norwegian forestry sector under the shared socioeconomic pathways</t>
  </si>
  <si>
    <t>The forest sector plays a key role in achieving low temperature stabilization targets, as woody biomass represents a cost-efficient alternative to fossil fuels for energy and material production. Estimates of future woody biomass demands vary in the Shared Socioeconomic Pathways (SSPs), depending on societal development trends, climate model projections, socioeconomic conditions, and climate and energy policies. The SSPs are qualitatively and quantitatively defined at global and macro-regional level, and their implementation for individual sectors at a national basis is challenging. In this paper, we provide estimates for forest wood outtakes in Norway until 2100 using key drivers from the SSPs such as population and Gross Domestic Product (GDP) and specific aspects of developments in the land use sector. First, we analyze historical wood harvest trends from 1960 to 2016 for the main tree species and wood classes and construct a regression model based on population, GDP and time. The model framework is based on a statistical approach that does not explicitly include market adjustments, but it is adapted to an interpretation of the salient characteristics of the different SSP scenarios to estimate future outtake volumes for each combination of tree species and wood classes in Norway. The SSP characteristics implemented in the model framework are GDP and population, land-use change regulation, participation of the land-use sector to climate change mitigation, and starting year of international cooperation for climate change mitigation. The produced estimates span a range of possible harvest rates and resource use potentials. Results show that SSP1 achieves a maximum mean extraction rate of 17.7 million m(3) (in 2090). Forest wood outtake volumes are the lowest in SSP3, reaching a maximum of about 11.9 million m(3) in 2040 and then declining. SSP2 and SSP4 generally lie in between SSP1 and SSP3. SSP5 is the most resource intensive scenario, with harvest rates achieving 27.5 million m(3) in 2100. Driven by high population and GDP, SSP5 far exceeds the forest maximum harvest potential in Norway. Variability in the estimates is larger when land use regulation is weak and market fluctuations are high, such as in SSP2, SSP3 and SSP5. The proposed model framework is an approach to interpret and translate the global qualitative SSP narratives into quantitative projections at a finer scale, and can favor the use of a consistent background setting such as the SSPs in interdisciplinary research activities across different spatial scales of analysis.</t>
  </si>
  <si>
    <t>Glob. Environ. Change-Human Policy Dimens.</t>
  </si>
  <si>
    <t>10.1016/j.gloenvcha.2018.03.004</t>
  </si>
  <si>
    <t xml:space="preserve">Kirkinen, J., Palosuo, T., Holmgren, K., &amp; Savolainen, I. </t>
  </si>
  <si>
    <t xml:space="preserve"> Greenhouse impact due to the use of combustible fuels: life cycle viewpoint and relative radiative forcing commitment</t>
  </si>
  <si>
    <t xml:space="preserve"> Environmental management</t>
  </si>
  <si>
    <t>10.1007/s00267-008-9145-z</t>
  </si>
  <si>
    <t>INTERNATIONAL BIODETERIORATION &amp; BIODEGRADATION</t>
  </si>
  <si>
    <t>Beech wood in-ground; Fungal degradation; Enzymatic activities; Predictive model; NIRS; Mechanical properties</t>
  </si>
  <si>
    <t>ARBUSCULAR-MYCORRHIZAL FUNGI; NEAR-INFRARED SPECTROSCOPY; PINUS-SYLVESTRIS L.; WHITE-ROT FUNGUS; ARCHAEOLOGICAL WOOD; FOUNDATION PILES; DURABILITY; ENZYMES; COLONIZATION; DEGRADATION</t>
  </si>
  <si>
    <t>Kleindienst, Q; Besserer, A; Antoine, ML; Perrin, C; Bocquet, JF; Bleron, L</t>
  </si>
  <si>
    <t>Predicting the beech wood decay and strength loss in-ground</t>
  </si>
  <si>
    <t>In the context of reduction of CO2 emissions and costs in the construction industry, substitution of concrete by wood for foundation piles seems to be a promising alternative. To promote the use of local wood in pile foundation, diagnostic and prediction methodology of wood decay in soil need to be improved. Outdoor mesocosm decay experiments were performed to evaluate the potential use of beech wood as foundation piles. The stochastic occurrence of soil fungal inoculum in contact with mini-stakes and water gradient in wood explained the observed patchy wood decay pattern. Various patterns of wood rotting fungi were identified. The correlation between measured strength loss and mass loss was weak. Multivariate analyses using biochemical and physico-chemical data as inputs allowed section categorizations and prediction of wood strength. Accuracy of the prediction was validated by experimental measurement of the compression parallel to the grain (f(c),(o)).The categorization of unknown sections was computed by PLS-DA and provided clues inferring their service life. The described procedure has the potential to be transferred to on-site measurements to predict the f(c,o) of wood foundation pile or any potentially damaged timber structure. (C) 2017 Elsevier Ltd. All rights reserved.</t>
  </si>
  <si>
    <t>Int. Biodeterior. Biodegrad.</t>
  </si>
  <si>
    <t>10.1016/j.ibiod.2017.06.006</t>
  </si>
  <si>
    <t>AUTOMATION IN CONSTRUCTION</t>
  </si>
  <si>
    <t>Robotic timber construction; Layered assembly; Reversible structure; Design automation; Digital twin; Human-robot collaboration</t>
  </si>
  <si>
    <t>Kunic, A; Naboni, R; Kramberger, A; Schlette, C</t>
  </si>
  <si>
    <t>Design and assembly automation of the Robotic Reversible Timber Beam</t>
  </si>
  <si>
    <t>The field of architecture is more and more referring to wood as a sustainable solution for satisfying the need of new buildings while offsetting carbon emissions. In parallel, the research in Robotic Timber Construction (RTC) has evolved rapidly, focusing both on fabrication and assembly processes in order to improve the productivity of the construction industry and extend the production digital chain. This paper presents an original workflow for the automation from design to layered robotic assembly of reversible timber structures, aided by human-robot collaboration. An advanced digital design workflow for non-standard timber structures is established, shifting the focus towards the assembly of a kit of discrete wood elements into larger configurations that can be reconfigured in time. Linked to this, collaborative robots are employed for grasping, positioning and fixing of discrete timber elements, with the introduction of a multi-phase end effector that connects wood elements through reversible joinery. As such, the work introduces fundamental design and manufacturing concepts for an automated construction process that extends the material life cycle of wood, and consequently, its carbon store. The enhancement of robotic assembly is here achieved with the (1) integration of a feedback system based on location and force signals, and (2) human collaboration to provide immediate assistance to the robot in the case the signals do not match the defined assembly conditions. The various developments are applied to a research demonstrator which crystallizes the various design, constructional, and manufacturing inputs into a physical output, which is discussed from multiple viewpoints, in order to delineate relevant areas for future studies.</t>
  </si>
  <si>
    <t>Autom. Constr.</t>
  </si>
  <si>
    <t>10.1016/j.autcon.2020.103531</t>
  </si>
  <si>
    <t>SCIENTIFIC REPORTS</t>
  </si>
  <si>
    <t>NET CLIMATE IMPACTS; FOSSIL-FUEL; CARBON SEQUESTRATION; FOREST; GREENHOUSE; MITIGATION; BIOMASS; BIODIVERSITY; DEBT</t>
  </si>
  <si>
    <t>Leturcq, P</t>
  </si>
  <si>
    <t>GHG displacement factors of harvested wood products: the myth of substitution</t>
  </si>
  <si>
    <t>A common idea is that substituting wood for fossil fuels and energy intensive materials is a better strategy in mitigating climate change than storing more carbon in forests. This opinion remains highly questionable for at least two reasons. Firstly, the carbon footprints of wood-products are underestimated as far as the biomass carbon neutrality assumption is involved in their determination, as it is often the case. When taking into account the forest carbon dynamics consecutive to wood harvest, and the limited lifetime of products, these carbon footprints are time-dependent and their presumed values under the carbon neutrality assumption are achieved only in steady-state conditions. Secondly, even if carbon footprints are correctly assessed, the benefit of substitutions is overestimated when all or parts of the wood products are supposed to replace non-wood products whatever the market conditions. Indeed, substitutions are effective only if an increase in wood product consumption implies verifiably a global reduction in non-wood productions. When these flaws in the evaluation of wood substitution effects are avoided, one must conclude that increased harvesting and wood utilization may be counter-productive for climate change mitigation objectives, especially when wood is used as a fuel.</t>
  </si>
  <si>
    <t>Sci Rep</t>
  </si>
  <si>
    <t>10.1038/s41598-020-77527-8</t>
  </si>
  <si>
    <t>This is an opinion paper. No useful numbers are given.</t>
  </si>
  <si>
    <t>co-products; ecoinvent database; economic allocation; hardwood; Poland; softwood; wooden products</t>
  </si>
  <si>
    <t>Lewandowska, A; Wawrzynkiewicz, Z; Noskowiak, A; Foltynowicz, Z</t>
  </si>
  <si>
    <t>Adaptation of ecoinvent database to Polish conditions - The case of wood production in the forest</t>
  </si>
  <si>
    <t>Background, aims and scope This paper is based on the results of a project sponsored by the Ministry of Science and Higher Education and carried out by the Wood Technology Institute in Poznan, Poland. The main purpose of the project was to assess the environmental impact generated during the entire life cycles of chosen wood products. Most of the data came from the Polish wood industry, but some of it was taken from the ecoinvent database, particularly data relating to forest processes. The data were not used as presented in the database but were properly adapted. The aim of the paper is to show how the ecoinvent&amp;apos;s initial assumptions have been changed and how the data were adapted. The influence of the adaptation on the characterization results is presented as well. Materials and methods The adaptation was performed in several steps: obtaining information about the principal assumptions of the ecoinvent database, gathering data appropriate to Polish conditions, changing the principal assumptions to include the Polish situation, calculating the new allocation and correction factors, forming the new inventory tables for round, industrial, and residual wood (softwood and hardwood), and calculating the characterization results to check the influence of the data adaptation on the life cycle assessment (LCA) final results. The following methods have been used: the economic allocation with the allocation correction to include mass, energy, and carbon dioxide uptake from nature and Ecoindicator99 method to assess the environmental impact. Results The study shows that differences exist between ecoinvent and Polish data for the wood production. Some of the differences are important and significantly impact the final results. The data differ in relation to many factors, for example: tree species, yield of forest, time from planting trees to final harvesting, length and width of forest roads or total area, and land use. The differences in the initial assumptions and further in the allocation factors result in changes of the inventory points and the characterization results. The relevant differences for round hardwood and residual hardwood are not observed. It is not, however, the case of the industrial hardwood where the visible difference exist. The results for all sorts of softwood are completely different and any similarities cannot be observed. Discussion At present, the total area of forest land in Poland is 9.0 million ha. This is equivalent to 28.8% of the country&amp;apos;s area. This means that the forest processes are important for the country. The study could be a part of a more general discussion about the suitability of data recognized by the database&amp;apos;s generators as representative for larger areas (Europe, Asia, the world). Conclusions The following conclusions could be formulated based on the results of the project: differences between countries always exist, and they can be a source of uncertainty, particularly if unspecific data are used. On the other hand, it is impossible to collect specific data for all inventory items included in the product system which is why LCA databases are needed. The following questions should be asked: how important is the discrepancy? What is its influence on the final results? Is it acceptable? There are some activities like electricity production where differences between countries can be crucial for the LCA final results. Recommendations and perspectives Two main recommendations could be formulated: the data taken from LCA databases should always be critically analyzed and reviewed to check if they are suitable for our case study, and, if possible, the adaptation to local or national conditions should be made. In Poland, the interest in LCA continues to grow; however, it is not easy for LCA practitioners to conduct LCAs because of companies&amp;apos; skepticism and their reluctance to provide data. LCA databases are important sources of information. A review of the most popular LCA databases could be a good line of further improvement to make LCA studies more relevant and reliable.</t>
  </si>
  <si>
    <t>10.1007/s11367-008-0010-3</t>
  </si>
  <si>
    <t>The paper discusses how a ecoinvent could be adjusted to the Polish conditions. I did not use Table 8 and 9 because I couldn't find the units. Else the treatment could have been "different location".
VB: the unit is RECIPE points but it's not clear how to convert it to tCO2e. It's not even clear in the text whether the difference identified in climat change impact between the two locations is more or less emission.</t>
  </si>
  <si>
    <t>Dendrochronology; Tree rings; Climate change; Climate-growth relationships; Tropical dry forests; South America</t>
  </si>
  <si>
    <t>TREE GROWTH; RADIAL GROWTH; RAINFALL; MANAGEMENT; CERRADO; DROUGHT; RINGS; AGE</t>
  </si>
  <si>
    <t>Lopez, L; Villalba, R</t>
  </si>
  <si>
    <t>Climate-growth relationships for Aspidosperma tomentosum Mart. in South American tropical dry forests</t>
  </si>
  <si>
    <t>Key messageThe precise demarcation and cross-dating of tree rings inAspidosperma tomentosumMart., a valuable timber species in the tropical dry forests of South America, were used to develop the first well-replicated chronology covering the period 1843-2015.A. tomentosumMart. tree growth is strongly regulated by soil water availability prior to and during the current growing season. In the context of increased drought severity due to climate change, determining of climate influences onA. tomentosumMart. radial growth is necessary to establish appropriate guidelines for the management, conservation and restoration of this species, currently affected by extreme weather events, extensive fires and deforestation in the Chiquitania forests, Bolivia.ContextTropical forest ecosystems play a critical role in the functioning of the Earth; thus, a better understanding of the influences of climate on tree growth is needed to estimate changes in forest productivity and consequently in carbon sink variations at regional and global scales.AimsIn the context of global environmental changes, our study aimed at using the growth rings of A. tomentosum Mart. to establish the relationships between radial growth and climatic variations.MethodsThe anatomical characterization of the wood elements facilitated the precise annual band delimitation and the rejection of samples with false rings and growth anomalies. A tree-ring chronology was developed using traditional dendrochronological methods and the relationships with climate determined using correlation functions.ResultsThe chronology is based on 20 individuals and covers the period 1843-2015. Tree-ring statistics indicate an important common signal in growth variations between trees (R-bar = 0.31, EPS = 0.90). Interannual variations in A. tomentosum Mart. are directly related to total annual precipitation (r = 0.76) and inversely to mean annual temperature (r = - 0.44). These relationships are similar to those documented for other commercial species (Centrolobium microchaete, Schinopsis brasiliensis) from tropical dry forests in South America, suggesting a consistent climatic influence on tree growth at a regional scale.ConclusionThe strong dependence of tree growth on climate variability is a major concern, as climate change scenarios for tropical dry forests in South America predict an increase in the frequency and intensity of droughts, which in turn would reduce the A. tomentosum Mart. growth during the twenty-first century.</t>
  </si>
  <si>
    <t>10.1007/s13595-020-01001-8</t>
  </si>
  <si>
    <t>This study investigates the relationship between climate and radial tree growth (= tree ring width)</t>
  </si>
  <si>
    <t>ENERGY FOR SUSTAINABLE DEVELOPMENT</t>
  </si>
  <si>
    <t>Energy planning; Rural community; Sustainable energy</t>
  </si>
  <si>
    <t>TECHNOLOGY-TRANSFER</t>
  </si>
  <si>
    <t>Lopez-Sosa, LB; Garcia, CA</t>
  </si>
  <si>
    <t>Towards the construction of a sustainable rural energy system: Case study of an indigenous community in Mexico</t>
  </si>
  <si>
    <t>One of the challenges that rural communities face is the satisfaction of their energy demand through sustainable processes, where the production, distribution and final consumption of energy are involved in an efficient, affordable, and non-polluting way. This proposal analyzes, for a rural community in Mexico, the economic and environmental impacts associated with meeting the energy demand for lighting, cooking, entertainment and technology needs, hygiene, education and mobility; by formulating three different scenarios: (a) estimation of current energy consumption (baseline) (b) satisfaction of said needs through locally available renewable energy resources, and (c) satisfaction of needs and their potential impacts by making use of efficient technologies with respect to current technologies, for refrigeration, firewood combustion, and lighting. The results show a current distribution in energy consumption of 66.8 % for cooking, 26.2 % for hygiene, 6.6 % for mobility, 0.8 % for lighting, 0.6 % for entertainment and technology, and 0.03 % for education. In total economic expenditure, the percentages by type of need are 58 % for mobility, 28 % for cooking, 11 % for hygiene, 2 % for lighting, 1 % for entertainment and technology, and 0.1 % for education. The environmental impact in terms of nitrogen oxide (NOx), methane (CH4), and carbon dioxide (CO2) emissions is, like the energy consumption, oriented to a greater extent towards energy needs that require thermal energy. Our evaluation of these scenarios has shown that the available energy resources are sufficient to supply all the local energy demand, through technologies such as solar panels, LED lights and efficient combustion stoves; and only less than 5 % of the total production of wood residues that the community generates is required to achieve this satisfaction. Finally, some guidelines are suggested for an energy management strategy that is based on the scenarios proposed for the studied community. This article provides information for the construction of sustainable rural energy systems and for the development of energy management schemes in rural and self-governing communities.(c) 2022 International Energy Initiative. Published by Elsevier Inc. All rights reserved.</t>
  </si>
  <si>
    <t>Energy Sustain Dev.</t>
  </si>
  <si>
    <t>10.1016/j.esd.2022.08.022</t>
  </si>
  <si>
    <t>ANNALS OF FOREST RESEARCH</t>
  </si>
  <si>
    <t>forest strategy; forest inventory; forest ecosystem services; biodiversity; wood production; carbon sequestration</t>
  </si>
  <si>
    <t>CARBON; RETENTION</t>
  </si>
  <si>
    <t>Lorenz, M; Englert, H; Dieter, M</t>
  </si>
  <si>
    <t>The German Forest Strategy 2020: Target achievement control using National Forest Inventory results</t>
  </si>
  <si>
    <t>In the year 2011 the German Federal Government adopted its Forest Strategy 2020. This strategy includes 60 goal formulations in nine action fields. The present paper analyses to which extent the results of the German National Forest Inventory (BWI) prove achievements of those of the 60 goals, which are quantitatively verifiable. The results reveal that forestry in Germany in general meets its own standard of multi-functionality, securing that forests fulfil manifold demands of the society. However, while the objectives of nature and climate protection are on track for being achieved, the prospects for objectives related to employment, income and value added are less encouraging. Total forest area and forest growth are increasing, forests currently constitute a carbon sink, and the naturalness and structural diversity of forests are growing. Also the high but sustainable use of the wood fosters currently the income of and employment in forest enterprises and timber industries. But the ongoing regeneration of forest stands predominantly with deciduous tree species is expected to cause a long-term lack of faster growing and higher valuated coniferous stands. The resulting lack of highly demanded softwood of small or medium-sized diameters will raise problems to timber industries. Moreover, shrinking timber production due to a decreasing share of coniferous forests has adverse consequences not only from the economic point of view. It will also decrease the climate-friendly use of wood products, in particular due to the foregone substitution effect. The results of the study also show that BWI is an indispensable source of information for forest politics and forest science particularly in view of its long-term time series. The preservations of time series must be kept in mind whenever changes in the methods of BWI are considered.</t>
  </si>
  <si>
    <t>Ann. For. Res.</t>
  </si>
  <si>
    <t>10.15287/afr.2018.1185</t>
  </si>
  <si>
    <t>This is a description of the state of the German forests between 2002 and 2012. No drivers and/or C-outputs.</t>
  </si>
  <si>
    <t>TROPICS</t>
  </si>
  <si>
    <t>Maxent; climate change; species distribution model</t>
  </si>
  <si>
    <t>POTENTIAL DISTRIBUTION; PLANT; INDIA</t>
  </si>
  <si>
    <t>Mandal, MSH; Okuda, T; Mon, SM; Chew, WC; Shigematsu, C; Hosaka, T</t>
  </si>
  <si>
    <t>Habitat suitability mapping for a high-value non-timber forest product: A case study of Rauvolfia serpentina</t>
  </si>
  <si>
    <t>Non-timber forest products (NTFPs) are essential for rural livelihoods but are often threatened by deforestation and overexploitation. Rauvolfia serpentina is a critical NTFP species; however, there have been no studies on the impact of future climate change on its potential habitat distribution. We used the Maxent modeling approach to address this knowledge gap and determine this species' current and future suitability under climate change scenarios. The areas more suitable to its occurrence were mainly located near the southwestern coastal regions of Myanmar and India. Based on our predictions, these 'very high' suitability areas are likely to decrease in 2070 under both low and high CO2 emission scenarios, indicating the future vulnerability of this species' habitat to the impact of climate change. This species is a highly valued NTFP species in the study region; therefore, such a reduction in habitat suitability may result in reductions in NTFP production and economic benefits for the dependent populations. Our findings can help define and conserve areas containing the natural habitats of this high-valued NTFP species.</t>
  </si>
  <si>
    <t>Tropics</t>
  </si>
  <si>
    <t>10.3759/tropics.SINT04</t>
  </si>
  <si>
    <t>GLOBAL ECOLOGY AND CONSERVATION</t>
  </si>
  <si>
    <t>Biomod2; Climate change; Conservation planning; IPCC; Species distribution modelling; Southeast Asia</t>
  </si>
  <si>
    <t>CLIMATE-CHANGE; DISTRIBUTIONS; CONSERVATION; CARNIVORES; ACCURACY; IMPACTS; RECORDS</t>
  </si>
  <si>
    <t>Mathai, J; Niedballa, J; Radchuk, V; Sollmann, R; Heckmann, I; Brodie, J; Struebig, M; Hearn, AJ; Ross, J; Macdonald, DW; Hon, J; Wilting, A</t>
  </si>
  <si>
    <t>Identifying refuges for Borneo's elusive Hose's civet</t>
  </si>
  <si>
    <t>Human-induced environmental changes, particularly climate change, pose a threat to many tropical montane species, making the identification of optimal future habitat a conservation priority. Here we used maximum entropy (Maxent) and boosted regression trees to predict suitable habitat of the threatened Bornean highland endemic Hose&amp;apos;s civet (Diplogale hosei), that is currently available, and for future time periods (2050s and 2080s), considering future land cover and climate change predictions. Next, we identified areas that were consistently suitable under current and future model predictions as forest refuges. Our analysis predicted that Hose&amp;apos;s civet is restricted mainly to the highlands of Borneo to an area less than 20,000 km(2) (about 2% of the entire island of Borneo). Changes in land cover have little impact on predicted suitable area for the species. However, we predicted habitat loss due to climate change to approximate 86% by 2080, except under a green economy scenario which showed stable or increasing suitable habitat. Refuges were small, about 11% of 2010 habitat, and mostly restricted to lower montane forest. About 28-35% of refuges lie within the current protected area network though much is designated as commercial forests within the proposed Heart of Borneo (HoB). For the conservation of Hose&amp;apos;s civet and likely other Bornean highland endemics, we recommend increased wildlife and forest law enforcement in identified protected refuges and sustainable timber harvesting practices in surrounding commercial forests, both within the HoB and the extensions we identified. Results of our green model showed that efforts to reduce greenhouse gas emissions will likely contribute immensely to the long-term conservation of highland species such as Hose&amp;apos;s civet. (C) 2019 The Authors. Published by Elsevier B.V.</t>
  </si>
  <si>
    <t>Glob. Ecol. Conserv.</t>
  </si>
  <si>
    <t>10.1016/j.gecco.2019.e00531</t>
  </si>
  <si>
    <t>Study about the effect of diferent scenarios on the habitat of the civet. No C output.</t>
  </si>
  <si>
    <t>Forest management; Scenarios; Modelling; Economic assessment</t>
  </si>
  <si>
    <t>ECOSYSTEM SERVICES; FOREST; AVAILABILITY; POLICY</t>
  </si>
  <si>
    <t>Mozgeris, G; Kavaliauskas, M; Brukas, V; Stanislovaitis, A</t>
  </si>
  <si>
    <t>Assessment of timber supply under alternative contextual scenarios</t>
  </si>
  <si>
    <t>Forest planners in former Eastern Block countries tend to provide conservative forecasts of timber supply, based on a rigid area control under the legislated rotation ages, and often assuming uniform forest management behaviour irrespective of the owner type. This study, in contrast, explores timber supply in a multi-disciplinary approach that analyses contextual factors and expands the space of future forest management options. Methodological steps include: (i) participatory development of qualitative scenarios, following different trajectories of contextual factors affecting forest management; (ii) identification of forest management programmes at the stand level; and (iii) modelling and economic assessment of future flows of timber at the landscape level. This research is carried out in a case study area (CSA) in central Lithuania containing 37,000 ha of forest, of which 80% is under state ownership. The development of forest resources was simulated for four contextualised scenarios: Business as Usual, Efficiency and Reforms, Ecology, and Climate Change Mitigation. Six forest-management programs were constructed together with stakeholders to describe the behaviour of state forest managers and private forest owners under each scenario. All four scenarios led to increased timber supply, largely due to the high proportion of middle-aged and premature stands in current forests. Notably, the present-day approach of rigid area control prioritises a steady timber supply through an evener age-class structure but largely fails on the last point. Our scenario analysis shows that relaxation of legislative requirements not only leads to increased long-term contribution to economic welfare but also enables achievement of evener age-class distributions.</t>
  </si>
  <si>
    <t>10.1016/j.forpol.2018.01.002</t>
  </si>
  <si>
    <t>Il y a des stocks de bois prélevé sous différents scénarios mais il n'y a pas d'émissions CO2 associés</t>
  </si>
  <si>
    <t>CO2; carbon neutrality; supply chain management; wood procurement</t>
  </si>
  <si>
    <t>SUPPLY CHAIN MANAGEMENT; ENVIRONMENTAL BENEFITS; OPERATIONS-RESEARCH; PLANNING-MODELS; EFFICIENCY; SECTOR; ISSUES; TIMBER; PULP</t>
  </si>
  <si>
    <t>Palander, T; Vesa, L</t>
  </si>
  <si>
    <t>Data-Driven Optimization of Forestry and Wood Procurement toward Carbon-Neutral Logistics of Forest Industry</t>
  </si>
  <si>
    <t>Investments toward a carbon-neutral forest industry will change forestry and wood procurement in Northern Finland. The changing market situation requires data-driven DSSs for the strategic management of logistics. Using this software, logistics were described by a continuing wood flow model and optimized by a dynamic method. Three logistics scenarios described wood flows in the present and in the future. The optimization minimized the economic and environmental costs, which decreased by 4.9%. However, synchronized multimodal transportation costs increased by 23.3%. Therefore, maximum logistics efficiency necessitates increases in railway transport capacity. The change would also decrease CO2 emission costs. Under scenario-specific circumstances, logistics operations could be focused on four profitable regions, increasing market shares at municipalities. To guarantee environmental sustainability of these municipalities, optimization of timber markets between forest owners and forest industry must be developed further by driving data from the EU's emission allowance price compensation mechanism to the optimization process.</t>
  </si>
  <si>
    <t>10.3390/f13050759</t>
  </si>
  <si>
    <t>mass timber; carbon storage; lifecycle analysis; regional demand assessments; global trade modelling; climate change; forest impact assessments; sustainable forest management</t>
  </si>
  <si>
    <t>LIFE-CYCLE ASSESSMENT; MANAGEMENT</t>
  </si>
  <si>
    <t>Pasternack, R; Wishnie, M; Clarke, C; Wang, YY; Belair, E; Marshall, S; Gu, HM; Nepal, P; Dolezal, F; Lomax, G; Johnston, C; Felmer, G; Morales-Vera, R; Puettmann, M; van den Huevel, R</t>
  </si>
  <si>
    <t>What Is the Impact of Mass Timber Utilization on Climate and Forests?</t>
  </si>
  <si>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</si>
  <si>
    <t>10.3390/su14020758</t>
  </si>
  <si>
    <t>JOURNAL OF POLYMERS AND THE ENVIRONMENT</t>
  </si>
  <si>
    <t>LCA; Biorefinery; Wood residues; LUC</t>
  </si>
  <si>
    <t>BIOFUELS</t>
  </si>
  <si>
    <t>Piemonte, V</t>
  </si>
  <si>
    <t>Wood Residues as Raw Material for Biorefinery Systems: LCA Case Study on Bioethanol and Electricity Production</t>
  </si>
  <si>
    <t>Fossil energy and chemical sources are depleting. There is a critical need to change the current industry and human civilization to a sustainable manner, assuring that our way of life actual continues on the path of improvement after the depletion of fossil energy sources. The utilization of agricultural residues as raw materials in a biorefinery is a promising alternative to fossil resources for production of energy carriers and chemicals, thus mitigating climate change and enhancing energy security. Biorefinery is a concept of converting lignocellulosic biomass or grains (such as corn) to chemicals, materials and energy on which human civilization runs, replacing the need for petroleum, coal, natural gas, and other nonrenewable energy and chemical sources. Lignocellulosic biomass is renewable, that is plant synthesizes chemicals (by drawing energy from the sun and carbon dioxide) and water from the environment, while releasing oxygen. Combustion of biomass releases energy, carbon dioxide and water. Therefore, biorefinery plays a key role in satisfying human needs for energy and chemicals by using the biomass production and consumption cycle. This paper focuses on a biorefinery concept and in particular on the bioethanol production from wood residues. In order to evaluate the environmental reliability of the system under study, the biorefinery plant (producing bioethanol and electricity from wood residues) was compared, by using the LCA methodology, to both conventional refinery system (producing light fuel oil and electricity from petroleum) and biorefinery plant based on corn feedstock producing the same goods. Interesting considerations about LUC emissions effect on biorefinery sustainability are also reported. The obtained results show that by assigning reasonable values to the three damage categories used in the eco-indicator 99 methodology the biorefinery system is preferable, from an environmental point of view, to the conventional refinery system analysed. This finding confirms the high potentials of this innovative plant technology.</t>
  </si>
  <si>
    <t>J. Polym. Environ.</t>
  </si>
  <si>
    <t>10.1007/s10924-011-0396-z</t>
  </si>
  <si>
    <t>bioenergy; linear programming; optimization; sustainability; woody biomass; pellets; torrefied pellet</t>
  </si>
  <si>
    <t>BIOENERGY SYSTEMS; DEBRIS RETENTION; CLIMATE-CHANGE; TRADE; SUSTAINABILITY; RESIDUES; BIOFUELS; HEALTH; MARKET; COSTS</t>
  </si>
  <si>
    <t>Radics, RI; Dasmohapatra, S; Kelley, SS</t>
  </si>
  <si>
    <t>Use of linear programming to -optimize the social, -environmental, and economic impacts of using woody feedstocks for pellet and -torrefied pellet production</t>
  </si>
  <si>
    <t>Linear programming was used to optimize the economic, environmental, and social impacts of forest biomass used for bioenergy production. Sixteen scenarios (combinations of feedstocks, products, markets, and end use) were studied. Two feedstocks (roundwood and wood residues), two densified bioenergy products (white pellet, torrefied pellet), two markets (domestic, international), and two end uses (power generation, district heating) were evaluated. The social, environmental, and economic sustainability attributes were quantified and monetized using peer-reviewed literature to analyze the trade-offs. Using the economic criteria alone, the model showed that the best solution was use of 70% roundwood and 30% forest residue feedstock to produce torrefied pellets (TP) sold for district heating in the EU. The model predicts $5.4 million annual profit which is driven by the use of lower cost forest residue feedstocks, and relatively higher prices for the heating market in the EU. Inclusion of all three sustainability attributes led to a different optimized solution. TP produced from roundwood and sold to the EU market for heating was the optimum, due to the social benefits derived from increased local income to landowners and reduced shipping costs. It also had added benefits of reductions in emissions across the transportation system on an energy basis. TP consistently had higher social benefits than WP due to the need for more biomass per unit of final product, and providing more local jobs and income from feedstock production. The increasing costs of carbon emissions increased the environmental benefits of TP compared to WP or coal. (c) 2016 Society of Chemical Industry and John Wiley &amp; Sons, Ltd</t>
  </si>
  <si>
    <t>10.1002/bbb.1658</t>
  </si>
  <si>
    <t>ECOTOXICOLOGY AND ENVIRONMENTAL SAFETY</t>
  </si>
  <si>
    <t>Environment; GHG emission; Biorefinery; Black liquor; Biomass</t>
  </si>
  <si>
    <t>PRE-EXTRACTION; LIGNIN; WATER; PULP; RECOVERY; PRODUCTS; BIOMASS; PINE</t>
  </si>
  <si>
    <t>Sharma, N; Nainwal, S; Jain, S; Jain, S</t>
  </si>
  <si>
    <t>Emerging biorefinery technologies for Indian forest industry to reduce GHG emissions</t>
  </si>
  <si>
    <t>The production of biofuels as alternative energy source over fossil fuels has gained immense interest over the years as it can contribute significantly to reduce the greenhouse gas (GHG) emissions from energy production and utilization. Also with rapidly increasing fuel price and fall in oil wells, the present scenario forces us to look for an alternative source of energy that will help us in the operation of industrial as well as the transportation sector. The pulp mills in India are one of the many options. The pulp mills in India can help us to produce bio-fuels by thermo-chemical/biochemical conversion of black liquor and wood residues. These technologies include extraction of hemi-cellulose from wooden chips and black liquor, lignin from black liquor, methanol from evaporator condensates, biogas production from waste sludge, syngas production from biomass using gasification and bio-oil production from biomass using pyrolysis. The objective of this paper is to overview these emerging bio-refinery technologies that can be implemented in Indian Forest Industry to get bio-fuels, bio-chemicals and bio-energy to reduce GHG emissions. (C) 2015 Elsevier Inc. All rights reserved.</t>
  </si>
  <si>
    <t>Ecotox. Environ. Safe.</t>
  </si>
  <si>
    <t>10.1016/j.ecoenv.2015.04.050</t>
  </si>
  <si>
    <t>Clean Development Mechanism; forest carbon; forest management; Kyoto Protocol; reduced impact logging; tropical forests</t>
  </si>
  <si>
    <t>INDICATORS; BIOMASS; FIRE</t>
  </si>
  <si>
    <t>Smith, J; Applegate, G</t>
  </si>
  <si>
    <t>Could payments for forest carbon contribute to improved tropical forest management?</t>
  </si>
  <si>
    <t>Under the Kyoto Protocol industrialized countries will be able to meet carbon emission reduction commitments by financing forestry projects that sequester carbon in developing countries. While this mechanism would compensate for missing markets in forest environmental services, it could also enable industrialized countries to avoid reducing energy use. This paper assesses whether such projects could contribute to improved logging practices in the tropics. Results from studies primarily in Asia and Latin America are analyzed in the context of the modalities of the Kyoto Protocol. Results show that the opportunity cost of shifting from conventional logging to improved practices may have been underestimated. At the same time the long-term carbon and biodiversity benefits of improved forest management may have been underestimated. These results follow primarily from the fact that most previous studies assume that a permanent forest estate is maintained under conventional logging and that cutting cycles are as long as 30-60 years. A more realistic scenario, however, consists of repeated harvesting at short intervals during the first few decades, resulting in the degradation of the forest into shrub and grassland. The implications of these results are that forest management projects may be less cost-effective than previously assumed. Therefore, expectations about their potential contribution to improved management should be scaled down. At the same time, the extent to which such projects will enable industrialized countries to avoid reducing industrial pollution is also unlikely to be significant. Cost-effectiveness is likely to be highest where timber volumes in the first few decades after initial logging are comparable under conventional and improved logging. This is likely where topography is relatively flat, biodiversity values are low, wastage of felled timber is high and the policy environment is favorable. A number of proactive measures are suggested to expand the niche for forest management carbon projects. These measures are justified because the incremental carbon and biodiversity benefits in the long run may be higher than previous studies have indicated. (C) 2002 Elsevier Science B.V. All rights reserved.</t>
  </si>
  <si>
    <t>10.1016/S1389-9341(02)00102-8</t>
  </si>
  <si>
    <t>FALL CHINOOK SALMON; STREAM TEMPERATURE; STEELHEAD TROUT; TEMPORAL VARIABILITY; POTENTIAL IMPACTS; WATER TEMPERATURE; THERMAL REGIMES; DISCHARGE; DYNAMICS; SURVIVAL</t>
  </si>
  <si>
    <t>Spanjer, AR; Gendaszek, AS; Wulfkuhle, EJ; Black, RW; Jaeger, KL</t>
  </si>
  <si>
    <t>Assessing climate change impacts on Pacific salmon and trout using bioenergetics and spatiotemporal explicit river temperature predictions under varying riparian conditions</t>
  </si>
  <si>
    <t>Pacific salmon and trout populations are affected by timber harvest, the removal and alteration of riparian vegetation, and the resulting physical changes to water quality, temperature, and associated delivery of high-quality terrestrial prey. Juvenile salmon and trout growth, a key predictor of survival, is poorly understood in the context of current and future (climate-change mediated) conditions, with resource managers needing information on how land use will impact future river conditions for these commercially and culturally important species. We used the Heat Source water temperature modeling framework to develop a spatiotemporal model to assess how riparian canopy and vegetation preservation and addition could influence river temperatures under future climate predictions in a coastal river fed by a moraine-dammed lake: the Quinault River in Washington State. The model predicted higher water temperatures under future carbon emission projections, representative concentration pathway (RCP) 4.5 and 8.5, with varying magnitude based on different riparian vegetation scenarios. We used the daily average temperature output from these scenarios to predict potential juvenile fish growth using the Wisconsin bioenergetics model. A combination of riparian vegetation removal and continued high carbon emissions resulted in a predicted seven-day average daily maximum temperature (7DADM) increase of 1.7 degrees C in the lower river by 2080; increases in riparian shading mitigate this 7DADM increase to only 0.9 degrees C. Under the current thermal regime, bioenergetics modeling predicts juvenile fish lose weight in the lower river; this loss of potential growth worsens by an average of 20-83% in the lower river by 2080, increasing with the loss of riparian shading. This study assess the impact of riparian vegetation management on future thermal habitat for Pacific salmon and trout under warming climates and provide a useful spatially explicit modeling framework that managers can use to make decisions regarding riparian vegetation management and its mechanistic impact to water temperature and rearing juvenile fish.</t>
  </si>
  <si>
    <t>10.1371/journal.pone.0266871</t>
  </si>
  <si>
    <t>air-dry wood density; annual radial increment; cambial age; dendroecology; emmeans; high-frequency densitometry; linear mixed-effects models; lme4; lmerTest</t>
  </si>
  <si>
    <t>HIGH-FREQUENCY DENSITOMETRY; NORWAY SPRUCE; RING WIDTH; IMAGE-ANALYSIS; RADIAL GROWTH; LATEWOOD DENSITY; TREE-RINGS; SCOTS PINE; TEMPERATURE; CLIMATE</t>
  </si>
  <si>
    <t>Sprengel, L; Cheng, ZQ; Hipler, SM; Wu, SR; Spiecker, H</t>
  </si>
  <si>
    <t>Mean Annual Wood Density Variations of Larix gmelinii (Rupr.), Quercus mongolica Fisch. ex Ledeb., and Pinus tabulaeformis Carr. at Two Different Stem Heights</t>
  </si>
  <si>
    <t>Forests are a large carbon sink with an additional substitution effect in the merchantable timber compartment of harvested trees, where carbon stored within the same volume of wood varies depending on wood density. Here, we investigated mean annual air-dry wood density variations depending on cambial age, annual radial increment, and two different stem heights of Larix gmelinii (Rupr.), Quercus mongolica Fisch. ex. Ledeb., and Pinus tabulaeformis Carr. from a first climatic region (Mulan Forest) and exclusively of P. tabulaeformis from a second climatic region (Zhongtiaoshan Forest) in the temperate zone of China. We applied linear mixed-effects models with partly transformed variables and estimated marginal means for pairwise comparisons. Results showed that mean wood density was not significantly different between L. gmelinii (0.626 g cm(-3)) and Q. mongolica (0.596 g cm(-3)), but significantly different between P. tabulaeformis from the two different climatic regions (0.445 g cm(-3) in Mulan Forest and 0.521 g cm(-3) in Zhongtiaoshan Forest). Mean annual wood density within trees except for P. tabulaeformis from Mulan Forest was initially increasing until an intermediate cambial age, after which it decreased again to lower values. These findings showed that tree age had to be considered in assessing carbon sequestration in wood. It also could play an important role in decision making for forest management in Mulan Forest and show the benefit of the wood properties and carbon storage potential of the faster growing L. gmelinii compared to Q. mongolica. Furthermore, these findings gave an indication that intermediate old forest stands for some tree species accumulated more carbon per year within their woody biomass than young stands or old growth forests. Our results may have an impact on the planning of rotation lengths and of tree species composition for forest stands in Mulan Forest and Zhongtiaoshan Forest.</t>
  </si>
  <si>
    <t>10.3390/f11040394</t>
  </si>
  <si>
    <t>Technical efficiency; Allocative efficiency; Profit efficiency; Data envelopment analysis; Ecosystem services; Climate change</t>
  </si>
  <si>
    <t>DATA ENVELOPMENT ANALYSIS; ECOSYSTEM SERVICES; BIODIVERSITY; FRAMEWORK; IMPACTS; MODEL</t>
  </si>
  <si>
    <t>Susaeta, A; Adams, DC; Carter, DR; Gonzalez-Benecke, C; Dwivedi, P</t>
  </si>
  <si>
    <t>Technical, allocative, and total profit efficiency of loblolly pine forests under changing climatic conditions</t>
  </si>
  <si>
    <t>Forest ecosystem services (ES) provide significant value to society. Without means to adequately capture that value, societal ES values have little influence on landowners' management decisions, leading to inefficiencies in forest-based ES provision. To understand these inefficiencies, we employ data envelopment analysis (DEA) to assess three types of efficiency - technical, allocative and total profit - of planted pine forests using loblolly pine (Pines taeda L.) in the Southern US as an example. Field data from n = 28 plots are used to assess stand level efficiency in the production of timber, carbon sequestration, and species richness considering inputs such as site index, age and number of trees, precipitation and temperatures. Given the impacts of climate change on key inputs, we also assess efficiency under climate scenarios representing moderate (RCP4.5) and high (RCP8.5) greenhouse gas emissions pathways. We find that 96% of forest plots are technically efficient in providing timber, carbon sequestration and species richness and 75% are allocative or total profit efficient With climate change, allocative or total profit efficiency remains similar to the initial conditions, and total profit substantially increases (42.8% and 45.6% for RCP4.5 and RCP8.5). These findings highlight the increasingly important role that forests play in providing sodally valuable ES. (C) 2016 Elsevier B.V. All rights reserved.</t>
  </si>
  <si>
    <t>10.1016/j.forpol.2016.06.021</t>
  </si>
  <si>
    <t>LAND</t>
  </si>
  <si>
    <t>renewable energy; land demand; fuelwood; carbon sequestration; ecosystem services</t>
  </si>
  <si>
    <t>EMISSIONS</t>
  </si>
  <si>
    <t>Syrbe, RU; Han, TT; Grunewald, K; Xiao, SL; Wende, W</t>
  </si>
  <si>
    <t>Residential Heating Using Woody Biomass in Germany-Supply, Demand, and Spatial Implications</t>
  </si>
  <si>
    <t>Low-carbon energy requires more land than the non-renewable resources. This paper balances holistic assessments of the land demands for biomass heating and their ecosystem services. It is predicted that biomass will continue to play an important role in the heating sector in Germany by 2050, as it is one way to increase the use of renewable energy and reduce CO2 emissions. To balance this out, it is important to ensure that the substitution of fossil fuels with fuelwood does not result in losses in biodiversity, natural forest, and agricultural land. Based on the observed types of fuel demand, the need for space in terms of the growing area is characterized as the corresponding land under the consideration of a given land-use type. Formulas have been applied at the federal level in Germany. The area required to supply an average German household is 0.64 ha if all the wood harvested is used for energy purposes, but this is in competition with all other types of timber use. Fuelwood from thinning alone cannot meet the domestic demand. However, a sustainable supply of woody biomass is possible if residues mainly from forestry and the wood processing industry are used, causing a land demand of 2.69 ha per house, possibly in combination with smaller shares of the above-mentioned types of use. Thus, the shares of pellets and wood chips for heating purposes should be expanded, which would also bring ecological advantages. The qualitative consideration of forest ecosystem services shows that changing the forest composition or management may increase the fuelwood supply but does not necessarily decrease forest ecological services.</t>
  </si>
  <si>
    <t>Land</t>
  </si>
  <si>
    <t>10.3390/land11111937</t>
  </si>
  <si>
    <t>INTERNATIONAL JOURNAL OF GEOMATE</t>
  </si>
  <si>
    <t>Advanced Materials; Sustainability; Innovation; Civil Engineering; Construction</t>
  </si>
  <si>
    <t>Thorpe, DS</t>
  </si>
  <si>
    <t>UPTAKE OF ADVANCED AND SUSTAINABLE ENGINEERING MATERIALS IN CIVIL INFRASTRUCTURE PROJECTS</t>
  </si>
  <si>
    <t>Advanced and sustainable engineering materials, such as engineered fibre composites, geoploymer cement, and recycled concrete have the potential to reduce demand on scarce resources, improve safety, reduce greenhouse gas emissions and contribute to positive initiatives in civil engineering design and construction in areas like foundations and structural members. For example, engineered fibre composites can replace other materials (such as timber), because of their high strength to weight ratio, light weight and ease of installation. They can also have positive impacts on sustainability. While advanced materials have several advantages, their take-up by industry, and in particular small and medium enterprise companies (SMEs), has in a number of cases been relatively slow. This is likely to be the result of a number of factors, such as relatively high cost, financial risk in using an unproven technology, lack of suitable design standards, an unproven life cycle, uncertainty over long-term sustainability issues, and possible changed building and construction methods. Advantages and disadvantages of the use of selected advanced and sustainable materials in civil engineering projects are investigated. A weighted scoring methodology for improved evaluation of their advantages and disadvantages, with a view to aiding decisions, is proposed.</t>
  </si>
  <si>
    <t>Int. J. GEOMATE</t>
  </si>
  <si>
    <t>10.21660/2015.15.4239</t>
  </si>
  <si>
    <t>No C output according to the abstract.</t>
  </si>
  <si>
    <t>LAND USE POLICY</t>
  </si>
  <si>
    <t>Agroforestry; Atlantic Forest; Biodiversity conservation; Environmental legislation; Forest certification; Land use policy</t>
  </si>
  <si>
    <t>EUTERPE-EDULIS MART.; ARAUCARIA-ANGUSTIFOLIA; CLIMATE-CHANGE; CONSERVATION; MANAGEMENT; BIODIVERSITY; RESTORATION</t>
  </si>
  <si>
    <t>Urruth, LM; Bassi, JB; Chemello, D</t>
  </si>
  <si>
    <t>Policies to encourage agroforestry in the Southern Atlantic Forest</t>
  </si>
  <si>
    <t>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t>
  </si>
  <si>
    <t>Land Use Pol.</t>
  </si>
  <si>
    <t>10.1016/j.lusepol.2021.105802</t>
  </si>
  <si>
    <t>Out of scope: paper about barriers to agroforestry in Brazil</t>
  </si>
  <si>
    <t>SCANDINAVIAN JOURNAL OF FOREST RESEARCH</t>
  </si>
  <si>
    <t>Carbon stock; Chinese fir; site specific-based scenario; mixed forest-based scenario</t>
  </si>
  <si>
    <t>LEAF-LITTER DECOMPOSITION; NUTRIENT RETURN; FIR; PLANTATIONS; DYNAMICS</t>
  </si>
  <si>
    <t>Wang, B; Wei, WJ; Xing, ZK; You, WZ; Niu, X; Ren, XX; Liu, CJ</t>
  </si>
  <si>
    <t>Biomass carbon pools of Cunninghamia lanceolata (Lamb.) Hook. forests in subtropical China: Characteristics and potential</t>
  </si>
  <si>
    <t>Chinese fir (Cunninghamia lanceolata ( Lamb.) Hook.) is one of the most important indigenous tree species in China. Owing to their rapid growth, good timber quality and short rotation time, increasing numbers of plantations are being established with successive rotations. Numerous competing hypotheses have been described to explain the decline in yield that occurs with successive rotations of the plantations. In addition, there are some uncertainties regarding the changes and characteristics of biomass carbon pools in Chinese fir forests in subtropical China, and information is lacking regarding how to improve carbon sequestration by this biomass sink. The total biomass carbon stock of the Chinese fir forest in China increased from 91.57 Tg C in 1977-1981 to 238.50 Tg C in 2004-2008, accounting for 2.48-4.32% of the national forest biomass carbon in the corresponding period. Due to the decreased yield during successive rotation for Chinese fir plantations before the 1990s, the biomass carbon stock of Chinese fir forests decreased in several regions in China during the 1980s and 1990s, and increased in the 2000s when several silvicultural measures were implemented to improving the quality of Chinese fir plantations. When compared with the age-based volume to biomass (V-B) method of determining biomass carbon stock in Chinese fir forests in Jiangxi Province, the site specific-based and the mixed forests-based scenarios would both help offset CO2 emissions by sequestrating more CO2 from the atmosphere.</t>
  </si>
  <si>
    <t>Scand. J. Forest Res.</t>
  </si>
  <si>
    <t>10.1080/02827581.2012.672585</t>
  </si>
  <si>
    <t>The paper is poorly written. It seems that three scenarios with different species mixes are studied, but even this is unclear. What the C outputs displayed correspond to is even less clear.</t>
  </si>
  <si>
    <t>changedAV excluded, the C output is the application of a substitution coefficient without clear explanation of boundaries used to define the coefficient</t>
  </si>
  <si>
    <t>biodiesel production; carbon sequestration; environmental economic analysis; oleaginous trees; renewable energy</t>
  </si>
  <si>
    <t>CARBON SEQUESTRATION; ECONOMIC-ANALYSIS; OIL PALM; FOREST; BIOENERGY; EMISSIONS; BIOGAS; YIELD; MODEL; WOOD</t>
  </si>
  <si>
    <t>Zhang, J; Cong, RG; Hasler, B</t>
  </si>
  <si>
    <t>Sustainable Management of Oleaginous Trees as a Source for Renewable Energy Supply and Climate Change Mitigation: A Case Study in China</t>
  </si>
  <si>
    <t>Forests provide a range of ecosystem services, including bioenergy supply and carbon sequestration, both contributing to significant climate change mitigation. Oleaginous trees have potential to provide bioenergy supplies through biodiesel-producing seed yield as well as contributing to carbon sequestration. This paper aims to show the provisions of bioenergy and carbon savings through forest rotation management and it will investigate the potential of oleaginous forest management in China. We use the land expectation value (LEV) model to calculate the optimal joint values of timber, seed and total carbon savings, including carbon sequestration from forest and carbon reductions through energy substitutions. The results indicate that combining both values of seeds and carbon savings increase the LEV and rotation age (167,611 Yuan/ha, 78 years) compared to sole timber value (26,053 Yuan/ha, 55 years). The optimization of the LEVs and the resulting optimal rotation ages are significantly sensitive to the discounting rate. Annual biodiesel potential production from Pistacia chinensis can take up 1.7% of the national diesel consumption in China. We conclude that China can use improved forest rotation management as an effective means for achieving goals in its low-carbon energy strategy.</t>
  </si>
  <si>
    <t>10.3390/en11051123</t>
  </si>
  <si>
    <t>Only C output is a map of GHG savings per Chinese province based on biodiesel production. Results cannot be extracted. Even if they could, it would be difficult to identify the baseline scenario.</t>
  </si>
  <si>
    <t>INTERNATIONAL JOURNAL OF BUILDING PATHOLOGY AND ADAPTATION</t>
  </si>
  <si>
    <t>Buildings; Aluminium; Sustainability; Life cycle assessment; Timber; Windows</t>
  </si>
  <si>
    <t>CONSTRUCTION SECTOR; BUILDING ENERGY; ASSESSMENT LCA; SAUDI-ARABIA</t>
  </si>
  <si>
    <t>Asif, M</t>
  </si>
  <si>
    <t>An empirical study on life cycle assessment of double-glazed aluminium-clad timber windows</t>
  </si>
  <si>
    <t>Purpose Life cycle assessment (LCA) is a useful tool to determine the environmental performance of materials and products. The purpose of this paper is to undertake the LCA of double-glazed aluminium-clad timber windows in order to determine their environmental performance. Design/methodology/approach The scope of the LCA study covers the production and the use of windows over a 30-year life span. The LCA exercise has been carried out by auditing the materials and processes involved in the making of the windows. Windows production facilities were visited to investigate the respective quantities and embodied energy of the major constituting materials, i.e. timber, aluminium, glass, infill gases and auxiliary components. The main processes involved, i.e. powder coating of aluminium cladding profiles, glazing unit production and window assembly, were also examined. SimaPro software was used to calculate the environmental impacts associated with the windows for three types of glazing infills: Argon (Ar), Krypton (Kr) and Xenon (Xe). Findings Embodied energy of a standard sized (1.2 mx1.2 m) double-glazed aluminium-clad timber window is found to be 899, 1,402 and 5,400 MJ for Argon (Ar), Krypton (Kr) and Xenon (Xe) infill gases, respectively. It is also found that an Argon-filled window can lose 95,130 kWh of energy resulting into over 37,000 kg of CO2 emissions. Originality/value Besides carrying value for research community, the findings of this study can help the building and construction industry adopt windows that are energy-efficient and environmentally less burdensome. It can also help the concerned legislative bodied.</t>
  </si>
  <si>
    <t>Int. J. Build. Pathol. Adapt.</t>
  </si>
  <si>
    <t>10.1108/IJBPA-01-2019-0001</t>
  </si>
  <si>
    <t>the paper compares different gass-filled windows but the construction of these different types of windows use the same amount of wood.</t>
  </si>
  <si>
    <t>SOIL CARBON; FOREST; DECOMPOSITION; DYNAMICS; 3-PG; PRODUCTIVITY; ICBM; PARAMETERIZATION; PHOTOSYNTHESIS; CHRONOSEQUENCE</t>
  </si>
  <si>
    <t>Minunno, F; Xenakis, G; Perks, MP; Mencuccini, M</t>
  </si>
  <si>
    <t>Calibration and validation of a simplified process-based model for the prediction of the carbon balance of Scottish Sitka spruce (Picea sitchensis) plantations</t>
  </si>
  <si>
    <t>There is increasing recognition that forestry provides a low cost and robust means of climate change abatement through carbon sequestration and substitution. However, current understanding of forest ecosystem carbon exchange and forest-atmosphere interactions are often inadequately characterized by existing empirical growth models with resulting poor representation for regional extrapolations. In this paper, we describe the parameterisation and independent validation, against both eddy covariance and forest growth experimental data, of a process-oriented model 3PGN to provide assessments of carbon sequestration of Sitka spruce (Picea sitchensis (Bong.) Carriere) plantations across Scotland. In comparison with eddy covariance measurements, the model predicted all of the major annual carbon fluxes, i.e., gross primary production (P-G), net ecosystem production (P-E), and ecosystem respiration (R-E), with biases lower than 10%. At a monthly time step, only P-G and P-E were accurately estimated, whereas R-E was not. At longer time scales (i.e., several decades), the model reliably represented the major patterns of the carbon balance. Soil type was identified as the important factor influencing site productivity; fertilization practices did not alter long-term site nutritional status. The analyses also highlighted the potential impact of carbon loss from carbon-rich soils, which can result in differences between optimal rotation length for carbon sequestration and for timber production.</t>
  </si>
  <si>
    <t>10.1139/X10-181</t>
  </si>
  <si>
    <t>EUROPEAN JOURNAL OF WOOD AND WOOD PRODUCTS</t>
  </si>
  <si>
    <t>BUILDINGS; CONTEXT; IMPACT</t>
  </si>
  <si>
    <t>Achenbach, H; Wenker, JL; Ruter, S</t>
  </si>
  <si>
    <t>Life cycle assessment of product- and construction stage of prefabricated timber houses: a sector representative approach for Germany according to EN 15804, EN 15978 and EN 16485</t>
  </si>
  <si>
    <t>Energy savings in the use phase of a building's life cycle increased the relative importance of environmental impacts of the product-, construction- and end-of-life stages of a building. The European Committee for Standardization (CEN) thus developed horizontal standards to enable the sustainability assessment of construction works over their entire life cycle. Consistent with the European standards EN 15804, EN 15978 and EN 16485, a life cycle assessment (LCA) was carried out to determine the environmental impacts of the production and construction stages of an average prefabricated timber house produced in Germany as well as its particular building elements (1 mA(2) inner/outer wall, 1 mA(2) roof element, 1 mA(2) ceiling element). The life cycle inventories (LCIs) were compiled on the basis of annual data of 12 participating manufacturers of prefabricated timber houses. A specific LCA model was developed for the calculation of the input- and output flows referring to the functional units on factory level. Furthermore, one focus was laid on the application of the modular principle according to EN 15804/15978 to construction systems with a high level of prefabrication. The normalization to the overall German impacts shows that the contributions to the environmental categories global warming potential (GWP), acidification (AP) and to the abiotic depletion potential (ADPe) are most important. The highest impacts originate from the manufacturing of the building materials. However, for the categories GWP and AP, around 30% of the impacts originate from the prefabrication of the building elements, their transport and the processes at the construction site.</t>
  </si>
  <si>
    <t>Eur. J. Wood Wood Prod.</t>
  </si>
  <si>
    <t>10.1007/s00107-017-1236-1</t>
  </si>
  <si>
    <t>SUSTAINABLE ENERGY TECHNOLOGIES AND ASSESSMENTS</t>
  </si>
  <si>
    <t>Life cycle assessment; LCA; Bioenergy; Gasification; CHP; Industry</t>
  </si>
  <si>
    <t>Adams, PWR; McManus, MC</t>
  </si>
  <si>
    <t>Small-scale biomass gasification CHP utilisation in industry: Energy and environmental evaluation</t>
  </si>
  <si>
    <t>Biomass gasification is regarded as a sustainable energy technology used for waste management and producing renewable fuel. Using the techniques of life cycle assessment (LCA) and net energy analysis this study quantifies the energy, resource, and emission flows. The purpose of the research is to assess the net energy produced and potential environmental effects of biomass gasification using wood waste. This paper outlines a case study that uses waste wood from a factory for use in an entrained flow gasification CHP plant. Results show that environmental impacts may arise from toxicity, particulates, and resource depletion. Toxicity is a potential issue through the disposal of ash. Particulate matter arises from the combustion of syngas therefore effective gas cleaning and emission control is required. Assessment of resource depletion shows natural gas, electricity, fossil fuels, metals, and water are all crucial components of the system. The energy gain ratio is 4.71MJdelivered/MJprimary when only electricity is considered, this increases to 13.94MJdelivered/MJprimary if 100% of the available heat is utilised. Greenhouse gas emissions are very low (7-15 g CO2-e/kWh(e)) although this would increase if the biomass feedstock was not a waste and needed to be cultivated and transported. Overall small-scale biomass gasification is an attractive technology if the high capital costs and operational difficulties can be overcome, and a consistent feedstock source is available. (C) 2014 Elsevier Ltd. All rights reserved.</t>
  </si>
  <si>
    <t>Sustain. Energy Technol. Assess.</t>
  </si>
  <si>
    <t>10.1016/j.seta.2014.02.002</t>
  </si>
  <si>
    <t>deforestation; management regimes; historic emissions; counter appraoches; Pakistan</t>
  </si>
  <si>
    <t>LAND-USE CHANGE; HIMALAYA; BIOMASS; STOCKS; DEFORESTATION; DEGRADATION; ATMOSPHERE; PATTERNS; TRENDS; SINK</t>
  </si>
  <si>
    <t>Ahmad, A; Ahmad, S; Nabi, G; Zeb, A; Rajpar, MN; Ullah, S; Khalid, F; Rahman, M; Liu, QJ; Zu, KL; Guo, XL; Wanghe, K</t>
  </si>
  <si>
    <t>Carbon Emissions With Forest Cover Change and Wood Harvest in the Dry Temperate Region of Pakistan Between 1908 and 2015</t>
  </si>
  <si>
    <t>Regional carbon emissions related to forest cover change (FCC) and wood harvest (WH) are critical for the accurate estimates of global carbon balance over an extended time period. Using remote sensing and inventory data, this study provides a comprehensive record of FCC, WH, and their integrated carbon emissions between 1908 and 2015 in the dry temperate regions of Pakistan. Results demonstrate a significant decline in forest area (21,034 ha) at an annual rate of 0.56% from 1973 to 2015. The total WH was 24.84 million m(3) (0.23 million m(3) yr(-1)) between 1908 and 2015. Deforestation was responsible for a net loss of 1.39 million Mg C (0.018 million Mg C yr(-1)), while WH-related carbon emissions accounted for 11.29 million Mg C (0.52 million Mg C yr(-1)). The present results indicate that under the existing FCC and WH harvest scenario, the forests are acting as a net source of 0.29 million Mg C yr(-1). Agriculture expansion and the heavy dependency of local communities on the forest's resources, exclusion of conservation and local communities from forest management, insufficient monitoring, and weak law-enforcement were the striking drivers of FCC, WH, and their related emissions. These findings suggest that to maintain forest carbon and meet the communities' requirements, counter approaches such as agriculture incentives, agroforestry, trophy hunting, alternative energy sources, and inclusion of conservation and secure community-based management are needed.</t>
  </si>
  <si>
    <t>10.3389/fenvs.2022.876225</t>
  </si>
  <si>
    <t>Wood-based materials; In-use carbon stocks; Carbon sequestration; Material flow analysis; Dynamic stock modeling; Climate change mitigation</t>
  </si>
  <si>
    <t>RESIDENTIAL BUILDINGS; ENERGY; FLOW; EMISSIONS; ECONOMY; STEEL; PRODUCTS; DYNAMICS; IMPACTS; JAKARTA</t>
  </si>
  <si>
    <t>Estimating in-use wood-based materials carbon stocks in Indonesia: Towards a contribution to the national climate mitigation effort</t>
  </si>
  <si>
    <t>The carbon sequestered in harvested wood products (HWP) can contribute to climate change mitigation. As a fast-growing country with abundant forest resources, Indonesia potentially has vast HWP carbon stocks that need to be accurately assessed as a first step towards understanding the extent of their potential contribution in climate change mitigation. In this study, a dynamic materials stock and flow analysis for carbon in wood-based products in Indonesia was conducted, covering six end-use sectors. In general, only around 30.3% of the harvested wood (carbon mass) was converted into end-use materials in 2014, indicating a significantly low harvested wood conversion rate in Indonesia. There was a significant increase of wood-based products' carbon stocks in Indonesia from 1961 to 2016. There were 72 (-17/+15) Mt-C of wood stocks in Indonesian society in 2016, or equivalent to 0.28 t-C/capita. Buildings (42%) and infrastructure (31%) were the largest contributors to in-use carbon stocks. The product lifetime uncertainty had a significant influence on the estimate of total society's wood-based carbon stock. Indonesia's in-use stock of wood-based products in 2008 was below its stock level of steel (1.2 times smaller) and cement (5.3 times smaller). Both wood-steel and wood-cement stock ratios showed declining trends, indicating a shifting trend to non-renewable materials use over the past decades. This is the first study that accounts for the in-use wood-based carbon stocks in a developing country. Its results can facilitate further quantitative environmental assessments of non-renewable materials substitution and could help framing materials use policies for climate change mitigation.</t>
  </si>
  <si>
    <t>10.1016/j.resconrec.2019.06.010</t>
  </si>
  <si>
    <t>TREES FORESTS AND PEOPLE</t>
  </si>
  <si>
    <t>Avoided emissions; conservation; coastal protection; ecosystem services; income; tree biomass</t>
  </si>
  <si>
    <t>HOMESTEAD FORESTS; CLIMATE-CHANGE; CO-BENEFITS; DIVERSITY; BIODIVERSITY; TREES; AGROFORESTRY; HOUSEHOLD; BIOENERGY; KNOWLEDGE</t>
  </si>
  <si>
    <t>Baul, TK; Chakraborty, A; Nandi, R; Nath, TK; Mohiuddin, M</t>
  </si>
  <si>
    <t>Phytosociological attributes and ecosystem services of homegardens of Maheshkhali island of Bangladesh</t>
  </si>
  <si>
    <t>Homegardens with diverse plants have the potential to generate ecosystem services. We investigated phytosociological attributes and ecosystem services, and thereof economic benefits, and how attributes of homegardens and socioeconomic characteristics of the households influencing the economic benefits and regulating services of homegardens of Maheshkhali Island in South-Western Bangladesh. We randomly surveyed and interviewed a total of 239 homegardens and respective households located in the hillside (67), beachside (69), and inland (103) of Maheshkhali island, and conducted three focus group discussions. Tree species diversity and tree individuals per household were significantly higher in the hillside and inland in comparison to beachside. We found 56 tree species which have a wide range of regulating services. About 31-37%, 31-46%, 31-39%, and 37-42% of tree species across the three locations provide shade, coastal protection, soil improvement, and conservation services, respectively, with more species on the beachside for coastal protection. The responses of regulating services were significantly affected by respondents' age and gender. About 40-44% of tree species provide multiple provisioning services. These services of homegardens contributed to the household economy (income, utilization, and sale of tree biomass fuels, fruits, timber, and bamboo) and avoided CO2 emissions, which were higher in inland and hillside than the beachside, where households were relatively poor. These sale revenues and utilization values increased with the increasing size of landholdings and homegardens, tree and bamboo individuals, and species diversity, contributed to increasing income. The attributes of homegardens were also positively correlated with the harvesting of biomass fuels and avoided emissions, and had a positive contribution to total energy supply. Having a wide range of economic and ecological values, it is important to ensure the sustainability of homegardens. Authorities (e.g., Local government councils, forest department) may provide incentives such as technical advice and material support for the conservation of homegardens.</t>
  </si>
  <si>
    <t>Trees For. People</t>
  </si>
  <si>
    <t>10.1016/j.tfp.2021.100092</t>
  </si>
  <si>
    <t>The paper is about trees in homegardens</t>
  </si>
  <si>
    <t>changed_to_no_driver</t>
  </si>
  <si>
    <t>INTERNATIONAL WOOD PRODUCTS JOURNAL</t>
  </si>
  <si>
    <t>Mass timber; CLT; sustainable supply; robustness; durability; end of life; net zero carbon; embodied carbon</t>
  </si>
  <si>
    <t>Campbell, A</t>
  </si>
  <si>
    <t>What engineers (still) do not know about wood: an engineer's perspective on key knowledge gaps in the use of mass timber</t>
  </si>
  <si>
    <t>An engineer's viewpoint on key areas for further research and industry initiatives to support the increased use of mass timber, particularly Cross Laminated Timber. The paper identifies issues related to project delivery in UK and global construction markets including design for durability, approaches to building design complexity, sustainable supply and the end of life scenarios of buildings, and emerging net zero carbon emissions strategies and the role of forestry for products.</t>
  </si>
  <si>
    <t>Int. Wood Prod. J.</t>
  </si>
  <si>
    <t>10.1080/20426445.2020.1730047</t>
  </si>
  <si>
    <t>BOREAL FOREST; FIRE FREQUENCY; WOOD; SUPPRESSION; IMPACTS; BALANCE; GROWTH</t>
  </si>
  <si>
    <t>Chen, JX; Colombo, SJ; Ter-Mikaelian, MT; Heath, LS</t>
  </si>
  <si>
    <t>Carbon Profile of the Managed Forest Sector in Canada in the 20th Century: Sink or Source?</t>
  </si>
  <si>
    <t>Canada contains 10% of global forests and has been one of the world's largest harvested wood products (HWP) producers. Therefore, Canada's managed forest sector, the managed forest area and HWP, has the potential to significantly increase or reduce atmospheric greenhouse gases. Using the most comprehensive carbon balance analysis to date, this study shows Canada's managed forest area and resulting HWP were a sink of 7510 and 849 teragrams carbon (TgC), respectively, in the period 1901-2010, exceeding Canada's fossil fuel-based emissions over this period (7333 TgC). If Canadian HWP were not produced and used for residential construction, and instead more energy intensive materials were used, there would have been an additional 790 TgC fossil fuel-based emissions. Because the forest carbon increases in the 20th century were mainly due to younger growing forests that resulted from disturbances in the 19th century, and future increases in forest carbon stocks appear uncertain, in coming decades most of the mitigation contribution from Canadian forests will likely accrue from wood substitution that reduces fossil fuel-based emissions and stores carbon, so long as those forests are managed sustainably.</t>
  </si>
  <si>
    <t>10.1021/es5005957</t>
  </si>
  <si>
    <t>Bamboo; Sustainability; Housing projects; CO2</t>
  </si>
  <si>
    <t>LIFE-CYCLE; CONSTRUCTION MATERIALS; RESIDENTIAL BUILDINGS; EMISSIONS; IMPACTS</t>
  </si>
  <si>
    <t>Escamilla, EZ; Habert, G; Wohlmuth, E</t>
  </si>
  <si>
    <t>When CO2 counts: Sustainability assessment of industrialized bamboo as an alternative for social housing programs in the Philippines</t>
  </si>
  <si>
    <t>The growth of human populations in urban areas has introduced an increasing demand for housing solutions. The housing demand in the Philippines is further increased by the severity and number of natural disasters afflicting the country every year. Organizations that focus on social housing programs tend to use conventional construction materials. These materials are known for high levels of emissions related to their production. Bio-based construction materials, such as bamboo or wood, can capture CO2 during their growth phase and can store it in their durable products. This storage phase becomes important when it spans decades, as occurs with buildings. The present research aims to evaluate the sustainability of industrialized bamboo solutions in housing projects. Three categories were used for the sustainability assessment: environmental impact considering CO2 emissions, economic considering potential revenue from CO2 credits and social considering the job creation potential. The results show that the most important variables are the life span of the bamboo-based buildings and their end-of-life scenarios. The results show that the transition toward a more sustainable built environment will be much faster with the implementation of industrialized bamboo production than with the use of industrial wood production. However, bamboo -based buildings require careful management regarding their end-of-life circumstances to efficiently store CO2. (C) 2016 Elsevier Ltd. All rights reserved.</t>
  </si>
  <si>
    <t>10.1016/j.buildenv.2016.04.003</t>
  </si>
  <si>
    <t>CO2 value is incorrect with the addition of stock and flux. Displayed results do not allow a robust data extraction.</t>
  </si>
  <si>
    <t>exclude paper</t>
  </si>
  <si>
    <t>economic-environmental sustainability; life cycle costing; life cycle assessment; CO2 emissions; environmental externalities; green public procurement; sustainable public procurement; public-private partnership (PPP)</t>
  </si>
  <si>
    <t>ENERGY; LIFE; COST; EFFICIENCY; MARKET</t>
  </si>
  <si>
    <t>Fregonara, E; Ferrando, DG; Tulliani, JM</t>
  </si>
  <si>
    <t>Sustainable Public Procurement in the Building Construction Sector</t>
  </si>
  <si>
    <t>Considering that in the E.U. public procurement in the construction sector is highly represented, the Directive 2014/24/EU is implemented for harmonizing procurement processes across European countries. The Directive is transposed in Italy, through the Sustainable Public Procurement (SPP) national action plan, for supporting public procurement and public-private partnership (PPP) interventions. SPP is founded on two pillars: according to an economic viewpoint, the financial efficiency is the key aspect to verify, and, according to a sustainability viewpoint, externalities are a key element in the environmental evaluation, despite the fact that their monetary quantification into the global cost calculation is quite complex. Thus, this work aims to explore a methodology for the joint evaluation of economic-environmental sustainability of project options, in the tender evaluation phase of the SPP. The methodology is based on the life cycle costing (LCC) and CO2 emissions joint assessment, including criteria weighting and uncertainty components. Two alternative technologies-a timber and an aluminum window frame-are assumed as a case for a simulation, implemented with the software Smart SPP LCC-CO2 Tool (developed through the research Smart SPP-Innovation through sustainable procurement, supported by Intelligent Energy Europe). The simulation demonstrates that the methodology is a fast and effective modality for selecting alternative options, introducing sustainability in the decision-making process. The work is a contribution to the growing literature on the topic, and for giving support to subjects (public authorities and private operators) involved in public procurement processes/PPP interventions.</t>
  </si>
  <si>
    <t>10.3390/su141811616</t>
  </si>
  <si>
    <t>Redwood lumber; Life cycle analysis; Environmental impacts; Fuel consumption in timber harvesting; Air quality impacts</t>
  </si>
  <si>
    <t>ENVIRONMENTAL IMPACTS; WOOD PRODUCTS; DECAY RESISTANCE; INLAND NORTHWEST; PERFORMANCE; INVENTORY; HEARTWOOD; DECKING</t>
  </si>
  <si>
    <t>Han, HS; Oneil, E; Bergman, RD; Eastin, IL; Johnson, LR</t>
  </si>
  <si>
    <t>Cradle-to-gate life cycle impacts of redwood forest resource harvesting in northern California</t>
  </si>
  <si>
    <t>The first life cycle impact assessment for redwood (Sequoia sempervirens) forest management activities (i.e. a cradle-to-sawmill gate input) including the growing, harvesting, and hauling of redwood sawlogs to a sawmill was completed. In the stump-to-truck timber harvesting analysis, primary transport activities such as skidding and yarding consumed the largest amount of fuel and consequently generated the greatest environmental impacts (50% of the total) compared with the other harvesting stages (felling, processing, and loading). Hauling sawlogs to the sawmill was also a major contributor to total greenhouse gas emissions, representing 20% of total emissions. The most efficient harvest method in terms of fuel consumption per m(3) of wood harvested was the manual ground-based system used in even-aged silvicultural operations, followed by the skyline harvesting methods. Relative to even-aged silvicultural systems, uneven-aged systems, often prescribed to meet environmental goals such as maintaining biodiversity and protecting wildlife habitats, used 20% more fuel per m(3) of redwood sawlogs harvested. This was because uneven-aged systems required an increased number of entries to harvest the same amount of wood as even-aged systems. The cradle-to-gate GHG emissions from redwood forest management activities including growing, harvesting and hauling the logs represent only 14% (17.13 kg CO(2)e/m(3)) of the total GHG emissions (i.e. cradle-to-grave) associated with redwood decking lumber. The study results showed substantial differences in environmental impacts for the various harvesting operations and silvicultural systems for redwood forest management and operations. Therefore, the life cycle impact assessment results for the various redwood harvesting and silvicultural systems should be carefully considered when evaluating environmental performance of forest management activities along with other objectives. (C) 2015 Elsevier Ltd. All rights reserved.</t>
  </si>
  <si>
    <t>10.1016/j.jclepro.2015.02.088</t>
  </si>
  <si>
    <t>One could compare even vs uneven aged managements, but it's clearly not the aim of the paper (the comparison is neither mentionned in the abstract nor in the conclusion).</t>
  </si>
  <si>
    <t>EARTH SYSTEM DYNAMICS</t>
  </si>
  <si>
    <t>CARBON BUDGET; COVER CHANGE; USE TRANSITIONS; WOOD-HARVEST; EMISSIONS; HOLOCENE; HARMONIZATION; MANAGEMENT; CO2</t>
  </si>
  <si>
    <t>Hartung, K; Bastos, A; Chini, L; Ganzenmuller, R; Havermann, F; Hurtt, GC; Loughran, T; Nabel, JEMS; Nutzel, T; Obermeier, WA; Pongratz, J</t>
  </si>
  <si>
    <t>Bookkeeping estimates of the net land-use change flux - a sensitivity study with the CMIP6 land-use dataset</t>
  </si>
  <si>
    <t>The carbon flux due to land-use and land-cover change (net LULCC flux) historically contributed to a large fraction of anthropogenic carbon emissions while at the same time being associated with large uncertainties. This study aims to compare the contribution of several sensitivities underlying the net LULCC flux by assessing their relative importance in a bookkeeping model (Bookkeeping of Land Use Emissions, BLUE) based on a LULCC dataset including uncertainty estimates (the Land-Use Harmonization 2 (LUH2) dataset). The sensitivity experiments build upon the approach of Hurtt et al. (2011) and compare the impacts of LULCC uncertainty (a high, baseline and low land-use estimate), the starting time of the bookkeeping model simulation (850, 1700 and 1850), net area transitions versus gross area transitions (shifting cultivation) and neglecting wood harvest on estimates of the net LULCC flux. Additional factorial experiments isolate the impact of uncertainty from initial conditions and transitions on the net LULCC flux. Finally, historical simulations are extended with future land-use scenarios to assess the impact of past LULCC uncertainty in future projections. Over the period 1850-2014, baseline and low LULCC scenarios produce a comparable cumulative net LULCC flux, while the high LULCC estimate initially produces a larger net LULCC flux which decreases towards the end of the period and even becomes smaller than in the baseline estimate. LULCC uncertainty leads to slightly higher sensitivity in the cumulative net LULCC flux (up to 22 %; references are the baseline simulations) compared to the starting year of a model simulation (up to 15 %). The contribution from neglecting wood harvest activities (up to 28% cumulative net LULCC flux) is larger than that from LULCC uncertainty, and the implementation of land-cover transitions (gross or net transitions) exhibits the smallest sensitivity (up to 13 %). At the end of the historical LULCC dataset in 2014, the LULCC uncertainty retains some impact on the net LULCC flux (+/- 0.15 PgC yr(-1) at an estimate of 1.7 PgC yr(-1)). Of the past uncertainties in LULCC, a small impact persists in 2099, mainly due to uncertainty of harvest remaining in 2014. However, compared to the uncertainty range of the LULCC flux estimated today, the estimates in 2099 appear to be indistinguishable. These results, albeit from a single model, are important for CMIP6 as they compare the relative importance of starting year, uncertainty of LULCC, applying gross transitions and wood harvest on the net LULCC flux. For the cumulative net LULCC flux over the industrial period, the uncertainty of LULCC is as relevant as applying wood harvest and gross transitions. However, LULCC uncertainty matters less (by about a factor of 3) than the other two factors for the net LULCC flux in 2014, and historical LULCC uncertainty is negligible for estimates of future scenarios.</t>
  </si>
  <si>
    <t>Earth Syst. Dynam.</t>
  </si>
  <si>
    <t>10.5194/esd-12-763-2021</t>
  </si>
  <si>
    <t>Global land use model with little details on the scenarios =&gt; difficult to identify drivers</t>
  </si>
  <si>
    <t>Negative CO2 emissions; Forest wood products; Carbon balance; Biomass; Forest management; Bioenergy; Life-cycle assessment</t>
  </si>
  <si>
    <t>CLIMATE-CHANGE; CARBON; IMPACTS; MITIGATION; MANAGEMENT; BIOENERGY; CYCLE; CONSISTENT; SCENARIOS; SCIENCE</t>
  </si>
  <si>
    <t>Iordan, CM; Hu, XP; Arvesen, A; Kauppi, P; Cherubini, F</t>
  </si>
  <si>
    <t>Contribution of forest wood products to negative emissions: historical comparative analysis from 1960 to 2015 in Norway, Sweden and Finland</t>
  </si>
  <si>
    <t>Background: Forests and forest products can significantly contribute to climate change mitigation by stabilizing and even potentially decreasing the concentration of carbon dioxide (CO2) in the atmosphere. Harvested wood products (HWP) represent a common widespread and cost-efficient opportunity for negative emissions. After harvest, a significant fraction of the wood remains stored in HWPs for a period that can vary from some months to many decades, whereas atmospheric carbon (C) is immediately sequestered by vegetation re-growth. This temporal mismatch between oxidation of HWPs and C uptake by vegetation generates a net sink that lasts over time. The role of temporary carbon storage in forest products has been analysed and debated in the scientific literature, but detailed bottomup studies mapping the fate of harvested materials and quantifying the associated emission profiles at national scales are rare. In this work, we quantify the net CO2 emissions and the temporary carbon storage in forest products in Norway, Sweden and Finland for the period 1960-2015, and investigate their correlation. We use a Chi square probability distribution to model the oxidation rate of C over time in HWPs, taking into consideration specific half-lives of each category of products. We model the forest regrowth and estimate the time-distributed C removal. We also integrate the specific HWP flows with an emission inventory database to quantify the associated life-cycle emissions of fossil CO2, CH4 and N2O. Results: We find that assuming an instantaneous oxidation of HWPs would overestimate emissions of about 1.18 billion t CO2 (cumulative values for the three countries over the period 1960-2015).We also find that about 40 years after 1960, the starting year of our analysis, are sufficient to detect signs of negative emissions. The total amount of net CO2 emissions achieved in 2015 are about -3.8 million t CO2, -27.9 t CO2 and -43.6 t CO2 in Norway, Sweden, and Finland, respectively. Conclusion: We argue for a more explicit accounting of the actual emission rates from HWPs in carbon balance studies and climate impact analysis of forestry systems and products, and a more transparent inclusion of the potential of HWP as negative emissions in perspective studies and scenarios. Simply assuming that all harvested carbon is instantaneously oxidized can lead to large biases and ultimately overlook the benefits of negative emissions of HWPs.</t>
  </si>
  <si>
    <t>10.1186/s13021-018-0101-9</t>
  </si>
  <si>
    <t>JURNAL MANAJEMEN HUTAN TROPIKA</t>
  </si>
  <si>
    <t>acidification; eutrophication; greenhouse gases; life cycle assessment</t>
  </si>
  <si>
    <t>BIOMASS</t>
  </si>
  <si>
    <t>Iswanto; Nurrochmat, DR; Siregar, UJ</t>
  </si>
  <si>
    <t>Life Cycle Assessment (LCA) of Wood Pellet Production at Korintiga Hutani Company, Central Kalimantan, Indonesia</t>
  </si>
  <si>
    <t>Climate change has forced human being to adapt in fulfilling their energy needs sustainably. In Indonesia, forestry activities has been considered as an emission rather than carbon sink. This study aims to analyze the inputs, outputs, and potential environmental impacts of wood pellet production in a forest company using life cycle assessment (LCA). The wood pellet is made from Eucalyptus pellita plantation. Analysis was made for I planting cycle or 6 years, and allometric equations were used to estimate the ability of industrial timber plantation forest to absorb CO2, Production of wood pellet starting from plantation requires inputs as follows: diesel fuel, electricity, NPK and other fertilizers, pesticides, and electrical energy. Those inputs produced emissions, of which the largest was N2O of 551.2927 kg, followed by NH3 of 7.5275 kg generated from NPK fertilizer Another was PO43- amounted at 0.1792-0.2229 kg from liquid fertilizers and pesticides. Potential acidification came from 13.3675 kg SO2 eq, and eutrophication of 0.4021 kg PO43-. eq. The greenhouse gas (GHG) emission was 678.0270 kg CO2 eq from the plantation activities, especially from diesel-based energy consumption, while wood pellet mills only released 0.1053 kg CO2 eq of GHG emissions. Thus, total emissions from 6 years' time of wood pellet production are much lower compared to the average CO2 absorbed by the plantation forest, of which annually is 36.34-67.69 ton ha(-1) year(-1).</t>
  </si>
  <si>
    <t>J. Manaj. Hutan Tropika</t>
  </si>
  <si>
    <t>10.7226/jtfm.27.3.200</t>
  </si>
  <si>
    <t>Only one scenario</t>
  </si>
  <si>
    <t>CONSERVATION BIOLOGY</t>
  </si>
  <si>
    <t>integrated assessment model; IPCC; species-area relationship; IPCC; modelo de evaluacion integrada; relacion especies-area</t>
  </si>
  <si>
    <t>BIRD EXTINCTIONS; USE TRANSITIONS; WOOD-HARVEST; SPECIES LOSS; DEFORESTATION; CONSERVATION; STABILIZATION; IMPACTS; PATHWAY</t>
  </si>
  <si>
    <t>Jantz, SM; Barker, B; Brooks, TM; Chini, LP; Huang, QY; Moore, RM; Noel, J; Hurtt, GC</t>
  </si>
  <si>
    <t>Future habitat loss and extinctions driven by land-use change in biodiversity hotspots under four scenarios of climate-change mitigation</t>
  </si>
  <si>
    <t>Numerous species have been pushed into extinction as an increasing portion of Earth's land surface has been appropriated for human enterprise. In the future, global biodiversity will be affected by both climate change and land-use change, the latter of which is currently the primary driver of species extinctions. How societies address climate change will critically affect biodiversity because climate-change mitigation policies will reduce direct climate-change impacts; however, these policies will influence land-use decisions, which could have negative impacts on habitat for a substantial number of species. We assessed the potential impact future climate policy could have on the loss of habitable area in biodiversity hotspots due to associated land-use changes. We estimated past extinctions from historical land-use changes (1500-2005) based on the global gridded land-use data used for the Intergovernmental Panel on Climate Change Fifth Assessment Report and habitat extent and species data for each hotspot. We then estimated potential extinctions due to future land-use changes under alternative climate-change scenarios (2005-2100). Future land-use changes are projected to reduce natural vegetative cover by 26-58% in the hotspots. As a consequence, the number of additional species extinctions, relative to those already incurred between 1500 and 2005, due to land-use change by 2100 across all hotspots ranged from about 220 to 21000 (0.2% to 16%), depending on the climate-change mitigation scenario and biological factors such as the slope of the species-area relationship and the contribution of wood harvest to extinctions. These estimates of potential future extinctions were driven by land-use change only and likely would have been higher if the direct effects of climate change had been considered. Future extinctions could potentially be reduced by incorporating habitat preservation into scenario development to reduce projected future land-use changes in hotspots or by lessening the impact of future land-use activities on biodiversity within hotspots. La Futura Perdida de Habitat y Extinciones Causados por el Cambio en el Uso de Suelo en los Puntos Clave de Biodiversidad bajo Cuatro Escenarios de Mitigacion de Cambio Climatico Se ha llevado a numerosas especies a la extincion conforme una porcion creciente de la superficie terrestre ha sido aduenada por actividades humanas. En el futuro, la biodiversidad global se vera afectada tanto por el cambio climatico como por el cambio en el uso de suelo, de los cuales el ultimo es actualmente el principal conductor de la extincion de especies. La manera en que las sociedades aborden el cambio climatico afectara criticamente a la biodiversidad ya que las politicas de mitigacion de cambio climatico reduciran directamente los impactos del cambio climatico; sin embargo, estas politicas influenciaran las decisiones de uso de suelo, lo que podria tener impactos negativos sobre el habitat de numerosas especies. Evaluamos el impacto potencial que podrian tener las futuras politicas de clima sobre la perdida del area habitable en los puntos clave de biodiversidad debido al cambio asociado en el uso de suelo. Estimamos las extinciones pasadas a partir de cambios historicos en el uso de suelo (1500 - 2005) con base en la extension del habitat, los datos de especies para cada punto clave, y la cuadricula global de datos sobre uso de suelo, la cual fue utilizada para el Reporte de la Quinta Evaluacion del Panel Intergubernamental sobre Cambio Climatico. Despues estimamos las extinciones potenciales causadas por futuros cambios en el uso de suelo bajo escenarios alternativos de cambio climatico (2005 - 2100). El numero de extinciones de especies adicionales, en relacion con aquellas ya provocadas entre 1500 y 2005, causadas por el cambio en el uso de suelo para 2100 en todos los puntos clave, vario aproximadamente de 220 a 21, 000 (0.2% a 16%), dependiendo del escenario de mitigacion de cambio climatico y factores biologicos, como la pendiente de la relacion especies-area y la contribucion de la tala a las extinciones. Estas estimaciones de las extinciones potenciales en el futuro fueron causadas solamente por el cambio en el uso de suelo y probablemente habrian sido mas altas si se hubiesen considerado los efectos directos del cambio climatico. Las extinciones futuras podrian reducirse potencialmente al incorporar la preservacion del habitat al desarrollo del escenario para reducir los futuros cambios en el uso de suelo en los puntos clave o al disminuir el impacto de las futuras actividades de uso de suelo sobre la biodiversidad dentro de los puntos clave. Resumen</t>
  </si>
  <si>
    <t>Conserv. Biol.</t>
  </si>
  <si>
    <t>10.1111/cobi.12549</t>
  </si>
  <si>
    <t>ECOLOGICAL INDICATORS</t>
  </si>
  <si>
    <t>Sustainable forest management; Timber utilization; Carbon offsets; Timber harvesting; C-Balance; Displacement factor</t>
  </si>
  <si>
    <t>LIFE-CYCLE; WOOD; BIOENERGY; IMPACTS; COSTS</t>
  </si>
  <si>
    <t>Kohl, M; Ehrhart, HP; Knauf, M; Neupane, PR</t>
  </si>
  <si>
    <t>A viable indicator approach for assessing sustainable forest management in terms of carbon emissions and removals</t>
  </si>
  <si>
    <t>In forest management, the sustainability of a multitude of economic, ecological and socio-economic impacts and services is assessed. The role of forests in the global carbon (C) cycle is almost exclusively assessed through an ecosystem approach that relates emissions from timber harvesting and removals through biomass growth and C sequestration. While harvested wood leads to a reduction in the C-stock in forest C-pools, the use of wood for energy and production of wood-based materials results in significant emission reductions by substituting in place of greenhouse gas (GHG) intensive fuels and energy-intensive non-wood materials respectively. We present a new indicator approach for the assessment of sustainable forest management that includes the entire emissions and removals associated with the harvested wood along the wood product value chain and thus represents represents C-sustainability with respect to emissions and removals. The indicator is implemented in two variants. If information available on wood use and the carbon offsets associated with it is sufficient, the indicator can be derived by presenting emissions from wood harvesting and removals from wood use in the form of a carbon balance (C-balance indicator). If the balance is even or if removals predominate, forest management fulfills the requirement of C-sustainability. If the information is insufficient, the emissions from the wood harvest and possible wood processing losses are summed up, and the necessary displacement factor (DF) is calculated, which is necessary to compensate the corresponding emissions by carbon offsets of the wood use (DF-indicator). A comparison of the necessary displacement factor with common carbon offsets of typical wood uses allows an assessment of C-sustainability. The effectiveness of the C-indicator for assessing sustainable forest management is illustrated by two case studies. We found that in order to achieve carbon neutrality, substitution factors between 1.9 (lignite) and 2.5 (gas) are necessary, depending on the fossil fuel substituted. If no energetic substitution is assumed, the DF increases to a value of 3.3. In situations with high harvest losses, the necessary DFs well exceed values that can be achieved even under very positive assumptions; C-sustainability is therefore not met. Both approaches allow an assessment of C-sustainability beyond forest boundaries by giving appropriate weight to the importance of wood use in the carbon cycle. In addition to the implication of the indicator to evaluate SFM, we claim that this indicator is responsive to the emerging global forest related international processes and their reporting requirements such as Reducing Emissions from Deforestation and forest Degradation in Developing Countries (REDD + ) as well as nationally appropriate mitigation actions (NDCs, Low Emission Development Strategy).</t>
  </si>
  <si>
    <t>Ecol. Indic.</t>
  </si>
  <si>
    <t>10.1016/j.ecolind.2019.106057</t>
  </si>
  <si>
    <t>ecosystem modeling; environmental drivers; carbon sink; lagged response; ecosystem equilibrium; committed change</t>
  </si>
  <si>
    <t>EARTH SYSTEM MODEL; LAND-USE CHANGE; CO2 FERTILIZATION; CLIMATE; NITROGEN; DIVERGENCE; MANAGEMENT; SINK</t>
  </si>
  <si>
    <t>Krause, A; Arneth, A; Anthoni, P; Rammig, A</t>
  </si>
  <si>
    <t>Legacy Effects from Historical Environmental Changes Dominate Future Terrestrial Carbon Uptake</t>
  </si>
  <si>
    <t>Ecosystems continuously adapt to interacting environmental drivers that change over time. Consequently, the carbon balance of terrestrial ecosystem may presently still be affected by past anthropogenic disturbances (e.g., deforestation) and other environmental changes (e.g., climate change). However, even though such so-called legacy effects are implicitly included in many carbon cycle modeling studies, they are typically not explicitly quantified and therefore scientists might not be aware of their long-term importance. Here, we use the ecosystem model LPJ-GUESS to quantify legacy effects for the 21st century and the respective contributions of the following environmental drivers: climate change, CO2 fertilization, land use change, wood harvest, nitrogen deposition, and nitrogen fertilization. According to our simulations, the combined legacy effects of historical (1850-2015) environmental changes result in a land carbon uptake of +126 Gt C over the future (2015-2099) period. This by far exceeds the impacts of future environmental changes (range -53 Gt C to +16 Gt C for three scenarios) and is comparable in magnitude to historical carbon losses (-154 Gt C). Legacy effects can mainly be attributed to ecosystems still adapting to historical increases in atmospheric CO2 (+65 Gt C) and nitrogen deposition (+33 Gt C), but long-term vegetation regrowth following agricultural abandonment (+8 Gt C) and wood harvest (+19 Gt C) also play a role. The response of the biosphere to historical environmental changes dominates future terrestrial carbon cycling at least until midcentury. Legacy effects persist many decades after environmental changes occurred and need to be considered when interpreting changes and estimating terrestrial carbon uptake potentials.</t>
  </si>
  <si>
    <t>10.1029/2020EF001674</t>
  </si>
  <si>
    <t>climate change; greenhouse gas emissions; life cycle assessment; forestry; timber harvesting</t>
  </si>
  <si>
    <t>LIFE-CYCLE ASSESSMENT; SHORT-ROTATION COPPICE; ENVIRONMENTAL-IMPACT; BIOENERGY PRODUCTION; ROUNDWOOD PRODUCTION; CARBON STORAGE; CLIMATE-CHANGE; OPERATIONS; WOOD; ENERGY</t>
  </si>
  <si>
    <t>Kuhmaier, M; Kral, I; Kanzian, C</t>
  </si>
  <si>
    <t>Greenhouse Gas Emissions of the Forest Supply Chain in Austria in the Year 2018</t>
  </si>
  <si>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</si>
  <si>
    <t>10.3390/su14020792</t>
  </si>
  <si>
    <t>Harvested wood product; Life-cycle assessment; Biogenic carbon; Boreal forest; Construction materials</t>
  </si>
  <si>
    <t>WOOD; INVENTORY; ENERGY</t>
  </si>
  <si>
    <t>Laurent, AB; Menard, JF; Lesage, P; Beauregard, R</t>
  </si>
  <si>
    <t>Cradle-to-Gate Environmental Life Cycle Assessment of the Portfolio of an Innovative Forest Products Manufacturing Unit</t>
  </si>
  <si>
    <t>Manufacturing companies are under pressure from consumers and legislation to reduce their environmental impacts. In some sectors where competition is particularly fierce, the ability to offer a product with a lighter environmental impact than the competition can be useful in significantly increasing market share. The forest industry, which harvests and processes wood, a renewable resource, also aims at being part of this trend towards transparency. Life cycle assessment (LCA) is often used to quantify the environmental footprint of harvested wood products (HWP). Based on a primary data inventory of four years of activity, this study presents an LCA of the portfolio of an innovative forest products manufacturer. The functional unit of that assessment is a cubic meter. A sensitive analysis on an economic allocation was also conducted. Because of loops in the studied system and flow conservation constraint, results of the portfolio LCA was verified using an organizational footprint assessment. From the material flow and the half-life of products, a bottom-up accounting method is suggested for integrating HWP in national greenhouse gas (GHG) inventories.</t>
  </si>
  <si>
    <t>10.15376/biores.11.4.8981-9001</t>
  </si>
  <si>
    <t>The paper lists different wood products. They cannot be compared.</t>
  </si>
  <si>
    <t>climate change adaptation; scenario analysis; growth model; simulation; mixed species stands; carbon sequestration; rotation cycle</t>
  </si>
  <si>
    <t>AREA INCREMENT MODEL; NITROGEN DEPOSITION; IMPACTS; SECTOR; SEQUESTRATION; DYNAMICS; CLIMATE; VULNERABILITY; STANDS; YIELD</t>
  </si>
  <si>
    <t>Ledermann, T; Braun, M; Kindermann, G; Jandl, R; Ludvig, A; Schadauer, K; Schwarzbauer, P; Weiss, P</t>
  </si>
  <si>
    <t>Effects of Silvicultural Adaptation Measures on Carbon Stock of Austrian Forests</t>
  </si>
  <si>
    <t>We present the results of a simulation experiment that evaluated three scenarios of forest management in the context of climate change mitigation. Two scenarios refer to climate change adaptation measures. The third scenario was a business-as-usual scenario representing the continuation of current forest management. We wanted to know whether a change in tree species composition or the implementation of shorter rotation cycles is in accordance with the objectives of climate change mitigation. Our simulation experiment was based on data of the Austrian National Forest Inventory. A forest sector simulation model was used to derive timber demand and potential harvesting rates. Forest dynamics were simulated with an individual-tree growth model. We compared carbon stocks, harvesting rates, current annual increment, salvage logging, and forest structure. Compared to the business-as-usual scenario, a change in tree species composition and shorter rotation cycles reduce salvage logging by 14% and 32%, respectively. However, shorter rotation cycles reduce the carbon stock by 27%, but increase the harvesting rate by 4.8% within the simulation period of 140 years. For changes in the tree species composition, the results were the opposite. Here, the carbon stock is increased by 47%, but the harvesting rate is reduced by 15%. Thus, there are clear tradeoffs between the different ecosystem services depending on the climate change adaptation scenario. We also show that a fundamental change in forest management must be accompanied by a transformation in wood processing technology and innovation in wood utilization.</t>
  </si>
  <si>
    <t>10.3390/f13040565</t>
  </si>
  <si>
    <t>EU; Carbon Budget Model; Forest management; Afforestation; Deforestation; Harvest; Natural disturbances; GHGI</t>
  </si>
  <si>
    <t>Pilli, R; Grassi, G; Kurz, WA; Moris, JV; Vinas, RA</t>
  </si>
  <si>
    <t>Modelling forest carbon stock changes as affected by harvest and natural disturbances. II. EU-level analysis</t>
  </si>
  <si>
    <t>Background: Forests and the forest sector may play an important role in mitigating climate change. The Paris Agreement and the recent legislative proposal to include the land use sector in the EU 2030 climate targets reflect this expectation. However, greater confidence on estimates from national greenhouse gas inventories (GHGI) and more comprehensive analyses of mitigation options are needed to seize this mitigation potential. The aim of this paper is to provide a tool at EU level for verifying the EU GHGI and for simulating specific policy and forest management scenarios. Therefore, the Carbon Budget Model (CBM) was applied for an integrated assessment of the EU forest carbon (C) balance from 2000 to 2012, including: (i) estimates of the C stock and net CO2 emissions for forest management (FM), afforestation/reforestation (AR) and deforestation (D), covering carbon in both the forest and the harvest wood product (HWP) pools; (ii) an overall analysis of the C dynamics associated with harvest and natural disturbances (mainly storms and fires); (iii) a comparison of our estimates with the data reported in the EU GHGI. Results: Overall, the average annual FM sink (-365 Mt CO2 year(-1)) estimated by the CBM in the period 2000-2012 corresponds to about 7 % of total GHG emissions at the EU level for the same period (excluding land use, land-use change and forestry). The HWP pool sink (-44 Mt CO2 year(-1)) contributes an additional 1 %. Emissions from D (about 33 Mt CO2 year(-1)) are more than compensated by the sink in AR (about 43 Mt CO2 year(-1) over the period). For FM, the estimates from the CBM were about 8 % lower than the EU GHGI, a value well within the typical uncertainty range of the EU forest sink estimates. For AR and D the match with the EU GHGI was nearly perfect (difference &lt;+/- 2 % in the period 2008-2012). Our analysis on harvest and natural disturbances shows that: (i) the impact of harvest is much greater than natural disturbances but, because of salvage logging (often very relevant), the impact of natural disturbances is often not easily distinguishable from the impact of harvest, and (ii) the impact of storms on the biomass C stock is 5-10 times greater than fires, but while storms cause only indirect emissions (i.e., a transfer of C from living biomass to dead organic matter), fires cause both direct and indirect emissions. Conclusions: This study presents the application of a consistent methodological approach, based on an inventory-based model, adapted to the forest management conditions of EU countries. The approach captures, with satisfactory detail, the C sink reported in the EU GHGI and the country-specific variability due to harvest, natural disturbances and land-use changes. To our knowledge, this is the most comprehensive study of its kind at EU level, i.e., including all the forest pools, HWP and natural disturbances, and a comparison with the EU GHGI.The results provide the basis for possible future policy-relevant applications of this model, e.g., as a tool to support GHGIs (e.g., on accounting for natural disturbances) and to verify the EU GHGI, and for the simulation of specific scenarios at EU level.</t>
  </si>
  <si>
    <t>10.1186/s13021-016-0059-4</t>
  </si>
  <si>
    <t>TELLUS SERIES B-CHEMICAL AND PHYSICAL METEOROLOGY</t>
  </si>
  <si>
    <t>land use change; carbon cycle; carbon budget; wood harvest; shifting cultivation; terrestrial carbon sink</t>
  </si>
  <si>
    <t>COVER CHANGE; ATMOSPHERIC CO2; SOIL CARBON; USE TRANSITIONS; SYSTEM MODEL; 3 CENTURIES; CLIMATE; EMISSIONS; NITROGEN; BUDGET</t>
  </si>
  <si>
    <t>Stocker, BD; Feissli, F; Strassmann, KM; Spahni, R; Joos, F</t>
  </si>
  <si>
    <t>Past and future carbon fluxes from land use change, shifting cultivation and wood harvest</t>
  </si>
  <si>
    <t>Carbon emissions from anthropogenic land use (LU) and land use change (LUC) are quantified with a Dynamic Global Vegetation Model for the past and the 21st century following Representative Concentration Pathways (RCPs). Wood harvesting and parallel abandonment and expansion of agricultural land in areas of shifting cultivation are explicitly simulated (gross LUC) based on the Land Use Harmonization (LUH) dataset and a proposed alternative method that relies on minimum input data and generically accounts for gross LUC. Cumulative global LUC emissions are 72 GtC by 1850 and 243 GtC by 2004 and 27-151 GtC for the next 95 yr following the different RCP scenarios. The alternative method reproduces results based on LUH data with full transition information within &lt;0.1 GtC/yr over the last decades and bears potential for applications in combination with other LU scenarios. In the last decade, shifting cultivation and wood harvest within remaining forests including slash each contributed 19% to the mean annual emissions of 1.2 GtC/yr. These factors, in combination with amplification effects under elevated CO2, contribute substantially to future emissions from LUC in all RCPs.</t>
  </si>
  <si>
    <t>Tellus Ser. B-Chem. Phys. Meteorol.</t>
  </si>
  <si>
    <t>10.3402/tellusb.v66.23188</t>
  </si>
  <si>
    <t>More specifically, all drivers (climate change, land use, harvest, …) are moving simultaneously in the different scenarios which makes the results useless to single out a given effect.</t>
  </si>
  <si>
    <t>prefabrication; masonry; connections; life cycle analysis; design; reinforced masonry; post-tensioned masonry; thin layered mortared masonry</t>
  </si>
  <si>
    <t>MORTARED CONCRETE MASONRY; LIFE-CYCLE PERFORMANCE; OF-THE-ART; MODULAR BUILDINGS; FLEXURAL STRENGTH; RESIDENTIAL BUILDINGS; STRUCTURAL RESPONSE; SHEAR WALLS; BEHAVIOR; CONSTRUCTION</t>
  </si>
  <si>
    <t>Thamboo, J; Zahra, T; Navaratnam, S; Asad, M; Poologanathan, K</t>
  </si>
  <si>
    <t>Prospects of Developing Prefabricated Masonry Walling Systems in Australia</t>
  </si>
  <si>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</si>
  <si>
    <t>10.3390/buildings11070294</t>
  </si>
  <si>
    <t>Compares different masonries for a house but without any element on which masonry uses more wood, or even whether they use wood at all (the word "wood" appears only once in the text).</t>
  </si>
  <si>
    <t>Carbon footprint; Greenhouse gas emissions; LCA; LCI; Norwegian forestry; Timber transport</t>
  </si>
  <si>
    <t>LIFE-CYCLE ASSESSMENT; LAND-USE; OPERATIONS; WOOD; IMPACT; BENEFITS; ENERGY; BIODIVERSITY; PRODUCTS; RESIDUES</t>
  </si>
  <si>
    <t>Timmermann, V; Dibdiakova, J</t>
  </si>
  <si>
    <t>Greenhouse gas emissions from forestry in East Norway</t>
  </si>
  <si>
    <t>So far no calculations have been made for greenhouse gas (GHG) emissions from forestry in East Norway. This region stands for 80 % of the Norwegian timber production. The aim of this study was to assess the annual GHG emissions of Norwegian forestry in the eastern parts of the country from seed production to final felling and transport of timber to sawmill and wood processing industry (cradle-to-gate inventory), based on specific Norwegian data. The life cycle inventory was conducted with SimaPro applying primary and secondary data from Norwegian forestry. GHG emissions of fossil-related inputs from the technosphere were calculated for the functional unit of 1 m(3) timber extracted and delivered to industry gate in East Norway in 2010. The analysis includes seed and seedling production, silvicultural operations, forest road construction and upgrading, thinning, final felling, timber forwarding and timber transport on road and rail from the forest to the industry. Norwegian time studies of forestry machines and operations were used to calculate efficiency, fuel consumption and transport distances. Due to the lack of specific Norwegian data in Ecoinvent, we designed and constructed unit processes based on primary and secondary data from forestry in East Norway. GHG emissions from forestry in East Norway amounted to 17.893 kg CO2-equivalents per m(3) of timber delivered to industry gate in 2010. Road transport of timber accounted for almost half of the total GHG emissions, final felling and forwarding for nearly one third of the GHG emissions. Due to longer road transport distances, pulpwood had higher impact on the climate change category than saw timber. The construction of forest roads had the highest impact on the natural land transformation category. The net CO2 emissions of fossil CO2 corresponded to 2.3 % of the CO2 sequestered by 1 m(3) of growing forest trees and were compared to a calculation of biogenic CO2 release from the forest floor as a direct consequence of harvesting. Shorter forwarding and road transport distances, increased logging truck size and higher proportion of railway transport may result in lower emissions per volume of transported timber. A life cycle assessment of forestry may also consider impacts on environmental categories other than climate change. Biogenic CO2 emissions from the soil may be up to 10 times higher than the fossil-related emissions, at least in a short-term perspective, and are highly dependent on stand rotation length.</t>
  </si>
  <si>
    <t>10.1007/s11367-014-0773-7</t>
  </si>
  <si>
    <t>LCA of the forestry sector in Eastern Norway: single scenario, no alternatives to current practices are assessed</t>
  </si>
  <si>
    <t>Greenhouse gas emissions; Harvested wood products (HWPs); Carbon stocks; Stock changes climate change mitigation; IPCC models</t>
  </si>
  <si>
    <t>PLANTED FOREST; INVENTORY</t>
  </si>
  <si>
    <t>Wakelin, SJ; Searles, N; Lawrence, D; Paul, TSH</t>
  </si>
  <si>
    <t>Estimating New Zealand's harvested wood products carbon stocks and stock changes</t>
  </si>
  <si>
    <t>Background Reducing net greenhouse gas emissions through conserving existing forest carbon stocks and encouraging additional uptake of carbon in existing and new forests have become important climate change mitigation tools. The contribution of harvested wood products (HWPs) to increasing carbon uptake has been recognised and approaches to quantifying this pool developed. In New Zealand, harvesting has more than doubled since 1990 while log exports have increased by a factor of 11 due to past afforestation and comparatively little expansion in domestic processing. This paper documents New Zealand's application of the IPCC approaches for reporting contributions of the HWP pool to net emissions, in order to meet international greenhouse gas inventory reporting requirements. We examine the implications of the different approaches and assumptions used in calculating the HWP contribution and highlight model limitations. Results Choice of system boundary has a large impact for a country with a small domestic market and significant HWP exports. Under the Production approach used for New Zealand's greenhouse gas inventory reporting, stock changes in planted forests and in HWPs both rank highly as key categories. The contribution from HWPs is even greater under the Atmospheric Flow approach, because emissions from exported HWPs are not included. Conversely the Stock Change approach minimises the contribution of HWPs because the domestic market is small. The use of country-specific data to backfill the time series from 1900 to 1960 has little impact but using country-specific parameters in place of IPCC defaults results in a smaller HWP sink for New Zealand. This is because of the dominance of plantation forestry based on a softwood mainly used in relatively short-lived products. Conclusions The NZ HWP Model currently meets international inventory reporting requirements. Further disaggregation of the semi-finished HWP end uses both within New Zealand and in export markets is required to improve accuracy. Product end-uses and lifespans need to be continually assessed to capture changes. More extensive analyses that include the benefits of avoided emissions through product substitution and life cycle emissions from the forestry sector are required to fully assess the contribution of forests and forest products to climate change mitigation and a low emissions future.</t>
  </si>
  <si>
    <t>10.1186/s13021-020-00144-5</t>
  </si>
  <si>
    <t>This paper documents the impact of different reporting approaches on New Zealand's UNFCCC accounting</t>
  </si>
  <si>
    <t>China; Office building; CO2 emission; Energy consumption; Life cycle assessment</t>
  </si>
  <si>
    <t>ENVIRONMENTAL PERFORMANCE; EMBODIED ENERGY; WOOD; CONCRETE; CONSTRUCTION; SYSTEMS; DESIGN; LCA; CHALLENGES; EFFICIENCY</t>
  </si>
  <si>
    <t>Wu, HJJ; Yuan, ZWW; Zhang, L; Bi, J</t>
  </si>
  <si>
    <t>Life cycle energy consumption and CO2 emission of an office building in China</t>
  </si>
  <si>
    <t>Building is one of the main factors of energy use and greenhouse gas emissions. Reducing energy consumption and carbon dioxide (CO2) emission from building is urgent for environmental protection and sustainable development. The objective of this study is to develop a life cycle assessment (LCA) model for an office building in China to assess its energy consumption and CO2 emission, determine the whole life cycle phases, and the significant environmental aspects that contribute most to the impact. A process-based LCA has been used to identify and quantify the energy consumption and CO2 emission of the office building. The LCA is conducted in accordance with the Environmental Protection Agency, The Society of Environmental Toxicology and Chemistry, and the International Organization for Standardization standards for life cycle assessments. The entire life cycle including building materials production, construction, operation, and demolition of the building is studied. A service life of 50 years is assumed and the major construction materials such as concrete, cement, brick, steel, timber, glass, and plastic are selected for the building. The results show that building operation uses the largest share of energy and contributes most to CO2 emission. The cooling and heating system in building operation strongly influence the energy consumption and CO2 emission of the building. In addition, the large quantity use of concrete and steel in materials production, and the treatment of end-of-life building materials are also the important aspects impacting the environmental performance of the building. Based on the results of the study, some environmental improvements aiming at reducing energy consumption and CO2 emission throughout the life cycle of the building are provided. This study provides an LCA of the energy consumption and CO2 emission of a typical office building in China. It determines the whole life cycle phases that contribute most to the impact and defines the significant environmental aspects of the building. This study also shows the importance of using a life cycle perspective when evaluating energy consumption and CO2 emission of building and also lays the groundwork for LCA studying of other office buildings in China.</t>
  </si>
  <si>
    <t>10.1007/s11367-011-0342-2</t>
  </si>
  <si>
    <t>LCA of an office building in China, but without alternative scenarios in terms of wood use/use efficiency.</t>
  </si>
  <si>
    <t>Value engineering; Building; Embodied greenhouse gas emissions; Capital cost; Hybrid life cycle assessment; Environmentally-extended input-output analysis</t>
  </si>
  <si>
    <t>SUSTAINABLE STRUCTURAL DESIGN; CARBON-DIOXIDE EQUIVALENT; COST-ANALYSIS; CO2 EMISSION; ENERGY; BUILDINGS; FRAMEWORK; SYSTEM; OPTIMIZATION; PERFORMANCE</t>
  </si>
  <si>
    <t>Yu, M; Robati, M; Oldfield, P; Wiedmann, T; Crawford, R; Nezhad, AA; Carmichael, D</t>
  </si>
  <si>
    <t>The impact of value engineering on embodied greenhouse gas emissions in the built environment: A hybrid life cycle assessment</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</si>
  <si>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</si>
  <si>
    <t>10.1016/j.buildenv.2019.106452</t>
  </si>
  <si>
    <t>New LCA technique ("hybrid") applied to buildings. No scenarios implying a difference in wood use.</t>
  </si>
  <si>
    <t>CURRENT FORESTRY REPORTS</t>
  </si>
  <si>
    <t>Industrial ecology; Forest products; Life cycle assessment; Input-output analysis; Material flow analysis; Industrial symbiosis</t>
  </si>
  <si>
    <t>LIFE-CYCLE ASSESSMENT; INTEGRATED SUSTAINABILITY MODEL; SUPPLY CHAIN; SYSTEM; WOOD; LCA; ENERGY; BIOREFINERIES; TECHNOLOGIES; RESIDUES</t>
  </si>
  <si>
    <t>Zargar, S; Roy, BB; Li, QP; Gan, JL; Ke, JM; Liu, XY; Tu, QS</t>
  </si>
  <si>
    <t>The Application of Industrial Ecology Methods to Understand the Environmental and Economic Implications of the Forest Product Industries</t>
  </si>
  <si>
    <t>Purpose of Review Industrial ecology (IE) methods have been widely applied to understand the sustainability implications of forest product industries, yet a comprehensive review of these applications is not available. We aim to (1) summarize the major questions that the IE methods were applied to answer, (2) highlight the major conclusions, and (3) identify advantages, limitations, and research gaps. Recent Findings Life cycle assessment (LCA) was the most frequently used among all IE methods reviewed in this study. LCA has primarily applied to evaluate the climate change mitigation potential of forest products. The application of input-output analysis (IOA) is focused on the aggregated forest sector where individual products are not differentiable. The results of IOA can inform the economic implications of changes in supply-demand relationships between the forest sector and other sectors of the economy. System dynamic (SD) modeling is often applied to study the consequences (e.g., economic, environmental) of decision-making along the supply chain of forest bioenergy and biofuels. Material flow analysis (MFA) is applied to estimate the stock and flows of wood in different formats (e.g., timber, residues). Industrial symbiosis (IS) practices are found to minimize waste generation, stabilize material and energy supply, and reduce climate change impacts for the participants from different forest product industries. Overall, the LCA studies showed that forest products could reduce climate change impacts compared to the fossil-based benchmark. The IOA studies revealed the important role of forestry and forest product industries in a nation's economy. The drivers promoting the forest product industries (illustrated by the SD studies) and the detailed flows of wood among different industries (by MFA studies) can provide crucial insights for the design of a forest-based bioeconomy. The applications of these IE methods in forest product industries are expected to grow in the future, considering the global development of bioeconomy where forest products are essential. Data availability and quality, lack of harmonized modeling assumptions, and a need to integrate different methods are the common gaps for future research.</t>
  </si>
  <si>
    <t>Curr. For. Rep.</t>
  </si>
  <si>
    <t>10.1007/s40725-022-00174-x</t>
  </si>
  <si>
    <t>Carbon budget; Harvested wood products; Life cycle perspective; Carbon stock; Carbon emission; Stock-change approach</t>
  </si>
  <si>
    <t>GREENHOUSE-GAS INVENTORIES; FOREST SECTOR; INTERNATIONAL-TRADE; SEQUESTRATION; SUBSTITUTION; COUNTRIES; IRELAND; CANADA; STOCK; IPCC</t>
  </si>
  <si>
    <t>Zhang, XB; Yang, HQ; Chen, JX</t>
  </si>
  <si>
    <t>Life-cycle carbon budget of China's harvested wood products in 1900-2015</t>
  </si>
  <si>
    <t>Harvested wood products (HWP) are essential carbon pool of the forestry sector and can play an important role in climate change mitigation. Since the 10th Conference of Parties to the United Nations Framework Conversion on Climate Change in 2009, HWP have been required to be included in forest management as an additional carbon pool in national greenhouse gas (GHG) inventory reports. China is the largest consumer of end-use HWP and the largest importer of primary HWP in the world. Thus, the carbon stocks and emissions of China's HWP must be accurately assessed for evaluating their contribution to the climate change mitigation potential of global HWP. We developed an analysis framework by using Stock-Change Approach to estimate China's HWP carbon stocks/emissions from a life-cycle perspective, which covers three HWP life-cycle stages, namely, manufacture, end use, and end-of-life disposal. Using this framework, we produced the first-ever life-cycle carbon budget for HWP consumed by China in the period 1900-2015, based on a comprehensive analysis of China-specific data. From 1900 to 2015, total wood fiber input to the HWP carbon system in China was estimated to be 8049 teragrams of carbon dioxide-equivalent (Tg CO2-eq). Of the total wood fiber input, discarded mill residue, in-use HWP, and HWP disposed of at solid waste disposal sites retained 513, 3284, and 659 Tg CO2-eq of carbon, respectively, with the remaining 3591 Tg CO2-eq of wood carbon released back to the atmosphere. Of the total emission, combustion and decomposition of mill residue, burning of fuelwood, and combustion and decomposition of retired HWP accounted for 36.5%, 24.6%, and 38.9%, respectively. Landfill methane emissions were estimated to be 780 Tg CO2-eq after considering the global warming potential of this greenhouse gas. The net HWP carbon stocks, the sum of the carbon retained by discarded mill residue and the carbon stocks of HWP in use and in landfills, minus landfill methane emissions, increased from 297 Tg CO2-eq in 1950 to 4456 Tg CO2-eq in 2015.</t>
  </si>
  <si>
    <t>10.1016/j.forpol.2018.05.005</t>
  </si>
  <si>
    <t>c</t>
  </si>
  <si>
    <t>LCA of all HWP in China based on historical data, no alternative scenario.</t>
  </si>
  <si>
    <t>PROCEEDINGS OF THE INSTITUTION OF CIVIL ENGINEERS-STRUCTURES AND BUILDINGS</t>
  </si>
  <si>
    <t>built environment; embodied carbon; embodied energy; energy efficiency; renewable energy; statistical analysis; structural materials; sustainability</t>
  </si>
  <si>
    <t>Anderson, J; Moncaster, A</t>
  </si>
  <si>
    <t>Embodied carbon, embodied energy and renewable energy: a review of environmental product declarations</t>
  </si>
  <si>
    <t>Environmental product declarations (EPD) to EN 15804 provide information about the embodied carbon dioxide of construction products - their life cycle greenhouse gas emissions - alongside reporting the use of renewable and non-renewable primary energy and secondary fuels, among the other environmental indicators. As the number of EPD to EN 15804 increases, they become a useful data resource to consider these impacts. In moving towards a reduction in the embodied carbon of products, it is necessary to use renewable energy resources efficiently to allow the transition to net zero; this is because of the increasing demands on renewable energy to decarbonise industry, transport and domestic energy consumption and the limited capacity to expand renewable generation. This paper reviews published EPD data for structural and reinforcing steels, cement, bricks and structural timber products, and considers, for the cradle to gate 'product' life cycle stage, exploring the relationship of embodied carbon with embodied energy (total energy used), the balance of renewable and non-renewable energy, and the efficient use of energy. It is found, for bricks and timber, that EPD show products that use a greater percentage of renewable energy have higher embodied energy, suggesting a less efficient use of renewable energy for these products.</t>
  </si>
  <si>
    <t>Proc. Inst. Civil Eng.-Struct. Build.</t>
  </si>
  <si>
    <t>Review; Early Access</t>
  </si>
  <si>
    <t>10.1680/jstbu.21.00160</t>
  </si>
  <si>
    <t>NAFTA-GAZ</t>
  </si>
  <si>
    <t>biohydrogen; biofuel; reforming; gasification; GHG emissions</t>
  </si>
  <si>
    <t>HYDROGEN-PRODUCTION; GASIFICATION; BIOMASS</t>
  </si>
  <si>
    <t>Berdechowski, K</t>
  </si>
  <si>
    <t>Analysis of biohydrogen production methods in terms of GHG emission value</t>
  </si>
  <si>
    <t>One of the fuels which will be used in the future to a much greater extent than currently is hydrogen. Many of the implemented technologies will allow this kind of fuel to drive motor vehicles without major obstacles. However, hydrogen has long been an indispensable raw material for many installations for the production of traditional fuels and used primarily for the so-called hydrogen catalytic processes (including hydrocracking, hydrotreating). Traditional hydrogen production based on natural gas steam reforming, generates high GHG emissions over the life cycle. The reason for this is the use of fossil raw material, from which CO2 is generated at the production stage (treated as emission from fossil fuel and included in the GHG emission balance). The second reason is the high energy consumption of the process, which translates into additional greenhouse gas emissions generated in the life cycle. Given this aspect, it is advisable to use alternative methods of obtaining hydrogen and known processes, but using waste biomass as the starting raw material. Such processes lead to obtaining hydrogen, which due to the origin of the raw material from which it was created, is treated as a biofuel. Current legislation allows the possibility to qualify the biohydrogen used in the abovementioned refinery processes as a biogenic component of traditional fuel. However, according to the current regulations, each biofuel must meet the sustainability criteria. One of them is the minimum level of greenhouse gas emission reduction calculated in the whole life cycle. Therefore, as part of this work, three production paths have been analyzed. The following pathways were analyzed: biohydrogen from biogas, biohydrogen from wood residues and biohydrogen from raw glycerine. Of the three, the most advantageous variant turned out to be biogas reforming, which showed a GEG emission reduction of around 77%. In addition, only this production path met the requirements for biofuels obtained on new installations.</t>
  </si>
  <si>
    <t>Naft.-Gaz</t>
  </si>
  <si>
    <t>10.18668/NG.2019.04.05</t>
  </si>
  <si>
    <t>excluded because written in polish</t>
  </si>
  <si>
    <t>18TH WORLD IMACS CONGRESS AND MODSIM09 INTERNATIONAL CONGRESS ON MODELLING AND SIMULATION: INTERFACING MODELLING AND SIMULATION WITH MATHEMATICAL AND COMPUTATIONAL SCIENCES</t>
  </si>
  <si>
    <t>Climate change; plantation species selection; probability of fire; carbon sequestration</t>
  </si>
  <si>
    <t>Buchanan, G; Kennedy, J</t>
  </si>
  <si>
    <t>Optimal selection of plantation tree species accounting for climate change</t>
  </si>
  <si>
    <t>The Australian plantation forestry industry, including the manufacture of forest products will be affected directly by climate change, since changes in weather variables such as temperature and rainfall directly impact timber yields. Furthermore, increased CO(2) concentrations and risk of fire are also likely to directly result in altered yields from forested land. This analysis aims to examine the future viability and profitability of the two most widely planted and financially important plantation species in Australia, Pinus Radiata and Eucalyptus Globulus. These two species of plantation tree have proved successful in the environment of Australia; however whether this continues to be the case in a changing climate is unclear. Examination of this question is facilitated through the use of a Central Victorian case study. The most recent National Plantation Inventory (1996) of the Bureau of Rural Sciences (BRS) defines Central Victoria as the region located immediately west of Melbourne, stretching from the Otway Ranges, north to Castlemaine, and to just west of the Grampians. The main areas of significance for plantation centre on Ballarat, Beaufort, Colac and Geelong which are also major centres for timber processing (and shipping in Geelong). Central Victoria has a reported total plantation area of 57,185 hectares, of which the two most planted species are Pinus Radiata which comprise 53.7 % of plantation land, and Eucalyptus Globulus which constitutes 43.2 %. Australia wide the two most widely planted plantation species are also Pinus Radiata which accounts for 42.6 % of the total land in Australia under plantation, and Eucalyptus Globulus which accounts for 21.6 % of total plantings in Australia. The data used in this study concentrates on these two species since they are central to the plantation industry in the region and in the country as a whole. The expected long-run value of the two species, Pinus Radiata and Eucalyptus Globulus, are estimated, in two ways: first assuming current growing conditions continue indefinitely; and secondly assuming changing growing conditions as a result of projected climate change. The plantation region considered is Central Victoria, split into three productivity areas based on historical seasonal rainfall. Estimates of the effect of climate change, represented by changes in atmospheric carbon dioxide concentration, ambient temperature and rainfall, on timber yields for the two species are used in the second part of the study. Maximum net present values of plantation returns with respect to rotation length are determined in the first part based on the Faustmann formula for infinite rotations with no changes in growth parameters. In the second part, maximum net present values are calculated with respect to rotation length the same for each rotation, over 20 rotations, allowing for changing growth parameters. For the base rate of discount of 3 per cent per annum the net present values over a planning horizon of 20 rotations closely approximate the present values over infinite rotations. Plantation returns include payments from carbon sequestration calculated for a range of carbon prices. Allowance is made for the changing probability of fire destroying a plantation in any year by adding a suitable element to the rate of discount. It is concluded that for the base case climate-change scenario, Eucalyptus Globulus dominates Pinus Radiata as the preferred species, but this is subject to a number of caveats. The modelling of how the net present value (NPV) of each species changes under climate change provides insight for management practices (including selection of plantation species) to better anticipate the challenges of climate change.</t>
  </si>
  <si>
    <t>EXPANDING BOUNDARIES: SYSTEMS THINKING IN THE BUILT ENVIRONMENT</t>
  </si>
  <si>
    <t>Life-cycle assessment; Post-tensioned timber; Reinforced concrete; Costs; Construction time; Greenhouse gas emissions</t>
  </si>
  <si>
    <t>Cattarinussi, L; Hofstetter, K; Ryffel, R; Zumstein, K; Ioannidou, D; Klippel, M</t>
  </si>
  <si>
    <t>LIFE CYCLE ASSESSMENT OF A POST-TENSIONED TIMBER FRAME IN COMPARISON TO A REINFORCED CONCRETE FRAME FOR TALL BUILDINGS</t>
  </si>
  <si>
    <t>This paper summarises a recently conducted project to investigate the sustainability of high-rise timber buildings. In particular, an innovative post-tensioned timber frame structure using glued laminated timber was compared to a functionally equivalent traditional reinforced concrete frame by means of a cradle-to-gate Life Cycle Assessment (LCA). Further, the two structures were compared with regard to costs and time for the construction. The assessment showed that the post-tensioned timber frame structure contributes about 44% less on greenhouse gas emissions compared to the traditional reinforced concrete structure. Additional performed analysis estimating the construction costs and construction time showed the great potential when using timber in comparison to reinforced concrete.</t>
  </si>
  <si>
    <t>WORLD HERITAGE AND LEGACY: CULTURE, CREATIVITY, CONTAMINATION</t>
  </si>
  <si>
    <t>LCA; FEM analysis; reinforced concrete structures; timber structures; thermal analysis</t>
  </si>
  <si>
    <t>CARBON</t>
  </si>
  <si>
    <t>Chiaia, B; Fantilli, AP; Mancinelli, O</t>
  </si>
  <si>
    <t>Comparison between the environmental performance of buildings made of reinforced concrete and timber</t>
  </si>
  <si>
    <t>In order to reduce the environmental impact of the construction industry, the case of natural material (such as timber) is pursued. However, is the use of low-impact materials sufficient to decrease the overall environmental impact of a building? The answer is not trivial, because there are many parameters that affect sustainability, in addition to the unitary environmental impact of the building materials. Through this article, an evaluation of the total CO2 emission in buildings made of reinforced concrete and CLT panels is carried out. The entire life cycle (LCA) of the materials is considered, as well as the CO2 emissions derived from heating and chilling. The relationship between CO2 emissions and building height is also taken into account along with weather conditions. The structures and envelopes of a three - storey family house and of a multi-storey residential building are designed from a structural and thermal point of view, respectively. In order to consider the climatic effects, three locations with very different weather conditions are assumed (i.e. Catania, Turin, Oslo). The carbon footprint of three different structures is considered, namely RC frame made with cast-in-situ structural elements, precast RC panels and timber CLT structure. The quantification of the carbon footprint allows to notice how the overall structural and thermal performances, including the thermal mass, affect the environment performance.</t>
  </si>
  <si>
    <t>LIFE-CYCLE ANALYSIS AND ASSESSMENT IN CIVIL ENGINEERING: TOWARDS AN INTEGRATED VISION</t>
  </si>
  <si>
    <t>De Wolf, C; Davies, D</t>
  </si>
  <si>
    <t>Benchmarking embodied carbon in structural materials</t>
  </si>
  <si>
    <t>To inspire structural engineers to contribute towards the vision of zero carbon buildings by 2050, this paper discusses the Structural Engineers 2050 Commitment. To participate, structural engineers are encouraged to share their progress with data on material quantities and embodied carbon in their structures within the database of embodied Quantity outputs (deQo). The literature reviews the variations in carbon emissions (Embodied Carbon Coefficients expressed in kg of CO2 equivalent or CO(2)e per kg of material) for common structural materials. These variations illustrate why it is necessary to collect data on material quantities in buildings rather than the end result in terms of carbon emissions of building structures: once the ECCs of materials become more accurate, the collected material quantities can be used to update the Global Warming Potential (expressed in kg of CO(2)e per m(2) of floor area or another functional unit) of the building structure. This is needed to create benchmarks of embodied carbon in building structures. To align methodologies for evaluating embodied carbon in industry practice and in deQo, an LCA specification guide is being published by the Carbon Leadership Forum. From the presented benchmarking efforts, strategies to lower embodied carbon are derived: structural optimization and low-carbon material choices. Compared to conventional practices in concrete, steel and timber structures, these strategies are applied to project case studies provided by Magnusson Klemencic Associates. In particular, new lower carbon construction materials under development are explored to illustrate the potential reductions toward the goal of zero carbon buildings by 2050.</t>
  </si>
  <si>
    <t>INNOVATIVE SOLUTIONS FOR ENERGY TRANSITIONS</t>
  </si>
  <si>
    <t>Post-use building material; end-of-life; primary energy; carbon dioxide emissions; recyclig</t>
  </si>
  <si>
    <t>CYCLE ASSESSMENT; WOOD; CONCRETE; CONSTRUCTION; IMPACTS</t>
  </si>
  <si>
    <t>Dodoo, A; Gustaysson, L; Tettey, UYA</t>
  </si>
  <si>
    <t>Effects of end-of-life management options for materials on primary energy and greenhouse gas balances of building systems</t>
  </si>
  <si>
    <t>In this study we have analysed the life cycle primary energy and greenhouse gas (GHG) balances of concrete-frame and timber frame multi-storey building alternatives, designed to meet the current Swedish building code, considering different end-of-life scenarios. The scenarios include recycling of concrete and steel, cascading by recycling of wood into particle board and energy recovery at the end-of-life of the board, energy recovery of wood by combustion, and landfilling of wood with and without landfill gas (LFG) recovery. The energy recovered is assumed to replace fossil coal or gas. Our analysis accounts for energy and GHG flows in the production and end-of-life phases. We estimate the GHG emission changes achieved per unit of difference in finished wood in buildings or in harvest forest biomass between the timber buildings and the concrete building. The results show that the timber building systems give significantly lower life cycle primary energy balances than the concrete building system for all the end-of-life options. The concrete building system gives higher life cycle GHG balances than the timber alternatives for all the end-of-life options, except when wood is landfill without LFG recovery. The end-of-life primary energy and GHG benefit of wood materials is most significant for energy recovery while the benefit of cascading is low. However, replacing fossil gas instead of fossil coal significantly reduce the carbon benefits of the timber alternatives. The benefits of recycling steel and concrete are small. This study shows that end-of-life options for building materials can offer opportunities to reduce energy use and GHG emissions in the built environment. (C) 2019 The Authors. Published by Elsevier Ltd.</t>
  </si>
  <si>
    <t>10.1016/j.egypro.2019.01.802</t>
  </si>
  <si>
    <t>Forster, EJ; Healey, JR; Dymond, CC; Newman, G; Davies, G; Styles, D</t>
  </si>
  <si>
    <t>Linking construction timber carbon storage with land use and forestry management practices</t>
  </si>
  <si>
    <t>Consequential life cycle assessment was applied to forestry systems to evaluate the environmental balance of expanding forestry onto marginal agricultural land to supply more timber for the built environment, accounting for land use effects and product substitution. Forestry expansion to supply timber buildings could mitigate UK greenhouse gas (GHG) emissions by 2.4 Gg CO2 eq. per ha of forest over 100 years, though net mitigation could be halved if beef production were displaced to Brazil. Forest thinning increases wood yields and percentage conversion of harvested wood to construction sawnwood, resulting in 5% greater net GHG mitigation compared with unthinned systems. Optimising the environmental sustainability of construction timber value chains in a circular, bio-based economy will require holistic accounting of land use (change), forestry management and complex flows of wood.</t>
  </si>
  <si>
    <t>10.1088/1755-1315/323/1/012142</t>
  </si>
  <si>
    <t>PAPERS OF THE 25TH EUROPEAN BIOMASS CONFERENCE</t>
  </si>
  <si>
    <t>life cycle assessment; wood-based bioeconomy; integrated industrial production networks; lignocellulosic biorefineries</t>
  </si>
  <si>
    <t>Hildebrandt, J; Budzinski, M; Thran, D; Bezama, A</t>
  </si>
  <si>
    <t>ASSESSING A BIOECONOMY NETWORK FROM AN INTEGRATED LIFE CYCLE PERSPECTIVE</t>
  </si>
  <si>
    <t>The production of wood fibres, bio-based polymers and engineered wood products within integrated industrial production networks can be organized by industrial decision makers in future production planning with a varying degree in the integration of cross company supply and conversion chains. For instance, the supply with wood fibres in future composite and wood panel production lines can rely on individual or cooperative operation of refinery plants. Also, the feedstock of lignocellulosic biorefineries can primarily be mobilized from raw wood resources or can be sourced from saw mill by-products and/or secondary wood resources. Finally, a major option for coupled use and integration of value added chains between biorefineries and wood manufacturing industries is the production of intermediary and auxiliary materials such as bio-based resins and adhesives for glue-laminated and cross-laminated timber products. Considering these scenarios of varying intensity in coupled use and cascade use of wood resources a baseline scenario was developed and assessed in this study, which serves as a basis for further LCA studies on extended scenarios. If these horizontal and vertical integration options really contribute to favourable reduction of environmental impacts along the bio-based value chains in bioeconomy regions, thereby remains a major question for further in-depth assessments. A life cycle-based approach has been used to model and evaluate the technological processes that take part in wood-based bio-polymer and wood processing supply chains. This work analyses the negative environmental impacts of a future wood-based bioeconomy network and compares its impacts with those of a traditional fossil-based production system. Results show that for the future bioeconomy system for seven out of 11 impact categories a relative advantage between 25 % to 130% of the initial impacts of fossil-based counterparts is attainable. As expected the global warming potential and the abiotic depletion potentials are building the top group with 130 % and 70 % respectively. The inventory analysis shows that the integration of regional and cross company supply chains and the minimization of fossil-based additives and auxiliaries and utility service installations offer further options for leveraging optimization scenarios.</t>
  </si>
  <si>
    <t>27TH EUROPEAN SYMPOSIUM ON COMPUTER AIDED PROCESS ENGINEERING, PT B</t>
  </si>
  <si>
    <t>Biomass; Bioenergy; Cogeneration; Multigeneration; Renewable resources</t>
  </si>
  <si>
    <t>Kanematsu, Y; Oosawa, K; Okubo, T; Kikuchi, Y</t>
  </si>
  <si>
    <t>A design of rural energy system by industrial symbiosis considering availability of regional resources</t>
  </si>
  <si>
    <t>This paper performed the design of rural energy system by industrial symbiosis considering long-term availability of forest resources, As for the case examples, alternatives of energy system in Tanegashima, a remote island in Japan, were examined, where two types of combined heating and power (CHP) were designed. In the first option, bagasse-based CHP at the cane sugar mill was enhanced to use woody biomass as additional fuel and generate energy for district heating and cooling (DHC). In another option, small scale biomass-CHP was designed for DHC in city center. Both options were mathematically modeled and simulated for examining the resource requirements and life cycle greenhouse gas emission. A constraint on total availability of woody biomass was taken into account, which was calculated through a simulation on forestry. The effect of total timber availability and allocation to the two CHP systems was quantified. A design of rural energy system by industrial symbiosis can be facilitated by simulation-based analysis to visualize the impacts of such energy networks among involved multiple players such as industry, residential, and commercial sectors,</t>
  </si>
  <si>
    <t>10.1016/B978-0-444-63965-3.50333-0</t>
  </si>
  <si>
    <t>changed_to_nojournal</t>
  </si>
  <si>
    <t>4TH WORLD MULTIDISCIPLINARY CIVIL ENGINEERING-ARCHITECTURE-URBAN PLANNING SYMPOSIUM - WMCAUS</t>
  </si>
  <si>
    <t>Karas, A; Idem, R</t>
  </si>
  <si>
    <t>The Dilemmas of Choosing a Suitable Technology for Low Energy and Passive Houses in the Context of their Overheating Issues</t>
  </si>
  <si>
    <t>In compliance with European Union directives, numerous countries are introducing increasingly stricter legal limits on the estimated energy consumption of newly designed residential buildings. However, the fact, that regulations and designers' efforts are focused on decreasing energy consumption (and consequently carbon dioxide emissions) only at the post-occupancy stage, may lead to a significant increase in the carbon footprint of the buildings during their entire life cycle. A frequent criticism levelled at low-energy and passive buildings is that they are susceptible to the phenomenon of overheating. The reduction of overheating through the choice of massive technologies, materials with high thermal capacity as well as a high heat dispersion coefficient, stands in opposition to the requirement to choose the technologies that ensure a low ecological footprint (i.e. timber frame technologies). The development of a tool facilitating decision making in this issue seems to be a challenge. Life Cycle Assessment (LCA) is a well-known, optimal method for forecasting buildings' carbon footprint, however, it is an expensive and time-consuming method. Life Cycle Assessment is a method dedicated to large investments. In practice, such analysis are not carried out for residential buildings. The purpose of this paper is to analyse the foregoing problem on the example of detached single-family houses and to propose a method and tool that can assist architectural design in this regard.</t>
  </si>
  <si>
    <t>10.1088/1757-899X/603/4/042024</t>
  </si>
  <si>
    <t>19TH INTERNATIONAL CONGRESS ON MODELLING AND SIMULATION (MODSIM2011)</t>
  </si>
  <si>
    <t>Intertemporal general equilibrium; optimal forest management; mixed complementarity</t>
  </si>
  <si>
    <t>Lennox, JA; Turner, JA; Daigneault, A; Jhunjhnuwala, K</t>
  </si>
  <si>
    <t>Global forestry and land use change dynamics in intertemporal general equilibrium</t>
  </si>
  <si>
    <t>Management of forests for timber and other values, deforestation and afforestation are subjects of major policy interest, with important implications for climate change and food security inter alia. To robustly quantify impacts of policies on forests and on land use generally requires accounting for economic interactions not only between agricultural and forestry, but also energy and other sectors. At larger scales, these interactions may include linkages via international trade. General equilibrium models are well suited to capture such interactions; however, adequate representation of land use change and forestry in these models remains challenging. We present a dynamic bottom-up representation of forestry within a top-down intertemporal general equilibrium model that is formulated as a mixed complementarity problem (Mathiesen, 1985; Lau et al., 2002). Intertemporally optimal management of forests and optimal harvest ages are determined endogenously within the model, bringing into an intertemporal general equilibrium farmework features hitherto limited to partial equilibrium models (e. g. the Global Timber Model Sedjo and Lyon, 1990; Sohngen et al., 1999) or recursive dynamic general equilibrium models (Pant, H. M. 2010). Planted or naturally regenerating production forests are represented by a set of multiperiod production functions corresponding to a discrete set of harvest ages. Complementarity between negative profits and output allow for the endogenous selection of the optimal age(s) at any time under conditions of perfect foresight. A comparable bottom-up treatment of timber production from and clearance of primary forests is the subject of ongoing research. These dynamic representations of forestry in a general equilibrium framework will allow for more robust assessments of policies such as domestic greenhouse gas emissions trading schemes or Reducing Emissions from Degradation and Deforestation (REDD) Plus in developed and developing countries. Computational limitations on direct bottom-up integration may be prohibited for models with more sectoral or regional detail. However, larger models should be tractable with the aid of decomposition techniques, which allow for tight and theoretically consistent linking of a top-down general equilibrium model with bottom-up partial equilibrium sub-models. This is also the subject of our own-going research An illustrative scenario using a four-region version of our CliMAT-DGE model with bottom-up forestry showed the effects of carbon credits for HWPs in the US, within a wider context of CO2 emissions pricing by developed countries. We showed not only a significant expansion of forestland and output in the US, but changes in age composition of the forest estate and harvest ages during a six decade transition. Marginal flow-on effects of the US HWP credits were small, but larger effects could be expected for policies affecting a larger share of global forest production, or in regions where forestry is economically more important. Computational considerations limit the number of regions and the level of bottom-up detail achievable through direct bottom-up integration. However, larger models should be solvable with the aid of decomposition techniques, which allow tight and theoretically consistent linking of a top-down model with bottom-up sub-models. This is another focus of our own-going research.</t>
  </si>
  <si>
    <t>changed_to_no_journal</t>
  </si>
  <si>
    <t>PROCEEDINGS OF AICCE&amp;apos;19: TRANSFORMING THE NATION FOR A SUSTAINABLE TOMORROW</t>
  </si>
  <si>
    <t>Carbon footprint; Industrialised building system; Life cycle assessment</t>
  </si>
  <si>
    <t>Lip, YY; Teo, FY; Tang, IYH</t>
  </si>
  <si>
    <t>Carbon Footprint Analysis of Industrialised Building System in Malaysia</t>
  </si>
  <si>
    <t>The topic on sustainability of Industrialised Building System (IBS) in the construction industry of Malaysia is always debatable and questionable. This study is carried out to determine the carbon footprint of a typical commercial project with the application of IBS. In this paper, IBS is classified to aluminium formwork system and fully precast concrete structure. The carbon footprint is quantified with life cycle assessment (LCA) of the building dividing into production phase of materials, transportation phase and construction phase. Whereas the study adopted data of embodied carbon of materials and carbon emission factor from reliable external source to estimate the total carbon emission of the project with the application of IBS. The outcome of carbon footprint is compared with conventional building method to identify the sustainability of each building method. Based on the data analysis, the application of precast concrete has the lowest carbon footprint as compared to cast-in situ with aluminium formwork and timber formwork. Although the carbon emission from the transportation of precast concrete elements is relatively high, but the overall carbon footprint is still the lowest among the other building method. The amount of carbon emission of the commercial project with IBS construction is 0.342 tonnes CO2 per meter square. The production of construction materials that contributed the most to the carbon footprint is concrete, followed by steel rebar and formwork. The findings in this study is very useful for future research on carbon footprint of construction in Malaysia. The study also helps to raise awareness towards sustainable construction with the application of IBS in Malaysia.</t>
  </si>
  <si>
    <t>10.1007/978-3-030-32816-0_59</t>
  </si>
  <si>
    <t>The Study deals with an LCA of prefab aluminum components. The word "wood" or "forest" were not mentioned in the manuscript.</t>
  </si>
  <si>
    <t>LESNOY ZHURNAL-FORESTRY JOURNAL</t>
  </si>
  <si>
    <t>boiler; wood pellet fuel; harmful substances; numerical modeling; heat losses; efficiency</t>
  </si>
  <si>
    <t>COMBUSTION; GRATE</t>
  </si>
  <si>
    <t>Lyubov, VK; Vladimirov, AM</t>
  </si>
  <si>
    <t>COMPLEX EFFICIENCY OF USING WOOD PELLETS IN POWER PLANTS</t>
  </si>
  <si>
    <t>In advanced countries, the dramatic impact of greenhouse gases on the global climate is reduced by replacing fossil fuels with biofuels. This method is being actively encouraged. However, by-products of logging, processing and conversion of wood are classified as difficult to burn fuels due to their high moisture content, low energy density and extremely heterogeneous granulometric composition. A promising direction to increase the energy density and transportability of the timber industry by-products is their granulation. Wood pellet fuel burning in heat-generating plants results in significant increase in their energy and environmental performance. The purpose of the paper is an experimental and calculation study of the energy and environmental performance of 4 MW hot water boilers produced by Polytechnik Luft- und Feuerungstechnik GmbH in the process of burning pine and spruce wood pellets obtained from by-products woodworking. When performing studies, the components of the boiler&amp;apos;s heat balance, gas release, and particulate emissions were determined. Numerical modeling of thermochemical and aerodynamic processes taking place in the boiler combustion chamber was carried out by using the Ansys Fluent three-dimensional simulation software. Together with industrial-operational tests it showed the possibility to reduce the total share of flue gas recirculation into combustion chambers of boiler units to values not exceeding 0.45, in providing an acceptable temperature of combustion products at the combustion chamber outlet and maintaining minimum emissions of carbon and nitrogen monoxides. At the same time, the share of gases fed by recirculation smoke exhausters to the over-bed area of the burner should have higher values than under the reciprocating grates of boilers. Guidelines for comprehensive improvement of wood pellet combustion efficiency in combustion chamber of 4 MW hot water boilers have been developed and implemented. The priorities are: using the air passed through the cooling channels of the setting as secondary air; reducing the rarefaction in the combustion chambers to 30-70 Pa; optimizing the ratio of primary and secondary air, herewith, the share of primary air in the total flow should be 0.26-0.35. Implementation of the developed guidelines allowed to increase the boiler gross efficiency by 0.5-1.8 %, to reduce the aerodynamic resistance of the gas path by 15-20 % and to ensure consistently low emissions of carbon and nitrogen monoxides and soot particles. When designing boiler units for burning wood pellet fuel it is advisable to place heating surfaces in the combustion chamber, included in the circulation circuit of the boiler. This will increase the efficiency and life cycle of the boiler unit.</t>
  </si>
  <si>
    <t>Lesnoy Zh.</t>
  </si>
  <si>
    <t>10.37482/0536-1036-2021-1-159-172</t>
  </si>
  <si>
    <t>It is written in Russian.</t>
  </si>
  <si>
    <t>GREENHOUSE GAS CONTROL TECHNOLOGIES, VOLS I AND II, PROCEEDINGS</t>
  </si>
  <si>
    <t>Read, P; Lermit, J; Kathirgamanathan, P</t>
  </si>
  <si>
    <t>Modelling bio-energy with carbon storage (BECS) in a multi-region version of flames</t>
  </si>
  <si>
    <t>Global FLAMES [1,2] demonstrates the potential of the combined evolution of the stock and flow effects from temporary sequestration and subsequent fossil fuel displacement due to plantation based bio-energy, in reducing greenhouse gas levels below those widely thought to be feasible [3]. This surprising effectiveness can be further enhanced by linking plantation bio-energy to carbon capture and storage [4]. Such 'BECS' technology yields, potentially, a negative emissions energy system and control of CO2 levels on a few decade time-scale. The effect of BECS is illustrated using global FLAMES. To provide relevance to country level scenario building and decision taking, FLAMES has been developed [5] into a multi-region dynamic market model simulating trade in fossil fuel, biofuel, and timber products. Results are illustrated in the case of three notional regions, 'rich', 'landed' and 'popet' (populous with petroleum) - broadly equivalent to the 'North', South Sahara Africa with Southern America, and Asia plus OPEC.</t>
  </si>
  <si>
    <t>FARM MACHINERY AND PROCESSES MANAGEMENT IN SUSTAINABLE AGRICULTURE</t>
  </si>
  <si>
    <t>greenhouse gas emissions; bioenergy; short rotation coppice; willow</t>
  </si>
  <si>
    <t>Rodzkin, A; Kostukevich, S; Tanas, W; Szymanek, M; Kassar, FH</t>
  </si>
  <si>
    <t>ASSESSMENT OF THE BALANCE OF GREENHOUSE GASES IN THE PRODUCTION OF RENEWABLE BIOMASS FROM SHORT-CYCLE ENERGY PLANTATIONS OF WILLOW</t>
  </si>
  <si>
    <t>Greenhouse gas control it is the key aspect for climate protection. As climate regulation became inevitable, companies started adopting more proactive strategies. One of the effective methods for greenhouse gas emission calculation is based on life cycle analysis. A carbon footprint is defined as the sum of greenhouse gas emissions caused by an organization, event, or product and is expressed in terms of CO2 equivalents. The investigations were devoted to greenhouse emission assessment during life cycle of willow wood production from short rotation coppice plantations. In accordance with results about 48% of carbon dioxide gas from all life cycle of willow was emitted during wood harvesting and transportation to energy plants.</t>
  </si>
  <si>
    <t>10.24326/fmpmsa.2017.60</t>
  </si>
  <si>
    <t>PAPERS OF THE 22ND EUROPEAN BIOMASS CONFERENCE: SETTING THE COURSE FOR A BIOBASED ECONOMY</t>
  </si>
  <si>
    <t>Canada; managed forest; harvested wood product (HWP); wood pellets; life cycle analysis; cascade</t>
  </si>
  <si>
    <t>Sikkema, R; Junginger, HM; Faaij, APC; McFarlane, P</t>
  </si>
  <si>
    <t>THE CASCADED USE OF HARVESTED WOOD PRODUCTS COMPARED WITH THE USE OF WOOD FOR ENERGY - A GHG INVENTORY ON AVAILABLE FOREST RESOURCES IN CANADA</t>
  </si>
  <si>
    <t>Some Parties (Countries) to the UNFCCC decided to include the carbon uptake by harvested wood products (HWP) in a new general accounting framework after 2012 (post Kyoto). We combine the new HWP framework with an assumed increased 5 0 million m(3) harvest level in Canada and evaluate the impact of the GHG emissions over a 100 year period. Our reference case assumes all harvested wood is an immediate CO2 emission (IPCC default) and no substitution effects, i.e. annual GHG emissions of 41 million tonnes CO2eq. In our wood utilisation scenarios, harvested trees are allocated to three end-products: construction wood, paper products and pellets for power production. In comparison with our base case, a combination of fossil fuel substitution, material substitution and temporary carbon uptake by HWP leads to significant decreases in GHG emissions. A similar approach is intended for future EU-28 harvesting.</t>
  </si>
  <si>
    <t>STRUCTURES AND ARCHITECTURE: CONCEPTS: APPLICATIONS AND CHALLENGES</t>
  </si>
  <si>
    <t>Spinelli, A</t>
  </si>
  <si>
    <t>Convertible city: light wood prefab systems in the extension of built environment</t>
  </si>
  <si>
    <t>The research work proposes a reflection about transforming existing city. The paper focus about transformation projects which considering the addition of part and volumes an opportunity to redefine performance and architectural appeal of existent building and renovate the whole city functioning. The research refers to urban living context and housing quality, by using timber technology as method to read the change towards new smart urban environment. This topic becomes the driving force at the center of development actions in many European medium cities, promoting a new research approach against soil consumption. Thus represent an opportunity to experiment new forms of living and search further directions for the building sector. Wood can be seen as the most suitable material for these interventions, it offers the opportunity to reduce energy consumption and CO2 emissions during the entire construction process and the building life cycle.</t>
  </si>
  <si>
    <t>STAHLBAU</t>
  </si>
  <si>
    <t>sustainability; embodied emissions; resource efficiency; lightweight structures; circular construction; life cycle expansion; material use; infra-lightweight-concrete</t>
  </si>
  <si>
    <t>Stockhusen, K; Erichsen, J</t>
  </si>
  <si>
    <t>The net zero as a target: examples for building in line with the reduce-reuse-recycle principle</t>
  </si>
  <si>
    <t>The building sector is currently facing an unprecedented challenge: How can we drastically reduce emissions of climate-damaging greenhouse gases and still meet the growing global demand for a built environment? It is certain that sustainability can only be achieved through a holistic architectural approach. Just as important as taking into account operational emissions are the emissions generated during construction itself. After all, the amount of these embodied emissions produced by 2050 is crucial to achieving the United Nations' climate goals. The three R's of Reduce - Reuse - Recycle are essential for the building industry to be able to meet these objectives. In the following, projects are presented that are guided by these three R's and successfully demonstrate how innovative approaches and concepts can drive the change to net-zero. Among these are the roof of the Olympic Stadium in Munich as a pioneering model for all light-weight structures, the hanging timber canopy for the 2024 Olympic Aquatics Center in Paris as an example of materials-based design, the free-form steel and glass domes of the Moynihan Train Hall in New York City, as well as the modular container stadium serving as examples for preserving and extending the life cycle of structures or entire building components, the City of Dream Pavilion Cast &amp; Place made of recycled aluminum, and the youth facility Betonoase in Berlin, whose exterior walls and porches are made of the particularly recycling-friendly infra-light concrete (ILC).</t>
  </si>
  <si>
    <t>Stahlbau</t>
  </si>
  <si>
    <t>10.1002/stab.202200006</t>
  </si>
  <si>
    <t>ECOLOGY, ECONOMICS, EDUCATION AND LEGISLATION, VOL I</t>
  </si>
  <si>
    <t>civil engineering; timber products; sustainable; GFRP; LCA</t>
  </si>
  <si>
    <t>Taranu, N; Maxineasa, SG; Entuc, IS; Oprisan, G; Secu, A</t>
  </si>
  <si>
    <t>Assessing the environmental impact of a glass fibre reinforced polymer strengthening solution for timber beams</t>
  </si>
  <si>
    <t>It is common knowledge that forests represent the most proficient tool of the planet Earth for improving air quality, by sequestering and replacing a significant volume of carbon dioxide (CO2) with oxygen (O-2). Moreover, wood plantations are known to provide a natural habitat for animals, making them an important element in the global efforts of protecting the fauna. Due to the crucial influence of trees in ensuring such life conditions, during the latest years, international debates concerning the protection of old-growth forests by reducing the consumption of trees as a material in different economic industries have intensified. World-wide, a significant amount of wood is processed in order to be utilised in the civil engineering sector. Even if the utilization of trees from certified forests is encouraged, at the moment, only a small part of the amount of timber products used in this sector is fabricated by processing materials originated from sustainable wood plantations. Therefore, besides increasing the volume of the processed certified trees, the construction field should also implement new solutions in order to minimize the environmental load resulted from using uncertified timber solutions. The reusing of existing timber structures by applying different fibre reinforced polymer (FRP) composites strengthening solutions can represent an efficient approach for achieving this goal. The present paper evaluates the environmental impact of a glass fibre reinforced polymer (GFRP) strengthening technique utilized on a timber beam by using the Life Cycle Assessment (LCA) methodology and the GaBi 6 software. The resulted values point to the fact that despite their negative influence, FRP materials can have an important role in protecting and improving the condition of the natural environment by reducing the quantity of timber used in this sector.</t>
  </si>
  <si>
    <t>Carbon emissions; structural frames; low energy building; building materials; concrete; wood</t>
  </si>
  <si>
    <t>LIFE-CYCLE; WOOD; CONCRETE</t>
  </si>
  <si>
    <t>Tettey, UYA; Dodoo, A; Gustavsson, L</t>
  </si>
  <si>
    <t>Carbon balances for a low energy apartment building with different structural frame materials</t>
  </si>
  <si>
    <t>We analyse the life cycle carbon implications of a building, with structural frame of prefabricated concrete, prefabricated modular timber or cross laminated timber (CLT) elements, designed to meet the Swedish passive house criteria. The analysis covers non-biogenic carbon flows related to the building alternatives, over an assumed life time of 80 years. The building alternatives are all modelled to have the same housing service and operation energy demand. Substitution factors, showing the efficiency of CO2 emissions reductions when wood alternatives are used instead of non-wood alternatives, are calculated for the CLT and modular alternatives with reference to the concrete alternative. The results show that the CLT and modular buildings give less carbon emissions to the atmosphere during production and when the buildings are demolished at the end-of-life. Moreover, the wood residues from the production and end-of-life activities for the timber alternatives far exceed that for the concrete alternative. The substitution factors differ slightly between the CLT and the modular alternatives, and are significantly lower when fossil gas is substituted by wood residues instead of fossil coal. In summary, the life cycle carbon emissions are significantly lower for the timber alternatives. (C) 2019 The Authors. Published by Elsevier Ltd.</t>
  </si>
  <si>
    <t>10.1016/j.egypro.2019.01.801</t>
  </si>
  <si>
    <t>17TH INTERNATIONAL SCIENTIFIC CONFERENCE: ENGINEERING FOR RURAL DEVELOPMENT</t>
  </si>
  <si>
    <t>biomass; climate-friendly; moisture; compression; pellets</t>
  </si>
  <si>
    <t>WOOD PELLETS; FUEL PELLETS; QUALITY; ENERGY; DENSIFICATION; TEMPERATURE; PRESSURE; RESIDUES; DURABILITY; PARAMETERS</t>
  </si>
  <si>
    <t>Ungureanu, N; Vladut, V; Voicu, G; Dinca, MN; Zabava, BS</t>
  </si>
  <si>
    <t>INFLUENCE OF BIOMASS MOISTURE CONTENT ON PELLET PROPERTIES - REVIEW</t>
  </si>
  <si>
    <t>Seeking to become more climate-friendly and less energy-consuming, the European Union has pledged to cut its greenhouse gas emissions and milestones to achieve this are set to 20 % by 2020, 40 % by 2030, 60 % by 2040 and 80 % by 2050. Due to its abundance, biomass is gaining more and more importance both for the production of thermal energy by direct combustion or gasification of vegetal materials, for electricity and for the production of biofuels. Direct combustion of biomass generates CO2, but the process is neutral in terms of greenhouse gas emissions, because the same amount of CO2 was absorbed by plants from the air during their life cycle. Ecological solid fuels such as pellets have become rapidly a viable alternative to fossil fuels, due to their high energy content, which makes them suitable for use by both small households and industrial consumers. Pellets are obtained from a variety of raw materials such as: agricultural residues, energy crops, forestry and wood residues, used exclusively or mixed and having different physical-chemical properties. This paper presents a summary of literature on the effect of the moisture content on the properties of pellets obtained from various types of biomass. Moisture content of raw material is one of the most important factors that influence negatively the properties of pellets, such as bulk density or mechanical durability during storage and transportation. Energy consumption increases during pelletizing of high moisture biomass, as moisture is a lubricant that lowers friction in the die. Other studies found a positive correlation between pellets durability and optimal moisture (10 %), because water together with the die temperature, pressure and chemical composition of raw material acts like a binding agent that increases pellet quality. Pellets with 5 % moisture have low strength, become brittle, and large amounts of dust are produced during their storage and transportation. Moisture higher than 15 % damages pellets during storage.</t>
  </si>
  <si>
    <t>10.22616/ERDev2018.17.N449</t>
  </si>
  <si>
    <t>EKONOMICHESKAYA POLITIKA</t>
  </si>
  <si>
    <t>Paris Agreement; the role of boreal forests in carbon balance; carbon neutrality; Canada</t>
  </si>
  <si>
    <t>DYNAMICS</t>
  </si>
  <si>
    <t>Shvarts, EA; Ptichnikov, AV; Kokorin, AO; Krenke, AN</t>
  </si>
  <si>
    <t>Cross-Border Carbon Regulation and Forests in Russia: From Expectations and Myth to Realization of Interests</t>
  </si>
  <si>
    <t>Introduction of the EU Carbon Border Adjustment Mechanism over the period from 2023 to 2026 together with corporate commitments to achieve carbon neutrality and carry out commercial decarbonization have markedly increased interest in assessing the potential of carbon sequestration by Russian forests as a possible way to achieve decarbonization and facilitate Russian exports. The prevailing opinion in business circles is that a signi ficant net positive carbon balance from Russia's forests could circumvent the need for businesses to make costly reductions in their direct CO2 emissions. However, international decarbonization strategies and standards do not concur with that idea. Direct emissions will have to be reduced. Offset mechanisms, whose benefits are calculated as the difference between a baseline and an improved scenario for forest management (the principle of additionality), will compensate for only a part of the emissions. The experience of Canada is indicative, as it consistently implements measures to decarbonize industry without regard to the absorption of CO2 by its forests. Even though Canada has climatic conditions, forest growth, and population density similar to Russia's, its policy is not dependent upon revising estimates of net CO2 absorption by forests upward. Forestry priorities in Russia, including reforestation, should instead be gradually shifted from managing commercial forests for harvesting timber to reducing all forest fires. Leased and non-leased forests should both be included, and reforestation that favors deciduous species and mixed forests should be given a higher priority. It is also necessary to remove barriers to forestry in agricultural forests and to plan for implementation of projects directed at improving both forestry and climate on the land leased out from the holdings of the State Forest Fund as well as on agricultural tracts, including those now overgrown by forests.</t>
  </si>
  <si>
    <t>EKONOMICHESKAYA POLIT.</t>
  </si>
  <si>
    <t>10.18288/1994-5124-2022-5-54-77</t>
  </si>
  <si>
    <t>not english</t>
  </si>
  <si>
    <t>forests; climate; environment; policy; bioenergy</t>
  </si>
  <si>
    <t>HARVEST RESIDUES; CARBON; LAND</t>
  </si>
  <si>
    <t>Birdsey, R; Duffy, P; Smyth, C; Akurz, W; Dugan, AJ; Houghton, R</t>
  </si>
  <si>
    <t>Climate, economic, and environmental impacts of producing wood for bioenergy</t>
  </si>
  <si>
    <t>Increasing combustion of woody biomass for electricity has raised concerns and produced conflicting statements about impacts on atmospheric greenhouse gas (GHG) concentrations, climate, and other forest values such as timber supply and biodiversity. The purposes of this concise review of current literature are to (1) examine impacts on net GHG emissions and climate from increasing bioenergy production from forests and exporting wood pellets to Europe from North America, (2) develop a set of science-based recommendations about the circumstances that would result in GHG reductions or increases in the atmosphere, and (3) identify economic and environmental impacts of increasing bioenergy use of forests. We find that increasing bioenergy production and pellet exports often increase net emissions of GHGs for decades or longer, depending on source of feedstock and its alternate fate, time horizon of analysis, energy emissions associated with the supply chain and fuel substitution, and impacts on carbon cycling of forest ecosystems. Alternative uses of roundwood often offer larger reductions in GHGs, in particular long-lived wood products that store carbon for longer periods of time and can achieve greater substitution benefits than bioenergy. Other effects of using wood for bioenergy may be considerable including induced land-use change, changes in supplies of wood and other materials for construction, albedo and non-radiative effects of land-cover change on climate, and long-term impacts on soil productivity. Changes in biodiversity and other ecosystem attributes may be strongly affected by increasing biofuel production, depending on source of material and the projected scale of biofuel production increases.</t>
  </si>
  <si>
    <t>10.1088/1748-9326/aab9d5</t>
  </si>
  <si>
    <t>GLOBAL CHANGE BIOLOGY</t>
  </si>
  <si>
    <t>carbon retention curve; carbon sequestration; cascading; climate change; first-order decay; half-life; low-carbon economy; mitigation; wood industry</t>
  </si>
  <si>
    <t>FOREST MANAGEMENT-PRACTICES; LIFE-CYCLE ASSESSMENT; GREENHOUSE-GAS; CLIMATE-CHANGE; ROTATION LENGTH; SEQUESTRATION; STORAGE; IMPACTS; DECOMPOSITION; DYNAMICS</t>
  </si>
  <si>
    <t>Brunet-Navarro, P; Jochheim, H; Muys, B</t>
  </si>
  <si>
    <t>Modelling carbon stocks and fluxes in the wood product sector: a comparative review</t>
  </si>
  <si>
    <t>In addition to forest ecosystems, wood products are carbon pools that can be strategically managed to mitigate climate change. Wood product models (WPMs) simulating the carbon balance of wood production, use and end of life can complement forest growth models to evaluate the mitigation potential of the forest sector as a whole. WPMs can be used to compare scenarios of product use and explore mitigation strategies. A considerable number of WPMs have been developed in the last three decades, but there is no review available analysing their functionality and performance. This study analyses and compares 41 WPMs. One surprising initial result was that we discovered the erroneous implementation of a few concepts and assumptions in some of the models. We further described and compared the models using six model characteristics (bucking allocation, industrial processes, carbon pools, product removal, recycling and substitution effects) and three model-use characteristics (system boundaries, model initialization and evaluation of results). Using a set of indicators based on the model characteristics, we classified models using a hierarchical clustering technique and differentiated them according to their increasing degrees of complexity and varying levels of user support. For purposes of simulating carbon stock in wood products, models with a simple structure may be sufficient, but to compare climate change mitigation options, complex models are needed. The number of models has increased substantially over the last ten years, introducing more diversity and accuracy. Calculation of substitution effects and recycling has also become more prominent. However, the lack of data is still an important constraint for a more realistic estimation of carbon stocks and fluxes. Therefore, if the sector wants to demonstrate the environmental quality of its products, it should make it a priority to provide reliable life cycle inventory data, particularly regarding aspects of time and location.</t>
  </si>
  <si>
    <t>Glob. Change Biol.</t>
  </si>
  <si>
    <t>10.1111/gcb.13235</t>
  </si>
  <si>
    <t>REVISTA BRASILEIRA DE ZOOTECNIA-BRAZILIAN JOURNAL OF ANIMAL SCIENCE</t>
  </si>
  <si>
    <t>biological N-2 fixation; ecosystem services; grassland; nutrient cycling; tropical</t>
  </si>
  <si>
    <t>LEUCAENA-LEUCOCEPHALA; GLIRICIDIA-SEPIUM; ECOSYSTEM SERVICES; CONDENSED TANNINS; TROPICAL TREE; NUTRITION SECURITY; BIOMASS PRODUCTION; NITROGEN-FIXATION; FODDER TREES; N-2 FIXATION</t>
  </si>
  <si>
    <t>Dubeux, JCB; Muir, JP; Apolinario, VXD; Nair, PKR; Lira, MD; Sollenberger, LE</t>
  </si>
  <si>
    <t>Tree legumes: an underexploited resource in warm-climate silvopastures</t>
  </si>
  <si>
    <t>Tree legumes are an underexploited resource in warm-climate silvopastures. Perceived benefits of tree legumes include provisioning (browse/mast, timber, fuel, human food, natural medicines, and ornamentals), regulating (C sequestration, greenhouse gas mitigation, soil erosion control and riparian buffers, shade, windbreaks, and habitat for pollinators), supporting (biological N-2-fixation, nutrient cycling, soil fertility and soil health, photosynthesis, and primary productivity), and cultural ecosystem services. Tree legumes, however, have not been assessed to the same extent as herbaceous legumes. Once tree legumes are established, they are often more persistent than most herbaceous legumes. There are limitations for extended research with tree legume silvopastures, but extensive research has been done in Africa and Australia and recent efforts have been reported in South America. Economic benefits must be demonstrated to land managers to increase adoption. These benefits are apparent in the research and successes already available, but more long-term research, including the livestock component is necessary. Other factors that reduce adoption include paucity of domesticated germplasm, lag in research/technology, challenges of multipurpose trees and management complexity, challenges to mechanization, dangers of invasive weeds, and social and cultural barriers. In the current scenario of climate change and the need to increase food security, tree legumes are a key component for the sustainable intensification of livestock systems in warm-climate regions.</t>
  </si>
  <si>
    <t>Rev. Bras. Zootecn.</t>
  </si>
  <si>
    <t>10.1590/S1806-92902017000800010</t>
  </si>
  <si>
    <t>Ghanaian timber sector; Environmental performance indicators; Functional units; Life cycle impact assessment (LCIA); Tropical wood</t>
  </si>
  <si>
    <t>LAND-USE IMPACT; ENVIRONMENTAL-IMPACT; WOOD WASTES; INVENTORY; BIODIVERSITY; METHODOLOGY; PRODUCTS</t>
  </si>
  <si>
    <t>LCA of the timber sector in Ghana: preliminary life cycle impact assessment (LCIA)</t>
  </si>
  <si>
    <t>Purpose Most life cycle impact assessment (LCIA) approaches in life cycle assessment (LCA) are developed for western countries. Their LCIA approaches and characterization methodologies for different impact categories may not be necessarily relevant to African environmental conditions and particularly not for the timber sector in Ghana. This study reviews the relevance of existing impact categories and LCIA approaches, and uses the most relevant for the timber sector of Ghana. Materials and methods The study reviewed 23 life cycle inventories (LCIs) and LCAs on forestry, timber, and wood products for relevant impact categories and LCIA approaches for their relevance to the specific conditions in Ghana. This study uses an earlier LCI study of the timber industry as a starting point for an additional LCIA. We next performed a correlation and regression analysis to learn whether wood wastes may function as a reasonable single indicator for land use as proxy for biodiversity loss and the other impact categories. Results and discussion The literature review shows that no LCI or LCA studies were developed for Africa or the tropics. The LCIA approaches in the reviewed LCAs are indeed shown to take their basis in the environmental problems in western countries and characterization methodologies relating to how these problems manifest themselves in the western world. Characterization methodologies for different impact categories in CML-2000 and other LCIA approaches may not be necessarily relevant to African tropical environmental conditions and particularly not for the timber sector in Ghana. This situation hampers the reliability of our LCIA and points to a serious research gap in LCIA development in general. We applied the scientifically well-recognized CML 2000 to the earlier LCI results and characterized the preliminary selected impact categories of global warming, acidification, eutrophication, photochemical oxidant formation, and human toxicity. The correlation analysis indicated that wood waste is indeed strongly correlated with land use as proxy for biodiversity loss and also positively correlated with the other five potential impact results. It can be concluded that wood waste production is a major driving force for biodiversity loss and a sufficiently good single indicator for all other environmental performance indicators in the timber sector of Ghana. Conclusions This study and the previous LCI paper are pioneering a field not yet explored, since the correct environmental performance indicators are not yet developed or adapted to tropical conditions. The development of LCIA approaches in the tropics may be the start of a never-ending journey in LCA research in Africa, particularly Ghana.</t>
  </si>
  <si>
    <t>10.1007/s11367-011-0307-5</t>
  </si>
  <si>
    <t>not a review per se but duplicates results from Eshun 2010</t>
  </si>
  <si>
    <t>Climate change; Harvested wood products; Carbon stocks and emissions; Wood substitute</t>
  </si>
  <si>
    <t>FOREST BIOENERGY; LIFE-CYCLE; ENERGY USE; EMISSIONS; SEQUESTRATION; CONSTRUCTION; MANAGEMENT; IMPACTS; CLIMATE; BUDGET</t>
  </si>
  <si>
    <t>Geng, AX; Yang, HQ; Chen, JX; Hong, YX</t>
  </si>
  <si>
    <t>Review of carbon storage function of harvested wood products and the potential of wood substitution in greenhouse gas mitigation</t>
  </si>
  <si>
    <t>Global forests have the potential to significantly increase or reduce atmospheric greenhouse gas (GHG) concentration. Harvested wood products (HWP) are an important part of the forest-atmosphere carbon cycle. On the one hand, HWP can retain the carbon for various periods of time, depending on the end uses. On the other hand, using HWP in place of more GHG-intensive materials and using wood bioenergy to substitute for fossil fuels result in reduced fossil fuel emissions. However, critical methodological differences exist in existing literature in assessing the GHG effects of HWP and wood bioenergy substitution, and large diversity in system boundary, substitution scenario, study period, and reference baseline results in large difference in reported GHG effects of wood substitution. In the present study, we conducted a comprehensive literature review to (a) clarify the methodological issues in GHG effects assessments of HWP and wood bioenergy substitution, (b) summarize and compare the reported GHG effects, and (c) identify knowledge gaps to inform future research. We support the conclusion that to accurately assess the GHG effects, HWP and wood bioenergy life-cycle carbon analysis needs to be integrated with forest carbon balance analysis. Substituting HWP for non-wood materials appears to be more effective in reducing GHG emissions than substituting wood for fossil fuels. The time required to obtain net emission reduction for wood bioenergy in place of fossil fuels can be 0 years, decades or more than a century, depending on forest biomass sources (e.g., harvest residue, standing live trees) and fossil fuels displaced. For HWP used to replace non-wood material, however, the time required to obtain net emission reduction largely remains a future research need. Overall, HWP and wood bioenergy originated from sustainably managed forests can significantly contribute to GHG emissions reduction in the long term.</t>
  </si>
  <si>
    <t>10.1016/j.forpol.2017.08.007</t>
  </si>
  <si>
    <t>disagree: it is an original LCA paper. It combines existing LCAs on raw materials to compare a baseline with a "high HWP" scenario</t>
  </si>
  <si>
    <t>cross-laminated timber; life-cycle assessment; mass timber building; whole-building LCA methodology</t>
  </si>
  <si>
    <t>Gu, HM; Liang, SB; Pierobon, F; Puettmann, M; Ganguly, I; Chen, CY; Pasternack, R; Wishnie, M; Jones, S; Maples, I</t>
  </si>
  <si>
    <t>Mass Timber Building Life Cycle Assessment Methodology for the US Regional Case Studies</t>
  </si>
  <si>
    <t>The building industry currently consumes over a third of energy produced and emits 39% of greenhouse gases globally produced by human activities. The manufacturing of building materials and the construction of buildings make up 11% of those emissions within the sector. Whole-building life-cycle assessment is a holistic and scientific tool to assess multiple environmental impacts with internationally accepted inventory databases. A comparison of the building life-cycle assessment results would help to select materials and designs to reduce total environmental impacts at the early planning stage for architects and developers, and to revise the building code to improve environmental performance. The Nature Conservancy convened a group of researchers and policymakers from governments and non-profit organizations with expertise across wood product life-cycle assessment, forest carbon, and forest products market analysis to address emissions and energy consumption associated with mass timber building solutions. The study disclosed a series of detailed, comparative life-cycle assessments of pairs of buildings using both mass timber and conventional materials. The methodologies used in this study are clearly laid out in this paper for transparency and accountability. A plethora of data exists on the favorable environmental performance of wood as a building material and energy source, and many opportunities appear for research to improve on current practices.</t>
  </si>
  <si>
    <t>10.3390/su132414034</t>
  </si>
  <si>
    <t>structural and engineered timber; life cycle assessment; harvested wood products; carbon storage; built environment; climate change mitigation</t>
  </si>
  <si>
    <t>LIFE-CYCLE ASSESSMENT; CLIMATE-CHANGE; CARBON MITIGATION; BUILT ENVIRONMENT; EMBODIED CARBON; BIOGENIC CARBON; COMPARATIVE LCA; WOOD PRODUCTS; LAND-USE; IMPACT</t>
  </si>
  <si>
    <t>Hart, J; Pomponi, F</t>
  </si>
  <si>
    <t>More Timber in Construction: Unanswered Questions and Future Challenges</t>
  </si>
  <si>
    <t>The built environment is one of the greatest contributors to carbon emissions, climate change, and to the unsustainable pressure on the natural environment and its ecosystems. The use of more timber in construction is one possible response, and an authoritative contribution to this growing movement comes from the UK's Committee on Climate Change, which identifies a substantial increase in the use of wood in the construction of buildings as a top priority. However, a global encouragement of such a strategy raises some difficult questions. Given the urgency of effective solutions for low-carbon built environments, and the likely continued growth in demand for timber in construction, this article reviews its sustainability and identifies future challenges and unanswered questions. Existing evidence points indeed towards timber as the lower carbon option when modelled through life cycle assessment without having to draw on arguments around carbon storage. Issues however remain on the timing of carbon emissions, land allocation, and the environmental loads and benefits associated with the end-of-life options: analysis of environmental product declarations for engineered timber suggests that landfill might either be the best or the worst option from a climate change perspective, depending on assumptions.</t>
  </si>
  <si>
    <t>10.3390/su12083473</t>
  </si>
  <si>
    <t>wood-based products; circular bioeconomy; market development; climate change impacts; environmental sustainability</t>
  </si>
  <si>
    <t>LIFE-CYCLE ASSESSMENT; KRAFT PULP-MILL; CRUDE TALL OIL; GREENHOUSE-GAS; GLOBAL PAPER; MARKET; BIODIVERSITY; CHEMICALS; INDUSTRY; IMPACTS</t>
  </si>
  <si>
    <t>Hassegawa, M; Van Brusselen, J; Cramm, M; Verkerk, PJ</t>
  </si>
  <si>
    <t>Wood-Based Products in the Circular Bioeconomy: Status and Opportunities towards Environmental Sustainability</t>
  </si>
  <si>
    <t>The circular bioeconomy offers solutions to curb the effects of climate change by focusing on the use of renewable, biological resources to produce food, energy, materials, and services. The substitution of fossil products by wood-based products can help avoid or reduce greenhouse gas emissions over the life cycle of products. However, it is important to understand the potential impacts of large-scale material substitution at the market level. This study aimed to assess the role of selected wood-based products in the circular bioeconomy, the possible changes in their markets, and investigate which elements could ensure the environmental sustainability of these products. The demand for graphic paper has declined over the last 15 years, while the demand for packaging has increased. Cross-laminated timber and man-made cellulosic fibres have seen their global consumption increase over the last decade. While there are benefits associated with the substitution of non-renewable materials by wood-based products, there is still limited understanding of the substitution effects at market-, country- and global level. Some factors enabling the further uptake of wood-based products include initiatives that stimulate technological change, incentives to produce or consume less fossil-based and more bio-based alternatives, and the promotion and marketing of wood-based products as viable alternatives to non-renewable materials.</t>
  </si>
  <si>
    <t>10.3390/land11122131</t>
  </si>
  <si>
    <t>circular economy; climate change mitigation; life cycle assessment; industrial policy; resource efficiency; cement; iron and steel</t>
  </si>
  <si>
    <t>LIFE-CYCLE ASSESSMENT; COMPARING ENVIRONMENTAL IMPACTS; PRINTED-CIRCUIT BOARDS; MATERIAL FLOW-ANALYSIS; DEMOLITION WASTE; ENERGY DEMAND; STEEL REUSE; RESIDENTIAL BUILDINGS; BUILT ENVIRONMENT; EMBODIED ENERGY</t>
  </si>
  <si>
    <t>Hertwich, EG; Ali, S; Ciacci, L; Fishman, T; Heeren, N; Masanet, E; Asghari, FN; Olivetti, E; Pauliuk, S; Tu, QS; Wolfram, P</t>
  </si>
  <si>
    <t>Material efficiency strategies to reducing greenhouse gas emissions associated with buildings, vehicles, and electronics-a review</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</si>
  <si>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</si>
  <si>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10.1088/1748-9326/ab0fe3</t>
  </si>
  <si>
    <t xml:space="preserve">Hurmekoski, E., Smyth, C., Stern, T., Verkerk, P. J., &amp; Asada, R. </t>
  </si>
  <si>
    <t xml:space="preserve"> Substitution impacts of wood use at the market level: a systematic review</t>
  </si>
  <si>
    <t>10.1088/1748-9326/ac386f</t>
  </si>
  <si>
    <t>ENVIRONMENTAL REVIEWS</t>
  </si>
  <si>
    <t>boreal forest; Canada; carbon; climate change; mitigation</t>
  </si>
  <si>
    <t>LAND-USE CHANGE; GREENHOUSE-GAS-MITIGATION; GROWING POPLAR PLANTATIONS; MOUNTAIN PINE-BEETLE; LIFE-CYCLE ANALYSIS; OLD-GROWTH FORESTS; CARBON SEQUESTRATION; WOOD PRODUCTS; AGRICULTURAL LAND; BLACK SPRUCE</t>
  </si>
  <si>
    <t>Lempriere, TC; Kurz, WA; Hogg, EH; Schmoll, C; Rampley, GJ; Yemshanov, D; McKenney, DW; Gilsenan, R; Beatch, A; Blain, D; Bhatti, JS; Krcmar, E</t>
  </si>
  <si>
    <t>Canadian boreal forests and climate change mitigation</t>
  </si>
  <si>
    <t>Quantitative assessment of Canada&amp;apos;s boreal forest mitigation potential is not yet possible, though the range of mitigation activities is known, requirements for sound analyses of options are increasingly understood, and there is emerging recognition that biogeophysical effects need greater attention. Use of a systems perspective highlights trade-offs between activities aimed at increasing carbon storage in the ecosystem, increasing carbon storage in harvested wood products (HWPs), or increasing the substitution benefits of using wood in place of fossil fuels or more emissions-intensive products. A systems perspective also suggests that erroneous conclusions about mitigation potential could result if analyses assume that HWP carbon is emitted at harvest, or bioenergy is carbon neutral. The greatest short-run boreal mitigation benefit generally would be achieved by avoiding greenhouse gas emissions; but over the longer run, there could be significant potential in activities that increase carbon removals. Mitigation activities could maximize landscape carbon uptake or maximize landscape carbon density, but not both simultaneously. The difference between the two is the rate at which HWPs are produced to meet society&amp;apos;s demands, and mitigation activities could seek to delay or reduce HWP emissions and increase substitution benefits. Use of forest biomass for bioenergy could also contribute though the point in time at which this produces a net mitigation benefit relative to a fossil fuel alternative will be situation-specific. Key knowledge gaps exist in understanding boreal mitigation strategies that are robust to climate change and how mitigation could be integrated with adaptation to climate change.</t>
  </si>
  <si>
    <t>Environ. Rev.</t>
  </si>
  <si>
    <t>10.1139/er-2013-0039</t>
  </si>
  <si>
    <t>JOURNAL OF FORESTRY</t>
  </si>
  <si>
    <t>forest management; forest policy; forest carbon dynamics; carbon accounting; carbon offsets; life cycle assessment; building products substitution; bioenergy</t>
  </si>
  <si>
    <t>SOIL ORGANIC-MATTER; LIFE-CYCLE INVENTORY; MOUNTAIN PINE-BEETLE; UNITED-STATES; CLIMATE-CHANGE; BOREAL FOREST; ENVIRONMENTAL PERFORMANCE; PACIFIC-NORTHWEST; SOFTWOOD LUMBER; OFFSET PROJECTS</t>
  </si>
  <si>
    <t>Malmsheimer, RW; Bowyer, JL; Fried, JS; Gee, E; Izlar, RL; Miner, RA; Munn, IA; Oneil, E; Stewart, WC</t>
  </si>
  <si>
    <t>Managing Forests because Carbon Matters: Integrating Energy, Products, and Land Management Policy</t>
  </si>
  <si>
    <t>The United States needs many different types of forests: some managed for wood products plus other benefits, and some managed for nonconsumptive uses and benefits. The objective of reducing global greenhouse gases (GHG) requires increasing carbon storage in pools other than the atmosphere. Growing more forests and keeping forests as forests are only part of the solution, because focusing solely on the sequestration benefits of the forests misses the important (and substantial) carbon storage and substitution GHG benefits of harvested forest products, as well as other benefits of active forest management. Forests and global climate are closely linked in terms of carbon storage and releases, water fluxes from the soil and into the atmosphere, and solar energy capture. Understanding how carbon dynamics are affected by stand age, density, and management and will evolve with climate change is fundamental to exploiting the capacity for sustainably managed forests to remove carbon dioxide from the atmosphere. For example, even though emperate forests continue to be carbon sinks, in western North America forest fires and tree mortality from insects are converting some forests into net carbon sources. Expanding forest biomass use for biofuels and energy generation will compete with traditional forest products, but it may also produce benefits through competition and market efficiency. Short-rotation woody crops, as well as landowners&amp;apos; preferences-based on investment-return expectations and environmental considerations, both of which will be affected by energy and environmental policies-have the potential to increase biomass supply. Unlike metals, concrete, and plastic, forest products store atmospheric carbon and have low embodied energy (the amount of energy it takes to make products), so there is a substitution effect when wood is used in place of other building materials. Wood used for energy production also provides substitution benefits by reducing the flow of fossil fuel based carbon emissions to the atmosphere. The value of carbon credits generated by forest carbon offset projects differs dramatically, depending on the sets of carbon pods allowed by the protocol and baseline employed. The costs associated with establishing and maintaining offset projects depend largely on the protocols&amp;apos; specific.. Measurement challenges and relatively high transaction costs needed for forest carbon offsets warrant consideration of other policies that promote climate benefits from forests and forest products but do not require project-specific accounting. Policies can foster changes in forest management and product manufacture that reduce carbon emissions over time while maintaining forests for environmental and societal benefits. US policymakers should take to heart the finding of the Intergovernmental Panel on Climate Change in its Fourth Assessment Report when it concluded that In the long term, a sustainable forest management strategy aimed at maintaining or increasing forest carbon stocks, while producing on annual sustained yield of timber, fibre, or energy from the forest, will generate the largest sustained mitigation benefit. A rational energy and environmental policy framework must be based on the premise that atmospheric greenhouse gas levels are increasing primarily because of the addition of geologic fossil fuel-based carbon into the carbon cycle. Forest carbon policy that builds on the scientific information summarized in this article can be a significant and important part of a comprehensive energy policy that provides for energy independence and carbon benefits while simultaneously providing clean water, wildlife habitat, recreation, and other uses and values.</t>
  </si>
  <si>
    <t>J. For.</t>
  </si>
  <si>
    <t>10.1093/jof/109.s1.S7</t>
  </si>
  <si>
    <t>More an overview than a review, but there are no original results</t>
  </si>
  <si>
    <t>changed_to_review</t>
  </si>
  <si>
    <t>CLIMATE-CHANGE MITIGATION; LIFE-CYCLE ASSESSMENT; FOREST SECTOR; ALTERNATIVE MATERIALS; CARBON EMISSIONS; PRODUCTS; IMPACTS; MANAGEMENT; BIOENERGY; BENEFITS</t>
  </si>
  <si>
    <t>Myllyviita, T; Soimakallio, S; Judl, J; Seppala, J</t>
  </si>
  <si>
    <t>Wood substitution potential in greenhouse gas emission reduction-review on current state and application of displacement factors</t>
  </si>
  <si>
    <t>Background Replacing non-renewable materials and energy with wood offers a potential strategy to mitigate climate change if the net emissions of ecosystem and technosystem are reduced in a considered time period. Displacement factors (DFs) describe an emission reduction for a wood-based product or fuel which is used in place of a non-wood alternative. The aims of this review were to map and assess DFs from scientific literature and to provide findings on how to harmonise practices behind them and to support coherent application. Results Most of the reviewed DFs were positive, implying decreasing fossil GHG emissions in the technosystem. The vast majority of the reviewed DFs describe avoided fossil emissions either both in processing and use of wood or only in the latter when wood processing emissions were considered separately. Some of the reviewed DFs included emissions avoided in post-use of harvested wood products (HWPs). Changes in forest and product carbon stocks were not included in DFs except in a few single cases. However, in most of the reviewed studies they were considered separately in a consistent way along with DFs. DFs for wood energy, construction and material substitution were widely available, whereas DFs for packaging products, chemicals and textiles were scarce. More than half of DFs were calculated by the authors of the reviewed articles while the rest of them were adopted from other articles. Conclusions Most of the reviewed DFs describe the avoided fossil GHG emissions. These DFs may provide insights on the wood-based products with a potential to replace emissions intensive alternatives but they do not reveal the actual climate change mitigation effects of wood use. The way DFs should be applied and interpreted depends on what has been included in them. If the aim of DFs is to describe the overall climate effects of wood use, DFs should include all the relevant GHG flows, including changes in forest and HWP carbon stock and post-use of HWPs, however, based on this literature review this is not a common practice. DFs including only fossil emissions should be applied together with a coherent assessment of changes in forest and HWP carbon stocks, as was the case in most of the reviewed studies. To increase robustness and transparency and to decrease misuse, we recommend that system boundaries and other assumptions behind DFs should be clearly documented.</t>
  </si>
  <si>
    <t>10.1186/s40663-021-00326-8</t>
  </si>
  <si>
    <t xml:space="preserve">Niles, J. O., &amp; Schwarze, R. </t>
  </si>
  <si>
    <t xml:space="preserve"> The value of careful carbon accounting in wood products</t>
  </si>
  <si>
    <t>10.1023/A:1010655806130</t>
  </si>
  <si>
    <t>WILEY INTERDISCIPLINARY REVIEWS-ENERGY AND ENVIRONMENT</t>
  </si>
  <si>
    <t>biodiversity; climate; soil; stump biomass; water</t>
  </si>
  <si>
    <t>COARSE WOODY DEBRIS; LOGGING RESIDUE EXTRACTION; SWEDISH FOREST SOILS; CONTROL ROOT-ROT; NORWAY SPRUCE; PICEA-ABIES; SCOTS PINE; ORGANIC-CARBON; METHYL-MERCURY; BOREAL FOREST</t>
  </si>
  <si>
    <t>Persson, T; Egnell, G</t>
  </si>
  <si>
    <t>Stump harvesting for bioenergy: A review of climatic and environmental impacts in northern Europe and America</t>
  </si>
  <si>
    <t>Stump harvesting is defined as an intensification of forest management in comparison with stem-only harvesting and removal of tops and branches. It increases soil mixing and the proportion of bare soil. In contrast to earlier hypotheses, stump harvesting was found to reduce emissions of carbon dioxide (CO2), nitrous oxide, and methane in the short term. In the long term, heterotrophic soil CO2 evolution is reduced. Both model and empirical studies indicate that stump removal can reduce the soil organic carbon (SOC) pool in the short term, but long-term experiments (32-39 years) could not verify any SOC decline. Life cycle assessment studies showed that stumps as fuel resulted in markedly lower emissions of CO2 into the atmosphere, viewed over a whole forest rotation compared to heating by natural gas and coal. Stump removal does not seem to affect timber production in the next forest rotation and often reduces the infection rate of root rot. It increases the natural regeneration of birch and pine, it can increase nitrate leaching at N-rich sites, and it can increase the number of water-filled cavities where methylmercury is formed. Stump extraction decreases the amount of dwarf shrubs in young clear-cuts, but after 1-2 decades, these species are generally recovered. Many species dependent on dead wood are adversely affected by intense stump harvest. Model studies suggest that the risk of species extinction is small when only 10% of the total clear-cut area in the forest landscape is stump harvested, but the risk of extinction rises at increasing extraction intensities. This article is categorized under: Bioenergy &gt; Climate and Environment Energy and Climate &gt; Climate and Environment Energy and Development &gt; Climate and Environment</t>
  </si>
  <si>
    <t>Wiley Interdiscip. Rev. Energy Environ.</t>
  </si>
  <si>
    <t>10.1002/wene.307</t>
  </si>
  <si>
    <t>life-cycle-assessment (LCA); substitution; cost-effectiveness; economics; wood; steel; concrete</t>
  </si>
  <si>
    <t>LIFE-CYCLE</t>
  </si>
  <si>
    <t>Petersen, AK; Solberg, B</t>
  </si>
  <si>
    <t>Environmental and economic impacts of substitution between wood products and alternative materials: a review of micro-level analyses from Norway and Sweden</t>
  </si>
  <si>
    <t>This article gives a state of the art overview on quantitative analyses from Norway and Sweden of Life cycle analyses (LCA), which compare the environmental impacts of substitution between wood and alternative materials, with emphasis on greenhouse gas (GHG) emissions, economics and methodological issues. In all studies referred to this overview, wood is a better alternative than other materials with regard to GHG emissions. Furthermore, wood is causing less emissions of SO2 and generates less waste compared to the alternative materials. Preservative treated wood, on the other hand, might have toxicological impacts on human health and ecosystems. Impacts on acidification, eutrofication and creation of photochemical ozone vary in different comparisons. Amount of greenhouse gases avoided due to substitution between wood and steel is in the range of 36-530 kg CO2-equivalents per in 3 input of timber with 4% discount rate; depending on waste management of the materials, and how carbon fixation on forest land is included. This amount is 93-1062 kg CO2-equivalents for substitution between wood and concrete, if the wood is not landfilled after use. Many of the LCAs could be considerably improved, if the analyses were done with several alternative assumptions regarding boundaries of the system used in the LCA. This is important, not least to map what are the main assumptions for the results obtained and to compare with other studies. It is also important to consider the time-profile of the GHG emissions and other impacts over the life-cycle-it is surprising that this is not taken more seriously. Wood as a building material is competitive on price in those studies that include costs. It is a weak point of many LCAs that costs as well as other economic aspects influencing product substitution are not included, and a major research challenge is to combine traditional LCA with economic analysis in order to make both more policy relevant. In particular, one should develop dynamic input/output models where price and income substitutions as well as technological changes and cost components are included endogenously. (c) 2003 Elsevier B.V. All rights reserved.</t>
  </si>
  <si>
    <t>10.1016/S1389-9341(03)00063-7</t>
  </si>
  <si>
    <t>Buildings; Life cycle assessment; Embodied emissions; Dynamic; Biogenic; Carbonation</t>
  </si>
  <si>
    <t>LIFE-CYCLE ASSESSMENT; BIOGENIC CARBON; SENSITIVITY-ANALYSIS; IMPACT ASSESSMENT; LCA; FRAMEWORK; STORAGE; TIME</t>
  </si>
  <si>
    <t>Resch, E; Andresen, I; Cherubini, F; Brattebo, H</t>
  </si>
  <si>
    <t>Estimating dynamic climate change effects of material use in buildings-Timing, uncertainty, and emission sources</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</si>
  <si>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</si>
  <si>
    <t>10.1016/j.buildenv.2020.107399</t>
  </si>
  <si>
    <t>The review actually retreats LCA data from 20 buildings to incorporate in situ forest emissions/storage, finds that time horizon is key and proposes a distribution of C footprint depending on time horizon -&gt; to be quoted!</t>
  </si>
  <si>
    <t>climate change mitigation; forest carbon; forest management; life cycle assessment; modelling; scenarios; tree harvest</t>
  </si>
  <si>
    <t>TRADE-OFFS; MANAGEMENT SCENARIOS; CHANGING CLIMATE; BOREAL FORESTS; WOOD PRODUCTS; TIMBER; SEQUESTRATION; BIODIVERSITY; EMISSIONS; BIOENERGY</t>
  </si>
  <si>
    <t>Soimakallio, S; Bottcher, H; Niemi, J; Mosley, F; Turunen, S; Hennenberg, KJ; Reise, J; Fehrenbach, H</t>
  </si>
  <si>
    <t>Closing an open balance: The impact of increased tree harvest on forest carbon</t>
  </si>
  <si>
    <t>Fossil-based emissions can be avoided by using wood in place of non-renewable raw materials as energy and materials. However, wood harvest influences forest carbon stocks. Increased harvest may reduce the overall climate benefit of wood use significantly, but is widely overlooked. We reviewed selected simulation studies and compared differences in forest carbon and amount of wood harvested between harvest scenarios of different intensities for three different time perspectives: short- (1-30 years), mid- (31-70 years), and long-term (71-100 years). Out of more than 450 reviewed studies 45 provided adequate data. Our results show that increased harvest reduces carbon stocks over 100 years in temperate and boreal forests by about 1.6 (stdev 0.9) t(C) per t(C) harvested (referred to as carbon balance indicator (CBI)). CBI proved to be robust when outliers explicitly influenced by factors other than changes in the harvest rate, such as fertilization or increase in forest area, were removed. The carbon impacts tend to be greatest in the mid-term, but no significant difference in was found for average values between short and long time-horizons. CBI can be interpreted as carbon opportunity costs of wood harvest in forests. Our results indicate that even after 100 years, CBI is significant compared to the typical GHG credits expected in the technosphere by avoiding fossil emissions in substitution and increasing carbon stocks in harvested wood products. Our estimates provide typical values that can directly be included in GHG balances of products or assessments of mitigation policies and measures related to wood use. However, more systematic scenarios with transparent information on influencing factors for forest carbon stocks are required to provide better constrained estimates for specific forest types.</t>
  </si>
  <si>
    <t>10.1111/gcbb.12981</t>
  </si>
  <si>
    <t>alternative management; biodiversity; fire hazard abatement; forest residues; mammal habitat; piles and windrows; smoke emissions; woody debris</t>
  </si>
  <si>
    <t>UNDERSTORY PLANT-COMMUNITIES; GREEN-TREE RETENTION; DOWNED WOOD; POPULATION-DYNAMICS; LOGGING DEBRIS; TIMBER HARVEST; AIR-POLLUTION; RESPONSES; FIRE; BIODIVERSITY</t>
  </si>
  <si>
    <t>Sullivan, TP; Sullivan, DS; Klenner, W</t>
  </si>
  <si>
    <t>Fate of Postharvest Woody Debris, Mammal Habitat, and Alternative Management of Forest Residues on Clearcuts: A Synthesis</t>
  </si>
  <si>
    <t>Coarse woody debris on the forest floor contributes to maintenance of forest biodiversity and long-term ecosystem productivity. Down wood is often dispersed over harvested sites during logging activities, thereby leaving piles of postharvest debris as excess material at landings and roadsides. These wood residues may be burned in most jurisdictions in North America to reduce a perceived fire hazard. The fire hazard debate needs to acknowledge the documented benefits of woody debris retention while striking a balance among biodiversity, bioenergy, and alternative uses for debris, while reducing ignitions by humans. The burning of excess woody debris also creates smoke, causes the release of greenhouse gas (GHG) emissions, and creates human health issues, particularly for vulnerable individuals. The relationship of wildfire smoke to human health problems is well documented. However, there is no scientific evidence showing that postharvest debris piles are ignition points for forest fires, other than those caused by humans. Wood residues from forest harvesting or natural disturbance wood from wildfire and insect outbreaks may be used as renewable biomass feedstocks that could help improve energy supplies and reduce GHG emissions. If not marketable, the management of postharvest debris should seek alternative outlets that do not dispose of debris by burning, but still meet fire hazard abatement requirements. The construction of woody debris structures (e.g., piles and windrows) built at the time of forest harvesting and log processing, or later at the site preparation stages, has positive benefits for wildlife habitat and forest biodiversity. A windrow or series of piles may connect patches and reserves of mature forest and riparian areas on clearcut openings. Piles and windrows have consistently provided habitat on new clearcuts for southern red-backed voles (Myodes gapperi) and Microtus voles, as well as a host of other forest-floor small mammal species, at least up to 12 years postconstruction. Woody debris provides important habitat for foraging and cover attributes for marten (Martes americana), weasels (Mustela spp.), and other furbearers. A list of What to do? and When and Where? with options for construction of woody debris habitats: poorest, good, better, and best are given. In the cases where fire risk from humans is minimized and there are no marketable wood products, eight alternative management scenarios for postharvest woody debris are provided. These include: (1) piles for wildlife habitat; (2) distribution of debris in partial cut forests; (3) machinery to break up and crush debris; (4) protection of riparian zones with barriers for cattle; (5) construction of range fencing; (6) reclamation of landings and skid-trails; (7) soil fertility and reduction in weed competition and drought for planted conifers; and (8) slope stabilization and revegetation. Advantages and disadvantages (if known) are given for each alternative. A flow chart for the fate of excess postharvest woody debris with respect to fire hazard abatement and markets or nonmarkets is given.</t>
  </si>
  <si>
    <t>10.3390/f12050551</t>
  </si>
  <si>
    <t>Cross-laminated timber; Carbon footprint; Life cycle assessment; Climate change; Sustainable multi-story construction</t>
  </si>
  <si>
    <t>CONCRETE; LCA; FUTURE; ENERGY; CARBON; SUSTAINABILITY; ALTERNATIVES; METHODOLOGY; MITIGATION; SCENARIOS</t>
  </si>
  <si>
    <t>Younis, A; Dodoo, A</t>
  </si>
  <si>
    <t>Cross-laminated timber for building construction: A life-cycle-assessment overview</t>
  </si>
  <si>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</si>
  <si>
    <t>10.1016/j.jobe.2022.104482</t>
  </si>
  <si>
    <t>Reconstituted decorative lumber; Life cycle; Ecological civilization; Sustainable development</t>
  </si>
  <si>
    <t>WOOD; DESIGN; SUSTAINABILITY; CARBON</t>
  </si>
  <si>
    <t>Zhou, CM; Shi, ZY; Kaner, J</t>
  </si>
  <si>
    <t>Life Cycle Analysis for Reconstituted Decorative Lumber from an Ecological Perspective: A Review</t>
  </si>
  <si>
    <t>In response to global Sustainable Development Goals (SDGs), the Chinese government has pledged to curtail increased carbon dioxide emissions beyond 2030 and to achieve carbon neutrality by 2060, thus achieving a status of an ecological civilization. Reconstituted decorative lumber, with rotary-cut (or planed) veneer from plantation or common species timber as the main raw material, has beneficial development opportunities for forestry from the perspective of an ecological civilization. This paper first discusses China's current state of ecological civilization, then researches the various life cycles of reconstituted decorative lumber using the life cycle theory and provides a reference for the Chinese reconstituted decorative lumber industry's development by analyzing progress in related fields. The eco-friendliness of reconstituted decorative lumber is explained via systematic combing, and proposals for the use and promotion of reconstituted decorative lumber in the new period are presented. Research and analysis findings show that it is necessary to comprehensively regulate the production chain of reconstituted decorative lumber based on life cycle. Research on the development and utilization of reconstituted decorative lumber needs to be strengthened. The promotion and marketing of reconstituted decorative lumber can be promoted by emphasizing its ecological significance.</t>
  </si>
  <si>
    <t>10.15376/biores.17.3.Zhou</t>
  </si>
  <si>
    <t>duplicate data</t>
  </si>
  <si>
    <t>Silviculture for removals</t>
  </si>
  <si>
    <t>Silviculture for productivity</t>
  </si>
  <si>
    <t>Cdelta_tCO2Input</t>
  </si>
  <si>
    <t>10% increase in harvested area (opposite ref as paper)</t>
  </si>
  <si>
    <t>Changed the sign and column Cinput_sign. Note that DF values are not correct</t>
  </si>
  <si>
    <t>Corrected unit conversions but the corrections don't change the substitution coeff</t>
  </si>
  <si>
    <t>Table 8</t>
  </si>
  <si>
    <t>Site 1. Changed the time (erroneous) and delete the lines related to site fertility ("environmental driver", not anthropogenic)</t>
  </si>
  <si>
    <t>Site 2. Changed the time (erroneous) and delete the lines related to site fertility ("environmental driver", not anthropogenic)</t>
  </si>
  <si>
    <t>Site 3. Changed the time (erroneous) and delete the lines related to site fertility ("environmental driver", not anthropogenic)</t>
  </si>
  <si>
    <t>Site 4. Changed the time (erroneous) and delete the lines related to site fertility ("environmental driver", not anthropogenic)</t>
  </si>
  <si>
    <t>RR_LC_GWPBIO</t>
  </si>
  <si>
    <t>PR_LC_GWPBIO</t>
  </si>
  <si>
    <t>Fig8</t>
  </si>
  <si>
    <t>I could find the C_input values in the paper but there were some errors. Also, tree growth is considered in the model, but in an inconsistent manner (less wood use translates in less tree growth, not in lower stocks due to harvest), so the columns related to forest-processes are not ticked.</t>
  </si>
  <si>
    <t>RR_HC_GWPBIO</t>
  </si>
  <si>
    <t>PR_HC_GWPBIO</t>
  </si>
  <si>
    <t>RR_LC_GWP100</t>
  </si>
  <si>
    <t>PR_LC_GWP100</t>
  </si>
  <si>
    <t>RR_HC_GWP100</t>
  </si>
  <si>
    <t>PR_HC_GWP100</t>
  </si>
  <si>
    <t>RR_LC_GWPBIO_worst transportation scenario</t>
  </si>
  <si>
    <t>RR_LC_GWPBIO_best transportation scenario</t>
  </si>
  <si>
    <t>RR_HC_GWPBIO_worst transportation scenario</t>
  </si>
  <si>
    <t>RR_HC_GWPBIO_best transportation scenario</t>
  </si>
  <si>
    <t>RR_LC_GWP100_worst transportation scenario</t>
  </si>
  <si>
    <t>RR_LC_GWP100_best transportation scenario</t>
  </si>
  <si>
    <t>RR_HC_GWP100_worst transportation scenario</t>
  </si>
  <si>
    <t>RR_HC_GWP100_best transportation scenario</t>
  </si>
  <si>
    <t>low wood shavings content_economic allocation_GWP100</t>
  </si>
  <si>
    <t>high wood shavings content_economic allocation_GWP100</t>
  </si>
  <si>
    <t>low wood shavings content_economic allocation_GWPbio</t>
  </si>
  <si>
    <t>high wood shavings content_economic allocation_GWPbio</t>
  </si>
  <si>
    <t>Table1&amp;TableS3</t>
  </si>
  <si>
    <t>Table S12</t>
  </si>
  <si>
    <t>Corrected wood quantities and changed ref vs alternative. The substitution is very high because C_input is cumulated over 100 years without considering forest regrowth.</t>
  </si>
  <si>
    <t>Corrected wood quantities. The substitution is very high because C_input is cumulated over 100 years without considering forest regrowth.</t>
  </si>
  <si>
    <t>page7</t>
  </si>
  <si>
    <t>TableB.8</t>
  </si>
  <si>
    <t>TableB.18</t>
  </si>
  <si>
    <t>Long term drivers (forest area change, species change) assessed over the long term (100 years) yield extraordinary high substition coefficients. I also removed the lines where climate change was the driver, consistently with our most recent protocol. I also added secondary drivers when the first is a "demand" one.</t>
  </si>
  <si>
    <t>Fig6A</t>
  </si>
  <si>
    <t>Fig3A</t>
  </si>
  <si>
    <t>Traditional_Biofuel_Slash remains</t>
  </si>
  <si>
    <t>Traditional_Biofuel_Slash removed</t>
  </si>
  <si>
    <t>Changed the number of lines and the relevant perimeters: Biomass and soil vs Whole sector instead of Soil vs Whole sector. Also corrected values from the article to add slash to Qwood when slash is collected.</t>
  </si>
  <si>
    <t>Traditional_Biofuel_Slash and stumps removed</t>
  </si>
  <si>
    <t>Intensive_Biofuel_Slash remains</t>
  </si>
  <si>
    <t>Fertilization_Biofuel_Slash remains</t>
  </si>
  <si>
    <t>Traditional_Construction_Slash remains</t>
  </si>
  <si>
    <t>Intensive_Construction_Slash remains</t>
  </si>
  <si>
    <t>Fertilization_Construction_Slash remains</t>
  </si>
  <si>
    <t>m3/building</t>
  </si>
  <si>
    <t>Added one line for the perimeter with product storage and corrected the conversion (no conversion was needed for Qwood)</t>
  </si>
  <si>
    <t>baseline dining room furniture</t>
  </si>
  <si>
    <t>HWP_intensive dining room furniture</t>
  </si>
  <si>
    <t>baseline kitchen furniture</t>
  </si>
  <si>
    <t>HWP_intensive kitchen furniture</t>
  </si>
  <si>
    <t>baseline bedroom furniture</t>
  </si>
  <si>
    <t>HWP_intensive bedroom furniture</t>
  </si>
  <si>
    <t>baseline living room furniture</t>
  </si>
  <si>
    <t>HWP_intensive living room furniture</t>
  </si>
  <si>
    <t>baseline urban bungalow brick-concrete</t>
  </si>
  <si>
    <t>HWP_intensive urban bungalow brick-concrete</t>
  </si>
  <si>
    <t>baseline rural bungalow brick-concrete</t>
  </si>
  <si>
    <t>HWP_intensive rural bungalow brick-concrete</t>
  </si>
  <si>
    <t>baseline urban 4/6 stories brick-concrete</t>
  </si>
  <si>
    <t>HWP_intensive urban 4/6 stories brick-concrete</t>
  </si>
  <si>
    <t>baseline urban 2/3 stories brick-concrete</t>
  </si>
  <si>
    <t>HWP_intensive urban 2/3 stories brick-concrete</t>
  </si>
  <si>
    <t>baseline rural 2/3 stories brick-concrete</t>
  </si>
  <si>
    <t>HWP_intensive rural 2/3 stories brick-concrete</t>
  </si>
  <si>
    <t>baseline urban bungalow reinforced-concrete</t>
  </si>
  <si>
    <t>HWP_intensive urban bungalow reinforced-concrete</t>
  </si>
  <si>
    <t>baseline other furniture</t>
  </si>
  <si>
    <t>HWP_intensive other furniture</t>
  </si>
  <si>
    <t>baseline Nonresidential brick-concrete</t>
  </si>
  <si>
    <t>HWP_intensive Nonresidential brick-concrete</t>
  </si>
  <si>
    <t>baseline urban 4/6 stories reinforced-concrete</t>
  </si>
  <si>
    <t>HWP_intensive urban 4/6 stories reinforced-concrete</t>
  </si>
  <si>
    <t>baseline urban 2/3 stories reinforced-concrete</t>
  </si>
  <si>
    <t>HWP_intensive urban 2/3 stories reinforced-concrete</t>
  </si>
  <si>
    <t>baseline office furniture</t>
  </si>
  <si>
    <t>HWP_intensive office furniture</t>
  </si>
  <si>
    <t>baseline Nonresidential reinforced-concrete</t>
  </si>
  <si>
    <t>HWP_intensive Nonresidential reinforced-concrete</t>
  </si>
  <si>
    <t>no plant&amp;unspecified land use</t>
  </si>
  <si>
    <t>afforestation &amp; ethanol plant</t>
  </si>
  <si>
    <t>Table3&amp;TableA1</t>
  </si>
  <si>
    <t>Table3</t>
  </si>
  <si>
    <t>ktCO2</t>
  </si>
  <si>
    <t>Added technology switch as secondary driver (fossil fuel -&gt; ethanol)</t>
  </si>
  <si>
    <t>Corrected Qwood and Cinput in a few instances. Removed lines with only climate change and removed climate change as a secondary driver as it changes similarly in all scenarios.</t>
  </si>
  <si>
    <t>Added many lines to compare systematically the three perimeters (forest, forest+HWP,whole sector) for all alternatives</t>
  </si>
  <si>
    <t>Building type (Vikkii, NG) SF-untouched</t>
  </si>
  <si>
    <t>Building type (Vikkii, NG) SF-bioenergy</t>
  </si>
  <si>
    <t>Building type (Walludden, Coal) SF-untouched</t>
  </si>
  <si>
    <t>Building type (Walludden, Coal) SF-bioenergy</t>
  </si>
  <si>
    <t>Building type (Walludden, NG) SF-untouched</t>
  </si>
  <si>
    <t>Building type (Walludden, NG) SF-bioenergy</t>
  </si>
  <si>
    <t>Self calcuation to the right of tableS2</t>
  </si>
  <si>
    <t>Changed signs for Cinput and values for Qwood</t>
  </si>
  <si>
    <t>m3 (converted to m3/m2 with area=1248m2)</t>
  </si>
  <si>
    <t>Non-inutivively, number in table 1 are in kg, not m3. I corrected this.</t>
  </si>
  <si>
    <t>page3&amp;page9</t>
  </si>
  <si>
    <t>ton/m2</t>
  </si>
  <si>
    <t>tonnes CO2 emissions/m2</t>
  </si>
  <si>
    <t>Changed the units and numbers, but I'm not sure it changes the Cratio and substitution in the end.</t>
  </si>
  <si>
    <t>L15_30years</t>
  </si>
  <si>
    <t>L30_30years</t>
  </si>
  <si>
    <t>page2</t>
  </si>
  <si>
    <t>Changed the numbers and added other times than 120 years</t>
  </si>
  <si>
    <t>L15_60years</t>
  </si>
  <si>
    <t>L30_60years</t>
  </si>
  <si>
    <t>L15_90years</t>
  </si>
  <si>
    <t>L30_90years</t>
  </si>
  <si>
    <t>L15_120years</t>
  </si>
  <si>
    <t>L30_120years</t>
  </si>
  <si>
    <t>Shift towards HWP with longer lifetimes</t>
  </si>
  <si>
    <t>page8</t>
  </si>
  <si>
    <t>Changed numbers from misleading "emissions" (which should have been named "losses") to "annual change"</t>
  </si>
  <si>
    <t>replace steel with glulam</t>
  </si>
  <si>
    <t>E1F1</t>
  </si>
  <si>
    <t>Table7</t>
  </si>
  <si>
    <t>m3/m2 roof</t>
  </si>
  <si>
    <t>Table2, figure5 (for ref)</t>
  </si>
  <si>
    <t>kgCO2 / m2 of roof</t>
  </si>
  <si>
    <t>Changed the numbers and removed scenario with inconsistent perimeters (more forest area in one than another). Note that there is a "double substitution" (except in landfilling scenario) whereby wood substitutes steel and then oil or gas when the building is destroyed</t>
  </si>
  <si>
    <t>A3</t>
  </si>
  <si>
    <t>D2</t>
  </si>
  <si>
    <t>E1F2</t>
  </si>
  <si>
    <t>E2F1</t>
  </si>
  <si>
    <t>C3</t>
  </si>
  <si>
    <t>replace stone floor with wood floor</t>
  </si>
  <si>
    <t>basis (stone floor)</t>
  </si>
  <si>
    <t>basis (wood floor)</t>
  </si>
  <si>
    <t>Changed the numbers and removed scenario with inconsistent perimeters (more forest area in one than another). Note that there is a "double substitution" (except in landfilling scenario) whereby wood substitutes stone and then oil or gas when the building is destroyed</t>
  </si>
  <si>
    <t>wood subsitutes oil when burnt after recovery</t>
  </si>
  <si>
    <t>wood is landfilled after recovery</t>
  </si>
  <si>
    <t>stone floor reused after recovery</t>
  </si>
  <si>
    <t>wood floor, efficient manufacturing</t>
  </si>
  <si>
    <t>wood floor, inefficient manufacturing</t>
  </si>
  <si>
    <t>stone floor, efficient manufacturing</t>
  </si>
  <si>
    <t>stone floor, inefficient manufacturing</t>
  </si>
  <si>
    <t>stone floor, extented lifetime (90 years)</t>
  </si>
  <si>
    <t>wood floor, extented lifetime (90 years)</t>
  </si>
  <si>
    <t>wood floor, bark-burning boiler in sawmill</t>
  </si>
  <si>
    <t>stone floor, carbonization of mortar</t>
  </si>
  <si>
    <t>thinning intensity</t>
  </si>
  <si>
    <t>R40_MT_80</t>
  </si>
  <si>
    <t>RB_MT_80</t>
  </si>
  <si>
    <t>fig5&amp;p90&amp;p93</t>
  </si>
  <si>
    <t>gCO2/ha/yr</t>
  </si>
  <si>
    <t>Changed a lot of things. It remains a difficult paper: uncommonly, emissions from harvesting operations and transport are included in the "in situ" budget, the scenario with most harvest is not always the one that looks most intense because energy wood from thinnings is not harvested (I ended up removing thes cases), substitution is only calculated for energy wood (not timber), timeframes are not comparable for increased rotation length because results are averages over the rotation, ...</t>
  </si>
  <si>
    <t>R40_OMT_50</t>
  </si>
  <si>
    <t>RB_OMT_50</t>
  </si>
  <si>
    <t>R0_OMT_50</t>
  </si>
  <si>
    <t>RBF_MT_80</t>
  </si>
  <si>
    <t>RB_OMT_80</t>
  </si>
  <si>
    <t>RBF_OMT_80</t>
  </si>
  <si>
    <t>RB_MT_50</t>
  </si>
  <si>
    <t>RBF_MT_50</t>
  </si>
  <si>
    <t>RBF_OMT_50</t>
  </si>
  <si>
    <t>R40F_MT_80</t>
  </si>
  <si>
    <t>R40_OMT_80</t>
  </si>
  <si>
    <t>R40F_OMT_80</t>
  </si>
  <si>
    <t>R40_MT_50</t>
  </si>
  <si>
    <t>R40F_MT_50</t>
  </si>
  <si>
    <t>R40F_OMT_50</t>
  </si>
  <si>
    <t>million m3/yr</t>
  </si>
  <si>
    <t>p585</t>
  </si>
  <si>
    <t>MtCO2e/yr</t>
  </si>
  <si>
    <t>Main "secondary" driver (beyond CO2 pricing) = more planting (vs natural regeneration), but we don't have a category for this</t>
  </si>
  <si>
    <t>building type C losses only</t>
  </si>
  <si>
    <t>fig4&amp;5</t>
  </si>
  <si>
    <t>Could not find the numbers for lifetime + fig4&amp;5 are better than fig12 (no need to digitize).</t>
  </si>
  <si>
    <t>building type C losses only + HWP</t>
  </si>
  <si>
    <t>building type all materials + construction phasesA1-A4</t>
  </si>
  <si>
    <t>building type all steps until maintenance</t>
  </si>
  <si>
    <t>building type all steps including end-of-life (landfilling for wood products)</t>
  </si>
  <si>
    <t>table 3 header+text</t>
  </si>
  <si>
    <t>Changed the scenario comparison so that there is only one driver at a time (unfortunate counterpart = most scenarios have now delta_Qwood = 0). Also changed biogenic_dyn, fossil_dyn and LUC_dyn from 1 to 0</t>
  </si>
  <si>
    <t>Sun, QM; Huan, Q; Dua, ZC; Zhan, AX</t>
  </si>
  <si>
    <t>Changed lifespan line to the comparison that makes more sense: change of time period considered. It makes less sense to compare the emissions of a 50 years CLT building to that of a 150 years CLT (emissions of the 150 years are obviously higher do to higher maintenance emissions) than to compare CLT and concrete over 50, 100 and 150 years.</t>
  </si>
  <si>
    <t>Searchinger's assumption</t>
  </si>
  <si>
    <t>All C pools</t>
  </si>
  <si>
    <t>C neutral</t>
  </si>
  <si>
    <t>NA</t>
  </si>
  <si>
    <t>C neutral forest and HWP assumption</t>
  </si>
  <si>
    <t>In-situ only assumption</t>
  </si>
  <si>
    <t xml:space="preserve">All C </t>
  </si>
  <si>
    <t>unmanaged forest to managed forest</t>
  </si>
  <si>
    <t>afforestation</t>
  </si>
  <si>
    <t>QC8_AV</t>
  </si>
  <si>
    <t>only  include Qwood for timber +energy so that Qwood and Cdelta have consistent perimeters (remove lines where Qwood is for energy harvest only)</t>
  </si>
  <si>
    <t>exclude lines for rotation length because of inconsistent perimeters</t>
  </si>
  <si>
    <t>add temp and rain variables</t>
  </si>
  <si>
    <t>Qwood_delta_m3wood_HWP</t>
  </si>
  <si>
    <t>substitution_HWP</t>
  </si>
  <si>
    <t>subsitution_init</t>
  </si>
  <si>
    <t>Check_paradox</t>
  </si>
  <si>
    <t>fig8 (P&amp;C+Operational )</t>
  </si>
  <si>
    <t>fig8 (P&amp;C + Operational+ EoL processing)</t>
  </si>
  <si>
    <t>fig8 (P&amp;C + Operational+ EoL processing+ EoL benefits)</t>
  </si>
  <si>
    <t>Afforestation; Carbon dynamic; P. nigra; Quercus sp.; Ecosystem management; Optimization</t>
  </si>
  <si>
    <t>INCORPORATING TIMBER; LAND-USE; SEQUESTRATION; VALUES; WATER; STOCKS; PINE; AFFORESTATION; IMPACT; OXYGEN</t>
  </si>
  <si>
    <t>Kucuker, DM</t>
  </si>
  <si>
    <t>Analyzing the effects of various forest management strategies and carbon prices on carbon dynamics in western Turkey</t>
  </si>
  <si>
    <t>Determining appropriate management strategies to reduce greenhouse gas emissions using optimization techniques to understand how forest management activities affect the carbon dynamics is critical in implementing effective carbon management policies. This paper quantitatively analyzes the long-term effects of different management policies and silvicultural interventions using linear programming. In the analyses, afforestation targets for bare forest lands, tree species, carbon prices, planning approaches and sets of various targets and constraints on carbon dynamics were evaluated. The results were based on twenty-five forest management scenarios formulated for the Korucu Forest Planning Unit of Turkey. The results showed that, compared to timber-based planning strategies (TM), ecosystem-based planning approach (EM) contributes to a significant reduction in carbon sequestration in many cases. When different afforestation targets were incorporated into forest management strategies, cumulative carbon sequestration increased constantly compared to baseline scenario without any afforestation areas. In addition, the highest total carbon sequestration was observed when black pine (P. nigra) was used in afforestation activities rather than oak species (Quercus sp.) and other available tree species. While total timber production and timber net present value (NPV) decreased, carbon sequestration increased significantly with increasing carbon price. As a result of increasing carbon price from $20/ton to $100/ton, joint NPV increased by about five times. The results highlighted the importance of forest ecosystem and developing and implementing climate adaption measures into forest management activities in tackling climate change phenomenon.</t>
  </si>
  <si>
    <t>10.1016/j.jenvman.2019.109356</t>
  </si>
  <si>
    <t>JOURNAL OF GEOPHYSICAL RESEARCH-BIOGEOSCIENCES</t>
  </si>
  <si>
    <t>land cover change; CESM; CMIP5; carbon cycle; human emissions</t>
  </si>
  <si>
    <t>GLOBAL CARBON; WOOD HARVEST; CO2; EMISSIONS; CLIMATE; FLUX; NET; UNCERTAINTIES; VARIABILITY; ATMOSPHERE</t>
  </si>
  <si>
    <t>Lawrence, PJ; Lawrence, DM; Hurtt, GC</t>
  </si>
  <si>
    <t>Attributing the Carbon Cycle Impacts of CMIP5 Historical and Future Land Use and Land Cover Change in the Community Earth System Model (CESM1)</t>
  </si>
  <si>
    <t>Historical global land use and land cover change (LULCC) emissions of 160PgC represent a third of all human CO2 emissions from 1850 to 2010. Future land management decisions will have large impacts on the global carbon cycle, with scenarios ranging from continued deforestation and wood harvest to mitigation scenarios that reduce total emissions through afforestation and conversion to bioenergy. Here we present a systematic assessment of Community Earth System Model (CESM1) Coupled Model Intercomparison Project phase 5 (CMIP5) historic and projection simulations, with and without LULCC. For the historical period, CESM produced a Net LULCC flux of 123PgC to the atmosphere, removing -130PgC from ecosystems while increasing wood product pools by 7PgC. Historical LULCC fluxes were equally divided between conversion and wood harvest fluxes. For the Representative Concentration Pathway (RCP) 4.5 afforestation scenario CESM produced a Net LULCC flux of 53PgC to the atmosphere, removing -58PgC out of the ecosystem and increasing wood product pools of 5PgC. The afforestation offsets the Direct LULCC flux of 153PgC with a negative Indirect LULCC flux of -94PgC. For the RCP 8.5 high LULCC scenario, CESM produced a Net LULCC flux of 211PgC, removing -227PgC from ecosystems and increasing wood product pools of 15PgC. The LULCC of the future RCP scenarios was dominated by wood harvest fluxes, which is a process that was not included in many of the CMIP5 models. The analysis framework also allowed the attribution of Indirect and Prior LULCC fluxes that offset the Direct LULCC fluxes in many cases.</t>
  </si>
  <si>
    <t>J. Geophys. Res.-Biogeosci.</t>
  </si>
  <si>
    <t>10.1029/2017JG004348</t>
  </si>
  <si>
    <t>forest planning; Remsoft Woodstock; sustainable forest management; blanket peat; linear programming; afforested western peatlands</t>
  </si>
  <si>
    <t>COARSE WOODY DEBRIS; CARBON SEQUESTRATION; PUBLIC PREFERENCES; BIODIVERSITY; DECOMPOSITION; MITIGATION; FRAGMENTATION; AFFORESTATION; FRAMEWORK; WINDTHROW</t>
  </si>
  <si>
    <t>Lundholm, A; Black, K; Corrigan, E; Nieuwenhuis, M</t>
  </si>
  <si>
    <t>Evaluating the Impact of Future Global Climate Change and Bioeconomy Scenarios on Ecosystem Services Using a Strategic Forest Management Decision Support System</t>
  </si>
  <si>
    <t>Sustainable Forest Management (SFM) has become an important pillar of modern forest management, and one way to evaluate the sustainability of forestry is to assess long-term supply of ecosystem services (ESs) indicators. The concept of sustainability also has come to include adapting to climate change and the associated dynamic timber markets. This study aims to: (1) incorporate several ESs indicators in a Forest Management Decision Support System (FMDSS) that can deal with climate change and dynamic timber markets; and (2) analyse the impact that intensified forest management, resulting from global change scenarios that represent different levels of climate change mitigation efforts, will have on forest ES indicators in the west of Ireland. A linear programming model that optimized Net Present Value (NPV) from mill-gate sales was previously developed in Remsoft Woodstock, a DSS framework used for strategic forest planning around the world. This Woodstock model was modified to include the effects of global scenarios that include climate change and dynamic timber prices. This model was further developed to include indicators for five ESs (carbon storage in the forest as well as in harvested wood products and carbon substitution, windthrow risk, biodiversity, water quality, and cultural values), to assess the impacts of these global scenarios on the forest landscape and the sustainability of forest management. The ES indicator values were mainly linked to forest age, forest type, and yield tables, and their inclusion in the FMDSS had almost no impact on total model run times. Intensified forest clearfelling, as a result of increasing timber prices associated with most global scenarios, led to increased phosphor emissions to waterbodies, and reductions in windthrow risk and carbon storage. The global scenarios only resulted in minor differences in the indicator values for biodiversity and cultural values. Besides the global scenarios, recent forest policy development and the poor soil conditions in the study area impacted on the results. The developed system, with its innovative method to incorporate climate change and associated market dynamics, could be applied to other forest landscapes in Ireland and Europe, or indeed by any forest company or organization that uses Remsoft Woodstock.</t>
  </si>
  <si>
    <t>10.3389/fevo.2020.00200</t>
  </si>
  <si>
    <t>GLOBAL BIOGEOCHEMICAL CYCLES</t>
  </si>
  <si>
    <t>carbon emissions; land use change; nitrogen cycle; carbon cycle; CMIP5; uncertainties</t>
  </si>
  <si>
    <t>NET PRIMARY PRODUCTION; COVER CHANGE; SOIL CARBON; TERRESTRIAL BIOSPHERE; PHOSPHORUS LIMITATION; DINITROGEN FIXATION; FOREST PRODUCTIVITY; SECONDARY FOREST; GLOBAL PATTERNS; CLIMATE-CHANGE</t>
  </si>
  <si>
    <t>Meiyappan, P; Jain, AK; House, JI</t>
  </si>
  <si>
    <t>Increased influence of nitrogen limitation on CO2 emissions from future land use and land use change</t>
  </si>
  <si>
    <t>In the latest projections of future greenhouse gas emissions for the Intergovernmental Panel on Climate Change (IPCC), few Earth System Models included the effect of nitrogen limitation, a key process limiting forest regrowth. Few included forest management (wood harvest). We estimate the impacts of nitrogen limitation on the CO2 emissions from land use and land use change (LULUC), including wood harvest, for the period 1900-2100. We use a land surface model that includes a fully coupled carbon and nitrogen cycle and accounts for forest regrowth processes following agricultural abandonment and wood harvest. Future projections are based on the four Representation Concentration Pathways used in the IPCC Fifth Assessment Report, and we account for uncertainty in future climate for each scenario based on ensembles of climate model outputs. Results show that excluding nitrogen limitation will underestimate global LULUC emissions by 34-52PgC (20-30%) during the 20th century (range across three different historical LULUC reconstructions) and by 128-187PgC (90-150%) during the 21st century (range across the four IPCC scenarios). The full range for estimated LULUC emissions during the 21st century including climate model uncertainty is 91 to 227PgC (with nitrogen limitation included). The underestimation increases with time because (1) projected annual wood harvest rates from forests summed over the 21st century are 380-1080% higher compared to those of the 20th century, resulting in more regrowing secondary forests; (2) nitrogen limitation reduces the CO2 fertilization effect on net primary production of regrowing secondary forests following wood harvest and agricultural abandonment; and (3) nitrogen limitation effect is aggravated by the gradual loss of soil nitrogen from LULUC disturbance. Our study implies that (1) nitrogen limitation of CO2 uptake is substantial and sensitive to nitrogen inputs; (2) if LULUC emissions are larger than previously estimated in studies without nitrogen limitation, then meeting the same climate mitigation target would require an equivalent additional reduction of fossil fuel emissions; (3) the effectiveness of land-based mitigation strategies will critically depend on the interactions between nutrient limitations and secondary forests resulting from LULUC; and (4) it is important for terrestrial biosphere models to consider nitrogen constraint in estimates of the strength of future land carbon uptake.</t>
  </si>
  <si>
    <t>Glob. Biogeochem. Cycle</t>
  </si>
  <si>
    <t>10.1002/2015GB005086</t>
  </si>
  <si>
    <t>BIOENERGY RESEARCH</t>
  </si>
  <si>
    <t>Forest biomass; Intensive management; Carbon neutrality; Climate change</t>
  </si>
  <si>
    <t>ENERGY WOOD PRODUCTION; NORTH-CENTRAL SWEDEN; BOREAL FOREST; SCOTS PINE; NITROGEN DEPOSITION; DIOXIDE EMISSIONS; TIMBER PRODUCTION; THINNING REGIMES; SIMULATION-MODEL; BARK BEETLE</t>
  </si>
  <si>
    <t>Pyorala, P; Peltola, H; Strandman, H; Antti, K; Antti, A; Jylha, K; Kellomaki, S</t>
  </si>
  <si>
    <t>Effects of Management on Economic Profitability of Forest Biomass Production and Carbon Neutrality of Bioenergy Use in Norway Spruce Stands Under the Changing Climate</t>
  </si>
  <si>
    <t>We analyzed the effects of management on the economic profitability of forest biomass production and carbon neutrality of bioenergy use in Norway spruce (Picea abies L. Karst) stands under the changing climate. We employed a forest ecosystem model and life cycle assessment tool. In particular, we studied the effects of thinning, nitrogen fertilization, and rotation length on: (1) the production of timber and energy biomass, and its economic profitability (net present value), (2) carbon stock in the forest ecosystem and carbon balance in forestry, and (3) carbon dioxide (CO2) emissions from the use of biomass in energy production. Results showed that the current Finnish baseline management with and without nitrogen fertilization resulted in the highest mean annual timber production and net present value (NPV) for long rotations (60 to 80 years), regardless of climate scenario. Mean annual production of energy biomass was enhanced by increasing stocking by 20-30 % compared to the baseline management, and/or use of nitrogen fertilization. Such management gave lower CO2 emissions per unit of energy compared to the baseline management, as the carbon stock in the forest ecosystem and the carbon balance in forestry increased. Overall, the carbon neutrality and net present value were, on average, the highest in the baseline management or with a 20 % increase in stocking, with nitrogen fertilization and 60- to 80-year rotation lengths, regardless of the climate applied. However, it was not possible to simultaneously maximize the NPV of forest biomass production and the carbon neutrality of bioenergy use.</t>
  </si>
  <si>
    <t>BioEnergy Res.</t>
  </si>
  <si>
    <t>10.1007/s12155-013-9372-x</t>
  </si>
  <si>
    <t>clonal material; CO2 emissions; economic profitability; energy biomass; Norway spruce; timber</t>
  </si>
  <si>
    <t>SIMULATION-MODEL; ECOSYSTEM; CLIMATE; HEIGHT; WATER</t>
  </si>
  <si>
    <t>Routa, J; Kellomaki, S; Strandman, H; Bergh, J; Pulkkinen, P; Peltola, H</t>
  </si>
  <si>
    <t>The timber and energy biomass potential of intensively managed cloned Norway spruce stands</t>
  </si>
  <si>
    <t>We used ecosystem model simulations to study the timber and energy biomass potential offered by intensively managed cloned Norway spruce stands. More specifically, we analysed how the use of cloned trees compared with non-cloned trees, together with thinning, nitrogen (N) fertilisation and rotation length (from 60 to 100 years), affects the annual mean production of timber (i.e., saw logs, pulpwood) and energy biomass (i.e., stumps and harvesting residuals in the final felling) and its economic profitability [annual mean of net present value (NPV) with a 2% interest rate]. Furthermore, we employed a life cycle analysis/emission calculation tool to assess the total net CO2 emissions per unit of energy (kg CO2 MW h-1) produced based on energy biomass. We found that both the annual mean production of timber and the NPV increased substantially, regardless of the management regime, if cloned trees with an annual growth increase of up to 30% compared with non-cloned trees were used in regeneration. In general, the use of a short rotation with N fertilisation clearly increased the annual mean of the NPV. Consequently, the use of cloned trees also clearly increased the annual mean production of energy biomass and decreased the total net CO2 emissions per unit of energy produced based on energy biomass. However, the total annual net CO2 emissions were the lowest if a long rotation was used with N fertilisation. To conclude, the use of cloned trees together with intensive management could potentially be highly beneficial for the cost-efficient and sustainable production of timber and energy biomass in an integrated way.</t>
  </si>
  <si>
    <t>10.1111/gcbb.12002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</si>
</sst>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
    <numFmt numFmtId="166" formatCode="#,##0.000"/>
  </numFmts>
  <fonts count="63">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Calibri"/>
      <family val="2"/>
      <scheme val="minor"/>
    </font>
    <font>
      <b/>
      <sz val="12"/>
      <color theme="1"/>
      <name val="Calibri"/>
      <family val="2"/>
      <scheme val="minor"/>
    </font>
    <font>
      <sz val="10"/>
      <name val="Arial"/>
      <family val="2"/>
    </font>
    <font>
      <sz val="9"/>
      <color theme="1"/>
      <name val="Calibri"/>
      <family val="2"/>
      <scheme val="minor"/>
    </font>
    <font>
      <sz val="12"/>
      <name val="Calibri"/>
      <family val="2"/>
      <scheme val="minor"/>
    </font>
    <font>
      <b/>
      <sz val="10"/>
      <name val="Arial"/>
      <family val="2"/>
    </font>
    <font>
      <sz val="10"/>
      <color theme="1"/>
      <name val="Arial"/>
      <family val="2"/>
    </font>
    <font>
      <b/>
      <sz val="10"/>
      <color theme="1"/>
      <name val="Arial"/>
      <family val="2"/>
    </font>
    <font>
      <b/>
      <sz val="12"/>
      <color theme="4"/>
      <name val="Calibri"/>
      <family val="2"/>
      <scheme val="minor"/>
    </font>
    <font>
      <sz val="11"/>
      <color theme="1"/>
      <name val="Linux Libertine"/>
    </font>
    <font>
      <sz val="12"/>
      <color indexed="2"/>
      <name val="Calibri"/>
      <family val="2"/>
      <scheme val="minor"/>
    </font>
    <font>
      <sz val="8"/>
      <color theme="1"/>
      <name val="AdvTimes"/>
    </font>
    <font>
      <sz val="12"/>
      <color theme="0" tint="-0.14999847407452621"/>
      <name val="Calibri"/>
      <family val="2"/>
      <scheme val="minor"/>
    </font>
    <font>
      <b/>
      <sz val="12"/>
      <name val="Calibri"/>
      <family val="2"/>
      <scheme val="minor"/>
    </font>
    <font>
      <b/>
      <sz val="12"/>
      <name val="Calibri"/>
      <family val="2"/>
    </font>
    <font>
      <sz val="12"/>
      <name val="Calibri"/>
      <family val="2"/>
    </font>
    <font>
      <sz val="10"/>
      <color theme="0" tint="-0.14999847407452621"/>
      <name val="Arial"/>
      <family val="2"/>
    </font>
    <font>
      <b/>
      <sz val="12"/>
      <color rgb="FF4472C4"/>
      <name val="Calibri"/>
      <family val="2"/>
      <scheme val="minor"/>
    </font>
    <font>
      <sz val="10"/>
      <color indexed="2"/>
      <name val="Arial"/>
      <family val="2"/>
    </font>
    <font>
      <sz val="12"/>
      <color theme="8"/>
      <name val="Calibri"/>
      <family val="2"/>
      <scheme val="minor"/>
    </font>
    <font>
      <sz val="10"/>
      <color theme="8"/>
      <name val="Arial"/>
      <family val="2"/>
    </font>
    <font>
      <b/>
      <sz val="12"/>
      <color theme="8"/>
      <name val="Calibri"/>
      <family val="2"/>
      <scheme val="minor"/>
    </font>
    <font>
      <b/>
      <sz val="11"/>
      <name val="Arial"/>
      <family val="2"/>
    </font>
    <font>
      <u/>
      <sz val="12"/>
      <color theme="1"/>
      <name val="Calibri"/>
      <family val="2"/>
      <scheme val="minor"/>
    </font>
    <font>
      <sz val="12"/>
      <color rgb="FFD9D9D9"/>
      <name val="Calibri"/>
      <family val="2"/>
      <scheme val="minor"/>
    </font>
    <font>
      <sz val="10"/>
      <color theme="1"/>
      <name val="AdvOTc20ddc96"/>
    </font>
    <font>
      <sz val="12"/>
      <color theme="4"/>
      <name val="Calibri"/>
      <family val="2"/>
      <scheme val="minor"/>
    </font>
    <font>
      <sz val="6"/>
      <name val="Helvetica"/>
      <family val="2"/>
    </font>
    <font>
      <sz val="7"/>
      <color theme="1"/>
      <name val="AdvOTc20ddc96"/>
    </font>
    <font>
      <b/>
      <sz val="9"/>
      <name val="Tahoma"/>
      <family val="2"/>
    </font>
    <font>
      <sz val="9"/>
      <name val="Tahoma"/>
      <family val="2"/>
    </font>
    <font>
      <sz val="12"/>
      <color rgb="FFFF0000"/>
      <name val="Calibri"/>
      <family val="2"/>
      <scheme val="minor"/>
    </font>
    <font>
      <sz val="12"/>
      <color rgb="FF000000"/>
      <name val="Calibri"/>
      <family val="2"/>
      <scheme val="minor"/>
    </font>
    <font>
      <b/>
      <sz val="12"/>
      <color rgb="FFFF0000"/>
      <name val="Calibri"/>
      <family val="2"/>
      <scheme val="minor"/>
    </font>
    <font>
      <b/>
      <sz val="9"/>
      <color rgb="FF000000"/>
      <name val="Tahoma"/>
      <family val="2"/>
    </font>
    <font>
      <sz val="9"/>
      <color rgb="FF000000"/>
      <name val="Tahoma"/>
      <family val="2"/>
    </font>
    <font>
      <sz val="11"/>
      <color rgb="FF000000"/>
      <name val="Times"/>
    </font>
    <font>
      <sz val="12"/>
      <color indexed="64"/>
      <name val="Calibri"/>
      <family val="2"/>
      <scheme val="minor"/>
    </font>
    <font>
      <sz val="12"/>
      <color theme="1" tint="4.9989318521683403E-2"/>
      <name val="Calibri"/>
      <family val="2"/>
      <scheme val="minor"/>
    </font>
    <font>
      <b/>
      <sz val="12"/>
      <color indexed="2"/>
      <name val="Calibri"/>
      <family val="2"/>
      <scheme val="minor"/>
    </font>
    <font>
      <sz val="9"/>
      <color theme="1"/>
      <name val="Times"/>
      <family val="1"/>
    </font>
    <font>
      <b/>
      <sz val="9"/>
      <color indexed="81"/>
      <name val="Tahoma"/>
      <family val="2"/>
    </font>
    <font>
      <sz val="9"/>
      <color indexed="81"/>
      <name val="Tahoma"/>
      <family val="2"/>
    </font>
    <font>
      <i/>
      <sz val="12"/>
      <color theme="1"/>
      <name val="Calibri"/>
      <family val="2"/>
      <scheme val="minor"/>
    </font>
    <font>
      <b/>
      <sz val="12"/>
      <color theme="0" tint="-0.14999847407452621"/>
      <name val="Calibri"/>
      <family val="2"/>
      <scheme val="minor"/>
    </font>
    <font>
      <sz val="12"/>
      <color rgb="FF000000"/>
      <name val="Calibri"/>
      <family val="2"/>
    </font>
  </fonts>
  <fills count="68">
    <fill>
      <patternFill patternType="none"/>
    </fill>
    <fill>
      <patternFill patternType="gray125"/>
    </fill>
    <fill>
      <patternFill patternType="solid">
        <fgColor theme="0" tint="-0.14999847407452621"/>
        <bgColor indexed="65"/>
      </patternFill>
    </fill>
    <fill>
      <patternFill patternType="solid">
        <fgColor theme="7" tint="-0.249977111117893"/>
        <bgColor indexed="65"/>
      </patternFill>
    </fill>
    <fill>
      <patternFill patternType="solid">
        <fgColor rgb="FF90C987"/>
        <bgColor rgb="FF90C987"/>
      </patternFill>
    </fill>
    <fill>
      <patternFill patternType="solid">
        <fgColor rgb="FF90C987"/>
      </patternFill>
    </fill>
    <fill>
      <patternFill patternType="solid">
        <fgColor theme="0" tint="-0.249977111117893"/>
        <bgColor indexed="65"/>
      </patternFill>
    </fill>
    <fill>
      <patternFill patternType="solid">
        <fgColor theme="7" tint="-0.249977111117893"/>
        <bgColor theme="0" tint="-0.14999847407452621"/>
      </patternFill>
    </fill>
    <fill>
      <patternFill patternType="solid">
        <fgColor theme="0" tint="-0.14999847407452621"/>
        <bgColor theme="0" tint="-0.14999847407452621"/>
      </patternFill>
    </fill>
    <fill>
      <patternFill patternType="solid">
        <fgColor rgb="FFCAACCB"/>
        <bgColor rgb="FFF4A736"/>
      </patternFill>
    </fill>
    <fill>
      <patternFill patternType="solid">
        <fgColor rgb="FFCAACCB"/>
        <bgColor rgb="FFCAACCB"/>
      </patternFill>
    </fill>
    <fill>
      <patternFill patternType="solid">
        <fgColor rgb="FF994F88"/>
        <bgColor rgb="FF994F88"/>
      </patternFill>
    </fill>
    <fill>
      <patternFill patternType="solid">
        <fgColor theme="0" tint="-0.14999847407452621"/>
        <bgColor rgb="FFCAACCB"/>
      </patternFill>
    </fill>
    <fill>
      <patternFill patternType="solid">
        <fgColor theme="0" tint="-0.14999847407452621"/>
        <bgColor rgb="FF994F88"/>
      </patternFill>
    </fill>
    <fill>
      <patternFill patternType="solid">
        <fgColor rgb="FFA5170E"/>
        <bgColor rgb="FFA5170E"/>
      </patternFill>
    </fill>
    <fill>
      <patternFill patternType="solid">
        <fgColor rgb="FFC00000"/>
        <bgColor rgb="FFA5170E"/>
      </patternFill>
    </fill>
    <fill>
      <patternFill patternType="solid">
        <fgColor rgb="FFE65518"/>
        <bgColor rgb="FFCAE0AB"/>
      </patternFill>
    </fill>
    <fill>
      <patternFill patternType="solid">
        <fgColor theme="0" tint="-0.14999847407452621"/>
        <bgColor rgb="FFDC050C"/>
      </patternFill>
    </fill>
    <fill>
      <patternFill patternType="solid">
        <fgColor rgb="FF90C987"/>
        <bgColor theme="0" tint="-0.14999847407452621"/>
      </patternFill>
    </fill>
    <fill>
      <patternFill patternType="solid">
        <fgColor theme="0" tint="-0.14999847407452621"/>
        <bgColor rgb="FF90C987"/>
      </patternFill>
    </fill>
    <fill>
      <patternFill patternType="solid">
        <fgColor rgb="FFD9D9D9"/>
        <bgColor rgb="FFD9D9D9"/>
      </patternFill>
    </fill>
    <fill>
      <patternFill patternType="solid">
        <fgColor theme="0" tint="-0.14999847407452621"/>
        <bgColor indexed="5"/>
      </patternFill>
    </fill>
    <fill>
      <patternFill patternType="solid">
        <fgColor rgb="FFCAACCB"/>
        <bgColor rgb="FFF7CB45"/>
      </patternFill>
    </fill>
    <fill>
      <patternFill patternType="solid">
        <fgColor rgb="FFD9CCE3"/>
        <bgColor rgb="FFD9CCE3"/>
      </patternFill>
    </fill>
    <fill>
      <patternFill patternType="solid">
        <fgColor rgb="FFBA8DB4"/>
        <bgColor rgb="FFBA8DB4"/>
      </patternFill>
    </fill>
    <fill>
      <patternFill patternType="solid">
        <fgColor rgb="FF882E72"/>
        <bgColor rgb="FF882E72"/>
      </patternFill>
    </fill>
    <fill>
      <patternFill patternType="solid">
        <fgColor theme="0" tint="-0.14999847407452621"/>
        <bgColor rgb="FFBA8DB4"/>
      </patternFill>
    </fill>
    <fill>
      <patternFill patternType="solid">
        <fgColor theme="0" tint="-0.14999847407452621"/>
        <bgColor rgb="FF882E72"/>
      </patternFill>
    </fill>
    <fill>
      <patternFill patternType="solid">
        <fgColor rgb="FFDC050C"/>
        <bgColor rgb="FFDC050C"/>
      </patternFill>
    </fill>
    <fill>
      <patternFill patternType="solid">
        <fgColor rgb="FF72190E"/>
        <bgColor rgb="FF72190E"/>
      </patternFill>
    </fill>
    <fill>
      <patternFill patternType="solid">
        <fgColor rgb="FFE65518"/>
        <bgColor rgb="FF90C987"/>
      </patternFill>
    </fill>
    <fill>
      <patternFill patternType="solid">
        <fgColor theme="0" tint="-0.14999847407452621"/>
        <bgColor rgb="FFA5170E"/>
      </patternFill>
    </fill>
    <fill>
      <patternFill patternType="solid">
        <fgColor rgb="FFCAE1AB"/>
        <bgColor theme="0" tint="-0.14999847407452621"/>
      </patternFill>
    </fill>
    <fill>
      <patternFill patternType="solid">
        <fgColor rgb="FF4EB265"/>
        <bgColor rgb="FF1965B0"/>
      </patternFill>
    </fill>
    <fill>
      <patternFill patternType="solid">
        <fgColor theme="3" tint="0.79998168889431442"/>
        <bgColor theme="3" tint="0.79998168889431442"/>
      </patternFill>
    </fill>
    <fill>
      <patternFill patternType="solid">
        <fgColor rgb="FFD9CCE3"/>
        <bgColor rgb="FFCAACCB"/>
      </patternFill>
    </fill>
    <fill>
      <patternFill patternType="solid">
        <fgColor rgb="FFCAE0AB"/>
        <bgColor rgb="FFCAE0AB"/>
      </patternFill>
    </fill>
    <fill>
      <patternFill patternType="solid">
        <fgColor theme="0" tint="-0.14999847407452621"/>
        <bgColor rgb="FFCAE0AB"/>
      </patternFill>
    </fill>
    <fill>
      <patternFill patternType="solid">
        <fgColor rgb="FF4EB265"/>
        <bgColor rgb="FF4EB265"/>
      </patternFill>
    </fill>
    <fill>
      <patternFill patternType="solid">
        <fgColor theme="0" tint="-0.249977111117893"/>
        <bgColor rgb="FF90C987"/>
      </patternFill>
    </fill>
    <fill>
      <patternFill patternType="solid">
        <fgColor theme="0" tint="-0.249977111117893"/>
        <bgColor theme="0" tint="-0.14999847407452621"/>
      </patternFill>
    </fill>
    <fill>
      <patternFill patternType="solid">
        <fgColor rgb="FF90C987"/>
        <bgColor rgb="FF4EB265"/>
      </patternFill>
    </fill>
    <fill>
      <patternFill patternType="solid">
        <fgColor indexed="5"/>
      </patternFill>
    </fill>
    <fill>
      <patternFill patternType="solid">
        <fgColor theme="7" tint="-0.249977111117893"/>
        <bgColor indexed="5"/>
      </patternFill>
    </fill>
    <fill>
      <patternFill patternType="solid">
        <fgColor rgb="FFD9D9D9"/>
        <bgColor indexed="5"/>
      </patternFill>
    </fill>
    <fill>
      <patternFill patternType="solid">
        <fgColor rgb="FFD9D9D9"/>
      </patternFill>
    </fill>
    <fill>
      <patternFill patternType="solid">
        <fgColor indexed="5"/>
        <bgColor indexed="5"/>
      </patternFill>
    </fill>
    <fill>
      <patternFill patternType="solid">
        <fgColor rgb="FF777777"/>
        <bgColor rgb="FF777777"/>
      </patternFill>
    </fill>
    <fill>
      <patternFill patternType="solid">
        <fgColor rgb="FF437DBF"/>
        <bgColor rgb="FF437DBF"/>
      </patternFill>
    </fill>
    <fill>
      <patternFill patternType="solid">
        <fgColor rgb="FF7BAFDE"/>
        <bgColor rgb="FF7BAFDE"/>
      </patternFill>
    </fill>
    <fill>
      <patternFill patternType="solid">
        <fgColor rgb="FF1965B0"/>
        <bgColor rgb="FF1965B0"/>
      </patternFill>
    </fill>
    <fill>
      <patternFill patternType="solid">
        <fgColor rgb="FFF4A736"/>
        <bgColor rgb="FFF4A736"/>
      </patternFill>
    </fill>
    <fill>
      <patternFill patternType="solid">
        <fgColor rgb="FFFFC000"/>
      </patternFill>
    </fill>
    <fill>
      <patternFill patternType="solid">
        <fgColor rgb="FF70AD47"/>
      </patternFill>
    </fill>
    <fill>
      <patternFill patternType="solid">
        <fgColor rgb="FF7030A0"/>
      </patternFill>
    </fill>
    <fill>
      <patternFill patternType="solid">
        <fgColor rgb="FFE7E6E6"/>
      </patternFill>
    </fill>
    <fill>
      <patternFill patternType="solid">
        <fgColor rgb="FFC65911"/>
      </patternFill>
    </fill>
    <fill>
      <patternFill patternType="solid">
        <fgColor theme="5" tint="0.79998168889431442"/>
        <bgColor indexed="65"/>
      </patternFill>
    </fill>
    <fill>
      <patternFill patternType="solid">
        <fgColor theme="7" tint="0.79998168889431442"/>
        <bgColor indexed="65"/>
      </patternFill>
    </fill>
    <fill>
      <patternFill patternType="solid">
        <fgColor theme="4" tint="0.79998168889431442"/>
        <bgColor indexed="65"/>
      </patternFill>
    </fill>
    <fill>
      <patternFill patternType="solid">
        <fgColor theme="9" tint="0.79998168889431442"/>
        <bgColor indexed="65"/>
      </patternFill>
    </fill>
    <fill>
      <patternFill patternType="solid">
        <fgColor theme="2"/>
      </patternFill>
    </fill>
    <fill>
      <patternFill patternType="solid">
        <fgColor theme="8" tint="0.79998168889431442"/>
        <bgColor theme="8" tint="0.79998168889431442"/>
      </patternFill>
    </fill>
    <fill>
      <patternFill patternType="solid">
        <fgColor rgb="FFFFFF00"/>
        <bgColor indexed="64"/>
      </patternFill>
    </fill>
    <fill>
      <patternFill patternType="solid">
        <fgColor theme="9" tint="0.39997558519241921"/>
        <bgColor indexed="64"/>
      </patternFill>
    </fill>
    <fill>
      <patternFill patternType="solid">
        <fgColor theme="5"/>
        <bgColor indexed="64"/>
      </patternFill>
    </fill>
    <fill>
      <patternFill patternType="solid">
        <fgColor theme="9"/>
        <bgColor indexed="64"/>
      </patternFill>
    </fill>
    <fill>
      <patternFill patternType="solid">
        <fgColor rgb="FFFFC000"/>
        <bgColor indexed="64"/>
      </patternFill>
    </fill>
  </fills>
  <borders count="26">
    <border>
      <left/>
      <right/>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thin">
        <color auto="1"/>
      </top>
      <bottom style="thin">
        <color auto="1"/>
      </bottom>
      <diagonal/>
    </border>
    <border>
      <left style="thin">
        <color auto="1"/>
      </left>
      <right/>
      <top style="medium">
        <color auto="1"/>
      </top>
      <bottom style="thin">
        <color auto="1"/>
      </bottom>
      <diagonal/>
    </border>
  </borders>
  <cellStyleXfs count="3">
    <xf numFmtId="0" fontId="0" fillId="0" borderId="0"/>
    <xf numFmtId="0" fontId="17" fillId="0" borderId="0" applyNumberFormat="0" applyFill="0" applyBorder="0" applyProtection="0"/>
    <xf numFmtId="0" fontId="16" fillId="0" borderId="0"/>
  </cellStyleXfs>
  <cellXfs count="361">
    <xf numFmtId="0" fontId="0" fillId="0" borderId="0" xfId="0"/>
    <xf numFmtId="0" fontId="0" fillId="0" borderId="1" xfId="0" applyBorder="1"/>
    <xf numFmtId="0" fontId="0" fillId="0" borderId="2" xfId="0" applyBorder="1"/>
    <xf numFmtId="0" fontId="0" fillId="2" borderId="0" xfId="0" applyFill="1"/>
    <xf numFmtId="0" fontId="0" fillId="2" borderId="2" xfId="0" applyFill="1" applyBorder="1"/>
    <xf numFmtId="0" fontId="0" fillId="0" borderId="3" xfId="0" applyBorder="1"/>
    <xf numFmtId="49" fontId="0" fillId="3" borderId="4" xfId="0" applyNumberFormat="1" applyFill="1" applyBorder="1"/>
    <xf numFmtId="49" fontId="18" fillId="3" borderId="5" xfId="0" applyNumberFormat="1" applyFont="1" applyFill="1" applyBorder="1"/>
    <xf numFmtId="49" fontId="18" fillId="2" borderId="5" xfId="0" applyNumberFormat="1" applyFont="1" applyFill="1" applyBorder="1"/>
    <xf numFmtId="0" fontId="0" fillId="2" borderId="5" xfId="0" applyFill="1" applyBorder="1"/>
    <xf numFmtId="0" fontId="0" fillId="2" borderId="6" xfId="0" applyFill="1" applyBorder="1"/>
    <xf numFmtId="0" fontId="0" fillId="0" borderId="4" xfId="0" applyBorder="1"/>
    <xf numFmtId="0" fontId="0" fillId="0" borderId="5" xfId="0" applyBorder="1"/>
    <xf numFmtId="49" fontId="0" fillId="4" borderId="4" xfId="0" applyNumberFormat="1" applyFill="1" applyBorder="1"/>
    <xf numFmtId="49" fontId="0" fillId="4" borderId="5" xfId="0" applyNumberFormat="1" applyFill="1" applyBorder="1"/>
    <xf numFmtId="0" fontId="0" fillId="5" borderId="5" xfId="0" applyFill="1" applyBorder="1"/>
    <xf numFmtId="0" fontId="0" fillId="5" borderId="6" xfId="0" applyFill="1" applyBorder="1"/>
    <xf numFmtId="0" fontId="0" fillId="6" borderId="4" xfId="0" applyFill="1" applyBorder="1"/>
    <xf numFmtId="0" fontId="0" fillId="6" borderId="5" xfId="0" applyFill="1" applyBorder="1"/>
    <xf numFmtId="0" fontId="0" fillId="6" borderId="6" xfId="0" applyFill="1" applyBorder="1"/>
    <xf numFmtId="0" fontId="0" fillId="0" borderId="7" xfId="0" applyBorder="1"/>
    <xf numFmtId="0" fontId="0" fillId="0" borderId="8" xfId="0" applyBorder="1"/>
    <xf numFmtId="49" fontId="0" fillId="0" borderId="3" xfId="0" applyNumberFormat="1" applyBorder="1"/>
    <xf numFmtId="49" fontId="0" fillId="7" borderId="9" xfId="0" applyNumberFormat="1" applyFill="1" applyBorder="1"/>
    <xf numFmtId="49" fontId="0" fillId="7" borderId="3" xfId="0" applyNumberFormat="1" applyFill="1" applyBorder="1"/>
    <xf numFmtId="49" fontId="0" fillId="8" borderId="3" xfId="0" applyNumberFormat="1" applyFill="1" applyBorder="1"/>
    <xf numFmtId="49" fontId="0" fillId="2" borderId="3" xfId="0" applyNumberFormat="1" applyFill="1" applyBorder="1" applyAlignment="1">
      <alignment wrapText="1"/>
    </xf>
    <xf numFmtId="49" fontId="0" fillId="2" borderId="10" xfId="0" applyNumberFormat="1" applyFill="1" applyBorder="1" applyAlignment="1">
      <alignment wrapText="1"/>
    </xf>
    <xf numFmtId="49" fontId="0" fillId="9" borderId="9" xfId="0" applyNumberFormat="1" applyFill="1" applyBorder="1"/>
    <xf numFmtId="49" fontId="0" fillId="9" borderId="3" xfId="0" applyNumberFormat="1" applyFill="1" applyBorder="1"/>
    <xf numFmtId="49" fontId="0" fillId="10" borderId="3" xfId="0" applyNumberFormat="1" applyFill="1" applyBorder="1"/>
    <xf numFmtId="49" fontId="19" fillId="11" borderId="3" xfId="0" applyNumberFormat="1" applyFont="1" applyFill="1" applyBorder="1" applyAlignment="1">
      <alignment wrapText="1"/>
    </xf>
    <xf numFmtId="49" fontId="0" fillId="12" borderId="3" xfId="0" applyNumberFormat="1" applyFill="1" applyBorder="1"/>
    <xf numFmtId="49" fontId="19" fillId="13" borderId="3" xfId="0" applyNumberFormat="1" applyFont="1" applyFill="1" applyBorder="1" applyAlignment="1">
      <alignment wrapText="1"/>
    </xf>
    <xf numFmtId="49" fontId="19" fillId="13" borderId="10" xfId="0" applyNumberFormat="1" applyFont="1" applyFill="1" applyBorder="1" applyAlignment="1">
      <alignment wrapText="1"/>
    </xf>
    <xf numFmtId="49" fontId="0" fillId="14" borderId="9" xfId="0" applyNumberFormat="1" applyFill="1" applyBorder="1"/>
    <xf numFmtId="49" fontId="0" fillId="14" borderId="3" xfId="0" applyNumberFormat="1" applyFill="1" applyBorder="1"/>
    <xf numFmtId="49" fontId="0" fillId="15" borderId="3" xfId="0" applyNumberFormat="1" applyFill="1" applyBorder="1"/>
    <xf numFmtId="49" fontId="20" fillId="16" borderId="3" xfId="0" applyNumberFormat="1" applyFont="1" applyFill="1" applyBorder="1"/>
    <xf numFmtId="49" fontId="18" fillId="17" borderId="3" xfId="0" applyNumberFormat="1" applyFont="1" applyFill="1" applyBorder="1" applyAlignment="1">
      <alignment wrapText="1"/>
    </xf>
    <xf numFmtId="49" fontId="18" fillId="17" borderId="10" xfId="0" applyNumberFormat="1" applyFont="1" applyFill="1" applyBorder="1" applyAlignment="1">
      <alignment wrapText="1"/>
    </xf>
    <xf numFmtId="49" fontId="0" fillId="18" borderId="9" xfId="0" applyNumberFormat="1" applyFill="1" applyBorder="1"/>
    <xf numFmtId="49" fontId="0" fillId="18" borderId="3" xfId="0" applyNumberFormat="1" applyFill="1" applyBorder="1"/>
    <xf numFmtId="49" fontId="0" fillId="19" borderId="3" xfId="0" applyNumberFormat="1" applyFill="1" applyBorder="1"/>
    <xf numFmtId="49" fontId="0" fillId="4" borderId="3" xfId="0" applyNumberFormat="1" applyFill="1" applyBorder="1"/>
    <xf numFmtId="49" fontId="0" fillId="4" borderId="10" xfId="0" applyNumberFormat="1" applyFill="1" applyBorder="1"/>
    <xf numFmtId="49" fontId="0" fillId="6" borderId="9" xfId="0" applyNumberFormat="1" applyFill="1" applyBorder="1"/>
    <xf numFmtId="49" fontId="0" fillId="6" borderId="3" xfId="0" applyNumberFormat="1" applyFill="1" applyBorder="1"/>
    <xf numFmtId="49" fontId="0" fillId="6" borderId="10" xfId="0" applyNumberFormat="1" applyFill="1" applyBorder="1"/>
    <xf numFmtId="49" fontId="21" fillId="20" borderId="7" xfId="0" applyNumberFormat="1" applyFont="1" applyFill="1" applyBorder="1"/>
    <xf numFmtId="49" fontId="21" fillId="20" borderId="3" xfId="0" applyNumberFormat="1" applyFont="1" applyFill="1" applyBorder="1"/>
    <xf numFmtId="49" fontId="0" fillId="0" borderId="8" xfId="0" applyNumberFormat="1" applyBorder="1" applyAlignment="1">
      <alignment wrapText="1"/>
    </xf>
    <xf numFmtId="49" fontId="0" fillId="0" borderId="7" xfId="0" applyNumberFormat="1" applyBorder="1"/>
    <xf numFmtId="49" fontId="0" fillId="11" borderId="3" xfId="0" applyNumberFormat="1" applyFill="1" applyBorder="1"/>
    <xf numFmtId="49" fontId="0" fillId="3" borderId="9" xfId="0" applyNumberFormat="1" applyFill="1" applyBorder="1" applyAlignment="1">
      <alignment horizontal="center"/>
    </xf>
    <xf numFmtId="49" fontId="0" fillId="3" borderId="3" xfId="0" applyNumberFormat="1" applyFill="1" applyBorder="1" applyAlignment="1">
      <alignment horizontal="center"/>
    </xf>
    <xf numFmtId="49" fontId="0" fillId="3" borderId="3" xfId="0" applyNumberFormat="1" applyFill="1" applyBorder="1" applyAlignment="1">
      <alignment wrapText="1"/>
    </xf>
    <xf numFmtId="49" fontId="0" fillId="21" borderId="3" xfId="0" applyNumberFormat="1" applyFill="1" applyBorder="1" applyAlignment="1">
      <alignment horizontal="center" wrapText="1"/>
    </xf>
    <xf numFmtId="49" fontId="19" fillId="21" borderId="3" xfId="0" applyNumberFormat="1" applyFont="1" applyFill="1" applyBorder="1" applyAlignment="1">
      <alignment wrapText="1"/>
    </xf>
    <xf numFmtId="49" fontId="0" fillId="2" borderId="3" xfId="0" applyNumberFormat="1" applyFill="1" applyBorder="1"/>
    <xf numFmtId="49" fontId="0" fillId="2" borderId="10" xfId="0" applyNumberFormat="1" applyFill="1" applyBorder="1"/>
    <xf numFmtId="49" fontId="0" fillId="22" borderId="9" xfId="0" applyNumberFormat="1" applyFill="1" applyBorder="1"/>
    <xf numFmtId="49" fontId="0" fillId="22" borderId="3" xfId="0" applyNumberFormat="1" applyFill="1" applyBorder="1"/>
    <xf numFmtId="49" fontId="0" fillId="22" borderId="3" xfId="0" applyNumberFormat="1" applyFill="1" applyBorder="1" applyAlignment="1">
      <alignment wrapText="1"/>
    </xf>
    <xf numFmtId="49" fontId="19" fillId="23" borderId="3" xfId="0" applyNumberFormat="1" applyFont="1" applyFill="1" applyBorder="1" applyAlignment="1">
      <alignment wrapText="1"/>
    </xf>
    <xf numFmtId="49" fontId="19" fillId="10" borderId="3" xfId="0" applyNumberFormat="1" applyFont="1" applyFill="1" applyBorder="1" applyAlignment="1">
      <alignment wrapText="1"/>
    </xf>
    <xf numFmtId="49" fontId="22" fillId="24" borderId="3" xfId="0" applyNumberFormat="1" applyFont="1" applyFill="1" applyBorder="1" applyAlignment="1">
      <alignment wrapText="1"/>
    </xf>
    <xf numFmtId="49" fontId="19" fillId="25" borderId="3" xfId="0" applyNumberFormat="1" applyFont="1" applyFill="1" applyBorder="1" applyAlignment="1">
      <alignment wrapText="1"/>
    </xf>
    <xf numFmtId="49" fontId="19" fillId="8" borderId="3" xfId="0" applyNumberFormat="1" applyFont="1" applyFill="1" applyBorder="1" applyAlignment="1">
      <alignment wrapText="1"/>
    </xf>
    <xf numFmtId="49" fontId="22" fillId="26" borderId="3" xfId="0" applyNumberFormat="1" applyFont="1" applyFill="1" applyBorder="1" applyAlignment="1">
      <alignment wrapText="1"/>
    </xf>
    <xf numFmtId="49" fontId="19" fillId="27" borderId="3" xfId="0" applyNumberFormat="1" applyFont="1" applyFill="1" applyBorder="1" applyAlignment="1">
      <alignment wrapText="1"/>
    </xf>
    <xf numFmtId="49" fontId="19" fillId="27" borderId="10" xfId="0" applyNumberFormat="1" applyFont="1" applyFill="1" applyBorder="1" applyAlignment="1">
      <alignment wrapText="1"/>
    </xf>
    <xf numFmtId="49" fontId="18" fillId="28" borderId="9" xfId="0" applyNumberFormat="1" applyFont="1" applyFill="1" applyBorder="1" applyAlignment="1">
      <alignment wrapText="1"/>
    </xf>
    <xf numFmtId="49" fontId="18" fillId="28" borderId="3" xfId="0" applyNumberFormat="1" applyFont="1" applyFill="1" applyBorder="1" applyAlignment="1">
      <alignment wrapText="1"/>
    </xf>
    <xf numFmtId="49" fontId="0" fillId="14" borderId="3" xfId="0" applyNumberFormat="1" applyFill="1" applyBorder="1" applyAlignment="1">
      <alignment wrapText="1"/>
    </xf>
    <xf numFmtId="49" fontId="0" fillId="29" borderId="3" xfId="0" applyNumberFormat="1" applyFill="1" applyBorder="1" applyAlignment="1">
      <alignment wrapText="1"/>
    </xf>
    <xf numFmtId="49" fontId="0" fillId="30" borderId="3" xfId="0" applyNumberFormat="1" applyFill="1" applyBorder="1"/>
    <xf numFmtId="49" fontId="0" fillId="31" borderId="3" xfId="0" applyNumberFormat="1" applyFill="1" applyBorder="1"/>
    <xf numFmtId="49" fontId="0" fillId="31" borderId="10" xfId="0" applyNumberFormat="1" applyFill="1" applyBorder="1"/>
    <xf numFmtId="49" fontId="0" fillId="18" borderId="9" xfId="0" applyNumberFormat="1" applyFill="1" applyBorder="1" applyAlignment="1">
      <alignment wrapText="1"/>
    </xf>
    <xf numFmtId="49" fontId="0" fillId="18" borderId="3" xfId="0" applyNumberFormat="1" applyFill="1" applyBorder="1" applyAlignment="1">
      <alignment wrapText="1"/>
    </xf>
    <xf numFmtId="49" fontId="0" fillId="8" borderId="3" xfId="0" applyNumberFormat="1" applyFill="1" applyBorder="1" applyAlignment="1">
      <alignment wrapText="1"/>
    </xf>
    <xf numFmtId="49" fontId="0" fillId="32" borderId="3" xfId="0" applyNumberFormat="1" applyFill="1" applyBorder="1"/>
    <xf numFmtId="49" fontId="22" fillId="4" borderId="3" xfId="0" applyNumberFormat="1" applyFont="1" applyFill="1" applyBorder="1" applyAlignment="1">
      <alignment wrapText="1"/>
    </xf>
    <xf numFmtId="49" fontId="19" fillId="33" borderId="3" xfId="0" applyNumberFormat="1" applyFont="1" applyFill="1" applyBorder="1" applyAlignment="1">
      <alignment wrapText="1"/>
    </xf>
    <xf numFmtId="49" fontId="19" fillId="33" borderId="10" xfId="0" applyNumberFormat="1" applyFont="1" applyFill="1" applyBorder="1" applyAlignment="1">
      <alignment wrapText="1"/>
    </xf>
    <xf numFmtId="49" fontId="0" fillId="34" borderId="7" xfId="0" applyNumberFormat="1" applyFill="1" applyBorder="1"/>
    <xf numFmtId="49" fontId="0" fillId="34" borderId="3" xfId="0" applyNumberFormat="1" applyFill="1" applyBorder="1"/>
    <xf numFmtId="49" fontId="0" fillId="0" borderId="8" xfId="0" applyNumberFormat="1" applyBorder="1"/>
    <xf numFmtId="49" fontId="0" fillId="35" borderId="3" xfId="0" applyNumberFormat="1" applyFill="1" applyBorder="1"/>
    <xf numFmtId="49" fontId="0" fillId="24" borderId="3" xfId="0" applyNumberFormat="1" applyFill="1" applyBorder="1"/>
    <xf numFmtId="49" fontId="21" fillId="25" borderId="3" xfId="0" applyNumberFormat="1" applyFont="1" applyFill="1" applyBorder="1"/>
    <xf numFmtId="49" fontId="20" fillId="36" borderId="3" xfId="0" applyNumberFormat="1" applyFont="1" applyFill="1" applyBorder="1"/>
    <xf numFmtId="49" fontId="22" fillId="19" borderId="3" xfId="0" applyNumberFormat="1" applyFont="1" applyFill="1" applyBorder="1" applyAlignment="1">
      <alignment wrapText="1"/>
    </xf>
    <xf numFmtId="49" fontId="0" fillId="36" borderId="3" xfId="0" applyNumberFormat="1" applyFill="1" applyBorder="1"/>
    <xf numFmtId="49" fontId="0" fillId="37" borderId="3" xfId="0" applyNumberFormat="1" applyFill="1" applyBorder="1"/>
    <xf numFmtId="49" fontId="0" fillId="38" borderId="3" xfId="0" applyNumberFormat="1" applyFill="1" applyBorder="1"/>
    <xf numFmtId="49" fontId="0" fillId="38" borderId="10" xfId="0" applyNumberFormat="1" applyFill="1" applyBorder="1"/>
    <xf numFmtId="49" fontId="0" fillId="39" borderId="3" xfId="0" applyNumberFormat="1" applyFill="1" applyBorder="1"/>
    <xf numFmtId="49" fontId="0" fillId="40" borderId="3" xfId="0" applyNumberFormat="1" applyFill="1" applyBorder="1"/>
    <xf numFmtId="49" fontId="22" fillId="41" borderId="3" xfId="0" applyNumberFormat="1" applyFont="1" applyFill="1" applyBorder="1" applyAlignment="1">
      <alignment wrapText="1"/>
    </xf>
    <xf numFmtId="0" fontId="0" fillId="6" borderId="3" xfId="0" applyFill="1" applyBorder="1"/>
    <xf numFmtId="0" fontId="0" fillId="6" borderId="10" xfId="0" applyFill="1" applyBorder="1"/>
    <xf numFmtId="49" fontId="0" fillId="42" borderId="7" xfId="0" applyNumberFormat="1" applyFill="1" applyBorder="1"/>
    <xf numFmtId="49" fontId="0" fillId="0" borderId="3" xfId="0" applyNumberFormat="1" applyBorder="1" applyAlignment="1">
      <alignment wrapText="1"/>
    </xf>
    <xf numFmtId="49" fontId="23" fillId="3" borderId="9" xfId="0" applyNumberFormat="1" applyFont="1" applyFill="1" applyBorder="1" applyAlignment="1">
      <alignment horizontal="center" vertical="top" textRotation="90"/>
    </xf>
    <xf numFmtId="49" fontId="23" fillId="3" borderId="3" xfId="0" applyNumberFormat="1" applyFont="1" applyFill="1" applyBorder="1" applyAlignment="1">
      <alignment horizontal="center" vertical="top" textRotation="90"/>
    </xf>
    <xf numFmtId="49" fontId="24" fillId="3" borderId="3" xfId="0" applyNumberFormat="1" applyFont="1" applyFill="1" applyBorder="1" applyAlignment="1">
      <alignment horizontal="center" vertical="top" textRotation="90"/>
    </xf>
    <xf numFmtId="49" fontId="23" fillId="43" borderId="3" xfId="0" applyNumberFormat="1" applyFont="1" applyFill="1" applyBorder="1" applyAlignment="1">
      <alignment horizontal="center" vertical="top" textRotation="90"/>
    </xf>
    <xf numFmtId="49" fontId="23" fillId="7" borderId="3" xfId="0" applyNumberFormat="1" applyFont="1" applyFill="1" applyBorder="1" applyAlignment="1">
      <alignment horizontal="center" vertical="top" textRotation="90"/>
    </xf>
    <xf numFmtId="49" fontId="0" fillId="0" borderId="3" xfId="0" applyNumberFormat="1" applyBorder="1" applyAlignment="1">
      <alignment horizontal="center" vertical="top" textRotation="90" wrapText="1"/>
    </xf>
    <xf numFmtId="49" fontId="19" fillId="44" borderId="3" xfId="0" applyNumberFormat="1" applyFont="1" applyFill="1" applyBorder="1" applyAlignment="1">
      <alignment horizontal="center" vertical="top" textRotation="90"/>
    </xf>
    <xf numFmtId="49" fontId="19" fillId="45" borderId="3" xfId="0" applyNumberFormat="1" applyFont="1" applyFill="1" applyBorder="1" applyAlignment="1">
      <alignment horizontal="center" vertical="top" textRotation="90"/>
    </xf>
    <xf numFmtId="49" fontId="23" fillId="2" borderId="3" xfId="0" applyNumberFormat="1" applyFont="1" applyFill="1" applyBorder="1" applyAlignment="1">
      <alignment horizontal="center" vertical="top" textRotation="90"/>
    </xf>
    <xf numFmtId="49" fontId="23" fillId="2" borderId="10" xfId="0" applyNumberFormat="1" applyFont="1" applyFill="1" applyBorder="1" applyAlignment="1">
      <alignment horizontal="center" vertical="top" textRotation="90"/>
    </xf>
    <xf numFmtId="49" fontId="0" fillId="0" borderId="9" xfId="0" applyNumberFormat="1" applyBorder="1" applyAlignment="1">
      <alignment horizontal="center" vertical="top" textRotation="90"/>
    </xf>
    <xf numFmtId="49" fontId="0" fillId="0" borderId="3" xfId="0" applyNumberFormat="1" applyBorder="1" applyAlignment="1">
      <alignment horizontal="center" vertical="top" textRotation="90"/>
    </xf>
    <xf numFmtId="49" fontId="18" fillId="0" borderId="3" xfId="0" applyNumberFormat="1" applyFont="1" applyBorder="1" applyAlignment="1">
      <alignment horizontal="center" vertical="top" textRotation="90" wrapText="1"/>
    </xf>
    <xf numFmtId="49" fontId="23" fillId="0" borderId="3" xfId="0" applyNumberFormat="1" applyFont="1" applyBorder="1" applyAlignment="1">
      <alignment horizontal="center" vertical="top" textRotation="90"/>
    </xf>
    <xf numFmtId="49" fontId="24" fillId="0" borderId="3" xfId="0" applyNumberFormat="1" applyFont="1" applyBorder="1" applyAlignment="1">
      <alignment horizontal="center" vertical="top" textRotation="90"/>
    </xf>
    <xf numFmtId="49" fontId="24" fillId="2" borderId="3" xfId="0" applyNumberFormat="1" applyFont="1" applyFill="1" applyBorder="1" applyAlignment="1">
      <alignment horizontal="center" vertical="top" textRotation="90"/>
    </xf>
    <xf numFmtId="49" fontId="24" fillId="21" borderId="3" xfId="0" applyNumberFormat="1" applyFont="1" applyFill="1" applyBorder="1" applyAlignment="1">
      <alignment horizontal="center" vertical="top" textRotation="90"/>
    </xf>
    <xf numFmtId="49" fontId="22" fillId="0" borderId="9" xfId="0" applyNumberFormat="1" applyFont="1" applyBorder="1" applyAlignment="1">
      <alignment horizontal="center" vertical="top" textRotation="90" wrapText="1"/>
    </xf>
    <xf numFmtId="49" fontId="19" fillId="0" borderId="3" xfId="0" applyNumberFormat="1" applyFont="1" applyBorder="1" applyAlignment="1">
      <alignment horizontal="center" vertical="top" textRotation="90" wrapText="1"/>
    </xf>
    <xf numFmtId="49" fontId="22" fillId="0" borderId="3" xfId="0" applyNumberFormat="1" applyFont="1" applyBorder="1" applyAlignment="1">
      <alignment horizontal="center" vertical="top" textRotation="90" wrapText="1"/>
    </xf>
    <xf numFmtId="49" fontId="22" fillId="46" borderId="3" xfId="0" applyNumberFormat="1" applyFont="1" applyFill="1" applyBorder="1" applyAlignment="1">
      <alignment horizontal="center" vertical="top" textRotation="90" wrapText="1"/>
    </xf>
    <xf numFmtId="49" fontId="22" fillId="2" borderId="3" xfId="0" applyNumberFormat="1" applyFont="1" applyFill="1" applyBorder="1" applyAlignment="1">
      <alignment horizontal="center" vertical="top" textRotation="90" wrapText="1"/>
    </xf>
    <xf numFmtId="49" fontId="19" fillId="2" borderId="3" xfId="0" applyNumberFormat="1" applyFont="1" applyFill="1" applyBorder="1" applyAlignment="1">
      <alignment horizontal="center" vertical="top" textRotation="90" wrapText="1"/>
    </xf>
    <xf numFmtId="49" fontId="23" fillId="0" borderId="9" xfId="0" applyNumberFormat="1" applyFont="1" applyBorder="1" applyAlignment="1">
      <alignment horizontal="center" vertical="top" textRotation="90"/>
    </xf>
    <xf numFmtId="49" fontId="18" fillId="2" borderId="3" xfId="0" applyNumberFormat="1" applyFont="1" applyFill="1" applyBorder="1" applyAlignment="1">
      <alignment horizontal="center" vertical="top" textRotation="90" wrapText="1"/>
    </xf>
    <xf numFmtId="49" fontId="23" fillId="6" borderId="3" xfId="0" applyNumberFormat="1" applyFont="1" applyFill="1" applyBorder="1" applyAlignment="1">
      <alignment horizontal="center" vertical="top" textRotation="90"/>
    </xf>
    <xf numFmtId="49" fontId="23" fillId="42" borderId="3" xfId="0" applyNumberFormat="1" applyFont="1" applyFill="1" applyBorder="1" applyAlignment="1">
      <alignment horizontal="center" vertical="top" textRotation="90"/>
    </xf>
    <xf numFmtId="49" fontId="23" fillId="0" borderId="10" xfId="0" applyNumberFormat="1" applyFont="1" applyBorder="1" applyAlignment="1">
      <alignment horizontal="center" vertical="top" textRotation="90"/>
    </xf>
    <xf numFmtId="49" fontId="0" fillId="6" borderId="9" xfId="0" applyNumberFormat="1" applyFill="1" applyBorder="1" applyAlignment="1">
      <alignment wrapText="1"/>
    </xf>
    <xf numFmtId="49" fontId="0" fillId="6" borderId="3" xfId="0" applyNumberFormat="1" applyFill="1" applyBorder="1" applyAlignment="1">
      <alignment wrapText="1"/>
    </xf>
    <xf numFmtId="49" fontId="0" fillId="6" borderId="10" xfId="0" applyNumberFormat="1" applyFill="1" applyBorder="1" applyAlignment="1">
      <alignment wrapText="1"/>
    </xf>
    <xf numFmtId="49" fontId="23" fillId="0" borderId="7" xfId="0" applyNumberFormat="1" applyFont="1" applyBorder="1" applyAlignment="1">
      <alignment horizontal="center" vertical="top" textRotation="90"/>
    </xf>
    <xf numFmtId="49" fontId="23" fillId="0" borderId="8" xfId="0" applyNumberFormat="1" applyFont="1" applyBorder="1" applyAlignment="1">
      <alignment horizontal="center" vertical="top" textRotation="90"/>
    </xf>
    <xf numFmtId="49" fontId="0" fillId="42" borderId="7" xfId="0" applyNumberFormat="1" applyFill="1" applyBorder="1" applyAlignment="1">
      <alignment wrapText="1"/>
    </xf>
    <xf numFmtId="49" fontId="23" fillId="0" borderId="0" xfId="0" applyNumberFormat="1" applyFont="1" applyAlignment="1">
      <alignment horizontal="center" vertical="top" textRotation="90"/>
    </xf>
    <xf numFmtId="0" fontId="25" fillId="0" borderId="0" xfId="0" applyFont="1"/>
    <xf numFmtId="0" fontId="21" fillId="0" borderId="0" xfId="0" applyFont="1"/>
    <xf numFmtId="0" fontId="18" fillId="0" borderId="1" xfId="0" applyFont="1" applyBorder="1"/>
    <xf numFmtId="0" fontId="18" fillId="0" borderId="0" xfId="0" applyFont="1"/>
    <xf numFmtId="4" fontId="0" fillId="0" borderId="0" xfId="0" applyNumberFormat="1"/>
    <xf numFmtId="0" fontId="23" fillId="0" borderId="0" xfId="0" applyFont="1"/>
    <xf numFmtId="0" fontId="26" fillId="0" borderId="0" xfId="0" applyFont="1" applyAlignment="1">
      <alignment vertical="center"/>
    </xf>
    <xf numFmtId="49" fontId="0" fillId="34" borderId="0" xfId="0" applyNumberFormat="1" applyFill="1"/>
    <xf numFmtId="2" fontId="0" fillId="0" borderId="0" xfId="0" applyNumberFormat="1" applyAlignment="1">
      <alignment horizontal="center" vertical="center"/>
    </xf>
    <xf numFmtId="49" fontId="0" fillId="0" borderId="0" xfId="0" applyNumberFormat="1"/>
    <xf numFmtId="0" fontId="17" fillId="0" borderId="0" xfId="1"/>
    <xf numFmtId="0" fontId="27" fillId="0" borderId="0" xfId="0" applyFont="1"/>
    <xf numFmtId="2" fontId="0" fillId="0" borderId="0" xfId="0" applyNumberFormat="1"/>
    <xf numFmtId="49" fontId="0" fillId="14" borderId="0" xfId="0" applyNumberFormat="1" applyFill="1" applyAlignment="1">
      <alignment wrapText="1"/>
    </xf>
    <xf numFmtId="49" fontId="0" fillId="0" borderId="1" xfId="0" applyNumberFormat="1" applyBorder="1"/>
    <xf numFmtId="49" fontId="0" fillId="0" borderId="0" xfId="0" applyNumberFormat="1" applyAlignment="1">
      <alignment wrapText="1"/>
    </xf>
    <xf numFmtId="0" fontId="28" fillId="0" borderId="0" xfId="0" applyFont="1"/>
    <xf numFmtId="0" fontId="29" fillId="0" borderId="0" xfId="0" applyFont="1"/>
    <xf numFmtId="3" fontId="30" fillId="0" borderId="0" xfId="0" applyNumberFormat="1" applyFont="1"/>
    <xf numFmtId="3" fontId="18" fillId="0" borderId="0" xfId="0" applyNumberFormat="1" applyFont="1"/>
    <xf numFmtId="49" fontId="18" fillId="0" borderId="0" xfId="0" applyNumberFormat="1" applyFont="1" applyAlignment="1">
      <alignment wrapText="1"/>
    </xf>
    <xf numFmtId="49" fontId="0" fillId="0" borderId="0" xfId="0" applyNumberFormat="1" applyAlignment="1">
      <alignment horizontal="center" wrapText="1"/>
    </xf>
    <xf numFmtId="49" fontId="0" fillId="0" borderId="1" xfId="0" applyNumberFormat="1" applyBorder="1" applyAlignment="1">
      <alignment wrapText="1"/>
    </xf>
    <xf numFmtId="0" fontId="30" fillId="0" borderId="0" xfId="0" applyFont="1"/>
    <xf numFmtId="0" fontId="31" fillId="0" borderId="1" xfId="0" applyFont="1" applyBorder="1" applyAlignment="1">
      <alignment horizontal="left"/>
    </xf>
    <xf numFmtId="0" fontId="32" fillId="0" borderId="0" xfId="0" applyFont="1" applyAlignment="1">
      <alignment horizontal="left"/>
    </xf>
    <xf numFmtId="0" fontId="31" fillId="0" borderId="0" xfId="0" applyFont="1" applyAlignment="1">
      <alignment horizontal="left"/>
    </xf>
    <xf numFmtId="11" fontId="32" fillId="0" borderId="0" xfId="0" applyNumberFormat="1" applyFont="1" applyAlignment="1">
      <alignment horizontal="right"/>
    </xf>
    <xf numFmtId="0" fontId="31" fillId="0" borderId="0" xfId="0" applyFont="1" applyAlignment="1">
      <alignment horizontal="right"/>
    </xf>
    <xf numFmtId="11" fontId="0" fillId="0" borderId="0" xfId="0" applyNumberFormat="1"/>
    <xf numFmtId="11" fontId="21" fillId="0" borderId="0" xfId="0" applyNumberFormat="1" applyFont="1"/>
    <xf numFmtId="0" fontId="33" fillId="0" borderId="0" xfId="0" applyFont="1"/>
    <xf numFmtId="0" fontId="30" fillId="0" borderId="1" xfId="0" applyFont="1" applyBorder="1"/>
    <xf numFmtId="0" fontId="21" fillId="0" borderId="1" xfId="0" applyFont="1" applyBorder="1"/>
    <xf numFmtId="0" fontId="34" fillId="0" borderId="0" xfId="0" applyFont="1"/>
    <xf numFmtId="3" fontId="21" fillId="0" borderId="0" xfId="0" applyNumberFormat="1" applyFont="1"/>
    <xf numFmtId="0" fontId="21" fillId="0" borderId="2" xfId="0" applyFont="1" applyBorder="1"/>
    <xf numFmtId="49" fontId="18" fillId="0" borderId="1" xfId="0" applyNumberFormat="1" applyFont="1" applyBorder="1" applyAlignment="1">
      <alignment wrapText="1"/>
    </xf>
    <xf numFmtId="1" fontId="0" fillId="0" borderId="0" xfId="0" applyNumberFormat="1"/>
    <xf numFmtId="49" fontId="19" fillId="0" borderId="0" xfId="0" applyNumberFormat="1" applyFont="1" applyAlignment="1">
      <alignment wrapText="1"/>
    </xf>
    <xf numFmtId="0" fontId="35" fillId="0" borderId="0" xfId="0" applyFont="1"/>
    <xf numFmtId="49" fontId="23" fillId="0" borderId="1" xfId="0" applyNumberFormat="1" applyFont="1" applyBorder="1" applyAlignment="1">
      <alignment horizontal="center" vertical="top" textRotation="90"/>
    </xf>
    <xf numFmtId="9" fontId="18" fillId="0" borderId="0" xfId="0" applyNumberFormat="1" applyFont="1"/>
    <xf numFmtId="0" fontId="0" fillId="0" borderId="0" xfId="0" applyAlignment="1">
      <alignment wrapText="1"/>
    </xf>
    <xf numFmtId="0" fontId="36" fillId="0" borderId="0" xfId="0" applyFont="1"/>
    <xf numFmtId="0" fontId="36" fillId="0" borderId="1" xfId="0" applyFont="1" applyBorder="1"/>
    <xf numFmtId="0" fontId="37" fillId="0" borderId="0" xfId="0" applyFont="1"/>
    <xf numFmtId="0" fontId="36" fillId="0" borderId="2" xfId="0" applyFont="1" applyBorder="1"/>
    <xf numFmtId="4" fontId="36" fillId="0" borderId="0" xfId="0" applyNumberFormat="1" applyFont="1"/>
    <xf numFmtId="0" fontId="36" fillId="0" borderId="0" xfId="0" applyFont="1" applyAlignment="1">
      <alignment wrapText="1"/>
    </xf>
    <xf numFmtId="0" fontId="38" fillId="0" borderId="0" xfId="0" applyFont="1"/>
    <xf numFmtId="0" fontId="39" fillId="0" borderId="0" xfId="0" applyFont="1"/>
    <xf numFmtId="0" fontId="18" fillId="0" borderId="2" xfId="0" applyFont="1" applyBorder="1"/>
    <xf numFmtId="0" fontId="0" fillId="0" borderId="0" xfId="0" quotePrefix="1"/>
    <xf numFmtId="3" fontId="0" fillId="0" borderId="0" xfId="0" applyNumberFormat="1"/>
    <xf numFmtId="0" fontId="0" fillId="46" borderId="0" xfId="0" applyFill="1"/>
    <xf numFmtId="49" fontId="0" fillId="47" borderId="0" xfId="0" applyNumberFormat="1" applyFill="1"/>
    <xf numFmtId="0" fontId="40" fillId="0" borderId="0" xfId="0" applyFont="1"/>
    <xf numFmtId="49" fontId="0" fillId="4" borderId="0" xfId="0" applyNumberFormat="1" applyFill="1"/>
    <xf numFmtId="49" fontId="0" fillId="36" borderId="0" xfId="0" applyNumberFormat="1" applyFill="1"/>
    <xf numFmtId="49" fontId="0" fillId="48" borderId="0" xfId="0" applyNumberFormat="1" applyFill="1"/>
    <xf numFmtId="49" fontId="0" fillId="49" borderId="0" xfId="0" applyNumberFormat="1" applyFill="1"/>
    <xf numFmtId="49" fontId="0" fillId="50" borderId="0" xfId="0" applyNumberFormat="1" applyFill="1"/>
    <xf numFmtId="49" fontId="0" fillId="10" borderId="0" xfId="0" applyNumberFormat="1" applyFill="1"/>
    <xf numFmtId="49" fontId="0" fillId="23" borderId="0" xfId="0" applyNumberFormat="1" applyFill="1"/>
    <xf numFmtId="49" fontId="0" fillId="24" borderId="0" xfId="0" applyNumberFormat="1" applyFill="1"/>
    <xf numFmtId="49" fontId="0" fillId="11" borderId="0" xfId="0" applyNumberFormat="1" applyFill="1"/>
    <xf numFmtId="49" fontId="0" fillId="25" borderId="0" xfId="0" applyNumberFormat="1" applyFill="1"/>
    <xf numFmtId="49" fontId="0" fillId="51" borderId="0" xfId="0" applyNumberFormat="1" applyFill="1"/>
    <xf numFmtId="49" fontId="0" fillId="28" borderId="0" xfId="0" applyNumberFormat="1" applyFill="1"/>
    <xf numFmtId="49" fontId="0" fillId="14" borderId="0" xfId="0" applyNumberFormat="1" applyFill="1"/>
    <xf numFmtId="49" fontId="0" fillId="29" borderId="0" xfId="0" applyNumberFormat="1" applyFill="1"/>
    <xf numFmtId="0" fontId="0" fillId="52" borderId="0" xfId="0" applyFill="1"/>
    <xf numFmtId="0" fontId="21" fillId="52" borderId="0" xfId="0" applyFont="1" applyFill="1"/>
    <xf numFmtId="0" fontId="41" fillId="0" borderId="0" xfId="0" applyFont="1"/>
    <xf numFmtId="0" fontId="21" fillId="53" borderId="0" xfId="0" applyFont="1" applyFill="1"/>
    <xf numFmtId="164" fontId="21" fillId="53" borderId="0" xfId="0" applyNumberFormat="1" applyFont="1" applyFill="1"/>
    <xf numFmtId="0" fontId="21" fillId="54" borderId="0" xfId="0" applyFont="1" applyFill="1"/>
    <xf numFmtId="164" fontId="21" fillId="0" borderId="0" xfId="0" applyNumberFormat="1" applyFont="1"/>
    <xf numFmtId="0" fontId="21" fillId="55" borderId="0" xfId="0" applyFont="1" applyFill="1"/>
    <xf numFmtId="164" fontId="21" fillId="55" borderId="0" xfId="0" applyNumberFormat="1" applyFont="1" applyFill="1"/>
    <xf numFmtId="0" fontId="21" fillId="56" borderId="0" xfId="0" applyFont="1" applyFill="1"/>
    <xf numFmtId="164" fontId="21" fillId="54" borderId="0" xfId="0" applyNumberFormat="1" applyFont="1" applyFill="1"/>
    <xf numFmtId="165"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57" borderId="0" xfId="0" applyFill="1"/>
    <xf numFmtId="0" fontId="0" fillId="58" borderId="0" xfId="0" applyFill="1"/>
    <xf numFmtId="0" fontId="0" fillId="0" borderId="15" xfId="0" applyBorder="1"/>
    <xf numFmtId="0" fontId="0" fillId="0" borderId="16" xfId="0" applyBorder="1"/>
    <xf numFmtId="0" fontId="0" fillId="0" borderId="17" xfId="0" applyBorder="1"/>
    <xf numFmtId="0" fontId="0" fillId="59" borderId="0" xfId="0" applyFill="1"/>
    <xf numFmtId="0" fontId="0" fillId="42" borderId="0" xfId="0" applyFill="1"/>
    <xf numFmtId="0" fontId="0" fillId="60" borderId="0" xfId="0" applyFill="1"/>
    <xf numFmtId="0" fontId="0" fillId="0" borderId="18" xfId="0" applyBorder="1"/>
    <xf numFmtId="0" fontId="0" fillId="0" borderId="19" xfId="0" applyBorder="1"/>
    <xf numFmtId="0" fontId="0" fillId="0" borderId="20" xfId="0" applyBorder="1"/>
    <xf numFmtId="0" fontId="0" fillId="0" borderId="21" xfId="0" applyBorder="1"/>
    <xf numFmtId="0" fontId="0" fillId="61" borderId="0" xfId="0" applyFill="1"/>
    <xf numFmtId="0" fontId="21" fillId="62" borderId="0" xfId="0" applyFont="1" applyFill="1"/>
    <xf numFmtId="0" fontId="21" fillId="46" borderId="0" xfId="0" applyFont="1" applyFill="1"/>
    <xf numFmtId="0" fontId="42" fillId="0" borderId="0" xfId="0" applyFont="1"/>
    <xf numFmtId="1" fontId="27" fillId="0" borderId="0" xfId="0" applyNumberFormat="1" applyFont="1"/>
    <xf numFmtId="2" fontId="27" fillId="0" borderId="0" xfId="0" applyNumberFormat="1" applyFont="1"/>
    <xf numFmtId="0" fontId="21" fillId="0" borderId="22" xfId="0" applyFont="1" applyBorder="1"/>
    <xf numFmtId="0" fontId="21" fillId="0" borderId="23" xfId="0" applyFont="1" applyBorder="1"/>
    <xf numFmtId="164" fontId="27" fillId="0" borderId="0" xfId="0" applyNumberFormat="1" applyFont="1"/>
    <xf numFmtId="0" fontId="43" fillId="0" borderId="0" xfId="0" applyFont="1"/>
    <xf numFmtId="0" fontId="44" fillId="0" borderId="0" xfId="0" applyFont="1"/>
    <xf numFmtId="0" fontId="0" fillId="63" borderId="2" xfId="0" applyFill="1" applyBorder="1"/>
    <xf numFmtId="0" fontId="16" fillId="0" borderId="1" xfId="2" applyBorder="1"/>
    <xf numFmtId="0" fontId="16" fillId="0" borderId="0" xfId="2"/>
    <xf numFmtId="0" fontId="16" fillId="0" borderId="2" xfId="2" applyBorder="1"/>
    <xf numFmtId="4" fontId="16" fillId="0" borderId="0" xfId="2" applyNumberFormat="1"/>
    <xf numFmtId="0" fontId="48" fillId="0" borderId="0" xfId="0" applyFont="1"/>
    <xf numFmtId="0" fontId="50" fillId="0" borderId="0" xfId="0" applyFont="1"/>
    <xf numFmtId="0" fontId="15" fillId="63" borderId="2" xfId="0" applyFont="1" applyFill="1" applyBorder="1"/>
    <xf numFmtId="0" fontId="15" fillId="0" borderId="1" xfId="0" applyFont="1" applyBorder="1"/>
    <xf numFmtId="0" fontId="15" fillId="0" borderId="0" xfId="0" applyFont="1"/>
    <xf numFmtId="49" fontId="18" fillId="28" borderId="0" xfId="0" applyNumberFormat="1" applyFont="1" applyFill="1" applyAlignment="1">
      <alignment wrapText="1"/>
    </xf>
    <xf numFmtId="0" fontId="53" fillId="0" borderId="0" xfId="0" applyFont="1"/>
    <xf numFmtId="0" fontId="15" fillId="63" borderId="0" xfId="0" applyFont="1" applyFill="1"/>
    <xf numFmtId="0" fontId="15" fillId="0" borderId="2" xfId="0" applyFont="1" applyBorder="1"/>
    <xf numFmtId="0" fontId="0" fillId="64" borderId="0" xfId="0" applyFill="1"/>
    <xf numFmtId="0" fontId="0" fillId="65" borderId="0" xfId="0" applyFill="1"/>
    <xf numFmtId="0" fontId="0" fillId="66" borderId="0" xfId="0" applyFill="1"/>
    <xf numFmtId="0" fontId="0" fillId="67" borderId="0" xfId="0" applyFill="1"/>
    <xf numFmtId="0" fontId="25" fillId="0" borderId="0" xfId="2" applyFont="1"/>
    <xf numFmtId="0" fontId="18" fillId="0" borderId="0" xfId="2" applyFont="1"/>
    <xf numFmtId="0" fontId="21" fillId="0" borderId="0" xfId="2" applyFont="1"/>
    <xf numFmtId="0" fontId="18" fillId="0" borderId="1" xfId="2" applyFont="1" applyBorder="1"/>
    <xf numFmtId="0" fontId="27" fillId="0" borderId="0" xfId="2" applyFont="1"/>
    <xf numFmtId="0" fontId="54" fillId="0" borderId="0" xfId="0" applyFont="1" applyAlignment="1">
      <alignment vertical="center" wrapText="1"/>
    </xf>
    <xf numFmtId="49" fontId="23" fillId="0" borderId="0" xfId="2" applyNumberFormat="1" applyFont="1" applyAlignment="1">
      <alignment horizontal="center" vertical="top" textRotation="90"/>
    </xf>
    <xf numFmtId="0" fontId="0" fillId="42" borderId="2" xfId="0" applyFill="1" applyBorder="1"/>
    <xf numFmtId="2" fontId="21" fillId="0" borderId="0" xfId="0" applyNumberFormat="1" applyFont="1"/>
    <xf numFmtId="4" fontId="21" fillId="0" borderId="0" xfId="0" applyNumberFormat="1" applyFont="1"/>
    <xf numFmtId="0" fontId="21" fillId="67" borderId="2" xfId="0" applyFont="1" applyFill="1" applyBorder="1"/>
    <xf numFmtId="4" fontId="48" fillId="0" borderId="0" xfId="0" applyNumberFormat="1" applyFont="1"/>
    <xf numFmtId="4" fontId="15" fillId="0" borderId="0" xfId="0" applyNumberFormat="1" applyFont="1"/>
    <xf numFmtId="2" fontId="48" fillId="0" borderId="0" xfId="0" applyNumberFormat="1" applyFont="1"/>
    <xf numFmtId="0" fontId="21" fillId="63" borderId="2" xfId="0" applyFont="1" applyFill="1" applyBorder="1"/>
    <xf numFmtId="1" fontId="48" fillId="0" borderId="0" xfId="0" applyNumberFormat="1" applyFont="1"/>
    <xf numFmtId="0" fontId="56" fillId="0" borderId="0" xfId="0" applyFont="1"/>
    <xf numFmtId="0" fontId="0" fillId="67" borderId="2" xfId="0" applyFill="1" applyBorder="1"/>
    <xf numFmtId="49" fontId="15" fillId="0" borderId="0" xfId="0" applyNumberFormat="1" applyFont="1"/>
    <xf numFmtId="0" fontId="17" fillId="0" borderId="0" xfId="1" applyFill="1" applyBorder="1"/>
    <xf numFmtId="0" fontId="57" fillId="0" borderId="0" xfId="0" applyFont="1"/>
    <xf numFmtId="0" fontId="49" fillId="0" borderId="0" xfId="0" applyFont="1"/>
    <xf numFmtId="0" fontId="15" fillId="0" borderId="15" xfId="0" applyFont="1" applyBorder="1"/>
    <xf numFmtId="49" fontId="0" fillId="14" borderId="15" xfId="0" applyNumberFormat="1" applyFill="1" applyBorder="1" applyAlignment="1">
      <alignment wrapText="1"/>
    </xf>
    <xf numFmtId="0" fontId="14" fillId="0" borderId="0" xfId="0" applyFont="1"/>
    <xf numFmtId="0" fontId="13" fillId="0" borderId="0" xfId="0" applyFont="1"/>
    <xf numFmtId="0" fontId="13" fillId="0" borderId="1" xfId="0" applyFont="1" applyBorder="1"/>
    <xf numFmtId="0" fontId="11" fillId="0" borderId="0" xfId="0" applyFont="1"/>
    <xf numFmtId="0" fontId="10" fillId="0" borderId="0" xfId="0" applyFont="1"/>
    <xf numFmtId="0" fontId="10" fillId="0" borderId="2" xfId="0" applyFont="1" applyBorder="1"/>
    <xf numFmtId="49" fontId="10" fillId="0" borderId="0" xfId="0" applyNumberFormat="1" applyFont="1"/>
    <xf numFmtId="2" fontId="32" fillId="0" borderId="0" xfId="0" applyNumberFormat="1" applyFont="1" applyAlignment="1">
      <alignment horizontal="center"/>
    </xf>
    <xf numFmtId="0" fontId="18" fillId="0" borderId="0" xfId="0" applyFont="1" applyAlignment="1">
      <alignment horizontal="left"/>
    </xf>
    <xf numFmtId="0" fontId="31" fillId="0" borderId="0" xfId="0" applyFont="1" applyAlignment="1">
      <alignment horizontal="center"/>
    </xf>
    <xf numFmtId="49" fontId="10" fillId="0" borderId="0" xfId="0" applyNumberFormat="1" applyFont="1" applyAlignment="1">
      <alignment wrapText="1"/>
    </xf>
    <xf numFmtId="0" fontId="10" fillId="0" borderId="1" xfId="0" applyFont="1" applyBorder="1"/>
    <xf numFmtId="0" fontId="32" fillId="0" borderId="0" xfId="0" applyFont="1" applyAlignment="1">
      <alignment horizontal="center"/>
    </xf>
    <xf numFmtId="0" fontId="0" fillId="0" borderId="0" xfId="0" applyAlignment="1">
      <alignment horizontal="left"/>
    </xf>
    <xf numFmtId="49" fontId="10" fillId="0" borderId="1" xfId="0" applyNumberFormat="1" applyFont="1" applyBorder="1"/>
    <xf numFmtId="166" fontId="18" fillId="0" borderId="0" xfId="0" applyNumberFormat="1" applyFont="1"/>
    <xf numFmtId="166" fontId="0" fillId="0" borderId="0" xfId="0" applyNumberFormat="1"/>
    <xf numFmtId="0" fontId="30" fillId="0" borderId="0" xfId="0" applyFont="1" applyAlignment="1">
      <alignment horizontal="left"/>
    </xf>
    <xf numFmtId="3" fontId="31" fillId="0" borderId="0" xfId="0" applyNumberFormat="1" applyFont="1" applyAlignment="1">
      <alignment horizontal="right"/>
    </xf>
    <xf numFmtId="0" fontId="10" fillId="0" borderId="0" xfId="0" applyFont="1" applyAlignment="1">
      <alignment wrapText="1"/>
    </xf>
    <xf numFmtId="0" fontId="61" fillId="0" borderId="0" xfId="0" applyFont="1"/>
    <xf numFmtId="0" fontId="19" fillId="0" borderId="0" xfId="0" applyFont="1"/>
    <xf numFmtId="0" fontId="9" fillId="0" borderId="0" xfId="0" applyFont="1"/>
    <xf numFmtId="49" fontId="8" fillId="18" borderId="3" xfId="0" applyNumberFormat="1" applyFont="1" applyFill="1" applyBorder="1"/>
    <xf numFmtId="0" fontId="7" fillId="0" borderId="0" xfId="0" applyFont="1"/>
    <xf numFmtId="0" fontId="7" fillId="0" borderId="2" xfId="0" applyFont="1" applyBorder="1"/>
    <xf numFmtId="49" fontId="7" fillId="0" borderId="0" xfId="0" applyNumberFormat="1" applyFont="1"/>
    <xf numFmtId="0" fontId="7" fillId="0" borderId="1" xfId="0" applyFont="1" applyBorder="1"/>
    <xf numFmtId="49" fontId="7" fillId="0" borderId="0" xfId="0" applyNumberFormat="1" applyFont="1" applyAlignment="1">
      <alignment wrapText="1"/>
    </xf>
    <xf numFmtId="49" fontId="7" fillId="0" borderId="1" xfId="0" applyNumberFormat="1" applyFont="1" applyBorder="1"/>
    <xf numFmtId="49" fontId="7" fillId="0" borderId="1" xfId="0" applyNumberFormat="1" applyFont="1" applyBorder="1" applyAlignment="1">
      <alignment wrapText="1"/>
    </xf>
    <xf numFmtId="0" fontId="0" fillId="6" borderId="20" xfId="0" applyFill="1" applyBorder="1"/>
    <xf numFmtId="49" fontId="0" fillId="6" borderId="24" xfId="0" applyNumberFormat="1" applyFill="1" applyBorder="1"/>
    <xf numFmtId="0" fontId="0" fillId="6" borderId="24" xfId="0" applyFill="1" applyBorder="1"/>
    <xf numFmtId="49" fontId="6" fillId="6" borderId="24" xfId="0" applyNumberFormat="1" applyFont="1" applyFill="1" applyBorder="1" applyAlignment="1">
      <alignment wrapText="1"/>
    </xf>
    <xf numFmtId="0" fontId="6" fillId="0" borderId="0" xfId="0" applyFont="1"/>
    <xf numFmtId="49" fontId="0" fillId="0" borderId="15" xfId="0" applyNumberFormat="1" applyBorder="1" applyAlignment="1">
      <alignment wrapText="1"/>
    </xf>
    <xf numFmtId="49" fontId="5" fillId="6" borderId="24" xfId="0" applyNumberFormat="1" applyFont="1" applyFill="1" applyBorder="1" applyAlignment="1">
      <alignment wrapText="1"/>
    </xf>
    <xf numFmtId="0" fontId="10" fillId="0" borderId="15" xfId="0" applyFont="1" applyBorder="1"/>
    <xf numFmtId="0" fontId="18" fillId="0" borderId="15" xfId="0" applyFont="1" applyBorder="1"/>
    <xf numFmtId="0" fontId="5" fillId="0" borderId="0" xfId="0" applyFont="1"/>
    <xf numFmtId="0" fontId="4" fillId="0" borderId="0" xfId="0" applyFont="1"/>
    <xf numFmtId="49" fontId="48" fillId="0" borderId="0" xfId="0" applyNumberFormat="1" applyFont="1" applyAlignment="1">
      <alignment wrapText="1"/>
    </xf>
    <xf numFmtId="49" fontId="15" fillId="14" borderId="0" xfId="0" applyNumberFormat="1" applyFont="1" applyFill="1" applyAlignment="1">
      <alignment wrapText="1"/>
    </xf>
    <xf numFmtId="0" fontId="55" fillId="0" borderId="0" xfId="0" applyFont="1"/>
    <xf numFmtId="49" fontId="4" fillId="0" borderId="3" xfId="0" applyNumberFormat="1" applyFont="1" applyBorder="1"/>
    <xf numFmtId="49" fontId="22" fillId="63" borderId="3" xfId="0" applyNumberFormat="1" applyFont="1" applyFill="1" applyBorder="1" applyAlignment="1">
      <alignment horizontal="center" vertical="top" textRotation="90" wrapText="1"/>
    </xf>
    <xf numFmtId="0" fontId="0" fillId="2" borderId="25" xfId="0" applyFill="1" applyBorder="1"/>
    <xf numFmtId="49" fontId="18" fillId="17" borderId="8" xfId="0" applyNumberFormat="1" applyFont="1" applyFill="1" applyBorder="1" applyAlignment="1">
      <alignment wrapText="1"/>
    </xf>
    <xf numFmtId="49" fontId="0" fillId="31" borderId="8" xfId="0" applyNumberFormat="1" applyFill="1" applyBorder="1"/>
    <xf numFmtId="49" fontId="23" fillId="2" borderId="8" xfId="0" applyNumberFormat="1" applyFont="1" applyFill="1" applyBorder="1" applyAlignment="1">
      <alignment horizontal="center" vertical="top" textRotation="90"/>
    </xf>
    <xf numFmtId="0" fontId="3" fillId="0" borderId="0" xfId="0" applyFont="1"/>
    <xf numFmtId="49" fontId="27" fillId="0" borderId="0" xfId="0" applyNumberFormat="1" applyFont="1" applyAlignment="1">
      <alignment wrapText="1"/>
    </xf>
    <xf numFmtId="49" fontId="15" fillId="0" borderId="0" xfId="0" applyNumberFormat="1" applyFont="1" applyAlignment="1">
      <alignment wrapText="1"/>
    </xf>
    <xf numFmtId="49" fontId="13" fillId="14" borderId="0" xfId="0" applyNumberFormat="1" applyFont="1" applyFill="1" applyAlignment="1">
      <alignment wrapText="1"/>
    </xf>
    <xf numFmtId="49" fontId="12" fillId="14" borderId="0" xfId="0" applyNumberFormat="1" applyFont="1" applyFill="1" applyAlignment="1">
      <alignment wrapText="1"/>
    </xf>
    <xf numFmtId="0" fontId="2" fillId="0" borderId="0" xfId="0" applyFont="1"/>
    <xf numFmtId="0" fontId="2" fillId="0" borderId="2" xfId="0" applyFont="1" applyBorder="1"/>
    <xf numFmtId="49" fontId="10" fillId="0" borderId="15" xfId="0" applyNumberFormat="1" applyFont="1" applyBorder="1" applyAlignment="1">
      <alignment wrapText="1"/>
    </xf>
    <xf numFmtId="0" fontId="0" fillId="0" borderId="0" xfId="0" applyAlignment="1">
      <alignment horizontal="center" wrapText="1"/>
    </xf>
    <xf numFmtId="0" fontId="0" fillId="0" borderId="0" xfId="0" applyAlignment="1">
      <alignment horizontal="center"/>
    </xf>
    <xf numFmtId="0" fontId="21" fillId="0" borderId="0" xfId="0" applyFont="1" applyAlignment="1">
      <alignment horizontal="center"/>
    </xf>
    <xf numFmtId="0" fontId="21" fillId="0" borderId="0" xfId="0" applyFont="1" applyBorder="1"/>
    <xf numFmtId="0" fontId="48" fillId="0" borderId="15" xfId="0" applyFont="1" applyBorder="1"/>
    <xf numFmtId="0" fontId="7" fillId="0" borderId="15" xfId="0" applyFont="1" applyBorder="1"/>
    <xf numFmtId="0" fontId="0" fillId="0" borderId="0" xfId="0" applyBorder="1"/>
    <xf numFmtId="0" fontId="1" fillId="0" borderId="0" xfId="0" applyFont="1"/>
    <xf numFmtId="0" fontId="48" fillId="0" borderId="0" xfId="0" applyFont="1" applyBorder="1"/>
  </cellXfs>
  <cellStyles count="3">
    <cellStyle name="Hyperlink" xfId="1" builtinId="8"/>
    <cellStyle name="Normal" xfId="0" builtinId="0"/>
    <cellStyle name="Normal 2" xfId="2" xr:uid="{418F03ED-F283-C94E-BADD-E0877E52EFE1}"/>
  </cellStyles>
  <dxfs count="257">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14996795556505021"/>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
      <font>
        <color theme="0" tint="-0.34998626667073579"/>
      </font>
      <fill>
        <patternFill patternType="solid">
          <fgColor theme="0" tint="-4.9989318521683403E-2"/>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png"/><Relationship Id="rId26" Type="http://schemas.openxmlformats.org/officeDocument/2006/relationships/image" Target="../media/image26.emf"/><Relationship Id="rId39" Type="http://schemas.openxmlformats.org/officeDocument/2006/relationships/image" Target="../media/image39.emf"/><Relationship Id="rId21" Type="http://schemas.openxmlformats.org/officeDocument/2006/relationships/image" Target="../media/image21.emf"/><Relationship Id="rId34" Type="http://schemas.openxmlformats.org/officeDocument/2006/relationships/image" Target="../media/image34.emf"/><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6.png"/><Relationship Id="rId20" Type="http://schemas.openxmlformats.org/officeDocument/2006/relationships/image" Target="../media/image20.emf"/><Relationship Id="rId29" Type="http://schemas.openxmlformats.org/officeDocument/2006/relationships/image" Target="../media/image29.emf"/><Relationship Id="rId41" Type="http://schemas.openxmlformats.org/officeDocument/2006/relationships/image" Target="../media/image41.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png"/><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png"/><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31.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8" Type="http://schemas.openxmlformats.org/officeDocument/2006/relationships/image" Target="../media/image8.emf"/><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389</xdr:row>
      <xdr:rowOff>32658</xdr:rowOff>
    </xdr:from>
    <xdr:to>
      <xdr:col>10</xdr:col>
      <xdr:colOff>815340</xdr:colOff>
      <xdr:row>414</xdr:row>
      <xdr:rowOff>185057</xdr:rowOff>
    </xdr:to>
    <xdr:pic>
      <xdr:nvPicPr>
        <xdr:cNvPr id="2" name="Image 36">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tretch/>
      </xdr:blipFill>
      <xdr:spPr bwMode="auto">
        <a:xfrm>
          <a:off x="0" y="79077458"/>
          <a:ext cx="9070340" cy="5232399"/>
        </a:xfrm>
        <a:prstGeom prst="rect">
          <a:avLst/>
        </a:prstGeom>
        <a:noFill/>
      </xdr:spPr>
    </xdr:pic>
    <xdr:clientData/>
  </xdr:twoCellAnchor>
  <xdr:twoCellAnchor editAs="oneCell">
    <xdr:from>
      <xdr:col>0</xdr:col>
      <xdr:colOff>152400</xdr:colOff>
      <xdr:row>2</xdr:row>
      <xdr:rowOff>15240</xdr:rowOff>
    </xdr:from>
    <xdr:to>
      <xdr:col>6</xdr:col>
      <xdr:colOff>517372</xdr:colOff>
      <xdr:row>14</xdr:row>
      <xdr:rowOff>144780</xdr:rowOff>
    </xdr:to>
    <xdr:pic>
      <xdr:nvPicPr>
        <xdr:cNvPr id="3" name="Image 1">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stretch/>
      </xdr:blipFill>
      <xdr:spPr bwMode="auto">
        <a:xfrm>
          <a:off x="152400" y="421640"/>
          <a:ext cx="5317972" cy="2567940"/>
        </a:xfrm>
        <a:prstGeom prst="rect">
          <a:avLst/>
        </a:prstGeom>
        <a:noFill/>
      </xdr:spPr>
    </xdr:pic>
    <xdr:clientData/>
  </xdr:twoCellAnchor>
  <xdr:twoCellAnchor editAs="oneCell">
    <xdr:from>
      <xdr:col>0</xdr:col>
      <xdr:colOff>68580</xdr:colOff>
      <xdr:row>17</xdr:row>
      <xdr:rowOff>45720</xdr:rowOff>
    </xdr:from>
    <xdr:to>
      <xdr:col>4</xdr:col>
      <xdr:colOff>618314</xdr:colOff>
      <xdr:row>28</xdr:row>
      <xdr:rowOff>167640</xdr:rowOff>
    </xdr:to>
    <xdr:pic>
      <xdr:nvPicPr>
        <xdr:cNvPr id="4" name="Image 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stretch/>
      </xdr:blipFill>
      <xdr:spPr bwMode="auto">
        <a:xfrm>
          <a:off x="68580" y="3500120"/>
          <a:ext cx="3851735" cy="2357120"/>
        </a:xfrm>
        <a:prstGeom prst="rect">
          <a:avLst/>
        </a:prstGeom>
        <a:noFill/>
      </xdr:spPr>
    </xdr:pic>
    <xdr:clientData/>
  </xdr:twoCellAnchor>
  <xdr:twoCellAnchor editAs="oneCell">
    <xdr:from>
      <xdr:col>0</xdr:col>
      <xdr:colOff>327659</xdr:colOff>
      <xdr:row>24</xdr:row>
      <xdr:rowOff>83820</xdr:rowOff>
    </xdr:from>
    <xdr:to>
      <xdr:col>4</xdr:col>
      <xdr:colOff>483974</xdr:colOff>
      <xdr:row>34</xdr:row>
      <xdr:rowOff>175260</xdr:rowOff>
    </xdr:to>
    <xdr:pic>
      <xdr:nvPicPr>
        <xdr:cNvPr id="5" name="Image 3">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4"/>
        <a:stretch/>
      </xdr:blipFill>
      <xdr:spPr bwMode="auto">
        <a:xfrm>
          <a:off x="327660" y="4960620"/>
          <a:ext cx="3458315" cy="2123440"/>
        </a:xfrm>
        <a:prstGeom prst="rect">
          <a:avLst/>
        </a:prstGeom>
        <a:noFill/>
      </xdr:spPr>
    </xdr:pic>
    <xdr:clientData/>
  </xdr:twoCellAnchor>
  <xdr:twoCellAnchor editAs="oneCell">
    <xdr:from>
      <xdr:col>1</xdr:col>
      <xdr:colOff>534720</xdr:colOff>
      <xdr:row>18</xdr:row>
      <xdr:rowOff>15240</xdr:rowOff>
    </xdr:from>
    <xdr:to>
      <xdr:col>7</xdr:col>
      <xdr:colOff>640080</xdr:colOff>
      <xdr:row>33</xdr:row>
      <xdr:rowOff>91440</xdr:rowOff>
    </xdr:to>
    <xdr:pic>
      <xdr:nvPicPr>
        <xdr:cNvPr id="6" name="Image 4">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5"/>
        <a:stretch/>
      </xdr:blipFill>
      <xdr:spPr bwMode="auto">
        <a:xfrm>
          <a:off x="1360220" y="3672839"/>
          <a:ext cx="5058360" cy="3124200"/>
        </a:xfrm>
        <a:prstGeom prst="rect">
          <a:avLst/>
        </a:prstGeom>
        <a:noFill/>
      </xdr:spPr>
    </xdr:pic>
    <xdr:clientData/>
  </xdr:twoCellAnchor>
  <xdr:twoCellAnchor editAs="oneCell">
    <xdr:from>
      <xdr:col>0</xdr:col>
      <xdr:colOff>0</xdr:colOff>
      <xdr:row>37</xdr:row>
      <xdr:rowOff>0</xdr:rowOff>
    </xdr:from>
    <xdr:to>
      <xdr:col>5</xdr:col>
      <xdr:colOff>785762</xdr:colOff>
      <xdr:row>49</xdr:row>
      <xdr:rowOff>15240</xdr:rowOff>
    </xdr:to>
    <xdr:pic>
      <xdr:nvPicPr>
        <xdr:cNvPr id="7" name="Image 5">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6"/>
        <a:stretch/>
      </xdr:blipFill>
      <xdr:spPr bwMode="auto">
        <a:xfrm>
          <a:off x="0" y="7518400"/>
          <a:ext cx="4913262" cy="2453640"/>
        </a:xfrm>
        <a:prstGeom prst="rect">
          <a:avLst/>
        </a:prstGeom>
        <a:noFill/>
      </xdr:spPr>
    </xdr:pic>
    <xdr:clientData/>
  </xdr:twoCellAnchor>
  <xdr:twoCellAnchor editAs="oneCell">
    <xdr:from>
      <xdr:col>1</xdr:col>
      <xdr:colOff>76200</xdr:colOff>
      <xdr:row>40</xdr:row>
      <xdr:rowOff>53340</xdr:rowOff>
    </xdr:from>
    <xdr:to>
      <xdr:col>7</xdr:col>
      <xdr:colOff>1272</xdr:colOff>
      <xdr:row>62</xdr:row>
      <xdr:rowOff>114300</xdr:rowOff>
    </xdr:to>
    <xdr:pic>
      <xdr:nvPicPr>
        <xdr:cNvPr id="8" name="Image 6">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7"/>
        <a:stretch/>
      </xdr:blipFill>
      <xdr:spPr bwMode="auto">
        <a:xfrm>
          <a:off x="901700" y="8181340"/>
          <a:ext cx="4878073" cy="4531360"/>
        </a:xfrm>
        <a:prstGeom prst="rect">
          <a:avLst/>
        </a:prstGeom>
        <a:noFill/>
      </xdr:spPr>
    </xdr:pic>
    <xdr:clientData/>
  </xdr:twoCellAnchor>
  <xdr:twoCellAnchor editAs="oneCell">
    <xdr:from>
      <xdr:col>1</xdr:col>
      <xdr:colOff>7620</xdr:colOff>
      <xdr:row>64</xdr:row>
      <xdr:rowOff>129538</xdr:rowOff>
    </xdr:from>
    <xdr:to>
      <xdr:col>4</xdr:col>
      <xdr:colOff>265824</xdr:colOff>
      <xdr:row>86</xdr:row>
      <xdr:rowOff>91440</xdr:rowOff>
    </xdr:to>
    <xdr:pic>
      <xdr:nvPicPr>
        <xdr:cNvPr id="9" name="Image 7">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8"/>
        <a:stretch/>
      </xdr:blipFill>
      <xdr:spPr bwMode="auto">
        <a:xfrm>
          <a:off x="833120" y="13134340"/>
          <a:ext cx="2734704" cy="4432300"/>
        </a:xfrm>
        <a:prstGeom prst="rect">
          <a:avLst/>
        </a:prstGeom>
        <a:noFill/>
      </xdr:spPr>
    </xdr:pic>
    <xdr:clientData/>
  </xdr:twoCellAnchor>
  <xdr:twoCellAnchor editAs="oneCell">
    <xdr:from>
      <xdr:col>1</xdr:col>
      <xdr:colOff>350520</xdr:colOff>
      <xdr:row>1</xdr:row>
      <xdr:rowOff>68580</xdr:rowOff>
    </xdr:from>
    <xdr:to>
      <xdr:col>6</xdr:col>
      <xdr:colOff>144780</xdr:colOff>
      <xdr:row>15</xdr:row>
      <xdr:rowOff>91314</xdr:rowOff>
    </xdr:to>
    <xdr:pic>
      <xdr:nvPicPr>
        <xdr:cNvPr id="10" name="Image 8">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9"/>
        <a:stretch/>
      </xdr:blipFill>
      <xdr:spPr bwMode="auto">
        <a:xfrm>
          <a:off x="1176020" y="271780"/>
          <a:ext cx="3921760" cy="2867535"/>
        </a:xfrm>
        <a:prstGeom prst="rect">
          <a:avLst/>
        </a:prstGeom>
        <a:noFill/>
      </xdr:spPr>
    </xdr:pic>
    <xdr:clientData/>
  </xdr:twoCellAnchor>
  <xdr:twoCellAnchor editAs="oneCell">
    <xdr:from>
      <xdr:col>0</xdr:col>
      <xdr:colOff>304800</xdr:colOff>
      <xdr:row>125</xdr:row>
      <xdr:rowOff>137160</xdr:rowOff>
    </xdr:from>
    <xdr:to>
      <xdr:col>4</xdr:col>
      <xdr:colOff>510540</xdr:colOff>
      <xdr:row>139</xdr:row>
      <xdr:rowOff>106680</xdr:rowOff>
    </xdr:to>
    <xdr:pic>
      <xdr:nvPicPr>
        <xdr:cNvPr id="11" name="Image 10">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10"/>
        <a:stretch/>
      </xdr:blipFill>
      <xdr:spPr bwMode="auto">
        <a:xfrm>
          <a:off x="304800" y="25537160"/>
          <a:ext cx="3507740" cy="2814320"/>
        </a:xfrm>
        <a:prstGeom prst="rect">
          <a:avLst/>
        </a:prstGeom>
        <a:noFill/>
      </xdr:spPr>
    </xdr:pic>
    <xdr:clientData/>
  </xdr:twoCellAnchor>
  <xdr:twoCellAnchor editAs="oneCell">
    <xdr:from>
      <xdr:col>0</xdr:col>
      <xdr:colOff>365760</xdr:colOff>
      <xdr:row>127</xdr:row>
      <xdr:rowOff>190500</xdr:rowOff>
    </xdr:from>
    <xdr:to>
      <xdr:col>5</xdr:col>
      <xdr:colOff>198121</xdr:colOff>
      <xdr:row>142</xdr:row>
      <xdr:rowOff>89251</xdr:rowOff>
    </xdr:to>
    <xdr:pic>
      <xdr:nvPicPr>
        <xdr:cNvPr id="12" name="Imag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xdr:blipFill>
      <xdr:spPr bwMode="auto">
        <a:xfrm>
          <a:off x="365761" y="25996900"/>
          <a:ext cx="3959860" cy="2946751"/>
        </a:xfrm>
        <a:prstGeom prst="rect">
          <a:avLst/>
        </a:prstGeom>
      </xdr:spPr>
    </xdr:pic>
    <xdr:clientData/>
  </xdr:twoCellAnchor>
  <xdr:twoCellAnchor editAs="oneCell">
    <xdr:from>
      <xdr:col>1</xdr:col>
      <xdr:colOff>304800</xdr:colOff>
      <xdr:row>129</xdr:row>
      <xdr:rowOff>38100</xdr:rowOff>
    </xdr:from>
    <xdr:to>
      <xdr:col>5</xdr:col>
      <xdr:colOff>601980</xdr:colOff>
      <xdr:row>142</xdr:row>
      <xdr:rowOff>160020</xdr:rowOff>
    </xdr:to>
    <xdr:pic>
      <xdr:nvPicPr>
        <xdr:cNvPr id="13" name="Image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12"/>
        <a:stretch/>
      </xdr:blipFill>
      <xdr:spPr bwMode="auto">
        <a:xfrm>
          <a:off x="1130300" y="26250900"/>
          <a:ext cx="3599180" cy="2763520"/>
        </a:xfrm>
        <a:prstGeom prst="rect">
          <a:avLst/>
        </a:prstGeom>
        <a:noFill/>
      </xdr:spPr>
    </xdr:pic>
    <xdr:clientData/>
  </xdr:twoCellAnchor>
  <xdr:twoCellAnchor editAs="oneCell">
    <xdr:from>
      <xdr:col>1</xdr:col>
      <xdr:colOff>228600</xdr:colOff>
      <xdr:row>130</xdr:row>
      <xdr:rowOff>167640</xdr:rowOff>
    </xdr:from>
    <xdr:to>
      <xdr:col>5</xdr:col>
      <xdr:colOff>495299</xdr:colOff>
      <xdr:row>143</xdr:row>
      <xdr:rowOff>190500</xdr:rowOff>
    </xdr:to>
    <xdr:pic>
      <xdr:nvPicPr>
        <xdr:cNvPr id="14" name="Image 13">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13"/>
        <a:stretch/>
      </xdr:blipFill>
      <xdr:spPr bwMode="auto">
        <a:xfrm>
          <a:off x="1054100" y="26583640"/>
          <a:ext cx="3568700" cy="2664459"/>
        </a:xfrm>
        <a:prstGeom prst="rect">
          <a:avLst/>
        </a:prstGeom>
        <a:noFill/>
      </xdr:spPr>
    </xdr:pic>
    <xdr:clientData/>
  </xdr:twoCellAnchor>
  <xdr:twoCellAnchor editAs="oneCell">
    <xdr:from>
      <xdr:col>0</xdr:col>
      <xdr:colOff>541019</xdr:colOff>
      <xdr:row>121</xdr:row>
      <xdr:rowOff>76200</xdr:rowOff>
    </xdr:from>
    <xdr:to>
      <xdr:col>4</xdr:col>
      <xdr:colOff>777240</xdr:colOff>
      <xdr:row>134</xdr:row>
      <xdr:rowOff>38100</xdr:rowOff>
    </xdr:to>
    <xdr:pic>
      <xdr:nvPicPr>
        <xdr:cNvPr id="15" name="Image 9">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14"/>
        <a:stretch/>
      </xdr:blipFill>
      <xdr:spPr bwMode="auto">
        <a:xfrm>
          <a:off x="541020" y="24663400"/>
          <a:ext cx="3538220" cy="2603500"/>
        </a:xfrm>
        <a:prstGeom prst="rect">
          <a:avLst/>
        </a:prstGeom>
        <a:noFill/>
      </xdr:spPr>
    </xdr:pic>
    <xdr:clientData/>
  </xdr:twoCellAnchor>
  <xdr:twoCellAnchor editAs="oneCell">
    <xdr:from>
      <xdr:col>0</xdr:col>
      <xdr:colOff>104776</xdr:colOff>
      <xdr:row>147</xdr:row>
      <xdr:rowOff>57150</xdr:rowOff>
    </xdr:from>
    <xdr:to>
      <xdr:col>5</xdr:col>
      <xdr:colOff>554668</xdr:colOff>
      <xdr:row>158</xdr:row>
      <xdr:rowOff>180975</xdr:rowOff>
    </xdr:to>
    <xdr:pic>
      <xdr:nvPicPr>
        <xdr:cNvPr id="16" name="Image 14">
          <a:extLst>
            <a:ext uri="{FF2B5EF4-FFF2-40B4-BE49-F238E27FC236}">
              <a16:creationId xmlns:a16="http://schemas.microsoft.com/office/drawing/2014/main" id="{00000000-0008-0000-0500-000010000000}"/>
            </a:ext>
          </a:extLst>
        </xdr:cNvPr>
        <xdr:cNvPicPr>
          <a:picLocks noChangeAspect="1" noChangeArrowheads="1"/>
        </xdr:cNvPicPr>
      </xdr:nvPicPr>
      <xdr:blipFill>
        <a:blip xmlns:r="http://schemas.openxmlformats.org/officeDocument/2006/relationships" r:embed="rId15"/>
        <a:stretch/>
      </xdr:blipFill>
      <xdr:spPr bwMode="auto">
        <a:xfrm>
          <a:off x="104776" y="29927550"/>
          <a:ext cx="4577392" cy="2359025"/>
        </a:xfrm>
        <a:prstGeom prst="rect">
          <a:avLst/>
        </a:prstGeom>
        <a:noFill/>
      </xdr:spPr>
    </xdr:pic>
    <xdr:clientData/>
  </xdr:twoCellAnchor>
  <xdr:twoCellAnchor editAs="oneCell">
    <xdr:from>
      <xdr:col>0</xdr:col>
      <xdr:colOff>0</xdr:colOff>
      <xdr:row>161</xdr:row>
      <xdr:rowOff>95250</xdr:rowOff>
    </xdr:from>
    <xdr:to>
      <xdr:col>5</xdr:col>
      <xdr:colOff>617005</xdr:colOff>
      <xdr:row>170</xdr:row>
      <xdr:rowOff>9183</xdr:rowOff>
    </xdr:to>
    <xdr:pic>
      <xdr:nvPicPr>
        <xdr:cNvPr id="17" name="Image 15">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xdr:blipFill>
      <xdr:spPr bwMode="auto">
        <a:xfrm>
          <a:off x="0" y="32810450"/>
          <a:ext cx="4744505" cy="1742733"/>
        </a:xfrm>
        <a:prstGeom prst="rect">
          <a:avLst/>
        </a:prstGeom>
      </xdr:spPr>
    </xdr:pic>
    <xdr:clientData/>
  </xdr:twoCellAnchor>
  <xdr:twoCellAnchor editAs="oneCell">
    <xdr:from>
      <xdr:col>1</xdr:col>
      <xdr:colOff>818484</xdr:colOff>
      <xdr:row>194</xdr:row>
      <xdr:rowOff>43894</xdr:rowOff>
    </xdr:from>
    <xdr:to>
      <xdr:col>6</xdr:col>
      <xdr:colOff>402115</xdr:colOff>
      <xdr:row>205</xdr:row>
      <xdr:rowOff>171958</xdr:rowOff>
    </xdr:to>
    <xdr:pic>
      <xdr:nvPicPr>
        <xdr:cNvPr id="18" name="Image 16">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17"/>
        <a:stretch/>
      </xdr:blipFill>
      <xdr:spPr bwMode="auto">
        <a:xfrm>
          <a:off x="1643984" y="39464694"/>
          <a:ext cx="3711130" cy="2363265"/>
        </a:xfrm>
        <a:prstGeom prst="rect">
          <a:avLst/>
        </a:prstGeom>
        <a:noFill/>
      </xdr:spPr>
    </xdr:pic>
    <xdr:clientData/>
  </xdr:twoCellAnchor>
  <xdr:twoCellAnchor editAs="oneCell">
    <xdr:from>
      <xdr:col>0</xdr:col>
      <xdr:colOff>746014</xdr:colOff>
      <xdr:row>194</xdr:row>
      <xdr:rowOff>147892</xdr:rowOff>
    </xdr:from>
    <xdr:to>
      <xdr:col>4</xdr:col>
      <xdr:colOff>293939</xdr:colOff>
      <xdr:row>207</xdr:row>
      <xdr:rowOff>128430</xdr:rowOff>
    </xdr:to>
    <xdr:pic>
      <xdr:nvPicPr>
        <xdr:cNvPr id="19" name="Image 17">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8"/>
        <a:stretch/>
      </xdr:blipFill>
      <xdr:spPr bwMode="auto">
        <a:xfrm>
          <a:off x="746014" y="39568692"/>
          <a:ext cx="2849925" cy="2622139"/>
        </a:xfrm>
        <a:prstGeom prst="rect">
          <a:avLst/>
        </a:prstGeom>
      </xdr:spPr>
    </xdr:pic>
    <xdr:clientData/>
  </xdr:twoCellAnchor>
  <xdr:twoCellAnchor editAs="oneCell">
    <xdr:from>
      <xdr:col>4</xdr:col>
      <xdr:colOff>579849</xdr:colOff>
      <xdr:row>197</xdr:row>
      <xdr:rowOff>189211</xdr:rowOff>
    </xdr:from>
    <xdr:to>
      <xdr:col>8</xdr:col>
      <xdr:colOff>668800</xdr:colOff>
      <xdr:row>214</xdr:row>
      <xdr:rowOff>141587</xdr:rowOff>
    </xdr:to>
    <xdr:pic>
      <xdr:nvPicPr>
        <xdr:cNvPr id="20" name="Image 18">
          <a:extLst>
            <a:ext uri="{FF2B5EF4-FFF2-40B4-BE49-F238E27FC236}">
              <a16:creationId xmlns:a16="http://schemas.microsoft.com/office/drawing/2014/main" id="{00000000-0008-0000-0500-000014000000}"/>
            </a:ext>
          </a:extLst>
        </xdr:cNvPr>
        <xdr:cNvPicPr>
          <a:picLocks noChangeAspect="1" noChangeArrowheads="1"/>
        </xdr:cNvPicPr>
      </xdr:nvPicPr>
      <xdr:blipFill>
        <a:blip xmlns:r="http://schemas.openxmlformats.org/officeDocument/2006/relationships" r:embed="rId19"/>
        <a:stretch/>
      </xdr:blipFill>
      <xdr:spPr bwMode="auto">
        <a:xfrm>
          <a:off x="3881849" y="40219612"/>
          <a:ext cx="3390952" cy="3406775"/>
        </a:xfrm>
        <a:prstGeom prst="rect">
          <a:avLst/>
        </a:prstGeom>
        <a:noFill/>
      </xdr:spPr>
    </xdr:pic>
    <xdr:clientData/>
  </xdr:twoCellAnchor>
  <xdr:twoCellAnchor editAs="oneCell">
    <xdr:from>
      <xdr:col>26</xdr:col>
      <xdr:colOff>549874</xdr:colOff>
      <xdr:row>197</xdr:row>
      <xdr:rowOff>95250</xdr:rowOff>
    </xdr:from>
    <xdr:to>
      <xdr:col>30</xdr:col>
      <xdr:colOff>18389</xdr:colOff>
      <xdr:row>214</xdr:row>
      <xdr:rowOff>152400</xdr:rowOff>
    </xdr:to>
    <xdr:pic>
      <xdr:nvPicPr>
        <xdr:cNvPr id="21" name="Image 19">
          <a:extLst>
            <a:ext uri="{FF2B5EF4-FFF2-40B4-BE49-F238E27FC236}">
              <a16:creationId xmlns:a16="http://schemas.microsoft.com/office/drawing/2014/main" id="{00000000-0008-0000-0500-000015000000}"/>
            </a:ext>
          </a:extLst>
        </xdr:cNvPr>
        <xdr:cNvPicPr>
          <a:picLocks noChangeAspect="1" noChangeArrowheads="1"/>
        </xdr:cNvPicPr>
      </xdr:nvPicPr>
      <xdr:blipFill>
        <a:blip xmlns:r="http://schemas.openxmlformats.org/officeDocument/2006/relationships" r:embed="rId20"/>
        <a:stretch/>
      </xdr:blipFill>
      <xdr:spPr bwMode="auto">
        <a:xfrm>
          <a:off x="21962074" y="40125649"/>
          <a:ext cx="3316615" cy="3511550"/>
        </a:xfrm>
        <a:prstGeom prst="rect">
          <a:avLst/>
        </a:prstGeom>
        <a:noFill/>
      </xdr:spPr>
    </xdr:pic>
    <xdr:clientData/>
  </xdr:twoCellAnchor>
  <xdr:twoCellAnchor editAs="oneCell">
    <xdr:from>
      <xdr:col>28</xdr:col>
      <xdr:colOff>593125</xdr:colOff>
      <xdr:row>197</xdr:row>
      <xdr:rowOff>19183</xdr:rowOff>
    </xdr:from>
    <xdr:to>
      <xdr:col>33</xdr:col>
      <xdr:colOff>119076</xdr:colOff>
      <xdr:row>212</xdr:row>
      <xdr:rowOff>128197</xdr:rowOff>
    </xdr:to>
    <xdr:pic>
      <xdr:nvPicPr>
        <xdr:cNvPr id="22" name="Image 20">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21"/>
        <a:stretch/>
      </xdr:blipFill>
      <xdr:spPr bwMode="auto">
        <a:xfrm>
          <a:off x="23656325" y="40049583"/>
          <a:ext cx="4199551" cy="3157015"/>
        </a:xfrm>
        <a:prstGeom prst="rect">
          <a:avLst/>
        </a:prstGeom>
        <a:noFill/>
      </xdr:spPr>
    </xdr:pic>
    <xdr:clientData/>
  </xdr:twoCellAnchor>
  <xdr:twoCellAnchor editAs="oneCell">
    <xdr:from>
      <xdr:col>1</xdr:col>
      <xdr:colOff>0</xdr:colOff>
      <xdr:row>220</xdr:row>
      <xdr:rowOff>0</xdr:rowOff>
    </xdr:from>
    <xdr:to>
      <xdr:col>7</xdr:col>
      <xdr:colOff>520608</xdr:colOff>
      <xdr:row>243</xdr:row>
      <xdr:rowOff>160020</xdr:rowOff>
    </xdr:to>
    <xdr:pic>
      <xdr:nvPicPr>
        <xdr:cNvPr id="23" name="Image 21">
          <a:extLst>
            <a:ext uri="{FF2B5EF4-FFF2-40B4-BE49-F238E27FC236}">
              <a16:creationId xmlns:a16="http://schemas.microsoft.com/office/drawing/2014/main" id="{00000000-0008-0000-0500-000017000000}"/>
            </a:ext>
          </a:extLst>
        </xdr:cNvPr>
        <xdr:cNvPicPr>
          <a:picLocks noChangeAspect="1" noChangeArrowheads="1"/>
        </xdr:cNvPicPr>
      </xdr:nvPicPr>
      <xdr:blipFill>
        <a:blip xmlns:r="http://schemas.openxmlformats.org/officeDocument/2006/relationships" r:embed="rId22"/>
        <a:stretch/>
      </xdr:blipFill>
      <xdr:spPr bwMode="auto">
        <a:xfrm>
          <a:off x="825500" y="44704000"/>
          <a:ext cx="5473609" cy="4833620"/>
        </a:xfrm>
        <a:prstGeom prst="rect">
          <a:avLst/>
        </a:prstGeom>
        <a:noFill/>
      </xdr:spPr>
    </xdr:pic>
    <xdr:clientData/>
  </xdr:twoCellAnchor>
  <xdr:twoCellAnchor editAs="oneCell">
    <xdr:from>
      <xdr:col>1</xdr:col>
      <xdr:colOff>304800</xdr:colOff>
      <xdr:row>221</xdr:row>
      <xdr:rowOff>99060</xdr:rowOff>
    </xdr:from>
    <xdr:to>
      <xdr:col>7</xdr:col>
      <xdr:colOff>687626</xdr:colOff>
      <xdr:row>242</xdr:row>
      <xdr:rowOff>137160</xdr:rowOff>
    </xdr:to>
    <xdr:pic>
      <xdr:nvPicPr>
        <xdr:cNvPr id="24" name="Image 22">
          <a:extLst>
            <a:ext uri="{FF2B5EF4-FFF2-40B4-BE49-F238E27FC236}">
              <a16:creationId xmlns:a16="http://schemas.microsoft.com/office/drawing/2014/main" id="{00000000-0008-0000-0500-000018000000}"/>
            </a:ext>
          </a:extLst>
        </xdr:cNvPr>
        <xdr:cNvPicPr>
          <a:picLocks noChangeAspect="1" noChangeArrowheads="1"/>
        </xdr:cNvPicPr>
      </xdr:nvPicPr>
      <xdr:blipFill>
        <a:blip xmlns:r="http://schemas.openxmlformats.org/officeDocument/2006/relationships" r:embed="rId23"/>
        <a:stretch/>
      </xdr:blipFill>
      <xdr:spPr bwMode="auto">
        <a:xfrm>
          <a:off x="1130300" y="45006260"/>
          <a:ext cx="5335826" cy="4305300"/>
        </a:xfrm>
        <a:prstGeom prst="rect">
          <a:avLst/>
        </a:prstGeom>
        <a:noFill/>
      </xdr:spPr>
    </xdr:pic>
    <xdr:clientData/>
  </xdr:twoCellAnchor>
  <xdr:twoCellAnchor editAs="oneCell">
    <xdr:from>
      <xdr:col>1</xdr:col>
      <xdr:colOff>518159</xdr:colOff>
      <xdr:row>222</xdr:row>
      <xdr:rowOff>149062</xdr:rowOff>
    </xdr:from>
    <xdr:to>
      <xdr:col>7</xdr:col>
      <xdr:colOff>571500</xdr:colOff>
      <xdr:row>243</xdr:row>
      <xdr:rowOff>99058</xdr:rowOff>
    </xdr:to>
    <xdr:pic>
      <xdr:nvPicPr>
        <xdr:cNvPr id="25" name="Image 23">
          <a:extLst>
            <a:ext uri="{FF2B5EF4-FFF2-40B4-BE49-F238E27FC236}">
              <a16:creationId xmlns:a16="http://schemas.microsoft.com/office/drawing/2014/main" id="{00000000-0008-0000-0500-000019000000}"/>
            </a:ext>
          </a:extLst>
        </xdr:cNvPr>
        <xdr:cNvPicPr>
          <a:picLocks noChangeAspect="1" noChangeArrowheads="1"/>
        </xdr:cNvPicPr>
      </xdr:nvPicPr>
      <xdr:blipFill>
        <a:blip xmlns:r="http://schemas.openxmlformats.org/officeDocument/2006/relationships" r:embed="rId24"/>
        <a:stretch/>
      </xdr:blipFill>
      <xdr:spPr bwMode="auto">
        <a:xfrm>
          <a:off x="1343660" y="45259462"/>
          <a:ext cx="5006340" cy="4217197"/>
        </a:xfrm>
        <a:prstGeom prst="rect">
          <a:avLst/>
        </a:prstGeom>
        <a:noFill/>
      </xdr:spPr>
    </xdr:pic>
    <xdr:clientData/>
  </xdr:twoCellAnchor>
  <xdr:twoCellAnchor editAs="oneCell">
    <xdr:from>
      <xdr:col>1</xdr:col>
      <xdr:colOff>708660</xdr:colOff>
      <xdr:row>224</xdr:row>
      <xdr:rowOff>45720</xdr:rowOff>
    </xdr:from>
    <xdr:to>
      <xdr:col>7</xdr:col>
      <xdr:colOff>535298</xdr:colOff>
      <xdr:row>243</xdr:row>
      <xdr:rowOff>167640</xdr:rowOff>
    </xdr:to>
    <xdr:pic>
      <xdr:nvPicPr>
        <xdr:cNvPr id="26" name="Image 24">
          <a:extLst>
            <a:ext uri="{FF2B5EF4-FFF2-40B4-BE49-F238E27FC236}">
              <a16:creationId xmlns:a16="http://schemas.microsoft.com/office/drawing/2014/main" id="{00000000-0008-0000-0500-00001A000000}"/>
            </a:ext>
          </a:extLst>
        </xdr:cNvPr>
        <xdr:cNvPicPr>
          <a:picLocks noChangeAspect="1" noChangeArrowheads="1"/>
        </xdr:cNvPicPr>
      </xdr:nvPicPr>
      <xdr:blipFill>
        <a:blip xmlns:r="http://schemas.openxmlformats.org/officeDocument/2006/relationships" r:embed="rId25"/>
        <a:stretch/>
      </xdr:blipFill>
      <xdr:spPr bwMode="auto">
        <a:xfrm>
          <a:off x="1534159" y="45562520"/>
          <a:ext cx="4779638" cy="3982720"/>
        </a:xfrm>
        <a:prstGeom prst="rect">
          <a:avLst/>
        </a:prstGeom>
        <a:noFill/>
      </xdr:spPr>
    </xdr:pic>
    <xdr:clientData/>
  </xdr:twoCellAnchor>
  <xdr:twoCellAnchor editAs="oneCell">
    <xdr:from>
      <xdr:col>1</xdr:col>
      <xdr:colOff>259976</xdr:colOff>
      <xdr:row>246</xdr:row>
      <xdr:rowOff>116542</xdr:rowOff>
    </xdr:from>
    <xdr:to>
      <xdr:col>6</xdr:col>
      <xdr:colOff>526676</xdr:colOff>
      <xdr:row>267</xdr:row>
      <xdr:rowOff>185122</xdr:rowOff>
    </xdr:to>
    <xdr:pic>
      <xdr:nvPicPr>
        <xdr:cNvPr id="27" name="Image 25">
          <a:extLst>
            <a:ext uri="{FF2B5EF4-FFF2-40B4-BE49-F238E27FC236}">
              <a16:creationId xmlns:a16="http://schemas.microsoft.com/office/drawing/2014/main" id="{00000000-0008-0000-0500-00001B000000}"/>
            </a:ext>
          </a:extLst>
        </xdr:cNvPr>
        <xdr:cNvPicPr>
          <a:picLocks noChangeAspect="1" noChangeArrowheads="1"/>
        </xdr:cNvPicPr>
      </xdr:nvPicPr>
      <xdr:blipFill>
        <a:blip xmlns:r="http://schemas.openxmlformats.org/officeDocument/2006/relationships" r:embed="rId26"/>
        <a:stretch/>
      </xdr:blipFill>
      <xdr:spPr bwMode="auto">
        <a:xfrm>
          <a:off x="1085476" y="50103742"/>
          <a:ext cx="4394200" cy="4335780"/>
        </a:xfrm>
        <a:prstGeom prst="rect">
          <a:avLst/>
        </a:prstGeom>
        <a:noFill/>
      </xdr:spPr>
    </xdr:pic>
    <xdr:clientData/>
  </xdr:twoCellAnchor>
  <xdr:twoCellAnchor editAs="oneCell">
    <xdr:from>
      <xdr:col>2</xdr:col>
      <xdr:colOff>358588</xdr:colOff>
      <xdr:row>248</xdr:row>
      <xdr:rowOff>179294</xdr:rowOff>
    </xdr:from>
    <xdr:to>
      <xdr:col>7</xdr:col>
      <xdr:colOff>655768</xdr:colOff>
      <xdr:row>272</xdr:row>
      <xdr:rowOff>81131</xdr:rowOff>
    </xdr:to>
    <xdr:pic>
      <xdr:nvPicPr>
        <xdr:cNvPr id="28" name="Image 26">
          <a:extLst>
            <a:ext uri="{FF2B5EF4-FFF2-40B4-BE49-F238E27FC236}">
              <a16:creationId xmlns:a16="http://schemas.microsoft.com/office/drawing/2014/main" id="{00000000-0008-0000-0500-00001C000000}"/>
            </a:ext>
          </a:extLst>
        </xdr:cNvPr>
        <xdr:cNvPicPr>
          <a:picLocks noChangeAspect="1" noChangeArrowheads="1"/>
        </xdr:cNvPicPr>
      </xdr:nvPicPr>
      <xdr:blipFill>
        <a:blip xmlns:r="http://schemas.openxmlformats.org/officeDocument/2006/relationships" r:embed="rId27"/>
        <a:stretch/>
      </xdr:blipFill>
      <xdr:spPr bwMode="auto">
        <a:xfrm>
          <a:off x="2009587" y="50572894"/>
          <a:ext cx="4424680" cy="4778637"/>
        </a:xfrm>
        <a:prstGeom prst="rect">
          <a:avLst/>
        </a:prstGeom>
        <a:noFill/>
      </xdr:spPr>
    </xdr:pic>
    <xdr:clientData/>
  </xdr:twoCellAnchor>
  <xdr:twoCellAnchor editAs="oneCell">
    <xdr:from>
      <xdr:col>1</xdr:col>
      <xdr:colOff>185057</xdr:colOff>
      <xdr:row>274</xdr:row>
      <xdr:rowOff>160083</xdr:rowOff>
    </xdr:from>
    <xdr:to>
      <xdr:col>6</xdr:col>
      <xdr:colOff>451757</xdr:colOff>
      <xdr:row>287</xdr:row>
      <xdr:rowOff>138119</xdr:rowOff>
    </xdr:to>
    <xdr:pic>
      <xdr:nvPicPr>
        <xdr:cNvPr id="29" name="Image 27">
          <a:extLst>
            <a:ext uri="{FF2B5EF4-FFF2-40B4-BE49-F238E27FC236}">
              <a16:creationId xmlns:a16="http://schemas.microsoft.com/office/drawing/2014/main" id="{00000000-0008-0000-0500-00001D000000}"/>
            </a:ext>
          </a:extLst>
        </xdr:cNvPr>
        <xdr:cNvPicPr>
          <a:picLocks noChangeAspect="1" noChangeArrowheads="1"/>
        </xdr:cNvPicPr>
      </xdr:nvPicPr>
      <xdr:blipFill>
        <a:blip xmlns:r="http://schemas.openxmlformats.org/officeDocument/2006/relationships" r:embed="rId28"/>
        <a:stretch/>
      </xdr:blipFill>
      <xdr:spPr bwMode="auto">
        <a:xfrm>
          <a:off x="1010557" y="55836883"/>
          <a:ext cx="4394200" cy="2619636"/>
        </a:xfrm>
        <a:prstGeom prst="rect">
          <a:avLst/>
        </a:prstGeom>
        <a:noFill/>
      </xdr:spPr>
    </xdr:pic>
    <xdr:clientData/>
  </xdr:twoCellAnchor>
  <xdr:twoCellAnchor editAs="oneCell">
    <xdr:from>
      <xdr:col>1</xdr:col>
      <xdr:colOff>403412</xdr:colOff>
      <xdr:row>276</xdr:row>
      <xdr:rowOff>44825</xdr:rowOff>
    </xdr:from>
    <xdr:to>
      <xdr:col>6</xdr:col>
      <xdr:colOff>670113</xdr:colOff>
      <xdr:row>288</xdr:row>
      <xdr:rowOff>105783</xdr:rowOff>
    </xdr:to>
    <xdr:pic>
      <xdr:nvPicPr>
        <xdr:cNvPr id="30" name="Image 28">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29"/>
        <a:stretch/>
      </xdr:blipFill>
      <xdr:spPr bwMode="auto">
        <a:xfrm>
          <a:off x="1228912" y="56128025"/>
          <a:ext cx="4394201" cy="2499360"/>
        </a:xfrm>
        <a:prstGeom prst="rect">
          <a:avLst/>
        </a:prstGeom>
        <a:noFill/>
      </xdr:spPr>
    </xdr:pic>
    <xdr:clientData/>
  </xdr:twoCellAnchor>
  <xdr:twoCellAnchor editAs="oneCell">
    <xdr:from>
      <xdr:col>1</xdr:col>
      <xdr:colOff>744070</xdr:colOff>
      <xdr:row>277</xdr:row>
      <xdr:rowOff>62752</xdr:rowOff>
    </xdr:from>
    <xdr:to>
      <xdr:col>6</xdr:col>
      <xdr:colOff>797411</xdr:colOff>
      <xdr:row>289</xdr:row>
      <xdr:rowOff>56029</xdr:rowOff>
    </xdr:to>
    <xdr:pic>
      <xdr:nvPicPr>
        <xdr:cNvPr id="31" name="Image 29">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30"/>
        <a:stretch/>
      </xdr:blipFill>
      <xdr:spPr bwMode="auto">
        <a:xfrm>
          <a:off x="1569570" y="56349153"/>
          <a:ext cx="4180841" cy="2431676"/>
        </a:xfrm>
        <a:prstGeom prst="rect">
          <a:avLst/>
        </a:prstGeom>
        <a:noFill/>
      </xdr:spPr>
    </xdr:pic>
    <xdr:clientData/>
  </xdr:twoCellAnchor>
  <xdr:twoCellAnchor editAs="oneCell">
    <xdr:from>
      <xdr:col>2</xdr:col>
      <xdr:colOff>130627</xdr:colOff>
      <xdr:row>278</xdr:row>
      <xdr:rowOff>130627</xdr:rowOff>
    </xdr:from>
    <xdr:to>
      <xdr:col>7</xdr:col>
      <xdr:colOff>214448</xdr:colOff>
      <xdr:row>290</xdr:row>
      <xdr:rowOff>102322</xdr:rowOff>
    </xdr:to>
    <xdr:pic>
      <xdr:nvPicPr>
        <xdr:cNvPr id="32" name="Image 30">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31"/>
        <a:stretch/>
      </xdr:blipFill>
      <xdr:spPr bwMode="auto">
        <a:xfrm>
          <a:off x="1781628" y="56620228"/>
          <a:ext cx="4211320" cy="2410096"/>
        </a:xfrm>
        <a:prstGeom prst="rect">
          <a:avLst/>
        </a:prstGeom>
        <a:noFill/>
      </xdr:spPr>
    </xdr:pic>
    <xdr:clientData/>
  </xdr:twoCellAnchor>
  <xdr:twoCellAnchor editAs="oneCell">
    <xdr:from>
      <xdr:col>2</xdr:col>
      <xdr:colOff>348341</xdr:colOff>
      <xdr:row>280</xdr:row>
      <xdr:rowOff>0</xdr:rowOff>
    </xdr:from>
    <xdr:to>
      <xdr:col>7</xdr:col>
      <xdr:colOff>432162</xdr:colOff>
      <xdr:row>292</xdr:row>
      <xdr:rowOff>53340</xdr:rowOff>
    </xdr:to>
    <xdr:pic>
      <xdr:nvPicPr>
        <xdr:cNvPr id="33" name="Image 31">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32"/>
        <a:stretch/>
      </xdr:blipFill>
      <xdr:spPr bwMode="auto">
        <a:xfrm>
          <a:off x="1999342" y="56896000"/>
          <a:ext cx="4211320" cy="2491740"/>
        </a:xfrm>
        <a:prstGeom prst="rect">
          <a:avLst/>
        </a:prstGeom>
        <a:noFill/>
      </xdr:spPr>
    </xdr:pic>
    <xdr:clientData/>
  </xdr:twoCellAnchor>
  <xdr:twoCellAnchor editAs="oneCell">
    <xdr:from>
      <xdr:col>0</xdr:col>
      <xdr:colOff>337457</xdr:colOff>
      <xdr:row>359</xdr:row>
      <xdr:rowOff>174172</xdr:rowOff>
    </xdr:from>
    <xdr:to>
      <xdr:col>8</xdr:col>
      <xdr:colOff>695596</xdr:colOff>
      <xdr:row>382</xdr:row>
      <xdr:rowOff>69670</xdr:rowOff>
    </xdr:to>
    <xdr:pic>
      <xdr:nvPicPr>
        <xdr:cNvPr id="34" name="Image 32">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33"/>
        <a:stretch/>
      </xdr:blipFill>
      <xdr:spPr bwMode="auto">
        <a:xfrm>
          <a:off x="337457" y="73122972"/>
          <a:ext cx="6962140" cy="4569098"/>
        </a:xfrm>
        <a:prstGeom prst="rect">
          <a:avLst/>
        </a:prstGeom>
        <a:noFill/>
      </xdr:spPr>
    </xdr:pic>
    <xdr:clientData/>
  </xdr:twoCellAnchor>
  <xdr:twoCellAnchor editAs="oneCell">
    <xdr:from>
      <xdr:col>0</xdr:col>
      <xdr:colOff>729342</xdr:colOff>
      <xdr:row>360</xdr:row>
      <xdr:rowOff>10886</xdr:rowOff>
    </xdr:from>
    <xdr:to>
      <xdr:col>9</xdr:col>
      <xdr:colOff>177438</xdr:colOff>
      <xdr:row>382</xdr:row>
      <xdr:rowOff>186146</xdr:rowOff>
    </xdr:to>
    <xdr:pic>
      <xdr:nvPicPr>
        <xdr:cNvPr id="35" name="Image 33">
          <a:extLst>
            <a:ext uri="{FF2B5EF4-FFF2-40B4-BE49-F238E27FC236}">
              <a16:creationId xmlns:a16="http://schemas.microsoft.com/office/drawing/2014/main" id="{00000000-0008-0000-0500-000023000000}"/>
            </a:ext>
          </a:extLst>
        </xdr:cNvPr>
        <xdr:cNvPicPr>
          <a:picLocks noChangeAspect="1" noChangeArrowheads="1"/>
        </xdr:cNvPicPr>
      </xdr:nvPicPr>
      <xdr:blipFill>
        <a:blip xmlns:r="http://schemas.openxmlformats.org/officeDocument/2006/relationships" r:embed="rId34"/>
        <a:stretch/>
      </xdr:blipFill>
      <xdr:spPr bwMode="auto">
        <a:xfrm>
          <a:off x="729343" y="73162886"/>
          <a:ext cx="6877595" cy="4645660"/>
        </a:xfrm>
        <a:prstGeom prst="rect">
          <a:avLst/>
        </a:prstGeom>
        <a:noFill/>
      </xdr:spPr>
    </xdr:pic>
    <xdr:clientData/>
  </xdr:twoCellAnchor>
  <xdr:twoCellAnchor editAs="oneCell">
    <xdr:from>
      <xdr:col>1</xdr:col>
      <xdr:colOff>141514</xdr:colOff>
      <xdr:row>360</xdr:row>
      <xdr:rowOff>0</xdr:rowOff>
    </xdr:from>
    <xdr:to>
      <xdr:col>10</xdr:col>
      <xdr:colOff>103414</xdr:colOff>
      <xdr:row>383</xdr:row>
      <xdr:rowOff>175260</xdr:rowOff>
    </xdr:to>
    <xdr:pic>
      <xdr:nvPicPr>
        <xdr:cNvPr id="36" name="Image 34">
          <a:extLst>
            <a:ext uri="{FF2B5EF4-FFF2-40B4-BE49-F238E27FC236}">
              <a16:creationId xmlns:a16="http://schemas.microsoft.com/office/drawing/2014/main" id="{00000000-0008-0000-0500-000024000000}"/>
            </a:ext>
          </a:extLst>
        </xdr:cNvPr>
        <xdr:cNvPicPr>
          <a:picLocks noChangeAspect="1" noChangeArrowheads="1"/>
        </xdr:cNvPicPr>
      </xdr:nvPicPr>
      <xdr:blipFill>
        <a:blip xmlns:r="http://schemas.openxmlformats.org/officeDocument/2006/relationships" r:embed="rId35"/>
        <a:stretch/>
      </xdr:blipFill>
      <xdr:spPr bwMode="auto">
        <a:xfrm>
          <a:off x="967014" y="73152000"/>
          <a:ext cx="7391400" cy="4848860"/>
        </a:xfrm>
        <a:prstGeom prst="rect">
          <a:avLst/>
        </a:prstGeom>
        <a:noFill/>
      </xdr:spPr>
    </xdr:pic>
    <xdr:clientData/>
  </xdr:twoCellAnchor>
  <xdr:twoCellAnchor editAs="oneCell">
    <xdr:from>
      <xdr:col>0</xdr:col>
      <xdr:colOff>500742</xdr:colOff>
      <xdr:row>379</xdr:row>
      <xdr:rowOff>97971</xdr:rowOff>
    </xdr:from>
    <xdr:to>
      <xdr:col>7</xdr:col>
      <xdr:colOff>661905</xdr:colOff>
      <xdr:row>392</xdr:row>
      <xdr:rowOff>84047</xdr:rowOff>
    </xdr:to>
    <xdr:pic>
      <xdr:nvPicPr>
        <xdr:cNvPr id="37" name="Image 35">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xdr:blipFill>
      <xdr:spPr bwMode="auto">
        <a:xfrm>
          <a:off x="500743" y="77110771"/>
          <a:ext cx="5939662" cy="2627676"/>
        </a:xfrm>
        <a:prstGeom prst="rect">
          <a:avLst/>
        </a:prstGeom>
      </xdr:spPr>
    </xdr:pic>
    <xdr:clientData/>
  </xdr:twoCellAnchor>
  <xdr:twoCellAnchor editAs="oneCell">
    <xdr:from>
      <xdr:col>0</xdr:col>
      <xdr:colOff>0</xdr:colOff>
      <xdr:row>417</xdr:row>
      <xdr:rowOff>81642</xdr:rowOff>
    </xdr:from>
    <xdr:to>
      <xdr:col>9</xdr:col>
      <xdr:colOff>17689</xdr:colOff>
      <xdr:row>439</xdr:row>
      <xdr:rowOff>10884</xdr:rowOff>
    </xdr:to>
    <xdr:pic>
      <xdr:nvPicPr>
        <xdr:cNvPr id="38" name="Image 37">
          <a:extLst>
            <a:ext uri="{FF2B5EF4-FFF2-40B4-BE49-F238E27FC236}">
              <a16:creationId xmlns:a16="http://schemas.microsoft.com/office/drawing/2014/main" id="{00000000-0008-0000-0500-000026000000}"/>
            </a:ext>
          </a:extLst>
        </xdr:cNvPr>
        <xdr:cNvPicPr>
          <a:picLocks noChangeAspect="1" noChangeArrowheads="1"/>
        </xdr:cNvPicPr>
      </xdr:nvPicPr>
      <xdr:blipFill>
        <a:blip xmlns:r="http://schemas.openxmlformats.org/officeDocument/2006/relationships" r:embed="rId37"/>
        <a:stretch/>
      </xdr:blipFill>
      <xdr:spPr bwMode="auto">
        <a:xfrm>
          <a:off x="0" y="84816041"/>
          <a:ext cx="7447189" cy="4399643"/>
        </a:xfrm>
        <a:prstGeom prst="rect">
          <a:avLst/>
        </a:prstGeom>
        <a:noFill/>
      </xdr:spPr>
    </xdr:pic>
    <xdr:clientData/>
  </xdr:twoCellAnchor>
  <xdr:twoCellAnchor editAs="oneCell">
    <xdr:from>
      <xdr:col>0</xdr:col>
      <xdr:colOff>0</xdr:colOff>
      <xdr:row>423</xdr:row>
      <xdr:rowOff>95250</xdr:rowOff>
    </xdr:from>
    <xdr:to>
      <xdr:col>8</xdr:col>
      <xdr:colOff>741590</xdr:colOff>
      <xdr:row>444</xdr:row>
      <xdr:rowOff>114300</xdr:rowOff>
    </xdr:to>
    <xdr:pic>
      <xdr:nvPicPr>
        <xdr:cNvPr id="39" name="Image 38">
          <a:extLst>
            <a:ext uri="{FF2B5EF4-FFF2-40B4-BE49-F238E27FC236}">
              <a16:creationId xmlns:a16="http://schemas.microsoft.com/office/drawing/2014/main" id="{00000000-0008-0000-0500-000027000000}"/>
            </a:ext>
          </a:extLst>
        </xdr:cNvPr>
        <xdr:cNvPicPr>
          <a:picLocks noChangeAspect="1" noChangeArrowheads="1"/>
        </xdr:cNvPicPr>
      </xdr:nvPicPr>
      <xdr:blipFill>
        <a:blip xmlns:r="http://schemas.openxmlformats.org/officeDocument/2006/relationships" r:embed="rId38"/>
        <a:stretch/>
      </xdr:blipFill>
      <xdr:spPr bwMode="auto">
        <a:xfrm>
          <a:off x="0" y="86048850"/>
          <a:ext cx="7345590" cy="4286250"/>
        </a:xfrm>
        <a:prstGeom prst="rect">
          <a:avLst/>
        </a:prstGeom>
        <a:noFill/>
      </xdr:spPr>
    </xdr:pic>
    <xdr:clientData/>
  </xdr:twoCellAnchor>
  <xdr:twoCellAnchor editAs="oneCell">
    <xdr:from>
      <xdr:col>0</xdr:col>
      <xdr:colOff>1</xdr:colOff>
      <xdr:row>428</xdr:row>
      <xdr:rowOff>176895</xdr:rowOff>
    </xdr:from>
    <xdr:to>
      <xdr:col>8</xdr:col>
      <xdr:colOff>469576</xdr:colOff>
      <xdr:row>448</xdr:row>
      <xdr:rowOff>176894</xdr:rowOff>
    </xdr:to>
    <xdr:pic>
      <xdr:nvPicPr>
        <xdr:cNvPr id="40" name="Image 39">
          <a:extLst>
            <a:ext uri="{FF2B5EF4-FFF2-40B4-BE49-F238E27FC236}">
              <a16:creationId xmlns:a16="http://schemas.microsoft.com/office/drawing/2014/main" id="{00000000-0008-0000-0500-000028000000}"/>
            </a:ext>
          </a:extLst>
        </xdr:cNvPr>
        <xdr:cNvPicPr>
          <a:picLocks noChangeAspect="1" noChangeArrowheads="1"/>
        </xdr:cNvPicPr>
      </xdr:nvPicPr>
      <xdr:blipFill>
        <a:blip xmlns:r="http://schemas.openxmlformats.org/officeDocument/2006/relationships" r:embed="rId39"/>
        <a:stretch/>
      </xdr:blipFill>
      <xdr:spPr bwMode="auto">
        <a:xfrm>
          <a:off x="1" y="87146495"/>
          <a:ext cx="7073575" cy="4063999"/>
        </a:xfrm>
        <a:prstGeom prst="rect">
          <a:avLst/>
        </a:prstGeom>
        <a:noFill/>
      </xdr:spPr>
    </xdr:pic>
    <xdr:clientData/>
  </xdr:twoCellAnchor>
  <xdr:twoCellAnchor editAs="oneCell">
    <xdr:from>
      <xdr:col>0</xdr:col>
      <xdr:colOff>0</xdr:colOff>
      <xdr:row>433</xdr:row>
      <xdr:rowOff>40823</xdr:rowOff>
    </xdr:from>
    <xdr:to>
      <xdr:col>8</xdr:col>
      <xdr:colOff>1346</xdr:colOff>
      <xdr:row>451</xdr:row>
      <xdr:rowOff>108858</xdr:rowOff>
    </xdr:to>
    <xdr:pic>
      <xdr:nvPicPr>
        <xdr:cNvPr id="41" name="Image 40">
          <a:extLst>
            <a:ext uri="{FF2B5EF4-FFF2-40B4-BE49-F238E27FC236}">
              <a16:creationId xmlns:a16="http://schemas.microsoft.com/office/drawing/2014/main" id="{00000000-0008-0000-0500-000029000000}"/>
            </a:ext>
          </a:extLst>
        </xdr:cNvPr>
        <xdr:cNvPicPr>
          <a:picLocks noChangeAspect="1" noChangeArrowheads="1"/>
        </xdr:cNvPicPr>
      </xdr:nvPicPr>
      <xdr:blipFill>
        <a:blip xmlns:r="http://schemas.openxmlformats.org/officeDocument/2006/relationships" r:embed="rId40"/>
        <a:stretch/>
      </xdr:blipFill>
      <xdr:spPr bwMode="auto">
        <a:xfrm>
          <a:off x="0" y="88026423"/>
          <a:ext cx="6605346" cy="3725636"/>
        </a:xfrm>
        <a:prstGeom prst="rect">
          <a:avLst/>
        </a:prstGeom>
        <a:noFill/>
      </xdr:spPr>
    </xdr:pic>
    <xdr:clientData/>
  </xdr:twoCellAnchor>
  <xdr:twoCellAnchor editAs="oneCell">
    <xdr:from>
      <xdr:col>0</xdr:col>
      <xdr:colOff>87086</xdr:colOff>
      <xdr:row>453</xdr:row>
      <xdr:rowOff>76200</xdr:rowOff>
    </xdr:from>
    <xdr:to>
      <xdr:col>7</xdr:col>
      <xdr:colOff>53340</xdr:colOff>
      <xdr:row>471</xdr:row>
      <xdr:rowOff>190500</xdr:rowOff>
    </xdr:to>
    <xdr:pic>
      <xdr:nvPicPr>
        <xdr:cNvPr id="42" name="Image 41">
          <a:extLst>
            <a:ext uri="{FF2B5EF4-FFF2-40B4-BE49-F238E27FC236}">
              <a16:creationId xmlns:a16="http://schemas.microsoft.com/office/drawing/2014/main" id="{00000000-0008-0000-0500-00002A000000}"/>
            </a:ext>
          </a:extLst>
        </xdr:cNvPr>
        <xdr:cNvPicPr>
          <a:picLocks noChangeAspect="1" noChangeArrowheads="1"/>
        </xdr:cNvPicPr>
      </xdr:nvPicPr>
      <xdr:blipFill>
        <a:blip xmlns:r="http://schemas.openxmlformats.org/officeDocument/2006/relationships" r:embed="rId41"/>
        <a:stretch/>
      </xdr:blipFill>
      <xdr:spPr bwMode="auto">
        <a:xfrm>
          <a:off x="87086" y="92125800"/>
          <a:ext cx="5744754" cy="377190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valade/Documents/GitHub/Wood-Carbon/rawData/database_substitution_metaanalysis.v5.v6.QC7.init.xlsx" TargetMode="External"/><Relationship Id="rId1" Type="http://schemas.openxmlformats.org/officeDocument/2006/relationships/externalLinkPath" Target="database_substitution_metaanalysis.v5.v6.QC7.ini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valade/EcoSols_Nextcloud2/Substitution/Metaanalysis/Data_extraction/V7_QC/database_substitution_metaanalysis.v5.v6.QC7_AV.xlsx" TargetMode="External"/><Relationship Id="rId1" Type="http://schemas.openxmlformats.org/officeDocument/2006/relationships/externalLinkPath" Target="/Users/valade/EcoSols_Nextcloud2/Substitution/Metaanalysis/Data_extraction/V7_QC/database_substitution_metaanalysis.v5.v6.QC7_AV.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valade/EcoSols_Nextcloud2/Substitution/Metaanalysis/Data_extraction/V7_QC/database_substitution_metaanalysis.v5.v6.QC7_KN2805.xlsx" TargetMode="External"/><Relationship Id="rId1" Type="http://schemas.openxmlformats.org/officeDocument/2006/relationships/externalLinkPath" Target="/Users/valade/EcoSols_Nextcloud2/Substitution/Metaanalysis/Data_extraction/V7_QC/database_substitution_metaanalysis.v5.v6.QC7_KN280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valade/EcoSols_Nextcloud2/Substitution/Metaanalysis/Data_extraction/V7_QC/QC_VB/database_substitution_metaanalysis.v5.v6.QC7.init_VB.xlsx" TargetMode="External"/><Relationship Id="rId1" Type="http://schemas.openxmlformats.org/officeDocument/2006/relationships/externalLinkPath" Target="/Users/valade/EcoSols_Nextcloud2/Substitution/Metaanalysis/Data_extraction/V7_QC/QC_VB/database_substitution_metaanalysis.v5.v6.QC7.init_VB.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valade/EcoSols_Nextcloud2/Substitution/Metaanalysis/Data_extraction/V7_QC/assignment/database_substitution_metaanalysis.v5.v6.QC7.init.xlsx" TargetMode="External"/><Relationship Id="rId1" Type="http://schemas.openxmlformats.org/officeDocument/2006/relationships/externalLinkPath" Target="/Users/valade/EcoSols_Nextcloud2/Substitution/Metaanalysis/Data_extraction/V7_QC/assignment/database_substitution_metaanalysis.v5.v6.QC7.ini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valade/EcoSols_Nextcloud2/Substitution/Metaanalysis/Data_extraction/V7_QC/database_substitution_metaanalysis.v5.v6.QC7_SL.xlsx" TargetMode="External"/><Relationship Id="rId1" Type="http://schemas.openxmlformats.org/officeDocument/2006/relationships/externalLinkPath" Target="/Users/valade/EcoSols_Nextcloud2/Substitution/Metaanalysis/Data_extraction/V7_QC/database_substitution_metaanalysis.v5.v6.QC7_S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vbellassen/Divers/Substitution/subsitution_article/archives/database_substitution_metaanalysis.v5.v6.QC7.init_VB_Kucu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Conversions"/>
      <sheetName val="Palette_in_use"/>
      <sheetName val="SL_Extractions_v5"/>
      <sheetName val="VB_Extractions_v5"/>
      <sheetName val="QC_Aude"/>
      <sheetName val="QC_indicators"/>
      <sheetName val="TO DO"/>
    </sheetNames>
    <sheetDataSet>
      <sheetData sheetId="0"/>
      <sheetData sheetId="1"/>
      <sheetData sheetId="2"/>
      <sheetData sheetId="3"/>
      <sheetData sheetId="4"/>
      <sheetData sheetId="5"/>
      <sheetData sheetId="6"/>
      <sheetData sheetId="7">
        <row r="1">
          <cell r="B1">
            <v>1.0775197499982896E-2</v>
          </cell>
          <cell r="C1">
            <v>1.8910205397060962</v>
          </cell>
        </row>
        <row r="2">
          <cell r="B2">
            <v>1.095600793497254</v>
          </cell>
          <cell r="C2">
            <v>17.240381284500241</v>
          </cell>
        </row>
      </sheetData>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Conversions"/>
      <sheetName val="Palette_in_use"/>
      <sheetName val="SL_Extractions_v5"/>
      <sheetName val="VB_Extractions_v5"/>
      <sheetName val="QC_Aude_extractions"/>
      <sheetName val="QC_indicators"/>
      <sheetName val="TO DO"/>
    </sheetNames>
    <sheetDataSet>
      <sheetData sheetId="0"/>
      <sheetData sheetId="1"/>
      <sheetData sheetId="2"/>
      <sheetData sheetId="3"/>
      <sheetData sheetId="4"/>
      <sheetData sheetId="5"/>
      <sheetData sheetId="6"/>
      <sheetData sheetId="7">
        <row r="1">
          <cell r="B1">
            <v>-776.37754144405631</v>
          </cell>
          <cell r="C1">
            <v>7576.0701064399027</v>
          </cell>
        </row>
        <row r="2">
          <cell r="B2">
            <v>1.0543044868334877</v>
          </cell>
          <cell r="C2">
            <v>3.3613684057037871</v>
          </cell>
        </row>
      </sheetData>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Conversions"/>
      <sheetName val="Palette_in_use"/>
      <sheetName val="SL_Extractions_v5"/>
      <sheetName val="VB_Extractions_v5"/>
      <sheetName val="QC_Aude"/>
      <sheetName val="QC_indicators"/>
      <sheetName val="TO DO"/>
    </sheetNames>
    <sheetDataSet>
      <sheetData sheetId="0"/>
      <sheetData sheetId="1"/>
      <sheetData sheetId="2"/>
      <sheetData sheetId="3"/>
      <sheetData sheetId="4"/>
      <sheetData sheetId="5"/>
      <sheetData sheetId="6"/>
      <sheetData sheetId="7">
        <row r="1">
          <cell r="B1">
            <v>0.37295525093000825</v>
          </cell>
          <cell r="C1">
            <v>2.6877997053052463</v>
          </cell>
        </row>
        <row r="2">
          <cell r="B2">
            <v>0.64039315597979518</v>
          </cell>
          <cell r="C2">
            <v>0.56852465477793612</v>
          </cell>
        </row>
      </sheetData>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Conversions"/>
      <sheetName val="Palette_in_use"/>
      <sheetName val="SL_Extractions_v5"/>
      <sheetName val="VB_Extractions_v5"/>
      <sheetName val="QC_Aude"/>
      <sheetName val="QC_indicators"/>
      <sheetName val="TO DO"/>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B1">
            <v>-1.071252703709554E-2</v>
          </cell>
          <cell r="C1">
            <v>1.5324170658457421</v>
          </cell>
        </row>
        <row r="2">
          <cell r="B2">
            <v>1.7172424727420685</v>
          </cell>
          <cell r="C2">
            <v>7.7793288897516941</v>
          </cell>
        </row>
      </sheetData>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Conversions"/>
      <sheetName val="Palette_in_use"/>
      <sheetName val="SL_Extractions_v5"/>
      <sheetName val="VB_Extractions_v5"/>
      <sheetName val="QC_Aude"/>
      <sheetName val="QC_indicators"/>
      <sheetName val="TO DO"/>
    </sheetNames>
    <sheetDataSet>
      <sheetData sheetId="0"/>
      <sheetData sheetId="1"/>
      <sheetData sheetId="2"/>
      <sheetData sheetId="3"/>
      <sheetData sheetId="4"/>
      <sheetData sheetId="5"/>
      <sheetData sheetId="6"/>
      <sheetData sheetId="7">
        <row r="1">
          <cell r="B1">
            <v>1.0775197499982896E-2</v>
          </cell>
          <cell r="C1">
            <v>1.8910205397060962</v>
          </cell>
        </row>
        <row r="2">
          <cell r="B2">
            <v>1.095600793497254</v>
          </cell>
          <cell r="C2">
            <v>17.240381284500241</v>
          </cell>
        </row>
      </sheetData>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Conversions"/>
      <sheetName val="Palette_in_use"/>
      <sheetName val="SL_Extractions_v5"/>
      <sheetName val="VB_Extractions_v5"/>
      <sheetName val="QC_Aude"/>
      <sheetName val="QC_indicators"/>
      <sheetName val="TO DO"/>
    </sheetNames>
    <sheetDataSet>
      <sheetData sheetId="0"/>
      <sheetData sheetId="1"/>
      <sheetData sheetId="2"/>
      <sheetData sheetId="3"/>
      <sheetData sheetId="4"/>
      <sheetData sheetId="5"/>
      <sheetData sheetId="6"/>
      <sheetData sheetId="7">
        <row r="1">
          <cell r="B1">
            <v>-1.8997365780877833E-2</v>
          </cell>
          <cell r="C1">
            <v>1.6411993046763687</v>
          </cell>
        </row>
        <row r="2">
          <cell r="B2">
            <v>0.79395189651467302</v>
          </cell>
          <cell r="C2">
            <v>5.7175504813569882</v>
          </cell>
        </row>
      </sheetData>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Conversions"/>
      <sheetName val="Palette_in_use"/>
      <sheetName val="SL_Extractions_v5"/>
      <sheetName val="VB_Extractions_v5"/>
      <sheetName val="QC_Aude"/>
      <sheetName val="QC_indicators"/>
      <sheetName val="TO DO"/>
    </sheetNames>
    <sheetDataSet>
      <sheetData sheetId="0"/>
      <sheetData sheetId="1"/>
      <sheetData sheetId="2"/>
      <sheetData sheetId="3"/>
      <sheetData sheetId="4"/>
      <sheetData sheetId="5"/>
      <sheetData sheetId="6"/>
      <sheetData sheetId="7">
        <row r="1">
          <cell r="B1">
            <v>-0.11781206869460169</v>
          </cell>
          <cell r="C1">
            <v>1.8833647503622073</v>
          </cell>
        </row>
        <row r="2">
          <cell r="B2">
            <v>1.0514989422864793</v>
          </cell>
          <cell r="C2">
            <v>16.969058727830721</v>
          </cell>
        </row>
      </sheetData>
      <sheetData sheetId="8"/>
    </sheetDataSet>
  </externalBook>
</externalLink>
</file>

<file path=xl/persons/person.xml><?xml version="1.0" encoding="utf-8"?>
<personList xmlns="http://schemas.microsoft.com/office/spreadsheetml/2018/threadedcomments" xmlns:x="http://schemas.openxmlformats.org/spreadsheetml/2006/main">
  <person displayName="chaste" id="{B4A1B9F9-4F05-4929-52AF-3BFD274CC250}"/>
  <person displayName="Microsoft Office User" id="{C7A66F49-825B-E7AC-4D5D-DD5B3A1D23DA}"/>
  <person displayName="vbellassen" id="{9DD4F19F-4D62-70CC-6F05-7D4DA1931E33}"/>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D1026" personId="{B4A1B9F9-4F05-4929-52AF-3BFD274CC250}" id="{00DE0036-0060-421B-8E4B-00E500630047}" done="0">
    <text xml:space="preserve">Il y a aussi un scenario "Upstream" dont les données émissions sont disponibles mais pas les données Qwood. Fait-on la somme des autres Qwood? 
</text>
  </threadedComment>
  <threadedComment ref="DO1026" personId="{B4A1B9F9-4F05-4929-52AF-3BFD274CC250}" id="{00270063-00AA-4C40-B979-000800430066}" done="0">
    <text xml:space="preserve">They evaluated reductions in carbon emissions by substituting wood for fossil fuels for energy production = scenario "heavy oil". See page 8 of the document: 
"We evaluated reductions in carbon emissions by substituting wood for fossil fuels for energy production. Assuming the displacement of heavy oil, we calculated the substitution amounts (L) of heavy oil by multiplying the energy use amounts (m3) of logging residues; wood residues from processing, construction, and furniture production; and waste wood after use in building and furniture by the specific gravity in absolute dry condition (t/m3) (see Table S-1) and the calorific value of wood (GJ/t) (Kayo et al., 2011). We then divided that product by the calorific value of heavy oil (GJ/L) (Kayo et al.,2011). We estimated reductions of carbon emissions (tC) from heavy oil consumption by multiplying the displaced amounts (L) of heavy oil by the carbon emission intensity (tC/L) for the combustion of heavy oil (Kayo et al., 2011)."
But this scenario is not well explicited in the document with explicit values so this requires some calculations. I put values for this substitution evaluated in the Onglet "Kayo_2014", lines 23 and 45 extracted from Figure 4 and 5.
</text>
  </threadedComment>
  <threadedComment ref="AD1106" personId="{B4A1B9F9-4F05-4929-52AF-3BFD274CC250}" id="{007B00A0-002F-43CD-9B94-007100A60047}" done="0">
    <text xml:space="preserve">Il y a un scenario de machine manuelle et machine motorisée mais il n'y a pas les résultats pour les deux (partie 2.2.2). C'est un scénario mixte alors je ne sais pas si je dois l'indiquer. 
</text>
  </threadedComment>
  <threadedComment ref="EB1113" personId="{B4A1B9F9-4F05-4929-52AF-3BFD274CC250}" id="{00C40065-0007-457C-AB2B-009800900003}" done="0">
    <text xml:space="preserve">The scope of this study includes forest growth and cultivation, collection and processing of wood products and by-products, densification (chipping and bundling) and combustion in bioenergy facility to generate electricity.
The scope of the study excludes emissions associated with extraction and production of materials for manufacturing trucks, forestry equipment and transportation of fuels, fertilizer and seedling production, which are considered as indirect emissions of this study (Mann and Spath, 1997).
</text>
  </threadedComment>
  <threadedComment ref="EC1113" personId="{B4A1B9F9-4F05-4929-52AF-3BFD274CC250}" id="{00110064-0039-4EAB-80D9-0003004B006A}" done="0">
    <text xml:space="preserve">The scope of this study includes forest growth and cultivation, collection and processing of wood products and by-products, densification (chipping and bundling) and combustion in bioenergy facility to generate electricity.
The scope of the study excludes emissions associated with extraction and production of materials for manufacturing trucks, forestry equipment and transportation of fuels, fertilizer and seedling production, which are considered as indirect emissions of this study (Mann and Spath, 1997).
</text>
  </threadedComment>
  <threadedComment ref="DX1116" personId="{B4A1B9F9-4F05-4929-52AF-3BFD274CC250}" id="{005D00E3-0093-4D16-8B68-002F006C007C}" done="0">
    <text xml:space="preserve">Juste aboveground
</text>
  </threadedComment>
  <threadedComment ref="V1116" personId="{B4A1B9F9-4F05-4929-52AF-3BFD274CC250}" id="{00870082-0006-4C84-B620-006600550039}" done="0">
    <text xml:space="preserve">J'ai mis oui ici car entre 
</text>
  </threadedComment>
  <threadedComment ref="DX1117" personId="{B4A1B9F9-4F05-4929-52AF-3BFD274CC250}" id="{008C00D7-009B-4B21-B96F-0035001A0096}" done="0">
    <text xml:space="preserve">Juste aboveground
</text>
  </threadedComment>
  <threadedComment ref="DX1118" personId="{B4A1B9F9-4F05-4929-52AF-3BFD274CC250}" id="{009000A2-0075-4314-825E-001100DA00E6}" done="0">
    <text xml:space="preserve">Juste aboveground
</text>
  </threadedComment>
  <threadedComment ref="DX1119" personId="{B4A1B9F9-4F05-4929-52AF-3BFD274CC250}" id="{009E0054-0030-4264-B934-004D00D100E1}" done="0">
    <text xml:space="preserve">Juste aboveground
</text>
  </threadedComment>
  <threadedComment ref="DX1588" personId="{B4A1B9F9-4F05-4929-52AF-3BFD274CC250}" id="{00570091-0027-42C1-9526-00A500BA0085}" done="0">
    <text xml:space="preserve">Juste aboveground
</text>
  </threadedComment>
  <threadedComment ref="V1588" personId="{B4A1B9F9-4F05-4929-52AF-3BFD274CC250}" id="{004700EF-0041-4F61-82E0-006A00C60041}" done="0">
    <text xml:space="preserve">j'ai mis oui dans ce cas là car entre les deux pays ce qui change c'est les importations de bois et donc ce qui est extrait sur place
</text>
  </threadedComment>
  <threadedComment ref="DX1589" personId="{B4A1B9F9-4F05-4929-52AF-3BFD274CC250}" id="{005700C0-007A-4676-8B85-00D80000001C}" done="0">
    <text xml:space="preserve">Juste aboveground
</text>
  </threadedComment>
  <threadedComment ref="DX1590" personId="{B4A1B9F9-4F05-4929-52AF-3BFD274CC250}" id="{00C3004E-00A3-4F3E-8181-004F000D004C}" done="0">
    <text xml:space="preserve">Juste aboveground
</text>
  </threadedComment>
  <threadedComment ref="DX1591" personId="{B4A1B9F9-4F05-4929-52AF-3BFD274CC250}" id="{005C0076-005E-4D1A-97EC-00CD00F3005E}" done="0">
    <text xml:space="preserve">Juste aboveground
</text>
  </threadedComment>
  <threadedComment ref="DZ7" personId="{C7A66F49-825B-E7AC-4D5D-DD5B3A1D23DA}" id="{003E00CD-00AE-4422-B5D5-00BF00E10024}" done="0">
    <text xml:space="preserve">ie : C-neutrality of wood assumed = 0, C-emissions of wood at eol accounted = 1
</text>
  </threadedComment>
  <threadedComment ref="EA7" personId="{C7A66F49-825B-E7AC-4D5D-DD5B3A1D23DA}" id="{006C007C-002F-4F20-B8B1-006E00A600AE}" done="0">
    <text xml:space="preserve">accounts for avoided emissions,wood reuseor recycling outside of the lifetime of the product itself
</text>
  </threadedComment>
  <threadedComment ref="EB7" personId="{C7A66F49-825B-E7AC-4D5D-DD5B3A1D23DA}" id="{00CC003E-006B-456E-AD65-001D00CB003C}" done="0">
    <text xml:space="preserve">may be accounted for through the use of a displacement factor
</text>
  </threadedComment>
  <threadedComment ref="AF653" personId="{C7A66F49-825B-E7AC-4D5D-DD5B3A1D23DA}" id="{00DD0084-00A9-4338-AA26-004000E4002E}" done="0">
    <text xml:space="preserve">to be listed as a secondary driver
</text>
  </threadedComment>
  <threadedComment ref="AF654" personId="{C7A66F49-825B-E7AC-4D5D-DD5B3A1D23DA}" id="{00AC0038-00B8-45C0-BBCC-00AF0097006C}" done="0">
    <text xml:space="preserve">to be listed as a secondary driver
</text>
  </threadedComment>
  <threadedComment ref="M971" personId="{B4A1B9F9-4F05-4929-52AF-3BFD274CC250}" id="{008D00D5-0062-4869-9F4F-00EB000B005F}" done="0">
    <text xml:space="preserve">Hart et al. 2021
</text>
  </threadedComment>
  <threadedComment ref="M972" personId="{B4A1B9F9-4F05-4929-52AF-3BFD274CC250}" id="{00F100A4-00E1-4D42-8B8A-001300940043}" done="0">
    <text xml:space="preserve">Hart et al. 2021
</text>
  </threadedComment>
  <threadedComment ref="M973" personId="{B4A1B9F9-4F05-4929-52AF-3BFD274CC250}" id="{007E0014-0091-4E41-B67E-001500120087}" done="0">
    <text xml:space="preserve">Hart et al. 2021
</text>
  </threadedComment>
  <threadedComment ref="M974" personId="{B4A1B9F9-4F05-4929-52AF-3BFD274CC250}" id="{00FB0097-0036-449C-B525-00F80031005C}" done="0">
    <text xml:space="preserve">Hart et al. 2021
</text>
  </threadedComment>
  <threadedComment ref="M975" personId="{B4A1B9F9-4F05-4929-52AF-3BFD274CC250}" id="{00280038-004A-41E5-98D9-007500830041}" done="0">
    <text xml:space="preserve">Hart et al. 2021
</text>
  </threadedComment>
  <threadedComment ref="M976" personId="{B4A1B9F9-4F05-4929-52AF-3BFD274CC250}" id="{00B30012-0031-4E2C-8FFC-008D004B00DF}" done="0">
    <text xml:space="preserve">Hart et al. 2021
</text>
  </threadedComment>
  <threadedComment ref="EB992" personId="{B4A1B9F9-4F05-4929-52AF-3BFD274CC250}" id="{00160003-006F-4FB9-8562-005B00280044}" done="0">
    <text xml:space="preserve">Change on domestic demand
</text>
  </threadedComment>
  <threadedComment ref="DL993" personId="{B4A1B9F9-4F05-4929-52AF-3BFD274CC250}" id="{00740038-0078-4532-BD0F-00E100FC00A0}" done="0">
    <text xml:space="preserve">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ext>
  </threadedComment>
  <threadedComment ref="DM993" personId="{B4A1B9F9-4F05-4929-52AF-3BFD274CC250}" id="{00D60008-0056-4AF7-8779-001E00AD00FB}" done="0">
    <text xml:space="preserve">page 4: 
Logging residue supply curves are based on regional supply curve functions estimated using the spatial allocation optimization routine described in Baker et al. (2018).
</text>
  </threadedComment>
  <threadedComment ref="DN993" personId="{B4A1B9F9-4F05-4929-52AF-3BFD274CC250}" id="{000B0082-000A-43C7-9AF8-00F8009600A2}" done="0">
    <text xml:space="preserve">reflecting of hauling forest biomass from plot to final demand point post-harvest.
</text>
  </threadedComment>
  <threadedComment ref="EB993" personId="{B4A1B9F9-4F05-4929-52AF-3BFD274CC250}" id="{00EC0002-0094-4E4C-8F8B-009100DD0032}" done="0">
    <text xml:space="preserve">Change on domestic demand
</text>
  </threadedComment>
  <threadedComment ref="DV994" personId="{B4A1B9F9-4F05-4929-52AF-3BFD274CC250}" id="{00570037-0060-4A5B-9D16-002800E30090}" done="0">
    <text xml:space="preserve">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ext>
  </threadedComment>
  <threadedComment ref="DW994" personId="{B4A1B9F9-4F05-4929-52AF-3BFD274CC250}" id="{004E00DB-0040-4DAC-81A5-00370055000D}" done="0">
    <text xml:space="preserve">page 4: 
Logging residue supply curves are based on regional supply curve functions estimated using the spatial allocation optimization routine described in Baker et al. (2018).
</text>
  </threadedComment>
  <threadedComment ref="DX994" personId="{B4A1B9F9-4F05-4929-52AF-3BFD274CC250}" id="{001000A9-009E-41DE-8B04-001C00D300D6}" done="0">
    <text xml:space="preserve">reflecting of hauling forest biomass from plot to final demand point post-harvest.
</text>
  </threadedComment>
  <threadedComment ref="DY994" personId="{B4A1B9F9-4F05-4929-52AF-3BFD274CC250}" id="{005F00B3-00FE-4BCE-B865-00FC003A007B}" done="0">
    <text xml:space="preserve">Je ne suis pas sûre
</text>
  </threadedComment>
  <threadedComment ref="EB994" personId="{B4A1B9F9-4F05-4929-52AF-3BFD274CC250}" id="{004A0094-0059-413C-B21F-002200DC00E1}" done="0">
    <text xml:space="preserve">Change on domestic demand
</text>
  </threadedComment>
  <threadedComment ref="DV995" personId="{B4A1B9F9-4F05-4929-52AF-3BFD274CC250}" id="{00E100A8-002A-400B-8BB2-004F00CB00AE}" done="0">
    <text xml:space="preserve">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ext>
  </threadedComment>
  <threadedComment ref="DW995" personId="{B4A1B9F9-4F05-4929-52AF-3BFD274CC250}" id="{00DF00EC-0028-4963-8234-007F00C500FE}" done="0">
    <text xml:space="preserve">page 4: 
Logging residue supply curves are based on regional supply curve functions estimated using the spatial allocation optimization routine described in Baker et al. (2018).
</text>
  </threadedComment>
  <threadedComment ref="DX995" personId="{B4A1B9F9-4F05-4929-52AF-3BFD274CC250}" id="{00C9008F-005A-44E7-B9C6-00A600E90062}" done="0">
    <text xml:space="preserve">reflecting of hauling forest biomass from plot to final demand point post-harvest.
</text>
  </threadedComment>
  <threadedComment ref="DY995" personId="{B4A1B9F9-4F05-4929-52AF-3BFD274CC250}" id="{00B900BC-009A-4E0A-825C-000600B10036}" done="0">
    <text xml:space="preserve">Je ne suis pas sûre
</text>
  </threadedComment>
  <threadedComment ref="EC995" personId="{B4A1B9F9-4F05-4929-52AF-3BFD274CC250}" id="{00340052-00BC-4436-A913-0013000B0065}" done="0">
    <text xml:space="preserve">We aggregated spatially explicit (FIA plot-level) data from the LURA model to the 11 FASOMGHG regions, and then incorporated an objective function component that maximizes the present value of producer and consumer surplus over the simulation horizon, incorporating both price endogenous revenue and detailed cost components (including harvest, management, transportation, processing, land transfer, and fixed capital costs in each period). Forest product demand and export demand are based on exogenous demand growth assumptions tied to income growth
</text>
  </threadedComment>
  <threadedComment ref="Y995" personId="{B4A1B9F9-4F05-4929-52AF-3BFD274CC250}" id="{005B00C3-00FC-47F9-BA73-001000D10081}" done="0">
    <text xml:space="preserve">Change on domestic demand
</text>
  </threadedComment>
  <threadedComment ref="DV996" personId="{B4A1B9F9-4F05-4929-52AF-3BFD274CC250}" id="{00FA0096-001B-4FC4-BFEA-008C006A00E5}" done="0">
    <text xml:space="preserve">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ext>
  </threadedComment>
  <threadedComment ref="DW996" personId="{B4A1B9F9-4F05-4929-52AF-3BFD274CC250}" id="{009B0090-0029-4236-B3AC-006C009C00CD}" done="0">
    <text xml:space="preserve">page 4: 
Logging residue supply curves are based on regional supply curve functions estimated using the spatial allocation optimization routine described in Baker et al. (2018).
</text>
  </threadedComment>
  <threadedComment ref="DX996" personId="{B4A1B9F9-4F05-4929-52AF-3BFD274CC250}" id="{00E1009E-005F-4360-ACD1-000C00A40034}" done="0">
    <text xml:space="preserve">reflecting of hauling forest biomass from plot to final demand point post-harvest.
</text>
  </threadedComment>
  <threadedComment ref="DY996" personId="{B4A1B9F9-4F05-4929-52AF-3BFD274CC250}" id="{00900085-0089-4EAB-A222-00C500AE0030}" done="0">
    <text xml:space="preserve">Je ne suis pas sûre
</text>
  </threadedComment>
  <threadedComment ref="EC996" personId="{B4A1B9F9-4F05-4929-52AF-3BFD274CC250}" id="{00FA00B1-00F3-4D2D-A49A-005D001100F3}" done="0">
    <text xml:space="preserve">We aggregated spatially explicit (FIA plot-level) data from the LURA model to the 11 FASOMGHG regions, and then incorporated an objective function component that maximizes the present value of producer and consumer surplus over the simulation horizon, incorporating both price endogenous revenue and detailed cost components (including harvest, management, transportation, processing, land transfer, and fixed capital costs in each period). Forest product demand and export demand are based on exogenous demand growth assumptions tied to income growth
</text>
  </threadedComment>
  <threadedComment ref="Y996" personId="{B4A1B9F9-4F05-4929-52AF-3BFD274CC250}" id="{007B0061-0062-4646-94B8-00D1001D008F}" done="0">
    <text xml:space="preserve">Change on domestic demand
</text>
  </threadedComment>
  <threadedComment ref="DV997" personId="{B4A1B9F9-4F05-4929-52AF-3BFD274CC250}" id="{00FD0047-0084-47CC-B6C9-00E5006D0006}" done="0">
    <text xml:space="preserve">In supp: On the forestry side, the approach used is adapted from Birdsey (1996), which assumed constant soil carbon values on forests for all except the South, and Smith et al. (2006), which has all carbon in forest soils assumed to be constant over time, with variation across region and forest type.
</text>
  </threadedComment>
  <threadedComment ref="DW997" personId="{B4A1B9F9-4F05-4929-52AF-3BFD274CC250}" id="{0088006E-00AC-4395-95C7-0027000C0032}" done="0">
    <text xml:space="preserve">page 4: 
Logging residue supply curves are based on regional supply curve functions estimated using the spatial allocation optimization routine described in Baker et al. (2018).
</text>
  </threadedComment>
  <threadedComment ref="DX997" personId="{B4A1B9F9-4F05-4929-52AF-3BFD274CC250}" id="{004E00E5-00F0-43BF-A9B1-003F00CB00BE}" done="0">
    <text xml:space="preserve">reflecting of hauling forest biomass from plot to final demand point post-harvest.
</text>
  </threadedComment>
  <threadedComment ref="DY997" personId="{B4A1B9F9-4F05-4929-52AF-3BFD274CC250}" id="{001E00CF-0075-4C18-8205-001400B6000E}" done="0">
    <text xml:space="preserve">Je ne suis pas sûre
</text>
  </threadedComment>
  <threadedComment ref="EC997" personId="{B4A1B9F9-4F05-4929-52AF-3BFD274CC250}" id="{006B00AC-00CB-4139-9E9A-008400B500E2}" done="0">
    <text xml:space="preserve">We aggregated spatially explicit (FIA plot-level) data from the LURA model to the 11 FASOMGHG regions, and then incorporated an objective function component that maximizes the present value of producer and consumer surplus over the simulation horizon, incorporating both price endogenous revenue and detailed cost components (including harvest, management, transportation, processing, land transfer, and fixed capital costs in each period). Forest product demand and export demand are based on exogenous demand growth assumptions tied to income growth
</text>
  </threadedComment>
  <threadedComment ref="Y997" personId="{B4A1B9F9-4F05-4929-52AF-3BFD274CC250}" id="{003D00F6-00B7-487F-B561-004900D300D8}" done="0">
    <text xml:space="preserve">Change on domestic demand
</text>
  </threadedComment>
</ThreadedComments>
</file>

<file path=xl/threadedComments/threadedComment2.xml><?xml version="1.0" encoding="utf-8"?>
<ThreadedComments xmlns="http://schemas.microsoft.com/office/spreadsheetml/2018/threadedcomments" xmlns:x="http://schemas.openxmlformats.org/spreadsheetml/2006/main">
  <threadedComment ref="E2" personId="{9DD4F19F-4D62-70CC-6F05-7D4DA1931E33}" id="{00B60088-0080-489A-8313-00FA007800FE}" done="0">
    <text xml:space="preserve">400 pour du résineux mais pour du feuillu on est plutôt à 580. Moyenne des deux ?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science/article/abs/pii/S0306261913005771?via%3Dihub" TargetMode="External"/><Relationship Id="rId21" Type="http://schemas.openxmlformats.org/officeDocument/2006/relationships/hyperlink" Target="https://doi.org/10.1088/1748-9326/aaaa03" TargetMode="External"/><Relationship Id="rId42" Type="http://schemas.openxmlformats.org/officeDocument/2006/relationships/hyperlink" Target="https://doi.org/10.1016/j.biombioe.2014.04.012" TargetMode="External"/><Relationship Id="rId47" Type="http://schemas.openxmlformats.org/officeDocument/2006/relationships/hyperlink" Target="http://dx.doi.org/10.1023/A:1010655806130" TargetMode="External"/><Relationship Id="rId63" Type="http://schemas.openxmlformats.org/officeDocument/2006/relationships/hyperlink" Target="https://doi.org/10.1139/x03-020" TargetMode="External"/><Relationship Id="rId68" Type="http://schemas.openxmlformats.org/officeDocument/2006/relationships/hyperlink" Target="https://doi.org/10.1139/x03-020" TargetMode="External"/><Relationship Id="rId2" Type="http://schemas.openxmlformats.org/officeDocument/2006/relationships/hyperlink" Target="https://doi.org/10.1088/1748-9326/aaaa03" TargetMode="External"/><Relationship Id="rId16" Type="http://schemas.openxmlformats.org/officeDocument/2006/relationships/hyperlink" Target="https://doi.org/10.1088/1748-9326/aaaa03" TargetMode="External"/><Relationship Id="rId29" Type="http://schemas.openxmlformats.org/officeDocument/2006/relationships/hyperlink" Target="https://www.sciencedirect.com/science/article/abs/pii/S0306261913005771?via%3Dihub" TargetMode="External"/><Relationship Id="rId11" Type="http://schemas.openxmlformats.org/officeDocument/2006/relationships/hyperlink" Target="https://doi.org/10.1088/1748-9326/aaaa03" TargetMode="External"/><Relationship Id="rId24" Type="http://schemas.openxmlformats.org/officeDocument/2006/relationships/hyperlink" Target="https://doi.org/10.1088/1748-9326/aaaa03" TargetMode="External"/><Relationship Id="rId32" Type="http://schemas.openxmlformats.org/officeDocument/2006/relationships/hyperlink" Target="https://doi.org/10.1016/j.biombioe.2014.04.012" TargetMode="External"/><Relationship Id="rId37" Type="http://schemas.openxmlformats.org/officeDocument/2006/relationships/hyperlink" Target="https://doi.org/10.1016/j.biombioe.2014.04.012" TargetMode="External"/><Relationship Id="rId40" Type="http://schemas.openxmlformats.org/officeDocument/2006/relationships/hyperlink" Target="https://doi.org/10.1016/j.biombioe.2014.04.012" TargetMode="External"/><Relationship Id="rId45" Type="http://schemas.openxmlformats.org/officeDocument/2006/relationships/hyperlink" Target="https://doi.org/10.1111/gcbb.12225" TargetMode="External"/><Relationship Id="rId53" Type="http://schemas.openxmlformats.org/officeDocument/2006/relationships/hyperlink" Target="https://doi.org/10.1088/1748-9326/aaaa03" TargetMode="External"/><Relationship Id="rId58" Type="http://schemas.openxmlformats.org/officeDocument/2006/relationships/hyperlink" Target="https://doi.org/10.1088/1748-9326/aaaa03" TargetMode="External"/><Relationship Id="rId66" Type="http://schemas.openxmlformats.org/officeDocument/2006/relationships/hyperlink" Target="https://doi.org/10.1139/x03-020" TargetMode="External"/><Relationship Id="rId74" Type="http://schemas.openxmlformats.org/officeDocument/2006/relationships/comments" Target="../comments1.xml"/><Relationship Id="rId5" Type="http://schemas.openxmlformats.org/officeDocument/2006/relationships/hyperlink" Target="https://doi.org/10.1088/1748-9326/aaaa03" TargetMode="External"/><Relationship Id="rId61" Type="http://schemas.openxmlformats.org/officeDocument/2006/relationships/hyperlink" Target="https://doi.org/10.1139/x03-020" TargetMode="External"/><Relationship Id="rId19" Type="http://schemas.openxmlformats.org/officeDocument/2006/relationships/hyperlink" Target="https://doi.org/10.1088/1748-9326/aaaa03" TargetMode="External"/><Relationship Id="rId14" Type="http://schemas.openxmlformats.org/officeDocument/2006/relationships/hyperlink" Target="https://doi.org/10.1088/1748-9326/aaaa03" TargetMode="External"/><Relationship Id="rId22" Type="http://schemas.openxmlformats.org/officeDocument/2006/relationships/hyperlink" Target="https://doi.org/10.1088/1748-9326/aaaa03" TargetMode="External"/><Relationship Id="rId27" Type="http://schemas.openxmlformats.org/officeDocument/2006/relationships/hyperlink" Target="https://www.sciencedirect.com/science/article/abs/pii/S0306261913005771?via%3Dihub" TargetMode="External"/><Relationship Id="rId30" Type="http://schemas.openxmlformats.org/officeDocument/2006/relationships/hyperlink" Target="https://www.sciencedirect.com/science/article/abs/pii/S0306261913005771?via%3Dihub" TargetMode="External"/><Relationship Id="rId35" Type="http://schemas.openxmlformats.org/officeDocument/2006/relationships/hyperlink" Target="https://doi.org/10.1016/j.biombioe.2014.04.012" TargetMode="External"/><Relationship Id="rId43" Type="http://schemas.openxmlformats.org/officeDocument/2006/relationships/hyperlink" Target="http://dx.doi.org/10.22382/wfs-2018-011" TargetMode="External"/><Relationship Id="rId48" Type="http://schemas.openxmlformats.org/officeDocument/2006/relationships/hyperlink" Target="https://doi.org/10.1093/jof/109.s1.S7" TargetMode="External"/><Relationship Id="rId56" Type="http://schemas.openxmlformats.org/officeDocument/2006/relationships/hyperlink" Target="https://doi.org/10.1088/1748-9326/aaaa03" TargetMode="External"/><Relationship Id="rId64" Type="http://schemas.openxmlformats.org/officeDocument/2006/relationships/hyperlink" Target="https://doi.org/10.1139/x03-020" TargetMode="External"/><Relationship Id="rId69" Type="http://schemas.openxmlformats.org/officeDocument/2006/relationships/hyperlink" Target="https://doi.org/10.1139/x03-020" TargetMode="External"/><Relationship Id="rId8" Type="http://schemas.openxmlformats.org/officeDocument/2006/relationships/hyperlink" Target="https://doi.org/10.1088/1748-9326/aaaa03" TargetMode="External"/><Relationship Id="rId51" Type="http://schemas.openxmlformats.org/officeDocument/2006/relationships/hyperlink" Target="https://doi.org/10.1088/1748-9326/aaaa03" TargetMode="External"/><Relationship Id="rId72" Type="http://schemas.openxmlformats.org/officeDocument/2006/relationships/hyperlink" Target="https://doi.org/10.1088/1748-9326/aaaa03" TargetMode="External"/><Relationship Id="rId3" Type="http://schemas.openxmlformats.org/officeDocument/2006/relationships/hyperlink" Target="https://doi.org/10.1088/1748-9326/aaaa03" TargetMode="External"/><Relationship Id="rId12" Type="http://schemas.openxmlformats.org/officeDocument/2006/relationships/hyperlink" Target="https://doi.org/10.1088/1748-9326/aaaa03" TargetMode="External"/><Relationship Id="rId17" Type="http://schemas.openxmlformats.org/officeDocument/2006/relationships/hyperlink" Target="https://doi.org/10.1088/1748-9326/aaaa03" TargetMode="External"/><Relationship Id="rId25" Type="http://schemas.openxmlformats.org/officeDocument/2006/relationships/hyperlink" Target="https://doi.org/10.1016/j.apenergy.2014.10.013" TargetMode="External"/><Relationship Id="rId33" Type="http://schemas.openxmlformats.org/officeDocument/2006/relationships/hyperlink" Target="https://doi.org/10.1016/j.biombioe.2014.04.012" TargetMode="External"/><Relationship Id="rId38" Type="http://schemas.openxmlformats.org/officeDocument/2006/relationships/hyperlink" Target="https://doi.org/10.1016/j.biombioe.2014.04.012" TargetMode="External"/><Relationship Id="rId46" Type="http://schemas.openxmlformats.org/officeDocument/2006/relationships/hyperlink" Target="http://dx.doi.org/10.21660/2015.15.4239" TargetMode="External"/><Relationship Id="rId59" Type="http://schemas.openxmlformats.org/officeDocument/2006/relationships/hyperlink" Target="https://doi.org/10.1088/1748-9326/aaaa03" TargetMode="External"/><Relationship Id="rId67" Type="http://schemas.openxmlformats.org/officeDocument/2006/relationships/hyperlink" Target="https://doi.org/10.1139/x03-020" TargetMode="External"/><Relationship Id="rId20" Type="http://schemas.openxmlformats.org/officeDocument/2006/relationships/hyperlink" Target="https://doi.org/10.1088/1748-9326/aaaa03" TargetMode="External"/><Relationship Id="rId41" Type="http://schemas.openxmlformats.org/officeDocument/2006/relationships/hyperlink" Target="https://doi.org/10.1016/j.biombioe.2014.04.012" TargetMode="External"/><Relationship Id="rId54" Type="http://schemas.openxmlformats.org/officeDocument/2006/relationships/hyperlink" Target="https://doi.org/10.1088/1748-9326/aaaa03" TargetMode="External"/><Relationship Id="rId62" Type="http://schemas.openxmlformats.org/officeDocument/2006/relationships/hyperlink" Target="https://doi.org/10.1139/x03-020" TargetMode="External"/><Relationship Id="rId70" Type="http://schemas.openxmlformats.org/officeDocument/2006/relationships/hyperlink" Target="https://doi.org/10.1139/x03-020" TargetMode="External"/><Relationship Id="rId1" Type="http://schemas.openxmlformats.org/officeDocument/2006/relationships/hyperlink" Target="https://doi.org/10.1088/1748-9326/aaaa03" TargetMode="External"/><Relationship Id="rId6" Type="http://schemas.openxmlformats.org/officeDocument/2006/relationships/hyperlink" Target="https://doi.org/10.1088/1748-9326/aaaa03" TargetMode="External"/><Relationship Id="rId15" Type="http://schemas.openxmlformats.org/officeDocument/2006/relationships/hyperlink" Target="https://doi.org/10.1088/1748-9326/aaaa03" TargetMode="External"/><Relationship Id="rId23" Type="http://schemas.openxmlformats.org/officeDocument/2006/relationships/hyperlink" Target="https://doi.org/10.1088/1748-9326/aaaa03" TargetMode="External"/><Relationship Id="rId28" Type="http://schemas.openxmlformats.org/officeDocument/2006/relationships/hyperlink" Target="https://www.sciencedirect.com/science/article/abs/pii/S0306261913005771?via%3Dihub" TargetMode="External"/><Relationship Id="rId36" Type="http://schemas.openxmlformats.org/officeDocument/2006/relationships/hyperlink" Target="https://doi.org/10.1016/j.biombioe.2014.04.012" TargetMode="External"/><Relationship Id="rId49" Type="http://schemas.openxmlformats.org/officeDocument/2006/relationships/hyperlink" Target="https://doi.org/10.1016/j.jenvman.2013.07.021" TargetMode="External"/><Relationship Id="rId57" Type="http://schemas.openxmlformats.org/officeDocument/2006/relationships/hyperlink" Target="https://doi.org/10.1088/1748-9326/aaaa03" TargetMode="External"/><Relationship Id="rId10" Type="http://schemas.openxmlformats.org/officeDocument/2006/relationships/hyperlink" Target="https://doi.org/10.1088/1748-9326/aaaa03" TargetMode="External"/><Relationship Id="rId31" Type="http://schemas.openxmlformats.org/officeDocument/2006/relationships/hyperlink" Target="https://doi.org/10.1016/j.biombioe.2014.04.012" TargetMode="External"/><Relationship Id="rId44" Type="http://schemas.openxmlformats.org/officeDocument/2006/relationships/hyperlink" Target="https://doi.org/10.1016/j.jenvman.2013.07.021" TargetMode="External"/><Relationship Id="rId52" Type="http://schemas.openxmlformats.org/officeDocument/2006/relationships/hyperlink" Target="https://doi.org/10.1088/1748-9326/aaaa03" TargetMode="External"/><Relationship Id="rId60" Type="http://schemas.openxmlformats.org/officeDocument/2006/relationships/hyperlink" Target="https://doi.org/10.1088/1748-9326/aaaa03" TargetMode="External"/><Relationship Id="rId65" Type="http://schemas.openxmlformats.org/officeDocument/2006/relationships/hyperlink" Target="https://doi.org/10.1139/x03-020" TargetMode="External"/><Relationship Id="rId73" Type="http://schemas.openxmlformats.org/officeDocument/2006/relationships/vmlDrawing" Target="../drawings/vmlDrawing1.vml"/><Relationship Id="rId4" Type="http://schemas.openxmlformats.org/officeDocument/2006/relationships/hyperlink" Target="https://doi.org/10.1088/1748-9326/aaaa03" TargetMode="External"/><Relationship Id="rId9" Type="http://schemas.openxmlformats.org/officeDocument/2006/relationships/hyperlink" Target="https://doi.org/10.1088/1748-9326/aaaa03" TargetMode="External"/><Relationship Id="rId13" Type="http://schemas.openxmlformats.org/officeDocument/2006/relationships/hyperlink" Target="https://doi.org/10.1088/1748-9326/aaaa03" TargetMode="External"/><Relationship Id="rId18" Type="http://schemas.openxmlformats.org/officeDocument/2006/relationships/hyperlink" Target="https://doi.org/10.1088/1748-9326/aaaa03" TargetMode="External"/><Relationship Id="rId39" Type="http://schemas.openxmlformats.org/officeDocument/2006/relationships/hyperlink" Target="https://doi.org/10.1016/j.biombioe.2014.04.012" TargetMode="External"/><Relationship Id="rId34" Type="http://schemas.openxmlformats.org/officeDocument/2006/relationships/hyperlink" Target="https://doi.org/10.1016/j.biombioe.2014.04.012" TargetMode="External"/><Relationship Id="rId50" Type="http://schemas.openxmlformats.org/officeDocument/2006/relationships/hyperlink" Target="https://doi.org/10.1139/X06-257" TargetMode="External"/><Relationship Id="rId55" Type="http://schemas.openxmlformats.org/officeDocument/2006/relationships/hyperlink" Target="https://doi.org/10.1088/1748-9326/aaaa03" TargetMode="External"/><Relationship Id="rId76" Type="http://schemas.microsoft.com/office/2017/10/relationships/threadedComment" Target="../threadedComments/threadedComment1.xml"/><Relationship Id="rId7" Type="http://schemas.openxmlformats.org/officeDocument/2006/relationships/hyperlink" Target="https://doi.org/10.1088/1748-9326/aaaa03" TargetMode="External"/><Relationship Id="rId71" Type="http://schemas.openxmlformats.org/officeDocument/2006/relationships/hyperlink" Target="https://doi.org/10.1139/x03-020"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E1639"/>
  <sheetViews>
    <sheetView tabSelected="1" zoomScale="125" workbookViewId="0">
      <pane xSplit="13" ySplit="7" topLeftCell="DZ8" activePane="bottomRight" state="frozen"/>
      <selection activeCell="M1410" sqref="M1410"/>
      <selection pane="topRight"/>
      <selection pane="bottomLeft"/>
      <selection pane="bottomRight" activeCell="EH6" sqref="EH6"/>
    </sheetView>
  </sheetViews>
  <sheetFormatPr baseColWidth="10" defaultColWidth="10.6640625" defaultRowHeight="16"/>
  <cols>
    <col min="1" max="1" width="1.6640625" style="1" customWidth="1"/>
    <col min="2" max="2" width="2.83203125" customWidth="1"/>
    <col min="3" max="3" width="1.83203125" customWidth="1"/>
    <col min="4" max="4" width="2.83203125" customWidth="1"/>
    <col min="5" max="5" width="3.5" customWidth="1"/>
    <col min="6" max="6" width="3" customWidth="1"/>
    <col min="7" max="7" width="3.5" customWidth="1"/>
    <col min="8" max="9" width="3.6640625" customWidth="1"/>
    <col min="10" max="10" width="2.33203125" customWidth="1"/>
    <col min="11" max="11" width="2.83203125" customWidth="1"/>
    <col min="12" max="12" width="2.5" customWidth="1"/>
    <col min="13" max="13" width="19.33203125" customWidth="1"/>
    <col min="14" max="14" width="10.6640625" customWidth="1"/>
    <col min="17" max="17" width="10.83203125" bestFit="1" customWidth="1"/>
    <col min="18" max="18" width="10.83203125" style="2" customWidth="1"/>
    <col min="19" max="19" width="17.6640625" style="1" customWidth="1"/>
    <col min="20" max="20" width="20.6640625" customWidth="1"/>
    <col min="21" max="21" width="21.33203125" customWidth="1"/>
    <col min="22" max="22" width="4.1640625" customWidth="1"/>
    <col min="23" max="23" width="5" customWidth="1"/>
    <col min="24" max="51" width="3.33203125" customWidth="1"/>
    <col min="54" max="58" width="5.83203125" customWidth="1"/>
    <col min="59" max="59" width="14.6640625" style="3" customWidth="1"/>
    <col min="60" max="60" width="10.6640625" style="4"/>
    <col min="61" max="61" width="5.5" style="1" customWidth="1"/>
    <col min="62" max="62" width="7" customWidth="1"/>
    <col min="63" max="63" width="5.5" customWidth="1"/>
    <col min="64" max="64" width="4" customWidth="1"/>
    <col min="65" max="65" width="15.5" customWidth="1"/>
    <col min="66" max="66" width="12.83203125" customWidth="1"/>
    <col min="67" max="67" width="3.33203125" customWidth="1"/>
    <col min="68" max="68" width="6.1640625" customWidth="1"/>
    <col min="69" max="69" width="13" customWidth="1"/>
    <col min="70" max="70" width="12" customWidth="1"/>
    <col min="71" max="71" width="7.83203125" customWidth="1"/>
    <col min="72" max="72" width="3.1640625" customWidth="1"/>
    <col min="73" max="73" width="11.6640625" customWidth="1"/>
    <col min="74" max="74" width="12.5" customWidth="1"/>
    <col min="75" max="75" width="9.6640625" customWidth="1"/>
    <col min="76" max="76" width="10.1640625" customWidth="1"/>
    <col min="77" max="77" width="11.6640625" customWidth="1"/>
    <col min="78" max="78" width="13.6640625" customWidth="1"/>
    <col min="79" max="79" width="12.1640625" bestFit="1" customWidth="1"/>
    <col min="80" max="90" width="2.83203125" customWidth="1"/>
    <col min="91" max="91" width="18.6640625" bestFit="1" customWidth="1"/>
    <col min="92" max="92" width="17.83203125" bestFit="1" customWidth="1"/>
    <col min="93" max="93" width="19" bestFit="1" customWidth="1"/>
    <col min="94" max="96" width="10.6640625" style="3"/>
    <col min="97" max="97" width="13.33203125" style="3" bestFit="1" customWidth="1"/>
    <col min="98" max="98" width="13.33203125" style="3" customWidth="1"/>
    <col min="99" max="100" width="10.6640625" style="3"/>
    <col min="101" max="104" width="13.6640625" style="3" customWidth="1"/>
    <col min="105" max="105" width="13.6640625" style="4" customWidth="1"/>
    <col min="106" max="106" width="10.6640625" style="1"/>
    <col min="107" max="107" width="15.6640625" style="3" bestFit="1" customWidth="1"/>
    <col min="112" max="112" width="15.6640625" style="3" bestFit="1" customWidth="1"/>
    <col min="118" max="118" width="5.33203125" style="3" customWidth="1"/>
    <col min="119" max="119" width="10.6640625" style="3"/>
    <col min="120" max="120" width="8.33203125" style="3" customWidth="1"/>
    <col min="121" max="121" width="5.83203125" style="3" customWidth="1"/>
    <col min="122" max="122" width="5.1640625" style="3" customWidth="1"/>
    <col min="123" max="123" width="5.6640625" style="3" customWidth="1"/>
    <col min="126" max="126" width="14.5" customWidth="1"/>
    <col min="128" max="128" width="18.1640625" customWidth="1"/>
    <col min="129" max="130" width="10.6640625" style="3"/>
    <col min="131" max="131" width="8.5" customWidth="1"/>
    <col min="132" max="132" width="6.6640625" customWidth="1"/>
    <col min="133" max="133" width="6.83203125" customWidth="1"/>
    <col min="134" max="134" width="6.6640625" customWidth="1"/>
    <col min="135" max="136" width="7.33203125" customWidth="1"/>
    <col min="137" max="137" width="6.5" customWidth="1"/>
    <col min="138" max="139" width="6.6640625" customWidth="1"/>
    <col min="140" max="140" width="7.83203125" customWidth="1"/>
    <col min="141" max="141" width="5.1640625" customWidth="1"/>
    <col min="142" max="142" width="4.33203125" customWidth="1"/>
    <col min="143" max="143" width="5.1640625" customWidth="1"/>
    <col min="144" max="144" width="7.1640625" style="2" customWidth="1"/>
    <col min="145" max="145" width="10.6640625" style="1"/>
    <col min="146" max="146" width="13.33203125" customWidth="1"/>
    <col min="148" max="148" width="10.6640625" style="2"/>
    <col min="159" max="159" width="12.33203125" bestFit="1" customWidth="1"/>
    <col min="162" max="16384" width="10.6640625" style="184"/>
  </cols>
  <sheetData>
    <row r="1" spans="1:161" s="5" customFormat="1">
      <c r="A1" s="6" t="s">
        <v>0</v>
      </c>
      <c r="B1" s="7" t="s">
        <v>0</v>
      </c>
      <c r="C1" s="7" t="s">
        <v>0</v>
      </c>
      <c r="D1" s="7" t="s">
        <v>0</v>
      </c>
      <c r="E1" s="7" t="s">
        <v>0</v>
      </c>
      <c r="F1" s="7" t="s">
        <v>0</v>
      </c>
      <c r="G1" s="7" t="s">
        <v>0</v>
      </c>
      <c r="H1" s="7" t="s">
        <v>0</v>
      </c>
      <c r="I1" s="7" t="s">
        <v>0</v>
      </c>
      <c r="J1" s="7" t="s">
        <v>0</v>
      </c>
      <c r="K1" s="7" t="s">
        <v>0</v>
      </c>
      <c r="L1" s="7" t="s">
        <v>0</v>
      </c>
      <c r="M1" s="7" t="s">
        <v>0</v>
      </c>
      <c r="N1" s="7" t="s">
        <v>0</v>
      </c>
      <c r="O1" s="8" t="s">
        <v>1</v>
      </c>
      <c r="P1" s="8" t="s">
        <v>1</v>
      </c>
      <c r="Q1" s="9"/>
      <c r="R1" s="10"/>
      <c r="S1" s="11" t="s">
        <v>2</v>
      </c>
      <c r="T1" s="12" t="s">
        <v>2</v>
      </c>
      <c r="U1" s="12" t="s">
        <v>2</v>
      </c>
      <c r="V1" s="12"/>
      <c r="W1" s="12"/>
      <c r="X1" s="12" t="s">
        <v>2</v>
      </c>
      <c r="Y1" s="12" t="s">
        <v>2</v>
      </c>
      <c r="Z1" s="12" t="s">
        <v>2</v>
      </c>
      <c r="AA1" s="12" t="s">
        <v>2</v>
      </c>
      <c r="AB1" s="12" t="s">
        <v>2</v>
      </c>
      <c r="AC1" s="12" t="s">
        <v>2</v>
      </c>
      <c r="AD1" s="12" t="s">
        <v>2</v>
      </c>
      <c r="AE1" s="12" t="s">
        <v>2</v>
      </c>
      <c r="AF1" s="12" t="s">
        <v>2</v>
      </c>
      <c r="AG1" s="12" t="s">
        <v>2</v>
      </c>
      <c r="AH1" s="12" t="s">
        <v>2</v>
      </c>
      <c r="AI1" s="12" t="s">
        <v>2</v>
      </c>
      <c r="AJ1" s="12" t="s">
        <v>2</v>
      </c>
      <c r="AK1" s="12" t="s">
        <v>2</v>
      </c>
      <c r="AL1" s="12" t="s">
        <v>2</v>
      </c>
      <c r="AM1" s="12" t="s">
        <v>2</v>
      </c>
      <c r="AN1" s="12" t="s">
        <v>2</v>
      </c>
      <c r="AO1" s="12" t="s">
        <v>2</v>
      </c>
      <c r="AP1" s="12" t="s">
        <v>2</v>
      </c>
      <c r="AQ1" s="12" t="s">
        <v>2</v>
      </c>
      <c r="AR1" s="12" t="s">
        <v>2</v>
      </c>
      <c r="AS1" s="12" t="s">
        <v>2</v>
      </c>
      <c r="AT1" s="12" t="s">
        <v>2</v>
      </c>
      <c r="AU1" s="12" t="s">
        <v>2</v>
      </c>
      <c r="AV1" s="12" t="s">
        <v>2</v>
      </c>
      <c r="AW1" s="12" t="s">
        <v>2</v>
      </c>
      <c r="AX1" s="12" t="s">
        <v>2</v>
      </c>
      <c r="AY1" s="12" t="s">
        <v>2</v>
      </c>
      <c r="AZ1" s="12" t="s">
        <v>1</v>
      </c>
      <c r="BA1" s="12" t="s">
        <v>1</v>
      </c>
      <c r="BB1" s="12"/>
      <c r="BC1" s="12"/>
      <c r="BD1" s="12"/>
      <c r="BE1" s="12" t="s">
        <v>1</v>
      </c>
      <c r="BF1" s="12" t="s">
        <v>1</v>
      </c>
      <c r="BG1" s="9" t="s">
        <v>2</v>
      </c>
      <c r="BH1" s="10" t="s">
        <v>2</v>
      </c>
      <c r="BI1" s="11" t="s">
        <v>3</v>
      </c>
      <c r="BJ1" s="12" t="s">
        <v>3</v>
      </c>
      <c r="BK1" s="12"/>
      <c r="BL1" s="12" t="s">
        <v>3</v>
      </c>
      <c r="BM1" s="12" t="s">
        <v>3</v>
      </c>
      <c r="BN1" s="12" t="s">
        <v>3</v>
      </c>
      <c r="BO1" s="12" t="s">
        <v>3</v>
      </c>
      <c r="BP1" s="12" t="s">
        <v>3</v>
      </c>
      <c r="BQ1" s="12" t="s">
        <v>3</v>
      </c>
      <c r="BR1" s="12" t="s">
        <v>3</v>
      </c>
      <c r="BS1" s="12"/>
      <c r="BT1" s="12" t="s">
        <v>3</v>
      </c>
      <c r="BU1" s="12" t="s">
        <v>3</v>
      </c>
      <c r="BV1" s="12" t="s">
        <v>3</v>
      </c>
      <c r="BW1" s="12" t="s">
        <v>3</v>
      </c>
      <c r="BX1" s="12" t="s">
        <v>3</v>
      </c>
      <c r="BY1" s="12"/>
      <c r="BZ1" s="12" t="s">
        <v>3</v>
      </c>
      <c r="CA1" s="12" t="s">
        <v>3</v>
      </c>
      <c r="CB1" s="12" t="s">
        <v>3</v>
      </c>
      <c r="CC1" s="12" t="s">
        <v>3</v>
      </c>
      <c r="CD1" s="12" t="s">
        <v>3</v>
      </c>
      <c r="CE1" s="12" t="s">
        <v>3</v>
      </c>
      <c r="CF1" s="12" t="s">
        <v>3</v>
      </c>
      <c r="CG1" s="12" t="s">
        <v>3</v>
      </c>
      <c r="CH1" s="12" t="s">
        <v>3</v>
      </c>
      <c r="CI1" s="12" t="s">
        <v>3</v>
      </c>
      <c r="CJ1" s="12" t="s">
        <v>3</v>
      </c>
      <c r="CK1" s="12" t="s">
        <v>3</v>
      </c>
      <c r="CL1" s="12" t="s">
        <v>3</v>
      </c>
      <c r="CM1" s="12" t="s">
        <v>3</v>
      </c>
      <c r="CN1" s="12" t="s">
        <v>3</v>
      </c>
      <c r="CO1" s="12" t="s">
        <v>3</v>
      </c>
      <c r="CP1" s="9" t="s">
        <v>3</v>
      </c>
      <c r="CQ1" s="9" t="s">
        <v>3</v>
      </c>
      <c r="CR1" s="9" t="s">
        <v>3</v>
      </c>
      <c r="CS1" s="9" t="s">
        <v>3</v>
      </c>
      <c r="CT1" s="9"/>
      <c r="CU1" s="9" t="s">
        <v>3</v>
      </c>
      <c r="CV1" s="9" t="s">
        <v>3</v>
      </c>
      <c r="CW1" s="9" t="s">
        <v>3</v>
      </c>
      <c r="CX1" s="9"/>
      <c r="CY1" s="9" t="s">
        <v>3</v>
      </c>
      <c r="CZ1" s="340"/>
      <c r="DA1" s="10" t="s">
        <v>3</v>
      </c>
      <c r="DB1" s="13" t="s">
        <v>4</v>
      </c>
      <c r="DC1" s="14" t="s">
        <v>4</v>
      </c>
      <c r="DD1" s="14" t="s">
        <v>4</v>
      </c>
      <c r="DE1" s="14" t="s">
        <v>4</v>
      </c>
      <c r="DF1" s="14" t="s">
        <v>4</v>
      </c>
      <c r="DG1" s="14" t="s">
        <v>4</v>
      </c>
      <c r="DH1" s="14" t="s">
        <v>4</v>
      </c>
      <c r="DI1" s="14" t="s">
        <v>4</v>
      </c>
      <c r="DJ1" s="14" t="s">
        <v>4</v>
      </c>
      <c r="DK1" s="14" t="s">
        <v>4</v>
      </c>
      <c r="DL1" s="14" t="s">
        <v>4</v>
      </c>
      <c r="DM1" s="14" t="s">
        <v>4</v>
      </c>
      <c r="DN1" s="14" t="s">
        <v>4</v>
      </c>
      <c r="DO1" s="14" t="s">
        <v>4</v>
      </c>
      <c r="DP1" s="14" t="s">
        <v>4</v>
      </c>
      <c r="DQ1" s="14" t="s">
        <v>4</v>
      </c>
      <c r="DR1" s="14" t="s">
        <v>4</v>
      </c>
      <c r="DS1" s="14" t="s">
        <v>4</v>
      </c>
      <c r="DT1" s="14" t="s">
        <v>4</v>
      </c>
      <c r="DU1" s="14" t="s">
        <v>4</v>
      </c>
      <c r="DV1" s="14" t="s">
        <v>4</v>
      </c>
      <c r="DW1" s="14" t="s">
        <v>4</v>
      </c>
      <c r="DX1" s="14" t="s">
        <v>4</v>
      </c>
      <c r="DY1" s="14" t="s">
        <v>4</v>
      </c>
      <c r="DZ1" s="14" t="s">
        <v>4</v>
      </c>
      <c r="EA1" s="14" t="s">
        <v>4</v>
      </c>
      <c r="EB1" s="14" t="s">
        <v>4</v>
      </c>
      <c r="EC1" s="14" t="s">
        <v>4</v>
      </c>
      <c r="ED1" s="14" t="s">
        <v>4</v>
      </c>
      <c r="EE1" s="14" t="s">
        <v>4</v>
      </c>
      <c r="EF1" s="14" t="s">
        <v>4</v>
      </c>
      <c r="EG1" s="14" t="s">
        <v>4</v>
      </c>
      <c r="EH1" s="14" t="s">
        <v>4</v>
      </c>
      <c r="EI1" s="14" t="s">
        <v>4</v>
      </c>
      <c r="EJ1" s="14" t="s">
        <v>4</v>
      </c>
      <c r="EK1" s="15" t="s">
        <v>4</v>
      </c>
      <c r="EL1" s="15" t="s">
        <v>4</v>
      </c>
      <c r="EM1" s="15" t="s">
        <v>4</v>
      </c>
      <c r="EN1" s="16" t="s">
        <v>4</v>
      </c>
      <c r="EO1" s="17"/>
      <c r="EP1" s="18"/>
      <c r="EQ1" s="18"/>
      <c r="ER1" s="19"/>
      <c r="ES1" s="324"/>
      <c r="ET1" s="324"/>
      <c r="EU1" s="324"/>
      <c r="EV1" s="324"/>
      <c r="EW1" s="20" t="s">
        <v>1</v>
      </c>
      <c r="EX1" s="5" t="s">
        <v>1</v>
      </c>
      <c r="EY1" s="5" t="s">
        <v>1</v>
      </c>
      <c r="EZ1" s="5" t="s">
        <v>1</v>
      </c>
      <c r="FB1" s="5" t="s">
        <v>1</v>
      </c>
      <c r="FC1" s="21" t="s">
        <v>1</v>
      </c>
      <c r="FD1" s="20"/>
    </row>
    <row r="2" spans="1:161" s="22" customFormat="1" ht="127">
      <c r="A2" s="23" t="s">
        <v>5</v>
      </c>
      <c r="B2" s="24" t="s">
        <v>5</v>
      </c>
      <c r="C2" s="24" t="s">
        <v>5</v>
      </c>
      <c r="D2" s="24" t="s">
        <v>5</v>
      </c>
      <c r="E2" s="24" t="s">
        <v>5</v>
      </c>
      <c r="F2" s="24" t="s">
        <v>5</v>
      </c>
      <c r="G2" s="24" t="s">
        <v>5</v>
      </c>
      <c r="H2" s="24" t="s">
        <v>5</v>
      </c>
      <c r="I2" s="24" t="s">
        <v>5</v>
      </c>
      <c r="J2" s="24" t="s">
        <v>5</v>
      </c>
      <c r="K2" s="24" t="s">
        <v>5</v>
      </c>
      <c r="L2" s="24" t="s">
        <v>5</v>
      </c>
      <c r="M2" s="24" t="s">
        <v>5</v>
      </c>
      <c r="N2" s="24" t="s">
        <v>1</v>
      </c>
      <c r="O2" s="25" t="s">
        <v>6</v>
      </c>
      <c r="P2" s="25" t="s">
        <v>7</v>
      </c>
      <c r="Q2" s="26" t="s">
        <v>8</v>
      </c>
      <c r="R2" s="27"/>
      <c r="S2" s="28" t="s">
        <v>9</v>
      </c>
      <c r="T2" s="29" t="s">
        <v>9</v>
      </c>
      <c r="U2" s="29" t="s">
        <v>9</v>
      </c>
      <c r="V2" s="29"/>
      <c r="W2" s="29"/>
      <c r="X2" s="30" t="s">
        <v>10</v>
      </c>
      <c r="Y2" s="30" t="s">
        <v>10</v>
      </c>
      <c r="Z2" s="30" t="s">
        <v>10</v>
      </c>
      <c r="AA2" s="30" t="s">
        <v>10</v>
      </c>
      <c r="AB2" s="30" t="s">
        <v>10</v>
      </c>
      <c r="AC2" s="30" t="s">
        <v>10</v>
      </c>
      <c r="AD2" s="30" t="s">
        <v>10</v>
      </c>
      <c r="AE2" s="30" t="s">
        <v>10</v>
      </c>
      <c r="AF2" s="30" t="s">
        <v>10</v>
      </c>
      <c r="AG2" s="30" t="s">
        <v>10</v>
      </c>
      <c r="AH2" s="30" t="s">
        <v>10</v>
      </c>
      <c r="AI2" s="30" t="s">
        <v>10</v>
      </c>
      <c r="AJ2" s="30" t="s">
        <v>10</v>
      </c>
      <c r="AK2" s="30" t="s">
        <v>10</v>
      </c>
      <c r="AL2" s="30" t="s">
        <v>10</v>
      </c>
      <c r="AM2" s="30" t="s">
        <v>10</v>
      </c>
      <c r="AN2" s="30" t="s">
        <v>10</v>
      </c>
      <c r="AO2" s="31" t="s">
        <v>11</v>
      </c>
      <c r="AP2" s="31" t="s">
        <v>11</v>
      </c>
      <c r="AQ2" s="31" t="s">
        <v>11</v>
      </c>
      <c r="AR2" s="31" t="s">
        <v>11</v>
      </c>
      <c r="AS2" s="31" t="s">
        <v>11</v>
      </c>
      <c r="AT2" s="31" t="s">
        <v>11</v>
      </c>
      <c r="AU2" s="31" t="s">
        <v>11</v>
      </c>
      <c r="AV2" s="31" t="s">
        <v>11</v>
      </c>
      <c r="AW2" s="31" t="s">
        <v>11</v>
      </c>
      <c r="AX2" s="31" t="s">
        <v>11</v>
      </c>
      <c r="AY2" s="31" t="s">
        <v>11</v>
      </c>
      <c r="AZ2" s="25" t="s">
        <v>7</v>
      </c>
      <c r="BA2" s="32" t="s">
        <v>12</v>
      </c>
      <c r="BB2" s="33"/>
      <c r="BC2" s="33"/>
      <c r="BD2" s="33"/>
      <c r="BE2" s="33" t="s">
        <v>12</v>
      </c>
      <c r="BF2" s="33" t="s">
        <v>12</v>
      </c>
      <c r="BG2" s="33" t="s">
        <v>15</v>
      </c>
      <c r="BH2" s="34" t="s">
        <v>15</v>
      </c>
      <c r="BI2" s="35" t="s">
        <v>13</v>
      </c>
      <c r="BJ2" s="36" t="s">
        <v>13</v>
      </c>
      <c r="BK2" s="36"/>
      <c r="BL2" s="36" t="s">
        <v>13</v>
      </c>
      <c r="BM2" s="36" t="s">
        <v>13</v>
      </c>
      <c r="BN2" s="36" t="s">
        <v>13</v>
      </c>
      <c r="BO2" s="36" t="s">
        <v>13</v>
      </c>
      <c r="BP2" s="36" t="s">
        <v>13</v>
      </c>
      <c r="BQ2" s="36" t="s">
        <v>13</v>
      </c>
      <c r="BR2" s="36" t="s">
        <v>13</v>
      </c>
      <c r="BS2" s="36"/>
      <c r="BT2" s="36" t="s">
        <v>13</v>
      </c>
      <c r="BU2" s="36" t="s">
        <v>13</v>
      </c>
      <c r="BV2" s="36" t="s">
        <v>13</v>
      </c>
      <c r="BW2" s="36" t="s">
        <v>13</v>
      </c>
      <c r="BX2" s="36" t="s">
        <v>13</v>
      </c>
      <c r="BY2" s="36"/>
      <c r="BZ2" s="36" t="s">
        <v>13</v>
      </c>
      <c r="CA2" s="37"/>
      <c r="CB2" s="38" t="s">
        <v>14</v>
      </c>
      <c r="CC2" s="38" t="s">
        <v>14</v>
      </c>
      <c r="CD2" s="38" t="s">
        <v>14</v>
      </c>
      <c r="CE2" s="38" t="s">
        <v>14</v>
      </c>
      <c r="CF2" s="38" t="s">
        <v>14</v>
      </c>
      <c r="CG2" s="38" t="s">
        <v>14</v>
      </c>
      <c r="CH2" s="38" t="s">
        <v>14</v>
      </c>
      <c r="CI2" s="38" t="s">
        <v>14</v>
      </c>
      <c r="CJ2" s="38" t="s">
        <v>14</v>
      </c>
      <c r="CK2" s="38" t="s">
        <v>14</v>
      </c>
      <c r="CL2" s="38" t="s">
        <v>14</v>
      </c>
      <c r="CM2" s="38" t="s">
        <v>14</v>
      </c>
      <c r="CN2" s="38" t="s">
        <v>14</v>
      </c>
      <c r="CO2" s="38" t="s">
        <v>14</v>
      </c>
      <c r="CP2" s="39" t="s">
        <v>15</v>
      </c>
      <c r="CQ2" s="39" t="s">
        <v>15</v>
      </c>
      <c r="CR2" s="39" t="s">
        <v>15</v>
      </c>
      <c r="CS2" s="39" t="s">
        <v>15</v>
      </c>
      <c r="CT2" s="39"/>
      <c r="CU2" s="39" t="s">
        <v>15</v>
      </c>
      <c r="CV2" s="39" t="s">
        <v>15</v>
      </c>
      <c r="CW2" s="39" t="s">
        <v>15</v>
      </c>
      <c r="CX2" s="39"/>
      <c r="CY2" s="39" t="s">
        <v>15</v>
      </c>
      <c r="CZ2" s="341"/>
      <c r="DA2" s="40" t="s">
        <v>15</v>
      </c>
      <c r="DB2" s="41" t="s">
        <v>16</v>
      </c>
      <c r="DC2" s="316" t="s">
        <v>15</v>
      </c>
      <c r="DD2" s="316" t="s">
        <v>15</v>
      </c>
      <c r="DE2" s="42" t="s">
        <v>16</v>
      </c>
      <c r="DF2" s="42" t="s">
        <v>16</v>
      </c>
      <c r="DG2" s="42" t="s">
        <v>16</v>
      </c>
      <c r="DH2" s="316" t="s">
        <v>15</v>
      </c>
      <c r="DI2" s="42" t="s">
        <v>16</v>
      </c>
      <c r="DJ2" s="42" t="s">
        <v>16</v>
      </c>
      <c r="DK2" s="42" t="s">
        <v>16</v>
      </c>
      <c r="DL2" s="42" t="s">
        <v>16</v>
      </c>
      <c r="DM2" s="42" t="s">
        <v>16</v>
      </c>
      <c r="DN2" s="43" t="s">
        <v>12</v>
      </c>
      <c r="DO2" s="316" t="s">
        <v>15</v>
      </c>
      <c r="DP2" s="42" t="s">
        <v>16</v>
      </c>
      <c r="DQ2" s="42" t="s">
        <v>16</v>
      </c>
      <c r="DR2" s="42" t="s">
        <v>16</v>
      </c>
      <c r="DS2" s="42" t="s">
        <v>16</v>
      </c>
      <c r="DT2" s="44" t="s">
        <v>17</v>
      </c>
      <c r="DU2" s="44" t="s">
        <v>17</v>
      </c>
      <c r="DV2" s="44" t="s">
        <v>18</v>
      </c>
      <c r="DW2" s="44" t="s">
        <v>18</v>
      </c>
      <c r="DX2" s="44" t="s">
        <v>18</v>
      </c>
      <c r="DY2" s="43" t="s">
        <v>12</v>
      </c>
      <c r="DZ2" s="43" t="s">
        <v>7</v>
      </c>
      <c r="EA2" s="44" t="s">
        <v>17</v>
      </c>
      <c r="EB2" s="44" t="s">
        <v>17</v>
      </c>
      <c r="EC2" s="44" t="s">
        <v>17</v>
      </c>
      <c r="ED2" s="44" t="s">
        <v>17</v>
      </c>
      <c r="EE2" s="44" t="s">
        <v>17</v>
      </c>
      <c r="EF2" s="44" t="s">
        <v>17</v>
      </c>
      <c r="EG2" s="44" t="s">
        <v>17</v>
      </c>
      <c r="EH2" s="44" t="s">
        <v>17</v>
      </c>
      <c r="EI2" s="44" t="s">
        <v>17</v>
      </c>
      <c r="EJ2" s="44" t="s">
        <v>17</v>
      </c>
      <c r="EK2" s="44" t="s">
        <v>17</v>
      </c>
      <c r="EL2" s="44" t="s">
        <v>17</v>
      </c>
      <c r="EM2" s="44" t="s">
        <v>17</v>
      </c>
      <c r="EN2" s="45" t="s">
        <v>17</v>
      </c>
      <c r="EO2" s="46"/>
      <c r="EP2" s="47"/>
      <c r="EQ2" s="47"/>
      <c r="ER2" s="48"/>
      <c r="ES2" s="325"/>
      <c r="ET2" s="325"/>
      <c r="EU2" s="325"/>
      <c r="EV2" s="325"/>
      <c r="EW2" s="49" t="s">
        <v>7</v>
      </c>
      <c r="EX2" s="50" t="s">
        <v>7</v>
      </c>
      <c r="EY2" s="50" t="s">
        <v>7</v>
      </c>
      <c r="EZ2" s="50" t="s">
        <v>7</v>
      </c>
      <c r="FA2" s="50"/>
      <c r="FB2" s="50" t="s">
        <v>7</v>
      </c>
      <c r="FC2" s="51" t="s">
        <v>12</v>
      </c>
      <c r="FD2" s="52"/>
    </row>
    <row r="3" spans="1:161" s="22" customFormat="1">
      <c r="A3" s="23"/>
      <c r="B3" s="24"/>
      <c r="C3" s="24"/>
      <c r="D3" s="24"/>
      <c r="E3" s="24"/>
      <c r="F3" s="24"/>
      <c r="G3" s="24"/>
      <c r="H3" s="24"/>
      <c r="I3" s="24"/>
      <c r="J3" s="24"/>
      <c r="K3" s="24"/>
      <c r="L3" s="24"/>
      <c r="M3" s="24"/>
      <c r="N3" s="24"/>
      <c r="O3" s="25"/>
      <c r="P3" s="25"/>
      <c r="Q3" s="26"/>
      <c r="R3" s="27"/>
      <c r="S3" s="28"/>
      <c r="T3" s="29"/>
      <c r="U3" s="29"/>
      <c r="V3" s="29"/>
      <c r="W3" s="29"/>
      <c r="X3" s="30" t="s">
        <v>19</v>
      </c>
      <c r="Y3" s="30" t="s">
        <v>19</v>
      </c>
      <c r="Z3" s="30" t="s">
        <v>19</v>
      </c>
      <c r="AA3" s="30" t="s">
        <v>19</v>
      </c>
      <c r="AB3" s="30" t="s">
        <v>19</v>
      </c>
      <c r="AC3" s="30" t="s">
        <v>19</v>
      </c>
      <c r="AD3" s="30" t="s">
        <v>19</v>
      </c>
      <c r="AE3" s="30" t="s">
        <v>19</v>
      </c>
      <c r="AF3" s="30" t="s">
        <v>19</v>
      </c>
      <c r="AG3" s="30" t="s">
        <v>19</v>
      </c>
      <c r="AH3" s="30" t="s">
        <v>19</v>
      </c>
      <c r="AI3" s="30" t="s">
        <v>19</v>
      </c>
      <c r="AJ3" s="30" t="s">
        <v>19</v>
      </c>
      <c r="AK3" s="30" t="s">
        <v>19</v>
      </c>
      <c r="AL3" s="30" t="s">
        <v>19</v>
      </c>
      <c r="AM3" s="30" t="s">
        <v>19</v>
      </c>
      <c r="AN3" s="30" t="s">
        <v>19</v>
      </c>
      <c r="AO3" s="53" t="s">
        <v>20</v>
      </c>
      <c r="AP3" s="53" t="s">
        <v>20</v>
      </c>
      <c r="AQ3" s="53" t="s">
        <v>20</v>
      </c>
      <c r="AR3" s="53" t="s">
        <v>20</v>
      </c>
      <c r="AS3" s="53" t="s">
        <v>20</v>
      </c>
      <c r="AT3" s="53" t="s">
        <v>20</v>
      </c>
      <c r="AU3" s="53" t="s">
        <v>20</v>
      </c>
      <c r="AV3" s="53" t="s">
        <v>20</v>
      </c>
      <c r="AW3" s="53" t="s">
        <v>20</v>
      </c>
      <c r="AX3" s="53" t="s">
        <v>20</v>
      </c>
      <c r="AY3" s="53" t="s">
        <v>20</v>
      </c>
      <c r="AZ3" s="25"/>
      <c r="BA3" s="32"/>
      <c r="BB3" s="33"/>
      <c r="BC3" s="33"/>
      <c r="BD3" s="33"/>
      <c r="BE3" s="33"/>
      <c r="BF3" s="33"/>
      <c r="BG3" s="33"/>
      <c r="BH3" s="34"/>
      <c r="BI3" s="35"/>
      <c r="BJ3" s="36"/>
      <c r="BK3" s="36"/>
      <c r="BL3" s="36"/>
      <c r="BM3" s="36"/>
      <c r="BN3" s="36"/>
      <c r="BO3" s="36"/>
      <c r="BP3" s="36"/>
      <c r="BQ3" s="36"/>
      <c r="BR3" s="36"/>
      <c r="BS3" s="36"/>
      <c r="BT3" s="36"/>
      <c r="BU3" s="36"/>
      <c r="BV3" s="36"/>
      <c r="BW3" s="36"/>
      <c r="BX3" s="36"/>
      <c r="BY3" s="36"/>
      <c r="BZ3" s="36"/>
      <c r="CA3" s="37"/>
      <c r="CB3" s="38"/>
      <c r="CC3" s="38"/>
      <c r="CD3" s="38"/>
      <c r="CE3" s="38"/>
      <c r="CF3" s="38"/>
      <c r="CG3" s="38"/>
      <c r="CH3" s="38"/>
      <c r="CI3" s="38"/>
      <c r="CJ3" s="38"/>
      <c r="CK3" s="38"/>
      <c r="CL3" s="38"/>
      <c r="CM3" s="38"/>
      <c r="CN3" s="38"/>
      <c r="CO3" s="38"/>
      <c r="CP3" s="39"/>
      <c r="CQ3" s="39"/>
      <c r="CR3" s="39"/>
      <c r="CS3" s="39"/>
      <c r="CT3" s="39"/>
      <c r="CU3" s="39"/>
      <c r="CV3" s="39"/>
      <c r="CW3" s="39"/>
      <c r="CX3" s="39"/>
      <c r="CY3" s="39"/>
      <c r="CZ3" s="341"/>
      <c r="DA3" s="40"/>
      <c r="DB3" s="41"/>
      <c r="DC3" s="42"/>
      <c r="DD3" s="42"/>
      <c r="DE3" s="42"/>
      <c r="DF3" s="42"/>
      <c r="DG3" s="42"/>
      <c r="DH3" s="42"/>
      <c r="DI3" s="42"/>
      <c r="DJ3" s="42"/>
      <c r="DK3" s="42"/>
      <c r="DL3" s="42"/>
      <c r="DM3" s="44"/>
      <c r="DN3" s="43" t="s">
        <v>21</v>
      </c>
      <c r="DO3" s="43"/>
      <c r="DP3" s="43"/>
      <c r="DQ3" s="43"/>
      <c r="DR3" s="43"/>
      <c r="DS3" s="43"/>
      <c r="DT3" s="44" t="s">
        <v>22</v>
      </c>
      <c r="DU3" s="44" t="s">
        <v>22</v>
      </c>
      <c r="DV3" s="44" t="s">
        <v>22</v>
      </c>
      <c r="DW3" s="44" t="s">
        <v>22</v>
      </c>
      <c r="DX3" s="44" t="s">
        <v>22</v>
      </c>
      <c r="DY3" s="43" t="s">
        <v>21</v>
      </c>
      <c r="DZ3" s="43"/>
      <c r="EA3" s="44" t="s">
        <v>22</v>
      </c>
      <c r="EB3" s="44" t="s">
        <v>22</v>
      </c>
      <c r="EC3" s="44" t="s">
        <v>22</v>
      </c>
      <c r="ED3" s="44" t="s">
        <v>22</v>
      </c>
      <c r="EE3" s="44" t="s">
        <v>22</v>
      </c>
      <c r="EF3" s="44" t="s">
        <v>22</v>
      </c>
      <c r="EG3" s="44" t="s">
        <v>22</v>
      </c>
      <c r="EH3" s="44" t="s">
        <v>22</v>
      </c>
      <c r="EI3" s="44" t="s">
        <v>22</v>
      </c>
      <c r="EJ3" s="44" t="s">
        <v>22</v>
      </c>
      <c r="EK3" s="44" t="s">
        <v>23</v>
      </c>
      <c r="EL3" s="44" t="s">
        <v>24</v>
      </c>
      <c r="EM3" s="44" t="s">
        <v>25</v>
      </c>
      <c r="EN3" s="45" t="s">
        <v>26</v>
      </c>
      <c r="EO3" s="46"/>
      <c r="EP3" s="47"/>
      <c r="EQ3" s="47"/>
      <c r="ER3" s="48"/>
      <c r="ES3" s="325"/>
      <c r="ET3" s="325"/>
      <c r="EU3" s="325"/>
      <c r="EV3" s="325"/>
      <c r="EW3" s="49"/>
      <c r="EX3" s="50"/>
      <c r="EY3" s="50"/>
      <c r="EZ3" s="50"/>
      <c r="FA3" s="50"/>
      <c r="FB3" s="50"/>
      <c r="FC3" s="51"/>
      <c r="FD3" s="52"/>
    </row>
    <row r="4" spans="1:161" s="22" customFormat="1" ht="55" customHeight="1">
      <c r="A4" s="54" t="s">
        <v>27</v>
      </c>
      <c r="B4" s="55" t="s">
        <v>28</v>
      </c>
      <c r="C4" s="55" t="s">
        <v>28</v>
      </c>
      <c r="D4" s="55" t="s">
        <v>29</v>
      </c>
      <c r="E4" s="55" t="s">
        <v>28</v>
      </c>
      <c r="F4" s="55" t="s">
        <v>28</v>
      </c>
      <c r="G4" s="55" t="s">
        <v>30</v>
      </c>
      <c r="H4" s="55" t="s">
        <v>27</v>
      </c>
      <c r="I4" s="55" t="s">
        <v>27</v>
      </c>
      <c r="J4" s="55" t="s">
        <v>27</v>
      </c>
      <c r="K4" s="55" t="s">
        <v>27</v>
      </c>
      <c r="L4" s="55" t="s">
        <v>27</v>
      </c>
      <c r="M4" s="55" t="s">
        <v>29</v>
      </c>
      <c r="N4" s="56" t="s">
        <v>31</v>
      </c>
      <c r="O4" s="57" t="s">
        <v>32</v>
      </c>
      <c r="P4" s="58" t="s">
        <v>33</v>
      </c>
      <c r="Q4" s="59"/>
      <c r="R4" s="60"/>
      <c r="S4" s="61" t="s">
        <v>34</v>
      </c>
      <c r="T4" s="62" t="s">
        <v>34</v>
      </c>
      <c r="U4" s="63" t="s">
        <v>34</v>
      </c>
      <c r="V4" s="64" t="s">
        <v>4879</v>
      </c>
      <c r="W4" s="64"/>
      <c r="X4" s="64" t="s">
        <v>4879</v>
      </c>
      <c r="Y4" s="64" t="s">
        <v>4879</v>
      </c>
      <c r="Z4" s="64" t="s">
        <v>4879</v>
      </c>
      <c r="AA4" s="64" t="s">
        <v>4879</v>
      </c>
      <c r="AB4" s="64" t="s">
        <v>4880</v>
      </c>
      <c r="AC4" s="64" t="s">
        <v>4880</v>
      </c>
      <c r="AD4" s="64" t="s">
        <v>4880</v>
      </c>
      <c r="AE4" s="64" t="s">
        <v>4880</v>
      </c>
      <c r="AF4" s="65" t="s">
        <v>35</v>
      </c>
      <c r="AG4" s="65" t="s">
        <v>35</v>
      </c>
      <c r="AH4" s="65" t="s">
        <v>35</v>
      </c>
      <c r="AI4" s="65" t="s">
        <v>35</v>
      </c>
      <c r="AJ4" s="65" t="s">
        <v>35</v>
      </c>
      <c r="AK4" s="65" t="s">
        <v>35</v>
      </c>
      <c r="AL4" s="66" t="s">
        <v>36</v>
      </c>
      <c r="AM4" s="66" t="s">
        <v>36</v>
      </c>
      <c r="AN4" s="66" t="s">
        <v>36</v>
      </c>
      <c r="AO4" s="31" t="s">
        <v>11</v>
      </c>
      <c r="AP4" s="31" t="s">
        <v>11</v>
      </c>
      <c r="AQ4" s="31" t="s">
        <v>11</v>
      </c>
      <c r="AR4" s="31" t="s">
        <v>11</v>
      </c>
      <c r="AS4" s="31" t="s">
        <v>11</v>
      </c>
      <c r="AT4" s="31" t="s">
        <v>11</v>
      </c>
      <c r="AU4" s="67" t="s">
        <v>37</v>
      </c>
      <c r="AV4" s="67" t="s">
        <v>37</v>
      </c>
      <c r="AW4" s="67" t="s">
        <v>37</v>
      </c>
      <c r="AX4" s="67" t="s">
        <v>37</v>
      </c>
      <c r="AY4" s="67" t="s">
        <v>37</v>
      </c>
      <c r="AZ4" s="68" t="s">
        <v>12</v>
      </c>
      <c r="BA4" s="68" t="s">
        <v>38</v>
      </c>
      <c r="BB4" s="69"/>
      <c r="BC4" s="69"/>
      <c r="BD4" s="69"/>
      <c r="BE4" s="69" t="s">
        <v>39</v>
      </c>
      <c r="BF4" s="69" t="s">
        <v>39</v>
      </c>
      <c r="BG4" s="70" t="s">
        <v>40</v>
      </c>
      <c r="BH4" s="71" t="s">
        <v>40</v>
      </c>
      <c r="BI4" s="72" t="s">
        <v>41</v>
      </c>
      <c r="BJ4" s="73" t="s">
        <v>41</v>
      </c>
      <c r="BK4" s="73"/>
      <c r="BL4" s="73" t="s">
        <v>41</v>
      </c>
      <c r="BM4" s="73" t="s">
        <v>41</v>
      </c>
      <c r="BN4" s="73" t="s">
        <v>41</v>
      </c>
      <c r="BO4" s="73" t="s">
        <v>41</v>
      </c>
      <c r="BP4" s="73" t="s">
        <v>41</v>
      </c>
      <c r="BQ4" s="73" t="s">
        <v>41</v>
      </c>
      <c r="BR4" s="74" t="s">
        <v>42</v>
      </c>
      <c r="BS4" s="74" t="s">
        <v>42</v>
      </c>
      <c r="BT4" s="74" t="s">
        <v>42</v>
      </c>
      <c r="BU4" s="74" t="s">
        <v>42</v>
      </c>
      <c r="BV4" s="74" t="s">
        <v>42</v>
      </c>
      <c r="BW4" s="74" t="s">
        <v>42</v>
      </c>
      <c r="BX4" s="74" t="s">
        <v>42</v>
      </c>
      <c r="BY4" s="74"/>
      <c r="BZ4" s="74" t="s">
        <v>42</v>
      </c>
      <c r="CA4" s="75" t="s">
        <v>43</v>
      </c>
      <c r="CB4" s="22" t="s">
        <v>44</v>
      </c>
      <c r="CC4" s="76" t="s">
        <v>45</v>
      </c>
      <c r="CD4" s="76" t="s">
        <v>45</v>
      </c>
      <c r="CE4" s="76" t="s">
        <v>45</v>
      </c>
      <c r="CF4" s="76" t="s">
        <v>45</v>
      </c>
      <c r="CG4" s="76" t="s">
        <v>45</v>
      </c>
      <c r="CH4" s="76" t="s">
        <v>45</v>
      </c>
      <c r="CI4" s="76" t="s">
        <v>46</v>
      </c>
      <c r="CJ4" s="76" t="s">
        <v>46</v>
      </c>
      <c r="CK4" s="76" t="s">
        <v>46</v>
      </c>
      <c r="CL4" s="76" t="s">
        <v>46</v>
      </c>
      <c r="CM4" s="76" t="s">
        <v>46</v>
      </c>
      <c r="CN4" s="76" t="s">
        <v>47</v>
      </c>
      <c r="CO4" s="76" t="s">
        <v>48</v>
      </c>
      <c r="CP4" s="77" t="s">
        <v>34</v>
      </c>
      <c r="CQ4" s="39" t="s">
        <v>41</v>
      </c>
      <c r="CR4" s="77" t="s">
        <v>13</v>
      </c>
      <c r="CS4" s="77" t="s">
        <v>13</v>
      </c>
      <c r="CT4" s="77"/>
      <c r="CU4" s="77" t="s">
        <v>13</v>
      </c>
      <c r="CV4" s="77" t="s">
        <v>13</v>
      </c>
      <c r="CW4" s="77" t="s">
        <v>13</v>
      </c>
      <c r="CX4" s="77"/>
      <c r="CY4" s="77" t="s">
        <v>13</v>
      </c>
      <c r="CZ4" s="342"/>
      <c r="DA4" s="78" t="s">
        <v>13</v>
      </c>
      <c r="DB4" s="79" t="s">
        <v>49</v>
      </c>
      <c r="DC4" s="26" t="s">
        <v>49</v>
      </c>
      <c r="DD4" s="80" t="s">
        <v>49</v>
      </c>
      <c r="DE4" s="80" t="s">
        <v>50</v>
      </c>
      <c r="DF4" s="80" t="s">
        <v>50</v>
      </c>
      <c r="DG4" s="80" t="s">
        <v>50</v>
      </c>
      <c r="DH4" s="81"/>
      <c r="DI4" s="42" t="s">
        <v>51</v>
      </c>
      <c r="DJ4" s="42" t="s">
        <v>51</v>
      </c>
      <c r="DK4" s="42" t="s">
        <v>51</v>
      </c>
      <c r="DL4" s="42" t="s">
        <v>51</v>
      </c>
      <c r="DM4" s="44" t="s">
        <v>52</v>
      </c>
      <c r="DN4" s="43" t="s">
        <v>12</v>
      </c>
      <c r="DO4" s="42" t="s">
        <v>51</v>
      </c>
      <c r="DP4" s="42" t="s">
        <v>51</v>
      </c>
      <c r="DQ4" s="42" t="s">
        <v>51</v>
      </c>
      <c r="DR4" s="42" t="s">
        <v>51</v>
      </c>
      <c r="DS4" s="42" t="s">
        <v>51</v>
      </c>
      <c r="DT4" s="82" t="s">
        <v>53</v>
      </c>
      <c r="DU4" s="82" t="s">
        <v>53</v>
      </c>
      <c r="DV4" s="82" t="s">
        <v>53</v>
      </c>
      <c r="DW4" s="82" t="s">
        <v>53</v>
      </c>
      <c r="DX4" s="82" t="s">
        <v>53</v>
      </c>
      <c r="DY4" s="43" t="s">
        <v>12</v>
      </c>
      <c r="DZ4" s="25" t="s">
        <v>53</v>
      </c>
      <c r="EA4" s="100" t="s">
        <v>54</v>
      </c>
      <c r="EB4" s="100" t="s">
        <v>54</v>
      </c>
      <c r="EC4" s="100" t="s">
        <v>54</v>
      </c>
      <c r="ED4" s="100" t="s">
        <v>54</v>
      </c>
      <c r="EE4" s="100" t="s">
        <v>54</v>
      </c>
      <c r="EF4" s="100" t="s">
        <v>54</v>
      </c>
      <c r="EG4" s="100" t="s">
        <v>54</v>
      </c>
      <c r="EH4" s="100" t="s">
        <v>54</v>
      </c>
      <c r="EI4" s="100" t="s">
        <v>54</v>
      </c>
      <c r="EJ4" s="100" t="s">
        <v>54</v>
      </c>
      <c r="EK4" s="84" t="s">
        <v>55</v>
      </c>
      <c r="EL4" s="84" t="s">
        <v>55</v>
      </c>
      <c r="EM4" s="84" t="s">
        <v>55</v>
      </c>
      <c r="EN4" s="85" t="s">
        <v>55</v>
      </c>
      <c r="EO4" s="46"/>
      <c r="EP4" s="47"/>
      <c r="EQ4" s="47"/>
      <c r="ER4" s="48"/>
      <c r="ES4" s="325"/>
      <c r="ET4" s="325"/>
      <c r="EU4" s="325"/>
      <c r="EV4" s="325"/>
      <c r="EW4" s="86" t="s">
        <v>12</v>
      </c>
      <c r="EX4" s="87" t="s">
        <v>12</v>
      </c>
      <c r="EY4" s="87" t="s">
        <v>12</v>
      </c>
      <c r="EZ4" s="87" t="s">
        <v>12</v>
      </c>
      <c r="FA4" s="87"/>
      <c r="FB4" s="87" t="s">
        <v>12</v>
      </c>
      <c r="FC4" s="88" t="s">
        <v>56</v>
      </c>
      <c r="FD4" s="52"/>
    </row>
    <row r="5" spans="1:161" s="22" customFormat="1">
      <c r="A5" s="54"/>
      <c r="B5" s="55"/>
      <c r="C5" s="55"/>
      <c r="D5" s="55"/>
      <c r="E5" s="55"/>
      <c r="F5" s="55"/>
      <c r="G5" s="55"/>
      <c r="H5" s="55"/>
      <c r="I5" s="55"/>
      <c r="J5" s="55"/>
      <c r="K5" s="55"/>
      <c r="L5" s="55"/>
      <c r="M5" s="55"/>
      <c r="N5" s="56"/>
      <c r="O5" s="57"/>
      <c r="P5" s="58"/>
      <c r="Q5" s="59"/>
      <c r="R5" s="60"/>
      <c r="S5" s="61"/>
      <c r="T5" s="62"/>
      <c r="U5" s="63"/>
      <c r="V5" s="89" t="s">
        <v>57</v>
      </c>
      <c r="W5" s="89" t="s">
        <v>57</v>
      </c>
      <c r="X5" s="89" t="s">
        <v>57</v>
      </c>
      <c r="Y5" s="89" t="s">
        <v>57</v>
      </c>
      <c r="Z5" s="89" t="s">
        <v>57</v>
      </c>
      <c r="AA5" s="89" t="s">
        <v>57</v>
      </c>
      <c r="AB5" s="89" t="s">
        <v>57</v>
      </c>
      <c r="AC5" s="89" t="s">
        <v>57</v>
      </c>
      <c r="AD5" s="89" t="s">
        <v>57</v>
      </c>
      <c r="AE5" s="89" t="s">
        <v>57</v>
      </c>
      <c r="AF5" s="30" t="s">
        <v>19</v>
      </c>
      <c r="AG5" s="30" t="s">
        <v>19</v>
      </c>
      <c r="AH5" s="30" t="s">
        <v>19</v>
      </c>
      <c r="AI5" s="30" t="s">
        <v>19</v>
      </c>
      <c r="AJ5" s="30" t="s">
        <v>19</v>
      </c>
      <c r="AK5" s="30" t="s">
        <v>19</v>
      </c>
      <c r="AL5" s="90" t="s">
        <v>58</v>
      </c>
      <c r="AM5" s="90" t="s">
        <v>58</v>
      </c>
      <c r="AN5" s="90" t="s">
        <v>58</v>
      </c>
      <c r="AO5" s="53" t="s">
        <v>59</v>
      </c>
      <c r="AP5" s="53" t="s">
        <v>59</v>
      </c>
      <c r="AQ5" s="53" t="s">
        <v>59</v>
      </c>
      <c r="AR5" s="53" t="s">
        <v>59</v>
      </c>
      <c r="AS5" s="53" t="s">
        <v>59</v>
      </c>
      <c r="AT5" s="53" t="s">
        <v>59</v>
      </c>
      <c r="AU5" s="91" t="s">
        <v>60</v>
      </c>
      <c r="AV5" s="91" t="s">
        <v>60</v>
      </c>
      <c r="AW5" s="91" t="s">
        <v>60</v>
      </c>
      <c r="AX5" s="91" t="s">
        <v>60</v>
      </c>
      <c r="AY5" s="91" t="s">
        <v>60</v>
      </c>
      <c r="AZ5" s="68"/>
      <c r="BA5" s="68"/>
      <c r="BB5" s="69"/>
      <c r="BC5" s="69"/>
      <c r="BD5" s="69"/>
      <c r="BE5" s="69"/>
      <c r="BF5" s="69"/>
      <c r="BG5" s="70"/>
      <c r="BH5" s="71"/>
      <c r="BI5" s="72"/>
      <c r="BJ5" s="73"/>
      <c r="BK5" s="73"/>
      <c r="BL5" s="73"/>
      <c r="BM5" s="73"/>
      <c r="BN5" s="73"/>
      <c r="BO5" s="73"/>
      <c r="BP5" s="73"/>
      <c r="BQ5" s="73"/>
      <c r="BR5" s="74"/>
      <c r="BS5" s="74"/>
      <c r="BT5" s="74"/>
      <c r="BU5" s="74"/>
      <c r="BV5" s="74"/>
      <c r="BW5" s="74"/>
      <c r="BX5" s="74"/>
      <c r="BY5" s="74"/>
      <c r="BZ5" s="74"/>
      <c r="CA5" s="75"/>
      <c r="CC5" s="76"/>
      <c r="CD5" s="76"/>
      <c r="CE5" s="76"/>
      <c r="CF5" s="76"/>
      <c r="CG5" s="76"/>
      <c r="CH5" s="76"/>
      <c r="CI5" s="76"/>
      <c r="CJ5" s="76"/>
      <c r="CK5" s="76"/>
      <c r="CL5" s="76"/>
      <c r="CM5" s="76"/>
      <c r="CN5" s="76"/>
      <c r="CO5" s="76"/>
      <c r="CP5" s="77"/>
      <c r="CQ5" s="39"/>
      <c r="CR5" s="77"/>
      <c r="CS5" s="77"/>
      <c r="CT5" s="77"/>
      <c r="CU5" s="77"/>
      <c r="CV5" s="77"/>
      <c r="CW5" s="77"/>
      <c r="CX5" s="77"/>
      <c r="CY5" s="77"/>
      <c r="CZ5" s="342"/>
      <c r="DA5" s="78"/>
      <c r="DB5" s="79"/>
      <c r="DC5" s="26"/>
      <c r="DD5" s="80"/>
      <c r="DE5" s="80"/>
      <c r="DF5" s="80"/>
      <c r="DG5" s="80"/>
      <c r="DH5" s="81"/>
      <c r="DI5" s="42"/>
      <c r="DJ5" s="42"/>
      <c r="DK5" s="42"/>
      <c r="DL5" s="42"/>
      <c r="DM5" s="92"/>
      <c r="DN5" s="43" t="s">
        <v>21</v>
      </c>
      <c r="DO5" s="93"/>
      <c r="DP5" s="93"/>
      <c r="DQ5" s="93"/>
      <c r="DR5" s="93"/>
      <c r="DS5" s="93"/>
      <c r="DT5" s="94" t="s">
        <v>61</v>
      </c>
      <c r="DU5" s="94" t="s">
        <v>61</v>
      </c>
      <c r="DV5" s="94" t="s">
        <v>61</v>
      </c>
      <c r="DW5" s="94" t="s">
        <v>61</v>
      </c>
      <c r="DX5" s="94" t="s">
        <v>61</v>
      </c>
      <c r="DY5" s="43" t="s">
        <v>21</v>
      </c>
      <c r="DZ5" s="95"/>
      <c r="EA5" s="44" t="s">
        <v>22</v>
      </c>
      <c r="EB5" s="44" t="s">
        <v>22</v>
      </c>
      <c r="EC5" s="44" t="s">
        <v>22</v>
      </c>
      <c r="ED5" s="44" t="s">
        <v>22</v>
      </c>
      <c r="EE5" s="44" t="s">
        <v>22</v>
      </c>
      <c r="EF5" s="44" t="s">
        <v>22</v>
      </c>
      <c r="EG5" s="44" t="s">
        <v>22</v>
      </c>
      <c r="EH5" s="44" t="s">
        <v>22</v>
      </c>
      <c r="EI5" s="44" t="s">
        <v>22</v>
      </c>
      <c r="EJ5" s="44" t="s">
        <v>22</v>
      </c>
      <c r="EK5" s="96" t="s">
        <v>62</v>
      </c>
      <c r="EL5" s="96" t="s">
        <v>62</v>
      </c>
      <c r="EM5" s="96" t="s">
        <v>62</v>
      </c>
      <c r="EN5" s="97" t="s">
        <v>62</v>
      </c>
      <c r="EO5" s="46"/>
      <c r="EP5" s="47"/>
      <c r="EQ5" s="47"/>
      <c r="ER5" s="48"/>
      <c r="ES5" s="325"/>
      <c r="ET5" s="325"/>
      <c r="EU5" s="325"/>
      <c r="EV5" s="325"/>
      <c r="EW5" s="86"/>
      <c r="EX5" s="87"/>
      <c r="EY5" s="87"/>
      <c r="EZ5" s="87"/>
      <c r="FA5" s="87"/>
      <c r="FB5" s="87"/>
      <c r="FC5" s="88"/>
      <c r="FD5" s="52"/>
    </row>
    <row r="6" spans="1:161" s="22" customFormat="1" ht="44" customHeight="1">
      <c r="A6" s="54" t="s">
        <v>27</v>
      </c>
      <c r="B6" s="55" t="s">
        <v>28</v>
      </c>
      <c r="C6" s="55" t="s">
        <v>28</v>
      </c>
      <c r="D6" s="55" t="s">
        <v>29</v>
      </c>
      <c r="E6" s="55" t="s">
        <v>28</v>
      </c>
      <c r="F6" s="55" t="s">
        <v>28</v>
      </c>
      <c r="G6" s="55" t="s">
        <v>30</v>
      </c>
      <c r="H6" s="55" t="s">
        <v>27</v>
      </c>
      <c r="I6" s="55" t="s">
        <v>27</v>
      </c>
      <c r="J6" s="55" t="s">
        <v>27</v>
      </c>
      <c r="K6" s="55" t="s">
        <v>27</v>
      </c>
      <c r="L6" s="55" t="s">
        <v>27</v>
      </c>
      <c r="M6" s="55" t="s">
        <v>29</v>
      </c>
      <c r="N6" s="56" t="s">
        <v>31</v>
      </c>
      <c r="O6" s="57" t="s">
        <v>32</v>
      </c>
      <c r="P6" s="58" t="s">
        <v>33</v>
      </c>
      <c r="Q6" s="59"/>
      <c r="R6" s="60" t="s">
        <v>12</v>
      </c>
      <c r="S6" s="61" t="s">
        <v>34</v>
      </c>
      <c r="T6" s="62" t="s">
        <v>34</v>
      </c>
      <c r="U6" s="63" t="s">
        <v>34</v>
      </c>
      <c r="V6" s="64" t="s">
        <v>4879</v>
      </c>
      <c r="W6" s="64" t="s">
        <v>4879</v>
      </c>
      <c r="X6" s="64" t="s">
        <v>4879</v>
      </c>
      <c r="Y6" s="64" t="s">
        <v>4879</v>
      </c>
      <c r="Z6" s="64" t="s">
        <v>4879</v>
      </c>
      <c r="AA6" s="64" t="s">
        <v>4879</v>
      </c>
      <c r="AB6" s="64" t="s">
        <v>4880</v>
      </c>
      <c r="AC6" s="64" t="s">
        <v>4880</v>
      </c>
      <c r="AD6" s="64" t="s">
        <v>4880</v>
      </c>
      <c r="AE6" s="64" t="s">
        <v>4880</v>
      </c>
      <c r="AF6" s="65" t="s">
        <v>35</v>
      </c>
      <c r="AG6" s="65" t="s">
        <v>35</v>
      </c>
      <c r="AH6" s="65" t="s">
        <v>35</v>
      </c>
      <c r="AI6" s="65" t="s">
        <v>35</v>
      </c>
      <c r="AJ6" s="65" t="s">
        <v>35</v>
      </c>
      <c r="AK6" s="65" t="s">
        <v>35</v>
      </c>
      <c r="AL6" s="66" t="s">
        <v>36</v>
      </c>
      <c r="AM6" s="66" t="s">
        <v>36</v>
      </c>
      <c r="AN6" s="66" t="s">
        <v>36</v>
      </c>
      <c r="AO6" s="31" t="s">
        <v>11</v>
      </c>
      <c r="AP6" s="31" t="s">
        <v>11</v>
      </c>
      <c r="AQ6" s="31" t="s">
        <v>11</v>
      </c>
      <c r="AR6" s="31" t="s">
        <v>11</v>
      </c>
      <c r="AS6" s="31" t="s">
        <v>11</v>
      </c>
      <c r="AT6" s="31" t="s">
        <v>11</v>
      </c>
      <c r="AU6" s="67" t="s">
        <v>37</v>
      </c>
      <c r="AV6" s="67" t="s">
        <v>37</v>
      </c>
      <c r="AW6" s="67" t="s">
        <v>37</v>
      </c>
      <c r="AX6" s="67" t="s">
        <v>37</v>
      </c>
      <c r="AY6" s="67" t="s">
        <v>37</v>
      </c>
      <c r="AZ6" s="68" t="s">
        <v>12</v>
      </c>
      <c r="BA6" s="68" t="s">
        <v>38</v>
      </c>
      <c r="BB6" s="69"/>
      <c r="BC6" s="69"/>
      <c r="BD6" s="69"/>
      <c r="BE6" s="69" t="s">
        <v>39</v>
      </c>
      <c r="BF6" s="69" t="s">
        <v>39</v>
      </c>
      <c r="BG6" s="70" t="s">
        <v>40</v>
      </c>
      <c r="BH6" s="71" t="s">
        <v>40</v>
      </c>
      <c r="BI6" s="72" t="s">
        <v>41</v>
      </c>
      <c r="BJ6" s="73" t="s">
        <v>41</v>
      </c>
      <c r="BK6" s="73"/>
      <c r="BL6" s="73" t="s">
        <v>41</v>
      </c>
      <c r="BM6" s="73" t="s">
        <v>41</v>
      </c>
      <c r="BN6" s="73" t="s">
        <v>41</v>
      </c>
      <c r="BO6" s="73" t="s">
        <v>41</v>
      </c>
      <c r="BP6" s="73" t="s">
        <v>41</v>
      </c>
      <c r="BQ6" s="73" t="s">
        <v>41</v>
      </c>
      <c r="BR6" s="74" t="s">
        <v>42</v>
      </c>
      <c r="BS6" s="74" t="s">
        <v>42</v>
      </c>
      <c r="BT6" s="74" t="s">
        <v>42</v>
      </c>
      <c r="BU6" s="74" t="s">
        <v>42</v>
      </c>
      <c r="BV6" s="74" t="s">
        <v>42</v>
      </c>
      <c r="BW6" s="74" t="s">
        <v>42</v>
      </c>
      <c r="BX6" s="74" t="s">
        <v>42</v>
      </c>
      <c r="BY6" s="74"/>
      <c r="BZ6" s="74" t="s">
        <v>42</v>
      </c>
      <c r="CA6" s="75" t="s">
        <v>43</v>
      </c>
      <c r="CB6" s="22" t="s">
        <v>44</v>
      </c>
      <c r="CC6" s="76" t="s">
        <v>45</v>
      </c>
      <c r="CD6" s="76" t="s">
        <v>45</v>
      </c>
      <c r="CE6" s="76" t="s">
        <v>45</v>
      </c>
      <c r="CF6" s="76" t="s">
        <v>45</v>
      </c>
      <c r="CG6" s="76" t="s">
        <v>45</v>
      </c>
      <c r="CH6" s="76" t="s">
        <v>45</v>
      </c>
      <c r="CI6" s="76" t="s">
        <v>46</v>
      </c>
      <c r="CJ6" s="76" t="s">
        <v>46</v>
      </c>
      <c r="CK6" s="76" t="s">
        <v>46</v>
      </c>
      <c r="CL6" s="76" t="s">
        <v>46</v>
      </c>
      <c r="CM6" s="76" t="s">
        <v>46</v>
      </c>
      <c r="CN6" s="76" t="s">
        <v>47</v>
      </c>
      <c r="CO6" s="76" t="s">
        <v>48</v>
      </c>
      <c r="CP6" s="77" t="s">
        <v>34</v>
      </c>
      <c r="CQ6" s="39" t="s">
        <v>41</v>
      </c>
      <c r="CR6" s="77" t="s">
        <v>13</v>
      </c>
      <c r="CS6" s="77" t="s">
        <v>13</v>
      </c>
      <c r="CT6" s="77"/>
      <c r="CU6" s="77" t="s">
        <v>13</v>
      </c>
      <c r="CV6" s="77" t="s">
        <v>13</v>
      </c>
      <c r="CW6" s="77" t="s">
        <v>13</v>
      </c>
      <c r="CX6" s="77"/>
      <c r="CY6" s="77" t="s">
        <v>13</v>
      </c>
      <c r="CZ6" s="342"/>
      <c r="DA6" s="78" t="s">
        <v>13</v>
      </c>
      <c r="DB6" s="79" t="s">
        <v>49</v>
      </c>
      <c r="DC6" s="26" t="s">
        <v>49</v>
      </c>
      <c r="DD6" s="80" t="s">
        <v>49</v>
      </c>
      <c r="DE6" s="80" t="s">
        <v>50</v>
      </c>
      <c r="DF6" s="80" t="s">
        <v>50</v>
      </c>
      <c r="DG6" s="80" t="s">
        <v>50</v>
      </c>
      <c r="DH6" s="81"/>
      <c r="DI6" s="42" t="s">
        <v>51</v>
      </c>
      <c r="DJ6" s="42" t="s">
        <v>51</v>
      </c>
      <c r="DK6" s="42" t="s">
        <v>51</v>
      </c>
      <c r="DL6" s="42" t="s">
        <v>51</v>
      </c>
      <c r="DM6" s="44" t="s">
        <v>52</v>
      </c>
      <c r="DN6" s="98" t="s">
        <v>12</v>
      </c>
      <c r="DO6" s="99" t="s">
        <v>51</v>
      </c>
      <c r="DP6" s="99" t="s">
        <v>51</v>
      </c>
      <c r="DQ6" s="99" t="s">
        <v>51</v>
      </c>
      <c r="DR6" s="99" t="s">
        <v>51</v>
      </c>
      <c r="DS6" s="99" t="s">
        <v>51</v>
      </c>
      <c r="DT6" s="82" t="s">
        <v>53</v>
      </c>
      <c r="DU6" s="82" t="s">
        <v>53</v>
      </c>
      <c r="DV6" s="82" t="s">
        <v>53</v>
      </c>
      <c r="DW6" s="82" t="s">
        <v>53</v>
      </c>
      <c r="DX6" s="82" t="s">
        <v>53</v>
      </c>
      <c r="DY6" s="43" t="s">
        <v>12</v>
      </c>
      <c r="DZ6" s="25" t="s">
        <v>53</v>
      </c>
      <c r="EA6" s="100" t="s">
        <v>63</v>
      </c>
      <c r="EB6" s="100" t="s">
        <v>63</v>
      </c>
      <c r="EC6" s="100" t="s">
        <v>63</v>
      </c>
      <c r="ED6" s="100" t="s">
        <v>64</v>
      </c>
      <c r="EE6" s="100" t="s">
        <v>64</v>
      </c>
      <c r="EF6" s="100" t="s">
        <v>64</v>
      </c>
      <c r="EG6" s="83" t="s">
        <v>65</v>
      </c>
      <c r="EH6" s="83" t="s">
        <v>66</v>
      </c>
      <c r="EI6" s="83" t="s">
        <v>66</v>
      </c>
      <c r="EJ6" s="83" t="s">
        <v>66</v>
      </c>
      <c r="EK6" s="84" t="s">
        <v>67</v>
      </c>
      <c r="EL6" s="84" t="s">
        <v>67</v>
      </c>
      <c r="EM6" s="84" t="s">
        <v>68</v>
      </c>
      <c r="EN6" s="85" t="s">
        <v>68</v>
      </c>
      <c r="EO6" s="46"/>
      <c r="EP6" s="101">
        <f>COUNTIF($EP8:$EP1666,"Whole sector")</f>
        <v>0</v>
      </c>
      <c r="EQ6" s="101">
        <f>COUNTIF($EQ8:$EQ1666,"Ecosystem approach")</f>
        <v>236</v>
      </c>
      <c r="ER6" s="102">
        <f>COUNTIF($ER8:$ER1666,"Technology approach")</f>
        <v>355</v>
      </c>
      <c r="ES6" s="326"/>
      <c r="ET6" s="326"/>
      <c r="EU6" s="326"/>
      <c r="EV6" s="326"/>
      <c r="EW6" s="86" t="s">
        <v>12</v>
      </c>
      <c r="EX6" s="87" t="s">
        <v>12</v>
      </c>
      <c r="EY6" s="87" t="s">
        <v>12</v>
      </c>
      <c r="EZ6" s="87" t="s">
        <v>12</v>
      </c>
      <c r="FA6" s="87"/>
      <c r="FB6" s="87" t="s">
        <v>12</v>
      </c>
      <c r="FC6" s="88" t="s">
        <v>56</v>
      </c>
      <c r="FD6" s="103" t="s">
        <v>69</v>
      </c>
      <c r="FE6" s="338" t="s">
        <v>5072</v>
      </c>
    </row>
    <row r="7" spans="1:161" s="104" customFormat="1" ht="100" customHeight="1">
      <c r="A7" s="105" t="s">
        <v>70</v>
      </c>
      <c r="B7" s="106" t="s">
        <v>71</v>
      </c>
      <c r="C7" s="106" t="s">
        <v>72</v>
      </c>
      <c r="D7" s="107" t="s">
        <v>29</v>
      </c>
      <c r="E7" s="106" t="s">
        <v>73</v>
      </c>
      <c r="F7" s="106" t="s">
        <v>74</v>
      </c>
      <c r="G7" s="106" t="s">
        <v>75</v>
      </c>
      <c r="H7" s="106" t="s">
        <v>76</v>
      </c>
      <c r="I7" s="106" t="s">
        <v>77</v>
      </c>
      <c r="J7" s="106" t="s">
        <v>78</v>
      </c>
      <c r="K7" s="106" t="s">
        <v>79</v>
      </c>
      <c r="L7" s="108" t="s">
        <v>80</v>
      </c>
      <c r="M7" s="109" t="s">
        <v>81</v>
      </c>
      <c r="N7" s="110" t="s">
        <v>31</v>
      </c>
      <c r="O7" s="111" t="s">
        <v>82</v>
      </c>
      <c r="P7" s="112" t="s">
        <v>83</v>
      </c>
      <c r="Q7" s="113" t="s">
        <v>8</v>
      </c>
      <c r="R7" s="114" t="s">
        <v>84</v>
      </c>
      <c r="S7" s="115" t="s">
        <v>85</v>
      </c>
      <c r="T7" s="116" t="s">
        <v>86</v>
      </c>
      <c r="U7" s="117" t="s">
        <v>87</v>
      </c>
      <c r="V7" s="117" t="s">
        <v>5070</v>
      </c>
      <c r="W7" s="117" t="s">
        <v>5071</v>
      </c>
      <c r="X7" s="118" t="s">
        <v>88</v>
      </c>
      <c r="Y7" s="118" t="s">
        <v>89</v>
      </c>
      <c r="Z7" s="118" t="s">
        <v>90</v>
      </c>
      <c r="AA7" s="119" t="s">
        <v>91</v>
      </c>
      <c r="AB7" s="118" t="s">
        <v>92</v>
      </c>
      <c r="AC7" s="119" t="s">
        <v>93</v>
      </c>
      <c r="AD7" s="118" t="s">
        <v>94</v>
      </c>
      <c r="AE7" s="119" t="s">
        <v>95</v>
      </c>
      <c r="AF7" s="118" t="s">
        <v>96</v>
      </c>
      <c r="AG7" s="119" t="s">
        <v>97</v>
      </c>
      <c r="AH7" s="118" t="s">
        <v>98</v>
      </c>
      <c r="AI7" s="119" t="s">
        <v>99</v>
      </c>
      <c r="AJ7" s="118" t="s">
        <v>100</v>
      </c>
      <c r="AK7" s="119" t="s">
        <v>101</v>
      </c>
      <c r="AL7" s="119" t="s">
        <v>102</v>
      </c>
      <c r="AM7" s="119" t="s">
        <v>103</v>
      </c>
      <c r="AN7" s="118" t="s">
        <v>104</v>
      </c>
      <c r="AO7" s="118" t="s">
        <v>105</v>
      </c>
      <c r="AP7" s="118" t="s">
        <v>106</v>
      </c>
      <c r="AQ7" s="119" t="s">
        <v>107</v>
      </c>
      <c r="AR7" s="118" t="s">
        <v>108</v>
      </c>
      <c r="AS7" s="119" t="s">
        <v>109</v>
      </c>
      <c r="AT7" s="118" t="s">
        <v>110</v>
      </c>
      <c r="AU7" s="118" t="s">
        <v>111</v>
      </c>
      <c r="AV7" s="119" t="s">
        <v>112</v>
      </c>
      <c r="AW7" s="118" t="s">
        <v>113</v>
      </c>
      <c r="AX7" s="119" t="s">
        <v>114</v>
      </c>
      <c r="AY7" s="118" t="s">
        <v>115</v>
      </c>
      <c r="AZ7" s="120" t="s">
        <v>116</v>
      </c>
      <c r="BA7" s="121" t="s">
        <v>117</v>
      </c>
      <c r="BB7" s="113" t="s">
        <v>118</v>
      </c>
      <c r="BC7" s="113" t="s">
        <v>119</v>
      </c>
      <c r="BD7" s="113" t="s">
        <v>120</v>
      </c>
      <c r="BE7" s="113" t="s">
        <v>121</v>
      </c>
      <c r="BF7" s="113" t="s">
        <v>122</v>
      </c>
      <c r="BG7" s="113" t="s">
        <v>123</v>
      </c>
      <c r="BH7" s="114" t="s">
        <v>124</v>
      </c>
      <c r="BI7" s="122" t="s">
        <v>125</v>
      </c>
      <c r="BJ7" s="123" t="s">
        <v>126</v>
      </c>
      <c r="BK7" s="123" t="s">
        <v>127</v>
      </c>
      <c r="BL7" s="124" t="s">
        <v>128</v>
      </c>
      <c r="BM7" s="123" t="s">
        <v>129</v>
      </c>
      <c r="BN7" s="124" t="s">
        <v>130</v>
      </c>
      <c r="BO7" s="124" t="s">
        <v>131</v>
      </c>
      <c r="BP7" s="124" t="s">
        <v>132</v>
      </c>
      <c r="BQ7" s="124" t="s">
        <v>133</v>
      </c>
      <c r="BR7" s="125" t="s">
        <v>134</v>
      </c>
      <c r="BS7" s="125" t="s">
        <v>135</v>
      </c>
      <c r="BT7" s="123" t="s">
        <v>136</v>
      </c>
      <c r="BU7" s="124" t="s">
        <v>137</v>
      </c>
      <c r="BV7" s="123" t="s">
        <v>138</v>
      </c>
      <c r="BW7" s="123" t="s">
        <v>139</v>
      </c>
      <c r="BX7" s="118" t="s">
        <v>140</v>
      </c>
      <c r="BY7" s="118"/>
      <c r="BZ7" s="118" t="s">
        <v>4881</v>
      </c>
      <c r="CA7" s="118" t="s">
        <v>142</v>
      </c>
      <c r="CB7" s="119" t="s">
        <v>143</v>
      </c>
      <c r="CC7" s="118" t="s">
        <v>144</v>
      </c>
      <c r="CD7" s="119" t="s">
        <v>145</v>
      </c>
      <c r="CE7" s="118" t="s">
        <v>146</v>
      </c>
      <c r="CF7" s="119" t="s">
        <v>147</v>
      </c>
      <c r="CG7" s="118" t="s">
        <v>148</v>
      </c>
      <c r="CH7" s="119" t="s">
        <v>149</v>
      </c>
      <c r="CI7" s="118" t="s">
        <v>150</v>
      </c>
      <c r="CJ7" s="119" t="s">
        <v>151</v>
      </c>
      <c r="CK7" s="118" t="s">
        <v>152</v>
      </c>
      <c r="CL7" s="118" t="s">
        <v>153</v>
      </c>
      <c r="CM7" s="118" t="s">
        <v>154</v>
      </c>
      <c r="CN7" s="118" t="s">
        <v>155</v>
      </c>
      <c r="CO7" s="119" t="s">
        <v>156</v>
      </c>
      <c r="CP7" s="126" t="s">
        <v>157</v>
      </c>
      <c r="CQ7" s="126" t="s">
        <v>158</v>
      </c>
      <c r="CR7" s="126" t="s">
        <v>159</v>
      </c>
      <c r="CS7" s="126" t="s">
        <v>160</v>
      </c>
      <c r="CT7" s="339" t="s">
        <v>5076</v>
      </c>
      <c r="CU7" s="127" t="s">
        <v>161</v>
      </c>
      <c r="CV7" s="127" t="s">
        <v>162</v>
      </c>
      <c r="CW7" s="113" t="s">
        <v>141</v>
      </c>
      <c r="CX7" s="113" t="s">
        <v>5078</v>
      </c>
      <c r="CY7" s="113" t="s">
        <v>163</v>
      </c>
      <c r="CZ7" s="343" t="s">
        <v>5077</v>
      </c>
      <c r="DA7" s="114" t="s">
        <v>164</v>
      </c>
      <c r="DB7" s="128" t="s">
        <v>165</v>
      </c>
      <c r="DC7" s="113" t="s">
        <v>166</v>
      </c>
      <c r="DD7" s="123" t="s">
        <v>167</v>
      </c>
      <c r="DE7" s="123" t="s">
        <v>168</v>
      </c>
      <c r="DF7" s="117" t="s">
        <v>169</v>
      </c>
      <c r="DG7" s="117" t="s">
        <v>170</v>
      </c>
      <c r="DH7" s="129" t="s">
        <v>171</v>
      </c>
      <c r="DI7" s="118" t="s">
        <v>172</v>
      </c>
      <c r="DJ7" s="119" t="s">
        <v>173</v>
      </c>
      <c r="DK7" s="118" t="s">
        <v>174</v>
      </c>
      <c r="DL7" s="119" t="s">
        <v>175</v>
      </c>
      <c r="DM7" s="118" t="s">
        <v>176</v>
      </c>
      <c r="DN7" s="130" t="s">
        <v>177</v>
      </c>
      <c r="DO7" s="130" t="s">
        <v>178</v>
      </c>
      <c r="DP7" s="130" t="s">
        <v>179</v>
      </c>
      <c r="DQ7" s="130" t="s">
        <v>180</v>
      </c>
      <c r="DR7" s="130" t="s">
        <v>181</v>
      </c>
      <c r="DS7" s="130" t="s">
        <v>182</v>
      </c>
      <c r="DT7" s="118" t="s">
        <v>183</v>
      </c>
      <c r="DU7" s="119" t="s">
        <v>184</v>
      </c>
      <c r="DV7" s="119" t="s">
        <v>185</v>
      </c>
      <c r="DW7" s="118" t="s">
        <v>186</v>
      </c>
      <c r="DX7" s="119" t="s">
        <v>187</v>
      </c>
      <c r="DY7" s="113" t="s">
        <v>188</v>
      </c>
      <c r="DZ7" s="120" t="s">
        <v>189</v>
      </c>
      <c r="EA7" s="119" t="s">
        <v>190</v>
      </c>
      <c r="EB7" s="119" t="s">
        <v>191</v>
      </c>
      <c r="EC7" s="118" t="s">
        <v>192</v>
      </c>
      <c r="ED7" s="118" t="s">
        <v>193</v>
      </c>
      <c r="EE7" s="118" t="s">
        <v>194</v>
      </c>
      <c r="EF7" s="131" t="s">
        <v>195</v>
      </c>
      <c r="EG7" s="119" t="s">
        <v>196</v>
      </c>
      <c r="EH7" s="118" t="s">
        <v>197</v>
      </c>
      <c r="EI7" s="119" t="s">
        <v>198</v>
      </c>
      <c r="EJ7" s="118" t="s">
        <v>199</v>
      </c>
      <c r="EK7" s="118" t="s">
        <v>200</v>
      </c>
      <c r="EL7" s="119" t="s">
        <v>201</v>
      </c>
      <c r="EM7" s="119" t="s">
        <v>202</v>
      </c>
      <c r="EN7" s="132" t="s">
        <v>203</v>
      </c>
      <c r="EO7" s="133" t="s">
        <v>204</v>
      </c>
      <c r="EP7" s="134" t="s">
        <v>205</v>
      </c>
      <c r="EQ7" s="134" t="s">
        <v>206</v>
      </c>
      <c r="ER7" s="135" t="s">
        <v>207</v>
      </c>
      <c r="ES7" s="330" t="s">
        <v>5067</v>
      </c>
      <c r="ET7" s="330" t="s">
        <v>5069</v>
      </c>
      <c r="EU7" s="330" t="s">
        <v>5068</v>
      </c>
      <c r="EV7" s="327" t="s">
        <v>5063</v>
      </c>
      <c r="EW7" s="136" t="s">
        <v>208</v>
      </c>
      <c r="EX7" s="118" t="s">
        <v>209</v>
      </c>
      <c r="EY7" s="118" t="s">
        <v>210</v>
      </c>
      <c r="EZ7" s="118" t="s">
        <v>211</v>
      </c>
      <c r="FA7" s="118" t="s">
        <v>5079</v>
      </c>
      <c r="FB7" s="118" t="s">
        <v>212</v>
      </c>
      <c r="FC7" s="137" t="s">
        <v>213</v>
      </c>
      <c r="FD7" s="138"/>
    </row>
    <row r="8" spans="1:161" ht="15" hidden="1" customHeight="1">
      <c r="A8" s="173" t="s">
        <v>819</v>
      </c>
      <c r="B8" s="141" t="s">
        <v>4746</v>
      </c>
      <c r="C8" s="141" t="s">
        <v>4747</v>
      </c>
      <c r="D8" s="141" t="s">
        <v>4748</v>
      </c>
      <c r="E8" s="141" t="s">
        <v>4749</v>
      </c>
      <c r="F8" s="141" t="s">
        <v>4750</v>
      </c>
      <c r="G8" s="141" t="s">
        <v>825</v>
      </c>
      <c r="H8" s="141"/>
      <c r="I8" s="141">
        <v>2018</v>
      </c>
      <c r="J8" s="141"/>
      <c r="K8" s="141" t="s">
        <v>4751</v>
      </c>
      <c r="L8" s="141"/>
      <c r="M8" t="str">
        <f t="shared" ref="M8:M71" si="0">LEFT($D8,FIND(",",$D8)-1)&amp;"_"&amp;I8&amp;L8</f>
        <v>Birdsey_2018</v>
      </c>
      <c r="N8" t="s">
        <v>2269</v>
      </c>
      <c r="O8" s="141" t="s">
        <v>225</v>
      </c>
      <c r="P8" s="141"/>
      <c r="Q8" s="297" t="s">
        <v>224</v>
      </c>
      <c r="R8" s="298"/>
      <c r="S8" s="173"/>
      <c r="T8" s="141"/>
      <c r="U8" s="163"/>
      <c r="V8" s="163"/>
      <c r="W8" s="163"/>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G8"/>
      <c r="BH8" s="2"/>
      <c r="BJ8" s="141"/>
      <c r="BK8" s="141"/>
      <c r="BL8" s="163"/>
      <c r="BM8" s="141"/>
      <c r="BN8" s="163"/>
      <c r="BO8" s="163"/>
      <c r="BP8" s="163"/>
      <c r="BQ8" s="163"/>
      <c r="BR8" s="163"/>
      <c r="BS8" s="163"/>
      <c r="BT8" s="141"/>
      <c r="BU8" s="163"/>
      <c r="BV8" s="141"/>
      <c r="BW8" s="144"/>
      <c r="BX8" s="141"/>
      <c r="BY8" s="141"/>
      <c r="BZ8" s="141"/>
      <c r="CA8" t="str">
        <f t="shared" ref="CA8:CA39" si="1">IFERROR(BZ8/BQ8,"")</f>
        <v/>
      </c>
      <c r="CB8" s="141"/>
      <c r="CC8" s="141"/>
      <c r="CD8" s="141"/>
      <c r="CE8" s="141"/>
      <c r="CF8" s="141"/>
      <c r="CG8" s="141"/>
      <c r="CH8" s="141"/>
      <c r="CI8" s="141"/>
      <c r="CJ8" s="141"/>
      <c r="CK8" s="141"/>
      <c r="CL8" s="141"/>
      <c r="CM8" s="141"/>
      <c r="CN8" s="141"/>
      <c r="CO8" s="141"/>
      <c r="CP8"/>
      <c r="CQ8"/>
      <c r="CR8"/>
      <c r="CS8"/>
      <c r="CT8">
        <f t="shared" ref="CT8:CT39" si="2">IF(BI8="Roundwood",$CS8/2,$CS8)</f>
        <v>0</v>
      </c>
      <c r="CU8"/>
      <c r="CV8"/>
      <c r="CW8"/>
      <c r="CX8" t="str">
        <f t="shared" ref="CX8:CX39" si="3">IFERROR($CW8/$CS8,"")</f>
        <v/>
      </c>
      <c r="CY8"/>
      <c r="CZ8" t="str">
        <f t="shared" ref="CZ8:CZ39" si="4">IFERROR($CW8/$CT8,"")</f>
        <v/>
      </c>
      <c r="DA8" s="2"/>
      <c r="DB8" s="173"/>
      <c r="DC8"/>
      <c r="DD8" s="141"/>
      <c r="DE8" s="141"/>
      <c r="DF8" s="163"/>
      <c r="DG8" s="163"/>
      <c r="DH8"/>
      <c r="DI8" s="141"/>
      <c r="DJ8" s="141"/>
      <c r="DK8" s="141"/>
      <c r="DL8" s="141"/>
      <c r="DN8"/>
      <c r="DO8"/>
      <c r="DP8"/>
      <c r="DQ8"/>
      <c r="DR8"/>
      <c r="DS8"/>
      <c r="DT8" s="163"/>
      <c r="DU8" s="141"/>
      <c r="DV8" s="163"/>
      <c r="DW8" s="141"/>
      <c r="DX8" s="163"/>
      <c r="DY8"/>
      <c r="DZ8" s="143"/>
      <c r="EA8" s="163"/>
      <c r="EB8" s="141"/>
      <c r="EC8" s="163"/>
      <c r="ED8" s="163"/>
      <c r="EE8" s="141"/>
      <c r="EF8" s="141"/>
      <c r="EG8" s="163"/>
      <c r="EH8" s="141"/>
      <c r="EI8" s="163"/>
      <c r="EJ8" s="141"/>
      <c r="EK8" s="141"/>
      <c r="EL8" s="163"/>
      <c r="EM8" s="141"/>
      <c r="EN8" s="176"/>
      <c r="EP8" t="str">
        <f t="shared" ref="EP8:EP39" si="5">IF(AND(AND(AND(OR($EC8=1,$EB8=1),OR($EH8=1,$EF8=1)),SUM($EA8:$EE8,$EK8)&gt;=3),SUM($EF8:$EJ8)&gt;=2),"Whole sector approach","")</f>
        <v/>
      </c>
      <c r="EQ8" t="str">
        <f t="shared" ref="EQ8:EQ33" si="6">IF(AND(AND(OR($EC8=1,$EB8=1),AND($EH8=0,$EF8=0)),SUM($EA8:$EE8,$EK8)&gt;=3),"Ecosystem approach","")</f>
        <v/>
      </c>
      <c r="ER8" s="2" t="str">
        <f t="shared" ref="ER8:ER39" si="7">IF(AND(AND(AND($EC8=0,$EB8=0),OR($EH8=1,$EF8=1)),SUM($EG8:$EJ8)&gt;=2),"Technology approach","")</f>
        <v/>
      </c>
      <c r="ES8" t="str">
        <f t="shared" ref="ES8:ES39" si="8">IF(AND($EC8+$EB8+$EE8+$EA8+$EF8+$EG8=0,$N8="included"),"C neutral forest and HWP assumption","")</f>
        <v/>
      </c>
      <c r="ET8" t="str">
        <f t="shared" ref="ET8:ET39" si="9">IF(AND(AND(AND($EC8+$EB8+$EA8+$EG8&gt;=2,$EF8+$EH8+$EI8&gt;=1),$ED8+$EE8&gt;=1),$N8="included"),"All C pools assumption","")</f>
        <v/>
      </c>
      <c r="EU8" t="str">
        <f t="shared" ref="EU8:EU39" si="10">IF(AND($ED8+$EE8+$EI8+$EH8+$EF8=0,$N8="included"),"In-situ only assumption","")</f>
        <v/>
      </c>
      <c r="EW8" s="141"/>
      <c r="EX8" t="s">
        <v>450</v>
      </c>
      <c r="EY8" t="b">
        <f>IF(ISNUMBER(BW8),IF(ABS(BW8-[1]QC_indicators!$B$2)&gt;3*[1]QC_indicators!$C$2,"C ratio",IF(ISNUMBER(CA8),IF(ABS(CA8-[1]QC_indicators!$B$1)&gt;3*[1]QC_indicators!$C$1,"DF","no"))),IF(ISNUMBER(CA8),IF(ABS(CA8-[1]QC_indicators!$B$1)&gt;3*[1]QC_indicators!$C$1,"DF","no")))</f>
        <v>0</v>
      </c>
      <c r="FA8" t="str">
        <f t="shared" ref="FA8:FA39" si="11">IF(LEN($CY8)=0,"",IF(AND($CY8&lt;(-0.05),$ES8="C neutral forest and HWP assumption"),"Cneutral paradox",IF(AND($CY8&gt;0.05,$EU8="In-situ only assumption"),"In-situ only paradox","")))</f>
        <v/>
      </c>
    </row>
    <row r="9" spans="1:161" ht="15" hidden="1" customHeight="1">
      <c r="A9" s="1" t="s">
        <v>4752</v>
      </c>
      <c r="B9" t="s">
        <v>4753</v>
      </c>
      <c r="C9" t="s">
        <v>4754</v>
      </c>
      <c r="D9" t="s">
        <v>4755</v>
      </c>
      <c r="E9" t="s">
        <v>4756</v>
      </c>
      <c r="F9" t="s">
        <v>4757</v>
      </c>
      <c r="G9" t="s">
        <v>4758</v>
      </c>
      <c r="H9" t="s">
        <v>3466</v>
      </c>
      <c r="I9">
        <v>2016</v>
      </c>
      <c r="J9">
        <v>34</v>
      </c>
      <c r="K9" t="s">
        <v>4759</v>
      </c>
      <c r="M9" t="str">
        <f t="shared" si="0"/>
        <v>Brunet-Navarro_2016</v>
      </c>
      <c r="N9" s="297" t="s">
        <v>2269</v>
      </c>
      <c r="O9" t="s">
        <v>223</v>
      </c>
      <c r="Q9" s="297" t="s">
        <v>389</v>
      </c>
      <c r="R9" s="298"/>
      <c r="AZ9" s="141"/>
      <c r="BA9" s="141"/>
      <c r="BG9"/>
      <c r="BH9" s="2"/>
      <c r="BL9" s="143"/>
      <c r="BN9" s="143"/>
      <c r="BP9" s="158"/>
      <c r="BQ9" s="159"/>
      <c r="BU9" s="143"/>
      <c r="BW9" s="144"/>
      <c r="CA9" t="str">
        <f t="shared" si="1"/>
        <v/>
      </c>
      <c r="CP9"/>
      <c r="CQ9"/>
      <c r="CR9"/>
      <c r="CS9"/>
      <c r="CT9">
        <f t="shared" si="2"/>
        <v>0</v>
      </c>
      <c r="CU9"/>
      <c r="CV9"/>
      <c r="CW9"/>
      <c r="CX9" t="str">
        <f t="shared" si="3"/>
        <v/>
      </c>
      <c r="CY9"/>
      <c r="CZ9" t="str">
        <f t="shared" si="4"/>
        <v/>
      </c>
      <c r="DA9" s="2"/>
      <c r="DC9"/>
      <c r="DE9" s="143"/>
      <c r="DF9" s="143"/>
      <c r="DG9" s="143"/>
      <c r="DH9"/>
      <c r="DN9"/>
      <c r="DO9"/>
      <c r="DP9"/>
      <c r="DQ9"/>
      <c r="DR9"/>
      <c r="DS9"/>
      <c r="DY9"/>
      <c r="DZ9" s="143"/>
      <c r="EA9" s="143"/>
      <c r="EB9" s="143"/>
      <c r="EC9" s="143"/>
      <c r="ED9" s="143"/>
      <c r="EG9" s="143"/>
      <c r="EI9" s="143"/>
      <c r="EL9" s="143"/>
      <c r="EM9" s="143"/>
      <c r="EP9" t="str">
        <f t="shared" si="5"/>
        <v/>
      </c>
      <c r="EQ9" t="str">
        <f t="shared" si="6"/>
        <v/>
      </c>
      <c r="ER9" s="2" t="str">
        <f t="shared" si="7"/>
        <v/>
      </c>
      <c r="ES9" t="str">
        <f t="shared" si="8"/>
        <v/>
      </c>
      <c r="ET9" t="str">
        <f t="shared" si="9"/>
        <v/>
      </c>
      <c r="EU9" t="str">
        <f t="shared" si="10"/>
        <v/>
      </c>
      <c r="EV9" s="328" t="s">
        <v>5065</v>
      </c>
      <c r="EY9" t="b">
        <f>IF(ISNUMBER(BW9),IF(ABS(BW9-[1]QC_indicators!$B$2)&gt;3*[1]QC_indicators!$C$2,"C ratio",IF(ISNUMBER(CA9),IF(ABS(CA9-[1]QC_indicators!$B$1)&gt;3*[1]QC_indicators!$C$1,"DF","no"))),IF(ISNUMBER(CA9),IF(ABS(CA9-[1]QC_indicators!$B$1)&gt;3*[1]QC_indicators!$C$1,"DF","no")))</f>
        <v>0</v>
      </c>
      <c r="FA9" t="str">
        <f t="shared" si="11"/>
        <v/>
      </c>
      <c r="FB9" s="149"/>
    </row>
    <row r="10" spans="1:161" ht="15" hidden="1" customHeight="1">
      <c r="A10" s="1" t="s">
        <v>4760</v>
      </c>
      <c r="B10" t="s">
        <v>4761</v>
      </c>
      <c r="C10" t="s">
        <v>4762</v>
      </c>
      <c r="D10" t="s">
        <v>4763</v>
      </c>
      <c r="E10" t="s">
        <v>4764</v>
      </c>
      <c r="F10" t="s">
        <v>4765</v>
      </c>
      <c r="G10" t="s">
        <v>4766</v>
      </c>
      <c r="H10" t="s">
        <v>3466</v>
      </c>
      <c r="I10">
        <v>2017</v>
      </c>
      <c r="J10">
        <v>18</v>
      </c>
      <c r="K10" t="s">
        <v>4767</v>
      </c>
      <c r="M10" t="str">
        <f t="shared" si="0"/>
        <v>Dubeux_2017</v>
      </c>
      <c r="N10" t="s">
        <v>2269</v>
      </c>
      <c r="O10" s="145" t="s">
        <v>274</v>
      </c>
      <c r="Q10" s="297" t="s">
        <v>256</v>
      </c>
      <c r="R10" s="298"/>
      <c r="AZ10" s="141"/>
      <c r="BA10" s="141"/>
      <c r="BG10"/>
      <c r="BH10" s="2"/>
      <c r="BW10" s="144"/>
      <c r="BX10" s="152"/>
      <c r="BY10" s="152"/>
      <c r="CA10" t="str">
        <f t="shared" si="1"/>
        <v/>
      </c>
      <c r="CP10"/>
      <c r="CQ10"/>
      <c r="CR10"/>
      <c r="CS10"/>
      <c r="CT10">
        <f t="shared" si="2"/>
        <v>0</v>
      </c>
      <c r="CU10"/>
      <c r="CV10"/>
      <c r="CW10"/>
      <c r="CX10" t="str">
        <f t="shared" si="3"/>
        <v/>
      </c>
      <c r="CY10"/>
      <c r="CZ10" t="str">
        <f t="shared" si="4"/>
        <v/>
      </c>
      <c r="DA10" s="2"/>
      <c r="DC10"/>
      <c r="DH10"/>
      <c r="DN10"/>
      <c r="DO10"/>
      <c r="DP10"/>
      <c r="DQ10"/>
      <c r="DR10"/>
      <c r="DS10"/>
      <c r="DY10"/>
      <c r="DZ10" s="143"/>
      <c r="EP10" t="str">
        <f t="shared" si="5"/>
        <v/>
      </c>
      <c r="EQ10" t="str">
        <f t="shared" si="6"/>
        <v/>
      </c>
      <c r="ER10" s="2" t="str">
        <f t="shared" si="7"/>
        <v/>
      </c>
      <c r="ES10" t="str">
        <f t="shared" si="8"/>
        <v/>
      </c>
      <c r="ET10" t="str">
        <f t="shared" si="9"/>
        <v/>
      </c>
      <c r="EU10" t="str">
        <f t="shared" si="10"/>
        <v/>
      </c>
      <c r="EX10" t="s">
        <v>450</v>
      </c>
      <c r="EY10" t="b">
        <f>IF(ISNUMBER(BW10),IF(ABS(BW10-[1]QC_indicators!$B$2)&gt;3*[1]QC_indicators!$C$2,"C ratio",IF(ISNUMBER(CA10),IF(ABS(CA10-[1]QC_indicators!$B$1)&gt;3*[1]QC_indicators!$C$1,"DF","no"))),IF(ISNUMBER(CA10),IF(ABS(CA10-[1]QC_indicators!$B$1)&gt;3*[1]QC_indicators!$C$1,"DF","no")))</f>
        <v>0</v>
      </c>
      <c r="FA10" t="str">
        <f t="shared" si="11"/>
        <v/>
      </c>
    </row>
    <row r="11" spans="1:161" ht="15" hidden="1" customHeight="1">
      <c r="A11" s="1" t="s">
        <v>380</v>
      </c>
      <c r="B11" t="s">
        <v>4768</v>
      </c>
      <c r="C11" t="s">
        <v>4769</v>
      </c>
      <c r="D11" t="s">
        <v>3255</v>
      </c>
      <c r="E11" s="297" t="s">
        <v>4770</v>
      </c>
      <c r="F11" t="s">
        <v>4771</v>
      </c>
      <c r="G11" t="s">
        <v>386</v>
      </c>
      <c r="H11" t="s">
        <v>254</v>
      </c>
      <c r="I11">
        <v>2011</v>
      </c>
      <c r="J11">
        <v>15</v>
      </c>
      <c r="K11" t="s">
        <v>4772</v>
      </c>
      <c r="M11" t="str">
        <f t="shared" si="0"/>
        <v>Eshun_2011</v>
      </c>
      <c r="N11" s="297" t="s">
        <v>2269</v>
      </c>
      <c r="O11" s="171" t="s">
        <v>508</v>
      </c>
      <c r="P11" t="s">
        <v>223</v>
      </c>
      <c r="Q11" s="297" t="s">
        <v>389</v>
      </c>
      <c r="R11" s="298"/>
      <c r="AZ11" s="141"/>
      <c r="BA11" s="141"/>
      <c r="BG11"/>
      <c r="BH11" s="2"/>
      <c r="BP11" s="158"/>
      <c r="BQ11" s="159"/>
      <c r="BU11" s="143"/>
      <c r="BW11" s="144"/>
      <c r="CA11" t="str">
        <f t="shared" si="1"/>
        <v/>
      </c>
      <c r="CP11"/>
      <c r="CQ11"/>
      <c r="CR11"/>
      <c r="CS11"/>
      <c r="CT11">
        <f t="shared" si="2"/>
        <v>0</v>
      </c>
      <c r="CU11"/>
      <c r="CV11"/>
      <c r="CW11"/>
      <c r="CX11" t="str">
        <f t="shared" si="3"/>
        <v/>
      </c>
      <c r="CY11"/>
      <c r="CZ11" t="str">
        <f t="shared" si="4"/>
        <v/>
      </c>
      <c r="DA11" s="2"/>
      <c r="DC11"/>
      <c r="DF11" s="143"/>
      <c r="DG11" s="143"/>
      <c r="DH11"/>
      <c r="DN11"/>
      <c r="DO11"/>
      <c r="DP11"/>
      <c r="DQ11"/>
      <c r="DR11"/>
      <c r="DS11"/>
      <c r="DY11"/>
      <c r="DZ11" s="143"/>
      <c r="EA11" s="143"/>
      <c r="EB11" s="143"/>
      <c r="EC11" s="143"/>
      <c r="ED11" s="143"/>
      <c r="EG11" s="143"/>
      <c r="EH11" s="143"/>
      <c r="EI11" s="143"/>
      <c r="EL11" s="143"/>
      <c r="EM11" s="143"/>
      <c r="EP11" t="str">
        <f t="shared" si="5"/>
        <v/>
      </c>
      <c r="EQ11" t="str">
        <f t="shared" si="6"/>
        <v/>
      </c>
      <c r="ER11" s="2" t="str">
        <f t="shared" si="7"/>
        <v/>
      </c>
      <c r="ES11" t="str">
        <f t="shared" si="8"/>
        <v/>
      </c>
      <c r="ET11" t="str">
        <f t="shared" si="9"/>
        <v/>
      </c>
      <c r="EU11" t="str">
        <f t="shared" si="10"/>
        <v/>
      </c>
      <c r="EW11" s="297" t="s">
        <v>4773</v>
      </c>
      <c r="EY11" t="b">
        <f>IF(ISNUMBER(BW11),IF(ABS(BW11-[1]QC_indicators!$B$2)&gt;3*[1]QC_indicators!$C$2,"C ratio",IF(ISNUMBER(CA11),IF(ABS(CA11-[1]QC_indicators!$B$1)&gt;3*[1]QC_indicators!$C$1,"DF","no"))),IF(ISNUMBER(CA11),IF(ABS(CA11-[1]QC_indicators!$B$1)&gt;3*[1]QC_indicators!$C$1,"DF","no")))</f>
        <v>0</v>
      </c>
      <c r="FA11" t="str">
        <f t="shared" si="11"/>
        <v/>
      </c>
      <c r="FB11" s="149"/>
    </row>
    <row r="12" spans="1:161" ht="15" hidden="1" customHeight="1">
      <c r="A12" s="1" t="s">
        <v>1295</v>
      </c>
      <c r="B12" t="s">
        <v>4774</v>
      </c>
      <c r="C12" t="s">
        <v>4775</v>
      </c>
      <c r="D12" t="s">
        <v>4776</v>
      </c>
      <c r="E12" t="s">
        <v>4777</v>
      </c>
      <c r="F12" t="s">
        <v>4778</v>
      </c>
      <c r="G12" t="s">
        <v>1301</v>
      </c>
      <c r="H12" t="s">
        <v>254</v>
      </c>
      <c r="I12">
        <v>2017</v>
      </c>
      <c r="J12">
        <v>50</v>
      </c>
      <c r="K12" t="s">
        <v>4779</v>
      </c>
      <c r="M12" t="str">
        <f t="shared" si="0"/>
        <v>Geng_2017</v>
      </c>
      <c r="N12" t="s">
        <v>2269</v>
      </c>
      <c r="O12" s="180" t="s">
        <v>225</v>
      </c>
      <c r="Q12" s="297" t="s">
        <v>256</v>
      </c>
      <c r="R12" s="298"/>
      <c r="AZ12" s="141"/>
      <c r="BA12" s="141"/>
      <c r="BG12"/>
      <c r="BH12" s="2"/>
      <c r="BW12" s="144"/>
      <c r="CA12" t="str">
        <f t="shared" si="1"/>
        <v/>
      </c>
      <c r="CP12"/>
      <c r="CQ12"/>
      <c r="CR12"/>
      <c r="CS12"/>
      <c r="CT12">
        <f t="shared" si="2"/>
        <v>0</v>
      </c>
      <c r="CU12"/>
      <c r="CV12"/>
      <c r="CW12"/>
      <c r="CX12" t="str">
        <f t="shared" si="3"/>
        <v/>
      </c>
      <c r="CY12"/>
      <c r="CZ12" t="str">
        <f t="shared" si="4"/>
        <v/>
      </c>
      <c r="DA12" s="2"/>
      <c r="DC12"/>
      <c r="DH12"/>
      <c r="DN12"/>
      <c r="DO12"/>
      <c r="DP12"/>
      <c r="DQ12"/>
      <c r="DR12"/>
      <c r="DS12"/>
      <c r="DY12"/>
      <c r="DZ12" s="143"/>
      <c r="EP12" t="str">
        <f t="shared" si="5"/>
        <v/>
      </c>
      <c r="EQ12" t="str">
        <f t="shared" si="6"/>
        <v/>
      </c>
      <c r="ER12" s="2" t="str">
        <f t="shared" si="7"/>
        <v/>
      </c>
      <c r="ES12" t="str">
        <f t="shared" si="8"/>
        <v/>
      </c>
      <c r="ET12" t="str">
        <f t="shared" si="9"/>
        <v/>
      </c>
      <c r="EU12" t="str">
        <f t="shared" si="10"/>
        <v/>
      </c>
      <c r="EX12" t="s">
        <v>4780</v>
      </c>
      <c r="EY12" t="b">
        <f>IF(ISNUMBER(BW12),IF(ABS(BW12-[1]QC_indicators!$B$2)&gt;3*[1]QC_indicators!$C$2,"C ratio",IF(ISNUMBER(CA12),IF(ABS(CA12-[1]QC_indicators!$B$1)&gt;3*[1]QC_indicators!$C$1,"DF","no"))),IF(ISNUMBER(CA12),IF(ABS(CA12-[1]QC_indicators!$B$1)&gt;3*[1]QC_indicators!$C$1,"DF","no")))</f>
        <v>0</v>
      </c>
      <c r="FA12" t="str">
        <f t="shared" si="11"/>
        <v/>
      </c>
    </row>
    <row r="13" spans="1:161" ht="15" hidden="1" customHeight="1">
      <c r="A13" s="1" t="s">
        <v>1295</v>
      </c>
      <c r="B13" t="s">
        <v>4774</v>
      </c>
      <c r="C13" t="s">
        <v>4775</v>
      </c>
      <c r="D13" t="s">
        <v>4776</v>
      </c>
      <c r="E13" t="s">
        <v>4777</v>
      </c>
      <c r="F13" s="297" t="s">
        <v>4778</v>
      </c>
      <c r="G13" t="s">
        <v>1301</v>
      </c>
      <c r="H13" t="s">
        <v>254</v>
      </c>
      <c r="I13">
        <v>2017</v>
      </c>
      <c r="J13">
        <v>50</v>
      </c>
      <c r="K13" t="s">
        <v>4779</v>
      </c>
      <c r="M13" t="str">
        <f t="shared" si="0"/>
        <v>Geng_2017</v>
      </c>
      <c r="N13" s="297" t="s">
        <v>2269</v>
      </c>
      <c r="O13" s="171" t="s">
        <v>225</v>
      </c>
      <c r="P13" t="s">
        <v>223</v>
      </c>
      <c r="Q13" s="297" t="s">
        <v>389</v>
      </c>
      <c r="R13" s="298"/>
      <c r="U13" s="143"/>
      <c r="V13" s="143"/>
      <c r="W13" s="143"/>
      <c r="AZ13" s="141"/>
      <c r="BA13" s="141"/>
      <c r="BG13"/>
      <c r="BH13" s="2"/>
      <c r="BL13" s="143"/>
      <c r="BM13" s="143"/>
      <c r="BN13" s="143"/>
      <c r="BQ13" s="143"/>
      <c r="BU13" s="143"/>
      <c r="BW13" s="144"/>
      <c r="CA13" t="str">
        <f t="shared" si="1"/>
        <v/>
      </c>
      <c r="CP13"/>
      <c r="CQ13"/>
      <c r="CR13"/>
      <c r="CS13"/>
      <c r="CT13">
        <f t="shared" si="2"/>
        <v>0</v>
      </c>
      <c r="CU13"/>
      <c r="CV13"/>
      <c r="CW13"/>
      <c r="CX13" t="str">
        <f t="shared" si="3"/>
        <v/>
      </c>
      <c r="CY13"/>
      <c r="CZ13" t="str">
        <f t="shared" si="4"/>
        <v/>
      </c>
      <c r="DA13" s="2"/>
      <c r="DC13"/>
      <c r="DF13" s="143"/>
      <c r="DG13" s="143"/>
      <c r="DH13"/>
      <c r="DN13"/>
      <c r="DO13"/>
      <c r="DP13"/>
      <c r="DQ13"/>
      <c r="DR13"/>
      <c r="DS13"/>
      <c r="DY13"/>
      <c r="DZ13" s="143"/>
      <c r="EA13" s="143"/>
      <c r="EB13" s="143"/>
      <c r="EC13" s="143"/>
      <c r="ED13" s="143"/>
      <c r="EG13" s="143"/>
      <c r="EH13" s="143"/>
      <c r="EI13" s="143"/>
      <c r="EL13" s="143"/>
      <c r="EP13" t="str">
        <f t="shared" si="5"/>
        <v/>
      </c>
      <c r="EQ13" t="str">
        <f t="shared" si="6"/>
        <v/>
      </c>
      <c r="ER13" s="2" t="str">
        <f t="shared" si="7"/>
        <v/>
      </c>
      <c r="ES13" t="str">
        <f t="shared" si="8"/>
        <v/>
      </c>
      <c r="ET13" t="str">
        <f t="shared" si="9"/>
        <v/>
      </c>
      <c r="EU13" t="str">
        <f t="shared" si="10"/>
        <v/>
      </c>
      <c r="EY13" t="b">
        <f>IF(ISNUMBER(BW13),IF(ABS(BW13-[1]QC_indicators!$B$2)&gt;3*[1]QC_indicators!$C$2,"C ratio",IF(ISNUMBER(CA13),IF(ABS(CA13-[1]QC_indicators!$B$1)&gt;3*[1]QC_indicators!$C$1,"DF","no"))),IF(ISNUMBER(CA13),IF(ABS(CA13-[1]QC_indicators!$B$1)&gt;3*[1]QC_indicators!$C$1,"DF","no")))</f>
        <v>0</v>
      </c>
      <c r="FA13" t="str">
        <f t="shared" si="11"/>
        <v/>
      </c>
      <c r="FB13" s="149"/>
    </row>
    <row r="14" spans="1:161" ht="15" hidden="1" customHeight="1">
      <c r="A14" s="1" t="s">
        <v>643</v>
      </c>
      <c r="B14" t="s">
        <v>4781</v>
      </c>
      <c r="C14" t="s">
        <v>531</v>
      </c>
      <c r="D14" t="s">
        <v>4782</v>
      </c>
      <c r="E14" t="s">
        <v>4783</v>
      </c>
      <c r="F14" t="s">
        <v>4784</v>
      </c>
      <c r="G14" t="s">
        <v>649</v>
      </c>
      <c r="H14" t="s">
        <v>254</v>
      </c>
      <c r="I14">
        <v>2021</v>
      </c>
      <c r="J14">
        <v>0</v>
      </c>
      <c r="K14" t="s">
        <v>4785</v>
      </c>
      <c r="M14" t="str">
        <f t="shared" si="0"/>
        <v>Gu_2021</v>
      </c>
      <c r="N14" t="s">
        <v>2269</v>
      </c>
      <c r="O14" s="180" t="s">
        <v>341</v>
      </c>
      <c r="Q14" s="297" t="s">
        <v>256</v>
      </c>
      <c r="R14" s="298"/>
      <c r="AZ14" s="141"/>
      <c r="BA14" s="141"/>
      <c r="BG14"/>
      <c r="BH14" s="2"/>
      <c r="BW14" s="144"/>
      <c r="CA14" t="str">
        <f t="shared" si="1"/>
        <v/>
      </c>
      <c r="CP14"/>
      <c r="CQ14"/>
      <c r="CR14"/>
      <c r="CS14"/>
      <c r="CT14">
        <f t="shared" si="2"/>
        <v>0</v>
      </c>
      <c r="CU14"/>
      <c r="CV14"/>
      <c r="CW14"/>
      <c r="CX14" t="str">
        <f t="shared" si="3"/>
        <v/>
      </c>
      <c r="CY14"/>
      <c r="CZ14" t="str">
        <f t="shared" si="4"/>
        <v/>
      </c>
      <c r="DA14" s="2"/>
      <c r="DC14"/>
      <c r="DH14"/>
      <c r="DN14"/>
      <c r="DO14"/>
      <c r="DP14"/>
      <c r="DQ14"/>
      <c r="DR14"/>
      <c r="DS14"/>
      <c r="DY14"/>
      <c r="DZ14" s="143"/>
      <c r="EP14" t="str">
        <f t="shared" si="5"/>
        <v/>
      </c>
      <c r="EQ14" t="str">
        <f t="shared" si="6"/>
        <v/>
      </c>
      <c r="ER14" s="2" t="str">
        <f t="shared" si="7"/>
        <v/>
      </c>
      <c r="ES14" t="str">
        <f t="shared" si="8"/>
        <v/>
      </c>
      <c r="ET14" t="str">
        <f t="shared" si="9"/>
        <v/>
      </c>
      <c r="EU14" t="str">
        <f t="shared" si="10"/>
        <v/>
      </c>
      <c r="EX14" t="s">
        <v>450</v>
      </c>
      <c r="EY14" t="b">
        <f>IF(ISNUMBER(BW14),IF(ABS(BW14-[1]QC_indicators!$B$2)&gt;3*[1]QC_indicators!$C$2,"C ratio",IF(ISNUMBER(CA14),IF(ABS(CA14-[1]QC_indicators!$B$1)&gt;3*[1]QC_indicators!$C$1,"DF","no"))),IF(ISNUMBER(CA14),IF(ABS(CA14-[1]QC_indicators!$B$1)&gt;3*[1]QC_indicators!$C$1,"DF","no")))</f>
        <v>0</v>
      </c>
      <c r="FA14" t="str">
        <f t="shared" si="11"/>
        <v/>
      </c>
    </row>
    <row r="15" spans="1:161" ht="15" hidden="1" customHeight="1">
      <c r="A15" s="1" t="s">
        <v>643</v>
      </c>
      <c r="B15" t="s">
        <v>4786</v>
      </c>
      <c r="C15" t="s">
        <v>4787</v>
      </c>
      <c r="D15" t="s">
        <v>4788</v>
      </c>
      <c r="E15" t="s">
        <v>4789</v>
      </c>
      <c r="F15" t="s">
        <v>4790</v>
      </c>
      <c r="G15" t="s">
        <v>649</v>
      </c>
      <c r="H15" t="s">
        <v>254</v>
      </c>
      <c r="I15">
        <v>2020</v>
      </c>
      <c r="J15">
        <v>11</v>
      </c>
      <c r="K15" t="s">
        <v>4791</v>
      </c>
      <c r="M15" t="str">
        <f t="shared" si="0"/>
        <v>Hart_2020</v>
      </c>
      <c r="N15" t="s">
        <v>2269</v>
      </c>
      <c r="O15" s="180" t="s">
        <v>341</v>
      </c>
      <c r="Q15" s="297" t="s">
        <v>256</v>
      </c>
      <c r="R15" s="298"/>
      <c r="AZ15" s="141"/>
      <c r="BA15" s="141"/>
      <c r="BG15"/>
      <c r="BH15" s="2"/>
      <c r="BW15" s="144"/>
      <c r="CA15" t="str">
        <f t="shared" si="1"/>
        <v/>
      </c>
      <c r="CP15"/>
      <c r="CQ15"/>
      <c r="CR15"/>
      <c r="CS15"/>
      <c r="CT15">
        <f t="shared" si="2"/>
        <v>0</v>
      </c>
      <c r="CU15"/>
      <c r="CV15"/>
      <c r="CW15"/>
      <c r="CX15" t="str">
        <f t="shared" si="3"/>
        <v/>
      </c>
      <c r="CY15"/>
      <c r="CZ15" t="str">
        <f t="shared" si="4"/>
        <v/>
      </c>
      <c r="DA15" s="2"/>
      <c r="DC15"/>
      <c r="DH15"/>
      <c r="DN15"/>
      <c r="DO15"/>
      <c r="DP15"/>
      <c r="DQ15"/>
      <c r="DR15"/>
      <c r="DS15"/>
      <c r="DY15"/>
      <c r="DZ15" s="143"/>
      <c r="EP15" t="str">
        <f t="shared" si="5"/>
        <v/>
      </c>
      <c r="EQ15" t="str">
        <f t="shared" si="6"/>
        <v/>
      </c>
      <c r="ER15" s="2" t="str">
        <f t="shared" si="7"/>
        <v/>
      </c>
      <c r="ES15" t="str">
        <f t="shared" si="8"/>
        <v/>
      </c>
      <c r="ET15" t="str">
        <f t="shared" si="9"/>
        <v/>
      </c>
      <c r="EU15" t="str">
        <f t="shared" si="10"/>
        <v/>
      </c>
      <c r="EX15" t="s">
        <v>450</v>
      </c>
      <c r="EY15" t="b">
        <f>IF(ISNUMBER(BW15),IF(ABS(BW15-[1]QC_indicators!$B$2)&gt;3*[1]QC_indicators!$C$2,"C ratio",IF(ISNUMBER(CA15),IF(ABS(CA15-[1]QC_indicators!$B$1)&gt;3*[1]QC_indicators!$C$1,"DF","no"))),IF(ISNUMBER(CA15),IF(ABS(CA15-[1]QC_indicators!$B$1)&gt;3*[1]QC_indicators!$C$1,"DF","no")))</f>
        <v>0</v>
      </c>
      <c r="FA15" t="str">
        <f t="shared" si="11"/>
        <v/>
      </c>
    </row>
    <row r="16" spans="1:161" ht="15" hidden="1" customHeight="1">
      <c r="A16" s="1" t="s">
        <v>4353</v>
      </c>
      <c r="B16" t="s">
        <v>4792</v>
      </c>
      <c r="C16" t="s">
        <v>4793</v>
      </c>
      <c r="D16" t="s">
        <v>4794</v>
      </c>
      <c r="E16" t="s">
        <v>4795</v>
      </c>
      <c r="F16" t="s">
        <v>4796</v>
      </c>
      <c r="G16" t="s">
        <v>4359</v>
      </c>
      <c r="H16" t="s">
        <v>254</v>
      </c>
      <c r="I16">
        <v>2022</v>
      </c>
      <c r="J16">
        <v>1</v>
      </c>
      <c r="K16" t="s">
        <v>4797</v>
      </c>
      <c r="M16" t="str">
        <f t="shared" si="0"/>
        <v>Hassegawa_2022</v>
      </c>
      <c r="N16" t="s">
        <v>2269</v>
      </c>
      <c r="O16" s="161" t="s">
        <v>223</v>
      </c>
      <c r="Q16" s="297" t="s">
        <v>389</v>
      </c>
      <c r="R16" s="298"/>
      <c r="AZ16" s="141">
        <f>COUNTIF(X16:AY16,"&lt;&gt;0")</f>
        <v>28</v>
      </c>
      <c r="BA16">
        <f>COUNTIF(X16:AN16,"&lt;&gt;0")</f>
        <v>17</v>
      </c>
      <c r="BG16"/>
      <c r="BH16" s="2"/>
      <c r="CA16" t="str">
        <f t="shared" si="1"/>
        <v/>
      </c>
      <c r="CP16"/>
      <c r="CQ16"/>
      <c r="CR16"/>
      <c r="CS16"/>
      <c r="CT16">
        <f t="shared" si="2"/>
        <v>0</v>
      </c>
      <c r="CU16"/>
      <c r="CV16"/>
      <c r="CW16"/>
      <c r="CX16" t="str">
        <f t="shared" si="3"/>
        <v/>
      </c>
      <c r="CY16"/>
      <c r="CZ16" t="str">
        <f t="shared" si="4"/>
        <v/>
      </c>
      <c r="DA16" s="2"/>
      <c r="DC16"/>
      <c r="DH16"/>
      <c r="DN16"/>
      <c r="DO16"/>
      <c r="DP16"/>
      <c r="DQ16"/>
      <c r="DR16"/>
      <c r="DS16"/>
      <c r="DY16"/>
      <c r="DZ16"/>
      <c r="EP16" t="str">
        <f t="shared" si="5"/>
        <v/>
      </c>
      <c r="EQ16" t="str">
        <f t="shared" si="6"/>
        <v/>
      </c>
      <c r="ER16" s="2" t="str">
        <f t="shared" si="7"/>
        <v/>
      </c>
      <c r="ES16" t="str">
        <f t="shared" si="8"/>
        <v/>
      </c>
      <c r="ET16" t="str">
        <f t="shared" si="9"/>
        <v/>
      </c>
      <c r="EU16" t="str">
        <f t="shared" si="10"/>
        <v/>
      </c>
      <c r="EY16" t="b">
        <f>IF(ISNUMBER(BW16),IF(ABS(BW16-[1]QC_indicators!$B$2)&gt;3*[1]QC_indicators!$C$2,"C ratio",IF(ISNUMBER(CA16),IF(ABS(CA16-[1]QC_indicators!$B$1)&gt;3*[1]QC_indicators!$C$1,"DF","no"))),IF(ISNUMBER(CA16),IF(ABS(CA16-[1]QC_indicators!$B$1)&gt;3*[1]QC_indicators!$C$1,"DF","no")))</f>
        <v>0</v>
      </c>
      <c r="FA16" t="str">
        <f t="shared" si="11"/>
        <v/>
      </c>
    </row>
    <row r="17" spans="1:161" ht="15" hidden="1" customHeight="1">
      <c r="A17" s="1" t="s">
        <v>819</v>
      </c>
      <c r="B17" t="s">
        <v>4798</v>
      </c>
      <c r="C17" t="s">
        <v>4799</v>
      </c>
      <c r="D17" t="s">
        <v>4800</v>
      </c>
      <c r="E17" t="s">
        <v>4801</v>
      </c>
      <c r="F17" t="s">
        <v>4802</v>
      </c>
      <c r="G17" t="s">
        <v>825</v>
      </c>
      <c r="H17" t="s">
        <v>3466</v>
      </c>
      <c r="I17">
        <v>2019</v>
      </c>
      <c r="J17">
        <v>79</v>
      </c>
      <c r="K17" t="s">
        <v>4803</v>
      </c>
      <c r="M17" t="str">
        <f t="shared" si="0"/>
        <v>Hertwich_2019</v>
      </c>
      <c r="N17" t="s">
        <v>2269</v>
      </c>
      <c r="O17" s="145" t="s">
        <v>508</v>
      </c>
      <c r="Q17" s="297" t="s">
        <v>256</v>
      </c>
      <c r="R17" s="298"/>
      <c r="AZ17" s="141"/>
      <c r="BA17" s="141"/>
      <c r="BG17"/>
      <c r="BH17" s="2"/>
      <c r="BW17" s="144"/>
      <c r="CA17" t="str">
        <f t="shared" si="1"/>
        <v/>
      </c>
      <c r="CP17"/>
      <c r="CQ17"/>
      <c r="CR17"/>
      <c r="CS17"/>
      <c r="CT17">
        <f t="shared" si="2"/>
        <v>0</v>
      </c>
      <c r="CU17"/>
      <c r="CV17"/>
      <c r="CW17"/>
      <c r="CX17" t="str">
        <f t="shared" si="3"/>
        <v/>
      </c>
      <c r="CY17"/>
      <c r="CZ17" t="str">
        <f t="shared" si="4"/>
        <v/>
      </c>
      <c r="DA17" s="2"/>
      <c r="DC17"/>
      <c r="DH17"/>
      <c r="DN17"/>
      <c r="DO17"/>
      <c r="DP17"/>
      <c r="DQ17"/>
      <c r="DR17"/>
      <c r="DS17"/>
      <c r="DY17"/>
      <c r="DZ17" s="143"/>
      <c r="EP17" t="str">
        <f t="shared" si="5"/>
        <v/>
      </c>
      <c r="EQ17" t="str">
        <f t="shared" si="6"/>
        <v/>
      </c>
      <c r="ER17" s="2" t="str">
        <f t="shared" si="7"/>
        <v/>
      </c>
      <c r="ES17" t="str">
        <f t="shared" si="8"/>
        <v/>
      </c>
      <c r="ET17" t="str">
        <f t="shared" si="9"/>
        <v/>
      </c>
      <c r="EU17" t="str">
        <f t="shared" si="10"/>
        <v/>
      </c>
      <c r="EX17" t="s">
        <v>450</v>
      </c>
      <c r="EY17" t="b">
        <f>IF(ISNUMBER(BW17),IF(ABS(BW17-[1]QC_indicators!$B$2)&gt;3*[1]QC_indicators!$C$2,"C ratio",IF(ISNUMBER(CA17),IF(ABS(CA17-[1]QC_indicators!$B$1)&gt;3*[1]QC_indicators!$C$1,"DF","no"))),IF(ISNUMBER(CA17),IF(ABS(CA17-[1]QC_indicators!$B$1)&gt;3*[1]QC_indicators!$C$1,"DF","no")))</f>
        <v>0</v>
      </c>
      <c r="FA17" t="str">
        <f t="shared" si="11"/>
        <v/>
      </c>
    </row>
    <row r="18" spans="1:161" ht="15" hidden="1" customHeight="1">
      <c r="D18" t="s">
        <v>4804</v>
      </c>
      <c r="E18" t="s">
        <v>4805</v>
      </c>
      <c r="G18" t="s">
        <v>1861</v>
      </c>
      <c r="I18">
        <v>2021</v>
      </c>
      <c r="K18" s="297" t="s">
        <v>4806</v>
      </c>
      <c r="M18" t="str">
        <f t="shared" si="0"/>
        <v>Hurmekoski_2021</v>
      </c>
      <c r="N18" t="s">
        <v>2269</v>
      </c>
      <c r="O18" t="s">
        <v>223</v>
      </c>
      <c r="Q18" s="297" t="s">
        <v>256</v>
      </c>
      <c r="R18" s="298"/>
      <c r="U18" s="143"/>
      <c r="V18" s="143"/>
      <c r="W18" s="143"/>
      <c r="AZ18" s="141"/>
      <c r="BA18" s="141"/>
      <c r="BG18"/>
      <c r="BH18" s="2"/>
      <c r="BL18" s="143"/>
      <c r="BN18" s="143"/>
      <c r="BO18" s="143"/>
      <c r="BP18" s="143"/>
      <c r="BQ18" s="143"/>
      <c r="BR18" s="143"/>
      <c r="BS18" s="143"/>
      <c r="BU18" s="143"/>
      <c r="CA18" t="str">
        <f t="shared" si="1"/>
        <v/>
      </c>
      <c r="CP18"/>
      <c r="CQ18"/>
      <c r="CR18"/>
      <c r="CS18"/>
      <c r="CT18">
        <f t="shared" si="2"/>
        <v>0</v>
      </c>
      <c r="CU18"/>
      <c r="CV18"/>
      <c r="CW18"/>
      <c r="CX18" t="str">
        <f t="shared" si="3"/>
        <v/>
      </c>
      <c r="CY18"/>
      <c r="CZ18" t="str">
        <f t="shared" si="4"/>
        <v/>
      </c>
      <c r="DA18" s="2"/>
      <c r="DC18"/>
      <c r="DF18" s="143"/>
      <c r="DG18" s="143"/>
      <c r="DH18"/>
      <c r="DN18"/>
      <c r="DO18"/>
      <c r="DP18"/>
      <c r="DQ18"/>
      <c r="DR18"/>
      <c r="DS18"/>
      <c r="DU18" s="143"/>
      <c r="DV18" s="143"/>
      <c r="DX18" s="143"/>
      <c r="DY18"/>
      <c r="DZ18" s="143"/>
      <c r="EA18" s="143"/>
      <c r="EB18" s="143"/>
      <c r="EG18" s="143"/>
      <c r="EI18" s="143"/>
      <c r="EL18" s="143"/>
      <c r="EP18" t="str">
        <f t="shared" si="5"/>
        <v/>
      </c>
      <c r="EQ18" t="str">
        <f t="shared" si="6"/>
        <v/>
      </c>
      <c r="ER18" s="2" t="str">
        <f t="shared" si="7"/>
        <v/>
      </c>
      <c r="ES18" t="str">
        <f t="shared" si="8"/>
        <v/>
      </c>
      <c r="ET18" t="str">
        <f t="shared" si="9"/>
        <v/>
      </c>
      <c r="EU18" t="str">
        <f t="shared" si="10"/>
        <v/>
      </c>
      <c r="EY18" t="b">
        <f>IF(ISNUMBER(BW18),IF(ABS(BW18-[1]QC_indicators!$B$2)&gt;3*[1]QC_indicators!$C$2,"C ratio",IF(ISNUMBER(CA18),IF(ABS(CA18-[1]QC_indicators!$B$1)&gt;3*[1]QC_indicators!$C$1,"DF","no"))),IF(ISNUMBER(CA18),IF(ABS(CA18-[1]QC_indicators!$B$1)&gt;3*[1]QC_indicators!$C$1,"DF","no")))</f>
        <v>0</v>
      </c>
      <c r="FA18" t="str">
        <f t="shared" si="11"/>
        <v/>
      </c>
    </row>
    <row r="19" spans="1:161" ht="15" hidden="1" customHeight="1">
      <c r="A19" s="1" t="s">
        <v>4807</v>
      </c>
      <c r="B19" t="s">
        <v>4808</v>
      </c>
      <c r="C19" t="s">
        <v>4809</v>
      </c>
      <c r="D19" t="s">
        <v>4810</v>
      </c>
      <c r="E19" t="s">
        <v>4811</v>
      </c>
      <c r="F19" t="s">
        <v>4812</v>
      </c>
      <c r="G19" t="s">
        <v>4813</v>
      </c>
      <c r="H19" t="s">
        <v>3466</v>
      </c>
      <c r="I19">
        <v>2013</v>
      </c>
      <c r="J19">
        <v>89</v>
      </c>
      <c r="K19" t="s">
        <v>4814</v>
      </c>
      <c r="M19" t="str">
        <f t="shared" si="0"/>
        <v>Lempriere_2013</v>
      </c>
      <c r="N19" t="s">
        <v>2269</v>
      </c>
      <c r="O19" s="145" t="s">
        <v>225</v>
      </c>
      <c r="Q19" s="297" t="s">
        <v>256</v>
      </c>
      <c r="R19" s="298"/>
      <c r="U19" s="143"/>
      <c r="V19" s="143"/>
      <c r="W19" s="143"/>
      <c r="AZ19" s="141"/>
      <c r="BA19" s="141"/>
      <c r="BG19"/>
      <c r="BH19" s="2"/>
      <c r="BL19" s="143"/>
      <c r="BN19" s="143"/>
      <c r="BO19" s="163"/>
      <c r="BP19" s="158"/>
      <c r="BQ19" s="143"/>
      <c r="BR19" s="143"/>
      <c r="BS19" s="143"/>
      <c r="BU19" s="143"/>
      <c r="BW19" s="144"/>
      <c r="CA19" t="str">
        <f t="shared" si="1"/>
        <v/>
      </c>
      <c r="CP19"/>
      <c r="CQ19"/>
      <c r="CR19"/>
      <c r="CS19"/>
      <c r="CT19">
        <f t="shared" si="2"/>
        <v>0</v>
      </c>
      <c r="CU19"/>
      <c r="CV19"/>
      <c r="CW19"/>
      <c r="CX19" t="str">
        <f t="shared" si="3"/>
        <v/>
      </c>
      <c r="CY19"/>
      <c r="CZ19" t="str">
        <f t="shared" si="4"/>
        <v/>
      </c>
      <c r="DA19" s="2"/>
      <c r="DC19"/>
      <c r="DF19" s="143"/>
      <c r="DG19" s="143"/>
      <c r="DH19"/>
      <c r="DN19"/>
      <c r="DO19"/>
      <c r="DP19"/>
      <c r="DQ19"/>
      <c r="DR19"/>
      <c r="DS19"/>
      <c r="DU19" s="143"/>
      <c r="DV19" s="143"/>
      <c r="DX19" s="143"/>
      <c r="DY19"/>
      <c r="DZ19" s="143"/>
      <c r="EA19" s="143"/>
      <c r="EB19" s="143"/>
      <c r="EG19" s="143"/>
      <c r="EI19" s="143"/>
      <c r="EL19" s="143"/>
      <c r="EP19" t="str">
        <f t="shared" si="5"/>
        <v/>
      </c>
      <c r="EQ19" t="str">
        <f t="shared" si="6"/>
        <v/>
      </c>
      <c r="ER19" s="2" t="str">
        <f t="shared" si="7"/>
        <v/>
      </c>
      <c r="ES19" t="str">
        <f t="shared" si="8"/>
        <v/>
      </c>
      <c r="ET19" t="str">
        <f t="shared" si="9"/>
        <v/>
      </c>
      <c r="EU19" t="str">
        <f t="shared" si="10"/>
        <v/>
      </c>
      <c r="EX19" t="s">
        <v>450</v>
      </c>
      <c r="EY19" t="b">
        <f>IF(ISNUMBER(BW19),IF(ABS(BW19-[1]QC_indicators!$B$2)&gt;3*[1]QC_indicators!$C$2,"C ratio",IF(ISNUMBER(CA19),IF(ABS(CA19-[1]QC_indicators!$B$1)&gt;3*[1]QC_indicators!$C$1,"DF","no"))),IF(ISNUMBER(CA19),IF(ABS(CA19-[1]QC_indicators!$B$1)&gt;3*[1]QC_indicators!$C$1,"DF","no")))</f>
        <v>0</v>
      </c>
      <c r="FA19" t="str">
        <f t="shared" si="11"/>
        <v/>
      </c>
    </row>
    <row r="20" spans="1:161" ht="15" hidden="1" customHeight="1">
      <c r="A20" s="1" t="s">
        <v>4815</v>
      </c>
      <c r="B20" t="s">
        <v>4816</v>
      </c>
      <c r="C20" t="s">
        <v>4817</v>
      </c>
      <c r="D20" t="s">
        <v>4818</v>
      </c>
      <c r="E20" t="s">
        <v>4819</v>
      </c>
      <c r="F20" t="s">
        <v>4820</v>
      </c>
      <c r="G20" t="s">
        <v>4821</v>
      </c>
      <c r="H20" t="s">
        <v>254</v>
      </c>
      <c r="I20">
        <v>2011</v>
      </c>
      <c r="J20">
        <v>108</v>
      </c>
      <c r="K20" s="288" t="s">
        <v>4822</v>
      </c>
      <c r="M20" t="str">
        <f t="shared" si="0"/>
        <v>Malmsheimer_2011</v>
      </c>
      <c r="N20" t="s">
        <v>2269</v>
      </c>
      <c r="O20" s="145" t="s">
        <v>225</v>
      </c>
      <c r="Q20" s="297" t="s">
        <v>256</v>
      </c>
      <c r="R20" s="298"/>
      <c r="U20" s="143"/>
      <c r="V20" s="143"/>
      <c r="W20" s="143"/>
      <c r="AZ20" s="141"/>
      <c r="BA20" s="141"/>
      <c r="BG20"/>
      <c r="BH20" s="2"/>
      <c r="BJ20" s="230"/>
      <c r="BL20" s="143"/>
      <c r="BN20" s="143"/>
      <c r="BO20" s="163"/>
      <c r="BP20" s="158"/>
      <c r="BQ20" s="143"/>
      <c r="BU20" s="143"/>
      <c r="BW20" s="144"/>
      <c r="CA20" t="str">
        <f t="shared" si="1"/>
        <v/>
      </c>
      <c r="CP20"/>
      <c r="CQ20"/>
      <c r="CR20"/>
      <c r="CS20"/>
      <c r="CT20">
        <f t="shared" si="2"/>
        <v>0</v>
      </c>
      <c r="CU20"/>
      <c r="CV20"/>
      <c r="CW20"/>
      <c r="CX20" t="str">
        <f t="shared" si="3"/>
        <v/>
      </c>
      <c r="CY20"/>
      <c r="CZ20" t="str">
        <f t="shared" si="4"/>
        <v/>
      </c>
      <c r="DA20" s="2"/>
      <c r="DC20"/>
      <c r="DF20" s="143"/>
      <c r="DG20" s="143"/>
      <c r="DH20"/>
      <c r="DN20"/>
      <c r="DO20"/>
      <c r="DP20"/>
      <c r="DQ20"/>
      <c r="DR20"/>
      <c r="DS20"/>
      <c r="DU20" s="143"/>
      <c r="DV20" s="143"/>
      <c r="DX20" s="143"/>
      <c r="DY20"/>
      <c r="DZ20" s="143"/>
      <c r="EA20" s="143"/>
      <c r="EB20" s="143"/>
      <c r="EG20" s="143"/>
      <c r="EI20" s="143"/>
      <c r="EL20" s="143"/>
      <c r="EP20" t="str">
        <f t="shared" si="5"/>
        <v/>
      </c>
      <c r="EQ20" t="str">
        <f t="shared" si="6"/>
        <v/>
      </c>
      <c r="ER20" s="2" t="str">
        <f t="shared" si="7"/>
        <v/>
      </c>
      <c r="ES20" t="str">
        <f t="shared" si="8"/>
        <v/>
      </c>
      <c r="ET20" t="str">
        <f t="shared" si="9"/>
        <v/>
      </c>
      <c r="EU20" t="str">
        <f t="shared" si="10"/>
        <v/>
      </c>
      <c r="EW20" t="s">
        <v>4823</v>
      </c>
      <c r="EX20" t="s">
        <v>4824</v>
      </c>
      <c r="EY20" t="b">
        <f>IF(ISNUMBER(BW20),IF(ABS(BW20-[1]QC_indicators!$B$2)&gt;3*[1]QC_indicators!$C$2,"C ratio",IF(ISNUMBER(CA20),IF(ABS(CA20-[1]QC_indicators!$B$1)&gt;3*[1]QC_indicators!$C$1,"DF","no"))),IF(ISNUMBER(CA20),IF(ABS(CA20-[1]QC_indicators!$B$1)&gt;3*[1]QC_indicators!$C$1,"DF","no")))</f>
        <v>0</v>
      </c>
      <c r="FA20" t="str">
        <f t="shared" si="11"/>
        <v/>
      </c>
      <c r="FE20" s="184"/>
    </row>
    <row r="21" spans="1:161" ht="15" hidden="1" customHeight="1">
      <c r="A21" s="1" t="s">
        <v>486</v>
      </c>
      <c r="B21" t="s">
        <v>531</v>
      </c>
      <c r="C21" t="s">
        <v>4825</v>
      </c>
      <c r="D21" t="s">
        <v>4826</v>
      </c>
      <c r="E21" t="s">
        <v>4827</v>
      </c>
      <c r="F21" t="s">
        <v>4828</v>
      </c>
      <c r="G21" t="s">
        <v>492</v>
      </c>
      <c r="H21" t="s">
        <v>3466</v>
      </c>
      <c r="I21">
        <v>2021</v>
      </c>
      <c r="J21">
        <v>3</v>
      </c>
      <c r="K21" t="s">
        <v>4829</v>
      </c>
      <c r="M21" t="str">
        <f t="shared" si="0"/>
        <v>Myllyviita_2021</v>
      </c>
      <c r="N21" t="s">
        <v>2269</v>
      </c>
      <c r="O21" s="157" t="s">
        <v>274</v>
      </c>
      <c r="P21" t="s">
        <v>924</v>
      </c>
      <c r="Q21" s="297" t="s">
        <v>389</v>
      </c>
      <c r="R21" s="298"/>
      <c r="AZ21" s="141"/>
      <c r="BA21" s="141"/>
      <c r="BG21"/>
      <c r="BH21" s="2"/>
      <c r="BJ21" s="230"/>
      <c r="BW21" s="144"/>
      <c r="CA21" t="str">
        <f t="shared" si="1"/>
        <v/>
      </c>
      <c r="CP21"/>
      <c r="CQ21"/>
      <c r="CR21"/>
      <c r="CS21"/>
      <c r="CT21">
        <f t="shared" si="2"/>
        <v>0</v>
      </c>
      <c r="CU21"/>
      <c r="CV21"/>
      <c r="CW21"/>
      <c r="CX21" t="str">
        <f t="shared" si="3"/>
        <v/>
      </c>
      <c r="CY21"/>
      <c r="CZ21" t="str">
        <f t="shared" si="4"/>
        <v/>
      </c>
      <c r="DA21" s="2"/>
      <c r="DC21"/>
      <c r="DH21"/>
      <c r="DN21"/>
      <c r="DO21"/>
      <c r="DP21"/>
      <c r="DQ21"/>
      <c r="DR21"/>
      <c r="DS21"/>
      <c r="DY21"/>
      <c r="DZ21" s="143"/>
      <c r="EP21" t="str">
        <f t="shared" si="5"/>
        <v/>
      </c>
      <c r="EQ21" t="str">
        <f t="shared" si="6"/>
        <v/>
      </c>
      <c r="ER21" s="2" t="str">
        <f t="shared" si="7"/>
        <v/>
      </c>
      <c r="ES21" t="str">
        <f t="shared" si="8"/>
        <v/>
      </c>
      <c r="ET21" t="str">
        <f t="shared" si="9"/>
        <v/>
      </c>
      <c r="EU21" t="str">
        <f t="shared" si="10"/>
        <v/>
      </c>
      <c r="EY21" t="b">
        <f>IF(ISNUMBER(BW21),IF(ABS(BW21-[1]QC_indicators!$B$2)&gt;3*[1]QC_indicators!$C$2,"C ratio",IF(ISNUMBER(CA21),IF(ABS(CA21-[1]QC_indicators!$B$1)&gt;3*[1]QC_indicators!$C$1,"DF","no"))),IF(ISNUMBER(CA21),IF(ABS(CA21-[1]QC_indicators!$B$1)&gt;3*[1]QC_indicators!$C$1,"DF","no")))</f>
        <v>0</v>
      </c>
      <c r="FA21" t="str">
        <f t="shared" si="11"/>
        <v/>
      </c>
      <c r="FE21" s="184"/>
    </row>
    <row r="22" spans="1:161" ht="15" hidden="1" customHeight="1">
      <c r="D22" t="s">
        <v>4830</v>
      </c>
      <c r="E22" t="s">
        <v>4831</v>
      </c>
      <c r="G22" t="s">
        <v>950</v>
      </c>
      <c r="I22">
        <v>2001</v>
      </c>
      <c r="K22" s="288" t="s">
        <v>4832</v>
      </c>
      <c r="M22" t="str">
        <f t="shared" si="0"/>
        <v>Niles_2001</v>
      </c>
      <c r="N22" t="s">
        <v>2269</v>
      </c>
      <c r="O22" s="157" t="s">
        <v>274</v>
      </c>
      <c r="P22" t="s">
        <v>508</v>
      </c>
      <c r="Q22" s="297" t="s">
        <v>389</v>
      </c>
      <c r="R22" s="298"/>
      <c r="AZ22" s="141">
        <f>COUNTIF(X22:AY22,"&lt;&gt;0")</f>
        <v>28</v>
      </c>
      <c r="BA22" s="141">
        <f>COUNTIF(X22:AN22,"&lt;&gt;0")</f>
        <v>17</v>
      </c>
      <c r="BG22"/>
      <c r="BH22" s="2"/>
      <c r="BJ22" s="230"/>
      <c r="BO22" t="str">
        <f>IFERROR(BN22/BM22,"")</f>
        <v/>
      </c>
      <c r="BW22" s="144"/>
      <c r="CA22" t="str">
        <f t="shared" si="1"/>
        <v/>
      </c>
      <c r="CP22"/>
      <c r="CQ22"/>
      <c r="CR22"/>
      <c r="CS22"/>
      <c r="CT22">
        <f t="shared" si="2"/>
        <v>0</v>
      </c>
      <c r="CU22"/>
      <c r="CV22"/>
      <c r="CW22"/>
      <c r="CX22" t="str">
        <f t="shared" si="3"/>
        <v/>
      </c>
      <c r="CY22"/>
      <c r="CZ22" t="str">
        <f t="shared" si="4"/>
        <v/>
      </c>
      <c r="DA22" s="2" t="str">
        <f>IFERROR((CV22-CU22)/ABS(CU22),"")</f>
        <v/>
      </c>
      <c r="DC22"/>
      <c r="DH22"/>
      <c r="DN22">
        <f>SUM(DI22:DL22)</f>
        <v>0</v>
      </c>
      <c r="DO22" t="str">
        <f>IF(DN22=1,INDEX($DI$7:$DL$7,MATCH(1,$DI22:$DL22,0)),"mixedProduct")</f>
        <v>mixedProduct</v>
      </c>
      <c r="DP22">
        <f>IF(DI22=1,DP$7,0)</f>
        <v>0</v>
      </c>
      <c r="DQ22">
        <f>IF(DJ22=1,DQ$7,0)</f>
        <v>0</v>
      </c>
      <c r="DR22">
        <f>IF(DK22=1,DR$7,0)</f>
        <v>0</v>
      </c>
      <c r="DS22">
        <f>IF(DL22=1,DS$7,0)</f>
        <v>0</v>
      </c>
      <c r="DY22"/>
      <c r="DZ22" s="143" t="str">
        <f>IF(DT22=1,"self-calculated DF",IF(DU22=1,"external DF used","explicit C balance"))</f>
        <v>explicit C balance</v>
      </c>
      <c r="EP22" t="str">
        <f t="shared" si="5"/>
        <v/>
      </c>
      <c r="EQ22" t="str">
        <f t="shared" si="6"/>
        <v/>
      </c>
      <c r="ER22" s="2" t="str">
        <f t="shared" si="7"/>
        <v/>
      </c>
      <c r="ES22" t="str">
        <f t="shared" si="8"/>
        <v/>
      </c>
      <c r="ET22" t="str">
        <f t="shared" si="9"/>
        <v/>
      </c>
      <c r="EU22" t="str">
        <f t="shared" si="10"/>
        <v/>
      </c>
      <c r="EY22" t="b">
        <f>IF(ISNUMBER(BW22),IF(ABS(BW22-[1]QC_indicators!$B$2)&gt;3*[1]QC_indicators!$C$2,"C ratio",IF(ISNUMBER(CA22),IF(ABS(CA22-[1]QC_indicators!$B$1)&gt;3*[1]QC_indicators!$C$1,"DF","no"))),IF(ISNUMBER(CA22),IF(ABS(CA22-[1]QC_indicators!$B$1)&gt;3*[1]QC_indicators!$C$1,"DF","no")))</f>
        <v>0</v>
      </c>
      <c r="FA22" t="str">
        <f t="shared" si="11"/>
        <v/>
      </c>
      <c r="FE22" s="184"/>
    </row>
    <row r="23" spans="1:161" ht="15" hidden="1" customHeight="1">
      <c r="A23" s="1" t="s">
        <v>4833</v>
      </c>
      <c r="B23" t="s">
        <v>4834</v>
      </c>
      <c r="C23" t="s">
        <v>4835</v>
      </c>
      <c r="D23" t="s">
        <v>4836</v>
      </c>
      <c r="E23" t="s">
        <v>4837</v>
      </c>
      <c r="F23" t="s">
        <v>4838</v>
      </c>
      <c r="G23" t="s">
        <v>4839</v>
      </c>
      <c r="H23" t="s">
        <v>3466</v>
      </c>
      <c r="I23">
        <v>2018</v>
      </c>
      <c r="J23">
        <v>13</v>
      </c>
      <c r="K23" t="s">
        <v>4840</v>
      </c>
      <c r="M23" t="str">
        <f t="shared" si="0"/>
        <v>Persson_2018</v>
      </c>
      <c r="N23" t="s">
        <v>2269</v>
      </c>
      <c r="O23" s="171" t="s">
        <v>508</v>
      </c>
      <c r="P23" s="141" t="s">
        <v>225</v>
      </c>
      <c r="Q23" s="297" t="s">
        <v>389</v>
      </c>
      <c r="R23" s="298"/>
      <c r="AZ23" s="141"/>
      <c r="BA23" s="141"/>
      <c r="BG23"/>
      <c r="BH23" s="2"/>
      <c r="BJ23" s="230"/>
      <c r="BW23" s="144"/>
      <c r="CA23" t="str">
        <f t="shared" si="1"/>
        <v/>
      </c>
      <c r="CP23"/>
      <c r="CQ23"/>
      <c r="CR23"/>
      <c r="CS23"/>
      <c r="CT23">
        <f t="shared" si="2"/>
        <v>0</v>
      </c>
      <c r="CU23"/>
      <c r="CV23"/>
      <c r="CW23"/>
      <c r="CX23" t="str">
        <f t="shared" si="3"/>
        <v/>
      </c>
      <c r="CY23"/>
      <c r="CZ23" t="str">
        <f t="shared" si="4"/>
        <v/>
      </c>
      <c r="DA23" s="2"/>
      <c r="DC23"/>
      <c r="DH23"/>
      <c r="DN23"/>
      <c r="DO23"/>
      <c r="DP23"/>
      <c r="DQ23"/>
      <c r="DR23"/>
      <c r="DS23"/>
      <c r="DY23"/>
      <c r="DZ23" s="143"/>
      <c r="EP23" t="str">
        <f t="shared" si="5"/>
        <v/>
      </c>
      <c r="EQ23" t="str">
        <f t="shared" si="6"/>
        <v/>
      </c>
      <c r="ER23" s="2" t="str">
        <f t="shared" si="7"/>
        <v/>
      </c>
      <c r="ES23" t="str">
        <f t="shared" si="8"/>
        <v/>
      </c>
      <c r="ET23" t="str">
        <f t="shared" si="9"/>
        <v/>
      </c>
      <c r="EU23" t="str">
        <f t="shared" si="10"/>
        <v/>
      </c>
      <c r="EY23" t="b">
        <f>IF(ISNUMBER(BW23),IF(ABS(BW23-[1]QC_indicators!$B$2)&gt;3*[1]QC_indicators!$C$2,"C ratio",IF(ISNUMBER(CA23),IF(ABS(CA23-[1]QC_indicators!$B$1)&gt;3*[1]QC_indicators!$C$1,"DF","no"))),IF(ISNUMBER(CA23),IF(ABS(CA23-[1]QC_indicators!$B$1)&gt;3*[1]QC_indicators!$C$1,"DF","no")))</f>
        <v>0</v>
      </c>
      <c r="FA23" t="str">
        <f t="shared" si="11"/>
        <v/>
      </c>
    </row>
    <row r="24" spans="1:161" ht="15" hidden="1" customHeight="1">
      <c r="A24" s="1" t="s">
        <v>1295</v>
      </c>
      <c r="B24" t="s">
        <v>4841</v>
      </c>
      <c r="C24" t="s">
        <v>4842</v>
      </c>
      <c r="D24" t="s">
        <v>4843</v>
      </c>
      <c r="E24" t="s">
        <v>4844</v>
      </c>
      <c r="F24" t="s">
        <v>4845</v>
      </c>
      <c r="G24" t="s">
        <v>1301</v>
      </c>
      <c r="H24" t="s">
        <v>254</v>
      </c>
      <c r="I24">
        <v>2005</v>
      </c>
      <c r="J24">
        <v>122</v>
      </c>
      <c r="K24" t="s">
        <v>4846</v>
      </c>
      <c r="M24" t="str">
        <f t="shared" si="0"/>
        <v>Petersen_2005</v>
      </c>
      <c r="N24" t="s">
        <v>2269</v>
      </c>
      <c r="O24" s="171" t="s">
        <v>508</v>
      </c>
      <c r="P24" s="141" t="s">
        <v>225</v>
      </c>
      <c r="Q24" s="297" t="s">
        <v>389</v>
      </c>
      <c r="R24" s="298"/>
      <c r="AZ24" s="141"/>
      <c r="BA24" s="141"/>
      <c r="BG24"/>
      <c r="BH24" s="2"/>
      <c r="BL24" s="143"/>
      <c r="BN24" s="143"/>
      <c r="BP24" s="158"/>
      <c r="BQ24" s="159"/>
      <c r="BS24" s="230"/>
      <c r="BW24" s="144"/>
      <c r="CA24" t="str">
        <f t="shared" si="1"/>
        <v/>
      </c>
      <c r="CP24"/>
      <c r="CQ24"/>
      <c r="CR24"/>
      <c r="CS24"/>
      <c r="CT24">
        <f t="shared" si="2"/>
        <v>0</v>
      </c>
      <c r="CU24"/>
      <c r="CV24"/>
      <c r="CW24"/>
      <c r="CX24" t="str">
        <f t="shared" si="3"/>
        <v/>
      </c>
      <c r="CY24"/>
      <c r="CZ24" t="str">
        <f t="shared" si="4"/>
        <v/>
      </c>
      <c r="DA24" s="2"/>
      <c r="DC24"/>
      <c r="DF24" s="143"/>
      <c r="DG24" s="143"/>
      <c r="DH24"/>
      <c r="DN24"/>
      <c r="DO24"/>
      <c r="DP24"/>
      <c r="DQ24"/>
      <c r="DR24"/>
      <c r="DS24"/>
      <c r="DY24"/>
      <c r="DZ24" s="143"/>
      <c r="EA24" s="143"/>
      <c r="EB24" s="143"/>
      <c r="EC24" s="143"/>
      <c r="ED24" s="143"/>
      <c r="EG24" s="143"/>
      <c r="EH24" s="143"/>
      <c r="EI24" s="143"/>
      <c r="EL24" s="143"/>
      <c r="EP24" t="str">
        <f t="shared" si="5"/>
        <v/>
      </c>
      <c r="EQ24" t="str">
        <f t="shared" si="6"/>
        <v/>
      </c>
      <c r="ER24" s="2" t="str">
        <f t="shared" si="7"/>
        <v/>
      </c>
      <c r="ES24" t="str">
        <f t="shared" si="8"/>
        <v/>
      </c>
      <c r="ET24" t="str">
        <f t="shared" si="9"/>
        <v/>
      </c>
      <c r="EU24" t="str">
        <f t="shared" si="10"/>
        <v/>
      </c>
      <c r="EY24" t="b">
        <f>IF(ISNUMBER(BW24),IF(ABS(BW24-[1]QC_indicators!$B$2)&gt;3*[1]QC_indicators!$C$2,"C ratio",IF(ISNUMBER(CA24),IF(ABS(CA24-[1]QC_indicators!$B$1)&gt;3*[1]QC_indicators!$C$1,"DF","no"))),IF(ISNUMBER(CA24),IF(ABS(CA24-[1]QC_indicators!$B$1)&gt;3*[1]QC_indicators!$C$1,"DF","no")))</f>
        <v>0</v>
      </c>
      <c r="FA24" t="str">
        <f t="shared" si="11"/>
        <v/>
      </c>
    </row>
    <row r="25" spans="1:161" ht="15" hidden="1" customHeight="1">
      <c r="A25" s="1" t="s">
        <v>333</v>
      </c>
      <c r="B25" t="s">
        <v>4847</v>
      </c>
      <c r="C25" t="s">
        <v>4848</v>
      </c>
      <c r="D25" t="s">
        <v>4849</v>
      </c>
      <c r="E25" t="s">
        <v>4850</v>
      </c>
      <c r="F25" t="s">
        <v>4851</v>
      </c>
      <c r="G25" t="s">
        <v>339</v>
      </c>
      <c r="H25" t="s">
        <v>254</v>
      </c>
      <c r="I25">
        <v>2021</v>
      </c>
      <c r="J25">
        <v>10</v>
      </c>
      <c r="K25" t="s">
        <v>4852</v>
      </c>
      <c r="M25" t="str">
        <f t="shared" si="0"/>
        <v>Resch_2021</v>
      </c>
      <c r="N25" t="s">
        <v>2269</v>
      </c>
      <c r="O25" s="145" t="s">
        <v>341</v>
      </c>
      <c r="Q25" s="297" t="s">
        <v>256</v>
      </c>
      <c r="R25" s="298"/>
      <c r="AZ25" s="141"/>
      <c r="BA25" s="141"/>
      <c r="BG25"/>
      <c r="BH25" s="2"/>
      <c r="BS25" s="230"/>
      <c r="BW25" s="144"/>
      <c r="CA25" t="str">
        <f t="shared" si="1"/>
        <v/>
      </c>
      <c r="CP25"/>
      <c r="CQ25"/>
      <c r="CR25"/>
      <c r="CS25"/>
      <c r="CT25">
        <f t="shared" si="2"/>
        <v>0</v>
      </c>
      <c r="CU25"/>
      <c r="CV25"/>
      <c r="CW25"/>
      <c r="CX25" t="str">
        <f t="shared" si="3"/>
        <v/>
      </c>
      <c r="CY25"/>
      <c r="CZ25" t="str">
        <f t="shared" si="4"/>
        <v/>
      </c>
      <c r="DA25" s="2"/>
      <c r="DC25"/>
      <c r="DH25"/>
      <c r="DN25"/>
      <c r="DO25"/>
      <c r="DP25"/>
      <c r="DQ25"/>
      <c r="DR25"/>
      <c r="DS25"/>
      <c r="DY25"/>
      <c r="DZ25" s="143"/>
      <c r="EP25" t="str">
        <f t="shared" si="5"/>
        <v/>
      </c>
      <c r="EQ25" t="str">
        <f t="shared" si="6"/>
        <v/>
      </c>
      <c r="ER25" s="2" t="str">
        <f t="shared" si="7"/>
        <v/>
      </c>
      <c r="ES25" t="str">
        <f t="shared" si="8"/>
        <v/>
      </c>
      <c r="ET25" t="str">
        <f t="shared" si="9"/>
        <v/>
      </c>
      <c r="EU25" t="str">
        <f t="shared" si="10"/>
        <v/>
      </c>
      <c r="EW25" t="s">
        <v>4853</v>
      </c>
      <c r="EX25" t="s">
        <v>450</v>
      </c>
      <c r="EY25" t="b">
        <f>IF(ISNUMBER(BW25),IF(ABS(BW25-[1]QC_indicators!$B$2)&gt;3*[1]QC_indicators!$C$2,"C ratio",IF(ISNUMBER(CA25),IF(ABS(CA25-[1]QC_indicators!$B$1)&gt;3*[1]QC_indicators!$C$1,"DF","no"))),IF(ISNUMBER(CA25),IF(ABS(CA25-[1]QC_indicators!$B$1)&gt;3*[1]QC_indicators!$C$1,"DF","no")))</f>
        <v>0</v>
      </c>
      <c r="FA25" t="str">
        <f t="shared" si="11"/>
        <v/>
      </c>
    </row>
    <row r="26" spans="1:161" ht="15" hidden="1" customHeight="1">
      <c r="A26" s="1" t="s">
        <v>1001</v>
      </c>
      <c r="B26" t="s">
        <v>4854</v>
      </c>
      <c r="C26" t="s">
        <v>4855</v>
      </c>
      <c r="D26" t="s">
        <v>4856</v>
      </c>
      <c r="E26" t="s">
        <v>4857</v>
      </c>
      <c r="F26" t="s">
        <v>4858</v>
      </c>
      <c r="G26" t="s">
        <v>1002</v>
      </c>
      <c r="H26" t="s">
        <v>3466</v>
      </c>
      <c r="I26">
        <v>2022</v>
      </c>
      <c r="J26">
        <v>4</v>
      </c>
      <c r="K26" t="s">
        <v>4859</v>
      </c>
      <c r="M26" t="str">
        <f t="shared" si="0"/>
        <v>Soimakallio_2022</v>
      </c>
      <c r="N26" t="s">
        <v>2269</v>
      </c>
      <c r="BG26"/>
      <c r="BH26" s="2"/>
      <c r="BS26" s="230"/>
      <c r="CA26" t="str">
        <f t="shared" si="1"/>
        <v/>
      </c>
      <c r="CP26"/>
      <c r="CQ26"/>
      <c r="CR26"/>
      <c r="CS26"/>
      <c r="CT26">
        <f t="shared" si="2"/>
        <v>0</v>
      </c>
      <c r="CU26"/>
      <c r="CV26"/>
      <c r="CW26"/>
      <c r="CX26" t="str">
        <f t="shared" si="3"/>
        <v/>
      </c>
      <c r="CY26"/>
      <c r="CZ26" t="str">
        <f t="shared" si="4"/>
        <v/>
      </c>
      <c r="DA26" s="2"/>
      <c r="DC26"/>
      <c r="DH26"/>
      <c r="DN26"/>
      <c r="DO26"/>
      <c r="DP26"/>
      <c r="DQ26"/>
      <c r="DR26"/>
      <c r="DS26"/>
      <c r="DY26"/>
      <c r="DZ26"/>
      <c r="EP26" t="str">
        <f t="shared" si="5"/>
        <v/>
      </c>
      <c r="EQ26" t="str">
        <f t="shared" si="6"/>
        <v/>
      </c>
      <c r="ER26" s="2" t="str">
        <f t="shared" si="7"/>
        <v/>
      </c>
      <c r="ES26" t="str">
        <f t="shared" si="8"/>
        <v/>
      </c>
      <c r="ET26" t="str">
        <f t="shared" si="9"/>
        <v/>
      </c>
      <c r="EU26" t="str">
        <f t="shared" si="10"/>
        <v/>
      </c>
      <c r="EY26" t="b">
        <f>IF(ISNUMBER(BW26),IF(ABS(BW26-[1]QC_indicators!$B$2)&gt;3*[1]QC_indicators!$C$2,"C ratio",IF(ISNUMBER(CA26),IF(ABS(CA26-[1]QC_indicators!$B$1)&gt;3*[1]QC_indicators!$C$1,"DF","no"))),IF(ISNUMBER(CA26),IF(ABS(CA26-[1]QC_indicators!$B$1)&gt;3*[1]QC_indicators!$C$1,"DF","no")))</f>
        <v>0</v>
      </c>
      <c r="FA26" t="str">
        <f t="shared" si="11"/>
        <v/>
      </c>
      <c r="FE26" s="184"/>
    </row>
    <row r="27" spans="1:161" ht="15" hidden="1" customHeight="1">
      <c r="A27" s="1" t="s">
        <v>1016</v>
      </c>
      <c r="B27" t="s">
        <v>4860</v>
      </c>
      <c r="C27" t="s">
        <v>4861</v>
      </c>
      <c r="D27" t="s">
        <v>4862</v>
      </c>
      <c r="E27" t="s">
        <v>4863</v>
      </c>
      <c r="F27" t="s">
        <v>4864</v>
      </c>
      <c r="G27" t="s">
        <v>1017</v>
      </c>
      <c r="H27" t="s">
        <v>3466</v>
      </c>
      <c r="I27">
        <v>2021</v>
      </c>
      <c r="J27">
        <v>0</v>
      </c>
      <c r="K27" t="s">
        <v>4865</v>
      </c>
      <c r="M27" t="str">
        <f t="shared" si="0"/>
        <v>Sullivan_2021</v>
      </c>
      <c r="N27" t="s">
        <v>2269</v>
      </c>
      <c r="O27" s="145" t="s">
        <v>1029</v>
      </c>
      <c r="Q27" s="297" t="s">
        <v>256</v>
      </c>
      <c r="R27" s="298"/>
      <c r="AZ27" s="141"/>
      <c r="BA27" s="141"/>
      <c r="BG27"/>
      <c r="BH27" s="2"/>
      <c r="BR27" s="143"/>
      <c r="BS27" s="332"/>
      <c r="BW27" s="144"/>
      <c r="CA27" t="str">
        <f t="shared" si="1"/>
        <v/>
      </c>
      <c r="CP27"/>
      <c r="CQ27"/>
      <c r="CR27"/>
      <c r="CS27"/>
      <c r="CT27">
        <f t="shared" si="2"/>
        <v>0</v>
      </c>
      <c r="CU27"/>
      <c r="CV27"/>
      <c r="CW27"/>
      <c r="CX27" t="str">
        <f t="shared" si="3"/>
        <v/>
      </c>
      <c r="CY27"/>
      <c r="CZ27" t="str">
        <f t="shared" si="4"/>
        <v/>
      </c>
      <c r="DA27" s="2"/>
      <c r="DC27"/>
      <c r="DH27"/>
      <c r="DN27"/>
      <c r="DO27"/>
      <c r="DP27"/>
      <c r="DQ27"/>
      <c r="DR27"/>
      <c r="DS27"/>
      <c r="DY27"/>
      <c r="DZ27" s="143"/>
      <c r="EP27" t="str">
        <f t="shared" si="5"/>
        <v/>
      </c>
      <c r="EQ27" t="str">
        <f t="shared" si="6"/>
        <v/>
      </c>
      <c r="ER27" s="2" t="str">
        <f t="shared" si="7"/>
        <v/>
      </c>
      <c r="ES27" t="str">
        <f t="shared" si="8"/>
        <v/>
      </c>
      <c r="ET27" t="str">
        <f t="shared" si="9"/>
        <v/>
      </c>
      <c r="EU27" t="str">
        <f t="shared" si="10"/>
        <v/>
      </c>
      <c r="EX27" t="s">
        <v>4004</v>
      </c>
      <c r="EY27" t="b">
        <f>IF(ISNUMBER(BW27),IF(ABS(BW27-[1]QC_indicators!$B$2)&gt;3*[1]QC_indicators!$C$2,"C ratio",IF(ISNUMBER(CA27),IF(ABS(CA27-[1]QC_indicators!$B$1)&gt;3*[1]QC_indicators!$C$1,"DF","no"))),IF(ISNUMBER(CA27),IF(ABS(CA27-[1]QC_indicators!$B$1)&gt;3*[1]QC_indicators!$C$1,"DF","no")))</f>
        <v>0</v>
      </c>
      <c r="FA27" t="str">
        <f t="shared" si="11"/>
        <v/>
      </c>
      <c r="FE27" s="184"/>
    </row>
    <row r="28" spans="1:161" ht="15" hidden="1" customHeight="1">
      <c r="A28" s="1" t="s">
        <v>398</v>
      </c>
      <c r="B28" t="s">
        <v>4866</v>
      </c>
      <c r="C28" t="s">
        <v>4867</v>
      </c>
      <c r="D28" t="s">
        <v>4868</v>
      </c>
      <c r="E28" t="s">
        <v>4869</v>
      </c>
      <c r="F28" t="s">
        <v>4870</v>
      </c>
      <c r="G28" t="s">
        <v>404</v>
      </c>
      <c r="H28" t="s">
        <v>254</v>
      </c>
      <c r="I28">
        <v>2022</v>
      </c>
      <c r="J28">
        <v>10</v>
      </c>
      <c r="K28" t="s">
        <v>4871</v>
      </c>
      <c r="M28" t="str">
        <f t="shared" si="0"/>
        <v>Younis_2022</v>
      </c>
      <c r="N28" t="s">
        <v>2269</v>
      </c>
      <c r="O28" s="297" t="s">
        <v>223</v>
      </c>
      <c r="Q28" s="297" t="s">
        <v>389</v>
      </c>
      <c r="R28" s="298"/>
      <c r="BG28"/>
      <c r="BH28" s="2"/>
      <c r="CA28" t="str">
        <f t="shared" si="1"/>
        <v/>
      </c>
      <c r="CP28"/>
      <c r="CQ28"/>
      <c r="CR28"/>
      <c r="CS28"/>
      <c r="CT28">
        <f t="shared" si="2"/>
        <v>0</v>
      </c>
      <c r="CU28"/>
      <c r="CV28"/>
      <c r="CW28"/>
      <c r="CX28" t="str">
        <f t="shared" si="3"/>
        <v/>
      </c>
      <c r="CY28"/>
      <c r="CZ28" t="str">
        <f t="shared" si="4"/>
        <v/>
      </c>
      <c r="DA28" s="2"/>
      <c r="DC28"/>
      <c r="DH28"/>
      <c r="DN28"/>
      <c r="DO28"/>
      <c r="DP28"/>
      <c r="DQ28"/>
      <c r="DR28"/>
      <c r="DS28"/>
      <c r="DY28"/>
      <c r="DZ28"/>
      <c r="EO28" s="185"/>
      <c r="EP28" t="str">
        <f t="shared" si="5"/>
        <v/>
      </c>
      <c r="EQ28" t="str">
        <f t="shared" si="6"/>
        <v/>
      </c>
      <c r="ER28" s="2" t="str">
        <f t="shared" si="7"/>
        <v/>
      </c>
      <c r="ES28" t="str">
        <f t="shared" si="8"/>
        <v/>
      </c>
      <c r="ET28" t="str">
        <f t="shared" si="9"/>
        <v/>
      </c>
      <c r="EU28" t="str">
        <f t="shared" si="10"/>
        <v/>
      </c>
      <c r="EY28" t="b">
        <f>IF(ISNUMBER(BW28),IF(ABS(BW28-[1]QC_indicators!$B$2)&gt;3*[1]QC_indicators!$C$2,"C ratio",IF(ISNUMBER(CA28),IF(ABS(CA28-[1]QC_indicators!$B$1)&gt;3*[1]QC_indicators!$C$1,"DF","no"))),IF(ISNUMBER(CA28),IF(ABS(CA28-[1]QC_indicators!$B$1)&gt;3*[1]QC_indicators!$C$1,"DF","no")))</f>
        <v>0</v>
      </c>
      <c r="FA28" t="str">
        <f t="shared" si="11"/>
        <v/>
      </c>
      <c r="FD28" s="184"/>
      <c r="FE28" s="184"/>
    </row>
    <row r="29" spans="1:161" ht="15" hidden="1" customHeight="1">
      <c r="A29" s="1" t="s">
        <v>3968</v>
      </c>
      <c r="B29" t="s">
        <v>4872</v>
      </c>
      <c r="C29" t="s">
        <v>4873</v>
      </c>
      <c r="D29" t="s">
        <v>4874</v>
      </c>
      <c r="E29" t="s">
        <v>4875</v>
      </c>
      <c r="F29" t="s">
        <v>4876</v>
      </c>
      <c r="G29" t="s">
        <v>3974</v>
      </c>
      <c r="H29" t="s">
        <v>3466</v>
      </c>
      <c r="I29">
        <v>2022</v>
      </c>
      <c r="J29">
        <v>1</v>
      </c>
      <c r="K29" t="s">
        <v>4877</v>
      </c>
      <c r="M29" t="str">
        <f t="shared" si="0"/>
        <v>Zhou_2022</v>
      </c>
      <c r="N29" t="s">
        <v>2269</v>
      </c>
      <c r="BG29"/>
      <c r="BH29" s="2"/>
      <c r="CA29" t="str">
        <f t="shared" si="1"/>
        <v/>
      </c>
      <c r="CP29"/>
      <c r="CQ29"/>
      <c r="CR29"/>
      <c r="CS29"/>
      <c r="CT29">
        <f t="shared" si="2"/>
        <v>0</v>
      </c>
      <c r="CU29"/>
      <c r="CV29"/>
      <c r="CW29"/>
      <c r="CX29" t="str">
        <f t="shared" si="3"/>
        <v/>
      </c>
      <c r="CY29"/>
      <c r="CZ29" t="str">
        <f t="shared" si="4"/>
        <v/>
      </c>
      <c r="DA29" s="2"/>
      <c r="DC29"/>
      <c r="DH29"/>
      <c r="DN29"/>
      <c r="DO29"/>
      <c r="DP29"/>
      <c r="DQ29"/>
      <c r="DR29"/>
      <c r="DS29"/>
      <c r="DY29"/>
      <c r="DZ29"/>
      <c r="EO29" s="185"/>
      <c r="EP29" t="str">
        <f t="shared" si="5"/>
        <v/>
      </c>
      <c r="EQ29" t="str">
        <f t="shared" si="6"/>
        <v/>
      </c>
      <c r="ER29" s="2" t="str">
        <f t="shared" si="7"/>
        <v/>
      </c>
      <c r="ES29" t="str">
        <f t="shared" si="8"/>
        <v/>
      </c>
      <c r="ET29" t="str">
        <f t="shared" si="9"/>
        <v/>
      </c>
      <c r="EU29" t="str">
        <f t="shared" si="10"/>
        <v/>
      </c>
      <c r="EY29" t="b">
        <f>IF(ISNUMBER(BW29),IF(ABS(BW29-[1]QC_indicators!$B$2)&gt;3*[1]QC_indicators!$C$2,"C ratio",IF(ISNUMBER(CA29),IF(ABS(CA29-[1]QC_indicators!$B$1)&gt;3*[1]QC_indicators!$C$1,"DF","no"))),IF(ISNUMBER(CA29),IF(ABS(CA29-[1]QC_indicators!$B$1)&gt;3*[1]QC_indicators!$C$1,"DF","no")))</f>
        <v>0</v>
      </c>
      <c r="FA29" t="str">
        <f t="shared" si="11"/>
        <v/>
      </c>
    </row>
    <row r="30" spans="1:161" ht="15" hidden="1" customHeight="1">
      <c r="A30" s="1" t="s">
        <v>4737</v>
      </c>
      <c r="B30" t="s">
        <v>4738</v>
      </c>
      <c r="C30" t="s">
        <v>4739</v>
      </c>
      <c r="D30" t="s">
        <v>4740</v>
      </c>
      <c r="E30" s="297" t="s">
        <v>4741</v>
      </c>
      <c r="F30" t="s">
        <v>4742</v>
      </c>
      <c r="G30" t="s">
        <v>4743</v>
      </c>
      <c r="H30" t="s">
        <v>254</v>
      </c>
      <c r="I30">
        <v>2022</v>
      </c>
      <c r="J30">
        <v>0</v>
      </c>
      <c r="K30" t="s">
        <v>4744</v>
      </c>
      <c r="M30" t="str">
        <f t="shared" si="0"/>
        <v>Shvarts_2022</v>
      </c>
      <c r="N30" s="297" t="s">
        <v>4745</v>
      </c>
      <c r="O30" s="297" t="s">
        <v>223</v>
      </c>
      <c r="Q30" s="297" t="s">
        <v>389</v>
      </c>
      <c r="R30" s="298"/>
      <c r="BG30"/>
      <c r="BH30" s="2"/>
      <c r="CA30" t="str">
        <f t="shared" si="1"/>
        <v/>
      </c>
      <c r="CP30"/>
      <c r="CQ30"/>
      <c r="CR30"/>
      <c r="CS30"/>
      <c r="CT30">
        <f t="shared" si="2"/>
        <v>0</v>
      </c>
      <c r="CU30"/>
      <c r="CV30"/>
      <c r="CW30"/>
      <c r="CX30" t="str">
        <f t="shared" si="3"/>
        <v/>
      </c>
      <c r="CY30"/>
      <c r="CZ30" t="str">
        <f t="shared" si="4"/>
        <v/>
      </c>
      <c r="DA30" s="2"/>
      <c r="DC30"/>
      <c r="DH30"/>
      <c r="DN30"/>
      <c r="DO30"/>
      <c r="DP30"/>
      <c r="DQ30"/>
      <c r="DR30"/>
      <c r="DS30"/>
      <c r="DY30"/>
      <c r="DZ30"/>
      <c r="EP30" t="str">
        <f t="shared" si="5"/>
        <v/>
      </c>
      <c r="EQ30" t="str">
        <f t="shared" si="6"/>
        <v/>
      </c>
      <c r="ER30" s="2" t="str">
        <f t="shared" si="7"/>
        <v/>
      </c>
      <c r="ES30" t="str">
        <f t="shared" si="8"/>
        <v/>
      </c>
      <c r="ET30" t="str">
        <f t="shared" si="9"/>
        <v/>
      </c>
      <c r="EU30" t="str">
        <f t="shared" si="10"/>
        <v/>
      </c>
      <c r="EY30" t="b">
        <f>IF(ISNUMBER(BW30),IF(ABS(BW30-[1]QC_indicators!$B$2)&gt;3*[1]QC_indicators!$C$2,"C ratio",IF(ISNUMBER(CA30),IF(ABS(CA30-[1]QC_indicators!$B$1)&gt;3*[1]QC_indicators!$C$1,"DF","no"))),IF(ISNUMBER(CA30),IF(ABS(CA30-[1]QC_indicators!$B$1)&gt;3*[1]QC_indicators!$C$1,"DF","no")))</f>
        <v>0</v>
      </c>
      <c r="FA30" t="str">
        <f t="shared" si="11"/>
        <v/>
      </c>
    </row>
    <row r="31" spans="1:161" ht="15" hidden="1" customHeight="1">
      <c r="A31" s="1" t="s">
        <v>4606</v>
      </c>
      <c r="B31" t="s">
        <v>4607</v>
      </c>
      <c r="C31" t="s">
        <v>531</v>
      </c>
      <c r="D31" t="s">
        <v>4608</v>
      </c>
      <c r="E31" t="s">
        <v>4609</v>
      </c>
      <c r="F31" t="s">
        <v>4610</v>
      </c>
      <c r="G31" t="s">
        <v>4611</v>
      </c>
      <c r="H31" t="s">
        <v>4612</v>
      </c>
      <c r="I31">
        <v>2022</v>
      </c>
      <c r="J31">
        <v>1</v>
      </c>
      <c r="K31" t="s">
        <v>4613</v>
      </c>
      <c r="M31" t="str">
        <f t="shared" si="0"/>
        <v>Anderson_2022</v>
      </c>
      <c r="N31" t="s">
        <v>2267</v>
      </c>
      <c r="O31" s="140" t="s">
        <v>223</v>
      </c>
      <c r="BG31"/>
      <c r="BH31" s="2"/>
      <c r="CA31" t="str">
        <f t="shared" si="1"/>
        <v/>
      </c>
      <c r="CP31"/>
      <c r="CQ31"/>
      <c r="CR31"/>
      <c r="CS31"/>
      <c r="CT31">
        <f t="shared" si="2"/>
        <v>0</v>
      </c>
      <c r="CU31"/>
      <c r="CV31"/>
      <c r="CW31"/>
      <c r="CX31" t="str">
        <f t="shared" si="3"/>
        <v/>
      </c>
      <c r="CY31"/>
      <c r="CZ31" t="str">
        <f t="shared" si="4"/>
        <v/>
      </c>
      <c r="DA31" s="2"/>
      <c r="DC31"/>
      <c r="DH31"/>
      <c r="DN31"/>
      <c r="DO31"/>
      <c r="DP31"/>
      <c r="DQ31"/>
      <c r="DR31"/>
      <c r="DS31"/>
      <c r="DY31"/>
      <c r="DZ31"/>
      <c r="EP31" t="str">
        <f t="shared" si="5"/>
        <v/>
      </c>
      <c r="EQ31" t="str">
        <f t="shared" si="6"/>
        <v/>
      </c>
      <c r="ER31" s="2" t="str">
        <f t="shared" si="7"/>
        <v/>
      </c>
      <c r="ES31" t="str">
        <f t="shared" si="8"/>
        <v/>
      </c>
      <c r="ET31" t="str">
        <f t="shared" si="9"/>
        <v/>
      </c>
      <c r="EU31" t="str">
        <f t="shared" si="10"/>
        <v/>
      </c>
      <c r="EY31" t="b">
        <f>IF(ISNUMBER(BW31),IF(ABS(BW31-[1]QC_indicators!$B$2)&gt;3*[1]QC_indicators!$C$2,"C ratio",IF(ISNUMBER(CA31),IF(ABS(CA31-[1]QC_indicators!$B$1)&gt;3*[1]QC_indicators!$C$1,"DF","no"))),IF(ISNUMBER(CA31),IF(ABS(CA31-[1]QC_indicators!$B$1)&gt;3*[1]QC_indicators!$C$1,"DF","no")))</f>
        <v>0</v>
      </c>
      <c r="FA31" t="str">
        <f t="shared" si="11"/>
        <v/>
      </c>
    </row>
    <row r="32" spans="1:161" ht="15" hidden="1" customHeight="1">
      <c r="A32" s="1" t="s">
        <v>4614</v>
      </c>
      <c r="B32" t="s">
        <v>4615</v>
      </c>
      <c r="C32" t="s">
        <v>4616</v>
      </c>
      <c r="D32" t="s">
        <v>4617</v>
      </c>
      <c r="E32" t="s">
        <v>4618</v>
      </c>
      <c r="F32" t="s">
        <v>4619</v>
      </c>
      <c r="G32" t="s">
        <v>4620</v>
      </c>
      <c r="H32" t="s">
        <v>254</v>
      </c>
      <c r="I32">
        <v>2019</v>
      </c>
      <c r="J32">
        <v>1</v>
      </c>
      <c r="K32" t="s">
        <v>4621</v>
      </c>
      <c r="M32" t="str">
        <f t="shared" si="0"/>
        <v>Berdechowski_2019</v>
      </c>
      <c r="N32" t="s">
        <v>2267</v>
      </c>
      <c r="O32" s="145" t="s">
        <v>223</v>
      </c>
      <c r="Q32" s="297" t="s">
        <v>256</v>
      </c>
      <c r="R32" s="298"/>
      <c r="AZ32" s="141"/>
      <c r="BA32" s="141"/>
      <c r="BG32"/>
      <c r="BH32" s="2"/>
      <c r="BO32" s="143"/>
      <c r="BW32" s="144"/>
      <c r="CA32" t="str">
        <f t="shared" si="1"/>
        <v/>
      </c>
      <c r="CP32"/>
      <c r="CQ32"/>
      <c r="CR32"/>
      <c r="CS32"/>
      <c r="CT32">
        <f t="shared" si="2"/>
        <v>0</v>
      </c>
      <c r="CU32"/>
      <c r="CV32"/>
      <c r="CW32"/>
      <c r="CX32" t="str">
        <f t="shared" si="3"/>
        <v/>
      </c>
      <c r="CY32"/>
      <c r="CZ32" t="str">
        <f t="shared" si="4"/>
        <v/>
      </c>
      <c r="DA32" s="2"/>
      <c r="DC32"/>
      <c r="DH32"/>
      <c r="DN32"/>
      <c r="DO32"/>
      <c r="DP32"/>
      <c r="DQ32"/>
      <c r="DR32"/>
      <c r="DS32"/>
      <c r="DY32"/>
      <c r="DZ32" s="143"/>
      <c r="EP32" t="str">
        <f t="shared" si="5"/>
        <v/>
      </c>
      <c r="EQ32" t="str">
        <f t="shared" si="6"/>
        <v/>
      </c>
      <c r="ER32" s="2" t="str">
        <f t="shared" si="7"/>
        <v/>
      </c>
      <c r="ES32" t="str">
        <f t="shared" si="8"/>
        <v/>
      </c>
      <c r="ET32" t="str">
        <f t="shared" si="9"/>
        <v/>
      </c>
      <c r="EU32" t="str">
        <f t="shared" si="10"/>
        <v/>
      </c>
      <c r="EW32" t="s">
        <v>4622</v>
      </c>
      <c r="EX32" t="s">
        <v>450</v>
      </c>
      <c r="EY32" t="b">
        <f>IF(ISNUMBER(BW32),IF(ABS(BW32-[1]QC_indicators!$B$2)&gt;3*[1]QC_indicators!$C$2,"C ratio",IF(ISNUMBER(CA32),IF(ABS(CA32-[1]QC_indicators!$B$1)&gt;3*[1]QC_indicators!$C$1,"DF","no"))),IF(ISNUMBER(CA32),IF(ABS(CA32-[1]QC_indicators!$B$1)&gt;3*[1]QC_indicators!$C$1,"DF","no")))</f>
        <v>0</v>
      </c>
      <c r="FA32" t="str">
        <f t="shared" si="11"/>
        <v/>
      </c>
    </row>
    <row r="33" spans="1:160" ht="15" hidden="1" customHeight="1">
      <c r="A33" s="1" t="s">
        <v>4614</v>
      </c>
      <c r="B33" t="s">
        <v>4615</v>
      </c>
      <c r="C33" t="s">
        <v>4616</v>
      </c>
      <c r="D33" t="s">
        <v>4617</v>
      </c>
      <c r="E33" t="s">
        <v>4618</v>
      </c>
      <c r="F33" t="s">
        <v>4619</v>
      </c>
      <c r="G33" t="s">
        <v>4620</v>
      </c>
      <c r="H33" t="s">
        <v>254</v>
      </c>
      <c r="I33">
        <v>2019</v>
      </c>
      <c r="J33">
        <v>1</v>
      </c>
      <c r="K33" t="s">
        <v>4621</v>
      </c>
      <c r="M33" t="str">
        <f t="shared" si="0"/>
        <v>Berdechowski_2019</v>
      </c>
      <c r="N33" t="s">
        <v>2267</v>
      </c>
      <c r="O33" s="145" t="s">
        <v>223</v>
      </c>
      <c r="Q33" s="297" t="s">
        <v>256</v>
      </c>
      <c r="R33" s="298"/>
      <c r="AZ33" s="141"/>
      <c r="BA33" s="141"/>
      <c r="BG33"/>
      <c r="BH33" s="2"/>
      <c r="BO33" s="143"/>
      <c r="CA33" t="str">
        <f t="shared" si="1"/>
        <v/>
      </c>
      <c r="CP33"/>
      <c r="CQ33"/>
      <c r="CR33"/>
      <c r="CS33"/>
      <c r="CT33">
        <f t="shared" si="2"/>
        <v>0</v>
      </c>
      <c r="CU33"/>
      <c r="CV33"/>
      <c r="CW33"/>
      <c r="CX33" t="str">
        <f t="shared" si="3"/>
        <v/>
      </c>
      <c r="CY33"/>
      <c r="CZ33" t="str">
        <f t="shared" si="4"/>
        <v/>
      </c>
      <c r="DA33" s="2"/>
      <c r="DC33"/>
      <c r="DH33"/>
      <c r="DN33"/>
      <c r="DO33"/>
      <c r="DP33"/>
      <c r="DQ33"/>
      <c r="DR33"/>
      <c r="DS33"/>
      <c r="DY33"/>
      <c r="DZ33" s="143"/>
      <c r="EP33" t="str">
        <f t="shared" si="5"/>
        <v/>
      </c>
      <c r="EQ33" t="str">
        <f t="shared" si="6"/>
        <v/>
      </c>
      <c r="ER33" s="2" t="str">
        <f t="shared" si="7"/>
        <v/>
      </c>
      <c r="ES33" t="str">
        <f t="shared" si="8"/>
        <v/>
      </c>
      <c r="ET33" t="str">
        <f t="shared" si="9"/>
        <v/>
      </c>
      <c r="EU33" t="str">
        <f t="shared" si="10"/>
        <v/>
      </c>
      <c r="EW33" t="s">
        <v>4622</v>
      </c>
      <c r="EY33" t="b">
        <f>IF(ISNUMBER(BW33),IF(ABS(BW33-[1]QC_indicators!$B$2)&gt;3*[1]QC_indicators!$C$2,"C ratio",IF(ISNUMBER(CA33),IF(ABS(CA33-[1]QC_indicators!$B$1)&gt;3*[1]QC_indicators!$C$1,"DF","no"))),IF(ISNUMBER(CA33),IF(ABS(CA33-[1]QC_indicators!$B$1)&gt;3*[1]QC_indicators!$C$1,"DF","no")))</f>
        <v>0</v>
      </c>
      <c r="FA33" t="str">
        <f t="shared" si="11"/>
        <v/>
      </c>
    </row>
    <row r="34" spans="1:160" ht="15" hidden="1" customHeight="1">
      <c r="A34" s="1" t="s">
        <v>1199</v>
      </c>
      <c r="B34" t="s">
        <v>1200</v>
      </c>
      <c r="C34" t="s">
        <v>531</v>
      </c>
      <c r="D34" t="s">
        <v>1188</v>
      </c>
      <c r="E34" s="260" t="s">
        <v>1201</v>
      </c>
      <c r="F34" t="s">
        <v>1202</v>
      </c>
      <c r="G34" t="s">
        <v>531</v>
      </c>
      <c r="H34" t="s">
        <v>1203</v>
      </c>
      <c r="I34">
        <v>2017</v>
      </c>
      <c r="J34">
        <v>1</v>
      </c>
      <c r="K34" t="s">
        <v>1204</v>
      </c>
      <c r="M34" t="str">
        <f t="shared" si="0"/>
        <v>Bouyer_2017</v>
      </c>
      <c r="N34" t="s">
        <v>2267</v>
      </c>
      <c r="O34" s="161" t="s">
        <v>1029</v>
      </c>
      <c r="Q34" t="s">
        <v>389</v>
      </c>
      <c r="R34" s="258" t="s">
        <v>223</v>
      </c>
      <c r="S34" s="154" t="s">
        <v>1205</v>
      </c>
      <c r="T34" s="149" t="s">
        <v>1194</v>
      </c>
      <c r="U34" t="s">
        <v>690</v>
      </c>
      <c r="X34">
        <v>0</v>
      </c>
      <c r="Y34">
        <v>0</v>
      </c>
      <c r="Z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s="141">
        <f>COUNTIF(X34:AY34,"&lt;&gt;0")</f>
        <v>1</v>
      </c>
      <c r="BA34" s="141">
        <f>COUNTIF(X34:AN34,"&lt;&gt;0")</f>
        <v>1</v>
      </c>
      <c r="BB34">
        <f>COUNTIF(X34:AE34,"&lt;&gt;0")</f>
        <v>1</v>
      </c>
      <c r="BC34">
        <f>COUNTIF(AF34:AK34,"&lt;&gt;0")</f>
        <v>0</v>
      </c>
      <c r="BD34">
        <f>COUNTIF(AL34:AN34,"&lt;&gt;0")</f>
        <v>0</v>
      </c>
      <c r="BE34">
        <f>COUNTIF(AU34:AY34,"&lt;&gt;0")</f>
        <v>0</v>
      </c>
      <c r="BF34">
        <f>COUNTIF(AO34:AT34,"&lt;&gt;0")</f>
        <v>0</v>
      </c>
      <c r="BG34" t="str">
        <f t="array" ref="BG34">IF(BA34=1,INDEX($X$7:$AN$7,MATCH(TRUE,INDEX($X34:$AY34&lt;&gt;0,),0)),IF(BA34=0,INDEX($AO$7:$AY$7,MATCH(1,$AO34:$AY34,0)),IF(BH34="Multiple strategies","mixed drivers",IF(BH34="Supply chain","multiple supply","multiple silviculture"))))</f>
        <v xml:space="preserve">cutting intensity </v>
      </c>
      <c r="BH34" s="2" t="str" cm="1">
        <f t="array" ref="BH34">IF(COUNTIF(BB34:BD34,"&lt;&gt;0")=1,INDEX($X$4:$AY$4,MATCH(TRUE,INDEX($X34:$AY34&lt;&gt;0,),0)),IF(COUNTIF(BB34:BD34,"&lt;&gt;0")=0,INDEX($AO$4:$AY$4,MATCH(1,$AO34:$AY34,0)),"Multiple strategies"))</f>
        <v>Silviculture for removals</v>
      </c>
      <c r="BI34" s="177" t="s">
        <v>321</v>
      </c>
      <c r="BJ34" t="s">
        <v>1172</v>
      </c>
      <c r="BK34" t="s">
        <v>1206</v>
      </c>
      <c r="BL34" t="s">
        <v>1089</v>
      </c>
      <c r="BM34">
        <v>21.542968750001261</v>
      </c>
      <c r="BN34">
        <v>24.025869919478485</v>
      </c>
      <c r="BO34">
        <f>BN34/BM34</f>
        <v>1.1152534359721</v>
      </c>
      <c r="BP34">
        <f>BN34-BM34</f>
        <v>2.4829011694772234</v>
      </c>
      <c r="BQ34">
        <f>BP34*1000000</f>
        <v>2482901.1694772234</v>
      </c>
      <c r="BR34" s="155" t="s">
        <v>232</v>
      </c>
      <c r="BS34" t="s">
        <v>1207</v>
      </c>
      <c r="BT34" t="s">
        <v>1208</v>
      </c>
      <c r="BU34">
        <v>15.160763391344325</v>
      </c>
      <c r="BV34">
        <v>11.996175827266081</v>
      </c>
      <c r="BW34" s="144">
        <f>BV34/BU34</f>
        <v>0.79126462946549314</v>
      </c>
      <c r="BX34">
        <f>BV34-BU34</f>
        <v>-3.1645875640782446</v>
      </c>
      <c r="BZ34">
        <f>BX34*1000000</f>
        <v>-3164587.5640782444</v>
      </c>
      <c r="CA34">
        <f t="shared" si="1"/>
        <v>-1.2745523676017079</v>
      </c>
      <c r="CB34" s="143">
        <v>0</v>
      </c>
      <c r="CC34" s="143">
        <v>0</v>
      </c>
      <c r="CD34" s="143">
        <v>0</v>
      </c>
      <c r="CE34" s="143">
        <v>0</v>
      </c>
      <c r="CF34" s="143">
        <v>0</v>
      </c>
      <c r="CG34" s="143">
        <v>0</v>
      </c>
      <c r="CH34" s="143">
        <v>0</v>
      </c>
      <c r="CI34" s="143">
        <v>0</v>
      </c>
      <c r="CJ34" s="143">
        <v>0</v>
      </c>
      <c r="CK34" s="143">
        <v>0</v>
      </c>
      <c r="CL34" s="143">
        <v>0</v>
      </c>
      <c r="CM34" s="143">
        <v>0</v>
      </c>
      <c r="CN34" s="143">
        <v>0</v>
      </c>
      <c r="CO34">
        <v>0</v>
      </c>
      <c r="CP34" t="str">
        <f>IF($BN34&lt;$BM34,"refNeedCorrection","refOK")</f>
        <v>refOK</v>
      </c>
      <c r="CQ34">
        <f>IF($CP34="refOK",$BM34,$BN34)</f>
        <v>21.542968750001261</v>
      </c>
      <c r="CR34">
        <f>IF($CP34="refOK",$BN34,$BM34)</f>
        <v>24.025869919478485</v>
      </c>
      <c r="CS34">
        <f>IF($CP34="refOK",$BQ34,-$BQ34)</f>
        <v>2482901.1694772234</v>
      </c>
      <c r="CT34">
        <f t="shared" si="2"/>
        <v>1241450.5847386117</v>
      </c>
      <c r="CU34">
        <f>IF($CP34="refOK",$BU34,$BV34)*IF($BR34="Emissions positive",-1,1)</f>
        <v>15.160763391344325</v>
      </c>
      <c r="CV34">
        <f>IF($CP34="refOK",$BV34,$BU34)*IF($BR34="Emissions positive",-1,1)</f>
        <v>11.996175827266081</v>
      </c>
      <c r="CW34">
        <f>IF($CP34="refNeedCorrection",-BZ34,BZ34)*IF($BR34="Emissions positive",-1,1)</f>
        <v>-3164587.5640782444</v>
      </c>
      <c r="CX34">
        <f t="shared" si="3"/>
        <v>-1.2745523676017079</v>
      </c>
      <c r="CY34">
        <f>IFERROR($CW34/$CS34,"")</f>
        <v>-1.2745523676017079</v>
      </c>
      <c r="CZ34">
        <f t="shared" si="4"/>
        <v>-2.5491047352034157</v>
      </c>
      <c r="DA34" s="2">
        <f>IFERROR((CV34-CU34)/ABS(CU34),"")</f>
        <v>-0.20873537053450686</v>
      </c>
      <c r="DB34" s="162" t="s">
        <v>1078</v>
      </c>
      <c r="DC34" t="str">
        <f>IF(OR($DB34="prd",$DB34="std",$DB34="cit"),"loc",IF(OR($DB34="eur",$DB34="reg",$DB34="coy"),"reg",$DB34))</f>
        <v>reg</v>
      </c>
      <c r="DD34" s="155" t="s">
        <v>1156</v>
      </c>
      <c r="DE34">
        <v>2013</v>
      </c>
      <c r="DF34">
        <v>2020</v>
      </c>
      <c r="DG34">
        <f>DF34-DE34</f>
        <v>7</v>
      </c>
      <c r="DH34" t="str">
        <f>IF(DG34=0,"0",IF(AND(DG34&gt;=1,DG34&lt;=30),"1-30",IF(AND(DG34&gt;30,DG34&lt;=70),"31-70",IF(AND(DG34&gt;70,DG34&lt;=100),"71-100",IF(DG34&gt;100,"+100")))))</f>
        <v>1-30</v>
      </c>
      <c r="DI34">
        <v>1</v>
      </c>
      <c r="DJ34">
        <v>0</v>
      </c>
      <c r="DK34">
        <v>0</v>
      </c>
      <c r="DL34">
        <v>0</v>
      </c>
      <c r="DM34">
        <v>0</v>
      </c>
      <c r="DN34">
        <f>SUM(DI34:DL34)</f>
        <v>1</v>
      </c>
      <c r="DO34" t="str">
        <f>IF(DN34=1,INDEX($DI$7:$DL$7,MATCH(1,$DI34:$DL34,0)),"mixedProduct")</f>
        <v>UpstreamInput</v>
      </c>
      <c r="DP34" t="str">
        <f>IF(DI34=1,DP$7,0)</f>
        <v>Upstream</v>
      </c>
      <c r="DQ34">
        <f>IF(DJ34=1,DQ$7,0)</f>
        <v>0</v>
      </c>
      <c r="DR34">
        <f>IF(DK34=1,DR$7,0)</f>
        <v>0</v>
      </c>
      <c r="DS34">
        <f>IF(DL34=1,DS$7,0)</f>
        <v>0</v>
      </c>
      <c r="DT34">
        <v>0</v>
      </c>
      <c r="DU34">
        <v>0</v>
      </c>
      <c r="DV34">
        <v>0</v>
      </c>
      <c r="DW34">
        <v>0</v>
      </c>
      <c r="DX34">
        <v>0</v>
      </c>
      <c r="DY34"/>
      <c r="DZ34"/>
      <c r="EA34">
        <v>0</v>
      </c>
      <c r="EB34">
        <v>0</v>
      </c>
      <c r="EC34">
        <v>1</v>
      </c>
      <c r="ED34">
        <v>1</v>
      </c>
      <c r="EE34">
        <v>0</v>
      </c>
      <c r="EF34">
        <v>0</v>
      </c>
      <c r="EG34">
        <v>0</v>
      </c>
      <c r="EH34">
        <v>0</v>
      </c>
      <c r="EI34">
        <v>0</v>
      </c>
      <c r="EJ34">
        <v>0</v>
      </c>
      <c r="EK34">
        <v>1</v>
      </c>
      <c r="EL34">
        <v>0</v>
      </c>
      <c r="EM34">
        <v>0</v>
      </c>
      <c r="EN34" s="2">
        <v>0</v>
      </c>
      <c r="EP34" t="str">
        <f t="shared" si="5"/>
        <v/>
      </c>
      <c r="EQ34" t="str">
        <f>IF(AND(AND(OR($EC34=1,$EB34=1),AND($EH34=0,$EF34=0)),SUM($EA34:$EE34,$EK34)&gt;=4),"Ecosystem approach","")</f>
        <v/>
      </c>
      <c r="ER34" s="2" t="str">
        <f t="shared" si="7"/>
        <v/>
      </c>
      <c r="ES34" t="str">
        <f t="shared" si="8"/>
        <v/>
      </c>
      <c r="ET34" t="str">
        <f t="shared" si="9"/>
        <v/>
      </c>
      <c r="EU34" t="str">
        <f t="shared" si="10"/>
        <v/>
      </c>
      <c r="EY34" t="str">
        <f>IF(ISNUMBER(BW34),IF(ABS(BW34-[2]QC_indicators!$B$2)&gt;3*[2]QC_indicators!$C$2,"C ratio",IF(ISNUMBER(CA34),IF(ABS(CA34-[2]QC_indicators!$B$1)&gt;3*[2]QC_indicators!$C$1,"DF","no"))),IF(ISNUMBER(CA34),IF(ABS(CA34-[2]QC_indicators!$B$1)&gt;3*[2]QC_indicators!$C$1,"DF","no")))</f>
        <v>no</v>
      </c>
      <c r="FA34" t="str">
        <f t="shared" si="11"/>
        <v/>
      </c>
      <c r="FD34" s="293" t="s">
        <v>3086</v>
      </c>
    </row>
    <row r="35" spans="1:160" ht="15" hidden="1" customHeight="1">
      <c r="A35" s="1" t="s">
        <v>4623</v>
      </c>
      <c r="B35" t="s">
        <v>4624</v>
      </c>
      <c r="C35" t="s">
        <v>531</v>
      </c>
      <c r="D35" t="s">
        <v>4625</v>
      </c>
      <c r="E35" s="314" t="s">
        <v>4626</v>
      </c>
      <c r="F35" t="s">
        <v>4627</v>
      </c>
      <c r="G35" t="s">
        <v>531</v>
      </c>
      <c r="H35" t="s">
        <v>3640</v>
      </c>
      <c r="I35">
        <v>2009</v>
      </c>
      <c r="J35">
        <v>0</v>
      </c>
      <c r="K35" t="s">
        <v>531</v>
      </c>
      <c r="M35" t="str">
        <f t="shared" si="0"/>
        <v>Buchanan_2009</v>
      </c>
      <c r="N35" s="155" t="s">
        <v>2267</v>
      </c>
      <c r="O35" s="140" t="s">
        <v>223</v>
      </c>
      <c r="BG35"/>
      <c r="BH35" s="2"/>
      <c r="CA35" t="str">
        <f t="shared" si="1"/>
        <v/>
      </c>
      <c r="CP35"/>
      <c r="CQ35"/>
      <c r="CR35"/>
      <c r="CS35"/>
      <c r="CT35">
        <f t="shared" si="2"/>
        <v>0</v>
      </c>
      <c r="CU35"/>
      <c r="CV35"/>
      <c r="CW35"/>
      <c r="CX35" t="str">
        <f t="shared" si="3"/>
        <v/>
      </c>
      <c r="CY35"/>
      <c r="CZ35" t="str">
        <f t="shared" si="4"/>
        <v/>
      </c>
      <c r="DA35" s="2"/>
      <c r="DC35"/>
      <c r="DH35"/>
      <c r="DN35"/>
      <c r="DO35"/>
      <c r="DP35"/>
      <c r="DQ35"/>
      <c r="DR35"/>
      <c r="DS35"/>
      <c r="DY35"/>
      <c r="DZ35"/>
      <c r="EP35" t="str">
        <f t="shared" si="5"/>
        <v/>
      </c>
      <c r="EQ35" t="str">
        <f t="shared" ref="EQ35:EQ64" si="12">IF(AND(AND(OR($EC35=1,$EB35=1),AND($EH35=0,$EF35=0)),SUM($EA35:$EE35,$EK35)&gt;=3),"Ecosystem approach","")</f>
        <v/>
      </c>
      <c r="ER35" s="2" t="str">
        <f t="shared" si="7"/>
        <v/>
      </c>
      <c r="ES35" t="str">
        <f t="shared" si="8"/>
        <v/>
      </c>
      <c r="ET35" t="str">
        <f t="shared" si="9"/>
        <v/>
      </c>
      <c r="EU35" t="str">
        <f t="shared" si="10"/>
        <v/>
      </c>
      <c r="EY35" t="b">
        <f>IF(ISNUMBER(BW35),IF(ABS(BW35-[1]QC_indicators!$B$2)&gt;3*[1]QC_indicators!$C$2,"C ratio",IF(ISNUMBER(CA35),IF(ABS(CA35-[1]QC_indicators!$B$1)&gt;3*[1]QC_indicators!$C$1,"DF","no"))),IF(ISNUMBER(CA35),IF(ABS(CA35-[1]QC_indicators!$B$1)&gt;3*[1]QC_indicators!$C$1,"DF","no")))</f>
        <v>0</v>
      </c>
      <c r="FA35" t="str">
        <f t="shared" si="11"/>
        <v/>
      </c>
    </row>
    <row r="36" spans="1:160" ht="15" hidden="1" customHeight="1">
      <c r="A36" s="1" t="s">
        <v>4628</v>
      </c>
      <c r="B36" t="s">
        <v>4629</v>
      </c>
      <c r="C36" t="s">
        <v>531</v>
      </c>
      <c r="D36" t="s">
        <v>4630</v>
      </c>
      <c r="E36" t="s">
        <v>4631</v>
      </c>
      <c r="F36" t="s">
        <v>4632</v>
      </c>
      <c r="G36" t="s">
        <v>531</v>
      </c>
      <c r="H36" t="s">
        <v>3640</v>
      </c>
      <c r="I36">
        <v>2016</v>
      </c>
      <c r="J36">
        <v>3</v>
      </c>
      <c r="K36" t="s">
        <v>531</v>
      </c>
      <c r="M36" t="str">
        <f t="shared" si="0"/>
        <v>Cattarinussi_2016</v>
      </c>
      <c r="N36" t="s">
        <v>2267</v>
      </c>
      <c r="O36" s="145" t="s">
        <v>223</v>
      </c>
      <c r="Q36" s="297" t="s">
        <v>256</v>
      </c>
      <c r="R36" s="298"/>
      <c r="AZ36" s="141"/>
      <c r="BA36" s="141"/>
      <c r="BG36"/>
      <c r="BH36" s="2"/>
      <c r="BR36" s="143"/>
      <c r="BS36" s="143"/>
      <c r="BW36" s="144"/>
      <c r="CA36" t="str">
        <f t="shared" si="1"/>
        <v/>
      </c>
      <c r="CP36"/>
      <c r="CQ36"/>
      <c r="CR36"/>
      <c r="CS36"/>
      <c r="CT36">
        <f t="shared" si="2"/>
        <v>0</v>
      </c>
      <c r="CU36"/>
      <c r="CV36"/>
      <c r="CW36"/>
      <c r="CX36" t="str">
        <f t="shared" si="3"/>
        <v/>
      </c>
      <c r="CY36"/>
      <c r="CZ36" t="str">
        <f t="shared" si="4"/>
        <v/>
      </c>
      <c r="DA36" s="2"/>
      <c r="DC36"/>
      <c r="DH36"/>
      <c r="DN36"/>
      <c r="DO36"/>
      <c r="DP36"/>
      <c r="DQ36"/>
      <c r="DR36"/>
      <c r="DS36"/>
      <c r="DY36"/>
      <c r="DZ36" s="143"/>
      <c r="EP36" t="str">
        <f t="shared" si="5"/>
        <v/>
      </c>
      <c r="EQ36" t="str">
        <f t="shared" si="12"/>
        <v/>
      </c>
      <c r="ER36" s="2" t="str">
        <f t="shared" si="7"/>
        <v/>
      </c>
      <c r="ES36" t="str">
        <f t="shared" si="8"/>
        <v/>
      </c>
      <c r="ET36" t="str">
        <f t="shared" si="9"/>
        <v/>
      </c>
      <c r="EU36" t="str">
        <f t="shared" si="10"/>
        <v/>
      </c>
      <c r="EX36" t="s">
        <v>450</v>
      </c>
      <c r="EY36" t="b">
        <f>IF(ISNUMBER(BW36),IF(ABS(BW36-[1]QC_indicators!$B$2)&gt;3*[1]QC_indicators!$C$2,"C ratio",IF(ISNUMBER(CA36),IF(ABS(CA36-[1]QC_indicators!$B$1)&gt;3*[1]QC_indicators!$C$1,"DF","no"))),IF(ISNUMBER(CA36),IF(ABS(CA36-[1]QC_indicators!$B$1)&gt;3*[1]QC_indicators!$C$1,"DF","no")))</f>
        <v>0</v>
      </c>
      <c r="FA36" t="str">
        <f t="shared" si="11"/>
        <v/>
      </c>
    </row>
    <row r="37" spans="1:160" ht="15" hidden="1" customHeight="1">
      <c r="A37" s="1" t="s">
        <v>4628</v>
      </c>
      <c r="B37" t="s">
        <v>4629</v>
      </c>
      <c r="C37" t="s">
        <v>531</v>
      </c>
      <c r="D37" t="s">
        <v>4630</v>
      </c>
      <c r="E37" t="s">
        <v>4631</v>
      </c>
      <c r="F37" t="s">
        <v>4632</v>
      </c>
      <c r="G37" t="s">
        <v>531</v>
      </c>
      <c r="H37" t="s">
        <v>3640</v>
      </c>
      <c r="I37">
        <v>2016</v>
      </c>
      <c r="J37">
        <v>3</v>
      </c>
      <c r="K37" t="s">
        <v>531</v>
      </c>
      <c r="M37" t="str">
        <f t="shared" si="0"/>
        <v>Cattarinussi_2016</v>
      </c>
      <c r="N37" t="s">
        <v>2267</v>
      </c>
      <c r="O37" s="145" t="s">
        <v>223</v>
      </c>
      <c r="Q37" s="297" t="s">
        <v>256</v>
      </c>
      <c r="R37" s="298"/>
      <c r="AZ37" s="141"/>
      <c r="BA37" s="141"/>
      <c r="BG37"/>
      <c r="BH37" s="2"/>
      <c r="BR37" s="143"/>
      <c r="BS37" s="143"/>
      <c r="CA37" t="str">
        <f t="shared" si="1"/>
        <v/>
      </c>
      <c r="CP37"/>
      <c r="CQ37"/>
      <c r="CR37"/>
      <c r="CS37"/>
      <c r="CT37">
        <f t="shared" si="2"/>
        <v>0</v>
      </c>
      <c r="CU37"/>
      <c r="CV37"/>
      <c r="CW37"/>
      <c r="CX37" t="str">
        <f t="shared" si="3"/>
        <v/>
      </c>
      <c r="CY37"/>
      <c r="CZ37" t="str">
        <f t="shared" si="4"/>
        <v/>
      </c>
      <c r="DA37" s="2"/>
      <c r="DC37"/>
      <c r="DH37"/>
      <c r="DN37"/>
      <c r="DO37"/>
      <c r="DP37"/>
      <c r="DQ37"/>
      <c r="DR37"/>
      <c r="DS37"/>
      <c r="DY37"/>
      <c r="DZ37" s="143"/>
      <c r="EP37" t="str">
        <f t="shared" si="5"/>
        <v/>
      </c>
      <c r="EQ37" t="str">
        <f t="shared" si="12"/>
        <v/>
      </c>
      <c r="ER37" s="2" t="str">
        <f t="shared" si="7"/>
        <v/>
      </c>
      <c r="ES37" t="str">
        <f t="shared" si="8"/>
        <v/>
      </c>
      <c r="ET37" t="str">
        <f t="shared" si="9"/>
        <v/>
      </c>
      <c r="EU37" t="str">
        <f t="shared" si="10"/>
        <v/>
      </c>
      <c r="EY37" t="b">
        <f>IF(ISNUMBER(BW37),IF(ABS(BW37-[1]QC_indicators!$B$2)&gt;3*[1]QC_indicators!$C$2,"C ratio",IF(ISNUMBER(CA37),IF(ABS(CA37-[1]QC_indicators!$B$1)&gt;3*[1]QC_indicators!$C$1,"DF","no"))),IF(ISNUMBER(CA37),IF(ABS(CA37-[1]QC_indicators!$B$1)&gt;3*[1]QC_indicators!$C$1,"DF","no")))</f>
        <v>0</v>
      </c>
      <c r="FA37" t="str">
        <f t="shared" si="11"/>
        <v/>
      </c>
    </row>
    <row r="38" spans="1:160" ht="15" hidden="1" customHeight="1">
      <c r="A38" s="1" t="s">
        <v>4633</v>
      </c>
      <c r="B38" t="s">
        <v>4634</v>
      </c>
      <c r="C38" t="s">
        <v>4635</v>
      </c>
      <c r="D38" t="s">
        <v>4636</v>
      </c>
      <c r="E38" t="s">
        <v>4637</v>
      </c>
      <c r="F38" t="s">
        <v>4638</v>
      </c>
      <c r="G38" t="s">
        <v>531</v>
      </c>
      <c r="H38" t="s">
        <v>3640</v>
      </c>
      <c r="I38">
        <v>2019</v>
      </c>
      <c r="J38">
        <v>0</v>
      </c>
      <c r="K38" t="s">
        <v>531</v>
      </c>
      <c r="M38" t="str">
        <f t="shared" si="0"/>
        <v>Chiaia_2019</v>
      </c>
      <c r="N38" t="s">
        <v>2267</v>
      </c>
      <c r="O38" s="145" t="s">
        <v>223</v>
      </c>
      <c r="Q38" s="297" t="s">
        <v>256</v>
      </c>
      <c r="R38" s="298"/>
      <c r="AZ38" s="141"/>
      <c r="BA38" s="141"/>
      <c r="BG38"/>
      <c r="BH38" s="2"/>
      <c r="BR38" s="143"/>
      <c r="BS38" s="143"/>
      <c r="BW38" s="144"/>
      <c r="CA38" t="str">
        <f t="shared" si="1"/>
        <v/>
      </c>
      <c r="CP38"/>
      <c r="CQ38"/>
      <c r="CR38"/>
      <c r="CS38"/>
      <c r="CT38">
        <f t="shared" si="2"/>
        <v>0</v>
      </c>
      <c r="CU38"/>
      <c r="CV38"/>
      <c r="CW38"/>
      <c r="CX38" t="str">
        <f t="shared" si="3"/>
        <v/>
      </c>
      <c r="CY38"/>
      <c r="CZ38" t="str">
        <f t="shared" si="4"/>
        <v/>
      </c>
      <c r="DA38" s="2"/>
      <c r="DC38"/>
      <c r="DH38"/>
      <c r="DN38"/>
      <c r="DO38"/>
      <c r="DP38"/>
      <c r="DQ38"/>
      <c r="DR38"/>
      <c r="DS38"/>
      <c r="DY38"/>
      <c r="DZ38" s="143"/>
      <c r="EP38" t="str">
        <f t="shared" si="5"/>
        <v/>
      </c>
      <c r="EQ38" t="str">
        <f t="shared" si="12"/>
        <v/>
      </c>
      <c r="ER38" s="2" t="str">
        <f t="shared" si="7"/>
        <v/>
      </c>
      <c r="ES38" t="str">
        <f t="shared" si="8"/>
        <v/>
      </c>
      <c r="ET38" t="str">
        <f t="shared" si="9"/>
        <v/>
      </c>
      <c r="EU38" t="str">
        <f t="shared" si="10"/>
        <v/>
      </c>
      <c r="EX38" t="s">
        <v>450</v>
      </c>
      <c r="EY38" t="b">
        <f>IF(ISNUMBER(BW38),IF(ABS(BW38-[1]QC_indicators!$B$2)&gt;3*[1]QC_indicators!$C$2,"C ratio",IF(ISNUMBER(CA38),IF(ABS(CA38-[1]QC_indicators!$B$1)&gt;3*[1]QC_indicators!$C$1,"DF","no"))),IF(ISNUMBER(CA38),IF(ABS(CA38-[1]QC_indicators!$B$1)&gt;3*[1]QC_indicators!$C$1,"DF","no")))</f>
        <v>0</v>
      </c>
      <c r="FA38" t="str">
        <f t="shared" si="11"/>
        <v/>
      </c>
    </row>
    <row r="39" spans="1:160" ht="15" hidden="1" customHeight="1">
      <c r="A39" s="1" t="s">
        <v>4633</v>
      </c>
      <c r="B39" t="s">
        <v>4634</v>
      </c>
      <c r="C39" t="s">
        <v>4635</v>
      </c>
      <c r="D39" t="s">
        <v>4636</v>
      </c>
      <c r="E39" t="s">
        <v>4637</v>
      </c>
      <c r="F39" t="s">
        <v>4638</v>
      </c>
      <c r="G39" t="s">
        <v>531</v>
      </c>
      <c r="H39" t="s">
        <v>3640</v>
      </c>
      <c r="I39">
        <v>2019</v>
      </c>
      <c r="J39">
        <v>0</v>
      </c>
      <c r="K39" t="s">
        <v>531</v>
      </c>
      <c r="M39" t="str">
        <f t="shared" si="0"/>
        <v>Chiaia_2019</v>
      </c>
      <c r="N39" t="s">
        <v>2267</v>
      </c>
      <c r="O39" s="145" t="s">
        <v>223</v>
      </c>
      <c r="Q39" s="297" t="s">
        <v>256</v>
      </c>
      <c r="R39" s="298"/>
      <c r="AZ39" s="141"/>
      <c r="BA39" s="141"/>
      <c r="BG39"/>
      <c r="BH39" s="2"/>
      <c r="BR39" s="143"/>
      <c r="BS39" s="143"/>
      <c r="CA39" t="str">
        <f t="shared" si="1"/>
        <v/>
      </c>
      <c r="CP39"/>
      <c r="CQ39"/>
      <c r="CR39"/>
      <c r="CS39"/>
      <c r="CT39">
        <f t="shared" si="2"/>
        <v>0</v>
      </c>
      <c r="CU39"/>
      <c r="CV39"/>
      <c r="CW39"/>
      <c r="CX39" t="str">
        <f t="shared" si="3"/>
        <v/>
      </c>
      <c r="CY39"/>
      <c r="CZ39" t="str">
        <f t="shared" si="4"/>
        <v/>
      </c>
      <c r="DA39" s="2"/>
      <c r="DC39"/>
      <c r="DH39"/>
      <c r="DN39"/>
      <c r="DO39"/>
      <c r="DP39"/>
      <c r="DQ39"/>
      <c r="DR39"/>
      <c r="DS39"/>
      <c r="DY39"/>
      <c r="DZ39" s="143"/>
      <c r="EP39" t="str">
        <f t="shared" si="5"/>
        <v/>
      </c>
      <c r="EQ39" t="str">
        <f t="shared" si="12"/>
        <v/>
      </c>
      <c r="ER39" s="2" t="str">
        <f t="shared" si="7"/>
        <v/>
      </c>
      <c r="ES39" t="str">
        <f t="shared" si="8"/>
        <v/>
      </c>
      <c r="ET39" t="str">
        <f t="shared" si="9"/>
        <v/>
      </c>
      <c r="EU39" t="str">
        <f t="shared" si="10"/>
        <v/>
      </c>
      <c r="EY39" t="b">
        <f>IF(ISNUMBER(BW39),IF(ABS(BW39-[1]QC_indicators!$B$2)&gt;3*[1]QC_indicators!$C$2,"C ratio",IF(ISNUMBER(CA39),IF(ABS(CA39-[1]QC_indicators!$B$1)&gt;3*[1]QC_indicators!$C$1,"DF","no"))),IF(ISNUMBER(CA39),IF(ABS(CA39-[1]QC_indicators!$B$1)&gt;3*[1]QC_indicators!$C$1,"DF","no")))</f>
        <v>0</v>
      </c>
      <c r="FA39" t="str">
        <f t="shared" si="11"/>
        <v/>
      </c>
    </row>
    <row r="40" spans="1:160" ht="15" hidden="1" customHeight="1">
      <c r="A40" s="1" t="s">
        <v>4639</v>
      </c>
      <c r="B40" t="s">
        <v>531</v>
      </c>
      <c r="C40" t="s">
        <v>531</v>
      </c>
      <c r="D40" t="s">
        <v>4640</v>
      </c>
      <c r="E40" t="s">
        <v>4641</v>
      </c>
      <c r="F40" t="s">
        <v>4642</v>
      </c>
      <c r="G40" t="s">
        <v>531</v>
      </c>
      <c r="H40" t="s">
        <v>3640</v>
      </c>
      <c r="I40">
        <v>2019</v>
      </c>
      <c r="J40">
        <v>0</v>
      </c>
      <c r="K40" t="s">
        <v>531</v>
      </c>
      <c r="M40" t="str">
        <f t="shared" si="0"/>
        <v>De Wolf_2019</v>
      </c>
      <c r="N40" t="s">
        <v>2267</v>
      </c>
      <c r="O40" s="145" t="s">
        <v>223</v>
      </c>
      <c r="Q40" s="297" t="s">
        <v>256</v>
      </c>
      <c r="R40" s="298"/>
      <c r="AZ40" s="141"/>
      <c r="BA40" s="141"/>
      <c r="BG40"/>
      <c r="BH40" s="2"/>
      <c r="BW40" s="144"/>
      <c r="CA40" t="str">
        <f t="shared" ref="CA40:CA71" si="13">IFERROR(BZ40/BQ40,"")</f>
        <v/>
      </c>
      <c r="CP40"/>
      <c r="CQ40"/>
      <c r="CR40"/>
      <c r="CS40"/>
      <c r="CT40">
        <f t="shared" ref="CT40:CT71" si="14">IF(BI40="Roundwood",$CS40/2,$CS40)</f>
        <v>0</v>
      </c>
      <c r="CU40"/>
      <c r="CV40"/>
      <c r="CW40"/>
      <c r="CX40" t="str">
        <f t="shared" ref="CX40:CX71" si="15">IFERROR($CW40/$CS40,"")</f>
        <v/>
      </c>
      <c r="CY40"/>
      <c r="CZ40" t="str">
        <f t="shared" ref="CZ40:CZ71" si="16">IFERROR($CW40/$CT40,"")</f>
        <v/>
      </c>
      <c r="DA40" s="2"/>
      <c r="DC40"/>
      <c r="DH40"/>
      <c r="DN40"/>
      <c r="DO40"/>
      <c r="DP40"/>
      <c r="DQ40"/>
      <c r="DR40"/>
      <c r="DS40"/>
      <c r="DY40"/>
      <c r="DZ40" s="143"/>
      <c r="EP40" t="str">
        <f t="shared" ref="EP40:EP71" si="17">IF(AND(AND(AND(OR($EC40=1,$EB40=1),OR($EH40=1,$EF40=1)),SUM($EA40:$EE40,$EK40)&gt;=3),SUM($EF40:$EJ40)&gt;=2),"Whole sector approach","")</f>
        <v/>
      </c>
      <c r="EQ40" t="str">
        <f t="shared" si="12"/>
        <v/>
      </c>
      <c r="ER40" s="2" t="str">
        <f t="shared" ref="ER40:ER71" si="18">IF(AND(AND(AND($EC40=0,$EB40=0),OR($EH40=1,$EF40=1)),SUM($EG40:$EJ40)&gt;=2),"Technology approach","")</f>
        <v/>
      </c>
      <c r="ES40" t="str">
        <f t="shared" ref="ES40:ES71" si="19">IF(AND($EC40+$EB40+$EE40+$EA40+$EF40+$EG40=0,$N40="included"),"C neutral forest and HWP assumption","")</f>
        <v/>
      </c>
      <c r="ET40" t="str">
        <f t="shared" ref="ET40:ET71" si="20">IF(AND(AND(AND($EC40+$EB40+$EA40+$EG40&gt;=2,$EF40+$EH40+$EI40&gt;=1),$ED40+$EE40&gt;=1),$N40="included"),"All C pools assumption","")</f>
        <v/>
      </c>
      <c r="EU40" t="str">
        <f t="shared" ref="EU40:EU71" si="21">IF(AND($ED40+$EE40+$EI40+$EH40+$EF40=0,$N40="included"),"In-situ only assumption","")</f>
        <v/>
      </c>
      <c r="EX40" t="s">
        <v>450</v>
      </c>
      <c r="EY40" t="b">
        <f>IF(ISNUMBER(BW40),IF(ABS(BW40-[1]QC_indicators!$B$2)&gt;3*[1]QC_indicators!$C$2,"C ratio",IF(ISNUMBER(CA40),IF(ABS(CA40-[1]QC_indicators!$B$1)&gt;3*[1]QC_indicators!$C$1,"DF","no"))),IF(ISNUMBER(CA40),IF(ABS(CA40-[1]QC_indicators!$B$1)&gt;3*[1]QC_indicators!$C$1,"DF","no")))</f>
        <v>0</v>
      </c>
      <c r="FA40" t="str">
        <f t="shared" ref="FA40:FA71" si="22">IF(LEN($CY40)=0,"",IF(AND($CY40&lt;(-0.05),$ES40="C neutral forest and HWP assumption"),"Cneutral paradox",IF(AND($CY40&gt;0.05,$EU40="In-situ only assumption"),"In-situ only paradox","")))</f>
        <v/>
      </c>
    </row>
    <row r="41" spans="1:160" ht="15" hidden="1" customHeight="1">
      <c r="A41" s="1" t="s">
        <v>4639</v>
      </c>
      <c r="B41" t="s">
        <v>531</v>
      </c>
      <c r="C41" t="s">
        <v>531</v>
      </c>
      <c r="D41" t="s">
        <v>4640</v>
      </c>
      <c r="E41" t="s">
        <v>4641</v>
      </c>
      <c r="F41" t="s">
        <v>4642</v>
      </c>
      <c r="G41" t="s">
        <v>531</v>
      </c>
      <c r="H41" t="s">
        <v>3640</v>
      </c>
      <c r="I41">
        <v>2019</v>
      </c>
      <c r="J41">
        <v>0</v>
      </c>
      <c r="K41" t="s">
        <v>531</v>
      </c>
      <c r="M41" t="str">
        <f t="shared" si="0"/>
        <v>De Wolf_2019</v>
      </c>
      <c r="N41" t="s">
        <v>2267</v>
      </c>
      <c r="O41" s="145" t="s">
        <v>223</v>
      </c>
      <c r="Q41" s="297" t="s">
        <v>256</v>
      </c>
      <c r="R41" s="298"/>
      <c r="AZ41" s="141"/>
      <c r="BA41" s="141"/>
      <c r="BG41"/>
      <c r="BH41" s="2"/>
      <c r="CA41" t="str">
        <f t="shared" si="13"/>
        <v/>
      </c>
      <c r="CP41"/>
      <c r="CQ41"/>
      <c r="CR41"/>
      <c r="CS41"/>
      <c r="CT41">
        <f t="shared" si="14"/>
        <v>0</v>
      </c>
      <c r="CU41"/>
      <c r="CV41"/>
      <c r="CW41"/>
      <c r="CX41" t="str">
        <f t="shared" si="15"/>
        <v/>
      </c>
      <c r="CY41"/>
      <c r="CZ41" t="str">
        <f t="shared" si="16"/>
        <v/>
      </c>
      <c r="DA41" s="2"/>
      <c r="DC41"/>
      <c r="DH41"/>
      <c r="DN41"/>
      <c r="DO41"/>
      <c r="DP41"/>
      <c r="DQ41"/>
      <c r="DR41"/>
      <c r="DS41"/>
      <c r="DY41"/>
      <c r="DZ41" s="143"/>
      <c r="EP41" t="str">
        <f t="shared" si="17"/>
        <v/>
      </c>
      <c r="EQ41" t="str">
        <f t="shared" si="12"/>
        <v/>
      </c>
      <c r="ER41" s="2" t="str">
        <f t="shared" si="18"/>
        <v/>
      </c>
      <c r="ES41" t="str">
        <f t="shared" si="19"/>
        <v/>
      </c>
      <c r="ET41" t="str">
        <f t="shared" si="20"/>
        <v/>
      </c>
      <c r="EU41" t="str">
        <f t="shared" si="21"/>
        <v/>
      </c>
      <c r="EY41" t="b">
        <f>IF(ISNUMBER(BW41),IF(ABS(BW41-[1]QC_indicators!$B$2)&gt;3*[1]QC_indicators!$C$2,"C ratio",IF(ISNUMBER(CA41),IF(ABS(CA41-[1]QC_indicators!$B$1)&gt;3*[1]QC_indicators!$C$1,"DF","no"))),IF(ISNUMBER(CA41),IF(ABS(CA41-[1]QC_indicators!$B$1)&gt;3*[1]QC_indicators!$C$1,"DF","no")))</f>
        <v>0</v>
      </c>
      <c r="FA41" t="str">
        <f t="shared" si="22"/>
        <v/>
      </c>
    </row>
    <row r="42" spans="1:160" ht="15" hidden="1" customHeight="1">
      <c r="A42" s="1" t="s">
        <v>4643</v>
      </c>
      <c r="B42" t="s">
        <v>4644</v>
      </c>
      <c r="C42" t="s">
        <v>4645</v>
      </c>
      <c r="D42" t="s">
        <v>4646</v>
      </c>
      <c r="E42" t="s">
        <v>4647</v>
      </c>
      <c r="F42" t="s">
        <v>4648</v>
      </c>
      <c r="G42" t="s">
        <v>531</v>
      </c>
      <c r="H42" t="s">
        <v>3640</v>
      </c>
      <c r="I42">
        <v>2019</v>
      </c>
      <c r="J42">
        <v>1</v>
      </c>
      <c r="K42" t="s">
        <v>4649</v>
      </c>
      <c r="M42" t="str">
        <f t="shared" si="0"/>
        <v>Dodoo_2019</v>
      </c>
      <c r="N42" t="s">
        <v>2267</v>
      </c>
      <c r="O42" s="145" t="s">
        <v>223</v>
      </c>
      <c r="Q42" s="297" t="s">
        <v>256</v>
      </c>
      <c r="R42" s="298"/>
      <c r="AZ42" s="141"/>
      <c r="BA42" s="141"/>
      <c r="BG42"/>
      <c r="BH42" s="2"/>
      <c r="BW42" s="144"/>
      <c r="CA42" t="str">
        <f t="shared" si="13"/>
        <v/>
      </c>
      <c r="CP42"/>
      <c r="CQ42"/>
      <c r="CR42"/>
      <c r="CS42"/>
      <c r="CT42">
        <f t="shared" si="14"/>
        <v>0</v>
      </c>
      <c r="CU42"/>
      <c r="CV42"/>
      <c r="CW42"/>
      <c r="CX42" t="str">
        <f t="shared" si="15"/>
        <v/>
      </c>
      <c r="CY42"/>
      <c r="CZ42" t="str">
        <f t="shared" si="16"/>
        <v/>
      </c>
      <c r="DA42" s="2"/>
      <c r="DC42"/>
      <c r="DH42"/>
      <c r="DN42"/>
      <c r="DO42"/>
      <c r="DP42"/>
      <c r="DQ42"/>
      <c r="DR42"/>
      <c r="DS42"/>
      <c r="DY42"/>
      <c r="DZ42" s="143"/>
      <c r="EP42" t="str">
        <f t="shared" si="17"/>
        <v/>
      </c>
      <c r="EQ42" t="str">
        <f t="shared" si="12"/>
        <v/>
      </c>
      <c r="ER42" s="2" t="str">
        <f t="shared" si="18"/>
        <v/>
      </c>
      <c r="ES42" t="str">
        <f t="shared" si="19"/>
        <v/>
      </c>
      <c r="ET42" t="str">
        <f t="shared" si="20"/>
        <v/>
      </c>
      <c r="EU42" t="str">
        <f t="shared" si="21"/>
        <v/>
      </c>
      <c r="EX42" t="s">
        <v>450</v>
      </c>
      <c r="EY42" t="b">
        <f>IF(ISNUMBER(BW42),IF(ABS(BW42-[1]QC_indicators!$B$2)&gt;3*[1]QC_indicators!$C$2,"C ratio",IF(ISNUMBER(CA42),IF(ABS(CA42-[1]QC_indicators!$B$1)&gt;3*[1]QC_indicators!$C$1,"DF","no"))),IF(ISNUMBER(CA42),IF(ABS(CA42-[1]QC_indicators!$B$1)&gt;3*[1]QC_indicators!$C$1,"DF","no")))</f>
        <v>0</v>
      </c>
      <c r="FA42" t="str">
        <f t="shared" si="22"/>
        <v/>
      </c>
    </row>
    <row r="43" spans="1:160" ht="15" hidden="1" customHeight="1">
      <c r="A43" s="1" t="s">
        <v>4643</v>
      </c>
      <c r="B43" t="s">
        <v>4644</v>
      </c>
      <c r="C43" t="s">
        <v>4645</v>
      </c>
      <c r="D43" t="s">
        <v>4646</v>
      </c>
      <c r="E43" t="s">
        <v>4647</v>
      </c>
      <c r="F43" t="s">
        <v>4648</v>
      </c>
      <c r="G43" t="s">
        <v>531</v>
      </c>
      <c r="H43" t="s">
        <v>3640</v>
      </c>
      <c r="I43">
        <v>2019</v>
      </c>
      <c r="J43">
        <v>1</v>
      </c>
      <c r="K43" t="s">
        <v>4649</v>
      </c>
      <c r="M43" t="str">
        <f t="shared" si="0"/>
        <v>Dodoo_2019</v>
      </c>
      <c r="N43" t="s">
        <v>2267</v>
      </c>
      <c r="O43" s="145" t="s">
        <v>223</v>
      </c>
      <c r="Q43" s="297" t="s">
        <v>256</v>
      </c>
      <c r="R43" s="298"/>
      <c r="AZ43" s="141"/>
      <c r="BA43" s="141"/>
      <c r="BG43"/>
      <c r="BH43" s="2"/>
      <c r="CA43" t="str">
        <f t="shared" si="13"/>
        <v/>
      </c>
      <c r="CP43"/>
      <c r="CQ43"/>
      <c r="CR43"/>
      <c r="CS43"/>
      <c r="CT43">
        <f t="shared" si="14"/>
        <v>0</v>
      </c>
      <c r="CU43"/>
      <c r="CV43"/>
      <c r="CW43"/>
      <c r="CX43" t="str">
        <f t="shared" si="15"/>
        <v/>
      </c>
      <c r="CY43"/>
      <c r="CZ43" t="str">
        <f t="shared" si="16"/>
        <v/>
      </c>
      <c r="DA43" s="2"/>
      <c r="DC43"/>
      <c r="DH43"/>
      <c r="DN43"/>
      <c r="DO43"/>
      <c r="DP43"/>
      <c r="DQ43"/>
      <c r="DR43"/>
      <c r="DS43"/>
      <c r="DY43"/>
      <c r="DZ43" s="143"/>
      <c r="EP43" t="str">
        <f t="shared" si="17"/>
        <v/>
      </c>
      <c r="EQ43" t="str">
        <f t="shared" si="12"/>
        <v/>
      </c>
      <c r="ER43" s="2" t="str">
        <f t="shared" si="18"/>
        <v/>
      </c>
      <c r="ES43" t="str">
        <f t="shared" si="19"/>
        <v/>
      </c>
      <c r="ET43" t="str">
        <f t="shared" si="20"/>
        <v/>
      </c>
      <c r="EU43" t="str">
        <f t="shared" si="21"/>
        <v/>
      </c>
      <c r="EY43" t="b">
        <f>IF(ISNUMBER(BW43),IF(ABS(BW43-[1]QC_indicators!$B$2)&gt;3*[1]QC_indicators!$C$2,"C ratio",IF(ISNUMBER(CA43),IF(ABS(CA43-[1]QC_indicators!$B$1)&gt;3*[1]QC_indicators!$C$1,"DF","no"))),IF(ISNUMBER(CA43),IF(ABS(CA43-[1]QC_indicators!$B$1)&gt;3*[1]QC_indicators!$C$1,"DF","no")))</f>
        <v>0</v>
      </c>
      <c r="FA43" t="str">
        <f t="shared" si="22"/>
        <v/>
      </c>
    </row>
    <row r="44" spans="1:160" ht="15" hidden="1" customHeight="1">
      <c r="A44" s="1" t="s">
        <v>3635</v>
      </c>
      <c r="B44" t="s">
        <v>531</v>
      </c>
      <c r="C44" t="s">
        <v>531</v>
      </c>
      <c r="D44" t="s">
        <v>4650</v>
      </c>
      <c r="E44" t="s">
        <v>4651</v>
      </c>
      <c r="F44" s="297" t="s">
        <v>4652</v>
      </c>
      <c r="G44" t="s">
        <v>3639</v>
      </c>
      <c r="H44" t="s">
        <v>3640</v>
      </c>
      <c r="I44">
        <v>2019</v>
      </c>
      <c r="J44">
        <v>2</v>
      </c>
      <c r="K44" t="s">
        <v>4653</v>
      </c>
      <c r="M44" t="str">
        <f t="shared" si="0"/>
        <v>Forster_2019</v>
      </c>
      <c r="N44" s="297" t="s">
        <v>2267</v>
      </c>
      <c r="O44" s="171" t="s">
        <v>508</v>
      </c>
      <c r="P44" t="s">
        <v>223</v>
      </c>
      <c r="Q44" s="297" t="s">
        <v>389</v>
      </c>
      <c r="R44" s="298"/>
      <c r="AZ44" s="141"/>
      <c r="BA44" s="141"/>
      <c r="BG44"/>
      <c r="BH44" s="2"/>
      <c r="BP44" s="158"/>
      <c r="BQ44" s="159"/>
      <c r="BW44" s="144"/>
      <c r="CA44" t="str">
        <f t="shared" si="13"/>
        <v/>
      </c>
      <c r="CP44"/>
      <c r="CQ44"/>
      <c r="CR44"/>
      <c r="CS44"/>
      <c r="CT44">
        <f t="shared" si="14"/>
        <v>0</v>
      </c>
      <c r="CU44"/>
      <c r="CV44"/>
      <c r="CW44"/>
      <c r="CX44" t="str">
        <f t="shared" si="15"/>
        <v/>
      </c>
      <c r="CY44"/>
      <c r="CZ44" t="str">
        <f t="shared" si="16"/>
        <v/>
      </c>
      <c r="DA44" s="2"/>
      <c r="DC44"/>
      <c r="DH44"/>
      <c r="DN44"/>
      <c r="DO44"/>
      <c r="DP44"/>
      <c r="DQ44"/>
      <c r="DR44"/>
      <c r="DS44"/>
      <c r="DY44"/>
      <c r="DZ44" s="143"/>
      <c r="EA44" s="143"/>
      <c r="EB44" s="143"/>
      <c r="EC44" s="143"/>
      <c r="ED44" s="143"/>
      <c r="EI44" s="143"/>
      <c r="EL44" s="143"/>
      <c r="EM44" s="143"/>
      <c r="EP44" t="str">
        <f t="shared" si="17"/>
        <v/>
      </c>
      <c r="EQ44" t="str">
        <f t="shared" si="12"/>
        <v/>
      </c>
      <c r="ER44" s="2" t="str">
        <f t="shared" si="18"/>
        <v/>
      </c>
      <c r="ES44" t="str">
        <f t="shared" si="19"/>
        <v/>
      </c>
      <c r="ET44" t="str">
        <f t="shared" si="20"/>
        <v/>
      </c>
      <c r="EU44" t="str">
        <f t="shared" si="21"/>
        <v/>
      </c>
      <c r="EY44" t="b">
        <f>IF(ISNUMBER(BW44),IF(ABS(BW44-[1]QC_indicators!$B$2)&gt;3*[1]QC_indicators!$C$2,"C ratio",IF(ISNUMBER(CA44),IF(ABS(CA44-[1]QC_indicators!$B$1)&gt;3*[1]QC_indicators!$C$1,"DF","no"))),IF(ISNUMBER(CA44),IF(ABS(CA44-[1]QC_indicators!$B$1)&gt;3*[1]QC_indicators!$C$1,"DF","no")))</f>
        <v>0</v>
      </c>
      <c r="FA44" t="str">
        <f t="shared" si="22"/>
        <v/>
      </c>
    </row>
    <row r="45" spans="1:160" ht="15" hidden="1" customHeight="1">
      <c r="A45" s="1" t="s">
        <v>4654</v>
      </c>
      <c r="B45" t="s">
        <v>4655</v>
      </c>
      <c r="C45" t="s">
        <v>531</v>
      </c>
      <c r="D45" t="s">
        <v>4656</v>
      </c>
      <c r="E45" t="s">
        <v>4657</v>
      </c>
      <c r="F45" t="s">
        <v>4658</v>
      </c>
      <c r="G45" t="s">
        <v>531</v>
      </c>
      <c r="H45" t="s">
        <v>3640</v>
      </c>
      <c r="I45">
        <v>2017</v>
      </c>
      <c r="J45">
        <v>1</v>
      </c>
      <c r="K45" t="s">
        <v>531</v>
      </c>
      <c r="L45" s="297" t="s">
        <v>406</v>
      </c>
      <c r="M45" t="str">
        <f t="shared" si="0"/>
        <v>Hildebrandt_2017b</v>
      </c>
      <c r="N45" t="s">
        <v>2267</v>
      </c>
      <c r="O45" s="145" t="s">
        <v>508</v>
      </c>
      <c r="P45" s="141"/>
      <c r="Q45" s="297" t="s">
        <v>256</v>
      </c>
      <c r="R45" s="298"/>
      <c r="AZ45" s="141"/>
      <c r="BA45" s="141"/>
      <c r="BG45"/>
      <c r="BH45" s="2"/>
      <c r="BW45" s="144"/>
      <c r="CA45" t="str">
        <f t="shared" si="13"/>
        <v/>
      </c>
      <c r="CP45"/>
      <c r="CQ45"/>
      <c r="CR45"/>
      <c r="CS45"/>
      <c r="CT45">
        <f t="shared" si="14"/>
        <v>0</v>
      </c>
      <c r="CU45"/>
      <c r="CV45"/>
      <c r="CW45"/>
      <c r="CX45" t="str">
        <f t="shared" si="15"/>
        <v/>
      </c>
      <c r="CY45"/>
      <c r="CZ45" t="str">
        <f t="shared" si="16"/>
        <v/>
      </c>
      <c r="DA45" s="2"/>
      <c r="DC45"/>
      <c r="DH45"/>
      <c r="DN45"/>
      <c r="DO45"/>
      <c r="DP45"/>
      <c r="DQ45"/>
      <c r="DR45"/>
      <c r="DS45"/>
      <c r="DY45"/>
      <c r="DZ45" s="143"/>
      <c r="EP45" t="str">
        <f t="shared" si="17"/>
        <v/>
      </c>
      <c r="EQ45" t="str">
        <f t="shared" si="12"/>
        <v/>
      </c>
      <c r="ER45" s="2" t="str">
        <f t="shared" si="18"/>
        <v/>
      </c>
      <c r="ES45" t="str">
        <f t="shared" si="19"/>
        <v/>
      </c>
      <c r="ET45" t="str">
        <f t="shared" si="20"/>
        <v/>
      </c>
      <c r="EU45" t="str">
        <f t="shared" si="21"/>
        <v/>
      </c>
      <c r="EX45" t="s">
        <v>450</v>
      </c>
      <c r="EY45" t="b">
        <f>IF(ISNUMBER(BW45),IF(ABS(BW45-[1]QC_indicators!$B$2)&gt;3*[1]QC_indicators!$C$2,"C ratio",IF(ISNUMBER(CA45),IF(ABS(CA45-[1]QC_indicators!$B$1)&gt;3*[1]QC_indicators!$C$1,"DF","no"))),IF(ISNUMBER(CA45),IF(ABS(CA45-[1]QC_indicators!$B$1)&gt;3*[1]QC_indicators!$C$1,"DF","no")))</f>
        <v>0</v>
      </c>
      <c r="FA45" t="str">
        <f t="shared" si="22"/>
        <v/>
      </c>
    </row>
    <row r="46" spans="1:160" ht="15" hidden="1" customHeight="1">
      <c r="A46" s="1" t="s">
        <v>4659</v>
      </c>
      <c r="B46" t="s">
        <v>4660</v>
      </c>
      <c r="C46" t="s">
        <v>531</v>
      </c>
      <c r="D46" t="s">
        <v>4661</v>
      </c>
      <c r="E46" t="s">
        <v>4662</v>
      </c>
      <c r="F46" t="s">
        <v>4663</v>
      </c>
      <c r="G46" t="s">
        <v>531</v>
      </c>
      <c r="H46" t="s">
        <v>3640</v>
      </c>
      <c r="I46">
        <v>2017</v>
      </c>
      <c r="J46">
        <v>1</v>
      </c>
      <c r="K46" t="s">
        <v>4664</v>
      </c>
      <c r="M46" t="str">
        <f t="shared" si="0"/>
        <v>Kanematsu_2017</v>
      </c>
      <c r="N46" t="s">
        <v>2267</v>
      </c>
      <c r="O46" s="145" t="s">
        <v>508</v>
      </c>
      <c r="Q46" s="297" t="s">
        <v>256</v>
      </c>
      <c r="R46" s="298"/>
      <c r="AZ46" s="141"/>
      <c r="BA46" s="141"/>
      <c r="BG46"/>
      <c r="BH46" s="2"/>
      <c r="BW46" s="144"/>
      <c r="CA46" t="str">
        <f t="shared" si="13"/>
        <v/>
      </c>
      <c r="CP46"/>
      <c r="CQ46"/>
      <c r="CR46"/>
      <c r="CS46"/>
      <c r="CT46">
        <f t="shared" si="14"/>
        <v>0</v>
      </c>
      <c r="CU46"/>
      <c r="CV46"/>
      <c r="CW46"/>
      <c r="CX46" t="str">
        <f t="shared" si="15"/>
        <v/>
      </c>
      <c r="CY46"/>
      <c r="CZ46" t="str">
        <f t="shared" si="16"/>
        <v/>
      </c>
      <c r="DA46" s="2"/>
      <c r="DC46"/>
      <c r="DH46"/>
      <c r="DN46"/>
      <c r="DO46"/>
      <c r="DP46"/>
      <c r="DQ46"/>
      <c r="DR46"/>
      <c r="DS46"/>
      <c r="DY46"/>
      <c r="DZ46" s="143"/>
      <c r="EP46" t="str">
        <f t="shared" si="17"/>
        <v/>
      </c>
      <c r="EQ46" t="str">
        <f t="shared" si="12"/>
        <v/>
      </c>
      <c r="ER46" s="2" t="str">
        <f t="shared" si="18"/>
        <v/>
      </c>
      <c r="ES46" t="str">
        <f t="shared" si="19"/>
        <v/>
      </c>
      <c r="ET46" t="str">
        <f t="shared" si="20"/>
        <v/>
      </c>
      <c r="EU46" t="str">
        <f t="shared" si="21"/>
        <v/>
      </c>
      <c r="EX46" t="s">
        <v>4665</v>
      </c>
      <c r="EY46" t="b">
        <f>IF(ISNUMBER(BW46),IF(ABS(BW46-[1]QC_indicators!$B$2)&gt;3*[1]QC_indicators!$C$2,"C ratio",IF(ISNUMBER(CA46),IF(ABS(CA46-[1]QC_indicators!$B$1)&gt;3*[1]QC_indicators!$C$1,"DF","no"))),IF(ISNUMBER(CA46),IF(ABS(CA46-[1]QC_indicators!$B$1)&gt;3*[1]QC_indicators!$C$1,"DF","no")))</f>
        <v>0</v>
      </c>
      <c r="FA46" t="str">
        <f t="shared" si="22"/>
        <v/>
      </c>
    </row>
    <row r="47" spans="1:160" ht="15" hidden="1" customHeight="1">
      <c r="A47" s="1" t="s">
        <v>4666</v>
      </c>
      <c r="B47" t="s">
        <v>531</v>
      </c>
      <c r="C47" t="s">
        <v>531</v>
      </c>
      <c r="D47" t="s">
        <v>4667</v>
      </c>
      <c r="E47" t="s">
        <v>4668</v>
      </c>
      <c r="F47" t="s">
        <v>4669</v>
      </c>
      <c r="G47" t="s">
        <v>531</v>
      </c>
      <c r="H47" t="s">
        <v>3640</v>
      </c>
      <c r="I47">
        <v>2019</v>
      </c>
      <c r="J47">
        <v>0</v>
      </c>
      <c r="K47" t="s">
        <v>4670</v>
      </c>
      <c r="M47" t="str">
        <f t="shared" si="0"/>
        <v>Karas_2019</v>
      </c>
      <c r="N47" s="297" t="s">
        <v>2267</v>
      </c>
      <c r="O47" s="171" t="s">
        <v>508</v>
      </c>
      <c r="P47" t="s">
        <v>223</v>
      </c>
      <c r="Q47" s="297" t="s">
        <v>389</v>
      </c>
      <c r="R47" s="298"/>
      <c r="U47" s="143"/>
      <c r="V47" s="143"/>
      <c r="W47" s="143"/>
      <c r="AZ47" s="141"/>
      <c r="BA47" s="141"/>
      <c r="BG47"/>
      <c r="BH47" s="2"/>
      <c r="BI47" s="142"/>
      <c r="BL47" s="143"/>
      <c r="BN47" s="143"/>
      <c r="BP47" s="158"/>
      <c r="BQ47" s="159"/>
      <c r="BU47" s="151"/>
      <c r="BV47" s="151"/>
      <c r="BW47" s="144"/>
      <c r="CA47" t="str">
        <f t="shared" si="13"/>
        <v/>
      </c>
      <c r="CB47" s="143"/>
      <c r="CC47" s="143"/>
      <c r="CD47" s="143"/>
      <c r="CE47" s="143"/>
      <c r="CF47" s="143"/>
      <c r="CG47" s="143"/>
      <c r="CH47" s="143"/>
      <c r="CI47" s="143"/>
      <c r="CJ47" s="143"/>
      <c r="CK47" s="143"/>
      <c r="CL47" s="143"/>
      <c r="CM47" s="143"/>
      <c r="CN47" s="143"/>
      <c r="CP47"/>
      <c r="CQ47"/>
      <c r="CR47"/>
      <c r="CS47"/>
      <c r="CT47">
        <f t="shared" si="14"/>
        <v>0</v>
      </c>
      <c r="CU47"/>
      <c r="CV47"/>
      <c r="CW47"/>
      <c r="CX47" t="str">
        <f t="shared" si="15"/>
        <v/>
      </c>
      <c r="CY47"/>
      <c r="CZ47" t="str">
        <f t="shared" si="16"/>
        <v/>
      </c>
      <c r="DA47" s="2"/>
      <c r="DC47"/>
      <c r="DF47" s="143"/>
      <c r="DG47" s="143"/>
      <c r="DH47"/>
      <c r="DN47"/>
      <c r="DO47"/>
      <c r="DP47"/>
      <c r="DQ47"/>
      <c r="DR47"/>
      <c r="DS47"/>
      <c r="DY47"/>
      <c r="DZ47" s="143"/>
      <c r="EA47" s="143"/>
      <c r="EB47" s="143"/>
      <c r="EC47" s="143"/>
      <c r="ED47" s="143"/>
      <c r="EG47" s="143"/>
      <c r="EH47" s="143"/>
      <c r="EI47" s="143"/>
      <c r="EL47" s="143"/>
      <c r="EM47" s="143"/>
      <c r="EP47" t="str">
        <f t="shared" si="17"/>
        <v/>
      </c>
      <c r="EQ47" t="str">
        <f t="shared" si="12"/>
        <v/>
      </c>
      <c r="ER47" s="2" t="str">
        <f t="shared" si="18"/>
        <v/>
      </c>
      <c r="ES47" t="str">
        <f t="shared" si="19"/>
        <v/>
      </c>
      <c r="ET47" t="str">
        <f t="shared" si="20"/>
        <v/>
      </c>
      <c r="EU47" t="str">
        <f t="shared" si="21"/>
        <v/>
      </c>
      <c r="EY47" t="b">
        <f>IF(ISNUMBER(BW47),IF(ABS(BW47-[1]QC_indicators!$B$2)&gt;3*[1]QC_indicators!$C$2,"C ratio",IF(ISNUMBER(CA47),IF(ABS(CA47-[1]QC_indicators!$B$1)&gt;3*[1]QC_indicators!$C$1,"DF","no"))),IF(ISNUMBER(CA47),IF(ABS(CA47-[1]QC_indicators!$B$1)&gt;3*[1]QC_indicators!$C$1,"DF","no")))</f>
        <v>0</v>
      </c>
      <c r="FA47" t="str">
        <f t="shared" si="22"/>
        <v/>
      </c>
    </row>
    <row r="48" spans="1:160" ht="15" hidden="1" customHeight="1">
      <c r="A48" s="1" t="s">
        <v>4671</v>
      </c>
      <c r="B48" t="s">
        <v>4672</v>
      </c>
      <c r="D48" t="s">
        <v>4673</v>
      </c>
      <c r="E48" t="s">
        <v>4674</v>
      </c>
      <c r="F48" t="s">
        <v>4675</v>
      </c>
      <c r="H48" t="s">
        <v>3640</v>
      </c>
      <c r="I48">
        <v>2011</v>
      </c>
      <c r="J48">
        <v>0</v>
      </c>
      <c r="M48" t="str">
        <f t="shared" si="0"/>
        <v>Lennox_2011</v>
      </c>
      <c r="N48" t="s">
        <v>2267</v>
      </c>
      <c r="O48" s="145" t="s">
        <v>225</v>
      </c>
      <c r="Q48" s="297" t="s">
        <v>256</v>
      </c>
      <c r="R48" s="298"/>
      <c r="U48" s="143"/>
      <c r="V48" s="143"/>
      <c r="W48" s="143"/>
      <c r="AZ48" s="141"/>
      <c r="BA48" s="141"/>
      <c r="BG48"/>
      <c r="BH48" s="2"/>
      <c r="BL48" s="143"/>
      <c r="BN48" s="143"/>
      <c r="BO48" s="163"/>
      <c r="BP48" s="158"/>
      <c r="BQ48" s="143"/>
      <c r="BR48" s="143"/>
      <c r="BS48" s="143"/>
      <c r="BU48" s="143"/>
      <c r="BW48" s="144"/>
      <c r="CA48" t="str">
        <f t="shared" si="13"/>
        <v/>
      </c>
      <c r="CP48"/>
      <c r="CQ48"/>
      <c r="CR48"/>
      <c r="CS48"/>
      <c r="CT48">
        <f t="shared" si="14"/>
        <v>0</v>
      </c>
      <c r="CU48"/>
      <c r="CV48"/>
      <c r="CW48"/>
      <c r="CX48" t="str">
        <f t="shared" si="15"/>
        <v/>
      </c>
      <c r="CY48"/>
      <c r="CZ48" t="str">
        <f t="shared" si="16"/>
        <v/>
      </c>
      <c r="DA48" s="2"/>
      <c r="DC48"/>
      <c r="DF48" s="143"/>
      <c r="DG48" s="143"/>
      <c r="DH48"/>
      <c r="DN48"/>
      <c r="DO48"/>
      <c r="DP48"/>
      <c r="DQ48"/>
      <c r="DR48"/>
      <c r="DS48"/>
      <c r="DU48" s="143"/>
      <c r="DV48" s="143"/>
      <c r="DX48" s="143"/>
      <c r="DY48"/>
      <c r="DZ48" s="143"/>
      <c r="EA48" s="143"/>
      <c r="EB48" s="143"/>
      <c r="EG48" s="143"/>
      <c r="EI48" s="143"/>
      <c r="EL48" s="143"/>
      <c r="EP48" t="str">
        <f t="shared" si="17"/>
        <v/>
      </c>
      <c r="EQ48" t="str">
        <f t="shared" si="12"/>
        <v/>
      </c>
      <c r="ER48" s="2" t="str">
        <f t="shared" si="18"/>
        <v/>
      </c>
      <c r="ES48" t="str">
        <f t="shared" si="19"/>
        <v/>
      </c>
      <c r="ET48" t="str">
        <f t="shared" si="20"/>
        <v/>
      </c>
      <c r="EU48" t="str">
        <f t="shared" si="21"/>
        <v/>
      </c>
      <c r="EX48" t="s">
        <v>4676</v>
      </c>
      <c r="EY48" t="b">
        <f>IF(ISNUMBER(BW48),IF(ABS(BW48-[1]QC_indicators!$B$2)&gt;3*[1]QC_indicators!$C$2,"C ratio",IF(ISNUMBER(CA48),IF(ABS(CA48-[1]QC_indicators!$B$1)&gt;3*[1]QC_indicators!$C$1,"DF","no"))),IF(ISNUMBER(CA48),IF(ABS(CA48-[1]QC_indicators!$B$1)&gt;3*[1]QC_indicators!$C$1,"DF","no")))</f>
        <v>0</v>
      </c>
      <c r="FA48" t="str">
        <f t="shared" si="22"/>
        <v/>
      </c>
    </row>
    <row r="49" spans="1:157" ht="15" hidden="1" customHeight="1">
      <c r="A49" s="1" t="s">
        <v>4677</v>
      </c>
      <c r="B49" t="s">
        <v>4678</v>
      </c>
      <c r="C49" t="s">
        <v>4355</v>
      </c>
      <c r="D49" t="s">
        <v>4679</v>
      </c>
      <c r="E49" t="s">
        <v>4680</v>
      </c>
      <c r="F49" t="s">
        <v>4681</v>
      </c>
      <c r="H49" t="s">
        <v>3640</v>
      </c>
      <c r="I49">
        <v>2020</v>
      </c>
      <c r="J49">
        <v>0</v>
      </c>
      <c r="K49" t="s">
        <v>4682</v>
      </c>
      <c r="M49" t="str">
        <f t="shared" si="0"/>
        <v>Lip_2020</v>
      </c>
      <c r="N49" t="s">
        <v>2267</v>
      </c>
      <c r="O49" s="145" t="s">
        <v>225</v>
      </c>
      <c r="Q49" s="297" t="s">
        <v>256</v>
      </c>
      <c r="R49" s="298"/>
      <c r="U49" s="143"/>
      <c r="V49" s="143"/>
      <c r="W49" s="143"/>
      <c r="AZ49" s="141"/>
      <c r="BA49" s="141"/>
      <c r="BG49"/>
      <c r="BH49" s="2"/>
      <c r="BO49" s="163"/>
      <c r="BP49" s="158"/>
      <c r="BQ49" s="143"/>
      <c r="BU49" s="143"/>
      <c r="BW49" s="144"/>
      <c r="CA49" t="str">
        <f t="shared" si="13"/>
        <v/>
      </c>
      <c r="CP49"/>
      <c r="CQ49"/>
      <c r="CR49"/>
      <c r="CS49"/>
      <c r="CT49">
        <f t="shared" si="14"/>
        <v>0</v>
      </c>
      <c r="CU49"/>
      <c r="CV49"/>
      <c r="CW49"/>
      <c r="CX49" t="str">
        <f t="shared" si="15"/>
        <v/>
      </c>
      <c r="CY49"/>
      <c r="CZ49" t="str">
        <f t="shared" si="16"/>
        <v/>
      </c>
      <c r="DA49" s="2"/>
      <c r="DC49"/>
      <c r="DF49" s="143"/>
      <c r="DG49" s="143"/>
      <c r="DH49"/>
      <c r="DN49"/>
      <c r="DO49"/>
      <c r="DP49"/>
      <c r="DQ49"/>
      <c r="DR49"/>
      <c r="DS49"/>
      <c r="DU49" s="143"/>
      <c r="DV49" s="143"/>
      <c r="DX49" s="143"/>
      <c r="DY49"/>
      <c r="DZ49" s="143"/>
      <c r="EA49" s="143"/>
      <c r="EB49" s="143"/>
      <c r="EG49" s="143"/>
      <c r="EI49" s="143"/>
      <c r="EL49" s="143"/>
      <c r="EP49" t="str">
        <f t="shared" si="17"/>
        <v/>
      </c>
      <c r="EQ49" t="str">
        <f t="shared" si="12"/>
        <v/>
      </c>
      <c r="ER49" s="2" t="str">
        <f t="shared" si="18"/>
        <v/>
      </c>
      <c r="ES49" t="str">
        <f t="shared" si="19"/>
        <v/>
      </c>
      <c r="ET49" t="str">
        <f t="shared" si="20"/>
        <v/>
      </c>
      <c r="EU49" t="str">
        <f t="shared" si="21"/>
        <v/>
      </c>
      <c r="EW49" t="s">
        <v>4683</v>
      </c>
      <c r="EX49" t="s">
        <v>4665</v>
      </c>
      <c r="EY49" t="b">
        <f>IF(ISNUMBER(BW49),IF(ABS(BW49-[1]QC_indicators!$B$2)&gt;3*[1]QC_indicators!$C$2,"C ratio",IF(ISNUMBER(CA49),IF(ABS(CA49-[1]QC_indicators!$B$1)&gt;3*[1]QC_indicators!$C$1,"DF","no"))),IF(ISNUMBER(CA49),IF(ABS(CA49-[1]QC_indicators!$B$1)&gt;3*[1]QC_indicators!$C$1,"DF","no")))</f>
        <v>0</v>
      </c>
      <c r="FA49" t="str">
        <f t="shared" si="22"/>
        <v/>
      </c>
    </row>
    <row r="50" spans="1:157" ht="15" hidden="1" customHeight="1">
      <c r="A50" s="1" t="s">
        <v>4684</v>
      </c>
      <c r="B50" t="s">
        <v>4685</v>
      </c>
      <c r="C50" t="s">
        <v>4686</v>
      </c>
      <c r="D50" t="s">
        <v>4687</v>
      </c>
      <c r="E50" t="s">
        <v>4688</v>
      </c>
      <c r="F50" t="s">
        <v>4689</v>
      </c>
      <c r="G50" t="s">
        <v>4690</v>
      </c>
      <c r="H50" t="s">
        <v>254</v>
      </c>
      <c r="I50">
        <v>2021</v>
      </c>
      <c r="J50">
        <v>0</v>
      </c>
      <c r="K50" t="s">
        <v>4691</v>
      </c>
      <c r="M50" t="str">
        <f t="shared" si="0"/>
        <v>Lyubov_2021</v>
      </c>
      <c r="N50" t="s">
        <v>2267</v>
      </c>
      <c r="O50" s="145" t="s">
        <v>225</v>
      </c>
      <c r="Q50" s="297" t="s">
        <v>256</v>
      </c>
      <c r="R50" s="298"/>
      <c r="U50" s="143"/>
      <c r="V50" s="143"/>
      <c r="W50" s="143"/>
      <c r="AZ50" s="141"/>
      <c r="BA50" s="141"/>
      <c r="BG50"/>
      <c r="BH50" s="2"/>
      <c r="BI50" s="142"/>
      <c r="BL50" s="143"/>
      <c r="BN50" s="143"/>
      <c r="BO50" s="163"/>
      <c r="BP50" s="158"/>
      <c r="BQ50" s="143"/>
      <c r="BU50" s="143"/>
      <c r="BW50" s="144"/>
      <c r="CA50" t="str">
        <f t="shared" si="13"/>
        <v/>
      </c>
      <c r="CP50"/>
      <c r="CQ50"/>
      <c r="CR50"/>
      <c r="CS50"/>
      <c r="CT50">
        <f t="shared" si="14"/>
        <v>0</v>
      </c>
      <c r="CU50"/>
      <c r="CV50"/>
      <c r="CW50"/>
      <c r="CX50" t="str">
        <f t="shared" si="15"/>
        <v/>
      </c>
      <c r="CY50"/>
      <c r="CZ50" t="str">
        <f t="shared" si="16"/>
        <v/>
      </c>
      <c r="DA50" s="2"/>
      <c r="DC50"/>
      <c r="DF50" s="143"/>
      <c r="DG50" s="143"/>
      <c r="DH50"/>
      <c r="DN50"/>
      <c r="DO50"/>
      <c r="DP50"/>
      <c r="DQ50"/>
      <c r="DR50"/>
      <c r="DS50"/>
      <c r="DU50" s="143"/>
      <c r="DX50" s="143"/>
      <c r="DY50"/>
      <c r="DZ50" s="143"/>
      <c r="EA50" s="143"/>
      <c r="EB50" s="143"/>
      <c r="EC50" s="143"/>
      <c r="ED50" s="143"/>
      <c r="EG50" s="143"/>
      <c r="EH50" s="143"/>
      <c r="EI50" s="143"/>
      <c r="EL50" s="143"/>
      <c r="EP50" t="str">
        <f t="shared" si="17"/>
        <v/>
      </c>
      <c r="EQ50" t="str">
        <f t="shared" si="12"/>
        <v/>
      </c>
      <c r="ER50" s="2" t="str">
        <f t="shared" si="18"/>
        <v/>
      </c>
      <c r="ES50" t="str">
        <f t="shared" si="19"/>
        <v/>
      </c>
      <c r="ET50" t="str">
        <f t="shared" si="20"/>
        <v/>
      </c>
      <c r="EU50" t="str">
        <f t="shared" si="21"/>
        <v/>
      </c>
      <c r="EW50" t="s">
        <v>4692</v>
      </c>
      <c r="EX50" t="s">
        <v>450</v>
      </c>
      <c r="EY50" t="b">
        <f>IF(ISNUMBER(BW50),IF(ABS(BW50-[1]QC_indicators!$B$2)&gt;3*[1]QC_indicators!$C$2,"C ratio",IF(ISNUMBER(CA50),IF(ABS(CA50-[1]QC_indicators!$B$1)&gt;3*[1]QC_indicators!$C$1,"DF","no"))),IF(ISNUMBER(CA50),IF(ABS(CA50-[1]QC_indicators!$B$1)&gt;3*[1]QC_indicators!$C$1,"DF","no")))</f>
        <v>0</v>
      </c>
      <c r="FA50" t="str">
        <f t="shared" si="22"/>
        <v/>
      </c>
    </row>
    <row r="51" spans="1:157" ht="15" hidden="1" customHeight="1">
      <c r="A51" s="1" t="s">
        <v>4693</v>
      </c>
      <c r="B51" t="s">
        <v>531</v>
      </c>
      <c r="C51" t="s">
        <v>531</v>
      </c>
      <c r="D51" t="s">
        <v>4694</v>
      </c>
      <c r="E51" t="s">
        <v>4695</v>
      </c>
      <c r="F51" t="s">
        <v>4696</v>
      </c>
      <c r="G51" t="s">
        <v>531</v>
      </c>
      <c r="H51" t="s">
        <v>3640</v>
      </c>
      <c r="I51">
        <v>2003</v>
      </c>
      <c r="J51">
        <v>0</v>
      </c>
      <c r="K51" t="s">
        <v>531</v>
      </c>
      <c r="M51" t="str">
        <f t="shared" si="0"/>
        <v>Read_2003</v>
      </c>
      <c r="N51" t="s">
        <v>2267</v>
      </c>
      <c r="O51" s="145" t="s">
        <v>341</v>
      </c>
      <c r="Q51" s="297" t="s">
        <v>256</v>
      </c>
      <c r="R51" s="298"/>
      <c r="AZ51" s="141"/>
      <c r="BA51" s="141"/>
      <c r="BG51"/>
      <c r="BH51" s="2"/>
      <c r="BW51" s="144"/>
      <c r="CA51" t="str">
        <f t="shared" si="13"/>
        <v/>
      </c>
      <c r="CP51"/>
      <c r="CQ51"/>
      <c r="CR51"/>
      <c r="CS51"/>
      <c r="CT51">
        <f t="shared" si="14"/>
        <v>0</v>
      </c>
      <c r="CU51"/>
      <c r="CV51"/>
      <c r="CW51"/>
      <c r="CX51" t="str">
        <f t="shared" si="15"/>
        <v/>
      </c>
      <c r="CY51"/>
      <c r="CZ51" t="str">
        <f t="shared" si="16"/>
        <v/>
      </c>
      <c r="DA51" s="2"/>
      <c r="DC51"/>
      <c r="DH51"/>
      <c r="DN51"/>
      <c r="DO51"/>
      <c r="DP51"/>
      <c r="DQ51"/>
      <c r="DR51"/>
      <c r="DS51"/>
      <c r="DY51"/>
      <c r="DZ51" s="143"/>
      <c r="EP51" t="str">
        <f t="shared" si="17"/>
        <v/>
      </c>
      <c r="EQ51" t="str">
        <f t="shared" si="12"/>
        <v/>
      </c>
      <c r="ER51" s="2" t="str">
        <f t="shared" si="18"/>
        <v/>
      </c>
      <c r="ES51" t="str">
        <f t="shared" si="19"/>
        <v/>
      </c>
      <c r="ET51" t="str">
        <f t="shared" si="20"/>
        <v/>
      </c>
      <c r="EU51" t="str">
        <f t="shared" si="21"/>
        <v/>
      </c>
      <c r="EX51" t="s">
        <v>450</v>
      </c>
      <c r="EY51" t="b">
        <f>IF(ISNUMBER(BW51),IF(ABS(BW51-[1]QC_indicators!$B$2)&gt;3*[1]QC_indicators!$C$2,"C ratio",IF(ISNUMBER(CA51),IF(ABS(CA51-[1]QC_indicators!$B$1)&gt;3*[1]QC_indicators!$C$1,"DF","no"))),IF(ISNUMBER(CA51),IF(ABS(CA51-[1]QC_indicators!$B$1)&gt;3*[1]QC_indicators!$C$1,"DF","no")))</f>
        <v>0</v>
      </c>
      <c r="FA51" t="str">
        <f t="shared" si="22"/>
        <v/>
      </c>
    </row>
    <row r="52" spans="1:157" ht="15" hidden="1" customHeight="1">
      <c r="A52" s="1" t="s">
        <v>4697</v>
      </c>
      <c r="B52" t="s">
        <v>4698</v>
      </c>
      <c r="C52" t="s">
        <v>531</v>
      </c>
      <c r="D52" t="s">
        <v>4699</v>
      </c>
      <c r="E52" t="s">
        <v>4700</v>
      </c>
      <c r="F52" t="s">
        <v>4701</v>
      </c>
      <c r="G52" t="s">
        <v>531</v>
      </c>
      <c r="H52" t="s">
        <v>3640</v>
      </c>
      <c r="I52">
        <v>2017</v>
      </c>
      <c r="J52">
        <v>0</v>
      </c>
      <c r="K52" t="s">
        <v>4702</v>
      </c>
      <c r="M52" t="str">
        <f t="shared" si="0"/>
        <v>Rodzkin_2017</v>
      </c>
      <c r="N52" t="s">
        <v>2267</v>
      </c>
      <c r="O52" s="145" t="s">
        <v>341</v>
      </c>
      <c r="Q52" s="297" t="s">
        <v>256</v>
      </c>
      <c r="R52" s="298"/>
      <c r="AZ52" s="141"/>
      <c r="BA52" s="141"/>
      <c r="BG52"/>
      <c r="BH52" s="2"/>
      <c r="BW52" s="144"/>
      <c r="CA52" t="str">
        <f t="shared" si="13"/>
        <v/>
      </c>
      <c r="CP52"/>
      <c r="CQ52"/>
      <c r="CR52"/>
      <c r="CS52"/>
      <c r="CT52">
        <f t="shared" si="14"/>
        <v>0</v>
      </c>
      <c r="CU52"/>
      <c r="CV52"/>
      <c r="CW52"/>
      <c r="CX52" t="str">
        <f t="shared" si="15"/>
        <v/>
      </c>
      <c r="CY52"/>
      <c r="CZ52" t="str">
        <f t="shared" si="16"/>
        <v/>
      </c>
      <c r="DA52" s="2"/>
      <c r="DC52"/>
      <c r="DH52"/>
      <c r="DN52"/>
      <c r="DO52"/>
      <c r="DP52"/>
      <c r="DQ52"/>
      <c r="DR52"/>
      <c r="DS52"/>
      <c r="DY52"/>
      <c r="DZ52" s="143"/>
      <c r="EP52" t="str">
        <f t="shared" si="17"/>
        <v/>
      </c>
      <c r="EQ52" t="str">
        <f t="shared" si="12"/>
        <v/>
      </c>
      <c r="ER52" s="2" t="str">
        <f t="shared" si="18"/>
        <v/>
      </c>
      <c r="ES52" t="str">
        <f t="shared" si="19"/>
        <v/>
      </c>
      <c r="ET52" t="str">
        <f t="shared" si="20"/>
        <v/>
      </c>
      <c r="EU52" t="str">
        <f t="shared" si="21"/>
        <v/>
      </c>
      <c r="EX52" t="s">
        <v>450</v>
      </c>
      <c r="EY52" t="b">
        <f>IF(ISNUMBER(BW52),IF(ABS(BW52-[1]QC_indicators!$B$2)&gt;3*[1]QC_indicators!$C$2,"C ratio",IF(ISNUMBER(CA52),IF(ABS(CA52-[1]QC_indicators!$B$1)&gt;3*[1]QC_indicators!$C$1,"DF","no"))),IF(ISNUMBER(CA52),IF(ABS(CA52-[1]QC_indicators!$B$1)&gt;3*[1]QC_indicators!$C$1,"DF","no")))</f>
        <v>0</v>
      </c>
      <c r="FA52" t="str">
        <f t="shared" si="22"/>
        <v/>
      </c>
    </row>
    <row r="53" spans="1:157" ht="15" hidden="1" customHeight="1">
      <c r="A53" s="1" t="s">
        <v>4703</v>
      </c>
      <c r="B53" t="s">
        <v>4704</v>
      </c>
      <c r="C53" t="s">
        <v>531</v>
      </c>
      <c r="D53" t="s">
        <v>4705</v>
      </c>
      <c r="E53" t="s">
        <v>4706</v>
      </c>
      <c r="F53" t="s">
        <v>4707</v>
      </c>
      <c r="G53" t="s">
        <v>531</v>
      </c>
      <c r="H53" t="s">
        <v>3640</v>
      </c>
      <c r="I53">
        <v>2014</v>
      </c>
      <c r="J53">
        <v>0</v>
      </c>
      <c r="K53" t="s">
        <v>531</v>
      </c>
      <c r="M53" t="str">
        <f t="shared" si="0"/>
        <v>Sikkema_2014</v>
      </c>
      <c r="N53" t="s">
        <v>2267</v>
      </c>
      <c r="O53" s="145" t="s">
        <v>341</v>
      </c>
      <c r="Q53" s="297" t="s">
        <v>256</v>
      </c>
      <c r="R53" s="298"/>
      <c r="AZ53" s="141"/>
      <c r="BA53" s="141"/>
      <c r="BG53"/>
      <c r="BH53" s="2"/>
      <c r="BW53" s="144"/>
      <c r="CA53" t="str">
        <f t="shared" si="13"/>
        <v/>
      </c>
      <c r="CP53"/>
      <c r="CQ53"/>
      <c r="CR53"/>
      <c r="CS53"/>
      <c r="CT53">
        <f t="shared" si="14"/>
        <v>0</v>
      </c>
      <c r="CU53"/>
      <c r="CV53"/>
      <c r="CW53"/>
      <c r="CX53" t="str">
        <f t="shared" si="15"/>
        <v/>
      </c>
      <c r="CY53"/>
      <c r="CZ53" t="str">
        <f t="shared" si="16"/>
        <v/>
      </c>
      <c r="DA53" s="2"/>
      <c r="DC53"/>
      <c r="DH53"/>
      <c r="DN53"/>
      <c r="DO53"/>
      <c r="DP53"/>
      <c r="DQ53"/>
      <c r="DR53"/>
      <c r="DS53"/>
      <c r="DY53"/>
      <c r="DZ53" s="143"/>
      <c r="EP53" t="str">
        <f t="shared" si="17"/>
        <v/>
      </c>
      <c r="EQ53" t="str">
        <f t="shared" si="12"/>
        <v/>
      </c>
      <c r="ER53" s="2" t="str">
        <f t="shared" si="18"/>
        <v/>
      </c>
      <c r="ES53" t="str">
        <f t="shared" si="19"/>
        <v/>
      </c>
      <c r="ET53" t="str">
        <f t="shared" si="20"/>
        <v/>
      </c>
      <c r="EU53" t="str">
        <f t="shared" si="21"/>
        <v/>
      </c>
      <c r="EX53" t="s">
        <v>450</v>
      </c>
      <c r="EY53" t="b">
        <f>IF(ISNUMBER(BW53),IF(ABS(BW53-[1]QC_indicators!$B$2)&gt;3*[1]QC_indicators!$C$2,"C ratio",IF(ISNUMBER(CA53),IF(ABS(CA53-[1]QC_indicators!$B$1)&gt;3*[1]QC_indicators!$C$1,"DF","no"))),IF(ISNUMBER(CA53),IF(ABS(CA53-[1]QC_indicators!$B$1)&gt;3*[1]QC_indicators!$C$1,"DF","no")))</f>
        <v>0</v>
      </c>
      <c r="FA53" t="str">
        <f t="shared" si="22"/>
        <v/>
      </c>
    </row>
    <row r="54" spans="1:157" ht="15" hidden="1" customHeight="1">
      <c r="A54" s="1" t="s">
        <v>4708</v>
      </c>
      <c r="B54" t="s">
        <v>531</v>
      </c>
      <c r="C54" t="s">
        <v>531</v>
      </c>
      <c r="D54" t="s">
        <v>4709</v>
      </c>
      <c r="E54" t="s">
        <v>4710</v>
      </c>
      <c r="F54" t="s">
        <v>4711</v>
      </c>
      <c r="G54" t="s">
        <v>531</v>
      </c>
      <c r="H54" t="s">
        <v>3640</v>
      </c>
      <c r="I54">
        <v>2013</v>
      </c>
      <c r="J54">
        <v>0</v>
      </c>
      <c r="K54" t="s">
        <v>531</v>
      </c>
      <c r="M54" t="str">
        <f t="shared" si="0"/>
        <v>Spinelli_2013</v>
      </c>
      <c r="N54" t="s">
        <v>2267</v>
      </c>
      <c r="O54" s="145" t="s">
        <v>341</v>
      </c>
      <c r="Q54" s="297" t="s">
        <v>256</v>
      </c>
      <c r="R54" s="298"/>
      <c r="AZ54" s="141"/>
      <c r="BA54" s="141"/>
      <c r="BG54"/>
      <c r="BH54" s="2"/>
      <c r="BW54" s="144"/>
      <c r="CA54" t="str">
        <f t="shared" si="13"/>
        <v/>
      </c>
      <c r="CP54"/>
      <c r="CQ54"/>
      <c r="CR54"/>
      <c r="CS54"/>
      <c r="CT54">
        <f t="shared" si="14"/>
        <v>0</v>
      </c>
      <c r="CU54"/>
      <c r="CV54"/>
      <c r="CW54"/>
      <c r="CX54" t="str">
        <f t="shared" si="15"/>
        <v/>
      </c>
      <c r="CY54"/>
      <c r="CZ54" t="str">
        <f t="shared" si="16"/>
        <v/>
      </c>
      <c r="DA54" s="2"/>
      <c r="DC54"/>
      <c r="DH54"/>
      <c r="DN54"/>
      <c r="DO54"/>
      <c r="DP54"/>
      <c r="DQ54"/>
      <c r="DR54"/>
      <c r="DS54"/>
      <c r="DY54"/>
      <c r="DZ54" s="143"/>
      <c r="EP54" t="str">
        <f t="shared" si="17"/>
        <v/>
      </c>
      <c r="EQ54" t="str">
        <f t="shared" si="12"/>
        <v/>
      </c>
      <c r="ER54" s="2" t="str">
        <f t="shared" si="18"/>
        <v/>
      </c>
      <c r="ES54" t="str">
        <f t="shared" si="19"/>
        <v/>
      </c>
      <c r="ET54" t="str">
        <f t="shared" si="20"/>
        <v/>
      </c>
      <c r="EU54" t="str">
        <f t="shared" si="21"/>
        <v/>
      </c>
      <c r="EX54" t="s">
        <v>450</v>
      </c>
      <c r="EY54" t="b">
        <f>IF(ISNUMBER(BW54),IF(ABS(BW54-[1]QC_indicators!$B$2)&gt;3*[1]QC_indicators!$C$2,"C ratio",IF(ISNUMBER(CA54),IF(ABS(CA54-[1]QC_indicators!$B$1)&gt;3*[1]QC_indicators!$C$1,"DF","no"))),IF(ISNUMBER(CA54),IF(ABS(CA54-[1]QC_indicators!$B$1)&gt;3*[1]QC_indicators!$C$1,"DF","no")))</f>
        <v>0</v>
      </c>
      <c r="FA54" t="str">
        <f t="shared" si="22"/>
        <v/>
      </c>
    </row>
    <row r="55" spans="1:157" ht="15" hidden="1" customHeight="1">
      <c r="A55" s="1" t="s">
        <v>4712</v>
      </c>
      <c r="B55" t="s">
        <v>4713</v>
      </c>
      <c r="C55" t="s">
        <v>531</v>
      </c>
      <c r="D55" t="s">
        <v>4714</v>
      </c>
      <c r="E55" t="s">
        <v>4715</v>
      </c>
      <c r="F55" t="s">
        <v>4716</v>
      </c>
      <c r="G55" t="s">
        <v>4717</v>
      </c>
      <c r="H55" t="s">
        <v>254</v>
      </c>
      <c r="I55">
        <v>2022</v>
      </c>
      <c r="J55">
        <v>1</v>
      </c>
      <c r="K55" t="s">
        <v>4718</v>
      </c>
      <c r="M55" t="str">
        <f t="shared" si="0"/>
        <v>Stockhusen_2022</v>
      </c>
      <c r="N55" t="s">
        <v>2267</v>
      </c>
      <c r="BG55"/>
      <c r="BH55" s="2"/>
      <c r="CA55" t="str">
        <f t="shared" si="13"/>
        <v/>
      </c>
      <c r="CP55"/>
      <c r="CQ55"/>
      <c r="CR55"/>
      <c r="CS55"/>
      <c r="CT55">
        <f t="shared" si="14"/>
        <v>0</v>
      </c>
      <c r="CU55"/>
      <c r="CV55"/>
      <c r="CW55"/>
      <c r="CX55" t="str">
        <f t="shared" si="15"/>
        <v/>
      </c>
      <c r="CY55"/>
      <c r="CZ55" t="str">
        <f t="shared" si="16"/>
        <v/>
      </c>
      <c r="DA55" s="2"/>
      <c r="DC55"/>
      <c r="DH55"/>
      <c r="DN55"/>
      <c r="DO55"/>
      <c r="DP55"/>
      <c r="DQ55"/>
      <c r="DR55"/>
      <c r="DS55"/>
      <c r="DY55"/>
      <c r="DZ55"/>
      <c r="EP55" t="str">
        <f t="shared" si="17"/>
        <v/>
      </c>
      <c r="EQ55" t="str">
        <f t="shared" si="12"/>
        <v/>
      </c>
      <c r="ER55" s="2" t="str">
        <f t="shared" si="18"/>
        <v/>
      </c>
      <c r="ES55" t="str">
        <f t="shared" si="19"/>
        <v/>
      </c>
      <c r="ET55" t="str">
        <f t="shared" si="20"/>
        <v/>
      </c>
      <c r="EU55" t="str">
        <f t="shared" si="21"/>
        <v/>
      </c>
      <c r="EY55" t="b">
        <f>IF(ISNUMBER(BW55),IF(ABS(BW55-[1]QC_indicators!$B$2)&gt;3*[1]QC_indicators!$C$2,"C ratio",IF(ISNUMBER(CA55),IF(ABS(CA55-[1]QC_indicators!$B$1)&gt;3*[1]QC_indicators!$C$1,"DF","no"))),IF(ISNUMBER(CA55),IF(ABS(CA55-[1]QC_indicators!$B$1)&gt;3*[1]QC_indicators!$C$1,"DF","no")))</f>
        <v>0</v>
      </c>
      <c r="FA55" t="str">
        <f t="shared" si="22"/>
        <v/>
      </c>
    </row>
    <row r="56" spans="1:157" ht="15" hidden="1" customHeight="1">
      <c r="A56" s="1" t="s">
        <v>4719</v>
      </c>
      <c r="B56" t="s">
        <v>4720</v>
      </c>
      <c r="C56" t="s">
        <v>531</v>
      </c>
      <c r="D56" t="s">
        <v>4721</v>
      </c>
      <c r="E56" t="s">
        <v>4722</v>
      </c>
      <c r="F56" t="s">
        <v>4723</v>
      </c>
      <c r="G56" t="s">
        <v>531</v>
      </c>
      <c r="H56" t="s">
        <v>3640</v>
      </c>
      <c r="I56">
        <v>2015</v>
      </c>
      <c r="J56">
        <v>2</v>
      </c>
      <c r="K56" t="s">
        <v>531</v>
      </c>
      <c r="M56" t="str">
        <f t="shared" si="0"/>
        <v>Taranu_2015</v>
      </c>
      <c r="N56" t="s">
        <v>2267</v>
      </c>
      <c r="O56" s="145" t="s">
        <v>1029</v>
      </c>
      <c r="Q56" s="297" t="s">
        <v>256</v>
      </c>
      <c r="R56" s="298"/>
      <c r="AZ56" s="141"/>
      <c r="BA56" s="141"/>
      <c r="BG56"/>
      <c r="BH56" s="2"/>
      <c r="BR56" s="143"/>
      <c r="BS56" s="143"/>
      <c r="BW56" s="144"/>
      <c r="CA56" t="str">
        <f t="shared" si="13"/>
        <v/>
      </c>
      <c r="CP56"/>
      <c r="CQ56"/>
      <c r="CR56"/>
      <c r="CS56"/>
      <c r="CT56">
        <f t="shared" si="14"/>
        <v>0</v>
      </c>
      <c r="CU56"/>
      <c r="CV56"/>
      <c r="CW56"/>
      <c r="CX56" t="str">
        <f t="shared" si="15"/>
        <v/>
      </c>
      <c r="CY56"/>
      <c r="CZ56" t="str">
        <f t="shared" si="16"/>
        <v/>
      </c>
      <c r="DA56" s="2"/>
      <c r="DC56"/>
      <c r="DH56"/>
      <c r="DN56"/>
      <c r="DO56"/>
      <c r="DP56"/>
      <c r="DQ56"/>
      <c r="DR56"/>
      <c r="DS56"/>
      <c r="DY56"/>
      <c r="DZ56" s="143"/>
      <c r="EP56" t="str">
        <f t="shared" si="17"/>
        <v/>
      </c>
      <c r="EQ56" t="str">
        <f t="shared" si="12"/>
        <v/>
      </c>
      <c r="ER56" s="2" t="str">
        <f t="shared" si="18"/>
        <v/>
      </c>
      <c r="ES56" t="str">
        <f t="shared" si="19"/>
        <v/>
      </c>
      <c r="ET56" t="str">
        <f t="shared" si="20"/>
        <v/>
      </c>
      <c r="EU56" t="str">
        <f t="shared" si="21"/>
        <v/>
      </c>
      <c r="EX56" t="s">
        <v>4004</v>
      </c>
      <c r="EY56" t="b">
        <f>IF(ISNUMBER(BW56),IF(ABS(BW56-[1]QC_indicators!$B$2)&gt;3*[1]QC_indicators!$C$2,"C ratio",IF(ISNUMBER(CA56),IF(ABS(CA56-[1]QC_indicators!$B$1)&gt;3*[1]QC_indicators!$C$1,"DF","no"))),IF(ISNUMBER(CA56),IF(ABS(CA56-[1]QC_indicators!$B$1)&gt;3*[1]QC_indicators!$C$1,"DF","no")))</f>
        <v>0</v>
      </c>
      <c r="FA56" t="str">
        <f t="shared" si="22"/>
        <v/>
      </c>
    </row>
    <row r="57" spans="1:157" ht="15" hidden="1" customHeight="1">
      <c r="A57" s="1" t="s">
        <v>4643</v>
      </c>
      <c r="B57" t="s">
        <v>4724</v>
      </c>
      <c r="C57" t="s">
        <v>4725</v>
      </c>
      <c r="D57" t="s">
        <v>4726</v>
      </c>
      <c r="E57" t="s">
        <v>4727</v>
      </c>
      <c r="F57" t="s">
        <v>4728</v>
      </c>
      <c r="G57" t="s">
        <v>531</v>
      </c>
      <c r="H57" t="s">
        <v>3640</v>
      </c>
      <c r="I57">
        <v>2019</v>
      </c>
      <c r="J57">
        <v>5</v>
      </c>
      <c r="K57" t="s">
        <v>4729</v>
      </c>
      <c r="M57" t="str">
        <f t="shared" si="0"/>
        <v>Tettey_2019</v>
      </c>
      <c r="N57" t="s">
        <v>2267</v>
      </c>
      <c r="O57" s="145" t="s">
        <v>1029</v>
      </c>
      <c r="Q57" s="297" t="s">
        <v>256</v>
      </c>
      <c r="R57" s="298"/>
      <c r="U57" s="143"/>
      <c r="V57" s="143"/>
      <c r="W57" s="143"/>
      <c r="AZ57" s="141"/>
      <c r="BA57" s="141"/>
      <c r="BG57"/>
      <c r="BH57" s="2"/>
      <c r="BO57" s="143"/>
      <c r="BP57" s="143"/>
      <c r="BR57" s="143"/>
      <c r="BS57" s="143"/>
      <c r="BW57" s="144"/>
      <c r="CA57" t="str">
        <f t="shared" si="13"/>
        <v/>
      </c>
      <c r="CP57"/>
      <c r="CQ57"/>
      <c r="CR57"/>
      <c r="CS57"/>
      <c r="CT57">
        <f t="shared" si="14"/>
        <v>0</v>
      </c>
      <c r="CU57"/>
      <c r="CV57"/>
      <c r="CW57"/>
      <c r="CX57" t="str">
        <f t="shared" si="15"/>
        <v/>
      </c>
      <c r="CY57"/>
      <c r="CZ57" t="str">
        <f t="shared" si="16"/>
        <v/>
      </c>
      <c r="DA57" s="2"/>
      <c r="DC57"/>
      <c r="DH57"/>
      <c r="DN57"/>
      <c r="DO57"/>
      <c r="DP57"/>
      <c r="DQ57"/>
      <c r="DR57"/>
      <c r="DS57"/>
      <c r="DY57"/>
      <c r="DZ57" s="143"/>
      <c r="EP57" t="str">
        <f t="shared" si="17"/>
        <v/>
      </c>
      <c r="EQ57" t="str">
        <f t="shared" si="12"/>
        <v/>
      </c>
      <c r="ER57" s="2" t="str">
        <f t="shared" si="18"/>
        <v/>
      </c>
      <c r="ES57" t="str">
        <f t="shared" si="19"/>
        <v/>
      </c>
      <c r="ET57" t="str">
        <f t="shared" si="20"/>
        <v/>
      </c>
      <c r="EU57" t="str">
        <f t="shared" si="21"/>
        <v/>
      </c>
      <c r="EX57" t="s">
        <v>4004</v>
      </c>
      <c r="EY57" t="b">
        <f>IF(ISNUMBER(BW57),IF(ABS(BW57-[1]QC_indicators!$B$2)&gt;3*[1]QC_indicators!$C$2,"C ratio",IF(ISNUMBER(CA57),IF(ABS(CA57-[1]QC_indicators!$B$1)&gt;3*[1]QC_indicators!$C$1,"DF","no"))),IF(ISNUMBER(CA57),IF(ABS(CA57-[1]QC_indicators!$B$1)&gt;3*[1]QC_indicators!$C$1,"DF","no")))</f>
        <v>0</v>
      </c>
      <c r="FA57" t="str">
        <f t="shared" si="22"/>
        <v/>
      </c>
    </row>
    <row r="58" spans="1:157" ht="15" hidden="1" customHeight="1">
      <c r="A58" s="1" t="s">
        <v>4730</v>
      </c>
      <c r="B58" t="s">
        <v>4731</v>
      </c>
      <c r="C58" t="s">
        <v>4732</v>
      </c>
      <c r="D58" t="s">
        <v>4733</v>
      </c>
      <c r="E58" t="s">
        <v>4734</v>
      </c>
      <c r="F58" t="s">
        <v>4735</v>
      </c>
      <c r="G58" t="s">
        <v>531</v>
      </c>
      <c r="H58" t="s">
        <v>3640</v>
      </c>
      <c r="I58">
        <v>2018</v>
      </c>
      <c r="J58">
        <v>21</v>
      </c>
      <c r="K58" t="s">
        <v>4736</v>
      </c>
      <c r="M58" t="str">
        <f t="shared" si="0"/>
        <v>Ungureanu_2018</v>
      </c>
      <c r="N58" s="297" t="s">
        <v>2267</v>
      </c>
      <c r="BG58"/>
      <c r="BH58" s="2"/>
      <c r="CA58" t="str">
        <f t="shared" si="13"/>
        <v/>
      </c>
      <c r="CP58"/>
      <c r="CQ58"/>
      <c r="CR58"/>
      <c r="CS58"/>
      <c r="CT58">
        <f t="shared" si="14"/>
        <v>0</v>
      </c>
      <c r="CU58"/>
      <c r="CV58"/>
      <c r="CW58"/>
      <c r="CX58" t="str">
        <f t="shared" si="15"/>
        <v/>
      </c>
      <c r="CY58"/>
      <c r="CZ58" t="str">
        <f t="shared" si="16"/>
        <v/>
      </c>
      <c r="DA58" s="2"/>
      <c r="DC58"/>
      <c r="DH58"/>
      <c r="DN58"/>
      <c r="DO58"/>
      <c r="DP58"/>
      <c r="DQ58"/>
      <c r="DR58"/>
      <c r="DS58"/>
      <c r="DY58"/>
      <c r="DZ58"/>
      <c r="EP58" t="str">
        <f t="shared" si="17"/>
        <v/>
      </c>
      <c r="EQ58" t="str">
        <f t="shared" si="12"/>
        <v/>
      </c>
      <c r="ER58" s="2" t="str">
        <f t="shared" si="18"/>
        <v/>
      </c>
      <c r="ES58" t="str">
        <f t="shared" si="19"/>
        <v/>
      </c>
      <c r="ET58" t="str">
        <f t="shared" si="20"/>
        <v/>
      </c>
      <c r="EU58" t="str">
        <f t="shared" si="21"/>
        <v/>
      </c>
      <c r="EY58" t="b">
        <f>IF(ISNUMBER(BW58),IF(ABS(BW58-[1]QC_indicators!$B$2)&gt;3*[1]QC_indicators!$C$2,"C ratio",IF(ISNUMBER(CA58),IF(ABS(CA58-[1]QC_indicators!$B$1)&gt;3*[1]QC_indicators!$C$1,"DF","no"))),IF(ISNUMBER(CA58),IF(ABS(CA58-[1]QC_indicators!$B$1)&gt;3*[1]QC_indicators!$C$1,"DF","no")))</f>
        <v>0</v>
      </c>
      <c r="FA58" t="str">
        <f t="shared" si="22"/>
        <v/>
      </c>
    </row>
    <row r="59" spans="1:157" ht="15" hidden="1" customHeight="1">
      <c r="A59" s="1" t="s">
        <v>4409</v>
      </c>
      <c r="B59" t="s">
        <v>531</v>
      </c>
      <c r="C59" t="s">
        <v>4410</v>
      </c>
      <c r="D59" t="s">
        <v>4411</v>
      </c>
      <c r="E59" t="s">
        <v>4412</v>
      </c>
      <c r="F59" t="s">
        <v>4413</v>
      </c>
      <c r="G59" t="s">
        <v>4414</v>
      </c>
      <c r="I59">
        <v>2018</v>
      </c>
      <c r="K59" t="s">
        <v>4415</v>
      </c>
      <c r="M59" t="str">
        <f t="shared" si="0"/>
        <v>Achenbach_2018</v>
      </c>
      <c r="N59" t="s">
        <v>1225</v>
      </c>
      <c r="O59" s="140" t="s">
        <v>223</v>
      </c>
      <c r="Q59" s="297" t="s">
        <v>224</v>
      </c>
      <c r="R59" s="298"/>
      <c r="U59" s="143"/>
      <c r="V59" s="143"/>
      <c r="W59" s="143"/>
      <c r="AZ59" s="141"/>
      <c r="BA59" s="141"/>
      <c r="BG59"/>
      <c r="BH59" s="2"/>
      <c r="BI59" s="142"/>
      <c r="BL59" s="143"/>
      <c r="BN59" s="143"/>
      <c r="BO59" s="143"/>
      <c r="BP59" s="143"/>
      <c r="BQ59" s="143"/>
      <c r="BR59" s="143"/>
      <c r="BS59" s="143"/>
      <c r="BU59" s="143"/>
      <c r="BW59" s="144"/>
      <c r="CA59" t="str">
        <f t="shared" si="13"/>
        <v/>
      </c>
      <c r="CP59" t="str">
        <f>IF($BN59&lt;$BM59,"refNeedCorrection","refOK")</f>
        <v>refOK</v>
      </c>
      <c r="CQ59"/>
      <c r="CR59"/>
      <c r="CS59"/>
      <c r="CT59">
        <f t="shared" si="14"/>
        <v>0</v>
      </c>
      <c r="CU59"/>
      <c r="CV59"/>
      <c r="CW59"/>
      <c r="CX59" t="str">
        <f t="shared" si="15"/>
        <v/>
      </c>
      <c r="CY59"/>
      <c r="CZ59" t="str">
        <f t="shared" si="16"/>
        <v/>
      </c>
      <c r="DA59" s="2" t="str">
        <f>IFERROR((CV59-CU59)/ABS(CU59),"")</f>
        <v/>
      </c>
      <c r="DC59"/>
      <c r="DF59" s="143"/>
      <c r="DG59" s="143"/>
      <c r="DH59"/>
      <c r="DN59"/>
      <c r="DO59"/>
      <c r="DP59"/>
      <c r="DQ59"/>
      <c r="DR59"/>
      <c r="DS59"/>
      <c r="DU59" s="143"/>
      <c r="DV59" s="143"/>
      <c r="DX59" s="143"/>
      <c r="DY59"/>
      <c r="DZ59" s="143"/>
      <c r="EA59" s="143"/>
      <c r="EB59" s="143"/>
      <c r="EG59" s="143"/>
      <c r="EI59" s="143"/>
      <c r="EL59" s="143"/>
      <c r="EP59" t="str">
        <f t="shared" si="17"/>
        <v/>
      </c>
      <c r="EQ59" t="str">
        <f t="shared" si="12"/>
        <v/>
      </c>
      <c r="ER59" s="2" t="str">
        <f t="shared" si="18"/>
        <v/>
      </c>
      <c r="ES59" t="str">
        <f t="shared" si="19"/>
        <v/>
      </c>
      <c r="ET59" t="str">
        <f t="shared" si="20"/>
        <v/>
      </c>
      <c r="EU59" t="str">
        <f t="shared" si="21"/>
        <v/>
      </c>
      <c r="EX59" t="s">
        <v>450</v>
      </c>
      <c r="EY59" t="b">
        <f>IF(ISNUMBER(BW59),IF(ABS(BW59-[1]QC_indicators!$B$2)&gt;3*[1]QC_indicators!$C$2,"C ratio",IF(ISNUMBER(CA59),IF(ABS(CA59-[1]QC_indicators!$B$1)&gt;3*[1]QC_indicators!$C$1,"DF","no"))),IF(ISNUMBER(CA59),IF(ABS(CA59-[1]QC_indicators!$B$1)&gt;3*[1]QC_indicators!$C$1,"DF","no")))</f>
        <v>0</v>
      </c>
      <c r="FA59" t="str">
        <f t="shared" si="22"/>
        <v/>
      </c>
    </row>
    <row r="60" spans="1:157" ht="15" hidden="1" customHeight="1">
      <c r="A60" s="1" t="s">
        <v>4409</v>
      </c>
      <c r="B60" t="s">
        <v>531</v>
      </c>
      <c r="C60" t="s">
        <v>4410</v>
      </c>
      <c r="D60" t="s">
        <v>4411</v>
      </c>
      <c r="E60" t="s">
        <v>4412</v>
      </c>
      <c r="F60" t="s">
        <v>4413</v>
      </c>
      <c r="G60" t="s">
        <v>4414</v>
      </c>
      <c r="I60">
        <v>2018</v>
      </c>
      <c r="K60" t="s">
        <v>4415</v>
      </c>
      <c r="M60" t="str">
        <f t="shared" si="0"/>
        <v>Achenbach_2018</v>
      </c>
      <c r="N60" t="s">
        <v>1225</v>
      </c>
      <c r="O60" s="140" t="s">
        <v>223</v>
      </c>
      <c r="Q60" s="297" t="s">
        <v>224</v>
      </c>
      <c r="R60" s="298"/>
      <c r="U60" s="143"/>
      <c r="V60" s="143"/>
      <c r="W60" s="143"/>
      <c r="AZ60" s="141"/>
      <c r="BA60" s="141"/>
      <c r="BG60"/>
      <c r="BH60" s="2"/>
      <c r="BI60" s="142"/>
      <c r="BL60" s="143"/>
      <c r="BN60" s="143"/>
      <c r="BO60" s="143"/>
      <c r="BP60" s="143"/>
      <c r="BQ60" s="143"/>
      <c r="BR60" s="143"/>
      <c r="BS60" s="143"/>
      <c r="BU60" s="143"/>
      <c r="CA60" t="str">
        <f t="shared" si="13"/>
        <v/>
      </c>
      <c r="CP60" t="str">
        <f>IF($BN60&lt;$BM60,"refNeedCorrection","refOK")</f>
        <v>refOK</v>
      </c>
      <c r="CQ60"/>
      <c r="CR60"/>
      <c r="CS60"/>
      <c r="CT60">
        <f t="shared" si="14"/>
        <v>0</v>
      </c>
      <c r="CU60"/>
      <c r="CV60"/>
      <c r="CW60"/>
      <c r="CX60" t="str">
        <f t="shared" si="15"/>
        <v/>
      </c>
      <c r="CY60"/>
      <c r="CZ60" t="str">
        <f t="shared" si="16"/>
        <v/>
      </c>
      <c r="DA60" s="2" t="str">
        <f>IFERROR((CV60-CU60)/ABS(CU60),"")</f>
        <v/>
      </c>
      <c r="DC60"/>
      <c r="DF60" s="143"/>
      <c r="DG60" s="143"/>
      <c r="DH60"/>
      <c r="DN60"/>
      <c r="DO60"/>
      <c r="DP60"/>
      <c r="DQ60"/>
      <c r="DR60"/>
      <c r="DS60"/>
      <c r="DU60" s="143"/>
      <c r="DV60" s="143"/>
      <c r="DX60" s="143"/>
      <c r="DY60"/>
      <c r="DZ60" s="143"/>
      <c r="EA60" s="143"/>
      <c r="EB60" s="143"/>
      <c r="EG60" s="143"/>
      <c r="EI60" s="143"/>
      <c r="EL60" s="143"/>
      <c r="EP60" t="str">
        <f t="shared" si="17"/>
        <v/>
      </c>
      <c r="EQ60" t="str">
        <f t="shared" si="12"/>
        <v/>
      </c>
      <c r="ER60" s="2" t="str">
        <f t="shared" si="18"/>
        <v/>
      </c>
      <c r="ES60" t="str">
        <f t="shared" si="19"/>
        <v/>
      </c>
      <c r="ET60" t="str">
        <f t="shared" si="20"/>
        <v/>
      </c>
      <c r="EU60" t="str">
        <f t="shared" si="21"/>
        <v/>
      </c>
      <c r="EY60" t="b">
        <f>IF(ISNUMBER(BW60),IF(ABS(BW60-[1]QC_indicators!$B$2)&gt;3*[1]QC_indicators!$C$2,"C ratio",IF(ISNUMBER(CA60),IF(ABS(CA60-[1]QC_indicators!$B$1)&gt;3*[1]QC_indicators!$C$1,"DF","no"))),IF(ISNUMBER(CA60),IF(ABS(CA60-[1]QC_indicators!$B$1)&gt;3*[1]QC_indicators!$C$1,"DF","no")))</f>
        <v>0</v>
      </c>
      <c r="FA60" t="str">
        <f t="shared" si="22"/>
        <v/>
      </c>
    </row>
    <row r="61" spans="1:157" ht="15" hidden="1" customHeight="1">
      <c r="A61" s="1" t="s">
        <v>4416</v>
      </c>
      <c r="B61" t="s">
        <v>4417</v>
      </c>
      <c r="C61" t="s">
        <v>531</v>
      </c>
      <c r="D61" t="s">
        <v>4418</v>
      </c>
      <c r="E61" t="s">
        <v>4419</v>
      </c>
      <c r="F61" t="s">
        <v>4420</v>
      </c>
      <c r="G61" t="s">
        <v>4421</v>
      </c>
      <c r="I61">
        <v>2014</v>
      </c>
      <c r="K61" t="s">
        <v>4422</v>
      </c>
      <c r="M61" t="str">
        <f t="shared" si="0"/>
        <v>Adams_2014</v>
      </c>
      <c r="N61" t="s">
        <v>1225</v>
      </c>
      <c r="O61" s="140" t="s">
        <v>223</v>
      </c>
      <c r="Q61" s="297" t="s">
        <v>224</v>
      </c>
      <c r="R61" s="298"/>
      <c r="U61" s="143"/>
      <c r="V61" s="143"/>
      <c r="W61" s="143"/>
      <c r="AZ61" s="141"/>
      <c r="BA61" s="141"/>
      <c r="BG61"/>
      <c r="BH61" s="2"/>
      <c r="BI61" s="142"/>
      <c r="BL61" s="143"/>
      <c r="BN61" s="143"/>
      <c r="BO61" s="143"/>
      <c r="BP61" s="143"/>
      <c r="BQ61" s="143"/>
      <c r="BR61" s="143"/>
      <c r="BS61" s="143"/>
      <c r="BU61" s="143"/>
      <c r="BW61" s="144"/>
      <c r="CA61" t="str">
        <f t="shared" si="13"/>
        <v/>
      </c>
      <c r="CP61" t="str">
        <f>IF($BN61&lt;$BM61,"refNeedCorrection","refOK")</f>
        <v>refOK</v>
      </c>
      <c r="CQ61"/>
      <c r="CR61"/>
      <c r="CS61"/>
      <c r="CT61">
        <f t="shared" si="14"/>
        <v>0</v>
      </c>
      <c r="CU61"/>
      <c r="CV61"/>
      <c r="CW61"/>
      <c r="CX61" t="str">
        <f t="shared" si="15"/>
        <v/>
      </c>
      <c r="CY61"/>
      <c r="CZ61" t="str">
        <f t="shared" si="16"/>
        <v/>
      </c>
      <c r="DA61" s="2" t="str">
        <f>IFERROR((CV61-CU61)/ABS(CU61),"")</f>
        <v/>
      </c>
      <c r="DC61"/>
      <c r="DF61" s="143"/>
      <c r="DG61" s="143"/>
      <c r="DH61"/>
      <c r="DN61"/>
      <c r="DO61"/>
      <c r="DP61"/>
      <c r="DQ61"/>
      <c r="DR61"/>
      <c r="DS61"/>
      <c r="DU61" s="143"/>
      <c r="DV61" s="143"/>
      <c r="DX61" s="143"/>
      <c r="DY61"/>
      <c r="DZ61" s="143"/>
      <c r="EA61" s="143"/>
      <c r="EB61" s="143"/>
      <c r="EG61" s="143"/>
      <c r="EI61" s="143"/>
      <c r="EL61" s="143"/>
      <c r="EP61" t="str">
        <f t="shared" si="17"/>
        <v/>
      </c>
      <c r="EQ61" t="str">
        <f t="shared" si="12"/>
        <v/>
      </c>
      <c r="ER61" s="2" t="str">
        <f t="shared" si="18"/>
        <v/>
      </c>
      <c r="ES61" t="str">
        <f t="shared" si="19"/>
        <v/>
      </c>
      <c r="ET61" t="str">
        <f t="shared" si="20"/>
        <v/>
      </c>
      <c r="EU61" t="str">
        <f t="shared" si="21"/>
        <v/>
      </c>
      <c r="EX61" t="s">
        <v>450</v>
      </c>
      <c r="EY61" t="b">
        <f>IF(ISNUMBER(BW61),IF(ABS(BW61-[1]QC_indicators!$B$2)&gt;3*[1]QC_indicators!$C$2,"C ratio",IF(ISNUMBER(CA61),IF(ABS(CA61-[1]QC_indicators!$B$1)&gt;3*[1]QC_indicators!$C$1,"DF","no"))),IF(ISNUMBER(CA61),IF(ABS(CA61-[1]QC_indicators!$B$1)&gt;3*[1]QC_indicators!$C$1,"DF","no")))</f>
        <v>0</v>
      </c>
      <c r="FA61" t="str">
        <f t="shared" si="22"/>
        <v/>
      </c>
    </row>
    <row r="62" spans="1:157" ht="15" hidden="1" customHeight="1">
      <c r="A62" s="1" t="s">
        <v>4416</v>
      </c>
      <c r="B62" t="s">
        <v>4417</v>
      </c>
      <c r="C62" t="s">
        <v>531</v>
      </c>
      <c r="D62" t="s">
        <v>4418</v>
      </c>
      <c r="E62" t="s">
        <v>4419</v>
      </c>
      <c r="F62" t="s">
        <v>4420</v>
      </c>
      <c r="G62" t="s">
        <v>4421</v>
      </c>
      <c r="I62">
        <v>2014</v>
      </c>
      <c r="K62" t="s">
        <v>4422</v>
      </c>
      <c r="M62" t="str">
        <f t="shared" si="0"/>
        <v>Adams_2014</v>
      </c>
      <c r="N62" t="s">
        <v>1225</v>
      </c>
      <c r="O62" s="140" t="s">
        <v>223</v>
      </c>
      <c r="Q62" s="297" t="s">
        <v>224</v>
      </c>
      <c r="R62" s="298"/>
      <c r="U62" s="143"/>
      <c r="V62" s="143"/>
      <c r="W62" s="143"/>
      <c r="AZ62" s="141"/>
      <c r="BA62" s="141"/>
      <c r="BG62"/>
      <c r="BH62" s="2"/>
      <c r="BI62" s="142"/>
      <c r="BL62" s="143"/>
      <c r="BN62" s="143"/>
      <c r="BO62" s="143"/>
      <c r="BP62" s="143"/>
      <c r="BQ62" s="143"/>
      <c r="BR62" s="143"/>
      <c r="BS62" s="143"/>
      <c r="BU62" s="143"/>
      <c r="CA62" t="str">
        <f t="shared" si="13"/>
        <v/>
      </c>
      <c r="CP62" t="str">
        <f>IF($BN62&lt;$BM62,"refNeedCorrection","refOK")</f>
        <v>refOK</v>
      </c>
      <c r="CQ62"/>
      <c r="CR62"/>
      <c r="CS62"/>
      <c r="CT62">
        <f t="shared" si="14"/>
        <v>0</v>
      </c>
      <c r="CU62"/>
      <c r="CV62"/>
      <c r="CW62"/>
      <c r="CX62" t="str">
        <f t="shared" si="15"/>
        <v/>
      </c>
      <c r="CY62"/>
      <c r="CZ62" t="str">
        <f t="shared" si="16"/>
        <v/>
      </c>
      <c r="DA62" s="2" t="str">
        <f>IFERROR((CV62-CU62)/ABS(CU62),"")</f>
        <v/>
      </c>
      <c r="DC62"/>
      <c r="DF62" s="143"/>
      <c r="DG62" s="143"/>
      <c r="DH62"/>
      <c r="DN62"/>
      <c r="DO62"/>
      <c r="DP62"/>
      <c r="DQ62"/>
      <c r="DR62"/>
      <c r="DS62"/>
      <c r="DU62" s="143"/>
      <c r="DV62" s="143"/>
      <c r="DX62" s="143"/>
      <c r="DY62"/>
      <c r="DZ62" s="143"/>
      <c r="EA62" s="143"/>
      <c r="EB62" s="143"/>
      <c r="EG62" s="143"/>
      <c r="EI62" s="143"/>
      <c r="EL62" s="143"/>
      <c r="EP62" t="str">
        <f t="shared" si="17"/>
        <v/>
      </c>
      <c r="EQ62" t="str">
        <f t="shared" si="12"/>
        <v/>
      </c>
      <c r="ER62" s="2" t="str">
        <f t="shared" si="18"/>
        <v/>
      </c>
      <c r="ES62" t="str">
        <f t="shared" si="19"/>
        <v/>
      </c>
      <c r="ET62" t="str">
        <f t="shared" si="20"/>
        <v/>
      </c>
      <c r="EU62" t="str">
        <f t="shared" si="21"/>
        <v/>
      </c>
      <c r="EY62" t="b">
        <f>IF(ISNUMBER(BW62),IF(ABS(BW62-[1]QC_indicators!$B$2)&gt;3*[1]QC_indicators!$C$2,"C ratio",IF(ISNUMBER(CA62),IF(ABS(CA62-[1]QC_indicators!$B$1)&gt;3*[1]QC_indicators!$C$1,"DF","no"))),IF(ISNUMBER(CA62),IF(ABS(CA62-[1]QC_indicators!$B$1)&gt;3*[1]QC_indicators!$C$1,"DF","no")))</f>
        <v>0</v>
      </c>
      <c r="FA62" t="str">
        <f t="shared" si="22"/>
        <v/>
      </c>
    </row>
    <row r="63" spans="1:157" ht="15" hidden="1" customHeight="1">
      <c r="A63" s="1" t="s">
        <v>4021</v>
      </c>
      <c r="B63" t="s">
        <v>4423</v>
      </c>
      <c r="C63" t="s">
        <v>4424</v>
      </c>
      <c r="D63" t="s">
        <v>4425</v>
      </c>
      <c r="E63" s="297" t="s">
        <v>4426</v>
      </c>
      <c r="F63" t="s">
        <v>4427</v>
      </c>
      <c r="G63" t="s">
        <v>4027</v>
      </c>
      <c r="H63" t="s">
        <v>254</v>
      </c>
      <c r="I63">
        <v>2022</v>
      </c>
      <c r="J63">
        <v>1</v>
      </c>
      <c r="K63" t="s">
        <v>4428</v>
      </c>
      <c r="M63" t="str">
        <f t="shared" si="0"/>
        <v>Ahmad_2022</v>
      </c>
      <c r="N63" t="s">
        <v>1225</v>
      </c>
      <c r="O63" s="157" t="s">
        <v>223</v>
      </c>
      <c r="BG63"/>
      <c r="BH63" s="2"/>
      <c r="CA63" t="str">
        <f t="shared" si="13"/>
        <v/>
      </c>
      <c r="CP63" t="str">
        <f>IF($BN63&lt;$BM63,"refNeedCorrection","refOK")</f>
        <v>refOK</v>
      </c>
      <c r="CQ63"/>
      <c r="CR63"/>
      <c r="CS63"/>
      <c r="CT63">
        <f t="shared" si="14"/>
        <v>0</v>
      </c>
      <c r="CU63"/>
      <c r="CV63"/>
      <c r="CW63"/>
      <c r="CX63" t="str">
        <f t="shared" si="15"/>
        <v/>
      </c>
      <c r="CY63"/>
      <c r="CZ63" t="str">
        <f t="shared" si="16"/>
        <v/>
      </c>
      <c r="DA63" s="2" t="str">
        <f>IFERROR((CV63-CU63)/ABS(CU63),"")</f>
        <v/>
      </c>
      <c r="DC63"/>
      <c r="DH63"/>
      <c r="DN63"/>
      <c r="DO63"/>
      <c r="DP63"/>
      <c r="DQ63"/>
      <c r="DR63"/>
      <c r="DS63"/>
      <c r="DY63"/>
      <c r="DZ63"/>
      <c r="EP63" t="str">
        <f t="shared" si="17"/>
        <v/>
      </c>
      <c r="EQ63" t="str">
        <f t="shared" si="12"/>
        <v/>
      </c>
      <c r="ER63" s="2" t="str">
        <f t="shared" si="18"/>
        <v/>
      </c>
      <c r="ES63" t="str">
        <f t="shared" si="19"/>
        <v/>
      </c>
      <c r="ET63" t="str">
        <f t="shared" si="20"/>
        <v/>
      </c>
      <c r="EU63" t="str">
        <f t="shared" si="21"/>
        <v/>
      </c>
      <c r="EY63" t="b">
        <f>IF(ISNUMBER(BW63),IF(ABS(BW63-[1]QC_indicators!$B$2)&gt;3*[1]QC_indicators!$C$2,"C ratio",IF(ISNUMBER(CA63),IF(ABS(CA63-[1]QC_indicators!$B$1)&gt;3*[1]QC_indicators!$C$1,"DF","no"))),IF(ISNUMBER(CA63),IF(ABS(CA63-[1]QC_indicators!$B$1)&gt;3*[1]QC_indicators!$C$1,"DF","no")))</f>
        <v>0</v>
      </c>
      <c r="FA63" t="str">
        <f t="shared" si="22"/>
        <v/>
      </c>
    </row>
    <row r="64" spans="1:157" ht="15" hidden="1" customHeight="1">
      <c r="A64" s="1" t="s">
        <v>500</v>
      </c>
      <c r="B64" t="s">
        <v>4429</v>
      </c>
      <c r="C64" t="s">
        <v>4430</v>
      </c>
      <c r="D64" t="s">
        <v>268</v>
      </c>
      <c r="E64" t="s">
        <v>4431</v>
      </c>
      <c r="F64" t="s">
        <v>4432</v>
      </c>
      <c r="G64" t="s">
        <v>506</v>
      </c>
      <c r="I64">
        <v>2019</v>
      </c>
      <c r="K64" t="s">
        <v>4433</v>
      </c>
      <c r="M64" t="str">
        <f t="shared" si="0"/>
        <v>Aryapratama_2019</v>
      </c>
      <c r="N64" t="s">
        <v>1225</v>
      </c>
      <c r="O64" s="140" t="s">
        <v>274</v>
      </c>
      <c r="Q64" s="297" t="s">
        <v>224</v>
      </c>
      <c r="R64" s="298"/>
      <c r="AZ64" s="141"/>
      <c r="BA64" s="141"/>
      <c r="BG64"/>
      <c r="BH64" s="2"/>
      <c r="BO64" s="143"/>
      <c r="BP64" s="143"/>
      <c r="BQ64" s="143"/>
      <c r="BR64" s="143"/>
      <c r="BS64" s="143"/>
      <c r="BW64" s="144"/>
      <c r="CA64" t="str">
        <f t="shared" si="13"/>
        <v/>
      </c>
      <c r="CP64"/>
      <c r="CQ64"/>
      <c r="CR64"/>
      <c r="CS64"/>
      <c r="CT64">
        <f t="shared" si="14"/>
        <v>0</v>
      </c>
      <c r="CU64"/>
      <c r="CV64"/>
      <c r="CW64"/>
      <c r="CX64" t="str">
        <f t="shared" si="15"/>
        <v/>
      </c>
      <c r="CY64"/>
      <c r="CZ64" t="str">
        <f t="shared" si="16"/>
        <v/>
      </c>
      <c r="DA64" s="2"/>
      <c r="DC64"/>
      <c r="DH64"/>
      <c r="DN64"/>
      <c r="DO64"/>
      <c r="DP64"/>
      <c r="DQ64"/>
      <c r="DR64"/>
      <c r="DS64"/>
      <c r="DY64"/>
      <c r="DZ64" s="143"/>
      <c r="EP64" t="str">
        <f t="shared" si="17"/>
        <v/>
      </c>
      <c r="EQ64" t="str">
        <f t="shared" si="12"/>
        <v/>
      </c>
      <c r="ER64" s="2" t="str">
        <f t="shared" si="18"/>
        <v/>
      </c>
      <c r="ES64" t="str">
        <f t="shared" si="19"/>
        <v/>
      </c>
      <c r="ET64" t="str">
        <f t="shared" si="20"/>
        <v/>
      </c>
      <c r="EU64" t="str">
        <f t="shared" si="21"/>
        <v/>
      </c>
      <c r="EX64" t="s">
        <v>450</v>
      </c>
      <c r="EY64" t="b">
        <f>IF(ISNUMBER(BW64),IF(ABS(BW64-[1]QC_indicators!$B$2)&gt;3*[1]QC_indicators!$C$2,"C ratio",IF(ISNUMBER(CA64),IF(ABS(CA64-[1]QC_indicators!$B$1)&gt;3*[1]QC_indicators!$C$1,"DF","no"))),IF(ISNUMBER(CA64),IF(ABS(CA64-[1]QC_indicators!$B$1)&gt;3*[1]QC_indicators!$C$1,"DF","no")))</f>
        <v>0</v>
      </c>
      <c r="FA64" t="str">
        <f t="shared" si="22"/>
        <v/>
      </c>
    </row>
    <row r="65" spans="1:160" ht="15" hidden="1" customHeight="1">
      <c r="A65" s="1" t="s">
        <v>1145</v>
      </c>
      <c r="B65" t="s">
        <v>1146</v>
      </c>
      <c r="C65" t="s">
        <v>1147</v>
      </c>
      <c r="D65" t="s">
        <v>1148</v>
      </c>
      <c r="E65" t="s">
        <v>1149</v>
      </c>
      <c r="F65" t="s">
        <v>1150</v>
      </c>
      <c r="G65" t="s">
        <v>1151</v>
      </c>
      <c r="I65">
        <v>2019</v>
      </c>
      <c r="K65" t="s">
        <v>1152</v>
      </c>
      <c r="M65" t="str">
        <f t="shared" si="0"/>
        <v>Baskent_2019</v>
      </c>
      <c r="N65" s="334" t="s">
        <v>1225</v>
      </c>
      <c r="O65" s="140" t="s">
        <v>508</v>
      </c>
      <c r="Q65" t="s">
        <v>224</v>
      </c>
      <c r="R65" s="264" t="s">
        <v>274</v>
      </c>
      <c r="S65" s="1" t="s">
        <v>1153</v>
      </c>
      <c r="T65" t="s">
        <v>1003</v>
      </c>
      <c r="U65" s="143" t="s">
        <v>1154</v>
      </c>
      <c r="V65">
        <v>0</v>
      </c>
      <c r="W65">
        <v>1</v>
      </c>
      <c r="X65" s="143">
        <v>0</v>
      </c>
      <c r="Y65" s="143">
        <v>0</v>
      </c>
      <c r="Z65" s="143">
        <v>0</v>
      </c>
      <c r="AA65" s="143">
        <v>1</v>
      </c>
      <c r="AB65" s="143">
        <v>2</v>
      </c>
      <c r="AC65" s="143">
        <v>0</v>
      </c>
      <c r="AD65" s="143">
        <v>0</v>
      </c>
      <c r="AE65" s="143">
        <v>0</v>
      </c>
      <c r="AF65">
        <v>0</v>
      </c>
      <c r="AG65">
        <v>0</v>
      </c>
      <c r="AH65">
        <v>2</v>
      </c>
      <c r="AI65">
        <v>0</v>
      </c>
      <c r="AJ65">
        <v>0</v>
      </c>
      <c r="AK65">
        <v>0</v>
      </c>
      <c r="AL65">
        <v>2</v>
      </c>
      <c r="AM65">
        <v>0</v>
      </c>
      <c r="AN65">
        <v>0</v>
      </c>
      <c r="AO65">
        <v>0</v>
      </c>
      <c r="AP65">
        <v>2</v>
      </c>
      <c r="AQ65">
        <v>2</v>
      </c>
      <c r="AR65">
        <v>0</v>
      </c>
      <c r="AS65">
        <v>0</v>
      </c>
      <c r="AT65">
        <v>0</v>
      </c>
      <c r="AU65">
        <v>2</v>
      </c>
      <c r="AV65">
        <v>0</v>
      </c>
      <c r="AW65">
        <v>0</v>
      </c>
      <c r="AX65">
        <v>0</v>
      </c>
      <c r="AY65">
        <v>2</v>
      </c>
      <c r="AZ65" s="141">
        <f t="shared" ref="AZ65:AZ76" si="23">COUNTIF(X65:AY65,"&lt;&gt;0")</f>
        <v>8</v>
      </c>
      <c r="BA65" s="141">
        <f t="shared" ref="BA65:BA76" si="24">COUNTIF(X65:AN65,"&lt;&gt;0")</f>
        <v>4</v>
      </c>
      <c r="BB65">
        <f t="shared" ref="BB65:BB76" si="25">COUNTIF(X65:AE65,"&lt;&gt;0")</f>
        <v>2</v>
      </c>
      <c r="BC65">
        <f t="shared" ref="BC65:BC76" si="26">COUNTIF(AF65:AK65,"&lt;&gt;0")</f>
        <v>1</v>
      </c>
      <c r="BD65">
        <f t="shared" ref="BD65:BD76" si="27">COUNTIF(AL65:AN65,"&lt;&gt;0")</f>
        <v>1</v>
      </c>
      <c r="BE65">
        <f t="shared" ref="BE65:BE76" si="28">COUNTIF(AU65:AY65,"&lt;&gt;0")</f>
        <v>2</v>
      </c>
      <c r="BF65">
        <f t="shared" ref="BF65:BF76" si="29">COUNTIF(AO65:AT65,"&lt;&gt;0")</f>
        <v>2</v>
      </c>
      <c r="BG65" t="str">
        <f t="array" ref="BG65">IF(BA65=1,INDEX($X$7:$AN$7,MATCH(TRUE,INDEX($X65:$AY65&lt;&gt;0,),0)),IF(BA65=0,INDEX($AO$7:$AY$7,MATCH(1,$AO65:$AY65,0)),IF(BH65="Multiple strategies","mixed drivers",IF(BH65="Supply chain","multiple supply","multiple silviculture"))))</f>
        <v>mixed drivers</v>
      </c>
      <c r="BH65" s="2" t="str" cm="1">
        <f t="array" ref="BH65">IF(COUNTIF(BB65:BD65,"&lt;&gt;0")=1,INDEX($X$4:$AY$4,MATCH(TRUE,INDEX($X65:$AY65&lt;&gt;0,),0)),IF(COUNTIF(BB65:BD65,"&lt;&gt;0")=0,INDEX($AO$4:$AY$4,MATCH(1,$AO65:$AY65,0)),"Multiple strategies"))</f>
        <v>Multiple strategies</v>
      </c>
      <c r="BI65" s="1" t="s">
        <v>321</v>
      </c>
      <c r="BJ65" t="s">
        <v>1155</v>
      </c>
      <c r="BL65" s="143" t="s">
        <v>278</v>
      </c>
      <c r="BM65">
        <v>10.270935960591125</v>
      </c>
      <c r="BN65">
        <v>10.566502463054182</v>
      </c>
      <c r="BO65" s="143">
        <f t="shared" ref="BO65:BO76" si="30">BN65/BM65</f>
        <v>1.0287769784172665</v>
      </c>
      <c r="BP65">
        <f t="shared" ref="BP65:BP76" si="31">BN65-BM65</f>
        <v>0.29556650246305693</v>
      </c>
      <c r="BQ65" s="143">
        <f t="shared" ref="BQ65:BQ76" si="32">BP65*tC_to_m3</f>
        <v>1.2833977527705469</v>
      </c>
      <c r="BR65" t="s">
        <v>232</v>
      </c>
      <c r="BS65" t="s">
        <v>767</v>
      </c>
      <c r="BT65" s="143" t="s">
        <v>278</v>
      </c>
      <c r="BU65">
        <v>30.8433734939759</v>
      </c>
      <c r="BV65">
        <v>31.526844706012898</v>
      </c>
      <c r="BW65" s="144">
        <f t="shared" ref="BW65:BW76" si="33">IFERROR(BV65/BU65,"")</f>
        <v>1.022159418202762</v>
      </c>
      <c r="BX65">
        <f t="shared" ref="BX65:BX76" si="34">BV65-BU65</f>
        <v>0.68347121203699857</v>
      </c>
      <c r="BZ65">
        <f t="shared" ref="BZ65:BZ76" si="35">BX65*C_to_CO2</f>
        <v>2.5083393481757845</v>
      </c>
      <c r="CA65">
        <f t="shared" si="13"/>
        <v>1.9544520338771698</v>
      </c>
      <c r="CB65" s="143">
        <v>0</v>
      </c>
      <c r="CC65" s="143">
        <v>0</v>
      </c>
      <c r="CD65" s="143">
        <v>0</v>
      </c>
      <c r="CE65" s="143">
        <v>0</v>
      </c>
      <c r="CF65" s="143">
        <v>0</v>
      </c>
      <c r="CG65" s="143">
        <v>0</v>
      </c>
      <c r="CH65" s="143">
        <v>0</v>
      </c>
      <c r="CI65" s="143">
        <v>1</v>
      </c>
      <c r="CJ65" s="143">
        <v>0</v>
      </c>
      <c r="CK65" s="143">
        <v>1</v>
      </c>
      <c r="CL65" s="143">
        <v>1</v>
      </c>
      <c r="CM65" s="143">
        <v>0</v>
      </c>
      <c r="CN65" s="143">
        <v>1</v>
      </c>
      <c r="CO65" s="143">
        <v>0</v>
      </c>
      <c r="CP65" t="str">
        <f t="shared" ref="CP65:CP76" si="36">IF($BN65&lt;$BM65,"refNeedCorrection","refOK")</f>
        <v>refOK</v>
      </c>
      <c r="CQ65">
        <f t="shared" ref="CQ65:CQ76" si="37">IF($CP65="refOK",$BM65,$BN65)</f>
        <v>10.270935960591125</v>
      </c>
      <c r="CR65">
        <f t="shared" ref="CR65:CR76" si="38">IF($CP65="refOK",$BN65,$BM65)</f>
        <v>10.566502463054182</v>
      </c>
      <c r="CS65">
        <f t="shared" ref="CS65:CS76" si="39">IF($CP65="refOK",$BQ65,-$BQ65)</f>
        <v>1.2833977527705469</v>
      </c>
      <c r="CT65">
        <f t="shared" si="14"/>
        <v>0.64169887638527345</v>
      </c>
      <c r="CU65">
        <f t="shared" ref="CU65:CU76" si="40">IF($CP65="refOK",$BU65,$BV65)*IF($BR65="Emissions positive",-1,1)</f>
        <v>30.8433734939759</v>
      </c>
      <c r="CV65">
        <f t="shared" ref="CV65:CV76" si="41">IF($CP65="refOK",$BV65,$BU65)*IF($BR65="Emissions positive",-1,1)</f>
        <v>31.526844706012898</v>
      </c>
      <c r="CW65">
        <f t="shared" ref="CW65:CW76" si="42">IF($CP65="refNeedCorrection",-BZ65,BZ65)*IF($BR65="Emissions positive",-1,1)</f>
        <v>2.5083393481757845</v>
      </c>
      <c r="CX65">
        <f t="shared" si="15"/>
        <v>1.9544520338771698</v>
      </c>
      <c r="CY65">
        <f t="shared" ref="CY65:CY76" si="43">IFERROR($CW65/$CS65,"")</f>
        <v>1.9544520338771698</v>
      </c>
      <c r="CZ65">
        <f t="shared" si="16"/>
        <v>3.9089040677543396</v>
      </c>
      <c r="DA65" s="2">
        <f t="shared" ref="DA65:DA76" si="44">IFERROR((CV65-CU65)/ABS(CU65),"")</f>
        <v>2.2159418202762064E-2</v>
      </c>
      <c r="DB65" s="1" t="s">
        <v>1074</v>
      </c>
      <c r="DC65" t="str">
        <f t="shared" ref="DC65:DC76" si="45">IF(OR($DB65="prd",$DB65="std",$DB65="cit"),"loc",IF(OR($DB65="eur",$DB65="reg",$DB65="coy"),"reg",$DB65))</f>
        <v>reg</v>
      </c>
      <c r="DD65" t="s">
        <v>1156</v>
      </c>
      <c r="DE65">
        <v>2010</v>
      </c>
      <c r="DF65" s="143">
        <v>2060</v>
      </c>
      <c r="DG65" s="143">
        <f t="shared" ref="DG65:DG76" si="46">DF65-DE65</f>
        <v>50</v>
      </c>
      <c r="DH65" t="str">
        <f t="shared" ref="DH65:DH76" si="47">IF(DG65=0,"0",IF(AND(DG65&gt;=1,DG65&lt;=30),"1-30",IF(AND(DG65&gt;30,DG65&lt;=70),"31-70",IF(AND(DG65&gt;70,DG65&lt;=100),"71-100",IF(DG65&gt;100,"+100")))))</f>
        <v>31-70</v>
      </c>
      <c r="DI65">
        <v>1</v>
      </c>
      <c r="DJ65">
        <v>0</v>
      </c>
      <c r="DK65">
        <v>0</v>
      </c>
      <c r="DL65">
        <v>0</v>
      </c>
      <c r="DN65">
        <f t="shared" ref="DN65:DN76" si="48">SUM(DI65:DL65)</f>
        <v>1</v>
      </c>
      <c r="DO65" t="str">
        <f t="shared" ref="DO65:DO76" si="49">IF(DN65=1,INDEX($DI$7:$DL$7,MATCH(1,$DI65:$DL65,0)),"mixedProduct")</f>
        <v>UpstreamInput</v>
      </c>
      <c r="DP65" t="str">
        <f t="shared" ref="DP65:DP76" si="50">IF(DI65=1,DP$7,0)</f>
        <v>Upstream</v>
      </c>
      <c r="DQ65">
        <f t="shared" ref="DQ65:DQ76" si="51">IF(DJ65=1,DQ$7,0)</f>
        <v>0</v>
      </c>
      <c r="DR65">
        <f t="shared" ref="DR65:DR76" si="52">IF(DK65=1,DR$7,0)</f>
        <v>0</v>
      </c>
      <c r="DS65">
        <f t="shared" ref="DS65:DS76" si="53">IF(DL65=1,DS$7,0)</f>
        <v>0</v>
      </c>
      <c r="DT65" s="143">
        <v>1</v>
      </c>
      <c r="DU65">
        <v>0</v>
      </c>
      <c r="DV65" s="143">
        <v>0</v>
      </c>
      <c r="DW65" s="143">
        <v>0</v>
      </c>
      <c r="DX65" s="143" t="s">
        <v>1157</v>
      </c>
      <c r="DY65">
        <f t="shared" ref="DY65:DY76" si="54">SUM(DT65:DU65)</f>
        <v>1</v>
      </c>
      <c r="DZ65" s="143" t="str">
        <f t="shared" ref="DZ65:DZ76" si="55">IF(DT65=1,"self-calculated DF",IF(DU65=1,"external DF used","explicit C balance"))</f>
        <v>self-calculated DF</v>
      </c>
      <c r="EA65" s="143">
        <v>0</v>
      </c>
      <c r="EB65">
        <v>1</v>
      </c>
      <c r="EC65" s="143">
        <v>1</v>
      </c>
      <c r="ED65" s="143">
        <v>0</v>
      </c>
      <c r="EE65">
        <v>0</v>
      </c>
      <c r="EF65">
        <v>0</v>
      </c>
      <c r="EG65" s="143">
        <v>0</v>
      </c>
      <c r="EH65">
        <v>0</v>
      </c>
      <c r="EI65" s="143">
        <v>0</v>
      </c>
      <c r="EJ65">
        <v>0</v>
      </c>
      <c r="EK65">
        <v>1</v>
      </c>
      <c r="EL65" s="143">
        <v>0</v>
      </c>
      <c r="EM65">
        <v>0</v>
      </c>
      <c r="EN65" s="2">
        <v>0</v>
      </c>
      <c r="EP65" t="str">
        <f t="shared" si="17"/>
        <v/>
      </c>
      <c r="EQ65" t="str">
        <f t="shared" ref="EQ65:EQ76" si="56">IF(AND(AND(OR($EC65=1,$EB65=1),AND($EH65=0,$EF65=0)),SUM($EA65:$EE65,$EK65)&gt;=4),"Ecosystem approach","")</f>
        <v/>
      </c>
      <c r="ER65" s="2" t="str">
        <f t="shared" si="18"/>
        <v/>
      </c>
      <c r="ES65" t="str">
        <f t="shared" si="19"/>
        <v/>
      </c>
      <c r="ET65" t="str">
        <f t="shared" si="20"/>
        <v/>
      </c>
      <c r="EU65" t="str">
        <f t="shared" si="21"/>
        <v/>
      </c>
      <c r="EW65" t="s">
        <v>1158</v>
      </c>
      <c r="EY65" t="str">
        <f>IF(ISNUMBER(BW65),IF(ABS(BW65-[3]QC_indicators!$B$2)&gt;3*[3]QC_indicators!$C$2,"C ratio",IF(ISNUMBER(CA65),IF(ABS(CA65-[3]QC_indicators!$B$1)&gt;3*[3]QC_indicators!$C$1,"DF","no"))),IF(ISNUMBER(CA65),IF(ABS(CA65-[3]QC_indicators!$B$1)&gt;3*[3]QC_indicators!$C$1,"DF","no")))</f>
        <v>no</v>
      </c>
      <c r="EZ65" t="s">
        <v>286</v>
      </c>
      <c r="FA65" t="str">
        <f t="shared" si="22"/>
        <v/>
      </c>
      <c r="FB65" t="s">
        <v>1159</v>
      </c>
      <c r="FD65" s="260" t="s">
        <v>2948</v>
      </c>
    </row>
    <row r="66" spans="1:160" ht="15" hidden="1" customHeight="1">
      <c r="A66" s="1" t="s">
        <v>1145</v>
      </c>
      <c r="B66" t="s">
        <v>1146</v>
      </c>
      <c r="C66" t="s">
        <v>1147</v>
      </c>
      <c r="D66" t="s">
        <v>1148</v>
      </c>
      <c r="E66" t="s">
        <v>1149</v>
      </c>
      <c r="F66" t="s">
        <v>1150</v>
      </c>
      <c r="G66" t="s">
        <v>1151</v>
      </c>
      <c r="I66">
        <v>2019</v>
      </c>
      <c r="K66" t="s">
        <v>1152</v>
      </c>
      <c r="M66" t="str">
        <f t="shared" si="0"/>
        <v>Baskent_2019</v>
      </c>
      <c r="N66" s="334" t="s">
        <v>1225</v>
      </c>
      <c r="O66" s="140" t="s">
        <v>508</v>
      </c>
      <c r="Q66" t="s">
        <v>224</v>
      </c>
      <c r="R66" s="264" t="s">
        <v>274</v>
      </c>
      <c r="S66" s="1" t="s">
        <v>1153</v>
      </c>
      <c r="T66" t="s">
        <v>1003</v>
      </c>
      <c r="U66" s="143" t="s">
        <v>1160</v>
      </c>
      <c r="V66">
        <v>0</v>
      </c>
      <c r="W66">
        <v>1</v>
      </c>
      <c r="X66" s="143">
        <v>0</v>
      </c>
      <c r="Y66" s="143">
        <v>0</v>
      </c>
      <c r="Z66" s="143">
        <v>0</v>
      </c>
      <c r="AA66" s="143">
        <v>1</v>
      </c>
      <c r="AB66" s="143">
        <v>2</v>
      </c>
      <c r="AC66" s="143">
        <v>0</v>
      </c>
      <c r="AD66" s="143">
        <v>0</v>
      </c>
      <c r="AE66" s="143">
        <v>0</v>
      </c>
      <c r="AF66">
        <v>0</v>
      </c>
      <c r="AG66">
        <v>0</v>
      </c>
      <c r="AH66">
        <v>2</v>
      </c>
      <c r="AI66">
        <v>0</v>
      </c>
      <c r="AJ66">
        <v>0</v>
      </c>
      <c r="AK66">
        <v>0</v>
      </c>
      <c r="AL66">
        <v>2</v>
      </c>
      <c r="AM66">
        <v>0</v>
      </c>
      <c r="AN66">
        <v>0</v>
      </c>
      <c r="AO66">
        <v>0</v>
      </c>
      <c r="AP66">
        <v>2</v>
      </c>
      <c r="AQ66">
        <v>2</v>
      </c>
      <c r="AR66">
        <v>0</v>
      </c>
      <c r="AS66">
        <v>0</v>
      </c>
      <c r="AT66">
        <v>0</v>
      </c>
      <c r="AU66">
        <v>2</v>
      </c>
      <c r="AV66">
        <v>0</v>
      </c>
      <c r="AW66">
        <v>0</v>
      </c>
      <c r="AX66">
        <v>0</v>
      </c>
      <c r="AY66">
        <v>2</v>
      </c>
      <c r="AZ66" s="141">
        <f t="shared" si="23"/>
        <v>8</v>
      </c>
      <c r="BA66" s="141">
        <f t="shared" si="24"/>
        <v>4</v>
      </c>
      <c r="BB66">
        <f t="shared" si="25"/>
        <v>2</v>
      </c>
      <c r="BC66">
        <f t="shared" si="26"/>
        <v>1</v>
      </c>
      <c r="BD66">
        <f t="shared" si="27"/>
        <v>1</v>
      </c>
      <c r="BE66">
        <f t="shared" si="28"/>
        <v>2</v>
      </c>
      <c r="BF66">
        <f t="shared" si="29"/>
        <v>2</v>
      </c>
      <c r="BG66" t="str">
        <f t="array" ref="BG66">IF(BA66=1,INDEX($X$7:$AN$7,MATCH(TRUE,INDEX($X66:$AY66&lt;&gt;0,),0)),IF(BA66=0,INDEX($AO$7:$AY$7,MATCH(1,$AO66:$AY66,0)),IF(BH66="Multiple strategies","mixed drivers",IF(BH66="Supply chain","multiple supply","multiple silviculture"))))</f>
        <v>mixed drivers</v>
      </c>
      <c r="BH66" s="2" t="str" cm="1">
        <f t="array" ref="BH66">IF(COUNTIF(BB66:BD66,"&lt;&gt;0")=1,INDEX($X$4:$AY$4,MATCH(TRUE,INDEX($X66:$AY66&lt;&gt;0,),0)),IF(COUNTIF(BB66:BD66,"&lt;&gt;0")=0,INDEX($AO$4:$AY$4,MATCH(1,$AO66:$AY66,0)),"Multiple strategies"))</f>
        <v>Multiple strategies</v>
      </c>
      <c r="BI66" s="1" t="s">
        <v>321</v>
      </c>
      <c r="BJ66" t="s">
        <v>1155</v>
      </c>
      <c r="BL66" s="143" t="s">
        <v>278</v>
      </c>
      <c r="BM66">
        <v>22.204433497536925</v>
      </c>
      <c r="BN66">
        <v>22.426108374384221</v>
      </c>
      <c r="BO66" s="143">
        <f t="shared" si="30"/>
        <v>1.0099833610648921</v>
      </c>
      <c r="BP66">
        <f t="shared" si="31"/>
        <v>0.22167487684729537</v>
      </c>
      <c r="BQ66" s="143">
        <f t="shared" si="32"/>
        <v>0.96254831457792178</v>
      </c>
      <c r="BR66" t="s">
        <v>232</v>
      </c>
      <c r="BS66" t="s">
        <v>767</v>
      </c>
      <c r="BT66" s="143" t="s">
        <v>278</v>
      </c>
      <c r="BU66">
        <v>32.530120481927703</v>
      </c>
      <c r="BV66">
        <v>35.060240963855399</v>
      </c>
      <c r="BW66" s="144">
        <f t="shared" si="33"/>
        <v>1.0777777777777773</v>
      </c>
      <c r="BX66">
        <f t="shared" si="34"/>
        <v>2.5301204819276961</v>
      </c>
      <c r="BZ66">
        <f t="shared" si="35"/>
        <v>9.2855421686746453</v>
      </c>
      <c r="CA66">
        <f t="shared" si="13"/>
        <v>9.6468322971884923</v>
      </c>
      <c r="CB66" s="143">
        <v>0</v>
      </c>
      <c r="CC66" s="143">
        <v>0</v>
      </c>
      <c r="CD66" s="143">
        <v>0</v>
      </c>
      <c r="CE66" s="143">
        <v>0</v>
      </c>
      <c r="CF66" s="143">
        <v>0</v>
      </c>
      <c r="CG66" s="143">
        <v>0</v>
      </c>
      <c r="CH66" s="143">
        <v>0</v>
      </c>
      <c r="CI66" s="143">
        <v>1</v>
      </c>
      <c r="CJ66" s="143">
        <v>0</v>
      </c>
      <c r="CK66" s="143">
        <v>1</v>
      </c>
      <c r="CL66" s="143">
        <v>1</v>
      </c>
      <c r="CM66" s="143">
        <v>0</v>
      </c>
      <c r="CN66" s="143">
        <v>1</v>
      </c>
      <c r="CO66" s="143">
        <v>0</v>
      </c>
      <c r="CP66" t="str">
        <f t="shared" si="36"/>
        <v>refOK</v>
      </c>
      <c r="CQ66">
        <f t="shared" si="37"/>
        <v>22.204433497536925</v>
      </c>
      <c r="CR66">
        <f t="shared" si="38"/>
        <v>22.426108374384221</v>
      </c>
      <c r="CS66">
        <f t="shared" si="39"/>
        <v>0.96254831457792178</v>
      </c>
      <c r="CT66">
        <f t="shared" si="14"/>
        <v>0.48127415728896089</v>
      </c>
      <c r="CU66">
        <f t="shared" si="40"/>
        <v>32.530120481927703</v>
      </c>
      <c r="CV66">
        <f t="shared" si="41"/>
        <v>35.060240963855399</v>
      </c>
      <c r="CW66">
        <f t="shared" si="42"/>
        <v>9.2855421686746453</v>
      </c>
      <c r="CX66">
        <f t="shared" si="15"/>
        <v>9.6468322971884923</v>
      </c>
      <c r="CY66">
        <f t="shared" si="43"/>
        <v>9.6468322971884923</v>
      </c>
      <c r="CZ66">
        <f t="shared" si="16"/>
        <v>19.293664594376985</v>
      </c>
      <c r="DA66" s="2">
        <f t="shared" si="44"/>
        <v>7.7777777777777349E-2</v>
      </c>
      <c r="DB66" s="1" t="s">
        <v>1074</v>
      </c>
      <c r="DC66" t="str">
        <f t="shared" si="45"/>
        <v>reg</v>
      </c>
      <c r="DD66" t="s">
        <v>1156</v>
      </c>
      <c r="DE66">
        <v>2010</v>
      </c>
      <c r="DF66" s="143">
        <v>2100</v>
      </c>
      <c r="DG66" s="143">
        <f t="shared" si="46"/>
        <v>90</v>
      </c>
      <c r="DH66" t="str">
        <f t="shared" si="47"/>
        <v>71-100</v>
      </c>
      <c r="DI66">
        <v>1</v>
      </c>
      <c r="DJ66">
        <v>0</v>
      </c>
      <c r="DK66">
        <v>0</v>
      </c>
      <c r="DL66">
        <v>0</v>
      </c>
      <c r="DN66">
        <f t="shared" si="48"/>
        <v>1</v>
      </c>
      <c r="DO66" t="str">
        <f t="shared" si="49"/>
        <v>UpstreamInput</v>
      </c>
      <c r="DP66" t="str">
        <f t="shared" si="50"/>
        <v>Upstream</v>
      </c>
      <c r="DQ66">
        <f t="shared" si="51"/>
        <v>0</v>
      </c>
      <c r="DR66">
        <f t="shared" si="52"/>
        <v>0</v>
      </c>
      <c r="DS66">
        <f t="shared" si="53"/>
        <v>0</v>
      </c>
      <c r="DT66" s="143">
        <v>1</v>
      </c>
      <c r="DU66">
        <v>0</v>
      </c>
      <c r="DV66" s="143">
        <v>0</v>
      </c>
      <c r="DW66" s="143">
        <v>0</v>
      </c>
      <c r="DX66" s="143" t="s">
        <v>1157</v>
      </c>
      <c r="DY66">
        <f t="shared" si="54"/>
        <v>1</v>
      </c>
      <c r="DZ66" s="143" t="str">
        <f t="shared" si="55"/>
        <v>self-calculated DF</v>
      </c>
      <c r="EA66" s="143">
        <v>0</v>
      </c>
      <c r="EB66">
        <v>1</v>
      </c>
      <c r="EC66" s="143">
        <v>1</v>
      </c>
      <c r="ED66" s="143">
        <v>0</v>
      </c>
      <c r="EE66">
        <v>0</v>
      </c>
      <c r="EF66">
        <v>0</v>
      </c>
      <c r="EG66" s="143">
        <v>0</v>
      </c>
      <c r="EH66">
        <v>0</v>
      </c>
      <c r="EI66" s="143">
        <v>0</v>
      </c>
      <c r="EJ66">
        <v>0</v>
      </c>
      <c r="EK66">
        <v>1</v>
      </c>
      <c r="EL66" s="143">
        <v>0</v>
      </c>
      <c r="EM66">
        <v>0</v>
      </c>
      <c r="EN66" s="2">
        <v>0</v>
      </c>
      <c r="EP66" t="str">
        <f t="shared" si="17"/>
        <v/>
      </c>
      <c r="EQ66" t="str">
        <f t="shared" si="56"/>
        <v/>
      </c>
      <c r="ER66" s="2" t="str">
        <f t="shared" si="18"/>
        <v/>
      </c>
      <c r="ES66" t="str">
        <f t="shared" si="19"/>
        <v/>
      </c>
      <c r="ET66" t="str">
        <f t="shared" si="20"/>
        <v/>
      </c>
      <c r="EU66" t="str">
        <f t="shared" si="21"/>
        <v/>
      </c>
      <c r="EW66" t="s">
        <v>1158</v>
      </c>
      <c r="EY66" t="str">
        <f>IF(ISNUMBER(BW66),IF(ABS(BW66-[3]QC_indicators!$B$2)&gt;3*[3]QC_indicators!$C$2,"C ratio",IF(ISNUMBER(CA66),IF(ABS(CA66-[3]QC_indicators!$B$1)&gt;3*[3]QC_indicators!$C$1,"DF","no"))),IF(ISNUMBER(CA66),IF(ABS(CA66-[3]QC_indicators!$B$1)&gt;3*[3]QC_indicators!$C$1,"DF","no")))</f>
        <v>DF</v>
      </c>
      <c r="EZ66" t="s">
        <v>286</v>
      </c>
      <c r="FA66" t="str">
        <f t="shared" si="22"/>
        <v/>
      </c>
      <c r="FB66" t="s">
        <v>1159</v>
      </c>
      <c r="FD66" s="260" t="s">
        <v>2948</v>
      </c>
    </row>
    <row r="67" spans="1:160" ht="15" hidden="1" customHeight="1">
      <c r="A67" s="1" t="s">
        <v>1145</v>
      </c>
      <c r="B67" t="s">
        <v>1146</v>
      </c>
      <c r="C67" t="s">
        <v>1147</v>
      </c>
      <c r="D67" t="s">
        <v>1148</v>
      </c>
      <c r="E67" t="s">
        <v>1149</v>
      </c>
      <c r="F67" t="s">
        <v>1150</v>
      </c>
      <c r="G67" t="s">
        <v>1151</v>
      </c>
      <c r="I67">
        <v>2019</v>
      </c>
      <c r="K67" s="260" t="s">
        <v>1152</v>
      </c>
      <c r="M67" t="str">
        <f t="shared" si="0"/>
        <v>Baskent_2019</v>
      </c>
      <c r="N67" s="334" t="s">
        <v>1225</v>
      </c>
      <c r="O67" s="140" t="s">
        <v>508</v>
      </c>
      <c r="Q67" t="s">
        <v>224</v>
      </c>
      <c r="R67" s="264" t="s">
        <v>274</v>
      </c>
      <c r="S67" s="1" t="s">
        <v>1153</v>
      </c>
      <c r="T67" s="143" t="s">
        <v>1154</v>
      </c>
      <c r="U67" t="s">
        <v>1003</v>
      </c>
      <c r="V67">
        <v>0</v>
      </c>
      <c r="W67" s="317">
        <v>1</v>
      </c>
      <c r="X67" s="143">
        <v>0</v>
      </c>
      <c r="Y67" s="143">
        <v>0</v>
      </c>
      <c r="Z67" s="143">
        <v>0</v>
      </c>
      <c r="AA67" s="143">
        <v>1</v>
      </c>
      <c r="AB67" s="143">
        <v>2</v>
      </c>
      <c r="AC67" s="143">
        <v>0</v>
      </c>
      <c r="AD67" s="143">
        <v>0</v>
      </c>
      <c r="AE67" s="143">
        <v>0</v>
      </c>
      <c r="AF67">
        <v>0</v>
      </c>
      <c r="AG67">
        <v>0</v>
      </c>
      <c r="AH67">
        <v>2</v>
      </c>
      <c r="AI67">
        <v>0</v>
      </c>
      <c r="AJ67">
        <v>0</v>
      </c>
      <c r="AK67">
        <v>0</v>
      </c>
      <c r="AL67">
        <v>2</v>
      </c>
      <c r="AM67">
        <v>0</v>
      </c>
      <c r="AN67">
        <v>0</v>
      </c>
      <c r="AO67">
        <v>0</v>
      </c>
      <c r="AP67">
        <v>2</v>
      </c>
      <c r="AQ67">
        <v>2</v>
      </c>
      <c r="AR67">
        <v>0</v>
      </c>
      <c r="AS67">
        <v>0</v>
      </c>
      <c r="AT67">
        <v>0</v>
      </c>
      <c r="AU67">
        <v>2</v>
      </c>
      <c r="AV67">
        <v>0</v>
      </c>
      <c r="AW67">
        <v>0</v>
      </c>
      <c r="AX67">
        <v>0</v>
      </c>
      <c r="AY67">
        <v>2</v>
      </c>
      <c r="AZ67" s="141">
        <f t="shared" si="23"/>
        <v>8</v>
      </c>
      <c r="BA67" s="141">
        <f t="shared" si="24"/>
        <v>4</v>
      </c>
      <c r="BB67">
        <f t="shared" si="25"/>
        <v>2</v>
      </c>
      <c r="BC67">
        <f t="shared" si="26"/>
        <v>1</v>
      </c>
      <c r="BD67">
        <f t="shared" si="27"/>
        <v>1</v>
      </c>
      <c r="BE67">
        <f t="shared" si="28"/>
        <v>2</v>
      </c>
      <c r="BF67">
        <f t="shared" si="29"/>
        <v>2</v>
      </c>
      <c r="BG67" t="str">
        <f t="array" ref="BG67">IF(BA67=1,INDEX($X$7:$AN$7,MATCH(TRUE,INDEX($X67:$AY67&lt;&gt;0,),0)),IF(BA67=0,INDEX($AO$7:$AY$7,MATCH(1,$AO67:$AY67,0)),IF(BH67="Multiple strategies","mixed drivers",IF(BH67="Supply chain","multiple supply","multiple silviculture"))))</f>
        <v>mixed drivers</v>
      </c>
      <c r="BH67" s="2" t="str" cm="1">
        <f t="array" ref="BH67">IF(COUNTIF(BB67:BD67,"&lt;&gt;0")=1,INDEX($X$4:$AY$4,MATCH(TRUE,INDEX($X67:$AY67&lt;&gt;0,),0)),IF(COUNTIF(BB67:BD67,"&lt;&gt;0")=0,INDEX($AO$4:$AY$4,MATCH(1,$AO67:$AY67,0)),"Multiple strategies"))</f>
        <v>Multiple strategies</v>
      </c>
      <c r="BI67" s="1" t="s">
        <v>321</v>
      </c>
      <c r="BJ67" t="s">
        <v>1155</v>
      </c>
      <c r="BL67" s="143" t="s">
        <v>278</v>
      </c>
      <c r="BM67">
        <v>21.305418719211811</v>
      </c>
      <c r="BN67">
        <v>22.204433497536925</v>
      </c>
      <c r="BO67">
        <f t="shared" si="30"/>
        <v>1.0421965317919071</v>
      </c>
      <c r="BP67">
        <f t="shared" si="31"/>
        <v>0.89901477832511389</v>
      </c>
      <c r="BQ67" s="143">
        <f t="shared" si="32"/>
        <v>3.9036681646770037</v>
      </c>
      <c r="BR67" t="s">
        <v>232</v>
      </c>
      <c r="BS67" t="s">
        <v>767</v>
      </c>
      <c r="BT67" s="143" t="s">
        <v>278</v>
      </c>
      <c r="BU67">
        <v>42.671145411137601</v>
      </c>
      <c r="BV67">
        <v>32.530120481927703</v>
      </c>
      <c r="BW67" s="144">
        <f t="shared" si="33"/>
        <v>0.76234467503740855</v>
      </c>
      <c r="BX67">
        <f t="shared" si="34"/>
        <v>-10.141024929209898</v>
      </c>
      <c r="BZ67">
        <f t="shared" si="35"/>
        <v>-37.217561490200325</v>
      </c>
      <c r="CA67">
        <f t="shared" si="13"/>
        <v>-9.5339972354642413</v>
      </c>
      <c r="CB67" s="143">
        <v>0</v>
      </c>
      <c r="CC67" s="143">
        <v>0</v>
      </c>
      <c r="CD67" s="143">
        <v>0</v>
      </c>
      <c r="CE67" s="143">
        <v>0</v>
      </c>
      <c r="CF67" s="143">
        <v>0</v>
      </c>
      <c r="CG67" s="143">
        <v>0</v>
      </c>
      <c r="CH67" s="143">
        <v>0</v>
      </c>
      <c r="CI67" s="143">
        <v>1</v>
      </c>
      <c r="CJ67" s="143">
        <v>0</v>
      </c>
      <c r="CK67" s="143">
        <v>1</v>
      </c>
      <c r="CL67" s="143">
        <v>1</v>
      </c>
      <c r="CM67" s="143">
        <v>0</v>
      </c>
      <c r="CN67" s="143">
        <v>1</v>
      </c>
      <c r="CO67" s="143">
        <v>0</v>
      </c>
      <c r="CP67" t="str">
        <f t="shared" si="36"/>
        <v>refOK</v>
      </c>
      <c r="CQ67">
        <f t="shared" si="37"/>
        <v>21.305418719211811</v>
      </c>
      <c r="CR67">
        <f t="shared" si="38"/>
        <v>22.204433497536925</v>
      </c>
      <c r="CS67">
        <f t="shared" si="39"/>
        <v>3.9036681646770037</v>
      </c>
      <c r="CT67">
        <f t="shared" si="14"/>
        <v>1.9518340823385019</v>
      </c>
      <c r="CU67">
        <f t="shared" si="40"/>
        <v>42.671145411137601</v>
      </c>
      <c r="CV67">
        <f t="shared" si="41"/>
        <v>32.530120481927703</v>
      </c>
      <c r="CW67">
        <f t="shared" si="42"/>
        <v>-37.217561490200325</v>
      </c>
      <c r="CX67">
        <f t="shared" si="15"/>
        <v>-9.5339972354642413</v>
      </c>
      <c r="CY67">
        <f t="shared" si="43"/>
        <v>-9.5339972354642413</v>
      </c>
      <c r="CZ67">
        <f t="shared" si="16"/>
        <v>-19.067994470928483</v>
      </c>
      <c r="DA67" s="2">
        <f t="shared" si="44"/>
        <v>-0.23765532496259142</v>
      </c>
      <c r="DB67" s="1" t="s">
        <v>1074</v>
      </c>
      <c r="DC67" t="str">
        <f t="shared" si="45"/>
        <v>reg</v>
      </c>
      <c r="DD67" t="s">
        <v>1156</v>
      </c>
      <c r="DE67">
        <v>2010</v>
      </c>
      <c r="DF67" s="143">
        <v>2100</v>
      </c>
      <c r="DG67" s="143">
        <f t="shared" si="46"/>
        <v>90</v>
      </c>
      <c r="DH67" t="str">
        <f t="shared" si="47"/>
        <v>71-100</v>
      </c>
      <c r="DI67">
        <v>1</v>
      </c>
      <c r="DJ67">
        <v>0</v>
      </c>
      <c r="DK67">
        <v>0</v>
      </c>
      <c r="DL67">
        <v>0</v>
      </c>
      <c r="DN67">
        <f t="shared" si="48"/>
        <v>1</v>
      </c>
      <c r="DO67" t="str">
        <f t="shared" si="49"/>
        <v>UpstreamInput</v>
      </c>
      <c r="DP67" t="str">
        <f t="shared" si="50"/>
        <v>Upstream</v>
      </c>
      <c r="DQ67">
        <f t="shared" si="51"/>
        <v>0</v>
      </c>
      <c r="DR67">
        <f t="shared" si="52"/>
        <v>0</v>
      </c>
      <c r="DS67">
        <f t="shared" si="53"/>
        <v>0</v>
      </c>
      <c r="DT67" s="143">
        <v>1</v>
      </c>
      <c r="DU67">
        <v>0</v>
      </c>
      <c r="DV67" s="143">
        <v>0</v>
      </c>
      <c r="DW67" s="143">
        <v>0</v>
      </c>
      <c r="DX67" s="143" t="s">
        <v>1157</v>
      </c>
      <c r="DY67">
        <f t="shared" si="54"/>
        <v>1</v>
      </c>
      <c r="DZ67" s="143" t="str">
        <f t="shared" si="55"/>
        <v>self-calculated DF</v>
      </c>
      <c r="EA67" s="143">
        <v>0</v>
      </c>
      <c r="EB67">
        <v>1</v>
      </c>
      <c r="EC67" s="143">
        <v>1</v>
      </c>
      <c r="ED67" s="143">
        <v>0</v>
      </c>
      <c r="EE67">
        <v>0</v>
      </c>
      <c r="EF67">
        <v>0</v>
      </c>
      <c r="EG67" s="143">
        <v>0</v>
      </c>
      <c r="EH67">
        <v>0</v>
      </c>
      <c r="EI67" s="143">
        <v>0</v>
      </c>
      <c r="EJ67">
        <v>0</v>
      </c>
      <c r="EK67">
        <v>1</v>
      </c>
      <c r="EL67" s="143">
        <v>0</v>
      </c>
      <c r="EM67">
        <v>0</v>
      </c>
      <c r="EN67" s="2">
        <v>0</v>
      </c>
      <c r="EP67" t="str">
        <f t="shared" si="17"/>
        <v/>
      </c>
      <c r="EQ67" t="str">
        <f t="shared" si="56"/>
        <v/>
      </c>
      <c r="ER67" s="2" t="str">
        <f t="shared" si="18"/>
        <v/>
      </c>
      <c r="ES67" t="str">
        <f t="shared" si="19"/>
        <v/>
      </c>
      <c r="ET67" t="str">
        <f t="shared" si="20"/>
        <v/>
      </c>
      <c r="EU67" t="str">
        <f t="shared" si="21"/>
        <v/>
      </c>
      <c r="EW67" t="s">
        <v>1158</v>
      </c>
      <c r="EY67" t="str">
        <f>IF(ISNUMBER(BW67),IF(ABS(BW67-[3]QC_indicators!$B$2)&gt;3*[3]QC_indicators!$C$2,"C ratio",IF(ISNUMBER(CA67),IF(ABS(CA67-[3]QC_indicators!$B$1)&gt;3*[3]QC_indicators!$C$1,"DF","no"))),IF(ISNUMBER(CA67),IF(ABS(CA67-[3]QC_indicators!$B$1)&gt;3*[3]QC_indicators!$C$1,"DF","no")))</f>
        <v>DF</v>
      </c>
      <c r="EZ67" t="s">
        <v>286</v>
      </c>
      <c r="FA67" t="str">
        <f t="shared" si="22"/>
        <v/>
      </c>
      <c r="FB67" t="s">
        <v>1159</v>
      </c>
      <c r="FD67" s="260" t="s">
        <v>2948</v>
      </c>
    </row>
    <row r="68" spans="1:160" ht="15" hidden="1" customHeight="1">
      <c r="A68" s="1" t="s">
        <v>1145</v>
      </c>
      <c r="B68" t="s">
        <v>1146</v>
      </c>
      <c r="C68" t="s">
        <v>1147</v>
      </c>
      <c r="D68" t="s">
        <v>1148</v>
      </c>
      <c r="E68" t="s">
        <v>1149</v>
      </c>
      <c r="F68" t="s">
        <v>1150</v>
      </c>
      <c r="G68" t="s">
        <v>1151</v>
      </c>
      <c r="I68">
        <v>2019</v>
      </c>
      <c r="K68" t="s">
        <v>1152</v>
      </c>
      <c r="M68" t="str">
        <f t="shared" si="0"/>
        <v>Baskent_2019</v>
      </c>
      <c r="N68" s="334" t="s">
        <v>1225</v>
      </c>
      <c r="O68" s="140" t="s">
        <v>508</v>
      </c>
      <c r="Q68" t="s">
        <v>224</v>
      </c>
      <c r="R68" s="264" t="s">
        <v>274</v>
      </c>
      <c r="S68" s="1" t="s">
        <v>1153</v>
      </c>
      <c r="T68" t="s">
        <v>1003</v>
      </c>
      <c r="U68" s="143" t="s">
        <v>1160</v>
      </c>
      <c r="V68">
        <v>0</v>
      </c>
      <c r="W68" s="317">
        <v>1</v>
      </c>
      <c r="X68" s="143">
        <v>0</v>
      </c>
      <c r="Y68" s="143">
        <v>0</v>
      </c>
      <c r="Z68" s="143">
        <v>0</v>
      </c>
      <c r="AA68" s="143">
        <v>1</v>
      </c>
      <c r="AB68" s="143">
        <v>2</v>
      </c>
      <c r="AC68" s="143">
        <v>0</v>
      </c>
      <c r="AD68" s="143">
        <v>0</v>
      </c>
      <c r="AE68" s="143">
        <v>0</v>
      </c>
      <c r="AF68">
        <v>0</v>
      </c>
      <c r="AG68">
        <v>0</v>
      </c>
      <c r="AH68">
        <v>2</v>
      </c>
      <c r="AI68">
        <v>0</v>
      </c>
      <c r="AJ68">
        <v>0</v>
      </c>
      <c r="AK68">
        <v>0</v>
      </c>
      <c r="AL68">
        <v>2</v>
      </c>
      <c r="AM68">
        <v>0</v>
      </c>
      <c r="AN68">
        <v>0</v>
      </c>
      <c r="AO68">
        <v>0</v>
      </c>
      <c r="AP68">
        <v>2</v>
      </c>
      <c r="AQ68">
        <v>2</v>
      </c>
      <c r="AR68">
        <v>0</v>
      </c>
      <c r="AS68">
        <v>0</v>
      </c>
      <c r="AT68">
        <v>0</v>
      </c>
      <c r="AU68">
        <v>2</v>
      </c>
      <c r="AV68">
        <v>0</v>
      </c>
      <c r="AW68">
        <v>0</v>
      </c>
      <c r="AX68">
        <v>0</v>
      </c>
      <c r="AY68">
        <v>2</v>
      </c>
      <c r="AZ68" s="141">
        <f t="shared" si="23"/>
        <v>8</v>
      </c>
      <c r="BA68" s="141">
        <f t="shared" si="24"/>
        <v>4</v>
      </c>
      <c r="BB68">
        <f t="shared" si="25"/>
        <v>2</v>
      </c>
      <c r="BC68">
        <f t="shared" si="26"/>
        <v>1</v>
      </c>
      <c r="BD68">
        <f t="shared" si="27"/>
        <v>1</v>
      </c>
      <c r="BE68">
        <f t="shared" si="28"/>
        <v>2</v>
      </c>
      <c r="BF68">
        <f t="shared" si="29"/>
        <v>2</v>
      </c>
      <c r="BG68" t="str">
        <f t="array" ref="BG68">IF(BA68=1,INDEX($X$7:$AN$7,MATCH(TRUE,INDEX($X68:$AY68&lt;&gt;0,),0)),IF(BA68=0,INDEX($AO$7:$AY$7,MATCH(1,$AO68:$AY68,0)),IF(BH68="Multiple strategies","mixed drivers",IF(BH68="Supply chain","multiple supply","multiple silviculture"))))</f>
        <v>mixed drivers</v>
      </c>
      <c r="BH68" s="2" t="str" cm="1">
        <f t="array" ref="BH68">IF(COUNTIF(BB68:BD68,"&lt;&gt;0")=1,INDEX($X$4:$AY$4,MATCH(TRUE,INDEX($X68:$AY68&lt;&gt;0,),0)),IF(COUNTIF(BB68:BD68,"&lt;&gt;0")=0,INDEX($AO$4:$AY$4,MATCH(1,$AO68:$AY68,0)),"Multiple strategies"))</f>
        <v>Multiple strategies</v>
      </c>
      <c r="BI68" s="1" t="s">
        <v>321</v>
      </c>
      <c r="BJ68" t="s">
        <v>1155</v>
      </c>
      <c r="BL68" s="143" t="s">
        <v>278</v>
      </c>
      <c r="BM68">
        <v>10.270935960591125</v>
      </c>
      <c r="BN68">
        <v>11.20689655172413</v>
      </c>
      <c r="BO68" s="143">
        <f t="shared" si="30"/>
        <v>1.091127098321343</v>
      </c>
      <c r="BP68">
        <f t="shared" si="31"/>
        <v>0.93596059113300534</v>
      </c>
      <c r="BQ68" s="143">
        <f t="shared" si="32"/>
        <v>4.0640928837733625</v>
      </c>
      <c r="BR68" t="s">
        <v>232</v>
      </c>
      <c r="BS68" t="s">
        <v>767</v>
      </c>
      <c r="BT68" s="143" t="s">
        <v>278</v>
      </c>
      <c r="BU68">
        <v>30.8433734939759</v>
      </c>
      <c r="BV68">
        <v>30.8433734939759</v>
      </c>
      <c r="BW68" s="144">
        <f t="shared" si="33"/>
        <v>1</v>
      </c>
      <c r="BX68">
        <f t="shared" si="34"/>
        <v>0</v>
      </c>
      <c r="BZ68">
        <f t="shared" si="35"/>
        <v>0</v>
      </c>
      <c r="CA68">
        <f t="shared" si="13"/>
        <v>0</v>
      </c>
      <c r="CB68" s="143">
        <v>0</v>
      </c>
      <c r="CC68" s="143">
        <v>0</v>
      </c>
      <c r="CD68" s="143">
        <v>0</v>
      </c>
      <c r="CE68" s="143">
        <v>0</v>
      </c>
      <c r="CF68" s="143">
        <v>0</v>
      </c>
      <c r="CG68" s="143">
        <v>0</v>
      </c>
      <c r="CH68" s="143">
        <v>0</v>
      </c>
      <c r="CI68" s="143">
        <v>1</v>
      </c>
      <c r="CJ68" s="143">
        <v>0</v>
      </c>
      <c r="CK68" s="143">
        <v>1</v>
      </c>
      <c r="CL68" s="143">
        <v>1</v>
      </c>
      <c r="CM68" s="143">
        <v>0</v>
      </c>
      <c r="CN68" s="143">
        <v>1</v>
      </c>
      <c r="CO68" s="143">
        <v>0</v>
      </c>
      <c r="CP68" t="str">
        <f t="shared" si="36"/>
        <v>refOK</v>
      </c>
      <c r="CQ68">
        <f t="shared" si="37"/>
        <v>10.270935960591125</v>
      </c>
      <c r="CR68">
        <f t="shared" si="38"/>
        <v>11.20689655172413</v>
      </c>
      <c r="CS68">
        <f t="shared" si="39"/>
        <v>4.0640928837733625</v>
      </c>
      <c r="CT68">
        <f t="shared" si="14"/>
        <v>2.0320464418866813</v>
      </c>
      <c r="CU68">
        <f t="shared" si="40"/>
        <v>30.8433734939759</v>
      </c>
      <c r="CV68">
        <f t="shared" si="41"/>
        <v>30.8433734939759</v>
      </c>
      <c r="CW68">
        <f t="shared" si="42"/>
        <v>0</v>
      </c>
      <c r="CX68">
        <f t="shared" si="15"/>
        <v>0</v>
      </c>
      <c r="CY68">
        <f t="shared" si="43"/>
        <v>0</v>
      </c>
      <c r="CZ68">
        <f t="shared" si="16"/>
        <v>0</v>
      </c>
      <c r="DA68" s="2">
        <f t="shared" si="44"/>
        <v>0</v>
      </c>
      <c r="DB68" s="1" t="s">
        <v>1074</v>
      </c>
      <c r="DC68" t="str">
        <f t="shared" si="45"/>
        <v>reg</v>
      </c>
      <c r="DD68" t="s">
        <v>1156</v>
      </c>
      <c r="DE68">
        <v>2010</v>
      </c>
      <c r="DF68" s="143">
        <v>2060</v>
      </c>
      <c r="DG68" s="143">
        <f t="shared" si="46"/>
        <v>50</v>
      </c>
      <c r="DH68" t="str">
        <f t="shared" si="47"/>
        <v>31-70</v>
      </c>
      <c r="DI68">
        <v>1</v>
      </c>
      <c r="DJ68">
        <v>0</v>
      </c>
      <c r="DK68">
        <v>0</v>
      </c>
      <c r="DL68">
        <v>0</v>
      </c>
      <c r="DN68">
        <f t="shared" si="48"/>
        <v>1</v>
      </c>
      <c r="DO68" t="str">
        <f t="shared" si="49"/>
        <v>UpstreamInput</v>
      </c>
      <c r="DP68" t="str">
        <f t="shared" si="50"/>
        <v>Upstream</v>
      </c>
      <c r="DQ68">
        <f t="shared" si="51"/>
        <v>0</v>
      </c>
      <c r="DR68">
        <f t="shared" si="52"/>
        <v>0</v>
      </c>
      <c r="DS68">
        <f t="shared" si="53"/>
        <v>0</v>
      </c>
      <c r="DT68" s="143">
        <v>1</v>
      </c>
      <c r="DU68">
        <v>0</v>
      </c>
      <c r="DV68" s="143">
        <v>0</v>
      </c>
      <c r="DW68" s="143">
        <v>0</v>
      </c>
      <c r="DX68" s="143" t="s">
        <v>1157</v>
      </c>
      <c r="DY68">
        <f t="shared" si="54"/>
        <v>1</v>
      </c>
      <c r="DZ68" s="143" t="str">
        <f t="shared" si="55"/>
        <v>self-calculated DF</v>
      </c>
      <c r="EA68" s="143">
        <v>0</v>
      </c>
      <c r="EB68">
        <v>1</v>
      </c>
      <c r="EC68" s="143">
        <v>1</v>
      </c>
      <c r="ED68" s="143">
        <v>0</v>
      </c>
      <c r="EE68">
        <v>0</v>
      </c>
      <c r="EF68">
        <v>0</v>
      </c>
      <c r="EG68" s="143">
        <v>0</v>
      </c>
      <c r="EH68">
        <v>0</v>
      </c>
      <c r="EI68" s="143">
        <v>0</v>
      </c>
      <c r="EJ68">
        <v>0</v>
      </c>
      <c r="EK68">
        <v>1</v>
      </c>
      <c r="EL68" s="143">
        <v>0</v>
      </c>
      <c r="EM68">
        <v>0</v>
      </c>
      <c r="EN68" s="2">
        <v>0</v>
      </c>
      <c r="EP68" t="str">
        <f t="shared" si="17"/>
        <v/>
      </c>
      <c r="EQ68" t="str">
        <f t="shared" si="56"/>
        <v/>
      </c>
      <c r="ER68" s="2" t="str">
        <f t="shared" si="18"/>
        <v/>
      </c>
      <c r="ES68" t="str">
        <f t="shared" si="19"/>
        <v/>
      </c>
      <c r="ET68" t="str">
        <f t="shared" si="20"/>
        <v/>
      </c>
      <c r="EU68" t="str">
        <f t="shared" si="21"/>
        <v/>
      </c>
      <c r="EW68" t="s">
        <v>1158</v>
      </c>
      <c r="EY68" t="str">
        <f>IF(ISNUMBER(BW68),IF(ABS(BW68-[3]QC_indicators!$B$2)&gt;3*[3]QC_indicators!$C$2,"C ratio",IF(ISNUMBER(CA68),IF(ABS(CA68-[3]QC_indicators!$B$1)&gt;3*[3]QC_indicators!$C$1,"DF","no"))),IF(ISNUMBER(CA68),IF(ABS(CA68-[3]QC_indicators!$B$1)&gt;3*[3]QC_indicators!$C$1,"DF","no")))</f>
        <v>no</v>
      </c>
      <c r="EZ68" t="s">
        <v>286</v>
      </c>
      <c r="FA68" t="str">
        <f t="shared" si="22"/>
        <v/>
      </c>
      <c r="FB68" t="s">
        <v>1159</v>
      </c>
      <c r="FD68" s="260" t="s">
        <v>2948</v>
      </c>
    </row>
    <row r="69" spans="1:160" ht="15" hidden="1" customHeight="1">
      <c r="A69" s="1" t="s">
        <v>1145</v>
      </c>
      <c r="B69" t="s">
        <v>1146</v>
      </c>
      <c r="C69" t="s">
        <v>1147</v>
      </c>
      <c r="D69" t="s">
        <v>1148</v>
      </c>
      <c r="E69" t="s">
        <v>1149</v>
      </c>
      <c r="F69" t="s">
        <v>1150</v>
      </c>
      <c r="G69" t="s">
        <v>1151</v>
      </c>
      <c r="I69">
        <v>2019</v>
      </c>
      <c r="K69" t="s">
        <v>1152</v>
      </c>
      <c r="M69" t="str">
        <f t="shared" si="0"/>
        <v>Baskent_2019</v>
      </c>
      <c r="N69" s="334" t="s">
        <v>1225</v>
      </c>
      <c r="O69" s="140" t="s">
        <v>508</v>
      </c>
      <c r="Q69" t="s">
        <v>224</v>
      </c>
      <c r="R69" s="264" t="s">
        <v>274</v>
      </c>
      <c r="S69" s="1" t="s">
        <v>1153</v>
      </c>
      <c r="T69" s="143" t="s">
        <v>1154</v>
      </c>
      <c r="U69" t="s">
        <v>1003</v>
      </c>
      <c r="V69">
        <v>0</v>
      </c>
      <c r="W69" s="317">
        <v>1</v>
      </c>
      <c r="X69" s="143">
        <v>0</v>
      </c>
      <c r="Y69" s="143">
        <v>0</v>
      </c>
      <c r="Z69" s="143">
        <v>0</v>
      </c>
      <c r="AA69" s="143">
        <v>1</v>
      </c>
      <c r="AB69" s="143">
        <v>2</v>
      </c>
      <c r="AC69" s="143">
        <v>0</v>
      </c>
      <c r="AD69" s="143">
        <v>0</v>
      </c>
      <c r="AE69" s="143">
        <v>0</v>
      </c>
      <c r="AF69">
        <v>0</v>
      </c>
      <c r="AG69">
        <v>0</v>
      </c>
      <c r="AH69">
        <v>2</v>
      </c>
      <c r="AI69">
        <v>0</v>
      </c>
      <c r="AJ69">
        <v>0</v>
      </c>
      <c r="AK69">
        <v>0</v>
      </c>
      <c r="AL69">
        <v>2</v>
      </c>
      <c r="AM69">
        <v>0</v>
      </c>
      <c r="AN69">
        <v>0</v>
      </c>
      <c r="AO69">
        <v>0</v>
      </c>
      <c r="AP69">
        <v>2</v>
      </c>
      <c r="AQ69">
        <v>2</v>
      </c>
      <c r="AR69">
        <v>0</v>
      </c>
      <c r="AS69">
        <v>0</v>
      </c>
      <c r="AT69">
        <v>0</v>
      </c>
      <c r="AU69">
        <v>2</v>
      </c>
      <c r="AV69">
        <v>0</v>
      </c>
      <c r="AW69">
        <v>0</v>
      </c>
      <c r="AX69">
        <v>0</v>
      </c>
      <c r="AY69">
        <v>2</v>
      </c>
      <c r="AZ69" s="141">
        <f t="shared" si="23"/>
        <v>8</v>
      </c>
      <c r="BA69" s="141">
        <f t="shared" si="24"/>
        <v>4</v>
      </c>
      <c r="BB69">
        <f t="shared" si="25"/>
        <v>2</v>
      </c>
      <c r="BC69">
        <f t="shared" si="26"/>
        <v>1</v>
      </c>
      <c r="BD69">
        <f t="shared" si="27"/>
        <v>1</v>
      </c>
      <c r="BE69">
        <f t="shared" si="28"/>
        <v>2</v>
      </c>
      <c r="BF69">
        <f t="shared" si="29"/>
        <v>2</v>
      </c>
      <c r="BG69" t="str">
        <f t="array" ref="BG69">IF(BA69=1,INDEX($X$7:$AN$7,MATCH(TRUE,INDEX($X69:$AY69&lt;&gt;0,),0)),IF(BA69=0,INDEX($AO$7:$AY$7,MATCH(1,$AO69:$AY69,0)),IF(BH69="Multiple strategies","mixed drivers",IF(BH69="Supply chain","multiple supply","multiple silviculture"))))</f>
        <v>mixed drivers</v>
      </c>
      <c r="BH69" s="2" t="str" cm="1">
        <f t="array" ref="BH69">IF(COUNTIF(BB69:BD69,"&lt;&gt;0")=1,INDEX($X$4:$AY$4,MATCH(TRUE,INDEX($X69:$AY69&lt;&gt;0,),0)),IF(COUNTIF(BB69:BD69,"&lt;&gt;0")=0,INDEX($AO$4:$AY$4,MATCH(1,$AO69:$AY69,0)),"Multiple strategies"))</f>
        <v>Multiple strategies</v>
      </c>
      <c r="BI69" s="1" t="s">
        <v>321</v>
      </c>
      <c r="BJ69" t="s">
        <v>1155</v>
      </c>
      <c r="BL69" s="143" t="s">
        <v>278</v>
      </c>
      <c r="BM69">
        <v>21.305418719211811</v>
      </c>
      <c r="BN69">
        <v>22.204433497536925</v>
      </c>
      <c r="BO69">
        <f t="shared" si="30"/>
        <v>1.0421965317919071</v>
      </c>
      <c r="BP69">
        <f t="shared" si="31"/>
        <v>0.89901477832511389</v>
      </c>
      <c r="BQ69" s="143">
        <f t="shared" si="32"/>
        <v>3.9036681646770037</v>
      </c>
      <c r="BR69" t="s">
        <v>232</v>
      </c>
      <c r="BS69" t="s">
        <v>767</v>
      </c>
      <c r="BT69" s="143" t="s">
        <v>278</v>
      </c>
      <c r="BU69">
        <v>54.215357944132023</v>
      </c>
      <c r="BV69">
        <v>42.123971298234274</v>
      </c>
      <c r="BW69" s="144">
        <f t="shared" si="33"/>
        <v>0.77697488120695035</v>
      </c>
      <c r="BX69">
        <f t="shared" si="34"/>
        <v>-12.091386645897749</v>
      </c>
      <c r="BZ69">
        <f t="shared" si="35"/>
        <v>-44.375388990444741</v>
      </c>
      <c r="CA69">
        <f t="shared" si="13"/>
        <v>-11.367613003580297</v>
      </c>
      <c r="CB69" s="143">
        <v>0</v>
      </c>
      <c r="CC69" s="143">
        <v>0</v>
      </c>
      <c r="CD69" s="143">
        <v>0</v>
      </c>
      <c r="CE69" s="143">
        <v>0</v>
      </c>
      <c r="CF69" s="143">
        <v>0</v>
      </c>
      <c r="CG69" s="143">
        <v>0</v>
      </c>
      <c r="CH69" s="143">
        <v>0</v>
      </c>
      <c r="CI69" s="143">
        <v>1</v>
      </c>
      <c r="CJ69" s="143">
        <v>0</v>
      </c>
      <c r="CK69" s="143">
        <v>1</v>
      </c>
      <c r="CL69" s="143">
        <v>1</v>
      </c>
      <c r="CM69" s="143">
        <v>0</v>
      </c>
      <c r="CN69" s="143">
        <v>1</v>
      </c>
      <c r="CO69" s="143">
        <v>0</v>
      </c>
      <c r="CP69" t="str">
        <f t="shared" si="36"/>
        <v>refOK</v>
      </c>
      <c r="CQ69">
        <f t="shared" si="37"/>
        <v>21.305418719211811</v>
      </c>
      <c r="CR69">
        <f t="shared" si="38"/>
        <v>22.204433497536925</v>
      </c>
      <c r="CS69">
        <f t="shared" si="39"/>
        <v>3.9036681646770037</v>
      </c>
      <c r="CT69">
        <f t="shared" si="14"/>
        <v>1.9518340823385019</v>
      </c>
      <c r="CU69">
        <f t="shared" si="40"/>
        <v>54.215357944132023</v>
      </c>
      <c r="CV69">
        <f t="shared" si="41"/>
        <v>42.123971298234274</v>
      </c>
      <c r="CW69">
        <f t="shared" si="42"/>
        <v>-44.375388990444741</v>
      </c>
      <c r="CX69">
        <f t="shared" si="15"/>
        <v>-11.367613003580297</v>
      </c>
      <c r="CY69">
        <f t="shared" si="43"/>
        <v>-11.367613003580297</v>
      </c>
      <c r="CZ69">
        <f t="shared" si="16"/>
        <v>-22.735226007160595</v>
      </c>
      <c r="DA69" s="2">
        <f t="shared" si="44"/>
        <v>-0.22302511879304959</v>
      </c>
      <c r="DB69" s="1" t="s">
        <v>1074</v>
      </c>
      <c r="DC69" t="str">
        <f t="shared" si="45"/>
        <v>reg</v>
      </c>
      <c r="DD69" t="s">
        <v>1156</v>
      </c>
      <c r="DE69">
        <v>2010</v>
      </c>
      <c r="DF69" s="143">
        <v>2100</v>
      </c>
      <c r="DG69" s="143">
        <f t="shared" si="46"/>
        <v>90</v>
      </c>
      <c r="DH69" t="str">
        <f t="shared" si="47"/>
        <v>71-100</v>
      </c>
      <c r="DI69">
        <v>1</v>
      </c>
      <c r="DJ69">
        <v>1</v>
      </c>
      <c r="DK69">
        <v>1</v>
      </c>
      <c r="DL69">
        <v>1</v>
      </c>
      <c r="DN69">
        <f t="shared" si="48"/>
        <v>4</v>
      </c>
      <c r="DO69" t="str">
        <f t="shared" si="49"/>
        <v>mixedProduct</v>
      </c>
      <c r="DP69" t="str">
        <f t="shared" si="50"/>
        <v>Upstream</v>
      </c>
      <c r="DQ69" t="str">
        <f t="shared" si="51"/>
        <v>Energy</v>
      </c>
      <c r="DR69" t="str">
        <f t="shared" si="52"/>
        <v>Pulp/Paper</v>
      </c>
      <c r="DS69" t="str">
        <f t="shared" si="53"/>
        <v>Timber</v>
      </c>
      <c r="DT69" s="143">
        <v>1</v>
      </c>
      <c r="DU69">
        <v>0</v>
      </c>
      <c r="DV69" s="143">
        <v>0</v>
      </c>
      <c r="DW69" s="143">
        <v>0</v>
      </c>
      <c r="DX69" s="143" t="s">
        <v>1157</v>
      </c>
      <c r="DY69">
        <f t="shared" si="54"/>
        <v>1</v>
      </c>
      <c r="DZ69" s="143" t="str">
        <f t="shared" si="55"/>
        <v>self-calculated DF</v>
      </c>
      <c r="EA69" s="143">
        <v>0</v>
      </c>
      <c r="EB69">
        <v>1</v>
      </c>
      <c r="EC69" s="143">
        <v>1</v>
      </c>
      <c r="ED69" s="143">
        <v>1</v>
      </c>
      <c r="EE69">
        <v>1</v>
      </c>
      <c r="EF69">
        <v>0</v>
      </c>
      <c r="EG69" s="143">
        <v>0</v>
      </c>
      <c r="EH69">
        <v>0</v>
      </c>
      <c r="EI69" s="143">
        <v>0</v>
      </c>
      <c r="EJ69">
        <v>0</v>
      </c>
      <c r="EK69">
        <v>1</v>
      </c>
      <c r="EL69" s="143">
        <v>0</v>
      </c>
      <c r="EM69">
        <v>0</v>
      </c>
      <c r="EN69" s="2">
        <v>0</v>
      </c>
      <c r="EP69" t="str">
        <f t="shared" si="17"/>
        <v/>
      </c>
      <c r="EQ69" t="str">
        <f t="shared" si="56"/>
        <v>Ecosystem approach</v>
      </c>
      <c r="ER69" s="2" t="str">
        <f t="shared" si="18"/>
        <v/>
      </c>
      <c r="ES69" t="str">
        <f t="shared" si="19"/>
        <v/>
      </c>
      <c r="ET69" t="str">
        <f t="shared" si="20"/>
        <v/>
      </c>
      <c r="EU69" t="str">
        <f t="shared" si="21"/>
        <v/>
      </c>
      <c r="EW69" t="s">
        <v>1158</v>
      </c>
      <c r="EY69" t="str">
        <f>IF(ISNUMBER(BW69),IF(ABS(BW69-[3]QC_indicators!$B$2)&gt;3*[3]QC_indicators!$C$2,"C ratio",IF(ISNUMBER(CA69),IF(ABS(CA69-[3]QC_indicators!$B$1)&gt;3*[3]QC_indicators!$C$1,"DF","no"))),IF(ISNUMBER(CA69),IF(ABS(CA69-[3]QC_indicators!$B$1)&gt;3*[3]QC_indicators!$C$1,"DF","no")))</f>
        <v>DF</v>
      </c>
      <c r="EZ69" t="s">
        <v>286</v>
      </c>
      <c r="FA69" t="str">
        <f t="shared" si="22"/>
        <v/>
      </c>
      <c r="FB69" t="s">
        <v>1159</v>
      </c>
      <c r="FD69" s="260" t="s">
        <v>2948</v>
      </c>
    </row>
    <row r="70" spans="1:160" ht="15" hidden="1" customHeight="1">
      <c r="A70" s="1" t="s">
        <v>1145</v>
      </c>
      <c r="B70" t="s">
        <v>1146</v>
      </c>
      <c r="C70" t="s">
        <v>1147</v>
      </c>
      <c r="D70" t="s">
        <v>1148</v>
      </c>
      <c r="E70" t="s">
        <v>1149</v>
      </c>
      <c r="F70" t="s">
        <v>1150</v>
      </c>
      <c r="G70" t="s">
        <v>1151</v>
      </c>
      <c r="I70">
        <v>2019</v>
      </c>
      <c r="K70" t="s">
        <v>1152</v>
      </c>
      <c r="M70" t="str">
        <f t="shared" si="0"/>
        <v>Baskent_2019</v>
      </c>
      <c r="N70" s="334" t="s">
        <v>1225</v>
      </c>
      <c r="O70" s="140" t="s">
        <v>508</v>
      </c>
      <c r="Q70" t="s">
        <v>224</v>
      </c>
      <c r="R70" s="264" t="s">
        <v>274</v>
      </c>
      <c r="S70" s="1" t="s">
        <v>1153</v>
      </c>
      <c r="T70" s="143" t="s">
        <v>1154</v>
      </c>
      <c r="U70" t="s">
        <v>1003</v>
      </c>
      <c r="V70">
        <v>0</v>
      </c>
      <c r="W70" s="317">
        <v>1</v>
      </c>
      <c r="X70" s="143">
        <v>0</v>
      </c>
      <c r="Y70" s="143">
        <v>0</v>
      </c>
      <c r="Z70" s="143">
        <v>0</v>
      </c>
      <c r="AA70" s="143">
        <v>1</v>
      </c>
      <c r="AB70" s="143">
        <v>2</v>
      </c>
      <c r="AC70" s="143">
        <v>0</v>
      </c>
      <c r="AD70" s="143">
        <v>0</v>
      </c>
      <c r="AE70" s="143">
        <v>0</v>
      </c>
      <c r="AF70">
        <v>0</v>
      </c>
      <c r="AG70">
        <v>0</v>
      </c>
      <c r="AH70">
        <v>2</v>
      </c>
      <c r="AI70">
        <v>0</v>
      </c>
      <c r="AJ70">
        <v>0</v>
      </c>
      <c r="AK70">
        <v>0</v>
      </c>
      <c r="AL70">
        <v>2</v>
      </c>
      <c r="AM70">
        <v>0</v>
      </c>
      <c r="AN70">
        <v>0</v>
      </c>
      <c r="AO70">
        <v>0</v>
      </c>
      <c r="AP70">
        <v>2</v>
      </c>
      <c r="AQ70">
        <v>2</v>
      </c>
      <c r="AR70">
        <v>0</v>
      </c>
      <c r="AS70">
        <v>0</v>
      </c>
      <c r="AT70">
        <v>0</v>
      </c>
      <c r="AU70">
        <v>2</v>
      </c>
      <c r="AV70">
        <v>0</v>
      </c>
      <c r="AW70">
        <v>0</v>
      </c>
      <c r="AX70">
        <v>0</v>
      </c>
      <c r="AY70">
        <v>2</v>
      </c>
      <c r="AZ70" s="141">
        <f t="shared" si="23"/>
        <v>8</v>
      </c>
      <c r="BA70" s="141">
        <f t="shared" si="24"/>
        <v>4</v>
      </c>
      <c r="BB70">
        <f t="shared" si="25"/>
        <v>2</v>
      </c>
      <c r="BC70">
        <f t="shared" si="26"/>
        <v>1</v>
      </c>
      <c r="BD70">
        <f t="shared" si="27"/>
        <v>1</v>
      </c>
      <c r="BE70">
        <f t="shared" si="28"/>
        <v>2</v>
      </c>
      <c r="BF70">
        <f t="shared" si="29"/>
        <v>2</v>
      </c>
      <c r="BG70" t="str">
        <f t="array" ref="BG70">IF(BA70=1,INDEX($X$7:$AN$7,MATCH(TRUE,INDEX($X70:$AY70&lt;&gt;0,),0)),IF(BA70=0,INDEX($AO$7:$AY$7,MATCH(1,$AO70:$AY70,0)),IF(BH70="Multiple strategies","mixed drivers",IF(BH70="Supply chain","multiple supply","multiple silviculture"))))</f>
        <v>mixed drivers</v>
      </c>
      <c r="BH70" s="2" t="str" cm="1">
        <f t="array" ref="BH70">IF(COUNTIF(BB70:BD70,"&lt;&gt;0")=1,INDEX($X$4:$AY$4,MATCH(TRUE,INDEX($X70:$AY70&lt;&gt;0,),0)),IF(COUNTIF(BB70:BD70,"&lt;&gt;0")=0,INDEX($AO$4:$AY$4,MATCH(1,$AO70:$AY70,0)),"Multiple strategies"))</f>
        <v>Multiple strategies</v>
      </c>
      <c r="BI70" s="1" t="s">
        <v>321</v>
      </c>
      <c r="BJ70" t="s">
        <v>1155</v>
      </c>
      <c r="BL70" s="143" t="s">
        <v>278</v>
      </c>
      <c r="BM70">
        <v>21.305418719211811</v>
      </c>
      <c r="BN70">
        <v>22.204433497536925</v>
      </c>
      <c r="BO70">
        <f t="shared" si="30"/>
        <v>1.0421965317919071</v>
      </c>
      <c r="BP70">
        <f t="shared" si="31"/>
        <v>0.89901477832511389</v>
      </c>
      <c r="BQ70" s="143">
        <f t="shared" si="32"/>
        <v>3.9036681646770037</v>
      </c>
      <c r="BR70" t="s">
        <v>232</v>
      </c>
      <c r="BS70" t="s">
        <v>767</v>
      </c>
      <c r="BT70" s="143" t="s">
        <v>278</v>
      </c>
      <c r="BU70">
        <v>34.822007358186738</v>
      </c>
      <c r="BV70">
        <v>33.994657876790122</v>
      </c>
      <c r="BW70" s="144">
        <f t="shared" si="33"/>
        <v>0.9762406149396754</v>
      </c>
      <c r="BX70">
        <f t="shared" si="34"/>
        <v>-0.82734948139661668</v>
      </c>
      <c r="BZ70">
        <f t="shared" si="35"/>
        <v>-3.0363725967255832</v>
      </c>
      <c r="CA70">
        <f t="shared" si="13"/>
        <v>-0.77782548839594257</v>
      </c>
      <c r="CB70" s="143">
        <v>0</v>
      </c>
      <c r="CC70" s="143">
        <v>0</v>
      </c>
      <c r="CD70" s="143">
        <v>0</v>
      </c>
      <c r="CE70" s="143">
        <v>0</v>
      </c>
      <c r="CF70" s="143">
        <v>0</v>
      </c>
      <c r="CG70" s="143">
        <v>0</v>
      </c>
      <c r="CH70" s="143">
        <v>0</v>
      </c>
      <c r="CI70" s="143">
        <v>1</v>
      </c>
      <c r="CJ70" s="143">
        <v>0</v>
      </c>
      <c r="CK70" s="143">
        <v>1</v>
      </c>
      <c r="CL70" s="143">
        <v>1</v>
      </c>
      <c r="CM70" s="143">
        <v>0</v>
      </c>
      <c r="CN70" s="143">
        <v>1</v>
      </c>
      <c r="CO70" s="143">
        <v>0</v>
      </c>
      <c r="CP70" t="str">
        <f t="shared" si="36"/>
        <v>refOK</v>
      </c>
      <c r="CQ70">
        <f t="shared" si="37"/>
        <v>21.305418719211811</v>
      </c>
      <c r="CR70">
        <f t="shared" si="38"/>
        <v>22.204433497536925</v>
      </c>
      <c r="CS70">
        <f t="shared" si="39"/>
        <v>3.9036681646770037</v>
      </c>
      <c r="CT70">
        <f t="shared" si="14"/>
        <v>1.9518340823385019</v>
      </c>
      <c r="CU70">
        <f t="shared" si="40"/>
        <v>34.822007358186738</v>
      </c>
      <c r="CV70">
        <f t="shared" si="41"/>
        <v>33.994657876790122</v>
      </c>
      <c r="CW70">
        <f t="shared" si="42"/>
        <v>-3.0363725967255832</v>
      </c>
      <c r="CX70">
        <f t="shared" si="15"/>
        <v>-0.77782548839594257</v>
      </c>
      <c r="CY70">
        <f t="shared" si="43"/>
        <v>-0.77782548839594257</v>
      </c>
      <c r="CZ70">
        <f t="shared" si="16"/>
        <v>-1.5556509767918851</v>
      </c>
      <c r="DA70" s="2">
        <f t="shared" si="44"/>
        <v>-2.3759385060324639E-2</v>
      </c>
      <c r="DB70" s="1" t="s">
        <v>1074</v>
      </c>
      <c r="DC70" t="str">
        <f t="shared" si="45"/>
        <v>reg</v>
      </c>
      <c r="DD70" t="s">
        <v>1156</v>
      </c>
      <c r="DE70">
        <v>2010</v>
      </c>
      <c r="DF70" s="143">
        <v>2100</v>
      </c>
      <c r="DG70" s="143">
        <f t="shared" si="46"/>
        <v>90</v>
      </c>
      <c r="DH70" t="str">
        <f t="shared" si="47"/>
        <v>71-100</v>
      </c>
      <c r="DI70">
        <v>1</v>
      </c>
      <c r="DJ70">
        <v>1</v>
      </c>
      <c r="DK70">
        <v>1</v>
      </c>
      <c r="DL70">
        <v>1</v>
      </c>
      <c r="DN70">
        <f t="shared" si="48"/>
        <v>4</v>
      </c>
      <c r="DO70" t="str">
        <f t="shared" si="49"/>
        <v>mixedProduct</v>
      </c>
      <c r="DP70" t="str">
        <f t="shared" si="50"/>
        <v>Upstream</v>
      </c>
      <c r="DQ70" t="str">
        <f t="shared" si="51"/>
        <v>Energy</v>
      </c>
      <c r="DR70" t="str">
        <f t="shared" si="52"/>
        <v>Pulp/Paper</v>
      </c>
      <c r="DS70" t="str">
        <f t="shared" si="53"/>
        <v>Timber</v>
      </c>
      <c r="DT70" s="143">
        <v>1</v>
      </c>
      <c r="DU70">
        <v>0</v>
      </c>
      <c r="DV70" s="143">
        <v>0</v>
      </c>
      <c r="DW70" s="143">
        <v>0</v>
      </c>
      <c r="DX70" s="143" t="s">
        <v>1157</v>
      </c>
      <c r="DY70">
        <f t="shared" si="54"/>
        <v>1</v>
      </c>
      <c r="DZ70" s="143" t="str">
        <f t="shared" si="55"/>
        <v>self-calculated DF</v>
      </c>
      <c r="EA70" s="143">
        <v>0</v>
      </c>
      <c r="EB70">
        <v>1</v>
      </c>
      <c r="EC70" s="143">
        <v>1</v>
      </c>
      <c r="ED70" s="143">
        <v>1</v>
      </c>
      <c r="EE70">
        <v>1</v>
      </c>
      <c r="EF70">
        <v>1</v>
      </c>
      <c r="EG70" s="143">
        <v>0</v>
      </c>
      <c r="EH70">
        <v>0</v>
      </c>
      <c r="EI70" s="143">
        <v>0</v>
      </c>
      <c r="EJ70">
        <v>0</v>
      </c>
      <c r="EK70">
        <v>1</v>
      </c>
      <c r="EL70" s="143">
        <v>0</v>
      </c>
      <c r="EM70">
        <v>0</v>
      </c>
      <c r="EN70" s="2">
        <v>0</v>
      </c>
      <c r="EP70" t="str">
        <f t="shared" si="17"/>
        <v/>
      </c>
      <c r="EQ70" t="str">
        <f t="shared" si="56"/>
        <v/>
      </c>
      <c r="ER70" s="2" t="str">
        <f t="shared" si="18"/>
        <v/>
      </c>
      <c r="ES70" t="str">
        <f t="shared" si="19"/>
        <v/>
      </c>
      <c r="ET70" t="str">
        <f t="shared" si="20"/>
        <v/>
      </c>
      <c r="EU70" t="str">
        <f t="shared" si="21"/>
        <v/>
      </c>
      <c r="EW70" t="s">
        <v>1158</v>
      </c>
      <c r="EY70" t="str">
        <f>IF(ISNUMBER(BW70),IF(ABS(BW70-[3]QC_indicators!$B$2)&gt;3*[3]QC_indicators!$C$2,"C ratio",IF(ISNUMBER(CA70),IF(ABS(CA70-[3]QC_indicators!$B$1)&gt;3*[3]QC_indicators!$C$1,"DF","no"))),IF(ISNUMBER(CA70),IF(ABS(CA70-[3]QC_indicators!$B$1)&gt;3*[3]QC_indicators!$C$1,"DF","no")))</f>
        <v>no</v>
      </c>
      <c r="EZ70" t="s">
        <v>286</v>
      </c>
      <c r="FA70" t="str">
        <f t="shared" si="22"/>
        <v/>
      </c>
      <c r="FB70" t="s">
        <v>1159</v>
      </c>
      <c r="FD70" s="260" t="s">
        <v>2948</v>
      </c>
    </row>
    <row r="71" spans="1:160" ht="15" hidden="1" customHeight="1">
      <c r="A71" s="1" t="s">
        <v>1145</v>
      </c>
      <c r="B71" t="s">
        <v>1146</v>
      </c>
      <c r="C71" t="s">
        <v>1147</v>
      </c>
      <c r="D71" t="s">
        <v>1148</v>
      </c>
      <c r="E71" t="s">
        <v>1149</v>
      </c>
      <c r="F71" t="s">
        <v>1150</v>
      </c>
      <c r="G71" t="s">
        <v>1151</v>
      </c>
      <c r="I71">
        <v>2019</v>
      </c>
      <c r="K71" t="s">
        <v>1152</v>
      </c>
      <c r="M71" t="str">
        <f t="shared" si="0"/>
        <v>Baskent_2019</v>
      </c>
      <c r="N71" s="334" t="s">
        <v>1225</v>
      </c>
      <c r="O71" s="140" t="s">
        <v>508</v>
      </c>
      <c r="Q71" t="s">
        <v>224</v>
      </c>
      <c r="R71" s="264" t="s">
        <v>274</v>
      </c>
      <c r="S71" s="1" t="s">
        <v>1153</v>
      </c>
      <c r="T71" t="s">
        <v>1003</v>
      </c>
      <c r="U71" s="143" t="s">
        <v>1160</v>
      </c>
      <c r="V71">
        <v>0</v>
      </c>
      <c r="W71" s="317">
        <v>1</v>
      </c>
      <c r="X71" s="143">
        <v>0</v>
      </c>
      <c r="Y71" s="143">
        <v>0</v>
      </c>
      <c r="Z71" s="143">
        <v>0</v>
      </c>
      <c r="AA71" s="143">
        <v>1</v>
      </c>
      <c r="AB71" s="143">
        <v>2</v>
      </c>
      <c r="AC71" s="143">
        <v>0</v>
      </c>
      <c r="AD71" s="143">
        <v>0</v>
      </c>
      <c r="AE71" s="143">
        <v>0</v>
      </c>
      <c r="AF71">
        <v>0</v>
      </c>
      <c r="AG71">
        <v>0</v>
      </c>
      <c r="AH71">
        <v>2</v>
      </c>
      <c r="AI71">
        <v>0</v>
      </c>
      <c r="AJ71">
        <v>0</v>
      </c>
      <c r="AK71">
        <v>0</v>
      </c>
      <c r="AL71">
        <v>2</v>
      </c>
      <c r="AM71">
        <v>0</v>
      </c>
      <c r="AN71">
        <v>0</v>
      </c>
      <c r="AO71">
        <v>0</v>
      </c>
      <c r="AP71">
        <v>2</v>
      </c>
      <c r="AQ71">
        <v>2</v>
      </c>
      <c r="AR71">
        <v>0</v>
      </c>
      <c r="AS71">
        <v>0</v>
      </c>
      <c r="AT71">
        <v>0</v>
      </c>
      <c r="AU71">
        <v>2</v>
      </c>
      <c r="AV71">
        <v>0</v>
      </c>
      <c r="AW71">
        <v>0</v>
      </c>
      <c r="AX71">
        <v>0</v>
      </c>
      <c r="AY71">
        <v>2</v>
      </c>
      <c r="AZ71" s="141">
        <f t="shared" si="23"/>
        <v>8</v>
      </c>
      <c r="BA71" s="141">
        <f t="shared" si="24"/>
        <v>4</v>
      </c>
      <c r="BB71">
        <f t="shared" si="25"/>
        <v>2</v>
      </c>
      <c r="BC71">
        <f t="shared" si="26"/>
        <v>1</v>
      </c>
      <c r="BD71">
        <f t="shared" si="27"/>
        <v>1</v>
      </c>
      <c r="BE71">
        <f t="shared" si="28"/>
        <v>2</v>
      </c>
      <c r="BF71">
        <f t="shared" si="29"/>
        <v>2</v>
      </c>
      <c r="BG71" t="str">
        <f t="array" ref="BG71">IF(BA71=1,INDEX($X$7:$AN$7,MATCH(TRUE,INDEX($X71:$AY71&lt;&gt;0,),0)),IF(BA71=0,INDEX($AO$7:$AY$7,MATCH(1,$AO71:$AY71,0)),IF(BH71="Multiple strategies","mixed drivers",IF(BH71="Supply chain","multiple supply","multiple silviculture"))))</f>
        <v>mixed drivers</v>
      </c>
      <c r="BH71" s="2" t="str" cm="1">
        <f t="array" ref="BH71">IF(COUNTIF(BB71:BD71,"&lt;&gt;0")=1,INDEX($X$4:$AY$4,MATCH(TRUE,INDEX($X71:$AY71&lt;&gt;0,),0)),IF(COUNTIF(BB71:BD71,"&lt;&gt;0")=0,INDEX($AO$4:$AY$4,MATCH(1,$AO71:$AY71,0)),"Multiple strategies"))</f>
        <v>Multiple strategies</v>
      </c>
      <c r="BI71" s="1" t="s">
        <v>321</v>
      </c>
      <c r="BJ71" t="s">
        <v>1155</v>
      </c>
      <c r="BL71" s="143" t="s">
        <v>278</v>
      </c>
      <c r="BM71">
        <v>10.270935960591125</v>
      </c>
      <c r="BN71">
        <v>11.20689655172413</v>
      </c>
      <c r="BO71" s="143">
        <f t="shared" si="30"/>
        <v>1.091127098321343</v>
      </c>
      <c r="BP71">
        <f t="shared" si="31"/>
        <v>0.93596059113300534</v>
      </c>
      <c r="BQ71" s="143">
        <f t="shared" si="32"/>
        <v>4.0640928837733625</v>
      </c>
      <c r="BR71" t="s">
        <v>232</v>
      </c>
      <c r="BS71" t="s">
        <v>767</v>
      </c>
      <c r="BT71" s="143" t="s">
        <v>278</v>
      </c>
      <c r="BU71">
        <v>33.994657876790122</v>
      </c>
      <c r="BV71">
        <v>34.185894521482062</v>
      </c>
      <c r="BW71" s="144">
        <f t="shared" si="33"/>
        <v>1.0056254910811298</v>
      </c>
      <c r="BX71">
        <f t="shared" si="34"/>
        <v>0.19123664469194068</v>
      </c>
      <c r="BZ71">
        <f t="shared" si="35"/>
        <v>0.70183848601942234</v>
      </c>
      <c r="CA71">
        <f t="shared" si="13"/>
        <v>0.1726925309265547</v>
      </c>
      <c r="CB71" s="143">
        <v>0</v>
      </c>
      <c r="CC71" s="143">
        <v>0</v>
      </c>
      <c r="CD71" s="143">
        <v>0</v>
      </c>
      <c r="CE71" s="143">
        <v>0</v>
      </c>
      <c r="CF71" s="143">
        <v>0</v>
      </c>
      <c r="CG71" s="143">
        <v>0</v>
      </c>
      <c r="CH71" s="143">
        <v>0</v>
      </c>
      <c r="CI71" s="143">
        <v>1</v>
      </c>
      <c r="CJ71" s="143">
        <v>0</v>
      </c>
      <c r="CK71" s="143">
        <v>1</v>
      </c>
      <c r="CL71" s="143">
        <v>1</v>
      </c>
      <c r="CM71" s="143">
        <v>0</v>
      </c>
      <c r="CN71" s="143">
        <v>1</v>
      </c>
      <c r="CO71" s="143">
        <v>0</v>
      </c>
      <c r="CP71" t="str">
        <f t="shared" si="36"/>
        <v>refOK</v>
      </c>
      <c r="CQ71">
        <f t="shared" si="37"/>
        <v>10.270935960591125</v>
      </c>
      <c r="CR71">
        <f t="shared" si="38"/>
        <v>11.20689655172413</v>
      </c>
      <c r="CS71">
        <f t="shared" si="39"/>
        <v>4.0640928837733625</v>
      </c>
      <c r="CT71">
        <f t="shared" si="14"/>
        <v>2.0320464418866813</v>
      </c>
      <c r="CU71">
        <f t="shared" si="40"/>
        <v>33.994657876790122</v>
      </c>
      <c r="CV71">
        <f t="shared" si="41"/>
        <v>34.185894521482062</v>
      </c>
      <c r="CW71">
        <f t="shared" si="42"/>
        <v>0.70183848601942234</v>
      </c>
      <c r="CX71">
        <f t="shared" si="15"/>
        <v>0.1726925309265547</v>
      </c>
      <c r="CY71">
        <f t="shared" si="43"/>
        <v>0.1726925309265547</v>
      </c>
      <c r="CZ71">
        <f t="shared" si="16"/>
        <v>0.34538506185310941</v>
      </c>
      <c r="DA71" s="2">
        <f t="shared" si="44"/>
        <v>5.6254910811297694E-3</v>
      </c>
      <c r="DB71" s="1" t="s">
        <v>1074</v>
      </c>
      <c r="DC71" t="str">
        <f t="shared" si="45"/>
        <v>reg</v>
      </c>
      <c r="DD71" t="s">
        <v>1156</v>
      </c>
      <c r="DE71">
        <v>2010</v>
      </c>
      <c r="DF71" s="143">
        <v>2060</v>
      </c>
      <c r="DG71" s="143">
        <f t="shared" si="46"/>
        <v>50</v>
      </c>
      <c r="DH71" t="str">
        <f t="shared" si="47"/>
        <v>31-70</v>
      </c>
      <c r="DI71">
        <v>1</v>
      </c>
      <c r="DJ71">
        <v>1</v>
      </c>
      <c r="DK71">
        <v>1</v>
      </c>
      <c r="DL71">
        <v>1</v>
      </c>
      <c r="DN71">
        <f t="shared" si="48"/>
        <v>4</v>
      </c>
      <c r="DO71" t="str">
        <f t="shared" si="49"/>
        <v>mixedProduct</v>
      </c>
      <c r="DP71" t="str">
        <f t="shared" si="50"/>
        <v>Upstream</v>
      </c>
      <c r="DQ71" t="str">
        <f t="shared" si="51"/>
        <v>Energy</v>
      </c>
      <c r="DR71" t="str">
        <f t="shared" si="52"/>
        <v>Pulp/Paper</v>
      </c>
      <c r="DS71" t="str">
        <f t="shared" si="53"/>
        <v>Timber</v>
      </c>
      <c r="DT71" s="143">
        <v>1</v>
      </c>
      <c r="DU71">
        <v>0</v>
      </c>
      <c r="DV71" s="143">
        <v>0</v>
      </c>
      <c r="DW71" s="143">
        <v>0</v>
      </c>
      <c r="DX71" s="143" t="s">
        <v>1157</v>
      </c>
      <c r="DY71">
        <f t="shared" si="54"/>
        <v>1</v>
      </c>
      <c r="DZ71" s="143" t="str">
        <f t="shared" si="55"/>
        <v>self-calculated DF</v>
      </c>
      <c r="EA71" s="143">
        <v>0</v>
      </c>
      <c r="EB71">
        <v>1</v>
      </c>
      <c r="EC71" s="143">
        <v>1</v>
      </c>
      <c r="ED71" s="143">
        <v>1</v>
      </c>
      <c r="EE71">
        <v>1</v>
      </c>
      <c r="EF71">
        <v>0</v>
      </c>
      <c r="EG71" s="143">
        <v>0</v>
      </c>
      <c r="EH71">
        <v>0</v>
      </c>
      <c r="EI71" s="143">
        <v>0</v>
      </c>
      <c r="EJ71">
        <v>0</v>
      </c>
      <c r="EK71">
        <v>1</v>
      </c>
      <c r="EL71" s="143">
        <v>0</v>
      </c>
      <c r="EM71">
        <v>0</v>
      </c>
      <c r="EN71" s="2">
        <v>0</v>
      </c>
      <c r="EP71" t="str">
        <f t="shared" si="17"/>
        <v/>
      </c>
      <c r="EQ71" t="str">
        <f t="shared" si="56"/>
        <v>Ecosystem approach</v>
      </c>
      <c r="ER71" s="2" t="str">
        <f t="shared" si="18"/>
        <v/>
      </c>
      <c r="ES71" t="str">
        <f t="shared" si="19"/>
        <v/>
      </c>
      <c r="ET71" t="str">
        <f t="shared" si="20"/>
        <v/>
      </c>
      <c r="EU71" t="str">
        <f t="shared" si="21"/>
        <v/>
      </c>
      <c r="EW71" t="s">
        <v>1158</v>
      </c>
      <c r="EY71" t="str">
        <f>IF(ISNUMBER(BW71),IF(ABS(BW71-[3]QC_indicators!$B$2)&gt;3*[3]QC_indicators!$C$2,"C ratio",IF(ISNUMBER(CA71),IF(ABS(CA71-[3]QC_indicators!$B$1)&gt;3*[3]QC_indicators!$C$1,"DF","no"))),IF(ISNUMBER(CA71),IF(ABS(CA71-[3]QC_indicators!$B$1)&gt;3*[3]QC_indicators!$C$1,"DF","no")))</f>
        <v>no</v>
      </c>
      <c r="EZ71" t="s">
        <v>286</v>
      </c>
      <c r="FA71" t="str">
        <f t="shared" si="22"/>
        <v/>
      </c>
      <c r="FB71" t="s">
        <v>1159</v>
      </c>
      <c r="FD71" s="260" t="s">
        <v>2948</v>
      </c>
    </row>
    <row r="72" spans="1:160" ht="15" hidden="1" customHeight="1">
      <c r="A72" s="1" t="s">
        <v>1145</v>
      </c>
      <c r="B72" t="s">
        <v>1146</v>
      </c>
      <c r="C72" t="s">
        <v>1147</v>
      </c>
      <c r="D72" t="s">
        <v>1148</v>
      </c>
      <c r="E72" t="s">
        <v>1149</v>
      </c>
      <c r="F72" t="s">
        <v>1150</v>
      </c>
      <c r="G72" t="s">
        <v>1151</v>
      </c>
      <c r="I72">
        <v>2019</v>
      </c>
      <c r="K72" t="s">
        <v>1152</v>
      </c>
      <c r="M72" t="str">
        <f t="shared" ref="M72:M135" si="57">LEFT($D72,FIND(",",$D72)-1)&amp;"_"&amp;I72&amp;L72</f>
        <v>Baskent_2019</v>
      </c>
      <c r="N72" s="334" t="s">
        <v>1225</v>
      </c>
      <c r="O72" s="140" t="s">
        <v>508</v>
      </c>
      <c r="Q72" t="s">
        <v>224</v>
      </c>
      <c r="R72" s="264" t="s">
        <v>274</v>
      </c>
      <c r="S72" s="1" t="s">
        <v>1153</v>
      </c>
      <c r="T72" t="s">
        <v>1003</v>
      </c>
      <c r="U72" s="143" t="s">
        <v>1160</v>
      </c>
      <c r="V72">
        <v>0</v>
      </c>
      <c r="W72" s="317">
        <v>1</v>
      </c>
      <c r="X72" s="143">
        <v>0</v>
      </c>
      <c r="Y72" s="143">
        <v>0</v>
      </c>
      <c r="Z72" s="143">
        <v>0</v>
      </c>
      <c r="AA72" s="143">
        <v>1</v>
      </c>
      <c r="AB72" s="143">
        <v>2</v>
      </c>
      <c r="AC72" s="143">
        <v>0</v>
      </c>
      <c r="AD72" s="143">
        <v>0</v>
      </c>
      <c r="AE72" s="143">
        <v>0</v>
      </c>
      <c r="AF72">
        <v>0</v>
      </c>
      <c r="AG72">
        <v>0</v>
      </c>
      <c r="AH72">
        <v>2</v>
      </c>
      <c r="AI72">
        <v>0</v>
      </c>
      <c r="AJ72">
        <v>0</v>
      </c>
      <c r="AK72">
        <v>0</v>
      </c>
      <c r="AL72">
        <v>2</v>
      </c>
      <c r="AM72">
        <v>0</v>
      </c>
      <c r="AN72">
        <v>0</v>
      </c>
      <c r="AO72">
        <v>0</v>
      </c>
      <c r="AP72">
        <v>2</v>
      </c>
      <c r="AQ72">
        <v>2</v>
      </c>
      <c r="AR72">
        <v>0</v>
      </c>
      <c r="AS72">
        <v>0</v>
      </c>
      <c r="AT72">
        <v>0</v>
      </c>
      <c r="AU72">
        <v>2</v>
      </c>
      <c r="AV72">
        <v>0</v>
      </c>
      <c r="AW72">
        <v>0</v>
      </c>
      <c r="AX72">
        <v>0</v>
      </c>
      <c r="AY72">
        <v>2</v>
      </c>
      <c r="AZ72" s="141">
        <f t="shared" si="23"/>
        <v>8</v>
      </c>
      <c r="BA72" s="141">
        <f t="shared" si="24"/>
        <v>4</v>
      </c>
      <c r="BB72">
        <f t="shared" si="25"/>
        <v>2</v>
      </c>
      <c r="BC72">
        <f t="shared" si="26"/>
        <v>1</v>
      </c>
      <c r="BD72">
        <f t="shared" si="27"/>
        <v>1</v>
      </c>
      <c r="BE72">
        <f t="shared" si="28"/>
        <v>2</v>
      </c>
      <c r="BF72">
        <f t="shared" si="29"/>
        <v>2</v>
      </c>
      <c r="BG72" t="str">
        <f t="array" ref="BG72">IF(BA72=1,INDEX($X$7:$AN$7,MATCH(TRUE,INDEX($X72:$AY72&lt;&gt;0,),0)),IF(BA72=0,INDEX($AO$7:$AY$7,MATCH(1,$AO72:$AY72,0)),IF(BH72="Multiple strategies","mixed drivers",IF(BH72="Supply chain","multiple supply","multiple silviculture"))))</f>
        <v>mixed drivers</v>
      </c>
      <c r="BH72" s="2" t="str" cm="1">
        <f t="array" ref="BH72">IF(COUNTIF(BB72:BD72,"&lt;&gt;0")=1,INDEX($X$4:$AY$4,MATCH(TRUE,INDEX($X72:$AY72&lt;&gt;0,),0)),IF(COUNTIF(BB72:BD72,"&lt;&gt;0")=0,INDEX($AO$4:$AY$4,MATCH(1,$AO72:$AY72,0)),"Multiple strategies"))</f>
        <v>Multiple strategies</v>
      </c>
      <c r="BI72" s="1" t="s">
        <v>321</v>
      </c>
      <c r="BJ72" t="s">
        <v>1155</v>
      </c>
      <c r="BL72" s="143" t="s">
        <v>278</v>
      </c>
      <c r="BM72">
        <v>10.270935960591125</v>
      </c>
      <c r="BN72">
        <v>11.20689655172413</v>
      </c>
      <c r="BO72" s="143">
        <f t="shared" si="30"/>
        <v>1.091127098321343</v>
      </c>
      <c r="BP72">
        <f t="shared" si="31"/>
        <v>0.93596059113300534</v>
      </c>
      <c r="BQ72" s="143">
        <f t="shared" si="32"/>
        <v>4.0640928837733625</v>
      </c>
      <c r="BR72" t="s">
        <v>232</v>
      </c>
      <c r="BS72" t="s">
        <v>767</v>
      </c>
      <c r="BT72" s="143" t="s">
        <v>278</v>
      </c>
      <c r="BU72">
        <v>38.33684792940457</v>
      </c>
      <c r="BV72">
        <v>39.060818992069535</v>
      </c>
      <c r="BW72" s="144">
        <f t="shared" si="33"/>
        <v>1.0188844702099171</v>
      </c>
      <c r="BX72">
        <f t="shared" si="34"/>
        <v>0.72397106266496536</v>
      </c>
      <c r="BZ72">
        <f t="shared" si="35"/>
        <v>2.6569737999804226</v>
      </c>
      <c r="CA72">
        <f t="shared" ref="CA72:CA103" si="58">IFERROR(BZ72/BQ72,"")</f>
        <v>0.65376798118686674</v>
      </c>
      <c r="CB72" s="143">
        <v>0</v>
      </c>
      <c r="CC72" s="143">
        <v>0</v>
      </c>
      <c r="CD72" s="143">
        <v>0</v>
      </c>
      <c r="CE72" s="143">
        <v>0</v>
      </c>
      <c r="CF72" s="143">
        <v>0</v>
      </c>
      <c r="CG72" s="143">
        <v>0</v>
      </c>
      <c r="CH72" s="143">
        <v>0</v>
      </c>
      <c r="CI72" s="143">
        <v>1</v>
      </c>
      <c r="CJ72" s="143">
        <v>0</v>
      </c>
      <c r="CK72" s="143">
        <v>1</v>
      </c>
      <c r="CL72" s="143">
        <v>1</v>
      </c>
      <c r="CM72" s="143">
        <v>0</v>
      </c>
      <c r="CN72" s="143">
        <v>1</v>
      </c>
      <c r="CO72" s="143">
        <v>0</v>
      </c>
      <c r="CP72" t="str">
        <f t="shared" si="36"/>
        <v>refOK</v>
      </c>
      <c r="CQ72">
        <f t="shared" si="37"/>
        <v>10.270935960591125</v>
      </c>
      <c r="CR72">
        <f t="shared" si="38"/>
        <v>11.20689655172413</v>
      </c>
      <c r="CS72">
        <f t="shared" si="39"/>
        <v>4.0640928837733625</v>
      </c>
      <c r="CT72">
        <f t="shared" ref="CT72:CT101" si="59">IF(BI72="Roundwood",$CS72/2,$CS72)</f>
        <v>2.0320464418866813</v>
      </c>
      <c r="CU72">
        <f t="shared" si="40"/>
        <v>38.33684792940457</v>
      </c>
      <c r="CV72">
        <f t="shared" si="41"/>
        <v>39.060818992069535</v>
      </c>
      <c r="CW72">
        <f t="shared" si="42"/>
        <v>2.6569737999804226</v>
      </c>
      <c r="CX72">
        <f t="shared" ref="CX72:CX101" si="60">IFERROR($CW72/$CS72,"")</f>
        <v>0.65376798118686674</v>
      </c>
      <c r="CY72">
        <f t="shared" si="43"/>
        <v>0.65376798118686674</v>
      </c>
      <c r="CZ72">
        <f t="shared" ref="CZ72:CZ101" si="61">IFERROR($CW72/$CT72,"")</f>
        <v>1.3075359623737335</v>
      </c>
      <c r="DA72" s="2">
        <f t="shared" si="44"/>
        <v>1.8884470209917171E-2</v>
      </c>
      <c r="DB72" s="1" t="s">
        <v>1074</v>
      </c>
      <c r="DC72" t="str">
        <f t="shared" si="45"/>
        <v>reg</v>
      </c>
      <c r="DD72" t="s">
        <v>1156</v>
      </c>
      <c r="DE72">
        <v>2010</v>
      </c>
      <c r="DF72" s="143">
        <v>2060</v>
      </c>
      <c r="DG72" s="143">
        <f t="shared" si="46"/>
        <v>50</v>
      </c>
      <c r="DH72" t="str">
        <f t="shared" si="47"/>
        <v>31-70</v>
      </c>
      <c r="DI72">
        <v>1</v>
      </c>
      <c r="DJ72">
        <v>1</v>
      </c>
      <c r="DK72">
        <v>1</v>
      </c>
      <c r="DL72">
        <v>1</v>
      </c>
      <c r="DN72">
        <f t="shared" si="48"/>
        <v>4</v>
      </c>
      <c r="DO72" t="str">
        <f t="shared" si="49"/>
        <v>mixedProduct</v>
      </c>
      <c r="DP72" t="str">
        <f t="shared" si="50"/>
        <v>Upstream</v>
      </c>
      <c r="DQ72" t="str">
        <f t="shared" si="51"/>
        <v>Energy</v>
      </c>
      <c r="DR72" t="str">
        <f t="shared" si="52"/>
        <v>Pulp/Paper</v>
      </c>
      <c r="DS72" t="str">
        <f t="shared" si="53"/>
        <v>Timber</v>
      </c>
      <c r="DT72" s="143">
        <v>1</v>
      </c>
      <c r="DU72">
        <v>0</v>
      </c>
      <c r="DV72" s="143">
        <v>0</v>
      </c>
      <c r="DW72" s="143">
        <v>0</v>
      </c>
      <c r="DX72" s="143" t="s">
        <v>1157</v>
      </c>
      <c r="DY72">
        <f t="shared" si="54"/>
        <v>1</v>
      </c>
      <c r="DZ72" s="143" t="str">
        <f t="shared" si="55"/>
        <v>self-calculated DF</v>
      </c>
      <c r="EA72" s="143">
        <v>0</v>
      </c>
      <c r="EB72">
        <v>1</v>
      </c>
      <c r="EC72" s="143">
        <v>1</v>
      </c>
      <c r="ED72" s="143">
        <v>1</v>
      </c>
      <c r="EE72">
        <v>1</v>
      </c>
      <c r="EF72">
        <v>1</v>
      </c>
      <c r="EG72" s="143">
        <v>0</v>
      </c>
      <c r="EH72">
        <v>0</v>
      </c>
      <c r="EI72" s="143">
        <v>0</v>
      </c>
      <c r="EJ72">
        <v>0</v>
      </c>
      <c r="EK72">
        <v>1</v>
      </c>
      <c r="EL72" s="143">
        <v>0</v>
      </c>
      <c r="EM72">
        <v>0</v>
      </c>
      <c r="EN72" s="2">
        <v>0</v>
      </c>
      <c r="EP72" t="str">
        <f t="shared" ref="EP72:EP101" si="62">IF(AND(AND(AND(OR($EC72=1,$EB72=1),OR($EH72=1,$EF72=1)),SUM($EA72:$EE72,$EK72)&gt;=3),SUM($EF72:$EJ72)&gt;=2),"Whole sector approach","")</f>
        <v/>
      </c>
      <c r="EQ72" t="str">
        <f t="shared" si="56"/>
        <v/>
      </c>
      <c r="ER72" s="2" t="str">
        <f t="shared" ref="ER72:ER101" si="63">IF(AND(AND(AND($EC72=0,$EB72=0),OR($EH72=1,$EF72=1)),SUM($EG72:$EJ72)&gt;=2),"Technology approach","")</f>
        <v/>
      </c>
      <c r="ES72" t="str">
        <f t="shared" ref="ES72:ES103" si="64">IF(AND($EC72+$EB72+$EE72+$EA72+$EF72+$EG72=0,$N72="included"),"C neutral forest and HWP assumption","")</f>
        <v/>
      </c>
      <c r="ET72" t="str">
        <f t="shared" ref="ET72:ET103" si="65">IF(AND(AND(AND($EC72+$EB72+$EA72+$EG72&gt;=2,$EF72+$EH72+$EI72&gt;=1),$ED72+$EE72&gt;=1),$N72="included"),"All C pools assumption","")</f>
        <v/>
      </c>
      <c r="EU72" t="str">
        <f t="shared" ref="EU72:EU103" si="66">IF(AND($ED72+$EE72+$EI72+$EH72+$EF72=0,$N72="included"),"In-situ only assumption","")</f>
        <v/>
      </c>
      <c r="EW72" t="s">
        <v>1158</v>
      </c>
      <c r="EY72" t="str">
        <f>IF(ISNUMBER(BW72),IF(ABS(BW72-[3]QC_indicators!$B$2)&gt;3*[3]QC_indicators!$C$2,"C ratio",IF(ISNUMBER(CA72),IF(ABS(CA72-[3]QC_indicators!$B$1)&gt;3*[3]QC_indicators!$C$1,"DF","no"))),IF(ISNUMBER(CA72),IF(ABS(CA72-[3]QC_indicators!$B$1)&gt;3*[3]QC_indicators!$C$1,"DF","no")))</f>
        <v>no</v>
      </c>
      <c r="EZ72" t="s">
        <v>286</v>
      </c>
      <c r="FA72" t="str">
        <f t="shared" ref="FA72:FA103" si="67">IF(LEN($CY72)=0,"",IF(AND($CY72&lt;(-0.05),$ES72="C neutral forest and HWP assumption"),"Cneutral paradox",IF(AND($CY72&gt;0.05,$EU72="In-situ only assumption"),"In-situ only paradox","")))</f>
        <v/>
      </c>
      <c r="FB72" t="s">
        <v>1159</v>
      </c>
      <c r="FD72" s="260" t="s">
        <v>2948</v>
      </c>
    </row>
    <row r="73" spans="1:160" ht="15" hidden="1" customHeight="1">
      <c r="A73" s="1" t="s">
        <v>1145</v>
      </c>
      <c r="B73" t="s">
        <v>1146</v>
      </c>
      <c r="C73" t="s">
        <v>1147</v>
      </c>
      <c r="D73" t="s">
        <v>1148</v>
      </c>
      <c r="E73" t="s">
        <v>1149</v>
      </c>
      <c r="F73" t="s">
        <v>1150</v>
      </c>
      <c r="G73" t="s">
        <v>1151</v>
      </c>
      <c r="I73">
        <v>2019</v>
      </c>
      <c r="K73" t="s">
        <v>1152</v>
      </c>
      <c r="M73" t="str">
        <f t="shared" si="57"/>
        <v>Baskent_2019</v>
      </c>
      <c r="N73" s="334" t="s">
        <v>1225</v>
      </c>
      <c r="O73" s="140" t="s">
        <v>508</v>
      </c>
      <c r="Q73" t="s">
        <v>224</v>
      </c>
      <c r="R73" s="264" t="s">
        <v>274</v>
      </c>
      <c r="S73" s="1" t="s">
        <v>1153</v>
      </c>
      <c r="T73" t="s">
        <v>1003</v>
      </c>
      <c r="U73" s="143" t="s">
        <v>1160</v>
      </c>
      <c r="V73">
        <v>0</v>
      </c>
      <c r="W73" s="317">
        <v>1</v>
      </c>
      <c r="X73" s="143">
        <v>0</v>
      </c>
      <c r="Y73" s="143">
        <v>0</v>
      </c>
      <c r="Z73" s="143">
        <v>0</v>
      </c>
      <c r="AA73" s="143">
        <v>1</v>
      </c>
      <c r="AB73" s="143">
        <v>2</v>
      </c>
      <c r="AC73" s="143">
        <v>0</v>
      </c>
      <c r="AD73" s="143">
        <v>0</v>
      </c>
      <c r="AE73" s="143">
        <v>0</v>
      </c>
      <c r="AF73">
        <v>0</v>
      </c>
      <c r="AG73">
        <v>0</v>
      </c>
      <c r="AH73">
        <v>2</v>
      </c>
      <c r="AI73">
        <v>0</v>
      </c>
      <c r="AJ73">
        <v>0</v>
      </c>
      <c r="AK73">
        <v>0</v>
      </c>
      <c r="AL73">
        <v>2</v>
      </c>
      <c r="AM73">
        <v>0</v>
      </c>
      <c r="AN73">
        <v>0</v>
      </c>
      <c r="AO73">
        <v>0</v>
      </c>
      <c r="AP73">
        <v>2</v>
      </c>
      <c r="AQ73">
        <v>2</v>
      </c>
      <c r="AR73">
        <v>0</v>
      </c>
      <c r="AS73">
        <v>0</v>
      </c>
      <c r="AT73">
        <v>0</v>
      </c>
      <c r="AU73">
        <v>2</v>
      </c>
      <c r="AV73">
        <v>0</v>
      </c>
      <c r="AW73">
        <v>0</v>
      </c>
      <c r="AX73">
        <v>0</v>
      </c>
      <c r="AY73">
        <v>2</v>
      </c>
      <c r="AZ73" s="141">
        <f t="shared" si="23"/>
        <v>8</v>
      </c>
      <c r="BA73" s="141">
        <f t="shared" si="24"/>
        <v>4</v>
      </c>
      <c r="BB73">
        <f t="shared" si="25"/>
        <v>2</v>
      </c>
      <c r="BC73">
        <f t="shared" si="26"/>
        <v>1</v>
      </c>
      <c r="BD73">
        <f t="shared" si="27"/>
        <v>1</v>
      </c>
      <c r="BE73">
        <f t="shared" si="28"/>
        <v>2</v>
      </c>
      <c r="BF73">
        <f t="shared" si="29"/>
        <v>2</v>
      </c>
      <c r="BG73" t="str">
        <f t="array" ref="BG73">IF(BA73=1,INDEX($X$7:$AN$7,MATCH(TRUE,INDEX($X73:$AY73&lt;&gt;0,),0)),IF(BA73=0,INDEX($AO$7:$AY$7,MATCH(1,$AO73:$AY73,0)),IF(BH73="Multiple strategies","mixed drivers",IF(BH73="Supply chain","multiple supply","multiple silviculture"))))</f>
        <v>mixed drivers</v>
      </c>
      <c r="BH73" s="2" t="str" cm="1">
        <f t="array" ref="BH73">IF(COUNTIF(BB73:BD73,"&lt;&gt;0")=1,INDEX($X$4:$AY$4,MATCH(TRUE,INDEX($X73:$AY73&lt;&gt;0,),0)),IF(COUNTIF(BB73:BD73,"&lt;&gt;0")=0,INDEX($AO$4:$AY$4,MATCH(1,$AO73:$AY73,0)),"Multiple strategies"))</f>
        <v>Multiple strategies</v>
      </c>
      <c r="BI73" s="1" t="s">
        <v>321</v>
      </c>
      <c r="BJ73" t="s">
        <v>1155</v>
      </c>
      <c r="BL73" s="143" t="s">
        <v>278</v>
      </c>
      <c r="BM73">
        <v>22.204433497536925</v>
      </c>
      <c r="BN73">
        <v>22.426108374384221</v>
      </c>
      <c r="BO73" s="143">
        <f t="shared" si="30"/>
        <v>1.0099833610648921</v>
      </c>
      <c r="BP73">
        <f t="shared" si="31"/>
        <v>0.22167487684729537</v>
      </c>
      <c r="BQ73" s="143">
        <f t="shared" si="32"/>
        <v>0.96254831457792178</v>
      </c>
      <c r="BR73" t="s">
        <v>232</v>
      </c>
      <c r="BS73" t="s">
        <v>767</v>
      </c>
      <c r="BT73" s="143" t="s">
        <v>278</v>
      </c>
      <c r="BU73">
        <v>33.994657876790122</v>
      </c>
      <c r="BV73">
        <v>34.185894521482062</v>
      </c>
      <c r="BW73" s="144">
        <f t="shared" si="33"/>
        <v>1.0056254910811298</v>
      </c>
      <c r="BX73">
        <f t="shared" si="34"/>
        <v>0.19123664469194068</v>
      </c>
      <c r="BZ73">
        <f t="shared" si="35"/>
        <v>0.70183848601942234</v>
      </c>
      <c r="CA73">
        <f t="shared" si="58"/>
        <v>0.7291462416898824</v>
      </c>
      <c r="CB73" s="143">
        <v>0</v>
      </c>
      <c r="CC73" s="143">
        <v>0</v>
      </c>
      <c r="CD73" s="143">
        <v>0</v>
      </c>
      <c r="CE73" s="143">
        <v>0</v>
      </c>
      <c r="CF73" s="143">
        <v>0</v>
      </c>
      <c r="CG73" s="143">
        <v>0</v>
      </c>
      <c r="CH73" s="143">
        <v>0</v>
      </c>
      <c r="CI73" s="143">
        <v>1</v>
      </c>
      <c r="CJ73" s="143">
        <v>0</v>
      </c>
      <c r="CK73" s="143">
        <v>1</v>
      </c>
      <c r="CL73" s="143">
        <v>1</v>
      </c>
      <c r="CM73" s="143">
        <v>0</v>
      </c>
      <c r="CN73" s="143">
        <v>1</v>
      </c>
      <c r="CO73" s="143">
        <v>0</v>
      </c>
      <c r="CP73" t="str">
        <f t="shared" si="36"/>
        <v>refOK</v>
      </c>
      <c r="CQ73">
        <f t="shared" si="37"/>
        <v>22.204433497536925</v>
      </c>
      <c r="CR73">
        <f t="shared" si="38"/>
        <v>22.426108374384221</v>
      </c>
      <c r="CS73">
        <f t="shared" si="39"/>
        <v>0.96254831457792178</v>
      </c>
      <c r="CT73">
        <f t="shared" si="59"/>
        <v>0.48127415728896089</v>
      </c>
      <c r="CU73">
        <f t="shared" si="40"/>
        <v>33.994657876790122</v>
      </c>
      <c r="CV73">
        <f t="shared" si="41"/>
        <v>34.185894521482062</v>
      </c>
      <c r="CW73">
        <f t="shared" si="42"/>
        <v>0.70183848601942234</v>
      </c>
      <c r="CX73">
        <f t="shared" si="60"/>
        <v>0.7291462416898824</v>
      </c>
      <c r="CY73">
        <f t="shared" si="43"/>
        <v>0.7291462416898824</v>
      </c>
      <c r="CZ73">
        <f t="shared" si="61"/>
        <v>1.4582924833797648</v>
      </c>
      <c r="DA73" s="2">
        <f t="shared" si="44"/>
        <v>5.6254910811297694E-3</v>
      </c>
      <c r="DB73" s="1" t="s">
        <v>1074</v>
      </c>
      <c r="DC73" t="str">
        <f t="shared" si="45"/>
        <v>reg</v>
      </c>
      <c r="DD73" t="s">
        <v>1156</v>
      </c>
      <c r="DE73">
        <v>2010</v>
      </c>
      <c r="DF73" s="143">
        <v>2100</v>
      </c>
      <c r="DG73" s="143">
        <f t="shared" si="46"/>
        <v>90</v>
      </c>
      <c r="DH73" t="str">
        <f t="shared" si="47"/>
        <v>71-100</v>
      </c>
      <c r="DI73">
        <v>1</v>
      </c>
      <c r="DJ73">
        <v>1</v>
      </c>
      <c r="DK73">
        <v>1</v>
      </c>
      <c r="DL73">
        <v>1</v>
      </c>
      <c r="DN73">
        <f t="shared" si="48"/>
        <v>4</v>
      </c>
      <c r="DO73" t="str">
        <f t="shared" si="49"/>
        <v>mixedProduct</v>
      </c>
      <c r="DP73" t="str">
        <f t="shared" si="50"/>
        <v>Upstream</v>
      </c>
      <c r="DQ73" t="str">
        <f t="shared" si="51"/>
        <v>Energy</v>
      </c>
      <c r="DR73" t="str">
        <f t="shared" si="52"/>
        <v>Pulp/Paper</v>
      </c>
      <c r="DS73" t="str">
        <f t="shared" si="53"/>
        <v>Timber</v>
      </c>
      <c r="DT73" s="143">
        <v>1</v>
      </c>
      <c r="DU73">
        <v>0</v>
      </c>
      <c r="DV73" s="143">
        <v>0</v>
      </c>
      <c r="DW73" s="143">
        <v>0</v>
      </c>
      <c r="DX73" s="143" t="s">
        <v>1157</v>
      </c>
      <c r="DY73">
        <f t="shared" si="54"/>
        <v>1</v>
      </c>
      <c r="DZ73" s="143" t="str">
        <f t="shared" si="55"/>
        <v>self-calculated DF</v>
      </c>
      <c r="EA73" s="143">
        <v>0</v>
      </c>
      <c r="EB73">
        <v>1</v>
      </c>
      <c r="EC73" s="143">
        <v>1</v>
      </c>
      <c r="ED73" s="143">
        <v>1</v>
      </c>
      <c r="EE73">
        <v>1</v>
      </c>
      <c r="EF73">
        <v>0</v>
      </c>
      <c r="EG73" s="143">
        <v>0</v>
      </c>
      <c r="EH73">
        <v>0</v>
      </c>
      <c r="EI73" s="143">
        <v>0</v>
      </c>
      <c r="EJ73">
        <v>0</v>
      </c>
      <c r="EK73">
        <v>1</v>
      </c>
      <c r="EL73" s="143">
        <v>0</v>
      </c>
      <c r="EM73">
        <v>0</v>
      </c>
      <c r="EN73" s="2">
        <v>0</v>
      </c>
      <c r="EP73" t="str">
        <f t="shared" si="62"/>
        <v/>
      </c>
      <c r="EQ73" t="str">
        <f t="shared" si="56"/>
        <v>Ecosystem approach</v>
      </c>
      <c r="ER73" s="2" t="str">
        <f t="shared" si="63"/>
        <v/>
      </c>
      <c r="ES73" t="str">
        <f t="shared" si="64"/>
        <v/>
      </c>
      <c r="ET73" t="str">
        <f t="shared" si="65"/>
        <v/>
      </c>
      <c r="EU73" t="str">
        <f t="shared" si="66"/>
        <v/>
      </c>
      <c r="EW73" t="s">
        <v>1158</v>
      </c>
      <c r="EY73" t="str">
        <f>IF(ISNUMBER(BW73),IF(ABS(BW73-[3]QC_indicators!$B$2)&gt;3*[3]QC_indicators!$C$2,"C ratio",IF(ISNUMBER(CA73),IF(ABS(CA73-[3]QC_indicators!$B$1)&gt;3*[3]QC_indicators!$C$1,"DF","no"))),IF(ISNUMBER(CA73),IF(ABS(CA73-[3]QC_indicators!$B$1)&gt;3*[3]QC_indicators!$C$1,"DF","no")))</f>
        <v>no</v>
      </c>
      <c r="EZ73" t="s">
        <v>286</v>
      </c>
      <c r="FA73" t="str">
        <f t="shared" si="67"/>
        <v/>
      </c>
      <c r="FB73" t="s">
        <v>1159</v>
      </c>
      <c r="FD73" s="260" t="s">
        <v>2948</v>
      </c>
    </row>
    <row r="74" spans="1:160" ht="15" hidden="1" customHeight="1">
      <c r="A74" s="1" t="s">
        <v>1145</v>
      </c>
      <c r="B74" t="s">
        <v>1146</v>
      </c>
      <c r="C74" t="s">
        <v>1147</v>
      </c>
      <c r="D74" t="s">
        <v>1148</v>
      </c>
      <c r="E74" t="s">
        <v>1149</v>
      </c>
      <c r="F74" t="s">
        <v>1150</v>
      </c>
      <c r="G74" t="s">
        <v>1151</v>
      </c>
      <c r="I74">
        <v>2019</v>
      </c>
      <c r="K74" t="s">
        <v>1152</v>
      </c>
      <c r="M74" t="str">
        <f t="shared" si="57"/>
        <v>Baskent_2019</v>
      </c>
      <c r="N74" s="334" t="s">
        <v>1225</v>
      </c>
      <c r="O74" s="140" t="s">
        <v>508</v>
      </c>
      <c r="Q74" t="s">
        <v>224</v>
      </c>
      <c r="R74" s="264" t="s">
        <v>274</v>
      </c>
      <c r="S74" s="1" t="s">
        <v>1153</v>
      </c>
      <c r="T74" t="s">
        <v>1003</v>
      </c>
      <c r="U74" s="143" t="s">
        <v>1154</v>
      </c>
      <c r="V74">
        <v>0</v>
      </c>
      <c r="W74" s="317">
        <v>1</v>
      </c>
      <c r="X74" s="143">
        <v>0</v>
      </c>
      <c r="Y74" s="143">
        <v>0</v>
      </c>
      <c r="Z74" s="143">
        <v>0</v>
      </c>
      <c r="AA74" s="143">
        <v>1</v>
      </c>
      <c r="AB74" s="143">
        <v>2</v>
      </c>
      <c r="AC74" s="143">
        <v>0</v>
      </c>
      <c r="AD74" s="143">
        <v>0</v>
      </c>
      <c r="AE74" s="143">
        <v>0</v>
      </c>
      <c r="AF74">
        <v>0</v>
      </c>
      <c r="AG74">
        <v>0</v>
      </c>
      <c r="AH74">
        <v>2</v>
      </c>
      <c r="AI74">
        <v>0</v>
      </c>
      <c r="AJ74">
        <v>0</v>
      </c>
      <c r="AK74">
        <v>0</v>
      </c>
      <c r="AL74">
        <v>2</v>
      </c>
      <c r="AM74">
        <v>0</v>
      </c>
      <c r="AN74">
        <v>0</v>
      </c>
      <c r="AO74">
        <v>0</v>
      </c>
      <c r="AP74">
        <v>2</v>
      </c>
      <c r="AQ74">
        <v>2</v>
      </c>
      <c r="AR74">
        <v>0</v>
      </c>
      <c r="AS74">
        <v>0</v>
      </c>
      <c r="AT74">
        <v>0</v>
      </c>
      <c r="AU74">
        <v>2</v>
      </c>
      <c r="AV74">
        <v>0</v>
      </c>
      <c r="AW74">
        <v>0</v>
      </c>
      <c r="AX74">
        <v>0</v>
      </c>
      <c r="AY74">
        <v>2</v>
      </c>
      <c r="AZ74" s="141">
        <f t="shared" si="23"/>
        <v>8</v>
      </c>
      <c r="BA74" s="141">
        <f t="shared" si="24"/>
        <v>4</v>
      </c>
      <c r="BB74">
        <f t="shared" si="25"/>
        <v>2</v>
      </c>
      <c r="BC74">
        <f t="shared" si="26"/>
        <v>1</v>
      </c>
      <c r="BD74">
        <f t="shared" si="27"/>
        <v>1</v>
      </c>
      <c r="BE74">
        <f t="shared" si="28"/>
        <v>2</v>
      </c>
      <c r="BF74">
        <f t="shared" si="29"/>
        <v>2</v>
      </c>
      <c r="BG74" t="str">
        <f t="array" ref="BG74">IF(BA74=1,INDEX($X$7:$AN$7,MATCH(TRUE,INDEX($X74:$AY74&lt;&gt;0,),0)),IF(BA74=0,INDEX($AO$7:$AY$7,MATCH(1,$AO74:$AY74,0)),IF(BH74="Multiple strategies","mixed drivers",IF(BH74="Supply chain","multiple supply","multiple silviculture"))))</f>
        <v>mixed drivers</v>
      </c>
      <c r="BH74" s="2" t="str" cm="1">
        <f t="array" ref="BH74">IF(COUNTIF(BB74:BD74,"&lt;&gt;0")=1,INDEX($X$4:$AY$4,MATCH(TRUE,INDEX($X74:$AY74&lt;&gt;0,),0)),IF(COUNTIF(BB74:BD74,"&lt;&gt;0")=0,INDEX($AO$4:$AY$4,MATCH(1,$AO74:$AY74,0)),"Multiple strategies"))</f>
        <v>Multiple strategies</v>
      </c>
      <c r="BI74" s="1" t="s">
        <v>321</v>
      </c>
      <c r="BJ74" t="s">
        <v>1155</v>
      </c>
      <c r="BL74" s="143" t="s">
        <v>278</v>
      </c>
      <c r="BM74">
        <v>10.270935960591125</v>
      </c>
      <c r="BN74">
        <v>10.566502463054182</v>
      </c>
      <c r="BO74" s="143">
        <f t="shared" si="30"/>
        <v>1.0287769784172665</v>
      </c>
      <c r="BP74">
        <f t="shared" si="31"/>
        <v>0.29556650246305693</v>
      </c>
      <c r="BQ74" s="143">
        <f t="shared" si="32"/>
        <v>1.2833977527705469</v>
      </c>
      <c r="BR74" t="s">
        <v>232</v>
      </c>
      <c r="BS74" t="s">
        <v>767</v>
      </c>
      <c r="BT74" s="143" t="s">
        <v>278</v>
      </c>
      <c r="BU74">
        <v>33.994657876790122</v>
      </c>
      <c r="BV74">
        <v>34.822007358186738</v>
      </c>
      <c r="BW74" s="144">
        <f t="shared" si="33"/>
        <v>1.0243376322360782</v>
      </c>
      <c r="BX74">
        <f t="shared" si="34"/>
        <v>0.82734948139661668</v>
      </c>
      <c r="BZ74">
        <f t="shared" si="35"/>
        <v>3.0363725967255832</v>
      </c>
      <c r="CA74">
        <f t="shared" si="58"/>
        <v>2.3658858605376123</v>
      </c>
      <c r="CB74" s="143">
        <v>0</v>
      </c>
      <c r="CC74" s="143">
        <v>0</v>
      </c>
      <c r="CD74" s="143">
        <v>0</v>
      </c>
      <c r="CE74" s="143">
        <v>0</v>
      </c>
      <c r="CF74" s="143">
        <v>0</v>
      </c>
      <c r="CG74" s="143">
        <v>0</v>
      </c>
      <c r="CH74" s="143">
        <v>0</v>
      </c>
      <c r="CI74" s="143">
        <v>1</v>
      </c>
      <c r="CJ74" s="143">
        <v>0</v>
      </c>
      <c r="CK74" s="143">
        <v>1</v>
      </c>
      <c r="CL74" s="143">
        <v>1</v>
      </c>
      <c r="CM74" s="143">
        <v>0</v>
      </c>
      <c r="CN74" s="143">
        <v>1</v>
      </c>
      <c r="CO74" s="143">
        <v>0</v>
      </c>
      <c r="CP74" t="str">
        <f t="shared" si="36"/>
        <v>refOK</v>
      </c>
      <c r="CQ74">
        <f t="shared" si="37"/>
        <v>10.270935960591125</v>
      </c>
      <c r="CR74">
        <f t="shared" si="38"/>
        <v>10.566502463054182</v>
      </c>
      <c r="CS74">
        <f t="shared" si="39"/>
        <v>1.2833977527705469</v>
      </c>
      <c r="CT74">
        <f t="shared" si="59"/>
        <v>0.64169887638527345</v>
      </c>
      <c r="CU74">
        <f t="shared" si="40"/>
        <v>33.994657876790122</v>
      </c>
      <c r="CV74">
        <f t="shared" si="41"/>
        <v>34.822007358186738</v>
      </c>
      <c r="CW74">
        <f t="shared" si="42"/>
        <v>3.0363725967255832</v>
      </c>
      <c r="CX74">
        <f t="shared" si="60"/>
        <v>2.3658858605376123</v>
      </c>
      <c r="CY74">
        <f t="shared" si="43"/>
        <v>2.3658858605376123</v>
      </c>
      <c r="CZ74">
        <f t="shared" si="61"/>
        <v>4.7317717210752246</v>
      </c>
      <c r="DA74" s="2">
        <f t="shared" si="44"/>
        <v>2.4337632236078193E-2</v>
      </c>
      <c r="DB74" s="1" t="s">
        <v>1074</v>
      </c>
      <c r="DC74" t="str">
        <f t="shared" si="45"/>
        <v>reg</v>
      </c>
      <c r="DD74" t="s">
        <v>1156</v>
      </c>
      <c r="DE74">
        <v>2010</v>
      </c>
      <c r="DF74" s="143">
        <v>2060</v>
      </c>
      <c r="DG74" s="143">
        <f t="shared" si="46"/>
        <v>50</v>
      </c>
      <c r="DH74" t="str">
        <f t="shared" si="47"/>
        <v>31-70</v>
      </c>
      <c r="DI74">
        <v>1</v>
      </c>
      <c r="DJ74">
        <v>1</v>
      </c>
      <c r="DK74">
        <v>1</v>
      </c>
      <c r="DL74">
        <v>1</v>
      </c>
      <c r="DN74">
        <f t="shared" si="48"/>
        <v>4</v>
      </c>
      <c r="DO74" t="str">
        <f t="shared" si="49"/>
        <v>mixedProduct</v>
      </c>
      <c r="DP74" t="str">
        <f t="shared" si="50"/>
        <v>Upstream</v>
      </c>
      <c r="DQ74" t="str">
        <f t="shared" si="51"/>
        <v>Energy</v>
      </c>
      <c r="DR74" t="str">
        <f t="shared" si="52"/>
        <v>Pulp/Paper</v>
      </c>
      <c r="DS74" t="str">
        <f t="shared" si="53"/>
        <v>Timber</v>
      </c>
      <c r="DT74" s="143">
        <v>1</v>
      </c>
      <c r="DU74">
        <v>0</v>
      </c>
      <c r="DV74" s="143">
        <v>0</v>
      </c>
      <c r="DW74" s="143">
        <v>0</v>
      </c>
      <c r="DX74" s="143" t="s">
        <v>1157</v>
      </c>
      <c r="DY74">
        <f t="shared" si="54"/>
        <v>1</v>
      </c>
      <c r="DZ74" s="143" t="str">
        <f t="shared" si="55"/>
        <v>self-calculated DF</v>
      </c>
      <c r="EA74" s="143">
        <v>0</v>
      </c>
      <c r="EB74">
        <v>1</v>
      </c>
      <c r="EC74" s="143">
        <v>1</v>
      </c>
      <c r="ED74" s="143">
        <v>1</v>
      </c>
      <c r="EE74">
        <v>1</v>
      </c>
      <c r="EF74">
        <v>0</v>
      </c>
      <c r="EG74" s="143">
        <v>0</v>
      </c>
      <c r="EH74">
        <v>0</v>
      </c>
      <c r="EI74" s="143">
        <v>0</v>
      </c>
      <c r="EJ74">
        <v>0</v>
      </c>
      <c r="EK74">
        <v>1</v>
      </c>
      <c r="EL74" s="143">
        <v>0</v>
      </c>
      <c r="EM74">
        <v>0</v>
      </c>
      <c r="EN74" s="2">
        <v>0</v>
      </c>
      <c r="EP74" t="str">
        <f t="shared" si="62"/>
        <v/>
      </c>
      <c r="EQ74" t="str">
        <f t="shared" si="56"/>
        <v>Ecosystem approach</v>
      </c>
      <c r="ER74" s="2" t="str">
        <f t="shared" si="63"/>
        <v/>
      </c>
      <c r="ES74" t="str">
        <f t="shared" si="64"/>
        <v/>
      </c>
      <c r="ET74" t="str">
        <f t="shared" si="65"/>
        <v/>
      </c>
      <c r="EU74" t="str">
        <f t="shared" si="66"/>
        <v/>
      </c>
      <c r="EW74" t="s">
        <v>1158</v>
      </c>
      <c r="EY74" t="str">
        <f>IF(ISNUMBER(BW74),IF(ABS(BW74-[3]QC_indicators!$B$2)&gt;3*[3]QC_indicators!$C$2,"C ratio",IF(ISNUMBER(CA74),IF(ABS(CA74-[3]QC_indicators!$B$1)&gt;3*[3]QC_indicators!$C$1,"DF","no"))),IF(ISNUMBER(CA74),IF(ABS(CA74-[3]QC_indicators!$B$1)&gt;3*[3]QC_indicators!$C$1,"DF","no")))</f>
        <v>no</v>
      </c>
      <c r="EZ74" t="s">
        <v>286</v>
      </c>
      <c r="FA74" t="str">
        <f t="shared" si="67"/>
        <v/>
      </c>
      <c r="FB74" t="s">
        <v>1159</v>
      </c>
      <c r="FD74" s="260" t="s">
        <v>2948</v>
      </c>
    </row>
    <row r="75" spans="1:160" ht="15" hidden="1" customHeight="1">
      <c r="A75" s="1" t="s">
        <v>1145</v>
      </c>
      <c r="B75" t="s">
        <v>1146</v>
      </c>
      <c r="C75" t="s">
        <v>1147</v>
      </c>
      <c r="D75" t="s">
        <v>1148</v>
      </c>
      <c r="E75" t="s">
        <v>1149</v>
      </c>
      <c r="F75" t="s">
        <v>1150</v>
      </c>
      <c r="G75" t="s">
        <v>1151</v>
      </c>
      <c r="I75">
        <v>2019</v>
      </c>
      <c r="K75" t="s">
        <v>1152</v>
      </c>
      <c r="M75" t="str">
        <f t="shared" si="57"/>
        <v>Baskent_2019</v>
      </c>
      <c r="N75" s="334" t="s">
        <v>1225</v>
      </c>
      <c r="O75" s="140" t="s">
        <v>508</v>
      </c>
      <c r="Q75" t="s">
        <v>224</v>
      </c>
      <c r="R75" s="264" t="s">
        <v>274</v>
      </c>
      <c r="S75" s="1" t="s">
        <v>1153</v>
      </c>
      <c r="T75" t="s">
        <v>1003</v>
      </c>
      <c r="U75" s="143" t="s">
        <v>1154</v>
      </c>
      <c r="V75">
        <v>0</v>
      </c>
      <c r="W75" s="317">
        <v>1</v>
      </c>
      <c r="X75" s="143">
        <v>0</v>
      </c>
      <c r="Y75" s="143">
        <v>0</v>
      </c>
      <c r="Z75" s="143">
        <v>0</v>
      </c>
      <c r="AA75" s="143">
        <v>1</v>
      </c>
      <c r="AB75" s="143">
        <v>2</v>
      </c>
      <c r="AC75" s="143">
        <v>0</v>
      </c>
      <c r="AD75" s="143">
        <v>0</v>
      </c>
      <c r="AE75" s="143">
        <v>0</v>
      </c>
      <c r="AF75">
        <v>0</v>
      </c>
      <c r="AG75">
        <v>0</v>
      </c>
      <c r="AH75">
        <v>2</v>
      </c>
      <c r="AI75">
        <v>0</v>
      </c>
      <c r="AJ75">
        <v>0</v>
      </c>
      <c r="AK75">
        <v>0</v>
      </c>
      <c r="AL75">
        <v>2</v>
      </c>
      <c r="AM75">
        <v>0</v>
      </c>
      <c r="AN75">
        <v>0</v>
      </c>
      <c r="AO75">
        <v>0</v>
      </c>
      <c r="AP75">
        <v>2</v>
      </c>
      <c r="AQ75">
        <v>2</v>
      </c>
      <c r="AR75">
        <v>0</v>
      </c>
      <c r="AS75">
        <v>0</v>
      </c>
      <c r="AT75">
        <v>0</v>
      </c>
      <c r="AU75">
        <v>2</v>
      </c>
      <c r="AV75">
        <v>0</v>
      </c>
      <c r="AW75">
        <v>0</v>
      </c>
      <c r="AX75">
        <v>0</v>
      </c>
      <c r="AY75">
        <v>2</v>
      </c>
      <c r="AZ75" s="141">
        <f t="shared" si="23"/>
        <v>8</v>
      </c>
      <c r="BA75" s="141">
        <f t="shared" si="24"/>
        <v>4</v>
      </c>
      <c r="BB75">
        <f t="shared" si="25"/>
        <v>2</v>
      </c>
      <c r="BC75">
        <f t="shared" si="26"/>
        <v>1</v>
      </c>
      <c r="BD75">
        <f t="shared" si="27"/>
        <v>1</v>
      </c>
      <c r="BE75">
        <f t="shared" si="28"/>
        <v>2</v>
      </c>
      <c r="BF75">
        <f t="shared" si="29"/>
        <v>2</v>
      </c>
      <c r="BG75" t="str">
        <f t="array" ref="BG75">IF(BA75=1,INDEX($X$7:$AN$7,MATCH(TRUE,INDEX($X75:$AY75&lt;&gt;0,),0)),IF(BA75=0,INDEX($AO$7:$AY$7,MATCH(1,$AO75:$AY75,0)),IF(BH75="Multiple strategies","mixed drivers",IF(BH75="Supply chain","multiple supply","multiple silviculture"))))</f>
        <v>mixed drivers</v>
      </c>
      <c r="BH75" s="2" t="str" cm="1">
        <f t="array" ref="BH75">IF(COUNTIF(BB75:BD75,"&lt;&gt;0")=1,INDEX($X$4:$AY$4,MATCH(TRUE,INDEX($X75:$AY75&lt;&gt;0,),0)),IF(COUNTIF(BB75:BD75,"&lt;&gt;0")=0,INDEX($AO$4:$AY$4,MATCH(1,$AO75:$AY75,0)),"Multiple strategies"))</f>
        <v>Multiple strategies</v>
      </c>
      <c r="BI75" s="1" t="s">
        <v>321</v>
      </c>
      <c r="BJ75" t="s">
        <v>1155</v>
      </c>
      <c r="BL75" s="143" t="s">
        <v>278</v>
      </c>
      <c r="BM75">
        <v>10.270935960591125</v>
      </c>
      <c r="BN75">
        <v>10.566502463054182</v>
      </c>
      <c r="BO75" s="143">
        <f t="shared" si="30"/>
        <v>1.0287769784172665</v>
      </c>
      <c r="BP75">
        <f t="shared" si="31"/>
        <v>0.29556650246305693</v>
      </c>
      <c r="BQ75" s="143">
        <f t="shared" si="32"/>
        <v>1.2833977527705469</v>
      </c>
      <c r="BR75" t="s">
        <v>232</v>
      </c>
      <c r="BS75" t="s">
        <v>767</v>
      </c>
      <c r="BT75" s="143" t="s">
        <v>278</v>
      </c>
      <c r="BU75">
        <v>38.33684792940457</v>
      </c>
      <c r="BV75">
        <v>40.680525417714911</v>
      </c>
      <c r="BW75" s="144">
        <f t="shared" si="33"/>
        <v>1.0611338076783492</v>
      </c>
      <c r="BX75">
        <f t="shared" si="34"/>
        <v>2.3436774883103411</v>
      </c>
      <c r="BZ75">
        <f t="shared" si="35"/>
        <v>8.6012963820989512</v>
      </c>
      <c r="CA75">
        <f t="shared" si="58"/>
        <v>6.7019724504977685</v>
      </c>
      <c r="CB75" s="143">
        <v>0</v>
      </c>
      <c r="CC75" s="143">
        <v>0</v>
      </c>
      <c r="CD75" s="143">
        <v>0</v>
      </c>
      <c r="CE75" s="143">
        <v>0</v>
      </c>
      <c r="CF75" s="143">
        <v>0</v>
      </c>
      <c r="CG75" s="143">
        <v>0</v>
      </c>
      <c r="CH75" s="143">
        <v>0</v>
      </c>
      <c r="CI75" s="143">
        <v>1</v>
      </c>
      <c r="CJ75" s="143">
        <v>0</v>
      </c>
      <c r="CK75" s="143">
        <v>1</v>
      </c>
      <c r="CL75" s="143">
        <v>1</v>
      </c>
      <c r="CM75" s="143">
        <v>0</v>
      </c>
      <c r="CN75" s="143">
        <v>1</v>
      </c>
      <c r="CO75" s="143">
        <v>0</v>
      </c>
      <c r="CP75" t="str">
        <f t="shared" si="36"/>
        <v>refOK</v>
      </c>
      <c r="CQ75">
        <f t="shared" si="37"/>
        <v>10.270935960591125</v>
      </c>
      <c r="CR75">
        <f t="shared" si="38"/>
        <v>10.566502463054182</v>
      </c>
      <c r="CS75">
        <f t="shared" si="39"/>
        <v>1.2833977527705469</v>
      </c>
      <c r="CT75">
        <f t="shared" si="59"/>
        <v>0.64169887638527345</v>
      </c>
      <c r="CU75">
        <f t="shared" si="40"/>
        <v>38.33684792940457</v>
      </c>
      <c r="CV75">
        <f t="shared" si="41"/>
        <v>40.680525417714911</v>
      </c>
      <c r="CW75">
        <f t="shared" si="42"/>
        <v>8.6012963820989512</v>
      </c>
      <c r="CX75">
        <f t="shared" si="60"/>
        <v>6.7019724504977685</v>
      </c>
      <c r="CY75">
        <f t="shared" si="43"/>
        <v>6.7019724504977685</v>
      </c>
      <c r="CZ75">
        <f t="shared" si="61"/>
        <v>13.403944900995537</v>
      </c>
      <c r="DA75" s="2">
        <f t="shared" si="44"/>
        <v>6.1133807678349264E-2</v>
      </c>
      <c r="DB75" s="1" t="s">
        <v>1074</v>
      </c>
      <c r="DC75" t="str">
        <f t="shared" si="45"/>
        <v>reg</v>
      </c>
      <c r="DD75" t="s">
        <v>1156</v>
      </c>
      <c r="DE75">
        <v>2010</v>
      </c>
      <c r="DF75" s="143">
        <v>2060</v>
      </c>
      <c r="DG75" s="143">
        <f t="shared" si="46"/>
        <v>50</v>
      </c>
      <c r="DH75" t="str">
        <f t="shared" si="47"/>
        <v>31-70</v>
      </c>
      <c r="DI75">
        <v>1</v>
      </c>
      <c r="DJ75">
        <v>1</v>
      </c>
      <c r="DK75">
        <v>1</v>
      </c>
      <c r="DL75">
        <v>1</v>
      </c>
      <c r="DN75">
        <f t="shared" si="48"/>
        <v>4</v>
      </c>
      <c r="DO75" t="str">
        <f t="shared" si="49"/>
        <v>mixedProduct</v>
      </c>
      <c r="DP75" t="str">
        <f t="shared" si="50"/>
        <v>Upstream</v>
      </c>
      <c r="DQ75" t="str">
        <f t="shared" si="51"/>
        <v>Energy</v>
      </c>
      <c r="DR75" t="str">
        <f t="shared" si="52"/>
        <v>Pulp/Paper</v>
      </c>
      <c r="DS75" t="str">
        <f t="shared" si="53"/>
        <v>Timber</v>
      </c>
      <c r="DT75" s="143">
        <v>1</v>
      </c>
      <c r="DU75">
        <v>0</v>
      </c>
      <c r="DV75" s="143">
        <v>0</v>
      </c>
      <c r="DW75" s="143">
        <v>0</v>
      </c>
      <c r="DX75" s="143" t="s">
        <v>1157</v>
      </c>
      <c r="DY75">
        <f t="shared" si="54"/>
        <v>1</v>
      </c>
      <c r="DZ75" s="143" t="str">
        <f t="shared" si="55"/>
        <v>self-calculated DF</v>
      </c>
      <c r="EA75" s="143">
        <v>0</v>
      </c>
      <c r="EB75">
        <v>1</v>
      </c>
      <c r="EC75" s="143">
        <v>1</v>
      </c>
      <c r="ED75" s="143">
        <v>1</v>
      </c>
      <c r="EE75">
        <v>1</v>
      </c>
      <c r="EF75">
        <v>1</v>
      </c>
      <c r="EG75" s="143">
        <v>0</v>
      </c>
      <c r="EH75">
        <v>0</v>
      </c>
      <c r="EI75" s="143">
        <v>0</v>
      </c>
      <c r="EJ75">
        <v>0</v>
      </c>
      <c r="EK75">
        <v>1</v>
      </c>
      <c r="EL75" s="143">
        <v>0</v>
      </c>
      <c r="EM75">
        <v>0</v>
      </c>
      <c r="EN75" s="2">
        <v>0</v>
      </c>
      <c r="EP75" t="str">
        <f t="shared" si="62"/>
        <v/>
      </c>
      <c r="EQ75" t="str">
        <f t="shared" si="56"/>
        <v/>
      </c>
      <c r="ER75" s="2" t="str">
        <f t="shared" si="63"/>
        <v/>
      </c>
      <c r="ES75" t="str">
        <f t="shared" si="64"/>
        <v/>
      </c>
      <c r="ET75" t="str">
        <f t="shared" si="65"/>
        <v/>
      </c>
      <c r="EU75" t="str">
        <f t="shared" si="66"/>
        <v/>
      </c>
      <c r="EW75" t="s">
        <v>1158</v>
      </c>
      <c r="EY75" t="str">
        <f>IF(ISNUMBER(BW75),IF(ABS(BW75-[3]QC_indicators!$B$2)&gt;3*[3]QC_indicators!$C$2,"C ratio",IF(ISNUMBER(CA75),IF(ABS(CA75-[3]QC_indicators!$B$1)&gt;3*[3]QC_indicators!$C$1,"DF","no"))),IF(ISNUMBER(CA75),IF(ABS(CA75-[3]QC_indicators!$B$1)&gt;3*[3]QC_indicators!$C$1,"DF","no")))</f>
        <v>no</v>
      </c>
      <c r="EZ75" t="s">
        <v>286</v>
      </c>
      <c r="FA75" t="str">
        <f t="shared" si="67"/>
        <v/>
      </c>
      <c r="FB75" t="s">
        <v>1159</v>
      </c>
      <c r="FD75" s="260" t="s">
        <v>2948</v>
      </c>
    </row>
    <row r="76" spans="1:160" ht="15" hidden="1" customHeight="1">
      <c r="A76" s="1" t="s">
        <v>1145</v>
      </c>
      <c r="B76" t="s">
        <v>1146</v>
      </c>
      <c r="C76" t="s">
        <v>1147</v>
      </c>
      <c r="D76" t="s">
        <v>1148</v>
      </c>
      <c r="E76" t="s">
        <v>1149</v>
      </c>
      <c r="F76" t="s">
        <v>1150</v>
      </c>
      <c r="G76" t="s">
        <v>1151</v>
      </c>
      <c r="I76">
        <v>2019</v>
      </c>
      <c r="K76" t="s">
        <v>1152</v>
      </c>
      <c r="M76" t="str">
        <f t="shared" si="57"/>
        <v>Baskent_2019</v>
      </c>
      <c r="N76" s="334" t="s">
        <v>1225</v>
      </c>
      <c r="O76" s="140" t="s">
        <v>508</v>
      </c>
      <c r="Q76" t="s">
        <v>224</v>
      </c>
      <c r="R76" s="264" t="s">
        <v>274</v>
      </c>
      <c r="S76" s="1" t="s">
        <v>1153</v>
      </c>
      <c r="T76" t="s">
        <v>1003</v>
      </c>
      <c r="U76" s="143" t="s">
        <v>1160</v>
      </c>
      <c r="V76">
        <v>0</v>
      </c>
      <c r="W76" s="317">
        <v>1</v>
      </c>
      <c r="X76" s="143">
        <v>0</v>
      </c>
      <c r="Y76" s="143">
        <v>0</v>
      </c>
      <c r="Z76" s="143">
        <v>0</v>
      </c>
      <c r="AA76" s="143">
        <v>1</v>
      </c>
      <c r="AB76" s="143">
        <v>2</v>
      </c>
      <c r="AC76" s="143">
        <v>0</v>
      </c>
      <c r="AD76" s="143">
        <v>0</v>
      </c>
      <c r="AE76" s="143">
        <v>0</v>
      </c>
      <c r="AF76">
        <v>0</v>
      </c>
      <c r="AG76">
        <v>0</v>
      </c>
      <c r="AH76">
        <v>2</v>
      </c>
      <c r="AI76">
        <v>0</v>
      </c>
      <c r="AJ76">
        <v>0</v>
      </c>
      <c r="AK76">
        <v>0</v>
      </c>
      <c r="AL76">
        <v>2</v>
      </c>
      <c r="AM76">
        <v>0</v>
      </c>
      <c r="AN76">
        <v>0</v>
      </c>
      <c r="AO76">
        <v>0</v>
      </c>
      <c r="AP76">
        <v>2</v>
      </c>
      <c r="AQ76">
        <v>2</v>
      </c>
      <c r="AR76">
        <v>0</v>
      </c>
      <c r="AS76">
        <v>0</v>
      </c>
      <c r="AT76">
        <v>0</v>
      </c>
      <c r="AU76">
        <v>2</v>
      </c>
      <c r="AV76">
        <v>0</v>
      </c>
      <c r="AW76">
        <v>0</v>
      </c>
      <c r="AX76">
        <v>0</v>
      </c>
      <c r="AY76">
        <v>2</v>
      </c>
      <c r="AZ76" s="141">
        <f t="shared" si="23"/>
        <v>8</v>
      </c>
      <c r="BA76" s="141">
        <f t="shared" si="24"/>
        <v>4</v>
      </c>
      <c r="BB76">
        <f t="shared" si="25"/>
        <v>2</v>
      </c>
      <c r="BC76">
        <f t="shared" si="26"/>
        <v>1</v>
      </c>
      <c r="BD76">
        <f t="shared" si="27"/>
        <v>1</v>
      </c>
      <c r="BE76">
        <f t="shared" si="28"/>
        <v>2</v>
      </c>
      <c r="BF76">
        <f t="shared" si="29"/>
        <v>2</v>
      </c>
      <c r="BG76" t="str">
        <f t="array" ref="BG76">IF(BA76=1,INDEX($X$7:$AN$7,MATCH(TRUE,INDEX($X76:$AY76&lt;&gt;0,),0)),IF(BA76=0,INDEX($AO$7:$AY$7,MATCH(1,$AO76:$AY76,0)),IF(BH76="Multiple strategies","mixed drivers",IF(BH76="Supply chain","multiple supply","multiple silviculture"))))</f>
        <v>mixed drivers</v>
      </c>
      <c r="BH76" s="2" t="str" cm="1">
        <f t="array" ref="BH76">IF(COUNTIF(BB76:BD76,"&lt;&gt;0")=1,INDEX($X$4:$AY$4,MATCH(TRUE,INDEX($X76:$AY76&lt;&gt;0,),0)),IF(COUNTIF(BB76:BD76,"&lt;&gt;0")=0,INDEX($AO$4:$AY$4,MATCH(1,$AO76:$AY76,0)),"Multiple strategies"))</f>
        <v>Multiple strategies</v>
      </c>
      <c r="BI76" s="1" t="s">
        <v>321</v>
      </c>
      <c r="BJ76" t="s">
        <v>1155</v>
      </c>
      <c r="BL76" s="143" t="s">
        <v>278</v>
      </c>
      <c r="BM76">
        <v>22.204433497536925</v>
      </c>
      <c r="BN76">
        <v>22.426108374384221</v>
      </c>
      <c r="BO76" s="143">
        <f t="shared" si="30"/>
        <v>1.0099833610648921</v>
      </c>
      <c r="BP76">
        <f t="shared" si="31"/>
        <v>0.22167487684729537</v>
      </c>
      <c r="BQ76" s="143">
        <f t="shared" si="32"/>
        <v>0.96254831457792178</v>
      </c>
      <c r="BR76" t="s">
        <v>232</v>
      </c>
      <c r="BS76" t="s">
        <v>767</v>
      </c>
      <c r="BT76" s="143" t="s">
        <v>278</v>
      </c>
      <c r="BU76">
        <v>42.123971298234274</v>
      </c>
      <c r="BV76">
        <v>45.12148839762213</v>
      </c>
      <c r="BW76" s="144">
        <f t="shared" si="33"/>
        <v>1.0711594136783942</v>
      </c>
      <c r="BX76">
        <f t="shared" si="34"/>
        <v>2.9975170993878564</v>
      </c>
      <c r="BZ76">
        <f t="shared" si="35"/>
        <v>11.000887754753432</v>
      </c>
      <c r="CA76">
        <f t="shared" si="58"/>
        <v>11.428920074082027</v>
      </c>
      <c r="CB76" s="143">
        <v>0</v>
      </c>
      <c r="CC76" s="143">
        <v>0</v>
      </c>
      <c r="CD76" s="143">
        <v>0</v>
      </c>
      <c r="CE76" s="143">
        <v>0</v>
      </c>
      <c r="CF76" s="143">
        <v>0</v>
      </c>
      <c r="CG76" s="143">
        <v>0</v>
      </c>
      <c r="CH76" s="143">
        <v>0</v>
      </c>
      <c r="CI76" s="143">
        <v>1</v>
      </c>
      <c r="CJ76" s="143">
        <v>0</v>
      </c>
      <c r="CK76" s="143">
        <v>1</v>
      </c>
      <c r="CL76" s="143">
        <v>1</v>
      </c>
      <c r="CM76" s="143">
        <v>0</v>
      </c>
      <c r="CN76" s="143">
        <v>1</v>
      </c>
      <c r="CO76" s="143">
        <v>0</v>
      </c>
      <c r="CP76" t="str">
        <f t="shared" si="36"/>
        <v>refOK</v>
      </c>
      <c r="CQ76">
        <f t="shared" si="37"/>
        <v>22.204433497536925</v>
      </c>
      <c r="CR76">
        <f t="shared" si="38"/>
        <v>22.426108374384221</v>
      </c>
      <c r="CS76">
        <f t="shared" si="39"/>
        <v>0.96254831457792178</v>
      </c>
      <c r="CT76">
        <f t="shared" si="59"/>
        <v>0.48127415728896089</v>
      </c>
      <c r="CU76">
        <f t="shared" si="40"/>
        <v>42.123971298234274</v>
      </c>
      <c r="CV76">
        <f t="shared" si="41"/>
        <v>45.12148839762213</v>
      </c>
      <c r="CW76">
        <f t="shared" si="42"/>
        <v>11.000887754753432</v>
      </c>
      <c r="CX76">
        <f t="shared" si="60"/>
        <v>11.428920074082027</v>
      </c>
      <c r="CY76">
        <f t="shared" si="43"/>
        <v>11.428920074082027</v>
      </c>
      <c r="CZ76">
        <f t="shared" si="61"/>
        <v>22.857840148164055</v>
      </c>
      <c r="DA76" s="2">
        <f t="shared" si="44"/>
        <v>7.1159413678394193E-2</v>
      </c>
      <c r="DB76" s="1" t="s">
        <v>1074</v>
      </c>
      <c r="DC76" t="str">
        <f t="shared" si="45"/>
        <v>reg</v>
      </c>
      <c r="DD76" t="s">
        <v>1156</v>
      </c>
      <c r="DE76">
        <v>2010</v>
      </c>
      <c r="DF76" s="143">
        <v>2100</v>
      </c>
      <c r="DG76" s="143">
        <f t="shared" si="46"/>
        <v>90</v>
      </c>
      <c r="DH76" t="str">
        <f t="shared" si="47"/>
        <v>71-100</v>
      </c>
      <c r="DI76">
        <v>1</v>
      </c>
      <c r="DJ76">
        <v>1</v>
      </c>
      <c r="DK76">
        <v>1</v>
      </c>
      <c r="DL76">
        <v>1</v>
      </c>
      <c r="DN76">
        <f t="shared" si="48"/>
        <v>4</v>
      </c>
      <c r="DO76" t="str">
        <f t="shared" si="49"/>
        <v>mixedProduct</v>
      </c>
      <c r="DP76" t="str">
        <f t="shared" si="50"/>
        <v>Upstream</v>
      </c>
      <c r="DQ76" t="str">
        <f t="shared" si="51"/>
        <v>Energy</v>
      </c>
      <c r="DR76" t="str">
        <f t="shared" si="52"/>
        <v>Pulp/Paper</v>
      </c>
      <c r="DS76" t="str">
        <f t="shared" si="53"/>
        <v>Timber</v>
      </c>
      <c r="DT76" s="143">
        <v>1</v>
      </c>
      <c r="DU76">
        <v>0</v>
      </c>
      <c r="DV76" s="143">
        <v>0</v>
      </c>
      <c r="DW76" s="143">
        <v>0</v>
      </c>
      <c r="DX76" s="143" t="s">
        <v>1157</v>
      </c>
      <c r="DY76">
        <f t="shared" si="54"/>
        <v>1</v>
      </c>
      <c r="DZ76" s="143" t="str">
        <f t="shared" si="55"/>
        <v>self-calculated DF</v>
      </c>
      <c r="EA76" s="143">
        <v>0</v>
      </c>
      <c r="EB76">
        <v>1</v>
      </c>
      <c r="EC76" s="143">
        <v>1</v>
      </c>
      <c r="ED76" s="143">
        <v>1</v>
      </c>
      <c r="EE76">
        <v>1</v>
      </c>
      <c r="EF76">
        <v>1</v>
      </c>
      <c r="EG76" s="143">
        <v>0</v>
      </c>
      <c r="EH76">
        <v>0</v>
      </c>
      <c r="EI76" s="143">
        <v>0</v>
      </c>
      <c r="EJ76">
        <v>0</v>
      </c>
      <c r="EK76">
        <v>1</v>
      </c>
      <c r="EL76" s="143">
        <v>0</v>
      </c>
      <c r="EM76">
        <v>0</v>
      </c>
      <c r="EN76" s="2">
        <v>0</v>
      </c>
      <c r="EP76" t="str">
        <f t="shared" si="62"/>
        <v/>
      </c>
      <c r="EQ76" t="str">
        <f t="shared" si="56"/>
        <v/>
      </c>
      <c r="ER76" s="2" t="str">
        <f t="shared" si="63"/>
        <v/>
      </c>
      <c r="ES76" t="str">
        <f t="shared" si="64"/>
        <v/>
      </c>
      <c r="ET76" t="str">
        <f t="shared" si="65"/>
        <v/>
      </c>
      <c r="EU76" t="str">
        <f t="shared" si="66"/>
        <v/>
      </c>
      <c r="EW76" t="s">
        <v>1158</v>
      </c>
      <c r="EY76" t="str">
        <f>IF(ISNUMBER(BW76),IF(ABS(BW76-[3]QC_indicators!$B$2)&gt;3*[3]QC_indicators!$C$2,"C ratio",IF(ISNUMBER(CA76),IF(ABS(CA76-[3]QC_indicators!$B$1)&gt;3*[3]QC_indicators!$C$1,"DF","no"))),IF(ISNUMBER(CA76),IF(ABS(CA76-[3]QC_indicators!$B$1)&gt;3*[3]QC_indicators!$C$1,"DF","no")))</f>
        <v>DF</v>
      </c>
      <c r="EZ76" t="s">
        <v>286</v>
      </c>
      <c r="FA76" t="str">
        <f t="shared" si="67"/>
        <v/>
      </c>
      <c r="FB76" t="s">
        <v>1159</v>
      </c>
      <c r="FD76" s="260" t="s">
        <v>2948</v>
      </c>
    </row>
    <row r="77" spans="1:160" ht="15" hidden="1" customHeight="1">
      <c r="A77" s="1" t="s">
        <v>4434</v>
      </c>
      <c r="B77" t="s">
        <v>4435</v>
      </c>
      <c r="C77" t="s">
        <v>4436</v>
      </c>
      <c r="D77" t="s">
        <v>4437</v>
      </c>
      <c r="E77" t="s">
        <v>4438</v>
      </c>
      <c r="F77" t="s">
        <v>4439</v>
      </c>
      <c r="G77" t="s">
        <v>4440</v>
      </c>
      <c r="H77" t="s">
        <v>254</v>
      </c>
      <c r="I77">
        <v>2021</v>
      </c>
      <c r="J77">
        <v>2</v>
      </c>
      <c r="K77" t="s">
        <v>4441</v>
      </c>
      <c r="M77" t="str">
        <f t="shared" si="57"/>
        <v>Baul_2021</v>
      </c>
      <c r="N77" t="s">
        <v>1225</v>
      </c>
      <c r="O77" s="145" t="s">
        <v>1029</v>
      </c>
      <c r="Q77" s="297" t="s">
        <v>224</v>
      </c>
      <c r="R77" s="298"/>
      <c r="AZ77" s="141"/>
      <c r="BA77" s="141"/>
      <c r="BG77"/>
      <c r="BH77" s="2"/>
      <c r="BR77" s="143"/>
      <c r="BS77" s="143"/>
      <c r="BW77" s="144"/>
      <c r="CA77" t="str">
        <f t="shared" si="58"/>
        <v/>
      </c>
      <c r="CP77"/>
      <c r="CQ77"/>
      <c r="CR77"/>
      <c r="CS77"/>
      <c r="CT77">
        <f t="shared" si="59"/>
        <v>0</v>
      </c>
      <c r="CU77"/>
      <c r="CV77"/>
      <c r="CW77"/>
      <c r="CX77" t="str">
        <f t="shared" si="60"/>
        <v/>
      </c>
      <c r="CY77"/>
      <c r="CZ77" t="str">
        <f t="shared" si="61"/>
        <v/>
      </c>
      <c r="DA77" s="2"/>
      <c r="DC77"/>
      <c r="DH77"/>
      <c r="DN77"/>
      <c r="DO77"/>
      <c r="DP77"/>
      <c r="DQ77"/>
      <c r="DR77"/>
      <c r="DS77"/>
      <c r="DY77"/>
      <c r="DZ77" s="143"/>
      <c r="EP77" t="str">
        <f t="shared" si="62"/>
        <v/>
      </c>
      <c r="EQ77" t="str">
        <f>IF(AND(AND(OR($EC77=1,$EB77=1),AND($EH77=0,$EF77=0)),SUM($EA77:$EE77,$EK77)&gt;=3),"Ecosystem approach","")</f>
        <v/>
      </c>
      <c r="ER77" s="2" t="str">
        <f t="shared" si="63"/>
        <v/>
      </c>
      <c r="ES77" t="str">
        <f t="shared" si="64"/>
        <v/>
      </c>
      <c r="ET77" t="str">
        <f t="shared" si="65"/>
        <v/>
      </c>
      <c r="EU77" t="str">
        <f t="shared" si="66"/>
        <v/>
      </c>
      <c r="EW77" t="s">
        <v>4442</v>
      </c>
      <c r="EX77" s="149" t="s">
        <v>4443</v>
      </c>
      <c r="EY77" t="b">
        <f>IF(ISNUMBER(BW77),IF(ABS(BW77-[1]QC_indicators!$B$2)&gt;3*[1]QC_indicators!$C$2,"C ratio",IF(ISNUMBER(CA77),IF(ABS(CA77-[1]QC_indicators!$B$1)&gt;3*[1]QC_indicators!$C$1,"DF","no"))),IF(ISNUMBER(CA77),IF(ABS(CA77-[1]QC_indicators!$B$1)&gt;3*[1]QC_indicators!$C$1,"DF","no")))</f>
        <v>0</v>
      </c>
      <c r="FA77" t="str">
        <f t="shared" si="67"/>
        <v/>
      </c>
    </row>
    <row r="78" spans="1:160" ht="15" hidden="1" customHeight="1">
      <c r="A78" s="1" t="s">
        <v>4444</v>
      </c>
      <c r="B78" t="s">
        <v>4445</v>
      </c>
      <c r="C78" t="s">
        <v>531</v>
      </c>
      <c r="D78" t="s">
        <v>4446</v>
      </c>
      <c r="E78" t="s">
        <v>4447</v>
      </c>
      <c r="F78" t="s">
        <v>4448</v>
      </c>
      <c r="G78" t="s">
        <v>4449</v>
      </c>
      <c r="H78" t="s">
        <v>254</v>
      </c>
      <c r="I78">
        <v>2020</v>
      </c>
      <c r="J78">
        <v>0</v>
      </c>
      <c r="K78" t="s">
        <v>4450</v>
      </c>
      <c r="M78" t="str">
        <f t="shared" si="57"/>
        <v>Campbell_2020</v>
      </c>
      <c r="N78" t="s">
        <v>1225</v>
      </c>
      <c r="O78" s="145" t="s">
        <v>223</v>
      </c>
      <c r="Q78" s="297" t="s">
        <v>256</v>
      </c>
      <c r="R78" s="298"/>
      <c r="AZ78" s="141"/>
      <c r="BA78" s="141"/>
      <c r="BG78"/>
      <c r="BH78" s="2"/>
      <c r="BR78" s="143"/>
      <c r="BS78" s="143"/>
      <c r="BW78" s="144"/>
      <c r="CA78" t="str">
        <f t="shared" si="58"/>
        <v/>
      </c>
      <c r="CP78"/>
      <c r="CQ78"/>
      <c r="CR78"/>
      <c r="CS78"/>
      <c r="CT78">
        <f t="shared" si="59"/>
        <v>0</v>
      </c>
      <c r="CU78"/>
      <c r="CV78"/>
      <c r="CW78"/>
      <c r="CX78" t="str">
        <f t="shared" si="60"/>
        <v/>
      </c>
      <c r="CY78"/>
      <c r="CZ78" t="str">
        <f t="shared" si="61"/>
        <v/>
      </c>
      <c r="DA78" s="2"/>
      <c r="DC78"/>
      <c r="DH78"/>
      <c r="DN78"/>
      <c r="DO78"/>
      <c r="DP78"/>
      <c r="DQ78"/>
      <c r="DR78"/>
      <c r="DS78"/>
      <c r="DY78"/>
      <c r="DZ78" s="143"/>
      <c r="EP78" t="str">
        <f t="shared" si="62"/>
        <v/>
      </c>
      <c r="EQ78" t="str">
        <f>IF(AND(AND(OR($EC78=1,$EB78=1),AND($EH78=0,$EF78=0)),SUM($EA78:$EE78,$EK78)&gt;=3),"Ecosystem approach","")</f>
        <v/>
      </c>
      <c r="ER78" s="2" t="str">
        <f t="shared" si="63"/>
        <v/>
      </c>
      <c r="ES78" t="str">
        <f t="shared" si="64"/>
        <v/>
      </c>
      <c r="ET78" t="str">
        <f t="shared" si="65"/>
        <v/>
      </c>
      <c r="EU78" t="str">
        <f t="shared" si="66"/>
        <v/>
      </c>
      <c r="EX78" t="s">
        <v>450</v>
      </c>
      <c r="EY78" t="b">
        <f>IF(ISNUMBER(BW78),IF(ABS(BW78-[1]QC_indicators!$B$2)&gt;3*[1]QC_indicators!$C$2,"C ratio",IF(ISNUMBER(CA78),IF(ABS(CA78-[1]QC_indicators!$B$1)&gt;3*[1]QC_indicators!$C$1,"DF","no"))),IF(ISNUMBER(CA78),IF(ABS(CA78-[1]QC_indicators!$B$1)&gt;3*[1]QC_indicators!$C$1,"DF","no")))</f>
        <v>0</v>
      </c>
      <c r="FA78" t="str">
        <f t="shared" si="67"/>
        <v/>
      </c>
    </row>
    <row r="79" spans="1:160" ht="15" hidden="1" customHeight="1">
      <c r="A79" s="1" t="s">
        <v>4444</v>
      </c>
      <c r="B79" t="s">
        <v>4445</v>
      </c>
      <c r="C79" t="s">
        <v>531</v>
      </c>
      <c r="D79" t="s">
        <v>4446</v>
      </c>
      <c r="E79" t="s">
        <v>4447</v>
      </c>
      <c r="F79" t="s">
        <v>4448</v>
      </c>
      <c r="G79" t="s">
        <v>4449</v>
      </c>
      <c r="H79" t="s">
        <v>254</v>
      </c>
      <c r="I79">
        <v>2020</v>
      </c>
      <c r="J79">
        <v>0</v>
      </c>
      <c r="K79" t="s">
        <v>4450</v>
      </c>
      <c r="M79" t="str">
        <f t="shared" si="57"/>
        <v>Campbell_2020</v>
      </c>
      <c r="N79" t="s">
        <v>1225</v>
      </c>
      <c r="O79" s="145" t="s">
        <v>223</v>
      </c>
      <c r="Q79" s="297" t="s">
        <v>256</v>
      </c>
      <c r="R79" s="298"/>
      <c r="AZ79" s="141"/>
      <c r="BA79" s="141"/>
      <c r="BG79"/>
      <c r="BH79" s="2"/>
      <c r="BR79" s="143"/>
      <c r="BS79" s="143"/>
      <c r="CA79" t="str">
        <f t="shared" si="58"/>
        <v/>
      </c>
      <c r="CP79"/>
      <c r="CQ79"/>
      <c r="CR79"/>
      <c r="CS79"/>
      <c r="CT79">
        <f t="shared" si="59"/>
        <v>0</v>
      </c>
      <c r="CU79"/>
      <c r="CV79"/>
      <c r="CW79"/>
      <c r="CX79" t="str">
        <f t="shared" si="60"/>
        <v/>
      </c>
      <c r="CY79"/>
      <c r="CZ79" t="str">
        <f t="shared" si="61"/>
        <v/>
      </c>
      <c r="DA79" s="2"/>
      <c r="DC79"/>
      <c r="DH79"/>
      <c r="DN79"/>
      <c r="DO79"/>
      <c r="DP79"/>
      <c r="DQ79"/>
      <c r="DR79"/>
      <c r="DS79"/>
      <c r="DY79"/>
      <c r="DZ79" s="143"/>
      <c r="EP79" t="str">
        <f t="shared" si="62"/>
        <v/>
      </c>
      <c r="EQ79" t="str">
        <f>IF(AND(AND(OR($EC79=1,$EB79=1),AND($EH79=0,$EF79=0)),SUM($EA79:$EE79,$EK79)&gt;=3),"Ecosystem approach","")</f>
        <v/>
      </c>
      <c r="ER79" s="2" t="str">
        <f t="shared" si="63"/>
        <v/>
      </c>
      <c r="ES79" t="str">
        <f t="shared" si="64"/>
        <v/>
      </c>
      <c r="ET79" t="str">
        <f t="shared" si="65"/>
        <v/>
      </c>
      <c r="EU79" t="str">
        <f t="shared" si="66"/>
        <v/>
      </c>
      <c r="EY79" t="b">
        <f>IF(ISNUMBER(BW79),IF(ABS(BW79-[1]QC_indicators!$B$2)&gt;3*[1]QC_indicators!$C$2,"C ratio",IF(ISNUMBER(CA79),IF(ABS(CA79-[1]QC_indicators!$B$1)&gt;3*[1]QC_indicators!$C$1,"DF","no"))),IF(ISNUMBER(CA79),IF(ABS(CA79-[1]QC_indicators!$B$1)&gt;3*[1]QC_indicators!$C$1,"DF","no")))</f>
        <v>0</v>
      </c>
      <c r="FA79" t="str">
        <f t="shared" si="67"/>
        <v/>
      </c>
    </row>
    <row r="80" spans="1:160" ht="15" hidden="1" customHeight="1">
      <c r="A80" s="1" t="s">
        <v>549</v>
      </c>
      <c r="B80" t="s">
        <v>531</v>
      </c>
      <c r="C80" t="s">
        <v>4451</v>
      </c>
      <c r="D80" t="s">
        <v>4452</v>
      </c>
      <c r="E80" t="s">
        <v>4453</v>
      </c>
      <c r="F80" t="s">
        <v>4454</v>
      </c>
      <c r="G80" t="s">
        <v>554</v>
      </c>
      <c r="H80" t="s">
        <v>254</v>
      </c>
      <c r="I80">
        <v>2014</v>
      </c>
      <c r="J80">
        <v>24</v>
      </c>
      <c r="K80" t="s">
        <v>4455</v>
      </c>
      <c r="M80" t="str">
        <f t="shared" si="57"/>
        <v>Chen_2014</v>
      </c>
      <c r="N80" t="s">
        <v>1225</v>
      </c>
      <c r="O80" s="145" t="s">
        <v>223</v>
      </c>
      <c r="Q80" s="297" t="s">
        <v>256</v>
      </c>
      <c r="R80" s="298"/>
      <c r="AZ80" s="141">
        <f>COUNTIF(X80:AY80,"&lt;&gt;0")</f>
        <v>28</v>
      </c>
      <c r="BA80" s="141">
        <f>COUNTIF(X80:AN80,"&lt;&gt;0")</f>
        <v>17</v>
      </c>
      <c r="BG80"/>
      <c r="BH80" s="2"/>
      <c r="BR80" s="143"/>
      <c r="BS80" s="143"/>
      <c r="BW80" s="144"/>
      <c r="CA80" t="str">
        <f t="shared" si="58"/>
        <v/>
      </c>
      <c r="CP80"/>
      <c r="CQ80"/>
      <c r="CR80"/>
      <c r="CS80"/>
      <c r="CT80">
        <f t="shared" si="59"/>
        <v>0</v>
      </c>
      <c r="CU80"/>
      <c r="CV80"/>
      <c r="CW80"/>
      <c r="CX80" t="str">
        <f t="shared" si="60"/>
        <v/>
      </c>
      <c r="CY80"/>
      <c r="CZ80" t="str">
        <f t="shared" si="61"/>
        <v/>
      </c>
      <c r="DA80" s="2"/>
      <c r="DB80" s="1" t="s">
        <v>1074</v>
      </c>
      <c r="DC80" s="297" t="str">
        <f>IF(OR($DB80="prd",$DB80="std",$DB80="cit"),"loc",IF(OR($DB80="eur",$DB80="reg",$DB80="coy"),"reg",$DB80))</f>
        <v>reg</v>
      </c>
      <c r="DD80" t="s">
        <v>527</v>
      </c>
      <c r="DG80">
        <v>100</v>
      </c>
      <c r="DH80" t="str">
        <f>IF(DG80=0,"0",IF(AND(DG80&gt;=1,DG80&lt;=30),"1-30",IF(AND(DG80&gt;30,DG80&lt;=70),"31-70",IF(AND(DG80&gt;70,DG80&lt;=100),"71-100",IF(DG80&gt;100,"+100")))))</f>
        <v>71-100</v>
      </c>
      <c r="DI80">
        <v>0</v>
      </c>
      <c r="DJ80">
        <v>1</v>
      </c>
      <c r="DK80">
        <v>1</v>
      </c>
      <c r="DL80">
        <v>1</v>
      </c>
      <c r="DN80">
        <f>SUM(DI80:DL80)</f>
        <v>3</v>
      </c>
      <c r="DO80" t="str">
        <f>IF(DN80=1,INDEX($DI$7:$DL$7,MATCH(1,$DI80:$DL80,0)),"mixedProduct")</f>
        <v>mixedProduct</v>
      </c>
      <c r="DP80">
        <f t="shared" ref="DP80:DS83" si="68">IF(DI80=1,DP$7,0)</f>
        <v>0</v>
      </c>
      <c r="DQ80" t="str">
        <f t="shared" si="68"/>
        <v>Energy</v>
      </c>
      <c r="DR80" t="str">
        <f t="shared" si="68"/>
        <v>Pulp/Paper</v>
      </c>
      <c r="DS80" t="str">
        <f t="shared" si="68"/>
        <v>Timber</v>
      </c>
      <c r="DT80">
        <v>1</v>
      </c>
      <c r="DU80">
        <v>0</v>
      </c>
      <c r="DV80">
        <v>0</v>
      </c>
      <c r="DW80">
        <v>0</v>
      </c>
      <c r="DX80">
        <v>0</v>
      </c>
      <c r="DY80">
        <f>SUM(DT80:DU80)</f>
        <v>1</v>
      </c>
      <c r="DZ80" s="143" t="str">
        <f>IF(DT80=1,"self-calculated DF",IF(DU80=1,"external DF used","explicit C balance"))</f>
        <v>self-calculated DF</v>
      </c>
      <c r="EA80">
        <v>1</v>
      </c>
      <c r="EB80">
        <v>1</v>
      </c>
      <c r="EC80">
        <v>1</v>
      </c>
      <c r="ED80">
        <v>1</v>
      </c>
      <c r="EE80">
        <v>1</v>
      </c>
      <c r="EF80">
        <v>1</v>
      </c>
      <c r="EG80">
        <v>1</v>
      </c>
      <c r="EH80">
        <v>1</v>
      </c>
      <c r="EI80">
        <v>1</v>
      </c>
      <c r="EJ80">
        <v>0</v>
      </c>
      <c r="EK80">
        <v>1</v>
      </c>
      <c r="EL80">
        <v>0</v>
      </c>
      <c r="EM80">
        <v>0</v>
      </c>
      <c r="EN80" s="2">
        <v>0</v>
      </c>
      <c r="EP80" t="str">
        <f t="shared" si="62"/>
        <v>Whole sector approach</v>
      </c>
      <c r="EQ80" t="str">
        <f>IF(AND(AND(OR($EC80=1,$EB80=1),AND($EH80=0,$EF80=0)),SUM($EA80:$EE80,$EK80)&gt;=3),"Ecosystem approach","")</f>
        <v/>
      </c>
      <c r="ER80" s="2" t="str">
        <f t="shared" si="63"/>
        <v/>
      </c>
      <c r="ES80" t="str">
        <f t="shared" si="64"/>
        <v/>
      </c>
      <c r="ET80" t="str">
        <f t="shared" si="65"/>
        <v/>
      </c>
      <c r="EU80" t="str">
        <f t="shared" si="66"/>
        <v/>
      </c>
      <c r="EY80" t="b">
        <f>IF(ISNUMBER(BW80),IF(ABS(BW80-[1]QC_indicators!$B$2)&gt;3*[1]QC_indicators!$C$2,"C ratio",IF(ISNUMBER(CA80),IF(ABS(CA80-[1]QC_indicators!$B$1)&gt;3*[1]QC_indicators!$C$1,"DF","no"))),IF(ISNUMBER(CA80),IF(ABS(CA80-[1]QC_indicators!$B$1)&gt;3*[1]QC_indicators!$C$1,"DF","no")))</f>
        <v>0</v>
      </c>
      <c r="FA80" t="str">
        <f t="shared" si="67"/>
        <v/>
      </c>
      <c r="FB80" s="299" t="s">
        <v>349</v>
      </c>
    </row>
    <row r="81" spans="1:161" ht="15" hidden="1" customHeight="1">
      <c r="A81" s="1" t="s">
        <v>549</v>
      </c>
      <c r="B81" t="s">
        <v>531</v>
      </c>
      <c r="C81" t="s">
        <v>4451</v>
      </c>
      <c r="D81" t="s">
        <v>4452</v>
      </c>
      <c r="E81" t="s">
        <v>4453</v>
      </c>
      <c r="F81" t="s">
        <v>4454</v>
      </c>
      <c r="G81" t="s">
        <v>554</v>
      </c>
      <c r="H81" t="s">
        <v>254</v>
      </c>
      <c r="I81">
        <v>2014</v>
      </c>
      <c r="J81">
        <v>24</v>
      </c>
      <c r="K81" t="s">
        <v>4455</v>
      </c>
      <c r="M81" t="str">
        <f t="shared" si="57"/>
        <v>Chen_2014</v>
      </c>
      <c r="N81" t="s">
        <v>1225</v>
      </c>
      <c r="O81" s="145" t="s">
        <v>223</v>
      </c>
      <c r="Q81" s="297" t="s">
        <v>256</v>
      </c>
      <c r="R81" s="298"/>
      <c r="AZ81" s="141">
        <f>COUNTIF(X81:AY81,"&lt;&gt;0")</f>
        <v>28</v>
      </c>
      <c r="BA81" s="141">
        <f>COUNTIF(X81:AN81,"&lt;&gt;0")</f>
        <v>17</v>
      </c>
      <c r="BG81"/>
      <c r="BH81" s="2"/>
      <c r="BR81" s="143"/>
      <c r="BS81" s="143"/>
      <c r="CA81" t="str">
        <f t="shared" si="58"/>
        <v/>
      </c>
      <c r="CP81"/>
      <c r="CQ81"/>
      <c r="CR81"/>
      <c r="CS81"/>
      <c r="CT81">
        <f t="shared" si="59"/>
        <v>0</v>
      </c>
      <c r="CU81"/>
      <c r="CV81"/>
      <c r="CW81"/>
      <c r="CX81" t="str">
        <f t="shared" si="60"/>
        <v/>
      </c>
      <c r="CY81"/>
      <c r="CZ81" t="str">
        <f t="shared" si="61"/>
        <v/>
      </c>
      <c r="DA81" s="2"/>
      <c r="DB81" s="1" t="s">
        <v>1074</v>
      </c>
      <c r="DC81" s="297" t="str">
        <f>IF(OR($DB81="prd",$DB81="std",$DB81="cit"),"loc",IF(OR($DB81="eur",$DB81="reg",$DB81="coy"),"reg",$DB81))</f>
        <v>reg</v>
      </c>
      <c r="DD81" t="s">
        <v>527</v>
      </c>
      <c r="DG81">
        <v>100</v>
      </c>
      <c r="DH81" t="str">
        <f>IF(DG81=0,"0",IF(AND(DG81&gt;=1,DG81&lt;=30),"1-30",IF(AND(DG81&gt;30,DG81&lt;=70),"31-70",IF(AND(DG81&gt;70,DG81&lt;=100),"71-100",IF(DG81&gt;100,"+100")))))</f>
        <v>71-100</v>
      </c>
      <c r="DI81">
        <v>0</v>
      </c>
      <c r="DJ81">
        <v>1</v>
      </c>
      <c r="DK81">
        <v>1</v>
      </c>
      <c r="DL81">
        <v>1</v>
      </c>
      <c r="DN81">
        <f>SUM(DI81:DL81)</f>
        <v>3</v>
      </c>
      <c r="DO81" t="str">
        <f>IF(DN81=1,INDEX($DI$7:$DL$7,MATCH(1,$DI81:$DL81,0)),"mixedProduct")</f>
        <v>mixedProduct</v>
      </c>
      <c r="DP81">
        <f t="shared" si="68"/>
        <v>0</v>
      </c>
      <c r="DQ81" t="str">
        <f t="shared" si="68"/>
        <v>Energy</v>
      </c>
      <c r="DR81" t="str">
        <f t="shared" si="68"/>
        <v>Pulp/Paper</v>
      </c>
      <c r="DS81" t="str">
        <f t="shared" si="68"/>
        <v>Timber</v>
      </c>
      <c r="DT81">
        <v>1</v>
      </c>
      <c r="DU81">
        <v>0</v>
      </c>
      <c r="DV81">
        <v>0</v>
      </c>
      <c r="DW81">
        <v>0</v>
      </c>
      <c r="DX81">
        <v>0</v>
      </c>
      <c r="DY81">
        <f>SUM(DT81:DU81)</f>
        <v>1</v>
      </c>
      <c r="DZ81" s="143" t="str">
        <f>IF(DT81=1,"self-calculated DF",IF(DU81=1,"external DF used","explicit C balance"))</f>
        <v>self-calculated DF</v>
      </c>
      <c r="EA81">
        <v>1</v>
      </c>
      <c r="EB81">
        <v>1</v>
      </c>
      <c r="EC81">
        <v>1</v>
      </c>
      <c r="ED81">
        <v>1</v>
      </c>
      <c r="EE81">
        <v>1</v>
      </c>
      <c r="EF81">
        <v>1</v>
      </c>
      <c r="EG81">
        <v>1</v>
      </c>
      <c r="EH81">
        <v>1</v>
      </c>
      <c r="EI81">
        <v>1</v>
      </c>
      <c r="EJ81">
        <v>0</v>
      </c>
      <c r="EK81">
        <v>1</v>
      </c>
      <c r="EL81">
        <v>0</v>
      </c>
      <c r="EM81">
        <v>0</v>
      </c>
      <c r="EN81" s="2">
        <v>0</v>
      </c>
      <c r="EP81" t="str">
        <f t="shared" si="62"/>
        <v>Whole sector approach</v>
      </c>
      <c r="EQ81" t="str">
        <f>IF(AND(AND(OR($EC81=1,$EB81=1),AND($EH81=0,$EF81=0)),SUM($EA81:$EE81,$EK81)&gt;=3),"Ecosystem approach","")</f>
        <v/>
      </c>
      <c r="ER81" s="2" t="str">
        <f t="shared" si="63"/>
        <v/>
      </c>
      <c r="ES81" t="str">
        <f t="shared" si="64"/>
        <v/>
      </c>
      <c r="ET81" t="str">
        <f t="shared" si="65"/>
        <v/>
      </c>
      <c r="EU81" t="str">
        <f t="shared" si="66"/>
        <v/>
      </c>
      <c r="EY81" t="b">
        <f>IF(ISNUMBER(BW81),IF(ABS(BW81-[1]QC_indicators!$B$2)&gt;3*[1]QC_indicators!$C$2,"C ratio",IF(ISNUMBER(CA81),IF(ABS(CA81-[1]QC_indicators!$B$1)&gt;3*[1]QC_indicators!$C$1,"DF","no"))),IF(ISNUMBER(CA81),IF(ABS(CA81-[1]QC_indicators!$B$1)&gt;3*[1]QC_indicators!$C$1,"DF","no")))</f>
        <v>0</v>
      </c>
      <c r="FA81" t="str">
        <f t="shared" si="67"/>
        <v/>
      </c>
      <c r="FB81" s="299" t="s">
        <v>349</v>
      </c>
    </row>
    <row r="82" spans="1:161" ht="15" hidden="1" customHeight="1">
      <c r="A82" s="1" t="s">
        <v>654</v>
      </c>
      <c r="B82" t="s">
        <v>655</v>
      </c>
      <c r="C82" t="s">
        <v>656</v>
      </c>
      <c r="D82" t="s">
        <v>657</v>
      </c>
      <c r="E82" t="s">
        <v>658</v>
      </c>
      <c r="F82" t="s">
        <v>659</v>
      </c>
      <c r="G82" t="s">
        <v>660</v>
      </c>
      <c r="H82" t="s">
        <v>254</v>
      </c>
      <c r="I82">
        <v>2015</v>
      </c>
      <c r="J82">
        <v>68</v>
      </c>
      <c r="K82" t="s">
        <v>661</v>
      </c>
      <c r="M82" t="str">
        <f t="shared" si="57"/>
        <v>Dong_2015</v>
      </c>
      <c r="N82" t="s">
        <v>1225</v>
      </c>
      <c r="O82" s="145" t="s">
        <v>274</v>
      </c>
      <c r="Q82" t="s">
        <v>256</v>
      </c>
      <c r="R82" s="258" t="s">
        <v>223</v>
      </c>
      <c r="S82" s="259" t="s">
        <v>2798</v>
      </c>
      <c r="T82" t="s">
        <v>662</v>
      </c>
      <c r="U82" t="s">
        <v>663</v>
      </c>
      <c r="X82">
        <v>0</v>
      </c>
      <c r="Y82">
        <v>0</v>
      </c>
      <c r="Z82">
        <v>0</v>
      </c>
      <c r="AA82">
        <v>0</v>
      </c>
      <c r="AB82">
        <v>0</v>
      </c>
      <c r="AC82">
        <v>0</v>
      </c>
      <c r="AD82">
        <v>0</v>
      </c>
      <c r="AE82">
        <v>0</v>
      </c>
      <c r="AF82">
        <v>0</v>
      </c>
      <c r="AG82">
        <v>0</v>
      </c>
      <c r="AH82" s="151">
        <v>0</v>
      </c>
      <c r="AI82">
        <v>0</v>
      </c>
      <c r="AJ82">
        <v>0</v>
      </c>
      <c r="AK82">
        <v>0</v>
      </c>
      <c r="AL82">
        <v>0</v>
      </c>
      <c r="AM82">
        <v>1</v>
      </c>
      <c r="AN82">
        <v>0</v>
      </c>
      <c r="AO82">
        <v>0</v>
      </c>
      <c r="AP82">
        <v>0</v>
      </c>
      <c r="AQ82">
        <v>0</v>
      </c>
      <c r="AR82">
        <v>0</v>
      </c>
      <c r="AS82">
        <v>0</v>
      </c>
      <c r="AT82">
        <v>0</v>
      </c>
      <c r="AU82">
        <v>0</v>
      </c>
      <c r="AV82">
        <v>0</v>
      </c>
      <c r="AW82">
        <v>0</v>
      </c>
      <c r="AX82">
        <v>0</v>
      </c>
      <c r="AY82">
        <v>0</v>
      </c>
      <c r="AZ82" s="141">
        <f>COUNTIF(X82:AY82,"&lt;&gt;0")</f>
        <v>1</v>
      </c>
      <c r="BA82" s="141">
        <f>COUNTIF(X82:AN82,"&lt;&gt;0")</f>
        <v>1</v>
      </c>
      <c r="BB82">
        <f>COUNTIF(X82:AE82,"&lt;&gt;0")</f>
        <v>0</v>
      </c>
      <c r="BC82">
        <f>COUNTIF(AF82:AK82,"&lt;&gt;0")</f>
        <v>0</v>
      </c>
      <c r="BD82">
        <f>COUNTIF(AL82:AN82,"&lt;&gt;0")</f>
        <v>1</v>
      </c>
      <c r="BE82">
        <f>COUNTIF(AU82:AY82,"&lt;&gt;0")</f>
        <v>0</v>
      </c>
      <c r="BF82">
        <f>COUNTIF(AO82:AT82,"&lt;&gt;0")</f>
        <v>0</v>
      </c>
      <c r="BG82" t="str">
        <f t="array" ref="BG82">IF(BA82=1,INDEX($X$7:$AN$7,MATCH(TRUE,INDEX($X82:$AY82&lt;&gt;0,),0)),IF(BA82=0,INDEX($AO$7:$AY$7,MATCH(1,$AO82:$AY82,0)),IF(BH82="Multiple strategies","mixed drivers",IF(BH82="Supply chain","multiple supply","multiple silviculture"))))</f>
        <v>technologies/design switch</v>
      </c>
      <c r="BH82" s="2" t="str" cm="1">
        <f t="array" ref="BH82">IF(COUNTIF(BB82:BD82,"&lt;&gt;0")=1,INDEX($X$4:$AY$4,MATCH(TRUE,INDEX($X82:$AY82&lt;&gt;0,),0)),IF(COUNTIF(BB82:BD82,"&lt;&gt;0")=0,INDEX($AO$4:$AY$4,MATCH(1,$AO82:$AY82,0)),"Multiple strategies"))</f>
        <v>Technology</v>
      </c>
      <c r="BI82" s="1" t="s">
        <v>229</v>
      </c>
      <c r="BJ82" t="s">
        <v>664</v>
      </c>
      <c r="BK82" s="260" t="s">
        <v>598</v>
      </c>
      <c r="BL82" s="260" t="s">
        <v>511</v>
      </c>
      <c r="BM82">
        <v>0</v>
      </c>
      <c r="BN82" s="152">
        <v>45.7</v>
      </c>
      <c r="BP82">
        <f>BN82-BM82</f>
        <v>45.7</v>
      </c>
      <c r="BQ82">
        <f>BP82*kg_to_m3</f>
        <v>9.3265306122448988E-2</v>
      </c>
      <c r="BR82" s="143" t="s">
        <v>395</v>
      </c>
      <c r="BS82" s="143"/>
      <c r="BT82" t="s">
        <v>666</v>
      </c>
      <c r="BU82" s="152">
        <v>10</v>
      </c>
      <c r="BV82" s="152">
        <v>105</v>
      </c>
      <c r="BW82" s="144">
        <f>IFERROR(BV82/BU82,"")</f>
        <v>10.5</v>
      </c>
      <c r="BX82" s="152">
        <f>BV82-BU82</f>
        <v>95</v>
      </c>
      <c r="BY82" s="152"/>
      <c r="BZ82">
        <f>BX82/1000</f>
        <v>9.5000000000000001E-2</v>
      </c>
      <c r="CA82">
        <f t="shared" si="58"/>
        <v>1.0185995623632385</v>
      </c>
      <c r="CB82">
        <v>0</v>
      </c>
      <c r="CC82">
        <v>0</v>
      </c>
      <c r="CD82">
        <v>0</v>
      </c>
      <c r="CE82">
        <v>0</v>
      </c>
      <c r="CF82">
        <v>0</v>
      </c>
      <c r="CG82">
        <v>0</v>
      </c>
      <c r="CH82">
        <v>0</v>
      </c>
      <c r="CI82">
        <v>0</v>
      </c>
      <c r="CJ82">
        <v>0</v>
      </c>
      <c r="CK82">
        <v>0</v>
      </c>
      <c r="CL82">
        <v>0</v>
      </c>
      <c r="CM82">
        <v>0</v>
      </c>
      <c r="CN82">
        <v>0</v>
      </c>
      <c r="CO82">
        <v>0</v>
      </c>
      <c r="CP82" t="str">
        <f>IF($BN82&lt;$BM82,"refNeedCorrection","refOK")</f>
        <v>refOK</v>
      </c>
      <c r="CQ82">
        <f>IF($CP82="refOK",$BM82,$BN82)</f>
        <v>0</v>
      </c>
      <c r="CR82">
        <f>IF($CP82="refOK",$BN82,$BM82)</f>
        <v>45.7</v>
      </c>
      <c r="CS82">
        <f>IF($CP82="refOK",$BQ82,-$BQ82)</f>
        <v>9.3265306122448988E-2</v>
      </c>
      <c r="CT82">
        <f t="shared" si="59"/>
        <v>9.3265306122448988E-2</v>
      </c>
      <c r="CU82">
        <f>IF($CP82="refOK",$BU82,$BV82)*IF($BR82="Emissions positive",-1,1)</f>
        <v>-10</v>
      </c>
      <c r="CV82">
        <f>IF($CP82="refOK",$BV82,$BU82)*IF($BR82="Emissions positive",-1,1)</f>
        <v>-105</v>
      </c>
      <c r="CW82">
        <f>IF($CP82="refNeedCorrection",-BZ82,BZ82)*IF($BR82="Emissions positive",-1,1)</f>
        <v>-9.5000000000000001E-2</v>
      </c>
      <c r="CX82">
        <f t="shared" si="60"/>
        <v>-1.0185995623632385</v>
      </c>
      <c r="CY82">
        <f>IFERROR($CW82/$CS82,"")</f>
        <v>-1.0185995623632385</v>
      </c>
      <c r="CZ82">
        <f t="shared" si="61"/>
        <v>-1.0185995623632385</v>
      </c>
      <c r="DA82" s="2">
        <f>IFERROR((CV82-CU82)/ABS(CU82),"")</f>
        <v>-9.5</v>
      </c>
      <c r="DB82" s="1" t="s">
        <v>263</v>
      </c>
      <c r="DC82" t="str">
        <f>IF(OR($DB82="prd",$DB82="std",$DB82="cit"),"loc",IF(OR($DB82="eur",$DB82="reg",$DB82="coy"),"reg",$DB82))</f>
        <v>loc</v>
      </c>
      <c r="DD82" t="s">
        <v>667</v>
      </c>
      <c r="DG82">
        <v>0</v>
      </c>
      <c r="DH82" t="str">
        <f>IF(DG82=0,"0",IF(AND(DG82&gt;=1,DG82&lt;=30),"1-30",IF(AND(DG82&gt;30,DG82&lt;=70),"31-70",IF(AND(DG82&gt;70,DG82&lt;=100),"71-100",IF(DG82&gt;100,"+100")))))</f>
        <v>0</v>
      </c>
      <c r="DI82">
        <v>0</v>
      </c>
      <c r="DJ82">
        <v>0</v>
      </c>
      <c r="DK82">
        <v>0</v>
      </c>
      <c r="DL82">
        <v>1</v>
      </c>
      <c r="DN82">
        <f>SUM(DI82:DL82)</f>
        <v>1</v>
      </c>
      <c r="DO82" t="str">
        <f>IF(DN82=1,INDEX($DI$7:$DL$7,MATCH(1,$DI82:$DL82,0)),"mixedProduct")</f>
        <v>TimberInput</v>
      </c>
      <c r="DP82">
        <f t="shared" si="68"/>
        <v>0</v>
      </c>
      <c r="DQ82">
        <f t="shared" si="68"/>
        <v>0</v>
      </c>
      <c r="DR82">
        <f t="shared" si="68"/>
        <v>0</v>
      </c>
      <c r="DS82" t="str">
        <f t="shared" si="68"/>
        <v>Timber</v>
      </c>
      <c r="DT82">
        <v>1</v>
      </c>
      <c r="DU82">
        <v>0</v>
      </c>
      <c r="DV82">
        <v>0</v>
      </c>
      <c r="DW82">
        <v>0</v>
      </c>
      <c r="DX82">
        <v>0</v>
      </c>
      <c r="DY82">
        <f>SUM(DT82:DU82)</f>
        <v>1</v>
      </c>
      <c r="DZ82" s="143" t="str">
        <f>IF(DT82=1,"self-calculated DF",IF(DU82=1,"external DF used","explicit C balance"))</f>
        <v>self-calculated DF</v>
      </c>
      <c r="EA82">
        <v>0</v>
      </c>
      <c r="EB82">
        <v>0</v>
      </c>
      <c r="EC82">
        <v>0</v>
      </c>
      <c r="ED82">
        <v>0</v>
      </c>
      <c r="EE82">
        <v>0</v>
      </c>
      <c r="EF82" s="143">
        <v>1</v>
      </c>
      <c r="EG82">
        <v>0</v>
      </c>
      <c r="EH82">
        <v>1</v>
      </c>
      <c r="EI82">
        <v>0</v>
      </c>
      <c r="EJ82">
        <v>0</v>
      </c>
      <c r="EK82">
        <v>0</v>
      </c>
      <c r="EL82">
        <v>0</v>
      </c>
      <c r="EM82">
        <v>0</v>
      </c>
      <c r="EN82" s="2">
        <v>0</v>
      </c>
      <c r="EP82" t="str">
        <f t="shared" si="62"/>
        <v/>
      </c>
      <c r="EQ82" t="str">
        <f>IF(AND(AND(OR($EC82=1,$EB82=1),AND($EH82=0,$EF82=0)),SUM($EA82:$EE82,$EK82)&gt;=4),"Ecosystem approach","")</f>
        <v/>
      </c>
      <c r="ER82" s="2" t="str">
        <f t="shared" si="63"/>
        <v/>
      </c>
      <c r="ES82" t="str">
        <f t="shared" si="64"/>
        <v/>
      </c>
      <c r="ET82" t="str">
        <f t="shared" si="65"/>
        <v/>
      </c>
      <c r="EU82" t="str">
        <f t="shared" si="66"/>
        <v/>
      </c>
      <c r="EX82" s="147"/>
      <c r="EY82" t="str">
        <f>IF(ISNUMBER(BW82),IF(ABS(BW82-[2]QC_indicators!$B$2)&gt;3*[2]QC_indicators!$C$2,"C ratio",IF(ISNUMBER(CA82),IF(ABS(CA82-[2]QC_indicators!$B$1)&gt;3*[2]QC_indicators!$C$1,"DF","no"))),IF(ISNUMBER(CA82),IF(ABS(CA82-[2]QC_indicators!$B$1)&gt;3*[2]QC_indicators!$C$1,"DF","no")))</f>
        <v>no</v>
      </c>
      <c r="FA82" t="str">
        <f t="shared" si="67"/>
        <v/>
      </c>
      <c r="FD82" s="260" t="s">
        <v>2797</v>
      </c>
    </row>
    <row r="83" spans="1:161" ht="15" hidden="1" customHeight="1">
      <c r="A83" s="1" t="s">
        <v>654</v>
      </c>
      <c r="B83" t="s">
        <v>655</v>
      </c>
      <c r="C83" t="s">
        <v>656</v>
      </c>
      <c r="D83" t="s">
        <v>657</v>
      </c>
      <c r="E83" t="s">
        <v>658</v>
      </c>
      <c r="F83" t="s">
        <v>659</v>
      </c>
      <c r="G83" t="s">
        <v>660</v>
      </c>
      <c r="H83" t="s">
        <v>254</v>
      </c>
      <c r="I83">
        <v>2015</v>
      </c>
      <c r="J83">
        <v>68</v>
      </c>
      <c r="K83" t="s">
        <v>661</v>
      </c>
      <c r="M83" t="str">
        <f t="shared" si="57"/>
        <v>Dong_2015</v>
      </c>
      <c r="N83" t="s">
        <v>1225</v>
      </c>
      <c r="O83" s="145" t="s">
        <v>274</v>
      </c>
      <c r="Q83" t="s">
        <v>256</v>
      </c>
      <c r="R83" s="258" t="s">
        <v>223</v>
      </c>
      <c r="S83" s="259" t="s">
        <v>2796</v>
      </c>
      <c r="T83" t="s">
        <v>662</v>
      </c>
      <c r="U83" t="s">
        <v>663</v>
      </c>
      <c r="X83">
        <v>0</v>
      </c>
      <c r="Y83">
        <v>0</v>
      </c>
      <c r="Z83">
        <v>0</v>
      </c>
      <c r="AA83">
        <v>0</v>
      </c>
      <c r="AB83">
        <v>0</v>
      </c>
      <c r="AC83">
        <v>0</v>
      </c>
      <c r="AD83">
        <v>0</v>
      </c>
      <c r="AE83">
        <v>0</v>
      </c>
      <c r="AF83">
        <v>0</v>
      </c>
      <c r="AG83">
        <v>0</v>
      </c>
      <c r="AH83" s="151">
        <v>0</v>
      </c>
      <c r="AI83">
        <v>0</v>
      </c>
      <c r="AJ83">
        <v>0</v>
      </c>
      <c r="AK83">
        <v>0</v>
      </c>
      <c r="AL83">
        <v>0</v>
      </c>
      <c r="AM83">
        <v>1</v>
      </c>
      <c r="AN83">
        <v>0</v>
      </c>
      <c r="AO83">
        <v>0</v>
      </c>
      <c r="AP83">
        <v>0</v>
      </c>
      <c r="AQ83">
        <v>0</v>
      </c>
      <c r="AR83">
        <v>0</v>
      </c>
      <c r="AS83">
        <v>0</v>
      </c>
      <c r="AT83">
        <v>0</v>
      </c>
      <c r="AU83">
        <v>0</v>
      </c>
      <c r="AV83">
        <v>0</v>
      </c>
      <c r="AW83">
        <v>0</v>
      </c>
      <c r="AX83">
        <v>0</v>
      </c>
      <c r="AY83">
        <v>0</v>
      </c>
      <c r="AZ83" s="141">
        <f>COUNTIF(X83:AY83,"&lt;&gt;0")</f>
        <v>1</v>
      </c>
      <c r="BA83" s="141">
        <f>COUNTIF(X83:AN83,"&lt;&gt;0")</f>
        <v>1</v>
      </c>
      <c r="BB83">
        <f>COUNTIF(X83:AE83,"&lt;&gt;0")</f>
        <v>0</v>
      </c>
      <c r="BC83">
        <f>COUNTIF(AF83:AK83,"&lt;&gt;0")</f>
        <v>0</v>
      </c>
      <c r="BD83">
        <f>COUNTIF(AL83:AN83,"&lt;&gt;0")</f>
        <v>1</v>
      </c>
      <c r="BE83">
        <f>COUNTIF(AU83:AY83,"&lt;&gt;0")</f>
        <v>0</v>
      </c>
      <c r="BF83">
        <f>COUNTIF(AO83:AT83,"&lt;&gt;0")</f>
        <v>0</v>
      </c>
      <c r="BG83" t="str">
        <f t="array" ref="BG83">IF(BA83=1,INDEX($X$7:$AN$7,MATCH(TRUE,INDEX($X83:$AY83&lt;&gt;0,),0)),IF(BA83=0,INDEX($AO$7:$AY$7,MATCH(1,$AO83:$AY83,0)),IF(BH83="Multiple strategies","mixed drivers",IF(BH83="Supply chain","multiple supply","multiple silviculture"))))</f>
        <v>technologies/design switch</v>
      </c>
      <c r="BH83" s="2" t="str" cm="1">
        <f t="array" ref="BH83">IF(COUNTIF(BB83:BD83,"&lt;&gt;0")=1,INDEX($X$4:$AY$4,MATCH(TRUE,INDEX($X83:$AY83&lt;&gt;0,),0)),IF(COUNTIF(BB83:BD83,"&lt;&gt;0")=0,INDEX($AO$4:$AY$4,MATCH(1,$AO83:$AY83,0)),"Multiple strategies"))</f>
        <v>Technology</v>
      </c>
      <c r="BI83" s="1" t="s">
        <v>229</v>
      </c>
      <c r="BJ83" t="s">
        <v>664</v>
      </c>
      <c r="BK83" s="260" t="s">
        <v>598</v>
      </c>
      <c r="BL83" s="260" t="s">
        <v>511</v>
      </c>
      <c r="BM83">
        <v>0</v>
      </c>
      <c r="BN83" s="152">
        <v>45.7</v>
      </c>
      <c r="BP83">
        <f>BN83-BM83</f>
        <v>45.7</v>
      </c>
      <c r="BQ83">
        <f>BP83*kg_to_m3</f>
        <v>9.3265306122448988E-2</v>
      </c>
      <c r="BR83" s="143" t="s">
        <v>395</v>
      </c>
      <c r="BS83" s="143"/>
      <c r="BT83" t="s">
        <v>666</v>
      </c>
      <c r="BU83" s="152">
        <v>692</v>
      </c>
      <c r="BV83" s="152">
        <v>770</v>
      </c>
      <c r="BW83" s="144">
        <f>IFERROR(BV83/BU83,"")</f>
        <v>1.1127167630057804</v>
      </c>
      <c r="BX83" s="152">
        <f>BV83-BU83</f>
        <v>78</v>
      </c>
      <c r="BY83" s="152"/>
      <c r="BZ83">
        <f>BX83/1000</f>
        <v>7.8E-2</v>
      </c>
      <c r="CA83">
        <f t="shared" si="58"/>
        <v>0.83632385120350106</v>
      </c>
      <c r="CB83">
        <v>0</v>
      </c>
      <c r="CC83">
        <v>0</v>
      </c>
      <c r="CD83">
        <v>0</v>
      </c>
      <c r="CE83">
        <v>0</v>
      </c>
      <c r="CF83">
        <v>0</v>
      </c>
      <c r="CG83">
        <v>0</v>
      </c>
      <c r="CH83">
        <v>0</v>
      </c>
      <c r="CI83">
        <v>0</v>
      </c>
      <c r="CJ83">
        <v>0</v>
      </c>
      <c r="CK83">
        <v>0</v>
      </c>
      <c r="CL83">
        <v>0</v>
      </c>
      <c r="CM83">
        <v>0</v>
      </c>
      <c r="CN83">
        <v>0</v>
      </c>
      <c r="CO83">
        <v>0</v>
      </c>
      <c r="CP83" t="str">
        <f>IF($BN83&lt;$BM83,"refNeedCorrection","refOK")</f>
        <v>refOK</v>
      </c>
      <c r="CQ83">
        <f>IF($CP83="refOK",$BM83,$BN83)</f>
        <v>0</v>
      </c>
      <c r="CR83">
        <f>IF($CP83="refOK",$BN83,$BM83)</f>
        <v>45.7</v>
      </c>
      <c r="CS83">
        <f>IF($CP83="refOK",$BQ83,-$BQ83)</f>
        <v>9.3265306122448988E-2</v>
      </c>
      <c r="CT83">
        <f t="shared" si="59"/>
        <v>9.3265306122448988E-2</v>
      </c>
      <c r="CU83">
        <f>IF($CP83="refOK",$BU83,$BV83)*IF($BR83="Emissions positive",-1,1)</f>
        <v>-692</v>
      </c>
      <c r="CV83">
        <f>IF($CP83="refOK",$BV83,$BU83)*IF($BR83="Emissions positive",-1,1)</f>
        <v>-770</v>
      </c>
      <c r="CW83">
        <f>IF($CP83="refNeedCorrection",-BZ83,BZ83)*IF($BR83="Emissions positive",-1,1)</f>
        <v>-7.8E-2</v>
      </c>
      <c r="CX83">
        <f t="shared" si="60"/>
        <v>-0.83632385120350106</v>
      </c>
      <c r="CY83">
        <f>IFERROR($CW83/$CS83,"")</f>
        <v>-0.83632385120350106</v>
      </c>
      <c r="CZ83">
        <f t="shared" si="61"/>
        <v>-0.83632385120350106</v>
      </c>
      <c r="DA83" s="2">
        <f>IFERROR((CV83-CU83)/ABS(CU83),"")</f>
        <v>-0.11271676300578035</v>
      </c>
      <c r="DB83" s="1" t="s">
        <v>263</v>
      </c>
      <c r="DC83" t="str">
        <f>IF(OR($DB83="prd",$DB83="std",$DB83="cit"),"loc",IF(OR($DB83="eur",$DB83="reg",$DB83="coy"),"reg",$DB83))</f>
        <v>loc</v>
      </c>
      <c r="DD83" t="s">
        <v>667</v>
      </c>
      <c r="DG83">
        <v>0</v>
      </c>
      <c r="DH83" t="str">
        <f>IF(DG83=0,"0",IF(AND(DG83&gt;=1,DG83&lt;=30),"1-30",IF(AND(DG83&gt;30,DG83&lt;=70),"31-70",IF(AND(DG83&gt;70,DG83&lt;=100),"71-100",IF(DG83&gt;100,"+100")))))</f>
        <v>0</v>
      </c>
      <c r="DI83">
        <v>0</v>
      </c>
      <c r="DJ83">
        <v>0</v>
      </c>
      <c r="DK83">
        <v>0</v>
      </c>
      <c r="DL83">
        <v>1</v>
      </c>
      <c r="DN83">
        <f>SUM(DI83:DL83)</f>
        <v>1</v>
      </c>
      <c r="DO83" t="str">
        <f>IF(DN83=1,INDEX($DI$7:$DL$7,MATCH(1,$DI83:$DL83,0)),"mixedProduct")</f>
        <v>TimberInput</v>
      </c>
      <c r="DP83">
        <f t="shared" si="68"/>
        <v>0</v>
      </c>
      <c r="DQ83">
        <f t="shared" si="68"/>
        <v>0</v>
      </c>
      <c r="DR83">
        <f t="shared" si="68"/>
        <v>0</v>
      </c>
      <c r="DS83" t="str">
        <f t="shared" si="68"/>
        <v>Timber</v>
      </c>
      <c r="DT83">
        <v>1</v>
      </c>
      <c r="DU83">
        <v>0</v>
      </c>
      <c r="DV83">
        <v>0</v>
      </c>
      <c r="DW83">
        <v>0</v>
      </c>
      <c r="DX83">
        <v>0</v>
      </c>
      <c r="DY83">
        <f>SUM(DT83:DU83)</f>
        <v>1</v>
      </c>
      <c r="DZ83" s="143" t="str">
        <f>IF(DT83=1,"self-calculated DF",IF(DU83=1,"external DF used","explicit C balance"))</f>
        <v>self-calculated DF</v>
      </c>
      <c r="EA83">
        <v>0</v>
      </c>
      <c r="EB83">
        <v>0</v>
      </c>
      <c r="EC83">
        <v>0</v>
      </c>
      <c r="ED83">
        <v>0</v>
      </c>
      <c r="EE83">
        <v>0</v>
      </c>
      <c r="EF83" s="143">
        <v>1</v>
      </c>
      <c r="EG83">
        <v>0</v>
      </c>
      <c r="EH83">
        <v>1</v>
      </c>
      <c r="EI83">
        <v>0</v>
      </c>
      <c r="EJ83">
        <v>0</v>
      </c>
      <c r="EK83">
        <v>0</v>
      </c>
      <c r="EL83">
        <v>0</v>
      </c>
      <c r="EM83">
        <v>0</v>
      </c>
      <c r="EN83" s="2">
        <v>0</v>
      </c>
      <c r="EP83" t="str">
        <f t="shared" si="62"/>
        <v/>
      </c>
      <c r="EQ83" t="str">
        <f>IF(AND(AND(OR($EC83=1,$EB83=1),AND($EH83=0,$EF83=0)),SUM($EA83:$EE83,$EK83)&gt;=4),"Ecosystem approach","")</f>
        <v/>
      </c>
      <c r="ER83" s="2" t="str">
        <f t="shared" si="63"/>
        <v/>
      </c>
      <c r="ES83" t="str">
        <f t="shared" si="64"/>
        <v/>
      </c>
      <c r="ET83" t="str">
        <f t="shared" si="65"/>
        <v/>
      </c>
      <c r="EU83" t="str">
        <f t="shared" si="66"/>
        <v/>
      </c>
      <c r="EX83" s="147"/>
      <c r="EY83" t="str">
        <f>IF(ISNUMBER(BW83),IF(ABS(BW83-[2]QC_indicators!$B$2)&gt;3*[2]QC_indicators!$C$2,"C ratio",IF(ISNUMBER(CA83),IF(ABS(CA83-[2]QC_indicators!$B$1)&gt;3*[2]QC_indicators!$C$1,"DF","no"))),IF(ISNUMBER(CA83),IF(ABS(CA83-[2]QC_indicators!$B$1)&gt;3*[2]QC_indicators!$C$1,"DF","no")))</f>
        <v>no</v>
      </c>
      <c r="FA83" t="str">
        <f t="shared" si="67"/>
        <v/>
      </c>
      <c r="FD83" s="260" t="s">
        <v>2797</v>
      </c>
    </row>
    <row r="84" spans="1:161" ht="15" hidden="1" customHeight="1">
      <c r="A84" s="1" t="s">
        <v>333</v>
      </c>
      <c r="B84" t="s">
        <v>4456</v>
      </c>
      <c r="C84" t="s">
        <v>4457</v>
      </c>
      <c r="D84" t="s">
        <v>4458</v>
      </c>
      <c r="E84" t="s">
        <v>4459</v>
      </c>
      <c r="F84" t="s">
        <v>4460</v>
      </c>
      <c r="G84" t="s">
        <v>339</v>
      </c>
      <c r="H84" t="s">
        <v>254</v>
      </c>
      <c r="I84">
        <v>2016</v>
      </c>
      <c r="J84">
        <v>26</v>
      </c>
      <c r="K84" t="s">
        <v>4461</v>
      </c>
      <c r="M84" t="str">
        <f t="shared" si="57"/>
        <v>Escamilla_2016</v>
      </c>
      <c r="N84" t="s">
        <v>1225</v>
      </c>
      <c r="O84" s="171" t="s">
        <v>274</v>
      </c>
      <c r="P84" t="s">
        <v>508</v>
      </c>
      <c r="Q84" s="297" t="s">
        <v>389</v>
      </c>
      <c r="R84" s="298"/>
      <c r="AZ84" s="141"/>
      <c r="BA84" s="141"/>
      <c r="BG84"/>
      <c r="BH84" s="2"/>
      <c r="BW84" s="144"/>
      <c r="CA84" t="str">
        <f t="shared" si="58"/>
        <v/>
      </c>
      <c r="CP84"/>
      <c r="CQ84"/>
      <c r="CR84"/>
      <c r="CS84"/>
      <c r="CT84">
        <f t="shared" si="59"/>
        <v>0</v>
      </c>
      <c r="CU84"/>
      <c r="CV84"/>
      <c r="CW84"/>
      <c r="CX84" t="str">
        <f t="shared" si="60"/>
        <v/>
      </c>
      <c r="CY84"/>
      <c r="CZ84" t="str">
        <f t="shared" si="61"/>
        <v/>
      </c>
      <c r="DA84" s="2"/>
      <c r="DC84"/>
      <c r="DH84"/>
      <c r="DN84"/>
      <c r="DO84"/>
      <c r="DP84"/>
      <c r="DQ84"/>
      <c r="DR84"/>
      <c r="DS84"/>
      <c r="DY84"/>
      <c r="DZ84" s="143"/>
      <c r="EF84" s="143"/>
      <c r="EP84" t="str">
        <f t="shared" si="62"/>
        <v/>
      </c>
      <c r="EQ84" t="str">
        <f t="shared" ref="EQ84:EQ91" si="69">IF(AND(AND(OR($EC84=1,$EB84=1),AND($EH84=0,$EF84=0)),SUM($EA84:$EE84,$EK84)&gt;=3),"Ecosystem approach","")</f>
        <v/>
      </c>
      <c r="ER84" s="2" t="str">
        <f t="shared" si="63"/>
        <v/>
      </c>
      <c r="ES84" t="str">
        <f t="shared" si="64"/>
        <v/>
      </c>
      <c r="ET84" t="str">
        <f t="shared" si="65"/>
        <v/>
      </c>
      <c r="EU84" t="str">
        <f t="shared" si="66"/>
        <v/>
      </c>
      <c r="EW84" s="297" t="s">
        <v>4462</v>
      </c>
      <c r="EX84" s="297" t="s">
        <v>1225</v>
      </c>
      <c r="EY84" t="b">
        <f>IF(ISNUMBER(BW84),IF(ABS(BW84-[1]QC_indicators!$B$2)&gt;3*[1]QC_indicators!$C$2,"C ratio",IF(ISNUMBER(CA84),IF(ABS(CA84-[1]QC_indicators!$B$1)&gt;3*[1]QC_indicators!$C$1,"DF","no"))),IF(ISNUMBER(CA84),IF(ABS(CA84-[1]QC_indicators!$B$1)&gt;3*[1]QC_indicators!$C$1,"DF","no")))</f>
        <v>0</v>
      </c>
      <c r="FA84" t="str">
        <f t="shared" si="67"/>
        <v/>
      </c>
      <c r="FB84" s="297" t="s">
        <v>4463</v>
      </c>
    </row>
    <row r="85" spans="1:161" ht="15" hidden="1" customHeight="1">
      <c r="A85" s="1" t="s">
        <v>643</v>
      </c>
      <c r="B85" t="s">
        <v>4464</v>
      </c>
      <c r="C85" t="s">
        <v>4465</v>
      </c>
      <c r="D85" t="s">
        <v>4466</v>
      </c>
      <c r="E85" t="s">
        <v>4467</v>
      </c>
      <c r="F85" t="s">
        <v>4468</v>
      </c>
      <c r="G85" t="s">
        <v>649</v>
      </c>
      <c r="H85" t="s">
        <v>254</v>
      </c>
      <c r="I85">
        <v>2022</v>
      </c>
      <c r="J85">
        <v>2</v>
      </c>
      <c r="K85" t="s">
        <v>4469</v>
      </c>
      <c r="M85" t="str">
        <f t="shared" si="57"/>
        <v>Fregonara_2022</v>
      </c>
      <c r="N85" t="s">
        <v>1225</v>
      </c>
      <c r="AZ85" s="141">
        <f>COUNTIF(X85:AY85,"&lt;&gt;0")</f>
        <v>28</v>
      </c>
      <c r="BA85">
        <f>COUNTIF(X85:AN85,"&lt;&gt;0")</f>
        <v>17</v>
      </c>
      <c r="BG85"/>
      <c r="BH85" s="2"/>
      <c r="CA85" t="str">
        <f t="shared" si="58"/>
        <v/>
      </c>
      <c r="CP85"/>
      <c r="CQ85"/>
      <c r="CR85"/>
      <c r="CS85"/>
      <c r="CT85">
        <f t="shared" si="59"/>
        <v>0</v>
      </c>
      <c r="CU85"/>
      <c r="CV85"/>
      <c r="CW85"/>
      <c r="CX85" t="str">
        <f t="shared" si="60"/>
        <v/>
      </c>
      <c r="CY85"/>
      <c r="CZ85" t="str">
        <f t="shared" si="61"/>
        <v/>
      </c>
      <c r="DA85" s="2"/>
      <c r="DC85"/>
      <c r="DH85"/>
      <c r="DN85"/>
      <c r="DO85"/>
      <c r="DP85"/>
      <c r="DQ85"/>
      <c r="DR85"/>
      <c r="DS85"/>
      <c r="DY85"/>
      <c r="DZ85"/>
      <c r="EP85" t="str">
        <f t="shared" si="62"/>
        <v/>
      </c>
      <c r="EQ85" t="str">
        <f t="shared" si="69"/>
        <v/>
      </c>
      <c r="ER85" s="2" t="str">
        <f t="shared" si="63"/>
        <v/>
      </c>
      <c r="ES85" t="str">
        <f t="shared" si="64"/>
        <v/>
      </c>
      <c r="ET85" t="str">
        <f t="shared" si="65"/>
        <v/>
      </c>
      <c r="EU85" t="str">
        <f t="shared" si="66"/>
        <v/>
      </c>
      <c r="EY85" t="b">
        <f>IF(ISNUMBER(BW85),IF(ABS(BW85-[1]QC_indicators!$B$2)&gt;3*[1]QC_indicators!$C$2,"C ratio",IF(ISNUMBER(CA85),IF(ABS(CA85-[1]QC_indicators!$B$1)&gt;3*[1]QC_indicators!$C$1,"DF","no"))),IF(ISNUMBER(CA85),IF(ABS(CA85-[1]QC_indicators!$B$1)&gt;3*[1]QC_indicators!$C$1,"DF","no")))</f>
        <v>0</v>
      </c>
      <c r="FA85" t="str">
        <f t="shared" si="67"/>
        <v/>
      </c>
    </row>
    <row r="86" spans="1:161" ht="15" hidden="1" customHeight="1">
      <c r="A86" s="1" t="s">
        <v>1477</v>
      </c>
      <c r="B86" t="s">
        <v>1478</v>
      </c>
      <c r="C86" t="s">
        <v>1479</v>
      </c>
      <c r="D86" t="s">
        <v>1480</v>
      </c>
      <c r="E86" t="s">
        <v>1481</v>
      </c>
      <c r="F86" t="s">
        <v>1482</v>
      </c>
      <c r="G86" t="s">
        <v>1483</v>
      </c>
      <c r="H86" t="s">
        <v>1484</v>
      </c>
      <c r="I86">
        <v>2003</v>
      </c>
      <c r="J86">
        <v>9</v>
      </c>
      <c r="K86" t="s">
        <v>1485</v>
      </c>
      <c r="M86" t="str">
        <f t="shared" si="57"/>
        <v>Graham_2003</v>
      </c>
      <c r="N86" s="334" t="s">
        <v>1225</v>
      </c>
      <c r="O86" s="180" t="s">
        <v>225</v>
      </c>
      <c r="Q86" s="317" t="s">
        <v>256</v>
      </c>
      <c r="R86" s="318" t="s">
        <v>1029</v>
      </c>
      <c r="S86" s="1" t="s">
        <v>1486</v>
      </c>
      <c r="T86" t="s">
        <v>4965</v>
      </c>
      <c r="U86" t="s">
        <v>4966</v>
      </c>
      <c r="V86">
        <v>0</v>
      </c>
      <c r="W86" s="317">
        <v>1</v>
      </c>
      <c r="X86">
        <v>0</v>
      </c>
      <c r="Y86">
        <v>0</v>
      </c>
      <c r="Z86">
        <v>0</v>
      </c>
      <c r="AA86">
        <v>0</v>
      </c>
      <c r="AB86">
        <v>0</v>
      </c>
      <c r="AC86">
        <v>0</v>
      </c>
      <c r="AD86">
        <v>0</v>
      </c>
      <c r="AE86">
        <v>0</v>
      </c>
      <c r="AF86">
        <v>0</v>
      </c>
      <c r="AG86">
        <v>0</v>
      </c>
      <c r="AH86">
        <v>0</v>
      </c>
      <c r="AI86">
        <v>0</v>
      </c>
      <c r="AJ86">
        <v>0</v>
      </c>
      <c r="AK86">
        <v>0</v>
      </c>
      <c r="AL86">
        <v>0</v>
      </c>
      <c r="AM86">
        <v>2</v>
      </c>
      <c r="AN86">
        <v>0</v>
      </c>
      <c r="AO86">
        <v>0</v>
      </c>
      <c r="AP86">
        <v>0</v>
      </c>
      <c r="AQ86">
        <v>0</v>
      </c>
      <c r="AR86">
        <v>0</v>
      </c>
      <c r="AS86">
        <v>0</v>
      </c>
      <c r="AT86">
        <v>0</v>
      </c>
      <c r="AU86">
        <v>0</v>
      </c>
      <c r="AV86">
        <v>0</v>
      </c>
      <c r="AW86">
        <v>0</v>
      </c>
      <c r="AX86">
        <v>0</v>
      </c>
      <c r="AY86">
        <v>0</v>
      </c>
      <c r="AZ86" s="141">
        <f>COUNTIF(X86:AY86,"&lt;&gt;0")</f>
        <v>1</v>
      </c>
      <c r="BA86" s="141">
        <f>COUNTIF(X86:AN86,"&lt;&gt;0")</f>
        <v>1</v>
      </c>
      <c r="BB86">
        <f>COUNTIF(X86:AE86,"&lt;&gt;0")</f>
        <v>0</v>
      </c>
      <c r="BC86">
        <f>COUNTIF(AF86:AK86,"&lt;&gt;0")</f>
        <v>0</v>
      </c>
      <c r="BD86">
        <f>COUNTIF(AL86:AN86,"&lt;&gt;0")</f>
        <v>1</v>
      </c>
      <c r="BE86">
        <f>COUNTIF(AU86:AY86,"&lt;&gt;0")</f>
        <v>0</v>
      </c>
      <c r="BF86">
        <f>COUNTIF(AO86:AT86,"&lt;&gt;0")</f>
        <v>0</v>
      </c>
      <c r="BG86" t="str" cm="1">
        <f t="array" ref="BG86">IF(BA86=1,INDEX($X$7:$AN$7,MATCH(TRUE,INDEX($X86:$AY86&lt;&gt;0,),0)),IF(BA86=0,INDEX($AO$7:$AY$7,MATCH(1,$AO86:$AY86,0)),IF(BH86="Multiple strategies","mixed drivers",IF(BH86="Supply chain","multiple supply","multiple silviculture"))))</f>
        <v>technologies/design switch</v>
      </c>
      <c r="BH86" s="2" t="str" cm="1">
        <f t="array" ref="BH86">IF(COUNTIF(BB86:BD86,"&lt;&gt;0")=1,INDEX($X$4:$AY$4,MATCH(TRUE,INDEX($X86:$AY86&lt;&gt;0,),0)),IF(COUNTIF(BB86:BD86,"&lt;&gt;0")=0,INDEX($AO$4:$AY$4,MATCH(1,$AO86:$AY86,0)),"Multiple strategies"))</f>
        <v>Technology</v>
      </c>
      <c r="BI86" s="1" t="s">
        <v>229</v>
      </c>
      <c r="BJ86" t="s">
        <v>3081</v>
      </c>
      <c r="BK86" t="s">
        <v>4967</v>
      </c>
      <c r="BL86" t="s">
        <v>498</v>
      </c>
      <c r="BM86">
        <v>0</v>
      </c>
      <c r="BN86">
        <f>122.5*10^6/350/0.361</f>
        <v>969529.08587257622</v>
      </c>
      <c r="BP86">
        <f>BN86-BM86</f>
        <v>969529.08587257622</v>
      </c>
      <c r="BQ86">
        <f>BP86</f>
        <v>969529.08587257622</v>
      </c>
      <c r="BR86" t="s">
        <v>232</v>
      </c>
      <c r="BS86" t="s">
        <v>4968</v>
      </c>
      <c r="BT86" t="s">
        <v>4969</v>
      </c>
      <c r="BW86" s="144" t="str">
        <f>IFERROR(BV86/BU86,"")</f>
        <v/>
      </c>
      <c r="BX86">
        <f>12551/36</f>
        <v>348.63888888888891</v>
      </c>
      <c r="BZ86">
        <f>BX86*10^3</f>
        <v>348638.88888888893</v>
      </c>
      <c r="CA86">
        <f t="shared" si="58"/>
        <v>0.35959611111111112</v>
      </c>
      <c r="CB86">
        <v>0</v>
      </c>
      <c r="CC86">
        <v>0</v>
      </c>
      <c r="CD86">
        <v>0</v>
      </c>
      <c r="CE86">
        <v>0</v>
      </c>
      <c r="CF86">
        <v>0</v>
      </c>
      <c r="CG86">
        <v>0</v>
      </c>
      <c r="CH86">
        <v>0</v>
      </c>
      <c r="CI86">
        <v>0</v>
      </c>
      <c r="CJ86">
        <v>0</v>
      </c>
      <c r="CK86">
        <v>0</v>
      </c>
      <c r="CL86">
        <v>0</v>
      </c>
      <c r="CM86">
        <v>0</v>
      </c>
      <c r="CN86">
        <v>0</v>
      </c>
      <c r="CO86">
        <v>1</v>
      </c>
      <c r="CP86" t="str">
        <f>IF(BN86&lt;BM86,"refNeedCorrection","refOK")</f>
        <v>refOK</v>
      </c>
      <c r="CQ86"/>
      <c r="CR86"/>
      <c r="CS86">
        <f>IF($CP86="refNeedCorrection",-BQ86,BQ86)</f>
        <v>969529.08587257622</v>
      </c>
      <c r="CT86">
        <f t="shared" si="59"/>
        <v>969529.08587257622</v>
      </c>
      <c r="CU86">
        <f>IF($CP86="refOK",$BU86,$BV86)*IF($BR86="Emissions positive",-1,1)</f>
        <v>0</v>
      </c>
      <c r="CV86">
        <f>IF($CP86="refOK",$BV86,$BU86)*IF($BR86="Emissions positive",-1,1)</f>
        <v>0</v>
      </c>
      <c r="CW86">
        <f>IF($CP86="refNeedCorrection",-BZ86,BZ86)*IF($BR86="Emissions positive",-1,1)</f>
        <v>348638.88888888893</v>
      </c>
      <c r="CX86">
        <f t="shared" si="60"/>
        <v>0.35959611111111112</v>
      </c>
      <c r="CY86">
        <f>IFERROR($CW86/$CS86,"")</f>
        <v>0.35959611111111112</v>
      </c>
      <c r="CZ86">
        <f t="shared" si="61"/>
        <v>0.35959611111111112</v>
      </c>
      <c r="DA86" s="2" t="str">
        <f>IFERROR((CV86-CU86)/ABS(CU86),"")</f>
        <v/>
      </c>
      <c r="DB86" s="1" t="s">
        <v>1074</v>
      </c>
      <c r="DC86" s="317" t="str">
        <f>IF(OR($DB86="prd",$DB86="std",$DB86="cit"),"loc",IF(OR($DB86="eur",$DB86="reg",$DB86="coy"),"reg",$DB86))</f>
        <v>reg</v>
      </c>
      <c r="DD86" t="s">
        <v>527</v>
      </c>
      <c r="DE86">
        <v>2008</v>
      </c>
      <c r="DF86">
        <f>DE86+DG86</f>
        <v>2044</v>
      </c>
      <c r="DG86">
        <v>36</v>
      </c>
      <c r="DH86" t="str">
        <f>IF(DG86=0,"0",IF(AND(DG86&gt;=1,DG86&lt;=30),"1-30",IF(AND(DG86&gt;30,DG86&lt;=70),"31-70",IF(AND(DG86&gt;70,DG86&lt;=100),"71-100",IF(DG86&gt;100,"+100")))))</f>
        <v>31-70</v>
      </c>
      <c r="DI86">
        <v>0</v>
      </c>
      <c r="DJ86">
        <v>1</v>
      </c>
      <c r="DK86">
        <v>0</v>
      </c>
      <c r="DL86">
        <v>0</v>
      </c>
      <c r="DN86">
        <f>SUM(DI86:DL86)</f>
        <v>1</v>
      </c>
      <c r="DO86" t="str">
        <f>IF(DN86=1,INDEX($DI$7:$DL$7,MATCH(1,$DI86:$DL86,0)),"mixedProduct")</f>
        <v>EnergyInput</v>
      </c>
      <c r="DP86">
        <f>IF(DI86=1,DP$7,0)</f>
        <v>0</v>
      </c>
      <c r="DQ86" t="str">
        <f>IF(DJ86=1,DQ$7,0)</f>
        <v>Energy</v>
      </c>
      <c r="DR86">
        <f>IF(DK86=1,DR$7,0)</f>
        <v>0</v>
      </c>
      <c r="DS86">
        <f>IF(DL86=1,DS$7,0)</f>
        <v>0</v>
      </c>
      <c r="DT86">
        <v>0</v>
      </c>
      <c r="DU86">
        <v>1</v>
      </c>
      <c r="DV86" t="s">
        <v>1487</v>
      </c>
      <c r="DW86">
        <v>0</v>
      </c>
      <c r="DX86">
        <v>0</v>
      </c>
      <c r="DY86">
        <f>SUM(DT86:DU86)</f>
        <v>1</v>
      </c>
      <c r="DZ86" s="143" t="str">
        <f>IF(DT86=1,"self-calculated DF",IF(DU86=1,"external DF used","explicit C balance"))</f>
        <v>external DF used</v>
      </c>
      <c r="EA86">
        <v>1</v>
      </c>
      <c r="EB86">
        <v>1</v>
      </c>
      <c r="EC86">
        <v>1</v>
      </c>
      <c r="ED86">
        <v>0</v>
      </c>
      <c r="EE86">
        <v>0</v>
      </c>
      <c r="EF86">
        <v>1</v>
      </c>
      <c r="EG86">
        <v>1</v>
      </c>
      <c r="EH86">
        <v>0</v>
      </c>
      <c r="EI86">
        <v>0</v>
      </c>
      <c r="EJ86">
        <v>0</v>
      </c>
      <c r="EK86">
        <v>0</v>
      </c>
      <c r="EL86">
        <v>0</v>
      </c>
      <c r="EM86">
        <v>0</v>
      </c>
      <c r="EN86" s="2">
        <v>0</v>
      </c>
      <c r="EP86" t="str">
        <f t="shared" si="62"/>
        <v>Whole sector approach</v>
      </c>
      <c r="EQ86" t="str">
        <f t="shared" si="69"/>
        <v/>
      </c>
      <c r="ER86" s="2" t="str">
        <f t="shared" si="63"/>
        <v/>
      </c>
      <c r="ES86" t="str">
        <f t="shared" si="64"/>
        <v/>
      </c>
      <c r="ET86" t="str">
        <f t="shared" si="65"/>
        <v/>
      </c>
      <c r="EU86" t="str">
        <f t="shared" si="66"/>
        <v/>
      </c>
      <c r="EY86" t="str">
        <f>IF(ISNUMBER(BW86),IF(ABS(BW86-[4]QC_indicators!$B$2)&gt;3*[4]QC_indicators!$C$2,"C ratio",IF(ISNUMBER(CA86),IF(ABS(CA86-[4]QC_indicators!$B$1)&gt;3*[4]QC_indicators!$C$1,"DF","no"))),IF(ISNUMBER(CA86),IF(ABS(CA86-[4]QC_indicators!$B$1)&gt;3*[4]QC_indicators!$C$1,"DF","no")))</f>
        <v>no</v>
      </c>
      <c r="EZ86" t="s">
        <v>1039</v>
      </c>
      <c r="FA86" t="str">
        <f t="shared" si="67"/>
        <v/>
      </c>
      <c r="FB86" t="s">
        <v>1488</v>
      </c>
      <c r="FD86" t="s">
        <v>4970</v>
      </c>
    </row>
    <row r="87" spans="1:161" ht="15" hidden="1" customHeight="1">
      <c r="A87" s="1" t="s">
        <v>574</v>
      </c>
      <c r="B87" t="s">
        <v>4470</v>
      </c>
      <c r="C87" t="s">
        <v>4471</v>
      </c>
      <c r="D87" t="s">
        <v>4472</v>
      </c>
      <c r="E87" t="s">
        <v>4473</v>
      </c>
      <c r="F87" t="s">
        <v>4474</v>
      </c>
      <c r="G87" t="s">
        <v>580</v>
      </c>
      <c r="H87" t="s">
        <v>254</v>
      </c>
      <c r="I87">
        <v>2015</v>
      </c>
      <c r="J87">
        <v>17</v>
      </c>
      <c r="K87" t="s">
        <v>4475</v>
      </c>
      <c r="M87" t="str">
        <f t="shared" si="57"/>
        <v>Han_2015</v>
      </c>
      <c r="N87" t="s">
        <v>1225</v>
      </c>
      <c r="O87" s="180" t="s">
        <v>341</v>
      </c>
      <c r="Q87" s="297" t="s">
        <v>256</v>
      </c>
      <c r="R87" s="298"/>
      <c r="AZ87" s="141"/>
      <c r="BA87" s="141"/>
      <c r="BG87"/>
      <c r="BH87" s="2"/>
      <c r="BW87" s="144"/>
      <c r="CA87" t="str">
        <f t="shared" si="58"/>
        <v/>
      </c>
      <c r="CP87"/>
      <c r="CQ87"/>
      <c r="CR87"/>
      <c r="CS87"/>
      <c r="CT87">
        <f t="shared" si="59"/>
        <v>0</v>
      </c>
      <c r="CU87"/>
      <c r="CV87"/>
      <c r="CW87"/>
      <c r="CX87" t="str">
        <f t="shared" si="60"/>
        <v/>
      </c>
      <c r="CY87"/>
      <c r="CZ87" t="str">
        <f t="shared" si="61"/>
        <v/>
      </c>
      <c r="DA87" s="2"/>
      <c r="DC87"/>
      <c r="DH87"/>
      <c r="DN87"/>
      <c r="DO87"/>
      <c r="DP87"/>
      <c r="DQ87"/>
      <c r="DR87"/>
      <c r="DS87"/>
      <c r="DY87"/>
      <c r="DZ87" s="143"/>
      <c r="EP87" t="str">
        <f t="shared" si="62"/>
        <v/>
      </c>
      <c r="EQ87" t="str">
        <f t="shared" si="69"/>
        <v/>
      </c>
      <c r="ER87" s="2" t="str">
        <f t="shared" si="63"/>
        <v/>
      </c>
      <c r="ES87" t="str">
        <f t="shared" si="64"/>
        <v/>
      </c>
      <c r="ET87" t="str">
        <f t="shared" si="65"/>
        <v/>
      </c>
      <c r="EU87" t="str">
        <f t="shared" si="66"/>
        <v/>
      </c>
      <c r="EW87" t="s">
        <v>4476</v>
      </c>
      <c r="EX87" t="s">
        <v>450</v>
      </c>
      <c r="EY87" t="b">
        <f>IF(ISNUMBER(BW87),IF(ABS(BW87-[1]QC_indicators!$B$2)&gt;3*[1]QC_indicators!$C$2,"C ratio",IF(ISNUMBER(CA87),IF(ABS(CA87-[1]QC_indicators!$B$1)&gt;3*[1]QC_indicators!$C$1,"DF","no"))),IF(ISNUMBER(CA87),IF(ABS(CA87-[1]QC_indicators!$B$1)&gt;3*[1]QC_indicators!$C$1,"DF","no")))</f>
        <v>0</v>
      </c>
      <c r="FA87" t="str">
        <f t="shared" si="67"/>
        <v/>
      </c>
    </row>
    <row r="88" spans="1:161" ht="15" hidden="1" customHeight="1">
      <c r="A88" s="1" t="s">
        <v>4477</v>
      </c>
      <c r="B88" t="s">
        <v>531</v>
      </c>
      <c r="C88" t="s">
        <v>4478</v>
      </c>
      <c r="D88" t="s">
        <v>4479</v>
      </c>
      <c r="E88" t="s">
        <v>4480</v>
      </c>
      <c r="F88" t="s">
        <v>4481</v>
      </c>
      <c r="G88" t="s">
        <v>4482</v>
      </c>
      <c r="H88" t="s">
        <v>254</v>
      </c>
      <c r="I88">
        <v>2021</v>
      </c>
      <c r="J88">
        <v>2</v>
      </c>
      <c r="K88" t="s">
        <v>4483</v>
      </c>
      <c r="M88" t="str">
        <f t="shared" si="57"/>
        <v>Hartung_2021</v>
      </c>
      <c r="N88" t="s">
        <v>1225</v>
      </c>
      <c r="O88" s="145" t="s">
        <v>508</v>
      </c>
      <c r="Q88" s="297" t="s">
        <v>256</v>
      </c>
      <c r="R88" s="298"/>
      <c r="AZ88" s="141"/>
      <c r="BA88" s="141"/>
      <c r="BG88"/>
      <c r="BH88" s="2"/>
      <c r="BW88" s="144"/>
      <c r="CA88" t="str">
        <f t="shared" si="58"/>
        <v/>
      </c>
      <c r="CP88"/>
      <c r="CQ88"/>
      <c r="CR88"/>
      <c r="CS88"/>
      <c r="CT88">
        <f t="shared" si="59"/>
        <v>0</v>
      </c>
      <c r="CU88"/>
      <c r="CV88"/>
      <c r="CW88"/>
      <c r="CX88" t="str">
        <f t="shared" si="60"/>
        <v/>
      </c>
      <c r="CY88"/>
      <c r="CZ88" t="str">
        <f t="shared" si="61"/>
        <v/>
      </c>
      <c r="DA88" s="2"/>
      <c r="DC88"/>
      <c r="DH88"/>
      <c r="DN88"/>
      <c r="DO88"/>
      <c r="DP88"/>
      <c r="DQ88"/>
      <c r="DR88"/>
      <c r="DS88"/>
      <c r="DY88"/>
      <c r="DZ88" s="143"/>
      <c r="EP88" t="str">
        <f t="shared" si="62"/>
        <v/>
      </c>
      <c r="EQ88" t="str">
        <f t="shared" si="69"/>
        <v/>
      </c>
      <c r="ER88" s="2" t="str">
        <f t="shared" si="63"/>
        <v/>
      </c>
      <c r="ES88" t="str">
        <f t="shared" si="64"/>
        <v/>
      </c>
      <c r="ET88" t="str">
        <f t="shared" si="65"/>
        <v/>
      </c>
      <c r="EU88" t="str">
        <f t="shared" si="66"/>
        <v/>
      </c>
      <c r="EW88" t="s">
        <v>4484</v>
      </c>
      <c r="EX88" t="s">
        <v>450</v>
      </c>
      <c r="EY88" t="b">
        <f>IF(ISNUMBER(BW88),IF(ABS(BW88-[1]QC_indicators!$B$2)&gt;3*[1]QC_indicators!$C$2,"C ratio",IF(ISNUMBER(CA88),IF(ABS(CA88-[1]QC_indicators!$B$1)&gt;3*[1]QC_indicators!$C$1,"DF","no"))),IF(ISNUMBER(CA88),IF(ABS(CA88-[1]QC_indicators!$B$1)&gt;3*[1]QC_indicators!$C$1,"DF","no")))</f>
        <v>0</v>
      </c>
      <c r="FA88" t="str">
        <f t="shared" si="67"/>
        <v/>
      </c>
    </row>
    <row r="89" spans="1:161" ht="15" hidden="1" customHeight="1">
      <c r="A89" s="1" t="s">
        <v>1781</v>
      </c>
      <c r="B89" t="s">
        <v>4485</v>
      </c>
      <c r="C89" t="s">
        <v>4486</v>
      </c>
      <c r="D89" t="s">
        <v>4487</v>
      </c>
      <c r="E89" t="s">
        <v>4488</v>
      </c>
      <c r="F89" t="s">
        <v>4489</v>
      </c>
      <c r="G89" t="s">
        <v>1787</v>
      </c>
      <c r="H89" t="s">
        <v>254</v>
      </c>
      <c r="I89">
        <v>2018</v>
      </c>
      <c r="J89">
        <v>15</v>
      </c>
      <c r="K89" t="s">
        <v>4490</v>
      </c>
      <c r="M89" t="str">
        <f t="shared" si="57"/>
        <v>Iordan_2018</v>
      </c>
      <c r="N89" t="s">
        <v>1225</v>
      </c>
      <c r="O89" s="145" t="s">
        <v>508</v>
      </c>
      <c r="Q89" s="297" t="s">
        <v>256</v>
      </c>
      <c r="R89" s="298"/>
      <c r="AZ89" s="141"/>
      <c r="BA89" s="141"/>
      <c r="BG89"/>
      <c r="BH89" s="2"/>
      <c r="BW89" s="144"/>
      <c r="CA89" t="str">
        <f t="shared" si="58"/>
        <v/>
      </c>
      <c r="CP89"/>
      <c r="CQ89"/>
      <c r="CR89"/>
      <c r="CS89"/>
      <c r="CT89">
        <f t="shared" si="59"/>
        <v>0</v>
      </c>
      <c r="CU89"/>
      <c r="CV89"/>
      <c r="CW89"/>
      <c r="CX89" t="str">
        <f t="shared" si="60"/>
        <v/>
      </c>
      <c r="CY89"/>
      <c r="CZ89" t="str">
        <f t="shared" si="61"/>
        <v/>
      </c>
      <c r="DA89" s="2"/>
      <c r="DC89"/>
      <c r="DH89"/>
      <c r="DN89"/>
      <c r="DO89"/>
      <c r="DP89"/>
      <c r="DQ89"/>
      <c r="DR89"/>
      <c r="DS89"/>
      <c r="DY89"/>
      <c r="DZ89" s="143"/>
      <c r="EP89" t="str">
        <f t="shared" si="62"/>
        <v/>
      </c>
      <c r="EQ89" t="str">
        <f t="shared" si="69"/>
        <v/>
      </c>
      <c r="ER89" s="2" t="str">
        <f t="shared" si="63"/>
        <v/>
      </c>
      <c r="ES89" t="str">
        <f t="shared" si="64"/>
        <v/>
      </c>
      <c r="ET89" t="str">
        <f t="shared" si="65"/>
        <v/>
      </c>
      <c r="EU89" t="str">
        <f t="shared" si="66"/>
        <v/>
      </c>
      <c r="EX89" t="s">
        <v>450</v>
      </c>
      <c r="EY89" t="b">
        <f>IF(ISNUMBER(BW89),IF(ABS(BW89-[1]QC_indicators!$B$2)&gt;3*[1]QC_indicators!$C$2,"C ratio",IF(ISNUMBER(CA89),IF(ABS(CA89-[1]QC_indicators!$B$1)&gt;3*[1]QC_indicators!$C$1,"DF","no"))),IF(ISNUMBER(CA89),IF(ABS(CA89-[1]QC_indicators!$B$1)&gt;3*[1]QC_indicators!$C$1,"DF","no")))</f>
        <v>0</v>
      </c>
      <c r="FA89" t="str">
        <f t="shared" si="67"/>
        <v/>
      </c>
    </row>
    <row r="90" spans="1:161" ht="15" hidden="1" customHeight="1">
      <c r="A90" s="1" t="s">
        <v>4491</v>
      </c>
      <c r="B90" t="s">
        <v>4492</v>
      </c>
      <c r="C90" t="s">
        <v>4493</v>
      </c>
      <c r="D90" t="s">
        <v>4494</v>
      </c>
      <c r="E90" t="s">
        <v>4495</v>
      </c>
      <c r="F90" t="s">
        <v>4496</v>
      </c>
      <c r="G90" t="s">
        <v>4497</v>
      </c>
      <c r="H90" t="s">
        <v>254</v>
      </c>
      <c r="I90">
        <v>2021</v>
      </c>
      <c r="J90">
        <v>0</v>
      </c>
      <c r="K90" t="s">
        <v>4498</v>
      </c>
      <c r="M90" t="str">
        <f t="shared" si="57"/>
        <v>Iswanto; Nurrochmat_2021</v>
      </c>
      <c r="N90" t="s">
        <v>1225</v>
      </c>
      <c r="O90" s="145" t="s">
        <v>508</v>
      </c>
      <c r="Q90" s="297" t="s">
        <v>256</v>
      </c>
      <c r="R90" s="298"/>
      <c r="AZ90" s="141"/>
      <c r="BA90" s="141"/>
      <c r="BG90"/>
      <c r="BH90" s="2"/>
      <c r="BW90" s="144"/>
      <c r="CA90" t="str">
        <f t="shared" si="58"/>
        <v/>
      </c>
      <c r="CP90"/>
      <c r="CQ90"/>
      <c r="CR90"/>
      <c r="CS90"/>
      <c r="CT90">
        <f t="shared" si="59"/>
        <v>0</v>
      </c>
      <c r="CU90"/>
      <c r="CV90"/>
      <c r="CW90"/>
      <c r="CX90" t="str">
        <f t="shared" si="60"/>
        <v/>
      </c>
      <c r="CY90"/>
      <c r="CZ90" t="str">
        <f t="shared" si="61"/>
        <v/>
      </c>
      <c r="DA90" s="2"/>
      <c r="DC90"/>
      <c r="DH90"/>
      <c r="DN90"/>
      <c r="DO90"/>
      <c r="DP90"/>
      <c r="DQ90"/>
      <c r="DR90"/>
      <c r="DS90"/>
      <c r="DY90"/>
      <c r="DZ90" s="143"/>
      <c r="EP90" t="str">
        <f t="shared" si="62"/>
        <v/>
      </c>
      <c r="EQ90" t="str">
        <f t="shared" si="69"/>
        <v/>
      </c>
      <c r="ER90" s="2" t="str">
        <f t="shared" si="63"/>
        <v/>
      </c>
      <c r="ES90" t="str">
        <f t="shared" si="64"/>
        <v/>
      </c>
      <c r="ET90" t="str">
        <f t="shared" si="65"/>
        <v/>
      </c>
      <c r="EU90" t="str">
        <f t="shared" si="66"/>
        <v/>
      </c>
      <c r="EW90" t="s">
        <v>4499</v>
      </c>
      <c r="EX90" t="s">
        <v>450</v>
      </c>
      <c r="EY90" t="b">
        <f>IF(ISNUMBER(BW90),IF(ABS(BW90-[1]QC_indicators!$B$2)&gt;3*[1]QC_indicators!$C$2,"C ratio",IF(ISNUMBER(CA90),IF(ABS(CA90-[1]QC_indicators!$B$1)&gt;3*[1]QC_indicators!$C$1,"DF","no"))),IF(ISNUMBER(CA90),IF(ABS(CA90-[1]QC_indicators!$B$1)&gt;3*[1]QC_indicators!$C$1,"DF","no")))</f>
        <v>0</v>
      </c>
      <c r="FA90" t="str">
        <f t="shared" si="67"/>
        <v/>
      </c>
    </row>
    <row r="91" spans="1:161" ht="15" hidden="1" customHeight="1">
      <c r="A91" s="1" t="s">
        <v>4500</v>
      </c>
      <c r="B91" t="s">
        <v>4501</v>
      </c>
      <c r="C91" t="s">
        <v>4502</v>
      </c>
      <c r="D91" t="s">
        <v>4503</v>
      </c>
      <c r="E91" t="s">
        <v>4504</v>
      </c>
      <c r="F91" t="s">
        <v>4505</v>
      </c>
      <c r="G91" t="s">
        <v>4506</v>
      </c>
      <c r="H91" t="s">
        <v>254</v>
      </c>
      <c r="I91">
        <v>2015</v>
      </c>
      <c r="J91">
        <v>95</v>
      </c>
      <c r="K91" t="s">
        <v>4507</v>
      </c>
      <c r="M91" t="str">
        <f t="shared" si="57"/>
        <v>Jantz_2015</v>
      </c>
      <c r="N91" s="297" t="s">
        <v>1225</v>
      </c>
      <c r="O91" s="171" t="s">
        <v>508</v>
      </c>
      <c r="P91" t="s">
        <v>223</v>
      </c>
      <c r="Q91" s="297" t="s">
        <v>389</v>
      </c>
      <c r="R91" s="298"/>
      <c r="U91" s="143"/>
      <c r="V91" s="143"/>
      <c r="W91" s="143"/>
      <c r="AZ91" s="141"/>
      <c r="BA91" s="141"/>
      <c r="BG91"/>
      <c r="BH91" s="2"/>
      <c r="BI91" s="142"/>
      <c r="BL91" s="143"/>
      <c r="BN91" s="143"/>
      <c r="BP91" s="158"/>
      <c r="BQ91" s="159"/>
      <c r="BU91" s="151"/>
      <c r="BV91" s="151"/>
      <c r="BW91" s="144"/>
      <c r="CA91" t="str">
        <f t="shared" si="58"/>
        <v/>
      </c>
      <c r="CB91" s="143"/>
      <c r="CC91" s="143"/>
      <c r="CD91" s="143"/>
      <c r="CE91" s="143"/>
      <c r="CF91" s="143"/>
      <c r="CG91" s="143"/>
      <c r="CH91" s="143"/>
      <c r="CI91" s="143"/>
      <c r="CJ91" s="143"/>
      <c r="CK91" s="143"/>
      <c r="CL91" s="143"/>
      <c r="CM91" s="143"/>
      <c r="CN91" s="143"/>
      <c r="CP91"/>
      <c r="CQ91"/>
      <c r="CR91"/>
      <c r="CS91"/>
      <c r="CT91">
        <f t="shared" si="59"/>
        <v>0</v>
      </c>
      <c r="CU91"/>
      <c r="CV91"/>
      <c r="CW91"/>
      <c r="CX91" t="str">
        <f t="shared" si="60"/>
        <v/>
      </c>
      <c r="CY91"/>
      <c r="CZ91" t="str">
        <f t="shared" si="61"/>
        <v/>
      </c>
      <c r="DA91" s="2"/>
      <c r="DC91"/>
      <c r="DF91" s="143"/>
      <c r="DG91" s="143"/>
      <c r="DH91"/>
      <c r="DN91"/>
      <c r="DO91"/>
      <c r="DP91"/>
      <c r="DQ91"/>
      <c r="DR91"/>
      <c r="DS91"/>
      <c r="DY91"/>
      <c r="DZ91" s="143"/>
      <c r="EA91" s="143"/>
      <c r="EB91" s="143"/>
      <c r="EC91" s="143"/>
      <c r="ED91" s="143"/>
      <c r="EG91" s="143"/>
      <c r="EH91" s="143"/>
      <c r="EI91" s="143"/>
      <c r="EL91" s="143"/>
      <c r="EM91" s="143"/>
      <c r="EP91" t="str">
        <f t="shared" si="62"/>
        <v/>
      </c>
      <c r="EQ91" t="str">
        <f t="shared" si="69"/>
        <v/>
      </c>
      <c r="ER91" s="2" t="str">
        <f t="shared" si="63"/>
        <v/>
      </c>
      <c r="ES91" t="str">
        <f t="shared" si="64"/>
        <v/>
      </c>
      <c r="ET91" t="str">
        <f t="shared" si="65"/>
        <v/>
      </c>
      <c r="EU91" t="str">
        <f t="shared" si="66"/>
        <v/>
      </c>
      <c r="EY91" t="b">
        <f>IF(ISNUMBER(BW91),IF(ABS(BW91-[1]QC_indicators!$B$2)&gt;3*[1]QC_indicators!$C$2,"C ratio",IF(ISNUMBER(CA91),IF(ABS(CA91-[1]QC_indicators!$B$1)&gt;3*[1]QC_indicators!$C$1,"DF","no"))),IF(ISNUMBER(CA91),IF(ABS(CA91-[1]QC_indicators!$B$1)&gt;3*[1]QC_indicators!$C$1,"DF","no")))</f>
        <v>0</v>
      </c>
      <c r="FA91" t="str">
        <f t="shared" si="67"/>
        <v/>
      </c>
    </row>
    <row r="92" spans="1:161" ht="15" hidden="1" customHeight="1">
      <c r="A92" s="1" t="s">
        <v>1251</v>
      </c>
      <c r="B92" t="s">
        <v>1588</v>
      </c>
      <c r="C92" t="s">
        <v>1589</v>
      </c>
      <c r="D92" t="s">
        <v>1590</v>
      </c>
      <c r="E92" t="s">
        <v>1591</v>
      </c>
      <c r="F92" t="s">
        <v>1592</v>
      </c>
      <c r="G92" t="s">
        <v>1257</v>
      </c>
      <c r="H92" t="s">
        <v>254</v>
      </c>
      <c r="I92">
        <v>2019</v>
      </c>
      <c r="J92">
        <v>1</v>
      </c>
      <c r="K92" t="s">
        <v>1593</v>
      </c>
      <c r="M92" t="str">
        <f t="shared" si="57"/>
        <v>Jones_2019</v>
      </c>
      <c r="N92" s="334" t="s">
        <v>1225</v>
      </c>
      <c r="O92" s="171" t="s">
        <v>508</v>
      </c>
      <c r="P92" t="s">
        <v>924</v>
      </c>
      <c r="Q92" t="s">
        <v>389</v>
      </c>
      <c r="R92" s="264" t="s">
        <v>274</v>
      </c>
      <c r="S92" s="1" t="s">
        <v>1604</v>
      </c>
      <c r="T92" t="s">
        <v>1605</v>
      </c>
      <c r="U92" t="s">
        <v>1596</v>
      </c>
      <c r="V92">
        <v>0</v>
      </c>
      <c r="W92">
        <v>1</v>
      </c>
      <c r="X92" s="268">
        <v>0</v>
      </c>
      <c r="Y92" s="268">
        <v>0</v>
      </c>
      <c r="Z92" s="268">
        <v>0</v>
      </c>
      <c r="AA92" s="268">
        <v>0</v>
      </c>
      <c r="AB92" s="268">
        <v>0</v>
      </c>
      <c r="AC92" s="268">
        <v>0</v>
      </c>
      <c r="AD92" s="268">
        <v>0</v>
      </c>
      <c r="AE92" s="268">
        <v>0</v>
      </c>
      <c r="AF92" s="268">
        <v>0</v>
      </c>
      <c r="AG92" s="268">
        <v>0</v>
      </c>
      <c r="AH92" s="268">
        <v>0</v>
      </c>
      <c r="AI92" s="268">
        <v>0</v>
      </c>
      <c r="AJ92" s="268">
        <v>0</v>
      </c>
      <c r="AK92" s="268">
        <v>0</v>
      </c>
      <c r="AL92" s="268">
        <v>0</v>
      </c>
      <c r="AM92" s="268">
        <v>0</v>
      </c>
      <c r="AN92" s="268">
        <v>0</v>
      </c>
      <c r="AO92" s="268">
        <v>0</v>
      </c>
      <c r="AP92" s="268">
        <v>0</v>
      </c>
      <c r="AQ92" s="268">
        <v>0</v>
      </c>
      <c r="AR92" s="268">
        <v>0</v>
      </c>
      <c r="AS92" s="268">
        <v>0</v>
      </c>
      <c r="AT92" s="268">
        <v>0</v>
      </c>
      <c r="AU92" s="268">
        <v>0</v>
      </c>
      <c r="AV92" s="268">
        <v>2</v>
      </c>
      <c r="AW92" s="268">
        <v>0</v>
      </c>
      <c r="AX92" s="268">
        <v>0</v>
      </c>
      <c r="AY92" s="268">
        <v>2</v>
      </c>
      <c r="AZ92" s="141">
        <f t="shared" ref="AZ92:AZ97" si="70">COUNTIF(X92:AY92,"&lt;&gt;0")</f>
        <v>2</v>
      </c>
      <c r="BA92" s="141">
        <f t="shared" ref="BA92:BA97" si="71">COUNTIF(X92:AN92,"&lt;&gt;0")</f>
        <v>0</v>
      </c>
      <c r="BB92">
        <f t="shared" ref="BB92:BB97" si="72">COUNTIF(X92:AE92,"&lt;&gt;0")</f>
        <v>0</v>
      </c>
      <c r="BC92">
        <f t="shared" ref="BC92:BC97" si="73">COUNTIF(AF92:AK92,"&lt;&gt;0")</f>
        <v>0</v>
      </c>
      <c r="BD92">
        <f t="shared" ref="BD92:BD97" si="74">COUNTIF(AL92:AN92,"&lt;&gt;0")</f>
        <v>0</v>
      </c>
      <c r="BE92">
        <f t="shared" ref="BE92:BE97" si="75">COUNTIF(AU92:AY92,"&lt;&gt;0")</f>
        <v>2</v>
      </c>
      <c r="BF92">
        <f t="shared" ref="BF92:BF97" si="76">COUNTIF(AO92:AT92,"&lt;&gt;0")</f>
        <v>0</v>
      </c>
      <c r="BG92" s="268" t="e">
        <f t="array" ref="BG92">IF(BA92=1,INDEX($X$7:$AN$7,MATCH(TRUE,INDEX($X92:$AY92&lt;&gt;0,),0)),IF(BA92=0,INDEX($AO$7:$AY$7,MATCH(1,$AO92:$AY92,0)),IF(BH92="Multiple strategies","mixed drivers",IF(BH92="Supply chain","multiple supply","multiple silviculture"))))</f>
        <v>#N/A</v>
      </c>
      <c r="BH92" s="2" t="e" cm="1">
        <f t="array" ref="BH92">IF(COUNTIF(BB92:BD92,"&lt;&gt;0")=1,INDEX($X$4:$AY$4,MATCH(TRUE,INDEX($X92:$AY92&lt;&gt;0,),0)),IF(COUNTIF(BB92:BD92,"&lt;&gt;0")=0,INDEX($AO$4:$AY$4,MATCH(1,$AO92:$AY92,0)),"Multiple strategies"))</f>
        <v>#N/A</v>
      </c>
      <c r="BI92" s="1" t="s">
        <v>321</v>
      </c>
      <c r="BJ92" t="s">
        <v>1597</v>
      </c>
      <c r="BK92" t="s">
        <v>1598</v>
      </c>
      <c r="BL92" t="s">
        <v>498</v>
      </c>
      <c r="BM92">
        <v>2094218749999.9985</v>
      </c>
      <c r="BN92">
        <v>2126067159090.9072</v>
      </c>
      <c r="BO92" t="s">
        <v>531</v>
      </c>
      <c r="BP92">
        <f t="shared" ref="BP92:BP97" si="77">BN92-BM92</f>
        <v>31848409090.908691</v>
      </c>
      <c r="BQ92">
        <f t="shared" ref="BQ92:BQ97" si="78">BP92</f>
        <v>31848409090.908691</v>
      </c>
      <c r="BR92" t="s">
        <v>395</v>
      </c>
      <c r="BS92" t="s">
        <v>1599</v>
      </c>
      <c r="BT92" t="s">
        <v>1600</v>
      </c>
      <c r="BU92">
        <v>-5270270.2702702703</v>
      </c>
      <c r="BV92">
        <v>-9234234.2342342511</v>
      </c>
      <c r="BW92" s="144">
        <v>1.7521367521367552</v>
      </c>
      <c r="BX92" s="152">
        <v>-3963963.9639639808</v>
      </c>
      <c r="BZ92" s="152">
        <f t="shared" ref="BZ92:BZ97" si="79">BX92</f>
        <v>-3963963.9639639808</v>
      </c>
      <c r="CA92">
        <f t="shared" si="58"/>
        <v>-1.2446348427166859E-4</v>
      </c>
      <c r="CB92">
        <v>0</v>
      </c>
      <c r="CC92">
        <v>0</v>
      </c>
      <c r="CD92">
        <v>0</v>
      </c>
      <c r="CE92">
        <v>0</v>
      </c>
      <c r="CF92">
        <v>0</v>
      </c>
      <c r="CG92">
        <v>0</v>
      </c>
      <c r="CH92">
        <v>0</v>
      </c>
      <c r="CI92">
        <v>0</v>
      </c>
      <c r="CJ92">
        <v>0</v>
      </c>
      <c r="CK92">
        <v>0</v>
      </c>
      <c r="CL92">
        <v>0</v>
      </c>
      <c r="CM92">
        <v>0</v>
      </c>
      <c r="CN92">
        <v>0</v>
      </c>
      <c r="CO92">
        <v>0</v>
      </c>
      <c r="CP92" t="str">
        <f t="shared" ref="CP92:CP97" si="80">IF($BN92&lt;$BM92,"refNeedCorrection","refOK")</f>
        <v>refOK</v>
      </c>
      <c r="CQ92">
        <f t="shared" ref="CQ92:CQ97" si="81">IF($CP92="refOK",$BM92,$BN92)</f>
        <v>2094218749999.9985</v>
      </c>
      <c r="CR92">
        <f t="shared" ref="CR92:CR97" si="82">IF($CP92="refOK",$BN92,$BM92)</f>
        <v>2126067159090.9072</v>
      </c>
      <c r="CS92">
        <f t="shared" ref="CS92:CS97" si="83">IF($CP92="refOK",$BQ92,-$BQ92)</f>
        <v>31848409090.908691</v>
      </c>
      <c r="CT92">
        <f t="shared" si="59"/>
        <v>15924204545.454346</v>
      </c>
      <c r="CU92">
        <f t="shared" ref="CU92:CU97" si="84">IF($CP92="refOK",$BU92,$BV92)*IF($BR92="Emissions positive",-1,1)</f>
        <v>5270270.2702702703</v>
      </c>
      <c r="CV92">
        <f t="shared" ref="CV92:CV97" si="85">IF($CP92="refOK",$BV92,$BU92)*IF($BR92="Emissions positive",-1,1)</f>
        <v>9234234.2342342511</v>
      </c>
      <c r="CW92">
        <f t="shared" ref="CW92:CW97" si="86">IF($CP92="refNeedCorrection",-BZ92,BZ92)*IF($BR92="Emissions positive",-1,1)</f>
        <v>3963963.9639639808</v>
      </c>
      <c r="CX92">
        <f t="shared" si="60"/>
        <v>1.2446348427166859E-4</v>
      </c>
      <c r="CY92">
        <f t="shared" ref="CY92:CY97" si="87">IFERROR($CW92/$CS92,"")</f>
        <v>1.2446348427166859E-4</v>
      </c>
      <c r="CZ92">
        <f t="shared" si="61"/>
        <v>2.4892696854333717E-4</v>
      </c>
      <c r="DA92" s="2">
        <f t="shared" ref="DA92:DA97" si="88">IFERROR((CV92-CU92)/ABS(CU92),"")</f>
        <v>0.75213675213675535</v>
      </c>
      <c r="DB92" s="1" t="s">
        <v>1074</v>
      </c>
      <c r="DC92" t="str">
        <f t="shared" ref="DC92:DC97" si="89">IF(OR($DB92="prd",$DB92="std",$DB92="cit"),"loc",IF(OR($DB92="eur",$DB92="reg",$DB92="coy"),"reg",$DB92))</f>
        <v>reg</v>
      </c>
      <c r="DD92" t="s">
        <v>428</v>
      </c>
      <c r="DE92">
        <v>2015</v>
      </c>
      <c r="DF92">
        <v>2060</v>
      </c>
      <c r="DG92">
        <v>0</v>
      </c>
      <c r="DH92" t="str">
        <f t="shared" ref="DH92:DH97" si="90">IF(DG92=0,"0",IF(AND(DG92&gt;=1,DG92&lt;=30),"1-30",IF(AND(DG92&gt;30,DG92&lt;=70),"31-70",IF(AND(DG92&gt;70,DG92&lt;=100),"71-100",IF(DG92&gt;100,"+100")))))</f>
        <v>0</v>
      </c>
      <c r="DI92">
        <v>1</v>
      </c>
      <c r="DJ92">
        <v>0</v>
      </c>
      <c r="DK92">
        <v>0</v>
      </c>
      <c r="DL92">
        <v>0</v>
      </c>
      <c r="DM92">
        <v>0</v>
      </c>
      <c r="DN92">
        <v>1</v>
      </c>
      <c r="DO92" t="str">
        <f t="shared" ref="DO92:DO97" si="91">IF(DN92=1,INDEX($DI$7:$DL$7,MATCH(1,$DI92:$DL92,0)),"mixedProduct")</f>
        <v>UpstreamInput</v>
      </c>
      <c r="DP92" t="str">
        <f t="shared" ref="DP92:DS97" si="92">IF(DI92=1,DP$7,0)</f>
        <v>Upstream</v>
      </c>
      <c r="DQ92">
        <f t="shared" si="92"/>
        <v>0</v>
      </c>
      <c r="DR92">
        <f t="shared" si="92"/>
        <v>0</v>
      </c>
      <c r="DS92">
        <f t="shared" si="92"/>
        <v>0</v>
      </c>
      <c r="DT92">
        <v>0</v>
      </c>
      <c r="DU92">
        <v>0</v>
      </c>
      <c r="DV92">
        <v>0</v>
      </c>
      <c r="DW92">
        <v>0</v>
      </c>
      <c r="DX92">
        <v>0</v>
      </c>
      <c r="DY92">
        <f t="shared" ref="DY92:DY97" si="93">SUM(DT92:DU92)</f>
        <v>0</v>
      </c>
      <c r="DZ92" s="143" t="s">
        <v>926</v>
      </c>
      <c r="EA92">
        <v>1</v>
      </c>
      <c r="EB92">
        <v>1</v>
      </c>
      <c r="EC92">
        <v>1</v>
      </c>
      <c r="ED92">
        <v>0</v>
      </c>
      <c r="EE92">
        <v>0</v>
      </c>
      <c r="EF92" s="143">
        <v>0</v>
      </c>
      <c r="EG92">
        <v>0</v>
      </c>
      <c r="EH92">
        <v>0</v>
      </c>
      <c r="EI92">
        <v>0</v>
      </c>
      <c r="EJ92">
        <v>0</v>
      </c>
      <c r="EK92">
        <v>1</v>
      </c>
      <c r="EL92">
        <v>0</v>
      </c>
      <c r="EM92">
        <v>1</v>
      </c>
      <c r="EN92" s="2">
        <v>0</v>
      </c>
      <c r="EP92" t="str">
        <f t="shared" si="62"/>
        <v/>
      </c>
      <c r="EQ92" t="str">
        <f t="shared" ref="EQ92:EQ97" si="94">IF(AND(AND(OR($EC92=1,$EB92=1),AND($EH92=0,$EF92=0)),SUM($EA92:$EE92,$EK92)&gt;=4),"Ecosystem approach","")</f>
        <v>Ecosystem approach</v>
      </c>
      <c r="ER92" s="2" t="str">
        <f t="shared" si="63"/>
        <v/>
      </c>
      <c r="ES92" t="str">
        <f t="shared" si="64"/>
        <v/>
      </c>
      <c r="ET92" t="str">
        <f t="shared" si="65"/>
        <v/>
      </c>
      <c r="EU92" t="str">
        <f t="shared" si="66"/>
        <v/>
      </c>
      <c r="EY92" t="str">
        <f>IF(ISNUMBER(BW92),IF(ABS(BW92-[3]QC_indicators!$B$2)&gt;3*[3]QC_indicators!$C$2,"C ratio",IF(ISNUMBER(CA92),IF(ABS(CA92-[3]QC_indicators!$B$1)&gt;3*[3]QC_indicators!$C$1,"DF","no"))),IF(ISNUMBER(CA92),IF(ABS(CA92-[3]QC_indicators!$B$1)&gt;3*[3]QC_indicators!$C$1,"DF","no")))</f>
        <v>no</v>
      </c>
      <c r="FA92" t="str">
        <f t="shared" si="67"/>
        <v/>
      </c>
      <c r="FB92" t="s">
        <v>1601</v>
      </c>
      <c r="FD92" s="260" t="s">
        <v>2942</v>
      </c>
      <c r="FE92" s="260"/>
    </row>
    <row r="93" spans="1:161" ht="15" hidden="1" customHeight="1">
      <c r="A93" s="1" t="s">
        <v>1251</v>
      </c>
      <c r="B93" t="s">
        <v>1588</v>
      </c>
      <c r="C93" t="s">
        <v>1589</v>
      </c>
      <c r="D93" t="s">
        <v>1590</v>
      </c>
      <c r="E93" t="s">
        <v>1591</v>
      </c>
      <c r="F93" t="s">
        <v>1592</v>
      </c>
      <c r="G93" t="s">
        <v>1257</v>
      </c>
      <c r="H93" t="s">
        <v>254</v>
      </c>
      <c r="I93">
        <v>2019</v>
      </c>
      <c r="J93">
        <v>1</v>
      </c>
      <c r="K93" t="s">
        <v>1593</v>
      </c>
      <c r="M93" t="str">
        <f t="shared" si="57"/>
        <v>Jones_2019</v>
      </c>
      <c r="N93" s="334" t="s">
        <v>1225</v>
      </c>
      <c r="O93" s="171" t="s">
        <v>508</v>
      </c>
      <c r="P93" t="s">
        <v>924</v>
      </c>
      <c r="Q93" t="s">
        <v>389</v>
      </c>
      <c r="R93" s="264" t="s">
        <v>274</v>
      </c>
      <c r="S93" s="1" t="s">
        <v>1602</v>
      </c>
      <c r="T93" t="s">
        <v>1603</v>
      </c>
      <c r="U93" t="s">
        <v>1596</v>
      </c>
      <c r="V93">
        <v>0</v>
      </c>
      <c r="W93">
        <v>1</v>
      </c>
      <c r="X93" s="268">
        <v>0</v>
      </c>
      <c r="Y93" s="268">
        <v>0</v>
      </c>
      <c r="Z93" s="268">
        <v>0</v>
      </c>
      <c r="AA93" s="268">
        <v>0</v>
      </c>
      <c r="AB93" s="268">
        <v>0</v>
      </c>
      <c r="AC93" s="268">
        <v>0</v>
      </c>
      <c r="AD93" s="268">
        <v>0</v>
      </c>
      <c r="AE93" s="268">
        <v>0</v>
      </c>
      <c r="AF93" s="268">
        <v>0</v>
      </c>
      <c r="AG93" s="268">
        <v>0</v>
      </c>
      <c r="AH93" s="268">
        <v>0</v>
      </c>
      <c r="AI93" s="268">
        <v>0</v>
      </c>
      <c r="AJ93" s="268">
        <v>0</v>
      </c>
      <c r="AK93" s="268">
        <v>0</v>
      </c>
      <c r="AL93" s="268">
        <v>0</v>
      </c>
      <c r="AM93" s="268">
        <v>0</v>
      </c>
      <c r="AN93" s="268">
        <v>0</v>
      </c>
      <c r="AO93" s="268">
        <v>0</v>
      </c>
      <c r="AP93" s="268">
        <v>0</v>
      </c>
      <c r="AQ93" s="268">
        <v>0</v>
      </c>
      <c r="AR93" s="268">
        <v>0</v>
      </c>
      <c r="AS93" s="268">
        <v>0</v>
      </c>
      <c r="AT93" s="268">
        <v>0</v>
      </c>
      <c r="AU93" s="268">
        <v>0</v>
      </c>
      <c r="AV93" s="268">
        <v>2</v>
      </c>
      <c r="AW93" s="268">
        <v>0</v>
      </c>
      <c r="AX93" s="268">
        <v>0</v>
      </c>
      <c r="AY93" s="268">
        <v>2</v>
      </c>
      <c r="AZ93" s="141">
        <f t="shared" si="70"/>
        <v>2</v>
      </c>
      <c r="BA93" s="141">
        <f t="shared" si="71"/>
        <v>0</v>
      </c>
      <c r="BB93">
        <f t="shared" si="72"/>
        <v>0</v>
      </c>
      <c r="BC93">
        <f t="shared" si="73"/>
        <v>0</v>
      </c>
      <c r="BD93">
        <f t="shared" si="74"/>
        <v>0</v>
      </c>
      <c r="BE93">
        <f t="shared" si="75"/>
        <v>2</v>
      </c>
      <c r="BF93">
        <f t="shared" si="76"/>
        <v>0</v>
      </c>
      <c r="BG93" s="268" t="e">
        <f t="array" ref="BG93">IF(BA93=1,INDEX($X$7:$AN$7,MATCH(TRUE,INDEX($X93:$AY93&lt;&gt;0,),0)),IF(BA93=0,INDEX($AO$7:$AY$7,MATCH(1,$AO93:$AY93,0)),IF(BH93="Multiple strategies","mixed drivers",IF(BH93="Supply chain","multiple supply","multiple silviculture"))))</f>
        <v>#N/A</v>
      </c>
      <c r="BH93" s="2" t="e" cm="1">
        <f t="array" ref="BH93">IF(COUNTIF(BB93:BD93,"&lt;&gt;0")=1,INDEX($X$4:$AY$4,MATCH(TRUE,INDEX($X93:$AY93&lt;&gt;0,),0)),IF(COUNTIF(BB93:BD93,"&lt;&gt;0")=0,INDEX($AO$4:$AY$4,MATCH(1,$AO93:$AY93,0)),"Multiple strategies"))</f>
        <v>#N/A</v>
      </c>
      <c r="BI93" s="1" t="s">
        <v>321</v>
      </c>
      <c r="BJ93" t="s">
        <v>1597</v>
      </c>
      <c r="BK93" t="s">
        <v>1598</v>
      </c>
      <c r="BL93" t="s">
        <v>498</v>
      </c>
      <c r="BM93">
        <v>2101773977272.7263</v>
      </c>
      <c r="BN93">
        <v>2126067159090.9072</v>
      </c>
      <c r="BO93" t="s">
        <v>531</v>
      </c>
      <c r="BP93">
        <f t="shared" si="77"/>
        <v>24293181818.180908</v>
      </c>
      <c r="BQ93">
        <f t="shared" si="78"/>
        <v>24293181818.180908</v>
      </c>
      <c r="BR93" t="s">
        <v>395</v>
      </c>
      <c r="BS93" t="s">
        <v>1599</v>
      </c>
      <c r="BT93" t="s">
        <v>1600</v>
      </c>
      <c r="BU93">
        <v>-6126126.1261261208</v>
      </c>
      <c r="BV93">
        <v>-9234234.2342342511</v>
      </c>
      <c r="BW93" s="144">
        <v>1.5073529411764746</v>
      </c>
      <c r="BX93" s="152">
        <f>BV93-BU93</f>
        <v>-3108108.1081081303</v>
      </c>
      <c r="BZ93" s="152">
        <f t="shared" si="79"/>
        <v>-3108108.1081081303</v>
      </c>
      <c r="CA93">
        <f t="shared" si="58"/>
        <v>-1.2794158177262873E-4</v>
      </c>
      <c r="CB93">
        <v>0</v>
      </c>
      <c r="CC93">
        <v>0</v>
      </c>
      <c r="CD93">
        <v>0</v>
      </c>
      <c r="CE93">
        <v>0</v>
      </c>
      <c r="CF93">
        <v>0</v>
      </c>
      <c r="CG93">
        <v>0</v>
      </c>
      <c r="CH93">
        <v>0</v>
      </c>
      <c r="CI93">
        <v>0</v>
      </c>
      <c r="CJ93">
        <v>0</v>
      </c>
      <c r="CK93">
        <v>0</v>
      </c>
      <c r="CL93">
        <v>0</v>
      </c>
      <c r="CM93">
        <v>0</v>
      </c>
      <c r="CN93">
        <v>0</v>
      </c>
      <c r="CO93">
        <v>0</v>
      </c>
      <c r="CP93" t="str">
        <f t="shared" si="80"/>
        <v>refOK</v>
      </c>
      <c r="CQ93">
        <f t="shared" si="81"/>
        <v>2101773977272.7263</v>
      </c>
      <c r="CR93">
        <f t="shared" si="82"/>
        <v>2126067159090.9072</v>
      </c>
      <c r="CS93">
        <f t="shared" si="83"/>
        <v>24293181818.180908</v>
      </c>
      <c r="CT93">
        <f t="shared" si="59"/>
        <v>12146590909.090454</v>
      </c>
      <c r="CU93">
        <f t="shared" si="84"/>
        <v>6126126.1261261208</v>
      </c>
      <c r="CV93">
        <f t="shared" si="85"/>
        <v>9234234.2342342511</v>
      </c>
      <c r="CW93">
        <f t="shared" si="86"/>
        <v>3108108.1081081303</v>
      </c>
      <c r="CX93">
        <f t="shared" si="60"/>
        <v>1.2794158177262873E-4</v>
      </c>
      <c r="CY93">
        <f t="shared" si="87"/>
        <v>1.2794158177262873E-4</v>
      </c>
      <c r="CZ93">
        <f t="shared" si="61"/>
        <v>2.5588316354525746E-4</v>
      </c>
      <c r="DA93" s="2">
        <f t="shared" si="88"/>
        <v>0.50735294117647467</v>
      </c>
      <c r="DB93" s="1" t="s">
        <v>1074</v>
      </c>
      <c r="DC93" t="str">
        <f t="shared" si="89"/>
        <v>reg</v>
      </c>
      <c r="DD93" t="s">
        <v>428</v>
      </c>
      <c r="DE93">
        <v>2015</v>
      </c>
      <c r="DF93">
        <v>2060</v>
      </c>
      <c r="DG93">
        <v>0</v>
      </c>
      <c r="DH93" t="str">
        <f t="shared" si="90"/>
        <v>0</v>
      </c>
      <c r="DI93">
        <v>1</v>
      </c>
      <c r="DJ93">
        <v>0</v>
      </c>
      <c r="DK93">
        <v>0</v>
      </c>
      <c r="DL93">
        <v>0</v>
      </c>
      <c r="DM93">
        <v>0</v>
      </c>
      <c r="DN93">
        <v>1</v>
      </c>
      <c r="DO93" t="str">
        <f t="shared" si="91"/>
        <v>UpstreamInput</v>
      </c>
      <c r="DP93" t="str">
        <f t="shared" si="92"/>
        <v>Upstream</v>
      </c>
      <c r="DQ93">
        <f t="shared" si="92"/>
        <v>0</v>
      </c>
      <c r="DR93">
        <f t="shared" si="92"/>
        <v>0</v>
      </c>
      <c r="DS93">
        <f t="shared" si="92"/>
        <v>0</v>
      </c>
      <c r="DT93">
        <v>0</v>
      </c>
      <c r="DU93">
        <v>0</v>
      </c>
      <c r="DV93">
        <v>0</v>
      </c>
      <c r="DW93">
        <v>0</v>
      </c>
      <c r="DX93">
        <v>0</v>
      </c>
      <c r="DY93">
        <f t="shared" si="93"/>
        <v>0</v>
      </c>
      <c r="DZ93" s="143" t="s">
        <v>926</v>
      </c>
      <c r="EA93">
        <v>1</v>
      </c>
      <c r="EB93">
        <v>1</v>
      </c>
      <c r="EC93">
        <v>1</v>
      </c>
      <c r="ED93">
        <v>0</v>
      </c>
      <c r="EE93">
        <v>0</v>
      </c>
      <c r="EF93" s="143">
        <v>0</v>
      </c>
      <c r="EG93">
        <v>0</v>
      </c>
      <c r="EH93">
        <v>0</v>
      </c>
      <c r="EI93">
        <v>0</v>
      </c>
      <c r="EJ93">
        <v>0</v>
      </c>
      <c r="EK93">
        <v>1</v>
      </c>
      <c r="EL93">
        <v>0</v>
      </c>
      <c r="EM93">
        <v>1</v>
      </c>
      <c r="EN93" s="2">
        <v>0</v>
      </c>
      <c r="EP93" t="str">
        <f t="shared" si="62"/>
        <v/>
      </c>
      <c r="EQ93" t="str">
        <f t="shared" si="94"/>
        <v>Ecosystem approach</v>
      </c>
      <c r="ER93" s="2" t="str">
        <f t="shared" si="63"/>
        <v/>
      </c>
      <c r="ES93" t="str">
        <f t="shared" si="64"/>
        <v/>
      </c>
      <c r="ET93" t="str">
        <f t="shared" si="65"/>
        <v/>
      </c>
      <c r="EU93" t="str">
        <f t="shared" si="66"/>
        <v/>
      </c>
      <c r="EY93" t="str">
        <f>IF(ISNUMBER(BW93),IF(ABS(BW93-[3]QC_indicators!$B$2)&gt;3*[3]QC_indicators!$C$2,"C ratio",IF(ISNUMBER(CA93),IF(ABS(CA93-[3]QC_indicators!$B$1)&gt;3*[3]QC_indicators!$C$1,"DF","no"))),IF(ISNUMBER(CA93),IF(ABS(CA93-[3]QC_indicators!$B$1)&gt;3*[3]QC_indicators!$C$1,"DF","no")))</f>
        <v>no</v>
      </c>
      <c r="FA93" t="str">
        <f t="shared" si="67"/>
        <v/>
      </c>
      <c r="FB93" t="s">
        <v>1601</v>
      </c>
      <c r="FD93" s="260" t="s">
        <v>2942</v>
      </c>
      <c r="FE93" s="260"/>
    </row>
    <row r="94" spans="1:161" ht="15" hidden="1" customHeight="1">
      <c r="A94" s="1" t="s">
        <v>1251</v>
      </c>
      <c r="B94" t="s">
        <v>1588</v>
      </c>
      <c r="C94" t="s">
        <v>1589</v>
      </c>
      <c r="D94" t="s">
        <v>1590</v>
      </c>
      <c r="E94" t="s">
        <v>1591</v>
      </c>
      <c r="F94" t="s">
        <v>1592</v>
      </c>
      <c r="G94" t="s">
        <v>1257</v>
      </c>
      <c r="H94" t="s">
        <v>254</v>
      </c>
      <c r="I94">
        <v>2019</v>
      </c>
      <c r="J94">
        <v>1</v>
      </c>
      <c r="K94" t="s">
        <v>1593</v>
      </c>
      <c r="M94" t="str">
        <f t="shared" si="57"/>
        <v>Jones_2019</v>
      </c>
      <c r="N94" s="334" t="s">
        <v>1225</v>
      </c>
      <c r="O94" s="171" t="s">
        <v>508</v>
      </c>
      <c r="P94" t="s">
        <v>924</v>
      </c>
      <c r="Q94" t="s">
        <v>389</v>
      </c>
      <c r="R94" s="264" t="s">
        <v>274</v>
      </c>
      <c r="S94" s="1" t="s">
        <v>1594</v>
      </c>
      <c r="T94" t="s">
        <v>1595</v>
      </c>
      <c r="U94" t="s">
        <v>1596</v>
      </c>
      <c r="V94">
        <v>0</v>
      </c>
      <c r="W94">
        <v>1</v>
      </c>
      <c r="X94" s="268">
        <v>0</v>
      </c>
      <c r="Y94" s="268">
        <v>0</v>
      </c>
      <c r="Z94" s="268">
        <v>0</v>
      </c>
      <c r="AA94" s="268">
        <v>0</v>
      </c>
      <c r="AB94" s="268">
        <v>0</v>
      </c>
      <c r="AC94" s="268">
        <v>0</v>
      </c>
      <c r="AD94" s="268">
        <v>0</v>
      </c>
      <c r="AE94" s="268">
        <v>0</v>
      </c>
      <c r="AF94" s="268">
        <v>0</v>
      </c>
      <c r="AG94" s="268">
        <v>0</v>
      </c>
      <c r="AH94" s="268">
        <v>0</v>
      </c>
      <c r="AI94" s="268">
        <v>0</v>
      </c>
      <c r="AJ94" s="268">
        <v>0</v>
      </c>
      <c r="AK94" s="268">
        <v>0</v>
      </c>
      <c r="AL94" s="268">
        <v>0</v>
      </c>
      <c r="AM94" s="268">
        <v>0</v>
      </c>
      <c r="AN94" s="268">
        <v>0</v>
      </c>
      <c r="AO94" s="268">
        <v>0</v>
      </c>
      <c r="AP94" s="268">
        <v>0</v>
      </c>
      <c r="AQ94" s="268">
        <v>0</v>
      </c>
      <c r="AR94" s="268">
        <v>0</v>
      </c>
      <c r="AS94" s="268">
        <v>0</v>
      </c>
      <c r="AT94" s="268">
        <v>0</v>
      </c>
      <c r="AU94" s="268">
        <v>0</v>
      </c>
      <c r="AV94" s="268">
        <v>2</v>
      </c>
      <c r="AW94" s="268">
        <v>0</v>
      </c>
      <c r="AX94" s="268">
        <v>0</v>
      </c>
      <c r="AY94" s="268">
        <v>2</v>
      </c>
      <c r="AZ94" s="141">
        <f t="shared" si="70"/>
        <v>2</v>
      </c>
      <c r="BA94" s="141">
        <f t="shared" si="71"/>
        <v>0</v>
      </c>
      <c r="BB94">
        <f t="shared" si="72"/>
        <v>0</v>
      </c>
      <c r="BC94">
        <f t="shared" si="73"/>
        <v>0</v>
      </c>
      <c r="BD94">
        <f t="shared" si="74"/>
        <v>0</v>
      </c>
      <c r="BE94">
        <f t="shared" si="75"/>
        <v>2</v>
      </c>
      <c r="BF94">
        <f t="shared" si="76"/>
        <v>0</v>
      </c>
      <c r="BG94" s="268" t="e">
        <f t="array" ref="BG94">IF(BA94=1,INDEX($X$7:$AN$7,MATCH(TRUE,INDEX($X94:$AY94&lt;&gt;0,),0)),IF(BA94=0,INDEX($AO$7:$AY$7,MATCH(1,$AO94:$AY94,0)),IF(BH94="Multiple strategies","mixed drivers",IF(BH94="Supply chain","multiple supply","multiple silviculture"))))</f>
        <v>#N/A</v>
      </c>
      <c r="BH94" s="2" t="e" cm="1">
        <f t="array" ref="BH94">IF(COUNTIF(BB94:BD94,"&lt;&gt;0")=1,INDEX($X$4:$AY$4,MATCH(TRUE,INDEX($X94:$AY94&lt;&gt;0,),0)),IF(COUNTIF(BB94:BD94,"&lt;&gt;0")=0,INDEX($AO$4:$AY$4,MATCH(1,$AO94:$AY94,0)),"Multiple strategies"))</f>
        <v>#N/A</v>
      </c>
      <c r="BI94" s="1" t="s">
        <v>321</v>
      </c>
      <c r="BJ94" t="s">
        <v>1597</v>
      </c>
      <c r="BK94" t="s">
        <v>1598</v>
      </c>
      <c r="BL94" t="s">
        <v>498</v>
      </c>
      <c r="BM94">
        <v>2099896818181.8174</v>
      </c>
      <c r="BN94">
        <v>2126067159090.9072</v>
      </c>
      <c r="BO94" t="s">
        <v>531</v>
      </c>
      <c r="BP94">
        <f t="shared" si="77"/>
        <v>26170340909.089844</v>
      </c>
      <c r="BQ94">
        <f t="shared" si="78"/>
        <v>26170340909.089844</v>
      </c>
      <c r="BR94" t="s">
        <v>395</v>
      </c>
      <c r="BS94" t="s">
        <v>1599</v>
      </c>
      <c r="BT94" t="s">
        <v>1600</v>
      </c>
      <c r="BU94">
        <v>-5630630.6306306301</v>
      </c>
      <c r="BV94">
        <v>-9234234.2342342511</v>
      </c>
      <c r="BW94" s="144">
        <v>1.6400000000000032</v>
      </c>
      <c r="BX94" s="152">
        <v>-3603603.603603621</v>
      </c>
      <c r="BZ94" s="152">
        <f t="shared" si="79"/>
        <v>-3603603.603603621</v>
      </c>
      <c r="CA94">
        <f t="shared" si="58"/>
        <v>-1.3769800004217629E-4</v>
      </c>
      <c r="CB94">
        <v>0</v>
      </c>
      <c r="CC94">
        <v>0</v>
      </c>
      <c r="CD94">
        <v>0</v>
      </c>
      <c r="CE94">
        <v>0</v>
      </c>
      <c r="CF94">
        <v>0</v>
      </c>
      <c r="CG94">
        <v>0</v>
      </c>
      <c r="CH94">
        <v>0</v>
      </c>
      <c r="CI94">
        <v>0</v>
      </c>
      <c r="CJ94">
        <v>0</v>
      </c>
      <c r="CK94">
        <v>0</v>
      </c>
      <c r="CL94">
        <v>0</v>
      </c>
      <c r="CM94">
        <v>0</v>
      </c>
      <c r="CN94">
        <v>0</v>
      </c>
      <c r="CO94">
        <v>0</v>
      </c>
      <c r="CP94" t="str">
        <f t="shared" si="80"/>
        <v>refOK</v>
      </c>
      <c r="CQ94">
        <f t="shared" si="81"/>
        <v>2099896818181.8174</v>
      </c>
      <c r="CR94">
        <f t="shared" si="82"/>
        <v>2126067159090.9072</v>
      </c>
      <c r="CS94">
        <f t="shared" si="83"/>
        <v>26170340909.089844</v>
      </c>
      <c r="CT94">
        <f t="shared" si="59"/>
        <v>13085170454.544922</v>
      </c>
      <c r="CU94">
        <f t="shared" si="84"/>
        <v>5630630.6306306301</v>
      </c>
      <c r="CV94">
        <f t="shared" si="85"/>
        <v>9234234.2342342511</v>
      </c>
      <c r="CW94">
        <f t="shared" si="86"/>
        <v>3603603.603603621</v>
      </c>
      <c r="CX94">
        <f t="shared" si="60"/>
        <v>1.3769800004217629E-4</v>
      </c>
      <c r="CY94">
        <f t="shared" si="87"/>
        <v>1.3769800004217629E-4</v>
      </c>
      <c r="CZ94">
        <f t="shared" si="61"/>
        <v>2.7539600008435257E-4</v>
      </c>
      <c r="DA94" s="2">
        <f t="shared" si="88"/>
        <v>0.64000000000000312</v>
      </c>
      <c r="DB94" s="1" t="s">
        <v>1074</v>
      </c>
      <c r="DC94" t="str">
        <f t="shared" si="89"/>
        <v>reg</v>
      </c>
      <c r="DD94" t="s">
        <v>428</v>
      </c>
      <c r="DE94">
        <v>2015</v>
      </c>
      <c r="DF94">
        <v>2060</v>
      </c>
      <c r="DG94">
        <v>0</v>
      </c>
      <c r="DH94" t="str">
        <f t="shared" si="90"/>
        <v>0</v>
      </c>
      <c r="DI94">
        <v>1</v>
      </c>
      <c r="DJ94">
        <v>0</v>
      </c>
      <c r="DK94">
        <v>0</v>
      </c>
      <c r="DL94">
        <v>0</v>
      </c>
      <c r="DM94">
        <v>0</v>
      </c>
      <c r="DN94">
        <v>1</v>
      </c>
      <c r="DO94" t="str">
        <f t="shared" si="91"/>
        <v>UpstreamInput</v>
      </c>
      <c r="DP94" t="str">
        <f t="shared" si="92"/>
        <v>Upstream</v>
      </c>
      <c r="DQ94">
        <f t="shared" si="92"/>
        <v>0</v>
      </c>
      <c r="DR94">
        <f t="shared" si="92"/>
        <v>0</v>
      </c>
      <c r="DS94">
        <f t="shared" si="92"/>
        <v>0</v>
      </c>
      <c r="DT94">
        <v>0</v>
      </c>
      <c r="DU94">
        <v>0</v>
      </c>
      <c r="DV94">
        <v>0</v>
      </c>
      <c r="DW94">
        <v>0</v>
      </c>
      <c r="DX94">
        <v>0</v>
      </c>
      <c r="DY94">
        <f t="shared" si="93"/>
        <v>0</v>
      </c>
      <c r="DZ94" s="143" t="s">
        <v>926</v>
      </c>
      <c r="EA94">
        <v>1</v>
      </c>
      <c r="EB94">
        <v>1</v>
      </c>
      <c r="EC94">
        <v>1</v>
      </c>
      <c r="ED94">
        <v>0</v>
      </c>
      <c r="EE94">
        <v>0</v>
      </c>
      <c r="EF94" s="143">
        <v>0</v>
      </c>
      <c r="EG94">
        <v>0</v>
      </c>
      <c r="EH94">
        <v>0</v>
      </c>
      <c r="EI94">
        <v>0</v>
      </c>
      <c r="EJ94">
        <v>0</v>
      </c>
      <c r="EK94">
        <v>1</v>
      </c>
      <c r="EL94">
        <v>0</v>
      </c>
      <c r="EM94">
        <v>1</v>
      </c>
      <c r="EN94" s="2">
        <v>0</v>
      </c>
      <c r="EP94" t="str">
        <f t="shared" si="62"/>
        <v/>
      </c>
      <c r="EQ94" t="str">
        <f t="shared" si="94"/>
        <v>Ecosystem approach</v>
      </c>
      <c r="ER94" s="2" t="str">
        <f t="shared" si="63"/>
        <v/>
      </c>
      <c r="ES94" t="str">
        <f t="shared" si="64"/>
        <v/>
      </c>
      <c r="ET94" t="str">
        <f t="shared" si="65"/>
        <v/>
      </c>
      <c r="EU94" t="str">
        <f t="shared" si="66"/>
        <v/>
      </c>
      <c r="EY94" t="str">
        <f>IF(ISNUMBER(BW94),IF(ABS(BW94-[3]QC_indicators!$B$2)&gt;3*[3]QC_indicators!$C$2,"C ratio",IF(ISNUMBER(CA94),IF(ABS(CA94-[3]QC_indicators!$B$1)&gt;3*[3]QC_indicators!$C$1,"DF","no"))),IF(ISNUMBER(CA94),IF(ABS(CA94-[3]QC_indicators!$B$1)&gt;3*[3]QC_indicators!$C$1,"DF","no")))</f>
        <v>no</v>
      </c>
      <c r="FA94" t="str">
        <f t="shared" si="67"/>
        <v/>
      </c>
      <c r="FB94" t="s">
        <v>1601</v>
      </c>
      <c r="FD94" s="260" t="s">
        <v>2942</v>
      </c>
      <c r="FE94" s="260"/>
    </row>
    <row r="95" spans="1:161" ht="15" hidden="1" customHeight="1">
      <c r="A95" s="1" t="s">
        <v>1251</v>
      </c>
      <c r="B95" t="s">
        <v>1588</v>
      </c>
      <c r="C95" t="s">
        <v>1589</v>
      </c>
      <c r="D95" t="s">
        <v>1590</v>
      </c>
      <c r="E95" t="s">
        <v>1591</v>
      </c>
      <c r="F95" t="s">
        <v>1592</v>
      </c>
      <c r="G95" t="s">
        <v>1257</v>
      </c>
      <c r="H95" t="s">
        <v>254</v>
      </c>
      <c r="I95">
        <v>2019</v>
      </c>
      <c r="J95">
        <v>1</v>
      </c>
      <c r="K95" t="s">
        <v>1593</v>
      </c>
      <c r="M95" t="str">
        <f t="shared" si="57"/>
        <v>Jones_2019</v>
      </c>
      <c r="N95" s="334" t="s">
        <v>1225</v>
      </c>
      <c r="O95" s="171" t="s">
        <v>508</v>
      </c>
      <c r="P95" t="s">
        <v>924</v>
      </c>
      <c r="Q95" t="s">
        <v>389</v>
      </c>
      <c r="R95" s="264" t="s">
        <v>274</v>
      </c>
      <c r="S95" s="1" t="s">
        <v>1594</v>
      </c>
      <c r="T95" t="s">
        <v>1595</v>
      </c>
      <c r="U95" t="s">
        <v>1596</v>
      </c>
      <c r="V95">
        <v>0</v>
      </c>
      <c r="W95">
        <v>1</v>
      </c>
      <c r="X95" s="268">
        <v>0</v>
      </c>
      <c r="Y95" s="268">
        <v>0</v>
      </c>
      <c r="Z95" s="268">
        <v>0</v>
      </c>
      <c r="AA95" s="268">
        <v>0</v>
      </c>
      <c r="AB95" s="268">
        <v>0</v>
      </c>
      <c r="AC95" s="268">
        <v>0</v>
      </c>
      <c r="AD95" s="268">
        <v>0</v>
      </c>
      <c r="AE95" s="268">
        <v>0</v>
      </c>
      <c r="AF95" s="268">
        <v>0</v>
      </c>
      <c r="AG95" s="268">
        <v>0</v>
      </c>
      <c r="AH95" s="268">
        <v>0</v>
      </c>
      <c r="AI95" s="268">
        <v>0</v>
      </c>
      <c r="AJ95" s="268">
        <v>0</v>
      </c>
      <c r="AK95" s="268">
        <v>0</v>
      </c>
      <c r="AL95" s="268">
        <v>0</v>
      </c>
      <c r="AM95" s="268">
        <v>0</v>
      </c>
      <c r="AN95" s="268">
        <v>0</v>
      </c>
      <c r="AO95" s="268">
        <v>0</v>
      </c>
      <c r="AP95" s="268">
        <v>0</v>
      </c>
      <c r="AQ95" s="268">
        <v>0</v>
      </c>
      <c r="AR95" s="268">
        <v>0</v>
      </c>
      <c r="AS95" s="268">
        <v>0</v>
      </c>
      <c r="AT95" s="268">
        <v>0</v>
      </c>
      <c r="AU95" s="268">
        <v>0</v>
      </c>
      <c r="AV95" s="268">
        <v>2</v>
      </c>
      <c r="AW95" s="268">
        <v>0</v>
      </c>
      <c r="AX95" s="268">
        <v>0</v>
      </c>
      <c r="AY95" s="268">
        <v>2</v>
      </c>
      <c r="AZ95" s="141">
        <f t="shared" si="70"/>
        <v>2</v>
      </c>
      <c r="BA95" s="141">
        <f t="shared" si="71"/>
        <v>0</v>
      </c>
      <c r="BB95">
        <f t="shared" si="72"/>
        <v>0</v>
      </c>
      <c r="BC95">
        <f t="shared" si="73"/>
        <v>0</v>
      </c>
      <c r="BD95">
        <f t="shared" si="74"/>
        <v>0</v>
      </c>
      <c r="BE95">
        <f t="shared" si="75"/>
        <v>2</v>
      </c>
      <c r="BF95">
        <f t="shared" si="76"/>
        <v>0</v>
      </c>
      <c r="BG95" s="268" t="e">
        <f t="array" ref="BG95">IF(BA95=1,INDEX($X$7:$AN$7,MATCH(TRUE,INDEX($X95:$AY95&lt;&gt;0,),0)),IF(BA95=0,INDEX($AO$7:$AY$7,MATCH(1,$AO95:$AY95,0)),IF(BH95="Multiple strategies","mixed drivers",IF(BH95="Supply chain","multiple supply","multiple silviculture"))))</f>
        <v>#N/A</v>
      </c>
      <c r="BH95" s="2" t="e" cm="1">
        <f t="array" ref="BH95">IF(COUNTIF(BB95:BD95,"&lt;&gt;0")=1,INDEX($X$4:$AY$4,MATCH(TRUE,INDEX($X95:$AY95&lt;&gt;0,),0)),IF(COUNTIF(BB95:BD95,"&lt;&gt;0")=0,INDEX($AO$4:$AY$4,MATCH(1,$AO95:$AY95,0)),"Multiple strategies"))</f>
        <v>#N/A</v>
      </c>
      <c r="BI95" s="1" t="s">
        <v>321</v>
      </c>
      <c r="BJ95" t="s">
        <v>1597</v>
      </c>
      <c r="BK95" t="s">
        <v>1598</v>
      </c>
      <c r="BL95" t="s">
        <v>498</v>
      </c>
      <c r="BM95">
        <v>1311119090909.0903</v>
      </c>
      <c r="BN95">
        <v>1318747840909.0903</v>
      </c>
      <c r="BO95" t="s">
        <v>531</v>
      </c>
      <c r="BP95">
        <f t="shared" si="77"/>
        <v>7628750000</v>
      </c>
      <c r="BQ95">
        <f t="shared" si="78"/>
        <v>7628750000</v>
      </c>
      <c r="BR95" t="s">
        <v>395</v>
      </c>
      <c r="BS95" t="s">
        <v>1599</v>
      </c>
      <c r="BT95" t="s">
        <v>1600</v>
      </c>
      <c r="BU95">
        <v>-5605095.5414012698</v>
      </c>
      <c r="BV95">
        <v>-6942675.1592356702</v>
      </c>
      <c r="BW95" s="144">
        <v>1.3963963963963968</v>
      </c>
      <c r="BX95" s="152">
        <v>-1981981.9819819806</v>
      </c>
      <c r="BZ95" s="152">
        <f t="shared" si="79"/>
        <v>-1981981.9819819806</v>
      </c>
      <c r="CA95">
        <f t="shared" si="58"/>
        <v>-2.5980429060881282E-4</v>
      </c>
      <c r="CB95">
        <v>0</v>
      </c>
      <c r="CC95">
        <v>0</v>
      </c>
      <c r="CD95">
        <v>0</v>
      </c>
      <c r="CE95">
        <v>0</v>
      </c>
      <c r="CF95">
        <v>0</v>
      </c>
      <c r="CG95">
        <v>0</v>
      </c>
      <c r="CH95">
        <v>0</v>
      </c>
      <c r="CI95">
        <v>0</v>
      </c>
      <c r="CJ95">
        <v>0</v>
      </c>
      <c r="CK95">
        <v>0</v>
      </c>
      <c r="CL95">
        <v>0</v>
      </c>
      <c r="CM95">
        <v>0</v>
      </c>
      <c r="CN95">
        <v>0</v>
      </c>
      <c r="CO95">
        <v>0</v>
      </c>
      <c r="CP95" t="str">
        <f t="shared" si="80"/>
        <v>refOK</v>
      </c>
      <c r="CQ95">
        <f t="shared" si="81"/>
        <v>1311119090909.0903</v>
      </c>
      <c r="CR95">
        <f t="shared" si="82"/>
        <v>1318747840909.0903</v>
      </c>
      <c r="CS95">
        <f t="shared" si="83"/>
        <v>7628750000</v>
      </c>
      <c r="CT95">
        <f t="shared" si="59"/>
        <v>3814375000</v>
      </c>
      <c r="CU95">
        <f t="shared" si="84"/>
        <v>5605095.5414012698</v>
      </c>
      <c r="CV95">
        <f t="shared" si="85"/>
        <v>6942675.1592356702</v>
      </c>
      <c r="CW95">
        <f t="shared" si="86"/>
        <v>1981981.9819819806</v>
      </c>
      <c r="CX95">
        <f t="shared" si="60"/>
        <v>2.5980429060881282E-4</v>
      </c>
      <c r="CY95">
        <f t="shared" si="87"/>
        <v>2.5980429060881282E-4</v>
      </c>
      <c r="CZ95">
        <f t="shared" si="61"/>
        <v>5.1960858121762564E-4</v>
      </c>
      <c r="DA95" s="2">
        <f t="shared" si="88"/>
        <v>0.23863636363636478</v>
      </c>
      <c r="DB95" s="1" t="s">
        <v>1074</v>
      </c>
      <c r="DC95" t="str">
        <f t="shared" si="89"/>
        <v>reg</v>
      </c>
      <c r="DD95" t="s">
        <v>428</v>
      </c>
      <c r="DE95">
        <v>2015</v>
      </c>
      <c r="DF95">
        <v>2040</v>
      </c>
      <c r="DG95">
        <v>0</v>
      </c>
      <c r="DH95" t="str">
        <f t="shared" si="90"/>
        <v>0</v>
      </c>
      <c r="DI95">
        <v>1</v>
      </c>
      <c r="DJ95">
        <v>0</v>
      </c>
      <c r="DK95">
        <v>0</v>
      </c>
      <c r="DL95">
        <v>0</v>
      </c>
      <c r="DM95">
        <v>0</v>
      </c>
      <c r="DN95">
        <v>1</v>
      </c>
      <c r="DO95" t="str">
        <f t="shared" si="91"/>
        <v>UpstreamInput</v>
      </c>
      <c r="DP95" t="str">
        <f t="shared" si="92"/>
        <v>Upstream</v>
      </c>
      <c r="DQ95">
        <f t="shared" si="92"/>
        <v>0</v>
      </c>
      <c r="DR95">
        <f t="shared" si="92"/>
        <v>0</v>
      </c>
      <c r="DS95">
        <f t="shared" si="92"/>
        <v>0</v>
      </c>
      <c r="DT95">
        <v>0</v>
      </c>
      <c r="DU95">
        <v>0</v>
      </c>
      <c r="DV95">
        <v>0</v>
      </c>
      <c r="DW95">
        <v>0</v>
      </c>
      <c r="DX95">
        <v>0</v>
      </c>
      <c r="DY95">
        <f t="shared" si="93"/>
        <v>0</v>
      </c>
      <c r="DZ95" s="143" t="s">
        <v>926</v>
      </c>
      <c r="EA95">
        <v>1</v>
      </c>
      <c r="EB95">
        <v>1</v>
      </c>
      <c r="EC95">
        <v>1</v>
      </c>
      <c r="ED95">
        <v>0</v>
      </c>
      <c r="EE95">
        <v>0</v>
      </c>
      <c r="EF95" s="143">
        <v>0</v>
      </c>
      <c r="EG95">
        <v>0</v>
      </c>
      <c r="EH95">
        <v>0</v>
      </c>
      <c r="EI95">
        <v>0</v>
      </c>
      <c r="EJ95">
        <v>0</v>
      </c>
      <c r="EK95">
        <v>1</v>
      </c>
      <c r="EL95" s="143">
        <v>0</v>
      </c>
      <c r="EM95" s="143">
        <v>1</v>
      </c>
      <c r="EN95" s="2">
        <v>0</v>
      </c>
      <c r="EP95" t="str">
        <f t="shared" si="62"/>
        <v/>
      </c>
      <c r="EQ95" t="str">
        <f t="shared" si="94"/>
        <v>Ecosystem approach</v>
      </c>
      <c r="ER95" s="2" t="str">
        <f t="shared" si="63"/>
        <v/>
      </c>
      <c r="ES95" t="str">
        <f t="shared" si="64"/>
        <v/>
      </c>
      <c r="ET95" t="str">
        <f t="shared" si="65"/>
        <v/>
      </c>
      <c r="EU95" t="str">
        <f t="shared" si="66"/>
        <v/>
      </c>
      <c r="EY95" t="str">
        <f>IF(ISNUMBER(BW95),IF(ABS(BW95-[3]QC_indicators!$B$2)&gt;3*[3]QC_indicators!$C$2,"C ratio",IF(ISNUMBER(CA95),IF(ABS(CA95-[3]QC_indicators!$B$1)&gt;3*[3]QC_indicators!$C$1,"DF","no"))),IF(ISNUMBER(CA95),IF(ABS(CA95-[3]QC_indicators!$B$1)&gt;3*[3]QC_indicators!$C$1,"DF","no")))</f>
        <v>no</v>
      </c>
      <c r="FA95" t="str">
        <f t="shared" si="67"/>
        <v/>
      </c>
      <c r="FB95" t="s">
        <v>1601</v>
      </c>
      <c r="FD95" s="260" t="s">
        <v>2943</v>
      </c>
      <c r="FE95" s="260"/>
    </row>
    <row r="96" spans="1:161" ht="15" hidden="1" customHeight="1">
      <c r="A96" s="1" t="s">
        <v>1251</v>
      </c>
      <c r="B96" t="s">
        <v>1588</v>
      </c>
      <c r="C96" t="s">
        <v>1589</v>
      </c>
      <c r="D96" t="s">
        <v>1590</v>
      </c>
      <c r="E96" t="s">
        <v>1591</v>
      </c>
      <c r="F96" t="s">
        <v>1592</v>
      </c>
      <c r="G96" t="s">
        <v>1257</v>
      </c>
      <c r="H96" t="s">
        <v>254</v>
      </c>
      <c r="I96">
        <v>2019</v>
      </c>
      <c r="J96">
        <v>1</v>
      </c>
      <c r="K96" t="s">
        <v>1593</v>
      </c>
      <c r="M96" t="str">
        <f t="shared" si="57"/>
        <v>Jones_2019</v>
      </c>
      <c r="N96" s="334" t="s">
        <v>1225</v>
      </c>
      <c r="O96" s="171" t="s">
        <v>508</v>
      </c>
      <c r="P96" t="s">
        <v>924</v>
      </c>
      <c r="Q96" t="s">
        <v>389</v>
      </c>
      <c r="R96" s="264" t="s">
        <v>274</v>
      </c>
      <c r="S96" s="1" t="s">
        <v>1604</v>
      </c>
      <c r="T96" t="s">
        <v>1605</v>
      </c>
      <c r="U96" t="s">
        <v>1596</v>
      </c>
      <c r="V96">
        <v>0</v>
      </c>
      <c r="W96">
        <v>1</v>
      </c>
      <c r="X96" s="268">
        <v>0</v>
      </c>
      <c r="Y96" s="268">
        <v>0</v>
      </c>
      <c r="Z96" s="268">
        <v>0</v>
      </c>
      <c r="AA96" s="268">
        <v>0</v>
      </c>
      <c r="AB96" s="268">
        <v>0</v>
      </c>
      <c r="AC96" s="268">
        <v>0</v>
      </c>
      <c r="AD96" s="268">
        <v>0</v>
      </c>
      <c r="AE96" s="268">
        <v>0</v>
      </c>
      <c r="AF96" s="268">
        <v>0</v>
      </c>
      <c r="AG96" s="268">
        <v>0</v>
      </c>
      <c r="AH96" s="268">
        <v>0</v>
      </c>
      <c r="AI96" s="268">
        <v>0</v>
      </c>
      <c r="AJ96" s="268">
        <v>0</v>
      </c>
      <c r="AK96" s="268">
        <v>0</v>
      </c>
      <c r="AL96" s="268">
        <v>0</v>
      </c>
      <c r="AM96" s="268">
        <v>0</v>
      </c>
      <c r="AN96" s="268">
        <v>0</v>
      </c>
      <c r="AO96" s="268">
        <v>0</v>
      </c>
      <c r="AP96" s="268">
        <v>0</v>
      </c>
      <c r="AQ96" s="268">
        <v>0</v>
      </c>
      <c r="AR96" s="268">
        <v>0</v>
      </c>
      <c r="AS96" s="268">
        <v>0</v>
      </c>
      <c r="AT96" s="268">
        <v>0</v>
      </c>
      <c r="AU96" s="268">
        <v>0</v>
      </c>
      <c r="AV96" s="268">
        <v>2</v>
      </c>
      <c r="AW96" s="268">
        <v>0</v>
      </c>
      <c r="AX96" s="268">
        <v>0</v>
      </c>
      <c r="AY96" s="268">
        <v>2</v>
      </c>
      <c r="AZ96" s="141">
        <f t="shared" si="70"/>
        <v>2</v>
      </c>
      <c r="BA96" s="141">
        <f t="shared" si="71"/>
        <v>0</v>
      </c>
      <c r="BB96">
        <f t="shared" si="72"/>
        <v>0</v>
      </c>
      <c r="BC96">
        <f t="shared" si="73"/>
        <v>0</v>
      </c>
      <c r="BD96">
        <f t="shared" si="74"/>
        <v>0</v>
      </c>
      <c r="BE96">
        <f t="shared" si="75"/>
        <v>2</v>
      </c>
      <c r="BF96">
        <f t="shared" si="76"/>
        <v>0</v>
      </c>
      <c r="BG96" s="268" t="e">
        <f t="array" ref="BG96">IF(BA96=1,INDEX($X$7:$AN$7,MATCH(TRUE,INDEX($X96:$AY96&lt;&gt;0,),0)),IF(BA96=0,INDEX($AO$7:$AY$7,MATCH(1,$AO96:$AY96,0)),IF(BH96="Multiple strategies","mixed drivers",IF(BH96="Supply chain","multiple supply","multiple silviculture"))))</f>
        <v>#N/A</v>
      </c>
      <c r="BH96" s="2" t="e" cm="1">
        <f t="array" ref="BH96">IF(COUNTIF(BB96:BD96,"&lt;&gt;0")=1,INDEX($X$4:$AY$4,MATCH(TRUE,INDEX($X96:$AY96&lt;&gt;0,),0)),IF(COUNTIF(BB96:BD96,"&lt;&gt;0")=0,INDEX($AO$4:$AY$4,MATCH(1,$AO96:$AY96,0)),"Multiple strategies"))</f>
        <v>#N/A</v>
      </c>
      <c r="BI96" s="1" t="s">
        <v>321</v>
      </c>
      <c r="BJ96" t="s">
        <v>1597</v>
      </c>
      <c r="BK96" t="s">
        <v>1598</v>
      </c>
      <c r="BL96" t="s">
        <v>498</v>
      </c>
      <c r="BM96">
        <v>1309693749999.9995</v>
      </c>
      <c r="BN96">
        <v>1318747840909.0903</v>
      </c>
      <c r="BO96" t="s">
        <v>531</v>
      </c>
      <c r="BP96">
        <f t="shared" si="77"/>
        <v>9054090909.0908203</v>
      </c>
      <c r="BQ96">
        <f t="shared" si="78"/>
        <v>9054090909.0908203</v>
      </c>
      <c r="BR96" t="s">
        <v>395</v>
      </c>
      <c r="BS96" t="s">
        <v>1599</v>
      </c>
      <c r="BT96" t="s">
        <v>1600</v>
      </c>
      <c r="BU96">
        <v>-5095541.4012738802</v>
      </c>
      <c r="BV96">
        <v>-6942675.1592356702</v>
      </c>
      <c r="BW96" s="144">
        <v>1.519607843137238</v>
      </c>
      <c r="BX96" s="152">
        <v>-2387387.3873873334</v>
      </c>
      <c r="BZ96" s="152">
        <f t="shared" si="79"/>
        <v>-2387387.3873873334</v>
      </c>
      <c r="CA96">
        <f t="shared" si="58"/>
        <v>-2.6368051871339854E-4</v>
      </c>
      <c r="CB96">
        <v>0</v>
      </c>
      <c r="CC96">
        <v>0</v>
      </c>
      <c r="CD96">
        <v>0</v>
      </c>
      <c r="CE96">
        <v>0</v>
      </c>
      <c r="CF96">
        <v>0</v>
      </c>
      <c r="CG96">
        <v>0</v>
      </c>
      <c r="CH96">
        <v>0</v>
      </c>
      <c r="CI96">
        <v>0</v>
      </c>
      <c r="CJ96">
        <v>0</v>
      </c>
      <c r="CK96">
        <v>0</v>
      </c>
      <c r="CL96">
        <v>0</v>
      </c>
      <c r="CM96">
        <v>0</v>
      </c>
      <c r="CN96">
        <v>0</v>
      </c>
      <c r="CO96">
        <v>0</v>
      </c>
      <c r="CP96" t="str">
        <f t="shared" si="80"/>
        <v>refOK</v>
      </c>
      <c r="CQ96">
        <f t="shared" si="81"/>
        <v>1309693749999.9995</v>
      </c>
      <c r="CR96">
        <f t="shared" si="82"/>
        <v>1318747840909.0903</v>
      </c>
      <c r="CS96">
        <f t="shared" si="83"/>
        <v>9054090909.0908203</v>
      </c>
      <c r="CT96">
        <f t="shared" si="59"/>
        <v>4527045454.5454102</v>
      </c>
      <c r="CU96">
        <f t="shared" si="84"/>
        <v>5095541.4012738802</v>
      </c>
      <c r="CV96">
        <f t="shared" si="85"/>
        <v>6942675.1592356702</v>
      </c>
      <c r="CW96">
        <f t="shared" si="86"/>
        <v>2387387.3873873334</v>
      </c>
      <c r="CX96">
        <f t="shared" si="60"/>
        <v>2.6368051871339854E-4</v>
      </c>
      <c r="CY96">
        <f t="shared" si="87"/>
        <v>2.6368051871339854E-4</v>
      </c>
      <c r="CZ96">
        <f t="shared" si="61"/>
        <v>5.2736103742679708E-4</v>
      </c>
      <c r="DA96" s="2">
        <f t="shared" si="88"/>
        <v>0.36250000000000165</v>
      </c>
      <c r="DB96" s="1" t="s">
        <v>1074</v>
      </c>
      <c r="DC96" t="str">
        <f t="shared" si="89"/>
        <v>reg</v>
      </c>
      <c r="DD96" t="s">
        <v>428</v>
      </c>
      <c r="DE96">
        <v>2015</v>
      </c>
      <c r="DF96">
        <v>2040</v>
      </c>
      <c r="DG96">
        <v>0</v>
      </c>
      <c r="DH96" t="str">
        <f t="shared" si="90"/>
        <v>0</v>
      </c>
      <c r="DI96">
        <v>1</v>
      </c>
      <c r="DJ96">
        <v>0</v>
      </c>
      <c r="DK96">
        <v>0</v>
      </c>
      <c r="DL96">
        <v>0</v>
      </c>
      <c r="DM96">
        <v>0</v>
      </c>
      <c r="DN96">
        <v>1</v>
      </c>
      <c r="DO96" t="str">
        <f t="shared" si="91"/>
        <v>UpstreamInput</v>
      </c>
      <c r="DP96" t="str">
        <f t="shared" si="92"/>
        <v>Upstream</v>
      </c>
      <c r="DQ96">
        <f t="shared" si="92"/>
        <v>0</v>
      </c>
      <c r="DR96">
        <f t="shared" si="92"/>
        <v>0</v>
      </c>
      <c r="DS96">
        <f t="shared" si="92"/>
        <v>0</v>
      </c>
      <c r="DT96">
        <v>0</v>
      </c>
      <c r="DU96">
        <v>0</v>
      </c>
      <c r="DV96">
        <v>0</v>
      </c>
      <c r="DW96">
        <v>0</v>
      </c>
      <c r="DX96">
        <v>0</v>
      </c>
      <c r="DY96">
        <f t="shared" si="93"/>
        <v>0</v>
      </c>
      <c r="DZ96" s="143" t="s">
        <v>926</v>
      </c>
      <c r="EA96">
        <v>1</v>
      </c>
      <c r="EB96">
        <v>1</v>
      </c>
      <c r="EC96">
        <v>1</v>
      </c>
      <c r="ED96">
        <v>0</v>
      </c>
      <c r="EE96">
        <v>0</v>
      </c>
      <c r="EF96" s="143">
        <v>0</v>
      </c>
      <c r="EG96">
        <v>0</v>
      </c>
      <c r="EH96">
        <v>0</v>
      </c>
      <c r="EI96">
        <v>0</v>
      </c>
      <c r="EJ96">
        <v>0</v>
      </c>
      <c r="EK96">
        <v>1</v>
      </c>
      <c r="EL96">
        <v>0</v>
      </c>
      <c r="EM96">
        <v>1</v>
      </c>
      <c r="EN96" s="2">
        <v>0</v>
      </c>
      <c r="EP96" t="str">
        <f t="shared" si="62"/>
        <v/>
      </c>
      <c r="EQ96" t="str">
        <f t="shared" si="94"/>
        <v>Ecosystem approach</v>
      </c>
      <c r="ER96" s="2" t="str">
        <f t="shared" si="63"/>
        <v/>
      </c>
      <c r="ES96" t="str">
        <f t="shared" si="64"/>
        <v/>
      </c>
      <c r="ET96" t="str">
        <f t="shared" si="65"/>
        <v/>
      </c>
      <c r="EU96" t="str">
        <f t="shared" si="66"/>
        <v/>
      </c>
      <c r="EY96" t="str">
        <f>IF(ISNUMBER(BW96),IF(ABS(BW96-[3]QC_indicators!$B$2)&gt;3*[3]QC_indicators!$C$2,"C ratio",IF(ISNUMBER(CA96),IF(ABS(CA96-[3]QC_indicators!$B$1)&gt;3*[3]QC_indicators!$C$1,"DF","no"))),IF(ISNUMBER(CA96),IF(ABS(CA96-[3]QC_indicators!$B$1)&gt;3*[3]QC_indicators!$C$1,"DF","no")))</f>
        <v>no</v>
      </c>
      <c r="FA96" t="str">
        <f t="shared" si="67"/>
        <v/>
      </c>
      <c r="FB96" t="s">
        <v>1601</v>
      </c>
      <c r="FD96" s="260" t="s">
        <v>2943</v>
      </c>
      <c r="FE96" s="260"/>
    </row>
    <row r="97" spans="1:161" ht="15" hidden="1" customHeight="1">
      <c r="A97" s="1" t="s">
        <v>1251</v>
      </c>
      <c r="B97" t="s">
        <v>1588</v>
      </c>
      <c r="C97" t="s">
        <v>1589</v>
      </c>
      <c r="D97" t="s">
        <v>1590</v>
      </c>
      <c r="E97" t="s">
        <v>1591</v>
      </c>
      <c r="F97" t="s">
        <v>1592</v>
      </c>
      <c r="G97" t="s">
        <v>1257</v>
      </c>
      <c r="H97" t="s">
        <v>254</v>
      </c>
      <c r="I97">
        <v>2019</v>
      </c>
      <c r="J97">
        <v>1</v>
      </c>
      <c r="K97" t="s">
        <v>1593</v>
      </c>
      <c r="M97" t="str">
        <f t="shared" si="57"/>
        <v>Jones_2019</v>
      </c>
      <c r="N97" s="334" t="s">
        <v>1225</v>
      </c>
      <c r="O97" s="171" t="s">
        <v>508</v>
      </c>
      <c r="P97" t="s">
        <v>924</v>
      </c>
      <c r="Q97" t="s">
        <v>389</v>
      </c>
      <c r="R97" s="264" t="s">
        <v>274</v>
      </c>
      <c r="S97" s="1" t="s">
        <v>1602</v>
      </c>
      <c r="T97" t="s">
        <v>1603</v>
      </c>
      <c r="U97" t="s">
        <v>1596</v>
      </c>
      <c r="V97">
        <v>0</v>
      </c>
      <c r="W97">
        <v>1</v>
      </c>
      <c r="X97" s="268">
        <v>0</v>
      </c>
      <c r="Y97" s="268">
        <v>0</v>
      </c>
      <c r="Z97" s="268">
        <v>0</v>
      </c>
      <c r="AA97" s="268">
        <v>0</v>
      </c>
      <c r="AB97" s="268">
        <v>0</v>
      </c>
      <c r="AC97" s="268">
        <v>0</v>
      </c>
      <c r="AD97" s="268">
        <v>0</v>
      </c>
      <c r="AE97" s="268">
        <v>0</v>
      </c>
      <c r="AF97" s="268">
        <v>0</v>
      </c>
      <c r="AG97" s="268">
        <v>0</v>
      </c>
      <c r="AH97" s="268">
        <v>0</v>
      </c>
      <c r="AI97" s="268">
        <v>0</v>
      </c>
      <c r="AJ97" s="268">
        <v>0</v>
      </c>
      <c r="AK97" s="268">
        <v>0</v>
      </c>
      <c r="AL97" s="268">
        <v>0</v>
      </c>
      <c r="AM97" s="268">
        <v>0</v>
      </c>
      <c r="AN97" s="268">
        <v>0</v>
      </c>
      <c r="AO97" s="268">
        <v>0</v>
      </c>
      <c r="AP97" s="268">
        <v>0</v>
      </c>
      <c r="AQ97" s="268">
        <v>0</v>
      </c>
      <c r="AR97" s="268">
        <v>0</v>
      </c>
      <c r="AS97" s="268">
        <v>0</v>
      </c>
      <c r="AT97" s="268">
        <v>0</v>
      </c>
      <c r="AU97" s="268">
        <v>0</v>
      </c>
      <c r="AV97" s="268">
        <v>2</v>
      </c>
      <c r="AW97" s="268">
        <v>0</v>
      </c>
      <c r="AX97" s="268">
        <v>0</v>
      </c>
      <c r="AY97" s="268">
        <v>2</v>
      </c>
      <c r="AZ97" s="141">
        <f t="shared" si="70"/>
        <v>2</v>
      </c>
      <c r="BA97" s="141">
        <f t="shared" si="71"/>
        <v>0</v>
      </c>
      <c r="BB97">
        <f t="shared" si="72"/>
        <v>0</v>
      </c>
      <c r="BC97">
        <f t="shared" si="73"/>
        <v>0</v>
      </c>
      <c r="BD97">
        <f t="shared" si="74"/>
        <v>0</v>
      </c>
      <c r="BE97">
        <f t="shared" si="75"/>
        <v>2</v>
      </c>
      <c r="BF97">
        <f t="shared" si="76"/>
        <v>0</v>
      </c>
      <c r="BG97" s="268" t="e">
        <f t="array" ref="BG97">IF(BA97=1,INDEX($X$7:$AN$7,MATCH(TRUE,INDEX($X97:$AY97&lt;&gt;0,),0)),IF(BA97=0,INDEX($AO$7:$AY$7,MATCH(1,$AO97:$AY97,0)),IF(BH97="Multiple strategies","mixed drivers",IF(BH97="Supply chain","multiple supply","multiple silviculture"))))</f>
        <v>#N/A</v>
      </c>
      <c r="BH97" s="2" t="e" cm="1">
        <f t="array" ref="BH97">IF(COUNTIF(BB97:BD97,"&lt;&gt;0")=1,INDEX($X$4:$AY$4,MATCH(TRUE,INDEX($X97:$AY97&lt;&gt;0,),0)),IF(COUNTIF(BB97:BD97,"&lt;&gt;0")=0,INDEX($AO$4:$AY$4,MATCH(1,$AO97:$AY97,0)),"Multiple strategies"))</f>
        <v>#N/A</v>
      </c>
      <c r="BI97" s="1" t="s">
        <v>321</v>
      </c>
      <c r="BJ97" t="s">
        <v>1597</v>
      </c>
      <c r="BK97" t="s">
        <v>1598</v>
      </c>
      <c r="BL97" t="s">
        <v>498</v>
      </c>
      <c r="BM97">
        <v>1311146022727.2725</v>
      </c>
      <c r="BN97">
        <v>1318747840909.0903</v>
      </c>
      <c r="BO97" t="s">
        <v>531</v>
      </c>
      <c r="BP97">
        <f t="shared" si="77"/>
        <v>7601818181.8178711</v>
      </c>
      <c r="BQ97">
        <f t="shared" si="78"/>
        <v>7601818181.8178711</v>
      </c>
      <c r="BR97" t="s">
        <v>395</v>
      </c>
      <c r="BS97" t="s">
        <v>1599</v>
      </c>
      <c r="BT97" t="s">
        <v>1600</v>
      </c>
      <c r="BU97">
        <v>-5414012.7388535002</v>
      </c>
      <c r="BV97">
        <v>-6942675.1592356702</v>
      </c>
      <c r="BW97" s="144">
        <v>1.4622641509433971</v>
      </c>
      <c r="BX97" s="152">
        <v>-2207207.2072072076</v>
      </c>
      <c r="BZ97" s="152">
        <f t="shared" si="79"/>
        <v>-2207207.2072072076</v>
      </c>
      <c r="CA97">
        <f t="shared" si="58"/>
        <v>-2.9035253861851563E-4</v>
      </c>
      <c r="CB97">
        <v>0</v>
      </c>
      <c r="CC97">
        <v>0</v>
      </c>
      <c r="CD97">
        <v>0</v>
      </c>
      <c r="CE97">
        <v>0</v>
      </c>
      <c r="CF97">
        <v>0</v>
      </c>
      <c r="CG97">
        <v>0</v>
      </c>
      <c r="CH97">
        <v>0</v>
      </c>
      <c r="CI97">
        <v>0</v>
      </c>
      <c r="CJ97">
        <v>0</v>
      </c>
      <c r="CK97">
        <v>0</v>
      </c>
      <c r="CL97">
        <v>0</v>
      </c>
      <c r="CM97">
        <v>0</v>
      </c>
      <c r="CN97">
        <v>0</v>
      </c>
      <c r="CO97">
        <v>0</v>
      </c>
      <c r="CP97" t="str">
        <f t="shared" si="80"/>
        <v>refOK</v>
      </c>
      <c r="CQ97">
        <f t="shared" si="81"/>
        <v>1311146022727.2725</v>
      </c>
      <c r="CR97">
        <f t="shared" si="82"/>
        <v>1318747840909.0903</v>
      </c>
      <c r="CS97">
        <f t="shared" si="83"/>
        <v>7601818181.8178711</v>
      </c>
      <c r="CT97">
        <f t="shared" si="59"/>
        <v>3800909090.9089355</v>
      </c>
      <c r="CU97">
        <f t="shared" si="84"/>
        <v>5414012.7388535002</v>
      </c>
      <c r="CV97">
        <f t="shared" si="85"/>
        <v>6942675.1592356702</v>
      </c>
      <c r="CW97">
        <f t="shared" si="86"/>
        <v>2207207.2072072076</v>
      </c>
      <c r="CX97">
        <f t="shared" si="60"/>
        <v>2.9035253861851563E-4</v>
      </c>
      <c r="CY97">
        <f t="shared" si="87"/>
        <v>2.9035253861851563E-4</v>
      </c>
      <c r="CZ97">
        <f t="shared" si="61"/>
        <v>5.8070507723703127E-4</v>
      </c>
      <c r="DA97" s="2">
        <f t="shared" si="88"/>
        <v>0.28235294117647153</v>
      </c>
      <c r="DB97" s="1" t="s">
        <v>1074</v>
      </c>
      <c r="DC97" t="str">
        <f t="shared" si="89"/>
        <v>reg</v>
      </c>
      <c r="DD97" t="s">
        <v>428</v>
      </c>
      <c r="DE97">
        <v>2015</v>
      </c>
      <c r="DF97">
        <v>2040</v>
      </c>
      <c r="DG97">
        <v>0</v>
      </c>
      <c r="DH97" t="str">
        <f t="shared" si="90"/>
        <v>0</v>
      </c>
      <c r="DI97">
        <v>1</v>
      </c>
      <c r="DJ97">
        <v>0</v>
      </c>
      <c r="DK97">
        <v>0</v>
      </c>
      <c r="DL97">
        <v>0</v>
      </c>
      <c r="DM97">
        <v>0</v>
      </c>
      <c r="DN97">
        <v>1</v>
      </c>
      <c r="DO97" t="str">
        <f t="shared" si="91"/>
        <v>UpstreamInput</v>
      </c>
      <c r="DP97" t="str">
        <f t="shared" si="92"/>
        <v>Upstream</v>
      </c>
      <c r="DQ97">
        <f t="shared" si="92"/>
        <v>0</v>
      </c>
      <c r="DR97">
        <f t="shared" si="92"/>
        <v>0</v>
      </c>
      <c r="DS97">
        <f t="shared" si="92"/>
        <v>0</v>
      </c>
      <c r="DT97">
        <v>0</v>
      </c>
      <c r="DU97">
        <v>0</v>
      </c>
      <c r="DV97">
        <v>0</v>
      </c>
      <c r="DW97">
        <v>0</v>
      </c>
      <c r="DX97">
        <v>0</v>
      </c>
      <c r="DY97">
        <f t="shared" si="93"/>
        <v>0</v>
      </c>
      <c r="DZ97" s="143" t="s">
        <v>926</v>
      </c>
      <c r="EA97">
        <v>1</v>
      </c>
      <c r="EB97">
        <v>1</v>
      </c>
      <c r="EC97">
        <v>1</v>
      </c>
      <c r="ED97">
        <v>0</v>
      </c>
      <c r="EE97">
        <v>0</v>
      </c>
      <c r="EF97" s="143">
        <v>0</v>
      </c>
      <c r="EG97">
        <v>0</v>
      </c>
      <c r="EH97">
        <v>0</v>
      </c>
      <c r="EI97">
        <v>0</v>
      </c>
      <c r="EJ97">
        <v>0</v>
      </c>
      <c r="EK97">
        <v>1</v>
      </c>
      <c r="EL97">
        <v>0</v>
      </c>
      <c r="EM97">
        <v>1</v>
      </c>
      <c r="EN97" s="2">
        <v>0</v>
      </c>
      <c r="EO97" s="181"/>
      <c r="EP97" t="str">
        <f t="shared" si="62"/>
        <v/>
      </c>
      <c r="EQ97" t="str">
        <f t="shared" si="94"/>
        <v>Ecosystem approach</v>
      </c>
      <c r="ER97" s="2" t="str">
        <f t="shared" si="63"/>
        <v/>
      </c>
      <c r="ES97" t="str">
        <f t="shared" si="64"/>
        <v/>
      </c>
      <c r="ET97" t="str">
        <f t="shared" si="65"/>
        <v/>
      </c>
      <c r="EU97" t="str">
        <f t="shared" si="66"/>
        <v/>
      </c>
      <c r="EY97" t="str">
        <f>IF(ISNUMBER(BW97),IF(ABS(BW97-[3]QC_indicators!$B$2)&gt;3*[3]QC_indicators!$C$2,"C ratio",IF(ISNUMBER(CA97),IF(ABS(CA97-[3]QC_indicators!$B$1)&gt;3*[3]QC_indicators!$C$1,"DF","no"))),IF(ISNUMBER(CA97),IF(ABS(CA97-[3]QC_indicators!$B$1)&gt;3*[3]QC_indicators!$C$1,"DF","no")))</f>
        <v>no</v>
      </c>
      <c r="FA97" t="str">
        <f t="shared" si="67"/>
        <v/>
      </c>
      <c r="FB97" t="s">
        <v>1601</v>
      </c>
      <c r="FD97" s="260" t="s">
        <v>2943</v>
      </c>
      <c r="FE97" s="260"/>
    </row>
    <row r="98" spans="1:161" ht="15" hidden="1" customHeight="1">
      <c r="A98" s="1" t="s">
        <v>4508</v>
      </c>
      <c r="B98" t="s">
        <v>4509</v>
      </c>
      <c r="C98" t="s">
        <v>4510</v>
      </c>
      <c r="D98" t="s">
        <v>4511</v>
      </c>
      <c r="E98" t="s">
        <v>4512</v>
      </c>
      <c r="F98" t="s">
        <v>4513</v>
      </c>
      <c r="G98" t="s">
        <v>4514</v>
      </c>
      <c r="H98" t="s">
        <v>254</v>
      </c>
      <c r="I98">
        <v>2020</v>
      </c>
      <c r="J98">
        <v>18</v>
      </c>
      <c r="K98" t="s">
        <v>4515</v>
      </c>
      <c r="M98" t="str">
        <f t="shared" si="57"/>
        <v>Kohl_2020</v>
      </c>
      <c r="N98" t="s">
        <v>1225</v>
      </c>
      <c r="O98" s="145" t="s">
        <v>508</v>
      </c>
      <c r="Q98" s="297" t="s">
        <v>256</v>
      </c>
      <c r="R98" s="298"/>
      <c r="AZ98" s="141"/>
      <c r="BA98" s="141"/>
      <c r="BG98"/>
      <c r="BH98" s="2"/>
      <c r="BW98" s="144"/>
      <c r="CA98" t="str">
        <f t="shared" si="58"/>
        <v/>
      </c>
      <c r="CP98"/>
      <c r="CQ98"/>
      <c r="CR98"/>
      <c r="CS98"/>
      <c r="CT98">
        <f t="shared" si="59"/>
        <v>0</v>
      </c>
      <c r="CU98"/>
      <c r="CV98"/>
      <c r="CW98"/>
      <c r="CX98" t="str">
        <f t="shared" si="60"/>
        <v/>
      </c>
      <c r="CY98"/>
      <c r="CZ98" t="str">
        <f t="shared" si="61"/>
        <v/>
      </c>
      <c r="DA98" s="2"/>
      <c r="DC98"/>
      <c r="DH98"/>
      <c r="DN98"/>
      <c r="DO98"/>
      <c r="DP98"/>
      <c r="DQ98"/>
      <c r="DR98"/>
      <c r="DS98"/>
      <c r="DY98"/>
      <c r="DZ98" s="143"/>
      <c r="EP98" t="str">
        <f t="shared" si="62"/>
        <v/>
      </c>
      <c r="EQ98" t="str">
        <f>IF(AND(AND(OR($EC98=1,$EB98=1),AND($EH98=0,$EF98=0)),SUM($EA98:$EE98,$EK98)&gt;=3),"Ecosystem approach","")</f>
        <v/>
      </c>
      <c r="ER98" s="2" t="str">
        <f t="shared" si="63"/>
        <v/>
      </c>
      <c r="ES98" t="str">
        <f t="shared" si="64"/>
        <v/>
      </c>
      <c r="ET98" t="str">
        <f t="shared" si="65"/>
        <v/>
      </c>
      <c r="EU98" t="str">
        <f t="shared" si="66"/>
        <v/>
      </c>
      <c r="EX98" t="s">
        <v>450</v>
      </c>
      <c r="EY98" t="b">
        <f>IF(ISNUMBER(BW98),IF(ABS(BW98-[1]QC_indicators!$B$2)&gt;3*[1]QC_indicators!$C$2,"C ratio",IF(ISNUMBER(CA98),IF(ABS(CA98-[1]QC_indicators!$B$1)&gt;3*[1]QC_indicators!$C$1,"DF","no"))),IF(ISNUMBER(CA98),IF(ABS(CA98-[1]QC_indicators!$B$1)&gt;3*[1]QC_indicators!$C$1,"DF","no")))</f>
        <v>0</v>
      </c>
      <c r="FA98" t="str">
        <f t="shared" si="67"/>
        <v/>
      </c>
    </row>
    <row r="99" spans="1:161" ht="15" hidden="1" customHeight="1">
      <c r="A99" s="1" t="s">
        <v>1489</v>
      </c>
      <c r="B99" t="s">
        <v>4516</v>
      </c>
      <c r="C99" t="s">
        <v>4517</v>
      </c>
      <c r="D99" t="s">
        <v>4518</v>
      </c>
      <c r="E99" t="s">
        <v>4519</v>
      </c>
      <c r="F99" t="s">
        <v>4520</v>
      </c>
      <c r="G99" t="s">
        <v>1495</v>
      </c>
      <c r="H99" t="s">
        <v>254</v>
      </c>
      <c r="I99">
        <v>2020</v>
      </c>
      <c r="J99">
        <v>2</v>
      </c>
      <c r="K99" t="s">
        <v>4521</v>
      </c>
      <c r="M99" t="str">
        <f t="shared" si="57"/>
        <v>Krause_2020</v>
      </c>
      <c r="N99" t="s">
        <v>1225</v>
      </c>
      <c r="O99" s="145" t="s">
        <v>225</v>
      </c>
      <c r="Q99" s="297" t="s">
        <v>256</v>
      </c>
      <c r="R99" s="298"/>
      <c r="U99" s="143"/>
      <c r="V99" s="143"/>
      <c r="W99" s="143"/>
      <c r="AZ99" s="141"/>
      <c r="BA99" s="141"/>
      <c r="BG99"/>
      <c r="BH99" s="2"/>
      <c r="BI99" s="142"/>
      <c r="BL99" s="143"/>
      <c r="BN99" s="143"/>
      <c r="BO99" s="163"/>
      <c r="BP99" s="158"/>
      <c r="BQ99" s="143"/>
      <c r="BT99" s="143"/>
      <c r="BW99" s="144"/>
      <c r="BX99" s="175"/>
      <c r="BY99" s="175"/>
      <c r="BZ99" s="175"/>
      <c r="CA99" t="str">
        <f t="shared" si="58"/>
        <v/>
      </c>
      <c r="CP99"/>
      <c r="CQ99"/>
      <c r="CR99"/>
      <c r="CS99"/>
      <c r="CT99">
        <f t="shared" si="59"/>
        <v>0</v>
      </c>
      <c r="CU99"/>
      <c r="CV99"/>
      <c r="CW99"/>
      <c r="CX99" t="str">
        <f t="shared" si="60"/>
        <v/>
      </c>
      <c r="CY99"/>
      <c r="CZ99" t="str">
        <f t="shared" si="61"/>
        <v/>
      </c>
      <c r="DA99" s="2"/>
      <c r="DC99"/>
      <c r="DF99" s="143"/>
      <c r="DG99" s="143"/>
      <c r="DH99"/>
      <c r="DN99"/>
      <c r="DO99"/>
      <c r="DP99"/>
      <c r="DQ99"/>
      <c r="DR99"/>
      <c r="DS99"/>
      <c r="DU99" s="143"/>
      <c r="DV99" s="143"/>
      <c r="DX99" s="143"/>
      <c r="DY99"/>
      <c r="DZ99" s="143"/>
      <c r="EA99" s="143"/>
      <c r="EB99" s="143"/>
      <c r="EG99" s="143"/>
      <c r="EI99" s="143"/>
      <c r="EL99" s="143"/>
      <c r="EP99" t="str">
        <f t="shared" si="62"/>
        <v/>
      </c>
      <c r="EQ99" t="str">
        <f>IF(AND(AND(OR($EC99=1,$EB99=1),AND($EH99=0,$EF99=0)),SUM($EA99:$EE99,$EK99)&gt;=3),"Ecosystem approach","")</f>
        <v/>
      </c>
      <c r="ER99" s="2" t="str">
        <f t="shared" si="63"/>
        <v/>
      </c>
      <c r="ES99" t="str">
        <f t="shared" si="64"/>
        <v/>
      </c>
      <c r="ET99" t="str">
        <f t="shared" si="65"/>
        <v/>
      </c>
      <c r="EU99" t="str">
        <f t="shared" si="66"/>
        <v/>
      </c>
      <c r="EX99" t="s">
        <v>450</v>
      </c>
      <c r="EY99" t="b">
        <f>IF(ISNUMBER(BW99),IF(ABS(BW99-[1]QC_indicators!$B$2)&gt;3*[1]QC_indicators!$C$2,"C ratio",IF(ISNUMBER(CA99),IF(ABS(CA99-[1]QC_indicators!$B$1)&gt;3*[1]QC_indicators!$C$1,"DF","no"))),IF(ISNUMBER(CA99),IF(ABS(CA99-[1]QC_indicators!$B$1)&gt;3*[1]QC_indicators!$C$1,"DF","no")))</f>
        <v>0</v>
      </c>
      <c r="FA99" t="str">
        <f t="shared" si="67"/>
        <v/>
      </c>
    </row>
    <row r="100" spans="1:161" ht="15" hidden="1" customHeight="1">
      <c r="A100" s="1" t="s">
        <v>643</v>
      </c>
      <c r="B100" t="s">
        <v>4522</v>
      </c>
      <c r="C100" t="s">
        <v>4523</v>
      </c>
      <c r="D100" t="s">
        <v>4524</v>
      </c>
      <c r="E100" t="s">
        <v>4525</v>
      </c>
      <c r="F100" t="s">
        <v>4526</v>
      </c>
      <c r="G100" t="s">
        <v>649</v>
      </c>
      <c r="H100" t="s">
        <v>254</v>
      </c>
      <c r="I100">
        <v>2022</v>
      </c>
      <c r="J100">
        <v>2</v>
      </c>
      <c r="K100" t="s">
        <v>4527</v>
      </c>
      <c r="M100" t="str">
        <f t="shared" si="57"/>
        <v>Kuhmaier_2022</v>
      </c>
      <c r="N100" t="s">
        <v>1225</v>
      </c>
      <c r="AZ100" s="141">
        <f>COUNTIF(X100:AY100,"&lt;&gt;0")</f>
        <v>28</v>
      </c>
      <c r="BA100">
        <f>COUNTIF(X100:AN100,"&lt;&gt;0")</f>
        <v>17</v>
      </c>
      <c r="BG100"/>
      <c r="BH100" s="2"/>
      <c r="CA100" t="str">
        <f t="shared" si="58"/>
        <v/>
      </c>
      <c r="CP100"/>
      <c r="CQ100"/>
      <c r="CR100"/>
      <c r="CS100"/>
      <c r="CT100">
        <f t="shared" si="59"/>
        <v>0</v>
      </c>
      <c r="CU100"/>
      <c r="CV100"/>
      <c r="CW100"/>
      <c r="CX100" t="str">
        <f t="shared" si="60"/>
        <v/>
      </c>
      <c r="CY100"/>
      <c r="CZ100" t="str">
        <f t="shared" si="61"/>
        <v/>
      </c>
      <c r="DA100" s="2"/>
      <c r="DC100"/>
      <c r="DH100"/>
      <c r="DN100"/>
      <c r="DO100"/>
      <c r="DP100"/>
      <c r="DQ100"/>
      <c r="DR100"/>
      <c r="DS100"/>
      <c r="DY100"/>
      <c r="DZ100"/>
      <c r="EP100" t="str">
        <f t="shared" si="62"/>
        <v/>
      </c>
      <c r="EQ100" t="str">
        <f>IF(AND(AND(OR($EC100=1,$EB100=1),AND($EH100=0,$EF100=0)),SUM($EA100:$EE100,$EK100)&gt;=3),"Ecosystem approach","")</f>
        <v/>
      </c>
      <c r="ER100" s="2" t="str">
        <f t="shared" si="63"/>
        <v/>
      </c>
      <c r="ES100" t="str">
        <f t="shared" si="64"/>
        <v/>
      </c>
      <c r="ET100" t="str">
        <f t="shared" si="65"/>
        <v/>
      </c>
      <c r="EU100" t="str">
        <f t="shared" si="66"/>
        <v/>
      </c>
      <c r="EY100" t="b">
        <f>IF(ISNUMBER(BW100),IF(ABS(BW100-[1]QC_indicators!$B$2)&gt;3*[1]QC_indicators!$C$2,"C ratio",IF(ISNUMBER(CA100),IF(ABS(CA100-[1]QC_indicators!$B$1)&gt;3*[1]QC_indicators!$C$1,"DF","no"))),IF(ISNUMBER(CA100),IF(ABS(CA100-[1]QC_indicators!$B$1)&gt;3*[1]QC_indicators!$C$1,"DF","no")))</f>
        <v>0</v>
      </c>
      <c r="FA100" t="str">
        <f t="shared" si="67"/>
        <v/>
      </c>
    </row>
    <row r="101" spans="1:161" ht="15" hidden="1" customHeight="1">
      <c r="A101" s="1" t="s">
        <v>3968</v>
      </c>
      <c r="B101" t="s">
        <v>4528</v>
      </c>
      <c r="C101" t="s">
        <v>4529</v>
      </c>
      <c r="D101" t="s">
        <v>4530</v>
      </c>
      <c r="E101" t="s">
        <v>4531</v>
      </c>
      <c r="F101" t="s">
        <v>4532</v>
      </c>
      <c r="G101" t="s">
        <v>3974</v>
      </c>
      <c r="H101" t="s">
        <v>254</v>
      </c>
      <c r="I101">
        <v>2016</v>
      </c>
      <c r="J101">
        <v>4</v>
      </c>
      <c r="K101" t="s">
        <v>4533</v>
      </c>
      <c r="M101" t="str">
        <f t="shared" si="57"/>
        <v>Laurent_2016</v>
      </c>
      <c r="N101" t="s">
        <v>1225</v>
      </c>
      <c r="O101" s="145" t="s">
        <v>225</v>
      </c>
      <c r="Q101" s="297" t="s">
        <v>256</v>
      </c>
      <c r="R101" s="298"/>
      <c r="U101" s="143"/>
      <c r="V101" s="143"/>
      <c r="W101" s="143"/>
      <c r="AZ101" s="141"/>
      <c r="BA101" s="141"/>
      <c r="BG101"/>
      <c r="BH101" s="2"/>
      <c r="BI101" s="142"/>
      <c r="BL101" s="143"/>
      <c r="BN101" s="143"/>
      <c r="BO101" s="163"/>
      <c r="BP101" s="158"/>
      <c r="BQ101" s="143"/>
      <c r="BR101" s="143"/>
      <c r="BS101" s="143"/>
      <c r="BU101" s="143"/>
      <c r="BW101" s="144"/>
      <c r="CA101" t="str">
        <f t="shared" si="58"/>
        <v/>
      </c>
      <c r="CP101"/>
      <c r="CQ101"/>
      <c r="CR101"/>
      <c r="CS101"/>
      <c r="CT101">
        <f t="shared" si="59"/>
        <v>0</v>
      </c>
      <c r="CU101"/>
      <c r="CV101"/>
      <c r="CW101"/>
      <c r="CX101" t="str">
        <f t="shared" si="60"/>
        <v/>
      </c>
      <c r="CY101"/>
      <c r="CZ101" t="str">
        <f t="shared" si="61"/>
        <v/>
      </c>
      <c r="DA101" s="2"/>
      <c r="DC101"/>
      <c r="DF101" s="143"/>
      <c r="DG101" s="143"/>
      <c r="DH101"/>
      <c r="DN101"/>
      <c r="DO101"/>
      <c r="DP101"/>
      <c r="DQ101"/>
      <c r="DR101"/>
      <c r="DS101"/>
      <c r="DU101" s="143"/>
      <c r="DV101" s="143"/>
      <c r="DX101" s="143"/>
      <c r="DY101"/>
      <c r="DZ101" s="143"/>
      <c r="EA101" s="143"/>
      <c r="EB101" s="143"/>
      <c r="EG101" s="143"/>
      <c r="EI101" s="143"/>
      <c r="EL101" s="143"/>
      <c r="EP101" t="str">
        <f t="shared" si="62"/>
        <v/>
      </c>
      <c r="EQ101" t="str">
        <f>IF(AND(AND(OR($EC101=1,$EB101=1),AND($EH101=0,$EF101=0)),SUM($EA101:$EE101,$EK101)&gt;=3),"Ecosystem approach","")</f>
        <v/>
      </c>
      <c r="ER101" s="2" t="str">
        <f t="shared" si="63"/>
        <v/>
      </c>
      <c r="ES101" t="str">
        <f t="shared" si="64"/>
        <v/>
      </c>
      <c r="ET101" t="str">
        <f t="shared" si="65"/>
        <v/>
      </c>
      <c r="EU101" t="str">
        <f t="shared" si="66"/>
        <v/>
      </c>
      <c r="EW101" t="s">
        <v>4534</v>
      </c>
      <c r="EX101" t="s">
        <v>450</v>
      </c>
      <c r="EY101" t="b">
        <f>IF(ISNUMBER(BW101),IF(ABS(BW101-[1]QC_indicators!$B$2)&gt;3*[1]QC_indicators!$C$2,"C ratio",IF(ISNUMBER(CA101),IF(ABS(CA101-[1]QC_indicators!$B$1)&gt;3*[1]QC_indicators!$C$1,"DF","no"))),IF(ISNUMBER(CA101),IF(ABS(CA101-[1]QC_indicators!$B$1)&gt;3*[1]QC_indicators!$C$1,"DF","no")))</f>
        <v>0</v>
      </c>
      <c r="FA101" t="str">
        <f t="shared" si="67"/>
        <v/>
      </c>
    </row>
    <row r="102" spans="1:161" ht="15" hidden="1" customHeight="1">
      <c r="A102" s="1" t="s">
        <v>5089</v>
      </c>
      <c r="B102" t="s">
        <v>5090</v>
      </c>
      <c r="C102" t="s">
        <v>5091</v>
      </c>
      <c r="D102" t="s">
        <v>5092</v>
      </c>
      <c r="E102" t="s">
        <v>5093</v>
      </c>
      <c r="F102" t="s">
        <v>5094</v>
      </c>
      <c r="G102" t="s">
        <v>5095</v>
      </c>
      <c r="H102" t="s">
        <v>254</v>
      </c>
      <c r="I102">
        <v>2018</v>
      </c>
      <c r="J102">
        <v>16</v>
      </c>
      <c r="K102" t="s">
        <v>5096</v>
      </c>
      <c r="M102" t="str">
        <f t="shared" si="57"/>
        <v>Lawrence_2018</v>
      </c>
      <c r="N102" s="349" t="s">
        <v>1225</v>
      </c>
      <c r="O102" s="145" t="s">
        <v>225</v>
      </c>
      <c r="Q102" s="349" t="s">
        <v>256</v>
      </c>
      <c r="R102" s="350" t="s">
        <v>1029</v>
      </c>
      <c r="ES102" t="str">
        <f t="shared" si="64"/>
        <v/>
      </c>
      <c r="ET102" t="str">
        <f t="shared" si="65"/>
        <v/>
      </c>
      <c r="EU102" t="str">
        <f t="shared" si="66"/>
        <v/>
      </c>
      <c r="FA102" t="str">
        <f t="shared" si="67"/>
        <v/>
      </c>
    </row>
    <row r="103" spans="1:161" ht="15" hidden="1" customHeight="1">
      <c r="A103" s="1" t="s">
        <v>1016</v>
      </c>
      <c r="B103" t="s">
        <v>4535</v>
      </c>
      <c r="C103" t="s">
        <v>4536</v>
      </c>
      <c r="D103" t="s">
        <v>4537</v>
      </c>
      <c r="E103" t="s">
        <v>4538</v>
      </c>
      <c r="F103" t="s">
        <v>4539</v>
      </c>
      <c r="G103" t="s">
        <v>1017</v>
      </c>
      <c r="H103" t="s">
        <v>254</v>
      </c>
      <c r="I103">
        <v>2022</v>
      </c>
      <c r="J103">
        <v>1</v>
      </c>
      <c r="K103" t="s">
        <v>4540</v>
      </c>
      <c r="M103" t="str">
        <f t="shared" si="57"/>
        <v>Ledermann_2022</v>
      </c>
      <c r="N103" t="s">
        <v>1225</v>
      </c>
      <c r="AZ103" s="141">
        <f>COUNTIF(X103:AY103,"&lt;&gt;0")</f>
        <v>28</v>
      </c>
      <c r="BA103">
        <f>COUNTIF(X103:AN103,"&lt;&gt;0")</f>
        <v>17</v>
      </c>
      <c r="BG103"/>
      <c r="BH103" s="2"/>
      <c r="CA103" t="str">
        <f>IFERROR(BZ103/BQ103,"")</f>
        <v/>
      </c>
      <c r="CP103"/>
      <c r="CQ103"/>
      <c r="CR103"/>
      <c r="CS103"/>
      <c r="CT103">
        <f>IF(BI103="Roundwood",$CS103/2,$CS103)</f>
        <v>0</v>
      </c>
      <c r="CU103"/>
      <c r="CV103"/>
      <c r="CW103"/>
      <c r="CX103" t="str">
        <f>IFERROR($CW103/$CS103,"")</f>
        <v/>
      </c>
      <c r="CY103"/>
      <c r="CZ103" t="str">
        <f>IFERROR($CW103/$CT103,"")</f>
        <v/>
      </c>
      <c r="DA103" s="2"/>
      <c r="DC103"/>
      <c r="DH103"/>
      <c r="DN103"/>
      <c r="DO103"/>
      <c r="DP103"/>
      <c r="DQ103"/>
      <c r="DR103"/>
      <c r="DS103"/>
      <c r="DY103"/>
      <c r="DZ103"/>
      <c r="EP103" t="str">
        <f>IF(AND(AND(AND(OR($EC103=1,$EB103=1),OR($EH103=1,$EF103=1)),SUM($EA103:$EE103,$EK103)&gt;=3),SUM($EF103:$EJ103)&gt;=2),"Whole sector approach","")</f>
        <v/>
      </c>
      <c r="EQ103" t="str">
        <f>IF(AND(AND(OR($EC103=1,$EB103=1),AND($EH103=0,$EF103=0)),SUM($EA103:$EE103,$EK103)&gt;=3),"Ecosystem approach","")</f>
        <v/>
      </c>
      <c r="ER103" s="2" t="str">
        <f>IF(AND(AND(AND($EC103=0,$EB103=0),OR($EH103=1,$EF103=1)),SUM($EG103:$EJ103)&gt;=2),"Technology approach","")</f>
        <v/>
      </c>
      <c r="ES103" t="str">
        <f t="shared" si="64"/>
        <v/>
      </c>
      <c r="ET103" t="str">
        <f t="shared" si="65"/>
        <v/>
      </c>
      <c r="EU103" t="str">
        <f t="shared" si="66"/>
        <v/>
      </c>
      <c r="EY103" t="b">
        <f>IF(ISNUMBER(BW103),IF(ABS(BW103-[1]QC_indicators!$B$2)&gt;3*[1]QC_indicators!$C$2,"C ratio",IF(ISNUMBER(CA103),IF(ABS(CA103-[1]QC_indicators!$B$1)&gt;3*[1]QC_indicators!$C$1,"DF","no"))),IF(ISNUMBER(CA103),IF(ABS(CA103-[1]QC_indicators!$B$1)&gt;3*[1]QC_indicators!$C$1,"DF","no")))</f>
        <v>0</v>
      </c>
      <c r="FA103" t="str">
        <f t="shared" si="67"/>
        <v/>
      </c>
    </row>
    <row r="104" spans="1:161" ht="18" hidden="1" customHeight="1">
      <c r="A104" s="1" t="s">
        <v>1779</v>
      </c>
      <c r="B104" t="s">
        <v>5097</v>
      </c>
      <c r="C104" t="s">
        <v>5098</v>
      </c>
      <c r="D104" t="s">
        <v>5099</v>
      </c>
      <c r="E104" t="s">
        <v>5100</v>
      </c>
      <c r="F104" t="s">
        <v>5101</v>
      </c>
      <c r="G104" t="s">
        <v>1780</v>
      </c>
      <c r="H104" t="s">
        <v>254</v>
      </c>
      <c r="I104">
        <v>2020</v>
      </c>
      <c r="J104">
        <v>5</v>
      </c>
      <c r="K104" t="s">
        <v>5102</v>
      </c>
      <c r="M104" t="str">
        <f t="shared" si="57"/>
        <v>Lundholm_2020</v>
      </c>
      <c r="N104" s="349" t="s">
        <v>1225</v>
      </c>
      <c r="O104" s="145" t="s">
        <v>225</v>
      </c>
      <c r="Q104" s="349" t="s">
        <v>256</v>
      </c>
      <c r="R104" s="350" t="s">
        <v>1029</v>
      </c>
    </row>
    <row r="105" spans="1:161" ht="15" hidden="1" customHeight="1">
      <c r="A105" s="1" t="s">
        <v>5103</v>
      </c>
      <c r="B105" t="s">
        <v>5104</v>
      </c>
      <c r="C105" t="s">
        <v>5105</v>
      </c>
      <c r="D105" t="s">
        <v>5106</v>
      </c>
      <c r="E105" t="s">
        <v>5107</v>
      </c>
      <c r="F105" t="s">
        <v>5108</v>
      </c>
      <c r="G105" t="s">
        <v>5109</v>
      </c>
      <c r="H105" t="s">
        <v>254</v>
      </c>
      <c r="I105">
        <v>2015</v>
      </c>
      <c r="J105">
        <v>20</v>
      </c>
      <c r="K105" t="s">
        <v>5110</v>
      </c>
      <c r="M105" t="str">
        <f t="shared" si="57"/>
        <v>Meiyappan_2015</v>
      </c>
      <c r="N105" s="349" t="s">
        <v>1225</v>
      </c>
      <c r="O105" s="145" t="s">
        <v>225</v>
      </c>
      <c r="Q105" s="349" t="s">
        <v>256</v>
      </c>
      <c r="R105" s="350" t="s">
        <v>1029</v>
      </c>
    </row>
    <row r="106" spans="1:161" ht="15" hidden="1" customHeight="1">
      <c r="A106" s="1" t="s">
        <v>1781</v>
      </c>
      <c r="B106" t="s">
        <v>4541</v>
      </c>
      <c r="C106" t="s">
        <v>531</v>
      </c>
      <c r="D106" t="s">
        <v>4542</v>
      </c>
      <c r="E106" t="s">
        <v>4543</v>
      </c>
      <c r="F106" t="s">
        <v>4544</v>
      </c>
      <c r="G106" t="s">
        <v>1787</v>
      </c>
      <c r="H106" t="s">
        <v>254</v>
      </c>
      <c r="I106">
        <v>2016</v>
      </c>
      <c r="J106">
        <v>11</v>
      </c>
      <c r="K106" t="s">
        <v>4545</v>
      </c>
      <c r="M106" t="str">
        <f t="shared" si="57"/>
        <v>Pilli_2016</v>
      </c>
      <c r="N106" t="s">
        <v>1225</v>
      </c>
      <c r="O106" s="171" t="s">
        <v>508</v>
      </c>
      <c r="P106" t="s">
        <v>341</v>
      </c>
      <c r="Q106" s="297" t="s">
        <v>389</v>
      </c>
      <c r="R106" s="298"/>
      <c r="AZ106" s="141"/>
      <c r="BA106" s="141"/>
      <c r="BG106"/>
      <c r="BH106" s="2"/>
      <c r="BI106" s="142"/>
      <c r="BL106" s="143"/>
      <c r="BN106" s="143"/>
      <c r="BP106" s="158"/>
      <c r="BQ106" s="143"/>
      <c r="BW106" s="144"/>
      <c r="CA106" t="str">
        <f t="shared" ref="CA106:CA169" si="95">IFERROR(BZ106/BQ106,"")</f>
        <v/>
      </c>
      <c r="CP106"/>
      <c r="CQ106"/>
      <c r="CR106"/>
      <c r="CS106"/>
      <c r="CT106">
        <f t="shared" ref="CT106:CT169" si="96">IF(BI106="Roundwood",$CS106/2,$CS106)</f>
        <v>0</v>
      </c>
      <c r="CU106"/>
      <c r="CV106"/>
      <c r="CW106"/>
      <c r="CX106" t="str">
        <f t="shared" ref="CX106:CX169" si="97">IFERROR($CW106/$CS106,"")</f>
        <v/>
      </c>
      <c r="CY106"/>
      <c r="CZ106" t="str">
        <f t="shared" ref="CZ106:CZ169" si="98">IFERROR($CW106/$CT106,"")</f>
        <v/>
      </c>
      <c r="DA106" s="2"/>
      <c r="DC106"/>
      <c r="DF106" s="143"/>
      <c r="DG106" s="143"/>
      <c r="DH106"/>
      <c r="DN106"/>
      <c r="DO106"/>
      <c r="DP106"/>
      <c r="DQ106"/>
      <c r="DR106"/>
      <c r="DS106"/>
      <c r="DY106"/>
      <c r="DZ106" s="143"/>
      <c r="EA106" s="143"/>
      <c r="EB106" s="143"/>
      <c r="EC106" s="143"/>
      <c r="ED106" s="143"/>
      <c r="EG106" s="143"/>
      <c r="EH106" s="143"/>
      <c r="EI106" s="143"/>
      <c r="EL106" s="143"/>
      <c r="EP106" t="str">
        <f t="shared" ref="EP106:EP169" si="99">IF(AND(AND(AND(OR($EC106=1,$EB106=1),OR($EH106=1,$EF106=1)),SUM($EA106:$EE106,$EK106)&gt;=3),SUM($EF106:$EJ106)&gt;=2),"Whole sector approach","")</f>
        <v/>
      </c>
      <c r="EQ106" t="str">
        <f t="shared" ref="EQ106:EQ137" si="100">IF(AND(AND(OR($EC106=1,$EB106=1),AND($EH106=0,$EF106=0)),SUM($EA106:$EE106,$EK106)&gt;=3),"Ecosystem approach","")</f>
        <v/>
      </c>
      <c r="ER106" s="2" t="str">
        <f t="shared" ref="ER106:ER169" si="101">IF(AND(AND(AND($EC106=0,$EB106=0),OR($EH106=1,$EF106=1)),SUM($EG106:$EJ106)&gt;=2),"Technology approach","")</f>
        <v/>
      </c>
      <c r="ES106" t="str">
        <f t="shared" ref="ES106:ES169" si="102">IF(AND($EC106+$EB106+$EE106+$EA106+$EF106+$EG106=0,$N106="included"),"C neutral forest and HWP assumption","")</f>
        <v/>
      </c>
      <c r="ET106" t="str">
        <f t="shared" ref="ET106:ET169" si="103">IF(AND(AND(AND($EC106+$EB106+$EA106+$EG106&gt;=2,$EF106+$EH106+$EI106&gt;=1),$ED106+$EE106&gt;=1),$N106="included"),"All C pools assumption","")</f>
        <v/>
      </c>
      <c r="EU106" t="str">
        <f t="shared" ref="EU106:EU169" si="104">IF(AND($ED106+$EE106+$EI106+$EH106+$EF106=0,$N106="included"),"In-situ only assumption","")</f>
        <v/>
      </c>
      <c r="EY106" t="b">
        <f>IF(ISNUMBER(BW106),IF(ABS(BW106-[1]QC_indicators!$B$2)&gt;3*[1]QC_indicators!$C$2,"C ratio",IF(ISNUMBER(CA106),IF(ABS(CA106-[1]QC_indicators!$B$1)&gt;3*[1]QC_indicators!$C$1,"DF","no"))),IF(ISNUMBER(CA106),IF(ABS(CA106-[1]QC_indicators!$B$1)&gt;3*[1]QC_indicators!$C$1,"DF","no")))</f>
        <v>0</v>
      </c>
      <c r="FA106" t="str">
        <f t="shared" ref="FA106:FA169" si="105">IF(LEN($CY106)=0,"",IF(AND($CY106&lt;(-0.05),$ES106="C neutral forest and HWP assumption"),"Cneutral paradox",IF(AND($CY106&gt;0.05,$EU106="In-situ only assumption"),"In-situ only paradox","")))</f>
        <v/>
      </c>
    </row>
    <row r="107" spans="1:161" ht="15" hidden="1" customHeight="1">
      <c r="A107" s="1" t="s">
        <v>4546</v>
      </c>
      <c r="B107" t="s">
        <v>4547</v>
      </c>
      <c r="C107" t="s">
        <v>4548</v>
      </c>
      <c r="D107" t="s">
        <v>4549</v>
      </c>
      <c r="E107" t="s">
        <v>4550</v>
      </c>
      <c r="F107" t="s">
        <v>4551</v>
      </c>
      <c r="G107" t="s">
        <v>4552</v>
      </c>
      <c r="H107" t="s">
        <v>254</v>
      </c>
      <c r="I107">
        <v>2014</v>
      </c>
      <c r="J107">
        <v>64</v>
      </c>
      <c r="K107" t="s">
        <v>4553</v>
      </c>
      <c r="M107" t="str">
        <f t="shared" si="57"/>
        <v>Stocker_2014</v>
      </c>
      <c r="N107" t="s">
        <v>1225</v>
      </c>
      <c r="O107" s="145" t="s">
        <v>341</v>
      </c>
      <c r="Q107" s="297" t="s">
        <v>256</v>
      </c>
      <c r="R107" s="298"/>
      <c r="AZ107" s="141"/>
      <c r="BA107" s="141"/>
      <c r="BG107"/>
      <c r="BH107" s="2"/>
      <c r="BW107" s="144"/>
      <c r="CA107" t="str">
        <f t="shared" si="95"/>
        <v/>
      </c>
      <c r="CP107"/>
      <c r="CQ107"/>
      <c r="CR107"/>
      <c r="CS107"/>
      <c r="CT107">
        <f t="shared" si="96"/>
        <v>0</v>
      </c>
      <c r="CU107"/>
      <c r="CV107"/>
      <c r="CW107"/>
      <c r="CX107" t="str">
        <f t="shared" si="97"/>
        <v/>
      </c>
      <c r="CY107"/>
      <c r="CZ107" t="str">
        <f t="shared" si="98"/>
        <v/>
      </c>
      <c r="DA107" s="2"/>
      <c r="DC107"/>
      <c r="DH107"/>
      <c r="DN107"/>
      <c r="DO107"/>
      <c r="DP107"/>
      <c r="DQ107"/>
      <c r="DR107"/>
      <c r="DS107"/>
      <c r="DY107"/>
      <c r="DZ107" s="143"/>
      <c r="EP107" t="str">
        <f t="shared" si="99"/>
        <v/>
      </c>
      <c r="EQ107" t="str">
        <f t="shared" si="100"/>
        <v/>
      </c>
      <c r="ER107" s="2" t="str">
        <f t="shared" si="101"/>
        <v/>
      </c>
      <c r="ES107" t="str">
        <f t="shared" si="102"/>
        <v/>
      </c>
      <c r="ET107" t="str">
        <f t="shared" si="103"/>
        <v/>
      </c>
      <c r="EU107" t="str">
        <f t="shared" si="104"/>
        <v/>
      </c>
      <c r="EW107" t="s">
        <v>4554</v>
      </c>
      <c r="EX107" t="s">
        <v>450</v>
      </c>
      <c r="EY107" t="b">
        <f>IF(ISNUMBER(BW107),IF(ABS(BW107-[1]QC_indicators!$B$2)&gt;3*[1]QC_indicators!$C$2,"C ratio",IF(ISNUMBER(CA107),IF(ABS(CA107-[1]QC_indicators!$B$1)&gt;3*[1]QC_indicators!$C$1,"DF","no"))),IF(ISNUMBER(CA107),IF(ABS(CA107-[1]QC_indicators!$B$1)&gt;3*[1]QC_indicators!$C$1,"DF","no")))</f>
        <v>0</v>
      </c>
      <c r="FA107" t="str">
        <f t="shared" si="105"/>
        <v/>
      </c>
    </row>
    <row r="108" spans="1:161" ht="15" hidden="1" customHeight="1">
      <c r="A108" s="1" t="s">
        <v>586</v>
      </c>
      <c r="B108" t="s">
        <v>4555</v>
      </c>
      <c r="C108" t="s">
        <v>4556</v>
      </c>
      <c r="D108" t="s">
        <v>4557</v>
      </c>
      <c r="E108" t="s">
        <v>4558</v>
      </c>
      <c r="F108" t="s">
        <v>4559</v>
      </c>
      <c r="G108" t="s">
        <v>592</v>
      </c>
      <c r="H108" t="s">
        <v>254</v>
      </c>
      <c r="I108">
        <v>2021</v>
      </c>
      <c r="J108">
        <v>0</v>
      </c>
      <c r="K108" t="s">
        <v>4560</v>
      </c>
      <c r="M108" t="str">
        <f t="shared" si="57"/>
        <v>Thamboo_2021</v>
      </c>
      <c r="N108" t="s">
        <v>1225</v>
      </c>
      <c r="O108" s="145" t="s">
        <v>1029</v>
      </c>
      <c r="Q108" s="297" t="s">
        <v>256</v>
      </c>
      <c r="R108" s="298"/>
      <c r="AZ108" s="141"/>
      <c r="BA108" s="141"/>
      <c r="BG108"/>
      <c r="BH108" s="2"/>
      <c r="BO108" s="143"/>
      <c r="BP108" s="143"/>
      <c r="BR108" s="143"/>
      <c r="BS108" s="143"/>
      <c r="BW108" s="144"/>
      <c r="CA108" t="str">
        <f t="shared" si="95"/>
        <v/>
      </c>
      <c r="CP108"/>
      <c r="CQ108"/>
      <c r="CR108"/>
      <c r="CS108"/>
      <c r="CT108">
        <f t="shared" si="96"/>
        <v>0</v>
      </c>
      <c r="CU108"/>
      <c r="CV108"/>
      <c r="CW108"/>
      <c r="CX108" t="str">
        <f t="shared" si="97"/>
        <v/>
      </c>
      <c r="CY108"/>
      <c r="CZ108" t="str">
        <f t="shared" si="98"/>
        <v/>
      </c>
      <c r="DA108" s="2"/>
      <c r="DC108"/>
      <c r="DH108"/>
      <c r="DN108"/>
      <c r="DO108"/>
      <c r="DP108"/>
      <c r="DQ108"/>
      <c r="DR108"/>
      <c r="DS108"/>
      <c r="DY108"/>
      <c r="DZ108" s="143"/>
      <c r="EP108" t="str">
        <f t="shared" si="99"/>
        <v/>
      </c>
      <c r="EQ108" t="str">
        <f t="shared" si="100"/>
        <v/>
      </c>
      <c r="ER108" s="2" t="str">
        <f t="shared" si="101"/>
        <v/>
      </c>
      <c r="ES108" t="str">
        <f t="shared" si="102"/>
        <v/>
      </c>
      <c r="ET108" t="str">
        <f t="shared" si="103"/>
        <v/>
      </c>
      <c r="EU108" t="str">
        <f t="shared" si="104"/>
        <v/>
      </c>
      <c r="EW108" t="s">
        <v>4561</v>
      </c>
      <c r="EX108" t="s">
        <v>4004</v>
      </c>
      <c r="EY108" t="b">
        <f>IF(ISNUMBER(BW108),IF(ABS(BW108-[1]QC_indicators!$B$2)&gt;3*[1]QC_indicators!$C$2,"C ratio",IF(ISNUMBER(CA108),IF(ABS(CA108-[1]QC_indicators!$B$1)&gt;3*[1]QC_indicators!$C$1,"DF","no"))),IF(ISNUMBER(CA108),IF(ABS(CA108-[1]QC_indicators!$B$1)&gt;3*[1]QC_indicators!$C$1,"DF","no")))</f>
        <v>0</v>
      </c>
      <c r="FA108" t="str">
        <f t="shared" si="105"/>
        <v/>
      </c>
    </row>
    <row r="109" spans="1:161" ht="15" hidden="1" customHeight="1">
      <c r="A109" s="1" t="s">
        <v>380</v>
      </c>
      <c r="B109" t="s">
        <v>4562</v>
      </c>
      <c r="C109" t="s">
        <v>4563</v>
      </c>
      <c r="D109" t="s">
        <v>4564</v>
      </c>
      <c r="E109" t="s">
        <v>4565</v>
      </c>
      <c r="F109" t="s">
        <v>4566</v>
      </c>
      <c r="G109" t="s">
        <v>386</v>
      </c>
      <c r="H109" t="s">
        <v>254</v>
      </c>
      <c r="I109">
        <v>2014</v>
      </c>
      <c r="J109">
        <v>12</v>
      </c>
      <c r="K109" t="s">
        <v>4567</v>
      </c>
      <c r="M109" t="str">
        <f t="shared" si="57"/>
        <v>Timmermann_2014</v>
      </c>
      <c r="N109" t="s">
        <v>1225</v>
      </c>
      <c r="O109" s="145" t="s">
        <v>1029</v>
      </c>
      <c r="Q109" s="297" t="s">
        <v>256</v>
      </c>
      <c r="R109" s="298"/>
      <c r="AZ109" s="141"/>
      <c r="BA109" s="141"/>
      <c r="BG109"/>
      <c r="BH109" s="2"/>
      <c r="BO109" s="143"/>
      <c r="BP109" s="143"/>
      <c r="BR109" s="143"/>
      <c r="BS109" s="143"/>
      <c r="BW109" s="144"/>
      <c r="CA109" t="str">
        <f t="shared" si="95"/>
        <v/>
      </c>
      <c r="CP109"/>
      <c r="CQ109"/>
      <c r="CR109"/>
      <c r="CS109"/>
      <c r="CT109">
        <f t="shared" si="96"/>
        <v>0</v>
      </c>
      <c r="CU109"/>
      <c r="CV109"/>
      <c r="CW109"/>
      <c r="CX109" t="str">
        <f t="shared" si="97"/>
        <v/>
      </c>
      <c r="CY109"/>
      <c r="CZ109" t="str">
        <f t="shared" si="98"/>
        <v/>
      </c>
      <c r="DA109" s="2"/>
      <c r="DC109"/>
      <c r="DH109"/>
      <c r="DN109"/>
      <c r="DO109"/>
      <c r="DP109"/>
      <c r="DQ109"/>
      <c r="DR109"/>
      <c r="DS109"/>
      <c r="DY109"/>
      <c r="DZ109" s="143"/>
      <c r="EP109" t="str">
        <f t="shared" si="99"/>
        <v/>
      </c>
      <c r="EQ109" t="str">
        <f t="shared" si="100"/>
        <v/>
      </c>
      <c r="ER109" s="2" t="str">
        <f t="shared" si="101"/>
        <v/>
      </c>
      <c r="ES109" t="str">
        <f t="shared" si="102"/>
        <v/>
      </c>
      <c r="ET109" t="str">
        <f t="shared" si="103"/>
        <v/>
      </c>
      <c r="EU109" t="str">
        <f t="shared" si="104"/>
        <v/>
      </c>
      <c r="EW109" t="s">
        <v>4568</v>
      </c>
      <c r="EX109" t="s">
        <v>4004</v>
      </c>
      <c r="EY109" t="b">
        <f>IF(ISNUMBER(BW109),IF(ABS(BW109-[1]QC_indicators!$B$2)&gt;3*[1]QC_indicators!$C$2,"C ratio",IF(ISNUMBER(CA109),IF(ABS(CA109-[1]QC_indicators!$B$1)&gt;3*[1]QC_indicators!$C$1,"DF","no"))),IF(ISNUMBER(CA109),IF(ABS(CA109-[1]QC_indicators!$B$1)&gt;3*[1]QC_indicators!$C$1,"DF","no")))</f>
        <v>0</v>
      </c>
      <c r="FA109" t="str">
        <f t="shared" si="105"/>
        <v/>
      </c>
    </row>
    <row r="110" spans="1:161" ht="15" hidden="1" customHeight="1">
      <c r="A110" s="1" t="s">
        <v>1781</v>
      </c>
      <c r="B110" t="s">
        <v>4569</v>
      </c>
      <c r="C110" t="s">
        <v>4570</v>
      </c>
      <c r="D110" t="s">
        <v>4571</v>
      </c>
      <c r="E110" t="s">
        <v>4572</v>
      </c>
      <c r="F110" s="297" t="s">
        <v>4573</v>
      </c>
      <c r="G110" t="s">
        <v>1787</v>
      </c>
      <c r="H110" t="s">
        <v>254</v>
      </c>
      <c r="I110">
        <v>2020</v>
      </c>
      <c r="J110">
        <v>1</v>
      </c>
      <c r="K110" t="s">
        <v>4574</v>
      </c>
      <c r="M110" t="str">
        <f t="shared" si="57"/>
        <v>Wakelin_2020</v>
      </c>
      <c r="N110" t="s">
        <v>1225</v>
      </c>
      <c r="O110" s="145" t="s">
        <v>1029</v>
      </c>
      <c r="Q110" s="297" t="s">
        <v>256</v>
      </c>
      <c r="R110" s="298"/>
      <c r="AZ110" s="141"/>
      <c r="BA110" s="141"/>
      <c r="BG110"/>
      <c r="BH110" s="2"/>
      <c r="BO110" s="143"/>
      <c r="BP110" s="143"/>
      <c r="BR110" s="143"/>
      <c r="BS110" s="143"/>
      <c r="BW110" s="144"/>
      <c r="BX110" s="144"/>
      <c r="BY110" s="144"/>
      <c r="BZ110" s="144"/>
      <c r="CA110" t="str">
        <f t="shared" si="95"/>
        <v/>
      </c>
      <c r="CP110"/>
      <c r="CQ110"/>
      <c r="CR110"/>
      <c r="CS110"/>
      <c r="CT110">
        <f t="shared" si="96"/>
        <v>0</v>
      </c>
      <c r="CU110"/>
      <c r="CV110"/>
      <c r="CW110"/>
      <c r="CX110" t="str">
        <f t="shared" si="97"/>
        <v/>
      </c>
      <c r="CY110"/>
      <c r="CZ110" t="str">
        <f t="shared" si="98"/>
        <v/>
      </c>
      <c r="DA110" s="2"/>
      <c r="DC110"/>
      <c r="DH110"/>
      <c r="DN110"/>
      <c r="DO110"/>
      <c r="DP110"/>
      <c r="DQ110"/>
      <c r="DR110"/>
      <c r="DS110"/>
      <c r="DY110"/>
      <c r="DZ110" s="143"/>
      <c r="EP110" t="str">
        <f t="shared" si="99"/>
        <v/>
      </c>
      <c r="EQ110" t="str">
        <f t="shared" si="100"/>
        <v/>
      </c>
      <c r="ER110" s="2" t="str">
        <f t="shared" si="101"/>
        <v/>
      </c>
      <c r="ES110" t="str">
        <f t="shared" si="102"/>
        <v/>
      </c>
      <c r="ET110" t="str">
        <f t="shared" si="103"/>
        <v/>
      </c>
      <c r="EU110" t="str">
        <f t="shared" si="104"/>
        <v/>
      </c>
      <c r="EW110" t="s">
        <v>4575</v>
      </c>
      <c r="EX110" t="s">
        <v>4004</v>
      </c>
      <c r="EY110" t="b">
        <f>IF(ISNUMBER(BW110),IF(ABS(BW110-[1]QC_indicators!$B$2)&gt;3*[1]QC_indicators!$C$2,"C ratio",IF(ISNUMBER(CA110),IF(ABS(CA110-[1]QC_indicators!$B$1)&gt;3*[1]QC_indicators!$C$1,"DF","no"))),IF(ISNUMBER(CA110),IF(ABS(CA110-[1]QC_indicators!$B$1)&gt;3*[1]QC_indicators!$C$1,"DF","no")))</f>
        <v>0</v>
      </c>
      <c r="FA110" t="str">
        <f t="shared" si="105"/>
        <v/>
      </c>
      <c r="FB110" t="s">
        <v>4387</v>
      </c>
    </row>
    <row r="111" spans="1:161" ht="15" hidden="1" customHeight="1">
      <c r="A111" s="1" t="s">
        <v>380</v>
      </c>
      <c r="B111" t="s">
        <v>4576</v>
      </c>
      <c r="C111" t="s">
        <v>4577</v>
      </c>
      <c r="D111" t="s">
        <v>4578</v>
      </c>
      <c r="E111" t="s">
        <v>4579</v>
      </c>
      <c r="F111" t="s">
        <v>4580</v>
      </c>
      <c r="G111" t="s">
        <v>386</v>
      </c>
      <c r="H111" t="s">
        <v>254</v>
      </c>
      <c r="I111">
        <v>2012</v>
      </c>
      <c r="J111">
        <v>108</v>
      </c>
      <c r="K111" t="s">
        <v>4581</v>
      </c>
      <c r="M111" t="str">
        <f t="shared" si="57"/>
        <v>Wu_2012</v>
      </c>
      <c r="N111" t="s">
        <v>1225</v>
      </c>
      <c r="O111" s="145" t="s">
        <v>1029</v>
      </c>
      <c r="Q111" s="297" t="s">
        <v>256</v>
      </c>
      <c r="R111" s="298"/>
      <c r="AZ111" s="141"/>
      <c r="BA111" s="141"/>
      <c r="BG111"/>
      <c r="BH111" s="2"/>
      <c r="BO111" s="143"/>
      <c r="BP111" s="143"/>
      <c r="BW111" s="144"/>
      <c r="BX111" s="144"/>
      <c r="BY111" s="144"/>
      <c r="BZ111" s="144"/>
      <c r="CA111" t="str">
        <f t="shared" si="95"/>
        <v/>
      </c>
      <c r="CP111"/>
      <c r="CQ111"/>
      <c r="CR111"/>
      <c r="CS111"/>
      <c r="CT111">
        <f t="shared" si="96"/>
        <v>0</v>
      </c>
      <c r="CU111"/>
      <c r="CV111"/>
      <c r="CW111"/>
      <c r="CX111" t="str">
        <f t="shared" si="97"/>
        <v/>
      </c>
      <c r="CY111"/>
      <c r="CZ111" t="str">
        <f t="shared" si="98"/>
        <v/>
      </c>
      <c r="DA111" s="2"/>
      <c r="DC111"/>
      <c r="DH111"/>
      <c r="DN111"/>
      <c r="DO111"/>
      <c r="DP111"/>
      <c r="DQ111"/>
      <c r="DR111"/>
      <c r="DS111"/>
      <c r="DY111"/>
      <c r="DZ111" s="143"/>
      <c r="EO111" s="185"/>
      <c r="EP111" t="str">
        <f t="shared" si="99"/>
        <v/>
      </c>
      <c r="EQ111" t="str">
        <f t="shared" si="100"/>
        <v/>
      </c>
      <c r="ER111" s="2" t="str">
        <f t="shared" si="101"/>
        <v/>
      </c>
      <c r="ES111" t="str">
        <f t="shared" si="102"/>
        <v/>
      </c>
      <c r="ET111" t="str">
        <f t="shared" si="103"/>
        <v/>
      </c>
      <c r="EU111" t="str">
        <f t="shared" si="104"/>
        <v/>
      </c>
      <c r="EW111" t="s">
        <v>4582</v>
      </c>
      <c r="EX111" t="s">
        <v>4004</v>
      </c>
      <c r="EY111" t="b">
        <f>IF(ISNUMBER(BW111),IF(ABS(BW111-[1]QC_indicators!$B$2)&gt;3*[1]QC_indicators!$C$2,"C ratio",IF(ISNUMBER(CA111),IF(ABS(CA111-[1]QC_indicators!$B$1)&gt;3*[1]QC_indicators!$C$1,"DF","no"))),IF(ISNUMBER(CA111),IF(ABS(CA111-[1]QC_indicators!$B$1)&gt;3*[1]QC_indicators!$C$1,"DF","no")))</f>
        <v>0</v>
      </c>
      <c r="FA111" t="str">
        <f t="shared" si="105"/>
        <v/>
      </c>
      <c r="FD111" s="184"/>
    </row>
    <row r="112" spans="1:161" ht="15" hidden="1" customHeight="1">
      <c r="A112" s="1" t="s">
        <v>333</v>
      </c>
      <c r="B112" t="s">
        <v>4583</v>
      </c>
      <c r="C112" t="s">
        <v>4584</v>
      </c>
      <c r="D112" t="s">
        <v>4585</v>
      </c>
      <c r="E112" t="s">
        <v>4586</v>
      </c>
      <c r="F112" t="s">
        <v>4587</v>
      </c>
      <c r="G112" t="s">
        <v>339</v>
      </c>
      <c r="H112" t="s">
        <v>254</v>
      </c>
      <c r="I112">
        <v>2020</v>
      </c>
      <c r="J112">
        <v>11</v>
      </c>
      <c r="K112" t="s">
        <v>4588</v>
      </c>
      <c r="M112" t="str">
        <f t="shared" si="57"/>
        <v>Yu_2020</v>
      </c>
      <c r="N112" t="s">
        <v>1225</v>
      </c>
      <c r="O112" s="145" t="s">
        <v>1029</v>
      </c>
      <c r="Q112" s="297" t="s">
        <v>256</v>
      </c>
      <c r="R112" s="298"/>
      <c r="AZ112" s="141"/>
      <c r="BA112" s="141"/>
      <c r="BG112"/>
      <c r="BH112" s="2"/>
      <c r="BO112" s="143"/>
      <c r="BP112" s="143"/>
      <c r="BW112" s="144"/>
      <c r="BX112" s="144"/>
      <c r="BY112" s="144"/>
      <c r="BZ112" s="144"/>
      <c r="CA112" t="str">
        <f t="shared" si="95"/>
        <v/>
      </c>
      <c r="CP112"/>
      <c r="CQ112"/>
      <c r="CR112"/>
      <c r="CS112"/>
      <c r="CT112">
        <f t="shared" si="96"/>
        <v>0</v>
      </c>
      <c r="CU112"/>
      <c r="CV112"/>
      <c r="CW112"/>
      <c r="CX112" t="str">
        <f t="shared" si="97"/>
        <v/>
      </c>
      <c r="CY112"/>
      <c r="CZ112" t="str">
        <f t="shared" si="98"/>
        <v/>
      </c>
      <c r="DA112" s="2"/>
      <c r="DC112"/>
      <c r="DH112"/>
      <c r="DN112"/>
      <c r="DO112"/>
      <c r="DP112"/>
      <c r="DQ112"/>
      <c r="DR112"/>
      <c r="DS112"/>
      <c r="DY112"/>
      <c r="DZ112" s="143"/>
      <c r="EO112" s="185"/>
      <c r="EP112" t="str">
        <f t="shared" si="99"/>
        <v/>
      </c>
      <c r="EQ112" t="str">
        <f t="shared" si="100"/>
        <v/>
      </c>
      <c r="ER112" s="2" t="str">
        <f t="shared" si="101"/>
        <v/>
      </c>
      <c r="ES112" t="str">
        <f t="shared" si="102"/>
        <v/>
      </c>
      <c r="ET112" t="str">
        <f t="shared" si="103"/>
        <v/>
      </c>
      <c r="EU112" t="str">
        <f t="shared" si="104"/>
        <v/>
      </c>
      <c r="EW112" t="s">
        <v>4589</v>
      </c>
      <c r="EX112" t="s">
        <v>4004</v>
      </c>
      <c r="EY112" t="b">
        <f>IF(ISNUMBER(BW112),IF(ABS(BW112-[1]QC_indicators!$B$2)&gt;3*[1]QC_indicators!$C$2,"C ratio",IF(ISNUMBER(CA112),IF(ABS(CA112-[1]QC_indicators!$B$1)&gt;3*[1]QC_indicators!$C$1,"DF","no"))),IF(ISNUMBER(CA112),IF(ABS(CA112-[1]QC_indicators!$B$1)&gt;3*[1]QC_indicators!$C$1,"DF","no")))</f>
        <v>0</v>
      </c>
      <c r="FA112" t="str">
        <f t="shared" si="105"/>
        <v/>
      </c>
    </row>
    <row r="113" spans="1:160" ht="15" hidden="1" customHeight="1">
      <c r="A113" s="1" t="s">
        <v>4590</v>
      </c>
      <c r="B113" t="s">
        <v>4591</v>
      </c>
      <c r="C113" t="s">
        <v>4592</v>
      </c>
      <c r="D113" t="s">
        <v>4593</v>
      </c>
      <c r="E113" t="s">
        <v>4594</v>
      </c>
      <c r="F113" t="s">
        <v>4595</v>
      </c>
      <c r="G113" t="s">
        <v>4596</v>
      </c>
      <c r="H113" t="s">
        <v>254</v>
      </c>
      <c r="I113">
        <v>2022</v>
      </c>
      <c r="J113">
        <v>0</v>
      </c>
      <c r="K113" t="s">
        <v>4597</v>
      </c>
      <c r="M113" t="str">
        <f t="shared" si="57"/>
        <v>Zargar_2022</v>
      </c>
      <c r="N113" s="297" t="s">
        <v>1225</v>
      </c>
      <c r="O113" s="297" t="s">
        <v>223</v>
      </c>
      <c r="Q113" s="297" t="s">
        <v>389</v>
      </c>
      <c r="R113" s="298"/>
      <c r="BG113"/>
      <c r="BH113" s="2"/>
      <c r="CA113" t="str">
        <f t="shared" si="95"/>
        <v/>
      </c>
      <c r="CP113"/>
      <c r="CQ113"/>
      <c r="CR113"/>
      <c r="CS113"/>
      <c r="CT113">
        <f t="shared" si="96"/>
        <v>0</v>
      </c>
      <c r="CU113"/>
      <c r="CV113"/>
      <c r="CW113"/>
      <c r="CX113" t="str">
        <f t="shared" si="97"/>
        <v/>
      </c>
      <c r="CY113"/>
      <c r="CZ113" t="str">
        <f t="shared" si="98"/>
        <v/>
      </c>
      <c r="DA113" s="2"/>
      <c r="DC113"/>
      <c r="DH113"/>
      <c r="DN113"/>
      <c r="DO113"/>
      <c r="DP113"/>
      <c r="DQ113"/>
      <c r="DR113"/>
      <c r="DS113"/>
      <c r="DY113"/>
      <c r="DZ113"/>
      <c r="EP113" t="str">
        <f t="shared" si="99"/>
        <v/>
      </c>
      <c r="EQ113" t="str">
        <f t="shared" si="100"/>
        <v/>
      </c>
      <c r="ER113" s="2" t="str">
        <f t="shared" si="101"/>
        <v/>
      </c>
      <c r="ES113" t="str">
        <f t="shared" si="102"/>
        <v/>
      </c>
      <c r="ET113" t="str">
        <f t="shared" si="103"/>
        <v/>
      </c>
      <c r="EU113" t="str">
        <f t="shared" si="104"/>
        <v/>
      </c>
      <c r="EY113" t="b">
        <f>IF(ISNUMBER(BW113),IF(ABS(BW113-[1]QC_indicators!$B$2)&gt;3*[1]QC_indicators!$C$2,"C ratio",IF(ISNUMBER(CA113),IF(ABS(CA113-[1]QC_indicators!$B$1)&gt;3*[1]QC_indicators!$C$1,"DF","no"))),IF(ISNUMBER(CA113),IF(ABS(CA113-[1]QC_indicators!$B$1)&gt;3*[1]QC_indicators!$C$1,"DF","no")))</f>
        <v>0</v>
      </c>
      <c r="FA113" t="str">
        <f t="shared" si="105"/>
        <v/>
      </c>
    </row>
    <row r="114" spans="1:160" ht="15" hidden="1" customHeight="1">
      <c r="A114" s="1" t="s">
        <v>1295</v>
      </c>
      <c r="B114" t="s">
        <v>4598</v>
      </c>
      <c r="C114" t="s">
        <v>4599</v>
      </c>
      <c r="D114" t="s">
        <v>4600</v>
      </c>
      <c r="E114" t="s">
        <v>4601</v>
      </c>
      <c r="F114" t="s">
        <v>4602</v>
      </c>
      <c r="G114" t="s">
        <v>1301</v>
      </c>
      <c r="H114" t="s">
        <v>254</v>
      </c>
      <c r="I114">
        <v>2018</v>
      </c>
      <c r="J114">
        <v>9</v>
      </c>
      <c r="K114" t="s">
        <v>4603</v>
      </c>
      <c r="L114" t="s">
        <v>4604</v>
      </c>
      <c r="M114" t="str">
        <f t="shared" si="57"/>
        <v>Zhang_2018c</v>
      </c>
      <c r="N114" t="s">
        <v>1225</v>
      </c>
      <c r="O114" s="145" t="s">
        <v>1029</v>
      </c>
      <c r="Q114" s="297" t="s">
        <v>256</v>
      </c>
      <c r="R114" s="298"/>
      <c r="AZ114" s="141"/>
      <c r="BA114" s="141"/>
      <c r="BG114"/>
      <c r="BH114" s="2"/>
      <c r="BO114" s="143"/>
      <c r="BP114" s="143"/>
      <c r="BW114" s="144"/>
      <c r="BX114" s="144"/>
      <c r="BY114" s="144"/>
      <c r="BZ114" s="144"/>
      <c r="CA114" t="str">
        <f t="shared" si="95"/>
        <v/>
      </c>
      <c r="CP114"/>
      <c r="CQ114"/>
      <c r="CR114"/>
      <c r="CS114"/>
      <c r="CT114">
        <f t="shared" si="96"/>
        <v>0</v>
      </c>
      <c r="CU114"/>
      <c r="CV114"/>
      <c r="CW114"/>
      <c r="CX114" t="str">
        <f t="shared" si="97"/>
        <v/>
      </c>
      <c r="CY114"/>
      <c r="CZ114" t="str">
        <f t="shared" si="98"/>
        <v/>
      </c>
      <c r="DA114" s="2"/>
      <c r="DC114"/>
      <c r="DH114"/>
      <c r="DN114"/>
      <c r="DO114"/>
      <c r="DP114"/>
      <c r="DQ114"/>
      <c r="DR114"/>
      <c r="DS114"/>
      <c r="DY114"/>
      <c r="DZ114" s="143"/>
      <c r="EO114" s="185"/>
      <c r="EP114" t="str">
        <f t="shared" si="99"/>
        <v/>
      </c>
      <c r="EQ114" t="str">
        <f t="shared" si="100"/>
        <v/>
      </c>
      <c r="ER114" s="2" t="str">
        <f t="shared" si="101"/>
        <v/>
      </c>
      <c r="ES114" t="str">
        <f t="shared" si="102"/>
        <v/>
      </c>
      <c r="ET114" t="str">
        <f t="shared" si="103"/>
        <v/>
      </c>
      <c r="EU114" t="str">
        <f t="shared" si="104"/>
        <v/>
      </c>
      <c r="EW114" t="s">
        <v>4605</v>
      </c>
      <c r="EX114" t="s">
        <v>4004</v>
      </c>
      <c r="EY114" t="b">
        <f>IF(ISNUMBER(BW114),IF(ABS(BW114-[1]QC_indicators!$B$2)&gt;3*[1]QC_indicators!$C$2,"C ratio",IF(ISNUMBER(CA114),IF(ABS(CA114-[1]QC_indicators!$B$1)&gt;3*[1]QC_indicators!$C$1,"DF","no"))),IF(ISNUMBER(CA114),IF(ABS(CA114-[1]QC_indicators!$B$1)&gt;3*[1]QC_indicators!$C$1,"DF","no")))</f>
        <v>0</v>
      </c>
      <c r="FA114" t="str">
        <f t="shared" si="105"/>
        <v/>
      </c>
      <c r="FD114" s="184"/>
    </row>
    <row r="115" spans="1:160" ht="15" hidden="1" customHeight="1">
      <c r="A115" s="1" t="s">
        <v>574</v>
      </c>
      <c r="B115" t="s">
        <v>3099</v>
      </c>
      <c r="C115" t="s">
        <v>3100</v>
      </c>
      <c r="D115" t="s">
        <v>3101</v>
      </c>
      <c r="E115" t="s">
        <v>3102</v>
      </c>
      <c r="F115" t="s">
        <v>3103</v>
      </c>
      <c r="G115" t="s">
        <v>580</v>
      </c>
      <c r="I115">
        <v>2018</v>
      </c>
      <c r="K115" t="s">
        <v>3104</v>
      </c>
      <c r="M115" t="str">
        <f t="shared" si="57"/>
        <v>Abbas_2018</v>
      </c>
      <c r="N115" s="297" t="s">
        <v>4058</v>
      </c>
      <c r="O115" s="140" t="s">
        <v>223</v>
      </c>
      <c r="Q115" s="297" t="s">
        <v>224</v>
      </c>
      <c r="R115" s="298"/>
      <c r="S115" s="1" t="s">
        <v>3105</v>
      </c>
      <c r="T115" t="s">
        <v>3112</v>
      </c>
      <c r="U115" s="143" t="s">
        <v>3107</v>
      </c>
      <c r="V115" s="143"/>
      <c r="W115" s="143"/>
      <c r="X115">
        <v>0</v>
      </c>
      <c r="Y115">
        <v>0</v>
      </c>
      <c r="Z115">
        <v>0</v>
      </c>
      <c r="AA115">
        <v>1</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s="141">
        <f t="shared" ref="AZ115:AZ140" si="106">COUNTIF(X115:AY115,"&lt;&gt;0")</f>
        <v>1</v>
      </c>
      <c r="BA115" s="141">
        <f t="shared" ref="BA115:BA140" si="107">COUNTIF(X115:AN115,"&lt;&gt;0")</f>
        <v>1</v>
      </c>
      <c r="BB115">
        <f t="shared" ref="BB115:BB140" si="108">COUNTIF(X115:AE115,"&lt;&gt;0")</f>
        <v>1</v>
      </c>
      <c r="BC115">
        <f t="shared" ref="BC115:BC140" si="109">COUNTIF(AF115:AK115,"&lt;&gt;0")</f>
        <v>0</v>
      </c>
      <c r="BD115">
        <f t="shared" ref="BD115:BD140" si="110">COUNTIF(AL115:AN115,"&lt;&gt;0")</f>
        <v>0</v>
      </c>
      <c r="BE115">
        <f t="shared" ref="BE115:BE140" si="111">COUNTIF(AU115:AY115,"&lt;&gt;0")</f>
        <v>0</v>
      </c>
      <c r="BF115">
        <f t="shared" ref="BF115:BF140" si="112">COUNTIF(AO115:AT115,"&lt;&gt;0")</f>
        <v>0</v>
      </c>
      <c r="BG115" t="str" cm="1">
        <f t="array" ref="BG115">IF(BA115=1,INDEX($X$7:$AN$7,MATCH(TRUE,INDEX($X115:$AY115&lt;&gt;0,),0)),IF(BA115=0,INDEX($AO$7:$AY$7,MATCH(1,$AO115:$AY115,0)),IF(BH115="Multiple strategies","mixed drivers",IF(BH115="Supply chain","multiple supply","multiple silviculture"))))</f>
        <v xml:space="preserve">cutting intensity </v>
      </c>
      <c r="BH115" s="2" t="str" cm="1">
        <f t="array" ref="BH115">IF(COUNTIF(BB115:BD115,"&lt;&gt;0")=1,INDEX($X$4:$AY$4,MATCH(TRUE,INDEX($X115:$AY115&lt;&gt;0,),0)),IF(COUNTIF(BB115:BD115,"&lt;&gt;0")=0,INDEX($AO$4:$AY$4,MATCH(1,$AO115:$AY115,0)),"Multiple strategies"))</f>
        <v>Silviculture for removals</v>
      </c>
      <c r="BI115" s="142" t="s">
        <v>321</v>
      </c>
      <c r="BJ115" t="s">
        <v>3108</v>
      </c>
      <c r="BL115" s="143" t="s">
        <v>3109</v>
      </c>
      <c r="BM115">
        <v>1</v>
      </c>
      <c r="BN115" s="143">
        <v>1</v>
      </c>
      <c r="BO115" s="143"/>
      <c r="BP115">
        <f t="shared" ref="BP115:BP127" si="113">BN115-BM115</f>
        <v>0</v>
      </c>
      <c r="BQ115" s="143">
        <f t="shared" ref="BQ115:BQ127" si="114">BP115*t_to_m3</f>
        <v>0</v>
      </c>
      <c r="BR115" s="297" t="s">
        <v>232</v>
      </c>
      <c r="BS115" s="297" t="s">
        <v>3110</v>
      </c>
      <c r="BT115" t="s">
        <v>3111</v>
      </c>
      <c r="BU115">
        <v>-18.600000000000001</v>
      </c>
      <c r="BV115">
        <v>-16.2</v>
      </c>
      <c r="BW115" s="144">
        <v>0.87096774193548376</v>
      </c>
      <c r="BX115">
        <v>2.4000000000000021</v>
      </c>
      <c r="BZ115">
        <f t="shared" ref="BZ115:BZ133" si="115">BX115/1000</f>
        <v>2.400000000000002E-3</v>
      </c>
      <c r="CA115" t="str">
        <f t="shared" si="95"/>
        <v/>
      </c>
      <c r="CB115">
        <v>0</v>
      </c>
      <c r="CC115">
        <v>0</v>
      </c>
      <c r="CD115">
        <v>0</v>
      </c>
      <c r="CE115">
        <v>0</v>
      </c>
      <c r="CF115">
        <v>0</v>
      </c>
      <c r="CG115">
        <v>0</v>
      </c>
      <c r="CH115">
        <v>0</v>
      </c>
      <c r="CI115">
        <v>0</v>
      </c>
      <c r="CJ115">
        <v>0</v>
      </c>
      <c r="CK115">
        <v>0</v>
      </c>
      <c r="CL115">
        <v>0</v>
      </c>
      <c r="CM115">
        <v>0</v>
      </c>
      <c r="CN115">
        <v>0</v>
      </c>
      <c r="CO115">
        <v>0</v>
      </c>
      <c r="CP115" t="str">
        <f t="shared" ref="CP115:CP127" si="116">IF($BN115&lt;$BM115,"refNeedCorrection","refOK")</f>
        <v>refOK</v>
      </c>
      <c r="CQ115">
        <f t="shared" ref="CQ115:CQ127" si="117">IF($CP115="refOK",$BM115,$BN115)</f>
        <v>1</v>
      </c>
      <c r="CR115">
        <f t="shared" ref="CR115:CR127" si="118">IF($CP115="refOK",$BN115,$BM115)</f>
        <v>1</v>
      </c>
      <c r="CS115">
        <f t="shared" ref="CS115:CS127" si="119">IF($CP115="refOK",$BQ115,-$BQ115)</f>
        <v>0</v>
      </c>
      <c r="CT115">
        <f t="shared" si="96"/>
        <v>0</v>
      </c>
      <c r="CU115">
        <f t="shared" ref="CU115:CU140" si="120">IF($CP115="refOK",$BU115,$BV115)*IF($BR115="Emissions positive",-1,1)</f>
        <v>-18.600000000000001</v>
      </c>
      <c r="CV115">
        <f t="shared" ref="CV115:CV140" si="121">IF($CP115="refOK",$BV115,$BU115)*IF($BR115="Emissions positive",-1,1)</f>
        <v>-16.2</v>
      </c>
      <c r="CW115">
        <f t="shared" ref="CW115:CW140" si="122">IF($CP115="refNeedCorrection",-BZ115,BZ115)*IF($BR115="Emissions positive",-1,1)</f>
        <v>2.400000000000002E-3</v>
      </c>
      <c r="CX115" t="str">
        <f t="shared" si="97"/>
        <v/>
      </c>
      <c r="CY115" t="str">
        <f t="shared" ref="CY115:CY140" si="123">IFERROR($CW115/$CS115,"")</f>
        <v/>
      </c>
      <c r="CZ115" t="str">
        <f t="shared" si="98"/>
        <v/>
      </c>
      <c r="DA115" s="2">
        <f t="shared" ref="DA115:DA140" si="124">IFERROR((CV115-CU115)/ABS(CU115),"")</f>
        <v>0.12903225806451624</v>
      </c>
      <c r="DB115" s="1" t="s">
        <v>1074</v>
      </c>
      <c r="DC115" s="297" t="str">
        <f t="shared" ref="DC115:DC140" si="125">IF(OR($DB115="prd",$DB115="std",$DB115="cit"),"loc",IF(OR($DB115="eur",$DB115="reg",$DB115="coy"),"reg",$DB115))</f>
        <v>reg</v>
      </c>
      <c r="DD115" t="s">
        <v>428</v>
      </c>
      <c r="DF115" s="143"/>
      <c r="DG115" s="143">
        <v>0</v>
      </c>
      <c r="DH115" t="str">
        <f t="shared" ref="DH115:DH140" si="126">IF(DG115=0,"0",IF(AND(DG115&gt;=1,DG115&lt;=30),"1-30",IF(AND(DG115&gt;30,DG115&lt;=70),"31-70",IF(AND(DG115&gt;70,DG115&lt;=100),"71-100",IF(DG115&gt;100,"+100")))))</f>
        <v>0</v>
      </c>
      <c r="DI115">
        <v>1</v>
      </c>
      <c r="DJ115">
        <v>0</v>
      </c>
      <c r="DK115">
        <v>0</v>
      </c>
      <c r="DL115">
        <v>0</v>
      </c>
      <c r="DN115">
        <f t="shared" ref="DN115:DN140" si="127">SUM(DI115:DL115)</f>
        <v>1</v>
      </c>
      <c r="DO115" t="str">
        <f t="shared" ref="DO115:DO140" si="128">IF(DN115=1,INDEX($DI$7:$DL$7,MATCH(1,$DI115:$DL115,0)),"mixedProduct")</f>
        <v>UpstreamInput</v>
      </c>
      <c r="DP115" t="str">
        <f t="shared" ref="DP115:DP140" si="129">IF(DI115=1,DP$7,0)</f>
        <v>Upstream</v>
      </c>
      <c r="DQ115">
        <f t="shared" ref="DQ115:DQ140" si="130">IF(DJ115=1,DQ$7,0)</f>
        <v>0</v>
      </c>
      <c r="DR115">
        <f t="shared" ref="DR115:DR140" si="131">IF(DK115=1,DR$7,0)</f>
        <v>0</v>
      </c>
      <c r="DS115">
        <f t="shared" ref="DS115:DS140" si="132">IF(DL115=1,DS$7,0)</f>
        <v>0</v>
      </c>
      <c r="DT115">
        <v>0</v>
      </c>
      <c r="DU115" s="143">
        <v>0</v>
      </c>
      <c r="DV115" s="143">
        <v>0</v>
      </c>
      <c r="DW115" s="143">
        <v>0</v>
      </c>
      <c r="DX115" s="143">
        <v>0</v>
      </c>
      <c r="DY115">
        <f t="shared" ref="DY115:DY140" si="133">SUM(DT115:DU115)</f>
        <v>0</v>
      </c>
      <c r="DZ115" s="143" t="str">
        <f t="shared" ref="DZ115:DZ140" si="134">IF(DT115=1,"self-calculated DF",IF(DU115=1,"external DF used","explicit C balance"))</f>
        <v>explicit C balance</v>
      </c>
      <c r="EA115" s="143">
        <v>0</v>
      </c>
      <c r="EB115" s="143">
        <v>0</v>
      </c>
      <c r="EC115" s="143">
        <v>0</v>
      </c>
      <c r="ED115" s="143">
        <v>0</v>
      </c>
      <c r="EE115">
        <v>0</v>
      </c>
      <c r="EF115" s="143">
        <v>0</v>
      </c>
      <c r="EG115" s="143">
        <v>1</v>
      </c>
      <c r="EH115" s="143">
        <v>0</v>
      </c>
      <c r="EI115" s="143">
        <v>0</v>
      </c>
      <c r="EJ115" s="143">
        <v>0</v>
      </c>
      <c r="EK115">
        <v>0</v>
      </c>
      <c r="EL115" s="143">
        <v>0</v>
      </c>
      <c r="EM115">
        <v>0</v>
      </c>
      <c r="EN115" s="2">
        <v>0</v>
      </c>
      <c r="EP115" t="str">
        <f t="shared" si="99"/>
        <v/>
      </c>
      <c r="EQ115" t="str">
        <f t="shared" si="100"/>
        <v/>
      </c>
      <c r="ER115" s="2" t="str">
        <f t="shared" si="101"/>
        <v/>
      </c>
      <c r="ES115" t="str">
        <f t="shared" si="102"/>
        <v/>
      </c>
      <c r="ET115" t="str">
        <f t="shared" si="103"/>
        <v/>
      </c>
      <c r="EU115" t="str">
        <f t="shared" si="104"/>
        <v/>
      </c>
      <c r="EY115" t="b">
        <f>IF(ISNUMBER(BW115),IF(ABS(BW115-[1]QC_indicators!$B$2)&gt;3*[1]QC_indicators!$C$2,"C ratio",IF(ISNUMBER(CA115),IF(ABS(CA115-[1]QC_indicators!$B$1)&gt;3*[1]QC_indicators!$C$1,"DF","no"))),IF(ISNUMBER(CA115),IF(ABS(CA115-[1]QC_indicators!$B$1)&gt;3*[1]QC_indicators!$C$1,"DF","no")))</f>
        <v>0</v>
      </c>
      <c r="FA115" t="str">
        <f t="shared" si="105"/>
        <v/>
      </c>
      <c r="FB115" s="299" t="s">
        <v>349</v>
      </c>
    </row>
    <row r="116" spans="1:160" ht="15" hidden="1" customHeight="1">
      <c r="A116" s="1" t="s">
        <v>574</v>
      </c>
      <c r="B116" t="s">
        <v>3099</v>
      </c>
      <c r="C116" t="s">
        <v>3100</v>
      </c>
      <c r="D116" t="s">
        <v>3101</v>
      </c>
      <c r="E116" t="s">
        <v>3102</v>
      </c>
      <c r="F116" t="s">
        <v>3103</v>
      </c>
      <c r="G116" t="s">
        <v>580</v>
      </c>
      <c r="I116">
        <v>2018</v>
      </c>
      <c r="K116" t="s">
        <v>3104</v>
      </c>
      <c r="M116" t="str">
        <f t="shared" si="57"/>
        <v>Abbas_2018</v>
      </c>
      <c r="N116" s="297" t="s">
        <v>4058</v>
      </c>
      <c r="O116" s="140" t="s">
        <v>223</v>
      </c>
      <c r="Q116" s="297" t="s">
        <v>224</v>
      </c>
      <c r="R116" s="298"/>
      <c r="S116" s="1" t="s">
        <v>3105</v>
      </c>
      <c r="T116" t="s">
        <v>3112</v>
      </c>
      <c r="U116" s="143" t="s">
        <v>3107</v>
      </c>
      <c r="V116" s="143"/>
      <c r="W116" s="143"/>
      <c r="X116">
        <v>0</v>
      </c>
      <c r="Y116">
        <v>0</v>
      </c>
      <c r="Z116">
        <v>0</v>
      </c>
      <c r="AA116">
        <v>1</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s="141">
        <f t="shared" si="106"/>
        <v>1</v>
      </c>
      <c r="BA116" s="141">
        <f t="shared" si="107"/>
        <v>1</v>
      </c>
      <c r="BB116">
        <f t="shared" si="108"/>
        <v>1</v>
      </c>
      <c r="BC116">
        <f t="shared" si="109"/>
        <v>0</v>
      </c>
      <c r="BD116">
        <f t="shared" si="110"/>
        <v>0</v>
      </c>
      <c r="BE116">
        <f t="shared" si="111"/>
        <v>0</v>
      </c>
      <c r="BF116">
        <f t="shared" si="112"/>
        <v>0</v>
      </c>
      <c r="BG116" t="str" cm="1">
        <f t="array" ref="BG116">IF(BA116=1,INDEX($X$7:$AN$7,MATCH(TRUE,INDEX($X116:$AY116&lt;&gt;0,),0)),IF(BA116=0,INDEX($AO$7:$AY$7,MATCH(1,$AO116:$AY116,0)),IF(BH116="Multiple strategies","mixed drivers",IF(BH116="Supply chain","multiple supply","multiple silviculture"))))</f>
        <v xml:space="preserve">cutting intensity </v>
      </c>
      <c r="BH116" s="2" t="str" cm="1">
        <f t="array" ref="BH116">IF(COUNTIF(BB116:BD116,"&lt;&gt;0")=1,INDEX($X$4:$AY$4,MATCH(TRUE,INDEX($X116:$AY116&lt;&gt;0,),0)),IF(COUNTIF(BB116:BD116,"&lt;&gt;0")=0,INDEX($AO$4:$AY$4,MATCH(1,$AO116:$AY116,0)),"Multiple strategies"))</f>
        <v>Silviculture for removals</v>
      </c>
      <c r="BI116" s="142" t="s">
        <v>321</v>
      </c>
      <c r="BJ116" t="s">
        <v>3108</v>
      </c>
      <c r="BL116" s="143" t="s">
        <v>3109</v>
      </c>
      <c r="BM116">
        <v>1</v>
      </c>
      <c r="BN116" s="143">
        <v>1</v>
      </c>
      <c r="BO116" s="143"/>
      <c r="BP116">
        <f t="shared" si="113"/>
        <v>0</v>
      </c>
      <c r="BQ116" s="143">
        <f t="shared" si="114"/>
        <v>0</v>
      </c>
      <c r="BR116" s="297" t="s">
        <v>232</v>
      </c>
      <c r="BS116" s="297" t="s">
        <v>3110</v>
      </c>
      <c r="BT116" t="s">
        <v>3111</v>
      </c>
      <c r="BU116">
        <v>-21.1</v>
      </c>
      <c r="BV116">
        <v>-17.7</v>
      </c>
      <c r="BW116" s="144">
        <v>0.83886255924170605</v>
      </c>
      <c r="BX116">
        <v>3.4000000000000021</v>
      </c>
      <c r="BZ116">
        <f t="shared" si="115"/>
        <v>3.400000000000002E-3</v>
      </c>
      <c r="CA116" t="str">
        <f t="shared" si="95"/>
        <v/>
      </c>
      <c r="CB116">
        <v>0</v>
      </c>
      <c r="CC116">
        <v>0</v>
      </c>
      <c r="CD116">
        <v>0</v>
      </c>
      <c r="CE116">
        <v>0</v>
      </c>
      <c r="CF116">
        <v>0</v>
      </c>
      <c r="CG116">
        <v>0</v>
      </c>
      <c r="CH116">
        <v>0</v>
      </c>
      <c r="CI116">
        <v>0</v>
      </c>
      <c r="CJ116">
        <v>0</v>
      </c>
      <c r="CK116">
        <v>0</v>
      </c>
      <c r="CL116">
        <v>0</v>
      </c>
      <c r="CM116">
        <v>0</v>
      </c>
      <c r="CN116">
        <v>0</v>
      </c>
      <c r="CO116">
        <v>0</v>
      </c>
      <c r="CP116" t="str">
        <f t="shared" si="116"/>
        <v>refOK</v>
      </c>
      <c r="CQ116">
        <f t="shared" si="117"/>
        <v>1</v>
      </c>
      <c r="CR116">
        <f t="shared" si="118"/>
        <v>1</v>
      </c>
      <c r="CS116">
        <f t="shared" si="119"/>
        <v>0</v>
      </c>
      <c r="CT116">
        <f t="shared" si="96"/>
        <v>0</v>
      </c>
      <c r="CU116">
        <f t="shared" si="120"/>
        <v>-21.1</v>
      </c>
      <c r="CV116">
        <f t="shared" si="121"/>
        <v>-17.7</v>
      </c>
      <c r="CW116">
        <f t="shared" si="122"/>
        <v>3.400000000000002E-3</v>
      </c>
      <c r="CX116" t="str">
        <f t="shared" si="97"/>
        <v/>
      </c>
      <c r="CY116" t="str">
        <f t="shared" si="123"/>
        <v/>
      </c>
      <c r="CZ116" t="str">
        <f t="shared" si="98"/>
        <v/>
      </c>
      <c r="DA116" s="2">
        <f t="shared" si="124"/>
        <v>0.16113744075829392</v>
      </c>
      <c r="DB116" s="1" t="s">
        <v>1074</v>
      </c>
      <c r="DC116" s="297" t="str">
        <f t="shared" si="125"/>
        <v>reg</v>
      </c>
      <c r="DD116" t="s">
        <v>428</v>
      </c>
      <c r="DF116" s="143"/>
      <c r="DG116" s="143">
        <v>0</v>
      </c>
      <c r="DH116" t="str">
        <f t="shared" si="126"/>
        <v>0</v>
      </c>
      <c r="DI116">
        <v>1</v>
      </c>
      <c r="DJ116">
        <v>0</v>
      </c>
      <c r="DK116">
        <v>0</v>
      </c>
      <c r="DL116">
        <v>0</v>
      </c>
      <c r="DN116">
        <f t="shared" si="127"/>
        <v>1</v>
      </c>
      <c r="DO116" t="str">
        <f t="shared" si="128"/>
        <v>UpstreamInput</v>
      </c>
      <c r="DP116" t="str">
        <f t="shared" si="129"/>
        <v>Upstream</v>
      </c>
      <c r="DQ116">
        <f t="shared" si="130"/>
        <v>0</v>
      </c>
      <c r="DR116">
        <f t="shared" si="131"/>
        <v>0</v>
      </c>
      <c r="DS116">
        <f t="shared" si="132"/>
        <v>0</v>
      </c>
      <c r="DT116">
        <v>0</v>
      </c>
      <c r="DU116" s="143">
        <v>0</v>
      </c>
      <c r="DV116" s="143">
        <v>0</v>
      </c>
      <c r="DW116" s="143">
        <v>0</v>
      </c>
      <c r="DX116" s="143">
        <v>0</v>
      </c>
      <c r="DY116">
        <f t="shared" si="133"/>
        <v>0</v>
      </c>
      <c r="DZ116" s="143" t="str">
        <f t="shared" si="134"/>
        <v>explicit C balance</v>
      </c>
      <c r="EA116" s="143">
        <v>0</v>
      </c>
      <c r="EB116" s="143">
        <v>0</v>
      </c>
      <c r="EC116" s="143">
        <v>0</v>
      </c>
      <c r="ED116" s="143">
        <v>0</v>
      </c>
      <c r="EE116">
        <v>0</v>
      </c>
      <c r="EF116" s="143">
        <v>0</v>
      </c>
      <c r="EG116" s="143">
        <v>1</v>
      </c>
      <c r="EH116" s="143">
        <v>0</v>
      </c>
      <c r="EI116" s="143">
        <v>0</v>
      </c>
      <c r="EJ116" s="143">
        <v>0</v>
      </c>
      <c r="EK116">
        <v>0</v>
      </c>
      <c r="EL116" s="143">
        <v>0</v>
      </c>
      <c r="EM116">
        <v>0</v>
      </c>
      <c r="EN116" s="2">
        <v>0</v>
      </c>
      <c r="EP116" t="str">
        <f t="shared" si="99"/>
        <v/>
      </c>
      <c r="EQ116" t="str">
        <f t="shared" si="100"/>
        <v/>
      </c>
      <c r="ER116" s="2" t="str">
        <f t="shared" si="101"/>
        <v/>
      </c>
      <c r="ES116" t="str">
        <f t="shared" si="102"/>
        <v/>
      </c>
      <c r="ET116" t="str">
        <f t="shared" si="103"/>
        <v/>
      </c>
      <c r="EU116" t="str">
        <f t="shared" si="104"/>
        <v/>
      </c>
      <c r="EY116" t="b">
        <f>IF(ISNUMBER(BW116),IF(ABS(BW116-[1]QC_indicators!$B$2)&gt;3*[1]QC_indicators!$C$2,"C ratio",IF(ISNUMBER(CA116),IF(ABS(CA116-[1]QC_indicators!$B$1)&gt;3*[1]QC_indicators!$C$1,"DF","no"))),IF(ISNUMBER(CA116),IF(ABS(CA116-[1]QC_indicators!$B$1)&gt;3*[1]QC_indicators!$C$1,"DF","no")))</f>
        <v>0</v>
      </c>
      <c r="FA116" t="str">
        <f t="shared" si="105"/>
        <v/>
      </c>
      <c r="FB116" s="299" t="s">
        <v>349</v>
      </c>
    </row>
    <row r="117" spans="1:160" ht="15" hidden="1" customHeight="1">
      <c r="A117" s="1" t="s">
        <v>574</v>
      </c>
      <c r="B117" t="s">
        <v>3099</v>
      </c>
      <c r="C117" t="s">
        <v>3100</v>
      </c>
      <c r="D117" t="s">
        <v>3101</v>
      </c>
      <c r="E117" t="s">
        <v>3102</v>
      </c>
      <c r="F117" t="s">
        <v>3103</v>
      </c>
      <c r="G117" t="s">
        <v>580</v>
      </c>
      <c r="I117">
        <v>2018</v>
      </c>
      <c r="K117" t="s">
        <v>3104</v>
      </c>
      <c r="M117" t="str">
        <f t="shared" si="57"/>
        <v>Abbas_2018</v>
      </c>
      <c r="N117" s="297" t="s">
        <v>4058</v>
      </c>
      <c r="O117" s="140" t="s">
        <v>223</v>
      </c>
      <c r="Q117" s="297" t="s">
        <v>224</v>
      </c>
      <c r="R117" s="298"/>
      <c r="S117" s="1" t="s">
        <v>3105</v>
      </c>
      <c r="T117" t="s">
        <v>3106</v>
      </c>
      <c r="U117" s="143" t="s">
        <v>3107</v>
      </c>
      <c r="V117" s="143"/>
      <c r="W117" s="143"/>
      <c r="X117">
        <v>0</v>
      </c>
      <c r="Y117">
        <v>0</v>
      </c>
      <c r="Z117">
        <v>0</v>
      </c>
      <c r="AA117">
        <v>1</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s="141">
        <f t="shared" si="106"/>
        <v>1</v>
      </c>
      <c r="BA117" s="141">
        <f t="shared" si="107"/>
        <v>1</v>
      </c>
      <c r="BB117">
        <f t="shared" si="108"/>
        <v>1</v>
      </c>
      <c r="BC117">
        <f t="shared" si="109"/>
        <v>0</v>
      </c>
      <c r="BD117">
        <f t="shared" si="110"/>
        <v>0</v>
      </c>
      <c r="BE117">
        <f t="shared" si="111"/>
        <v>0</v>
      </c>
      <c r="BF117">
        <f t="shared" si="112"/>
        <v>0</v>
      </c>
      <c r="BG117" t="str" cm="1">
        <f t="array" ref="BG117">IF(BA117=1,INDEX($X$7:$AN$7,MATCH(TRUE,INDEX($X117:$AY117&lt;&gt;0,),0)),IF(BA117=0,INDEX($AO$7:$AY$7,MATCH(1,$AO117:$AY117,0)),IF(BH117="Multiple strategies","mixed drivers",IF(BH117="Supply chain","multiple supply","multiple silviculture"))))</f>
        <v xml:space="preserve">cutting intensity </v>
      </c>
      <c r="BH117" s="2" t="str" cm="1">
        <f t="array" ref="BH117">IF(COUNTIF(BB117:BD117,"&lt;&gt;0")=1,INDEX($X$4:$AY$4,MATCH(TRUE,INDEX($X117:$AY117&lt;&gt;0,),0)),IF(COUNTIF(BB117:BD117,"&lt;&gt;0")=0,INDEX($AO$4:$AY$4,MATCH(1,$AO117:$AY117,0)),"Multiple strategies"))</f>
        <v>Silviculture for removals</v>
      </c>
      <c r="BI117" s="142" t="s">
        <v>321</v>
      </c>
      <c r="BJ117" t="s">
        <v>3108</v>
      </c>
      <c r="BL117" s="143" t="s">
        <v>3109</v>
      </c>
      <c r="BM117">
        <v>1</v>
      </c>
      <c r="BN117" s="143">
        <v>1</v>
      </c>
      <c r="BO117" s="143"/>
      <c r="BP117">
        <f t="shared" si="113"/>
        <v>0</v>
      </c>
      <c r="BQ117" s="143">
        <f t="shared" si="114"/>
        <v>0</v>
      </c>
      <c r="BR117" s="297" t="s">
        <v>232</v>
      </c>
      <c r="BS117" s="297" t="s">
        <v>3110</v>
      </c>
      <c r="BT117" t="s">
        <v>3111</v>
      </c>
      <c r="BU117">
        <v>-19.399999999999999</v>
      </c>
      <c r="BV117">
        <v>-16.2</v>
      </c>
      <c r="BW117" s="144">
        <v>0.83505154639175261</v>
      </c>
      <c r="BX117">
        <v>3.1999999999999993</v>
      </c>
      <c r="BZ117">
        <f t="shared" si="115"/>
        <v>3.1999999999999993E-3</v>
      </c>
      <c r="CA117" t="str">
        <f t="shared" si="95"/>
        <v/>
      </c>
      <c r="CB117">
        <v>0</v>
      </c>
      <c r="CC117">
        <v>0</v>
      </c>
      <c r="CD117">
        <v>0</v>
      </c>
      <c r="CE117">
        <v>0</v>
      </c>
      <c r="CF117">
        <v>0</v>
      </c>
      <c r="CG117">
        <v>0</v>
      </c>
      <c r="CH117">
        <v>0</v>
      </c>
      <c r="CI117">
        <v>0</v>
      </c>
      <c r="CJ117">
        <v>0</v>
      </c>
      <c r="CK117">
        <v>0</v>
      </c>
      <c r="CL117">
        <v>0</v>
      </c>
      <c r="CM117">
        <v>0</v>
      </c>
      <c r="CN117">
        <v>0</v>
      </c>
      <c r="CO117">
        <v>0</v>
      </c>
      <c r="CP117" t="str">
        <f t="shared" si="116"/>
        <v>refOK</v>
      </c>
      <c r="CQ117">
        <f t="shared" si="117"/>
        <v>1</v>
      </c>
      <c r="CR117">
        <f t="shared" si="118"/>
        <v>1</v>
      </c>
      <c r="CS117">
        <f t="shared" si="119"/>
        <v>0</v>
      </c>
      <c r="CT117">
        <f t="shared" si="96"/>
        <v>0</v>
      </c>
      <c r="CU117">
        <f t="shared" si="120"/>
        <v>-19.399999999999999</v>
      </c>
      <c r="CV117">
        <f t="shared" si="121"/>
        <v>-16.2</v>
      </c>
      <c r="CW117">
        <f t="shared" si="122"/>
        <v>3.1999999999999993E-3</v>
      </c>
      <c r="CX117" t="str">
        <f t="shared" si="97"/>
        <v/>
      </c>
      <c r="CY117" t="str">
        <f t="shared" si="123"/>
        <v/>
      </c>
      <c r="CZ117" t="str">
        <f t="shared" si="98"/>
        <v/>
      </c>
      <c r="DA117" s="2">
        <f t="shared" si="124"/>
        <v>0.16494845360824739</v>
      </c>
      <c r="DB117" s="1" t="s">
        <v>1074</v>
      </c>
      <c r="DC117" s="297" t="str">
        <f t="shared" si="125"/>
        <v>reg</v>
      </c>
      <c r="DD117" t="s">
        <v>428</v>
      </c>
      <c r="DF117" s="143"/>
      <c r="DG117" s="143">
        <v>0</v>
      </c>
      <c r="DH117" t="str">
        <f t="shared" si="126"/>
        <v>0</v>
      </c>
      <c r="DI117">
        <v>1</v>
      </c>
      <c r="DJ117">
        <v>0</v>
      </c>
      <c r="DK117">
        <v>0</v>
      </c>
      <c r="DL117">
        <v>0</v>
      </c>
      <c r="DN117">
        <f t="shared" si="127"/>
        <v>1</v>
      </c>
      <c r="DO117" t="str">
        <f t="shared" si="128"/>
        <v>UpstreamInput</v>
      </c>
      <c r="DP117" t="str">
        <f t="shared" si="129"/>
        <v>Upstream</v>
      </c>
      <c r="DQ117">
        <f t="shared" si="130"/>
        <v>0</v>
      </c>
      <c r="DR117">
        <f t="shared" si="131"/>
        <v>0</v>
      </c>
      <c r="DS117">
        <f t="shared" si="132"/>
        <v>0</v>
      </c>
      <c r="DT117">
        <v>0</v>
      </c>
      <c r="DU117" s="143">
        <v>0</v>
      </c>
      <c r="DV117" s="143">
        <v>0</v>
      </c>
      <c r="DW117" s="143">
        <v>0</v>
      </c>
      <c r="DX117" s="143">
        <v>0</v>
      </c>
      <c r="DY117">
        <f t="shared" si="133"/>
        <v>0</v>
      </c>
      <c r="DZ117" s="143" t="str">
        <f t="shared" si="134"/>
        <v>explicit C balance</v>
      </c>
      <c r="EA117" s="143">
        <v>0</v>
      </c>
      <c r="EB117" s="143">
        <v>0</v>
      </c>
      <c r="EC117" s="143">
        <v>0</v>
      </c>
      <c r="ED117" s="143">
        <v>0</v>
      </c>
      <c r="EE117">
        <v>0</v>
      </c>
      <c r="EF117" s="143">
        <v>0</v>
      </c>
      <c r="EG117" s="143">
        <v>1</v>
      </c>
      <c r="EH117" s="143">
        <v>0</v>
      </c>
      <c r="EI117" s="143">
        <v>0</v>
      </c>
      <c r="EJ117" s="143">
        <v>0</v>
      </c>
      <c r="EK117">
        <v>0</v>
      </c>
      <c r="EL117" s="143">
        <v>0</v>
      </c>
      <c r="EM117">
        <v>0</v>
      </c>
      <c r="EN117" s="2">
        <v>0</v>
      </c>
      <c r="EP117" t="str">
        <f t="shared" si="99"/>
        <v/>
      </c>
      <c r="EQ117" t="str">
        <f t="shared" si="100"/>
        <v/>
      </c>
      <c r="ER117" s="2" t="str">
        <f t="shared" si="101"/>
        <v/>
      </c>
      <c r="ES117" t="str">
        <f t="shared" si="102"/>
        <v/>
      </c>
      <c r="ET117" t="str">
        <f t="shared" si="103"/>
        <v/>
      </c>
      <c r="EU117" t="str">
        <f t="shared" si="104"/>
        <v/>
      </c>
      <c r="EY117" t="b">
        <f>IF(ISNUMBER(BW117),IF(ABS(BW117-[1]QC_indicators!$B$2)&gt;3*[1]QC_indicators!$C$2,"C ratio",IF(ISNUMBER(CA117),IF(ABS(CA117-[1]QC_indicators!$B$1)&gt;3*[1]QC_indicators!$C$1,"DF","no"))),IF(ISNUMBER(CA117),IF(ABS(CA117-[1]QC_indicators!$B$1)&gt;3*[1]QC_indicators!$C$1,"DF","no")))</f>
        <v>0</v>
      </c>
      <c r="FA117" t="str">
        <f t="shared" si="105"/>
        <v/>
      </c>
      <c r="FB117" s="299" t="s">
        <v>349</v>
      </c>
    </row>
    <row r="118" spans="1:160" ht="15" hidden="1" customHeight="1">
      <c r="A118" s="1" t="s">
        <v>574</v>
      </c>
      <c r="B118" t="s">
        <v>3099</v>
      </c>
      <c r="C118" t="s">
        <v>3100</v>
      </c>
      <c r="D118" t="s">
        <v>3101</v>
      </c>
      <c r="E118" t="s">
        <v>3102</v>
      </c>
      <c r="F118" t="s">
        <v>3103</v>
      </c>
      <c r="G118" t="s">
        <v>580</v>
      </c>
      <c r="I118">
        <v>2018</v>
      </c>
      <c r="K118" t="s">
        <v>3104</v>
      </c>
      <c r="M118" t="str">
        <f t="shared" si="57"/>
        <v>Abbas_2018</v>
      </c>
      <c r="N118" s="297" t="s">
        <v>4058</v>
      </c>
      <c r="O118" s="140" t="s">
        <v>223</v>
      </c>
      <c r="Q118" s="297" t="s">
        <v>224</v>
      </c>
      <c r="R118" s="298"/>
      <c r="S118" s="1" t="s">
        <v>3105</v>
      </c>
      <c r="T118" t="s">
        <v>3106</v>
      </c>
      <c r="U118" s="143" t="s">
        <v>3107</v>
      </c>
      <c r="V118" s="143"/>
      <c r="W118" s="143"/>
      <c r="X118">
        <v>0</v>
      </c>
      <c r="Y118">
        <v>0</v>
      </c>
      <c r="Z118">
        <v>0</v>
      </c>
      <c r="AA118">
        <v>1</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s="141">
        <f t="shared" si="106"/>
        <v>1</v>
      </c>
      <c r="BA118" s="141">
        <f t="shared" si="107"/>
        <v>1</v>
      </c>
      <c r="BB118">
        <f t="shared" si="108"/>
        <v>1</v>
      </c>
      <c r="BC118">
        <f t="shared" si="109"/>
        <v>0</v>
      </c>
      <c r="BD118">
        <f t="shared" si="110"/>
        <v>0</v>
      </c>
      <c r="BE118">
        <f t="shared" si="111"/>
        <v>0</v>
      </c>
      <c r="BF118">
        <f t="shared" si="112"/>
        <v>0</v>
      </c>
      <c r="BG118" t="str" cm="1">
        <f t="array" ref="BG118">IF(BA118=1,INDEX($X$7:$AN$7,MATCH(TRUE,INDEX($X118:$AY118&lt;&gt;0,),0)),IF(BA118=0,INDEX($AO$7:$AY$7,MATCH(1,$AO118:$AY118,0)),IF(BH118="Multiple strategies","mixed drivers",IF(BH118="Supply chain","multiple supply","multiple silviculture"))))</f>
        <v xml:space="preserve">cutting intensity </v>
      </c>
      <c r="BH118" s="2" t="str" cm="1">
        <f t="array" ref="BH118">IF(COUNTIF(BB118:BD118,"&lt;&gt;0")=1,INDEX($X$4:$AY$4,MATCH(TRUE,INDEX($X118:$AY118&lt;&gt;0,),0)),IF(COUNTIF(BB118:BD118,"&lt;&gt;0")=0,INDEX($AO$4:$AY$4,MATCH(1,$AO118:$AY118,0)),"Multiple strategies"))</f>
        <v>Silviculture for removals</v>
      </c>
      <c r="BI118" s="142" t="s">
        <v>321</v>
      </c>
      <c r="BJ118" t="s">
        <v>3108</v>
      </c>
      <c r="BL118" s="143" t="s">
        <v>3109</v>
      </c>
      <c r="BM118">
        <v>1</v>
      </c>
      <c r="BN118" s="143">
        <v>1</v>
      </c>
      <c r="BO118" s="143"/>
      <c r="BP118">
        <f t="shared" si="113"/>
        <v>0</v>
      </c>
      <c r="BQ118" s="143">
        <f t="shared" si="114"/>
        <v>0</v>
      </c>
      <c r="BR118" s="297" t="s">
        <v>232</v>
      </c>
      <c r="BS118" s="297" t="s">
        <v>3110</v>
      </c>
      <c r="BT118" t="s">
        <v>3111</v>
      </c>
      <c r="BU118">
        <v>-23.3</v>
      </c>
      <c r="BV118">
        <v>-17.7</v>
      </c>
      <c r="BW118" s="144">
        <v>0.75965665236051494</v>
      </c>
      <c r="BX118">
        <v>5.6000000000000014</v>
      </c>
      <c r="BZ118">
        <f t="shared" si="115"/>
        <v>5.6000000000000017E-3</v>
      </c>
      <c r="CA118" t="str">
        <f t="shared" si="95"/>
        <v/>
      </c>
      <c r="CB118">
        <v>0</v>
      </c>
      <c r="CC118">
        <v>0</v>
      </c>
      <c r="CD118">
        <v>0</v>
      </c>
      <c r="CE118">
        <v>0</v>
      </c>
      <c r="CF118">
        <v>0</v>
      </c>
      <c r="CG118">
        <v>0</v>
      </c>
      <c r="CH118">
        <v>0</v>
      </c>
      <c r="CI118">
        <v>0</v>
      </c>
      <c r="CJ118">
        <v>0</v>
      </c>
      <c r="CK118">
        <v>0</v>
      </c>
      <c r="CL118">
        <v>0</v>
      </c>
      <c r="CM118">
        <v>0</v>
      </c>
      <c r="CN118">
        <v>0</v>
      </c>
      <c r="CO118">
        <v>0</v>
      </c>
      <c r="CP118" t="str">
        <f t="shared" si="116"/>
        <v>refOK</v>
      </c>
      <c r="CQ118">
        <f t="shared" si="117"/>
        <v>1</v>
      </c>
      <c r="CR118">
        <f t="shared" si="118"/>
        <v>1</v>
      </c>
      <c r="CS118">
        <f t="shared" si="119"/>
        <v>0</v>
      </c>
      <c r="CT118">
        <f t="shared" si="96"/>
        <v>0</v>
      </c>
      <c r="CU118">
        <f t="shared" si="120"/>
        <v>-23.3</v>
      </c>
      <c r="CV118">
        <f t="shared" si="121"/>
        <v>-17.7</v>
      </c>
      <c r="CW118">
        <f t="shared" si="122"/>
        <v>5.6000000000000017E-3</v>
      </c>
      <c r="CX118" t="str">
        <f t="shared" si="97"/>
        <v/>
      </c>
      <c r="CY118" t="str">
        <f t="shared" si="123"/>
        <v/>
      </c>
      <c r="CZ118" t="str">
        <f t="shared" si="98"/>
        <v/>
      </c>
      <c r="DA118" s="2">
        <f t="shared" si="124"/>
        <v>0.24034334763948503</v>
      </c>
      <c r="DB118" s="1" t="s">
        <v>1074</v>
      </c>
      <c r="DC118" s="297" t="str">
        <f t="shared" si="125"/>
        <v>reg</v>
      </c>
      <c r="DD118" t="s">
        <v>428</v>
      </c>
      <c r="DF118" s="143"/>
      <c r="DG118" s="143">
        <v>0</v>
      </c>
      <c r="DH118" t="str">
        <f t="shared" si="126"/>
        <v>0</v>
      </c>
      <c r="DI118">
        <v>1</v>
      </c>
      <c r="DJ118">
        <v>0</v>
      </c>
      <c r="DK118">
        <v>0</v>
      </c>
      <c r="DL118">
        <v>0</v>
      </c>
      <c r="DN118">
        <f t="shared" si="127"/>
        <v>1</v>
      </c>
      <c r="DO118" t="str">
        <f t="shared" si="128"/>
        <v>UpstreamInput</v>
      </c>
      <c r="DP118" t="str">
        <f t="shared" si="129"/>
        <v>Upstream</v>
      </c>
      <c r="DQ118">
        <f t="shared" si="130"/>
        <v>0</v>
      </c>
      <c r="DR118">
        <f t="shared" si="131"/>
        <v>0</v>
      </c>
      <c r="DS118">
        <f t="shared" si="132"/>
        <v>0</v>
      </c>
      <c r="DT118">
        <v>0</v>
      </c>
      <c r="DU118" s="143">
        <v>0</v>
      </c>
      <c r="DV118" s="143">
        <v>0</v>
      </c>
      <c r="DW118" s="143">
        <v>0</v>
      </c>
      <c r="DX118" s="143">
        <v>0</v>
      </c>
      <c r="DY118">
        <f t="shared" si="133"/>
        <v>0</v>
      </c>
      <c r="DZ118" s="143" t="str">
        <f t="shared" si="134"/>
        <v>explicit C balance</v>
      </c>
      <c r="EA118" s="143">
        <v>0</v>
      </c>
      <c r="EB118" s="143">
        <v>0</v>
      </c>
      <c r="EC118" s="143">
        <v>0</v>
      </c>
      <c r="ED118" s="143">
        <v>0</v>
      </c>
      <c r="EE118">
        <v>0</v>
      </c>
      <c r="EF118" s="143">
        <v>0</v>
      </c>
      <c r="EG118" s="143">
        <v>1</v>
      </c>
      <c r="EH118" s="143">
        <v>0</v>
      </c>
      <c r="EI118" s="143">
        <v>0</v>
      </c>
      <c r="EJ118" s="143">
        <v>0</v>
      </c>
      <c r="EK118">
        <v>0</v>
      </c>
      <c r="EL118" s="143">
        <v>0</v>
      </c>
      <c r="EM118">
        <v>0</v>
      </c>
      <c r="EN118" s="2">
        <v>0</v>
      </c>
      <c r="EP118" t="str">
        <f t="shared" si="99"/>
        <v/>
      </c>
      <c r="EQ118" t="str">
        <f t="shared" si="100"/>
        <v/>
      </c>
      <c r="ER118" s="2" t="str">
        <f t="shared" si="101"/>
        <v/>
      </c>
      <c r="ES118" t="str">
        <f t="shared" si="102"/>
        <v/>
      </c>
      <c r="ET118" t="str">
        <f t="shared" si="103"/>
        <v/>
      </c>
      <c r="EU118" t="str">
        <f t="shared" si="104"/>
        <v/>
      </c>
      <c r="EY118" t="b">
        <f>IF(ISNUMBER(BW118),IF(ABS(BW118-[1]QC_indicators!$B$2)&gt;3*[1]QC_indicators!$C$2,"C ratio",IF(ISNUMBER(CA118),IF(ABS(CA118-[1]QC_indicators!$B$1)&gt;3*[1]QC_indicators!$C$1,"DF","no"))),IF(ISNUMBER(CA118),IF(ABS(CA118-[1]QC_indicators!$B$1)&gt;3*[1]QC_indicators!$C$1,"DF","no")))</f>
        <v>0</v>
      </c>
      <c r="FA118" t="str">
        <f t="shared" si="105"/>
        <v/>
      </c>
      <c r="FB118" s="299" t="s">
        <v>349</v>
      </c>
    </row>
    <row r="119" spans="1:160" ht="15" hidden="1" customHeight="1">
      <c r="A119" s="1" t="s">
        <v>574</v>
      </c>
      <c r="B119" t="s">
        <v>3099</v>
      </c>
      <c r="C119" t="s">
        <v>3100</v>
      </c>
      <c r="D119" t="s">
        <v>3101</v>
      </c>
      <c r="E119" t="s">
        <v>3102</v>
      </c>
      <c r="F119" t="s">
        <v>3103</v>
      </c>
      <c r="G119" t="s">
        <v>580</v>
      </c>
      <c r="H119" s="155"/>
      <c r="I119">
        <v>2018</v>
      </c>
      <c r="J119" s="155"/>
      <c r="K119" t="s">
        <v>3104</v>
      </c>
      <c r="L119" s="155"/>
      <c r="M119" t="str">
        <f t="shared" si="57"/>
        <v>Abbas_2018</v>
      </c>
      <c r="N119" s="297" t="s">
        <v>4058</v>
      </c>
      <c r="O119" s="140" t="s">
        <v>223</v>
      </c>
      <c r="P119" s="155"/>
      <c r="Q119" s="297" t="s">
        <v>224</v>
      </c>
      <c r="R119" s="298"/>
      <c r="S119" s="1" t="s">
        <v>514</v>
      </c>
      <c r="T119" t="s">
        <v>3119</v>
      </c>
      <c r="U119" s="143" t="s">
        <v>3120</v>
      </c>
      <c r="V119" s="143"/>
      <c r="W119" s="143"/>
      <c r="X119">
        <v>0</v>
      </c>
      <c r="Y119">
        <v>0</v>
      </c>
      <c r="Z119">
        <v>0</v>
      </c>
      <c r="AA119">
        <v>0</v>
      </c>
      <c r="AB119">
        <v>0</v>
      </c>
      <c r="AC119">
        <v>0</v>
      </c>
      <c r="AD119">
        <v>0</v>
      </c>
      <c r="AE119">
        <v>0</v>
      </c>
      <c r="AF119">
        <v>0</v>
      </c>
      <c r="AG119">
        <v>0</v>
      </c>
      <c r="AH119">
        <v>1</v>
      </c>
      <c r="AI119">
        <v>0</v>
      </c>
      <c r="AJ119">
        <v>0</v>
      </c>
      <c r="AK119">
        <v>0</v>
      </c>
      <c r="AL119">
        <v>0</v>
      </c>
      <c r="AM119">
        <v>0</v>
      </c>
      <c r="AN119">
        <v>0</v>
      </c>
      <c r="AO119">
        <v>0</v>
      </c>
      <c r="AP119">
        <v>0</v>
      </c>
      <c r="AQ119">
        <v>0</v>
      </c>
      <c r="AR119">
        <v>0</v>
      </c>
      <c r="AS119">
        <v>0</v>
      </c>
      <c r="AT119">
        <v>0</v>
      </c>
      <c r="AU119">
        <v>0</v>
      </c>
      <c r="AV119">
        <v>0</v>
      </c>
      <c r="AW119">
        <v>0</v>
      </c>
      <c r="AX119">
        <v>0</v>
      </c>
      <c r="AY119">
        <v>0</v>
      </c>
      <c r="AZ119" s="141">
        <f t="shared" si="106"/>
        <v>1</v>
      </c>
      <c r="BA119" s="141">
        <f t="shared" si="107"/>
        <v>1</v>
      </c>
      <c r="BB119">
        <f t="shared" si="108"/>
        <v>0</v>
      </c>
      <c r="BC119">
        <f t="shared" si="109"/>
        <v>1</v>
      </c>
      <c r="BD119">
        <f t="shared" si="110"/>
        <v>0</v>
      </c>
      <c r="BE119">
        <f t="shared" si="111"/>
        <v>0</v>
      </c>
      <c r="BF119">
        <f t="shared" si="112"/>
        <v>0</v>
      </c>
      <c r="BG119" t="str" cm="1">
        <f t="array" ref="BG119">IF(BA119=1,INDEX($X$7:$AN$7,MATCH(TRUE,INDEX($X119:$AY119&lt;&gt;0,),0)),IF(BA119=0,INDEX($AO$7:$AY$7,MATCH(1,$AO119:$AY119,0)),IF(BH119="Multiple strategies","mixed drivers",IF(BH119="Supply chain","multiple supply","multiple silviculture"))))</f>
        <v>supply chain organization</v>
      </c>
      <c r="BH119" s="2" t="str" cm="1">
        <f t="array" ref="BH119">IF(COUNTIF(BB119:BD119,"&lt;&gt;0")=1,INDEX($X$4:$AY$4,MATCH(TRUE,INDEX($X119:$AY119&lt;&gt;0,),0)),IF(COUNTIF(BB119:BD119,"&lt;&gt;0")=0,INDEX($AO$4:$AY$4,MATCH(1,$AO119:$AY119,0)),"Multiple strategies"))</f>
        <v>Supply chain</v>
      </c>
      <c r="BI119" s="142" t="s">
        <v>321</v>
      </c>
      <c r="BJ119" t="s">
        <v>3108</v>
      </c>
      <c r="BL119" s="143" t="s">
        <v>3109</v>
      </c>
      <c r="BM119">
        <v>1</v>
      </c>
      <c r="BN119" s="143">
        <v>1</v>
      </c>
      <c r="BO119" s="143"/>
      <c r="BP119">
        <f t="shared" si="113"/>
        <v>0</v>
      </c>
      <c r="BQ119" s="143">
        <f t="shared" si="114"/>
        <v>0</v>
      </c>
      <c r="BR119" s="297" t="s">
        <v>232</v>
      </c>
      <c r="BS119" s="297" t="s">
        <v>687</v>
      </c>
      <c r="BT119" t="s">
        <v>3111</v>
      </c>
      <c r="BU119">
        <v>45.1</v>
      </c>
      <c r="BV119">
        <v>22.9</v>
      </c>
      <c r="BW119" s="144">
        <v>0.50776053215077599</v>
      </c>
      <c r="BX119">
        <v>-22.200000000000003</v>
      </c>
      <c r="BZ119">
        <f t="shared" si="115"/>
        <v>-2.2200000000000004E-2</v>
      </c>
      <c r="CA119" t="str">
        <f t="shared" si="95"/>
        <v/>
      </c>
      <c r="CB119">
        <v>0</v>
      </c>
      <c r="CC119">
        <v>0</v>
      </c>
      <c r="CD119">
        <v>0</v>
      </c>
      <c r="CE119">
        <v>0</v>
      </c>
      <c r="CF119">
        <v>0</v>
      </c>
      <c r="CG119">
        <v>0</v>
      </c>
      <c r="CH119">
        <v>0</v>
      </c>
      <c r="CI119">
        <v>0</v>
      </c>
      <c r="CJ119">
        <v>0</v>
      </c>
      <c r="CK119">
        <v>0</v>
      </c>
      <c r="CL119">
        <v>0</v>
      </c>
      <c r="CM119">
        <v>0</v>
      </c>
      <c r="CN119">
        <v>0</v>
      </c>
      <c r="CO119">
        <v>0</v>
      </c>
      <c r="CP119" t="str">
        <f t="shared" si="116"/>
        <v>refOK</v>
      </c>
      <c r="CQ119">
        <f t="shared" si="117"/>
        <v>1</v>
      </c>
      <c r="CR119">
        <f t="shared" si="118"/>
        <v>1</v>
      </c>
      <c r="CS119">
        <f t="shared" si="119"/>
        <v>0</v>
      </c>
      <c r="CT119">
        <f t="shared" si="96"/>
        <v>0</v>
      </c>
      <c r="CU119">
        <f t="shared" si="120"/>
        <v>45.1</v>
      </c>
      <c r="CV119">
        <f t="shared" si="121"/>
        <v>22.9</v>
      </c>
      <c r="CW119">
        <f t="shared" si="122"/>
        <v>-2.2200000000000004E-2</v>
      </c>
      <c r="CX119" t="str">
        <f t="shared" si="97"/>
        <v/>
      </c>
      <c r="CY119" t="str">
        <f t="shared" si="123"/>
        <v/>
      </c>
      <c r="CZ119" t="str">
        <f t="shared" si="98"/>
        <v/>
      </c>
      <c r="DA119" s="2">
        <f t="shared" si="124"/>
        <v>-0.49223946784922401</v>
      </c>
      <c r="DB119" s="1" t="s">
        <v>1074</v>
      </c>
      <c r="DC119" s="297" t="str">
        <f t="shared" si="125"/>
        <v>reg</v>
      </c>
      <c r="DD119" t="s">
        <v>428</v>
      </c>
      <c r="DE119" s="155"/>
      <c r="DF119" s="143"/>
      <c r="DG119" s="143">
        <v>0</v>
      </c>
      <c r="DH119" t="str">
        <f t="shared" si="126"/>
        <v>0</v>
      </c>
      <c r="DI119">
        <v>1</v>
      </c>
      <c r="DJ119">
        <v>0</v>
      </c>
      <c r="DK119">
        <v>0</v>
      </c>
      <c r="DL119">
        <v>0</v>
      </c>
      <c r="DN119">
        <f t="shared" si="127"/>
        <v>1</v>
      </c>
      <c r="DO119" t="str">
        <f t="shared" si="128"/>
        <v>UpstreamInput</v>
      </c>
      <c r="DP119" t="str">
        <f t="shared" si="129"/>
        <v>Upstream</v>
      </c>
      <c r="DQ119">
        <f t="shared" si="130"/>
        <v>0</v>
      </c>
      <c r="DR119">
        <f t="shared" si="131"/>
        <v>0</v>
      </c>
      <c r="DS119">
        <f t="shared" si="132"/>
        <v>0</v>
      </c>
      <c r="DT119">
        <v>0</v>
      </c>
      <c r="DU119" s="143">
        <v>0</v>
      </c>
      <c r="DV119" s="143">
        <v>0</v>
      </c>
      <c r="DW119" s="143">
        <v>0</v>
      </c>
      <c r="DX119" s="143">
        <v>0</v>
      </c>
      <c r="DY119">
        <f t="shared" si="133"/>
        <v>0</v>
      </c>
      <c r="DZ119" s="143" t="str">
        <f t="shared" si="134"/>
        <v>explicit C balance</v>
      </c>
      <c r="EA119" s="143">
        <v>0</v>
      </c>
      <c r="EB119" s="143">
        <v>0</v>
      </c>
      <c r="EC119" s="143">
        <v>0</v>
      </c>
      <c r="ED119" s="143">
        <v>0</v>
      </c>
      <c r="EE119">
        <v>0</v>
      </c>
      <c r="EF119" s="143">
        <v>0</v>
      </c>
      <c r="EG119" s="143">
        <v>1</v>
      </c>
      <c r="EH119" s="143">
        <v>1</v>
      </c>
      <c r="EI119" s="143">
        <v>0</v>
      </c>
      <c r="EJ119" s="143">
        <v>0</v>
      </c>
      <c r="EK119">
        <v>0</v>
      </c>
      <c r="EL119" s="143">
        <v>0</v>
      </c>
      <c r="EM119">
        <v>0</v>
      </c>
      <c r="EN119" s="2">
        <v>0</v>
      </c>
      <c r="EP119" t="str">
        <f t="shared" si="99"/>
        <v/>
      </c>
      <c r="EQ119" t="str">
        <f t="shared" si="100"/>
        <v/>
      </c>
      <c r="ER119" s="2" t="str">
        <f t="shared" si="101"/>
        <v>Technology approach</v>
      </c>
      <c r="ES119" t="str">
        <f t="shared" si="102"/>
        <v/>
      </c>
      <c r="ET119" t="str">
        <f t="shared" si="103"/>
        <v/>
      </c>
      <c r="EU119" t="str">
        <f t="shared" si="104"/>
        <v/>
      </c>
      <c r="EW119" s="155"/>
      <c r="EX119" s="155"/>
      <c r="EY119" t="b">
        <f>IF(ISNUMBER(BW119),IF(ABS(BW119-[1]QC_indicators!$B$2)&gt;3*[1]QC_indicators!$C$2,"C ratio",IF(ISNUMBER(CA119),IF(ABS(CA119-[1]QC_indicators!$B$1)&gt;3*[1]QC_indicators!$C$1,"DF","no"))),IF(ISNUMBER(CA119),IF(ABS(CA119-[1]QC_indicators!$B$1)&gt;3*[1]QC_indicators!$C$1,"DF","no")))</f>
        <v>0</v>
      </c>
      <c r="EZ119" s="155"/>
      <c r="FA119" t="str">
        <f t="shared" si="105"/>
        <v/>
      </c>
      <c r="FB119" s="299" t="s">
        <v>349</v>
      </c>
      <c r="FC119" s="155"/>
    </row>
    <row r="120" spans="1:160" ht="15" hidden="1" customHeight="1">
      <c r="A120" s="1" t="s">
        <v>574</v>
      </c>
      <c r="B120" t="s">
        <v>3099</v>
      </c>
      <c r="C120" t="s">
        <v>3100</v>
      </c>
      <c r="D120" t="s">
        <v>3101</v>
      </c>
      <c r="E120" t="s">
        <v>3102</v>
      </c>
      <c r="F120" t="s">
        <v>3103</v>
      </c>
      <c r="G120" t="s">
        <v>580</v>
      </c>
      <c r="H120" s="139"/>
      <c r="I120">
        <v>2018</v>
      </c>
      <c r="J120" s="139"/>
      <c r="K120" t="s">
        <v>3104</v>
      </c>
      <c r="L120" s="139"/>
      <c r="M120" t="str">
        <f t="shared" si="57"/>
        <v>Abbas_2018</v>
      </c>
      <c r="N120" s="297" t="s">
        <v>4058</v>
      </c>
      <c r="O120" s="140" t="s">
        <v>223</v>
      </c>
      <c r="P120" s="139"/>
      <c r="Q120" s="297" t="s">
        <v>224</v>
      </c>
      <c r="R120" s="298"/>
      <c r="S120" s="1" t="s">
        <v>514</v>
      </c>
      <c r="T120" t="s">
        <v>3119</v>
      </c>
      <c r="U120" s="143" t="s">
        <v>3120</v>
      </c>
      <c r="V120" s="143"/>
      <c r="W120" s="143"/>
      <c r="X120">
        <v>0</v>
      </c>
      <c r="Y120">
        <v>0</v>
      </c>
      <c r="Z120">
        <v>0</v>
      </c>
      <c r="AA120">
        <v>0</v>
      </c>
      <c r="AB120">
        <v>0</v>
      </c>
      <c r="AC120">
        <v>0</v>
      </c>
      <c r="AD120">
        <v>0</v>
      </c>
      <c r="AE120">
        <v>0</v>
      </c>
      <c r="AF120">
        <v>0</v>
      </c>
      <c r="AG120">
        <v>0</v>
      </c>
      <c r="AH120">
        <v>1</v>
      </c>
      <c r="AI120">
        <v>0</v>
      </c>
      <c r="AJ120">
        <v>0</v>
      </c>
      <c r="AK120">
        <v>0</v>
      </c>
      <c r="AL120">
        <v>0</v>
      </c>
      <c r="AM120">
        <v>0</v>
      </c>
      <c r="AN120">
        <v>0</v>
      </c>
      <c r="AO120">
        <v>0</v>
      </c>
      <c r="AP120">
        <v>0</v>
      </c>
      <c r="AQ120">
        <v>0</v>
      </c>
      <c r="AR120">
        <v>0</v>
      </c>
      <c r="AS120">
        <v>0</v>
      </c>
      <c r="AT120">
        <v>0</v>
      </c>
      <c r="AU120">
        <v>0</v>
      </c>
      <c r="AV120">
        <v>0</v>
      </c>
      <c r="AW120">
        <v>0</v>
      </c>
      <c r="AX120">
        <v>0</v>
      </c>
      <c r="AY120">
        <v>0</v>
      </c>
      <c r="AZ120" s="141">
        <f t="shared" si="106"/>
        <v>1</v>
      </c>
      <c r="BA120" s="141">
        <f t="shared" si="107"/>
        <v>1</v>
      </c>
      <c r="BB120">
        <f t="shared" si="108"/>
        <v>0</v>
      </c>
      <c r="BC120">
        <f t="shared" si="109"/>
        <v>1</v>
      </c>
      <c r="BD120">
        <f t="shared" si="110"/>
        <v>0</v>
      </c>
      <c r="BE120">
        <f t="shared" si="111"/>
        <v>0</v>
      </c>
      <c r="BF120">
        <f t="shared" si="112"/>
        <v>0</v>
      </c>
      <c r="BG120" t="str" cm="1">
        <f t="array" ref="BG120">IF(BA120=1,INDEX($X$7:$AN$7,MATCH(TRUE,INDEX($X120:$AY120&lt;&gt;0,),0)),IF(BA120=0,INDEX($AO$7:$AY$7,MATCH(1,$AO120:$AY120,0)),IF(BH120="Multiple strategies","mixed drivers",IF(BH120="Supply chain","multiple supply","multiple silviculture"))))</f>
        <v>supply chain organization</v>
      </c>
      <c r="BH120" s="2" t="str" cm="1">
        <f t="array" ref="BH120">IF(COUNTIF(BB120:BD120,"&lt;&gt;0")=1,INDEX($X$4:$AY$4,MATCH(TRUE,INDEX($X120:$AY120&lt;&gt;0,),0)),IF(COUNTIF(BB120:BD120,"&lt;&gt;0")=0,INDEX($AO$4:$AY$4,MATCH(1,$AO120:$AY120,0)),"Multiple strategies"))</f>
        <v>Supply chain</v>
      </c>
      <c r="BI120" s="142" t="s">
        <v>321</v>
      </c>
      <c r="BJ120" t="s">
        <v>3108</v>
      </c>
      <c r="BL120" s="143" t="s">
        <v>3109</v>
      </c>
      <c r="BM120">
        <v>1</v>
      </c>
      <c r="BN120" s="143">
        <v>1</v>
      </c>
      <c r="BO120" s="143"/>
      <c r="BP120">
        <f t="shared" si="113"/>
        <v>0</v>
      </c>
      <c r="BQ120" s="143">
        <f t="shared" si="114"/>
        <v>0</v>
      </c>
      <c r="BR120" s="297" t="s">
        <v>232</v>
      </c>
      <c r="BS120" s="297" t="s">
        <v>687</v>
      </c>
      <c r="BT120" t="s">
        <v>3111</v>
      </c>
      <c r="BU120">
        <v>47.8</v>
      </c>
      <c r="BV120">
        <v>25.6</v>
      </c>
      <c r="BW120" s="144">
        <v>0.53556485355648542</v>
      </c>
      <c r="BX120">
        <v>-22.199999999999996</v>
      </c>
      <c r="BZ120">
        <f t="shared" si="115"/>
        <v>-2.2199999999999994E-2</v>
      </c>
      <c r="CA120" t="str">
        <f t="shared" si="95"/>
        <v/>
      </c>
      <c r="CB120">
        <v>0</v>
      </c>
      <c r="CC120">
        <v>0</v>
      </c>
      <c r="CD120">
        <v>0</v>
      </c>
      <c r="CE120">
        <v>0</v>
      </c>
      <c r="CF120">
        <v>0</v>
      </c>
      <c r="CG120">
        <v>0</v>
      </c>
      <c r="CH120">
        <v>0</v>
      </c>
      <c r="CI120">
        <v>0</v>
      </c>
      <c r="CJ120">
        <v>0</v>
      </c>
      <c r="CK120">
        <v>0</v>
      </c>
      <c r="CL120">
        <v>0</v>
      </c>
      <c r="CM120">
        <v>0</v>
      </c>
      <c r="CN120">
        <v>0</v>
      </c>
      <c r="CO120">
        <v>0</v>
      </c>
      <c r="CP120" t="str">
        <f t="shared" si="116"/>
        <v>refOK</v>
      </c>
      <c r="CQ120">
        <f t="shared" si="117"/>
        <v>1</v>
      </c>
      <c r="CR120">
        <f t="shared" si="118"/>
        <v>1</v>
      </c>
      <c r="CS120">
        <f t="shared" si="119"/>
        <v>0</v>
      </c>
      <c r="CT120">
        <f t="shared" si="96"/>
        <v>0</v>
      </c>
      <c r="CU120">
        <f t="shared" si="120"/>
        <v>47.8</v>
      </c>
      <c r="CV120">
        <f t="shared" si="121"/>
        <v>25.6</v>
      </c>
      <c r="CW120">
        <f t="shared" si="122"/>
        <v>-2.2199999999999994E-2</v>
      </c>
      <c r="CX120" t="str">
        <f t="shared" si="97"/>
        <v/>
      </c>
      <c r="CY120" t="str">
        <f t="shared" si="123"/>
        <v/>
      </c>
      <c r="CZ120" t="str">
        <f t="shared" si="98"/>
        <v/>
      </c>
      <c r="DA120" s="2">
        <f t="shared" si="124"/>
        <v>-0.46443514644351458</v>
      </c>
      <c r="DB120" s="1" t="s">
        <v>1074</v>
      </c>
      <c r="DC120" s="297" t="str">
        <f t="shared" si="125"/>
        <v>reg</v>
      </c>
      <c r="DD120" t="s">
        <v>428</v>
      </c>
      <c r="DE120" s="139"/>
      <c r="DF120" s="143"/>
      <c r="DG120" s="143">
        <v>0</v>
      </c>
      <c r="DH120" t="str">
        <f t="shared" si="126"/>
        <v>0</v>
      </c>
      <c r="DI120">
        <v>1</v>
      </c>
      <c r="DJ120">
        <v>0</v>
      </c>
      <c r="DK120">
        <v>0</v>
      </c>
      <c r="DL120">
        <v>0</v>
      </c>
      <c r="DN120">
        <f t="shared" si="127"/>
        <v>1</v>
      </c>
      <c r="DO120" t="str">
        <f t="shared" si="128"/>
        <v>UpstreamInput</v>
      </c>
      <c r="DP120" t="str">
        <f t="shared" si="129"/>
        <v>Upstream</v>
      </c>
      <c r="DQ120">
        <f t="shared" si="130"/>
        <v>0</v>
      </c>
      <c r="DR120">
        <f t="shared" si="131"/>
        <v>0</v>
      </c>
      <c r="DS120">
        <f t="shared" si="132"/>
        <v>0</v>
      </c>
      <c r="DT120">
        <v>0</v>
      </c>
      <c r="DU120" s="143">
        <v>0</v>
      </c>
      <c r="DV120" s="143">
        <v>0</v>
      </c>
      <c r="DW120" s="143">
        <v>0</v>
      </c>
      <c r="DX120" s="143">
        <v>0</v>
      </c>
      <c r="DY120">
        <f t="shared" si="133"/>
        <v>0</v>
      </c>
      <c r="DZ120" s="143" t="str">
        <f t="shared" si="134"/>
        <v>explicit C balance</v>
      </c>
      <c r="EA120" s="143">
        <v>0</v>
      </c>
      <c r="EB120" s="143">
        <v>0</v>
      </c>
      <c r="EC120" s="143">
        <v>0</v>
      </c>
      <c r="ED120" s="143">
        <v>0</v>
      </c>
      <c r="EE120">
        <v>0</v>
      </c>
      <c r="EF120" s="143">
        <v>0</v>
      </c>
      <c r="EG120" s="143">
        <v>1</v>
      </c>
      <c r="EH120" s="143">
        <v>1</v>
      </c>
      <c r="EI120" s="143">
        <v>0</v>
      </c>
      <c r="EJ120" s="143">
        <v>0</v>
      </c>
      <c r="EK120">
        <v>0</v>
      </c>
      <c r="EL120" s="143">
        <v>0</v>
      </c>
      <c r="EM120">
        <v>0</v>
      </c>
      <c r="EN120" s="2">
        <v>0</v>
      </c>
      <c r="EP120" t="str">
        <f t="shared" si="99"/>
        <v/>
      </c>
      <c r="EQ120" t="str">
        <f t="shared" si="100"/>
        <v/>
      </c>
      <c r="ER120" s="2" t="str">
        <f t="shared" si="101"/>
        <v>Technology approach</v>
      </c>
      <c r="ES120" t="str">
        <f t="shared" si="102"/>
        <v/>
      </c>
      <c r="ET120" t="str">
        <f t="shared" si="103"/>
        <v/>
      </c>
      <c r="EU120" t="str">
        <f t="shared" si="104"/>
        <v/>
      </c>
      <c r="EW120" s="139"/>
      <c r="EX120" s="139"/>
      <c r="EY120" t="b">
        <f>IF(ISNUMBER(BW120),IF(ABS(BW120-[1]QC_indicators!$B$2)&gt;3*[1]QC_indicators!$C$2,"C ratio",IF(ISNUMBER(CA120),IF(ABS(CA120-[1]QC_indicators!$B$1)&gt;3*[1]QC_indicators!$C$1,"DF","no"))),IF(ISNUMBER(CA120),IF(ABS(CA120-[1]QC_indicators!$B$1)&gt;3*[1]QC_indicators!$C$1,"DF","no")))</f>
        <v>0</v>
      </c>
      <c r="EZ120" s="139"/>
      <c r="FA120" t="str">
        <f t="shared" si="105"/>
        <v/>
      </c>
      <c r="FB120" s="299" t="s">
        <v>349</v>
      </c>
      <c r="FC120" s="139"/>
    </row>
    <row r="121" spans="1:160" ht="15" hidden="1" customHeight="1">
      <c r="A121" s="1" t="s">
        <v>574</v>
      </c>
      <c r="B121" t="s">
        <v>3099</v>
      </c>
      <c r="C121" t="s">
        <v>3100</v>
      </c>
      <c r="D121" t="s">
        <v>3101</v>
      </c>
      <c r="E121" t="s">
        <v>3102</v>
      </c>
      <c r="F121" t="s">
        <v>3103</v>
      </c>
      <c r="G121" t="s">
        <v>580</v>
      </c>
      <c r="I121">
        <v>2018</v>
      </c>
      <c r="K121" t="s">
        <v>3104</v>
      </c>
      <c r="M121" t="str">
        <f t="shared" si="57"/>
        <v>Abbas_2018</v>
      </c>
      <c r="N121" s="297" t="s">
        <v>4058</v>
      </c>
      <c r="O121" s="140" t="s">
        <v>223</v>
      </c>
      <c r="Q121" s="297" t="s">
        <v>224</v>
      </c>
      <c r="R121" s="298"/>
      <c r="S121" s="1" t="s">
        <v>514</v>
      </c>
      <c r="T121" t="s">
        <v>3119</v>
      </c>
      <c r="U121" s="143" t="s">
        <v>3120</v>
      </c>
      <c r="V121" s="143"/>
      <c r="W121" s="143"/>
      <c r="X121">
        <v>0</v>
      </c>
      <c r="Y121">
        <v>0</v>
      </c>
      <c r="Z121">
        <v>0</v>
      </c>
      <c r="AA121">
        <v>0</v>
      </c>
      <c r="AB121">
        <v>0</v>
      </c>
      <c r="AC121">
        <v>0</v>
      </c>
      <c r="AD121">
        <v>0</v>
      </c>
      <c r="AE121">
        <v>0</v>
      </c>
      <c r="AF121">
        <v>0</v>
      </c>
      <c r="AG121">
        <v>0</v>
      </c>
      <c r="AH121">
        <v>1</v>
      </c>
      <c r="AI121">
        <v>0</v>
      </c>
      <c r="AJ121">
        <v>0</v>
      </c>
      <c r="AK121">
        <v>0</v>
      </c>
      <c r="AL121">
        <v>0</v>
      </c>
      <c r="AM121">
        <v>0</v>
      </c>
      <c r="AN121">
        <v>0</v>
      </c>
      <c r="AO121">
        <v>0</v>
      </c>
      <c r="AP121">
        <v>0</v>
      </c>
      <c r="AQ121">
        <v>0</v>
      </c>
      <c r="AR121">
        <v>0</v>
      </c>
      <c r="AS121">
        <v>0</v>
      </c>
      <c r="AT121">
        <v>0</v>
      </c>
      <c r="AU121">
        <v>0</v>
      </c>
      <c r="AV121">
        <v>0</v>
      </c>
      <c r="AW121">
        <v>0</v>
      </c>
      <c r="AX121">
        <v>0</v>
      </c>
      <c r="AY121">
        <v>0</v>
      </c>
      <c r="AZ121" s="141">
        <f t="shared" si="106"/>
        <v>1</v>
      </c>
      <c r="BA121" s="141">
        <f t="shared" si="107"/>
        <v>1</v>
      </c>
      <c r="BB121">
        <f t="shared" si="108"/>
        <v>0</v>
      </c>
      <c r="BC121">
        <f t="shared" si="109"/>
        <v>1</v>
      </c>
      <c r="BD121">
        <f t="shared" si="110"/>
        <v>0</v>
      </c>
      <c r="BE121">
        <f t="shared" si="111"/>
        <v>0</v>
      </c>
      <c r="BF121">
        <f t="shared" si="112"/>
        <v>0</v>
      </c>
      <c r="BG121" t="str" cm="1">
        <f t="array" ref="BG121">IF(BA121=1,INDEX($X$7:$AN$7,MATCH(TRUE,INDEX($X121:$AY121&lt;&gt;0,),0)),IF(BA121=0,INDEX($AO$7:$AY$7,MATCH(1,$AO121:$AY121,0)),IF(BH121="Multiple strategies","mixed drivers",IF(BH121="Supply chain","multiple supply","multiple silviculture"))))</f>
        <v>supply chain organization</v>
      </c>
      <c r="BH121" s="2" t="str" cm="1">
        <f t="array" ref="BH121">IF(COUNTIF(BB121:BD121,"&lt;&gt;0")=1,INDEX($X$4:$AY$4,MATCH(TRUE,INDEX($X121:$AY121&lt;&gt;0,),0)),IF(COUNTIF(BB121:BD121,"&lt;&gt;0")=0,INDEX($AO$4:$AY$4,MATCH(1,$AO121:$AY121,0)),"Multiple strategies"))</f>
        <v>Supply chain</v>
      </c>
      <c r="BI121" s="142" t="s">
        <v>321</v>
      </c>
      <c r="BJ121" t="s">
        <v>3108</v>
      </c>
      <c r="BL121" s="143" t="s">
        <v>3109</v>
      </c>
      <c r="BM121">
        <v>1</v>
      </c>
      <c r="BN121" s="143">
        <v>1</v>
      </c>
      <c r="BO121" s="143"/>
      <c r="BP121">
        <f t="shared" si="113"/>
        <v>0</v>
      </c>
      <c r="BQ121" s="143">
        <f t="shared" si="114"/>
        <v>0</v>
      </c>
      <c r="BR121" s="297" t="s">
        <v>232</v>
      </c>
      <c r="BS121" s="297" t="s">
        <v>687</v>
      </c>
      <c r="BT121" t="s">
        <v>3111</v>
      </c>
      <c r="BU121">
        <v>49</v>
      </c>
      <c r="BV121">
        <v>26.8</v>
      </c>
      <c r="BW121" s="144">
        <v>0.54693877551020409</v>
      </c>
      <c r="BX121">
        <v>-22.2</v>
      </c>
      <c r="BZ121">
        <f t="shared" si="115"/>
        <v>-2.2200000000000001E-2</v>
      </c>
      <c r="CA121" t="str">
        <f t="shared" si="95"/>
        <v/>
      </c>
      <c r="CB121">
        <v>0</v>
      </c>
      <c r="CC121">
        <v>0</v>
      </c>
      <c r="CD121">
        <v>0</v>
      </c>
      <c r="CE121">
        <v>0</v>
      </c>
      <c r="CF121">
        <v>0</v>
      </c>
      <c r="CG121">
        <v>0</v>
      </c>
      <c r="CH121">
        <v>0</v>
      </c>
      <c r="CI121">
        <v>0</v>
      </c>
      <c r="CJ121">
        <v>0</v>
      </c>
      <c r="CK121">
        <v>0</v>
      </c>
      <c r="CL121">
        <v>0</v>
      </c>
      <c r="CM121">
        <v>0</v>
      </c>
      <c r="CN121">
        <v>0</v>
      </c>
      <c r="CO121">
        <v>0</v>
      </c>
      <c r="CP121" t="str">
        <f t="shared" si="116"/>
        <v>refOK</v>
      </c>
      <c r="CQ121">
        <f t="shared" si="117"/>
        <v>1</v>
      </c>
      <c r="CR121">
        <f t="shared" si="118"/>
        <v>1</v>
      </c>
      <c r="CS121">
        <f t="shared" si="119"/>
        <v>0</v>
      </c>
      <c r="CT121">
        <f t="shared" si="96"/>
        <v>0</v>
      </c>
      <c r="CU121">
        <f t="shared" si="120"/>
        <v>49</v>
      </c>
      <c r="CV121">
        <f t="shared" si="121"/>
        <v>26.8</v>
      </c>
      <c r="CW121">
        <f t="shared" si="122"/>
        <v>-2.2200000000000001E-2</v>
      </c>
      <c r="CX121" t="str">
        <f t="shared" si="97"/>
        <v/>
      </c>
      <c r="CY121" t="str">
        <f t="shared" si="123"/>
        <v/>
      </c>
      <c r="CZ121" t="str">
        <f t="shared" si="98"/>
        <v/>
      </c>
      <c r="DA121" s="2">
        <f t="shared" si="124"/>
        <v>-0.45306122448979591</v>
      </c>
      <c r="DB121" s="1" t="s">
        <v>1074</v>
      </c>
      <c r="DC121" s="297" t="str">
        <f t="shared" si="125"/>
        <v>reg</v>
      </c>
      <c r="DD121" t="s">
        <v>428</v>
      </c>
      <c r="DF121" s="143"/>
      <c r="DG121" s="143">
        <v>0</v>
      </c>
      <c r="DH121" t="str">
        <f t="shared" si="126"/>
        <v>0</v>
      </c>
      <c r="DI121">
        <v>1</v>
      </c>
      <c r="DJ121">
        <v>0</v>
      </c>
      <c r="DK121">
        <v>0</v>
      </c>
      <c r="DL121">
        <v>0</v>
      </c>
      <c r="DN121">
        <f t="shared" si="127"/>
        <v>1</v>
      </c>
      <c r="DO121" t="str">
        <f t="shared" si="128"/>
        <v>UpstreamInput</v>
      </c>
      <c r="DP121" t="str">
        <f t="shared" si="129"/>
        <v>Upstream</v>
      </c>
      <c r="DQ121">
        <f t="shared" si="130"/>
        <v>0</v>
      </c>
      <c r="DR121">
        <f t="shared" si="131"/>
        <v>0</v>
      </c>
      <c r="DS121">
        <f t="shared" si="132"/>
        <v>0</v>
      </c>
      <c r="DT121">
        <v>0</v>
      </c>
      <c r="DU121" s="143">
        <v>0</v>
      </c>
      <c r="DV121" s="143">
        <v>0</v>
      </c>
      <c r="DW121" s="143">
        <v>0</v>
      </c>
      <c r="DX121" s="143">
        <v>0</v>
      </c>
      <c r="DY121">
        <f t="shared" si="133"/>
        <v>0</v>
      </c>
      <c r="DZ121" s="143" t="str">
        <f t="shared" si="134"/>
        <v>explicit C balance</v>
      </c>
      <c r="EA121" s="143">
        <v>0</v>
      </c>
      <c r="EB121" s="143">
        <v>0</v>
      </c>
      <c r="EC121" s="143">
        <v>0</v>
      </c>
      <c r="ED121" s="143">
        <v>0</v>
      </c>
      <c r="EE121">
        <v>0</v>
      </c>
      <c r="EF121" s="143">
        <v>0</v>
      </c>
      <c r="EG121" s="143">
        <v>1</v>
      </c>
      <c r="EH121" s="143">
        <v>1</v>
      </c>
      <c r="EI121" s="143">
        <v>0</v>
      </c>
      <c r="EJ121" s="143">
        <v>0</v>
      </c>
      <c r="EK121">
        <v>0</v>
      </c>
      <c r="EL121" s="143">
        <v>0</v>
      </c>
      <c r="EM121">
        <v>0</v>
      </c>
      <c r="EN121" s="2">
        <v>0</v>
      </c>
      <c r="EP121" t="str">
        <f t="shared" si="99"/>
        <v/>
      </c>
      <c r="EQ121" t="str">
        <f t="shared" si="100"/>
        <v/>
      </c>
      <c r="ER121" s="2" t="str">
        <f t="shared" si="101"/>
        <v>Technology approach</v>
      </c>
      <c r="ES121" t="str">
        <f t="shared" si="102"/>
        <v/>
      </c>
      <c r="ET121" t="str">
        <f t="shared" si="103"/>
        <v/>
      </c>
      <c r="EU121" t="str">
        <f t="shared" si="104"/>
        <v/>
      </c>
      <c r="EY121" t="b">
        <f>IF(ISNUMBER(BW121),IF(ABS(BW121-[1]QC_indicators!$B$2)&gt;3*[1]QC_indicators!$C$2,"C ratio",IF(ISNUMBER(CA121),IF(ABS(CA121-[1]QC_indicators!$B$1)&gt;3*[1]QC_indicators!$C$1,"DF","no"))),IF(ISNUMBER(CA121),IF(ABS(CA121-[1]QC_indicators!$B$1)&gt;3*[1]QC_indicators!$C$1,"DF","no")))</f>
        <v>0</v>
      </c>
      <c r="FA121" t="str">
        <f t="shared" si="105"/>
        <v/>
      </c>
      <c r="FB121" s="299" t="s">
        <v>349</v>
      </c>
    </row>
    <row r="122" spans="1:160" ht="15" hidden="1" customHeight="1">
      <c r="A122" s="1" t="s">
        <v>574</v>
      </c>
      <c r="B122" t="s">
        <v>3099</v>
      </c>
      <c r="C122" t="s">
        <v>3100</v>
      </c>
      <c r="D122" t="s">
        <v>3101</v>
      </c>
      <c r="E122" t="s">
        <v>3102</v>
      </c>
      <c r="F122" t="s">
        <v>3103</v>
      </c>
      <c r="G122" t="s">
        <v>580</v>
      </c>
      <c r="I122">
        <v>2018</v>
      </c>
      <c r="K122" t="s">
        <v>3104</v>
      </c>
      <c r="M122" t="str">
        <f t="shared" si="57"/>
        <v>Abbas_2018</v>
      </c>
      <c r="N122" s="297" t="s">
        <v>4058</v>
      </c>
      <c r="O122" s="140" t="s">
        <v>223</v>
      </c>
      <c r="Q122" s="297" t="s">
        <v>224</v>
      </c>
      <c r="R122" s="298"/>
      <c r="S122" s="1" t="s">
        <v>3113</v>
      </c>
      <c r="T122" t="s">
        <v>3114</v>
      </c>
      <c r="U122" s="143" t="s">
        <v>3115</v>
      </c>
      <c r="V122" s="143"/>
      <c r="W122" s="143"/>
      <c r="X122">
        <v>0</v>
      </c>
      <c r="Y122">
        <v>0</v>
      </c>
      <c r="Z122">
        <v>0</v>
      </c>
      <c r="AA122">
        <v>0</v>
      </c>
      <c r="AB122">
        <v>0</v>
      </c>
      <c r="AC122">
        <v>0</v>
      </c>
      <c r="AD122">
        <v>0</v>
      </c>
      <c r="AE122">
        <v>0</v>
      </c>
      <c r="AF122">
        <v>1</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s="141">
        <f t="shared" si="106"/>
        <v>1</v>
      </c>
      <c r="BA122" s="141">
        <f t="shared" si="107"/>
        <v>1</v>
      </c>
      <c r="BB122">
        <f t="shared" si="108"/>
        <v>0</v>
      </c>
      <c r="BC122">
        <f t="shared" si="109"/>
        <v>1</v>
      </c>
      <c r="BD122">
        <f t="shared" si="110"/>
        <v>0</v>
      </c>
      <c r="BE122">
        <f t="shared" si="111"/>
        <v>0</v>
      </c>
      <c r="BF122">
        <f t="shared" si="112"/>
        <v>0</v>
      </c>
      <c r="BG122" t="str" cm="1">
        <f t="array" ref="BG122">IF(BA122=1,INDEX($X$7:$AN$7,MATCH(TRUE,INDEX($X122:$AY122&lt;&gt;0,),0)),IF(BA122=0,INDEX($AO$7:$AY$7,MATCH(1,$AO122:$AY122,0)),IF(BH122="Multiple strategies","mixed drivers",IF(BH122="Supply chain","multiple supply","multiple silviculture"))))</f>
        <v>harvesting system</v>
      </c>
      <c r="BH122" s="2" t="str" cm="1">
        <f t="array" ref="BH122">IF(COUNTIF(BB122:BD122,"&lt;&gt;0")=1,INDEX($X$4:$AY$4,MATCH(TRUE,INDEX($X122:$AY122&lt;&gt;0,),0)),IF(COUNTIF(BB122:BD122,"&lt;&gt;0")=0,INDEX($AO$4:$AY$4,MATCH(1,$AO122:$AY122,0)),"Multiple strategies"))</f>
        <v>Supply chain</v>
      </c>
      <c r="BI122" s="142" t="s">
        <v>321</v>
      </c>
      <c r="BJ122" t="s">
        <v>3108</v>
      </c>
      <c r="BL122" s="143" t="s">
        <v>3109</v>
      </c>
      <c r="BM122">
        <v>1</v>
      </c>
      <c r="BN122" s="143">
        <v>1</v>
      </c>
      <c r="BO122" s="143"/>
      <c r="BP122">
        <f t="shared" si="113"/>
        <v>0</v>
      </c>
      <c r="BQ122" s="143">
        <f t="shared" si="114"/>
        <v>0</v>
      </c>
      <c r="BR122" s="297" t="s">
        <v>232</v>
      </c>
      <c r="BS122" s="297" t="s">
        <v>3110</v>
      </c>
      <c r="BT122" t="s">
        <v>3111</v>
      </c>
      <c r="BU122">
        <v>-17.7</v>
      </c>
      <c r="BV122">
        <v>-16.2</v>
      </c>
      <c r="BW122" s="144">
        <v>0.9152542372881356</v>
      </c>
      <c r="BX122">
        <v>1.5</v>
      </c>
      <c r="BZ122">
        <f t="shared" si="115"/>
        <v>1.5E-3</v>
      </c>
      <c r="CA122" t="str">
        <f t="shared" si="95"/>
        <v/>
      </c>
      <c r="CB122">
        <v>0</v>
      </c>
      <c r="CC122">
        <v>0</v>
      </c>
      <c r="CD122">
        <v>0</v>
      </c>
      <c r="CE122">
        <v>0</v>
      </c>
      <c r="CF122">
        <v>0</v>
      </c>
      <c r="CG122">
        <v>0</v>
      </c>
      <c r="CH122">
        <v>0</v>
      </c>
      <c r="CI122">
        <v>0</v>
      </c>
      <c r="CJ122">
        <v>0</v>
      </c>
      <c r="CK122">
        <v>0</v>
      </c>
      <c r="CL122">
        <v>0</v>
      </c>
      <c r="CM122">
        <v>0</v>
      </c>
      <c r="CN122">
        <v>0</v>
      </c>
      <c r="CO122">
        <v>0</v>
      </c>
      <c r="CP122" t="str">
        <f t="shared" si="116"/>
        <v>refOK</v>
      </c>
      <c r="CQ122">
        <f t="shared" si="117"/>
        <v>1</v>
      </c>
      <c r="CR122">
        <f t="shared" si="118"/>
        <v>1</v>
      </c>
      <c r="CS122">
        <f t="shared" si="119"/>
        <v>0</v>
      </c>
      <c r="CT122">
        <f t="shared" si="96"/>
        <v>0</v>
      </c>
      <c r="CU122">
        <f t="shared" si="120"/>
        <v>-17.7</v>
      </c>
      <c r="CV122">
        <f t="shared" si="121"/>
        <v>-16.2</v>
      </c>
      <c r="CW122">
        <f t="shared" si="122"/>
        <v>1.5E-3</v>
      </c>
      <c r="CX122" t="str">
        <f t="shared" si="97"/>
        <v/>
      </c>
      <c r="CY122" t="str">
        <f t="shared" si="123"/>
        <v/>
      </c>
      <c r="CZ122" t="str">
        <f t="shared" si="98"/>
        <v/>
      </c>
      <c r="DA122" s="2">
        <f t="shared" si="124"/>
        <v>8.4745762711864417E-2</v>
      </c>
      <c r="DB122" s="1" t="s">
        <v>1074</v>
      </c>
      <c r="DC122" s="297" t="str">
        <f t="shared" si="125"/>
        <v>reg</v>
      </c>
      <c r="DD122" t="s">
        <v>428</v>
      </c>
      <c r="DF122" s="143"/>
      <c r="DG122" s="143">
        <v>0</v>
      </c>
      <c r="DH122" t="str">
        <f t="shared" si="126"/>
        <v>0</v>
      </c>
      <c r="DI122">
        <v>1</v>
      </c>
      <c r="DJ122">
        <v>0</v>
      </c>
      <c r="DK122">
        <v>0</v>
      </c>
      <c r="DL122">
        <v>0</v>
      </c>
      <c r="DN122">
        <f t="shared" si="127"/>
        <v>1</v>
      </c>
      <c r="DO122" t="str">
        <f t="shared" si="128"/>
        <v>UpstreamInput</v>
      </c>
      <c r="DP122" t="str">
        <f t="shared" si="129"/>
        <v>Upstream</v>
      </c>
      <c r="DQ122">
        <f t="shared" si="130"/>
        <v>0</v>
      </c>
      <c r="DR122">
        <f t="shared" si="131"/>
        <v>0</v>
      </c>
      <c r="DS122">
        <f t="shared" si="132"/>
        <v>0</v>
      </c>
      <c r="DT122">
        <v>0</v>
      </c>
      <c r="DU122" s="143">
        <v>0</v>
      </c>
      <c r="DV122" s="143">
        <v>0</v>
      </c>
      <c r="DW122" s="143">
        <v>0</v>
      </c>
      <c r="DX122" s="143">
        <v>0</v>
      </c>
      <c r="DY122">
        <f t="shared" si="133"/>
        <v>0</v>
      </c>
      <c r="DZ122" s="143" t="str">
        <f t="shared" si="134"/>
        <v>explicit C balance</v>
      </c>
      <c r="EA122" s="143">
        <v>0</v>
      </c>
      <c r="EB122" s="143">
        <v>0</v>
      </c>
      <c r="EC122" s="143">
        <v>0</v>
      </c>
      <c r="ED122" s="143">
        <v>0</v>
      </c>
      <c r="EE122">
        <v>0</v>
      </c>
      <c r="EF122" s="143">
        <v>0</v>
      </c>
      <c r="EG122" s="143">
        <v>1</v>
      </c>
      <c r="EH122" s="143">
        <v>0</v>
      </c>
      <c r="EI122" s="143">
        <v>0</v>
      </c>
      <c r="EJ122" s="143">
        <v>0</v>
      </c>
      <c r="EK122">
        <v>0</v>
      </c>
      <c r="EL122" s="143">
        <v>0</v>
      </c>
      <c r="EM122">
        <v>0</v>
      </c>
      <c r="EN122" s="2">
        <v>0</v>
      </c>
      <c r="EP122" t="str">
        <f t="shared" si="99"/>
        <v/>
      </c>
      <c r="EQ122" t="str">
        <f t="shared" si="100"/>
        <v/>
      </c>
      <c r="ER122" s="2" t="str">
        <f t="shared" si="101"/>
        <v/>
      </c>
      <c r="ES122" t="str">
        <f t="shared" si="102"/>
        <v/>
      </c>
      <c r="ET122" t="str">
        <f t="shared" si="103"/>
        <v/>
      </c>
      <c r="EU122" t="str">
        <f t="shared" si="104"/>
        <v/>
      </c>
      <c r="EY122" t="b">
        <f>IF(ISNUMBER(BW122),IF(ABS(BW122-[1]QC_indicators!$B$2)&gt;3*[1]QC_indicators!$C$2,"C ratio",IF(ISNUMBER(CA122),IF(ABS(CA122-[1]QC_indicators!$B$1)&gt;3*[1]QC_indicators!$C$1,"DF","no"))),IF(ISNUMBER(CA122),IF(ABS(CA122-[1]QC_indicators!$B$1)&gt;3*[1]QC_indicators!$C$1,"DF","no")))</f>
        <v>0</v>
      </c>
      <c r="FA122" t="str">
        <f t="shared" si="105"/>
        <v/>
      </c>
      <c r="FB122" s="299" t="s">
        <v>349</v>
      </c>
    </row>
    <row r="123" spans="1:160" ht="15" hidden="1" customHeight="1">
      <c r="A123" s="1" t="s">
        <v>574</v>
      </c>
      <c r="B123" t="s">
        <v>3099</v>
      </c>
      <c r="C123" t="s">
        <v>3100</v>
      </c>
      <c r="D123" t="s">
        <v>3101</v>
      </c>
      <c r="E123" t="s">
        <v>3102</v>
      </c>
      <c r="F123" t="s">
        <v>3103</v>
      </c>
      <c r="G123" t="s">
        <v>580</v>
      </c>
      <c r="I123">
        <v>2018</v>
      </c>
      <c r="K123" t="s">
        <v>3104</v>
      </c>
      <c r="M123" t="str">
        <f t="shared" si="57"/>
        <v>Abbas_2018</v>
      </c>
      <c r="N123" s="297" t="s">
        <v>4058</v>
      </c>
      <c r="O123" s="140" t="s">
        <v>223</v>
      </c>
      <c r="Q123" s="297" t="s">
        <v>224</v>
      </c>
      <c r="R123" s="298"/>
      <c r="S123" s="1" t="s">
        <v>3116</v>
      </c>
      <c r="T123" t="s">
        <v>3117</v>
      </c>
      <c r="U123" s="143" t="s">
        <v>3118</v>
      </c>
      <c r="V123" s="143"/>
      <c r="W123" s="143"/>
      <c r="X123">
        <v>0</v>
      </c>
      <c r="Y123">
        <v>0</v>
      </c>
      <c r="Z123">
        <v>0</v>
      </c>
      <c r="AA123">
        <v>0</v>
      </c>
      <c r="AB123">
        <v>0</v>
      </c>
      <c r="AC123">
        <v>0</v>
      </c>
      <c r="AD123">
        <v>0</v>
      </c>
      <c r="AE123">
        <v>0</v>
      </c>
      <c r="AF123">
        <v>1</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s="141">
        <f t="shared" si="106"/>
        <v>1</v>
      </c>
      <c r="BA123" s="141">
        <f t="shared" si="107"/>
        <v>1</v>
      </c>
      <c r="BB123">
        <f t="shared" si="108"/>
        <v>0</v>
      </c>
      <c r="BC123">
        <f t="shared" si="109"/>
        <v>1</v>
      </c>
      <c r="BD123">
        <f t="shared" si="110"/>
        <v>0</v>
      </c>
      <c r="BE123">
        <f t="shared" si="111"/>
        <v>0</v>
      </c>
      <c r="BF123">
        <f t="shared" si="112"/>
        <v>0</v>
      </c>
      <c r="BG123" t="str" cm="1">
        <f t="array" ref="BG123">IF(BA123=1,INDEX($X$7:$AN$7,MATCH(TRUE,INDEX($X123:$AY123&lt;&gt;0,),0)),IF(BA123=0,INDEX($AO$7:$AY$7,MATCH(1,$AO123:$AY123,0)),IF(BH123="Multiple strategies","mixed drivers",IF(BH123="Supply chain","multiple supply","multiple silviculture"))))</f>
        <v>harvesting system</v>
      </c>
      <c r="BH123" s="2" t="str" cm="1">
        <f t="array" ref="BH123">IF(COUNTIF(BB123:BD123,"&lt;&gt;0")=1,INDEX($X$4:$AY$4,MATCH(TRUE,INDEX($X123:$AY123&lt;&gt;0,),0)),IF(COUNTIF(BB123:BD123,"&lt;&gt;0")=0,INDEX($AO$4:$AY$4,MATCH(1,$AO123:$AY123,0)),"Multiple strategies"))</f>
        <v>Supply chain</v>
      </c>
      <c r="BI123" s="142" t="s">
        <v>321</v>
      </c>
      <c r="BJ123" t="s">
        <v>3108</v>
      </c>
      <c r="BL123" s="143" t="s">
        <v>3109</v>
      </c>
      <c r="BM123">
        <v>1</v>
      </c>
      <c r="BN123" s="143">
        <v>1</v>
      </c>
      <c r="BO123" s="143"/>
      <c r="BP123">
        <f t="shared" si="113"/>
        <v>0</v>
      </c>
      <c r="BQ123" s="143">
        <f t="shared" si="114"/>
        <v>0</v>
      </c>
      <c r="BR123" s="297" t="s">
        <v>232</v>
      </c>
      <c r="BS123" s="297" t="s">
        <v>687</v>
      </c>
      <c r="BT123" t="s">
        <v>3111</v>
      </c>
      <c r="BU123">
        <v>45.1</v>
      </c>
      <c r="BV123">
        <v>49</v>
      </c>
      <c r="BW123" s="144">
        <v>1.0864745011086474</v>
      </c>
      <c r="BX123">
        <v>3.8999999999999986</v>
      </c>
      <c r="BZ123">
        <f t="shared" si="115"/>
        <v>3.8999999999999985E-3</v>
      </c>
      <c r="CA123" t="str">
        <f t="shared" si="95"/>
        <v/>
      </c>
      <c r="CB123">
        <v>0</v>
      </c>
      <c r="CC123">
        <v>0</v>
      </c>
      <c r="CD123">
        <v>0</v>
      </c>
      <c r="CE123">
        <v>0</v>
      </c>
      <c r="CF123">
        <v>0</v>
      </c>
      <c r="CG123">
        <v>0</v>
      </c>
      <c r="CH123">
        <v>0</v>
      </c>
      <c r="CI123">
        <v>0</v>
      </c>
      <c r="CJ123">
        <v>0</v>
      </c>
      <c r="CK123">
        <v>0</v>
      </c>
      <c r="CL123">
        <v>0</v>
      </c>
      <c r="CM123">
        <v>0</v>
      </c>
      <c r="CN123">
        <v>0</v>
      </c>
      <c r="CO123">
        <v>0</v>
      </c>
      <c r="CP123" t="str">
        <f t="shared" si="116"/>
        <v>refOK</v>
      </c>
      <c r="CQ123">
        <f t="shared" si="117"/>
        <v>1</v>
      </c>
      <c r="CR123">
        <f t="shared" si="118"/>
        <v>1</v>
      </c>
      <c r="CS123">
        <f t="shared" si="119"/>
        <v>0</v>
      </c>
      <c r="CT123">
        <f t="shared" si="96"/>
        <v>0</v>
      </c>
      <c r="CU123">
        <f t="shared" si="120"/>
        <v>45.1</v>
      </c>
      <c r="CV123">
        <f t="shared" si="121"/>
        <v>49</v>
      </c>
      <c r="CW123">
        <f t="shared" si="122"/>
        <v>3.8999999999999985E-3</v>
      </c>
      <c r="CX123" t="str">
        <f t="shared" si="97"/>
        <v/>
      </c>
      <c r="CY123" t="str">
        <f t="shared" si="123"/>
        <v/>
      </c>
      <c r="CZ123" t="str">
        <f t="shared" si="98"/>
        <v/>
      </c>
      <c r="DA123" s="2">
        <f t="shared" si="124"/>
        <v>8.647450110864742E-2</v>
      </c>
      <c r="DB123" s="1" t="s">
        <v>1074</v>
      </c>
      <c r="DC123" s="297" t="str">
        <f t="shared" si="125"/>
        <v>reg</v>
      </c>
      <c r="DD123" t="s">
        <v>428</v>
      </c>
      <c r="DF123" s="143"/>
      <c r="DG123" s="143">
        <v>0</v>
      </c>
      <c r="DH123" t="str">
        <f t="shared" si="126"/>
        <v>0</v>
      </c>
      <c r="DI123">
        <v>1</v>
      </c>
      <c r="DJ123">
        <v>0</v>
      </c>
      <c r="DK123">
        <v>0</v>
      </c>
      <c r="DL123">
        <v>0</v>
      </c>
      <c r="DN123">
        <f t="shared" si="127"/>
        <v>1</v>
      </c>
      <c r="DO123" t="str">
        <f t="shared" si="128"/>
        <v>UpstreamInput</v>
      </c>
      <c r="DP123" t="str">
        <f t="shared" si="129"/>
        <v>Upstream</v>
      </c>
      <c r="DQ123">
        <f t="shared" si="130"/>
        <v>0</v>
      </c>
      <c r="DR123">
        <f t="shared" si="131"/>
        <v>0</v>
      </c>
      <c r="DS123">
        <f t="shared" si="132"/>
        <v>0</v>
      </c>
      <c r="DT123">
        <v>0</v>
      </c>
      <c r="DU123" s="143">
        <v>0</v>
      </c>
      <c r="DV123" s="143">
        <v>0</v>
      </c>
      <c r="DW123" s="143">
        <v>0</v>
      </c>
      <c r="DX123" s="143">
        <v>0</v>
      </c>
      <c r="DY123">
        <f t="shared" si="133"/>
        <v>0</v>
      </c>
      <c r="DZ123" s="143" t="str">
        <f t="shared" si="134"/>
        <v>explicit C balance</v>
      </c>
      <c r="EA123" s="143">
        <v>0</v>
      </c>
      <c r="EB123" s="143">
        <v>0</v>
      </c>
      <c r="EC123" s="143">
        <v>0</v>
      </c>
      <c r="ED123" s="143">
        <v>0</v>
      </c>
      <c r="EE123">
        <v>0</v>
      </c>
      <c r="EF123" s="143">
        <v>0</v>
      </c>
      <c r="EG123" s="143">
        <v>1</v>
      </c>
      <c r="EH123" s="143">
        <v>1</v>
      </c>
      <c r="EI123" s="143">
        <v>0</v>
      </c>
      <c r="EJ123" s="143">
        <v>0</v>
      </c>
      <c r="EK123">
        <v>0</v>
      </c>
      <c r="EL123" s="143">
        <v>0</v>
      </c>
      <c r="EM123">
        <v>0</v>
      </c>
      <c r="EN123" s="2">
        <v>0</v>
      </c>
      <c r="EP123" t="str">
        <f t="shared" si="99"/>
        <v/>
      </c>
      <c r="EQ123" t="str">
        <f t="shared" si="100"/>
        <v/>
      </c>
      <c r="ER123" s="2" t="str">
        <f t="shared" si="101"/>
        <v>Technology approach</v>
      </c>
      <c r="ES123" t="str">
        <f t="shared" si="102"/>
        <v/>
      </c>
      <c r="ET123" t="str">
        <f t="shared" si="103"/>
        <v/>
      </c>
      <c r="EU123" t="str">
        <f t="shared" si="104"/>
        <v/>
      </c>
      <c r="EY123" t="b">
        <f>IF(ISNUMBER(BW123),IF(ABS(BW123-[1]QC_indicators!$B$2)&gt;3*[1]QC_indicators!$C$2,"C ratio",IF(ISNUMBER(CA123),IF(ABS(CA123-[1]QC_indicators!$B$1)&gt;3*[1]QC_indicators!$C$1,"DF","no"))),IF(ISNUMBER(CA123),IF(ABS(CA123-[1]QC_indicators!$B$1)&gt;3*[1]QC_indicators!$C$1,"DF","no")))</f>
        <v>0</v>
      </c>
      <c r="FA123" t="str">
        <f t="shared" si="105"/>
        <v/>
      </c>
      <c r="FB123" s="299" t="s">
        <v>349</v>
      </c>
    </row>
    <row r="124" spans="1:160" ht="15" hidden="1" customHeight="1">
      <c r="A124" s="1" t="s">
        <v>574</v>
      </c>
      <c r="B124" t="s">
        <v>3099</v>
      </c>
      <c r="C124" t="s">
        <v>3100</v>
      </c>
      <c r="D124" t="s">
        <v>3101</v>
      </c>
      <c r="E124" t="s">
        <v>3102</v>
      </c>
      <c r="F124" t="s">
        <v>3103</v>
      </c>
      <c r="G124" t="s">
        <v>580</v>
      </c>
      <c r="I124">
        <v>2018</v>
      </c>
      <c r="K124" t="s">
        <v>3104</v>
      </c>
      <c r="M124" t="str">
        <f t="shared" si="57"/>
        <v>Abbas_2018</v>
      </c>
      <c r="N124" s="297" t="s">
        <v>4058</v>
      </c>
      <c r="O124" s="140" t="s">
        <v>223</v>
      </c>
      <c r="Q124" s="297" t="s">
        <v>224</v>
      </c>
      <c r="R124" s="298"/>
      <c r="S124" s="1" t="s">
        <v>3116</v>
      </c>
      <c r="T124" t="s">
        <v>3117</v>
      </c>
      <c r="U124" s="143" t="s">
        <v>3118</v>
      </c>
      <c r="V124" s="143"/>
      <c r="W124" s="143"/>
      <c r="X124">
        <v>0</v>
      </c>
      <c r="Y124">
        <v>0</v>
      </c>
      <c r="Z124">
        <v>0</v>
      </c>
      <c r="AA124">
        <v>0</v>
      </c>
      <c r="AB124">
        <v>0</v>
      </c>
      <c r="AC124">
        <v>0</v>
      </c>
      <c r="AD124">
        <v>0</v>
      </c>
      <c r="AE124">
        <v>0</v>
      </c>
      <c r="AF124">
        <v>1</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s="141">
        <f t="shared" si="106"/>
        <v>1</v>
      </c>
      <c r="BA124" s="141">
        <f t="shared" si="107"/>
        <v>1</v>
      </c>
      <c r="BB124">
        <f t="shared" si="108"/>
        <v>0</v>
      </c>
      <c r="BC124">
        <f t="shared" si="109"/>
        <v>1</v>
      </c>
      <c r="BD124">
        <f t="shared" si="110"/>
        <v>0</v>
      </c>
      <c r="BE124">
        <f t="shared" si="111"/>
        <v>0</v>
      </c>
      <c r="BF124">
        <f t="shared" si="112"/>
        <v>0</v>
      </c>
      <c r="BG124" t="str" cm="1">
        <f t="array" ref="BG124">IF(BA124=1,INDEX($X$7:$AN$7,MATCH(TRUE,INDEX($X124:$AY124&lt;&gt;0,),0)),IF(BA124=0,INDEX($AO$7:$AY$7,MATCH(1,$AO124:$AY124,0)),IF(BH124="Multiple strategies","mixed drivers",IF(BH124="Supply chain","multiple supply","multiple silviculture"))))</f>
        <v>harvesting system</v>
      </c>
      <c r="BH124" s="2" t="str" cm="1">
        <f t="array" ref="BH124">IF(COUNTIF(BB124:BD124,"&lt;&gt;0")=1,INDEX($X$4:$AY$4,MATCH(TRUE,INDEX($X124:$AY124&lt;&gt;0,),0)),IF(COUNTIF(BB124:BD124,"&lt;&gt;0")=0,INDEX($AO$4:$AY$4,MATCH(1,$AO124:$AY124,0)),"Multiple strategies"))</f>
        <v>Supply chain</v>
      </c>
      <c r="BI124" s="142" t="s">
        <v>321</v>
      </c>
      <c r="BJ124" t="s">
        <v>3108</v>
      </c>
      <c r="BL124" s="143" t="s">
        <v>3109</v>
      </c>
      <c r="BM124">
        <v>1</v>
      </c>
      <c r="BN124" s="143">
        <v>1</v>
      </c>
      <c r="BO124" s="143"/>
      <c r="BP124">
        <f t="shared" si="113"/>
        <v>0</v>
      </c>
      <c r="BQ124" s="143">
        <f t="shared" si="114"/>
        <v>0</v>
      </c>
      <c r="BR124" s="297" t="s">
        <v>232</v>
      </c>
      <c r="BS124" s="297" t="s">
        <v>687</v>
      </c>
      <c r="BT124" t="s">
        <v>3111</v>
      </c>
      <c r="BU124">
        <v>34</v>
      </c>
      <c r="BV124">
        <v>37.9</v>
      </c>
      <c r="BW124" s="144">
        <v>1.1147058823529412</v>
      </c>
      <c r="BX124">
        <v>3.8999999999999986</v>
      </c>
      <c r="BZ124">
        <f t="shared" si="115"/>
        <v>3.8999999999999985E-3</v>
      </c>
      <c r="CA124" t="str">
        <f t="shared" si="95"/>
        <v/>
      </c>
      <c r="CB124">
        <v>0</v>
      </c>
      <c r="CC124">
        <v>0</v>
      </c>
      <c r="CD124">
        <v>0</v>
      </c>
      <c r="CE124">
        <v>0</v>
      </c>
      <c r="CF124">
        <v>0</v>
      </c>
      <c r="CG124">
        <v>0</v>
      </c>
      <c r="CH124">
        <v>0</v>
      </c>
      <c r="CI124">
        <v>0</v>
      </c>
      <c r="CJ124">
        <v>0</v>
      </c>
      <c r="CK124">
        <v>0</v>
      </c>
      <c r="CL124">
        <v>0</v>
      </c>
      <c r="CM124">
        <v>0</v>
      </c>
      <c r="CN124">
        <v>0</v>
      </c>
      <c r="CO124">
        <v>0</v>
      </c>
      <c r="CP124" t="str">
        <f t="shared" si="116"/>
        <v>refOK</v>
      </c>
      <c r="CQ124">
        <f t="shared" si="117"/>
        <v>1</v>
      </c>
      <c r="CR124">
        <f t="shared" si="118"/>
        <v>1</v>
      </c>
      <c r="CS124">
        <f t="shared" si="119"/>
        <v>0</v>
      </c>
      <c r="CT124">
        <f t="shared" si="96"/>
        <v>0</v>
      </c>
      <c r="CU124">
        <f t="shared" si="120"/>
        <v>34</v>
      </c>
      <c r="CV124">
        <f t="shared" si="121"/>
        <v>37.9</v>
      </c>
      <c r="CW124">
        <f t="shared" si="122"/>
        <v>3.8999999999999985E-3</v>
      </c>
      <c r="CX124" t="str">
        <f t="shared" si="97"/>
        <v/>
      </c>
      <c r="CY124" t="str">
        <f t="shared" si="123"/>
        <v/>
      </c>
      <c r="CZ124" t="str">
        <f t="shared" si="98"/>
        <v/>
      </c>
      <c r="DA124" s="2">
        <f t="shared" si="124"/>
        <v>0.11470588235294113</v>
      </c>
      <c r="DB124" s="1" t="s">
        <v>1074</v>
      </c>
      <c r="DC124" s="297" t="str">
        <f t="shared" si="125"/>
        <v>reg</v>
      </c>
      <c r="DD124" t="s">
        <v>428</v>
      </c>
      <c r="DF124" s="143"/>
      <c r="DG124" s="143">
        <v>0</v>
      </c>
      <c r="DH124" t="str">
        <f t="shared" si="126"/>
        <v>0</v>
      </c>
      <c r="DI124">
        <v>1</v>
      </c>
      <c r="DJ124">
        <v>0</v>
      </c>
      <c r="DK124">
        <v>0</v>
      </c>
      <c r="DL124">
        <v>0</v>
      </c>
      <c r="DN124">
        <f t="shared" si="127"/>
        <v>1</v>
      </c>
      <c r="DO124" t="str">
        <f t="shared" si="128"/>
        <v>UpstreamInput</v>
      </c>
      <c r="DP124" t="str">
        <f t="shared" si="129"/>
        <v>Upstream</v>
      </c>
      <c r="DQ124">
        <f t="shared" si="130"/>
        <v>0</v>
      </c>
      <c r="DR124">
        <f t="shared" si="131"/>
        <v>0</v>
      </c>
      <c r="DS124">
        <f t="shared" si="132"/>
        <v>0</v>
      </c>
      <c r="DT124">
        <v>0</v>
      </c>
      <c r="DU124" s="143">
        <v>0</v>
      </c>
      <c r="DV124" s="143">
        <v>0</v>
      </c>
      <c r="DW124" s="143">
        <v>0</v>
      </c>
      <c r="DX124" s="143">
        <v>0</v>
      </c>
      <c r="DY124">
        <f t="shared" si="133"/>
        <v>0</v>
      </c>
      <c r="DZ124" s="143" t="str">
        <f t="shared" si="134"/>
        <v>explicit C balance</v>
      </c>
      <c r="EA124" s="143">
        <v>0</v>
      </c>
      <c r="EB124" s="143">
        <v>0</v>
      </c>
      <c r="EC124" s="143">
        <v>0</v>
      </c>
      <c r="ED124" s="143">
        <v>0</v>
      </c>
      <c r="EE124">
        <v>0</v>
      </c>
      <c r="EF124" s="143">
        <v>0</v>
      </c>
      <c r="EG124" s="143">
        <v>1</v>
      </c>
      <c r="EH124" s="143">
        <v>1</v>
      </c>
      <c r="EI124" s="143">
        <v>0</v>
      </c>
      <c r="EJ124" s="143">
        <v>0</v>
      </c>
      <c r="EK124">
        <v>0</v>
      </c>
      <c r="EL124" s="143">
        <v>0</v>
      </c>
      <c r="EM124">
        <v>0</v>
      </c>
      <c r="EN124" s="2">
        <v>0</v>
      </c>
      <c r="EP124" t="str">
        <f t="shared" si="99"/>
        <v/>
      </c>
      <c r="EQ124" t="str">
        <f t="shared" si="100"/>
        <v/>
      </c>
      <c r="ER124" s="2" t="str">
        <f t="shared" si="101"/>
        <v>Technology approach</v>
      </c>
      <c r="ES124" t="str">
        <f t="shared" si="102"/>
        <v/>
      </c>
      <c r="ET124" t="str">
        <f t="shared" si="103"/>
        <v/>
      </c>
      <c r="EU124" t="str">
        <f t="shared" si="104"/>
        <v/>
      </c>
      <c r="EY124" t="b">
        <f>IF(ISNUMBER(BW124),IF(ABS(BW124-[1]QC_indicators!$B$2)&gt;3*[1]QC_indicators!$C$2,"C ratio",IF(ISNUMBER(CA124),IF(ABS(CA124-[1]QC_indicators!$B$1)&gt;3*[1]QC_indicators!$C$1,"DF","no"))),IF(ISNUMBER(CA124),IF(ABS(CA124-[1]QC_indicators!$B$1)&gt;3*[1]QC_indicators!$C$1,"DF","no")))</f>
        <v>0</v>
      </c>
      <c r="FA124" t="str">
        <f t="shared" si="105"/>
        <v/>
      </c>
      <c r="FB124" s="299" t="s">
        <v>349</v>
      </c>
    </row>
    <row r="125" spans="1:160" ht="15" hidden="1" customHeight="1">
      <c r="A125" s="1" t="s">
        <v>574</v>
      </c>
      <c r="B125" t="s">
        <v>3099</v>
      </c>
      <c r="C125" t="s">
        <v>3100</v>
      </c>
      <c r="D125" t="s">
        <v>3101</v>
      </c>
      <c r="E125" t="s">
        <v>3102</v>
      </c>
      <c r="F125" t="s">
        <v>3103</v>
      </c>
      <c r="G125" t="s">
        <v>580</v>
      </c>
      <c r="I125">
        <v>2018</v>
      </c>
      <c r="K125" t="s">
        <v>3104</v>
      </c>
      <c r="M125" t="str">
        <f t="shared" si="57"/>
        <v>Abbas_2018</v>
      </c>
      <c r="N125" s="297" t="s">
        <v>4058</v>
      </c>
      <c r="O125" s="140" t="s">
        <v>223</v>
      </c>
      <c r="Q125" s="297" t="s">
        <v>224</v>
      </c>
      <c r="R125" s="298"/>
      <c r="S125" s="1" t="s">
        <v>3113</v>
      </c>
      <c r="T125" t="s">
        <v>3114</v>
      </c>
      <c r="U125" s="143" t="s">
        <v>3115</v>
      </c>
      <c r="V125" s="143"/>
      <c r="W125" s="143"/>
      <c r="X125">
        <v>0</v>
      </c>
      <c r="Y125">
        <v>0</v>
      </c>
      <c r="Z125">
        <v>0</v>
      </c>
      <c r="AA125">
        <v>0</v>
      </c>
      <c r="AB125">
        <v>0</v>
      </c>
      <c r="AC125">
        <v>0</v>
      </c>
      <c r="AD125">
        <v>0</v>
      </c>
      <c r="AE125">
        <v>0</v>
      </c>
      <c r="AF125">
        <v>1</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s="141">
        <f t="shared" si="106"/>
        <v>1</v>
      </c>
      <c r="BA125" s="141">
        <f t="shared" si="107"/>
        <v>1</v>
      </c>
      <c r="BB125">
        <f t="shared" si="108"/>
        <v>0</v>
      </c>
      <c r="BC125">
        <f t="shared" si="109"/>
        <v>1</v>
      </c>
      <c r="BD125">
        <f t="shared" si="110"/>
        <v>0</v>
      </c>
      <c r="BE125">
        <f t="shared" si="111"/>
        <v>0</v>
      </c>
      <c r="BF125">
        <f t="shared" si="112"/>
        <v>0</v>
      </c>
      <c r="BG125" t="str" cm="1">
        <f t="array" ref="BG125">IF(BA125=1,INDEX($X$7:$AN$7,MATCH(TRUE,INDEX($X125:$AY125&lt;&gt;0,),0)),IF(BA125=0,INDEX($AO$7:$AY$7,MATCH(1,$AO125:$AY125,0)),IF(BH125="Multiple strategies","mixed drivers",IF(BH125="Supply chain","multiple supply","multiple silviculture"))))</f>
        <v>harvesting system</v>
      </c>
      <c r="BH125" s="2" t="str" cm="1">
        <f t="array" ref="BH125">IF(COUNTIF(BB125:BD125,"&lt;&gt;0")=1,INDEX($X$4:$AY$4,MATCH(TRUE,INDEX($X125:$AY125&lt;&gt;0,),0)),IF(COUNTIF(BB125:BD125,"&lt;&gt;0")=0,INDEX($AO$4:$AY$4,MATCH(1,$AO125:$AY125,0)),"Multiple strategies"))</f>
        <v>Supply chain</v>
      </c>
      <c r="BI125" s="142" t="s">
        <v>321</v>
      </c>
      <c r="BJ125" t="s">
        <v>3108</v>
      </c>
      <c r="BL125" s="143" t="s">
        <v>3109</v>
      </c>
      <c r="BM125">
        <v>1</v>
      </c>
      <c r="BN125" s="143">
        <v>1</v>
      </c>
      <c r="BO125" s="143"/>
      <c r="BP125">
        <f t="shared" si="113"/>
        <v>0</v>
      </c>
      <c r="BQ125" s="143">
        <f t="shared" si="114"/>
        <v>0</v>
      </c>
      <c r="BR125" s="297" t="s">
        <v>232</v>
      </c>
      <c r="BS125" s="297" t="s">
        <v>3110</v>
      </c>
      <c r="BT125" t="s">
        <v>3111</v>
      </c>
      <c r="BU125">
        <v>-21.1</v>
      </c>
      <c r="BV125">
        <v>-18.600000000000001</v>
      </c>
      <c r="BW125" s="144">
        <v>0.88151658767772512</v>
      </c>
      <c r="BX125">
        <v>2.5</v>
      </c>
      <c r="BZ125">
        <f t="shared" si="115"/>
        <v>2.5000000000000001E-3</v>
      </c>
      <c r="CA125" t="str">
        <f t="shared" si="95"/>
        <v/>
      </c>
      <c r="CB125">
        <v>0</v>
      </c>
      <c r="CC125">
        <v>0</v>
      </c>
      <c r="CD125">
        <v>0</v>
      </c>
      <c r="CE125">
        <v>0</v>
      </c>
      <c r="CF125">
        <v>0</v>
      </c>
      <c r="CG125">
        <v>0</v>
      </c>
      <c r="CH125">
        <v>0</v>
      </c>
      <c r="CI125">
        <v>0</v>
      </c>
      <c r="CJ125">
        <v>0</v>
      </c>
      <c r="CK125">
        <v>0</v>
      </c>
      <c r="CL125">
        <v>0</v>
      </c>
      <c r="CM125">
        <v>0</v>
      </c>
      <c r="CN125">
        <v>0</v>
      </c>
      <c r="CO125">
        <v>0</v>
      </c>
      <c r="CP125" t="str">
        <f t="shared" si="116"/>
        <v>refOK</v>
      </c>
      <c r="CQ125">
        <f t="shared" si="117"/>
        <v>1</v>
      </c>
      <c r="CR125">
        <f t="shared" si="118"/>
        <v>1</v>
      </c>
      <c r="CS125">
        <f t="shared" si="119"/>
        <v>0</v>
      </c>
      <c r="CT125">
        <f t="shared" si="96"/>
        <v>0</v>
      </c>
      <c r="CU125">
        <f t="shared" si="120"/>
        <v>-21.1</v>
      </c>
      <c r="CV125">
        <f t="shared" si="121"/>
        <v>-18.600000000000001</v>
      </c>
      <c r="CW125">
        <f t="shared" si="122"/>
        <v>2.5000000000000001E-3</v>
      </c>
      <c r="CX125" t="str">
        <f t="shared" si="97"/>
        <v/>
      </c>
      <c r="CY125" t="str">
        <f t="shared" si="123"/>
        <v/>
      </c>
      <c r="CZ125" t="str">
        <f t="shared" si="98"/>
        <v/>
      </c>
      <c r="DA125" s="2">
        <f t="shared" si="124"/>
        <v>0.11848341232227487</v>
      </c>
      <c r="DB125" s="1" t="s">
        <v>1074</v>
      </c>
      <c r="DC125" s="297" t="str">
        <f t="shared" si="125"/>
        <v>reg</v>
      </c>
      <c r="DD125" t="s">
        <v>428</v>
      </c>
      <c r="DF125" s="143"/>
      <c r="DG125" s="143">
        <v>0</v>
      </c>
      <c r="DH125" t="str">
        <f t="shared" si="126"/>
        <v>0</v>
      </c>
      <c r="DI125">
        <v>1</v>
      </c>
      <c r="DJ125">
        <v>0</v>
      </c>
      <c r="DK125">
        <v>0</v>
      </c>
      <c r="DL125">
        <v>0</v>
      </c>
      <c r="DN125">
        <f t="shared" si="127"/>
        <v>1</v>
      </c>
      <c r="DO125" t="str">
        <f t="shared" si="128"/>
        <v>UpstreamInput</v>
      </c>
      <c r="DP125" t="str">
        <f t="shared" si="129"/>
        <v>Upstream</v>
      </c>
      <c r="DQ125">
        <f t="shared" si="130"/>
        <v>0</v>
      </c>
      <c r="DR125">
        <f t="shared" si="131"/>
        <v>0</v>
      </c>
      <c r="DS125">
        <f t="shared" si="132"/>
        <v>0</v>
      </c>
      <c r="DT125">
        <v>0</v>
      </c>
      <c r="DU125" s="143">
        <v>0</v>
      </c>
      <c r="DV125" s="143">
        <v>0</v>
      </c>
      <c r="DW125" s="143">
        <v>0</v>
      </c>
      <c r="DX125" s="143">
        <v>0</v>
      </c>
      <c r="DY125">
        <f t="shared" si="133"/>
        <v>0</v>
      </c>
      <c r="DZ125" s="143" t="str">
        <f t="shared" si="134"/>
        <v>explicit C balance</v>
      </c>
      <c r="EA125" s="143">
        <v>0</v>
      </c>
      <c r="EB125" s="143">
        <v>0</v>
      </c>
      <c r="EC125" s="143">
        <v>0</v>
      </c>
      <c r="ED125" s="143">
        <v>0</v>
      </c>
      <c r="EE125">
        <v>0</v>
      </c>
      <c r="EF125" s="143">
        <v>0</v>
      </c>
      <c r="EG125" s="143">
        <v>1</v>
      </c>
      <c r="EH125" s="143">
        <v>0</v>
      </c>
      <c r="EI125" s="143">
        <v>0</v>
      </c>
      <c r="EJ125" s="143">
        <v>0</v>
      </c>
      <c r="EK125">
        <v>0</v>
      </c>
      <c r="EL125" s="143">
        <v>0</v>
      </c>
      <c r="EM125">
        <v>0</v>
      </c>
      <c r="EN125" s="2">
        <v>0</v>
      </c>
      <c r="EP125" t="str">
        <f t="shared" si="99"/>
        <v/>
      </c>
      <c r="EQ125" t="str">
        <f t="shared" si="100"/>
        <v/>
      </c>
      <c r="ER125" s="2" t="str">
        <f t="shared" si="101"/>
        <v/>
      </c>
      <c r="ES125" t="str">
        <f t="shared" si="102"/>
        <v/>
      </c>
      <c r="ET125" t="str">
        <f t="shared" si="103"/>
        <v/>
      </c>
      <c r="EU125" t="str">
        <f t="shared" si="104"/>
        <v/>
      </c>
      <c r="EY125" t="b">
        <f>IF(ISNUMBER(BW125),IF(ABS(BW125-[1]QC_indicators!$B$2)&gt;3*[1]QC_indicators!$C$2,"C ratio",IF(ISNUMBER(CA125),IF(ABS(CA125-[1]QC_indicators!$B$1)&gt;3*[1]QC_indicators!$C$1,"DF","no"))),IF(ISNUMBER(CA125),IF(ABS(CA125-[1]QC_indicators!$B$1)&gt;3*[1]QC_indicators!$C$1,"DF","no")))</f>
        <v>0</v>
      </c>
      <c r="FA125" t="str">
        <f t="shared" si="105"/>
        <v/>
      </c>
      <c r="FB125" s="299" t="s">
        <v>349</v>
      </c>
    </row>
    <row r="126" spans="1:160" ht="15" hidden="1" customHeight="1">
      <c r="A126" s="1" t="s">
        <v>574</v>
      </c>
      <c r="B126" t="s">
        <v>3099</v>
      </c>
      <c r="C126" t="s">
        <v>3100</v>
      </c>
      <c r="D126" t="s">
        <v>3101</v>
      </c>
      <c r="E126" t="s">
        <v>3102</v>
      </c>
      <c r="F126" t="s">
        <v>3103</v>
      </c>
      <c r="G126" t="s">
        <v>580</v>
      </c>
      <c r="I126">
        <v>2018</v>
      </c>
      <c r="K126" t="s">
        <v>3104</v>
      </c>
      <c r="M126" t="str">
        <f t="shared" si="57"/>
        <v>Abbas_2018</v>
      </c>
      <c r="N126" s="297" t="s">
        <v>4058</v>
      </c>
      <c r="O126" s="140" t="s">
        <v>223</v>
      </c>
      <c r="Q126" s="297" t="s">
        <v>224</v>
      </c>
      <c r="R126" s="298"/>
      <c r="S126" s="1" t="s">
        <v>3113</v>
      </c>
      <c r="T126" t="s">
        <v>3114</v>
      </c>
      <c r="U126" s="143" t="s">
        <v>3115</v>
      </c>
      <c r="V126" s="143"/>
      <c r="W126" s="143"/>
      <c r="X126">
        <v>0</v>
      </c>
      <c r="Y126">
        <v>0</v>
      </c>
      <c r="Z126">
        <v>0</v>
      </c>
      <c r="AA126">
        <v>0</v>
      </c>
      <c r="AB126">
        <v>0</v>
      </c>
      <c r="AC126">
        <v>0</v>
      </c>
      <c r="AD126">
        <v>0</v>
      </c>
      <c r="AE126">
        <v>0</v>
      </c>
      <c r="AF126">
        <v>1</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s="141">
        <f t="shared" si="106"/>
        <v>1</v>
      </c>
      <c r="BA126" s="141">
        <f t="shared" si="107"/>
        <v>1</v>
      </c>
      <c r="BB126">
        <f t="shared" si="108"/>
        <v>0</v>
      </c>
      <c r="BC126">
        <f t="shared" si="109"/>
        <v>1</v>
      </c>
      <c r="BD126">
        <f t="shared" si="110"/>
        <v>0</v>
      </c>
      <c r="BE126">
        <f t="shared" si="111"/>
        <v>0</v>
      </c>
      <c r="BF126">
        <f t="shared" si="112"/>
        <v>0</v>
      </c>
      <c r="BG126" t="str" cm="1">
        <f t="array" ref="BG126">IF(BA126=1,INDEX($X$7:$AN$7,MATCH(TRUE,INDEX($X126:$AY126&lt;&gt;0,),0)),IF(BA126=0,INDEX($AO$7:$AY$7,MATCH(1,$AO126:$AY126,0)),IF(BH126="Multiple strategies","mixed drivers",IF(BH126="Supply chain","multiple supply","multiple silviculture"))))</f>
        <v>harvesting system</v>
      </c>
      <c r="BH126" s="2" t="str" cm="1">
        <f t="array" ref="BH126">IF(COUNTIF(BB126:BD126,"&lt;&gt;0")=1,INDEX($X$4:$AY$4,MATCH(TRUE,INDEX($X126:$AY126&lt;&gt;0,),0)),IF(COUNTIF(BB126:BD126,"&lt;&gt;0")=0,INDEX($AO$4:$AY$4,MATCH(1,$AO126:$AY126,0)),"Multiple strategies"))</f>
        <v>Supply chain</v>
      </c>
      <c r="BI126" s="142" t="s">
        <v>321</v>
      </c>
      <c r="BJ126" t="s">
        <v>3108</v>
      </c>
      <c r="BL126" s="143" t="s">
        <v>3109</v>
      </c>
      <c r="BM126">
        <v>1</v>
      </c>
      <c r="BN126" s="143">
        <v>1</v>
      </c>
      <c r="BO126" s="143"/>
      <c r="BP126">
        <f t="shared" si="113"/>
        <v>0</v>
      </c>
      <c r="BQ126" s="143">
        <f t="shared" si="114"/>
        <v>0</v>
      </c>
      <c r="BR126" s="297" t="s">
        <v>232</v>
      </c>
      <c r="BS126" s="297" t="s">
        <v>3110</v>
      </c>
      <c r="BT126" t="s">
        <v>3111</v>
      </c>
      <c r="BU126">
        <v>-23.3</v>
      </c>
      <c r="BV126">
        <v>-19.399999999999999</v>
      </c>
      <c r="BW126" s="144">
        <v>0.83261802575107291</v>
      </c>
      <c r="BX126">
        <v>3.9000000000000021</v>
      </c>
      <c r="BZ126">
        <f t="shared" si="115"/>
        <v>3.900000000000002E-3</v>
      </c>
      <c r="CA126" t="str">
        <f t="shared" si="95"/>
        <v/>
      </c>
      <c r="CB126">
        <v>0</v>
      </c>
      <c r="CC126">
        <v>0</v>
      </c>
      <c r="CD126">
        <v>0</v>
      </c>
      <c r="CE126">
        <v>0</v>
      </c>
      <c r="CF126">
        <v>0</v>
      </c>
      <c r="CG126">
        <v>0</v>
      </c>
      <c r="CH126">
        <v>0</v>
      </c>
      <c r="CI126">
        <v>0</v>
      </c>
      <c r="CJ126">
        <v>0</v>
      </c>
      <c r="CK126">
        <v>0</v>
      </c>
      <c r="CL126">
        <v>0</v>
      </c>
      <c r="CM126">
        <v>0</v>
      </c>
      <c r="CN126">
        <v>0</v>
      </c>
      <c r="CO126">
        <v>0</v>
      </c>
      <c r="CP126" t="str">
        <f t="shared" si="116"/>
        <v>refOK</v>
      </c>
      <c r="CQ126">
        <f t="shared" si="117"/>
        <v>1</v>
      </c>
      <c r="CR126">
        <f t="shared" si="118"/>
        <v>1</v>
      </c>
      <c r="CS126">
        <f t="shared" si="119"/>
        <v>0</v>
      </c>
      <c r="CT126">
        <f t="shared" si="96"/>
        <v>0</v>
      </c>
      <c r="CU126">
        <f t="shared" si="120"/>
        <v>-23.3</v>
      </c>
      <c r="CV126">
        <f t="shared" si="121"/>
        <v>-19.399999999999999</v>
      </c>
      <c r="CW126">
        <f t="shared" si="122"/>
        <v>3.900000000000002E-3</v>
      </c>
      <c r="CX126" t="str">
        <f t="shared" si="97"/>
        <v/>
      </c>
      <c r="CY126" t="str">
        <f t="shared" si="123"/>
        <v/>
      </c>
      <c r="CZ126" t="str">
        <f t="shared" si="98"/>
        <v/>
      </c>
      <c r="DA126" s="2">
        <f t="shared" si="124"/>
        <v>0.16738197424892712</v>
      </c>
      <c r="DB126" s="1" t="s">
        <v>1074</v>
      </c>
      <c r="DC126" s="297" t="str">
        <f t="shared" si="125"/>
        <v>reg</v>
      </c>
      <c r="DD126" t="s">
        <v>428</v>
      </c>
      <c r="DF126" s="143"/>
      <c r="DG126" s="143">
        <v>0</v>
      </c>
      <c r="DH126" t="str">
        <f t="shared" si="126"/>
        <v>0</v>
      </c>
      <c r="DI126">
        <v>1</v>
      </c>
      <c r="DJ126">
        <v>0</v>
      </c>
      <c r="DK126">
        <v>0</v>
      </c>
      <c r="DL126">
        <v>0</v>
      </c>
      <c r="DN126">
        <f t="shared" si="127"/>
        <v>1</v>
      </c>
      <c r="DO126" t="str">
        <f t="shared" si="128"/>
        <v>UpstreamInput</v>
      </c>
      <c r="DP126" t="str">
        <f t="shared" si="129"/>
        <v>Upstream</v>
      </c>
      <c r="DQ126">
        <f t="shared" si="130"/>
        <v>0</v>
      </c>
      <c r="DR126">
        <f t="shared" si="131"/>
        <v>0</v>
      </c>
      <c r="DS126">
        <f t="shared" si="132"/>
        <v>0</v>
      </c>
      <c r="DT126">
        <v>0</v>
      </c>
      <c r="DU126" s="143">
        <v>0</v>
      </c>
      <c r="DV126" s="143">
        <v>0</v>
      </c>
      <c r="DW126" s="143">
        <v>0</v>
      </c>
      <c r="DX126" s="143">
        <v>0</v>
      </c>
      <c r="DY126">
        <f t="shared" si="133"/>
        <v>0</v>
      </c>
      <c r="DZ126" s="143" t="str">
        <f t="shared" si="134"/>
        <v>explicit C balance</v>
      </c>
      <c r="EA126" s="143">
        <v>0</v>
      </c>
      <c r="EB126" s="143">
        <v>0</v>
      </c>
      <c r="EC126" s="143">
        <v>0</v>
      </c>
      <c r="ED126" s="143">
        <v>0</v>
      </c>
      <c r="EE126">
        <v>0</v>
      </c>
      <c r="EF126" s="143">
        <v>0</v>
      </c>
      <c r="EG126" s="143">
        <v>1</v>
      </c>
      <c r="EH126" s="143">
        <v>0</v>
      </c>
      <c r="EI126" s="143">
        <v>0</v>
      </c>
      <c r="EJ126" s="143">
        <v>0</v>
      </c>
      <c r="EK126">
        <v>0</v>
      </c>
      <c r="EL126" s="143">
        <v>0</v>
      </c>
      <c r="EM126">
        <v>0</v>
      </c>
      <c r="EN126" s="2">
        <v>0</v>
      </c>
      <c r="EP126" t="str">
        <f t="shared" si="99"/>
        <v/>
      </c>
      <c r="EQ126" t="str">
        <f t="shared" si="100"/>
        <v/>
      </c>
      <c r="ER126" s="2" t="str">
        <f t="shared" si="101"/>
        <v/>
      </c>
      <c r="ES126" t="str">
        <f t="shared" si="102"/>
        <v/>
      </c>
      <c r="ET126" t="str">
        <f t="shared" si="103"/>
        <v/>
      </c>
      <c r="EU126" t="str">
        <f t="shared" si="104"/>
        <v/>
      </c>
      <c r="EY126" t="b">
        <f>IF(ISNUMBER(BW126),IF(ABS(BW126-[1]QC_indicators!$B$2)&gt;3*[1]QC_indicators!$C$2,"C ratio",IF(ISNUMBER(CA126),IF(ABS(CA126-[1]QC_indicators!$B$1)&gt;3*[1]QC_indicators!$C$1,"DF","no"))),IF(ISNUMBER(CA126),IF(ABS(CA126-[1]QC_indicators!$B$1)&gt;3*[1]QC_indicators!$C$1,"DF","no")))</f>
        <v>0</v>
      </c>
      <c r="FA126" t="str">
        <f t="shared" si="105"/>
        <v/>
      </c>
      <c r="FB126" s="299" t="s">
        <v>349</v>
      </c>
    </row>
    <row r="127" spans="1:160" ht="15" hidden="1" customHeight="1">
      <c r="A127" s="1" t="s">
        <v>574</v>
      </c>
      <c r="B127" t="s">
        <v>3099</v>
      </c>
      <c r="C127" t="s">
        <v>3100</v>
      </c>
      <c r="D127" t="s">
        <v>3101</v>
      </c>
      <c r="E127" t="s">
        <v>3102</v>
      </c>
      <c r="F127" t="s">
        <v>3103</v>
      </c>
      <c r="G127" t="s">
        <v>580</v>
      </c>
      <c r="I127">
        <v>2018</v>
      </c>
      <c r="K127" t="s">
        <v>3104</v>
      </c>
      <c r="M127" t="str">
        <f t="shared" si="57"/>
        <v>Abbas_2018</v>
      </c>
      <c r="N127" s="297" t="s">
        <v>4058</v>
      </c>
      <c r="O127" s="140" t="s">
        <v>223</v>
      </c>
      <c r="Q127" s="297" t="s">
        <v>224</v>
      </c>
      <c r="R127" s="298"/>
      <c r="S127" s="1" t="s">
        <v>3116</v>
      </c>
      <c r="T127" t="s">
        <v>3117</v>
      </c>
      <c r="U127" s="143" t="s">
        <v>3118</v>
      </c>
      <c r="V127" s="143"/>
      <c r="W127" s="143"/>
      <c r="X127">
        <v>0</v>
      </c>
      <c r="Y127">
        <v>0</v>
      </c>
      <c r="Z127">
        <v>0</v>
      </c>
      <c r="AA127">
        <v>0</v>
      </c>
      <c r="AB127">
        <v>0</v>
      </c>
      <c r="AC127">
        <v>0</v>
      </c>
      <c r="AD127">
        <v>0</v>
      </c>
      <c r="AE127">
        <v>0</v>
      </c>
      <c r="AF127">
        <v>1</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s="141">
        <f t="shared" si="106"/>
        <v>1</v>
      </c>
      <c r="BA127" s="141">
        <f t="shared" si="107"/>
        <v>1</v>
      </c>
      <c r="BB127">
        <f t="shared" si="108"/>
        <v>0</v>
      </c>
      <c r="BC127">
        <f t="shared" si="109"/>
        <v>1</v>
      </c>
      <c r="BD127">
        <f t="shared" si="110"/>
        <v>0</v>
      </c>
      <c r="BE127">
        <f t="shared" si="111"/>
        <v>0</v>
      </c>
      <c r="BF127">
        <f t="shared" si="112"/>
        <v>0</v>
      </c>
      <c r="BG127" t="str" cm="1">
        <f t="array" ref="BG127">IF(BA127=1,INDEX($X$7:$AN$7,MATCH(TRUE,INDEX($X127:$AY127&lt;&gt;0,),0)),IF(BA127=0,INDEX($AO$7:$AY$7,MATCH(1,$AO127:$AY127,0)),IF(BH127="Multiple strategies","mixed drivers",IF(BH127="Supply chain","multiple supply","multiple silviculture"))))</f>
        <v>harvesting system</v>
      </c>
      <c r="BH127" s="2" t="str" cm="1">
        <f t="array" ref="BH127">IF(COUNTIF(BB127:BD127,"&lt;&gt;0")=1,INDEX($X$4:$AY$4,MATCH(TRUE,INDEX($X127:$AY127&lt;&gt;0,),0)),IF(COUNTIF(BB127:BD127,"&lt;&gt;0")=0,INDEX($AO$4:$AY$4,MATCH(1,$AO127:$AY127,0)),"Multiple strategies"))</f>
        <v>Supply chain</v>
      </c>
      <c r="BI127" s="142" t="s">
        <v>321</v>
      </c>
      <c r="BJ127" t="s">
        <v>3108</v>
      </c>
      <c r="BL127" s="143" t="s">
        <v>3109</v>
      </c>
      <c r="BM127">
        <v>1</v>
      </c>
      <c r="BN127" s="143">
        <v>1</v>
      </c>
      <c r="BO127" s="143"/>
      <c r="BP127">
        <f t="shared" si="113"/>
        <v>0</v>
      </c>
      <c r="BQ127" s="143">
        <f t="shared" si="114"/>
        <v>0</v>
      </c>
      <c r="BR127" s="297" t="s">
        <v>232</v>
      </c>
      <c r="BS127" s="329" t="s">
        <v>687</v>
      </c>
      <c r="BT127" t="s">
        <v>3111</v>
      </c>
      <c r="BU127">
        <v>22.9</v>
      </c>
      <c r="BV127">
        <v>26.8</v>
      </c>
      <c r="BW127" s="144">
        <v>1.1703056768558953</v>
      </c>
      <c r="BX127">
        <v>3.9000000000000021</v>
      </c>
      <c r="BZ127">
        <f t="shared" si="115"/>
        <v>3.900000000000002E-3</v>
      </c>
      <c r="CA127" t="str">
        <f t="shared" si="95"/>
        <v/>
      </c>
      <c r="CB127">
        <v>0</v>
      </c>
      <c r="CC127">
        <v>0</v>
      </c>
      <c r="CD127">
        <v>0</v>
      </c>
      <c r="CE127">
        <v>0</v>
      </c>
      <c r="CF127">
        <v>0</v>
      </c>
      <c r="CG127">
        <v>0</v>
      </c>
      <c r="CH127">
        <v>0</v>
      </c>
      <c r="CI127">
        <v>0</v>
      </c>
      <c r="CJ127">
        <v>0</v>
      </c>
      <c r="CK127">
        <v>0</v>
      </c>
      <c r="CL127">
        <v>0</v>
      </c>
      <c r="CM127">
        <v>0</v>
      </c>
      <c r="CN127">
        <v>0</v>
      </c>
      <c r="CO127">
        <v>0</v>
      </c>
      <c r="CP127" t="str">
        <f t="shared" si="116"/>
        <v>refOK</v>
      </c>
      <c r="CQ127">
        <f t="shared" si="117"/>
        <v>1</v>
      </c>
      <c r="CR127">
        <f t="shared" si="118"/>
        <v>1</v>
      </c>
      <c r="CS127">
        <f t="shared" si="119"/>
        <v>0</v>
      </c>
      <c r="CT127">
        <f t="shared" si="96"/>
        <v>0</v>
      </c>
      <c r="CU127">
        <f t="shared" si="120"/>
        <v>22.9</v>
      </c>
      <c r="CV127">
        <f t="shared" si="121"/>
        <v>26.8</v>
      </c>
      <c r="CW127">
        <f t="shared" si="122"/>
        <v>3.900000000000002E-3</v>
      </c>
      <c r="CX127" t="str">
        <f t="shared" si="97"/>
        <v/>
      </c>
      <c r="CY127" t="str">
        <f t="shared" si="123"/>
        <v/>
      </c>
      <c r="CZ127" t="str">
        <f t="shared" si="98"/>
        <v/>
      </c>
      <c r="DA127" s="2">
        <f t="shared" si="124"/>
        <v>0.17030567685589529</v>
      </c>
      <c r="DB127" s="1" t="s">
        <v>1074</v>
      </c>
      <c r="DC127" s="297" t="str">
        <f t="shared" si="125"/>
        <v>reg</v>
      </c>
      <c r="DD127" t="s">
        <v>428</v>
      </c>
      <c r="DF127" s="143"/>
      <c r="DG127" s="143">
        <v>0</v>
      </c>
      <c r="DH127" t="str">
        <f t="shared" si="126"/>
        <v>0</v>
      </c>
      <c r="DI127">
        <v>1</v>
      </c>
      <c r="DJ127">
        <v>0</v>
      </c>
      <c r="DK127">
        <v>0</v>
      </c>
      <c r="DL127">
        <v>0</v>
      </c>
      <c r="DN127">
        <f t="shared" si="127"/>
        <v>1</v>
      </c>
      <c r="DO127" t="str">
        <f t="shared" si="128"/>
        <v>UpstreamInput</v>
      </c>
      <c r="DP127" t="str">
        <f t="shared" si="129"/>
        <v>Upstream</v>
      </c>
      <c r="DQ127">
        <f t="shared" si="130"/>
        <v>0</v>
      </c>
      <c r="DR127">
        <f t="shared" si="131"/>
        <v>0</v>
      </c>
      <c r="DS127">
        <f t="shared" si="132"/>
        <v>0</v>
      </c>
      <c r="DT127">
        <v>0</v>
      </c>
      <c r="DU127" s="143">
        <v>0</v>
      </c>
      <c r="DV127" s="143">
        <v>0</v>
      </c>
      <c r="DW127" s="143">
        <v>0</v>
      </c>
      <c r="DX127" s="143">
        <v>0</v>
      </c>
      <c r="DY127">
        <f t="shared" si="133"/>
        <v>0</v>
      </c>
      <c r="DZ127" s="143" t="str">
        <f t="shared" si="134"/>
        <v>explicit C balance</v>
      </c>
      <c r="EA127" s="143">
        <v>0</v>
      </c>
      <c r="EB127" s="143">
        <v>0</v>
      </c>
      <c r="EC127" s="143">
        <v>0</v>
      </c>
      <c r="ED127" s="143">
        <v>0</v>
      </c>
      <c r="EE127">
        <v>0</v>
      </c>
      <c r="EF127" s="143">
        <v>0</v>
      </c>
      <c r="EG127" s="143">
        <v>1</v>
      </c>
      <c r="EH127" s="143">
        <v>1</v>
      </c>
      <c r="EI127" s="143">
        <v>0</v>
      </c>
      <c r="EJ127" s="143">
        <v>0</v>
      </c>
      <c r="EK127">
        <v>0</v>
      </c>
      <c r="EL127" s="143">
        <v>0</v>
      </c>
      <c r="EM127">
        <v>0</v>
      </c>
      <c r="EN127" s="2">
        <v>0</v>
      </c>
      <c r="EP127" t="str">
        <f t="shared" si="99"/>
        <v/>
      </c>
      <c r="EQ127" t="str">
        <f t="shared" si="100"/>
        <v/>
      </c>
      <c r="ER127" s="2" t="str">
        <f t="shared" si="101"/>
        <v>Technology approach</v>
      </c>
      <c r="ES127" t="str">
        <f t="shared" si="102"/>
        <v/>
      </c>
      <c r="ET127" t="str">
        <f t="shared" si="103"/>
        <v/>
      </c>
      <c r="EU127" t="str">
        <f t="shared" si="104"/>
        <v/>
      </c>
      <c r="EY127" t="b">
        <f>IF(ISNUMBER(BW127),IF(ABS(BW127-[1]QC_indicators!$B$2)&gt;3*[1]QC_indicators!$C$2,"C ratio",IF(ISNUMBER(CA127),IF(ABS(CA127-[1]QC_indicators!$B$1)&gt;3*[1]QC_indicators!$C$1,"DF","no"))),IF(ISNUMBER(CA127),IF(ABS(CA127-[1]QC_indicators!$B$1)&gt;3*[1]QC_indicators!$C$1,"DF","no")))</f>
        <v>0</v>
      </c>
      <c r="FA127" t="str">
        <f t="shared" si="105"/>
        <v/>
      </c>
      <c r="FB127" s="299" t="s">
        <v>349</v>
      </c>
    </row>
    <row r="128" spans="1:160" ht="15" hidden="1" customHeight="1">
      <c r="A128" s="1" t="s">
        <v>3121</v>
      </c>
      <c r="B128" t="s">
        <v>3122</v>
      </c>
      <c r="C128" t="s">
        <v>3123</v>
      </c>
      <c r="D128" t="s">
        <v>3124</v>
      </c>
      <c r="E128" t="s">
        <v>3125</v>
      </c>
      <c r="F128" t="s">
        <v>3126</v>
      </c>
      <c r="G128" t="s">
        <v>3127</v>
      </c>
      <c r="I128">
        <v>2018</v>
      </c>
      <c r="K128" t="s">
        <v>3128</v>
      </c>
      <c r="M128" t="str">
        <f t="shared" si="57"/>
        <v>Alanya-Rosenbaum_2018</v>
      </c>
      <c r="N128" s="297" t="s">
        <v>4058</v>
      </c>
      <c r="O128" s="140" t="s">
        <v>223</v>
      </c>
      <c r="Q128" s="297" t="s">
        <v>224</v>
      </c>
      <c r="R128" s="298"/>
      <c r="S128" s="1" t="s">
        <v>423</v>
      </c>
      <c r="T128" t="s">
        <v>1076</v>
      </c>
      <c r="U128" s="143" t="s">
        <v>1075</v>
      </c>
      <c r="V128" s="143"/>
      <c r="W128" s="143"/>
      <c r="X128">
        <v>0</v>
      </c>
      <c r="Y128">
        <v>0</v>
      </c>
      <c r="Z128">
        <v>0</v>
      </c>
      <c r="AA128">
        <v>0</v>
      </c>
      <c r="AB128">
        <v>0</v>
      </c>
      <c r="AC128">
        <v>0</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c r="AX128">
        <v>0</v>
      </c>
      <c r="AY128">
        <v>0</v>
      </c>
      <c r="AZ128" s="141">
        <f t="shared" si="106"/>
        <v>1</v>
      </c>
      <c r="BA128" s="141">
        <f t="shared" si="107"/>
        <v>1</v>
      </c>
      <c r="BB128">
        <f t="shared" si="108"/>
        <v>0</v>
      </c>
      <c r="BC128">
        <f t="shared" si="109"/>
        <v>0</v>
      </c>
      <c r="BD128">
        <f t="shared" si="110"/>
        <v>1</v>
      </c>
      <c r="BE128">
        <f t="shared" si="111"/>
        <v>0</v>
      </c>
      <c r="BF128">
        <f t="shared" si="112"/>
        <v>0</v>
      </c>
      <c r="BG128" t="str" cm="1">
        <f t="array" ref="BG128">IF(BA128=1,INDEX($X$7:$AN$7,MATCH(TRUE,INDEX($X128:$AY128&lt;&gt;0,),0)),IF(BA128=0,INDEX($AO$7:$AY$7,MATCH(1,$AO128:$AY128,0)),IF(BH128="Multiple strategies","mixed drivers",IF(BH128="Supply chain","multiple supply","multiple silviculture"))))</f>
        <v>technologies/design switch</v>
      </c>
      <c r="BH128" s="2" t="str" cm="1">
        <f t="array" ref="BH128">IF(COUNTIF(BB128:BD128,"&lt;&gt;0")=1,INDEX($X$4:$AY$4,MATCH(TRUE,INDEX($X128:$AY128&lt;&gt;0,),0)),IF(COUNTIF(BB128:BD128,"&lt;&gt;0")=0,INDEX($AO$4:$AY$4,MATCH(1,$AO128:$AY128,0)),"Multiple strategies"))</f>
        <v>Technology</v>
      </c>
      <c r="BI128" s="172"/>
      <c r="BL128" s="143"/>
      <c r="BN128" s="143"/>
      <c r="BO128" s="143"/>
      <c r="BP128" s="143"/>
      <c r="BQ128" s="143"/>
      <c r="BR128" s="143" t="s">
        <v>232</v>
      </c>
      <c r="BS128" s="332"/>
      <c r="BT128" s="143" t="s">
        <v>397</v>
      </c>
      <c r="BU128" s="143">
        <v>-102</v>
      </c>
      <c r="BV128">
        <v>-6.57</v>
      </c>
      <c r="BW128">
        <f t="shared" ref="BW128:BW133" si="135">BV128/BU128</f>
        <v>6.4411764705882349E-2</v>
      </c>
      <c r="BX128">
        <f t="shared" ref="BX128:BX133" si="136">BV128-BU128</f>
        <v>95.43</v>
      </c>
      <c r="BZ128">
        <f t="shared" si="115"/>
        <v>9.5430000000000001E-2</v>
      </c>
      <c r="CA128" t="str">
        <f t="shared" si="95"/>
        <v/>
      </c>
      <c r="CB128">
        <v>1</v>
      </c>
      <c r="CC128">
        <v>1</v>
      </c>
      <c r="CD128">
        <v>1</v>
      </c>
      <c r="CE128">
        <v>1</v>
      </c>
      <c r="CF128">
        <v>1</v>
      </c>
      <c r="CG128">
        <v>1</v>
      </c>
      <c r="CH128">
        <v>1</v>
      </c>
      <c r="CI128">
        <v>0</v>
      </c>
      <c r="CJ128">
        <v>0</v>
      </c>
      <c r="CK128">
        <v>0</v>
      </c>
      <c r="CL128">
        <v>0</v>
      </c>
      <c r="CM128">
        <v>0</v>
      </c>
      <c r="CN128">
        <v>0</v>
      </c>
      <c r="CO128">
        <v>0</v>
      </c>
      <c r="CP128" t="str">
        <f t="shared" ref="CP128:CP137" si="137">IF(BN128&lt;BM128,"refNeedCorrection","refOK")</f>
        <v>refOK</v>
      </c>
      <c r="CQ128"/>
      <c r="CR128"/>
      <c r="CS128"/>
      <c r="CT128">
        <f t="shared" si="96"/>
        <v>0</v>
      </c>
      <c r="CU128">
        <f t="shared" si="120"/>
        <v>-102</v>
      </c>
      <c r="CV128">
        <f t="shared" si="121"/>
        <v>-6.57</v>
      </c>
      <c r="CW128">
        <f t="shared" si="122"/>
        <v>9.5430000000000001E-2</v>
      </c>
      <c r="CX128" t="str">
        <f t="shared" si="97"/>
        <v/>
      </c>
      <c r="CY128" t="str">
        <f t="shared" si="123"/>
        <v/>
      </c>
      <c r="CZ128" t="str">
        <f t="shared" si="98"/>
        <v/>
      </c>
      <c r="DA128" s="2">
        <f t="shared" si="124"/>
        <v>0.93558823529411772</v>
      </c>
      <c r="DB128" s="1" t="s">
        <v>1074</v>
      </c>
      <c r="DC128" s="297" t="str">
        <f t="shared" si="125"/>
        <v>reg</v>
      </c>
      <c r="DD128" t="s">
        <v>428</v>
      </c>
      <c r="DF128" s="143"/>
      <c r="DG128" s="143">
        <v>0</v>
      </c>
      <c r="DH128" t="str">
        <f t="shared" si="126"/>
        <v>0</v>
      </c>
      <c r="DI128">
        <v>0</v>
      </c>
      <c r="DJ128">
        <v>1</v>
      </c>
      <c r="DK128">
        <v>0</v>
      </c>
      <c r="DL128">
        <v>0</v>
      </c>
      <c r="DN128">
        <f t="shared" si="127"/>
        <v>1</v>
      </c>
      <c r="DO128" t="str">
        <f t="shared" si="128"/>
        <v>EnergyInput</v>
      </c>
      <c r="DP128">
        <f t="shared" si="129"/>
        <v>0</v>
      </c>
      <c r="DQ128" t="str">
        <f t="shared" si="130"/>
        <v>Energy</v>
      </c>
      <c r="DR128">
        <f t="shared" si="131"/>
        <v>0</v>
      </c>
      <c r="DS128">
        <f t="shared" si="132"/>
        <v>0</v>
      </c>
      <c r="DT128">
        <v>0</v>
      </c>
      <c r="DU128" s="143">
        <v>0</v>
      </c>
      <c r="DV128" s="143">
        <v>0</v>
      </c>
      <c r="DW128" s="143">
        <v>0</v>
      </c>
      <c r="DX128" s="143">
        <v>0</v>
      </c>
      <c r="DY128">
        <f t="shared" si="133"/>
        <v>0</v>
      </c>
      <c r="DZ128" s="143" t="str">
        <f t="shared" si="134"/>
        <v>explicit C balance</v>
      </c>
      <c r="EA128" s="143">
        <v>0</v>
      </c>
      <c r="EB128" s="143">
        <v>0</v>
      </c>
      <c r="EC128" s="143">
        <v>0</v>
      </c>
      <c r="ED128" s="143">
        <v>0</v>
      </c>
      <c r="EE128">
        <v>0</v>
      </c>
      <c r="EF128" s="143">
        <v>0</v>
      </c>
      <c r="EG128" s="143">
        <v>1</v>
      </c>
      <c r="EH128" s="143">
        <v>1</v>
      </c>
      <c r="EI128" s="143">
        <v>0</v>
      </c>
      <c r="EJ128" s="143">
        <v>0</v>
      </c>
      <c r="EK128">
        <v>0</v>
      </c>
      <c r="EL128" s="143">
        <v>0</v>
      </c>
      <c r="EM128">
        <v>0</v>
      </c>
      <c r="EN128" s="2">
        <v>0</v>
      </c>
      <c r="EP128" t="str">
        <f t="shared" si="99"/>
        <v/>
      </c>
      <c r="EQ128" t="str">
        <f t="shared" si="100"/>
        <v/>
      </c>
      <c r="ER128" s="2" t="str">
        <f t="shared" si="101"/>
        <v>Technology approach</v>
      </c>
      <c r="ES128" t="str">
        <f t="shared" si="102"/>
        <v/>
      </c>
      <c r="ET128" t="str">
        <f t="shared" si="103"/>
        <v/>
      </c>
      <c r="EU128" t="str">
        <f t="shared" si="104"/>
        <v/>
      </c>
      <c r="EW128" s="297" t="s">
        <v>3131</v>
      </c>
      <c r="EY128" t="b">
        <f>IF(ISNUMBER(BW128),IF(ABS(BW128-[1]QC_indicators!$B$2)&gt;3*[1]QC_indicators!$C$2,"C ratio",IF(ISNUMBER(CA128),IF(ABS(CA128-[1]QC_indicators!$B$1)&gt;3*[1]QC_indicators!$C$1,"DF","no"))),IF(ISNUMBER(CA128),IF(ABS(CA128-[1]QC_indicators!$B$1)&gt;3*[1]QC_indicators!$C$1,"DF","no")))</f>
        <v>0</v>
      </c>
      <c r="FA128" t="str">
        <f t="shared" si="105"/>
        <v/>
      </c>
    </row>
    <row r="129" spans="1:159" ht="15" hidden="1" customHeight="1">
      <c r="A129" s="1" t="s">
        <v>3121</v>
      </c>
      <c r="B129" t="s">
        <v>3122</v>
      </c>
      <c r="C129" t="s">
        <v>3123</v>
      </c>
      <c r="D129" t="s">
        <v>3124</v>
      </c>
      <c r="E129" t="s">
        <v>3125</v>
      </c>
      <c r="F129" t="s">
        <v>3126</v>
      </c>
      <c r="G129" t="s">
        <v>3127</v>
      </c>
      <c r="I129">
        <v>2018</v>
      </c>
      <c r="K129" t="s">
        <v>3128</v>
      </c>
      <c r="M129" t="str">
        <f t="shared" si="57"/>
        <v>Alanya-Rosenbaum_2018</v>
      </c>
      <c r="N129" s="297" t="s">
        <v>4058</v>
      </c>
      <c r="O129" s="140" t="s">
        <v>223</v>
      </c>
      <c r="Q129" s="297" t="s">
        <v>224</v>
      </c>
      <c r="R129" s="298"/>
      <c r="S129" s="1" t="s">
        <v>423</v>
      </c>
      <c r="T129" t="s">
        <v>1076</v>
      </c>
      <c r="U129" s="143" t="s">
        <v>1058</v>
      </c>
      <c r="V129" s="143"/>
      <c r="W129" s="143"/>
      <c r="X129">
        <v>0</v>
      </c>
      <c r="Y129">
        <v>0</v>
      </c>
      <c r="Z129">
        <v>0</v>
      </c>
      <c r="AA129">
        <v>0</v>
      </c>
      <c r="AB129">
        <v>0</v>
      </c>
      <c r="AC129">
        <v>0</v>
      </c>
      <c r="AD129">
        <v>0</v>
      </c>
      <c r="AE129">
        <v>0</v>
      </c>
      <c r="AF129">
        <v>0</v>
      </c>
      <c r="AG129">
        <v>0</v>
      </c>
      <c r="AH129">
        <v>0</v>
      </c>
      <c r="AI129">
        <v>0</v>
      </c>
      <c r="AJ129">
        <v>0</v>
      </c>
      <c r="AK129">
        <v>0</v>
      </c>
      <c r="AL129">
        <v>0</v>
      </c>
      <c r="AM129">
        <v>1</v>
      </c>
      <c r="AN129">
        <v>0</v>
      </c>
      <c r="AO129">
        <v>0</v>
      </c>
      <c r="AP129">
        <v>0</v>
      </c>
      <c r="AQ129">
        <v>0</v>
      </c>
      <c r="AR129">
        <v>0</v>
      </c>
      <c r="AS129">
        <v>0</v>
      </c>
      <c r="AT129">
        <v>0</v>
      </c>
      <c r="AU129">
        <v>0</v>
      </c>
      <c r="AV129">
        <v>0</v>
      </c>
      <c r="AW129">
        <v>0</v>
      </c>
      <c r="AX129">
        <v>0</v>
      </c>
      <c r="AY129">
        <v>0</v>
      </c>
      <c r="AZ129" s="141">
        <f t="shared" si="106"/>
        <v>1</v>
      </c>
      <c r="BA129" s="141">
        <f t="shared" si="107"/>
        <v>1</v>
      </c>
      <c r="BB129">
        <f t="shared" si="108"/>
        <v>0</v>
      </c>
      <c r="BC129">
        <f t="shared" si="109"/>
        <v>0</v>
      </c>
      <c r="BD129">
        <f t="shared" si="110"/>
        <v>1</v>
      </c>
      <c r="BE129">
        <f t="shared" si="111"/>
        <v>0</v>
      </c>
      <c r="BF129">
        <f t="shared" si="112"/>
        <v>0</v>
      </c>
      <c r="BG129" t="str" cm="1">
        <f t="array" ref="BG129">IF(BA129=1,INDEX($X$7:$AN$7,MATCH(TRUE,INDEX($X129:$AY129&lt;&gt;0,),0)),IF(BA129=0,INDEX($AO$7:$AY$7,MATCH(1,$AO129:$AY129,0)),IF(BH129="Multiple strategies","mixed drivers",IF(BH129="Supply chain","multiple supply","multiple silviculture"))))</f>
        <v>technologies/design switch</v>
      </c>
      <c r="BH129" s="2" t="str" cm="1">
        <f t="array" ref="BH129">IF(COUNTIF(BB129:BD129,"&lt;&gt;0")=1,INDEX($X$4:$AY$4,MATCH(TRUE,INDEX($X129:$AY129&lt;&gt;0,),0)),IF(COUNTIF(BB129:BD129,"&lt;&gt;0")=0,INDEX($AO$4:$AY$4,MATCH(1,$AO129:$AY129,0)),"Multiple strategies"))</f>
        <v>Technology</v>
      </c>
      <c r="BI129" s="172"/>
      <c r="BL129" s="143"/>
      <c r="BN129" s="143"/>
      <c r="BO129" s="143"/>
      <c r="BP129" s="143"/>
      <c r="BQ129" s="143"/>
      <c r="BR129" s="143" t="s">
        <v>232</v>
      </c>
      <c r="BS129" s="332"/>
      <c r="BT129" s="143" t="s">
        <v>397</v>
      </c>
      <c r="BU129" s="143">
        <v>-102</v>
      </c>
      <c r="BV129">
        <v>-4.93</v>
      </c>
      <c r="BW129">
        <f t="shared" si="135"/>
        <v>4.8333333333333332E-2</v>
      </c>
      <c r="BX129">
        <f t="shared" si="136"/>
        <v>97.07</v>
      </c>
      <c r="BZ129">
        <f t="shared" si="115"/>
        <v>9.706999999999999E-2</v>
      </c>
      <c r="CA129" t="str">
        <f t="shared" si="95"/>
        <v/>
      </c>
      <c r="CB129">
        <v>1</v>
      </c>
      <c r="CC129">
        <v>1</v>
      </c>
      <c r="CD129">
        <v>1</v>
      </c>
      <c r="CE129">
        <v>1</v>
      </c>
      <c r="CF129">
        <v>1</v>
      </c>
      <c r="CG129">
        <v>1</v>
      </c>
      <c r="CH129">
        <v>1</v>
      </c>
      <c r="CI129">
        <v>0</v>
      </c>
      <c r="CJ129">
        <v>0</v>
      </c>
      <c r="CK129">
        <v>0</v>
      </c>
      <c r="CL129">
        <v>0</v>
      </c>
      <c r="CM129">
        <v>0</v>
      </c>
      <c r="CN129">
        <v>0</v>
      </c>
      <c r="CO129">
        <v>0</v>
      </c>
      <c r="CP129" t="str">
        <f t="shared" si="137"/>
        <v>refOK</v>
      </c>
      <c r="CQ129"/>
      <c r="CR129"/>
      <c r="CS129"/>
      <c r="CT129">
        <f t="shared" si="96"/>
        <v>0</v>
      </c>
      <c r="CU129">
        <f t="shared" si="120"/>
        <v>-102</v>
      </c>
      <c r="CV129">
        <f t="shared" si="121"/>
        <v>-4.93</v>
      </c>
      <c r="CW129">
        <f t="shared" si="122"/>
        <v>9.706999999999999E-2</v>
      </c>
      <c r="CX129" t="str">
        <f t="shared" si="97"/>
        <v/>
      </c>
      <c r="CY129" t="str">
        <f t="shared" si="123"/>
        <v/>
      </c>
      <c r="CZ129" t="str">
        <f t="shared" si="98"/>
        <v/>
      </c>
      <c r="DA129" s="2">
        <f t="shared" si="124"/>
        <v>0.95166666666666655</v>
      </c>
      <c r="DB129" s="1" t="s">
        <v>1074</v>
      </c>
      <c r="DC129" s="297" t="str">
        <f t="shared" si="125"/>
        <v>reg</v>
      </c>
      <c r="DD129" t="s">
        <v>428</v>
      </c>
      <c r="DF129" s="143"/>
      <c r="DG129" s="143">
        <v>0</v>
      </c>
      <c r="DH129" t="str">
        <f t="shared" si="126"/>
        <v>0</v>
      </c>
      <c r="DI129">
        <v>0</v>
      </c>
      <c r="DJ129">
        <v>1</v>
      </c>
      <c r="DK129">
        <v>0</v>
      </c>
      <c r="DL129">
        <v>0</v>
      </c>
      <c r="DN129">
        <f t="shared" si="127"/>
        <v>1</v>
      </c>
      <c r="DO129" t="str">
        <f t="shared" si="128"/>
        <v>EnergyInput</v>
      </c>
      <c r="DP129">
        <f t="shared" si="129"/>
        <v>0</v>
      </c>
      <c r="DQ129" t="str">
        <f t="shared" si="130"/>
        <v>Energy</v>
      </c>
      <c r="DR129">
        <f t="shared" si="131"/>
        <v>0</v>
      </c>
      <c r="DS129">
        <f t="shared" si="132"/>
        <v>0</v>
      </c>
      <c r="DT129">
        <v>0</v>
      </c>
      <c r="DU129" s="143">
        <v>0</v>
      </c>
      <c r="DV129" s="143">
        <v>0</v>
      </c>
      <c r="DW129" s="143">
        <v>0</v>
      </c>
      <c r="DX129" s="143">
        <v>0</v>
      </c>
      <c r="DY129">
        <f t="shared" si="133"/>
        <v>0</v>
      </c>
      <c r="DZ129" s="143" t="str">
        <f t="shared" si="134"/>
        <v>explicit C balance</v>
      </c>
      <c r="EA129" s="143">
        <v>0</v>
      </c>
      <c r="EB129" s="143">
        <v>0</v>
      </c>
      <c r="EC129" s="143">
        <v>0</v>
      </c>
      <c r="ED129" s="143">
        <v>0</v>
      </c>
      <c r="EE129">
        <v>0</v>
      </c>
      <c r="EF129" s="143">
        <v>0</v>
      </c>
      <c r="EG129" s="143">
        <v>1</v>
      </c>
      <c r="EH129" s="143">
        <v>1</v>
      </c>
      <c r="EI129" s="143">
        <v>0</v>
      </c>
      <c r="EJ129" s="143">
        <v>0</v>
      </c>
      <c r="EK129">
        <v>0</v>
      </c>
      <c r="EL129" s="143">
        <v>0</v>
      </c>
      <c r="EM129">
        <v>0</v>
      </c>
      <c r="EN129" s="2">
        <v>0</v>
      </c>
      <c r="EP129" t="str">
        <f t="shared" si="99"/>
        <v/>
      </c>
      <c r="EQ129" t="str">
        <f t="shared" si="100"/>
        <v/>
      </c>
      <c r="ER129" s="2" t="str">
        <f t="shared" si="101"/>
        <v>Technology approach</v>
      </c>
      <c r="ES129" t="str">
        <f t="shared" si="102"/>
        <v/>
      </c>
      <c r="ET129" t="str">
        <f t="shared" si="103"/>
        <v/>
      </c>
      <c r="EU129" t="str">
        <f t="shared" si="104"/>
        <v/>
      </c>
      <c r="EW129" s="297" t="s">
        <v>3131</v>
      </c>
      <c r="EY129" t="b">
        <f>IF(ISNUMBER(BW129),IF(ABS(BW129-[1]QC_indicators!$B$2)&gt;3*[1]QC_indicators!$C$2,"C ratio",IF(ISNUMBER(CA129),IF(ABS(CA129-[1]QC_indicators!$B$1)&gt;3*[1]QC_indicators!$C$1,"DF","no"))),IF(ISNUMBER(CA129),IF(ABS(CA129-[1]QC_indicators!$B$1)&gt;3*[1]QC_indicators!$C$1,"DF","no")))</f>
        <v>0</v>
      </c>
      <c r="FA129" t="str">
        <f t="shared" si="105"/>
        <v/>
      </c>
    </row>
    <row r="130" spans="1:159" ht="15" hidden="1" customHeight="1">
      <c r="A130" s="1" t="s">
        <v>3121</v>
      </c>
      <c r="B130" t="s">
        <v>3122</v>
      </c>
      <c r="C130" t="s">
        <v>3123</v>
      </c>
      <c r="D130" t="s">
        <v>3124</v>
      </c>
      <c r="E130" t="s">
        <v>3125</v>
      </c>
      <c r="F130" t="s">
        <v>3126</v>
      </c>
      <c r="G130" t="s">
        <v>3127</v>
      </c>
      <c r="I130">
        <v>2018</v>
      </c>
      <c r="K130" t="s">
        <v>3128</v>
      </c>
      <c r="M130" t="str">
        <f t="shared" si="57"/>
        <v>Alanya-Rosenbaum_2018</v>
      </c>
      <c r="N130" s="297" t="s">
        <v>4058</v>
      </c>
      <c r="O130" s="140" t="s">
        <v>223</v>
      </c>
      <c r="Q130" s="297" t="s">
        <v>224</v>
      </c>
      <c r="R130" s="298"/>
      <c r="S130" s="1" t="s">
        <v>423</v>
      </c>
      <c r="T130" t="s">
        <v>1076</v>
      </c>
      <c r="U130" s="143" t="s">
        <v>1077</v>
      </c>
      <c r="V130" s="143"/>
      <c r="W130" s="143"/>
      <c r="X130">
        <v>0</v>
      </c>
      <c r="Y130">
        <v>0</v>
      </c>
      <c r="Z130">
        <v>0</v>
      </c>
      <c r="AA130">
        <v>0</v>
      </c>
      <c r="AB130">
        <v>0</v>
      </c>
      <c r="AC130">
        <v>0</v>
      </c>
      <c r="AD130">
        <v>0</v>
      </c>
      <c r="AE130">
        <v>0</v>
      </c>
      <c r="AF130">
        <v>0</v>
      </c>
      <c r="AG130">
        <v>0</v>
      </c>
      <c r="AH130">
        <v>0</v>
      </c>
      <c r="AI130">
        <v>0</v>
      </c>
      <c r="AJ130">
        <v>0</v>
      </c>
      <c r="AK130">
        <v>0</v>
      </c>
      <c r="AL130">
        <v>0</v>
      </c>
      <c r="AM130">
        <v>1</v>
      </c>
      <c r="AN130">
        <v>0</v>
      </c>
      <c r="AO130">
        <v>0</v>
      </c>
      <c r="AP130">
        <v>0</v>
      </c>
      <c r="AQ130">
        <v>0</v>
      </c>
      <c r="AR130">
        <v>0</v>
      </c>
      <c r="AS130">
        <v>0</v>
      </c>
      <c r="AT130">
        <v>0</v>
      </c>
      <c r="AU130">
        <v>0</v>
      </c>
      <c r="AV130">
        <v>0</v>
      </c>
      <c r="AW130">
        <v>0</v>
      </c>
      <c r="AX130">
        <v>0</v>
      </c>
      <c r="AY130">
        <v>0</v>
      </c>
      <c r="AZ130" s="141">
        <f t="shared" si="106"/>
        <v>1</v>
      </c>
      <c r="BA130" s="141">
        <f t="shared" si="107"/>
        <v>1</v>
      </c>
      <c r="BB130">
        <f t="shared" si="108"/>
        <v>0</v>
      </c>
      <c r="BC130">
        <f t="shared" si="109"/>
        <v>0</v>
      </c>
      <c r="BD130">
        <f t="shared" si="110"/>
        <v>1</v>
      </c>
      <c r="BE130">
        <f t="shared" si="111"/>
        <v>0</v>
      </c>
      <c r="BF130">
        <f t="shared" si="112"/>
        <v>0</v>
      </c>
      <c r="BG130" t="str" cm="1">
        <f t="array" ref="BG130">IF(BA130=1,INDEX($X$7:$AN$7,MATCH(TRUE,INDEX($X130:$AY130&lt;&gt;0,),0)),IF(BA130=0,INDEX($AO$7:$AY$7,MATCH(1,$AO130:$AY130,0)),IF(BH130="Multiple strategies","mixed drivers",IF(BH130="Supply chain","multiple supply","multiple silviculture"))))</f>
        <v>technologies/design switch</v>
      </c>
      <c r="BH130" s="2" t="str" cm="1">
        <f t="array" ref="BH130">IF(COUNTIF(BB130:BD130,"&lt;&gt;0")=1,INDEX($X$4:$AY$4,MATCH(TRUE,INDEX($X130:$AY130&lt;&gt;0,),0)),IF(COUNTIF(BB130:BD130,"&lt;&gt;0")=0,INDEX($AO$4:$AY$4,MATCH(1,$AO130:$AY130,0)),"Multiple strategies"))</f>
        <v>Technology</v>
      </c>
      <c r="BI130" s="172"/>
      <c r="BL130" s="143"/>
      <c r="BN130" s="143"/>
      <c r="BO130" s="143"/>
      <c r="BP130" s="143"/>
      <c r="BQ130" s="143"/>
      <c r="BR130" s="143" t="s">
        <v>232</v>
      </c>
      <c r="BS130" s="332"/>
      <c r="BT130" s="143" t="s">
        <v>397</v>
      </c>
      <c r="BU130" s="143">
        <v>-102</v>
      </c>
      <c r="BV130">
        <v>-4.5599999999999996</v>
      </c>
      <c r="BW130">
        <f t="shared" si="135"/>
        <v>4.4705882352941172E-2</v>
      </c>
      <c r="BX130">
        <f t="shared" si="136"/>
        <v>97.44</v>
      </c>
      <c r="BZ130">
        <f t="shared" si="115"/>
        <v>9.7439999999999999E-2</v>
      </c>
      <c r="CA130" t="str">
        <f t="shared" si="95"/>
        <v/>
      </c>
      <c r="CB130">
        <v>1</v>
      </c>
      <c r="CC130">
        <v>1</v>
      </c>
      <c r="CD130">
        <v>1</v>
      </c>
      <c r="CE130">
        <v>1</v>
      </c>
      <c r="CF130">
        <v>1</v>
      </c>
      <c r="CG130">
        <v>1</v>
      </c>
      <c r="CH130">
        <v>1</v>
      </c>
      <c r="CI130">
        <v>0</v>
      </c>
      <c r="CJ130">
        <v>0</v>
      </c>
      <c r="CK130">
        <v>0</v>
      </c>
      <c r="CL130">
        <v>0</v>
      </c>
      <c r="CM130">
        <v>0</v>
      </c>
      <c r="CN130">
        <v>0</v>
      </c>
      <c r="CO130">
        <v>0</v>
      </c>
      <c r="CP130" t="str">
        <f t="shared" si="137"/>
        <v>refOK</v>
      </c>
      <c r="CQ130"/>
      <c r="CR130"/>
      <c r="CS130"/>
      <c r="CT130">
        <f t="shared" si="96"/>
        <v>0</v>
      </c>
      <c r="CU130">
        <f t="shared" si="120"/>
        <v>-102</v>
      </c>
      <c r="CV130">
        <f t="shared" si="121"/>
        <v>-4.5599999999999996</v>
      </c>
      <c r="CW130">
        <f t="shared" si="122"/>
        <v>9.7439999999999999E-2</v>
      </c>
      <c r="CX130" t="str">
        <f t="shared" si="97"/>
        <v/>
      </c>
      <c r="CY130" t="str">
        <f t="shared" si="123"/>
        <v/>
      </c>
      <c r="CZ130" t="str">
        <f t="shared" si="98"/>
        <v/>
      </c>
      <c r="DA130" s="2">
        <f t="shared" si="124"/>
        <v>0.95529411764705885</v>
      </c>
      <c r="DB130" s="1" t="s">
        <v>1074</v>
      </c>
      <c r="DC130" s="297" t="str">
        <f t="shared" si="125"/>
        <v>reg</v>
      </c>
      <c r="DD130" t="s">
        <v>428</v>
      </c>
      <c r="DF130" s="143"/>
      <c r="DG130" s="143">
        <v>0</v>
      </c>
      <c r="DH130" t="str">
        <f t="shared" si="126"/>
        <v>0</v>
      </c>
      <c r="DI130">
        <v>0</v>
      </c>
      <c r="DJ130">
        <v>1</v>
      </c>
      <c r="DK130">
        <v>0</v>
      </c>
      <c r="DL130">
        <v>0</v>
      </c>
      <c r="DN130">
        <f t="shared" si="127"/>
        <v>1</v>
      </c>
      <c r="DO130" t="str">
        <f t="shared" si="128"/>
        <v>EnergyInput</v>
      </c>
      <c r="DP130">
        <f t="shared" si="129"/>
        <v>0</v>
      </c>
      <c r="DQ130" t="str">
        <f t="shared" si="130"/>
        <v>Energy</v>
      </c>
      <c r="DR130">
        <f t="shared" si="131"/>
        <v>0</v>
      </c>
      <c r="DS130">
        <f t="shared" si="132"/>
        <v>0</v>
      </c>
      <c r="DT130">
        <v>0</v>
      </c>
      <c r="DU130" s="143">
        <v>0</v>
      </c>
      <c r="DV130" s="143">
        <v>0</v>
      </c>
      <c r="DW130" s="143">
        <v>0</v>
      </c>
      <c r="DX130" s="143">
        <v>0</v>
      </c>
      <c r="DY130">
        <f t="shared" si="133"/>
        <v>0</v>
      </c>
      <c r="DZ130" s="143" t="str">
        <f t="shared" si="134"/>
        <v>explicit C balance</v>
      </c>
      <c r="EA130" s="143">
        <v>0</v>
      </c>
      <c r="EB130" s="143">
        <v>0</v>
      </c>
      <c r="EC130" s="143">
        <v>0</v>
      </c>
      <c r="ED130" s="143">
        <v>0</v>
      </c>
      <c r="EE130">
        <v>0</v>
      </c>
      <c r="EF130" s="143">
        <v>0</v>
      </c>
      <c r="EG130" s="143">
        <v>1</v>
      </c>
      <c r="EH130" s="143">
        <v>1</v>
      </c>
      <c r="EI130" s="143">
        <v>0</v>
      </c>
      <c r="EJ130" s="143">
        <v>0</v>
      </c>
      <c r="EK130">
        <v>0</v>
      </c>
      <c r="EL130" s="143">
        <v>0</v>
      </c>
      <c r="EM130">
        <v>0</v>
      </c>
      <c r="EN130" s="2">
        <v>0</v>
      </c>
      <c r="EP130" t="str">
        <f t="shared" si="99"/>
        <v/>
      </c>
      <c r="EQ130" t="str">
        <f t="shared" si="100"/>
        <v/>
      </c>
      <c r="ER130" s="2" t="str">
        <f t="shared" si="101"/>
        <v>Technology approach</v>
      </c>
      <c r="ES130" t="str">
        <f t="shared" si="102"/>
        <v/>
      </c>
      <c r="ET130" t="str">
        <f t="shared" si="103"/>
        <v/>
      </c>
      <c r="EU130" t="str">
        <f t="shared" si="104"/>
        <v/>
      </c>
      <c r="EW130" s="297" t="s">
        <v>3131</v>
      </c>
      <c r="EY130" t="b">
        <f>IF(ISNUMBER(BW130),IF(ABS(BW130-[1]QC_indicators!$B$2)&gt;3*[1]QC_indicators!$C$2,"C ratio",IF(ISNUMBER(CA130),IF(ABS(CA130-[1]QC_indicators!$B$1)&gt;3*[1]QC_indicators!$C$1,"DF","no"))),IF(ISNUMBER(CA130),IF(ABS(CA130-[1]QC_indicators!$B$1)&gt;3*[1]QC_indicators!$C$1,"DF","no")))</f>
        <v>0</v>
      </c>
      <c r="FA130" t="str">
        <f t="shared" si="105"/>
        <v/>
      </c>
    </row>
    <row r="131" spans="1:159" ht="15" hidden="1" customHeight="1">
      <c r="A131" s="1" t="s">
        <v>3121</v>
      </c>
      <c r="B131" t="s">
        <v>3122</v>
      </c>
      <c r="C131" t="s">
        <v>3123</v>
      </c>
      <c r="D131" t="s">
        <v>3124</v>
      </c>
      <c r="E131" t="s">
        <v>3125</v>
      </c>
      <c r="F131" t="s">
        <v>3126</v>
      </c>
      <c r="G131" t="s">
        <v>3127</v>
      </c>
      <c r="I131">
        <v>2018</v>
      </c>
      <c r="K131" t="s">
        <v>3128</v>
      </c>
      <c r="M131" t="str">
        <f t="shared" si="57"/>
        <v>Alanya-Rosenbaum_2018</v>
      </c>
      <c r="N131" s="297" t="s">
        <v>4058</v>
      </c>
      <c r="O131" s="140" t="s">
        <v>223</v>
      </c>
      <c r="Q131" s="297" t="s">
        <v>224</v>
      </c>
      <c r="R131" s="298"/>
      <c r="S131" s="1" t="s">
        <v>3129</v>
      </c>
      <c r="T131" t="s">
        <v>3130</v>
      </c>
      <c r="U131" s="143" t="s">
        <v>3132</v>
      </c>
      <c r="V131" s="143"/>
      <c r="W131" s="143"/>
      <c r="X131">
        <v>0</v>
      </c>
      <c r="Y131">
        <v>0</v>
      </c>
      <c r="Z131">
        <v>0</v>
      </c>
      <c r="AA131">
        <v>0</v>
      </c>
      <c r="AB131">
        <v>0</v>
      </c>
      <c r="AC131">
        <v>0</v>
      </c>
      <c r="AD131">
        <v>0</v>
      </c>
      <c r="AE131">
        <v>0</v>
      </c>
      <c r="AF131">
        <v>0</v>
      </c>
      <c r="AG131">
        <v>0</v>
      </c>
      <c r="AH131">
        <v>0</v>
      </c>
      <c r="AI131">
        <v>0</v>
      </c>
      <c r="AJ131">
        <v>0</v>
      </c>
      <c r="AK131">
        <v>0</v>
      </c>
      <c r="AL131">
        <v>1</v>
      </c>
      <c r="AM131">
        <v>0</v>
      </c>
      <c r="AN131">
        <v>0</v>
      </c>
      <c r="AO131">
        <v>0</v>
      </c>
      <c r="AP131">
        <v>0</v>
      </c>
      <c r="AQ131">
        <v>0</v>
      </c>
      <c r="AR131">
        <v>0</v>
      </c>
      <c r="AS131">
        <v>0</v>
      </c>
      <c r="AT131">
        <v>0</v>
      </c>
      <c r="AU131">
        <v>0</v>
      </c>
      <c r="AV131">
        <v>0</v>
      </c>
      <c r="AW131">
        <v>0</v>
      </c>
      <c r="AX131">
        <v>0</v>
      </c>
      <c r="AY131">
        <v>0</v>
      </c>
      <c r="AZ131" s="141">
        <f t="shared" si="106"/>
        <v>1</v>
      </c>
      <c r="BA131" s="141">
        <f t="shared" si="107"/>
        <v>1</v>
      </c>
      <c r="BB131">
        <f t="shared" si="108"/>
        <v>0</v>
      </c>
      <c r="BC131">
        <f t="shared" si="109"/>
        <v>0</v>
      </c>
      <c r="BD131">
        <f t="shared" si="110"/>
        <v>1</v>
      </c>
      <c r="BE131">
        <f t="shared" si="111"/>
        <v>0</v>
      </c>
      <c r="BF131">
        <f t="shared" si="112"/>
        <v>0</v>
      </c>
      <c r="BG131" t="str" cm="1">
        <f t="array" ref="BG131">IF(BA131=1,INDEX($X$7:$AN$7,MATCH(TRUE,INDEX($X131:$AY131&lt;&gt;0,),0)),IF(BA131=0,INDEX($AO$7:$AY$7,MATCH(1,$AO131:$AY131,0)),IF(BH131="Multiple strategies","mixed drivers",IF(BH131="Supply chain","multiple supply","multiple silviculture"))))</f>
        <v>efficiency improvement</v>
      </c>
      <c r="BH131" s="2" t="str" cm="1">
        <f t="array" ref="BH131">IF(COUNTIF(BB131:BD131,"&lt;&gt;0")=1,INDEX($X$4:$AY$4,MATCH(TRUE,INDEX($X131:$AY131&lt;&gt;0,),0)),IF(COUNTIF(BB131:BD131,"&lt;&gt;0")=0,INDEX($AO$4:$AY$4,MATCH(1,$AO131:$AY131,0)),"Multiple strategies"))</f>
        <v>Technology</v>
      </c>
      <c r="BI131" s="164"/>
      <c r="BJ131" s="165"/>
      <c r="BK131" s="165"/>
      <c r="BL131" s="166"/>
      <c r="BM131" s="167"/>
      <c r="BN131" s="152"/>
      <c r="BO131" s="301"/>
      <c r="BP131" s="168"/>
      <c r="BQ131" s="166"/>
      <c r="BR131" s="143" t="s">
        <v>232</v>
      </c>
      <c r="BS131" s="332"/>
      <c r="BT131" s="143" t="s">
        <v>397</v>
      </c>
      <c r="BU131" s="143">
        <v>-9.5299999999999994</v>
      </c>
      <c r="BV131">
        <v>-7.99</v>
      </c>
      <c r="BW131">
        <f t="shared" si="135"/>
        <v>0.83840503672612809</v>
      </c>
      <c r="BX131">
        <f t="shared" si="136"/>
        <v>1.5399999999999991</v>
      </c>
      <c r="BZ131">
        <f t="shared" si="115"/>
        <v>1.5399999999999991E-3</v>
      </c>
      <c r="CA131" t="str">
        <f t="shared" si="95"/>
        <v/>
      </c>
      <c r="CB131">
        <v>1</v>
      </c>
      <c r="CC131">
        <v>1</v>
      </c>
      <c r="CD131">
        <v>1</v>
      </c>
      <c r="CE131">
        <v>1</v>
      </c>
      <c r="CF131">
        <v>1</v>
      </c>
      <c r="CG131">
        <v>1</v>
      </c>
      <c r="CH131">
        <v>1</v>
      </c>
      <c r="CI131">
        <v>0</v>
      </c>
      <c r="CJ131">
        <v>0</v>
      </c>
      <c r="CK131">
        <v>0</v>
      </c>
      <c r="CL131">
        <v>0</v>
      </c>
      <c r="CM131">
        <v>0</v>
      </c>
      <c r="CN131">
        <v>0</v>
      </c>
      <c r="CO131">
        <v>0</v>
      </c>
      <c r="CP131" t="str">
        <f t="shared" si="137"/>
        <v>refOK</v>
      </c>
      <c r="CQ131"/>
      <c r="CR131"/>
      <c r="CS131"/>
      <c r="CT131">
        <f t="shared" si="96"/>
        <v>0</v>
      </c>
      <c r="CU131">
        <f t="shared" si="120"/>
        <v>-9.5299999999999994</v>
      </c>
      <c r="CV131">
        <f t="shared" si="121"/>
        <v>-7.99</v>
      </c>
      <c r="CW131">
        <f t="shared" si="122"/>
        <v>1.5399999999999991E-3</v>
      </c>
      <c r="CX131" t="str">
        <f t="shared" si="97"/>
        <v/>
      </c>
      <c r="CY131" t="str">
        <f t="shared" si="123"/>
        <v/>
      </c>
      <c r="CZ131" t="str">
        <f t="shared" si="98"/>
        <v/>
      </c>
      <c r="DA131" s="2">
        <f t="shared" si="124"/>
        <v>0.16159496327387191</v>
      </c>
      <c r="DB131" s="1" t="s">
        <v>1074</v>
      </c>
      <c r="DC131" s="297" t="str">
        <f t="shared" si="125"/>
        <v>reg</v>
      </c>
      <c r="DD131" t="s">
        <v>428</v>
      </c>
      <c r="DF131" s="143"/>
      <c r="DG131" s="143">
        <v>0</v>
      </c>
      <c r="DH131" t="str">
        <f t="shared" si="126"/>
        <v>0</v>
      </c>
      <c r="DI131">
        <v>0</v>
      </c>
      <c r="DJ131">
        <v>1</v>
      </c>
      <c r="DK131">
        <v>0</v>
      </c>
      <c r="DL131">
        <v>0</v>
      </c>
      <c r="DN131">
        <f t="shared" si="127"/>
        <v>1</v>
      </c>
      <c r="DO131" t="str">
        <f t="shared" si="128"/>
        <v>EnergyInput</v>
      </c>
      <c r="DP131">
        <f t="shared" si="129"/>
        <v>0</v>
      </c>
      <c r="DQ131" t="str">
        <f t="shared" si="130"/>
        <v>Energy</v>
      </c>
      <c r="DR131">
        <f t="shared" si="131"/>
        <v>0</v>
      </c>
      <c r="DS131">
        <f t="shared" si="132"/>
        <v>0</v>
      </c>
      <c r="DT131">
        <v>0</v>
      </c>
      <c r="DU131" s="143">
        <v>0</v>
      </c>
      <c r="DV131" s="143">
        <v>0</v>
      </c>
      <c r="DW131" s="143">
        <v>0</v>
      </c>
      <c r="DX131" s="143">
        <v>0</v>
      </c>
      <c r="DY131">
        <f t="shared" si="133"/>
        <v>0</v>
      </c>
      <c r="DZ131" s="143" t="str">
        <f t="shared" si="134"/>
        <v>explicit C balance</v>
      </c>
      <c r="EA131" s="143">
        <v>0</v>
      </c>
      <c r="EB131" s="143">
        <v>0</v>
      </c>
      <c r="EC131" s="143">
        <v>0</v>
      </c>
      <c r="ED131" s="143">
        <v>0</v>
      </c>
      <c r="EE131">
        <v>0</v>
      </c>
      <c r="EF131" s="143">
        <v>0</v>
      </c>
      <c r="EG131" s="143">
        <v>1</v>
      </c>
      <c r="EH131" s="143">
        <v>1</v>
      </c>
      <c r="EI131" s="143">
        <v>0</v>
      </c>
      <c r="EJ131" s="143">
        <v>0</v>
      </c>
      <c r="EK131">
        <v>0</v>
      </c>
      <c r="EL131" s="143">
        <v>0</v>
      </c>
      <c r="EM131">
        <v>0</v>
      </c>
      <c r="EN131" s="2">
        <v>0</v>
      </c>
      <c r="EP131" t="str">
        <f t="shared" si="99"/>
        <v/>
      </c>
      <c r="EQ131" t="str">
        <f t="shared" si="100"/>
        <v/>
      </c>
      <c r="ER131" s="2" t="str">
        <f t="shared" si="101"/>
        <v>Technology approach</v>
      </c>
      <c r="ES131" t="str">
        <f t="shared" si="102"/>
        <v/>
      </c>
      <c r="ET131" t="str">
        <f t="shared" si="103"/>
        <v/>
      </c>
      <c r="EU131" t="str">
        <f t="shared" si="104"/>
        <v/>
      </c>
      <c r="EW131" s="297" t="s">
        <v>3131</v>
      </c>
      <c r="EY131" t="b">
        <f>IF(ISNUMBER(BW131),IF(ABS(BW131-[1]QC_indicators!$B$2)&gt;3*[1]QC_indicators!$C$2,"C ratio",IF(ISNUMBER(CA131),IF(ABS(CA131-[1]QC_indicators!$B$1)&gt;3*[1]QC_indicators!$C$1,"DF","no"))),IF(ISNUMBER(CA131),IF(ABS(CA131-[1]QC_indicators!$B$1)&gt;3*[1]QC_indicators!$C$1,"DF","no")))</f>
        <v>0</v>
      </c>
      <c r="FA131" t="str">
        <f t="shared" si="105"/>
        <v/>
      </c>
    </row>
    <row r="132" spans="1:159" ht="15" hidden="1" customHeight="1">
      <c r="A132" s="1" t="s">
        <v>3121</v>
      </c>
      <c r="B132" t="s">
        <v>3122</v>
      </c>
      <c r="C132" t="s">
        <v>3123</v>
      </c>
      <c r="D132" t="s">
        <v>3124</v>
      </c>
      <c r="E132" t="s">
        <v>3125</v>
      </c>
      <c r="F132" t="s">
        <v>3126</v>
      </c>
      <c r="G132" t="s">
        <v>3127</v>
      </c>
      <c r="I132">
        <v>2018</v>
      </c>
      <c r="K132" t="s">
        <v>3128</v>
      </c>
      <c r="M132" t="str">
        <f t="shared" si="57"/>
        <v>Alanya-Rosenbaum_2018</v>
      </c>
      <c r="N132" s="297" t="s">
        <v>4058</v>
      </c>
      <c r="O132" s="140" t="s">
        <v>223</v>
      </c>
      <c r="Q132" s="297" t="s">
        <v>224</v>
      </c>
      <c r="R132" s="298"/>
      <c r="S132" s="1" t="s">
        <v>3129</v>
      </c>
      <c r="T132" t="s">
        <v>3130</v>
      </c>
      <c r="U132" s="143" t="s">
        <v>1075</v>
      </c>
      <c r="V132" s="143"/>
      <c r="W132" s="143"/>
      <c r="X132">
        <v>0</v>
      </c>
      <c r="Y132">
        <v>0</v>
      </c>
      <c r="Z132">
        <v>0</v>
      </c>
      <c r="AA132">
        <v>0</v>
      </c>
      <c r="AB132">
        <v>0</v>
      </c>
      <c r="AC132">
        <v>0</v>
      </c>
      <c r="AD132">
        <v>0</v>
      </c>
      <c r="AE132">
        <v>0</v>
      </c>
      <c r="AF132">
        <v>0</v>
      </c>
      <c r="AG132">
        <v>0</v>
      </c>
      <c r="AH132">
        <v>0</v>
      </c>
      <c r="AI132">
        <v>0</v>
      </c>
      <c r="AJ132">
        <v>0</v>
      </c>
      <c r="AK132">
        <v>0</v>
      </c>
      <c r="AL132">
        <v>1</v>
      </c>
      <c r="AM132">
        <v>0</v>
      </c>
      <c r="AN132">
        <v>0</v>
      </c>
      <c r="AO132">
        <v>0</v>
      </c>
      <c r="AP132">
        <v>0</v>
      </c>
      <c r="AQ132">
        <v>0</v>
      </c>
      <c r="AR132">
        <v>0</v>
      </c>
      <c r="AS132">
        <v>0</v>
      </c>
      <c r="AT132">
        <v>0</v>
      </c>
      <c r="AU132">
        <v>0</v>
      </c>
      <c r="AV132">
        <v>0</v>
      </c>
      <c r="AW132">
        <v>0</v>
      </c>
      <c r="AX132">
        <v>0</v>
      </c>
      <c r="AY132">
        <v>0</v>
      </c>
      <c r="AZ132" s="141">
        <f t="shared" si="106"/>
        <v>1</v>
      </c>
      <c r="BA132" s="141">
        <f t="shared" si="107"/>
        <v>1</v>
      </c>
      <c r="BB132">
        <f t="shared" si="108"/>
        <v>0</v>
      </c>
      <c r="BC132">
        <f t="shared" si="109"/>
        <v>0</v>
      </c>
      <c r="BD132">
        <f t="shared" si="110"/>
        <v>1</v>
      </c>
      <c r="BE132">
        <f t="shared" si="111"/>
        <v>0</v>
      </c>
      <c r="BF132">
        <f t="shared" si="112"/>
        <v>0</v>
      </c>
      <c r="BG132" t="str" cm="1">
        <f t="array" ref="BG132">IF(BA132=1,INDEX($X$7:$AN$7,MATCH(TRUE,INDEX($X132:$AY132&lt;&gt;0,),0)),IF(BA132=0,INDEX($AO$7:$AY$7,MATCH(1,$AO132:$AY132,0)),IF(BH132="Multiple strategies","mixed drivers",IF(BH132="Supply chain","multiple supply","multiple silviculture"))))</f>
        <v>efficiency improvement</v>
      </c>
      <c r="BH132" s="2" t="str" cm="1">
        <f t="array" ref="BH132">IF(COUNTIF(BB132:BD132,"&lt;&gt;0")=1,INDEX($X$4:$AY$4,MATCH(TRUE,INDEX($X132:$AY132&lt;&gt;0,),0)),IF(COUNTIF(BB132:BD132,"&lt;&gt;0")=0,INDEX($AO$4:$AY$4,MATCH(1,$AO132:$AY132,0)),"Multiple strategies"))</f>
        <v>Technology</v>
      </c>
      <c r="BI132" s="164"/>
      <c r="BJ132" s="165"/>
      <c r="BK132" s="165"/>
      <c r="BL132" s="166"/>
      <c r="BM132" s="167"/>
      <c r="BN132" s="300"/>
      <c r="BO132" s="301"/>
      <c r="BP132" s="168"/>
      <c r="BQ132" s="166"/>
      <c r="BR132" s="143" t="s">
        <v>232</v>
      </c>
      <c r="BS132" s="332"/>
      <c r="BT132" s="143" t="s">
        <v>397</v>
      </c>
      <c r="BU132" s="143">
        <v>-9.5299999999999994</v>
      </c>
      <c r="BV132">
        <v>-6.57</v>
      </c>
      <c r="BW132">
        <f t="shared" si="135"/>
        <v>0.68940188877229813</v>
      </c>
      <c r="BX132">
        <f t="shared" si="136"/>
        <v>2.9599999999999991</v>
      </c>
      <c r="BZ132">
        <f t="shared" si="115"/>
        <v>2.9599999999999991E-3</v>
      </c>
      <c r="CA132" t="str">
        <f t="shared" si="95"/>
        <v/>
      </c>
      <c r="CB132">
        <v>1</v>
      </c>
      <c r="CC132">
        <v>1</v>
      </c>
      <c r="CD132">
        <v>1</v>
      </c>
      <c r="CE132">
        <v>1</v>
      </c>
      <c r="CF132">
        <v>1</v>
      </c>
      <c r="CG132">
        <v>1</v>
      </c>
      <c r="CH132">
        <v>1</v>
      </c>
      <c r="CI132">
        <v>0</v>
      </c>
      <c r="CJ132">
        <v>0</v>
      </c>
      <c r="CK132">
        <v>0</v>
      </c>
      <c r="CL132">
        <v>0</v>
      </c>
      <c r="CM132">
        <v>0</v>
      </c>
      <c r="CN132">
        <v>0</v>
      </c>
      <c r="CO132">
        <v>0</v>
      </c>
      <c r="CP132" t="str">
        <f t="shared" si="137"/>
        <v>refOK</v>
      </c>
      <c r="CQ132"/>
      <c r="CR132"/>
      <c r="CS132"/>
      <c r="CT132">
        <f t="shared" si="96"/>
        <v>0</v>
      </c>
      <c r="CU132">
        <f t="shared" si="120"/>
        <v>-9.5299999999999994</v>
      </c>
      <c r="CV132">
        <f t="shared" si="121"/>
        <v>-6.57</v>
      </c>
      <c r="CW132">
        <f t="shared" si="122"/>
        <v>2.9599999999999991E-3</v>
      </c>
      <c r="CX132" t="str">
        <f t="shared" si="97"/>
        <v/>
      </c>
      <c r="CY132" t="str">
        <f t="shared" si="123"/>
        <v/>
      </c>
      <c r="CZ132" t="str">
        <f t="shared" si="98"/>
        <v/>
      </c>
      <c r="DA132" s="2">
        <f t="shared" si="124"/>
        <v>0.31059811122770192</v>
      </c>
      <c r="DB132" s="1" t="s">
        <v>1074</v>
      </c>
      <c r="DC132" s="297" t="str">
        <f t="shared" si="125"/>
        <v>reg</v>
      </c>
      <c r="DD132" t="s">
        <v>428</v>
      </c>
      <c r="DF132" s="143"/>
      <c r="DG132" s="143">
        <v>0</v>
      </c>
      <c r="DH132" t="str">
        <f t="shared" si="126"/>
        <v>0</v>
      </c>
      <c r="DI132">
        <v>0</v>
      </c>
      <c r="DJ132">
        <v>1</v>
      </c>
      <c r="DK132">
        <v>0</v>
      </c>
      <c r="DL132">
        <v>0</v>
      </c>
      <c r="DN132">
        <f t="shared" si="127"/>
        <v>1</v>
      </c>
      <c r="DO132" t="str">
        <f t="shared" si="128"/>
        <v>EnergyInput</v>
      </c>
      <c r="DP132">
        <f t="shared" si="129"/>
        <v>0</v>
      </c>
      <c r="DQ132" t="str">
        <f t="shared" si="130"/>
        <v>Energy</v>
      </c>
      <c r="DR132">
        <f t="shared" si="131"/>
        <v>0</v>
      </c>
      <c r="DS132">
        <f t="shared" si="132"/>
        <v>0</v>
      </c>
      <c r="DT132">
        <v>0</v>
      </c>
      <c r="DU132" s="143">
        <v>0</v>
      </c>
      <c r="DV132" s="143">
        <v>0</v>
      </c>
      <c r="DW132" s="143">
        <v>0</v>
      </c>
      <c r="DX132" s="143">
        <v>0</v>
      </c>
      <c r="DY132">
        <f t="shared" si="133"/>
        <v>0</v>
      </c>
      <c r="DZ132" s="143" t="str">
        <f t="shared" si="134"/>
        <v>explicit C balance</v>
      </c>
      <c r="EA132" s="143">
        <v>0</v>
      </c>
      <c r="EB132" s="143">
        <v>0</v>
      </c>
      <c r="EC132" s="143">
        <v>0</v>
      </c>
      <c r="ED132" s="143">
        <v>0</v>
      </c>
      <c r="EE132">
        <v>0</v>
      </c>
      <c r="EF132" s="143">
        <v>0</v>
      </c>
      <c r="EG132" s="143">
        <v>1</v>
      </c>
      <c r="EH132" s="143">
        <v>1</v>
      </c>
      <c r="EI132" s="143">
        <v>0</v>
      </c>
      <c r="EJ132" s="143">
        <v>0</v>
      </c>
      <c r="EK132">
        <v>0</v>
      </c>
      <c r="EL132" s="143">
        <v>0</v>
      </c>
      <c r="EM132">
        <v>0</v>
      </c>
      <c r="EN132" s="2">
        <v>0</v>
      </c>
      <c r="EP132" t="str">
        <f t="shared" si="99"/>
        <v/>
      </c>
      <c r="EQ132" t="str">
        <f t="shared" si="100"/>
        <v/>
      </c>
      <c r="ER132" s="2" t="str">
        <f t="shared" si="101"/>
        <v>Technology approach</v>
      </c>
      <c r="ES132" t="str">
        <f t="shared" si="102"/>
        <v/>
      </c>
      <c r="ET132" t="str">
        <f t="shared" si="103"/>
        <v/>
      </c>
      <c r="EU132" t="str">
        <f t="shared" si="104"/>
        <v/>
      </c>
      <c r="EW132" s="297" t="s">
        <v>3131</v>
      </c>
      <c r="EY132" t="b">
        <f>IF(ISNUMBER(BW132),IF(ABS(BW132-[1]QC_indicators!$B$2)&gt;3*[1]QC_indicators!$C$2,"C ratio",IF(ISNUMBER(CA132),IF(ABS(CA132-[1]QC_indicators!$B$1)&gt;3*[1]QC_indicators!$C$1,"DF","no"))),IF(ISNUMBER(CA132),IF(ABS(CA132-[1]QC_indicators!$B$1)&gt;3*[1]QC_indicators!$C$1,"DF","no")))</f>
        <v>0</v>
      </c>
      <c r="FA132" t="str">
        <f t="shared" si="105"/>
        <v/>
      </c>
    </row>
    <row r="133" spans="1:159" ht="15" hidden="1" customHeight="1">
      <c r="A133" s="1" t="s">
        <v>3121</v>
      </c>
      <c r="B133" t="s">
        <v>3122</v>
      </c>
      <c r="C133" t="s">
        <v>3123</v>
      </c>
      <c r="D133" t="s">
        <v>3124</v>
      </c>
      <c r="E133" t="s">
        <v>3125</v>
      </c>
      <c r="F133" t="s">
        <v>3126</v>
      </c>
      <c r="G133" t="s">
        <v>3127</v>
      </c>
      <c r="I133">
        <v>2018</v>
      </c>
      <c r="K133" t="s">
        <v>3128</v>
      </c>
      <c r="M133" t="str">
        <f t="shared" si="57"/>
        <v>Alanya-Rosenbaum_2018</v>
      </c>
      <c r="N133" s="297" t="s">
        <v>4058</v>
      </c>
      <c r="O133" s="140" t="s">
        <v>223</v>
      </c>
      <c r="Q133" s="297" t="s">
        <v>224</v>
      </c>
      <c r="R133" s="298"/>
      <c r="S133" s="1" t="s">
        <v>3129</v>
      </c>
      <c r="T133" t="s">
        <v>3130</v>
      </c>
      <c r="U133" s="143" t="s">
        <v>3133</v>
      </c>
      <c r="V133" s="143"/>
      <c r="W133" s="143"/>
      <c r="X133">
        <v>0</v>
      </c>
      <c r="Y133">
        <v>0</v>
      </c>
      <c r="Z133">
        <v>0</v>
      </c>
      <c r="AA133">
        <v>0</v>
      </c>
      <c r="AB133">
        <v>0</v>
      </c>
      <c r="AC133">
        <v>0</v>
      </c>
      <c r="AD133">
        <v>0</v>
      </c>
      <c r="AE133">
        <v>0</v>
      </c>
      <c r="AF133">
        <v>0</v>
      </c>
      <c r="AG133">
        <v>0</v>
      </c>
      <c r="AH133">
        <v>0</v>
      </c>
      <c r="AI133">
        <v>0</v>
      </c>
      <c r="AJ133">
        <v>0</v>
      </c>
      <c r="AK133">
        <v>0</v>
      </c>
      <c r="AL133">
        <v>1</v>
      </c>
      <c r="AM133">
        <v>0</v>
      </c>
      <c r="AN133">
        <v>0</v>
      </c>
      <c r="AO133">
        <v>0</v>
      </c>
      <c r="AP133">
        <v>0</v>
      </c>
      <c r="AQ133">
        <v>0</v>
      </c>
      <c r="AR133">
        <v>0</v>
      </c>
      <c r="AS133">
        <v>0</v>
      </c>
      <c r="AT133">
        <v>0</v>
      </c>
      <c r="AU133">
        <v>0</v>
      </c>
      <c r="AV133">
        <v>0</v>
      </c>
      <c r="AW133">
        <v>0</v>
      </c>
      <c r="AX133">
        <v>0</v>
      </c>
      <c r="AY133">
        <v>0</v>
      </c>
      <c r="AZ133" s="141">
        <f t="shared" si="106"/>
        <v>1</v>
      </c>
      <c r="BA133" s="141">
        <f t="shared" si="107"/>
        <v>1</v>
      </c>
      <c r="BB133">
        <f t="shared" si="108"/>
        <v>0</v>
      </c>
      <c r="BC133">
        <f t="shared" si="109"/>
        <v>0</v>
      </c>
      <c r="BD133">
        <f t="shared" si="110"/>
        <v>1</v>
      </c>
      <c r="BE133">
        <f t="shared" si="111"/>
        <v>0</v>
      </c>
      <c r="BF133">
        <f t="shared" si="112"/>
        <v>0</v>
      </c>
      <c r="BG133" t="str" cm="1">
        <f t="array" ref="BG133">IF(BA133=1,INDEX($X$7:$AN$7,MATCH(TRUE,INDEX($X133:$AY133&lt;&gt;0,),0)),IF(BA133=0,INDEX($AO$7:$AY$7,MATCH(1,$AO133:$AY133,0)),IF(BH133="Multiple strategies","mixed drivers",IF(BH133="Supply chain","multiple supply","multiple silviculture"))))</f>
        <v>efficiency improvement</v>
      </c>
      <c r="BH133" s="2" t="str" cm="1">
        <f t="array" ref="BH133">IF(COUNTIF(BB133:BD133,"&lt;&gt;0")=1,INDEX($X$4:$AY$4,MATCH(TRUE,INDEX($X133:$AY133&lt;&gt;0,),0)),IF(COUNTIF(BB133:BD133,"&lt;&gt;0")=0,INDEX($AO$4:$AY$4,MATCH(1,$AO133:$AY133,0)),"Multiple strategies"))</f>
        <v>Technology</v>
      </c>
      <c r="BI133" s="164"/>
      <c r="BJ133" s="165"/>
      <c r="BK133" s="165"/>
      <c r="BL133" s="166"/>
      <c r="BM133" s="167"/>
      <c r="BN133" s="300"/>
      <c r="BO133" s="168"/>
      <c r="BP133" s="302"/>
      <c r="BQ133" s="168"/>
      <c r="BR133" s="143" t="s">
        <v>232</v>
      </c>
      <c r="BS133" s="332"/>
      <c r="BT133" s="143" t="s">
        <v>397</v>
      </c>
      <c r="BU133" s="143">
        <v>-9.5299999999999994</v>
      </c>
      <c r="BV133">
        <v>-3.97</v>
      </c>
      <c r="BW133">
        <f t="shared" si="135"/>
        <v>0.41657922350472198</v>
      </c>
      <c r="BX133">
        <f t="shared" si="136"/>
        <v>5.5599999999999987</v>
      </c>
      <c r="BZ133">
        <f t="shared" si="115"/>
        <v>5.559999999999999E-3</v>
      </c>
      <c r="CA133" t="str">
        <f t="shared" si="95"/>
        <v/>
      </c>
      <c r="CB133">
        <v>1</v>
      </c>
      <c r="CC133">
        <v>1</v>
      </c>
      <c r="CD133">
        <v>1</v>
      </c>
      <c r="CE133">
        <v>1</v>
      </c>
      <c r="CF133">
        <v>1</v>
      </c>
      <c r="CG133">
        <v>1</v>
      </c>
      <c r="CH133">
        <v>1</v>
      </c>
      <c r="CI133">
        <v>0</v>
      </c>
      <c r="CJ133">
        <v>0</v>
      </c>
      <c r="CK133">
        <v>0</v>
      </c>
      <c r="CL133">
        <v>0</v>
      </c>
      <c r="CM133">
        <v>0</v>
      </c>
      <c r="CN133">
        <v>0</v>
      </c>
      <c r="CO133">
        <v>0</v>
      </c>
      <c r="CP133" t="str">
        <f t="shared" si="137"/>
        <v>refOK</v>
      </c>
      <c r="CQ133"/>
      <c r="CR133"/>
      <c r="CS133"/>
      <c r="CT133">
        <f t="shared" si="96"/>
        <v>0</v>
      </c>
      <c r="CU133">
        <f t="shared" si="120"/>
        <v>-9.5299999999999994</v>
      </c>
      <c r="CV133">
        <f t="shared" si="121"/>
        <v>-3.97</v>
      </c>
      <c r="CW133">
        <f t="shared" si="122"/>
        <v>5.559999999999999E-3</v>
      </c>
      <c r="CX133" t="str">
        <f t="shared" si="97"/>
        <v/>
      </c>
      <c r="CY133" t="str">
        <f t="shared" si="123"/>
        <v/>
      </c>
      <c r="CZ133" t="str">
        <f t="shared" si="98"/>
        <v/>
      </c>
      <c r="DA133" s="2">
        <f t="shared" si="124"/>
        <v>0.58342077649527802</v>
      </c>
      <c r="DB133" s="1" t="s">
        <v>1074</v>
      </c>
      <c r="DC133" s="297" t="str">
        <f t="shared" si="125"/>
        <v>reg</v>
      </c>
      <c r="DD133" t="s">
        <v>428</v>
      </c>
      <c r="DF133" s="143"/>
      <c r="DG133" s="143">
        <v>0</v>
      </c>
      <c r="DH133" t="str">
        <f t="shared" si="126"/>
        <v>0</v>
      </c>
      <c r="DI133">
        <v>0</v>
      </c>
      <c r="DJ133">
        <v>1</v>
      </c>
      <c r="DK133">
        <v>0</v>
      </c>
      <c r="DL133">
        <v>0</v>
      </c>
      <c r="DN133">
        <f t="shared" si="127"/>
        <v>1</v>
      </c>
      <c r="DO133" t="str">
        <f t="shared" si="128"/>
        <v>EnergyInput</v>
      </c>
      <c r="DP133">
        <f t="shared" si="129"/>
        <v>0</v>
      </c>
      <c r="DQ133" t="str">
        <f t="shared" si="130"/>
        <v>Energy</v>
      </c>
      <c r="DR133">
        <f t="shared" si="131"/>
        <v>0</v>
      </c>
      <c r="DS133">
        <f t="shared" si="132"/>
        <v>0</v>
      </c>
      <c r="DT133">
        <v>0</v>
      </c>
      <c r="DU133" s="143">
        <v>0</v>
      </c>
      <c r="DV133" s="143">
        <v>0</v>
      </c>
      <c r="DW133" s="143">
        <v>0</v>
      </c>
      <c r="DX133" s="143">
        <v>0</v>
      </c>
      <c r="DY133">
        <f t="shared" si="133"/>
        <v>0</v>
      </c>
      <c r="DZ133" s="143" t="str">
        <f t="shared" si="134"/>
        <v>explicit C balance</v>
      </c>
      <c r="EA133" s="143">
        <v>0</v>
      </c>
      <c r="EB133" s="143">
        <v>0</v>
      </c>
      <c r="EC133" s="143">
        <v>0</v>
      </c>
      <c r="ED133" s="143">
        <v>0</v>
      </c>
      <c r="EE133">
        <v>0</v>
      </c>
      <c r="EF133" s="143">
        <v>0</v>
      </c>
      <c r="EG133" s="143">
        <v>1</v>
      </c>
      <c r="EH133" s="143">
        <v>1</v>
      </c>
      <c r="EI133" s="143">
        <v>0</v>
      </c>
      <c r="EJ133" s="143">
        <v>0</v>
      </c>
      <c r="EK133">
        <v>0</v>
      </c>
      <c r="EL133" s="143">
        <v>0</v>
      </c>
      <c r="EM133">
        <v>0</v>
      </c>
      <c r="EN133" s="2">
        <v>0</v>
      </c>
      <c r="EP133" t="str">
        <f t="shared" si="99"/>
        <v/>
      </c>
      <c r="EQ133" t="str">
        <f t="shared" si="100"/>
        <v/>
      </c>
      <c r="ER133" s="2" t="str">
        <f t="shared" si="101"/>
        <v>Technology approach</v>
      </c>
      <c r="ES133" t="str">
        <f t="shared" si="102"/>
        <v/>
      </c>
      <c r="ET133" t="str">
        <f t="shared" si="103"/>
        <v/>
      </c>
      <c r="EU133" t="str">
        <f t="shared" si="104"/>
        <v/>
      </c>
      <c r="EW133" s="297" t="s">
        <v>3131</v>
      </c>
      <c r="EY133" t="b">
        <f>IF(ISNUMBER(BW133),IF(ABS(BW133-[1]QC_indicators!$B$2)&gt;3*[1]QC_indicators!$C$2,"C ratio",IF(ISNUMBER(CA133),IF(ABS(CA133-[1]QC_indicators!$B$1)&gt;3*[1]QC_indicators!$C$1,"DF","no"))),IF(ISNUMBER(CA133),IF(ABS(CA133-[1]QC_indicators!$B$1)&gt;3*[1]QC_indicators!$C$1,"DF","no")))</f>
        <v>0</v>
      </c>
      <c r="FA133" t="str">
        <f t="shared" si="105"/>
        <v/>
      </c>
    </row>
    <row r="134" spans="1:159" ht="15" hidden="1" customHeight="1">
      <c r="A134" s="1" t="s">
        <v>380</v>
      </c>
      <c r="B134" t="s">
        <v>3134</v>
      </c>
      <c r="C134" t="s">
        <v>3135</v>
      </c>
      <c r="D134" t="s">
        <v>3136</v>
      </c>
      <c r="E134" t="s">
        <v>3137</v>
      </c>
      <c r="F134" t="s">
        <v>3138</v>
      </c>
      <c r="G134" t="s">
        <v>386</v>
      </c>
      <c r="I134">
        <v>2020</v>
      </c>
      <c r="K134" t="s">
        <v>3139</v>
      </c>
      <c r="M134" t="str">
        <f t="shared" si="57"/>
        <v>Albers_2020</v>
      </c>
      <c r="N134" s="297" t="s">
        <v>4058</v>
      </c>
      <c r="O134" s="140" t="s">
        <v>223</v>
      </c>
      <c r="Q134" s="297" t="s">
        <v>224</v>
      </c>
      <c r="R134" s="298"/>
      <c r="S134" s="1" t="s">
        <v>3140</v>
      </c>
      <c r="T134" t="s">
        <v>3141</v>
      </c>
      <c r="U134" s="143" t="s">
        <v>3142</v>
      </c>
      <c r="V134" s="143"/>
      <c r="W134" s="143"/>
      <c r="X134">
        <v>0</v>
      </c>
      <c r="Y134">
        <v>0</v>
      </c>
      <c r="Z134">
        <v>0</v>
      </c>
      <c r="AA134">
        <v>1</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s="141">
        <f t="shared" si="106"/>
        <v>1</v>
      </c>
      <c r="BA134" s="141">
        <f t="shared" si="107"/>
        <v>1</v>
      </c>
      <c r="BB134">
        <f t="shared" si="108"/>
        <v>1</v>
      </c>
      <c r="BC134">
        <f t="shared" si="109"/>
        <v>0</v>
      </c>
      <c r="BD134">
        <f t="shared" si="110"/>
        <v>0</v>
      </c>
      <c r="BE134">
        <f t="shared" si="111"/>
        <v>0</v>
      </c>
      <c r="BF134">
        <f t="shared" si="112"/>
        <v>0</v>
      </c>
      <c r="BG134" t="str" cm="1">
        <f t="array" ref="BG134">IF(BA134=1,INDEX($X$7:$AN$7,MATCH(TRUE,INDEX($X134:$AY134&lt;&gt;0,),0)),IF(BA134=0,INDEX($AO$7:$AY$7,MATCH(1,$AO134:$AY134,0)),IF(BH134="Multiple strategies","mixed drivers",IF(BH134="Supply chain","multiple supply","multiple silviculture"))))</f>
        <v xml:space="preserve">cutting intensity </v>
      </c>
      <c r="BH134" s="2" t="str" cm="1">
        <f t="array" ref="BH134">IF(COUNTIF(BB134:BD134,"&lt;&gt;0")=1,INDEX($X$4:$AY$4,MATCH(TRUE,INDEX($X134:$AY134&lt;&gt;0,),0)),IF(COUNTIF(BB134:BD134,"&lt;&gt;0")=0,INDEX($AO$4:$AY$4,MATCH(1,$AO134:$AY134,0)),"Multiple strategies"))</f>
        <v>Silviculture for removals</v>
      </c>
      <c r="BI134" s="172"/>
      <c r="BL134" s="143"/>
      <c r="BN134" s="143"/>
      <c r="BO134" s="143"/>
      <c r="BP134" s="143"/>
      <c r="BQ134" s="143"/>
      <c r="BR134" s="297" t="s">
        <v>232</v>
      </c>
      <c r="BS134" s="331"/>
      <c r="BT134" s="143" t="s">
        <v>526</v>
      </c>
      <c r="BU134">
        <v>-7596899224.8062</v>
      </c>
      <c r="BV134">
        <v>-7286821705.4263496</v>
      </c>
      <c r="BW134">
        <v>0.95918367346938704</v>
      </c>
      <c r="BX134">
        <v>310077519.37985039</v>
      </c>
      <c r="BZ134">
        <f>BX134</f>
        <v>310077519.37985039</v>
      </c>
      <c r="CA134" t="str">
        <f t="shared" si="95"/>
        <v/>
      </c>
      <c r="CB134">
        <v>0</v>
      </c>
      <c r="CC134">
        <v>0</v>
      </c>
      <c r="CD134">
        <v>0</v>
      </c>
      <c r="CE134">
        <v>0</v>
      </c>
      <c r="CF134">
        <v>0</v>
      </c>
      <c r="CG134">
        <v>0</v>
      </c>
      <c r="CH134">
        <v>0</v>
      </c>
      <c r="CI134">
        <v>0</v>
      </c>
      <c r="CJ134">
        <v>0</v>
      </c>
      <c r="CK134">
        <v>0</v>
      </c>
      <c r="CL134">
        <v>0</v>
      </c>
      <c r="CM134">
        <v>0</v>
      </c>
      <c r="CN134">
        <v>0</v>
      </c>
      <c r="CO134">
        <v>0</v>
      </c>
      <c r="CP134" t="str">
        <f t="shared" si="137"/>
        <v>refOK</v>
      </c>
      <c r="CQ134"/>
      <c r="CR134"/>
      <c r="CS134"/>
      <c r="CT134">
        <f t="shared" si="96"/>
        <v>0</v>
      </c>
      <c r="CU134">
        <f t="shared" si="120"/>
        <v>-7596899224.8062</v>
      </c>
      <c r="CV134">
        <f t="shared" si="121"/>
        <v>-7286821705.4263496</v>
      </c>
      <c r="CW134">
        <f t="shared" si="122"/>
        <v>310077519.37985039</v>
      </c>
      <c r="CX134" t="str">
        <f t="shared" si="97"/>
        <v/>
      </c>
      <c r="CY134" t="str">
        <f t="shared" si="123"/>
        <v/>
      </c>
      <c r="CZ134" t="str">
        <f t="shared" si="98"/>
        <v/>
      </c>
      <c r="DA134" s="2">
        <f t="shared" si="124"/>
        <v>4.081632653061297E-2</v>
      </c>
      <c r="DB134" s="1" t="s">
        <v>1078</v>
      </c>
      <c r="DC134" s="297" t="str">
        <f t="shared" si="125"/>
        <v>reg</v>
      </c>
      <c r="DD134" t="s">
        <v>715</v>
      </c>
      <c r="DE134">
        <v>2019</v>
      </c>
      <c r="DF134" s="143">
        <v>2250</v>
      </c>
      <c r="DG134" s="143">
        <f t="shared" ref="DG134:DG140" si="138">DF134-DE134</f>
        <v>231</v>
      </c>
      <c r="DH134" t="str">
        <f t="shared" si="126"/>
        <v>+100</v>
      </c>
      <c r="DI134">
        <v>0</v>
      </c>
      <c r="DJ134">
        <v>1</v>
      </c>
      <c r="DK134">
        <v>0</v>
      </c>
      <c r="DL134">
        <v>0</v>
      </c>
      <c r="DM134">
        <v>1</v>
      </c>
      <c r="DN134">
        <f t="shared" si="127"/>
        <v>1</v>
      </c>
      <c r="DO134" t="str">
        <f t="shared" si="128"/>
        <v>EnergyInput</v>
      </c>
      <c r="DP134">
        <f t="shared" si="129"/>
        <v>0</v>
      </c>
      <c r="DQ134" t="str">
        <f t="shared" si="130"/>
        <v>Energy</v>
      </c>
      <c r="DR134">
        <f t="shared" si="131"/>
        <v>0</v>
      </c>
      <c r="DS134">
        <f t="shared" si="132"/>
        <v>0</v>
      </c>
      <c r="DT134">
        <v>0</v>
      </c>
      <c r="DU134" s="143">
        <v>0</v>
      </c>
      <c r="DV134" s="143">
        <v>0</v>
      </c>
      <c r="DW134" s="143">
        <v>0</v>
      </c>
      <c r="DX134" s="143">
        <v>0</v>
      </c>
      <c r="DY134">
        <f t="shared" si="133"/>
        <v>0</v>
      </c>
      <c r="DZ134" s="143" t="str">
        <f t="shared" si="134"/>
        <v>explicit C balance</v>
      </c>
      <c r="EA134" s="143">
        <v>1</v>
      </c>
      <c r="EB134" s="143">
        <v>1</v>
      </c>
      <c r="EC134" s="143">
        <v>1</v>
      </c>
      <c r="ED134" s="143">
        <v>1</v>
      </c>
      <c r="EE134">
        <v>1</v>
      </c>
      <c r="EF134" s="143">
        <v>0</v>
      </c>
      <c r="EG134" s="143">
        <v>1</v>
      </c>
      <c r="EH134" s="143">
        <v>1</v>
      </c>
      <c r="EI134" s="143">
        <v>1</v>
      </c>
      <c r="EJ134" s="143">
        <v>1</v>
      </c>
      <c r="EK134">
        <v>1</v>
      </c>
      <c r="EL134" s="143">
        <v>1</v>
      </c>
      <c r="EM134">
        <v>0</v>
      </c>
      <c r="EN134" s="2">
        <v>0</v>
      </c>
      <c r="EP134" t="str">
        <f t="shared" si="99"/>
        <v>Whole sector approach</v>
      </c>
      <c r="EQ134" t="str">
        <f t="shared" si="100"/>
        <v/>
      </c>
      <c r="ER134" s="2" t="str">
        <f t="shared" si="101"/>
        <v/>
      </c>
      <c r="ES134" t="str">
        <f t="shared" si="102"/>
        <v/>
      </c>
      <c r="ET134" t="str">
        <f t="shared" si="103"/>
        <v/>
      </c>
      <c r="EU134" t="str">
        <f t="shared" si="104"/>
        <v/>
      </c>
      <c r="EY134" t="b">
        <f>IF(ISNUMBER(BW134),IF(ABS(BW134-[1]QC_indicators!$B$2)&gt;3*[1]QC_indicators!$C$2,"C ratio",IF(ISNUMBER(CA134),IF(ABS(CA134-[1]QC_indicators!$B$1)&gt;3*[1]QC_indicators!$C$1,"DF","no"))),IF(ISNUMBER(CA134),IF(ABS(CA134-[1]QC_indicators!$B$1)&gt;3*[1]QC_indicators!$C$1,"DF","no")))</f>
        <v>0</v>
      </c>
      <c r="FA134" t="str">
        <f t="shared" si="105"/>
        <v/>
      </c>
      <c r="FB134" s="299" t="s">
        <v>349</v>
      </c>
    </row>
    <row r="135" spans="1:159" ht="15" hidden="1" customHeight="1">
      <c r="A135" s="1" t="s">
        <v>380</v>
      </c>
      <c r="B135" t="s">
        <v>3134</v>
      </c>
      <c r="C135" t="s">
        <v>3135</v>
      </c>
      <c r="D135" t="s">
        <v>3136</v>
      </c>
      <c r="E135" t="s">
        <v>3137</v>
      </c>
      <c r="F135" t="s">
        <v>3138</v>
      </c>
      <c r="G135" t="s">
        <v>386</v>
      </c>
      <c r="I135">
        <v>2020</v>
      </c>
      <c r="K135" t="s">
        <v>3139</v>
      </c>
      <c r="M135" t="str">
        <f t="shared" si="57"/>
        <v>Albers_2020</v>
      </c>
      <c r="N135" s="297" t="s">
        <v>4058</v>
      </c>
      <c r="O135" s="140" t="s">
        <v>223</v>
      </c>
      <c r="Q135" s="297" t="s">
        <v>224</v>
      </c>
      <c r="R135" s="298"/>
      <c r="S135" s="1" t="s">
        <v>3140</v>
      </c>
      <c r="T135" t="s">
        <v>3143</v>
      </c>
      <c r="U135" s="143" t="s">
        <v>3144</v>
      </c>
      <c r="V135" s="143"/>
      <c r="W135" s="143"/>
      <c r="X135">
        <v>0</v>
      </c>
      <c r="Y135">
        <v>0</v>
      </c>
      <c r="Z135">
        <v>0</v>
      </c>
      <c r="AA135">
        <v>1</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s="141">
        <f t="shared" si="106"/>
        <v>1</v>
      </c>
      <c r="BA135" s="141">
        <f t="shared" si="107"/>
        <v>1</v>
      </c>
      <c r="BB135">
        <f t="shared" si="108"/>
        <v>1</v>
      </c>
      <c r="BC135">
        <f t="shared" si="109"/>
        <v>0</v>
      </c>
      <c r="BD135">
        <f t="shared" si="110"/>
        <v>0</v>
      </c>
      <c r="BE135">
        <f t="shared" si="111"/>
        <v>0</v>
      </c>
      <c r="BF135">
        <f t="shared" si="112"/>
        <v>0</v>
      </c>
      <c r="BG135" t="str" cm="1">
        <f t="array" ref="BG135">IF(BA135=1,INDEX($X$7:$AN$7,MATCH(TRUE,INDEX($X135:$AY135&lt;&gt;0,),0)),IF(BA135=0,INDEX($AO$7:$AY$7,MATCH(1,$AO135:$AY135,0)),IF(BH135="Multiple strategies","mixed drivers",IF(BH135="Supply chain","multiple supply","multiple silviculture"))))</f>
        <v xml:space="preserve">cutting intensity </v>
      </c>
      <c r="BH135" s="2" t="str" cm="1">
        <f t="array" ref="BH135">IF(COUNTIF(BB135:BD135,"&lt;&gt;0")=1,INDEX($X$4:$AY$4,MATCH(TRUE,INDEX($X135:$AY135&lt;&gt;0,),0)),IF(COUNTIF(BB135:BD135,"&lt;&gt;0")=0,INDEX($AO$4:$AY$4,MATCH(1,$AO135:$AY135,0)),"Multiple strategies"))</f>
        <v>Silviculture for removals</v>
      </c>
      <c r="BI135" s="172"/>
      <c r="BL135" s="143"/>
      <c r="BN135" s="143"/>
      <c r="BO135" s="143"/>
      <c r="BP135" s="143"/>
      <c r="BQ135" s="143"/>
      <c r="BR135" s="297" t="s">
        <v>232</v>
      </c>
      <c r="BS135" s="331"/>
      <c r="BT135" s="143" t="s">
        <v>526</v>
      </c>
      <c r="BU135">
        <v>-3279312247.6837702</v>
      </c>
      <c r="BV135">
        <v>-3044930440.59132</v>
      </c>
      <c r="BW135">
        <v>0.92852714551412485</v>
      </c>
      <c r="BX135">
        <v>234381807.09245014</v>
      </c>
      <c r="BZ135">
        <f>BX135</f>
        <v>234381807.09245014</v>
      </c>
      <c r="CA135" t="str">
        <f t="shared" si="95"/>
        <v/>
      </c>
      <c r="CB135">
        <v>0</v>
      </c>
      <c r="CC135">
        <v>0</v>
      </c>
      <c r="CD135">
        <v>0</v>
      </c>
      <c r="CE135">
        <v>0</v>
      </c>
      <c r="CF135">
        <v>0</v>
      </c>
      <c r="CG135">
        <v>0</v>
      </c>
      <c r="CH135">
        <v>0</v>
      </c>
      <c r="CI135">
        <v>0</v>
      </c>
      <c r="CJ135">
        <v>0</v>
      </c>
      <c r="CK135">
        <v>0</v>
      </c>
      <c r="CL135">
        <v>0</v>
      </c>
      <c r="CM135">
        <v>0</v>
      </c>
      <c r="CN135">
        <v>0</v>
      </c>
      <c r="CO135">
        <v>0</v>
      </c>
      <c r="CP135" t="str">
        <f t="shared" si="137"/>
        <v>refOK</v>
      </c>
      <c r="CQ135"/>
      <c r="CR135"/>
      <c r="CS135"/>
      <c r="CT135">
        <f t="shared" si="96"/>
        <v>0</v>
      </c>
      <c r="CU135">
        <f t="shared" si="120"/>
        <v>-3279312247.6837702</v>
      </c>
      <c r="CV135">
        <f t="shared" si="121"/>
        <v>-3044930440.59132</v>
      </c>
      <c r="CW135">
        <f t="shared" si="122"/>
        <v>234381807.09245014</v>
      </c>
      <c r="CX135" t="str">
        <f t="shared" si="97"/>
        <v/>
      </c>
      <c r="CY135" t="str">
        <f t="shared" si="123"/>
        <v/>
      </c>
      <c r="CZ135" t="str">
        <f t="shared" si="98"/>
        <v/>
      </c>
      <c r="DA135" s="2">
        <f t="shared" si="124"/>
        <v>7.1472854485875106E-2</v>
      </c>
      <c r="DB135" s="1" t="s">
        <v>1078</v>
      </c>
      <c r="DC135" s="297" t="str">
        <f t="shared" si="125"/>
        <v>reg</v>
      </c>
      <c r="DD135" t="s">
        <v>715</v>
      </c>
      <c r="DE135">
        <v>1819</v>
      </c>
      <c r="DF135" s="143">
        <v>2150</v>
      </c>
      <c r="DG135" s="143">
        <f t="shared" si="138"/>
        <v>331</v>
      </c>
      <c r="DH135" t="str">
        <f t="shared" si="126"/>
        <v>+100</v>
      </c>
      <c r="DI135">
        <v>0</v>
      </c>
      <c r="DJ135">
        <v>1</v>
      </c>
      <c r="DK135">
        <v>0</v>
      </c>
      <c r="DL135">
        <v>0</v>
      </c>
      <c r="DM135">
        <v>1</v>
      </c>
      <c r="DN135">
        <f t="shared" si="127"/>
        <v>1</v>
      </c>
      <c r="DO135" t="str">
        <f t="shared" si="128"/>
        <v>EnergyInput</v>
      </c>
      <c r="DP135">
        <f t="shared" si="129"/>
        <v>0</v>
      </c>
      <c r="DQ135" t="str">
        <f t="shared" si="130"/>
        <v>Energy</v>
      </c>
      <c r="DR135">
        <f t="shared" si="131"/>
        <v>0</v>
      </c>
      <c r="DS135">
        <f t="shared" si="132"/>
        <v>0</v>
      </c>
      <c r="DT135">
        <v>0</v>
      </c>
      <c r="DU135" s="143">
        <v>0</v>
      </c>
      <c r="DV135" s="143">
        <v>0</v>
      </c>
      <c r="DW135" s="143">
        <v>0</v>
      </c>
      <c r="DX135" s="143">
        <v>0</v>
      </c>
      <c r="DY135">
        <f t="shared" si="133"/>
        <v>0</v>
      </c>
      <c r="DZ135" s="143" t="str">
        <f t="shared" si="134"/>
        <v>explicit C balance</v>
      </c>
      <c r="EA135" s="143">
        <v>1</v>
      </c>
      <c r="EB135" s="143">
        <v>1</v>
      </c>
      <c r="EC135" s="143">
        <v>1</v>
      </c>
      <c r="ED135" s="143">
        <v>1</v>
      </c>
      <c r="EE135">
        <v>1</v>
      </c>
      <c r="EF135" s="143">
        <v>0</v>
      </c>
      <c r="EG135" s="143">
        <v>1</v>
      </c>
      <c r="EH135" s="143">
        <v>1</v>
      </c>
      <c r="EI135" s="143">
        <v>1</v>
      </c>
      <c r="EJ135" s="143">
        <v>1</v>
      </c>
      <c r="EK135">
        <v>1</v>
      </c>
      <c r="EL135" s="143">
        <v>1</v>
      </c>
      <c r="EM135">
        <v>0</v>
      </c>
      <c r="EN135" s="2">
        <v>0</v>
      </c>
      <c r="EP135" t="str">
        <f t="shared" si="99"/>
        <v>Whole sector approach</v>
      </c>
      <c r="EQ135" t="str">
        <f t="shared" si="100"/>
        <v/>
      </c>
      <c r="ER135" s="2" t="str">
        <f t="shared" si="101"/>
        <v/>
      </c>
      <c r="ES135" t="str">
        <f t="shared" si="102"/>
        <v/>
      </c>
      <c r="ET135" t="str">
        <f t="shared" si="103"/>
        <v/>
      </c>
      <c r="EU135" t="str">
        <f t="shared" si="104"/>
        <v/>
      </c>
      <c r="EY135" t="b">
        <f>IF(ISNUMBER(BW135),IF(ABS(BW135-[1]QC_indicators!$B$2)&gt;3*[1]QC_indicators!$C$2,"C ratio",IF(ISNUMBER(CA135),IF(ABS(CA135-[1]QC_indicators!$B$1)&gt;3*[1]QC_indicators!$C$1,"DF","no"))),IF(ISNUMBER(CA135),IF(ABS(CA135-[1]QC_indicators!$B$1)&gt;3*[1]QC_indicators!$C$1,"DF","no")))</f>
        <v>0</v>
      </c>
      <c r="FA135" t="str">
        <f t="shared" si="105"/>
        <v/>
      </c>
      <c r="FB135" s="299" t="s">
        <v>349</v>
      </c>
    </row>
    <row r="136" spans="1:159" ht="15" hidden="1" customHeight="1">
      <c r="A136" s="1" t="s">
        <v>380</v>
      </c>
      <c r="B136" t="s">
        <v>3134</v>
      </c>
      <c r="C136" t="s">
        <v>3135</v>
      </c>
      <c r="D136" t="s">
        <v>3136</v>
      </c>
      <c r="E136" t="s">
        <v>3137</v>
      </c>
      <c r="F136" t="s">
        <v>3138</v>
      </c>
      <c r="G136" t="s">
        <v>386</v>
      </c>
      <c r="I136">
        <v>2020</v>
      </c>
      <c r="K136" t="s">
        <v>3139</v>
      </c>
      <c r="M136" t="str">
        <f t="shared" ref="M136:M199" si="139">LEFT($D136,FIND(",",$D136)-1)&amp;"_"&amp;I136&amp;L136</f>
        <v>Albers_2020</v>
      </c>
      <c r="N136" s="297" t="s">
        <v>4058</v>
      </c>
      <c r="O136" s="140" t="s">
        <v>223</v>
      </c>
      <c r="Q136" s="297" t="s">
        <v>224</v>
      </c>
      <c r="R136" s="298"/>
      <c r="S136" s="1" t="s">
        <v>3140</v>
      </c>
      <c r="T136" t="s">
        <v>3145</v>
      </c>
      <c r="U136" s="143" t="s">
        <v>3146</v>
      </c>
      <c r="V136" s="143"/>
      <c r="W136" s="143"/>
      <c r="X136">
        <v>0</v>
      </c>
      <c r="Y136">
        <v>0</v>
      </c>
      <c r="Z136">
        <v>0</v>
      </c>
      <c r="AA136">
        <v>1</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s="141">
        <f t="shared" si="106"/>
        <v>1</v>
      </c>
      <c r="BA136" s="141">
        <f t="shared" si="107"/>
        <v>1</v>
      </c>
      <c r="BB136">
        <f t="shared" si="108"/>
        <v>1</v>
      </c>
      <c r="BC136">
        <f t="shared" si="109"/>
        <v>0</v>
      </c>
      <c r="BD136">
        <f t="shared" si="110"/>
        <v>0</v>
      </c>
      <c r="BE136">
        <f t="shared" si="111"/>
        <v>0</v>
      </c>
      <c r="BF136">
        <f t="shared" si="112"/>
        <v>0</v>
      </c>
      <c r="BG136" t="str" cm="1">
        <f t="array" ref="BG136">IF(BA136=1,INDEX($X$7:$AN$7,MATCH(TRUE,INDEX($X136:$AY136&lt;&gt;0,),0)),IF(BA136=0,INDEX($AO$7:$AY$7,MATCH(1,$AO136:$AY136,0)),IF(BH136="Multiple strategies","mixed drivers",IF(BH136="Supply chain","multiple supply","multiple silviculture"))))</f>
        <v xml:space="preserve">cutting intensity </v>
      </c>
      <c r="BH136" s="2" t="str" cm="1">
        <f t="array" ref="BH136">IF(COUNTIF(BB136:BD136,"&lt;&gt;0")=1,INDEX($X$4:$AY$4,MATCH(TRUE,INDEX($X136:$AY136&lt;&gt;0,),0)),IF(COUNTIF(BB136:BD136,"&lt;&gt;0")=0,INDEX($AO$4:$AY$4,MATCH(1,$AO136:$AY136,0)),"Multiple strategies"))</f>
        <v>Silviculture for removals</v>
      </c>
      <c r="BI136" s="172"/>
      <c r="BL136" s="143"/>
      <c r="BN136" s="143"/>
      <c r="BO136" s="143"/>
      <c r="BP136" s="143"/>
      <c r="BQ136" s="143"/>
      <c r="BR136" s="297" t="s">
        <v>232</v>
      </c>
      <c r="BS136" s="331"/>
      <c r="BT136" s="143" t="s">
        <v>526</v>
      </c>
      <c r="BU136">
        <v>-930232558.13953495</v>
      </c>
      <c r="BV136">
        <v>-620155038.759691</v>
      </c>
      <c r="BW136">
        <v>0.66666666666666774</v>
      </c>
      <c r="BX136">
        <v>310077519.37984395</v>
      </c>
      <c r="BZ136">
        <f>BX136</f>
        <v>310077519.37984395</v>
      </c>
      <c r="CA136" t="str">
        <f t="shared" si="95"/>
        <v/>
      </c>
      <c r="CB136">
        <v>0</v>
      </c>
      <c r="CC136">
        <v>0</v>
      </c>
      <c r="CD136">
        <v>0</v>
      </c>
      <c r="CE136">
        <v>0</v>
      </c>
      <c r="CF136">
        <v>0</v>
      </c>
      <c r="CG136">
        <v>0</v>
      </c>
      <c r="CH136">
        <v>0</v>
      </c>
      <c r="CI136">
        <v>0</v>
      </c>
      <c r="CJ136">
        <v>0</v>
      </c>
      <c r="CK136">
        <v>0</v>
      </c>
      <c r="CL136">
        <v>0</v>
      </c>
      <c r="CM136">
        <v>0</v>
      </c>
      <c r="CN136">
        <v>0</v>
      </c>
      <c r="CO136">
        <v>0</v>
      </c>
      <c r="CP136" t="str">
        <f t="shared" si="137"/>
        <v>refOK</v>
      </c>
      <c r="CQ136"/>
      <c r="CR136"/>
      <c r="CS136"/>
      <c r="CT136">
        <f t="shared" si="96"/>
        <v>0</v>
      </c>
      <c r="CU136">
        <f t="shared" si="120"/>
        <v>-930232558.13953495</v>
      </c>
      <c r="CV136">
        <f t="shared" si="121"/>
        <v>-620155038.759691</v>
      </c>
      <c r="CW136">
        <f t="shared" si="122"/>
        <v>310077519.37984395</v>
      </c>
      <c r="CX136" t="str">
        <f t="shared" si="97"/>
        <v/>
      </c>
      <c r="CY136" t="str">
        <f t="shared" si="123"/>
        <v/>
      </c>
      <c r="CZ136" t="str">
        <f t="shared" si="98"/>
        <v/>
      </c>
      <c r="DA136" s="2">
        <f t="shared" si="124"/>
        <v>0.3333333333333322</v>
      </c>
      <c r="DB136" s="1" t="s">
        <v>1078</v>
      </c>
      <c r="DC136" s="297" t="str">
        <f t="shared" si="125"/>
        <v>reg</v>
      </c>
      <c r="DD136" t="s">
        <v>715</v>
      </c>
      <c r="DE136">
        <v>2019</v>
      </c>
      <c r="DF136" s="143">
        <v>2250</v>
      </c>
      <c r="DG136" s="143">
        <f t="shared" si="138"/>
        <v>231</v>
      </c>
      <c r="DH136" t="str">
        <f t="shared" si="126"/>
        <v>+100</v>
      </c>
      <c r="DI136">
        <v>0</v>
      </c>
      <c r="DJ136">
        <v>1</v>
      </c>
      <c r="DK136">
        <v>0</v>
      </c>
      <c r="DL136">
        <v>0</v>
      </c>
      <c r="DM136">
        <v>1</v>
      </c>
      <c r="DN136">
        <f t="shared" si="127"/>
        <v>1</v>
      </c>
      <c r="DO136" t="str">
        <f t="shared" si="128"/>
        <v>EnergyInput</v>
      </c>
      <c r="DP136">
        <f t="shared" si="129"/>
        <v>0</v>
      </c>
      <c r="DQ136" t="str">
        <f t="shared" si="130"/>
        <v>Energy</v>
      </c>
      <c r="DR136">
        <f t="shared" si="131"/>
        <v>0</v>
      </c>
      <c r="DS136">
        <f t="shared" si="132"/>
        <v>0</v>
      </c>
      <c r="DT136">
        <v>0</v>
      </c>
      <c r="DU136" s="143">
        <v>0</v>
      </c>
      <c r="DV136" s="143">
        <v>0</v>
      </c>
      <c r="DW136" s="143">
        <v>0</v>
      </c>
      <c r="DX136" s="143">
        <v>0</v>
      </c>
      <c r="DY136">
        <f t="shared" si="133"/>
        <v>0</v>
      </c>
      <c r="DZ136" s="143" t="str">
        <f t="shared" si="134"/>
        <v>explicit C balance</v>
      </c>
      <c r="EA136" s="143">
        <v>1</v>
      </c>
      <c r="EB136" s="143">
        <v>1</v>
      </c>
      <c r="EC136" s="143">
        <v>1</v>
      </c>
      <c r="ED136" s="143">
        <v>1</v>
      </c>
      <c r="EE136">
        <v>1</v>
      </c>
      <c r="EF136" s="143">
        <v>0</v>
      </c>
      <c r="EG136" s="143">
        <v>0</v>
      </c>
      <c r="EH136" s="143">
        <v>0</v>
      </c>
      <c r="EI136" s="143">
        <v>0</v>
      </c>
      <c r="EJ136" s="143">
        <v>0</v>
      </c>
      <c r="EK136">
        <v>1</v>
      </c>
      <c r="EL136" s="143">
        <v>1</v>
      </c>
      <c r="EM136">
        <v>0</v>
      </c>
      <c r="EN136" s="2">
        <v>0</v>
      </c>
      <c r="EP136" t="str">
        <f t="shared" si="99"/>
        <v/>
      </c>
      <c r="EQ136" t="str">
        <f t="shared" si="100"/>
        <v>Ecosystem approach</v>
      </c>
      <c r="ER136" s="2" t="str">
        <f t="shared" si="101"/>
        <v/>
      </c>
      <c r="ES136" t="str">
        <f t="shared" si="102"/>
        <v/>
      </c>
      <c r="ET136" t="str">
        <f t="shared" si="103"/>
        <v/>
      </c>
      <c r="EU136" t="str">
        <f t="shared" si="104"/>
        <v/>
      </c>
      <c r="EW136" s="297"/>
      <c r="EY136" t="b">
        <f>IF(ISNUMBER(BW136),IF(ABS(BW136-[1]QC_indicators!$B$2)&gt;3*[1]QC_indicators!$C$2,"C ratio",IF(ISNUMBER(CA136),IF(ABS(CA136-[1]QC_indicators!$B$1)&gt;3*[1]QC_indicators!$C$1,"DF","no"))),IF(ISNUMBER(CA136),IF(ABS(CA136-[1]QC_indicators!$B$1)&gt;3*[1]QC_indicators!$C$1,"DF","no")))</f>
        <v>0</v>
      </c>
      <c r="FA136" t="str">
        <f t="shared" si="105"/>
        <v/>
      </c>
      <c r="FB136" s="299" t="s">
        <v>349</v>
      </c>
    </row>
    <row r="137" spans="1:159" ht="15" hidden="1" customHeight="1">
      <c r="A137" s="1" t="s">
        <v>380</v>
      </c>
      <c r="B137" t="s">
        <v>3134</v>
      </c>
      <c r="C137" t="s">
        <v>3135</v>
      </c>
      <c r="D137" t="s">
        <v>3136</v>
      </c>
      <c r="E137" s="297" t="s">
        <v>3137</v>
      </c>
      <c r="F137" t="s">
        <v>3138</v>
      </c>
      <c r="G137" t="s">
        <v>386</v>
      </c>
      <c r="I137">
        <v>2020</v>
      </c>
      <c r="K137" t="s">
        <v>3139</v>
      </c>
      <c r="M137" t="str">
        <f t="shared" si="139"/>
        <v>Albers_2020</v>
      </c>
      <c r="N137" s="297" t="s">
        <v>4058</v>
      </c>
      <c r="O137" s="140" t="s">
        <v>223</v>
      </c>
      <c r="Q137" s="297" t="s">
        <v>224</v>
      </c>
      <c r="R137" s="298"/>
      <c r="S137" s="1" t="s">
        <v>3140</v>
      </c>
      <c r="T137" t="s">
        <v>3147</v>
      </c>
      <c r="U137" s="143" t="s">
        <v>3148</v>
      </c>
      <c r="V137" s="143"/>
      <c r="W137" s="143"/>
      <c r="X137">
        <v>0</v>
      </c>
      <c r="Y137">
        <v>0</v>
      </c>
      <c r="Z137">
        <v>0</v>
      </c>
      <c r="AA137">
        <v>1</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s="141">
        <f t="shared" si="106"/>
        <v>1</v>
      </c>
      <c r="BA137" s="141">
        <f t="shared" si="107"/>
        <v>1</v>
      </c>
      <c r="BB137">
        <f t="shared" si="108"/>
        <v>1</v>
      </c>
      <c r="BC137">
        <f t="shared" si="109"/>
        <v>0</v>
      </c>
      <c r="BD137">
        <f t="shared" si="110"/>
        <v>0</v>
      </c>
      <c r="BE137">
        <f t="shared" si="111"/>
        <v>0</v>
      </c>
      <c r="BF137">
        <f t="shared" si="112"/>
        <v>0</v>
      </c>
      <c r="BG137" t="str" cm="1">
        <f t="array" ref="BG137">IF(BA137=1,INDEX($X$7:$AN$7,MATCH(TRUE,INDEX($X137:$AY137&lt;&gt;0,),0)),IF(BA137=0,INDEX($AO$7:$AY$7,MATCH(1,$AO137:$AY137,0)),IF(BH137="Multiple strategies","mixed drivers",IF(BH137="Supply chain","multiple supply","multiple silviculture"))))</f>
        <v xml:space="preserve">cutting intensity </v>
      </c>
      <c r="BH137" s="2" t="str" cm="1">
        <f t="array" ref="BH137">IF(COUNTIF(BB137:BD137,"&lt;&gt;0")=1,INDEX($X$4:$AY$4,MATCH(TRUE,INDEX($X137:$AY137&lt;&gt;0,),0)),IF(COUNTIF(BB137:BD137,"&lt;&gt;0")=0,INDEX($AO$4:$AY$4,MATCH(1,$AO137:$AY137,0)),"Multiple strategies"))</f>
        <v>Silviculture for removals</v>
      </c>
      <c r="BI137" s="172"/>
      <c r="BL137" s="143"/>
      <c r="BN137" s="143"/>
      <c r="BO137" s="143"/>
      <c r="BP137" s="143"/>
      <c r="BQ137" s="143"/>
      <c r="BR137" s="297" t="s">
        <v>232</v>
      </c>
      <c r="BS137" s="331"/>
      <c r="BT137" s="143" t="s">
        <v>526</v>
      </c>
      <c r="BU137">
        <v>2033051.6104679101</v>
      </c>
      <c r="BV137">
        <v>236414858.70291299</v>
      </c>
      <c r="BW137">
        <v>116.28571428568</v>
      </c>
      <c r="BX137">
        <v>234381807.09244508</v>
      </c>
      <c r="BZ137">
        <f>BX137</f>
        <v>234381807.09244508</v>
      </c>
      <c r="CA137" t="str">
        <f t="shared" si="95"/>
        <v/>
      </c>
      <c r="CB137">
        <v>0</v>
      </c>
      <c r="CC137">
        <v>0</v>
      </c>
      <c r="CD137">
        <v>0</v>
      </c>
      <c r="CE137">
        <v>0</v>
      </c>
      <c r="CF137">
        <v>0</v>
      </c>
      <c r="CG137">
        <v>0</v>
      </c>
      <c r="CH137">
        <v>0</v>
      </c>
      <c r="CI137">
        <v>0</v>
      </c>
      <c r="CJ137">
        <v>0</v>
      </c>
      <c r="CK137">
        <v>0</v>
      </c>
      <c r="CL137">
        <v>0</v>
      </c>
      <c r="CM137">
        <v>0</v>
      </c>
      <c r="CN137">
        <v>0</v>
      </c>
      <c r="CO137">
        <v>0</v>
      </c>
      <c r="CP137" t="str">
        <f t="shared" si="137"/>
        <v>refOK</v>
      </c>
      <c r="CQ137"/>
      <c r="CR137"/>
      <c r="CS137"/>
      <c r="CT137">
        <f t="shared" si="96"/>
        <v>0</v>
      </c>
      <c r="CU137">
        <f t="shared" si="120"/>
        <v>2033051.6104679101</v>
      </c>
      <c r="CV137">
        <f t="shared" si="121"/>
        <v>236414858.70291299</v>
      </c>
      <c r="CW137">
        <f t="shared" si="122"/>
        <v>234381807.09244508</v>
      </c>
      <c r="CX137" t="str">
        <f t="shared" si="97"/>
        <v/>
      </c>
      <c r="CY137" t="str">
        <f t="shared" si="123"/>
        <v/>
      </c>
      <c r="CZ137" t="str">
        <f t="shared" si="98"/>
        <v/>
      </c>
      <c r="DA137" s="2">
        <f t="shared" si="124"/>
        <v>115.28571428568</v>
      </c>
      <c r="DB137" s="1" t="s">
        <v>1078</v>
      </c>
      <c r="DC137" s="297" t="str">
        <f t="shared" si="125"/>
        <v>reg</v>
      </c>
      <c r="DD137" t="s">
        <v>715</v>
      </c>
      <c r="DE137">
        <v>1819</v>
      </c>
      <c r="DF137" s="143">
        <v>2150</v>
      </c>
      <c r="DG137" s="143">
        <f t="shared" si="138"/>
        <v>331</v>
      </c>
      <c r="DH137" t="str">
        <f t="shared" si="126"/>
        <v>+100</v>
      </c>
      <c r="DI137">
        <v>0</v>
      </c>
      <c r="DJ137">
        <v>1</v>
      </c>
      <c r="DK137">
        <v>0</v>
      </c>
      <c r="DL137">
        <v>0</v>
      </c>
      <c r="DM137">
        <v>1</v>
      </c>
      <c r="DN137">
        <f t="shared" si="127"/>
        <v>1</v>
      </c>
      <c r="DO137" t="str">
        <f t="shared" si="128"/>
        <v>EnergyInput</v>
      </c>
      <c r="DP137">
        <f t="shared" si="129"/>
        <v>0</v>
      </c>
      <c r="DQ137" t="str">
        <f t="shared" si="130"/>
        <v>Energy</v>
      </c>
      <c r="DR137">
        <f t="shared" si="131"/>
        <v>0</v>
      </c>
      <c r="DS137">
        <f t="shared" si="132"/>
        <v>0</v>
      </c>
      <c r="DT137">
        <v>0</v>
      </c>
      <c r="DU137" s="143">
        <v>0</v>
      </c>
      <c r="DV137" s="143">
        <v>0</v>
      </c>
      <c r="DW137" s="143">
        <v>0</v>
      </c>
      <c r="DX137" s="143">
        <v>0</v>
      </c>
      <c r="DY137">
        <f t="shared" si="133"/>
        <v>0</v>
      </c>
      <c r="DZ137" s="143" t="str">
        <f t="shared" si="134"/>
        <v>explicit C balance</v>
      </c>
      <c r="EA137" s="143">
        <v>1</v>
      </c>
      <c r="EB137" s="143">
        <v>1</v>
      </c>
      <c r="EC137" s="143">
        <v>1</v>
      </c>
      <c r="ED137" s="143">
        <v>1</v>
      </c>
      <c r="EE137">
        <v>1</v>
      </c>
      <c r="EF137" s="143">
        <v>0</v>
      </c>
      <c r="EG137" s="143">
        <v>0</v>
      </c>
      <c r="EH137" s="143">
        <v>0</v>
      </c>
      <c r="EI137" s="143">
        <v>0</v>
      </c>
      <c r="EJ137" s="143">
        <v>0</v>
      </c>
      <c r="EK137">
        <v>1</v>
      </c>
      <c r="EL137" s="143">
        <v>1</v>
      </c>
      <c r="EM137">
        <v>0</v>
      </c>
      <c r="EN137" s="2">
        <v>0</v>
      </c>
      <c r="EP137" t="str">
        <f t="shared" si="99"/>
        <v/>
      </c>
      <c r="EQ137" t="str">
        <f t="shared" si="100"/>
        <v>Ecosystem approach</v>
      </c>
      <c r="ER137" s="2" t="str">
        <f t="shared" si="101"/>
        <v/>
      </c>
      <c r="ES137" t="str">
        <f t="shared" si="102"/>
        <v/>
      </c>
      <c r="ET137" t="str">
        <f t="shared" si="103"/>
        <v/>
      </c>
      <c r="EU137" t="str">
        <f t="shared" si="104"/>
        <v/>
      </c>
      <c r="EW137" s="297"/>
      <c r="EY137" t="str">
        <f>IF(ISNUMBER(BW137),IF(ABS(BW137-[1]QC_indicators!$B$2)&gt;3*[1]QC_indicators!$C$2,"C ratio",IF(ISNUMBER(CA137),IF(ABS(CA137-[1]QC_indicators!$B$1)&gt;3*[1]QC_indicators!$C$1,"DF","no"))),IF(ISNUMBER(CA137),IF(ABS(CA137-[1]QC_indicators!$B$1)&gt;3*[1]QC_indicators!$C$1,"DF","no")))</f>
        <v>C ratio</v>
      </c>
      <c r="FA137" t="str">
        <f t="shared" si="105"/>
        <v/>
      </c>
      <c r="FB137" s="299" t="s">
        <v>349</v>
      </c>
    </row>
    <row r="138" spans="1:159" ht="15" hidden="1" customHeight="1">
      <c r="A138" s="1" t="s">
        <v>1005</v>
      </c>
      <c r="B138" t="s">
        <v>3149</v>
      </c>
      <c r="C138" t="s">
        <v>3150</v>
      </c>
      <c r="D138" t="s">
        <v>3151</v>
      </c>
      <c r="E138" s="297" t="s">
        <v>3152</v>
      </c>
      <c r="F138" t="s">
        <v>3153</v>
      </c>
      <c r="G138" t="s">
        <v>1011</v>
      </c>
      <c r="H138" t="s">
        <v>254</v>
      </c>
      <c r="I138">
        <v>2022</v>
      </c>
      <c r="J138">
        <v>7</v>
      </c>
      <c r="K138" t="s">
        <v>3154</v>
      </c>
      <c r="M138" t="str">
        <f t="shared" si="139"/>
        <v>Allen_2022</v>
      </c>
      <c r="N138" s="297" t="s">
        <v>4058</v>
      </c>
      <c r="O138" s="161" t="s">
        <v>223</v>
      </c>
      <c r="Q138" s="297" t="s">
        <v>389</v>
      </c>
      <c r="R138" s="298"/>
      <c r="S138" s="154" t="s">
        <v>3155</v>
      </c>
      <c r="T138" s="149" t="s">
        <v>3156</v>
      </c>
      <c r="U138" s="297" t="s">
        <v>3157</v>
      </c>
      <c r="V138" s="297"/>
      <c r="W138" s="297"/>
      <c r="X138">
        <v>0</v>
      </c>
      <c r="Y138">
        <v>0</v>
      </c>
      <c r="Z138">
        <v>0</v>
      </c>
      <c r="AA138">
        <v>0</v>
      </c>
      <c r="AB138">
        <v>0</v>
      </c>
      <c r="AC138">
        <v>0</v>
      </c>
      <c r="AD138">
        <v>0</v>
      </c>
      <c r="AE138">
        <v>0</v>
      </c>
      <c r="AF138">
        <v>0</v>
      </c>
      <c r="AG138">
        <v>0</v>
      </c>
      <c r="AH138">
        <v>0</v>
      </c>
      <c r="AI138">
        <v>0</v>
      </c>
      <c r="AJ138">
        <v>0</v>
      </c>
      <c r="AK138">
        <v>0</v>
      </c>
      <c r="AL138">
        <v>0</v>
      </c>
      <c r="AM138">
        <v>1</v>
      </c>
      <c r="AN138">
        <v>0</v>
      </c>
      <c r="AO138">
        <v>0</v>
      </c>
      <c r="AP138">
        <v>2</v>
      </c>
      <c r="AQ138">
        <v>0</v>
      </c>
      <c r="AR138">
        <v>0</v>
      </c>
      <c r="AS138">
        <v>0</v>
      </c>
      <c r="AT138">
        <v>0</v>
      </c>
      <c r="AU138">
        <v>0</v>
      </c>
      <c r="AV138">
        <v>2</v>
      </c>
      <c r="AW138">
        <v>0</v>
      </c>
      <c r="AX138">
        <v>0</v>
      </c>
      <c r="AY138">
        <v>0</v>
      </c>
      <c r="AZ138" s="141">
        <f t="shared" si="106"/>
        <v>3</v>
      </c>
      <c r="BA138" s="141">
        <f t="shared" si="107"/>
        <v>1</v>
      </c>
      <c r="BB138">
        <f t="shared" si="108"/>
        <v>0</v>
      </c>
      <c r="BC138">
        <f t="shared" si="109"/>
        <v>0</v>
      </c>
      <c r="BD138">
        <f t="shared" si="110"/>
        <v>1</v>
      </c>
      <c r="BE138">
        <f t="shared" si="111"/>
        <v>1</v>
      </c>
      <c r="BF138">
        <f t="shared" si="112"/>
        <v>1</v>
      </c>
      <c r="BG138" t="str" cm="1">
        <f t="array" ref="BG138">IF(BA138=1,INDEX($X$7:$AN$7,MATCH(TRUE,INDEX($X138:$AY138&lt;&gt;0,),0)),IF(BA138=0,INDEX($AO$7:$AY$7,MATCH(1,$AO138:$AY138,0)),IF(BH138="Multiple strategies","mixed drivers",IF(BH138="Supply chain","multiple supply","multiple silviculture"))))</f>
        <v>technologies/design switch</v>
      </c>
      <c r="BH138" s="2" t="str" cm="1">
        <f t="array" ref="BH138">IF(COUNTIF(BB138:BD138,"&lt;&gt;0")=1,INDEX($X$4:$AY$4,MATCH(TRUE,INDEX($X138:$AY138&lt;&gt;0,),0)),IF(COUNTIF(BB138:BD138,"&lt;&gt;0")=0,INDEX($AO$4:$AY$4,MATCH(1,$AO138:$AY138,0)),"Multiple strategies"))</f>
        <v>Technology</v>
      </c>
      <c r="BR138" s="297" t="s">
        <v>395</v>
      </c>
      <c r="BS138" s="351" t="s">
        <v>766</v>
      </c>
      <c r="BT138" s="297" t="s">
        <v>585</v>
      </c>
      <c r="BU138">
        <v>66.400000000000006</v>
      </c>
      <c r="BV138">
        <v>4.16</v>
      </c>
      <c r="BW138" s="144">
        <f>IFERROR(BV138/BU138,"")</f>
        <v>6.2650602409638545E-2</v>
      </c>
      <c r="BX138">
        <f>BV138-BU138</f>
        <v>-62.240000000000009</v>
      </c>
      <c r="BZ138">
        <f>BX138/1000</f>
        <v>-6.2240000000000011E-2</v>
      </c>
      <c r="CA138" t="str">
        <f t="shared" si="95"/>
        <v/>
      </c>
      <c r="CB138">
        <v>0</v>
      </c>
      <c r="CC138">
        <v>0</v>
      </c>
      <c r="CD138">
        <v>0</v>
      </c>
      <c r="CE138">
        <v>0</v>
      </c>
      <c r="CF138">
        <v>0</v>
      </c>
      <c r="CG138">
        <v>0</v>
      </c>
      <c r="CH138">
        <v>0</v>
      </c>
      <c r="CI138">
        <v>0</v>
      </c>
      <c r="CJ138">
        <v>0</v>
      </c>
      <c r="CK138">
        <v>0</v>
      </c>
      <c r="CL138">
        <v>0</v>
      </c>
      <c r="CM138">
        <v>0</v>
      </c>
      <c r="CN138">
        <v>0</v>
      </c>
      <c r="CO138">
        <v>0</v>
      </c>
      <c r="CP138" t="str">
        <f>IF($BN138&lt;$BM138,"refNeedCorrection","refOK")</f>
        <v>refOK</v>
      </c>
      <c r="CQ138">
        <f>IF($CP138="refOK",$BM138,$BN138)</f>
        <v>0</v>
      </c>
      <c r="CR138">
        <f>IF($CP138="refOK",$BN138,$BM138)</f>
        <v>0</v>
      </c>
      <c r="CS138">
        <f>IF($CP138="refOK",$BQ138,-$BQ138)</f>
        <v>0</v>
      </c>
      <c r="CT138">
        <f t="shared" si="96"/>
        <v>0</v>
      </c>
      <c r="CU138">
        <f t="shared" si="120"/>
        <v>-66.400000000000006</v>
      </c>
      <c r="CV138">
        <f t="shared" si="121"/>
        <v>-4.16</v>
      </c>
      <c r="CW138">
        <f t="shared" si="122"/>
        <v>6.2240000000000011E-2</v>
      </c>
      <c r="CX138" t="str">
        <f t="shared" si="97"/>
        <v/>
      </c>
      <c r="CY138" t="str">
        <f t="shared" si="123"/>
        <v/>
      </c>
      <c r="CZ138" t="str">
        <f t="shared" si="98"/>
        <v/>
      </c>
      <c r="DA138" s="2">
        <f t="shared" si="124"/>
        <v>0.93734939759036151</v>
      </c>
      <c r="DB138" s="304" t="s">
        <v>1078</v>
      </c>
      <c r="DC138" s="297" t="str">
        <f t="shared" si="125"/>
        <v>reg</v>
      </c>
      <c r="DD138" s="297" t="s">
        <v>561</v>
      </c>
      <c r="DE138">
        <v>1990</v>
      </c>
      <c r="DF138">
        <v>2050</v>
      </c>
      <c r="DG138">
        <f t="shared" si="138"/>
        <v>60</v>
      </c>
      <c r="DH138" t="str">
        <f t="shared" si="126"/>
        <v>31-70</v>
      </c>
      <c r="DI138">
        <v>0</v>
      </c>
      <c r="DJ138">
        <v>0</v>
      </c>
      <c r="DK138">
        <v>0</v>
      </c>
      <c r="DL138">
        <v>1</v>
      </c>
      <c r="DM138">
        <v>1</v>
      </c>
      <c r="DN138">
        <f t="shared" si="127"/>
        <v>1</v>
      </c>
      <c r="DO138" t="str">
        <f t="shared" si="128"/>
        <v>TimberInput</v>
      </c>
      <c r="DP138">
        <f t="shared" si="129"/>
        <v>0</v>
      </c>
      <c r="DQ138">
        <f t="shared" si="130"/>
        <v>0</v>
      </c>
      <c r="DR138">
        <f t="shared" si="131"/>
        <v>0</v>
      </c>
      <c r="DS138" t="str">
        <f t="shared" si="132"/>
        <v>Timber</v>
      </c>
      <c r="DT138">
        <v>0</v>
      </c>
      <c r="DU138">
        <v>0</v>
      </c>
      <c r="DV138">
        <v>0</v>
      </c>
      <c r="DW138">
        <v>0</v>
      </c>
      <c r="DX138">
        <v>0</v>
      </c>
      <c r="DY138">
        <f t="shared" si="133"/>
        <v>0</v>
      </c>
      <c r="DZ138" s="143" t="str">
        <f t="shared" si="134"/>
        <v>explicit C balance</v>
      </c>
      <c r="EA138">
        <v>0</v>
      </c>
      <c r="EB138">
        <v>0</v>
      </c>
      <c r="EC138">
        <v>0</v>
      </c>
      <c r="ED138">
        <v>1</v>
      </c>
      <c r="EE138">
        <v>1</v>
      </c>
      <c r="EF138">
        <v>1</v>
      </c>
      <c r="EG138">
        <v>0</v>
      </c>
      <c r="EH138">
        <v>1</v>
      </c>
      <c r="EI138">
        <v>1</v>
      </c>
      <c r="EJ138">
        <v>1</v>
      </c>
      <c r="EK138">
        <v>0</v>
      </c>
      <c r="EL138">
        <v>0</v>
      </c>
      <c r="EM138">
        <v>0</v>
      </c>
      <c r="EN138" s="2">
        <v>1</v>
      </c>
      <c r="EP138" t="str">
        <f t="shared" si="99"/>
        <v/>
      </c>
      <c r="EQ138" t="str">
        <f t="shared" ref="EQ138:EQ169" si="140">IF(AND(AND(OR($EC138=1,$EB138=1),AND($EH138=0,$EF138=0)),SUM($EA138:$EE138,$EK138)&gt;=3),"Ecosystem approach","")</f>
        <v/>
      </c>
      <c r="ER138" s="2" t="str">
        <f t="shared" si="101"/>
        <v>Technology approach</v>
      </c>
      <c r="ES138" t="str">
        <f t="shared" si="102"/>
        <v/>
      </c>
      <c r="ET138" t="str">
        <f t="shared" si="103"/>
        <v/>
      </c>
      <c r="EU138" t="str">
        <f t="shared" si="104"/>
        <v/>
      </c>
      <c r="EY138" t="b">
        <f>IF(ISNUMBER(BW138),IF(ABS(BW138-[1]QC_indicators!$B$2)&gt;3*[1]QC_indicators!$C$2,"C ratio",IF(ISNUMBER(CA138),IF(ABS(CA138-[1]QC_indicators!$B$1)&gt;3*[1]QC_indicators!$C$1,"DF","no"))),IF(ISNUMBER(CA138),IF(ABS(CA138-[1]QC_indicators!$B$1)&gt;3*[1]QC_indicators!$C$1,"DF","no")))</f>
        <v>0</v>
      </c>
      <c r="FA138" t="str">
        <f t="shared" si="105"/>
        <v/>
      </c>
    </row>
    <row r="139" spans="1:159" ht="15" hidden="1" customHeight="1">
      <c r="A139" s="1" t="s">
        <v>1005</v>
      </c>
      <c r="B139" t="s">
        <v>3149</v>
      </c>
      <c r="C139" t="s">
        <v>3150</v>
      </c>
      <c r="D139" t="s">
        <v>3151</v>
      </c>
      <c r="E139" s="297" t="s">
        <v>3152</v>
      </c>
      <c r="F139" t="s">
        <v>3153</v>
      </c>
      <c r="G139" t="s">
        <v>1011</v>
      </c>
      <c r="H139" t="s">
        <v>254</v>
      </c>
      <c r="I139">
        <v>2022</v>
      </c>
      <c r="J139">
        <v>7</v>
      </c>
      <c r="K139" t="s">
        <v>3154</v>
      </c>
      <c r="M139" t="str">
        <f t="shared" si="139"/>
        <v>Allen_2022</v>
      </c>
      <c r="N139" s="297" t="s">
        <v>4058</v>
      </c>
      <c r="O139" s="161" t="s">
        <v>223</v>
      </c>
      <c r="Q139" s="297" t="s">
        <v>389</v>
      </c>
      <c r="R139" s="298"/>
      <c r="S139" s="154" t="s">
        <v>3155</v>
      </c>
      <c r="T139" s="149" t="s">
        <v>3156</v>
      </c>
      <c r="U139" s="297" t="s">
        <v>3157</v>
      </c>
      <c r="V139" s="297"/>
      <c r="W139" s="297"/>
      <c r="X139">
        <v>0</v>
      </c>
      <c r="Y139">
        <v>0</v>
      </c>
      <c r="Z139">
        <v>0</v>
      </c>
      <c r="AA139">
        <v>0</v>
      </c>
      <c r="AB139">
        <v>0</v>
      </c>
      <c r="AC139">
        <v>0</v>
      </c>
      <c r="AD139">
        <v>0</v>
      </c>
      <c r="AE139">
        <v>0</v>
      </c>
      <c r="AF139">
        <v>0</v>
      </c>
      <c r="AG139">
        <v>0</v>
      </c>
      <c r="AH139">
        <v>0</v>
      </c>
      <c r="AI139">
        <v>0</v>
      </c>
      <c r="AJ139">
        <v>0</v>
      </c>
      <c r="AK139">
        <v>0</v>
      </c>
      <c r="AL139">
        <v>0</v>
      </c>
      <c r="AM139">
        <v>1</v>
      </c>
      <c r="AN139">
        <v>0</v>
      </c>
      <c r="AO139">
        <v>0</v>
      </c>
      <c r="AP139">
        <v>2</v>
      </c>
      <c r="AQ139">
        <v>0</v>
      </c>
      <c r="AR139">
        <v>0</v>
      </c>
      <c r="AS139">
        <v>0</v>
      </c>
      <c r="AT139">
        <v>0</v>
      </c>
      <c r="AU139">
        <v>0</v>
      </c>
      <c r="AV139">
        <v>2</v>
      </c>
      <c r="AW139">
        <v>0</v>
      </c>
      <c r="AX139">
        <v>0</v>
      </c>
      <c r="AY139">
        <v>0</v>
      </c>
      <c r="AZ139" s="141">
        <f t="shared" si="106"/>
        <v>3</v>
      </c>
      <c r="BA139" s="141">
        <f t="shared" si="107"/>
        <v>1</v>
      </c>
      <c r="BB139">
        <f t="shared" si="108"/>
        <v>0</v>
      </c>
      <c r="BC139">
        <f t="shared" si="109"/>
        <v>0</v>
      </c>
      <c r="BD139">
        <f t="shared" si="110"/>
        <v>1</v>
      </c>
      <c r="BE139">
        <f t="shared" si="111"/>
        <v>1</v>
      </c>
      <c r="BF139">
        <f t="shared" si="112"/>
        <v>1</v>
      </c>
      <c r="BG139" t="str" cm="1">
        <f t="array" ref="BG139">IF(BA139=1,INDEX($X$7:$AN$7,MATCH(TRUE,INDEX($X139:$AY139&lt;&gt;0,),0)),IF(BA139=0,INDEX($AO$7:$AY$7,MATCH(1,$AO139:$AY139,0)),IF(BH139="Multiple strategies","mixed drivers",IF(BH139="Supply chain","multiple supply","multiple silviculture"))))</f>
        <v>technologies/design switch</v>
      </c>
      <c r="BH139" s="2" t="str" cm="1">
        <f t="array" ref="BH139">IF(COUNTIF(BB139:BD139,"&lt;&gt;0")=1,INDEX($X$4:$AY$4,MATCH(TRUE,INDEX($X139:$AY139&lt;&gt;0,),0)),IF(COUNTIF(BB139:BD139,"&lt;&gt;0")=0,INDEX($AO$4:$AY$4,MATCH(1,$AO139:$AY139,0)),"Multiple strategies"))</f>
        <v>Technology</v>
      </c>
      <c r="BR139" s="297" t="s">
        <v>395</v>
      </c>
      <c r="BS139" s="329" t="s">
        <v>426</v>
      </c>
      <c r="BU139">
        <v>59</v>
      </c>
      <c r="BV139">
        <f>BU139-0.95*BU139</f>
        <v>2.9500000000000028</v>
      </c>
      <c r="BW139" s="144">
        <f>IFERROR(BV139/BU139,"")</f>
        <v>5.0000000000000051E-2</v>
      </c>
      <c r="BX139">
        <f>BV139-BU139</f>
        <v>-56.05</v>
      </c>
      <c r="BZ139">
        <f>BX139/1000</f>
        <v>-5.6049999999999996E-2</v>
      </c>
      <c r="CA139" t="str">
        <f t="shared" si="95"/>
        <v/>
      </c>
      <c r="CB139">
        <v>0</v>
      </c>
      <c r="CC139">
        <v>0</v>
      </c>
      <c r="CD139">
        <v>0</v>
      </c>
      <c r="CE139">
        <v>0</v>
      </c>
      <c r="CF139">
        <v>0</v>
      </c>
      <c r="CG139">
        <v>0</v>
      </c>
      <c r="CH139">
        <v>0</v>
      </c>
      <c r="CI139">
        <v>0</v>
      </c>
      <c r="CJ139">
        <v>0</v>
      </c>
      <c r="CK139">
        <v>0</v>
      </c>
      <c r="CL139">
        <v>0</v>
      </c>
      <c r="CM139">
        <v>0</v>
      </c>
      <c r="CN139">
        <v>0</v>
      </c>
      <c r="CO139">
        <v>0</v>
      </c>
      <c r="CP139" t="str">
        <f>IF($BN139&lt;$BM139,"refNeedCorrection","refOK")</f>
        <v>refOK</v>
      </c>
      <c r="CQ139">
        <f>IF($CP139="refOK",$BM139,$BN139)</f>
        <v>0</v>
      </c>
      <c r="CR139">
        <f>IF($CP139="refOK",$BN139,$BM139)</f>
        <v>0</v>
      </c>
      <c r="CS139">
        <f>IF($CP139="refOK",$BQ139,-$BQ139)</f>
        <v>0</v>
      </c>
      <c r="CT139">
        <f t="shared" si="96"/>
        <v>0</v>
      </c>
      <c r="CU139">
        <f t="shared" si="120"/>
        <v>-59</v>
      </c>
      <c r="CV139">
        <f t="shared" si="121"/>
        <v>-2.9500000000000028</v>
      </c>
      <c r="CW139">
        <f t="shared" si="122"/>
        <v>5.6049999999999996E-2</v>
      </c>
      <c r="CX139" t="str">
        <f t="shared" si="97"/>
        <v/>
      </c>
      <c r="CY139" t="str">
        <f t="shared" si="123"/>
        <v/>
      </c>
      <c r="CZ139" t="str">
        <f t="shared" si="98"/>
        <v/>
      </c>
      <c r="DA139" s="2">
        <f t="shared" si="124"/>
        <v>0.95</v>
      </c>
      <c r="DB139" s="304" t="s">
        <v>1078</v>
      </c>
      <c r="DC139" s="297" t="str">
        <f t="shared" si="125"/>
        <v>reg</v>
      </c>
      <c r="DD139" s="297" t="s">
        <v>561</v>
      </c>
      <c r="DE139">
        <v>1990</v>
      </c>
      <c r="DF139">
        <v>2050</v>
      </c>
      <c r="DG139">
        <f t="shared" si="138"/>
        <v>60</v>
      </c>
      <c r="DH139" t="str">
        <f t="shared" si="126"/>
        <v>31-70</v>
      </c>
      <c r="DI139">
        <v>0</v>
      </c>
      <c r="DJ139">
        <v>0</v>
      </c>
      <c r="DK139">
        <v>0</v>
      </c>
      <c r="DL139">
        <v>1</v>
      </c>
      <c r="DM139">
        <v>1</v>
      </c>
      <c r="DN139">
        <f t="shared" si="127"/>
        <v>1</v>
      </c>
      <c r="DO139" t="str">
        <f t="shared" si="128"/>
        <v>TimberInput</v>
      </c>
      <c r="DP139">
        <f t="shared" si="129"/>
        <v>0</v>
      </c>
      <c r="DQ139">
        <f t="shared" si="130"/>
        <v>0</v>
      </c>
      <c r="DR139">
        <f t="shared" si="131"/>
        <v>0</v>
      </c>
      <c r="DS139" t="str">
        <f t="shared" si="132"/>
        <v>Timber</v>
      </c>
      <c r="DT139">
        <v>0</v>
      </c>
      <c r="DU139">
        <v>0</v>
      </c>
      <c r="DV139">
        <v>0</v>
      </c>
      <c r="DW139">
        <v>0</v>
      </c>
      <c r="DX139">
        <v>0</v>
      </c>
      <c r="DY139">
        <f t="shared" si="133"/>
        <v>0</v>
      </c>
      <c r="DZ139" s="143" t="str">
        <f t="shared" si="134"/>
        <v>explicit C balance</v>
      </c>
      <c r="EA139">
        <v>0</v>
      </c>
      <c r="EB139">
        <v>0</v>
      </c>
      <c r="EC139">
        <v>0</v>
      </c>
      <c r="ED139">
        <v>0</v>
      </c>
      <c r="EE139">
        <v>0</v>
      </c>
      <c r="EF139">
        <v>1</v>
      </c>
      <c r="EG139">
        <v>0</v>
      </c>
      <c r="EH139">
        <v>1</v>
      </c>
      <c r="EI139">
        <v>1</v>
      </c>
      <c r="EJ139">
        <v>1</v>
      </c>
      <c r="EK139">
        <v>0</v>
      </c>
      <c r="EL139">
        <v>0</v>
      </c>
      <c r="EM139">
        <v>0</v>
      </c>
      <c r="EN139" s="2">
        <v>1</v>
      </c>
      <c r="EP139" t="str">
        <f t="shared" si="99"/>
        <v/>
      </c>
      <c r="EQ139" t="str">
        <f t="shared" si="140"/>
        <v/>
      </c>
      <c r="ER139" s="2" t="str">
        <f t="shared" si="101"/>
        <v>Technology approach</v>
      </c>
      <c r="ES139" t="str">
        <f t="shared" si="102"/>
        <v/>
      </c>
      <c r="ET139" t="str">
        <f t="shared" si="103"/>
        <v/>
      </c>
      <c r="EU139" t="str">
        <f t="shared" si="104"/>
        <v/>
      </c>
      <c r="EY139" t="b">
        <f>IF(ISNUMBER(BW139),IF(ABS(BW139-[1]QC_indicators!$B$2)&gt;3*[1]QC_indicators!$C$2,"C ratio",IF(ISNUMBER(CA139),IF(ABS(CA139-[1]QC_indicators!$B$1)&gt;3*[1]QC_indicators!$C$1,"DF","no"))),IF(ISNUMBER(CA139),IF(ABS(CA139-[1]QC_indicators!$B$1)&gt;3*[1]QC_indicators!$C$1,"DF","no")))</f>
        <v>0</v>
      </c>
      <c r="FA139" t="str">
        <f t="shared" si="105"/>
        <v/>
      </c>
    </row>
    <row r="140" spans="1:159" ht="15" hidden="1" customHeight="1">
      <c r="A140" s="1" t="s">
        <v>1005</v>
      </c>
      <c r="B140" t="s">
        <v>3149</v>
      </c>
      <c r="C140" t="s">
        <v>3150</v>
      </c>
      <c r="D140" t="s">
        <v>3151</v>
      </c>
      <c r="E140" s="297" t="s">
        <v>3152</v>
      </c>
      <c r="F140" t="s">
        <v>3153</v>
      </c>
      <c r="G140" t="s">
        <v>1011</v>
      </c>
      <c r="H140" t="s">
        <v>254</v>
      </c>
      <c r="I140">
        <v>2022</v>
      </c>
      <c r="J140">
        <v>7</v>
      </c>
      <c r="K140" t="s">
        <v>3154</v>
      </c>
      <c r="M140" t="str">
        <f t="shared" si="139"/>
        <v>Allen_2022</v>
      </c>
      <c r="N140" s="297" t="s">
        <v>4058</v>
      </c>
      <c r="O140" s="161" t="s">
        <v>223</v>
      </c>
      <c r="Q140" s="297" t="s">
        <v>389</v>
      </c>
      <c r="R140" s="298"/>
      <c r="S140" s="154" t="s">
        <v>3155</v>
      </c>
      <c r="T140" s="149" t="s">
        <v>3156</v>
      </c>
      <c r="U140" s="297" t="s">
        <v>3157</v>
      </c>
      <c r="V140" s="297"/>
      <c r="W140" s="297"/>
      <c r="X140">
        <v>0</v>
      </c>
      <c r="Y140">
        <v>0</v>
      </c>
      <c r="Z140">
        <v>0</v>
      </c>
      <c r="AA140">
        <v>0</v>
      </c>
      <c r="AB140">
        <v>0</v>
      </c>
      <c r="AC140">
        <v>0</v>
      </c>
      <c r="AD140">
        <v>0</v>
      </c>
      <c r="AE140">
        <v>0</v>
      </c>
      <c r="AF140">
        <v>0</v>
      </c>
      <c r="AG140">
        <v>0</v>
      </c>
      <c r="AH140">
        <v>0</v>
      </c>
      <c r="AI140">
        <v>0</v>
      </c>
      <c r="AJ140">
        <v>0</v>
      </c>
      <c r="AK140">
        <v>0</v>
      </c>
      <c r="AL140">
        <v>0</v>
      </c>
      <c r="AM140">
        <v>1</v>
      </c>
      <c r="AN140">
        <v>0</v>
      </c>
      <c r="AO140">
        <v>0</v>
      </c>
      <c r="AP140">
        <v>2</v>
      </c>
      <c r="AQ140">
        <v>0</v>
      </c>
      <c r="AR140">
        <v>0</v>
      </c>
      <c r="AS140">
        <v>0</v>
      </c>
      <c r="AT140">
        <v>0</v>
      </c>
      <c r="AU140">
        <v>0</v>
      </c>
      <c r="AV140">
        <v>2</v>
      </c>
      <c r="AW140">
        <v>0</v>
      </c>
      <c r="AX140">
        <v>0</v>
      </c>
      <c r="AY140">
        <v>0</v>
      </c>
      <c r="AZ140" s="141">
        <f t="shared" si="106"/>
        <v>3</v>
      </c>
      <c r="BA140" s="141">
        <f t="shared" si="107"/>
        <v>1</v>
      </c>
      <c r="BB140">
        <f t="shared" si="108"/>
        <v>0</v>
      </c>
      <c r="BC140">
        <f t="shared" si="109"/>
        <v>0</v>
      </c>
      <c r="BD140">
        <f t="shared" si="110"/>
        <v>1</v>
      </c>
      <c r="BE140">
        <f t="shared" si="111"/>
        <v>1</v>
      </c>
      <c r="BF140">
        <f t="shared" si="112"/>
        <v>1</v>
      </c>
      <c r="BG140" t="str" cm="1">
        <f t="array" ref="BG140">IF(BA140=1,INDEX($X$7:$AN$7,MATCH(TRUE,INDEX($X140:$AY140&lt;&gt;0,),0)),IF(BA140=0,INDEX($AO$7:$AY$7,MATCH(1,$AO140:$AY140,0)),IF(BH140="Multiple strategies","mixed drivers",IF(BH140="Supply chain","multiple supply","multiple silviculture"))))</f>
        <v>technologies/design switch</v>
      </c>
      <c r="BH140" s="2" t="str" cm="1">
        <f t="array" ref="BH140">IF(COUNTIF(BB140:BD140,"&lt;&gt;0")=1,INDEX($X$4:$AY$4,MATCH(TRUE,INDEX($X140:$AY140&lt;&gt;0,),0)),IF(COUNTIF(BB140:BD140,"&lt;&gt;0")=0,INDEX($AO$4:$AY$4,MATCH(1,$AO140:$AY140,0)),"Multiple strategies"))</f>
        <v>Technology</v>
      </c>
      <c r="BR140" s="297" t="s">
        <v>395</v>
      </c>
      <c r="BS140" s="351" t="s">
        <v>429</v>
      </c>
      <c r="BU140">
        <v>4.3</v>
      </c>
      <c r="BV140">
        <v>-1.1000000000000001</v>
      </c>
      <c r="BW140" s="144">
        <f>IFERROR(BV140/BU140,"")</f>
        <v>-0.2558139534883721</v>
      </c>
      <c r="BX140">
        <f>BV140-BU140</f>
        <v>-5.4</v>
      </c>
      <c r="BZ140">
        <f>BX140/1000</f>
        <v>-5.4000000000000003E-3</v>
      </c>
      <c r="CA140" t="str">
        <f t="shared" si="95"/>
        <v/>
      </c>
      <c r="CB140">
        <v>0</v>
      </c>
      <c r="CC140">
        <v>0</v>
      </c>
      <c r="CD140">
        <v>0</v>
      </c>
      <c r="CE140">
        <v>0</v>
      </c>
      <c r="CF140">
        <v>0</v>
      </c>
      <c r="CG140">
        <v>0</v>
      </c>
      <c r="CH140">
        <v>0</v>
      </c>
      <c r="CI140">
        <v>0</v>
      </c>
      <c r="CJ140">
        <v>0</v>
      </c>
      <c r="CK140">
        <v>0</v>
      </c>
      <c r="CL140">
        <v>0</v>
      </c>
      <c r="CM140">
        <v>0</v>
      </c>
      <c r="CN140">
        <v>0</v>
      </c>
      <c r="CO140">
        <v>0</v>
      </c>
      <c r="CP140" t="str">
        <f>IF($BN140&lt;$BM140,"refNeedCorrection","refOK")</f>
        <v>refOK</v>
      </c>
      <c r="CQ140">
        <f>IF($CP140="refOK",$BM140,$BN140)</f>
        <v>0</v>
      </c>
      <c r="CR140">
        <f>IF($CP140="refOK",$BN140,$BM140)</f>
        <v>0</v>
      </c>
      <c r="CS140">
        <f>IF($CP140="refOK",$BQ140,-$BQ140)</f>
        <v>0</v>
      </c>
      <c r="CT140">
        <f t="shared" si="96"/>
        <v>0</v>
      </c>
      <c r="CU140">
        <f t="shared" si="120"/>
        <v>-4.3</v>
      </c>
      <c r="CV140">
        <f t="shared" si="121"/>
        <v>1.1000000000000001</v>
      </c>
      <c r="CW140">
        <f t="shared" si="122"/>
        <v>5.4000000000000003E-3</v>
      </c>
      <c r="CX140" t="str">
        <f t="shared" si="97"/>
        <v/>
      </c>
      <c r="CY140" t="str">
        <f t="shared" si="123"/>
        <v/>
      </c>
      <c r="CZ140" t="str">
        <f t="shared" si="98"/>
        <v/>
      </c>
      <c r="DA140" s="2">
        <f t="shared" si="124"/>
        <v>1.2558139534883723</v>
      </c>
      <c r="DB140" s="304" t="s">
        <v>1078</v>
      </c>
      <c r="DC140" s="297" t="str">
        <f t="shared" si="125"/>
        <v>reg</v>
      </c>
      <c r="DD140" s="297" t="s">
        <v>561</v>
      </c>
      <c r="DE140">
        <v>1990</v>
      </c>
      <c r="DF140">
        <v>2050</v>
      </c>
      <c r="DG140">
        <f t="shared" si="138"/>
        <v>60</v>
      </c>
      <c r="DH140" t="str">
        <f t="shared" si="126"/>
        <v>31-70</v>
      </c>
      <c r="DI140">
        <v>0</v>
      </c>
      <c r="DJ140">
        <v>0</v>
      </c>
      <c r="DK140">
        <v>0</v>
      </c>
      <c r="DL140">
        <v>1</v>
      </c>
      <c r="DM140">
        <v>1</v>
      </c>
      <c r="DN140">
        <f t="shared" si="127"/>
        <v>1</v>
      </c>
      <c r="DO140" t="str">
        <f t="shared" si="128"/>
        <v>TimberInput</v>
      </c>
      <c r="DP140">
        <f t="shared" si="129"/>
        <v>0</v>
      </c>
      <c r="DQ140">
        <f t="shared" si="130"/>
        <v>0</v>
      </c>
      <c r="DR140">
        <f t="shared" si="131"/>
        <v>0</v>
      </c>
      <c r="DS140" t="str">
        <f t="shared" si="132"/>
        <v>Timber</v>
      </c>
      <c r="DT140">
        <v>0</v>
      </c>
      <c r="DU140">
        <v>0</v>
      </c>
      <c r="DV140">
        <v>0</v>
      </c>
      <c r="DW140">
        <v>0</v>
      </c>
      <c r="DX140">
        <v>0</v>
      </c>
      <c r="DY140">
        <f t="shared" si="133"/>
        <v>0</v>
      </c>
      <c r="DZ140" s="143" t="str">
        <f t="shared" si="134"/>
        <v>explicit C balance</v>
      </c>
      <c r="EA140">
        <v>0</v>
      </c>
      <c r="EB140">
        <v>0</v>
      </c>
      <c r="EC140">
        <v>0</v>
      </c>
      <c r="ED140">
        <v>1</v>
      </c>
      <c r="EE140">
        <v>1</v>
      </c>
      <c r="EF140">
        <v>0</v>
      </c>
      <c r="EG140">
        <v>0</v>
      </c>
      <c r="EH140">
        <v>0</v>
      </c>
      <c r="EI140">
        <v>0</v>
      </c>
      <c r="EJ140">
        <v>0</v>
      </c>
      <c r="EK140">
        <v>0</v>
      </c>
      <c r="EL140">
        <v>0</v>
      </c>
      <c r="EM140">
        <v>0</v>
      </c>
      <c r="EN140" s="2">
        <v>1</v>
      </c>
      <c r="EP140" t="str">
        <f t="shared" si="99"/>
        <v/>
      </c>
      <c r="EQ140" t="str">
        <f t="shared" si="140"/>
        <v/>
      </c>
      <c r="ER140" s="2" t="str">
        <f t="shared" si="101"/>
        <v/>
      </c>
      <c r="ES140" t="str">
        <f t="shared" si="102"/>
        <v/>
      </c>
      <c r="ET140" t="str">
        <f t="shared" si="103"/>
        <v/>
      </c>
      <c r="EU140" t="str">
        <f t="shared" si="104"/>
        <v/>
      </c>
      <c r="EY140" t="b">
        <f>IF(ISNUMBER(BW140),IF(ABS(BW140-[1]QC_indicators!$B$2)&gt;3*[1]QC_indicators!$C$2,"C ratio",IF(ISNUMBER(CA140),IF(ABS(CA140-[1]QC_indicators!$B$1)&gt;3*[1]QC_indicators!$C$1,"DF","no"))),IF(ISNUMBER(CA140),IF(ABS(CA140-[1]QC_indicators!$B$1)&gt;3*[1]QC_indicators!$C$1,"DF","no")))</f>
        <v>0</v>
      </c>
      <c r="FA140" t="str">
        <f t="shared" si="105"/>
        <v/>
      </c>
    </row>
    <row r="141" spans="1:159" ht="15" hidden="1" customHeight="1">
      <c r="A141" s="1" t="s">
        <v>4395</v>
      </c>
      <c r="B141" t="s">
        <v>4396</v>
      </c>
      <c r="C141" t="s">
        <v>4397</v>
      </c>
      <c r="D141" t="s">
        <v>4398</v>
      </c>
      <c r="E141" t="s">
        <v>4399</v>
      </c>
      <c r="F141" t="s">
        <v>4400</v>
      </c>
      <c r="G141" t="s">
        <v>4401</v>
      </c>
      <c r="I141">
        <v>2019</v>
      </c>
      <c r="K141" t="s">
        <v>4402</v>
      </c>
      <c r="M141" t="str">
        <f t="shared" si="139"/>
        <v>Asif_2019</v>
      </c>
      <c r="N141" s="297" t="s">
        <v>4058</v>
      </c>
      <c r="O141" s="313" t="s">
        <v>274</v>
      </c>
      <c r="P141" t="s">
        <v>225</v>
      </c>
      <c r="Q141" s="297" t="s">
        <v>389</v>
      </c>
      <c r="R141" s="298"/>
      <c r="AZ141" s="141"/>
      <c r="BA141" s="141"/>
      <c r="BG141"/>
      <c r="BH141" s="2"/>
      <c r="BS141" s="230"/>
      <c r="BW141" s="144"/>
      <c r="CA141" t="str">
        <f t="shared" si="95"/>
        <v/>
      </c>
      <c r="CP141"/>
      <c r="CQ141"/>
      <c r="CR141"/>
      <c r="CS141"/>
      <c r="CT141">
        <f t="shared" si="96"/>
        <v>0</v>
      </c>
      <c r="CU141"/>
      <c r="CV141"/>
      <c r="CW141"/>
      <c r="CX141" t="str">
        <f t="shared" si="97"/>
        <v/>
      </c>
      <c r="CY141"/>
      <c r="CZ141" t="str">
        <f t="shared" si="98"/>
        <v/>
      </c>
      <c r="DA141" s="2"/>
      <c r="DC141"/>
      <c r="DH141"/>
      <c r="DN141"/>
      <c r="DO141"/>
      <c r="DP141"/>
      <c r="DQ141"/>
      <c r="DR141"/>
      <c r="DS141"/>
      <c r="DY141"/>
      <c r="DZ141" s="143"/>
      <c r="EP141" t="str">
        <f t="shared" si="99"/>
        <v/>
      </c>
      <c r="EQ141" t="str">
        <f t="shared" si="140"/>
        <v/>
      </c>
      <c r="ER141" s="2" t="str">
        <f t="shared" si="101"/>
        <v/>
      </c>
      <c r="ES141" t="str">
        <f t="shared" si="102"/>
        <v/>
      </c>
      <c r="ET141" t="str">
        <f t="shared" si="103"/>
        <v/>
      </c>
      <c r="EU141" t="str">
        <f t="shared" si="104"/>
        <v/>
      </c>
      <c r="EW141" t="s">
        <v>4403</v>
      </c>
      <c r="EY141" t="b">
        <f>IF(ISNUMBER(BW141),IF(ABS(BW141-[1]QC_indicators!$B$2)&gt;3*[1]QC_indicators!$C$2,"C ratio",IF(ISNUMBER(CA141),IF(ABS(CA141-[1]QC_indicators!$B$1)&gt;3*[1]QC_indicators!$C$1,"DF","no"))),IF(ISNUMBER(CA141),IF(ABS(CA141-[1]QC_indicators!$B$1)&gt;3*[1]QC_indicators!$C$1,"DF","no")))</f>
        <v>0</v>
      </c>
      <c r="FA141" t="str">
        <f t="shared" si="105"/>
        <v/>
      </c>
    </row>
    <row r="142" spans="1:159" ht="15" hidden="1" customHeight="1">
      <c r="A142" s="1" t="s">
        <v>3158</v>
      </c>
      <c r="B142" t="s">
        <v>3159</v>
      </c>
      <c r="C142" t="s">
        <v>3160</v>
      </c>
      <c r="D142" t="s">
        <v>3161</v>
      </c>
      <c r="E142" t="s">
        <v>3162</v>
      </c>
      <c r="F142" t="s">
        <v>3163</v>
      </c>
      <c r="G142" t="s">
        <v>3164</v>
      </c>
      <c r="H142" t="s">
        <v>254</v>
      </c>
      <c r="I142">
        <v>2021</v>
      </c>
      <c r="J142">
        <v>1</v>
      </c>
      <c r="K142" t="s">
        <v>3165</v>
      </c>
      <c r="M142" t="str">
        <f t="shared" si="139"/>
        <v>Bradfer-Lawrence_2021</v>
      </c>
      <c r="N142" s="297" t="s">
        <v>4058</v>
      </c>
      <c r="O142" s="145" t="s">
        <v>223</v>
      </c>
      <c r="Q142" s="297" t="s">
        <v>256</v>
      </c>
      <c r="R142" s="298"/>
      <c r="S142" s="1" t="s">
        <v>3166</v>
      </c>
      <c r="T142" t="s">
        <v>3167</v>
      </c>
      <c r="U142" t="s">
        <v>3171</v>
      </c>
      <c r="X142">
        <v>1</v>
      </c>
      <c r="Y142">
        <v>0</v>
      </c>
      <c r="Z142">
        <v>0</v>
      </c>
      <c r="AA142">
        <v>0</v>
      </c>
      <c r="AB142">
        <v>2</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s="141">
        <f t="shared" ref="AZ142:AZ173" si="141">COUNTIF(X142:AY142,"&lt;&gt;0")</f>
        <v>2</v>
      </c>
      <c r="BA142" s="141">
        <f t="shared" ref="BA142:BA173" si="142">COUNTIF(X142:AN142,"&lt;&gt;0")</f>
        <v>2</v>
      </c>
      <c r="BB142">
        <f t="shared" ref="BB142:BB173" si="143">COUNTIF(X142:AE142,"&lt;&gt;0")</f>
        <v>2</v>
      </c>
      <c r="BC142">
        <f t="shared" ref="BC142:BC173" si="144">COUNTIF(AF142:AK142,"&lt;&gt;0")</f>
        <v>0</v>
      </c>
      <c r="BD142">
        <f t="shared" ref="BD142:BD173" si="145">COUNTIF(AL142:AN142,"&lt;&gt;0")</f>
        <v>0</v>
      </c>
      <c r="BE142">
        <f t="shared" ref="BE142:BE173" si="146">COUNTIF(AU142:AY142,"&lt;&gt;0")</f>
        <v>0</v>
      </c>
      <c r="BF142">
        <f t="shared" ref="BF142:BF173" si="147">COUNTIF(AO142:AT142,"&lt;&gt;0")</f>
        <v>0</v>
      </c>
      <c r="BG142" t="str" cm="1">
        <f t="array" ref="BG142">IF(BA142=1,INDEX($X$7:$AN$7,MATCH(TRUE,INDEX($X142:$AY142&lt;&gt;0,),0)),IF(BA142=0,INDEX($AO$7:$AY$7,MATCH(1,$AO142:$AY142,0)),IF(BH142="Multiple strategies","mixed drivers",IF(BH142="Supply chain","multiple supply","multiple silviculture"))))</f>
        <v>multiple silviculture</v>
      </c>
      <c r="BH142" s="2" t="str" cm="1">
        <f t="array" ref="BH142">IF(COUNTIF(BB142:BD142,"&lt;&gt;0")=1,INDEX($X$4:$AY$4,MATCH(TRUE,INDEX($X142:$AY142&lt;&gt;0,),0)),IF(COUNTIF(BB142:BD142,"&lt;&gt;0")=0,INDEX($AO$4:$AY$4,MATCH(1,$AO142:$AY142,0)),"Multiple strategies"))</f>
        <v>Silviculture for removals</v>
      </c>
      <c r="BR142" t="s">
        <v>232</v>
      </c>
      <c r="BS142" s="230"/>
      <c r="BT142" t="s">
        <v>585</v>
      </c>
      <c r="BU142">
        <v>163.80000000000001</v>
      </c>
      <c r="BV142">
        <v>294.39999999999998</v>
      </c>
      <c r="BW142">
        <f t="shared" ref="BW142:BW151" si="148">BV142/BU142</f>
        <v>1.7973137973137971</v>
      </c>
      <c r="BX142">
        <f t="shared" ref="BX142:BX151" si="149">BV142-BU142</f>
        <v>130.59999999999997</v>
      </c>
      <c r="BZ142">
        <f t="shared" ref="BZ142:BZ151" si="150">BX142*10^6</f>
        <v>130599999.99999997</v>
      </c>
      <c r="CA142" t="str">
        <f t="shared" si="95"/>
        <v/>
      </c>
      <c r="CB142" s="143">
        <v>0</v>
      </c>
      <c r="CC142" s="143">
        <v>0</v>
      </c>
      <c r="CD142" s="143">
        <v>0</v>
      </c>
      <c r="CE142" s="143">
        <v>0</v>
      </c>
      <c r="CF142" s="143">
        <v>0</v>
      </c>
      <c r="CG142" s="143">
        <v>0</v>
      </c>
      <c r="CH142" s="143">
        <v>0</v>
      </c>
      <c r="CI142" s="143">
        <v>0</v>
      </c>
      <c r="CJ142" s="143">
        <v>0</v>
      </c>
      <c r="CK142" s="143">
        <v>0</v>
      </c>
      <c r="CL142" s="143">
        <v>0</v>
      </c>
      <c r="CM142" s="143">
        <v>0</v>
      </c>
      <c r="CN142" s="143">
        <v>0</v>
      </c>
      <c r="CO142">
        <v>0</v>
      </c>
      <c r="CP142" t="str">
        <f t="shared" ref="CP142:CP153" si="151">IF(BN142&lt;BM142,"refNeedCorrection","refOK")</f>
        <v>refOK</v>
      </c>
      <c r="CQ142"/>
      <c r="CR142"/>
      <c r="CS142"/>
      <c r="CT142">
        <f t="shared" si="96"/>
        <v>0</v>
      </c>
      <c r="CU142">
        <f t="shared" ref="CU142:CU173" si="152">IF($CP142="refOK",$BU142,$BV142)*IF($BR142="Emissions positive",-1,1)</f>
        <v>163.80000000000001</v>
      </c>
      <c r="CV142">
        <f t="shared" ref="CV142:CV173" si="153">IF($CP142="refOK",$BV142,$BU142)*IF($BR142="Emissions positive",-1,1)</f>
        <v>294.39999999999998</v>
      </c>
      <c r="CW142">
        <f t="shared" ref="CW142:CW173" si="154">IF($CP142="refNeedCorrection",-BZ142,BZ142)*IF($BR142="Emissions positive",-1,1)</f>
        <v>130599999.99999997</v>
      </c>
      <c r="CX142" t="str">
        <f t="shared" si="97"/>
        <v/>
      </c>
      <c r="CY142" t="str">
        <f t="shared" ref="CY142:CY173" si="155">IFERROR($CW142/$CS142,"")</f>
        <v/>
      </c>
      <c r="CZ142" t="str">
        <f t="shared" si="98"/>
        <v/>
      </c>
      <c r="DA142" s="2">
        <f t="shared" ref="DA142:DA173" si="156">IFERROR((CV142-CU142)/ABS(CU142),"")</f>
        <v>0.79731379731379703</v>
      </c>
      <c r="DB142" s="1" t="s">
        <v>1078</v>
      </c>
      <c r="DC142" s="297" t="str">
        <f t="shared" ref="DC142:DC173" si="157">IF(OR($DB142="prd",$DB142="std",$DB142="cit"),"loc",IF(OR($DB142="eur",$DB142="reg",$DB142="coy"),"reg",$DB142))</f>
        <v>reg</v>
      </c>
      <c r="DD142" s="296" t="s">
        <v>3098</v>
      </c>
      <c r="DE142">
        <v>2020</v>
      </c>
      <c r="DF142">
        <v>2100</v>
      </c>
      <c r="DG142" s="143">
        <f t="shared" ref="DG142:DG151" si="158">DF142-DE142</f>
        <v>80</v>
      </c>
      <c r="DH142" t="str">
        <f t="shared" ref="DH142:DH173" si="159">IF(DG142=0,"0",IF(AND(DG142&gt;=1,DG142&lt;=30),"1-30",IF(AND(DG142&gt;30,DG142&lt;=70),"31-70",IF(AND(DG142&gt;70,DG142&lt;=100),"71-100",IF(DG142&gt;100,"+100")))))</f>
        <v>71-100</v>
      </c>
      <c r="DI142">
        <v>0</v>
      </c>
      <c r="DJ142">
        <v>1</v>
      </c>
      <c r="DK142">
        <v>1</v>
      </c>
      <c r="DL142">
        <v>1</v>
      </c>
      <c r="DN142">
        <f t="shared" ref="DN142:DN178" si="160">SUM(DI142:DL142)</f>
        <v>3</v>
      </c>
      <c r="DO142" t="str">
        <f t="shared" ref="DO142:DO173" si="161">IF(DN142=1,INDEX($DI$7:$DL$7,MATCH(1,$DI142:$DL142,0)),"mixedProduct")</f>
        <v>mixedProduct</v>
      </c>
      <c r="DP142">
        <f t="shared" ref="DP142:DP173" si="162">IF(DI142=1,DP$7,0)</f>
        <v>0</v>
      </c>
      <c r="DQ142" t="str">
        <f t="shared" ref="DQ142:DQ173" si="163">IF(DJ142=1,DQ$7,0)</f>
        <v>Energy</v>
      </c>
      <c r="DR142" t="str">
        <f t="shared" ref="DR142:DR173" si="164">IF(DK142=1,DR$7,0)</f>
        <v>Pulp/Paper</v>
      </c>
      <c r="DS142" t="str">
        <f t="shared" ref="DS142:DS173" si="165">IF(DL142=1,DS$7,0)</f>
        <v>Timber</v>
      </c>
      <c r="DT142">
        <v>0</v>
      </c>
      <c r="DU142" s="143">
        <v>0</v>
      </c>
      <c r="DV142" s="143">
        <v>0</v>
      </c>
      <c r="DW142" s="143">
        <v>0</v>
      </c>
      <c r="DX142">
        <v>0</v>
      </c>
      <c r="DY142">
        <f t="shared" ref="DY142:DY173" si="166">SUM(DT142:DU142)</f>
        <v>0</v>
      </c>
      <c r="DZ142" s="143" t="str">
        <f t="shared" ref="DZ142:DZ173" si="167">IF(DT142=1,"self-calculated DF",IF(DU142=1,"external DF used","explicit C balance"))</f>
        <v>explicit C balance</v>
      </c>
      <c r="EA142">
        <v>1</v>
      </c>
      <c r="EB142" s="143">
        <v>1</v>
      </c>
      <c r="EC142" s="143">
        <v>1</v>
      </c>
      <c r="ED142" s="143">
        <v>1</v>
      </c>
      <c r="EE142">
        <v>1</v>
      </c>
      <c r="EF142" s="141">
        <v>0</v>
      </c>
      <c r="EG142">
        <v>0</v>
      </c>
      <c r="EH142" s="143">
        <v>0</v>
      </c>
      <c r="EI142" s="143">
        <v>0</v>
      </c>
      <c r="EJ142">
        <v>0</v>
      </c>
      <c r="EK142">
        <v>1</v>
      </c>
      <c r="EL142" s="143">
        <v>0</v>
      </c>
      <c r="EM142" s="143">
        <v>1</v>
      </c>
      <c r="EN142" s="2">
        <v>0</v>
      </c>
      <c r="EP142" t="str">
        <f t="shared" si="99"/>
        <v/>
      </c>
      <c r="EQ142" t="str">
        <f t="shared" si="140"/>
        <v>Ecosystem approach</v>
      </c>
      <c r="ER142" s="2" t="str">
        <f t="shared" si="101"/>
        <v/>
      </c>
      <c r="ES142" t="str">
        <f t="shared" si="102"/>
        <v/>
      </c>
      <c r="ET142" t="str">
        <f t="shared" si="103"/>
        <v/>
      </c>
      <c r="EU142" t="str">
        <f t="shared" si="104"/>
        <v/>
      </c>
      <c r="EY142" t="b">
        <f>IF(ISNUMBER(BW142),IF(ABS(BW142-[1]QC_indicators!$B$2)&gt;3*[1]QC_indicators!$C$2,"C ratio",IF(ISNUMBER(CA142),IF(ABS(CA142-[1]QC_indicators!$B$1)&gt;3*[1]QC_indicators!$C$1,"DF","no"))),IF(ISNUMBER(CA142),IF(ABS(CA142-[1]QC_indicators!$B$1)&gt;3*[1]QC_indicators!$C$1,"DF","no")))</f>
        <v>0</v>
      </c>
      <c r="FA142" t="str">
        <f t="shared" si="105"/>
        <v/>
      </c>
    </row>
    <row r="143" spans="1:159" ht="15" hidden="1" customHeight="1">
      <c r="A143" s="1" t="s">
        <v>3158</v>
      </c>
      <c r="B143" t="s">
        <v>3159</v>
      </c>
      <c r="C143" t="s">
        <v>3160</v>
      </c>
      <c r="D143" t="s">
        <v>3161</v>
      </c>
      <c r="E143" t="s">
        <v>3162</v>
      </c>
      <c r="F143" t="s">
        <v>3163</v>
      </c>
      <c r="G143" t="s">
        <v>3164</v>
      </c>
      <c r="H143" t="s">
        <v>254</v>
      </c>
      <c r="I143">
        <v>2021</v>
      </c>
      <c r="J143">
        <v>1</v>
      </c>
      <c r="K143" t="s">
        <v>3165</v>
      </c>
      <c r="M143" t="str">
        <f t="shared" si="139"/>
        <v>Bradfer-Lawrence_2021</v>
      </c>
      <c r="N143" s="297" t="s">
        <v>4058</v>
      </c>
      <c r="O143" s="145" t="s">
        <v>223</v>
      </c>
      <c r="Q143" s="297" t="s">
        <v>256</v>
      </c>
      <c r="R143" s="298"/>
      <c r="S143" s="1" t="s">
        <v>3166</v>
      </c>
      <c r="T143" t="s">
        <v>3167</v>
      </c>
      <c r="U143" t="s">
        <v>3171</v>
      </c>
      <c r="X143">
        <v>1</v>
      </c>
      <c r="Y143">
        <v>0</v>
      </c>
      <c r="Z143">
        <v>0</v>
      </c>
      <c r="AA143">
        <v>0</v>
      </c>
      <c r="AB143">
        <v>2</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s="141">
        <f t="shared" si="141"/>
        <v>2</v>
      </c>
      <c r="BA143" s="141">
        <f t="shared" si="142"/>
        <v>2</v>
      </c>
      <c r="BB143">
        <f t="shared" si="143"/>
        <v>2</v>
      </c>
      <c r="BC143">
        <f t="shared" si="144"/>
        <v>0</v>
      </c>
      <c r="BD143">
        <f t="shared" si="145"/>
        <v>0</v>
      </c>
      <c r="BE143">
        <f t="shared" si="146"/>
        <v>0</v>
      </c>
      <c r="BF143">
        <f t="shared" si="147"/>
        <v>0</v>
      </c>
      <c r="BG143" t="str" cm="1">
        <f t="array" ref="BG143">IF(BA143=1,INDEX($X$7:$AN$7,MATCH(TRUE,INDEX($X143:$AY143&lt;&gt;0,),0)),IF(BA143=0,INDEX($AO$7:$AY$7,MATCH(1,$AO143:$AY143,0)),IF(BH143="Multiple strategies","mixed drivers",IF(BH143="Supply chain","multiple supply","multiple silviculture"))))</f>
        <v>multiple silviculture</v>
      </c>
      <c r="BH143" s="2" t="str" cm="1">
        <f t="array" ref="BH143">IF(COUNTIF(BB143:BD143,"&lt;&gt;0")=1,INDEX($X$4:$AY$4,MATCH(TRUE,INDEX($X143:$AY143&lt;&gt;0,),0)),IF(COUNTIF(BB143:BD143,"&lt;&gt;0")=0,INDEX($AO$4:$AY$4,MATCH(1,$AO143:$AY143,0)),"Multiple strategies"))</f>
        <v>Silviculture for removals</v>
      </c>
      <c r="BR143" t="s">
        <v>232</v>
      </c>
      <c r="BS143" s="230"/>
      <c r="BT143" t="s">
        <v>585</v>
      </c>
      <c r="BU143">
        <v>45.3</v>
      </c>
      <c r="BV143">
        <v>90.1</v>
      </c>
      <c r="BW143">
        <f t="shared" si="148"/>
        <v>1.988962472406181</v>
      </c>
      <c r="BX143">
        <f t="shared" si="149"/>
        <v>44.8</v>
      </c>
      <c r="BZ143">
        <f t="shared" si="150"/>
        <v>44800000</v>
      </c>
      <c r="CA143" t="str">
        <f t="shared" si="95"/>
        <v/>
      </c>
      <c r="CB143" s="143">
        <v>0</v>
      </c>
      <c r="CC143" s="143">
        <v>0</v>
      </c>
      <c r="CD143" s="143">
        <v>0</v>
      </c>
      <c r="CE143" s="143">
        <v>0</v>
      </c>
      <c r="CF143" s="143">
        <v>0</v>
      </c>
      <c r="CG143" s="143">
        <v>0</v>
      </c>
      <c r="CH143" s="143">
        <v>0</v>
      </c>
      <c r="CI143" s="143">
        <v>0</v>
      </c>
      <c r="CJ143" s="143">
        <v>0</v>
      </c>
      <c r="CK143" s="143">
        <v>0</v>
      </c>
      <c r="CL143" s="143">
        <v>0</v>
      </c>
      <c r="CM143" s="143">
        <v>0</v>
      </c>
      <c r="CN143" s="143">
        <v>0</v>
      </c>
      <c r="CO143">
        <v>0</v>
      </c>
      <c r="CP143" t="str">
        <f t="shared" si="151"/>
        <v>refOK</v>
      </c>
      <c r="CQ143"/>
      <c r="CR143"/>
      <c r="CS143"/>
      <c r="CT143">
        <f t="shared" si="96"/>
        <v>0</v>
      </c>
      <c r="CU143">
        <f t="shared" si="152"/>
        <v>45.3</v>
      </c>
      <c r="CV143">
        <f t="shared" si="153"/>
        <v>90.1</v>
      </c>
      <c r="CW143">
        <f t="shared" si="154"/>
        <v>44800000</v>
      </c>
      <c r="CX143" t="str">
        <f t="shared" si="97"/>
        <v/>
      </c>
      <c r="CY143" t="str">
        <f t="shared" si="155"/>
        <v/>
      </c>
      <c r="CZ143" t="str">
        <f t="shared" si="98"/>
        <v/>
      </c>
      <c r="DA143" s="2">
        <f t="shared" si="156"/>
        <v>0.98896247240618107</v>
      </c>
      <c r="DB143" s="1" t="s">
        <v>1078</v>
      </c>
      <c r="DC143" s="297" t="str">
        <f t="shared" si="157"/>
        <v>reg</v>
      </c>
      <c r="DD143" s="296" t="s">
        <v>3098</v>
      </c>
      <c r="DE143">
        <v>2020</v>
      </c>
      <c r="DF143">
        <v>2050</v>
      </c>
      <c r="DG143" s="143">
        <f t="shared" si="158"/>
        <v>30</v>
      </c>
      <c r="DH143" t="str">
        <f t="shared" si="159"/>
        <v>1-30</v>
      </c>
      <c r="DI143">
        <v>0</v>
      </c>
      <c r="DJ143">
        <v>1</v>
      </c>
      <c r="DK143">
        <v>1</v>
      </c>
      <c r="DL143">
        <v>1</v>
      </c>
      <c r="DN143">
        <f t="shared" si="160"/>
        <v>3</v>
      </c>
      <c r="DO143" t="str">
        <f t="shared" si="161"/>
        <v>mixedProduct</v>
      </c>
      <c r="DP143">
        <f t="shared" si="162"/>
        <v>0</v>
      </c>
      <c r="DQ143" t="str">
        <f t="shared" si="163"/>
        <v>Energy</v>
      </c>
      <c r="DR143" t="str">
        <f t="shared" si="164"/>
        <v>Pulp/Paper</v>
      </c>
      <c r="DS143" t="str">
        <f t="shared" si="165"/>
        <v>Timber</v>
      </c>
      <c r="DT143">
        <v>0</v>
      </c>
      <c r="DU143" s="143">
        <v>0</v>
      </c>
      <c r="DV143" s="143">
        <v>0</v>
      </c>
      <c r="DW143" s="143">
        <v>0</v>
      </c>
      <c r="DX143">
        <v>0</v>
      </c>
      <c r="DY143">
        <f t="shared" si="166"/>
        <v>0</v>
      </c>
      <c r="DZ143" s="143" t="str">
        <f t="shared" si="167"/>
        <v>explicit C balance</v>
      </c>
      <c r="EA143">
        <v>1</v>
      </c>
      <c r="EB143" s="143">
        <v>1</v>
      </c>
      <c r="EC143" s="143">
        <v>1</v>
      </c>
      <c r="ED143" s="143">
        <v>1</v>
      </c>
      <c r="EE143">
        <v>1</v>
      </c>
      <c r="EF143" s="141">
        <v>0</v>
      </c>
      <c r="EG143">
        <v>0</v>
      </c>
      <c r="EH143" s="143">
        <v>0</v>
      </c>
      <c r="EI143" s="143">
        <v>0</v>
      </c>
      <c r="EJ143">
        <v>0</v>
      </c>
      <c r="EK143">
        <v>1</v>
      </c>
      <c r="EL143" s="143">
        <v>0</v>
      </c>
      <c r="EM143" s="143">
        <v>1</v>
      </c>
      <c r="EN143" s="2">
        <v>0</v>
      </c>
      <c r="EP143" t="str">
        <f t="shared" si="99"/>
        <v/>
      </c>
      <c r="EQ143" t="str">
        <f t="shared" si="140"/>
        <v>Ecosystem approach</v>
      </c>
      <c r="ER143" s="2" t="str">
        <f t="shared" si="101"/>
        <v/>
      </c>
      <c r="ES143" t="str">
        <f t="shared" si="102"/>
        <v/>
      </c>
      <c r="ET143" t="str">
        <f t="shared" si="103"/>
        <v/>
      </c>
      <c r="EU143" t="str">
        <f t="shared" si="104"/>
        <v/>
      </c>
      <c r="EY143" t="b">
        <f>IF(ISNUMBER(BW143),IF(ABS(BW143-[1]QC_indicators!$B$2)&gt;3*[1]QC_indicators!$C$2,"C ratio",IF(ISNUMBER(CA143),IF(ABS(CA143-[1]QC_indicators!$B$1)&gt;3*[1]QC_indicators!$C$1,"DF","no"))),IF(ISNUMBER(CA143),IF(ABS(CA143-[1]QC_indicators!$B$1)&gt;3*[1]QC_indicators!$C$1,"DF","no")))</f>
        <v>0</v>
      </c>
      <c r="FA143" t="str">
        <f t="shared" si="105"/>
        <v/>
      </c>
      <c r="FB143" t="s">
        <v>3170</v>
      </c>
      <c r="FC143" t="s">
        <v>752</v>
      </c>
    </row>
    <row r="144" spans="1:159" ht="15" hidden="1" customHeight="1">
      <c r="A144" s="1" t="s">
        <v>3158</v>
      </c>
      <c r="B144" t="s">
        <v>3159</v>
      </c>
      <c r="C144" t="s">
        <v>3160</v>
      </c>
      <c r="D144" t="s">
        <v>3161</v>
      </c>
      <c r="E144" t="s">
        <v>3162</v>
      </c>
      <c r="F144" t="s">
        <v>3163</v>
      </c>
      <c r="G144" t="s">
        <v>3164</v>
      </c>
      <c r="H144" t="s">
        <v>254</v>
      </c>
      <c r="I144">
        <v>2021</v>
      </c>
      <c r="J144">
        <v>1</v>
      </c>
      <c r="K144" t="s">
        <v>3165</v>
      </c>
      <c r="M144" t="str">
        <f t="shared" si="139"/>
        <v>Bradfer-Lawrence_2021</v>
      </c>
      <c r="N144" s="297" t="s">
        <v>4058</v>
      </c>
      <c r="O144" s="145" t="s">
        <v>223</v>
      </c>
      <c r="Q144" s="297" t="s">
        <v>256</v>
      </c>
      <c r="R144" s="298"/>
      <c r="S144" s="1" t="s">
        <v>3166</v>
      </c>
      <c r="T144" t="s">
        <v>3167</v>
      </c>
      <c r="U144" t="s">
        <v>3168</v>
      </c>
      <c r="X144">
        <v>1</v>
      </c>
      <c r="Y144">
        <v>0</v>
      </c>
      <c r="Z144">
        <v>0</v>
      </c>
      <c r="AA144">
        <v>0</v>
      </c>
      <c r="AB144">
        <v>2</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s="141">
        <f t="shared" si="141"/>
        <v>2</v>
      </c>
      <c r="BA144" s="141">
        <f t="shared" si="142"/>
        <v>2</v>
      </c>
      <c r="BB144">
        <f t="shared" si="143"/>
        <v>2</v>
      </c>
      <c r="BC144">
        <f t="shared" si="144"/>
        <v>0</v>
      </c>
      <c r="BD144">
        <f t="shared" si="145"/>
        <v>0</v>
      </c>
      <c r="BE144">
        <f t="shared" si="146"/>
        <v>0</v>
      </c>
      <c r="BF144">
        <f t="shared" si="147"/>
        <v>0</v>
      </c>
      <c r="BG144" t="str" cm="1">
        <f t="array" ref="BG144">IF(BA144=1,INDEX($X$7:$AN$7,MATCH(TRUE,INDEX($X144:$AY144&lt;&gt;0,),0)),IF(BA144=0,INDEX($AO$7:$AY$7,MATCH(1,$AO144:$AY144,0)),IF(BH144="Multiple strategies","mixed drivers",IF(BH144="Supply chain","multiple supply","multiple silviculture"))))</f>
        <v>multiple silviculture</v>
      </c>
      <c r="BH144" s="2" t="str" cm="1">
        <f t="array" ref="BH144">IF(COUNTIF(BB144:BD144,"&lt;&gt;0")=1,INDEX($X$4:$AY$4,MATCH(TRUE,INDEX($X144:$AY144&lt;&gt;0,),0)),IF(COUNTIF(BB144:BD144,"&lt;&gt;0")=0,INDEX($AO$4:$AY$4,MATCH(1,$AO144:$AY144,0)),"Multiple strategies"))</f>
        <v>Silviculture for removals</v>
      </c>
      <c r="BR144" t="s">
        <v>232</v>
      </c>
      <c r="BS144" s="230"/>
      <c r="BT144" t="s">
        <v>585</v>
      </c>
      <c r="BU144">
        <v>45.3</v>
      </c>
      <c r="BV144">
        <v>112.6</v>
      </c>
      <c r="BW144">
        <f t="shared" si="148"/>
        <v>2.4856512141280351</v>
      </c>
      <c r="BX144">
        <f t="shared" si="149"/>
        <v>67.3</v>
      </c>
      <c r="BZ144">
        <f t="shared" si="150"/>
        <v>67300000</v>
      </c>
      <c r="CA144" t="str">
        <f t="shared" si="95"/>
        <v/>
      </c>
      <c r="CB144" s="143">
        <v>0</v>
      </c>
      <c r="CC144" s="143">
        <v>0</v>
      </c>
      <c r="CD144" s="143">
        <v>0</v>
      </c>
      <c r="CE144" s="143">
        <v>0</v>
      </c>
      <c r="CF144" s="143">
        <v>0</v>
      </c>
      <c r="CG144" s="143">
        <v>0</v>
      </c>
      <c r="CH144" s="143">
        <v>0</v>
      </c>
      <c r="CI144" s="143">
        <v>0</v>
      </c>
      <c r="CJ144" s="143">
        <v>0</v>
      </c>
      <c r="CK144" s="143">
        <v>0</v>
      </c>
      <c r="CL144" s="143">
        <v>0</v>
      </c>
      <c r="CM144" s="143">
        <v>0</v>
      </c>
      <c r="CN144" s="143">
        <v>0</v>
      </c>
      <c r="CO144">
        <v>0</v>
      </c>
      <c r="CP144" t="str">
        <f t="shared" si="151"/>
        <v>refOK</v>
      </c>
      <c r="CQ144"/>
      <c r="CR144"/>
      <c r="CS144"/>
      <c r="CT144">
        <f t="shared" si="96"/>
        <v>0</v>
      </c>
      <c r="CU144">
        <f t="shared" si="152"/>
        <v>45.3</v>
      </c>
      <c r="CV144">
        <f t="shared" si="153"/>
        <v>112.6</v>
      </c>
      <c r="CW144">
        <f t="shared" si="154"/>
        <v>67300000</v>
      </c>
      <c r="CX144" t="str">
        <f t="shared" si="97"/>
        <v/>
      </c>
      <c r="CY144" t="str">
        <f t="shared" si="155"/>
        <v/>
      </c>
      <c r="CZ144" t="str">
        <f t="shared" si="98"/>
        <v/>
      </c>
      <c r="DA144" s="2">
        <f t="shared" si="156"/>
        <v>1.4856512141280354</v>
      </c>
      <c r="DB144" s="1" t="s">
        <v>1078</v>
      </c>
      <c r="DC144" s="297" t="str">
        <f t="shared" si="157"/>
        <v>reg</v>
      </c>
      <c r="DD144" s="296" t="s">
        <v>3098</v>
      </c>
      <c r="DE144">
        <v>2020</v>
      </c>
      <c r="DF144">
        <v>2050</v>
      </c>
      <c r="DG144" s="143">
        <f t="shared" si="158"/>
        <v>30</v>
      </c>
      <c r="DH144" t="str">
        <f t="shared" si="159"/>
        <v>1-30</v>
      </c>
      <c r="DI144">
        <v>0</v>
      </c>
      <c r="DJ144">
        <v>1</v>
      </c>
      <c r="DK144">
        <v>1</v>
      </c>
      <c r="DL144">
        <v>1</v>
      </c>
      <c r="DN144">
        <f t="shared" si="160"/>
        <v>3</v>
      </c>
      <c r="DO144" t="str">
        <f t="shared" si="161"/>
        <v>mixedProduct</v>
      </c>
      <c r="DP144">
        <f t="shared" si="162"/>
        <v>0</v>
      </c>
      <c r="DQ144" t="str">
        <f t="shared" si="163"/>
        <v>Energy</v>
      </c>
      <c r="DR144" t="str">
        <f t="shared" si="164"/>
        <v>Pulp/Paper</v>
      </c>
      <c r="DS144" t="str">
        <f t="shared" si="165"/>
        <v>Timber</v>
      </c>
      <c r="DT144">
        <v>0</v>
      </c>
      <c r="DU144" s="143">
        <v>0</v>
      </c>
      <c r="DV144" s="143">
        <v>0</v>
      </c>
      <c r="DW144" s="143">
        <v>0</v>
      </c>
      <c r="DX144">
        <v>0</v>
      </c>
      <c r="DY144">
        <f t="shared" si="166"/>
        <v>0</v>
      </c>
      <c r="DZ144" s="143" t="str">
        <f t="shared" si="167"/>
        <v>explicit C balance</v>
      </c>
      <c r="EA144">
        <v>1</v>
      </c>
      <c r="EB144" s="143">
        <v>1</v>
      </c>
      <c r="EC144" s="143">
        <v>1</v>
      </c>
      <c r="ED144" s="143">
        <v>1</v>
      </c>
      <c r="EE144">
        <v>1</v>
      </c>
      <c r="EF144" s="141">
        <v>0</v>
      </c>
      <c r="EG144">
        <v>0</v>
      </c>
      <c r="EH144" s="143">
        <v>0</v>
      </c>
      <c r="EI144" s="143">
        <v>0</v>
      </c>
      <c r="EJ144">
        <v>0</v>
      </c>
      <c r="EK144">
        <v>1</v>
      </c>
      <c r="EL144" s="143">
        <v>0</v>
      </c>
      <c r="EM144" s="143">
        <v>1</v>
      </c>
      <c r="EN144" s="2">
        <v>0</v>
      </c>
      <c r="EP144" t="str">
        <f t="shared" si="99"/>
        <v/>
      </c>
      <c r="EQ144" t="str">
        <f t="shared" si="140"/>
        <v>Ecosystem approach</v>
      </c>
      <c r="ER144" s="2" t="str">
        <f t="shared" si="101"/>
        <v/>
      </c>
      <c r="ES144" t="str">
        <f t="shared" si="102"/>
        <v/>
      </c>
      <c r="ET144" t="str">
        <f t="shared" si="103"/>
        <v/>
      </c>
      <c r="EU144" t="str">
        <f t="shared" si="104"/>
        <v/>
      </c>
      <c r="EY144" t="b">
        <f>IF(ISNUMBER(BW144),IF(ABS(BW144-[1]QC_indicators!$B$2)&gt;3*[1]QC_indicators!$C$2,"C ratio",IF(ISNUMBER(CA144),IF(ABS(CA144-[1]QC_indicators!$B$1)&gt;3*[1]QC_indicators!$C$1,"DF","no"))),IF(ISNUMBER(CA144),IF(ABS(CA144-[1]QC_indicators!$B$1)&gt;3*[1]QC_indicators!$C$1,"DF","no")))</f>
        <v>0</v>
      </c>
      <c r="FA144" t="str">
        <f t="shared" si="105"/>
        <v/>
      </c>
    </row>
    <row r="145" spans="1:159" ht="15" hidden="1" customHeight="1">
      <c r="A145" s="1" t="s">
        <v>3158</v>
      </c>
      <c r="B145" t="s">
        <v>3159</v>
      </c>
      <c r="C145" t="s">
        <v>3160</v>
      </c>
      <c r="D145" t="s">
        <v>3161</v>
      </c>
      <c r="E145" t="s">
        <v>3162</v>
      </c>
      <c r="F145" t="s">
        <v>3163</v>
      </c>
      <c r="G145" t="s">
        <v>3164</v>
      </c>
      <c r="H145" t="s">
        <v>254</v>
      </c>
      <c r="I145">
        <v>2021</v>
      </c>
      <c r="J145">
        <v>1</v>
      </c>
      <c r="K145" t="s">
        <v>3165</v>
      </c>
      <c r="M145" t="str">
        <f t="shared" si="139"/>
        <v>Bradfer-Lawrence_2021</v>
      </c>
      <c r="N145" s="297" t="s">
        <v>4058</v>
      </c>
      <c r="O145" s="145" t="s">
        <v>223</v>
      </c>
      <c r="Q145" s="297" t="s">
        <v>256</v>
      </c>
      <c r="R145" s="298"/>
      <c r="S145" s="1" t="s">
        <v>3166</v>
      </c>
      <c r="T145" t="s">
        <v>3167</v>
      </c>
      <c r="U145" t="s">
        <v>3168</v>
      </c>
      <c r="X145">
        <v>1</v>
      </c>
      <c r="Y145">
        <v>0</v>
      </c>
      <c r="Z145">
        <v>0</v>
      </c>
      <c r="AA145">
        <v>0</v>
      </c>
      <c r="AB145">
        <v>2</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s="141">
        <f t="shared" si="141"/>
        <v>2</v>
      </c>
      <c r="BA145" s="141">
        <f t="shared" si="142"/>
        <v>2</v>
      </c>
      <c r="BB145">
        <f t="shared" si="143"/>
        <v>2</v>
      </c>
      <c r="BC145">
        <f t="shared" si="144"/>
        <v>0</v>
      </c>
      <c r="BD145">
        <f t="shared" si="145"/>
        <v>0</v>
      </c>
      <c r="BE145">
        <f t="shared" si="146"/>
        <v>0</v>
      </c>
      <c r="BF145">
        <f t="shared" si="147"/>
        <v>0</v>
      </c>
      <c r="BG145" t="str" cm="1">
        <f t="array" ref="BG145">IF(BA145=1,INDEX($X$7:$AN$7,MATCH(TRUE,INDEX($X145:$AY145&lt;&gt;0,),0)),IF(BA145=0,INDEX($AO$7:$AY$7,MATCH(1,$AO145:$AY145,0)),IF(BH145="Multiple strategies","mixed drivers",IF(BH145="Supply chain","multiple supply","multiple silviculture"))))</f>
        <v>multiple silviculture</v>
      </c>
      <c r="BH145" s="2" t="str" cm="1">
        <f t="array" ref="BH145">IF(COUNTIF(BB145:BD145,"&lt;&gt;0")=1,INDEX($X$4:$AY$4,MATCH(TRUE,INDEX($X145:$AY145&lt;&gt;0,),0)),IF(COUNTIF(BB145:BD145,"&lt;&gt;0")=0,INDEX($AO$4:$AY$4,MATCH(1,$AO145:$AY145,0)),"Multiple strategies"))</f>
        <v>Silviculture for removals</v>
      </c>
      <c r="BR145" t="s">
        <v>232</v>
      </c>
      <c r="BS145" s="230"/>
      <c r="BT145" t="s">
        <v>585</v>
      </c>
      <c r="BU145">
        <v>163.80000000000001</v>
      </c>
      <c r="BV145">
        <v>457</v>
      </c>
      <c r="BW145">
        <f t="shared" si="148"/>
        <v>2.7899877899877898</v>
      </c>
      <c r="BX145">
        <f t="shared" si="149"/>
        <v>293.2</v>
      </c>
      <c r="BZ145">
        <f t="shared" si="150"/>
        <v>293200000</v>
      </c>
      <c r="CA145" t="str">
        <f t="shared" si="95"/>
        <v/>
      </c>
      <c r="CB145" s="143">
        <v>0</v>
      </c>
      <c r="CC145" s="143">
        <v>0</v>
      </c>
      <c r="CD145" s="143">
        <v>0</v>
      </c>
      <c r="CE145" s="143">
        <v>0</v>
      </c>
      <c r="CF145" s="143">
        <v>0</v>
      </c>
      <c r="CG145" s="143">
        <v>0</v>
      </c>
      <c r="CH145" s="143">
        <v>0</v>
      </c>
      <c r="CI145" s="143">
        <v>0</v>
      </c>
      <c r="CJ145" s="143">
        <v>0</v>
      </c>
      <c r="CK145" s="143">
        <v>0</v>
      </c>
      <c r="CL145" s="143">
        <v>0</v>
      </c>
      <c r="CM145" s="143">
        <v>0</v>
      </c>
      <c r="CN145" s="143">
        <v>0</v>
      </c>
      <c r="CO145">
        <v>0</v>
      </c>
      <c r="CP145" t="str">
        <f t="shared" si="151"/>
        <v>refOK</v>
      </c>
      <c r="CQ145"/>
      <c r="CR145"/>
      <c r="CS145"/>
      <c r="CT145">
        <f t="shared" si="96"/>
        <v>0</v>
      </c>
      <c r="CU145">
        <f t="shared" si="152"/>
        <v>163.80000000000001</v>
      </c>
      <c r="CV145">
        <f t="shared" si="153"/>
        <v>457</v>
      </c>
      <c r="CW145">
        <f t="shared" si="154"/>
        <v>293200000</v>
      </c>
      <c r="CX145" t="str">
        <f t="shared" si="97"/>
        <v/>
      </c>
      <c r="CY145" t="str">
        <f t="shared" si="155"/>
        <v/>
      </c>
      <c r="CZ145" t="str">
        <f t="shared" si="98"/>
        <v/>
      </c>
      <c r="DA145" s="2">
        <f t="shared" si="156"/>
        <v>1.7899877899877898</v>
      </c>
      <c r="DB145" s="1" t="s">
        <v>1078</v>
      </c>
      <c r="DC145" s="297" t="str">
        <f t="shared" si="157"/>
        <v>reg</v>
      </c>
      <c r="DD145" s="296" t="s">
        <v>3098</v>
      </c>
      <c r="DE145">
        <v>2020</v>
      </c>
      <c r="DF145">
        <v>2100</v>
      </c>
      <c r="DG145" s="143">
        <f t="shared" si="158"/>
        <v>80</v>
      </c>
      <c r="DH145" t="str">
        <f t="shared" si="159"/>
        <v>71-100</v>
      </c>
      <c r="DI145">
        <v>0</v>
      </c>
      <c r="DJ145">
        <v>1</v>
      </c>
      <c r="DK145">
        <v>1</v>
      </c>
      <c r="DL145">
        <v>1</v>
      </c>
      <c r="DN145">
        <f t="shared" si="160"/>
        <v>3</v>
      </c>
      <c r="DO145" t="str">
        <f t="shared" si="161"/>
        <v>mixedProduct</v>
      </c>
      <c r="DP145">
        <f t="shared" si="162"/>
        <v>0</v>
      </c>
      <c r="DQ145" t="str">
        <f t="shared" si="163"/>
        <v>Energy</v>
      </c>
      <c r="DR145" t="str">
        <f t="shared" si="164"/>
        <v>Pulp/Paper</v>
      </c>
      <c r="DS145" t="str">
        <f t="shared" si="165"/>
        <v>Timber</v>
      </c>
      <c r="DT145">
        <v>0</v>
      </c>
      <c r="DU145" s="143">
        <v>0</v>
      </c>
      <c r="DV145" s="143">
        <v>0</v>
      </c>
      <c r="DW145" s="143">
        <v>0</v>
      </c>
      <c r="DX145">
        <v>0</v>
      </c>
      <c r="DY145">
        <f t="shared" si="166"/>
        <v>0</v>
      </c>
      <c r="DZ145" s="143" t="str">
        <f t="shared" si="167"/>
        <v>explicit C balance</v>
      </c>
      <c r="EA145">
        <v>1</v>
      </c>
      <c r="EB145" s="143">
        <v>1</v>
      </c>
      <c r="EC145" s="143">
        <v>1</v>
      </c>
      <c r="ED145" s="143">
        <v>1</v>
      </c>
      <c r="EE145">
        <v>1</v>
      </c>
      <c r="EF145" s="141">
        <v>0</v>
      </c>
      <c r="EG145">
        <v>0</v>
      </c>
      <c r="EH145" s="143">
        <v>0</v>
      </c>
      <c r="EI145" s="143">
        <v>0</v>
      </c>
      <c r="EJ145">
        <v>0</v>
      </c>
      <c r="EK145">
        <v>1</v>
      </c>
      <c r="EL145" s="143">
        <v>0</v>
      </c>
      <c r="EM145" s="143">
        <v>1</v>
      </c>
      <c r="EN145" s="2">
        <v>0</v>
      </c>
      <c r="EP145" t="str">
        <f t="shared" si="99"/>
        <v/>
      </c>
      <c r="EQ145" t="str">
        <f t="shared" si="140"/>
        <v>Ecosystem approach</v>
      </c>
      <c r="ER145" s="2" t="str">
        <f t="shared" si="101"/>
        <v/>
      </c>
      <c r="ES145" t="str">
        <f t="shared" si="102"/>
        <v/>
      </c>
      <c r="ET145" t="str">
        <f t="shared" si="103"/>
        <v/>
      </c>
      <c r="EU145" t="str">
        <f t="shared" si="104"/>
        <v/>
      </c>
      <c r="EY145" t="b">
        <f>IF(ISNUMBER(BW145),IF(ABS(BW145-[1]QC_indicators!$B$2)&gt;3*[1]QC_indicators!$C$2,"C ratio",IF(ISNUMBER(CA145),IF(ABS(CA145-[1]QC_indicators!$B$1)&gt;3*[1]QC_indicators!$C$1,"DF","no"))),IF(ISNUMBER(CA145),IF(ABS(CA145-[1]QC_indicators!$B$1)&gt;3*[1]QC_indicators!$C$1,"DF","no")))</f>
        <v>0</v>
      </c>
      <c r="FA145" t="str">
        <f t="shared" si="105"/>
        <v/>
      </c>
      <c r="FB145" t="s">
        <v>3170</v>
      </c>
      <c r="FC145" t="s">
        <v>752</v>
      </c>
    </row>
    <row r="146" spans="1:159" ht="15" hidden="1" customHeight="1">
      <c r="A146" s="1" t="s">
        <v>3158</v>
      </c>
      <c r="B146" t="s">
        <v>3159</v>
      </c>
      <c r="C146" t="s">
        <v>3160</v>
      </c>
      <c r="D146" t="s">
        <v>3161</v>
      </c>
      <c r="E146" t="s">
        <v>3162</v>
      </c>
      <c r="F146" t="s">
        <v>3163</v>
      </c>
      <c r="G146" t="s">
        <v>3164</v>
      </c>
      <c r="H146" t="s">
        <v>254</v>
      </c>
      <c r="I146">
        <v>2021</v>
      </c>
      <c r="J146">
        <v>1</v>
      </c>
      <c r="K146" t="s">
        <v>3165</v>
      </c>
      <c r="M146" t="str">
        <f t="shared" si="139"/>
        <v>Bradfer-Lawrence_2021</v>
      </c>
      <c r="N146" s="297" t="s">
        <v>4058</v>
      </c>
      <c r="O146" s="145" t="s">
        <v>223</v>
      </c>
      <c r="Q146" s="297" t="s">
        <v>256</v>
      </c>
      <c r="R146" s="298"/>
      <c r="S146" s="1" t="s">
        <v>3166</v>
      </c>
      <c r="T146" t="s">
        <v>3167</v>
      </c>
      <c r="U146" t="s">
        <v>3172</v>
      </c>
      <c r="X146">
        <v>1</v>
      </c>
      <c r="Y146">
        <v>0</v>
      </c>
      <c r="Z146">
        <v>0</v>
      </c>
      <c r="AA146">
        <v>0</v>
      </c>
      <c r="AB146">
        <v>2</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s="141">
        <f t="shared" si="141"/>
        <v>2</v>
      </c>
      <c r="BA146" s="141">
        <f t="shared" si="142"/>
        <v>2</v>
      </c>
      <c r="BB146">
        <f t="shared" si="143"/>
        <v>2</v>
      </c>
      <c r="BC146">
        <f t="shared" si="144"/>
        <v>0</v>
      </c>
      <c r="BD146">
        <f t="shared" si="145"/>
        <v>0</v>
      </c>
      <c r="BE146">
        <f t="shared" si="146"/>
        <v>0</v>
      </c>
      <c r="BF146">
        <f t="shared" si="147"/>
        <v>0</v>
      </c>
      <c r="BG146" t="str" cm="1">
        <f t="array" ref="BG146">IF(BA146=1,INDEX($X$7:$AN$7,MATCH(TRUE,INDEX($X146:$AY146&lt;&gt;0,),0)),IF(BA146=0,INDEX($AO$7:$AY$7,MATCH(1,$AO146:$AY146,0)),IF(BH146="Multiple strategies","mixed drivers",IF(BH146="Supply chain","multiple supply","multiple silviculture"))))</f>
        <v>multiple silviculture</v>
      </c>
      <c r="BH146" s="2" t="str" cm="1">
        <f t="array" ref="BH146">IF(COUNTIF(BB146:BD146,"&lt;&gt;0")=1,INDEX($X$4:$AY$4,MATCH(TRUE,INDEX($X146:$AY146&lt;&gt;0,),0)),IF(COUNTIF(BB146:BD146,"&lt;&gt;0")=0,INDEX($AO$4:$AY$4,MATCH(1,$AO146:$AY146,0)),"Multiple strategies"))</f>
        <v>Silviculture for removals</v>
      </c>
      <c r="BR146" t="s">
        <v>232</v>
      </c>
      <c r="BS146" s="230"/>
      <c r="BT146" t="s">
        <v>585</v>
      </c>
      <c r="BU146">
        <v>45.3</v>
      </c>
      <c r="BV146">
        <v>143.69999999999999</v>
      </c>
      <c r="BW146">
        <f t="shared" si="148"/>
        <v>3.1721854304635762</v>
      </c>
      <c r="BX146">
        <f t="shared" si="149"/>
        <v>98.399999999999991</v>
      </c>
      <c r="BZ146">
        <f t="shared" si="150"/>
        <v>98399999.999999985</v>
      </c>
      <c r="CA146" t="str">
        <f t="shared" si="95"/>
        <v/>
      </c>
      <c r="CB146" s="143">
        <v>0</v>
      </c>
      <c r="CC146" s="143">
        <v>0</v>
      </c>
      <c r="CD146" s="143">
        <v>0</v>
      </c>
      <c r="CE146" s="143">
        <v>0</v>
      </c>
      <c r="CF146" s="143">
        <v>0</v>
      </c>
      <c r="CG146" s="143">
        <v>0</v>
      </c>
      <c r="CH146" s="143">
        <v>0</v>
      </c>
      <c r="CI146" s="143">
        <v>0</v>
      </c>
      <c r="CJ146" s="143">
        <v>0</v>
      </c>
      <c r="CK146" s="143">
        <v>0</v>
      </c>
      <c r="CL146" s="143">
        <v>0</v>
      </c>
      <c r="CM146" s="143">
        <v>0</v>
      </c>
      <c r="CN146" s="143">
        <v>0</v>
      </c>
      <c r="CO146">
        <v>0</v>
      </c>
      <c r="CP146" t="str">
        <f t="shared" si="151"/>
        <v>refOK</v>
      </c>
      <c r="CQ146"/>
      <c r="CR146"/>
      <c r="CS146"/>
      <c r="CT146">
        <f t="shared" si="96"/>
        <v>0</v>
      </c>
      <c r="CU146">
        <f t="shared" si="152"/>
        <v>45.3</v>
      </c>
      <c r="CV146">
        <f t="shared" si="153"/>
        <v>143.69999999999999</v>
      </c>
      <c r="CW146">
        <f t="shared" si="154"/>
        <v>98399999.999999985</v>
      </c>
      <c r="CX146" t="str">
        <f t="shared" si="97"/>
        <v/>
      </c>
      <c r="CY146" t="str">
        <f t="shared" si="155"/>
        <v/>
      </c>
      <c r="CZ146" t="str">
        <f t="shared" si="98"/>
        <v/>
      </c>
      <c r="DA146" s="2">
        <f t="shared" si="156"/>
        <v>2.1721854304635762</v>
      </c>
      <c r="DB146" s="1" t="s">
        <v>1078</v>
      </c>
      <c r="DC146" s="297" t="str">
        <f t="shared" si="157"/>
        <v>reg</v>
      </c>
      <c r="DD146" s="296" t="s">
        <v>3098</v>
      </c>
      <c r="DE146">
        <v>2020</v>
      </c>
      <c r="DF146">
        <v>2050</v>
      </c>
      <c r="DG146" s="143">
        <f t="shared" si="158"/>
        <v>30</v>
      </c>
      <c r="DH146" t="str">
        <f t="shared" si="159"/>
        <v>1-30</v>
      </c>
      <c r="DI146">
        <v>0</v>
      </c>
      <c r="DJ146">
        <v>1</v>
      </c>
      <c r="DK146">
        <v>1</v>
      </c>
      <c r="DL146">
        <v>1</v>
      </c>
      <c r="DN146">
        <f t="shared" si="160"/>
        <v>3</v>
      </c>
      <c r="DO146" t="str">
        <f t="shared" si="161"/>
        <v>mixedProduct</v>
      </c>
      <c r="DP146">
        <f t="shared" si="162"/>
        <v>0</v>
      </c>
      <c r="DQ146" t="str">
        <f t="shared" si="163"/>
        <v>Energy</v>
      </c>
      <c r="DR146" t="str">
        <f t="shared" si="164"/>
        <v>Pulp/Paper</v>
      </c>
      <c r="DS146" t="str">
        <f t="shared" si="165"/>
        <v>Timber</v>
      </c>
      <c r="DT146">
        <v>0</v>
      </c>
      <c r="DU146" s="143">
        <v>0</v>
      </c>
      <c r="DV146" s="143">
        <v>0</v>
      </c>
      <c r="DW146" s="143">
        <v>0</v>
      </c>
      <c r="DX146">
        <v>0</v>
      </c>
      <c r="DY146">
        <f t="shared" si="166"/>
        <v>0</v>
      </c>
      <c r="DZ146" s="143" t="str">
        <f t="shared" si="167"/>
        <v>explicit C balance</v>
      </c>
      <c r="EA146">
        <v>1</v>
      </c>
      <c r="EB146" s="143">
        <v>1</v>
      </c>
      <c r="EC146" s="143">
        <v>1</v>
      </c>
      <c r="ED146" s="143">
        <v>1</v>
      </c>
      <c r="EE146">
        <v>1</v>
      </c>
      <c r="EF146" s="141">
        <v>0</v>
      </c>
      <c r="EG146">
        <v>0</v>
      </c>
      <c r="EH146" s="143">
        <v>0</v>
      </c>
      <c r="EI146" s="143">
        <v>0</v>
      </c>
      <c r="EJ146">
        <v>0</v>
      </c>
      <c r="EK146">
        <v>1</v>
      </c>
      <c r="EL146" s="143">
        <v>0</v>
      </c>
      <c r="EM146" s="143">
        <v>1</v>
      </c>
      <c r="EN146" s="2">
        <v>0</v>
      </c>
      <c r="EP146" t="str">
        <f t="shared" si="99"/>
        <v/>
      </c>
      <c r="EQ146" t="str">
        <f t="shared" si="140"/>
        <v>Ecosystem approach</v>
      </c>
      <c r="ER146" s="2" t="str">
        <f t="shared" si="101"/>
        <v/>
      </c>
      <c r="ES146" t="str">
        <f t="shared" si="102"/>
        <v/>
      </c>
      <c r="ET146" t="str">
        <f t="shared" si="103"/>
        <v/>
      </c>
      <c r="EU146" t="str">
        <f t="shared" si="104"/>
        <v/>
      </c>
      <c r="EY146" t="b">
        <f>IF(ISNUMBER(BW146),IF(ABS(BW146-[1]QC_indicators!$B$2)&gt;3*[1]QC_indicators!$C$2,"C ratio",IF(ISNUMBER(CA146),IF(ABS(CA146-[1]QC_indicators!$B$1)&gt;3*[1]QC_indicators!$C$1,"DF","no"))),IF(ISNUMBER(CA146),IF(ABS(CA146-[1]QC_indicators!$B$1)&gt;3*[1]QC_indicators!$C$1,"DF","no")))</f>
        <v>0</v>
      </c>
      <c r="FA146" t="str">
        <f t="shared" si="105"/>
        <v/>
      </c>
    </row>
    <row r="147" spans="1:159" ht="15" hidden="1" customHeight="1">
      <c r="A147" s="1" t="s">
        <v>3158</v>
      </c>
      <c r="B147" t="s">
        <v>3159</v>
      </c>
      <c r="C147" t="s">
        <v>3160</v>
      </c>
      <c r="D147" t="s">
        <v>3161</v>
      </c>
      <c r="E147" t="s">
        <v>3162</v>
      </c>
      <c r="F147" t="s">
        <v>3163</v>
      </c>
      <c r="G147" t="s">
        <v>3164</v>
      </c>
      <c r="H147" t="s">
        <v>254</v>
      </c>
      <c r="I147">
        <v>2021</v>
      </c>
      <c r="J147">
        <v>1</v>
      </c>
      <c r="K147" t="s">
        <v>3165</v>
      </c>
      <c r="M147" t="str">
        <f t="shared" si="139"/>
        <v>Bradfer-Lawrence_2021</v>
      </c>
      <c r="N147" s="297" t="s">
        <v>4058</v>
      </c>
      <c r="O147" s="145" t="s">
        <v>223</v>
      </c>
      <c r="Q147" s="297" t="s">
        <v>256</v>
      </c>
      <c r="R147" s="298"/>
      <c r="S147" s="1" t="s">
        <v>3166</v>
      </c>
      <c r="T147" t="s">
        <v>3167</v>
      </c>
      <c r="U147" t="s">
        <v>3172</v>
      </c>
      <c r="X147">
        <v>1</v>
      </c>
      <c r="Y147">
        <v>0</v>
      </c>
      <c r="Z147">
        <v>0</v>
      </c>
      <c r="AA147">
        <v>0</v>
      </c>
      <c r="AB147">
        <v>2</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s="141">
        <f t="shared" si="141"/>
        <v>2</v>
      </c>
      <c r="BA147" s="141">
        <f t="shared" si="142"/>
        <v>2</v>
      </c>
      <c r="BB147">
        <f t="shared" si="143"/>
        <v>2</v>
      </c>
      <c r="BC147">
        <f t="shared" si="144"/>
        <v>0</v>
      </c>
      <c r="BD147">
        <f t="shared" si="145"/>
        <v>0</v>
      </c>
      <c r="BE147">
        <f t="shared" si="146"/>
        <v>0</v>
      </c>
      <c r="BF147">
        <f t="shared" si="147"/>
        <v>0</v>
      </c>
      <c r="BG147" t="str" cm="1">
        <f t="array" ref="BG147">IF(BA147=1,INDEX($X$7:$AN$7,MATCH(TRUE,INDEX($X147:$AY147&lt;&gt;0,),0)),IF(BA147=0,INDEX($AO$7:$AY$7,MATCH(1,$AO147:$AY147,0)),IF(BH147="Multiple strategies","mixed drivers",IF(BH147="Supply chain","multiple supply","multiple silviculture"))))</f>
        <v>multiple silviculture</v>
      </c>
      <c r="BH147" s="2" t="str" cm="1">
        <f t="array" ref="BH147">IF(COUNTIF(BB147:BD147,"&lt;&gt;0")=1,INDEX($X$4:$AY$4,MATCH(TRUE,INDEX($X147:$AY147&lt;&gt;0,),0)),IF(COUNTIF(BB147:BD147,"&lt;&gt;0")=0,INDEX($AO$4:$AY$4,MATCH(1,$AO147:$AY147,0)),"Multiple strategies"))</f>
        <v>Silviculture for removals</v>
      </c>
      <c r="BR147" t="s">
        <v>232</v>
      </c>
      <c r="BS147" s="230"/>
      <c r="BT147" t="s">
        <v>585</v>
      </c>
      <c r="BU147">
        <v>163.80000000000001</v>
      </c>
      <c r="BV147">
        <v>586.70000000000005</v>
      </c>
      <c r="BW147">
        <f t="shared" si="148"/>
        <v>3.581807081807082</v>
      </c>
      <c r="BX147">
        <f t="shared" si="149"/>
        <v>422.90000000000003</v>
      </c>
      <c r="BZ147">
        <f t="shared" si="150"/>
        <v>422900000.00000006</v>
      </c>
      <c r="CA147" t="str">
        <f t="shared" si="95"/>
        <v/>
      </c>
      <c r="CB147" s="143">
        <v>0</v>
      </c>
      <c r="CC147" s="143">
        <v>0</v>
      </c>
      <c r="CD147" s="143">
        <v>0</v>
      </c>
      <c r="CE147" s="143">
        <v>0</v>
      </c>
      <c r="CF147" s="143">
        <v>0</v>
      </c>
      <c r="CG147" s="143">
        <v>0</v>
      </c>
      <c r="CH147" s="143">
        <v>0</v>
      </c>
      <c r="CI147" s="143">
        <v>0</v>
      </c>
      <c r="CJ147" s="143">
        <v>0</v>
      </c>
      <c r="CK147" s="143">
        <v>0</v>
      </c>
      <c r="CL147" s="143">
        <v>0</v>
      </c>
      <c r="CM147" s="143">
        <v>0</v>
      </c>
      <c r="CN147" s="143">
        <v>0</v>
      </c>
      <c r="CO147">
        <v>0</v>
      </c>
      <c r="CP147" t="str">
        <f t="shared" si="151"/>
        <v>refOK</v>
      </c>
      <c r="CQ147"/>
      <c r="CR147"/>
      <c r="CS147"/>
      <c r="CT147">
        <f t="shared" si="96"/>
        <v>0</v>
      </c>
      <c r="CU147">
        <f t="shared" si="152"/>
        <v>163.80000000000001</v>
      </c>
      <c r="CV147">
        <f t="shared" si="153"/>
        <v>586.70000000000005</v>
      </c>
      <c r="CW147">
        <f t="shared" si="154"/>
        <v>422900000.00000006</v>
      </c>
      <c r="CX147" t="str">
        <f t="shared" si="97"/>
        <v/>
      </c>
      <c r="CY147" t="str">
        <f t="shared" si="155"/>
        <v/>
      </c>
      <c r="CZ147" t="str">
        <f t="shared" si="98"/>
        <v/>
      </c>
      <c r="DA147" s="2">
        <f t="shared" si="156"/>
        <v>2.581807081807082</v>
      </c>
      <c r="DB147" s="1" t="s">
        <v>1078</v>
      </c>
      <c r="DC147" s="297" t="str">
        <f t="shared" si="157"/>
        <v>reg</v>
      </c>
      <c r="DD147" s="296" t="s">
        <v>3098</v>
      </c>
      <c r="DE147">
        <v>2020</v>
      </c>
      <c r="DF147">
        <v>2100</v>
      </c>
      <c r="DG147" s="143">
        <f t="shared" si="158"/>
        <v>80</v>
      </c>
      <c r="DH147" t="str">
        <f t="shared" si="159"/>
        <v>71-100</v>
      </c>
      <c r="DI147">
        <v>0</v>
      </c>
      <c r="DJ147">
        <v>1</v>
      </c>
      <c r="DK147">
        <v>1</v>
      </c>
      <c r="DL147">
        <v>1</v>
      </c>
      <c r="DN147">
        <f t="shared" si="160"/>
        <v>3</v>
      </c>
      <c r="DO147" t="str">
        <f t="shared" si="161"/>
        <v>mixedProduct</v>
      </c>
      <c r="DP147">
        <f t="shared" si="162"/>
        <v>0</v>
      </c>
      <c r="DQ147" t="str">
        <f t="shared" si="163"/>
        <v>Energy</v>
      </c>
      <c r="DR147" t="str">
        <f t="shared" si="164"/>
        <v>Pulp/Paper</v>
      </c>
      <c r="DS147" t="str">
        <f t="shared" si="165"/>
        <v>Timber</v>
      </c>
      <c r="DT147">
        <v>0</v>
      </c>
      <c r="DU147" s="143">
        <v>0</v>
      </c>
      <c r="DV147" s="143">
        <v>0</v>
      </c>
      <c r="DW147" s="143">
        <v>0</v>
      </c>
      <c r="DX147">
        <v>0</v>
      </c>
      <c r="DY147">
        <f t="shared" si="166"/>
        <v>0</v>
      </c>
      <c r="DZ147" s="143" t="str">
        <f t="shared" si="167"/>
        <v>explicit C balance</v>
      </c>
      <c r="EA147">
        <v>1</v>
      </c>
      <c r="EB147" s="143">
        <v>1</v>
      </c>
      <c r="EC147" s="143">
        <v>1</v>
      </c>
      <c r="ED147" s="143">
        <v>1</v>
      </c>
      <c r="EE147">
        <v>1</v>
      </c>
      <c r="EF147" s="141">
        <v>0</v>
      </c>
      <c r="EG147">
        <v>0</v>
      </c>
      <c r="EH147" s="143">
        <v>0</v>
      </c>
      <c r="EI147" s="143">
        <v>0</v>
      </c>
      <c r="EJ147">
        <v>0</v>
      </c>
      <c r="EK147">
        <v>1</v>
      </c>
      <c r="EL147" s="143">
        <v>0</v>
      </c>
      <c r="EM147" s="143">
        <v>1</v>
      </c>
      <c r="EN147" s="2">
        <v>0</v>
      </c>
      <c r="EP147" t="str">
        <f t="shared" si="99"/>
        <v/>
      </c>
      <c r="EQ147" t="str">
        <f t="shared" si="140"/>
        <v>Ecosystem approach</v>
      </c>
      <c r="ER147" s="2" t="str">
        <f t="shared" si="101"/>
        <v/>
      </c>
      <c r="ES147" t="str">
        <f t="shared" si="102"/>
        <v/>
      </c>
      <c r="ET147" t="str">
        <f t="shared" si="103"/>
        <v/>
      </c>
      <c r="EU147" t="str">
        <f t="shared" si="104"/>
        <v/>
      </c>
      <c r="EY147" t="b">
        <f>IF(ISNUMBER(BW147),IF(ABS(BW147-[1]QC_indicators!$B$2)&gt;3*[1]QC_indicators!$C$2,"C ratio",IF(ISNUMBER(CA147),IF(ABS(CA147-[1]QC_indicators!$B$1)&gt;3*[1]QC_indicators!$C$1,"DF","no"))),IF(ISNUMBER(CA147),IF(ABS(CA147-[1]QC_indicators!$B$1)&gt;3*[1]QC_indicators!$C$1,"DF","no")))</f>
        <v>0</v>
      </c>
      <c r="FA147" t="str">
        <f t="shared" si="105"/>
        <v/>
      </c>
    </row>
    <row r="148" spans="1:159" ht="15" hidden="1" customHeight="1">
      <c r="A148" s="1" t="s">
        <v>3158</v>
      </c>
      <c r="B148" t="s">
        <v>3159</v>
      </c>
      <c r="C148" t="s">
        <v>3160</v>
      </c>
      <c r="D148" t="s">
        <v>3161</v>
      </c>
      <c r="E148" t="s">
        <v>3162</v>
      </c>
      <c r="F148" t="s">
        <v>3163</v>
      </c>
      <c r="G148" t="s">
        <v>3164</v>
      </c>
      <c r="H148" t="s">
        <v>254</v>
      </c>
      <c r="I148">
        <v>2021</v>
      </c>
      <c r="J148">
        <v>1</v>
      </c>
      <c r="K148" t="s">
        <v>3165</v>
      </c>
      <c r="M148" t="str">
        <f t="shared" si="139"/>
        <v>Bradfer-Lawrence_2021</v>
      </c>
      <c r="N148" s="297" t="s">
        <v>4058</v>
      </c>
      <c r="O148" s="145" t="s">
        <v>223</v>
      </c>
      <c r="Q148" s="297" t="s">
        <v>256</v>
      </c>
      <c r="R148" s="298"/>
      <c r="S148" s="1" t="s">
        <v>3173</v>
      </c>
      <c r="T148" t="s">
        <v>3172</v>
      </c>
      <c r="U148" t="s">
        <v>3174</v>
      </c>
      <c r="X148">
        <v>0</v>
      </c>
      <c r="Y148">
        <v>0</v>
      </c>
      <c r="Z148">
        <v>0</v>
      </c>
      <c r="AA148">
        <v>0</v>
      </c>
      <c r="AB148">
        <v>1</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s="141">
        <f t="shared" si="141"/>
        <v>1</v>
      </c>
      <c r="BA148" s="141">
        <f t="shared" si="142"/>
        <v>1</v>
      </c>
      <c r="BB148">
        <f t="shared" si="143"/>
        <v>1</v>
      </c>
      <c r="BC148">
        <f t="shared" si="144"/>
        <v>0</v>
      </c>
      <c r="BD148">
        <f t="shared" si="145"/>
        <v>0</v>
      </c>
      <c r="BE148">
        <f t="shared" si="146"/>
        <v>0</v>
      </c>
      <c r="BF148">
        <f t="shared" si="147"/>
        <v>0</v>
      </c>
      <c r="BG148" t="str" cm="1">
        <f t="array" ref="BG148">IF(BA148=1,INDEX($X$7:$AN$7,MATCH(TRUE,INDEX($X148:$AY148&lt;&gt;0,),0)),IF(BA148=0,INDEX($AO$7:$AY$7,MATCH(1,$AO148:$AY148,0)),IF(BH148="Multiple strategies","mixed drivers",IF(BH148="Supply chain","multiple supply","multiple silviculture"))))</f>
        <v>species</v>
      </c>
      <c r="BH148" s="2" t="str" cm="1">
        <f t="array" ref="BH148">IF(COUNTIF(BB148:BD148,"&lt;&gt;0")=1,INDEX($X$4:$AY$4,MATCH(TRUE,INDEX($X148:$AY148&lt;&gt;0,),0)),IF(COUNTIF(BB148:BD148,"&lt;&gt;0")=0,INDEX($AO$4:$AY$4,MATCH(1,$AO148:$AY148,0)),"Multiple strategies"))</f>
        <v>Silviculture for productivity</v>
      </c>
      <c r="BR148" t="s">
        <v>232</v>
      </c>
      <c r="BS148" s="230"/>
      <c r="BT148" t="s">
        <v>585</v>
      </c>
      <c r="BU148">
        <v>586.70000000000005</v>
      </c>
      <c r="BV148">
        <v>602.9</v>
      </c>
      <c r="BW148">
        <f t="shared" si="148"/>
        <v>1.0276120674961648</v>
      </c>
      <c r="BX148">
        <f t="shared" si="149"/>
        <v>16.199999999999932</v>
      </c>
      <c r="BZ148">
        <f t="shared" si="150"/>
        <v>16199999.999999931</v>
      </c>
      <c r="CA148" t="str">
        <f t="shared" si="95"/>
        <v/>
      </c>
      <c r="CB148" s="143">
        <v>0</v>
      </c>
      <c r="CC148" s="143">
        <v>0</v>
      </c>
      <c r="CD148" s="143">
        <v>0</v>
      </c>
      <c r="CE148" s="143">
        <v>0</v>
      </c>
      <c r="CF148" s="143">
        <v>0</v>
      </c>
      <c r="CG148" s="143">
        <v>0</v>
      </c>
      <c r="CH148" s="143">
        <v>0</v>
      </c>
      <c r="CI148" s="143">
        <v>0</v>
      </c>
      <c r="CJ148" s="143">
        <v>0</v>
      </c>
      <c r="CK148" s="143">
        <v>0</v>
      </c>
      <c r="CL148" s="143">
        <v>0</v>
      </c>
      <c r="CM148" s="143">
        <v>0</v>
      </c>
      <c r="CN148" s="143">
        <v>0</v>
      </c>
      <c r="CO148">
        <v>0</v>
      </c>
      <c r="CP148" t="str">
        <f t="shared" si="151"/>
        <v>refOK</v>
      </c>
      <c r="CQ148"/>
      <c r="CR148"/>
      <c r="CS148"/>
      <c r="CT148">
        <f t="shared" si="96"/>
        <v>0</v>
      </c>
      <c r="CU148">
        <f t="shared" si="152"/>
        <v>586.70000000000005</v>
      </c>
      <c r="CV148">
        <f t="shared" si="153"/>
        <v>602.9</v>
      </c>
      <c r="CW148">
        <f t="shared" si="154"/>
        <v>16199999.999999931</v>
      </c>
      <c r="CX148" t="str">
        <f t="shared" si="97"/>
        <v/>
      </c>
      <c r="CY148" t="str">
        <f t="shared" si="155"/>
        <v/>
      </c>
      <c r="CZ148" t="str">
        <f t="shared" si="98"/>
        <v/>
      </c>
      <c r="DA148" s="2">
        <f t="shared" si="156"/>
        <v>2.7612067496164874E-2</v>
      </c>
      <c r="DB148" s="1" t="s">
        <v>1078</v>
      </c>
      <c r="DC148" s="297" t="str">
        <f t="shared" si="157"/>
        <v>reg</v>
      </c>
      <c r="DD148" s="296" t="s">
        <v>3098</v>
      </c>
      <c r="DE148">
        <v>2020</v>
      </c>
      <c r="DF148">
        <v>2100</v>
      </c>
      <c r="DG148" s="143">
        <f t="shared" si="158"/>
        <v>80</v>
      </c>
      <c r="DH148" t="str">
        <f t="shared" si="159"/>
        <v>71-100</v>
      </c>
      <c r="DI148">
        <v>0</v>
      </c>
      <c r="DJ148">
        <v>1</v>
      </c>
      <c r="DK148">
        <v>1</v>
      </c>
      <c r="DL148">
        <v>1</v>
      </c>
      <c r="DN148">
        <f t="shared" si="160"/>
        <v>3</v>
      </c>
      <c r="DO148" t="str">
        <f t="shared" si="161"/>
        <v>mixedProduct</v>
      </c>
      <c r="DP148">
        <f t="shared" si="162"/>
        <v>0</v>
      </c>
      <c r="DQ148" t="str">
        <f t="shared" si="163"/>
        <v>Energy</v>
      </c>
      <c r="DR148" t="str">
        <f t="shared" si="164"/>
        <v>Pulp/Paper</v>
      </c>
      <c r="DS148" t="str">
        <f t="shared" si="165"/>
        <v>Timber</v>
      </c>
      <c r="DT148">
        <v>0</v>
      </c>
      <c r="DU148" s="143">
        <v>0</v>
      </c>
      <c r="DV148" s="143">
        <v>0</v>
      </c>
      <c r="DW148" s="143">
        <v>0</v>
      </c>
      <c r="DX148">
        <v>0</v>
      </c>
      <c r="DY148">
        <f t="shared" si="166"/>
        <v>0</v>
      </c>
      <c r="DZ148" s="143" t="str">
        <f t="shared" si="167"/>
        <v>explicit C balance</v>
      </c>
      <c r="EA148">
        <v>1</v>
      </c>
      <c r="EB148" s="143">
        <v>1</v>
      </c>
      <c r="EC148" s="143">
        <v>1</v>
      </c>
      <c r="ED148" s="143">
        <v>1</v>
      </c>
      <c r="EE148">
        <v>1</v>
      </c>
      <c r="EF148" s="141">
        <v>0</v>
      </c>
      <c r="EG148">
        <v>0</v>
      </c>
      <c r="EH148" s="143">
        <v>0</v>
      </c>
      <c r="EI148" s="143">
        <v>0</v>
      </c>
      <c r="EJ148">
        <v>0</v>
      </c>
      <c r="EK148">
        <v>1</v>
      </c>
      <c r="EL148" s="143">
        <v>0</v>
      </c>
      <c r="EM148" s="143">
        <v>1</v>
      </c>
      <c r="EN148" s="2">
        <v>0</v>
      </c>
      <c r="EP148" t="str">
        <f t="shared" si="99"/>
        <v/>
      </c>
      <c r="EQ148" t="str">
        <f t="shared" si="140"/>
        <v>Ecosystem approach</v>
      </c>
      <c r="ER148" s="2" t="str">
        <f t="shared" si="101"/>
        <v/>
      </c>
      <c r="ES148" t="str">
        <f t="shared" si="102"/>
        <v/>
      </c>
      <c r="ET148" t="str">
        <f t="shared" si="103"/>
        <v/>
      </c>
      <c r="EU148" t="str">
        <f t="shared" si="104"/>
        <v/>
      </c>
      <c r="EY148" t="b">
        <f>IF(ISNUMBER(BW148),IF(ABS(BW148-[1]QC_indicators!$B$2)&gt;3*[1]QC_indicators!$C$2,"C ratio",IF(ISNUMBER(CA148),IF(ABS(CA148-[1]QC_indicators!$B$1)&gt;3*[1]QC_indicators!$C$1,"DF","no"))),IF(ISNUMBER(CA148),IF(ABS(CA148-[1]QC_indicators!$B$1)&gt;3*[1]QC_indicators!$C$1,"DF","no")))</f>
        <v>0</v>
      </c>
      <c r="FA148" t="str">
        <f t="shared" si="105"/>
        <v/>
      </c>
    </row>
    <row r="149" spans="1:159" ht="15" hidden="1" customHeight="1">
      <c r="A149" s="1" t="s">
        <v>3158</v>
      </c>
      <c r="B149" t="s">
        <v>3159</v>
      </c>
      <c r="C149" t="s">
        <v>3160</v>
      </c>
      <c r="D149" t="s">
        <v>3161</v>
      </c>
      <c r="E149" t="s">
        <v>3162</v>
      </c>
      <c r="F149" t="s">
        <v>3163</v>
      </c>
      <c r="G149" t="s">
        <v>3164</v>
      </c>
      <c r="H149" t="s">
        <v>254</v>
      </c>
      <c r="I149">
        <v>2021</v>
      </c>
      <c r="J149">
        <v>1</v>
      </c>
      <c r="K149" t="s">
        <v>3165</v>
      </c>
      <c r="M149" t="str">
        <f t="shared" si="139"/>
        <v>Bradfer-Lawrence_2021</v>
      </c>
      <c r="N149" s="297" t="s">
        <v>4058</v>
      </c>
      <c r="O149" s="145" t="s">
        <v>223</v>
      </c>
      <c r="Q149" s="297" t="s">
        <v>256</v>
      </c>
      <c r="R149" s="298"/>
      <c r="S149" s="1" t="s">
        <v>3173</v>
      </c>
      <c r="T149" t="s">
        <v>3168</v>
      </c>
      <c r="U149" t="s">
        <v>3175</v>
      </c>
      <c r="X149">
        <v>0</v>
      </c>
      <c r="Y149">
        <v>0</v>
      </c>
      <c r="Z149">
        <v>0</v>
      </c>
      <c r="AA149">
        <v>0</v>
      </c>
      <c r="AB149">
        <v>1</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s="141">
        <f t="shared" si="141"/>
        <v>1</v>
      </c>
      <c r="BA149" s="141">
        <f t="shared" si="142"/>
        <v>1</v>
      </c>
      <c r="BB149">
        <f t="shared" si="143"/>
        <v>1</v>
      </c>
      <c r="BC149">
        <f t="shared" si="144"/>
        <v>0</v>
      </c>
      <c r="BD149">
        <f t="shared" si="145"/>
        <v>0</v>
      </c>
      <c r="BE149">
        <f t="shared" si="146"/>
        <v>0</v>
      </c>
      <c r="BF149">
        <f t="shared" si="147"/>
        <v>0</v>
      </c>
      <c r="BG149" t="str" cm="1">
        <f t="array" ref="BG149">IF(BA149=1,INDEX($X$7:$AN$7,MATCH(TRUE,INDEX($X149:$AY149&lt;&gt;0,),0)),IF(BA149=0,INDEX($AO$7:$AY$7,MATCH(1,$AO149:$AY149,0)),IF(BH149="Multiple strategies","mixed drivers",IF(BH149="Supply chain","multiple supply","multiple silviculture"))))</f>
        <v>species</v>
      </c>
      <c r="BH149" s="2" t="str" cm="1">
        <f t="array" ref="BH149">IF(COUNTIF(BB149:BD149,"&lt;&gt;0")=1,INDEX($X$4:$AY$4,MATCH(TRUE,INDEX($X149:$AY149&lt;&gt;0,),0)),IF(COUNTIF(BB149:BD149,"&lt;&gt;0")=0,INDEX($AO$4:$AY$4,MATCH(1,$AO149:$AY149,0)),"Multiple strategies"))</f>
        <v>Silviculture for productivity</v>
      </c>
      <c r="BR149" t="s">
        <v>232</v>
      </c>
      <c r="BS149" s="230"/>
      <c r="BT149" t="s">
        <v>585</v>
      </c>
      <c r="BU149">
        <v>457</v>
      </c>
      <c r="BV149">
        <v>475.2</v>
      </c>
      <c r="BW149">
        <f t="shared" si="148"/>
        <v>1.0398249452954047</v>
      </c>
      <c r="BX149">
        <f t="shared" si="149"/>
        <v>18.199999999999989</v>
      </c>
      <c r="BZ149">
        <f t="shared" si="150"/>
        <v>18199999.999999989</v>
      </c>
      <c r="CA149" t="str">
        <f t="shared" si="95"/>
        <v/>
      </c>
      <c r="CB149" s="143">
        <v>0</v>
      </c>
      <c r="CC149" s="143">
        <v>0</v>
      </c>
      <c r="CD149" s="143">
        <v>0</v>
      </c>
      <c r="CE149" s="143">
        <v>0</v>
      </c>
      <c r="CF149" s="143">
        <v>0</v>
      </c>
      <c r="CG149" s="143">
        <v>0</v>
      </c>
      <c r="CH149" s="143">
        <v>0</v>
      </c>
      <c r="CI149" s="143">
        <v>0</v>
      </c>
      <c r="CJ149" s="143">
        <v>0</v>
      </c>
      <c r="CK149" s="143">
        <v>0</v>
      </c>
      <c r="CL149" s="143">
        <v>0</v>
      </c>
      <c r="CM149" s="143">
        <v>0</v>
      </c>
      <c r="CN149" s="143">
        <v>0</v>
      </c>
      <c r="CO149">
        <v>0</v>
      </c>
      <c r="CP149" t="str">
        <f t="shared" si="151"/>
        <v>refOK</v>
      </c>
      <c r="CQ149"/>
      <c r="CR149"/>
      <c r="CS149"/>
      <c r="CT149">
        <f t="shared" si="96"/>
        <v>0</v>
      </c>
      <c r="CU149">
        <f t="shared" si="152"/>
        <v>457</v>
      </c>
      <c r="CV149">
        <f t="shared" si="153"/>
        <v>475.2</v>
      </c>
      <c r="CW149">
        <f t="shared" si="154"/>
        <v>18199999.999999989</v>
      </c>
      <c r="CX149" t="str">
        <f t="shared" si="97"/>
        <v/>
      </c>
      <c r="CY149" t="str">
        <f t="shared" si="155"/>
        <v/>
      </c>
      <c r="CZ149" t="str">
        <f t="shared" si="98"/>
        <v/>
      </c>
      <c r="DA149" s="2">
        <f t="shared" si="156"/>
        <v>3.9824945295404791E-2</v>
      </c>
      <c r="DB149" s="1" t="s">
        <v>1078</v>
      </c>
      <c r="DC149" s="297" t="str">
        <f t="shared" si="157"/>
        <v>reg</v>
      </c>
      <c r="DD149" s="296" t="s">
        <v>3098</v>
      </c>
      <c r="DE149">
        <v>2020</v>
      </c>
      <c r="DF149">
        <v>2100</v>
      </c>
      <c r="DG149" s="143">
        <f t="shared" si="158"/>
        <v>80</v>
      </c>
      <c r="DH149" t="str">
        <f t="shared" si="159"/>
        <v>71-100</v>
      </c>
      <c r="DI149">
        <v>0</v>
      </c>
      <c r="DJ149">
        <v>1</v>
      </c>
      <c r="DK149">
        <v>1</v>
      </c>
      <c r="DL149">
        <v>1</v>
      </c>
      <c r="DN149">
        <f t="shared" si="160"/>
        <v>3</v>
      </c>
      <c r="DO149" t="str">
        <f t="shared" si="161"/>
        <v>mixedProduct</v>
      </c>
      <c r="DP149">
        <f t="shared" si="162"/>
        <v>0</v>
      </c>
      <c r="DQ149" t="str">
        <f t="shared" si="163"/>
        <v>Energy</v>
      </c>
      <c r="DR149" t="str">
        <f t="shared" si="164"/>
        <v>Pulp/Paper</v>
      </c>
      <c r="DS149" t="str">
        <f t="shared" si="165"/>
        <v>Timber</v>
      </c>
      <c r="DT149">
        <v>0</v>
      </c>
      <c r="DU149" s="143">
        <v>0</v>
      </c>
      <c r="DV149" s="143">
        <v>0</v>
      </c>
      <c r="DW149" s="143">
        <v>0</v>
      </c>
      <c r="DX149">
        <v>0</v>
      </c>
      <c r="DY149">
        <f t="shared" si="166"/>
        <v>0</v>
      </c>
      <c r="DZ149" s="143" t="str">
        <f t="shared" si="167"/>
        <v>explicit C balance</v>
      </c>
      <c r="EA149">
        <v>1</v>
      </c>
      <c r="EB149" s="143">
        <v>1</v>
      </c>
      <c r="EC149" s="143">
        <v>1</v>
      </c>
      <c r="ED149" s="143">
        <v>1</v>
      </c>
      <c r="EE149">
        <v>1</v>
      </c>
      <c r="EF149" s="141">
        <v>0</v>
      </c>
      <c r="EG149">
        <v>0</v>
      </c>
      <c r="EH149" s="143">
        <v>0</v>
      </c>
      <c r="EI149" s="143">
        <v>0</v>
      </c>
      <c r="EJ149">
        <v>0</v>
      </c>
      <c r="EK149">
        <v>1</v>
      </c>
      <c r="EL149" s="143">
        <v>0</v>
      </c>
      <c r="EM149" s="143">
        <v>1</v>
      </c>
      <c r="EN149" s="2">
        <v>0</v>
      </c>
      <c r="EP149" t="str">
        <f t="shared" si="99"/>
        <v/>
      </c>
      <c r="EQ149" t="str">
        <f t="shared" si="140"/>
        <v>Ecosystem approach</v>
      </c>
      <c r="ER149" s="2" t="str">
        <f t="shared" si="101"/>
        <v/>
      </c>
      <c r="ES149" t="str">
        <f t="shared" si="102"/>
        <v/>
      </c>
      <c r="ET149" t="str">
        <f t="shared" si="103"/>
        <v/>
      </c>
      <c r="EU149" t="str">
        <f t="shared" si="104"/>
        <v/>
      </c>
      <c r="EY149" t="b">
        <f>IF(ISNUMBER(BW149),IF(ABS(BW149-[1]QC_indicators!$B$2)&gt;3*[1]QC_indicators!$C$2,"C ratio",IF(ISNUMBER(CA149),IF(ABS(CA149-[1]QC_indicators!$B$1)&gt;3*[1]QC_indicators!$C$1,"DF","no"))),IF(ISNUMBER(CA149),IF(ABS(CA149-[1]QC_indicators!$B$1)&gt;3*[1]QC_indicators!$C$1,"DF","no")))</f>
        <v>0</v>
      </c>
      <c r="FA149" t="str">
        <f t="shared" si="105"/>
        <v/>
      </c>
    </row>
    <row r="150" spans="1:159" ht="15" hidden="1" customHeight="1">
      <c r="A150" s="1" t="s">
        <v>3158</v>
      </c>
      <c r="B150" t="s">
        <v>3159</v>
      </c>
      <c r="C150" t="s">
        <v>3160</v>
      </c>
      <c r="D150" t="s">
        <v>3161</v>
      </c>
      <c r="E150" t="s">
        <v>3162</v>
      </c>
      <c r="F150" t="s">
        <v>3163</v>
      </c>
      <c r="G150" t="s">
        <v>3164</v>
      </c>
      <c r="H150" t="s">
        <v>254</v>
      </c>
      <c r="I150">
        <v>2021</v>
      </c>
      <c r="J150">
        <v>1</v>
      </c>
      <c r="K150" t="s">
        <v>3165</v>
      </c>
      <c r="M150" t="str">
        <f t="shared" si="139"/>
        <v>Bradfer-Lawrence_2021</v>
      </c>
      <c r="N150" s="297" t="s">
        <v>4058</v>
      </c>
      <c r="O150" s="145" t="s">
        <v>223</v>
      </c>
      <c r="Q150" s="297" t="s">
        <v>256</v>
      </c>
      <c r="R150" s="298"/>
      <c r="S150" s="1" t="s">
        <v>3173</v>
      </c>
      <c r="T150" t="s">
        <v>3172</v>
      </c>
      <c r="U150" t="s">
        <v>3174</v>
      </c>
      <c r="X150">
        <v>0</v>
      </c>
      <c r="Y150">
        <v>0</v>
      </c>
      <c r="Z150">
        <v>0</v>
      </c>
      <c r="AA150">
        <v>0</v>
      </c>
      <c r="AB150">
        <v>1</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s="141">
        <f t="shared" si="141"/>
        <v>1</v>
      </c>
      <c r="BA150" s="141">
        <f t="shared" si="142"/>
        <v>1</v>
      </c>
      <c r="BB150">
        <f t="shared" si="143"/>
        <v>1</v>
      </c>
      <c r="BC150">
        <f t="shared" si="144"/>
        <v>0</v>
      </c>
      <c r="BD150">
        <f t="shared" si="145"/>
        <v>0</v>
      </c>
      <c r="BE150">
        <f t="shared" si="146"/>
        <v>0</v>
      </c>
      <c r="BF150">
        <f t="shared" si="147"/>
        <v>0</v>
      </c>
      <c r="BG150" t="str" cm="1">
        <f t="array" ref="BG150">IF(BA150=1,INDEX($X$7:$AN$7,MATCH(TRUE,INDEX($X150:$AY150&lt;&gt;0,),0)),IF(BA150=0,INDEX($AO$7:$AY$7,MATCH(1,$AO150:$AY150,0)),IF(BH150="Multiple strategies","mixed drivers",IF(BH150="Supply chain","multiple supply","multiple silviculture"))))</f>
        <v>species</v>
      </c>
      <c r="BH150" s="2" t="str" cm="1">
        <f t="array" ref="BH150">IF(COUNTIF(BB150:BD150,"&lt;&gt;0")=1,INDEX($X$4:$AY$4,MATCH(TRUE,INDEX($X150:$AY150&lt;&gt;0,),0)),IF(COUNTIF(BB150:BD150,"&lt;&gt;0")=0,INDEX($AO$4:$AY$4,MATCH(1,$AO150:$AY150,0)),"Multiple strategies"))</f>
        <v>Silviculture for productivity</v>
      </c>
      <c r="BR150" t="s">
        <v>232</v>
      </c>
      <c r="BS150" s="230"/>
      <c r="BT150" t="s">
        <v>585</v>
      </c>
      <c r="BU150">
        <v>143.69999999999999</v>
      </c>
      <c r="BV150">
        <v>176.4</v>
      </c>
      <c r="BW150">
        <f t="shared" si="148"/>
        <v>1.2275574112734866</v>
      </c>
      <c r="BX150">
        <f t="shared" si="149"/>
        <v>32.700000000000017</v>
      </c>
      <c r="BZ150">
        <f t="shared" si="150"/>
        <v>32700000.000000019</v>
      </c>
      <c r="CA150" t="str">
        <f t="shared" si="95"/>
        <v/>
      </c>
      <c r="CB150" s="143">
        <v>0</v>
      </c>
      <c r="CC150" s="143">
        <v>0</v>
      </c>
      <c r="CD150" s="143">
        <v>0</v>
      </c>
      <c r="CE150" s="143">
        <v>0</v>
      </c>
      <c r="CF150" s="143">
        <v>0</v>
      </c>
      <c r="CG150" s="143">
        <v>0</v>
      </c>
      <c r="CH150" s="143">
        <v>0</v>
      </c>
      <c r="CI150" s="143">
        <v>0</v>
      </c>
      <c r="CJ150" s="143">
        <v>0</v>
      </c>
      <c r="CK150" s="143">
        <v>0</v>
      </c>
      <c r="CL150" s="143">
        <v>0</v>
      </c>
      <c r="CM150" s="143">
        <v>0</v>
      </c>
      <c r="CN150" s="143">
        <v>0</v>
      </c>
      <c r="CO150">
        <v>0</v>
      </c>
      <c r="CP150" t="str">
        <f t="shared" si="151"/>
        <v>refOK</v>
      </c>
      <c r="CQ150"/>
      <c r="CR150"/>
      <c r="CS150"/>
      <c r="CT150">
        <f t="shared" si="96"/>
        <v>0</v>
      </c>
      <c r="CU150">
        <f t="shared" si="152"/>
        <v>143.69999999999999</v>
      </c>
      <c r="CV150">
        <f t="shared" si="153"/>
        <v>176.4</v>
      </c>
      <c r="CW150">
        <f t="shared" si="154"/>
        <v>32700000.000000019</v>
      </c>
      <c r="CX150" t="str">
        <f t="shared" si="97"/>
        <v/>
      </c>
      <c r="CY150" t="str">
        <f t="shared" si="155"/>
        <v/>
      </c>
      <c r="CZ150" t="str">
        <f t="shared" si="98"/>
        <v/>
      </c>
      <c r="DA150" s="2">
        <f t="shared" si="156"/>
        <v>0.22755741127348655</v>
      </c>
      <c r="DB150" s="1" t="s">
        <v>1078</v>
      </c>
      <c r="DC150" s="297" t="str">
        <f t="shared" si="157"/>
        <v>reg</v>
      </c>
      <c r="DD150" s="296" t="s">
        <v>3098</v>
      </c>
      <c r="DE150">
        <v>2020</v>
      </c>
      <c r="DF150">
        <v>2050</v>
      </c>
      <c r="DG150" s="143">
        <f t="shared" si="158"/>
        <v>30</v>
      </c>
      <c r="DH150" t="str">
        <f t="shared" si="159"/>
        <v>1-30</v>
      </c>
      <c r="DI150">
        <v>0</v>
      </c>
      <c r="DJ150">
        <v>1</v>
      </c>
      <c r="DK150">
        <v>1</v>
      </c>
      <c r="DL150">
        <v>1</v>
      </c>
      <c r="DN150">
        <f t="shared" si="160"/>
        <v>3</v>
      </c>
      <c r="DO150" t="str">
        <f t="shared" si="161"/>
        <v>mixedProduct</v>
      </c>
      <c r="DP150">
        <f t="shared" si="162"/>
        <v>0</v>
      </c>
      <c r="DQ150" t="str">
        <f t="shared" si="163"/>
        <v>Energy</v>
      </c>
      <c r="DR150" t="str">
        <f t="shared" si="164"/>
        <v>Pulp/Paper</v>
      </c>
      <c r="DS150" t="str">
        <f t="shared" si="165"/>
        <v>Timber</v>
      </c>
      <c r="DT150">
        <v>0</v>
      </c>
      <c r="DU150" s="143">
        <v>0</v>
      </c>
      <c r="DV150" s="143">
        <v>0</v>
      </c>
      <c r="DW150" s="143">
        <v>0</v>
      </c>
      <c r="DX150">
        <v>0</v>
      </c>
      <c r="DY150">
        <f t="shared" si="166"/>
        <v>0</v>
      </c>
      <c r="DZ150" s="143" t="str">
        <f t="shared" si="167"/>
        <v>explicit C balance</v>
      </c>
      <c r="EA150">
        <v>1</v>
      </c>
      <c r="EB150" s="143">
        <v>1</v>
      </c>
      <c r="EC150" s="143">
        <v>1</v>
      </c>
      <c r="ED150" s="143">
        <v>1</v>
      </c>
      <c r="EE150">
        <v>1</v>
      </c>
      <c r="EF150" s="141">
        <v>0</v>
      </c>
      <c r="EG150">
        <v>0</v>
      </c>
      <c r="EH150" s="143">
        <v>0</v>
      </c>
      <c r="EI150" s="143">
        <v>0</v>
      </c>
      <c r="EJ150">
        <v>0</v>
      </c>
      <c r="EK150">
        <v>1</v>
      </c>
      <c r="EL150" s="143">
        <v>0</v>
      </c>
      <c r="EM150" s="143">
        <v>1</v>
      </c>
      <c r="EN150" s="2">
        <v>0</v>
      </c>
      <c r="EP150" t="str">
        <f t="shared" si="99"/>
        <v/>
      </c>
      <c r="EQ150" t="str">
        <f t="shared" si="140"/>
        <v>Ecosystem approach</v>
      </c>
      <c r="ER150" s="2" t="str">
        <f t="shared" si="101"/>
        <v/>
      </c>
      <c r="ES150" t="str">
        <f t="shared" si="102"/>
        <v/>
      </c>
      <c r="ET150" t="str">
        <f t="shared" si="103"/>
        <v/>
      </c>
      <c r="EU150" t="str">
        <f t="shared" si="104"/>
        <v/>
      </c>
      <c r="EY150" t="b">
        <f>IF(ISNUMBER(BW150),IF(ABS(BW150-[1]QC_indicators!$B$2)&gt;3*[1]QC_indicators!$C$2,"C ratio",IF(ISNUMBER(CA150),IF(ABS(CA150-[1]QC_indicators!$B$1)&gt;3*[1]QC_indicators!$C$1,"DF","no"))),IF(ISNUMBER(CA150),IF(ABS(CA150-[1]QC_indicators!$B$1)&gt;3*[1]QC_indicators!$C$1,"DF","no")))</f>
        <v>0</v>
      </c>
      <c r="FA150" t="str">
        <f t="shared" si="105"/>
        <v/>
      </c>
    </row>
    <row r="151" spans="1:159" ht="15" hidden="1" customHeight="1">
      <c r="A151" s="1" t="s">
        <v>3158</v>
      </c>
      <c r="B151" t="s">
        <v>3159</v>
      </c>
      <c r="C151" t="s">
        <v>3160</v>
      </c>
      <c r="D151" t="s">
        <v>3161</v>
      </c>
      <c r="E151" t="s">
        <v>3162</v>
      </c>
      <c r="F151" t="s">
        <v>3163</v>
      </c>
      <c r="G151" t="s">
        <v>3164</v>
      </c>
      <c r="H151" t="s">
        <v>254</v>
      </c>
      <c r="I151">
        <v>2021</v>
      </c>
      <c r="J151">
        <v>1</v>
      </c>
      <c r="K151" t="s">
        <v>3165</v>
      </c>
      <c r="M151" t="str">
        <f t="shared" si="139"/>
        <v>Bradfer-Lawrence_2021</v>
      </c>
      <c r="N151" s="297" t="s">
        <v>4058</v>
      </c>
      <c r="O151" s="145" t="s">
        <v>223</v>
      </c>
      <c r="Q151" s="297" t="s">
        <v>256</v>
      </c>
      <c r="R151" s="298"/>
      <c r="S151" s="1" t="s">
        <v>3173</v>
      </c>
      <c r="T151" t="s">
        <v>3168</v>
      </c>
      <c r="U151" t="s">
        <v>3175</v>
      </c>
      <c r="X151">
        <v>0</v>
      </c>
      <c r="Y151">
        <v>0</v>
      </c>
      <c r="Z151">
        <v>0</v>
      </c>
      <c r="AA151">
        <v>0</v>
      </c>
      <c r="AB151">
        <v>1</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s="141">
        <f t="shared" si="141"/>
        <v>1</v>
      </c>
      <c r="BA151" s="141">
        <f t="shared" si="142"/>
        <v>1</v>
      </c>
      <c r="BB151">
        <f t="shared" si="143"/>
        <v>1</v>
      </c>
      <c r="BC151">
        <f t="shared" si="144"/>
        <v>0</v>
      </c>
      <c r="BD151">
        <f t="shared" si="145"/>
        <v>0</v>
      </c>
      <c r="BE151">
        <f t="shared" si="146"/>
        <v>0</v>
      </c>
      <c r="BF151">
        <f t="shared" si="147"/>
        <v>0</v>
      </c>
      <c r="BG151" t="str" cm="1">
        <f t="array" ref="BG151">IF(BA151=1,INDEX($X$7:$AN$7,MATCH(TRUE,INDEX($X151:$AY151&lt;&gt;0,),0)),IF(BA151=0,INDEX($AO$7:$AY$7,MATCH(1,$AO151:$AY151,0)),IF(BH151="Multiple strategies","mixed drivers",IF(BH151="Supply chain","multiple supply","multiple silviculture"))))</f>
        <v>species</v>
      </c>
      <c r="BH151" s="2" t="str" cm="1">
        <f t="array" ref="BH151">IF(COUNTIF(BB151:BD151,"&lt;&gt;0")=1,INDEX($X$4:$AY$4,MATCH(TRUE,INDEX($X151:$AY151&lt;&gt;0,),0)),IF(COUNTIF(BB151:BD151,"&lt;&gt;0")=0,INDEX($AO$4:$AY$4,MATCH(1,$AO151:$AY151,0)),"Multiple strategies"))</f>
        <v>Silviculture for productivity</v>
      </c>
      <c r="BR151" t="s">
        <v>232</v>
      </c>
      <c r="BS151" s="230"/>
      <c r="BT151" t="s">
        <v>585</v>
      </c>
      <c r="BU151">
        <v>112.6</v>
      </c>
      <c r="BV151">
        <v>156.4</v>
      </c>
      <c r="BW151">
        <f t="shared" si="148"/>
        <v>1.3889875666074603</v>
      </c>
      <c r="BX151">
        <f t="shared" si="149"/>
        <v>43.800000000000011</v>
      </c>
      <c r="BZ151">
        <f t="shared" si="150"/>
        <v>43800000.000000015</v>
      </c>
      <c r="CA151" t="str">
        <f t="shared" si="95"/>
        <v/>
      </c>
      <c r="CB151" s="143">
        <v>0</v>
      </c>
      <c r="CC151" s="143">
        <v>0</v>
      </c>
      <c r="CD151" s="143">
        <v>0</v>
      </c>
      <c r="CE151" s="143">
        <v>0</v>
      </c>
      <c r="CF151" s="143">
        <v>0</v>
      </c>
      <c r="CG151" s="143">
        <v>0</v>
      </c>
      <c r="CH151" s="143">
        <v>0</v>
      </c>
      <c r="CI151" s="143">
        <v>0</v>
      </c>
      <c r="CJ151" s="143">
        <v>0</v>
      </c>
      <c r="CK151" s="143">
        <v>0</v>
      </c>
      <c r="CL151" s="143">
        <v>0</v>
      </c>
      <c r="CM151" s="143">
        <v>0</v>
      </c>
      <c r="CN151" s="143">
        <v>0</v>
      </c>
      <c r="CO151">
        <v>0</v>
      </c>
      <c r="CP151" t="str">
        <f t="shared" si="151"/>
        <v>refOK</v>
      </c>
      <c r="CQ151"/>
      <c r="CR151"/>
      <c r="CS151"/>
      <c r="CT151">
        <f t="shared" si="96"/>
        <v>0</v>
      </c>
      <c r="CU151">
        <f t="shared" si="152"/>
        <v>112.6</v>
      </c>
      <c r="CV151">
        <f t="shared" si="153"/>
        <v>156.4</v>
      </c>
      <c r="CW151">
        <f t="shared" si="154"/>
        <v>43800000.000000015</v>
      </c>
      <c r="CX151" t="str">
        <f t="shared" si="97"/>
        <v/>
      </c>
      <c r="CY151" t="str">
        <f t="shared" si="155"/>
        <v/>
      </c>
      <c r="CZ151" t="str">
        <f t="shared" si="98"/>
        <v/>
      </c>
      <c r="DA151" s="2">
        <f t="shared" si="156"/>
        <v>0.38898756660746014</v>
      </c>
      <c r="DB151" s="1" t="s">
        <v>1078</v>
      </c>
      <c r="DC151" s="297" t="str">
        <f t="shared" si="157"/>
        <v>reg</v>
      </c>
      <c r="DD151" s="296" t="s">
        <v>3098</v>
      </c>
      <c r="DE151">
        <v>2020</v>
      </c>
      <c r="DF151">
        <v>2050</v>
      </c>
      <c r="DG151" s="143">
        <f t="shared" si="158"/>
        <v>30</v>
      </c>
      <c r="DH151" t="str">
        <f t="shared" si="159"/>
        <v>1-30</v>
      </c>
      <c r="DI151">
        <v>0</v>
      </c>
      <c r="DJ151">
        <v>1</v>
      </c>
      <c r="DK151">
        <v>1</v>
      </c>
      <c r="DL151">
        <v>1</v>
      </c>
      <c r="DN151">
        <f t="shared" si="160"/>
        <v>3</v>
      </c>
      <c r="DO151" t="str">
        <f t="shared" si="161"/>
        <v>mixedProduct</v>
      </c>
      <c r="DP151">
        <f t="shared" si="162"/>
        <v>0</v>
      </c>
      <c r="DQ151" t="str">
        <f t="shared" si="163"/>
        <v>Energy</v>
      </c>
      <c r="DR151" t="str">
        <f t="shared" si="164"/>
        <v>Pulp/Paper</v>
      </c>
      <c r="DS151" t="str">
        <f t="shared" si="165"/>
        <v>Timber</v>
      </c>
      <c r="DT151">
        <v>0</v>
      </c>
      <c r="DU151" s="143">
        <v>0</v>
      </c>
      <c r="DV151" s="143">
        <v>0</v>
      </c>
      <c r="DW151" s="143">
        <v>0</v>
      </c>
      <c r="DX151">
        <v>0</v>
      </c>
      <c r="DY151">
        <f t="shared" si="166"/>
        <v>0</v>
      </c>
      <c r="DZ151" s="143" t="str">
        <f t="shared" si="167"/>
        <v>explicit C balance</v>
      </c>
      <c r="EA151">
        <v>1</v>
      </c>
      <c r="EB151" s="143">
        <v>1</v>
      </c>
      <c r="EC151" s="143">
        <v>1</v>
      </c>
      <c r="ED151" s="143">
        <v>1</v>
      </c>
      <c r="EE151">
        <v>1</v>
      </c>
      <c r="EF151" s="141">
        <v>0</v>
      </c>
      <c r="EG151">
        <v>0</v>
      </c>
      <c r="EH151" s="143">
        <v>0</v>
      </c>
      <c r="EI151" s="143">
        <v>0</v>
      </c>
      <c r="EJ151">
        <v>0</v>
      </c>
      <c r="EK151">
        <v>1</v>
      </c>
      <c r="EL151" s="143">
        <v>0</v>
      </c>
      <c r="EM151" s="143">
        <v>1</v>
      </c>
      <c r="EN151" s="2">
        <v>0</v>
      </c>
      <c r="EP151" t="str">
        <f t="shared" si="99"/>
        <v/>
      </c>
      <c r="EQ151" t="str">
        <f t="shared" si="140"/>
        <v>Ecosystem approach</v>
      </c>
      <c r="ER151" s="2" t="str">
        <f t="shared" si="101"/>
        <v/>
      </c>
      <c r="ES151" t="str">
        <f t="shared" si="102"/>
        <v/>
      </c>
      <c r="ET151" t="str">
        <f t="shared" si="103"/>
        <v/>
      </c>
      <c r="EU151" t="str">
        <f t="shared" si="104"/>
        <v/>
      </c>
      <c r="EY151" t="b">
        <f>IF(ISNUMBER(BW151),IF(ABS(BW151-[1]QC_indicators!$B$2)&gt;3*[1]QC_indicators!$C$2,"C ratio",IF(ISNUMBER(CA151),IF(ABS(CA151-[1]QC_indicators!$B$1)&gt;3*[1]QC_indicators!$C$1,"DF","no"))),IF(ISNUMBER(CA151),IF(ABS(CA151-[1]QC_indicators!$B$1)&gt;3*[1]QC_indicators!$C$1,"DF","no")))</f>
        <v>0</v>
      </c>
      <c r="FA151" t="str">
        <f t="shared" si="105"/>
        <v/>
      </c>
    </row>
    <row r="152" spans="1:159" ht="15" hidden="1" customHeight="1">
      <c r="A152" s="1" t="s">
        <v>3176</v>
      </c>
      <c r="B152" t="s">
        <v>3177</v>
      </c>
      <c r="C152" t="s">
        <v>3178</v>
      </c>
      <c r="D152" t="s">
        <v>3179</v>
      </c>
      <c r="E152" t="s">
        <v>3180</v>
      </c>
      <c r="F152" t="s">
        <v>3181</v>
      </c>
      <c r="G152" t="s">
        <v>3182</v>
      </c>
      <c r="H152" t="s">
        <v>254</v>
      </c>
      <c r="I152">
        <v>2016</v>
      </c>
      <c r="J152">
        <v>60</v>
      </c>
      <c r="K152" t="s">
        <v>3183</v>
      </c>
      <c r="M152" t="str">
        <f t="shared" si="139"/>
        <v>Cambero_2016</v>
      </c>
      <c r="N152" s="297" t="s">
        <v>4058</v>
      </c>
      <c r="O152" s="145" t="s">
        <v>223</v>
      </c>
      <c r="Q152" s="297" t="s">
        <v>256</v>
      </c>
      <c r="R152" s="298"/>
      <c r="S152" s="1" t="s">
        <v>3184</v>
      </c>
      <c r="T152" s="297" t="s">
        <v>3185</v>
      </c>
      <c r="U152" s="297" t="s">
        <v>3187</v>
      </c>
      <c r="V152" s="297"/>
      <c r="W152" s="297"/>
      <c r="X152">
        <v>0</v>
      </c>
      <c r="Y152">
        <v>0</v>
      </c>
      <c r="Z152">
        <v>0</v>
      </c>
      <c r="AA152">
        <v>0</v>
      </c>
      <c r="AB152">
        <v>0</v>
      </c>
      <c r="AC152">
        <v>0</v>
      </c>
      <c r="AD152">
        <v>0</v>
      </c>
      <c r="AE152">
        <v>0</v>
      </c>
      <c r="AF152">
        <v>0</v>
      </c>
      <c r="AG152">
        <v>0</v>
      </c>
      <c r="AH152">
        <v>0</v>
      </c>
      <c r="AI152">
        <v>0</v>
      </c>
      <c r="AJ152">
        <v>0</v>
      </c>
      <c r="AK152">
        <v>0</v>
      </c>
      <c r="AL152">
        <v>1</v>
      </c>
      <c r="AM152">
        <v>0</v>
      </c>
      <c r="AN152">
        <v>0</v>
      </c>
      <c r="AO152">
        <v>0</v>
      </c>
      <c r="AP152">
        <v>0</v>
      </c>
      <c r="AQ152">
        <v>0</v>
      </c>
      <c r="AR152">
        <v>0</v>
      </c>
      <c r="AS152">
        <v>0</v>
      </c>
      <c r="AT152">
        <v>0</v>
      </c>
      <c r="AU152">
        <v>0</v>
      </c>
      <c r="AV152">
        <v>0</v>
      </c>
      <c r="AW152">
        <v>0</v>
      </c>
      <c r="AX152">
        <v>0</v>
      </c>
      <c r="AY152">
        <v>0</v>
      </c>
      <c r="AZ152" s="141">
        <f t="shared" si="141"/>
        <v>1</v>
      </c>
      <c r="BA152" s="141">
        <f t="shared" si="142"/>
        <v>1</v>
      </c>
      <c r="BB152">
        <f t="shared" si="143"/>
        <v>0</v>
      </c>
      <c r="BC152">
        <f t="shared" si="144"/>
        <v>0</v>
      </c>
      <c r="BD152">
        <f t="shared" si="145"/>
        <v>1</v>
      </c>
      <c r="BE152">
        <f t="shared" si="146"/>
        <v>0</v>
      </c>
      <c r="BF152">
        <f t="shared" si="147"/>
        <v>0</v>
      </c>
      <c r="BG152" t="str" cm="1">
        <f t="array" ref="BG152">IF(BA152=1,INDEX($X$7:$AN$7,MATCH(TRUE,INDEX($X152:$AY152&lt;&gt;0,),0)),IF(BA152=0,INDEX($AO$7:$AY$7,MATCH(1,$AO152:$AY152,0)),IF(BH152="Multiple strategies","mixed drivers",IF(BH152="Supply chain","multiple supply","multiple silviculture"))))</f>
        <v>efficiency improvement</v>
      </c>
      <c r="BH152" s="2" t="str" cm="1">
        <f t="array" ref="BH152">IF(COUNTIF(BB152:BD152,"&lt;&gt;0")=1,INDEX($X$4:$AY$4,MATCH(TRUE,INDEX($X152:$AY152&lt;&gt;0,),0)),IF(COUNTIF(BB152:BD152,"&lt;&gt;0")=0,INDEX($AO$4:$AY$4,MATCH(1,$AO152:$AY152,0)),"Multiple strategies"))</f>
        <v>Technology</v>
      </c>
      <c r="BR152" s="297" t="s">
        <v>232</v>
      </c>
      <c r="BS152" s="331"/>
      <c r="BT152" t="s">
        <v>526</v>
      </c>
      <c r="BU152">
        <v>-133870</v>
      </c>
      <c r="BV152">
        <v>-341940</v>
      </c>
      <c r="BW152" s="144">
        <v>2.5542690670053037</v>
      </c>
      <c r="BX152">
        <v>-208070</v>
      </c>
      <c r="BZ152">
        <f>BX152</f>
        <v>-208070</v>
      </c>
      <c r="CA152" t="str">
        <f t="shared" si="95"/>
        <v/>
      </c>
      <c r="CB152" s="143">
        <v>0</v>
      </c>
      <c r="CC152" s="143">
        <v>0</v>
      </c>
      <c r="CD152" s="143">
        <v>0</v>
      </c>
      <c r="CE152" s="143">
        <v>0</v>
      </c>
      <c r="CF152" s="143">
        <v>0</v>
      </c>
      <c r="CG152" s="143">
        <v>0</v>
      </c>
      <c r="CH152" s="143">
        <v>0</v>
      </c>
      <c r="CI152" s="143">
        <v>0</v>
      </c>
      <c r="CJ152" s="143">
        <v>0</v>
      </c>
      <c r="CK152" s="143">
        <v>0</v>
      </c>
      <c r="CL152" s="143">
        <v>0</v>
      </c>
      <c r="CM152" s="143">
        <v>0</v>
      </c>
      <c r="CN152" s="143">
        <v>0</v>
      </c>
      <c r="CO152">
        <v>1</v>
      </c>
      <c r="CP152" t="str">
        <f t="shared" si="151"/>
        <v>refOK</v>
      </c>
      <c r="CQ152"/>
      <c r="CR152"/>
      <c r="CS152"/>
      <c r="CT152">
        <f t="shared" si="96"/>
        <v>0</v>
      </c>
      <c r="CU152">
        <f t="shared" si="152"/>
        <v>-133870</v>
      </c>
      <c r="CV152">
        <f t="shared" si="153"/>
        <v>-341940</v>
      </c>
      <c r="CW152">
        <f t="shared" si="154"/>
        <v>-208070</v>
      </c>
      <c r="CX152" t="str">
        <f t="shared" si="97"/>
        <v/>
      </c>
      <c r="CY152" t="str">
        <f t="shared" si="155"/>
        <v/>
      </c>
      <c r="CZ152" t="str">
        <f t="shared" si="98"/>
        <v/>
      </c>
      <c r="DA152" s="2">
        <f t="shared" si="156"/>
        <v>-1.5542690670053037</v>
      </c>
      <c r="DB152" s="1" t="s">
        <v>347</v>
      </c>
      <c r="DC152" s="297" t="str">
        <f t="shared" si="157"/>
        <v>loc</v>
      </c>
      <c r="DD152" t="s">
        <v>527</v>
      </c>
      <c r="DG152">
        <v>0</v>
      </c>
      <c r="DH152" t="str">
        <f t="shared" si="159"/>
        <v>0</v>
      </c>
      <c r="DI152">
        <v>0</v>
      </c>
      <c r="DJ152">
        <v>1</v>
      </c>
      <c r="DK152">
        <v>0</v>
      </c>
      <c r="DL152">
        <v>0</v>
      </c>
      <c r="DN152">
        <f t="shared" si="160"/>
        <v>1</v>
      </c>
      <c r="DO152" t="str">
        <f t="shared" si="161"/>
        <v>EnergyInput</v>
      </c>
      <c r="DP152">
        <f t="shared" si="162"/>
        <v>0</v>
      </c>
      <c r="DQ152" t="str">
        <f t="shared" si="163"/>
        <v>Energy</v>
      </c>
      <c r="DR152">
        <f t="shared" si="164"/>
        <v>0</v>
      </c>
      <c r="DS152">
        <f t="shared" si="165"/>
        <v>0</v>
      </c>
      <c r="DT152">
        <v>0</v>
      </c>
      <c r="DU152" s="143">
        <v>0</v>
      </c>
      <c r="DV152" s="143">
        <v>0</v>
      </c>
      <c r="DW152" s="143">
        <v>0</v>
      </c>
      <c r="DX152">
        <v>0</v>
      </c>
      <c r="DY152">
        <f t="shared" si="166"/>
        <v>0</v>
      </c>
      <c r="DZ152" s="143" t="str">
        <f t="shared" si="167"/>
        <v>explicit C balance</v>
      </c>
      <c r="EA152">
        <v>0</v>
      </c>
      <c r="EB152" s="143">
        <v>1</v>
      </c>
      <c r="EC152" s="143">
        <v>0</v>
      </c>
      <c r="ED152" s="143">
        <v>0</v>
      </c>
      <c r="EE152">
        <v>1</v>
      </c>
      <c r="EF152" s="143">
        <v>0</v>
      </c>
      <c r="EG152">
        <v>1</v>
      </c>
      <c r="EH152" s="143">
        <v>1</v>
      </c>
      <c r="EI152" s="143">
        <v>0</v>
      </c>
      <c r="EJ152">
        <v>0</v>
      </c>
      <c r="EK152">
        <v>0</v>
      </c>
      <c r="EL152" s="143">
        <v>0</v>
      </c>
      <c r="EM152" s="143">
        <v>0</v>
      </c>
      <c r="EN152" s="2">
        <v>0</v>
      </c>
      <c r="EP152" t="str">
        <f t="shared" si="99"/>
        <v/>
      </c>
      <c r="EQ152" t="str">
        <f t="shared" si="140"/>
        <v/>
      </c>
      <c r="ER152" s="2" t="str">
        <f t="shared" si="101"/>
        <v/>
      </c>
      <c r="ES152" t="str">
        <f t="shared" si="102"/>
        <v/>
      </c>
      <c r="ET152" t="str">
        <f t="shared" si="103"/>
        <v/>
      </c>
      <c r="EU152" t="str">
        <f t="shared" si="104"/>
        <v/>
      </c>
      <c r="EY152" t="b">
        <f>IF(ISNUMBER(BW152),IF(ABS(BW152-[1]QC_indicators!$B$2)&gt;3*[1]QC_indicators!$C$2,"C ratio",IF(ISNUMBER(CA152),IF(ABS(CA152-[1]QC_indicators!$B$1)&gt;3*[1]QC_indicators!$C$1,"DF","no"))),IF(ISNUMBER(CA152),IF(ABS(CA152-[1]QC_indicators!$B$1)&gt;3*[1]QC_indicators!$C$1,"DF","no")))</f>
        <v>0</v>
      </c>
      <c r="FA152" t="str">
        <f t="shared" si="105"/>
        <v/>
      </c>
      <c r="FB152" s="299" t="s">
        <v>349</v>
      </c>
    </row>
    <row r="153" spans="1:159" ht="15" hidden="1" customHeight="1">
      <c r="A153" s="1" t="s">
        <v>3176</v>
      </c>
      <c r="B153" t="s">
        <v>3177</v>
      </c>
      <c r="C153" t="s">
        <v>3178</v>
      </c>
      <c r="D153" t="s">
        <v>3179</v>
      </c>
      <c r="E153" t="s">
        <v>3180</v>
      </c>
      <c r="F153" t="s">
        <v>3181</v>
      </c>
      <c r="G153" t="s">
        <v>3182</v>
      </c>
      <c r="H153" t="s">
        <v>254</v>
      </c>
      <c r="I153">
        <v>2016</v>
      </c>
      <c r="J153">
        <v>60</v>
      </c>
      <c r="K153" t="s">
        <v>3183</v>
      </c>
      <c r="M153" t="str">
        <f t="shared" si="139"/>
        <v>Cambero_2016</v>
      </c>
      <c r="N153" s="297" t="s">
        <v>4058</v>
      </c>
      <c r="O153" s="145" t="s">
        <v>223</v>
      </c>
      <c r="Q153" s="297" t="s">
        <v>256</v>
      </c>
      <c r="R153" s="298"/>
      <c r="S153" s="1" t="s">
        <v>3184</v>
      </c>
      <c r="T153" s="297" t="s">
        <v>3185</v>
      </c>
      <c r="U153" s="297" t="s">
        <v>3186</v>
      </c>
      <c r="V153" s="297"/>
      <c r="W153" s="297"/>
      <c r="X153">
        <v>0</v>
      </c>
      <c r="Y153">
        <v>0</v>
      </c>
      <c r="Z153">
        <v>0</v>
      </c>
      <c r="AA153">
        <v>0</v>
      </c>
      <c r="AB153">
        <v>0</v>
      </c>
      <c r="AC153">
        <v>0</v>
      </c>
      <c r="AD153">
        <v>0</v>
      </c>
      <c r="AE153">
        <v>0</v>
      </c>
      <c r="AF153">
        <v>0</v>
      </c>
      <c r="AG153">
        <v>0</v>
      </c>
      <c r="AH153">
        <v>0</v>
      </c>
      <c r="AI153">
        <v>0</v>
      </c>
      <c r="AJ153">
        <v>0</v>
      </c>
      <c r="AK153">
        <v>0</v>
      </c>
      <c r="AL153">
        <v>1</v>
      </c>
      <c r="AM153">
        <v>0</v>
      </c>
      <c r="AN153">
        <v>0</v>
      </c>
      <c r="AO153">
        <v>0</v>
      </c>
      <c r="AP153">
        <v>0</v>
      </c>
      <c r="AQ153">
        <v>0</v>
      </c>
      <c r="AR153">
        <v>0</v>
      </c>
      <c r="AS153">
        <v>0</v>
      </c>
      <c r="AT153">
        <v>0</v>
      </c>
      <c r="AU153">
        <v>0</v>
      </c>
      <c r="AV153">
        <v>0</v>
      </c>
      <c r="AW153">
        <v>0</v>
      </c>
      <c r="AX153">
        <v>0</v>
      </c>
      <c r="AY153">
        <v>0</v>
      </c>
      <c r="AZ153" s="141">
        <f t="shared" si="141"/>
        <v>1</v>
      </c>
      <c r="BA153" s="141">
        <f t="shared" si="142"/>
        <v>1</v>
      </c>
      <c r="BB153">
        <f t="shared" si="143"/>
        <v>0</v>
      </c>
      <c r="BC153">
        <f t="shared" si="144"/>
        <v>0</v>
      </c>
      <c r="BD153">
        <f t="shared" si="145"/>
        <v>1</v>
      </c>
      <c r="BE153">
        <f t="shared" si="146"/>
        <v>0</v>
      </c>
      <c r="BF153">
        <f t="shared" si="147"/>
        <v>0</v>
      </c>
      <c r="BG153" t="str" cm="1">
        <f t="array" ref="BG153">IF(BA153=1,INDEX($X$7:$AN$7,MATCH(TRUE,INDEX($X153:$AY153&lt;&gt;0,),0)),IF(BA153=0,INDEX($AO$7:$AY$7,MATCH(1,$AO153:$AY153,0)),IF(BH153="Multiple strategies","mixed drivers",IF(BH153="Supply chain","multiple supply","multiple silviculture"))))</f>
        <v>efficiency improvement</v>
      </c>
      <c r="BH153" s="2" t="str" cm="1">
        <f t="array" ref="BH153">IF(COUNTIF(BB153:BD153,"&lt;&gt;0")=1,INDEX($X$4:$AY$4,MATCH(TRUE,INDEX($X153:$AY153&lt;&gt;0,),0)),IF(COUNTIF(BB153:BD153,"&lt;&gt;0")=0,INDEX($AO$4:$AY$4,MATCH(1,$AO153:$AY153,0)),"Multiple strategies"))</f>
        <v>Technology</v>
      </c>
      <c r="BR153" s="297" t="s">
        <v>232</v>
      </c>
      <c r="BS153" s="331"/>
      <c r="BT153" t="s">
        <v>526</v>
      </c>
      <c r="BU153">
        <v>-133870</v>
      </c>
      <c r="BV153">
        <v>-338710</v>
      </c>
      <c r="BW153" s="144">
        <v>2.5301411817434825</v>
      </c>
      <c r="BX153">
        <v>-204840</v>
      </c>
      <c r="BZ153">
        <f>BX153</f>
        <v>-204840</v>
      </c>
      <c r="CA153" t="str">
        <f t="shared" si="95"/>
        <v/>
      </c>
      <c r="CB153" s="143">
        <v>0</v>
      </c>
      <c r="CC153" s="143">
        <v>0</v>
      </c>
      <c r="CD153" s="143">
        <v>0</v>
      </c>
      <c r="CE153" s="143">
        <v>0</v>
      </c>
      <c r="CF153" s="143">
        <v>0</v>
      </c>
      <c r="CG153" s="143">
        <v>0</v>
      </c>
      <c r="CH153" s="143">
        <v>0</v>
      </c>
      <c r="CI153" s="143">
        <v>0</v>
      </c>
      <c r="CJ153" s="143">
        <v>0</v>
      </c>
      <c r="CK153" s="143">
        <v>0</v>
      </c>
      <c r="CL153" s="143">
        <v>0</v>
      </c>
      <c r="CM153" s="143">
        <v>0</v>
      </c>
      <c r="CN153" s="143">
        <v>0</v>
      </c>
      <c r="CO153">
        <v>1</v>
      </c>
      <c r="CP153" t="str">
        <f t="shared" si="151"/>
        <v>refOK</v>
      </c>
      <c r="CQ153"/>
      <c r="CR153"/>
      <c r="CS153"/>
      <c r="CT153">
        <f t="shared" si="96"/>
        <v>0</v>
      </c>
      <c r="CU153">
        <f t="shared" si="152"/>
        <v>-133870</v>
      </c>
      <c r="CV153">
        <f t="shared" si="153"/>
        <v>-338710</v>
      </c>
      <c r="CW153">
        <f t="shared" si="154"/>
        <v>-204840</v>
      </c>
      <c r="CX153" t="str">
        <f t="shared" si="97"/>
        <v/>
      </c>
      <c r="CY153" t="str">
        <f t="shared" si="155"/>
        <v/>
      </c>
      <c r="CZ153" t="str">
        <f t="shared" si="98"/>
        <v/>
      </c>
      <c r="DA153" s="2">
        <f t="shared" si="156"/>
        <v>-1.5301411817434825</v>
      </c>
      <c r="DB153" s="1" t="s">
        <v>347</v>
      </c>
      <c r="DC153" s="297" t="str">
        <f t="shared" si="157"/>
        <v>loc</v>
      </c>
      <c r="DD153" t="s">
        <v>527</v>
      </c>
      <c r="DG153">
        <v>0</v>
      </c>
      <c r="DH153" t="str">
        <f t="shared" si="159"/>
        <v>0</v>
      </c>
      <c r="DI153">
        <v>0</v>
      </c>
      <c r="DJ153">
        <v>1</v>
      </c>
      <c r="DK153">
        <v>0</v>
      </c>
      <c r="DL153">
        <v>0</v>
      </c>
      <c r="DN153">
        <f t="shared" si="160"/>
        <v>1</v>
      </c>
      <c r="DO153" t="str">
        <f t="shared" si="161"/>
        <v>EnergyInput</v>
      </c>
      <c r="DP153">
        <f t="shared" si="162"/>
        <v>0</v>
      </c>
      <c r="DQ153" t="str">
        <f t="shared" si="163"/>
        <v>Energy</v>
      </c>
      <c r="DR153">
        <f t="shared" si="164"/>
        <v>0</v>
      </c>
      <c r="DS153">
        <f t="shared" si="165"/>
        <v>0</v>
      </c>
      <c r="DT153">
        <v>0</v>
      </c>
      <c r="DU153" s="143">
        <v>0</v>
      </c>
      <c r="DV153" s="143">
        <v>0</v>
      </c>
      <c r="DW153" s="143">
        <v>0</v>
      </c>
      <c r="DX153">
        <v>0</v>
      </c>
      <c r="DY153">
        <f t="shared" si="166"/>
        <v>0</v>
      </c>
      <c r="DZ153" s="143" t="str">
        <f t="shared" si="167"/>
        <v>explicit C balance</v>
      </c>
      <c r="EA153">
        <v>0</v>
      </c>
      <c r="EB153" s="143">
        <v>1</v>
      </c>
      <c r="EC153" s="143">
        <v>0</v>
      </c>
      <c r="ED153" s="143">
        <v>0</v>
      </c>
      <c r="EE153">
        <v>1</v>
      </c>
      <c r="EF153" s="143">
        <v>0</v>
      </c>
      <c r="EG153">
        <v>1</v>
      </c>
      <c r="EH153" s="143">
        <v>1</v>
      </c>
      <c r="EI153" s="143">
        <v>0</v>
      </c>
      <c r="EJ153">
        <v>0</v>
      </c>
      <c r="EK153">
        <v>0</v>
      </c>
      <c r="EL153" s="143">
        <v>0</v>
      </c>
      <c r="EM153" s="143">
        <v>0</v>
      </c>
      <c r="EN153" s="2">
        <v>0</v>
      </c>
      <c r="EP153" t="str">
        <f t="shared" si="99"/>
        <v/>
      </c>
      <c r="EQ153" t="str">
        <f t="shared" si="140"/>
        <v/>
      </c>
      <c r="ER153" s="2" t="str">
        <f t="shared" si="101"/>
        <v/>
      </c>
      <c r="ES153" t="str">
        <f t="shared" si="102"/>
        <v/>
      </c>
      <c r="ET153" t="str">
        <f t="shared" si="103"/>
        <v/>
      </c>
      <c r="EU153" t="str">
        <f t="shared" si="104"/>
        <v/>
      </c>
      <c r="EY153" t="b">
        <f>IF(ISNUMBER(BW153),IF(ABS(BW153-[1]QC_indicators!$B$2)&gt;3*[1]QC_indicators!$C$2,"C ratio",IF(ISNUMBER(CA153),IF(ABS(CA153-[1]QC_indicators!$B$1)&gt;3*[1]QC_indicators!$C$1,"DF","no"))),IF(ISNUMBER(CA153),IF(ABS(CA153-[1]QC_indicators!$B$1)&gt;3*[1]QC_indicators!$C$1,"DF","no")))</f>
        <v>0</v>
      </c>
      <c r="FA153" t="str">
        <f t="shared" si="105"/>
        <v/>
      </c>
      <c r="FB153" s="299" t="s">
        <v>349</v>
      </c>
    </row>
    <row r="154" spans="1:159" ht="15" hidden="1" customHeight="1">
      <c r="A154" s="1" t="s">
        <v>1226</v>
      </c>
      <c r="B154" t="s">
        <v>531</v>
      </c>
      <c r="C154" t="s">
        <v>3188</v>
      </c>
      <c r="D154" t="s">
        <v>3189</v>
      </c>
      <c r="E154" t="s">
        <v>3190</v>
      </c>
      <c r="F154" t="s">
        <v>3191</v>
      </c>
      <c r="G154" t="s">
        <v>1227</v>
      </c>
      <c r="H154" t="s">
        <v>254</v>
      </c>
      <c r="I154">
        <v>2018</v>
      </c>
      <c r="J154">
        <v>26</v>
      </c>
      <c r="K154" t="s">
        <v>3192</v>
      </c>
      <c r="L154" t="s">
        <v>388</v>
      </c>
      <c r="M154" t="str">
        <f t="shared" si="139"/>
        <v>Chen_2018a</v>
      </c>
      <c r="N154" s="297" t="s">
        <v>4058</v>
      </c>
      <c r="O154" s="145" t="s">
        <v>223</v>
      </c>
      <c r="Q154" s="297" t="s">
        <v>256</v>
      </c>
      <c r="R154" s="298"/>
      <c r="S154" s="1" t="s">
        <v>3193</v>
      </c>
      <c r="T154" t="s">
        <v>3194</v>
      </c>
      <c r="U154" t="s">
        <v>1003</v>
      </c>
      <c r="X154">
        <v>0</v>
      </c>
      <c r="Y154">
        <v>0</v>
      </c>
      <c r="Z154">
        <v>0</v>
      </c>
      <c r="AA154">
        <v>0</v>
      </c>
      <c r="AB154">
        <v>0</v>
      </c>
      <c r="AC154">
        <v>0</v>
      </c>
      <c r="AD154">
        <v>0</v>
      </c>
      <c r="AE154">
        <v>0</v>
      </c>
      <c r="AF154">
        <v>0</v>
      </c>
      <c r="AG154">
        <v>0</v>
      </c>
      <c r="AH154">
        <v>1</v>
      </c>
      <c r="AI154">
        <v>0</v>
      </c>
      <c r="AJ154">
        <v>0</v>
      </c>
      <c r="AK154">
        <v>0</v>
      </c>
      <c r="AL154">
        <v>0</v>
      </c>
      <c r="AM154">
        <v>0</v>
      </c>
      <c r="AN154">
        <v>0</v>
      </c>
      <c r="AO154">
        <v>0</v>
      </c>
      <c r="AP154">
        <v>0</v>
      </c>
      <c r="AQ154">
        <v>0</v>
      </c>
      <c r="AR154">
        <v>0</v>
      </c>
      <c r="AS154">
        <v>0</v>
      </c>
      <c r="AT154">
        <v>0</v>
      </c>
      <c r="AU154">
        <v>0</v>
      </c>
      <c r="AV154">
        <v>0</v>
      </c>
      <c r="AW154">
        <v>0</v>
      </c>
      <c r="AX154">
        <v>0</v>
      </c>
      <c r="AY154">
        <v>0</v>
      </c>
      <c r="AZ154" s="141">
        <f t="shared" si="141"/>
        <v>1</v>
      </c>
      <c r="BA154" s="141">
        <f t="shared" si="142"/>
        <v>1</v>
      </c>
      <c r="BB154">
        <f t="shared" si="143"/>
        <v>0</v>
      </c>
      <c r="BC154">
        <f t="shared" si="144"/>
        <v>1</v>
      </c>
      <c r="BD154">
        <f t="shared" si="145"/>
        <v>0</v>
      </c>
      <c r="BE154">
        <f t="shared" si="146"/>
        <v>0</v>
      </c>
      <c r="BF154">
        <f t="shared" si="147"/>
        <v>0</v>
      </c>
      <c r="BG154" t="str" cm="1">
        <f t="array" ref="BG154">IF(BA154=1,INDEX($X$7:$AN$7,MATCH(TRUE,INDEX($X154:$AY154&lt;&gt;0,),0)),IF(BA154=0,INDEX($AO$7:$AY$7,MATCH(1,$AO154:$AY154,0)),IF(BH154="Multiple strategies","mixed drivers",IF(BH154="Supply chain","multiple supply","multiple silviculture"))))</f>
        <v>supply chain organization</v>
      </c>
      <c r="BH154" s="2" t="str" cm="1">
        <f t="array" ref="BH154">IF(COUNTIF(BB154:BD154,"&lt;&gt;0")=1,INDEX($X$4:$AY$4,MATCH(TRUE,INDEX($X154:$AY154&lt;&gt;0,),0)),IF(COUNTIF(BB154:BD154,"&lt;&gt;0")=0,INDEX($AO$4:$AY$4,MATCH(1,$AO154:$AY154,0)),"Multiple strategies"))</f>
        <v>Supply chain</v>
      </c>
      <c r="BI154" s="1" t="s">
        <v>321</v>
      </c>
      <c r="BJ154" t="s">
        <v>3195</v>
      </c>
      <c r="BL154" t="s">
        <v>1228</v>
      </c>
      <c r="BM154">
        <v>118</v>
      </c>
      <c r="BN154">
        <v>118</v>
      </c>
      <c r="BP154">
        <f t="shared" ref="BP154:BP160" si="168">BN154-BM154</f>
        <v>0</v>
      </c>
      <c r="BQ154">
        <f>BP154*10^6</f>
        <v>0</v>
      </c>
      <c r="BR154" s="297" t="s">
        <v>232</v>
      </c>
      <c r="BS154" s="331"/>
      <c r="BT154" t="s">
        <v>3196</v>
      </c>
      <c r="BU154">
        <v>-66</v>
      </c>
      <c r="BV154">
        <v>21.4</v>
      </c>
      <c r="BW154">
        <v>-0.32424242424242422</v>
      </c>
      <c r="BX154">
        <v>87.4</v>
      </c>
      <c r="BZ154">
        <f>BX154*10^6</f>
        <v>87400000</v>
      </c>
      <c r="CA154" t="str">
        <f t="shared" si="95"/>
        <v/>
      </c>
      <c r="CB154">
        <v>0</v>
      </c>
      <c r="CC154">
        <v>0</v>
      </c>
      <c r="CD154">
        <v>0</v>
      </c>
      <c r="CE154">
        <v>0</v>
      </c>
      <c r="CF154">
        <v>0</v>
      </c>
      <c r="CG154">
        <v>0</v>
      </c>
      <c r="CH154">
        <v>0</v>
      </c>
      <c r="CI154">
        <v>0</v>
      </c>
      <c r="CJ154">
        <v>0</v>
      </c>
      <c r="CK154">
        <v>0</v>
      </c>
      <c r="CL154">
        <v>0</v>
      </c>
      <c r="CM154">
        <v>0</v>
      </c>
      <c r="CN154">
        <v>0</v>
      </c>
      <c r="CO154">
        <v>0</v>
      </c>
      <c r="CP154" t="str">
        <f t="shared" ref="CP154:CP160" si="169">IF($BN154&lt;$BM154,"refNeedCorrection","refOK")</f>
        <v>refOK</v>
      </c>
      <c r="CQ154">
        <f>IF($CP154="refOK",$BM154,$BN154)</f>
        <v>118</v>
      </c>
      <c r="CR154">
        <f>IF($CP154="refOK",$BN154,$BM154)</f>
        <v>118</v>
      </c>
      <c r="CS154">
        <f t="shared" ref="CS154:CS160" si="170">IF($CP154="refOK",$BQ154,-$BQ154)</f>
        <v>0</v>
      </c>
      <c r="CT154">
        <f t="shared" si="96"/>
        <v>0</v>
      </c>
      <c r="CU154">
        <f t="shared" si="152"/>
        <v>-66</v>
      </c>
      <c r="CV154">
        <f t="shared" si="153"/>
        <v>21.4</v>
      </c>
      <c r="CW154">
        <f t="shared" si="154"/>
        <v>87400000</v>
      </c>
      <c r="CX154" t="str">
        <f t="shared" si="97"/>
        <v/>
      </c>
      <c r="CY154" t="str">
        <f t="shared" si="155"/>
        <v/>
      </c>
      <c r="CZ154" t="str">
        <f t="shared" si="98"/>
        <v/>
      </c>
      <c r="DA154" s="2">
        <f t="shared" si="156"/>
        <v>1.3242424242424242</v>
      </c>
      <c r="DB154" s="1" t="s">
        <v>1074</v>
      </c>
      <c r="DC154" s="297" t="str">
        <f t="shared" si="157"/>
        <v>reg</v>
      </c>
      <c r="DD154" t="s">
        <v>527</v>
      </c>
      <c r="DG154">
        <v>100</v>
      </c>
      <c r="DH154" t="str">
        <f t="shared" si="159"/>
        <v>71-100</v>
      </c>
      <c r="DI154">
        <v>0</v>
      </c>
      <c r="DJ154">
        <v>1</v>
      </c>
      <c r="DK154">
        <v>1</v>
      </c>
      <c r="DL154">
        <v>1</v>
      </c>
      <c r="DN154">
        <f t="shared" si="160"/>
        <v>3</v>
      </c>
      <c r="DO154" t="str">
        <f t="shared" si="161"/>
        <v>mixedProduct</v>
      </c>
      <c r="DP154">
        <f t="shared" si="162"/>
        <v>0</v>
      </c>
      <c r="DQ154" t="str">
        <f t="shared" si="163"/>
        <v>Energy</v>
      </c>
      <c r="DR154" t="str">
        <f t="shared" si="164"/>
        <v>Pulp/Paper</v>
      </c>
      <c r="DS154" t="str">
        <f t="shared" si="165"/>
        <v>Timber</v>
      </c>
      <c r="DT154">
        <v>1</v>
      </c>
      <c r="DU154">
        <v>0</v>
      </c>
      <c r="DV154">
        <v>0</v>
      </c>
      <c r="DW154">
        <v>0</v>
      </c>
      <c r="DX154">
        <v>0</v>
      </c>
      <c r="DY154">
        <f t="shared" si="166"/>
        <v>1</v>
      </c>
      <c r="DZ154" s="143" t="str">
        <f t="shared" si="167"/>
        <v>self-calculated DF</v>
      </c>
      <c r="EA154">
        <v>1</v>
      </c>
      <c r="EB154">
        <v>1</v>
      </c>
      <c r="EC154">
        <v>1</v>
      </c>
      <c r="ED154">
        <v>1</v>
      </c>
      <c r="EE154">
        <v>1</v>
      </c>
      <c r="EF154">
        <v>1</v>
      </c>
      <c r="EG154">
        <v>1</v>
      </c>
      <c r="EH154">
        <v>1</v>
      </c>
      <c r="EI154">
        <v>1</v>
      </c>
      <c r="EJ154">
        <v>0</v>
      </c>
      <c r="EK154">
        <v>1</v>
      </c>
      <c r="EL154">
        <v>0</v>
      </c>
      <c r="EM154">
        <v>0</v>
      </c>
      <c r="EN154" s="2">
        <v>0</v>
      </c>
      <c r="EP154" t="str">
        <f t="shared" si="99"/>
        <v>Whole sector approach</v>
      </c>
      <c r="EQ154" t="str">
        <f t="shared" si="140"/>
        <v/>
      </c>
      <c r="ER154" s="2" t="str">
        <f t="shared" si="101"/>
        <v/>
      </c>
      <c r="ES154" t="str">
        <f t="shared" si="102"/>
        <v/>
      </c>
      <c r="ET154" t="str">
        <f t="shared" si="103"/>
        <v/>
      </c>
      <c r="EU154" t="str">
        <f t="shared" si="104"/>
        <v/>
      </c>
      <c r="EV154" s="328" t="s">
        <v>5064</v>
      </c>
      <c r="EY154" t="b">
        <f>IF(ISNUMBER(BW154),IF(ABS(BW154-[1]QC_indicators!$B$2)&gt;3*[1]QC_indicators!$C$2,"C ratio",IF(ISNUMBER(CA154),IF(ABS(CA154-[1]QC_indicators!$B$1)&gt;3*[1]QC_indicators!$C$1,"DF","no"))),IF(ISNUMBER(CA154),IF(ABS(CA154-[1]QC_indicators!$B$1)&gt;3*[1]QC_indicators!$C$1,"DF","no")))</f>
        <v>0</v>
      </c>
      <c r="FA154" t="str">
        <f t="shared" si="105"/>
        <v/>
      </c>
      <c r="FB154" s="299" t="s">
        <v>349</v>
      </c>
    </row>
    <row r="155" spans="1:159" ht="15" hidden="1" customHeight="1">
      <c r="A155" s="1" t="s">
        <v>1226</v>
      </c>
      <c r="B155" t="s">
        <v>531</v>
      </c>
      <c r="C155" t="s">
        <v>3188</v>
      </c>
      <c r="D155" t="s">
        <v>3189</v>
      </c>
      <c r="E155" t="s">
        <v>3190</v>
      </c>
      <c r="F155" t="s">
        <v>3191</v>
      </c>
      <c r="G155" t="s">
        <v>1227</v>
      </c>
      <c r="H155" t="s">
        <v>254</v>
      </c>
      <c r="I155">
        <v>2018</v>
      </c>
      <c r="J155">
        <v>26</v>
      </c>
      <c r="K155" t="s">
        <v>3192</v>
      </c>
      <c r="L155" t="s">
        <v>388</v>
      </c>
      <c r="M155" t="str">
        <f t="shared" si="139"/>
        <v>Chen_2018a</v>
      </c>
      <c r="N155" s="297" t="s">
        <v>4058</v>
      </c>
      <c r="O155" s="145" t="s">
        <v>223</v>
      </c>
      <c r="Q155" s="297" t="s">
        <v>256</v>
      </c>
      <c r="R155" s="298"/>
      <c r="S155" s="1" t="s">
        <v>3193</v>
      </c>
      <c r="T155" t="s">
        <v>3194</v>
      </c>
      <c r="U155" t="s">
        <v>3197</v>
      </c>
      <c r="X155">
        <v>0</v>
      </c>
      <c r="Y155">
        <v>0</v>
      </c>
      <c r="Z155">
        <v>0</v>
      </c>
      <c r="AA155">
        <v>0</v>
      </c>
      <c r="AB155">
        <v>0</v>
      </c>
      <c r="AC155">
        <v>0</v>
      </c>
      <c r="AD155">
        <v>0</v>
      </c>
      <c r="AE155">
        <v>0</v>
      </c>
      <c r="AF155">
        <v>0</v>
      </c>
      <c r="AG155">
        <v>0</v>
      </c>
      <c r="AH155">
        <v>1</v>
      </c>
      <c r="AI155">
        <v>0</v>
      </c>
      <c r="AJ155">
        <v>0</v>
      </c>
      <c r="AK155">
        <v>0</v>
      </c>
      <c r="AL155">
        <v>0</v>
      </c>
      <c r="AM155">
        <v>0</v>
      </c>
      <c r="AN155">
        <v>0</v>
      </c>
      <c r="AO155">
        <v>0</v>
      </c>
      <c r="AP155">
        <v>0</v>
      </c>
      <c r="AQ155">
        <v>0</v>
      </c>
      <c r="AR155">
        <v>0</v>
      </c>
      <c r="AS155">
        <v>0</v>
      </c>
      <c r="AT155">
        <v>0</v>
      </c>
      <c r="AU155">
        <v>0</v>
      </c>
      <c r="AV155">
        <v>0</v>
      </c>
      <c r="AW155">
        <v>0</v>
      </c>
      <c r="AX155">
        <v>0</v>
      </c>
      <c r="AY155">
        <v>0</v>
      </c>
      <c r="AZ155" s="141">
        <f t="shared" si="141"/>
        <v>1</v>
      </c>
      <c r="BA155" s="141">
        <f t="shared" si="142"/>
        <v>1</v>
      </c>
      <c r="BB155">
        <f t="shared" si="143"/>
        <v>0</v>
      </c>
      <c r="BC155">
        <f t="shared" si="144"/>
        <v>1</v>
      </c>
      <c r="BD155">
        <f t="shared" si="145"/>
        <v>0</v>
      </c>
      <c r="BE155">
        <f t="shared" si="146"/>
        <v>0</v>
      </c>
      <c r="BF155">
        <f t="shared" si="147"/>
        <v>0</v>
      </c>
      <c r="BG155" t="str" cm="1">
        <f t="array" ref="BG155">IF(BA155=1,INDEX($X$7:$AN$7,MATCH(TRUE,INDEX($X155:$AY155&lt;&gt;0,),0)),IF(BA155=0,INDEX($AO$7:$AY$7,MATCH(1,$AO155:$AY155,0)),IF(BH155="Multiple strategies","mixed drivers",IF(BH155="Supply chain","multiple supply","multiple silviculture"))))</f>
        <v>supply chain organization</v>
      </c>
      <c r="BH155" s="2" t="str" cm="1">
        <f t="array" ref="BH155">IF(COUNTIF(BB155:BD155,"&lt;&gt;0")=1,INDEX($X$4:$AY$4,MATCH(TRUE,INDEX($X155:$AY155&lt;&gt;0,),0)),IF(COUNTIF(BB155:BD155,"&lt;&gt;0")=0,INDEX($AO$4:$AY$4,MATCH(1,$AO155:$AY155,0)),"Multiple strategies"))</f>
        <v>Supply chain</v>
      </c>
      <c r="BI155" s="1" t="s">
        <v>321</v>
      </c>
      <c r="BJ155" t="s">
        <v>3195</v>
      </c>
      <c r="BL155" t="s">
        <v>1228</v>
      </c>
      <c r="BM155">
        <v>118</v>
      </c>
      <c r="BN155">
        <v>118</v>
      </c>
      <c r="BP155">
        <f t="shared" si="168"/>
        <v>0</v>
      </c>
      <c r="BQ155">
        <f>BP155*10^6</f>
        <v>0</v>
      </c>
      <c r="BR155" s="297" t="s">
        <v>232</v>
      </c>
      <c r="BS155" s="331"/>
      <c r="BT155" t="s">
        <v>3196</v>
      </c>
      <c r="BU155">
        <v>-66</v>
      </c>
      <c r="BV155">
        <v>66.2</v>
      </c>
      <c r="BW155">
        <v>-1.0030303030303032</v>
      </c>
      <c r="BX155">
        <v>132.19999999999999</v>
      </c>
      <c r="BZ155">
        <f>BX155*10^6</f>
        <v>132199999.99999999</v>
      </c>
      <c r="CA155" t="str">
        <f t="shared" si="95"/>
        <v/>
      </c>
      <c r="CB155">
        <v>0</v>
      </c>
      <c r="CC155">
        <v>0</v>
      </c>
      <c r="CD155">
        <v>0</v>
      </c>
      <c r="CE155">
        <v>0</v>
      </c>
      <c r="CF155">
        <v>0</v>
      </c>
      <c r="CG155">
        <v>0</v>
      </c>
      <c r="CH155">
        <v>0</v>
      </c>
      <c r="CI155">
        <v>0</v>
      </c>
      <c r="CJ155">
        <v>0</v>
      </c>
      <c r="CK155">
        <v>0</v>
      </c>
      <c r="CL155">
        <v>0</v>
      </c>
      <c r="CM155">
        <v>0</v>
      </c>
      <c r="CN155">
        <v>0</v>
      </c>
      <c r="CO155">
        <v>0</v>
      </c>
      <c r="CP155" t="str">
        <f t="shared" si="169"/>
        <v>refOK</v>
      </c>
      <c r="CQ155">
        <f>IF($CP155="refOK",$BM155,$BN155)</f>
        <v>118</v>
      </c>
      <c r="CR155">
        <f>IF($CP155="refOK",$BN155,$BM155)</f>
        <v>118</v>
      </c>
      <c r="CS155">
        <f t="shared" si="170"/>
        <v>0</v>
      </c>
      <c r="CT155">
        <f t="shared" si="96"/>
        <v>0</v>
      </c>
      <c r="CU155">
        <f t="shared" si="152"/>
        <v>-66</v>
      </c>
      <c r="CV155">
        <f t="shared" si="153"/>
        <v>66.2</v>
      </c>
      <c r="CW155">
        <f t="shared" si="154"/>
        <v>132199999.99999999</v>
      </c>
      <c r="CX155" t="str">
        <f t="shared" si="97"/>
        <v/>
      </c>
      <c r="CY155" t="str">
        <f t="shared" si="155"/>
        <v/>
      </c>
      <c r="CZ155" t="str">
        <f t="shared" si="98"/>
        <v/>
      </c>
      <c r="DA155" s="2">
        <f t="shared" si="156"/>
        <v>2.0030303030303029</v>
      </c>
      <c r="DB155" s="1" t="s">
        <v>1074</v>
      </c>
      <c r="DC155" s="297" t="str">
        <f t="shared" si="157"/>
        <v>reg</v>
      </c>
      <c r="DD155" t="s">
        <v>527</v>
      </c>
      <c r="DG155">
        <v>100</v>
      </c>
      <c r="DH155" t="str">
        <f t="shared" si="159"/>
        <v>71-100</v>
      </c>
      <c r="DI155">
        <v>0</v>
      </c>
      <c r="DJ155">
        <v>1</v>
      </c>
      <c r="DK155">
        <v>1</v>
      </c>
      <c r="DL155">
        <v>1</v>
      </c>
      <c r="DN155">
        <f t="shared" si="160"/>
        <v>3</v>
      </c>
      <c r="DO155" t="str">
        <f t="shared" si="161"/>
        <v>mixedProduct</v>
      </c>
      <c r="DP155">
        <f t="shared" si="162"/>
        <v>0</v>
      </c>
      <c r="DQ155" t="str">
        <f t="shared" si="163"/>
        <v>Energy</v>
      </c>
      <c r="DR155" t="str">
        <f t="shared" si="164"/>
        <v>Pulp/Paper</v>
      </c>
      <c r="DS155" t="str">
        <f t="shared" si="165"/>
        <v>Timber</v>
      </c>
      <c r="DT155">
        <v>1</v>
      </c>
      <c r="DU155">
        <v>0</v>
      </c>
      <c r="DV155">
        <v>0</v>
      </c>
      <c r="DW155">
        <v>0</v>
      </c>
      <c r="DX155">
        <v>0</v>
      </c>
      <c r="DY155">
        <f t="shared" si="166"/>
        <v>1</v>
      </c>
      <c r="DZ155" s="143" t="str">
        <f t="shared" si="167"/>
        <v>self-calculated DF</v>
      </c>
      <c r="EA155">
        <v>1</v>
      </c>
      <c r="EB155">
        <v>1</v>
      </c>
      <c r="EC155">
        <v>1</v>
      </c>
      <c r="ED155">
        <v>1</v>
      </c>
      <c r="EE155">
        <v>1</v>
      </c>
      <c r="EF155">
        <v>1</v>
      </c>
      <c r="EG155">
        <v>1</v>
      </c>
      <c r="EH155">
        <v>1</v>
      </c>
      <c r="EI155">
        <v>1</v>
      </c>
      <c r="EJ155">
        <v>0</v>
      </c>
      <c r="EK155">
        <v>1</v>
      </c>
      <c r="EL155">
        <v>0</v>
      </c>
      <c r="EM155">
        <v>0</v>
      </c>
      <c r="EN155" s="2">
        <v>0</v>
      </c>
      <c r="EP155" t="str">
        <f t="shared" si="99"/>
        <v>Whole sector approach</v>
      </c>
      <c r="EQ155" t="str">
        <f t="shared" si="140"/>
        <v/>
      </c>
      <c r="ER155" s="2" t="str">
        <f t="shared" si="101"/>
        <v/>
      </c>
      <c r="ES155" t="str">
        <f t="shared" si="102"/>
        <v/>
      </c>
      <c r="ET155" t="str">
        <f t="shared" si="103"/>
        <v/>
      </c>
      <c r="EU155" t="str">
        <f t="shared" si="104"/>
        <v/>
      </c>
      <c r="EV155" s="328" t="s">
        <v>5064</v>
      </c>
      <c r="EY155" t="b">
        <f>IF(ISNUMBER(BW155),IF(ABS(BW155-[1]QC_indicators!$B$2)&gt;3*[1]QC_indicators!$C$2,"C ratio",IF(ISNUMBER(CA155),IF(ABS(CA155-[1]QC_indicators!$B$1)&gt;3*[1]QC_indicators!$C$1,"DF","no"))),IF(ISNUMBER(CA155),IF(ABS(CA155-[1]QC_indicators!$B$1)&gt;3*[1]QC_indicators!$C$1,"DF","no")))</f>
        <v>0</v>
      </c>
      <c r="FA155" t="str">
        <f t="shared" si="105"/>
        <v/>
      </c>
      <c r="FB155" s="299" t="s">
        <v>349</v>
      </c>
    </row>
    <row r="156" spans="1:159" ht="15" hidden="1" customHeight="1">
      <c r="A156" s="1" t="s">
        <v>1226</v>
      </c>
      <c r="B156" t="s">
        <v>531</v>
      </c>
      <c r="C156" t="s">
        <v>3188</v>
      </c>
      <c r="D156" t="s">
        <v>3189</v>
      </c>
      <c r="E156" t="s">
        <v>3190</v>
      </c>
      <c r="F156" t="s">
        <v>3191</v>
      </c>
      <c r="G156" t="s">
        <v>1227</v>
      </c>
      <c r="H156" t="s">
        <v>254</v>
      </c>
      <c r="I156">
        <v>2018</v>
      </c>
      <c r="J156">
        <v>26</v>
      </c>
      <c r="K156" t="s">
        <v>3192</v>
      </c>
      <c r="L156" t="s">
        <v>388</v>
      </c>
      <c r="M156" t="str">
        <f t="shared" si="139"/>
        <v>Chen_2018a</v>
      </c>
      <c r="N156" s="297" t="s">
        <v>4058</v>
      </c>
      <c r="O156" s="145" t="s">
        <v>223</v>
      </c>
      <c r="Q156" s="297" t="s">
        <v>256</v>
      </c>
      <c r="R156" s="298"/>
      <c r="S156" s="1" t="s">
        <v>3193</v>
      </c>
      <c r="T156" t="s">
        <v>3194</v>
      </c>
      <c r="U156" t="s">
        <v>1229</v>
      </c>
      <c r="X156">
        <v>0</v>
      </c>
      <c r="Y156">
        <v>0</v>
      </c>
      <c r="Z156">
        <v>0</v>
      </c>
      <c r="AA156">
        <v>0</v>
      </c>
      <c r="AB156">
        <v>0</v>
      </c>
      <c r="AC156">
        <v>0</v>
      </c>
      <c r="AD156">
        <v>0</v>
      </c>
      <c r="AE156">
        <v>0</v>
      </c>
      <c r="AF156">
        <v>0</v>
      </c>
      <c r="AG156">
        <v>0</v>
      </c>
      <c r="AH156">
        <v>1</v>
      </c>
      <c r="AI156">
        <v>0</v>
      </c>
      <c r="AJ156">
        <v>0</v>
      </c>
      <c r="AK156">
        <v>0</v>
      </c>
      <c r="AL156">
        <v>0</v>
      </c>
      <c r="AM156">
        <v>0</v>
      </c>
      <c r="AN156">
        <v>0</v>
      </c>
      <c r="AO156">
        <v>0</v>
      </c>
      <c r="AP156">
        <v>0</v>
      </c>
      <c r="AQ156">
        <v>0</v>
      </c>
      <c r="AR156">
        <v>0</v>
      </c>
      <c r="AS156">
        <v>0</v>
      </c>
      <c r="AT156">
        <v>0</v>
      </c>
      <c r="AU156">
        <v>0</v>
      </c>
      <c r="AV156">
        <v>0</v>
      </c>
      <c r="AW156">
        <v>0</v>
      </c>
      <c r="AX156">
        <v>0</v>
      </c>
      <c r="AY156">
        <v>0</v>
      </c>
      <c r="AZ156" s="141">
        <f t="shared" si="141"/>
        <v>1</v>
      </c>
      <c r="BA156" s="141">
        <f t="shared" si="142"/>
        <v>1</v>
      </c>
      <c r="BB156">
        <f t="shared" si="143"/>
        <v>0</v>
      </c>
      <c r="BC156">
        <f t="shared" si="144"/>
        <v>1</v>
      </c>
      <c r="BD156">
        <f t="shared" si="145"/>
        <v>0</v>
      </c>
      <c r="BE156">
        <f t="shared" si="146"/>
        <v>0</v>
      </c>
      <c r="BF156">
        <f t="shared" si="147"/>
        <v>0</v>
      </c>
      <c r="BG156" t="str" cm="1">
        <f t="array" ref="BG156">IF(BA156=1,INDEX($X$7:$AN$7,MATCH(TRUE,INDEX($X156:$AY156&lt;&gt;0,),0)),IF(BA156=0,INDEX($AO$7:$AY$7,MATCH(1,$AO156:$AY156,0)),IF(BH156="Multiple strategies","mixed drivers",IF(BH156="Supply chain","multiple supply","multiple silviculture"))))</f>
        <v>supply chain organization</v>
      </c>
      <c r="BH156" s="2" t="str" cm="1">
        <f t="array" ref="BH156">IF(COUNTIF(BB156:BD156,"&lt;&gt;0")=1,INDEX($X$4:$AY$4,MATCH(TRUE,INDEX($X156:$AY156&lt;&gt;0,),0)),IF(COUNTIF(BB156:BD156,"&lt;&gt;0")=0,INDEX($AO$4:$AY$4,MATCH(1,$AO156:$AY156,0)),"Multiple strategies"))</f>
        <v>Supply chain</v>
      </c>
      <c r="BI156" s="1" t="s">
        <v>321</v>
      </c>
      <c r="BJ156" t="s">
        <v>3195</v>
      </c>
      <c r="BL156" t="s">
        <v>1228</v>
      </c>
      <c r="BM156">
        <v>118</v>
      </c>
      <c r="BN156">
        <v>118</v>
      </c>
      <c r="BP156">
        <f t="shared" si="168"/>
        <v>0</v>
      </c>
      <c r="BQ156">
        <f>BP156*10^6</f>
        <v>0</v>
      </c>
      <c r="BR156" s="297" t="s">
        <v>232</v>
      </c>
      <c r="BS156" s="331"/>
      <c r="BT156" t="s">
        <v>3196</v>
      </c>
      <c r="BU156">
        <v>-66</v>
      </c>
      <c r="BV156">
        <v>93.3</v>
      </c>
      <c r="BW156">
        <v>-1.4136363636363636</v>
      </c>
      <c r="BX156">
        <v>159.30000000000001</v>
      </c>
      <c r="BZ156">
        <f>BX156*10^6</f>
        <v>159300000</v>
      </c>
      <c r="CA156" t="str">
        <f t="shared" si="95"/>
        <v/>
      </c>
      <c r="CB156">
        <v>0</v>
      </c>
      <c r="CC156">
        <v>0</v>
      </c>
      <c r="CD156">
        <v>0</v>
      </c>
      <c r="CE156">
        <v>0</v>
      </c>
      <c r="CF156">
        <v>0</v>
      </c>
      <c r="CG156">
        <v>0</v>
      </c>
      <c r="CH156">
        <v>0</v>
      </c>
      <c r="CI156">
        <v>0</v>
      </c>
      <c r="CJ156">
        <v>0</v>
      </c>
      <c r="CK156">
        <v>0</v>
      </c>
      <c r="CL156">
        <v>0</v>
      </c>
      <c r="CM156">
        <v>0</v>
      </c>
      <c r="CN156">
        <v>0</v>
      </c>
      <c r="CO156">
        <v>0</v>
      </c>
      <c r="CP156" t="str">
        <f t="shared" si="169"/>
        <v>refOK</v>
      </c>
      <c r="CQ156">
        <f>IF($CP156="refOK",$BM156,$BN156)</f>
        <v>118</v>
      </c>
      <c r="CR156">
        <f>IF($CP156="refOK",$BN156,$BM156)</f>
        <v>118</v>
      </c>
      <c r="CS156">
        <f t="shared" si="170"/>
        <v>0</v>
      </c>
      <c r="CT156">
        <f t="shared" si="96"/>
        <v>0</v>
      </c>
      <c r="CU156">
        <f t="shared" si="152"/>
        <v>-66</v>
      </c>
      <c r="CV156">
        <f t="shared" si="153"/>
        <v>93.3</v>
      </c>
      <c r="CW156">
        <f t="shared" si="154"/>
        <v>159300000</v>
      </c>
      <c r="CX156" t="str">
        <f t="shared" si="97"/>
        <v/>
      </c>
      <c r="CY156" t="str">
        <f t="shared" si="155"/>
        <v/>
      </c>
      <c r="CZ156" t="str">
        <f t="shared" si="98"/>
        <v/>
      </c>
      <c r="DA156" s="2">
        <f t="shared" si="156"/>
        <v>2.413636363636364</v>
      </c>
      <c r="DB156" s="1" t="s">
        <v>1074</v>
      </c>
      <c r="DC156" s="297" t="str">
        <f t="shared" si="157"/>
        <v>reg</v>
      </c>
      <c r="DD156" t="s">
        <v>527</v>
      </c>
      <c r="DE156">
        <v>2020</v>
      </c>
      <c r="DF156">
        <v>2100</v>
      </c>
      <c r="DG156">
        <f>DF156-DE156</f>
        <v>80</v>
      </c>
      <c r="DH156" t="str">
        <f t="shared" si="159"/>
        <v>71-100</v>
      </c>
      <c r="DI156">
        <v>0</v>
      </c>
      <c r="DJ156">
        <v>1</v>
      </c>
      <c r="DK156">
        <v>1</v>
      </c>
      <c r="DL156">
        <v>1</v>
      </c>
      <c r="DN156">
        <f t="shared" si="160"/>
        <v>3</v>
      </c>
      <c r="DO156" t="str">
        <f t="shared" si="161"/>
        <v>mixedProduct</v>
      </c>
      <c r="DP156">
        <f t="shared" si="162"/>
        <v>0</v>
      </c>
      <c r="DQ156" t="str">
        <f t="shared" si="163"/>
        <v>Energy</v>
      </c>
      <c r="DR156" t="str">
        <f t="shared" si="164"/>
        <v>Pulp/Paper</v>
      </c>
      <c r="DS156" t="str">
        <f t="shared" si="165"/>
        <v>Timber</v>
      </c>
      <c r="DT156">
        <v>1</v>
      </c>
      <c r="DU156">
        <v>0</v>
      </c>
      <c r="DV156">
        <v>0</v>
      </c>
      <c r="DW156">
        <v>0</v>
      </c>
      <c r="DX156">
        <v>0</v>
      </c>
      <c r="DY156">
        <f t="shared" si="166"/>
        <v>1</v>
      </c>
      <c r="DZ156" s="143" t="str">
        <f t="shared" si="167"/>
        <v>self-calculated DF</v>
      </c>
      <c r="EA156">
        <v>1</v>
      </c>
      <c r="EB156">
        <v>1</v>
      </c>
      <c r="EC156">
        <v>1</v>
      </c>
      <c r="ED156">
        <v>1</v>
      </c>
      <c r="EE156">
        <v>1</v>
      </c>
      <c r="EF156">
        <v>1</v>
      </c>
      <c r="EG156">
        <v>1</v>
      </c>
      <c r="EH156">
        <v>1</v>
      </c>
      <c r="EI156">
        <v>1</v>
      </c>
      <c r="EJ156">
        <v>0</v>
      </c>
      <c r="EK156">
        <v>1</v>
      </c>
      <c r="EL156">
        <v>0</v>
      </c>
      <c r="EM156">
        <v>0</v>
      </c>
      <c r="EN156" s="2">
        <v>0</v>
      </c>
      <c r="EP156" t="str">
        <f t="shared" si="99"/>
        <v>Whole sector approach</v>
      </c>
      <c r="EQ156" t="str">
        <f t="shared" si="140"/>
        <v/>
      </c>
      <c r="ER156" s="2" t="str">
        <f t="shared" si="101"/>
        <v/>
      </c>
      <c r="ES156" t="str">
        <f t="shared" si="102"/>
        <v/>
      </c>
      <c r="ET156" t="str">
        <f t="shared" si="103"/>
        <v/>
      </c>
      <c r="EU156" t="str">
        <f t="shared" si="104"/>
        <v/>
      </c>
      <c r="EV156" s="328" t="s">
        <v>5064</v>
      </c>
      <c r="EY156" t="b">
        <f>IF(ISNUMBER(BW156),IF(ABS(BW156-[1]QC_indicators!$B$2)&gt;3*[1]QC_indicators!$C$2,"C ratio",IF(ISNUMBER(CA156),IF(ABS(CA156-[1]QC_indicators!$B$1)&gt;3*[1]QC_indicators!$C$1,"DF","no"))),IF(ISNUMBER(CA156),IF(ABS(CA156-[1]QC_indicators!$B$1)&gt;3*[1]QC_indicators!$C$1,"DF","no")))</f>
        <v>0</v>
      </c>
      <c r="FA156" t="str">
        <f t="shared" si="105"/>
        <v/>
      </c>
      <c r="FB156" s="299" t="s">
        <v>349</v>
      </c>
    </row>
    <row r="157" spans="1:159" ht="15" hidden="1" customHeight="1">
      <c r="A157" s="1" t="s">
        <v>1226</v>
      </c>
      <c r="B157" t="s">
        <v>531</v>
      </c>
      <c r="C157" t="s">
        <v>3188</v>
      </c>
      <c r="D157" t="s">
        <v>3189</v>
      </c>
      <c r="E157" t="s">
        <v>3190</v>
      </c>
      <c r="F157" t="s">
        <v>3191</v>
      </c>
      <c r="G157" t="s">
        <v>1227</v>
      </c>
      <c r="H157" t="s">
        <v>254</v>
      </c>
      <c r="I157">
        <v>2018</v>
      </c>
      <c r="J157">
        <v>26</v>
      </c>
      <c r="K157" t="s">
        <v>3192</v>
      </c>
      <c r="L157" t="s">
        <v>388</v>
      </c>
      <c r="M157" t="str">
        <f t="shared" si="139"/>
        <v>Chen_2018a</v>
      </c>
      <c r="N157" s="297" t="s">
        <v>4058</v>
      </c>
      <c r="O157" s="145" t="s">
        <v>223</v>
      </c>
      <c r="Q157" s="297" t="s">
        <v>256</v>
      </c>
      <c r="R157" s="298"/>
      <c r="S157" s="1" t="s">
        <v>3193</v>
      </c>
      <c r="T157" t="s">
        <v>3194</v>
      </c>
      <c r="U157" t="s">
        <v>3198</v>
      </c>
      <c r="X157">
        <v>0</v>
      </c>
      <c r="Y157">
        <v>0</v>
      </c>
      <c r="Z157">
        <v>0</v>
      </c>
      <c r="AA157">
        <v>0</v>
      </c>
      <c r="AB157">
        <v>0</v>
      </c>
      <c r="AC157">
        <v>0</v>
      </c>
      <c r="AD157">
        <v>0</v>
      </c>
      <c r="AE157">
        <v>0</v>
      </c>
      <c r="AF157">
        <v>0</v>
      </c>
      <c r="AG157">
        <v>0</v>
      </c>
      <c r="AH157">
        <v>1</v>
      </c>
      <c r="AI157">
        <v>0</v>
      </c>
      <c r="AJ157">
        <v>0</v>
      </c>
      <c r="AK157">
        <v>0</v>
      </c>
      <c r="AL157">
        <v>0</v>
      </c>
      <c r="AM157">
        <v>0</v>
      </c>
      <c r="AN157">
        <v>0</v>
      </c>
      <c r="AO157">
        <v>0</v>
      </c>
      <c r="AP157">
        <v>0</v>
      </c>
      <c r="AQ157">
        <v>0</v>
      </c>
      <c r="AR157">
        <v>0</v>
      </c>
      <c r="AS157">
        <v>0</v>
      </c>
      <c r="AT157">
        <v>0</v>
      </c>
      <c r="AU157">
        <v>0</v>
      </c>
      <c r="AV157">
        <v>0</v>
      </c>
      <c r="AW157">
        <v>0</v>
      </c>
      <c r="AX157">
        <v>0</v>
      </c>
      <c r="AY157">
        <v>0</v>
      </c>
      <c r="AZ157" s="141">
        <f t="shared" si="141"/>
        <v>1</v>
      </c>
      <c r="BA157" s="141">
        <f t="shared" si="142"/>
        <v>1</v>
      </c>
      <c r="BB157">
        <f t="shared" si="143"/>
        <v>0</v>
      </c>
      <c r="BC157">
        <f t="shared" si="144"/>
        <v>1</v>
      </c>
      <c r="BD157">
        <f t="shared" si="145"/>
        <v>0</v>
      </c>
      <c r="BE157">
        <f t="shared" si="146"/>
        <v>0</v>
      </c>
      <c r="BF157">
        <f t="shared" si="147"/>
        <v>0</v>
      </c>
      <c r="BG157" t="str" cm="1">
        <f t="array" ref="BG157">IF(BA157=1,INDEX($X$7:$AN$7,MATCH(TRUE,INDEX($X157:$AY157&lt;&gt;0,),0)),IF(BA157=0,INDEX($AO$7:$AY$7,MATCH(1,$AO157:$AY157,0)),IF(BH157="Multiple strategies","mixed drivers",IF(BH157="Supply chain","multiple supply","multiple silviculture"))))</f>
        <v>supply chain organization</v>
      </c>
      <c r="BH157" s="2" t="str" cm="1">
        <f t="array" ref="BH157">IF(COUNTIF(BB157:BD157,"&lt;&gt;0")=1,INDEX($X$4:$AY$4,MATCH(TRUE,INDEX($X157:$AY157&lt;&gt;0,),0)),IF(COUNTIF(BB157:BD157,"&lt;&gt;0")=0,INDEX($AO$4:$AY$4,MATCH(1,$AO157:$AY157,0)),"Multiple strategies"))</f>
        <v>Supply chain</v>
      </c>
      <c r="BI157" s="1" t="s">
        <v>321</v>
      </c>
      <c r="BJ157" t="s">
        <v>3195</v>
      </c>
      <c r="BL157" t="s">
        <v>1228</v>
      </c>
      <c r="BM157">
        <v>118</v>
      </c>
      <c r="BN157">
        <v>118</v>
      </c>
      <c r="BP157">
        <f t="shared" si="168"/>
        <v>0</v>
      </c>
      <c r="BQ157">
        <f>BP157*10^6</f>
        <v>0</v>
      </c>
      <c r="BR157" s="297" t="s">
        <v>232</v>
      </c>
      <c r="BS157" s="331"/>
      <c r="BT157" t="s">
        <v>3196</v>
      </c>
      <c r="BU157">
        <v>-66</v>
      </c>
      <c r="BV157">
        <v>111.8</v>
      </c>
      <c r="BW157">
        <v>-1.6939393939393939</v>
      </c>
      <c r="BX157">
        <v>177.8</v>
      </c>
      <c r="BZ157">
        <f>BX157*10^6</f>
        <v>177800000</v>
      </c>
      <c r="CA157" t="str">
        <f t="shared" si="95"/>
        <v/>
      </c>
      <c r="CB157">
        <v>0</v>
      </c>
      <c r="CC157">
        <v>0</v>
      </c>
      <c r="CD157">
        <v>0</v>
      </c>
      <c r="CE157">
        <v>0</v>
      </c>
      <c r="CF157">
        <v>0</v>
      </c>
      <c r="CG157">
        <v>0</v>
      </c>
      <c r="CH157">
        <v>0</v>
      </c>
      <c r="CI157">
        <v>0</v>
      </c>
      <c r="CJ157">
        <v>0</v>
      </c>
      <c r="CK157">
        <v>0</v>
      </c>
      <c r="CL157">
        <v>0</v>
      </c>
      <c r="CM157">
        <v>0</v>
      </c>
      <c r="CN157">
        <v>0</v>
      </c>
      <c r="CO157">
        <v>0</v>
      </c>
      <c r="CP157" t="str">
        <f t="shared" si="169"/>
        <v>refOK</v>
      </c>
      <c r="CQ157">
        <f>IF($CP157="refOK",$BM157,$BN157)</f>
        <v>118</v>
      </c>
      <c r="CR157">
        <f>IF($CP157="refOK",$BN157,$BM157)</f>
        <v>118</v>
      </c>
      <c r="CS157">
        <f t="shared" si="170"/>
        <v>0</v>
      </c>
      <c r="CT157">
        <f t="shared" si="96"/>
        <v>0</v>
      </c>
      <c r="CU157">
        <f t="shared" si="152"/>
        <v>-66</v>
      </c>
      <c r="CV157">
        <f t="shared" si="153"/>
        <v>111.8</v>
      </c>
      <c r="CW157">
        <f t="shared" si="154"/>
        <v>177800000</v>
      </c>
      <c r="CX157" t="str">
        <f t="shared" si="97"/>
        <v/>
      </c>
      <c r="CY157" t="str">
        <f t="shared" si="155"/>
        <v/>
      </c>
      <c r="CZ157" t="str">
        <f t="shared" si="98"/>
        <v/>
      </c>
      <c r="DA157" s="2">
        <f t="shared" si="156"/>
        <v>2.6939393939393943</v>
      </c>
      <c r="DB157" s="1" t="s">
        <v>1074</v>
      </c>
      <c r="DC157" s="297" t="str">
        <f t="shared" si="157"/>
        <v>reg</v>
      </c>
      <c r="DD157" t="s">
        <v>527</v>
      </c>
      <c r="DE157">
        <v>2020</v>
      </c>
      <c r="DF157">
        <v>2100</v>
      </c>
      <c r="DG157">
        <f>DF157-DE157</f>
        <v>80</v>
      </c>
      <c r="DH157" t="str">
        <f t="shared" si="159"/>
        <v>71-100</v>
      </c>
      <c r="DI157">
        <v>0</v>
      </c>
      <c r="DJ157">
        <v>1</v>
      </c>
      <c r="DK157">
        <v>1</v>
      </c>
      <c r="DL157">
        <v>1</v>
      </c>
      <c r="DN157">
        <f t="shared" si="160"/>
        <v>3</v>
      </c>
      <c r="DO157" t="str">
        <f t="shared" si="161"/>
        <v>mixedProduct</v>
      </c>
      <c r="DP157">
        <f t="shared" si="162"/>
        <v>0</v>
      </c>
      <c r="DQ157" t="str">
        <f t="shared" si="163"/>
        <v>Energy</v>
      </c>
      <c r="DR157" t="str">
        <f t="shared" si="164"/>
        <v>Pulp/Paper</v>
      </c>
      <c r="DS157" t="str">
        <f t="shared" si="165"/>
        <v>Timber</v>
      </c>
      <c r="DT157">
        <v>1</v>
      </c>
      <c r="DU157">
        <v>0</v>
      </c>
      <c r="DV157">
        <v>0</v>
      </c>
      <c r="DW157">
        <v>0</v>
      </c>
      <c r="DX157">
        <v>0</v>
      </c>
      <c r="DY157">
        <f t="shared" si="166"/>
        <v>1</v>
      </c>
      <c r="DZ157" s="143" t="str">
        <f t="shared" si="167"/>
        <v>self-calculated DF</v>
      </c>
      <c r="EA157">
        <v>1</v>
      </c>
      <c r="EB157">
        <v>1</v>
      </c>
      <c r="EC157">
        <v>1</v>
      </c>
      <c r="ED157">
        <v>1</v>
      </c>
      <c r="EE157">
        <v>1</v>
      </c>
      <c r="EF157">
        <v>1</v>
      </c>
      <c r="EG157">
        <v>1</v>
      </c>
      <c r="EH157">
        <v>1</v>
      </c>
      <c r="EI157">
        <v>1</v>
      </c>
      <c r="EJ157">
        <v>0</v>
      </c>
      <c r="EK157">
        <v>1</v>
      </c>
      <c r="EL157">
        <v>0</v>
      </c>
      <c r="EM157">
        <v>0</v>
      </c>
      <c r="EN157" s="2">
        <v>0</v>
      </c>
      <c r="EP157" t="str">
        <f t="shared" si="99"/>
        <v>Whole sector approach</v>
      </c>
      <c r="EQ157" t="str">
        <f t="shared" si="140"/>
        <v/>
      </c>
      <c r="ER157" s="2" t="str">
        <f t="shared" si="101"/>
        <v/>
      </c>
      <c r="ES157" t="str">
        <f t="shared" si="102"/>
        <v/>
      </c>
      <c r="ET157" t="str">
        <f t="shared" si="103"/>
        <v/>
      </c>
      <c r="EU157" t="str">
        <f t="shared" si="104"/>
        <v/>
      </c>
      <c r="EV157" s="328" t="s">
        <v>5064</v>
      </c>
      <c r="EY157" t="b">
        <f>IF(ISNUMBER(BW157),IF(ABS(BW157-[1]QC_indicators!$B$2)&gt;3*[1]QC_indicators!$C$2,"C ratio",IF(ISNUMBER(CA157),IF(ABS(CA157-[1]QC_indicators!$B$1)&gt;3*[1]QC_indicators!$C$1,"DF","no"))),IF(ISNUMBER(CA157),IF(ABS(CA157-[1]QC_indicators!$B$1)&gt;3*[1]QC_indicators!$C$1,"DF","no")))</f>
        <v>0</v>
      </c>
      <c r="FA157" t="str">
        <f t="shared" si="105"/>
        <v/>
      </c>
      <c r="FB157" s="299" t="s">
        <v>349</v>
      </c>
    </row>
    <row r="158" spans="1:159" ht="15" hidden="1" customHeight="1">
      <c r="A158" s="1" t="s">
        <v>1230</v>
      </c>
      <c r="B158" t="s">
        <v>3199</v>
      </c>
      <c r="C158" t="s">
        <v>3200</v>
      </c>
      <c r="D158" t="s">
        <v>3201</v>
      </c>
      <c r="E158" t="s">
        <v>3202</v>
      </c>
      <c r="F158" t="s">
        <v>3203</v>
      </c>
      <c r="G158" t="s">
        <v>1231</v>
      </c>
      <c r="H158" t="s">
        <v>254</v>
      </c>
      <c r="I158">
        <v>2018</v>
      </c>
      <c r="J158">
        <v>5</v>
      </c>
      <c r="K158" t="s">
        <v>3204</v>
      </c>
      <c r="L158" t="s">
        <v>406</v>
      </c>
      <c r="M158" t="str">
        <f t="shared" si="139"/>
        <v>Chen_2018b</v>
      </c>
      <c r="N158" s="297" t="s">
        <v>4058</v>
      </c>
      <c r="O158" s="145" t="s">
        <v>223</v>
      </c>
      <c r="Q158" s="297" t="s">
        <v>256</v>
      </c>
      <c r="R158" s="298"/>
      <c r="S158" s="1" t="s">
        <v>3205</v>
      </c>
      <c r="T158" t="s">
        <v>3206</v>
      </c>
      <c r="U158" t="s">
        <v>3207</v>
      </c>
      <c r="X158">
        <v>0</v>
      </c>
      <c r="Y158">
        <v>0</v>
      </c>
      <c r="Z158">
        <v>0</v>
      </c>
      <c r="AA158">
        <v>0</v>
      </c>
      <c r="AB158">
        <v>0</v>
      </c>
      <c r="AC158">
        <v>0</v>
      </c>
      <c r="AD158">
        <v>0</v>
      </c>
      <c r="AE158">
        <v>0</v>
      </c>
      <c r="AF158">
        <v>0</v>
      </c>
      <c r="AG158">
        <v>0</v>
      </c>
      <c r="AH158">
        <v>1</v>
      </c>
      <c r="AI158">
        <v>0</v>
      </c>
      <c r="AJ158">
        <v>0</v>
      </c>
      <c r="AK158">
        <v>0</v>
      </c>
      <c r="AL158">
        <v>0</v>
      </c>
      <c r="AM158">
        <v>0</v>
      </c>
      <c r="AN158">
        <v>0</v>
      </c>
      <c r="AO158">
        <v>0</v>
      </c>
      <c r="AP158">
        <v>0</v>
      </c>
      <c r="AQ158">
        <v>0</v>
      </c>
      <c r="AR158">
        <v>0</v>
      </c>
      <c r="AS158">
        <v>0</v>
      </c>
      <c r="AT158">
        <v>0</v>
      </c>
      <c r="AU158">
        <v>0</v>
      </c>
      <c r="AV158">
        <v>0</v>
      </c>
      <c r="AW158">
        <v>0</v>
      </c>
      <c r="AX158">
        <v>0</v>
      </c>
      <c r="AY158">
        <v>0</v>
      </c>
      <c r="AZ158" s="141">
        <f t="shared" si="141"/>
        <v>1</v>
      </c>
      <c r="BA158" s="141">
        <f t="shared" si="142"/>
        <v>1</v>
      </c>
      <c r="BB158">
        <f t="shared" si="143"/>
        <v>0</v>
      </c>
      <c r="BC158">
        <f t="shared" si="144"/>
        <v>1</v>
      </c>
      <c r="BD158">
        <f t="shared" si="145"/>
        <v>0</v>
      </c>
      <c r="BE158">
        <f t="shared" si="146"/>
        <v>0</v>
      </c>
      <c r="BF158">
        <f t="shared" si="147"/>
        <v>0</v>
      </c>
      <c r="BG158" t="str" cm="1">
        <f t="array" ref="BG158">IF(BA158=1,INDEX($X$7:$AN$7,MATCH(TRUE,INDEX($X158:$AY158&lt;&gt;0,),0)),IF(BA158=0,INDEX($AO$7:$AY$7,MATCH(1,$AO158:$AY158,0)),IF(BH158="Multiple strategies","mixed drivers",IF(BH158="Supply chain","multiple supply","multiple silviculture"))))</f>
        <v>supply chain organization</v>
      </c>
      <c r="BH158" s="2" t="str" cm="1">
        <f t="array" ref="BH158">IF(COUNTIF(BB158:BD158,"&lt;&gt;0")=1,INDEX($X$4:$AY$4,MATCH(TRUE,INDEX($X158:$AY158&lt;&gt;0,),0)),IF(COUNTIF(BB158:BD158,"&lt;&gt;0")=0,INDEX($AO$4:$AY$4,MATCH(1,$AO158:$AY158,0)),"Multiple strategies"))</f>
        <v>Supply chain</v>
      </c>
      <c r="BI158" s="1" t="s">
        <v>321</v>
      </c>
      <c r="BJ158" t="s">
        <v>3208</v>
      </c>
      <c r="BL158" t="s">
        <v>498</v>
      </c>
      <c r="BM158">
        <v>1833</v>
      </c>
      <c r="BN158">
        <v>1833</v>
      </c>
      <c r="BP158">
        <f t="shared" si="168"/>
        <v>0</v>
      </c>
      <c r="BQ158">
        <v>0</v>
      </c>
      <c r="BR158" s="297" t="s">
        <v>232</v>
      </c>
      <c r="BS158" s="331"/>
      <c r="BT158" t="s">
        <v>1232</v>
      </c>
      <c r="BU158">
        <v>38.799999999999997</v>
      </c>
      <c r="BV158">
        <v>-33.9</v>
      </c>
      <c r="BW158" s="144">
        <v>-0.87371134020618557</v>
      </c>
      <c r="BX158">
        <v>-72.699999999999989</v>
      </c>
      <c r="BZ158">
        <f>BX158*10^6*C_to_CO2</f>
        <v>-266808999.99999994</v>
      </c>
      <c r="CA158" t="str">
        <f t="shared" si="95"/>
        <v/>
      </c>
      <c r="CB158">
        <v>0</v>
      </c>
      <c r="CC158">
        <v>0</v>
      </c>
      <c r="CD158">
        <v>0</v>
      </c>
      <c r="CE158">
        <v>0</v>
      </c>
      <c r="CF158">
        <v>0</v>
      </c>
      <c r="CG158">
        <v>0</v>
      </c>
      <c r="CH158">
        <v>0</v>
      </c>
      <c r="CI158">
        <v>0</v>
      </c>
      <c r="CJ158">
        <v>0</v>
      </c>
      <c r="CK158">
        <v>0</v>
      </c>
      <c r="CL158">
        <v>0</v>
      </c>
      <c r="CM158">
        <v>0</v>
      </c>
      <c r="CN158">
        <v>0</v>
      </c>
      <c r="CO158">
        <v>0</v>
      </c>
      <c r="CP158" t="str">
        <f t="shared" si="169"/>
        <v>refOK</v>
      </c>
      <c r="CQ158">
        <f>IF($CP158="refNeedCorrection",BN158,BM158)</f>
        <v>1833</v>
      </c>
      <c r="CR158">
        <f>IF($CP158="refNeedCorrection",BM158,BN158)</f>
        <v>1833</v>
      </c>
      <c r="CS158">
        <f t="shared" si="170"/>
        <v>0</v>
      </c>
      <c r="CT158">
        <f t="shared" si="96"/>
        <v>0</v>
      </c>
      <c r="CU158">
        <f t="shared" si="152"/>
        <v>38.799999999999997</v>
      </c>
      <c r="CV158">
        <f t="shared" si="153"/>
        <v>-33.9</v>
      </c>
      <c r="CW158">
        <f t="shared" si="154"/>
        <v>-266808999.99999994</v>
      </c>
      <c r="CX158" t="str">
        <f t="shared" si="97"/>
        <v/>
      </c>
      <c r="CY158" t="str">
        <f t="shared" si="155"/>
        <v/>
      </c>
      <c r="CZ158" t="str">
        <f t="shared" si="98"/>
        <v/>
      </c>
      <c r="DA158" s="2">
        <f t="shared" si="156"/>
        <v>-1.8737113402061853</v>
      </c>
      <c r="DB158" s="1" t="s">
        <v>1074</v>
      </c>
      <c r="DC158" s="297" t="str">
        <f t="shared" si="157"/>
        <v>reg</v>
      </c>
      <c r="DD158" t="s">
        <v>527</v>
      </c>
      <c r="DE158">
        <v>2020</v>
      </c>
      <c r="DF158">
        <v>2100</v>
      </c>
      <c r="DG158">
        <f>DF158-DE158</f>
        <v>80</v>
      </c>
      <c r="DH158" t="str">
        <f t="shared" si="159"/>
        <v>71-100</v>
      </c>
      <c r="DI158">
        <v>0</v>
      </c>
      <c r="DJ158">
        <v>1</v>
      </c>
      <c r="DK158">
        <v>1</v>
      </c>
      <c r="DL158">
        <v>1</v>
      </c>
      <c r="DN158">
        <f t="shared" si="160"/>
        <v>3</v>
      </c>
      <c r="DO158" t="str">
        <f t="shared" si="161"/>
        <v>mixedProduct</v>
      </c>
      <c r="DP158">
        <f t="shared" si="162"/>
        <v>0</v>
      </c>
      <c r="DQ158" t="str">
        <f t="shared" si="163"/>
        <v>Energy</v>
      </c>
      <c r="DR158" t="str">
        <f t="shared" si="164"/>
        <v>Pulp/Paper</v>
      </c>
      <c r="DS158" t="str">
        <f t="shared" si="165"/>
        <v>Timber</v>
      </c>
      <c r="DT158">
        <v>1</v>
      </c>
      <c r="DU158">
        <v>0</v>
      </c>
      <c r="DV158">
        <v>0</v>
      </c>
      <c r="DW158">
        <v>0</v>
      </c>
      <c r="DX158">
        <v>0</v>
      </c>
      <c r="DY158">
        <f t="shared" si="166"/>
        <v>1</v>
      </c>
      <c r="DZ158" s="143" t="str">
        <f t="shared" si="167"/>
        <v>self-calculated DF</v>
      </c>
      <c r="EA158">
        <v>1</v>
      </c>
      <c r="EB158">
        <v>1</v>
      </c>
      <c r="EC158">
        <v>1</v>
      </c>
      <c r="ED158">
        <v>1</v>
      </c>
      <c r="EE158">
        <v>1</v>
      </c>
      <c r="EF158">
        <v>1</v>
      </c>
      <c r="EG158">
        <v>1</v>
      </c>
      <c r="EH158">
        <v>1</v>
      </c>
      <c r="EI158">
        <v>1</v>
      </c>
      <c r="EJ158">
        <v>0</v>
      </c>
      <c r="EK158">
        <v>1</v>
      </c>
      <c r="EL158">
        <v>0</v>
      </c>
      <c r="EM158">
        <v>0</v>
      </c>
      <c r="EN158" s="2">
        <v>0</v>
      </c>
      <c r="EP158" t="str">
        <f t="shared" si="99"/>
        <v>Whole sector approach</v>
      </c>
      <c r="EQ158" t="str">
        <f t="shared" si="140"/>
        <v/>
      </c>
      <c r="ER158" s="2" t="str">
        <f t="shared" si="101"/>
        <v/>
      </c>
      <c r="ES158" t="str">
        <f t="shared" si="102"/>
        <v/>
      </c>
      <c r="ET158" t="str">
        <f t="shared" si="103"/>
        <v/>
      </c>
      <c r="EU158" t="str">
        <f t="shared" si="104"/>
        <v/>
      </c>
      <c r="EY158" t="b">
        <f>IF(ISNUMBER(BW158),IF(ABS(BW158-[1]QC_indicators!$B$2)&gt;3*[1]QC_indicators!$C$2,"C ratio",IF(ISNUMBER(CA158),IF(ABS(CA158-[1]QC_indicators!$B$1)&gt;3*[1]QC_indicators!$C$1,"DF","no"))),IF(ISNUMBER(CA158),IF(ABS(CA158-[1]QC_indicators!$B$1)&gt;3*[1]QC_indicators!$C$1,"DF","no")))</f>
        <v>0</v>
      </c>
      <c r="FA158" t="str">
        <f t="shared" si="105"/>
        <v/>
      </c>
      <c r="FB158" s="299" t="s">
        <v>349</v>
      </c>
    </row>
    <row r="159" spans="1:159" ht="15" hidden="1" customHeight="1">
      <c r="A159" s="1" t="s">
        <v>1230</v>
      </c>
      <c r="B159" t="s">
        <v>3199</v>
      </c>
      <c r="C159" t="s">
        <v>3200</v>
      </c>
      <c r="D159" t="s">
        <v>3201</v>
      </c>
      <c r="E159" t="s">
        <v>3202</v>
      </c>
      <c r="F159" t="s">
        <v>3203</v>
      </c>
      <c r="G159" t="s">
        <v>1231</v>
      </c>
      <c r="H159" t="s">
        <v>254</v>
      </c>
      <c r="I159">
        <v>2018</v>
      </c>
      <c r="J159">
        <v>5</v>
      </c>
      <c r="K159" t="s">
        <v>3204</v>
      </c>
      <c r="L159" t="s">
        <v>406</v>
      </c>
      <c r="M159" t="str">
        <f t="shared" si="139"/>
        <v>Chen_2018b</v>
      </c>
      <c r="N159" s="297" t="s">
        <v>4058</v>
      </c>
      <c r="O159" s="145" t="s">
        <v>223</v>
      </c>
      <c r="Q159" s="297" t="s">
        <v>256</v>
      </c>
      <c r="R159" s="298"/>
      <c r="S159" s="1" t="s">
        <v>3209</v>
      </c>
      <c r="T159" t="s">
        <v>3210</v>
      </c>
      <c r="U159" t="s">
        <v>3211</v>
      </c>
      <c r="X159">
        <v>0</v>
      </c>
      <c r="Y159">
        <v>0</v>
      </c>
      <c r="Z159">
        <v>0</v>
      </c>
      <c r="AA159">
        <v>0</v>
      </c>
      <c r="AB159">
        <v>0</v>
      </c>
      <c r="AC159">
        <v>0</v>
      </c>
      <c r="AD159">
        <v>0</v>
      </c>
      <c r="AE159">
        <v>0</v>
      </c>
      <c r="AF159">
        <v>0</v>
      </c>
      <c r="AG159">
        <v>0</v>
      </c>
      <c r="AH159">
        <v>1</v>
      </c>
      <c r="AI159">
        <v>0</v>
      </c>
      <c r="AJ159">
        <v>0</v>
      </c>
      <c r="AK159">
        <v>0</v>
      </c>
      <c r="AL159">
        <v>0</v>
      </c>
      <c r="AM159">
        <v>0</v>
      </c>
      <c r="AN159">
        <v>0</v>
      </c>
      <c r="AO159">
        <v>0</v>
      </c>
      <c r="AP159">
        <v>0</v>
      </c>
      <c r="AQ159">
        <v>0</v>
      </c>
      <c r="AR159">
        <v>0</v>
      </c>
      <c r="AS159">
        <v>0</v>
      </c>
      <c r="AT159">
        <v>0</v>
      </c>
      <c r="AU159">
        <v>0</v>
      </c>
      <c r="AV159">
        <v>0</v>
      </c>
      <c r="AW159">
        <v>0</v>
      </c>
      <c r="AX159">
        <v>0</v>
      </c>
      <c r="AY159">
        <v>0</v>
      </c>
      <c r="AZ159" s="141">
        <f t="shared" si="141"/>
        <v>1</v>
      </c>
      <c r="BA159" s="141">
        <f t="shared" si="142"/>
        <v>1</v>
      </c>
      <c r="BB159">
        <f t="shared" si="143"/>
        <v>0</v>
      </c>
      <c r="BC159">
        <f t="shared" si="144"/>
        <v>1</v>
      </c>
      <c r="BD159">
        <f t="shared" si="145"/>
        <v>0</v>
      </c>
      <c r="BE159">
        <f t="shared" si="146"/>
        <v>0</v>
      </c>
      <c r="BF159">
        <f t="shared" si="147"/>
        <v>0</v>
      </c>
      <c r="BG159" t="str" cm="1">
        <f t="array" ref="BG159">IF(BA159=1,INDEX($X$7:$AN$7,MATCH(TRUE,INDEX($X159:$AY159&lt;&gt;0,),0)),IF(BA159=0,INDEX($AO$7:$AY$7,MATCH(1,$AO159:$AY159,0)),IF(BH159="Multiple strategies","mixed drivers",IF(BH159="Supply chain","multiple supply","multiple silviculture"))))</f>
        <v>supply chain organization</v>
      </c>
      <c r="BH159" s="2" t="str" cm="1">
        <f t="array" ref="BH159">IF(COUNTIF(BB159:BD159,"&lt;&gt;0")=1,INDEX($X$4:$AY$4,MATCH(TRUE,INDEX($X159:$AY159&lt;&gt;0,),0)),IF(COUNTIF(BB159:BD159,"&lt;&gt;0")=0,INDEX($AO$4:$AY$4,MATCH(1,$AO159:$AY159,0)),"Multiple strategies"))</f>
        <v>Supply chain</v>
      </c>
      <c r="BI159" s="1" t="s">
        <v>321</v>
      </c>
      <c r="BJ159" t="s">
        <v>3208</v>
      </c>
      <c r="BL159" t="s">
        <v>498</v>
      </c>
      <c r="BM159">
        <v>1833</v>
      </c>
      <c r="BN159">
        <v>1833</v>
      </c>
      <c r="BP159">
        <f t="shared" si="168"/>
        <v>0</v>
      </c>
      <c r="BQ159">
        <v>0</v>
      </c>
      <c r="BR159" s="297" t="s">
        <v>232</v>
      </c>
      <c r="BS159" s="331"/>
      <c r="BT159" t="s">
        <v>1232</v>
      </c>
      <c r="BU159">
        <v>-33.9</v>
      </c>
      <c r="BV159">
        <v>-96.1</v>
      </c>
      <c r="BW159" s="144">
        <v>2.8348082595870205</v>
      </c>
      <c r="BX159">
        <v>-62.199999999999996</v>
      </c>
      <c r="BZ159">
        <f>BX159*10^6*C_to_CO2</f>
        <v>-228273999.99999997</v>
      </c>
      <c r="CA159" t="str">
        <f t="shared" si="95"/>
        <v/>
      </c>
      <c r="CB159">
        <v>0</v>
      </c>
      <c r="CC159">
        <v>0</v>
      </c>
      <c r="CD159">
        <v>0</v>
      </c>
      <c r="CE159">
        <v>0</v>
      </c>
      <c r="CF159">
        <v>0</v>
      </c>
      <c r="CG159">
        <v>0</v>
      </c>
      <c r="CH159">
        <v>0</v>
      </c>
      <c r="CI159">
        <v>0</v>
      </c>
      <c r="CJ159">
        <v>0</v>
      </c>
      <c r="CK159">
        <v>0</v>
      </c>
      <c r="CL159">
        <v>0</v>
      </c>
      <c r="CM159">
        <v>0</v>
      </c>
      <c r="CN159">
        <v>0</v>
      </c>
      <c r="CO159">
        <v>0</v>
      </c>
      <c r="CP159" t="str">
        <f t="shared" si="169"/>
        <v>refOK</v>
      </c>
      <c r="CQ159">
        <f>IF($CP159="refNeedCorrection",BN159,BM159)</f>
        <v>1833</v>
      </c>
      <c r="CR159">
        <f>IF($CP159="refNeedCorrection",BM159,BN159)</f>
        <v>1833</v>
      </c>
      <c r="CS159">
        <f t="shared" si="170"/>
        <v>0</v>
      </c>
      <c r="CT159">
        <f t="shared" si="96"/>
        <v>0</v>
      </c>
      <c r="CU159">
        <f t="shared" si="152"/>
        <v>-33.9</v>
      </c>
      <c r="CV159">
        <f t="shared" si="153"/>
        <v>-96.1</v>
      </c>
      <c r="CW159">
        <f t="shared" si="154"/>
        <v>-228273999.99999997</v>
      </c>
      <c r="CX159" t="str">
        <f t="shared" si="97"/>
        <v/>
      </c>
      <c r="CY159" t="str">
        <f t="shared" si="155"/>
        <v/>
      </c>
      <c r="CZ159" t="str">
        <f t="shared" si="98"/>
        <v/>
      </c>
      <c r="DA159" s="2">
        <f t="shared" si="156"/>
        <v>-1.8348082595870205</v>
      </c>
      <c r="DB159" s="1" t="s">
        <v>1074</v>
      </c>
      <c r="DC159" s="297" t="str">
        <f t="shared" si="157"/>
        <v>reg</v>
      </c>
      <c r="DD159" t="s">
        <v>527</v>
      </c>
      <c r="DE159">
        <v>2020</v>
      </c>
      <c r="DF159">
        <v>2100</v>
      </c>
      <c r="DG159">
        <f>DF159-DE159</f>
        <v>80</v>
      </c>
      <c r="DH159" t="str">
        <f t="shared" si="159"/>
        <v>71-100</v>
      </c>
      <c r="DI159">
        <v>0</v>
      </c>
      <c r="DJ159">
        <v>1</v>
      </c>
      <c r="DK159">
        <v>1</v>
      </c>
      <c r="DL159">
        <v>1</v>
      </c>
      <c r="DN159">
        <f t="shared" si="160"/>
        <v>3</v>
      </c>
      <c r="DO159" t="str">
        <f t="shared" si="161"/>
        <v>mixedProduct</v>
      </c>
      <c r="DP159">
        <f t="shared" si="162"/>
        <v>0</v>
      </c>
      <c r="DQ159" t="str">
        <f t="shared" si="163"/>
        <v>Energy</v>
      </c>
      <c r="DR159" t="str">
        <f t="shared" si="164"/>
        <v>Pulp/Paper</v>
      </c>
      <c r="DS159" t="str">
        <f t="shared" si="165"/>
        <v>Timber</v>
      </c>
      <c r="DT159">
        <v>1</v>
      </c>
      <c r="DU159">
        <v>0</v>
      </c>
      <c r="DV159">
        <v>0</v>
      </c>
      <c r="DW159">
        <v>0</v>
      </c>
      <c r="DX159">
        <v>0</v>
      </c>
      <c r="DY159">
        <f t="shared" si="166"/>
        <v>1</v>
      </c>
      <c r="DZ159" s="143" t="str">
        <f t="shared" si="167"/>
        <v>self-calculated DF</v>
      </c>
      <c r="EA159">
        <v>1</v>
      </c>
      <c r="EB159">
        <v>1</v>
      </c>
      <c r="EC159">
        <v>1</v>
      </c>
      <c r="ED159">
        <v>1</v>
      </c>
      <c r="EE159">
        <v>1</v>
      </c>
      <c r="EF159">
        <v>1</v>
      </c>
      <c r="EG159">
        <v>1</v>
      </c>
      <c r="EH159">
        <v>1</v>
      </c>
      <c r="EI159">
        <v>1</v>
      </c>
      <c r="EJ159">
        <v>0</v>
      </c>
      <c r="EK159">
        <v>1</v>
      </c>
      <c r="EL159">
        <v>0</v>
      </c>
      <c r="EM159">
        <v>0</v>
      </c>
      <c r="EN159" s="2">
        <v>0</v>
      </c>
      <c r="EP159" t="str">
        <f t="shared" si="99"/>
        <v>Whole sector approach</v>
      </c>
      <c r="EQ159" t="str">
        <f t="shared" si="140"/>
        <v/>
      </c>
      <c r="ER159" s="2" t="str">
        <f t="shared" si="101"/>
        <v/>
      </c>
      <c r="ES159" t="str">
        <f t="shared" si="102"/>
        <v/>
      </c>
      <c r="ET159" t="str">
        <f t="shared" si="103"/>
        <v/>
      </c>
      <c r="EU159" t="str">
        <f t="shared" si="104"/>
        <v/>
      </c>
      <c r="EW159" t="s">
        <v>3212</v>
      </c>
      <c r="EX159" t="s">
        <v>450</v>
      </c>
      <c r="EY159" t="b">
        <f>IF(ISNUMBER(BW159),IF(ABS(BW159-[1]QC_indicators!$B$2)&gt;3*[1]QC_indicators!$C$2,"C ratio",IF(ISNUMBER(CA159),IF(ABS(CA159-[1]QC_indicators!$B$1)&gt;3*[1]QC_indicators!$C$1,"DF","no"))),IF(ISNUMBER(CA159),IF(ABS(CA159-[1]QC_indicators!$B$1)&gt;3*[1]QC_indicators!$C$1,"DF","no")))</f>
        <v>0</v>
      </c>
      <c r="FA159" t="str">
        <f t="shared" si="105"/>
        <v/>
      </c>
    </row>
    <row r="160" spans="1:159" ht="15" hidden="1" customHeight="1">
      <c r="A160" s="1" t="s">
        <v>1230</v>
      </c>
      <c r="B160" t="s">
        <v>3199</v>
      </c>
      <c r="C160" t="s">
        <v>3200</v>
      </c>
      <c r="D160" t="s">
        <v>3201</v>
      </c>
      <c r="E160" t="s">
        <v>3202</v>
      </c>
      <c r="F160" t="s">
        <v>3203</v>
      </c>
      <c r="G160" t="s">
        <v>1231</v>
      </c>
      <c r="H160" t="s">
        <v>254</v>
      </c>
      <c r="I160">
        <v>2018</v>
      </c>
      <c r="J160">
        <v>5</v>
      </c>
      <c r="K160" t="s">
        <v>3204</v>
      </c>
      <c r="L160" t="s">
        <v>406</v>
      </c>
      <c r="M160" t="str">
        <f t="shared" si="139"/>
        <v>Chen_2018b</v>
      </c>
      <c r="N160" s="297" t="s">
        <v>4058</v>
      </c>
      <c r="O160" s="145" t="s">
        <v>223</v>
      </c>
      <c r="Q160" s="297" t="s">
        <v>256</v>
      </c>
      <c r="R160" s="298"/>
      <c r="S160" s="1" t="s">
        <v>3209</v>
      </c>
      <c r="T160" t="s">
        <v>3210</v>
      </c>
      <c r="U160" t="s">
        <v>3211</v>
      </c>
      <c r="X160">
        <v>0</v>
      </c>
      <c r="Y160">
        <v>0</v>
      </c>
      <c r="Z160">
        <v>0</v>
      </c>
      <c r="AA160">
        <v>0</v>
      </c>
      <c r="AB160">
        <v>0</v>
      </c>
      <c r="AC160">
        <v>0</v>
      </c>
      <c r="AD160">
        <v>0</v>
      </c>
      <c r="AE160">
        <v>0</v>
      </c>
      <c r="AF160">
        <v>0</v>
      </c>
      <c r="AG160">
        <v>0</v>
      </c>
      <c r="AH160">
        <v>1</v>
      </c>
      <c r="AI160">
        <v>0</v>
      </c>
      <c r="AJ160">
        <v>0</v>
      </c>
      <c r="AK160">
        <v>0</v>
      </c>
      <c r="AL160">
        <v>0</v>
      </c>
      <c r="AM160">
        <v>0</v>
      </c>
      <c r="AN160">
        <v>0</v>
      </c>
      <c r="AO160">
        <v>0</v>
      </c>
      <c r="AP160">
        <v>0</v>
      </c>
      <c r="AQ160">
        <v>0</v>
      </c>
      <c r="AR160">
        <v>0</v>
      </c>
      <c r="AS160">
        <v>0</v>
      </c>
      <c r="AT160">
        <v>0</v>
      </c>
      <c r="AU160">
        <v>0</v>
      </c>
      <c r="AV160">
        <v>0</v>
      </c>
      <c r="AW160">
        <v>0</v>
      </c>
      <c r="AX160">
        <v>0</v>
      </c>
      <c r="AY160">
        <v>0</v>
      </c>
      <c r="AZ160" s="141">
        <f t="shared" si="141"/>
        <v>1</v>
      </c>
      <c r="BA160" s="141">
        <f t="shared" si="142"/>
        <v>1</v>
      </c>
      <c r="BB160">
        <f t="shared" si="143"/>
        <v>0</v>
      </c>
      <c r="BC160">
        <f t="shared" si="144"/>
        <v>1</v>
      </c>
      <c r="BD160">
        <f t="shared" si="145"/>
        <v>0</v>
      </c>
      <c r="BE160">
        <f t="shared" si="146"/>
        <v>0</v>
      </c>
      <c r="BF160">
        <f t="shared" si="147"/>
        <v>0</v>
      </c>
      <c r="BG160" t="str" cm="1">
        <f t="array" ref="BG160">IF(BA160=1,INDEX($X$7:$AN$7,MATCH(TRUE,INDEX($X160:$AY160&lt;&gt;0,),0)),IF(BA160=0,INDEX($AO$7:$AY$7,MATCH(1,$AO160:$AY160,0)),IF(BH160="Multiple strategies","mixed drivers",IF(BH160="Supply chain","multiple supply","multiple silviculture"))))</f>
        <v>supply chain organization</v>
      </c>
      <c r="BH160" s="2" t="str" cm="1">
        <f t="array" ref="BH160">IF(COUNTIF(BB160:BD160,"&lt;&gt;0")=1,INDEX($X$4:$AY$4,MATCH(TRUE,INDEX($X160:$AY160&lt;&gt;0,),0)),IF(COUNTIF(BB160:BD160,"&lt;&gt;0")=0,INDEX($AO$4:$AY$4,MATCH(1,$AO160:$AY160,0)),"Multiple strategies"))</f>
        <v>Supply chain</v>
      </c>
      <c r="BI160" s="1" t="s">
        <v>321</v>
      </c>
      <c r="BJ160" t="s">
        <v>3208</v>
      </c>
      <c r="BL160" t="s">
        <v>498</v>
      </c>
      <c r="BM160">
        <v>1833</v>
      </c>
      <c r="BN160">
        <v>1833</v>
      </c>
      <c r="BP160">
        <f t="shared" si="168"/>
        <v>0</v>
      </c>
      <c r="BQ160">
        <v>0</v>
      </c>
      <c r="BR160" s="297" t="s">
        <v>232</v>
      </c>
      <c r="BS160" s="331"/>
      <c r="BT160" t="s">
        <v>1232</v>
      </c>
      <c r="BU160">
        <v>-33.9</v>
      </c>
      <c r="BV160">
        <v>-96.1</v>
      </c>
      <c r="BW160">
        <v>2.8348082595870205</v>
      </c>
      <c r="BX160">
        <v>-62.199999999999996</v>
      </c>
      <c r="BZ160">
        <f>BX160*10^6*C_to_CO2</f>
        <v>-228273999.99999997</v>
      </c>
      <c r="CA160" t="str">
        <f t="shared" si="95"/>
        <v/>
      </c>
      <c r="CB160">
        <v>0</v>
      </c>
      <c r="CC160">
        <v>0</v>
      </c>
      <c r="CD160">
        <v>0</v>
      </c>
      <c r="CE160">
        <v>0</v>
      </c>
      <c r="CF160">
        <v>0</v>
      </c>
      <c r="CG160">
        <v>0</v>
      </c>
      <c r="CH160">
        <v>0</v>
      </c>
      <c r="CI160">
        <v>0</v>
      </c>
      <c r="CJ160">
        <v>0</v>
      </c>
      <c r="CK160">
        <v>0</v>
      </c>
      <c r="CL160">
        <v>0</v>
      </c>
      <c r="CM160">
        <v>0</v>
      </c>
      <c r="CN160">
        <v>0</v>
      </c>
      <c r="CO160">
        <v>0</v>
      </c>
      <c r="CP160" t="str">
        <f t="shared" si="169"/>
        <v>refOK</v>
      </c>
      <c r="CQ160">
        <f>IF($CP160="refNeedCorrection",BN160,BM160)</f>
        <v>1833</v>
      </c>
      <c r="CR160">
        <f>IF($CP160="refNeedCorrection",BM160,BN160)</f>
        <v>1833</v>
      </c>
      <c r="CS160">
        <f t="shared" si="170"/>
        <v>0</v>
      </c>
      <c r="CT160">
        <f t="shared" si="96"/>
        <v>0</v>
      </c>
      <c r="CU160">
        <f t="shared" si="152"/>
        <v>-33.9</v>
      </c>
      <c r="CV160">
        <f t="shared" si="153"/>
        <v>-96.1</v>
      </c>
      <c r="CW160">
        <f t="shared" si="154"/>
        <v>-228273999.99999997</v>
      </c>
      <c r="CX160" t="str">
        <f t="shared" si="97"/>
        <v/>
      </c>
      <c r="CY160" t="str">
        <f t="shared" si="155"/>
        <v/>
      </c>
      <c r="CZ160" t="str">
        <f t="shared" si="98"/>
        <v/>
      </c>
      <c r="DA160" s="2">
        <f t="shared" si="156"/>
        <v>-1.8348082595870205</v>
      </c>
      <c r="DB160" s="1" t="s">
        <v>1074</v>
      </c>
      <c r="DC160" s="297" t="str">
        <f t="shared" si="157"/>
        <v>reg</v>
      </c>
      <c r="DD160" t="s">
        <v>527</v>
      </c>
      <c r="DE160">
        <v>2020</v>
      </c>
      <c r="DF160">
        <v>2100</v>
      </c>
      <c r="DG160">
        <f>DF160-DE160</f>
        <v>80</v>
      </c>
      <c r="DH160" t="str">
        <f t="shared" si="159"/>
        <v>71-100</v>
      </c>
      <c r="DI160">
        <v>0</v>
      </c>
      <c r="DJ160">
        <v>1</v>
      </c>
      <c r="DK160">
        <v>1</v>
      </c>
      <c r="DL160">
        <v>1</v>
      </c>
      <c r="DN160">
        <f t="shared" si="160"/>
        <v>3</v>
      </c>
      <c r="DO160" t="str">
        <f t="shared" si="161"/>
        <v>mixedProduct</v>
      </c>
      <c r="DP160">
        <f t="shared" si="162"/>
        <v>0</v>
      </c>
      <c r="DQ160" t="str">
        <f t="shared" si="163"/>
        <v>Energy</v>
      </c>
      <c r="DR160" t="str">
        <f t="shared" si="164"/>
        <v>Pulp/Paper</v>
      </c>
      <c r="DS160" t="str">
        <f t="shared" si="165"/>
        <v>Timber</v>
      </c>
      <c r="DT160">
        <v>1</v>
      </c>
      <c r="DU160">
        <v>0</v>
      </c>
      <c r="DV160">
        <v>0</v>
      </c>
      <c r="DW160">
        <v>0</v>
      </c>
      <c r="DX160">
        <v>0</v>
      </c>
      <c r="DY160">
        <f t="shared" si="166"/>
        <v>1</v>
      </c>
      <c r="DZ160" s="143" t="str">
        <f t="shared" si="167"/>
        <v>self-calculated DF</v>
      </c>
      <c r="EA160">
        <v>1</v>
      </c>
      <c r="EB160">
        <v>1</v>
      </c>
      <c r="EC160">
        <v>1</v>
      </c>
      <c r="ED160">
        <v>1</v>
      </c>
      <c r="EE160">
        <v>1</v>
      </c>
      <c r="EF160">
        <v>1</v>
      </c>
      <c r="EG160">
        <v>1</v>
      </c>
      <c r="EH160">
        <v>1</v>
      </c>
      <c r="EI160">
        <v>1</v>
      </c>
      <c r="EJ160">
        <v>0</v>
      </c>
      <c r="EK160">
        <v>1</v>
      </c>
      <c r="EL160">
        <v>0</v>
      </c>
      <c r="EM160">
        <v>0</v>
      </c>
      <c r="EN160" s="2">
        <v>0</v>
      </c>
      <c r="EP160" t="str">
        <f t="shared" si="99"/>
        <v>Whole sector approach</v>
      </c>
      <c r="EQ160" t="str">
        <f t="shared" si="140"/>
        <v/>
      </c>
      <c r="ER160" s="2" t="str">
        <f t="shared" si="101"/>
        <v/>
      </c>
      <c r="ES160" t="str">
        <f t="shared" si="102"/>
        <v/>
      </c>
      <c r="ET160" t="str">
        <f t="shared" si="103"/>
        <v/>
      </c>
      <c r="EU160" t="str">
        <f t="shared" si="104"/>
        <v/>
      </c>
      <c r="EY160" t="b">
        <f>IF(ISNUMBER(BW160),IF(ABS(BW160-[1]QC_indicators!$B$2)&gt;3*[1]QC_indicators!$C$2,"C ratio",IF(ISNUMBER(CA160),IF(ABS(CA160-[1]QC_indicators!$B$1)&gt;3*[1]QC_indicators!$C$1,"DF","no"))),IF(ISNUMBER(CA160),IF(ABS(CA160-[1]QC_indicators!$B$1)&gt;3*[1]QC_indicators!$C$1,"DF","no")))</f>
        <v>0</v>
      </c>
      <c r="FA160" t="str">
        <f t="shared" si="105"/>
        <v/>
      </c>
    </row>
    <row r="161" spans="1:158" ht="15" hidden="1" customHeight="1">
      <c r="D161" t="s">
        <v>3213</v>
      </c>
      <c r="E161" t="s">
        <v>3214</v>
      </c>
      <c r="G161" t="s">
        <v>3215</v>
      </c>
      <c r="I161">
        <v>2013</v>
      </c>
      <c r="K161" s="288" t="s">
        <v>3216</v>
      </c>
      <c r="M161" t="str">
        <f t="shared" si="139"/>
        <v>Cherubini_2013</v>
      </c>
      <c r="N161" s="297" t="s">
        <v>4058</v>
      </c>
      <c r="O161" t="s">
        <v>223</v>
      </c>
      <c r="Q161" s="297" t="s">
        <v>256</v>
      </c>
      <c r="R161" s="298"/>
      <c r="S161" s="1" t="s">
        <v>3217</v>
      </c>
      <c r="T161" t="s">
        <v>3218</v>
      </c>
      <c r="U161" s="143" t="s">
        <v>3219</v>
      </c>
      <c r="V161" s="143"/>
      <c r="W161" s="143"/>
      <c r="X161">
        <v>1</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s="141">
        <f t="shared" si="141"/>
        <v>1</v>
      </c>
      <c r="BA161" s="141">
        <f t="shared" si="142"/>
        <v>1</v>
      </c>
      <c r="BB161">
        <f t="shared" si="143"/>
        <v>1</v>
      </c>
      <c r="BC161">
        <f t="shared" si="144"/>
        <v>0</v>
      </c>
      <c r="BD161">
        <f t="shared" si="145"/>
        <v>0</v>
      </c>
      <c r="BE161">
        <f t="shared" si="146"/>
        <v>0</v>
      </c>
      <c r="BF161">
        <f t="shared" si="147"/>
        <v>0</v>
      </c>
      <c r="BG161" t="str" cm="1">
        <f t="array" ref="BG161">IF(BA161=1,INDEX($X$7:$AN$7,MATCH(TRUE,INDEX($X161:$AY161&lt;&gt;0,),0)),IF(BA161=0,INDEX($AO$7:$AY$7,MATCH(1,$AO161:$AY161,0)),IF(BH161="Multiple strategies","mixed drivers",IF(BH161="Supply chain","multiple supply","multiple silviculture"))))</f>
        <v>area subject to harvest</v>
      </c>
      <c r="BH161" s="2" t="str" cm="1">
        <f t="array" ref="BH161">IF(COUNTIF(BB161:BD161,"&lt;&gt;0")=1,INDEX($X$4:$AY$4,MATCH(TRUE,INDEX($X161:$AY161&lt;&gt;0,),0)),IF(COUNTIF(BB161:BD161,"&lt;&gt;0")=0,INDEX($AO$4:$AY$4,MATCH(1,$AO161:$AY161,0)),"Multiple strategies"))</f>
        <v>Silviculture for removals</v>
      </c>
      <c r="BI161" s="142"/>
      <c r="BL161" s="143"/>
      <c r="BN161" s="143"/>
      <c r="BO161" s="143"/>
      <c r="BP161" s="143"/>
      <c r="BQ161" s="143"/>
      <c r="BR161" s="297" t="s">
        <v>232</v>
      </c>
      <c r="BS161" s="331"/>
      <c r="BT161" t="s">
        <v>3220</v>
      </c>
      <c r="BU161" s="143">
        <v>0</v>
      </c>
      <c r="BV161">
        <v>0</v>
      </c>
      <c r="BW161" t="s">
        <v>531</v>
      </c>
      <c r="BX161">
        <v>0</v>
      </c>
      <c r="BZ161">
        <f>BX161/10^6</f>
        <v>0</v>
      </c>
      <c r="CA161" t="str">
        <f t="shared" si="95"/>
        <v/>
      </c>
      <c r="CB161" s="143">
        <v>0</v>
      </c>
      <c r="CC161" s="143">
        <v>0</v>
      </c>
      <c r="CD161" s="143">
        <v>0</v>
      </c>
      <c r="CE161" s="143">
        <v>0</v>
      </c>
      <c r="CF161" s="143">
        <v>0</v>
      </c>
      <c r="CG161" s="143">
        <v>0</v>
      </c>
      <c r="CH161" s="143">
        <v>0</v>
      </c>
      <c r="CI161" s="143">
        <v>0</v>
      </c>
      <c r="CJ161" s="143">
        <v>0</v>
      </c>
      <c r="CK161" s="143">
        <v>0</v>
      </c>
      <c r="CL161" s="143">
        <v>0</v>
      </c>
      <c r="CM161" s="143">
        <v>0</v>
      </c>
      <c r="CN161" s="143">
        <v>0</v>
      </c>
      <c r="CO161">
        <v>0</v>
      </c>
      <c r="CP161" t="str">
        <f t="shared" ref="CP161:CP178" si="171">IF(BN161&lt;BM161,"refNeedCorrection","refOK")</f>
        <v>refOK</v>
      </c>
      <c r="CQ161"/>
      <c r="CR161"/>
      <c r="CS161"/>
      <c r="CT161">
        <f t="shared" si="96"/>
        <v>0</v>
      </c>
      <c r="CU161">
        <f t="shared" si="152"/>
        <v>0</v>
      </c>
      <c r="CV161">
        <f t="shared" si="153"/>
        <v>0</v>
      </c>
      <c r="CW161">
        <f t="shared" si="154"/>
        <v>0</v>
      </c>
      <c r="CX161" t="str">
        <f t="shared" si="97"/>
        <v/>
      </c>
      <c r="CY161" t="str">
        <f t="shared" si="155"/>
        <v/>
      </c>
      <c r="CZ161" t="str">
        <f t="shared" si="98"/>
        <v/>
      </c>
      <c r="DA161" s="2" t="str">
        <f t="shared" si="156"/>
        <v/>
      </c>
      <c r="DB161" s="1" t="s">
        <v>234</v>
      </c>
      <c r="DC161" s="297" t="str">
        <f t="shared" si="157"/>
        <v>loc</v>
      </c>
      <c r="DD161" t="s">
        <v>264</v>
      </c>
      <c r="DF161" s="143"/>
      <c r="DG161" s="143">
        <v>100</v>
      </c>
      <c r="DH161" t="str">
        <f t="shared" si="159"/>
        <v>71-100</v>
      </c>
      <c r="DI161">
        <v>0</v>
      </c>
      <c r="DJ161">
        <v>1</v>
      </c>
      <c r="DK161">
        <v>0</v>
      </c>
      <c r="DL161">
        <v>0</v>
      </c>
      <c r="DN161">
        <f t="shared" si="160"/>
        <v>1</v>
      </c>
      <c r="DO161" t="str">
        <f t="shared" si="161"/>
        <v>EnergyInput</v>
      </c>
      <c r="DP161">
        <f t="shared" si="162"/>
        <v>0</v>
      </c>
      <c r="DQ161" t="str">
        <f t="shared" si="163"/>
        <v>Energy</v>
      </c>
      <c r="DR161">
        <f t="shared" si="164"/>
        <v>0</v>
      </c>
      <c r="DS161">
        <f t="shared" si="165"/>
        <v>0</v>
      </c>
      <c r="DT161">
        <v>0</v>
      </c>
      <c r="DU161" s="143">
        <v>0</v>
      </c>
      <c r="DV161" s="143">
        <v>0</v>
      </c>
      <c r="DW161" s="143">
        <v>0</v>
      </c>
      <c r="DX161" s="143">
        <v>0</v>
      </c>
      <c r="DY161">
        <f t="shared" si="166"/>
        <v>0</v>
      </c>
      <c r="DZ161" s="143" t="str">
        <f t="shared" si="167"/>
        <v>explicit C balance</v>
      </c>
      <c r="EA161" s="143">
        <v>0</v>
      </c>
      <c r="EB161" s="143">
        <v>0</v>
      </c>
      <c r="EC161" s="143">
        <v>1</v>
      </c>
      <c r="ED161" s="143">
        <v>0</v>
      </c>
      <c r="EE161">
        <v>1</v>
      </c>
      <c r="EF161" s="143">
        <v>1</v>
      </c>
      <c r="EG161" s="143">
        <v>0</v>
      </c>
      <c r="EH161" s="143">
        <v>0</v>
      </c>
      <c r="EI161" s="143">
        <v>0</v>
      </c>
      <c r="EJ161">
        <v>0</v>
      </c>
      <c r="EK161">
        <v>1</v>
      </c>
      <c r="EL161" s="143">
        <v>0</v>
      </c>
      <c r="EM161" s="143">
        <v>0</v>
      </c>
      <c r="EN161" s="2">
        <v>0</v>
      </c>
      <c r="EP161" t="str">
        <f t="shared" si="99"/>
        <v/>
      </c>
      <c r="EQ161" t="str">
        <f t="shared" si="140"/>
        <v/>
      </c>
      <c r="ER161" s="2" t="str">
        <f t="shared" si="101"/>
        <v/>
      </c>
      <c r="ES161" t="str">
        <f t="shared" si="102"/>
        <v/>
      </c>
      <c r="ET161" t="str">
        <f t="shared" si="103"/>
        <v/>
      </c>
      <c r="EU161" t="str">
        <f t="shared" si="104"/>
        <v/>
      </c>
      <c r="EY161" t="b">
        <f>IF(ISNUMBER(BW161),IF(ABS(BW161-[1]QC_indicators!$B$2)&gt;3*[1]QC_indicators!$C$2,"C ratio",IF(ISNUMBER(CA161),IF(ABS(CA161-[1]QC_indicators!$B$1)&gt;3*[1]QC_indicators!$C$1,"DF","no"))),IF(ISNUMBER(CA161),IF(ABS(CA161-[1]QC_indicators!$B$1)&gt;3*[1]QC_indicators!$C$1,"DF","no")))</f>
        <v>0</v>
      </c>
      <c r="FA161" t="str">
        <f t="shared" si="105"/>
        <v/>
      </c>
      <c r="FB161" s="299" t="s">
        <v>349</v>
      </c>
    </row>
    <row r="162" spans="1:158" ht="15" hidden="1" customHeight="1">
      <c r="D162" t="s">
        <v>3213</v>
      </c>
      <c r="E162" t="s">
        <v>3214</v>
      </c>
      <c r="G162" t="s">
        <v>3215</v>
      </c>
      <c r="I162">
        <v>2013</v>
      </c>
      <c r="K162" s="288" t="s">
        <v>3216</v>
      </c>
      <c r="M162" t="str">
        <f t="shared" si="139"/>
        <v>Cherubini_2013</v>
      </c>
      <c r="N162" s="297" t="s">
        <v>4058</v>
      </c>
      <c r="O162" t="s">
        <v>223</v>
      </c>
      <c r="Q162" s="297" t="s">
        <v>256</v>
      </c>
      <c r="R162" s="298"/>
      <c r="S162" s="1" t="s">
        <v>3217</v>
      </c>
      <c r="T162" t="s">
        <v>3218</v>
      </c>
      <c r="U162" s="143" t="s">
        <v>3219</v>
      </c>
      <c r="V162" s="143"/>
      <c r="W162" s="143"/>
      <c r="X162">
        <v>1</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s="141">
        <f t="shared" si="141"/>
        <v>1</v>
      </c>
      <c r="BA162" s="141">
        <f t="shared" si="142"/>
        <v>1</v>
      </c>
      <c r="BB162">
        <f t="shared" si="143"/>
        <v>1</v>
      </c>
      <c r="BC162">
        <f t="shared" si="144"/>
        <v>0</v>
      </c>
      <c r="BD162">
        <f t="shared" si="145"/>
        <v>0</v>
      </c>
      <c r="BE162">
        <f t="shared" si="146"/>
        <v>0</v>
      </c>
      <c r="BF162">
        <f t="shared" si="147"/>
        <v>0</v>
      </c>
      <c r="BG162" t="str" cm="1">
        <f t="array" ref="BG162">IF(BA162=1,INDEX($X$7:$AN$7,MATCH(TRUE,INDEX($X162:$AY162&lt;&gt;0,),0)),IF(BA162=0,INDEX($AO$7:$AY$7,MATCH(1,$AO162:$AY162,0)),IF(BH162="Multiple strategies","mixed drivers",IF(BH162="Supply chain","multiple supply","multiple silviculture"))))</f>
        <v>area subject to harvest</v>
      </c>
      <c r="BH162" s="2" t="str" cm="1">
        <f t="array" ref="BH162">IF(COUNTIF(BB162:BD162,"&lt;&gt;0")=1,INDEX($X$4:$AY$4,MATCH(TRUE,INDEX($X162:$AY162&lt;&gt;0,),0)),IF(COUNTIF(BB162:BD162,"&lt;&gt;0")=0,INDEX($AO$4:$AY$4,MATCH(1,$AO162:$AY162,0)),"Multiple strategies"))</f>
        <v>Silviculture for removals</v>
      </c>
      <c r="BI162" s="142"/>
      <c r="BL162" s="143"/>
      <c r="BN162" s="143"/>
      <c r="BO162" s="143"/>
      <c r="BP162" s="143"/>
      <c r="BQ162" s="143"/>
      <c r="BR162" s="297" t="s">
        <v>232</v>
      </c>
      <c r="BS162" s="331"/>
      <c r="BT162" t="s">
        <v>3220</v>
      </c>
      <c r="BU162" s="143">
        <v>0</v>
      </c>
      <c r="BV162">
        <v>0</v>
      </c>
      <c r="BW162" t="s">
        <v>531</v>
      </c>
      <c r="BX162">
        <v>0</v>
      </c>
      <c r="BZ162">
        <f>BX162/10^6</f>
        <v>0</v>
      </c>
      <c r="CA162" t="str">
        <f t="shared" si="95"/>
        <v/>
      </c>
      <c r="CB162" s="143">
        <v>0</v>
      </c>
      <c r="CC162" s="143">
        <v>0</v>
      </c>
      <c r="CD162" s="143">
        <v>0</v>
      </c>
      <c r="CE162" s="143">
        <v>0</v>
      </c>
      <c r="CF162" s="143">
        <v>0</v>
      </c>
      <c r="CG162" s="143">
        <v>0</v>
      </c>
      <c r="CH162" s="143">
        <v>0</v>
      </c>
      <c r="CI162" s="143">
        <v>0</v>
      </c>
      <c r="CJ162" s="143">
        <v>0</v>
      </c>
      <c r="CK162" s="143">
        <v>0</v>
      </c>
      <c r="CL162" s="143">
        <v>0</v>
      </c>
      <c r="CM162" s="143">
        <v>0</v>
      </c>
      <c r="CN162" s="143">
        <v>0</v>
      </c>
      <c r="CO162">
        <v>0</v>
      </c>
      <c r="CP162" t="str">
        <f t="shared" si="171"/>
        <v>refOK</v>
      </c>
      <c r="CQ162"/>
      <c r="CR162"/>
      <c r="CS162"/>
      <c r="CT162">
        <f t="shared" si="96"/>
        <v>0</v>
      </c>
      <c r="CU162">
        <f t="shared" si="152"/>
        <v>0</v>
      </c>
      <c r="CV162">
        <f t="shared" si="153"/>
        <v>0</v>
      </c>
      <c r="CW162">
        <f t="shared" si="154"/>
        <v>0</v>
      </c>
      <c r="CX162" t="str">
        <f t="shared" si="97"/>
        <v/>
      </c>
      <c r="CY162" t="str">
        <f t="shared" si="155"/>
        <v/>
      </c>
      <c r="CZ162" t="str">
        <f t="shared" si="98"/>
        <v/>
      </c>
      <c r="DA162" s="2" t="str">
        <f t="shared" si="156"/>
        <v/>
      </c>
      <c r="DB162" s="1" t="s">
        <v>234</v>
      </c>
      <c r="DC162" s="297" t="str">
        <f t="shared" si="157"/>
        <v>loc</v>
      </c>
      <c r="DD162" t="s">
        <v>264</v>
      </c>
      <c r="DF162" s="143"/>
      <c r="DG162" s="143">
        <v>20</v>
      </c>
      <c r="DH162" t="str">
        <f t="shared" si="159"/>
        <v>1-30</v>
      </c>
      <c r="DI162">
        <v>0</v>
      </c>
      <c r="DJ162">
        <v>1</v>
      </c>
      <c r="DK162">
        <v>0</v>
      </c>
      <c r="DL162">
        <v>0</v>
      </c>
      <c r="DN162">
        <f t="shared" si="160"/>
        <v>1</v>
      </c>
      <c r="DO162" t="str">
        <f t="shared" si="161"/>
        <v>EnergyInput</v>
      </c>
      <c r="DP162">
        <f t="shared" si="162"/>
        <v>0</v>
      </c>
      <c r="DQ162" t="str">
        <f t="shared" si="163"/>
        <v>Energy</v>
      </c>
      <c r="DR162">
        <f t="shared" si="164"/>
        <v>0</v>
      </c>
      <c r="DS162">
        <f t="shared" si="165"/>
        <v>0</v>
      </c>
      <c r="DT162">
        <v>0</v>
      </c>
      <c r="DU162" s="143">
        <v>0</v>
      </c>
      <c r="DV162" s="143">
        <v>0</v>
      </c>
      <c r="DW162" s="143">
        <v>0</v>
      </c>
      <c r="DX162" s="143">
        <v>0</v>
      </c>
      <c r="DY162">
        <f t="shared" si="166"/>
        <v>0</v>
      </c>
      <c r="DZ162" s="143" t="str">
        <f t="shared" si="167"/>
        <v>explicit C balance</v>
      </c>
      <c r="EA162" s="143">
        <v>0</v>
      </c>
      <c r="EB162" s="143">
        <v>0</v>
      </c>
      <c r="EC162" s="143">
        <v>1</v>
      </c>
      <c r="ED162" s="143">
        <v>0</v>
      </c>
      <c r="EE162">
        <v>1</v>
      </c>
      <c r="EF162" s="143">
        <v>1</v>
      </c>
      <c r="EG162" s="143">
        <v>0</v>
      </c>
      <c r="EH162" s="143">
        <v>0</v>
      </c>
      <c r="EI162" s="143">
        <v>0</v>
      </c>
      <c r="EJ162">
        <v>0</v>
      </c>
      <c r="EK162">
        <v>1</v>
      </c>
      <c r="EL162" s="143">
        <v>0</v>
      </c>
      <c r="EM162" s="143">
        <v>0</v>
      </c>
      <c r="EN162" s="2">
        <v>0</v>
      </c>
      <c r="EP162" t="str">
        <f t="shared" si="99"/>
        <v/>
      </c>
      <c r="EQ162" t="str">
        <f t="shared" si="140"/>
        <v/>
      </c>
      <c r="ER162" s="2" t="str">
        <f t="shared" si="101"/>
        <v/>
      </c>
      <c r="ES162" t="str">
        <f t="shared" si="102"/>
        <v/>
      </c>
      <c r="ET162" t="str">
        <f t="shared" si="103"/>
        <v/>
      </c>
      <c r="EU162" t="str">
        <f t="shared" si="104"/>
        <v/>
      </c>
      <c r="EY162" t="b">
        <f>IF(ISNUMBER(BW162),IF(ABS(BW162-[1]QC_indicators!$B$2)&gt;3*[1]QC_indicators!$C$2,"C ratio",IF(ISNUMBER(CA162),IF(ABS(CA162-[1]QC_indicators!$B$1)&gt;3*[1]QC_indicators!$C$1,"DF","no"))),IF(ISNUMBER(CA162),IF(ABS(CA162-[1]QC_indicators!$B$1)&gt;3*[1]QC_indicators!$C$1,"DF","no")))</f>
        <v>0</v>
      </c>
      <c r="FA162" t="str">
        <f t="shared" si="105"/>
        <v/>
      </c>
      <c r="FB162" s="299" t="s">
        <v>349</v>
      </c>
    </row>
    <row r="163" spans="1:158" ht="15" hidden="1" customHeight="1">
      <c r="D163" t="s">
        <v>3213</v>
      </c>
      <c r="E163" t="s">
        <v>3214</v>
      </c>
      <c r="G163" t="s">
        <v>3215</v>
      </c>
      <c r="I163">
        <v>2013</v>
      </c>
      <c r="K163" s="288" t="s">
        <v>3216</v>
      </c>
      <c r="M163" t="str">
        <f t="shared" si="139"/>
        <v>Cherubini_2013</v>
      </c>
      <c r="N163" s="297" t="s">
        <v>4058</v>
      </c>
      <c r="O163" t="s">
        <v>223</v>
      </c>
      <c r="Q163" s="297" t="s">
        <v>256</v>
      </c>
      <c r="R163" s="298"/>
      <c r="S163" s="1" t="s">
        <v>3221</v>
      </c>
      <c r="T163" t="s">
        <v>3222</v>
      </c>
      <c r="U163" s="143" t="s">
        <v>3219</v>
      </c>
      <c r="V163" s="143"/>
      <c r="W163" s="143"/>
      <c r="X163">
        <v>0</v>
      </c>
      <c r="Y163">
        <v>0</v>
      </c>
      <c r="Z163">
        <v>0</v>
      </c>
      <c r="AA163">
        <v>0</v>
      </c>
      <c r="AB163">
        <v>0</v>
      </c>
      <c r="AC163">
        <v>0</v>
      </c>
      <c r="AD163">
        <v>0</v>
      </c>
      <c r="AE163">
        <v>1</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s="141">
        <f t="shared" si="141"/>
        <v>1</v>
      </c>
      <c r="BA163" s="141">
        <f t="shared" si="142"/>
        <v>1</v>
      </c>
      <c r="BB163">
        <f t="shared" si="143"/>
        <v>1</v>
      </c>
      <c r="BC163">
        <f t="shared" si="144"/>
        <v>0</v>
      </c>
      <c r="BD163">
        <f t="shared" si="145"/>
        <v>0</v>
      </c>
      <c r="BE163">
        <f t="shared" si="146"/>
        <v>0</v>
      </c>
      <c r="BF163">
        <f t="shared" si="147"/>
        <v>0</v>
      </c>
      <c r="BG163" t="str" cm="1">
        <f t="array" ref="BG163">IF(BA163=1,INDEX($X$7:$AN$7,MATCH(TRUE,INDEX($X163:$AY163&lt;&gt;0,),0)),IF(BA163=0,INDEX($AO$7:$AY$7,MATCH(1,$AO163:$AY163,0)),IF(BH163="Multiple strategies","mixed drivers",IF(BH163="Supply chain","multiple supply","multiple silviculture"))))</f>
        <v>site fertility</v>
      </c>
      <c r="BH163" s="2" t="str" cm="1">
        <f t="array" ref="BH163">IF(COUNTIF(BB163:BD163,"&lt;&gt;0")=1,INDEX($X$4:$AY$4,MATCH(TRUE,INDEX($X163:$AY163&lt;&gt;0,),0)),IF(COUNTIF(BB163:BD163,"&lt;&gt;0")=0,INDEX($AO$4:$AY$4,MATCH(1,$AO163:$AY163,0)),"Multiple strategies"))</f>
        <v>Silviculture for productivity</v>
      </c>
      <c r="BI163" s="142"/>
      <c r="BL163" s="143"/>
      <c r="BN163" s="143"/>
      <c r="BO163" s="143"/>
      <c r="BP163" s="143"/>
      <c r="BQ163" s="143"/>
      <c r="BR163" s="297" t="s">
        <v>232</v>
      </c>
      <c r="BS163" s="331"/>
      <c r="BT163" t="s">
        <v>3220</v>
      </c>
      <c r="BU163" s="143">
        <v>-71</v>
      </c>
      <c r="BV163">
        <v>-82</v>
      </c>
      <c r="BW163">
        <v>1.1549295774647887</v>
      </c>
      <c r="BX163">
        <v>-11</v>
      </c>
      <c r="BZ163">
        <f>BX163/10^6</f>
        <v>-1.1E-5</v>
      </c>
      <c r="CA163" t="str">
        <f t="shared" si="95"/>
        <v/>
      </c>
      <c r="CB163" s="143">
        <v>0</v>
      </c>
      <c r="CC163" s="143">
        <v>0</v>
      </c>
      <c r="CD163" s="143">
        <v>0</v>
      </c>
      <c r="CE163" s="143">
        <v>0</v>
      </c>
      <c r="CF163" s="143">
        <v>0</v>
      </c>
      <c r="CG163" s="143">
        <v>0</v>
      </c>
      <c r="CH163" s="143">
        <v>0</v>
      </c>
      <c r="CI163" s="143">
        <v>0</v>
      </c>
      <c r="CJ163" s="143">
        <v>0</v>
      </c>
      <c r="CK163" s="143">
        <v>0</v>
      </c>
      <c r="CL163" s="143">
        <v>0</v>
      </c>
      <c r="CM163" s="143">
        <v>0</v>
      </c>
      <c r="CN163" s="143">
        <v>0</v>
      </c>
      <c r="CO163">
        <v>0</v>
      </c>
      <c r="CP163" t="str">
        <f t="shared" si="171"/>
        <v>refOK</v>
      </c>
      <c r="CQ163"/>
      <c r="CR163"/>
      <c r="CS163"/>
      <c r="CT163">
        <f t="shared" si="96"/>
        <v>0</v>
      </c>
      <c r="CU163">
        <f t="shared" si="152"/>
        <v>-71</v>
      </c>
      <c r="CV163">
        <f t="shared" si="153"/>
        <v>-82</v>
      </c>
      <c r="CW163">
        <f t="shared" si="154"/>
        <v>-1.1E-5</v>
      </c>
      <c r="CX163" t="str">
        <f t="shared" si="97"/>
        <v/>
      </c>
      <c r="CY163" t="str">
        <f t="shared" si="155"/>
        <v/>
      </c>
      <c r="CZ163" t="str">
        <f t="shared" si="98"/>
        <v/>
      </c>
      <c r="DA163" s="2">
        <f t="shared" si="156"/>
        <v>-0.15492957746478872</v>
      </c>
      <c r="DB163" s="1" t="s">
        <v>234</v>
      </c>
      <c r="DC163" s="297" t="str">
        <f t="shared" si="157"/>
        <v>loc</v>
      </c>
      <c r="DD163" t="s">
        <v>264</v>
      </c>
      <c r="DF163" s="143"/>
      <c r="DG163" s="143">
        <v>100</v>
      </c>
      <c r="DH163" t="str">
        <f t="shared" si="159"/>
        <v>71-100</v>
      </c>
      <c r="DI163">
        <v>0</v>
      </c>
      <c r="DJ163">
        <v>1</v>
      </c>
      <c r="DK163">
        <v>0</v>
      </c>
      <c r="DL163">
        <v>0</v>
      </c>
      <c r="DN163">
        <f t="shared" si="160"/>
        <v>1</v>
      </c>
      <c r="DO163" t="str">
        <f t="shared" si="161"/>
        <v>EnergyInput</v>
      </c>
      <c r="DP163">
        <f t="shared" si="162"/>
        <v>0</v>
      </c>
      <c r="DQ163" t="str">
        <f t="shared" si="163"/>
        <v>Energy</v>
      </c>
      <c r="DR163">
        <f t="shared" si="164"/>
        <v>0</v>
      </c>
      <c r="DS163">
        <f t="shared" si="165"/>
        <v>0</v>
      </c>
      <c r="DT163">
        <v>0</v>
      </c>
      <c r="DU163" s="143">
        <v>0</v>
      </c>
      <c r="DV163" s="143">
        <v>0</v>
      </c>
      <c r="DW163" s="143">
        <v>0</v>
      </c>
      <c r="DX163" s="143">
        <v>0</v>
      </c>
      <c r="DY163">
        <f t="shared" si="166"/>
        <v>0</v>
      </c>
      <c r="DZ163" s="143" t="str">
        <f t="shared" si="167"/>
        <v>explicit C balance</v>
      </c>
      <c r="EA163" s="143">
        <v>0</v>
      </c>
      <c r="EB163" s="143">
        <v>0</v>
      </c>
      <c r="EC163" s="143">
        <v>0</v>
      </c>
      <c r="ED163" s="143">
        <v>0</v>
      </c>
      <c r="EE163">
        <v>1</v>
      </c>
      <c r="EF163" s="143">
        <v>1</v>
      </c>
      <c r="EG163" s="143">
        <v>0</v>
      </c>
      <c r="EH163" s="143">
        <v>0</v>
      </c>
      <c r="EI163" s="143">
        <v>0</v>
      </c>
      <c r="EJ163">
        <v>0</v>
      </c>
      <c r="EK163">
        <v>1</v>
      </c>
      <c r="EL163" s="143">
        <v>0</v>
      </c>
      <c r="EM163" s="143">
        <v>0</v>
      </c>
      <c r="EN163" s="2">
        <v>0</v>
      </c>
      <c r="EP163" t="str">
        <f t="shared" si="99"/>
        <v/>
      </c>
      <c r="EQ163" t="str">
        <f t="shared" si="140"/>
        <v/>
      </c>
      <c r="ER163" s="2" t="str">
        <f t="shared" si="101"/>
        <v/>
      </c>
      <c r="ES163" t="str">
        <f t="shared" si="102"/>
        <v/>
      </c>
      <c r="ET163" t="str">
        <f t="shared" si="103"/>
        <v/>
      </c>
      <c r="EU163" t="str">
        <f t="shared" si="104"/>
        <v/>
      </c>
      <c r="EY163" t="b">
        <f>IF(ISNUMBER(BW163),IF(ABS(BW163-[1]QC_indicators!$B$2)&gt;3*[1]QC_indicators!$C$2,"C ratio",IF(ISNUMBER(CA163),IF(ABS(CA163-[1]QC_indicators!$B$1)&gt;3*[1]QC_indicators!$C$1,"DF","no"))),IF(ISNUMBER(CA163),IF(ABS(CA163-[1]QC_indicators!$B$1)&gt;3*[1]QC_indicators!$C$1,"DF","no")))</f>
        <v>0</v>
      </c>
      <c r="FA163" t="str">
        <f t="shared" si="105"/>
        <v/>
      </c>
      <c r="FB163" s="299" t="s">
        <v>349</v>
      </c>
    </row>
    <row r="164" spans="1:158" ht="15" hidden="1" customHeight="1">
      <c r="D164" t="s">
        <v>3213</v>
      </c>
      <c r="E164" t="s">
        <v>3214</v>
      </c>
      <c r="G164" t="s">
        <v>3215</v>
      </c>
      <c r="I164">
        <v>2013</v>
      </c>
      <c r="K164" s="288" t="s">
        <v>3216</v>
      </c>
      <c r="M164" t="str">
        <f t="shared" si="139"/>
        <v>Cherubini_2013</v>
      </c>
      <c r="N164" s="297" t="s">
        <v>4058</v>
      </c>
      <c r="O164" t="s">
        <v>223</v>
      </c>
      <c r="Q164" s="297" t="s">
        <v>256</v>
      </c>
      <c r="R164" s="298"/>
      <c r="S164" s="1" t="s">
        <v>3221</v>
      </c>
      <c r="T164" t="s">
        <v>3222</v>
      </c>
      <c r="U164" s="143" t="s">
        <v>3219</v>
      </c>
      <c r="V164" s="143"/>
      <c r="W164" s="143"/>
      <c r="X164">
        <v>0</v>
      </c>
      <c r="Y164">
        <v>0</v>
      </c>
      <c r="Z164">
        <v>0</v>
      </c>
      <c r="AA164">
        <v>0</v>
      </c>
      <c r="AB164">
        <v>0</v>
      </c>
      <c r="AC164">
        <v>0</v>
      </c>
      <c r="AD164">
        <v>0</v>
      </c>
      <c r="AE164">
        <v>1</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s="141">
        <f t="shared" si="141"/>
        <v>1</v>
      </c>
      <c r="BA164" s="141">
        <f t="shared" si="142"/>
        <v>1</v>
      </c>
      <c r="BB164">
        <f t="shared" si="143"/>
        <v>1</v>
      </c>
      <c r="BC164">
        <f t="shared" si="144"/>
        <v>0</v>
      </c>
      <c r="BD164">
        <f t="shared" si="145"/>
        <v>0</v>
      </c>
      <c r="BE164">
        <f t="shared" si="146"/>
        <v>0</v>
      </c>
      <c r="BF164">
        <f t="shared" si="147"/>
        <v>0</v>
      </c>
      <c r="BG164" t="str" cm="1">
        <f t="array" ref="BG164">IF(BA164=1,INDEX($X$7:$AN$7,MATCH(TRUE,INDEX($X164:$AY164&lt;&gt;0,),0)),IF(BA164=0,INDEX($AO$7:$AY$7,MATCH(1,$AO164:$AY164,0)),IF(BH164="Multiple strategies","mixed drivers",IF(BH164="Supply chain","multiple supply","multiple silviculture"))))</f>
        <v>site fertility</v>
      </c>
      <c r="BH164" s="2" t="str" cm="1">
        <f t="array" ref="BH164">IF(COUNTIF(BB164:BD164,"&lt;&gt;0")=1,INDEX($X$4:$AY$4,MATCH(TRUE,INDEX($X164:$AY164&lt;&gt;0,),0)),IF(COUNTIF(BB164:BD164,"&lt;&gt;0")=0,INDEX($AO$4:$AY$4,MATCH(1,$AO164:$AY164,0)),"Multiple strategies"))</f>
        <v>Silviculture for productivity</v>
      </c>
      <c r="BI164" s="142"/>
      <c r="BL164" s="143"/>
      <c r="BN164" s="143"/>
      <c r="BO164" s="143"/>
      <c r="BP164" s="143"/>
      <c r="BQ164" s="143"/>
      <c r="BR164" s="297" t="s">
        <v>232</v>
      </c>
      <c r="BS164" s="331"/>
      <c r="BT164" t="s">
        <v>3220</v>
      </c>
      <c r="BU164" s="143">
        <v>-139</v>
      </c>
      <c r="BV164">
        <v>-132</v>
      </c>
      <c r="BW164">
        <v>0.94964028776978415</v>
      </c>
      <c r="BX164">
        <v>7</v>
      </c>
      <c r="BZ164">
        <f>BX164/10^6</f>
        <v>6.9999999999999999E-6</v>
      </c>
      <c r="CA164" t="str">
        <f t="shared" si="95"/>
        <v/>
      </c>
      <c r="CB164" s="143">
        <v>0</v>
      </c>
      <c r="CC164" s="143">
        <v>0</v>
      </c>
      <c r="CD164" s="143">
        <v>0</v>
      </c>
      <c r="CE164" s="143">
        <v>0</v>
      </c>
      <c r="CF164" s="143">
        <v>0</v>
      </c>
      <c r="CG164" s="143">
        <v>0</v>
      </c>
      <c r="CH164" s="143">
        <v>0</v>
      </c>
      <c r="CI164" s="143">
        <v>0</v>
      </c>
      <c r="CJ164" s="143">
        <v>0</v>
      </c>
      <c r="CK164" s="143">
        <v>0</v>
      </c>
      <c r="CL164" s="143">
        <v>0</v>
      </c>
      <c r="CM164" s="143">
        <v>0</v>
      </c>
      <c r="CN164" s="143">
        <v>0</v>
      </c>
      <c r="CO164">
        <v>0</v>
      </c>
      <c r="CP164" t="str">
        <f t="shared" si="171"/>
        <v>refOK</v>
      </c>
      <c r="CQ164"/>
      <c r="CR164"/>
      <c r="CS164"/>
      <c r="CT164">
        <f t="shared" si="96"/>
        <v>0</v>
      </c>
      <c r="CU164">
        <f t="shared" si="152"/>
        <v>-139</v>
      </c>
      <c r="CV164">
        <f t="shared" si="153"/>
        <v>-132</v>
      </c>
      <c r="CW164">
        <f t="shared" si="154"/>
        <v>6.9999999999999999E-6</v>
      </c>
      <c r="CX164" t="str">
        <f t="shared" si="97"/>
        <v/>
      </c>
      <c r="CY164" t="str">
        <f t="shared" si="155"/>
        <v/>
      </c>
      <c r="CZ164" t="str">
        <f t="shared" si="98"/>
        <v/>
      </c>
      <c r="DA164" s="2">
        <f t="shared" si="156"/>
        <v>5.0359712230215826E-2</v>
      </c>
      <c r="DB164" s="1" t="s">
        <v>234</v>
      </c>
      <c r="DC164" s="297" t="str">
        <f t="shared" si="157"/>
        <v>loc</v>
      </c>
      <c r="DD164" t="s">
        <v>264</v>
      </c>
      <c r="DF164" s="143"/>
      <c r="DG164" s="143">
        <v>20</v>
      </c>
      <c r="DH164" t="str">
        <f t="shared" si="159"/>
        <v>1-30</v>
      </c>
      <c r="DI164">
        <v>0</v>
      </c>
      <c r="DJ164">
        <v>1</v>
      </c>
      <c r="DK164">
        <v>0</v>
      </c>
      <c r="DL164">
        <v>0</v>
      </c>
      <c r="DN164">
        <f t="shared" si="160"/>
        <v>1</v>
      </c>
      <c r="DO164" t="str">
        <f t="shared" si="161"/>
        <v>EnergyInput</v>
      </c>
      <c r="DP164">
        <f t="shared" si="162"/>
        <v>0</v>
      </c>
      <c r="DQ164" t="str">
        <f t="shared" si="163"/>
        <v>Energy</v>
      </c>
      <c r="DR164">
        <f t="shared" si="164"/>
        <v>0</v>
      </c>
      <c r="DS164">
        <f t="shared" si="165"/>
        <v>0</v>
      </c>
      <c r="DT164">
        <v>0</v>
      </c>
      <c r="DU164" s="143">
        <v>0</v>
      </c>
      <c r="DV164" s="143">
        <v>0</v>
      </c>
      <c r="DW164" s="143">
        <v>0</v>
      </c>
      <c r="DX164" s="143">
        <v>0</v>
      </c>
      <c r="DY164">
        <f t="shared" si="166"/>
        <v>0</v>
      </c>
      <c r="DZ164" s="143" t="str">
        <f t="shared" si="167"/>
        <v>explicit C balance</v>
      </c>
      <c r="EA164" s="143">
        <v>0</v>
      </c>
      <c r="EB164" s="143">
        <v>0</v>
      </c>
      <c r="EC164" s="143">
        <v>0</v>
      </c>
      <c r="ED164" s="143">
        <v>0</v>
      </c>
      <c r="EE164">
        <v>1</v>
      </c>
      <c r="EF164" s="143">
        <v>1</v>
      </c>
      <c r="EG164" s="143">
        <v>0</v>
      </c>
      <c r="EH164" s="143">
        <v>0</v>
      </c>
      <c r="EI164" s="143">
        <v>0</v>
      </c>
      <c r="EJ164">
        <v>0</v>
      </c>
      <c r="EK164">
        <v>1</v>
      </c>
      <c r="EL164" s="143">
        <v>0</v>
      </c>
      <c r="EM164" s="143">
        <v>0</v>
      </c>
      <c r="EN164" s="2">
        <v>0</v>
      </c>
      <c r="EP164" t="str">
        <f t="shared" si="99"/>
        <v/>
      </c>
      <c r="EQ164" t="str">
        <f t="shared" si="140"/>
        <v/>
      </c>
      <c r="ER164" s="2" t="str">
        <f t="shared" si="101"/>
        <v/>
      </c>
      <c r="ES164" t="str">
        <f t="shared" si="102"/>
        <v/>
      </c>
      <c r="ET164" t="str">
        <f t="shared" si="103"/>
        <v/>
      </c>
      <c r="EU164" t="str">
        <f t="shared" si="104"/>
        <v/>
      </c>
      <c r="EY164" t="b">
        <f>IF(ISNUMBER(BW164),IF(ABS(BW164-[1]QC_indicators!$B$2)&gt;3*[1]QC_indicators!$C$2,"C ratio",IF(ISNUMBER(CA164),IF(ABS(CA164-[1]QC_indicators!$B$1)&gt;3*[1]QC_indicators!$C$1,"DF","no"))),IF(ISNUMBER(CA164),IF(ABS(CA164-[1]QC_indicators!$B$1)&gt;3*[1]QC_indicators!$C$1,"DF","no")))</f>
        <v>0</v>
      </c>
      <c r="FA164" t="str">
        <f t="shared" si="105"/>
        <v/>
      </c>
      <c r="FB164" s="299" t="s">
        <v>349</v>
      </c>
    </row>
    <row r="165" spans="1:158" ht="15" hidden="1" customHeight="1">
      <c r="A165" s="1" t="s">
        <v>3223</v>
      </c>
      <c r="B165" t="s">
        <v>3224</v>
      </c>
      <c r="C165" t="s">
        <v>3225</v>
      </c>
      <c r="D165" t="s">
        <v>3226</v>
      </c>
      <c r="E165" t="s">
        <v>3227</v>
      </c>
      <c r="F165" t="s">
        <v>3228</v>
      </c>
      <c r="G165" t="s">
        <v>3229</v>
      </c>
      <c r="H165" t="s">
        <v>254</v>
      </c>
      <c r="I165">
        <v>2021</v>
      </c>
      <c r="J165">
        <v>1</v>
      </c>
      <c r="K165" t="s">
        <v>3230</v>
      </c>
      <c r="M165" t="str">
        <f t="shared" si="139"/>
        <v>Dampha_2021</v>
      </c>
      <c r="N165" s="297" t="s">
        <v>4058</v>
      </c>
      <c r="O165" s="145" t="s">
        <v>223</v>
      </c>
      <c r="Q165" s="297" t="s">
        <v>256</v>
      </c>
      <c r="R165" s="298"/>
      <c r="S165" s="1" t="s">
        <v>3231</v>
      </c>
      <c r="T165" t="s">
        <v>3232</v>
      </c>
      <c r="U165" t="s">
        <v>3235</v>
      </c>
      <c r="X165">
        <v>1</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2</v>
      </c>
      <c r="AZ165" s="141">
        <f t="shared" si="141"/>
        <v>2</v>
      </c>
      <c r="BA165" s="141">
        <f t="shared" si="142"/>
        <v>1</v>
      </c>
      <c r="BB165">
        <f t="shared" si="143"/>
        <v>1</v>
      </c>
      <c r="BC165">
        <f t="shared" si="144"/>
        <v>0</v>
      </c>
      <c r="BD165">
        <f t="shared" si="145"/>
        <v>0</v>
      </c>
      <c r="BE165">
        <f t="shared" si="146"/>
        <v>1</v>
      </c>
      <c r="BF165">
        <f t="shared" si="147"/>
        <v>0</v>
      </c>
      <c r="BG165" t="str" cm="1">
        <f t="array" ref="BG165">IF(BA165=1,INDEX($X$7:$AN$7,MATCH(TRUE,INDEX($X165:$AY165&lt;&gt;0,),0)),IF(BA165=0,INDEX($AO$7:$AY$7,MATCH(1,$AO165:$AY165,0)),IF(BH165="Multiple strategies","mixed drivers",IF(BH165="Supply chain","multiple supply","multiple silviculture"))))</f>
        <v>area subject to harvest</v>
      </c>
      <c r="BH165" s="2" t="str" cm="1">
        <f t="array" ref="BH165">IF(COUNTIF(BB165:BD165,"&lt;&gt;0")=1,INDEX($X$4:$AY$4,MATCH(TRUE,INDEX($X165:$AY165&lt;&gt;0,),0)),IF(COUNTIF(BB165:BD165,"&lt;&gt;0")=0,INDEX($AO$4:$AY$4,MATCH(1,$AO165:$AY165,0)),"Multiple strategies"))</f>
        <v>Silviculture for removals</v>
      </c>
      <c r="BR165" t="s">
        <v>232</v>
      </c>
      <c r="BS165" s="230"/>
      <c r="BT165" t="s">
        <v>907</v>
      </c>
      <c r="BU165">
        <v>63078</v>
      </c>
      <c r="BV165">
        <v>20975</v>
      </c>
      <c r="BW165" s="144">
        <f>IFERROR(BV165/BU165,"")</f>
        <v>0.33252481055201499</v>
      </c>
      <c r="BX165">
        <f>BV165-BU165</f>
        <v>-42103</v>
      </c>
      <c r="BZ165">
        <f>BX165*C_to_CO2</f>
        <v>-154518.01</v>
      </c>
      <c r="CA165" t="str">
        <f t="shared" si="95"/>
        <v/>
      </c>
      <c r="CB165">
        <v>0</v>
      </c>
      <c r="CC165">
        <v>0</v>
      </c>
      <c r="CD165">
        <v>0</v>
      </c>
      <c r="CE165">
        <v>0</v>
      </c>
      <c r="CF165">
        <v>0</v>
      </c>
      <c r="CG165">
        <v>0</v>
      </c>
      <c r="CH165">
        <v>0</v>
      </c>
      <c r="CI165">
        <v>0</v>
      </c>
      <c r="CJ165">
        <v>0</v>
      </c>
      <c r="CK165">
        <v>0</v>
      </c>
      <c r="CL165">
        <v>0</v>
      </c>
      <c r="CM165">
        <v>0</v>
      </c>
      <c r="CN165">
        <v>0</v>
      </c>
      <c r="CO165">
        <v>1</v>
      </c>
      <c r="CP165" t="str">
        <f t="shared" si="171"/>
        <v>refOK</v>
      </c>
      <c r="CQ165"/>
      <c r="CR165"/>
      <c r="CS165"/>
      <c r="CT165">
        <f t="shared" si="96"/>
        <v>0</v>
      </c>
      <c r="CU165">
        <f t="shared" si="152"/>
        <v>63078</v>
      </c>
      <c r="CV165">
        <f t="shared" si="153"/>
        <v>20975</v>
      </c>
      <c r="CW165">
        <f t="shared" si="154"/>
        <v>-154518.01</v>
      </c>
      <c r="CX165" t="str">
        <f t="shared" si="97"/>
        <v/>
      </c>
      <c r="CY165" t="str">
        <f t="shared" si="155"/>
        <v/>
      </c>
      <c r="CZ165" t="str">
        <f t="shared" si="98"/>
        <v/>
      </c>
      <c r="DA165" s="2">
        <f t="shared" si="156"/>
        <v>-0.66747518944798501</v>
      </c>
      <c r="DB165" s="1" t="s">
        <v>1074</v>
      </c>
      <c r="DC165" s="297" t="str">
        <f t="shared" si="157"/>
        <v>reg</v>
      </c>
      <c r="DD165" t="s">
        <v>3233</v>
      </c>
      <c r="DE165">
        <v>2020</v>
      </c>
      <c r="DF165">
        <v>2050</v>
      </c>
      <c r="DG165">
        <f t="shared" ref="DG165:DG171" si="172">DF165-DE165</f>
        <v>30</v>
      </c>
      <c r="DH165" t="str">
        <f t="shared" si="159"/>
        <v>1-30</v>
      </c>
      <c r="DI165">
        <v>1</v>
      </c>
      <c r="DJ165">
        <v>0</v>
      </c>
      <c r="DK165">
        <v>0</v>
      </c>
      <c r="DL165">
        <v>0</v>
      </c>
      <c r="DN165">
        <f t="shared" si="160"/>
        <v>1</v>
      </c>
      <c r="DO165" t="str">
        <f t="shared" si="161"/>
        <v>UpstreamInput</v>
      </c>
      <c r="DP165" t="str">
        <f t="shared" si="162"/>
        <v>Upstream</v>
      </c>
      <c r="DQ165">
        <f t="shared" si="163"/>
        <v>0</v>
      </c>
      <c r="DR165">
        <f t="shared" si="164"/>
        <v>0</v>
      </c>
      <c r="DS165">
        <f t="shared" si="165"/>
        <v>0</v>
      </c>
      <c r="DT165">
        <v>0</v>
      </c>
      <c r="DU165">
        <v>0</v>
      </c>
      <c r="DV165">
        <v>0</v>
      </c>
      <c r="DW165">
        <v>0</v>
      </c>
      <c r="DX165">
        <v>0</v>
      </c>
      <c r="DY165">
        <f t="shared" si="166"/>
        <v>0</v>
      </c>
      <c r="DZ165" s="143" t="str">
        <f t="shared" si="167"/>
        <v>explicit C balance</v>
      </c>
      <c r="EA165">
        <v>1</v>
      </c>
      <c r="EB165">
        <v>0</v>
      </c>
      <c r="EC165">
        <v>1</v>
      </c>
      <c r="ED165">
        <v>0</v>
      </c>
      <c r="EE165">
        <v>0</v>
      </c>
      <c r="EF165" s="143">
        <v>0</v>
      </c>
      <c r="EG165">
        <v>0</v>
      </c>
      <c r="EH165">
        <v>0</v>
      </c>
      <c r="EI165">
        <v>0</v>
      </c>
      <c r="EJ165">
        <v>0</v>
      </c>
      <c r="EK165">
        <v>0</v>
      </c>
      <c r="EL165">
        <v>0</v>
      </c>
      <c r="EM165">
        <v>1</v>
      </c>
      <c r="EN165" s="2">
        <v>0</v>
      </c>
      <c r="EP165" t="str">
        <f t="shared" si="99"/>
        <v/>
      </c>
      <c r="EQ165" t="str">
        <f t="shared" si="140"/>
        <v/>
      </c>
      <c r="ER165" s="2" t="str">
        <f t="shared" si="101"/>
        <v/>
      </c>
      <c r="ES165" t="str">
        <f t="shared" si="102"/>
        <v/>
      </c>
      <c r="ET165" t="str">
        <f t="shared" si="103"/>
        <v/>
      </c>
      <c r="EU165" t="str">
        <f t="shared" si="104"/>
        <v/>
      </c>
      <c r="EY165" t="b">
        <f>IF(ISNUMBER(BW165),IF(ABS(BW165-[1]QC_indicators!$B$2)&gt;3*[1]QC_indicators!$C$2,"C ratio",IF(ISNUMBER(CA165),IF(ABS(CA165-[1]QC_indicators!$B$1)&gt;3*[1]QC_indicators!$C$1,"DF","no"))),IF(ISNUMBER(CA165),IF(ABS(CA165-[1]QC_indicators!$B$1)&gt;3*[1]QC_indicators!$C$1,"DF","no")))</f>
        <v>0</v>
      </c>
      <c r="FA165" t="str">
        <f t="shared" si="105"/>
        <v/>
      </c>
      <c r="FB165" s="299" t="s">
        <v>3236</v>
      </c>
    </row>
    <row r="166" spans="1:158" ht="15" hidden="1" customHeight="1">
      <c r="A166" s="1" t="s">
        <v>3223</v>
      </c>
      <c r="B166" t="s">
        <v>3224</v>
      </c>
      <c r="C166" t="s">
        <v>3225</v>
      </c>
      <c r="D166" t="s">
        <v>3226</v>
      </c>
      <c r="E166" s="297" t="s">
        <v>3227</v>
      </c>
      <c r="F166" t="s">
        <v>3228</v>
      </c>
      <c r="G166" t="s">
        <v>3229</v>
      </c>
      <c r="H166" t="s">
        <v>254</v>
      </c>
      <c r="I166">
        <v>2021</v>
      </c>
      <c r="J166">
        <v>1</v>
      </c>
      <c r="K166" t="s">
        <v>3230</v>
      </c>
      <c r="M166" t="str">
        <f t="shared" si="139"/>
        <v>Dampha_2021</v>
      </c>
      <c r="N166" s="297" t="s">
        <v>4058</v>
      </c>
      <c r="O166" s="145" t="s">
        <v>223</v>
      </c>
      <c r="Q166" s="297" t="s">
        <v>256</v>
      </c>
      <c r="R166" s="298"/>
      <c r="S166" s="1" t="s">
        <v>3231</v>
      </c>
      <c r="T166" t="s">
        <v>3232</v>
      </c>
      <c r="U166" t="s">
        <v>1003</v>
      </c>
      <c r="X166">
        <v>1</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2</v>
      </c>
      <c r="AZ166" s="141">
        <f t="shared" si="141"/>
        <v>2</v>
      </c>
      <c r="BA166" s="141">
        <f t="shared" si="142"/>
        <v>1</v>
      </c>
      <c r="BB166">
        <f t="shared" si="143"/>
        <v>1</v>
      </c>
      <c r="BC166">
        <f t="shared" si="144"/>
        <v>0</v>
      </c>
      <c r="BD166">
        <f t="shared" si="145"/>
        <v>0</v>
      </c>
      <c r="BE166">
        <f t="shared" si="146"/>
        <v>1</v>
      </c>
      <c r="BF166">
        <f t="shared" si="147"/>
        <v>0</v>
      </c>
      <c r="BG166" t="str" cm="1">
        <f t="array" ref="BG166">IF(BA166=1,INDEX($X$7:$AN$7,MATCH(TRUE,INDEX($X166:$AY166&lt;&gt;0,),0)),IF(BA166=0,INDEX($AO$7:$AY$7,MATCH(1,$AO166:$AY166,0)),IF(BH166="Multiple strategies","mixed drivers",IF(BH166="Supply chain","multiple supply","multiple silviculture"))))</f>
        <v>area subject to harvest</v>
      </c>
      <c r="BH166" s="2" t="str" cm="1">
        <f t="array" ref="BH166">IF(COUNTIF(BB166:BD166,"&lt;&gt;0")=1,INDEX($X$4:$AY$4,MATCH(TRUE,INDEX($X166:$AY166&lt;&gt;0,),0)),IF(COUNTIF(BB166:BD166,"&lt;&gt;0")=0,INDEX($AO$4:$AY$4,MATCH(1,$AO166:$AY166,0)),"Multiple strategies"))</f>
        <v>Silviculture for removals</v>
      </c>
      <c r="BR166" t="s">
        <v>232</v>
      </c>
      <c r="BS166" s="230"/>
      <c r="BT166" t="s">
        <v>907</v>
      </c>
      <c r="BU166">
        <v>63078</v>
      </c>
      <c r="BV166">
        <v>41950</v>
      </c>
      <c r="BW166" s="144">
        <f>IFERROR(BV166/BU166,"")</f>
        <v>0.66504962110402999</v>
      </c>
      <c r="BX166">
        <f>BV166-BU166</f>
        <v>-21128</v>
      </c>
      <c r="BZ166">
        <f>BX166*C_to_CO2</f>
        <v>-77539.759999999995</v>
      </c>
      <c r="CA166" t="str">
        <f t="shared" si="95"/>
        <v/>
      </c>
      <c r="CB166">
        <v>0</v>
      </c>
      <c r="CC166">
        <v>0</v>
      </c>
      <c r="CD166">
        <v>0</v>
      </c>
      <c r="CE166">
        <v>0</v>
      </c>
      <c r="CF166">
        <v>0</v>
      </c>
      <c r="CG166">
        <v>0</v>
      </c>
      <c r="CH166">
        <v>0</v>
      </c>
      <c r="CI166">
        <v>0</v>
      </c>
      <c r="CJ166">
        <v>0</v>
      </c>
      <c r="CK166">
        <v>0</v>
      </c>
      <c r="CL166">
        <v>0</v>
      </c>
      <c r="CM166">
        <v>0</v>
      </c>
      <c r="CN166">
        <v>0</v>
      </c>
      <c r="CO166">
        <v>1</v>
      </c>
      <c r="CP166" t="str">
        <f t="shared" si="171"/>
        <v>refOK</v>
      </c>
      <c r="CQ166"/>
      <c r="CR166"/>
      <c r="CS166"/>
      <c r="CT166">
        <f t="shared" si="96"/>
        <v>0</v>
      </c>
      <c r="CU166">
        <f t="shared" si="152"/>
        <v>63078</v>
      </c>
      <c r="CV166">
        <f t="shared" si="153"/>
        <v>41950</v>
      </c>
      <c r="CW166">
        <f t="shared" si="154"/>
        <v>-77539.759999999995</v>
      </c>
      <c r="CX166" t="str">
        <f t="shared" si="97"/>
        <v/>
      </c>
      <c r="CY166" t="str">
        <f t="shared" si="155"/>
        <v/>
      </c>
      <c r="CZ166" t="str">
        <f t="shared" si="98"/>
        <v/>
      </c>
      <c r="DA166" s="2">
        <f t="shared" si="156"/>
        <v>-0.33495037889597007</v>
      </c>
      <c r="DB166" s="1" t="s">
        <v>1074</v>
      </c>
      <c r="DC166" s="297" t="str">
        <f t="shared" si="157"/>
        <v>reg</v>
      </c>
      <c r="DD166" t="s">
        <v>3233</v>
      </c>
      <c r="DE166">
        <v>2020</v>
      </c>
      <c r="DF166">
        <v>2050</v>
      </c>
      <c r="DG166">
        <f t="shared" si="172"/>
        <v>30</v>
      </c>
      <c r="DH166" t="str">
        <f t="shared" si="159"/>
        <v>1-30</v>
      </c>
      <c r="DI166">
        <v>1</v>
      </c>
      <c r="DJ166">
        <v>0</v>
      </c>
      <c r="DK166">
        <v>0</v>
      </c>
      <c r="DL166">
        <v>0</v>
      </c>
      <c r="DN166">
        <f t="shared" si="160"/>
        <v>1</v>
      </c>
      <c r="DO166" t="str">
        <f t="shared" si="161"/>
        <v>UpstreamInput</v>
      </c>
      <c r="DP166" t="str">
        <f t="shared" si="162"/>
        <v>Upstream</v>
      </c>
      <c r="DQ166">
        <f t="shared" si="163"/>
        <v>0</v>
      </c>
      <c r="DR166">
        <f t="shared" si="164"/>
        <v>0</v>
      </c>
      <c r="DS166">
        <f t="shared" si="165"/>
        <v>0</v>
      </c>
      <c r="DT166">
        <v>0</v>
      </c>
      <c r="DU166">
        <v>0</v>
      </c>
      <c r="DV166">
        <v>0</v>
      </c>
      <c r="DW166">
        <v>0</v>
      </c>
      <c r="DX166">
        <v>0</v>
      </c>
      <c r="DY166">
        <f t="shared" si="166"/>
        <v>0</v>
      </c>
      <c r="DZ166" s="143" t="str">
        <f t="shared" si="167"/>
        <v>explicit C balance</v>
      </c>
      <c r="EA166">
        <v>1</v>
      </c>
      <c r="EB166">
        <v>0</v>
      </c>
      <c r="EC166">
        <v>1</v>
      </c>
      <c r="ED166">
        <v>0</v>
      </c>
      <c r="EE166">
        <v>0</v>
      </c>
      <c r="EF166" s="143">
        <v>0</v>
      </c>
      <c r="EG166">
        <v>0</v>
      </c>
      <c r="EH166">
        <v>0</v>
      </c>
      <c r="EI166">
        <v>0</v>
      </c>
      <c r="EJ166">
        <v>0</v>
      </c>
      <c r="EK166">
        <v>0</v>
      </c>
      <c r="EL166">
        <v>0</v>
      </c>
      <c r="EM166">
        <v>1</v>
      </c>
      <c r="EN166" s="2">
        <v>0</v>
      </c>
      <c r="EP166" t="str">
        <f t="shared" si="99"/>
        <v/>
      </c>
      <c r="EQ166" t="str">
        <f t="shared" si="140"/>
        <v/>
      </c>
      <c r="ER166" s="2" t="str">
        <f t="shared" si="101"/>
        <v/>
      </c>
      <c r="ES166" t="str">
        <f t="shared" si="102"/>
        <v/>
      </c>
      <c r="ET166" t="str">
        <f t="shared" si="103"/>
        <v/>
      </c>
      <c r="EU166" t="str">
        <f t="shared" si="104"/>
        <v/>
      </c>
      <c r="EY166" t="b">
        <f>IF(ISNUMBER(BW166),IF(ABS(BW166-[1]QC_indicators!$B$2)&gt;3*[1]QC_indicators!$C$2,"C ratio",IF(ISNUMBER(CA166),IF(ABS(CA166-[1]QC_indicators!$B$1)&gt;3*[1]QC_indicators!$C$1,"DF","no"))),IF(ISNUMBER(CA166),IF(ABS(CA166-[1]QC_indicators!$B$1)&gt;3*[1]QC_indicators!$C$1,"DF","no")))</f>
        <v>0</v>
      </c>
      <c r="FA166" t="str">
        <f t="shared" si="105"/>
        <v/>
      </c>
      <c r="FB166" s="299" t="s">
        <v>3234</v>
      </c>
    </row>
    <row r="167" spans="1:158" ht="15" hidden="1" customHeight="1">
      <c r="D167" t="s">
        <v>3237</v>
      </c>
      <c r="E167" t="s">
        <v>3238</v>
      </c>
      <c r="G167" t="s">
        <v>3239</v>
      </c>
      <c r="I167">
        <v>2018</v>
      </c>
      <c r="K167" s="297" t="s">
        <v>3240</v>
      </c>
      <c r="M167" t="str">
        <f t="shared" si="139"/>
        <v>Dugan_2018</v>
      </c>
      <c r="N167" s="297" t="s">
        <v>4058</v>
      </c>
      <c r="O167" t="s">
        <v>223</v>
      </c>
      <c r="Q167" s="297" t="s">
        <v>256</v>
      </c>
      <c r="R167" s="298"/>
      <c r="S167" s="1" t="s">
        <v>3249</v>
      </c>
      <c r="T167" t="s">
        <v>3243</v>
      </c>
      <c r="U167" s="143" t="s">
        <v>3250</v>
      </c>
      <c r="V167" s="143"/>
      <c r="W167" s="143"/>
      <c r="X167">
        <v>1</v>
      </c>
      <c r="Y167">
        <v>0</v>
      </c>
      <c r="Z167">
        <v>0</v>
      </c>
      <c r="AA167">
        <v>0</v>
      </c>
      <c r="AB167">
        <v>0</v>
      </c>
      <c r="AC167">
        <v>0</v>
      </c>
      <c r="AD167">
        <v>0</v>
      </c>
      <c r="AE167">
        <v>0</v>
      </c>
      <c r="AF167">
        <v>0</v>
      </c>
      <c r="AG167">
        <v>0</v>
      </c>
      <c r="AH167">
        <v>2</v>
      </c>
      <c r="AI167">
        <v>0</v>
      </c>
      <c r="AJ167">
        <v>0</v>
      </c>
      <c r="AK167">
        <v>0</v>
      </c>
      <c r="AL167">
        <v>0</v>
      </c>
      <c r="AM167">
        <v>0</v>
      </c>
      <c r="AN167">
        <v>0</v>
      </c>
      <c r="AO167">
        <v>0</v>
      </c>
      <c r="AP167">
        <v>0</v>
      </c>
      <c r="AQ167">
        <v>0</v>
      </c>
      <c r="AR167">
        <v>0</v>
      </c>
      <c r="AS167">
        <v>0</v>
      </c>
      <c r="AT167">
        <v>0</v>
      </c>
      <c r="AU167">
        <v>0</v>
      </c>
      <c r="AV167">
        <v>0</v>
      </c>
      <c r="AW167">
        <v>0</v>
      </c>
      <c r="AX167">
        <v>0</v>
      </c>
      <c r="AY167">
        <v>0</v>
      </c>
      <c r="AZ167" s="141">
        <f t="shared" si="141"/>
        <v>2</v>
      </c>
      <c r="BA167" s="141">
        <f t="shared" si="142"/>
        <v>2</v>
      </c>
      <c r="BB167">
        <f t="shared" si="143"/>
        <v>1</v>
      </c>
      <c r="BC167">
        <f t="shared" si="144"/>
        <v>1</v>
      </c>
      <c r="BD167">
        <f t="shared" si="145"/>
        <v>0</v>
      </c>
      <c r="BE167">
        <f t="shared" si="146"/>
        <v>0</v>
      </c>
      <c r="BF167">
        <f t="shared" si="147"/>
        <v>0</v>
      </c>
      <c r="BG167" t="str" cm="1">
        <f t="array" ref="BG167">IF(BA167=1,INDEX($X$7:$AN$7,MATCH(TRUE,INDEX($X167:$AY167&lt;&gt;0,),0)),IF(BA167=0,INDEX($AO$7:$AY$7,MATCH(1,$AO167:$AY167,0)),IF(BH167="Multiple strategies","mixed drivers",IF(BH167="Supply chain","multiple supply","multiple silviculture"))))</f>
        <v>mixed drivers</v>
      </c>
      <c r="BH167" s="2" t="str" cm="1">
        <f t="array" ref="BH167">IF(COUNTIF(BB167:BD167,"&lt;&gt;0")=1,INDEX($X$4:$AY$4,MATCH(TRUE,INDEX($X167:$AY167&lt;&gt;0,),0)),IF(COUNTIF(BB167:BD167,"&lt;&gt;0")=0,INDEX($AO$4:$AY$4,MATCH(1,$AO167:$AY167,0)),"Multiple strategies"))</f>
        <v>Multiple strategies</v>
      </c>
      <c r="BI167" s="142" t="s">
        <v>229</v>
      </c>
      <c r="BJ167" s="297" t="s">
        <v>3251</v>
      </c>
      <c r="BK167" s="297" t="s">
        <v>767</v>
      </c>
      <c r="BL167" s="143" t="s">
        <v>1018</v>
      </c>
      <c r="BN167" s="143"/>
      <c r="BO167" s="143"/>
      <c r="BQ167" s="143"/>
      <c r="BR167" s="297" t="s">
        <v>395</v>
      </c>
      <c r="BS167" s="331" t="s">
        <v>396</v>
      </c>
      <c r="BT167" t="s">
        <v>1018</v>
      </c>
      <c r="BU167" s="143"/>
      <c r="BX167">
        <v>-12.1</v>
      </c>
      <c r="BZ167">
        <f>BX167*10^6</f>
        <v>-12100000</v>
      </c>
      <c r="CA167" t="str">
        <f t="shared" si="95"/>
        <v/>
      </c>
      <c r="CB167" s="143">
        <v>0</v>
      </c>
      <c r="CC167" s="143">
        <v>0</v>
      </c>
      <c r="CD167" s="143">
        <v>0</v>
      </c>
      <c r="CE167" s="143">
        <v>0</v>
      </c>
      <c r="CF167" s="143">
        <v>0</v>
      </c>
      <c r="CG167" s="143">
        <v>0</v>
      </c>
      <c r="CH167" s="143">
        <v>0</v>
      </c>
      <c r="CI167" s="143">
        <v>0</v>
      </c>
      <c r="CJ167" s="143">
        <v>0</v>
      </c>
      <c r="CK167" s="143">
        <v>0</v>
      </c>
      <c r="CL167" s="143">
        <v>0</v>
      </c>
      <c r="CM167" s="143">
        <v>0</v>
      </c>
      <c r="CN167" s="143">
        <v>0</v>
      </c>
      <c r="CO167">
        <v>0</v>
      </c>
      <c r="CP167" t="str">
        <f t="shared" si="171"/>
        <v>refOK</v>
      </c>
      <c r="CQ167"/>
      <c r="CR167"/>
      <c r="CS167">
        <f>IF($CP167="refNeedCorrection",-BQ167,BQ167)</f>
        <v>0</v>
      </c>
      <c r="CT167">
        <f t="shared" si="96"/>
        <v>0</v>
      </c>
      <c r="CU167">
        <f t="shared" si="152"/>
        <v>0</v>
      </c>
      <c r="CV167">
        <f t="shared" si="153"/>
        <v>0</v>
      </c>
      <c r="CW167">
        <f t="shared" si="154"/>
        <v>12100000</v>
      </c>
      <c r="CX167" t="str">
        <f t="shared" si="97"/>
        <v/>
      </c>
      <c r="CY167" t="str">
        <f t="shared" si="155"/>
        <v/>
      </c>
      <c r="CZ167" t="str">
        <f t="shared" si="98"/>
        <v/>
      </c>
      <c r="DA167" s="2" t="str">
        <f t="shared" si="156"/>
        <v/>
      </c>
      <c r="DB167" s="1" t="s">
        <v>1074</v>
      </c>
      <c r="DC167" s="297" t="str">
        <f t="shared" si="157"/>
        <v>reg</v>
      </c>
      <c r="DD167" t="s">
        <v>428</v>
      </c>
      <c r="DE167">
        <v>2015</v>
      </c>
      <c r="DF167" s="143">
        <v>2050</v>
      </c>
      <c r="DG167" s="143">
        <f t="shared" si="172"/>
        <v>35</v>
      </c>
      <c r="DH167" t="str">
        <f t="shared" si="159"/>
        <v>31-70</v>
      </c>
      <c r="DI167">
        <v>0</v>
      </c>
      <c r="DJ167">
        <v>1</v>
      </c>
      <c r="DK167">
        <v>1</v>
      </c>
      <c r="DL167">
        <v>1</v>
      </c>
      <c r="DN167">
        <f t="shared" si="160"/>
        <v>3</v>
      </c>
      <c r="DO167" t="str">
        <f t="shared" si="161"/>
        <v>mixedProduct</v>
      </c>
      <c r="DP167">
        <f t="shared" si="162"/>
        <v>0</v>
      </c>
      <c r="DQ167" t="str">
        <f t="shared" si="163"/>
        <v>Energy</v>
      </c>
      <c r="DR167" t="str">
        <f t="shared" si="164"/>
        <v>Pulp/Paper</v>
      </c>
      <c r="DS167" t="str">
        <f t="shared" si="165"/>
        <v>Timber</v>
      </c>
      <c r="DT167">
        <v>0</v>
      </c>
      <c r="DU167" s="143">
        <v>1</v>
      </c>
      <c r="DV167" s="143" t="s">
        <v>3245</v>
      </c>
      <c r="DW167" s="143" t="s">
        <v>3245</v>
      </c>
      <c r="DX167" s="143" t="s">
        <v>3245</v>
      </c>
      <c r="DY167">
        <f t="shared" si="166"/>
        <v>1</v>
      </c>
      <c r="DZ167" s="143" t="str">
        <f t="shared" si="167"/>
        <v>external DF used</v>
      </c>
      <c r="EA167" s="143">
        <v>1</v>
      </c>
      <c r="EB167" s="143">
        <v>1</v>
      </c>
      <c r="EC167" s="143">
        <v>1</v>
      </c>
      <c r="ED167" s="143">
        <v>1</v>
      </c>
      <c r="EE167">
        <v>1</v>
      </c>
      <c r="EF167" s="143">
        <v>1</v>
      </c>
      <c r="EG167" s="143">
        <v>0</v>
      </c>
      <c r="EH167" s="143">
        <v>1</v>
      </c>
      <c r="EI167" s="143">
        <v>0</v>
      </c>
      <c r="EJ167">
        <v>0</v>
      </c>
      <c r="EK167">
        <v>1</v>
      </c>
      <c r="EL167" s="143">
        <v>0</v>
      </c>
      <c r="EM167" s="143">
        <v>1</v>
      </c>
      <c r="EN167" s="2">
        <v>0</v>
      </c>
      <c r="EP167" t="str">
        <f t="shared" si="99"/>
        <v>Whole sector approach</v>
      </c>
      <c r="EQ167" t="str">
        <f t="shared" si="140"/>
        <v/>
      </c>
      <c r="ER167" s="2" t="str">
        <f t="shared" si="101"/>
        <v/>
      </c>
      <c r="ES167" t="str">
        <f t="shared" si="102"/>
        <v/>
      </c>
      <c r="ET167" t="str">
        <f t="shared" si="103"/>
        <v/>
      </c>
      <c r="EU167" t="str">
        <f t="shared" si="104"/>
        <v/>
      </c>
      <c r="EY167" t="b">
        <f>IF(ISNUMBER(BW167),IF(ABS(BW167-[1]QC_indicators!$B$2)&gt;3*[1]QC_indicators!$C$2,"C ratio",IF(ISNUMBER(CA167),IF(ABS(CA167-[1]QC_indicators!$B$1)&gt;3*[1]QC_indicators!$C$1,"DF","no"))),IF(ISNUMBER(CA167),IF(ABS(CA167-[1]QC_indicators!$B$1)&gt;3*[1]QC_indicators!$C$1,"DF","no")))</f>
        <v>0</v>
      </c>
      <c r="FA167" t="str">
        <f t="shared" si="105"/>
        <v/>
      </c>
      <c r="FB167" s="299" t="s">
        <v>3246</v>
      </c>
    </row>
    <row r="168" spans="1:158" ht="15" hidden="1" customHeight="1">
      <c r="D168" t="s">
        <v>3237</v>
      </c>
      <c r="E168" t="s">
        <v>3238</v>
      </c>
      <c r="G168" t="s">
        <v>3239</v>
      </c>
      <c r="I168">
        <v>2018</v>
      </c>
      <c r="K168" s="297" t="s">
        <v>3240</v>
      </c>
      <c r="M168" t="str">
        <f t="shared" si="139"/>
        <v>Dugan_2018</v>
      </c>
      <c r="N168" s="297" t="s">
        <v>4058</v>
      </c>
      <c r="O168" t="s">
        <v>223</v>
      </c>
      <c r="Q168" s="297" t="s">
        <v>256</v>
      </c>
      <c r="R168" s="298"/>
      <c r="S168" s="1" t="s">
        <v>3241</v>
      </c>
      <c r="T168" t="s">
        <v>3243</v>
      </c>
      <c r="U168" s="143" t="s">
        <v>3252</v>
      </c>
      <c r="V168" s="143"/>
      <c r="W168" s="143"/>
      <c r="X168">
        <v>0</v>
      </c>
      <c r="Y168">
        <v>0</v>
      </c>
      <c r="Z168">
        <v>0</v>
      </c>
      <c r="AA168">
        <v>0</v>
      </c>
      <c r="AB168">
        <v>0</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0</v>
      </c>
      <c r="AX168">
        <v>0</v>
      </c>
      <c r="AY168">
        <v>0</v>
      </c>
      <c r="AZ168" s="141">
        <f t="shared" si="141"/>
        <v>1</v>
      </c>
      <c r="BA168" s="141">
        <f t="shared" si="142"/>
        <v>1</v>
      </c>
      <c r="BB168">
        <f t="shared" si="143"/>
        <v>0</v>
      </c>
      <c r="BC168">
        <f t="shared" si="144"/>
        <v>1</v>
      </c>
      <c r="BD168">
        <f t="shared" si="145"/>
        <v>0</v>
      </c>
      <c r="BE168">
        <f t="shared" si="146"/>
        <v>0</v>
      </c>
      <c r="BF168">
        <f t="shared" si="147"/>
        <v>0</v>
      </c>
      <c r="BG168" t="str" cm="1">
        <f t="array" ref="BG168">IF(BA168=1,INDEX($X$7:$AN$7,MATCH(TRUE,INDEX($X168:$AY168&lt;&gt;0,),0)),IF(BA168=0,INDEX($AO$7:$AY$7,MATCH(1,$AO168:$AY168,0)),IF(BH168="Multiple strategies","mixed drivers",IF(BH168="Supply chain","multiple supply","multiple silviculture"))))</f>
        <v>products lifespan</v>
      </c>
      <c r="BH168" s="2" t="str" cm="1">
        <f t="array" ref="BH168">IF(COUNTIF(BB168:BD168,"&lt;&gt;0")=1,INDEX($X$4:$AY$4,MATCH(TRUE,INDEX($X168:$AY168&lt;&gt;0,),0)),IF(COUNTIF(BB168:BD168,"&lt;&gt;0")=0,INDEX($AO$4:$AY$4,MATCH(1,$AO168:$AY168,0)),"Multiple strategies"))</f>
        <v>Supply chain</v>
      </c>
      <c r="BI168" s="142" t="s">
        <v>229</v>
      </c>
      <c r="BJ168" s="297" t="s">
        <v>3244</v>
      </c>
      <c r="BK168" s="297" t="s">
        <v>767</v>
      </c>
      <c r="BL168" s="143" t="s">
        <v>1018</v>
      </c>
      <c r="BN168" s="143"/>
      <c r="BO168" s="143"/>
      <c r="BP168">
        <v>0</v>
      </c>
      <c r="BQ168" s="143">
        <f>BP168/C_to_CO2*10^6*tC_to_m3</f>
        <v>0</v>
      </c>
      <c r="BR168" s="297" t="s">
        <v>395</v>
      </c>
      <c r="BS168" s="331" t="s">
        <v>396</v>
      </c>
      <c r="BT168" t="s">
        <v>1018</v>
      </c>
      <c r="BU168" s="143"/>
      <c r="BX168">
        <v>-4.62</v>
      </c>
      <c r="BZ168">
        <f>BX168*10^6</f>
        <v>-4620000</v>
      </c>
      <c r="CA168" t="str">
        <f t="shared" si="95"/>
        <v/>
      </c>
      <c r="CB168" s="143">
        <v>0</v>
      </c>
      <c r="CC168" s="143">
        <v>0</v>
      </c>
      <c r="CD168" s="143">
        <v>0</v>
      </c>
      <c r="CE168" s="143">
        <v>0</v>
      </c>
      <c r="CF168" s="143">
        <v>0</v>
      </c>
      <c r="CG168" s="143">
        <v>0</v>
      </c>
      <c r="CH168" s="143">
        <v>0</v>
      </c>
      <c r="CI168" s="143">
        <v>0</v>
      </c>
      <c r="CJ168" s="143">
        <v>0</v>
      </c>
      <c r="CK168" s="143">
        <v>0</v>
      </c>
      <c r="CL168" s="143">
        <v>0</v>
      </c>
      <c r="CM168" s="143">
        <v>0</v>
      </c>
      <c r="CN168" s="143">
        <v>0</v>
      </c>
      <c r="CO168">
        <v>0</v>
      </c>
      <c r="CP168" t="str">
        <f t="shared" si="171"/>
        <v>refOK</v>
      </c>
      <c r="CQ168"/>
      <c r="CR168"/>
      <c r="CS168">
        <f>IF($CP168="refNeedCorrection",-BQ168,BQ168)</f>
        <v>0</v>
      </c>
      <c r="CT168">
        <f t="shared" si="96"/>
        <v>0</v>
      </c>
      <c r="CU168">
        <f t="shared" si="152"/>
        <v>0</v>
      </c>
      <c r="CV168">
        <f t="shared" si="153"/>
        <v>0</v>
      </c>
      <c r="CW168">
        <f t="shared" si="154"/>
        <v>4620000</v>
      </c>
      <c r="CX168" t="str">
        <f t="shared" si="97"/>
        <v/>
      </c>
      <c r="CY168" t="str">
        <f t="shared" si="155"/>
        <v/>
      </c>
      <c r="CZ168" t="str">
        <f t="shared" si="98"/>
        <v/>
      </c>
      <c r="DA168" s="2" t="str">
        <f t="shared" si="156"/>
        <v/>
      </c>
      <c r="DB168" s="1" t="s">
        <v>1074</v>
      </c>
      <c r="DC168" s="297" t="str">
        <f t="shared" si="157"/>
        <v>reg</v>
      </c>
      <c r="DD168" t="s">
        <v>428</v>
      </c>
      <c r="DE168">
        <v>2015</v>
      </c>
      <c r="DF168" s="143">
        <v>2050</v>
      </c>
      <c r="DG168" s="143">
        <f t="shared" si="172"/>
        <v>35</v>
      </c>
      <c r="DH168" t="str">
        <f t="shared" si="159"/>
        <v>31-70</v>
      </c>
      <c r="DI168">
        <v>0</v>
      </c>
      <c r="DJ168">
        <v>1</v>
      </c>
      <c r="DK168">
        <v>1</v>
      </c>
      <c r="DL168">
        <v>1</v>
      </c>
      <c r="DN168">
        <f t="shared" si="160"/>
        <v>3</v>
      </c>
      <c r="DO168" t="str">
        <f t="shared" si="161"/>
        <v>mixedProduct</v>
      </c>
      <c r="DP168">
        <f t="shared" si="162"/>
        <v>0</v>
      </c>
      <c r="DQ168" t="str">
        <f t="shared" si="163"/>
        <v>Energy</v>
      </c>
      <c r="DR168" t="str">
        <f t="shared" si="164"/>
        <v>Pulp/Paper</v>
      </c>
      <c r="DS168" t="str">
        <f t="shared" si="165"/>
        <v>Timber</v>
      </c>
      <c r="DT168">
        <v>0</v>
      </c>
      <c r="DU168" s="143">
        <v>1</v>
      </c>
      <c r="DV168" s="143" t="s">
        <v>3245</v>
      </c>
      <c r="DW168" s="143" t="s">
        <v>3245</v>
      </c>
      <c r="DX168" s="143" t="s">
        <v>3245</v>
      </c>
      <c r="DY168">
        <f t="shared" si="166"/>
        <v>1</v>
      </c>
      <c r="DZ168" s="143" t="str">
        <f t="shared" si="167"/>
        <v>external DF used</v>
      </c>
      <c r="EA168" s="143">
        <v>1</v>
      </c>
      <c r="EB168" s="143">
        <v>1</v>
      </c>
      <c r="EC168" s="143">
        <v>1</v>
      </c>
      <c r="ED168" s="143">
        <v>1</v>
      </c>
      <c r="EE168">
        <v>1</v>
      </c>
      <c r="EF168" s="143">
        <v>1</v>
      </c>
      <c r="EG168" s="143">
        <v>0</v>
      </c>
      <c r="EH168" s="143">
        <v>1</v>
      </c>
      <c r="EI168" s="143">
        <v>0</v>
      </c>
      <c r="EJ168">
        <v>0</v>
      </c>
      <c r="EK168">
        <v>1</v>
      </c>
      <c r="EL168" s="143">
        <v>0</v>
      </c>
      <c r="EM168" s="143">
        <v>1</v>
      </c>
      <c r="EN168" s="2">
        <v>0</v>
      </c>
      <c r="EP168" t="str">
        <f t="shared" si="99"/>
        <v>Whole sector approach</v>
      </c>
      <c r="EQ168" t="str">
        <f t="shared" si="140"/>
        <v/>
      </c>
      <c r="ER168" s="2" t="str">
        <f t="shared" si="101"/>
        <v/>
      </c>
      <c r="ES168" t="str">
        <f t="shared" si="102"/>
        <v/>
      </c>
      <c r="ET168" t="str">
        <f t="shared" si="103"/>
        <v/>
      </c>
      <c r="EU168" t="str">
        <f t="shared" si="104"/>
        <v/>
      </c>
      <c r="EY168" t="b">
        <f>IF(ISNUMBER(BW168),IF(ABS(BW168-[1]QC_indicators!$B$2)&gt;3*[1]QC_indicators!$C$2,"C ratio",IF(ISNUMBER(CA168),IF(ABS(CA168-[1]QC_indicators!$B$1)&gt;3*[1]QC_indicators!$C$1,"DF","no"))),IF(ISNUMBER(CA168),IF(ABS(CA168-[1]QC_indicators!$B$1)&gt;3*[1]QC_indicators!$C$1,"DF","no")))</f>
        <v>0</v>
      </c>
      <c r="FA168" t="str">
        <f t="shared" si="105"/>
        <v/>
      </c>
      <c r="FB168" s="299" t="s">
        <v>3246</v>
      </c>
    </row>
    <row r="169" spans="1:158" ht="15" hidden="1" customHeight="1">
      <c r="D169" t="s">
        <v>3237</v>
      </c>
      <c r="E169" t="s">
        <v>3238</v>
      </c>
      <c r="G169" t="s">
        <v>3239</v>
      </c>
      <c r="I169">
        <v>2018</v>
      </c>
      <c r="K169" s="297" t="s">
        <v>3240</v>
      </c>
      <c r="M169" t="str">
        <f t="shared" si="139"/>
        <v>Dugan_2018</v>
      </c>
      <c r="N169" s="297" t="s">
        <v>4058</v>
      </c>
      <c r="O169" t="s">
        <v>223</v>
      </c>
      <c r="Q169" s="297" t="s">
        <v>256</v>
      </c>
      <c r="R169" s="298"/>
      <c r="S169" s="1" t="s">
        <v>3241</v>
      </c>
      <c r="T169" s="297" t="s">
        <v>1271</v>
      </c>
      <c r="U169" s="143" t="s">
        <v>3243</v>
      </c>
      <c r="V169" s="143"/>
      <c r="W169" s="143"/>
      <c r="X169">
        <v>0</v>
      </c>
      <c r="Y169">
        <v>0</v>
      </c>
      <c r="Z169">
        <v>0</v>
      </c>
      <c r="AA169">
        <v>0</v>
      </c>
      <c r="AB169">
        <v>0</v>
      </c>
      <c r="AC169">
        <v>0</v>
      </c>
      <c r="AD169">
        <v>0</v>
      </c>
      <c r="AE169">
        <v>0</v>
      </c>
      <c r="AF169">
        <v>0</v>
      </c>
      <c r="AG169">
        <v>0</v>
      </c>
      <c r="AH169">
        <v>0</v>
      </c>
      <c r="AI169">
        <v>0</v>
      </c>
      <c r="AJ169">
        <v>0</v>
      </c>
      <c r="AK169">
        <v>1</v>
      </c>
      <c r="AL169">
        <v>0</v>
      </c>
      <c r="AM169">
        <v>0</v>
      </c>
      <c r="AN169">
        <v>0</v>
      </c>
      <c r="AO169">
        <v>0</v>
      </c>
      <c r="AP169">
        <v>0</v>
      </c>
      <c r="AQ169">
        <v>0</v>
      </c>
      <c r="AR169">
        <v>0</v>
      </c>
      <c r="AS169">
        <v>0</v>
      </c>
      <c r="AT169">
        <v>0</v>
      </c>
      <c r="AU169">
        <v>0</v>
      </c>
      <c r="AV169">
        <v>0</v>
      </c>
      <c r="AW169">
        <v>0</v>
      </c>
      <c r="AX169">
        <v>0</v>
      </c>
      <c r="AY169">
        <v>0</v>
      </c>
      <c r="AZ169" s="141">
        <f t="shared" si="141"/>
        <v>1</v>
      </c>
      <c r="BA169" s="141">
        <f t="shared" si="142"/>
        <v>1</v>
      </c>
      <c r="BB169">
        <f t="shared" si="143"/>
        <v>0</v>
      </c>
      <c r="BC169">
        <f t="shared" si="144"/>
        <v>1</v>
      </c>
      <c r="BD169">
        <f t="shared" si="145"/>
        <v>0</v>
      </c>
      <c r="BE169">
        <f t="shared" si="146"/>
        <v>0</v>
      </c>
      <c r="BF169">
        <f t="shared" si="147"/>
        <v>0</v>
      </c>
      <c r="BG169" t="str" cm="1">
        <f t="array" ref="BG169">IF(BA169=1,INDEX($X$7:$AN$7,MATCH(TRUE,INDEX($X169:$AY169&lt;&gt;0,),0)),IF(BA169=0,INDEX($AO$7:$AY$7,MATCH(1,$AO169:$AY169,0)),IF(BH169="Multiple strategies","mixed drivers",IF(BH169="Supply chain","multiple supply","multiple silviculture"))))</f>
        <v>products lifespan</v>
      </c>
      <c r="BH169" s="2" t="str" cm="1">
        <f t="array" ref="BH169">IF(COUNTIF(BB169:BD169,"&lt;&gt;0")=1,INDEX($X$4:$AY$4,MATCH(TRUE,INDEX($X169:$AY169&lt;&gt;0,),0)),IF(COUNTIF(BB169:BD169,"&lt;&gt;0")=0,INDEX($AO$4:$AY$4,MATCH(1,$AO169:$AY169,0)),"Multiple strategies"))</f>
        <v>Supply chain</v>
      </c>
      <c r="BI169" s="142" t="s">
        <v>229</v>
      </c>
      <c r="BJ169" s="297" t="s">
        <v>3251</v>
      </c>
      <c r="BK169" s="297" t="s">
        <v>767</v>
      </c>
      <c r="BL169" s="143" t="s">
        <v>1018</v>
      </c>
      <c r="BN169" s="143"/>
      <c r="BO169" s="143"/>
      <c r="BP169">
        <v>0</v>
      </c>
      <c r="BQ169" s="143">
        <f>BP169/C_to_CO2*10^6*tC_to_m3</f>
        <v>0</v>
      </c>
      <c r="BR169" s="297" t="s">
        <v>395</v>
      </c>
      <c r="BS169" s="331" t="s">
        <v>396</v>
      </c>
      <c r="BT169" t="s">
        <v>1018</v>
      </c>
      <c r="BU169" s="143"/>
      <c r="BX169">
        <v>-8.02</v>
      </c>
      <c r="BZ169">
        <f>BX169*10^6</f>
        <v>-8020000</v>
      </c>
      <c r="CA169" t="str">
        <f t="shared" si="95"/>
        <v/>
      </c>
      <c r="CB169" s="143">
        <v>0</v>
      </c>
      <c r="CC169" s="143">
        <v>0</v>
      </c>
      <c r="CD169" s="143">
        <v>0</v>
      </c>
      <c r="CE169" s="143">
        <v>0</v>
      </c>
      <c r="CF169" s="143">
        <v>0</v>
      </c>
      <c r="CG169" s="143">
        <v>0</v>
      </c>
      <c r="CH169" s="143">
        <v>0</v>
      </c>
      <c r="CI169" s="143">
        <v>0</v>
      </c>
      <c r="CJ169" s="143">
        <v>0</v>
      </c>
      <c r="CK169" s="143">
        <v>0</v>
      </c>
      <c r="CL169" s="143">
        <v>0</v>
      </c>
      <c r="CM169" s="143">
        <v>0</v>
      </c>
      <c r="CN169" s="143">
        <v>0</v>
      </c>
      <c r="CO169">
        <v>0</v>
      </c>
      <c r="CP169" t="str">
        <f t="shared" si="171"/>
        <v>refOK</v>
      </c>
      <c r="CQ169"/>
      <c r="CR169"/>
      <c r="CS169">
        <f>IF($CP169="refNeedCorrection",-BQ169,BQ169)</f>
        <v>0</v>
      </c>
      <c r="CT169">
        <f t="shared" si="96"/>
        <v>0</v>
      </c>
      <c r="CU169">
        <f t="shared" si="152"/>
        <v>0</v>
      </c>
      <c r="CV169">
        <f t="shared" si="153"/>
        <v>0</v>
      </c>
      <c r="CW169">
        <f t="shared" si="154"/>
        <v>8020000</v>
      </c>
      <c r="CX169" t="str">
        <f t="shared" si="97"/>
        <v/>
      </c>
      <c r="CY169" t="str">
        <f t="shared" si="155"/>
        <v/>
      </c>
      <c r="CZ169" t="str">
        <f t="shared" si="98"/>
        <v/>
      </c>
      <c r="DA169" s="2" t="str">
        <f t="shared" si="156"/>
        <v/>
      </c>
      <c r="DB169" s="1" t="s">
        <v>1074</v>
      </c>
      <c r="DC169" s="297" t="str">
        <f t="shared" si="157"/>
        <v>reg</v>
      </c>
      <c r="DD169" t="s">
        <v>428</v>
      </c>
      <c r="DE169">
        <v>2015</v>
      </c>
      <c r="DF169" s="143">
        <v>2050</v>
      </c>
      <c r="DG169" s="143">
        <f t="shared" si="172"/>
        <v>35</v>
      </c>
      <c r="DH169" t="str">
        <f t="shared" si="159"/>
        <v>31-70</v>
      </c>
      <c r="DI169">
        <v>0</v>
      </c>
      <c r="DJ169">
        <v>1</v>
      </c>
      <c r="DK169">
        <v>1</v>
      </c>
      <c r="DL169">
        <v>1</v>
      </c>
      <c r="DN169">
        <f t="shared" si="160"/>
        <v>3</v>
      </c>
      <c r="DO169" t="str">
        <f t="shared" si="161"/>
        <v>mixedProduct</v>
      </c>
      <c r="DP169">
        <f t="shared" si="162"/>
        <v>0</v>
      </c>
      <c r="DQ169" t="str">
        <f t="shared" si="163"/>
        <v>Energy</v>
      </c>
      <c r="DR169" t="str">
        <f t="shared" si="164"/>
        <v>Pulp/Paper</v>
      </c>
      <c r="DS169" t="str">
        <f t="shared" si="165"/>
        <v>Timber</v>
      </c>
      <c r="DT169">
        <v>0</v>
      </c>
      <c r="DU169" s="143">
        <v>1</v>
      </c>
      <c r="DV169" s="143" t="s">
        <v>3245</v>
      </c>
      <c r="DW169" s="143" t="s">
        <v>3245</v>
      </c>
      <c r="DX169" s="143" t="s">
        <v>3245</v>
      </c>
      <c r="DY169">
        <f t="shared" si="166"/>
        <v>1</v>
      </c>
      <c r="DZ169" s="143" t="str">
        <f t="shared" si="167"/>
        <v>external DF used</v>
      </c>
      <c r="EA169" s="143">
        <v>1</v>
      </c>
      <c r="EB169" s="143">
        <v>1</v>
      </c>
      <c r="EC169" s="143">
        <v>1</v>
      </c>
      <c r="ED169" s="143">
        <v>1</v>
      </c>
      <c r="EE169">
        <v>1</v>
      </c>
      <c r="EF169" s="143">
        <v>1</v>
      </c>
      <c r="EG169" s="143">
        <v>0</v>
      </c>
      <c r="EH169" s="143">
        <v>1</v>
      </c>
      <c r="EI169" s="143">
        <v>0</v>
      </c>
      <c r="EJ169">
        <v>0</v>
      </c>
      <c r="EK169">
        <v>1</v>
      </c>
      <c r="EL169" s="143">
        <v>0</v>
      </c>
      <c r="EM169" s="143">
        <v>1</v>
      </c>
      <c r="EN169" s="2">
        <v>0</v>
      </c>
      <c r="EP169" t="str">
        <f t="shared" si="99"/>
        <v>Whole sector approach</v>
      </c>
      <c r="EQ169" t="str">
        <f t="shared" si="140"/>
        <v/>
      </c>
      <c r="ER169" s="2" t="str">
        <f t="shared" si="101"/>
        <v/>
      </c>
      <c r="ES169" t="str">
        <f t="shared" si="102"/>
        <v/>
      </c>
      <c r="ET169" t="str">
        <f t="shared" si="103"/>
        <v/>
      </c>
      <c r="EU169" t="str">
        <f t="shared" si="104"/>
        <v/>
      </c>
      <c r="EY169" t="b">
        <f>IF(ISNUMBER(BW169),IF(ABS(BW169-[1]QC_indicators!$B$2)&gt;3*[1]QC_indicators!$C$2,"C ratio",IF(ISNUMBER(CA169),IF(ABS(CA169-[1]QC_indicators!$B$1)&gt;3*[1]QC_indicators!$C$1,"DF","no"))),IF(ISNUMBER(CA169),IF(ABS(CA169-[1]QC_indicators!$B$1)&gt;3*[1]QC_indicators!$C$1,"DF","no")))</f>
        <v>0</v>
      </c>
      <c r="FA169" t="str">
        <f t="shared" si="105"/>
        <v/>
      </c>
      <c r="FB169" s="299" t="s">
        <v>3246</v>
      </c>
    </row>
    <row r="170" spans="1:158" ht="15" hidden="1" customHeight="1">
      <c r="D170" t="s">
        <v>3237</v>
      </c>
      <c r="E170" t="s">
        <v>3238</v>
      </c>
      <c r="G170" t="s">
        <v>3239</v>
      </c>
      <c r="I170">
        <v>2018</v>
      </c>
      <c r="K170" s="297" t="s">
        <v>3240</v>
      </c>
      <c r="M170" t="str">
        <f t="shared" si="139"/>
        <v>Dugan_2018</v>
      </c>
      <c r="N170" s="297" t="s">
        <v>4058</v>
      </c>
      <c r="O170" t="s">
        <v>223</v>
      </c>
      <c r="Q170" s="297" t="s">
        <v>256</v>
      </c>
      <c r="R170" s="298"/>
      <c r="S170" s="1" t="s">
        <v>3247</v>
      </c>
      <c r="T170" t="s">
        <v>3243</v>
      </c>
      <c r="U170" s="143" t="s">
        <v>3248</v>
      </c>
      <c r="V170" s="143"/>
      <c r="W170" s="143"/>
      <c r="X170">
        <v>0</v>
      </c>
      <c r="Y170">
        <v>0</v>
      </c>
      <c r="Z170">
        <v>0</v>
      </c>
      <c r="AA170">
        <v>1</v>
      </c>
      <c r="AB170">
        <v>0</v>
      </c>
      <c r="AC170">
        <v>0</v>
      </c>
      <c r="AD170">
        <v>0</v>
      </c>
      <c r="AE170">
        <v>0</v>
      </c>
      <c r="AF170">
        <v>0</v>
      </c>
      <c r="AG170">
        <v>0</v>
      </c>
      <c r="AH170">
        <v>2</v>
      </c>
      <c r="AI170">
        <v>0</v>
      </c>
      <c r="AJ170">
        <v>0</v>
      </c>
      <c r="AK170">
        <v>0</v>
      </c>
      <c r="AL170">
        <v>0</v>
      </c>
      <c r="AM170">
        <v>0</v>
      </c>
      <c r="AN170">
        <v>0</v>
      </c>
      <c r="AO170">
        <v>0</v>
      </c>
      <c r="AP170">
        <v>0</v>
      </c>
      <c r="AQ170">
        <v>0</v>
      </c>
      <c r="AR170">
        <v>0</v>
      </c>
      <c r="AS170">
        <v>0</v>
      </c>
      <c r="AT170">
        <v>0</v>
      </c>
      <c r="AU170">
        <v>0</v>
      </c>
      <c r="AV170">
        <v>0</v>
      </c>
      <c r="AW170">
        <v>0</v>
      </c>
      <c r="AX170">
        <v>0</v>
      </c>
      <c r="AY170">
        <v>0</v>
      </c>
      <c r="AZ170" s="141">
        <f t="shared" si="141"/>
        <v>2</v>
      </c>
      <c r="BA170" s="141">
        <f t="shared" si="142"/>
        <v>2</v>
      </c>
      <c r="BB170">
        <f t="shared" si="143"/>
        <v>1</v>
      </c>
      <c r="BC170">
        <f t="shared" si="144"/>
        <v>1</v>
      </c>
      <c r="BD170">
        <f t="shared" si="145"/>
        <v>0</v>
      </c>
      <c r="BE170">
        <f t="shared" si="146"/>
        <v>0</v>
      </c>
      <c r="BF170">
        <f t="shared" si="147"/>
        <v>0</v>
      </c>
      <c r="BG170" t="str" cm="1">
        <f t="array" ref="BG170">IF(BA170=1,INDEX($X$7:$AN$7,MATCH(TRUE,INDEX($X170:$AY170&lt;&gt;0,),0)),IF(BA170=0,INDEX($AO$7:$AY$7,MATCH(1,$AO170:$AY170,0)),IF(BH170="Multiple strategies","mixed drivers",IF(BH170="Supply chain","multiple supply","multiple silviculture"))))</f>
        <v>mixed drivers</v>
      </c>
      <c r="BH170" s="2" t="str" cm="1">
        <f t="array" ref="BH170">IF(COUNTIF(BB170:BD170,"&lt;&gt;0")=1,INDEX($X$4:$AY$4,MATCH(TRUE,INDEX($X170:$AY170&lt;&gt;0,),0)),IF(COUNTIF(BB170:BD170,"&lt;&gt;0")=0,INDEX($AO$4:$AY$4,MATCH(1,$AO170:$AY170,0)),"Multiple strategies"))</f>
        <v>Multiple strategies</v>
      </c>
      <c r="BI170" s="142" t="s">
        <v>229</v>
      </c>
      <c r="BJ170" s="297" t="s">
        <v>3244</v>
      </c>
      <c r="BK170" s="297" t="s">
        <v>767</v>
      </c>
      <c r="BL170" s="143" t="s">
        <v>1018</v>
      </c>
      <c r="BN170" s="143"/>
      <c r="BO170" s="143"/>
      <c r="BQ170" s="143"/>
      <c r="BR170" s="297" t="s">
        <v>395</v>
      </c>
      <c r="BS170" s="331" t="s">
        <v>396</v>
      </c>
      <c r="BT170" t="s">
        <v>1018</v>
      </c>
      <c r="BU170" s="143"/>
      <c r="BX170">
        <v>2.14</v>
      </c>
      <c r="BZ170">
        <f>BX170*10^6</f>
        <v>2140000</v>
      </c>
      <c r="CA170" t="str">
        <f t="shared" ref="CA170:CA233" si="173">IFERROR(BZ170/BQ170,"")</f>
        <v/>
      </c>
      <c r="CB170" s="143">
        <v>0</v>
      </c>
      <c r="CC170" s="143">
        <v>0</v>
      </c>
      <c r="CD170" s="143">
        <v>0</v>
      </c>
      <c r="CE170" s="143">
        <v>0</v>
      </c>
      <c r="CF170" s="143">
        <v>0</v>
      </c>
      <c r="CG170" s="143">
        <v>0</v>
      </c>
      <c r="CH170" s="143">
        <v>0</v>
      </c>
      <c r="CI170" s="143">
        <v>0</v>
      </c>
      <c r="CJ170" s="143">
        <v>0</v>
      </c>
      <c r="CK170" s="143">
        <v>0</v>
      </c>
      <c r="CL170" s="143">
        <v>0</v>
      </c>
      <c r="CM170" s="143">
        <v>0</v>
      </c>
      <c r="CN170" s="143">
        <v>0</v>
      </c>
      <c r="CO170">
        <v>0</v>
      </c>
      <c r="CP170" t="str">
        <f t="shared" si="171"/>
        <v>refOK</v>
      </c>
      <c r="CQ170"/>
      <c r="CR170"/>
      <c r="CS170">
        <f>IF($CP170="refNeedCorrection",-BQ170,BQ170)</f>
        <v>0</v>
      </c>
      <c r="CT170">
        <f t="shared" ref="CT170:CT233" si="174">IF(BI170="Roundwood",$CS170/2,$CS170)</f>
        <v>0</v>
      </c>
      <c r="CU170">
        <f t="shared" si="152"/>
        <v>0</v>
      </c>
      <c r="CV170">
        <f t="shared" si="153"/>
        <v>0</v>
      </c>
      <c r="CW170">
        <f t="shared" si="154"/>
        <v>-2140000</v>
      </c>
      <c r="CX170" t="str">
        <f t="shared" ref="CX170:CX233" si="175">IFERROR($CW170/$CS170,"")</f>
        <v/>
      </c>
      <c r="CY170" t="str">
        <f t="shared" si="155"/>
        <v/>
      </c>
      <c r="CZ170" t="str">
        <f t="shared" ref="CZ170:CZ233" si="176">IFERROR($CW170/$CT170,"")</f>
        <v/>
      </c>
      <c r="DA170" s="2" t="str">
        <f t="shared" si="156"/>
        <v/>
      </c>
      <c r="DB170" s="1" t="s">
        <v>1074</v>
      </c>
      <c r="DC170" s="297" t="str">
        <f t="shared" si="157"/>
        <v>reg</v>
      </c>
      <c r="DD170" t="s">
        <v>428</v>
      </c>
      <c r="DE170">
        <v>2015</v>
      </c>
      <c r="DF170" s="143">
        <v>2050</v>
      </c>
      <c r="DG170" s="143">
        <f t="shared" si="172"/>
        <v>35</v>
      </c>
      <c r="DH170" t="str">
        <f t="shared" si="159"/>
        <v>31-70</v>
      </c>
      <c r="DI170">
        <v>0</v>
      </c>
      <c r="DJ170">
        <v>1</v>
      </c>
      <c r="DK170">
        <v>1</v>
      </c>
      <c r="DL170">
        <v>1</v>
      </c>
      <c r="DN170">
        <f t="shared" si="160"/>
        <v>3</v>
      </c>
      <c r="DO170" t="str">
        <f t="shared" si="161"/>
        <v>mixedProduct</v>
      </c>
      <c r="DP170">
        <f t="shared" si="162"/>
        <v>0</v>
      </c>
      <c r="DQ170" t="str">
        <f t="shared" si="163"/>
        <v>Energy</v>
      </c>
      <c r="DR170" t="str">
        <f t="shared" si="164"/>
        <v>Pulp/Paper</v>
      </c>
      <c r="DS170" t="str">
        <f t="shared" si="165"/>
        <v>Timber</v>
      </c>
      <c r="DT170">
        <v>0</v>
      </c>
      <c r="DU170" s="143">
        <v>1</v>
      </c>
      <c r="DV170" s="143" t="s">
        <v>3245</v>
      </c>
      <c r="DW170" s="143" t="s">
        <v>3245</v>
      </c>
      <c r="DX170" s="143" t="s">
        <v>3245</v>
      </c>
      <c r="DY170">
        <f t="shared" si="166"/>
        <v>1</v>
      </c>
      <c r="DZ170" s="143" t="str">
        <f t="shared" si="167"/>
        <v>external DF used</v>
      </c>
      <c r="EA170" s="143">
        <v>1</v>
      </c>
      <c r="EB170" s="143">
        <v>1</v>
      </c>
      <c r="EC170" s="143">
        <v>1</v>
      </c>
      <c r="ED170" s="143">
        <v>1</v>
      </c>
      <c r="EE170">
        <v>1</v>
      </c>
      <c r="EF170" s="143">
        <v>1</v>
      </c>
      <c r="EG170" s="143">
        <v>0</v>
      </c>
      <c r="EH170" s="143">
        <v>1</v>
      </c>
      <c r="EI170" s="143">
        <v>0</v>
      </c>
      <c r="EJ170">
        <v>0</v>
      </c>
      <c r="EK170">
        <v>1</v>
      </c>
      <c r="EL170" s="143">
        <v>0</v>
      </c>
      <c r="EM170" s="143">
        <v>1</v>
      </c>
      <c r="EN170" s="2">
        <v>0</v>
      </c>
      <c r="EP170" t="str">
        <f t="shared" ref="EP170:EP233" si="177">IF(AND(AND(AND(OR($EC170=1,$EB170=1),OR($EH170=1,$EF170=1)),SUM($EA170:$EE170,$EK170)&gt;=3),SUM($EF170:$EJ170)&gt;=2),"Whole sector approach","")</f>
        <v>Whole sector approach</v>
      </c>
      <c r="EQ170" t="str">
        <f t="shared" ref="EQ170:EQ201" si="178">IF(AND(AND(OR($EC170=1,$EB170=1),AND($EH170=0,$EF170=0)),SUM($EA170:$EE170,$EK170)&gt;=3),"Ecosystem approach","")</f>
        <v/>
      </c>
      <c r="ER170" s="2" t="str">
        <f t="shared" ref="ER170:ER233" si="179">IF(AND(AND(AND($EC170=0,$EB170=0),OR($EH170=1,$EF170=1)),SUM($EG170:$EJ170)&gt;=2),"Technology approach","")</f>
        <v/>
      </c>
      <c r="ES170" t="str">
        <f t="shared" ref="ES170:ES233" si="180">IF(AND($EC170+$EB170+$EE170+$EA170+$EF170+$EG170=0,$N170="included"),"C neutral forest and HWP assumption","")</f>
        <v/>
      </c>
      <c r="ET170" t="str">
        <f t="shared" ref="ET170:ET233" si="181">IF(AND(AND(AND($EC170+$EB170+$EA170+$EG170&gt;=2,$EF170+$EH170+$EI170&gt;=1),$ED170+$EE170&gt;=1),$N170="included"),"All C pools assumption","")</f>
        <v/>
      </c>
      <c r="EU170" t="str">
        <f t="shared" ref="EU170:EU233" si="182">IF(AND($ED170+$EE170+$EI170+$EH170+$EF170=0,$N170="included"),"In-situ only assumption","")</f>
        <v/>
      </c>
      <c r="EY170" t="b">
        <f>IF(ISNUMBER(BW170),IF(ABS(BW170-[1]QC_indicators!$B$2)&gt;3*[1]QC_indicators!$C$2,"C ratio",IF(ISNUMBER(CA170),IF(ABS(CA170-[1]QC_indicators!$B$1)&gt;3*[1]QC_indicators!$C$1,"DF","no"))),IF(ISNUMBER(CA170),IF(ABS(CA170-[1]QC_indicators!$B$1)&gt;3*[1]QC_indicators!$C$1,"DF","no")))</f>
        <v>0</v>
      </c>
      <c r="FA170" t="str">
        <f t="shared" ref="FA170:FA233" si="183">IF(LEN($CY170)=0,"",IF(AND($CY170&lt;(-0.05),$ES170="C neutral forest and HWP assumption"),"Cneutral paradox",IF(AND($CY170&gt;0.05,$EU170="In-situ only assumption"),"In-situ only paradox","")))</f>
        <v/>
      </c>
      <c r="FB170" s="299" t="s">
        <v>3246</v>
      </c>
    </row>
    <row r="171" spans="1:158" ht="15" hidden="1" customHeight="1">
      <c r="D171" t="s">
        <v>3237</v>
      </c>
      <c r="E171" t="s">
        <v>3238</v>
      </c>
      <c r="G171" t="s">
        <v>3239</v>
      </c>
      <c r="I171">
        <v>2018</v>
      </c>
      <c r="K171" s="297" t="s">
        <v>3240</v>
      </c>
      <c r="M171" t="str">
        <f t="shared" si="139"/>
        <v>Dugan_2018</v>
      </c>
      <c r="N171" s="297" t="s">
        <v>4058</v>
      </c>
      <c r="O171" t="s">
        <v>223</v>
      </c>
      <c r="Q171" s="297" t="s">
        <v>256</v>
      </c>
      <c r="R171" s="298"/>
      <c r="S171" s="1" t="s">
        <v>3241</v>
      </c>
      <c r="T171" t="s">
        <v>3242</v>
      </c>
      <c r="U171" s="143" t="s">
        <v>3243</v>
      </c>
      <c r="V171" s="143"/>
      <c r="W171" s="143"/>
      <c r="X171">
        <v>0</v>
      </c>
      <c r="Y171">
        <v>0</v>
      </c>
      <c r="Z171">
        <v>1</v>
      </c>
      <c r="AA171">
        <v>0</v>
      </c>
      <c r="AB171">
        <v>0</v>
      </c>
      <c r="AC171">
        <v>0</v>
      </c>
      <c r="AD171">
        <v>0</v>
      </c>
      <c r="AE171">
        <v>0</v>
      </c>
      <c r="AF171">
        <v>0</v>
      </c>
      <c r="AG171">
        <v>0</v>
      </c>
      <c r="AH171">
        <v>2</v>
      </c>
      <c r="AI171">
        <v>0</v>
      </c>
      <c r="AJ171">
        <v>0</v>
      </c>
      <c r="AK171">
        <v>0</v>
      </c>
      <c r="AL171">
        <v>0</v>
      </c>
      <c r="AM171">
        <v>0</v>
      </c>
      <c r="AN171">
        <v>0</v>
      </c>
      <c r="AO171">
        <v>0</v>
      </c>
      <c r="AP171">
        <v>0</v>
      </c>
      <c r="AQ171">
        <v>0</v>
      </c>
      <c r="AR171">
        <v>0</v>
      </c>
      <c r="AS171">
        <v>0</v>
      </c>
      <c r="AT171">
        <v>0</v>
      </c>
      <c r="AU171">
        <v>0</v>
      </c>
      <c r="AV171">
        <v>0</v>
      </c>
      <c r="AW171">
        <v>0</v>
      </c>
      <c r="AX171">
        <v>0</v>
      </c>
      <c r="AY171">
        <v>0</v>
      </c>
      <c r="AZ171" s="141">
        <f t="shared" si="141"/>
        <v>2</v>
      </c>
      <c r="BA171" s="141">
        <f t="shared" si="142"/>
        <v>2</v>
      </c>
      <c r="BB171">
        <f t="shared" si="143"/>
        <v>1</v>
      </c>
      <c r="BC171">
        <f t="shared" si="144"/>
        <v>1</v>
      </c>
      <c r="BD171">
        <f t="shared" si="145"/>
        <v>0</v>
      </c>
      <c r="BE171">
        <f t="shared" si="146"/>
        <v>0</v>
      </c>
      <c r="BF171">
        <f t="shared" si="147"/>
        <v>0</v>
      </c>
      <c r="BG171" t="str" cm="1">
        <f t="array" ref="BG171">IF(BA171=1,INDEX($X$7:$AN$7,MATCH(TRUE,INDEX($X171:$AY171&lt;&gt;0,),0)),IF(BA171=0,INDEX($AO$7:$AY$7,MATCH(1,$AO171:$AY171,0)),IF(BH171="Multiple strategies","mixed drivers",IF(BH171="Supply chain","multiple supply","multiple silviculture"))))</f>
        <v>mixed drivers</v>
      </c>
      <c r="BH171" s="2" t="str" cm="1">
        <f t="array" ref="BH171">IF(COUNTIF(BB171:BD171,"&lt;&gt;0")=1,INDEX($X$4:$AY$4,MATCH(TRUE,INDEX($X171:$AY171&lt;&gt;0,),0)),IF(COUNTIF(BB171:BD171,"&lt;&gt;0")=0,INDEX($AO$4:$AY$4,MATCH(1,$AO171:$AY171,0)),"Multiple strategies"))</f>
        <v>Multiple strategies</v>
      </c>
      <c r="BI171" s="142" t="s">
        <v>229</v>
      </c>
      <c r="BJ171" s="297" t="s">
        <v>3244</v>
      </c>
      <c r="BK171" s="297" t="s">
        <v>767</v>
      </c>
      <c r="BL171" s="143" t="s">
        <v>1018</v>
      </c>
      <c r="BN171" s="143"/>
      <c r="BO171" s="143"/>
      <c r="BQ171" s="143"/>
      <c r="BR171" s="297" t="s">
        <v>395</v>
      </c>
      <c r="BS171" s="331" t="s">
        <v>396</v>
      </c>
      <c r="BT171" t="s">
        <v>1018</v>
      </c>
      <c r="BU171" s="143"/>
      <c r="BX171">
        <v>-17.3</v>
      </c>
      <c r="BZ171">
        <f>BX171*10^6</f>
        <v>-17300000</v>
      </c>
      <c r="CA171" t="str">
        <f t="shared" si="173"/>
        <v/>
      </c>
      <c r="CB171" s="143">
        <v>0</v>
      </c>
      <c r="CC171" s="143">
        <v>0</v>
      </c>
      <c r="CD171" s="143">
        <v>0</v>
      </c>
      <c r="CE171" s="143">
        <v>0</v>
      </c>
      <c r="CF171" s="143">
        <v>0</v>
      </c>
      <c r="CG171" s="143">
        <v>0</v>
      </c>
      <c r="CH171" s="143">
        <v>0</v>
      </c>
      <c r="CI171" s="143">
        <v>0</v>
      </c>
      <c r="CJ171" s="143">
        <v>0</v>
      </c>
      <c r="CK171" s="143">
        <v>0</v>
      </c>
      <c r="CL171" s="143">
        <v>0</v>
      </c>
      <c r="CM171" s="143">
        <v>0</v>
      </c>
      <c r="CN171" s="143">
        <v>0</v>
      </c>
      <c r="CO171">
        <v>0</v>
      </c>
      <c r="CP171" t="str">
        <f t="shared" si="171"/>
        <v>refOK</v>
      </c>
      <c r="CQ171"/>
      <c r="CR171"/>
      <c r="CS171">
        <f>IF($CP171="refNeedCorrection",-BQ171,BQ171)</f>
        <v>0</v>
      </c>
      <c r="CT171">
        <f t="shared" si="174"/>
        <v>0</v>
      </c>
      <c r="CU171">
        <f t="shared" si="152"/>
        <v>0</v>
      </c>
      <c r="CV171">
        <f t="shared" si="153"/>
        <v>0</v>
      </c>
      <c r="CW171">
        <f t="shared" si="154"/>
        <v>17300000</v>
      </c>
      <c r="CX171" t="str">
        <f t="shared" si="175"/>
        <v/>
      </c>
      <c r="CY171" t="str">
        <f t="shared" si="155"/>
        <v/>
      </c>
      <c r="CZ171" t="str">
        <f t="shared" si="176"/>
        <v/>
      </c>
      <c r="DA171" s="2" t="str">
        <f t="shared" si="156"/>
        <v/>
      </c>
      <c r="DB171" s="1" t="s">
        <v>1074</v>
      </c>
      <c r="DC171" s="297" t="str">
        <f t="shared" si="157"/>
        <v>reg</v>
      </c>
      <c r="DD171" t="s">
        <v>428</v>
      </c>
      <c r="DE171">
        <v>2015</v>
      </c>
      <c r="DF171" s="143">
        <v>2050</v>
      </c>
      <c r="DG171" s="143">
        <f t="shared" si="172"/>
        <v>35</v>
      </c>
      <c r="DH171" t="str">
        <f t="shared" si="159"/>
        <v>31-70</v>
      </c>
      <c r="DI171">
        <v>0</v>
      </c>
      <c r="DJ171">
        <v>1</v>
      </c>
      <c r="DK171">
        <v>1</v>
      </c>
      <c r="DL171">
        <v>1</v>
      </c>
      <c r="DN171">
        <f t="shared" si="160"/>
        <v>3</v>
      </c>
      <c r="DO171" t="str">
        <f t="shared" si="161"/>
        <v>mixedProduct</v>
      </c>
      <c r="DP171">
        <f t="shared" si="162"/>
        <v>0</v>
      </c>
      <c r="DQ171" t="str">
        <f t="shared" si="163"/>
        <v>Energy</v>
      </c>
      <c r="DR171" t="str">
        <f t="shared" si="164"/>
        <v>Pulp/Paper</v>
      </c>
      <c r="DS171" t="str">
        <f t="shared" si="165"/>
        <v>Timber</v>
      </c>
      <c r="DT171">
        <v>0</v>
      </c>
      <c r="DU171" s="143">
        <v>1</v>
      </c>
      <c r="DV171" s="143" t="s">
        <v>3245</v>
      </c>
      <c r="DW171" s="143" t="s">
        <v>3245</v>
      </c>
      <c r="DX171" s="143" t="s">
        <v>3245</v>
      </c>
      <c r="DY171">
        <f t="shared" si="166"/>
        <v>1</v>
      </c>
      <c r="DZ171" s="143" t="str">
        <f t="shared" si="167"/>
        <v>external DF used</v>
      </c>
      <c r="EA171" s="143">
        <v>1</v>
      </c>
      <c r="EB171" s="143">
        <v>1</v>
      </c>
      <c r="EC171" s="143">
        <v>1</v>
      </c>
      <c r="ED171" s="143">
        <v>1</v>
      </c>
      <c r="EE171">
        <v>1</v>
      </c>
      <c r="EF171" s="143">
        <v>1</v>
      </c>
      <c r="EG171" s="143">
        <v>0</v>
      </c>
      <c r="EH171" s="143">
        <v>1</v>
      </c>
      <c r="EI171" s="143">
        <v>0</v>
      </c>
      <c r="EJ171">
        <v>0</v>
      </c>
      <c r="EK171">
        <v>1</v>
      </c>
      <c r="EL171" s="143">
        <v>0</v>
      </c>
      <c r="EM171" s="143">
        <v>1</v>
      </c>
      <c r="EN171" s="2">
        <v>0</v>
      </c>
      <c r="EP171" t="str">
        <f t="shared" si="177"/>
        <v>Whole sector approach</v>
      </c>
      <c r="EQ171" t="str">
        <f t="shared" si="178"/>
        <v/>
      </c>
      <c r="ER171" s="2" t="str">
        <f t="shared" si="179"/>
        <v/>
      </c>
      <c r="ES171" t="str">
        <f t="shared" si="180"/>
        <v/>
      </c>
      <c r="ET171" t="str">
        <f t="shared" si="181"/>
        <v/>
      </c>
      <c r="EU171" t="str">
        <f t="shared" si="182"/>
        <v/>
      </c>
      <c r="EY171" t="b">
        <f>IF(ISNUMBER(BW171),IF(ABS(BW171-[1]QC_indicators!$B$2)&gt;3*[1]QC_indicators!$C$2,"C ratio",IF(ISNUMBER(CA171),IF(ABS(CA171-[1]QC_indicators!$B$1)&gt;3*[1]QC_indicators!$C$1,"DF","no"))),IF(ISNUMBER(CA171),IF(ABS(CA171-[1]QC_indicators!$B$1)&gt;3*[1]QC_indicators!$C$1,"DF","no")))</f>
        <v>0</v>
      </c>
      <c r="FA171" t="str">
        <f t="shared" si="183"/>
        <v/>
      </c>
      <c r="FB171" s="299" t="s">
        <v>3246</v>
      </c>
    </row>
    <row r="172" spans="1:158" ht="15" hidden="1" customHeight="1">
      <c r="A172" s="1" t="s">
        <v>380</v>
      </c>
      <c r="B172" t="s">
        <v>3253</v>
      </c>
      <c r="C172" t="s">
        <v>3254</v>
      </c>
      <c r="D172" t="s">
        <v>3255</v>
      </c>
      <c r="E172" t="s">
        <v>3256</v>
      </c>
      <c r="F172" t="s">
        <v>3257</v>
      </c>
      <c r="G172" t="s">
        <v>386</v>
      </c>
      <c r="H172" t="s">
        <v>254</v>
      </c>
      <c r="I172">
        <v>2010</v>
      </c>
      <c r="J172">
        <v>22</v>
      </c>
      <c r="K172" t="s">
        <v>3258</v>
      </c>
      <c r="M172" t="str">
        <f t="shared" si="139"/>
        <v>Eshun_2010</v>
      </c>
      <c r="N172" s="297" t="s">
        <v>4058</v>
      </c>
      <c r="O172" s="145" t="s">
        <v>274</v>
      </c>
      <c r="Q172" s="297" t="s">
        <v>256</v>
      </c>
      <c r="R172" s="298"/>
      <c r="S172" s="1" t="s">
        <v>3259</v>
      </c>
      <c r="T172" t="s">
        <v>3260</v>
      </c>
      <c r="U172" t="s">
        <v>3261</v>
      </c>
      <c r="X172">
        <v>0</v>
      </c>
      <c r="Y172">
        <v>0</v>
      </c>
      <c r="Z172">
        <v>0</v>
      </c>
      <c r="AA172">
        <v>0</v>
      </c>
      <c r="AB172">
        <v>0</v>
      </c>
      <c r="AC172">
        <v>0</v>
      </c>
      <c r="AD172">
        <v>0</v>
      </c>
      <c r="AE172">
        <v>0</v>
      </c>
      <c r="AF172">
        <v>0</v>
      </c>
      <c r="AG172">
        <v>0</v>
      </c>
      <c r="AH172">
        <v>1</v>
      </c>
      <c r="AI172">
        <v>0</v>
      </c>
      <c r="AJ172">
        <v>0</v>
      </c>
      <c r="AK172">
        <v>0</v>
      </c>
      <c r="AL172">
        <v>0</v>
      </c>
      <c r="AM172">
        <v>0</v>
      </c>
      <c r="AN172">
        <v>0</v>
      </c>
      <c r="AO172">
        <v>0</v>
      </c>
      <c r="AP172">
        <v>0</v>
      </c>
      <c r="AQ172">
        <v>0</v>
      </c>
      <c r="AR172">
        <v>0</v>
      </c>
      <c r="AS172">
        <v>0</v>
      </c>
      <c r="AT172">
        <v>0</v>
      </c>
      <c r="AU172">
        <v>0</v>
      </c>
      <c r="AV172">
        <v>0</v>
      </c>
      <c r="AW172">
        <v>0</v>
      </c>
      <c r="AX172">
        <v>0</v>
      </c>
      <c r="AY172">
        <v>0</v>
      </c>
      <c r="AZ172" s="141">
        <f t="shared" si="141"/>
        <v>1</v>
      </c>
      <c r="BA172" s="141">
        <f t="shared" si="142"/>
        <v>1</v>
      </c>
      <c r="BB172">
        <f t="shared" si="143"/>
        <v>0</v>
      </c>
      <c r="BC172">
        <f t="shared" si="144"/>
        <v>1</v>
      </c>
      <c r="BD172">
        <f t="shared" si="145"/>
        <v>0</v>
      </c>
      <c r="BE172">
        <f t="shared" si="146"/>
        <v>0</v>
      </c>
      <c r="BF172">
        <f t="shared" si="147"/>
        <v>0</v>
      </c>
      <c r="BG172" t="str" cm="1">
        <f t="array" ref="BG172">IF(BA172=1,INDEX($X$7:$AN$7,MATCH(TRUE,INDEX($X172:$AY172&lt;&gt;0,),0)),IF(BA172=0,INDEX($AO$7:$AY$7,MATCH(1,$AO172:$AY172,0)),IF(BH172="Multiple strategies","mixed drivers",IF(BH172="Supply chain","multiple supply","multiple silviculture"))))</f>
        <v>supply chain organization</v>
      </c>
      <c r="BH172" s="2" t="str" cm="1">
        <f t="array" ref="BH172">IF(COUNTIF(BB172:BD172,"&lt;&gt;0")=1,INDEX($X$4:$AY$4,MATCH(TRUE,INDEX($X172:$AY172&lt;&gt;0,),0)),IF(COUNTIF(BB172:BD172,"&lt;&gt;0")=0,INDEX($AO$4:$AY$4,MATCH(1,$AO172:$AY172,0)),"Multiple strategies"))</f>
        <v>Supply chain</v>
      </c>
      <c r="BI172" s="142" t="s">
        <v>321</v>
      </c>
      <c r="BJ172" t="s">
        <v>3262</v>
      </c>
      <c r="BL172" t="s">
        <v>498</v>
      </c>
      <c r="BM172">
        <v>1</v>
      </c>
      <c r="BN172">
        <v>1</v>
      </c>
      <c r="BO172">
        <f>BN172/BM172</f>
        <v>1</v>
      </c>
      <c r="BP172">
        <f>BN172-BM172</f>
        <v>0</v>
      </c>
      <c r="BQ172">
        <f>BP172</f>
        <v>0</v>
      </c>
      <c r="BR172" t="s">
        <v>232</v>
      </c>
      <c r="BS172" s="230"/>
      <c r="BT172" t="s">
        <v>3263</v>
      </c>
      <c r="BU172">
        <v>-2.5261562500000001E-2</v>
      </c>
      <c r="BV172">
        <v>-0.87240555555555566</v>
      </c>
      <c r="BW172" s="144">
        <f>IFERROR(BV172/BU172,"")</f>
        <v>34.534900822368201</v>
      </c>
      <c r="BX172" s="152">
        <f>BV172-BU172</f>
        <v>-0.84714399305555566</v>
      </c>
      <c r="BY172" s="152"/>
      <c r="BZ172" s="152">
        <f>BX172</f>
        <v>-0.84714399305555566</v>
      </c>
      <c r="CA172" t="str">
        <f t="shared" si="173"/>
        <v/>
      </c>
      <c r="CB172">
        <v>0</v>
      </c>
      <c r="CC172">
        <v>1</v>
      </c>
      <c r="CD172">
        <v>1</v>
      </c>
      <c r="CE172">
        <v>1</v>
      </c>
      <c r="CF172">
        <v>1</v>
      </c>
      <c r="CG172">
        <v>1</v>
      </c>
      <c r="CH172">
        <v>1</v>
      </c>
      <c r="CI172">
        <v>0</v>
      </c>
      <c r="CJ172">
        <v>0</v>
      </c>
      <c r="CK172">
        <v>0</v>
      </c>
      <c r="CL172">
        <v>0</v>
      </c>
      <c r="CM172">
        <v>0</v>
      </c>
      <c r="CN172">
        <v>0</v>
      </c>
      <c r="CO172">
        <v>0</v>
      </c>
      <c r="CP172" t="str">
        <f t="shared" si="171"/>
        <v>refOK</v>
      </c>
      <c r="CQ172">
        <f>IF($CP172="refOK",$BM172,$BN172)</f>
        <v>1</v>
      </c>
      <c r="CR172">
        <f>IF($CP172="refOK",$BN172,$BM172)</f>
        <v>1</v>
      </c>
      <c r="CS172">
        <f>IF($CP172="refOK",$BQ172,-$BQ172)</f>
        <v>0</v>
      </c>
      <c r="CT172">
        <f t="shared" si="174"/>
        <v>0</v>
      </c>
      <c r="CU172">
        <f t="shared" si="152"/>
        <v>-2.5261562500000001E-2</v>
      </c>
      <c r="CV172">
        <f t="shared" si="153"/>
        <v>-0.87240555555555566</v>
      </c>
      <c r="CW172">
        <f t="shared" si="154"/>
        <v>-0.84714399305555566</v>
      </c>
      <c r="CX172" t="str">
        <f t="shared" si="175"/>
        <v/>
      </c>
      <c r="CY172" t="str">
        <f t="shared" si="155"/>
        <v/>
      </c>
      <c r="CZ172" t="str">
        <f t="shared" si="176"/>
        <v/>
      </c>
      <c r="DA172" s="2">
        <f t="shared" si="156"/>
        <v>-33.534900822368201</v>
      </c>
      <c r="DB172" s="1" t="s">
        <v>1078</v>
      </c>
      <c r="DC172" s="297" t="str">
        <f t="shared" si="157"/>
        <v>reg</v>
      </c>
      <c r="DD172" t="s">
        <v>3264</v>
      </c>
      <c r="DE172">
        <v>2000</v>
      </c>
      <c r="DF172">
        <v>2007</v>
      </c>
      <c r="DG172">
        <v>7</v>
      </c>
      <c r="DH172" t="str">
        <f t="shared" si="159"/>
        <v>1-30</v>
      </c>
      <c r="DI172">
        <v>0</v>
      </c>
      <c r="DJ172">
        <v>0</v>
      </c>
      <c r="DK172">
        <v>0</v>
      </c>
      <c r="DL172">
        <v>1</v>
      </c>
      <c r="DN172">
        <f t="shared" si="160"/>
        <v>1</v>
      </c>
      <c r="DO172" t="str">
        <f t="shared" si="161"/>
        <v>TimberInput</v>
      </c>
      <c r="DP172">
        <f t="shared" si="162"/>
        <v>0</v>
      </c>
      <c r="DQ172">
        <f t="shared" si="163"/>
        <v>0</v>
      </c>
      <c r="DR172">
        <f t="shared" si="164"/>
        <v>0</v>
      </c>
      <c r="DS172" t="str">
        <f t="shared" si="165"/>
        <v>Timber</v>
      </c>
      <c r="DT172">
        <v>0</v>
      </c>
      <c r="DU172">
        <v>0</v>
      </c>
      <c r="DV172">
        <v>0</v>
      </c>
      <c r="DW172">
        <v>0</v>
      </c>
      <c r="DX172">
        <v>0</v>
      </c>
      <c r="DY172">
        <f t="shared" si="166"/>
        <v>0</v>
      </c>
      <c r="DZ172" s="143" t="str">
        <f t="shared" si="167"/>
        <v>explicit C balance</v>
      </c>
      <c r="EA172">
        <v>0</v>
      </c>
      <c r="EB172">
        <v>0</v>
      </c>
      <c r="EC172">
        <v>0</v>
      </c>
      <c r="ED172">
        <v>0</v>
      </c>
      <c r="EE172">
        <v>0</v>
      </c>
      <c r="EF172" s="143">
        <v>0</v>
      </c>
      <c r="EG172">
        <v>1</v>
      </c>
      <c r="EH172">
        <v>1</v>
      </c>
      <c r="EI172">
        <v>0</v>
      </c>
      <c r="EJ172">
        <v>0</v>
      </c>
      <c r="EK172">
        <v>0</v>
      </c>
      <c r="EL172">
        <v>0</v>
      </c>
      <c r="EM172">
        <v>0</v>
      </c>
      <c r="EN172" s="2">
        <v>0</v>
      </c>
      <c r="EP172" t="str">
        <f t="shared" si="177"/>
        <v/>
      </c>
      <c r="EQ172" t="str">
        <f t="shared" si="178"/>
        <v/>
      </c>
      <c r="ER172" s="2" t="str">
        <f t="shared" si="179"/>
        <v>Technology approach</v>
      </c>
      <c r="ES172" t="str">
        <f t="shared" si="180"/>
        <v/>
      </c>
      <c r="ET172" t="str">
        <f t="shared" si="181"/>
        <v/>
      </c>
      <c r="EU172" t="str">
        <f t="shared" si="182"/>
        <v/>
      </c>
      <c r="EW172" t="s">
        <v>3265</v>
      </c>
      <c r="EY172" t="b">
        <f>IF(ISNUMBER(BW172),IF(ABS(BW172-[1]QC_indicators!$B$2)&gt;3*[1]QC_indicators!$C$2,"C ratio",IF(ISNUMBER(CA172),IF(ABS(CA172-[1]QC_indicators!$B$1)&gt;3*[1]QC_indicators!$C$1,"DF","no"))),IF(ISNUMBER(CA172),IF(ABS(CA172-[1]QC_indicators!$B$1)&gt;3*[1]QC_indicators!$C$1,"DF","no")))</f>
        <v>0</v>
      </c>
      <c r="EZ172" t="s">
        <v>286</v>
      </c>
      <c r="FA172" t="str">
        <f t="shared" si="183"/>
        <v/>
      </c>
    </row>
    <row r="173" spans="1:158" ht="15" hidden="1" customHeight="1">
      <c r="A173" s="1" t="s">
        <v>380</v>
      </c>
      <c r="B173" t="s">
        <v>3253</v>
      </c>
      <c r="C173" t="s">
        <v>3254</v>
      </c>
      <c r="D173" t="s">
        <v>3255</v>
      </c>
      <c r="E173" s="297" t="s">
        <v>3256</v>
      </c>
      <c r="F173" t="s">
        <v>3257</v>
      </c>
      <c r="G173" t="s">
        <v>386</v>
      </c>
      <c r="H173" t="s">
        <v>254</v>
      </c>
      <c r="I173">
        <v>2010</v>
      </c>
      <c r="J173">
        <v>22</v>
      </c>
      <c r="K173" t="s">
        <v>3258</v>
      </c>
      <c r="M173" t="str">
        <f t="shared" si="139"/>
        <v>Eshun_2010</v>
      </c>
      <c r="N173" s="297" t="s">
        <v>4058</v>
      </c>
      <c r="O173" s="145" t="s">
        <v>274</v>
      </c>
      <c r="Q173" s="297" t="s">
        <v>256</v>
      </c>
      <c r="R173" s="298"/>
      <c r="S173" s="1" t="s">
        <v>3259</v>
      </c>
      <c r="T173" t="s">
        <v>3260</v>
      </c>
      <c r="U173" t="s">
        <v>1402</v>
      </c>
      <c r="X173">
        <v>0</v>
      </c>
      <c r="Y173">
        <v>0</v>
      </c>
      <c r="Z173">
        <v>0</v>
      </c>
      <c r="AA173">
        <v>0</v>
      </c>
      <c r="AB173">
        <v>0</v>
      </c>
      <c r="AC173">
        <v>0</v>
      </c>
      <c r="AD173">
        <v>0</v>
      </c>
      <c r="AE173">
        <v>0</v>
      </c>
      <c r="AF173">
        <v>0</v>
      </c>
      <c r="AG173">
        <v>0</v>
      </c>
      <c r="AH173">
        <v>1</v>
      </c>
      <c r="AI173">
        <v>0</v>
      </c>
      <c r="AJ173">
        <v>0</v>
      </c>
      <c r="AK173">
        <v>0</v>
      </c>
      <c r="AL173">
        <v>0</v>
      </c>
      <c r="AM173">
        <v>0</v>
      </c>
      <c r="AN173">
        <v>0</v>
      </c>
      <c r="AO173">
        <v>0</v>
      </c>
      <c r="AP173">
        <v>0</v>
      </c>
      <c r="AQ173">
        <v>0</v>
      </c>
      <c r="AR173">
        <v>0</v>
      </c>
      <c r="AS173">
        <v>0</v>
      </c>
      <c r="AT173">
        <v>0</v>
      </c>
      <c r="AU173">
        <v>0</v>
      </c>
      <c r="AV173">
        <v>0</v>
      </c>
      <c r="AW173">
        <v>0</v>
      </c>
      <c r="AX173">
        <v>0</v>
      </c>
      <c r="AY173">
        <v>0</v>
      </c>
      <c r="AZ173" s="141">
        <f t="shared" si="141"/>
        <v>1</v>
      </c>
      <c r="BA173" s="141">
        <f t="shared" si="142"/>
        <v>1</v>
      </c>
      <c r="BB173">
        <f t="shared" si="143"/>
        <v>0</v>
      </c>
      <c r="BC173">
        <f t="shared" si="144"/>
        <v>1</v>
      </c>
      <c r="BD173">
        <f t="shared" si="145"/>
        <v>0</v>
      </c>
      <c r="BE173">
        <f t="shared" si="146"/>
        <v>0</v>
      </c>
      <c r="BF173">
        <f t="shared" si="147"/>
        <v>0</v>
      </c>
      <c r="BG173" t="str" cm="1">
        <f t="array" ref="BG173">IF(BA173=1,INDEX($X$7:$AN$7,MATCH(TRUE,INDEX($X173:$AY173&lt;&gt;0,),0)),IF(BA173=0,INDEX($AO$7:$AY$7,MATCH(1,$AO173:$AY173,0)),IF(BH173="Multiple strategies","mixed drivers",IF(BH173="Supply chain","multiple supply","multiple silviculture"))))</f>
        <v>supply chain organization</v>
      </c>
      <c r="BH173" s="2" t="str" cm="1">
        <f t="array" ref="BH173">IF(COUNTIF(BB173:BD173,"&lt;&gt;0")=1,INDEX($X$4:$AY$4,MATCH(TRUE,INDEX($X173:$AY173&lt;&gt;0,),0)),IF(COUNTIF(BB173:BD173,"&lt;&gt;0")=0,INDEX($AO$4:$AY$4,MATCH(1,$AO173:$AY173,0)),"Multiple strategies"))</f>
        <v>Supply chain</v>
      </c>
      <c r="BI173" s="142" t="s">
        <v>321</v>
      </c>
      <c r="BJ173" t="s">
        <v>3262</v>
      </c>
      <c r="BL173" t="s">
        <v>498</v>
      </c>
      <c r="BM173">
        <v>1</v>
      </c>
      <c r="BN173">
        <v>1</v>
      </c>
      <c r="BO173">
        <f>BN173/BM173</f>
        <v>1</v>
      </c>
      <c r="BP173">
        <f>BN173-BM173</f>
        <v>0</v>
      </c>
      <c r="BQ173">
        <f>BP173</f>
        <v>0</v>
      </c>
      <c r="BR173" t="s">
        <v>232</v>
      </c>
      <c r="BS173" s="230"/>
      <c r="BT173" t="s">
        <v>3263</v>
      </c>
      <c r="BU173">
        <v>-2.5261562500000001E-2</v>
      </c>
      <c r="BV173">
        <v>-0.71651656250000006</v>
      </c>
      <c r="BW173" s="144">
        <f>IFERROR(BV173/BU173,"")</f>
        <v>28.363905142447148</v>
      </c>
      <c r="BX173" s="152">
        <f>BV173-BU173</f>
        <v>-0.69125500000000006</v>
      </c>
      <c r="BY173" s="152"/>
      <c r="BZ173" s="152">
        <f>BX173</f>
        <v>-0.69125500000000006</v>
      </c>
      <c r="CA173" t="str">
        <f t="shared" si="173"/>
        <v/>
      </c>
      <c r="CB173">
        <v>0</v>
      </c>
      <c r="CC173">
        <v>1</v>
      </c>
      <c r="CD173">
        <v>1</v>
      </c>
      <c r="CE173">
        <v>1</v>
      </c>
      <c r="CF173">
        <v>1</v>
      </c>
      <c r="CG173">
        <v>1</v>
      </c>
      <c r="CH173">
        <v>1</v>
      </c>
      <c r="CI173">
        <v>0</v>
      </c>
      <c r="CJ173">
        <v>0</v>
      </c>
      <c r="CK173">
        <v>0</v>
      </c>
      <c r="CL173">
        <v>0</v>
      </c>
      <c r="CM173">
        <v>0</v>
      </c>
      <c r="CN173">
        <v>0</v>
      </c>
      <c r="CO173">
        <v>0</v>
      </c>
      <c r="CP173" t="str">
        <f t="shared" si="171"/>
        <v>refOK</v>
      </c>
      <c r="CQ173">
        <f>IF($CP173="refOK",$BM173,$BN173)</f>
        <v>1</v>
      </c>
      <c r="CR173">
        <f>IF($CP173="refOK",$BN173,$BM173)</f>
        <v>1</v>
      </c>
      <c r="CS173">
        <f>IF($CP173="refOK",$BQ173,-$BQ173)</f>
        <v>0</v>
      </c>
      <c r="CT173">
        <f t="shared" si="174"/>
        <v>0</v>
      </c>
      <c r="CU173">
        <f t="shared" si="152"/>
        <v>-2.5261562500000001E-2</v>
      </c>
      <c r="CV173">
        <f t="shared" si="153"/>
        <v>-0.71651656250000006</v>
      </c>
      <c r="CW173">
        <f t="shared" si="154"/>
        <v>-0.69125500000000006</v>
      </c>
      <c r="CX173" t="str">
        <f t="shared" si="175"/>
        <v/>
      </c>
      <c r="CY173" t="str">
        <f t="shared" si="155"/>
        <v/>
      </c>
      <c r="CZ173" t="str">
        <f t="shared" si="176"/>
        <v/>
      </c>
      <c r="DA173" s="2">
        <f t="shared" si="156"/>
        <v>-27.363905142447148</v>
      </c>
      <c r="DB173" s="1" t="s">
        <v>1078</v>
      </c>
      <c r="DC173" s="297" t="str">
        <f t="shared" si="157"/>
        <v>reg</v>
      </c>
      <c r="DD173" t="s">
        <v>3264</v>
      </c>
      <c r="DE173">
        <v>2000</v>
      </c>
      <c r="DF173">
        <v>2007</v>
      </c>
      <c r="DG173">
        <v>7</v>
      </c>
      <c r="DH173" t="str">
        <f t="shared" si="159"/>
        <v>1-30</v>
      </c>
      <c r="DI173">
        <v>0</v>
      </c>
      <c r="DJ173">
        <v>0</v>
      </c>
      <c r="DK173">
        <v>0</v>
      </c>
      <c r="DL173">
        <v>1</v>
      </c>
      <c r="DN173">
        <f t="shared" si="160"/>
        <v>1</v>
      </c>
      <c r="DO173" t="str">
        <f t="shared" si="161"/>
        <v>TimberInput</v>
      </c>
      <c r="DP173">
        <f t="shared" si="162"/>
        <v>0</v>
      </c>
      <c r="DQ173">
        <f t="shared" si="163"/>
        <v>0</v>
      </c>
      <c r="DR173">
        <f t="shared" si="164"/>
        <v>0</v>
      </c>
      <c r="DS173" t="str">
        <f t="shared" si="165"/>
        <v>Timber</v>
      </c>
      <c r="DT173">
        <v>0</v>
      </c>
      <c r="DU173">
        <v>0</v>
      </c>
      <c r="DV173">
        <v>0</v>
      </c>
      <c r="DW173">
        <v>0</v>
      </c>
      <c r="DX173">
        <v>0</v>
      </c>
      <c r="DY173">
        <f t="shared" si="166"/>
        <v>0</v>
      </c>
      <c r="DZ173" s="143" t="str">
        <f t="shared" si="167"/>
        <v>explicit C balance</v>
      </c>
      <c r="EA173">
        <v>0</v>
      </c>
      <c r="EB173">
        <v>0</v>
      </c>
      <c r="EC173">
        <v>0</v>
      </c>
      <c r="ED173">
        <v>0</v>
      </c>
      <c r="EE173">
        <v>0</v>
      </c>
      <c r="EF173" s="143">
        <v>0</v>
      </c>
      <c r="EG173">
        <v>1</v>
      </c>
      <c r="EH173">
        <v>1</v>
      </c>
      <c r="EI173">
        <v>0</v>
      </c>
      <c r="EJ173">
        <v>0</v>
      </c>
      <c r="EK173">
        <v>0</v>
      </c>
      <c r="EL173">
        <v>0</v>
      </c>
      <c r="EM173">
        <v>0</v>
      </c>
      <c r="EN173" s="2">
        <v>0</v>
      </c>
      <c r="EP173" t="str">
        <f t="shared" si="177"/>
        <v/>
      </c>
      <c r="EQ173" t="str">
        <f t="shared" si="178"/>
        <v/>
      </c>
      <c r="ER173" s="2" t="str">
        <f t="shared" si="179"/>
        <v>Technology approach</v>
      </c>
      <c r="ES173" t="str">
        <f t="shared" si="180"/>
        <v/>
      </c>
      <c r="ET173" t="str">
        <f t="shared" si="181"/>
        <v/>
      </c>
      <c r="EU173" t="str">
        <f t="shared" si="182"/>
        <v/>
      </c>
      <c r="EW173" t="s">
        <v>3265</v>
      </c>
      <c r="EY173" t="b">
        <f>IF(ISNUMBER(BW173),IF(ABS(BW173-[1]QC_indicators!$B$2)&gt;3*[1]QC_indicators!$C$2,"C ratio",IF(ISNUMBER(CA173),IF(ABS(CA173-[1]QC_indicators!$B$1)&gt;3*[1]QC_indicators!$C$1,"DF","no"))),IF(ISNUMBER(CA173),IF(ABS(CA173-[1]QC_indicators!$B$1)&gt;3*[1]QC_indicators!$C$1,"DF","no")))</f>
        <v>0</v>
      </c>
      <c r="EZ173" t="s">
        <v>286</v>
      </c>
      <c r="FA173" t="str">
        <f t="shared" si="183"/>
        <v/>
      </c>
    </row>
    <row r="174" spans="1:158" ht="15" hidden="1" customHeight="1">
      <c r="A174" s="1" t="s">
        <v>380</v>
      </c>
      <c r="B174" t="s">
        <v>3253</v>
      </c>
      <c r="C174" t="s">
        <v>3254</v>
      </c>
      <c r="D174" t="s">
        <v>3255</v>
      </c>
      <c r="E174" t="s">
        <v>3256</v>
      </c>
      <c r="F174" t="s">
        <v>3257</v>
      </c>
      <c r="G174" t="s">
        <v>386</v>
      </c>
      <c r="H174" t="s">
        <v>254</v>
      </c>
      <c r="I174">
        <v>2010</v>
      </c>
      <c r="J174">
        <v>22</v>
      </c>
      <c r="K174" t="s">
        <v>3258</v>
      </c>
      <c r="M174" t="str">
        <f t="shared" si="139"/>
        <v>Eshun_2010</v>
      </c>
      <c r="N174" s="297" t="s">
        <v>4058</v>
      </c>
      <c r="O174" s="145" t="s">
        <v>274</v>
      </c>
      <c r="Q174" s="297" t="s">
        <v>256</v>
      </c>
      <c r="R174" s="298"/>
      <c r="S174" s="1" t="s">
        <v>3259</v>
      </c>
      <c r="T174" t="s">
        <v>3260</v>
      </c>
      <c r="U174" t="s">
        <v>3266</v>
      </c>
      <c r="X174">
        <v>0</v>
      </c>
      <c r="Y174">
        <v>0</v>
      </c>
      <c r="Z174">
        <v>0</v>
      </c>
      <c r="AA174">
        <v>0</v>
      </c>
      <c r="AB174">
        <v>0</v>
      </c>
      <c r="AC174">
        <v>0</v>
      </c>
      <c r="AD174">
        <v>0</v>
      </c>
      <c r="AE174">
        <v>0</v>
      </c>
      <c r="AF174">
        <v>0</v>
      </c>
      <c r="AG174">
        <v>0</v>
      </c>
      <c r="AH174">
        <v>1</v>
      </c>
      <c r="AI174">
        <v>0</v>
      </c>
      <c r="AJ174">
        <v>0</v>
      </c>
      <c r="AK174">
        <v>0</v>
      </c>
      <c r="AL174">
        <v>0</v>
      </c>
      <c r="AM174">
        <v>0</v>
      </c>
      <c r="AN174">
        <v>0</v>
      </c>
      <c r="AO174">
        <v>0</v>
      </c>
      <c r="AP174">
        <v>0</v>
      </c>
      <c r="AQ174">
        <v>0</v>
      </c>
      <c r="AR174">
        <v>0</v>
      </c>
      <c r="AS174">
        <v>0</v>
      </c>
      <c r="AT174">
        <v>0</v>
      </c>
      <c r="AU174">
        <v>0</v>
      </c>
      <c r="AV174">
        <v>0</v>
      </c>
      <c r="AW174">
        <v>0</v>
      </c>
      <c r="AX174">
        <v>0</v>
      </c>
      <c r="AY174">
        <v>0</v>
      </c>
      <c r="AZ174" s="141">
        <f t="shared" ref="AZ174:AZ205" si="184">COUNTIF(X174:AY174,"&lt;&gt;0")</f>
        <v>1</v>
      </c>
      <c r="BA174" s="141">
        <f t="shared" ref="BA174:BA205" si="185">COUNTIF(X174:AN174,"&lt;&gt;0")</f>
        <v>1</v>
      </c>
      <c r="BB174">
        <f t="shared" ref="BB174:BB205" si="186">COUNTIF(X174:AE174,"&lt;&gt;0")</f>
        <v>0</v>
      </c>
      <c r="BC174">
        <f t="shared" ref="BC174:BC205" si="187">COUNTIF(AF174:AK174,"&lt;&gt;0")</f>
        <v>1</v>
      </c>
      <c r="BD174">
        <f t="shared" ref="BD174:BD205" si="188">COUNTIF(AL174:AN174,"&lt;&gt;0")</f>
        <v>0</v>
      </c>
      <c r="BE174">
        <f t="shared" ref="BE174:BE205" si="189">COUNTIF(AU174:AY174,"&lt;&gt;0")</f>
        <v>0</v>
      </c>
      <c r="BF174">
        <f t="shared" ref="BF174:BF205" si="190">COUNTIF(AO174:AT174,"&lt;&gt;0")</f>
        <v>0</v>
      </c>
      <c r="BG174" t="str" cm="1">
        <f t="array" ref="BG174">IF(BA174=1,INDEX($X$7:$AN$7,MATCH(TRUE,INDEX($X174:$AY174&lt;&gt;0,),0)),IF(BA174=0,INDEX($AO$7:$AY$7,MATCH(1,$AO174:$AY174,0)),IF(BH174="Multiple strategies","mixed drivers",IF(BH174="Supply chain","multiple supply","multiple silviculture"))))</f>
        <v>supply chain organization</v>
      </c>
      <c r="BH174" s="2" t="str" cm="1">
        <f t="array" ref="BH174">IF(COUNTIF(BB174:BD174,"&lt;&gt;0")=1,INDEX($X$4:$AY$4,MATCH(TRUE,INDEX($X174:$AY174&lt;&gt;0,),0)),IF(COUNTIF(BB174:BD174,"&lt;&gt;0")=0,INDEX($AO$4:$AY$4,MATCH(1,$AO174:$AY174,0)),"Multiple strategies"))</f>
        <v>Supply chain</v>
      </c>
      <c r="BI174" s="142" t="s">
        <v>321</v>
      </c>
      <c r="BJ174" t="s">
        <v>3262</v>
      </c>
      <c r="BL174" t="s">
        <v>498</v>
      </c>
      <c r="BM174">
        <v>1</v>
      </c>
      <c r="BN174">
        <v>1</v>
      </c>
      <c r="BO174">
        <f>BN174/BM174</f>
        <v>1</v>
      </c>
      <c r="BP174">
        <f>BN174-BM174</f>
        <v>0</v>
      </c>
      <c r="BQ174">
        <f>BP174</f>
        <v>0</v>
      </c>
      <c r="BR174" t="s">
        <v>232</v>
      </c>
      <c r="BS174" s="230"/>
      <c r="BT174" t="s">
        <v>3263</v>
      </c>
      <c r="BU174">
        <v>-2.5261562500000001E-2</v>
      </c>
      <c r="BV174">
        <v>-0.52060840909090911</v>
      </c>
      <c r="BW174" s="144">
        <f>IFERROR(BV174/BU174,"")</f>
        <v>20.608717655169155</v>
      </c>
      <c r="BX174" s="152">
        <f>BV174-BU174</f>
        <v>-0.49534684659090911</v>
      </c>
      <c r="BY174" s="152"/>
      <c r="BZ174" s="152">
        <f>BX174</f>
        <v>-0.49534684659090911</v>
      </c>
      <c r="CA174" t="str">
        <f t="shared" si="173"/>
        <v/>
      </c>
      <c r="CB174">
        <v>0</v>
      </c>
      <c r="CC174">
        <v>1</v>
      </c>
      <c r="CD174">
        <v>1</v>
      </c>
      <c r="CE174">
        <v>1</v>
      </c>
      <c r="CF174">
        <v>1</v>
      </c>
      <c r="CG174">
        <v>1</v>
      </c>
      <c r="CH174">
        <v>1</v>
      </c>
      <c r="CI174">
        <v>0</v>
      </c>
      <c r="CJ174">
        <v>0</v>
      </c>
      <c r="CK174">
        <v>0</v>
      </c>
      <c r="CL174">
        <v>0</v>
      </c>
      <c r="CM174">
        <v>0</v>
      </c>
      <c r="CN174">
        <v>0</v>
      </c>
      <c r="CO174">
        <v>0</v>
      </c>
      <c r="CP174" t="str">
        <f t="shared" si="171"/>
        <v>refOK</v>
      </c>
      <c r="CQ174">
        <f>IF($CP174="refOK",$BM174,$BN174)</f>
        <v>1</v>
      </c>
      <c r="CR174">
        <f>IF($CP174="refOK",$BN174,$BM174)</f>
        <v>1</v>
      </c>
      <c r="CS174">
        <f>IF($CP174="refOK",$BQ174,-$BQ174)</f>
        <v>0</v>
      </c>
      <c r="CT174">
        <f t="shared" si="174"/>
        <v>0</v>
      </c>
      <c r="CU174">
        <f t="shared" ref="CU174:CU205" si="191">IF($CP174="refOK",$BU174,$BV174)*IF($BR174="Emissions positive",-1,1)</f>
        <v>-2.5261562500000001E-2</v>
      </c>
      <c r="CV174">
        <f t="shared" ref="CV174:CV205" si="192">IF($CP174="refOK",$BV174,$BU174)*IF($BR174="Emissions positive",-1,1)</f>
        <v>-0.52060840909090911</v>
      </c>
      <c r="CW174">
        <f t="shared" ref="CW174:CW205" si="193">IF($CP174="refNeedCorrection",-BZ174,BZ174)*IF($BR174="Emissions positive",-1,1)</f>
        <v>-0.49534684659090911</v>
      </c>
      <c r="CX174" t="str">
        <f t="shared" si="175"/>
        <v/>
      </c>
      <c r="CY174" t="str">
        <f t="shared" ref="CY174:CY205" si="194">IFERROR($CW174/$CS174,"")</f>
        <v/>
      </c>
      <c r="CZ174" t="str">
        <f t="shared" si="176"/>
        <v/>
      </c>
      <c r="DA174" s="2">
        <f t="shared" ref="DA174:DA205" si="195">IFERROR((CV174-CU174)/ABS(CU174),"")</f>
        <v>-19.608717655169155</v>
      </c>
      <c r="DB174" s="1" t="s">
        <v>1078</v>
      </c>
      <c r="DC174" s="297" t="str">
        <f t="shared" ref="DC174:DC205" si="196">IF(OR($DB174="prd",$DB174="std",$DB174="cit"),"loc",IF(OR($DB174="eur",$DB174="reg",$DB174="coy"),"reg",$DB174))</f>
        <v>reg</v>
      </c>
      <c r="DD174" t="s">
        <v>3264</v>
      </c>
      <c r="DE174">
        <v>2000</v>
      </c>
      <c r="DF174">
        <v>2007</v>
      </c>
      <c r="DG174">
        <v>7</v>
      </c>
      <c r="DH174" t="str">
        <f t="shared" ref="DH174:DH205" si="197">IF(DG174=0,"0",IF(AND(DG174&gt;=1,DG174&lt;=30),"1-30",IF(AND(DG174&gt;30,DG174&lt;=70),"31-70",IF(AND(DG174&gt;70,DG174&lt;=100),"71-100",IF(DG174&gt;100,"+100")))))</f>
        <v>1-30</v>
      </c>
      <c r="DI174">
        <v>0</v>
      </c>
      <c r="DJ174">
        <v>0</v>
      </c>
      <c r="DK174">
        <v>0</v>
      </c>
      <c r="DL174">
        <v>1</v>
      </c>
      <c r="DN174">
        <f t="shared" si="160"/>
        <v>1</v>
      </c>
      <c r="DO174" t="str">
        <f t="shared" ref="DO174:DO205" si="198">IF(DN174=1,INDEX($DI$7:$DL$7,MATCH(1,$DI174:$DL174,0)),"mixedProduct")</f>
        <v>TimberInput</v>
      </c>
      <c r="DP174">
        <f t="shared" ref="DP174:DP205" si="199">IF(DI174=1,DP$7,0)</f>
        <v>0</v>
      </c>
      <c r="DQ174">
        <f t="shared" ref="DQ174:DQ205" si="200">IF(DJ174=1,DQ$7,0)</f>
        <v>0</v>
      </c>
      <c r="DR174">
        <f t="shared" ref="DR174:DR205" si="201">IF(DK174=1,DR$7,0)</f>
        <v>0</v>
      </c>
      <c r="DS174" t="str">
        <f t="shared" ref="DS174:DS205" si="202">IF(DL174=1,DS$7,0)</f>
        <v>Timber</v>
      </c>
      <c r="DT174">
        <v>0</v>
      </c>
      <c r="DU174">
        <v>0</v>
      </c>
      <c r="DV174">
        <v>0</v>
      </c>
      <c r="DW174">
        <v>0</v>
      </c>
      <c r="DX174">
        <v>0</v>
      </c>
      <c r="DY174">
        <f t="shared" ref="DY174:DY199" si="203">SUM(DT174:DU174)</f>
        <v>0</v>
      </c>
      <c r="DZ174" s="143" t="str">
        <f t="shared" ref="DZ174:DZ205" si="204">IF(DT174=1,"self-calculated DF",IF(DU174=1,"external DF used","explicit C balance"))</f>
        <v>explicit C balance</v>
      </c>
      <c r="EA174">
        <v>0</v>
      </c>
      <c r="EB174">
        <v>0</v>
      </c>
      <c r="EC174">
        <v>0</v>
      </c>
      <c r="ED174">
        <v>0</v>
      </c>
      <c r="EE174">
        <v>0</v>
      </c>
      <c r="EF174" s="143">
        <v>0</v>
      </c>
      <c r="EG174">
        <v>1</v>
      </c>
      <c r="EH174">
        <v>1</v>
      </c>
      <c r="EI174">
        <v>0</v>
      </c>
      <c r="EJ174">
        <v>0</v>
      </c>
      <c r="EK174">
        <v>0</v>
      </c>
      <c r="EL174">
        <v>0</v>
      </c>
      <c r="EM174">
        <v>0</v>
      </c>
      <c r="EN174" s="2">
        <v>0</v>
      </c>
      <c r="EP174" t="str">
        <f t="shared" si="177"/>
        <v/>
      </c>
      <c r="EQ174" t="str">
        <f t="shared" si="178"/>
        <v/>
      </c>
      <c r="ER174" s="2" t="str">
        <f t="shared" si="179"/>
        <v>Technology approach</v>
      </c>
      <c r="ES174" t="str">
        <f t="shared" si="180"/>
        <v/>
      </c>
      <c r="ET174" t="str">
        <f t="shared" si="181"/>
        <v/>
      </c>
      <c r="EU174" t="str">
        <f t="shared" si="182"/>
        <v/>
      </c>
      <c r="EW174" t="s">
        <v>3265</v>
      </c>
      <c r="EY174" t="b">
        <f>IF(ISNUMBER(BW174),IF(ABS(BW174-[1]QC_indicators!$B$2)&gt;3*[1]QC_indicators!$C$2,"C ratio",IF(ISNUMBER(CA174),IF(ABS(CA174-[1]QC_indicators!$B$1)&gt;3*[1]QC_indicators!$C$1,"DF","no"))),IF(ISNUMBER(CA174),IF(ABS(CA174-[1]QC_indicators!$B$1)&gt;3*[1]QC_indicators!$C$1,"DF","no")))</f>
        <v>0</v>
      </c>
      <c r="EZ174" t="s">
        <v>286</v>
      </c>
      <c r="FA174" t="str">
        <f t="shared" si="183"/>
        <v/>
      </c>
    </row>
    <row r="175" spans="1:158" ht="15" hidden="1" customHeight="1">
      <c r="A175" s="1" t="s">
        <v>380</v>
      </c>
      <c r="B175" t="s">
        <v>3267</v>
      </c>
      <c r="C175" t="s">
        <v>531</v>
      </c>
      <c r="D175" t="s">
        <v>3268</v>
      </c>
      <c r="E175" t="s">
        <v>3269</v>
      </c>
      <c r="F175" t="s">
        <v>3270</v>
      </c>
      <c r="G175" t="s">
        <v>386</v>
      </c>
      <c r="H175" t="s">
        <v>254</v>
      </c>
      <c r="I175">
        <v>2003</v>
      </c>
      <c r="J175">
        <v>83</v>
      </c>
      <c r="K175" t="s">
        <v>3271</v>
      </c>
      <c r="M175" t="str">
        <f t="shared" si="139"/>
        <v>Fu_2003</v>
      </c>
      <c r="N175" s="297" t="s">
        <v>4058</v>
      </c>
      <c r="O175" s="180" t="s">
        <v>225</v>
      </c>
      <c r="Q175" s="297" t="s">
        <v>256</v>
      </c>
      <c r="R175" s="298"/>
      <c r="S175" s="1" t="s">
        <v>3272</v>
      </c>
      <c r="T175" t="s">
        <v>3273</v>
      </c>
      <c r="U175" t="s">
        <v>3274</v>
      </c>
      <c r="X175">
        <v>0</v>
      </c>
      <c r="Y175">
        <v>0</v>
      </c>
      <c r="Z175">
        <v>0</v>
      </c>
      <c r="AA175">
        <v>0</v>
      </c>
      <c r="AB175">
        <v>0</v>
      </c>
      <c r="AC175">
        <v>0</v>
      </c>
      <c r="AD175">
        <v>0</v>
      </c>
      <c r="AE175">
        <v>0</v>
      </c>
      <c r="AF175">
        <v>0</v>
      </c>
      <c r="AG175">
        <v>0</v>
      </c>
      <c r="AH175">
        <v>1</v>
      </c>
      <c r="AI175">
        <v>0</v>
      </c>
      <c r="AJ175">
        <v>0</v>
      </c>
      <c r="AK175">
        <v>0</v>
      </c>
      <c r="AL175">
        <v>0</v>
      </c>
      <c r="AM175">
        <v>0</v>
      </c>
      <c r="AN175">
        <v>0</v>
      </c>
      <c r="AO175">
        <v>0</v>
      </c>
      <c r="AP175">
        <v>0</v>
      </c>
      <c r="AQ175">
        <v>0</v>
      </c>
      <c r="AR175">
        <v>0</v>
      </c>
      <c r="AS175">
        <v>0</v>
      </c>
      <c r="AT175">
        <v>0</v>
      </c>
      <c r="AU175">
        <v>0</v>
      </c>
      <c r="AV175">
        <v>0</v>
      </c>
      <c r="AW175">
        <v>0</v>
      </c>
      <c r="AX175">
        <v>0</v>
      </c>
      <c r="AY175">
        <v>0</v>
      </c>
      <c r="AZ175" s="141">
        <f t="shared" si="184"/>
        <v>1</v>
      </c>
      <c r="BA175" s="141">
        <f t="shared" si="185"/>
        <v>1</v>
      </c>
      <c r="BB175">
        <f t="shared" si="186"/>
        <v>0</v>
      </c>
      <c r="BC175">
        <f t="shared" si="187"/>
        <v>1</v>
      </c>
      <c r="BD175">
        <f t="shared" si="188"/>
        <v>0</v>
      </c>
      <c r="BE175">
        <f t="shared" si="189"/>
        <v>0</v>
      </c>
      <c r="BF175">
        <f t="shared" si="190"/>
        <v>0</v>
      </c>
      <c r="BG175" t="str" cm="1">
        <f t="array" ref="BG175">IF(BA175=1,INDEX($X$7:$AN$7,MATCH(TRUE,INDEX($X175:$AY175&lt;&gt;0,),0)),IF(BA175=0,INDEX($AO$7:$AY$7,MATCH(1,$AO175:$AY175,0)),IF(BH175="Multiple strategies","mixed drivers",IF(BH175="Supply chain","multiple supply","multiple silviculture"))))</f>
        <v>supply chain organization</v>
      </c>
      <c r="BH175" s="2" t="str" cm="1">
        <f t="array" ref="BH175">IF(COUNTIF(BB175:BD175,"&lt;&gt;0")=1,INDEX($X$4:$AY$4,MATCH(TRUE,INDEX($X175:$AY175&lt;&gt;0,),0)),IF(COUNTIF(BB175:BD175,"&lt;&gt;0")=0,INDEX($AO$4:$AY$4,MATCH(1,$AO175:$AY175,0)),"Multiple strategies"))</f>
        <v>Supply chain</v>
      </c>
      <c r="BI175" s="164"/>
      <c r="BJ175" s="165"/>
      <c r="BK175" s="165"/>
      <c r="BL175" s="166"/>
      <c r="BM175" s="167"/>
      <c r="BN175" s="305"/>
      <c r="BO175" s="306"/>
      <c r="BP175" s="168"/>
      <c r="BR175" s="297" t="s">
        <v>232</v>
      </c>
      <c r="BS175" s="331"/>
      <c r="BT175" t="s">
        <v>3275</v>
      </c>
      <c r="BU175">
        <v>-256</v>
      </c>
      <c r="BV175">
        <v>-255</v>
      </c>
      <c r="BW175" s="144">
        <v>0.99609375</v>
      </c>
      <c r="BX175">
        <v>1</v>
      </c>
      <c r="BZ175">
        <f>BX175/10^6</f>
        <v>9.9999999999999995E-7</v>
      </c>
      <c r="CA175" t="str">
        <f t="shared" si="173"/>
        <v/>
      </c>
      <c r="CB175">
        <v>1</v>
      </c>
      <c r="CC175">
        <v>0</v>
      </c>
      <c r="CD175">
        <v>0</v>
      </c>
      <c r="CE175">
        <v>0</v>
      </c>
      <c r="CF175">
        <v>0</v>
      </c>
      <c r="CG175">
        <v>0</v>
      </c>
      <c r="CH175">
        <v>0</v>
      </c>
      <c r="CI175">
        <v>0</v>
      </c>
      <c r="CJ175">
        <v>0</v>
      </c>
      <c r="CK175">
        <v>0</v>
      </c>
      <c r="CL175">
        <v>1</v>
      </c>
      <c r="CM175">
        <v>0</v>
      </c>
      <c r="CN175">
        <v>0</v>
      </c>
      <c r="CO175">
        <v>0</v>
      </c>
      <c r="CP175" t="str">
        <f t="shared" si="171"/>
        <v>refOK</v>
      </c>
      <c r="CQ175"/>
      <c r="CR175"/>
      <c r="CS175">
        <f>IF($CP175="refOK",$BQ175,-$BQ175)</f>
        <v>0</v>
      </c>
      <c r="CT175">
        <f t="shared" si="174"/>
        <v>0</v>
      </c>
      <c r="CU175">
        <f t="shared" si="191"/>
        <v>-256</v>
      </c>
      <c r="CV175">
        <f t="shared" si="192"/>
        <v>-255</v>
      </c>
      <c r="CW175">
        <f t="shared" si="193"/>
        <v>9.9999999999999995E-7</v>
      </c>
      <c r="CX175" t="str">
        <f t="shared" si="175"/>
        <v/>
      </c>
      <c r="CY175" t="str">
        <f t="shared" si="194"/>
        <v/>
      </c>
      <c r="CZ175" t="str">
        <f t="shared" si="176"/>
        <v/>
      </c>
      <c r="DA175" s="2">
        <f t="shared" si="195"/>
        <v>3.90625E-3</v>
      </c>
      <c r="DB175" s="1" t="s">
        <v>1074</v>
      </c>
      <c r="DC175" s="297" t="str">
        <f t="shared" si="196"/>
        <v>reg</v>
      </c>
      <c r="DD175" t="s">
        <v>527</v>
      </c>
      <c r="DE175">
        <v>2003</v>
      </c>
      <c r="DG175">
        <v>0</v>
      </c>
      <c r="DH175" t="str">
        <f t="shared" si="197"/>
        <v>0</v>
      </c>
      <c r="DI175">
        <v>0</v>
      </c>
      <c r="DJ175">
        <v>1</v>
      </c>
      <c r="DK175">
        <v>0</v>
      </c>
      <c r="DL175">
        <v>0</v>
      </c>
      <c r="DN175">
        <f t="shared" si="160"/>
        <v>1</v>
      </c>
      <c r="DO175" t="str">
        <f t="shared" si="198"/>
        <v>EnergyInput</v>
      </c>
      <c r="DP175">
        <f t="shared" si="199"/>
        <v>0</v>
      </c>
      <c r="DQ175" t="str">
        <f t="shared" si="200"/>
        <v>Energy</v>
      </c>
      <c r="DR175">
        <f t="shared" si="201"/>
        <v>0</v>
      </c>
      <c r="DS175">
        <f t="shared" si="202"/>
        <v>0</v>
      </c>
      <c r="DT175">
        <v>0</v>
      </c>
      <c r="DU175">
        <v>0</v>
      </c>
      <c r="DV175">
        <v>0</v>
      </c>
      <c r="DW175">
        <v>0</v>
      </c>
      <c r="DX175">
        <v>0</v>
      </c>
      <c r="DY175">
        <f t="shared" si="203"/>
        <v>0</v>
      </c>
      <c r="DZ175" s="143" t="str">
        <f t="shared" si="204"/>
        <v>explicit C balance</v>
      </c>
      <c r="EA175">
        <v>0</v>
      </c>
      <c r="EB175">
        <v>0</v>
      </c>
      <c r="EC175">
        <v>0</v>
      </c>
      <c r="ED175">
        <v>0</v>
      </c>
      <c r="EE175">
        <v>0</v>
      </c>
      <c r="EF175" s="143">
        <v>0</v>
      </c>
      <c r="EG175">
        <v>0</v>
      </c>
      <c r="EH175">
        <v>1</v>
      </c>
      <c r="EI175">
        <v>0</v>
      </c>
      <c r="EJ175">
        <v>1</v>
      </c>
      <c r="EK175">
        <v>0</v>
      </c>
      <c r="EL175">
        <v>0</v>
      </c>
      <c r="EM175">
        <v>0</v>
      </c>
      <c r="EN175" s="2">
        <v>0</v>
      </c>
      <c r="EP175" t="str">
        <f t="shared" si="177"/>
        <v/>
      </c>
      <c r="EQ175" t="str">
        <f t="shared" si="178"/>
        <v/>
      </c>
      <c r="ER175" s="2" t="str">
        <f t="shared" si="179"/>
        <v>Technology approach</v>
      </c>
      <c r="ES175" t="str">
        <f t="shared" si="180"/>
        <v/>
      </c>
      <c r="ET175" t="str">
        <f t="shared" si="181"/>
        <v/>
      </c>
      <c r="EU175" t="str">
        <f t="shared" si="182"/>
        <v/>
      </c>
      <c r="EW175" t="s">
        <v>3276</v>
      </c>
      <c r="EY175" t="b">
        <f>IF(ISNUMBER(BW175),IF(ABS(BW175-[1]QC_indicators!$B$2)&gt;3*[1]QC_indicators!$C$2,"C ratio",IF(ISNUMBER(CA175),IF(ABS(CA175-[1]QC_indicators!$B$1)&gt;3*[1]QC_indicators!$C$1,"DF","no"))),IF(ISNUMBER(CA175),IF(ABS(CA175-[1]QC_indicators!$B$1)&gt;3*[1]QC_indicators!$C$1,"DF","no")))</f>
        <v>0</v>
      </c>
      <c r="FA175" t="str">
        <f t="shared" si="183"/>
        <v/>
      </c>
      <c r="FB175" s="299" t="s">
        <v>349</v>
      </c>
    </row>
    <row r="176" spans="1:158" ht="15" hidden="1" customHeight="1">
      <c r="A176" s="1" t="s">
        <v>380</v>
      </c>
      <c r="B176" t="s">
        <v>3267</v>
      </c>
      <c r="C176" t="s">
        <v>531</v>
      </c>
      <c r="D176" t="s">
        <v>3268</v>
      </c>
      <c r="E176" t="s">
        <v>3269</v>
      </c>
      <c r="F176" t="s">
        <v>3270</v>
      </c>
      <c r="G176" t="s">
        <v>386</v>
      </c>
      <c r="H176" t="s">
        <v>254</v>
      </c>
      <c r="I176">
        <v>2003</v>
      </c>
      <c r="J176">
        <v>83</v>
      </c>
      <c r="K176" t="s">
        <v>3271</v>
      </c>
      <c r="M176" t="str">
        <f t="shared" si="139"/>
        <v>Fu_2003</v>
      </c>
      <c r="N176" s="297" t="s">
        <v>4058</v>
      </c>
      <c r="O176" s="180" t="s">
        <v>225</v>
      </c>
      <c r="Q176" s="297" t="s">
        <v>256</v>
      </c>
      <c r="R176" s="298"/>
      <c r="S176" s="1" t="s">
        <v>3277</v>
      </c>
      <c r="T176" t="s">
        <v>3273</v>
      </c>
      <c r="U176" t="s">
        <v>3274</v>
      </c>
      <c r="X176">
        <v>0</v>
      </c>
      <c r="Y176">
        <v>0</v>
      </c>
      <c r="Z176">
        <v>0</v>
      </c>
      <c r="AA176">
        <v>0</v>
      </c>
      <c r="AB176">
        <v>0</v>
      </c>
      <c r="AC176">
        <v>0</v>
      </c>
      <c r="AD176">
        <v>0</v>
      </c>
      <c r="AE176">
        <v>0</v>
      </c>
      <c r="AF176">
        <v>0</v>
      </c>
      <c r="AG176">
        <v>0</v>
      </c>
      <c r="AH176">
        <v>1</v>
      </c>
      <c r="AI176">
        <v>0</v>
      </c>
      <c r="AJ176">
        <v>0</v>
      </c>
      <c r="AK176">
        <v>0</v>
      </c>
      <c r="AL176">
        <v>0</v>
      </c>
      <c r="AM176">
        <v>0</v>
      </c>
      <c r="AN176">
        <v>0</v>
      </c>
      <c r="AO176">
        <v>0</v>
      </c>
      <c r="AP176">
        <v>0</v>
      </c>
      <c r="AQ176">
        <v>0</v>
      </c>
      <c r="AR176">
        <v>0</v>
      </c>
      <c r="AS176">
        <v>0</v>
      </c>
      <c r="AT176">
        <v>0</v>
      </c>
      <c r="AU176">
        <v>0</v>
      </c>
      <c r="AV176">
        <v>0</v>
      </c>
      <c r="AW176">
        <v>0</v>
      </c>
      <c r="AX176">
        <v>0</v>
      </c>
      <c r="AY176">
        <v>0</v>
      </c>
      <c r="AZ176" s="141">
        <f t="shared" si="184"/>
        <v>1</v>
      </c>
      <c r="BA176" s="141">
        <f t="shared" si="185"/>
        <v>1</v>
      </c>
      <c r="BB176">
        <f t="shared" si="186"/>
        <v>0</v>
      </c>
      <c r="BC176">
        <f t="shared" si="187"/>
        <v>1</v>
      </c>
      <c r="BD176">
        <f t="shared" si="188"/>
        <v>0</v>
      </c>
      <c r="BE176">
        <f t="shared" si="189"/>
        <v>0</v>
      </c>
      <c r="BF176">
        <f t="shared" si="190"/>
        <v>0</v>
      </c>
      <c r="BG176" t="str" cm="1">
        <f t="array" ref="BG176">IF(BA176=1,INDEX($X$7:$AN$7,MATCH(TRUE,INDEX($X176:$AY176&lt;&gt;0,),0)),IF(BA176=0,INDEX($AO$7:$AY$7,MATCH(1,$AO176:$AY176,0)),IF(BH176="Multiple strategies","mixed drivers",IF(BH176="Supply chain","multiple supply","multiple silviculture"))))</f>
        <v>supply chain organization</v>
      </c>
      <c r="BH176" s="2" t="str" cm="1">
        <f t="array" ref="BH176">IF(COUNTIF(BB176:BD176,"&lt;&gt;0")=1,INDEX($X$4:$AY$4,MATCH(TRUE,INDEX($X176:$AY176&lt;&gt;0,),0)),IF(COUNTIF(BB176:BD176,"&lt;&gt;0")=0,INDEX($AO$4:$AY$4,MATCH(1,$AO176:$AY176,0)),"Multiple strategies"))</f>
        <v>Supply chain</v>
      </c>
      <c r="BR176" s="297" t="s">
        <v>232</v>
      </c>
      <c r="BS176" s="331"/>
      <c r="BT176" t="s">
        <v>3275</v>
      </c>
      <c r="BU176">
        <v>-245</v>
      </c>
      <c r="BV176">
        <v>-244</v>
      </c>
      <c r="BW176" s="144">
        <v>0.99591836734693873</v>
      </c>
      <c r="BX176">
        <v>1</v>
      </c>
      <c r="BZ176">
        <f>BX176/10^6</f>
        <v>9.9999999999999995E-7</v>
      </c>
      <c r="CA176" t="str">
        <f t="shared" si="173"/>
        <v/>
      </c>
      <c r="CB176">
        <v>1</v>
      </c>
      <c r="CC176">
        <v>0</v>
      </c>
      <c r="CD176">
        <v>0</v>
      </c>
      <c r="CE176">
        <v>0</v>
      </c>
      <c r="CF176">
        <v>0</v>
      </c>
      <c r="CG176">
        <v>0</v>
      </c>
      <c r="CH176">
        <v>0</v>
      </c>
      <c r="CI176">
        <v>0</v>
      </c>
      <c r="CJ176">
        <v>0</v>
      </c>
      <c r="CK176">
        <v>0</v>
      </c>
      <c r="CL176">
        <v>1</v>
      </c>
      <c r="CM176">
        <v>0</v>
      </c>
      <c r="CN176">
        <v>0</v>
      </c>
      <c r="CO176">
        <v>0</v>
      </c>
      <c r="CP176" t="str">
        <f t="shared" si="171"/>
        <v>refOK</v>
      </c>
      <c r="CQ176"/>
      <c r="CR176"/>
      <c r="CS176"/>
      <c r="CT176">
        <f t="shared" si="174"/>
        <v>0</v>
      </c>
      <c r="CU176">
        <f t="shared" si="191"/>
        <v>-245</v>
      </c>
      <c r="CV176">
        <f t="shared" si="192"/>
        <v>-244</v>
      </c>
      <c r="CW176">
        <f t="shared" si="193"/>
        <v>9.9999999999999995E-7</v>
      </c>
      <c r="CX176" t="str">
        <f t="shared" si="175"/>
        <v/>
      </c>
      <c r="CY176" t="str">
        <f t="shared" si="194"/>
        <v/>
      </c>
      <c r="CZ176" t="str">
        <f t="shared" si="176"/>
        <v/>
      </c>
      <c r="DA176" s="2">
        <f t="shared" si="195"/>
        <v>4.0816326530612249E-3</v>
      </c>
      <c r="DB176" s="1" t="s">
        <v>1074</v>
      </c>
      <c r="DC176" s="297" t="str">
        <f t="shared" si="196"/>
        <v>reg</v>
      </c>
      <c r="DD176" t="s">
        <v>527</v>
      </c>
      <c r="DE176">
        <v>2003</v>
      </c>
      <c r="DG176">
        <v>0</v>
      </c>
      <c r="DH176" t="str">
        <f t="shared" si="197"/>
        <v>0</v>
      </c>
      <c r="DI176">
        <v>0</v>
      </c>
      <c r="DJ176">
        <v>1</v>
      </c>
      <c r="DK176">
        <v>0</v>
      </c>
      <c r="DL176">
        <v>0</v>
      </c>
      <c r="DN176">
        <f t="shared" si="160"/>
        <v>1</v>
      </c>
      <c r="DO176" t="str">
        <f t="shared" si="198"/>
        <v>EnergyInput</v>
      </c>
      <c r="DP176">
        <f t="shared" si="199"/>
        <v>0</v>
      </c>
      <c r="DQ176" t="str">
        <f t="shared" si="200"/>
        <v>Energy</v>
      </c>
      <c r="DR176">
        <f t="shared" si="201"/>
        <v>0</v>
      </c>
      <c r="DS176">
        <f t="shared" si="202"/>
        <v>0</v>
      </c>
      <c r="DT176">
        <v>0</v>
      </c>
      <c r="DU176">
        <v>0</v>
      </c>
      <c r="DV176">
        <v>0</v>
      </c>
      <c r="DW176">
        <v>0</v>
      </c>
      <c r="DX176">
        <v>0</v>
      </c>
      <c r="DY176">
        <f t="shared" si="203"/>
        <v>0</v>
      </c>
      <c r="DZ176" s="143" t="str">
        <f t="shared" si="204"/>
        <v>explicit C balance</v>
      </c>
      <c r="EA176">
        <v>0</v>
      </c>
      <c r="EB176">
        <v>0</v>
      </c>
      <c r="EC176">
        <v>0</v>
      </c>
      <c r="ED176">
        <v>0</v>
      </c>
      <c r="EE176">
        <v>0</v>
      </c>
      <c r="EF176" s="143">
        <v>0</v>
      </c>
      <c r="EG176">
        <v>0</v>
      </c>
      <c r="EH176">
        <v>1</v>
      </c>
      <c r="EI176">
        <v>0</v>
      </c>
      <c r="EJ176">
        <v>1</v>
      </c>
      <c r="EK176">
        <v>0</v>
      </c>
      <c r="EL176">
        <v>0</v>
      </c>
      <c r="EM176">
        <v>0</v>
      </c>
      <c r="EN176" s="2">
        <v>0</v>
      </c>
      <c r="EP176" t="str">
        <f t="shared" si="177"/>
        <v/>
      </c>
      <c r="EQ176" t="str">
        <f t="shared" si="178"/>
        <v/>
      </c>
      <c r="ER176" s="2" t="str">
        <f t="shared" si="179"/>
        <v>Technology approach</v>
      </c>
      <c r="ES176" t="str">
        <f t="shared" si="180"/>
        <v/>
      </c>
      <c r="ET176" t="str">
        <f t="shared" si="181"/>
        <v/>
      </c>
      <c r="EU176" t="str">
        <f t="shared" si="182"/>
        <v/>
      </c>
      <c r="EW176" t="s">
        <v>3276</v>
      </c>
      <c r="EY176" t="b">
        <f>IF(ISNUMBER(BW176),IF(ABS(BW176-[1]QC_indicators!$B$2)&gt;3*[1]QC_indicators!$C$2,"C ratio",IF(ISNUMBER(CA176),IF(ABS(CA176-[1]QC_indicators!$B$1)&gt;3*[1]QC_indicators!$C$1,"DF","no"))),IF(ISNUMBER(CA176),IF(ABS(CA176-[1]QC_indicators!$B$1)&gt;3*[1]QC_indicators!$C$1,"DF","no")))</f>
        <v>0</v>
      </c>
      <c r="FA176" t="str">
        <f t="shared" si="183"/>
        <v/>
      </c>
      <c r="FB176" s="299" t="s">
        <v>349</v>
      </c>
    </row>
    <row r="177" spans="1:158" ht="15" hidden="1" customHeight="1">
      <c r="A177" s="1" t="s">
        <v>380</v>
      </c>
      <c r="B177" t="s">
        <v>3267</v>
      </c>
      <c r="C177" t="s">
        <v>531</v>
      </c>
      <c r="D177" t="s">
        <v>3268</v>
      </c>
      <c r="E177" t="s">
        <v>3269</v>
      </c>
      <c r="F177" t="s">
        <v>3270</v>
      </c>
      <c r="G177" t="s">
        <v>386</v>
      </c>
      <c r="H177" t="s">
        <v>254</v>
      </c>
      <c r="I177">
        <v>2003</v>
      </c>
      <c r="J177">
        <v>83</v>
      </c>
      <c r="K177" t="s">
        <v>3271</v>
      </c>
      <c r="M177" t="str">
        <f t="shared" si="139"/>
        <v>Fu_2003</v>
      </c>
      <c r="N177" s="297" t="s">
        <v>4058</v>
      </c>
      <c r="O177" s="180" t="s">
        <v>225</v>
      </c>
      <c r="Q177" s="297" t="s">
        <v>256</v>
      </c>
      <c r="R177" s="298"/>
      <c r="S177" s="1" t="s">
        <v>3281</v>
      </c>
      <c r="T177" t="s">
        <v>3279</v>
      </c>
      <c r="U177" t="s">
        <v>3274</v>
      </c>
      <c r="X177">
        <v>0</v>
      </c>
      <c r="Y177">
        <v>0</v>
      </c>
      <c r="Z177">
        <v>0</v>
      </c>
      <c r="AA177">
        <v>0</v>
      </c>
      <c r="AB177">
        <v>0</v>
      </c>
      <c r="AC177">
        <v>0</v>
      </c>
      <c r="AD177">
        <v>0</v>
      </c>
      <c r="AE177">
        <v>0</v>
      </c>
      <c r="AF177">
        <v>0</v>
      </c>
      <c r="AG177">
        <v>0</v>
      </c>
      <c r="AH177">
        <v>0</v>
      </c>
      <c r="AI177">
        <v>0</v>
      </c>
      <c r="AJ177">
        <v>0</v>
      </c>
      <c r="AK177">
        <v>0</v>
      </c>
      <c r="AL177">
        <v>0</v>
      </c>
      <c r="AM177">
        <v>1</v>
      </c>
      <c r="AN177">
        <v>0</v>
      </c>
      <c r="AO177">
        <v>0</v>
      </c>
      <c r="AP177">
        <v>0</v>
      </c>
      <c r="AQ177">
        <v>0</v>
      </c>
      <c r="AR177">
        <v>0</v>
      </c>
      <c r="AS177">
        <v>0</v>
      </c>
      <c r="AT177">
        <v>0</v>
      </c>
      <c r="AU177">
        <v>0</v>
      </c>
      <c r="AV177">
        <v>0</v>
      </c>
      <c r="AW177">
        <v>0</v>
      </c>
      <c r="AX177">
        <v>0</v>
      </c>
      <c r="AY177">
        <v>0</v>
      </c>
      <c r="AZ177" s="141">
        <f t="shared" si="184"/>
        <v>1</v>
      </c>
      <c r="BA177" s="141">
        <f t="shared" si="185"/>
        <v>1</v>
      </c>
      <c r="BB177">
        <f t="shared" si="186"/>
        <v>0</v>
      </c>
      <c r="BC177">
        <f t="shared" si="187"/>
        <v>0</v>
      </c>
      <c r="BD177">
        <f t="shared" si="188"/>
        <v>1</v>
      </c>
      <c r="BE177">
        <f t="shared" si="189"/>
        <v>0</v>
      </c>
      <c r="BF177">
        <f t="shared" si="190"/>
        <v>0</v>
      </c>
      <c r="BG177" t="str" cm="1">
        <f t="array" ref="BG177">IF(BA177=1,INDEX($X$7:$AN$7,MATCH(TRUE,INDEX($X177:$AY177&lt;&gt;0,),0)),IF(BA177=0,INDEX($AO$7:$AY$7,MATCH(1,$AO177:$AY177,0)),IF(BH177="Multiple strategies","mixed drivers",IF(BH177="Supply chain","multiple supply","multiple silviculture"))))</f>
        <v>technologies/design switch</v>
      </c>
      <c r="BH177" s="2" t="str" cm="1">
        <f t="array" ref="BH177">IF(COUNTIF(BB177:BD177,"&lt;&gt;0")=1,INDEX($X$4:$AY$4,MATCH(TRUE,INDEX($X177:$AY177&lt;&gt;0,),0)),IF(COUNTIF(BB177:BD177,"&lt;&gt;0")=0,INDEX($AO$4:$AY$4,MATCH(1,$AO177:$AY177,0)),"Multiple strategies"))</f>
        <v>Technology</v>
      </c>
      <c r="BR177" s="297" t="s">
        <v>232</v>
      </c>
      <c r="BS177" s="331"/>
      <c r="BT177" t="s">
        <v>3275</v>
      </c>
      <c r="BU177">
        <v>-256</v>
      </c>
      <c r="BV177">
        <v>-245</v>
      </c>
      <c r="BW177" s="144">
        <v>0.95703125</v>
      </c>
      <c r="BX177">
        <v>11</v>
      </c>
      <c r="BZ177">
        <f>BX177/10^6</f>
        <v>1.1E-5</v>
      </c>
      <c r="CA177" t="str">
        <f t="shared" si="173"/>
        <v/>
      </c>
      <c r="CB177">
        <v>1</v>
      </c>
      <c r="CC177">
        <v>0</v>
      </c>
      <c r="CD177">
        <v>0</v>
      </c>
      <c r="CE177">
        <v>0</v>
      </c>
      <c r="CF177">
        <v>0</v>
      </c>
      <c r="CG177">
        <v>0</v>
      </c>
      <c r="CH177">
        <v>0</v>
      </c>
      <c r="CI177">
        <v>0</v>
      </c>
      <c r="CJ177">
        <v>0</v>
      </c>
      <c r="CK177">
        <v>0</v>
      </c>
      <c r="CL177">
        <v>1</v>
      </c>
      <c r="CM177">
        <v>0</v>
      </c>
      <c r="CN177">
        <v>0</v>
      </c>
      <c r="CO177">
        <v>0</v>
      </c>
      <c r="CP177" t="str">
        <f t="shared" si="171"/>
        <v>refOK</v>
      </c>
      <c r="CQ177"/>
      <c r="CR177"/>
      <c r="CS177"/>
      <c r="CT177">
        <f t="shared" si="174"/>
        <v>0</v>
      </c>
      <c r="CU177">
        <f t="shared" si="191"/>
        <v>-256</v>
      </c>
      <c r="CV177">
        <f t="shared" si="192"/>
        <v>-245</v>
      </c>
      <c r="CW177">
        <f t="shared" si="193"/>
        <v>1.1E-5</v>
      </c>
      <c r="CX177" t="str">
        <f t="shared" si="175"/>
        <v/>
      </c>
      <c r="CY177" t="str">
        <f t="shared" si="194"/>
        <v/>
      </c>
      <c r="CZ177" t="str">
        <f t="shared" si="176"/>
        <v/>
      </c>
      <c r="DA177" s="2">
        <f t="shared" si="195"/>
        <v>4.296875E-2</v>
      </c>
      <c r="DB177" s="1" t="s">
        <v>1074</v>
      </c>
      <c r="DC177" s="297" t="str">
        <f t="shared" si="196"/>
        <v>reg</v>
      </c>
      <c r="DD177" t="s">
        <v>527</v>
      </c>
      <c r="DE177">
        <v>2003</v>
      </c>
      <c r="DG177">
        <v>0</v>
      </c>
      <c r="DH177" t="str">
        <f t="shared" si="197"/>
        <v>0</v>
      </c>
      <c r="DI177">
        <v>0</v>
      </c>
      <c r="DJ177">
        <v>1</v>
      </c>
      <c r="DK177">
        <v>0</v>
      </c>
      <c r="DL177">
        <v>0</v>
      </c>
      <c r="DN177">
        <f t="shared" si="160"/>
        <v>1</v>
      </c>
      <c r="DO177" t="str">
        <f t="shared" si="198"/>
        <v>EnergyInput</v>
      </c>
      <c r="DP177">
        <f t="shared" si="199"/>
        <v>0</v>
      </c>
      <c r="DQ177" t="str">
        <f t="shared" si="200"/>
        <v>Energy</v>
      </c>
      <c r="DR177">
        <f t="shared" si="201"/>
        <v>0</v>
      </c>
      <c r="DS177">
        <f t="shared" si="202"/>
        <v>0</v>
      </c>
      <c r="DT177">
        <v>0</v>
      </c>
      <c r="DU177">
        <v>0</v>
      </c>
      <c r="DV177">
        <v>0</v>
      </c>
      <c r="DW177">
        <v>0</v>
      </c>
      <c r="DX177">
        <v>0</v>
      </c>
      <c r="DY177">
        <f t="shared" si="203"/>
        <v>0</v>
      </c>
      <c r="DZ177" s="143" t="str">
        <f t="shared" si="204"/>
        <v>explicit C balance</v>
      </c>
      <c r="EA177">
        <v>0</v>
      </c>
      <c r="EB177">
        <v>0</v>
      </c>
      <c r="EC177">
        <v>0</v>
      </c>
      <c r="ED177">
        <v>0</v>
      </c>
      <c r="EE177">
        <v>0</v>
      </c>
      <c r="EF177" s="143">
        <v>0</v>
      </c>
      <c r="EG177">
        <v>0</v>
      </c>
      <c r="EH177">
        <v>1</v>
      </c>
      <c r="EI177">
        <v>0</v>
      </c>
      <c r="EJ177">
        <v>1</v>
      </c>
      <c r="EK177">
        <v>0</v>
      </c>
      <c r="EL177">
        <v>0</v>
      </c>
      <c r="EM177">
        <v>0</v>
      </c>
      <c r="EN177" s="2">
        <v>0</v>
      </c>
      <c r="EP177" t="str">
        <f t="shared" si="177"/>
        <v/>
      </c>
      <c r="EQ177" t="str">
        <f t="shared" si="178"/>
        <v/>
      </c>
      <c r="ER177" s="2" t="str">
        <f t="shared" si="179"/>
        <v>Technology approach</v>
      </c>
      <c r="ES177" t="str">
        <f t="shared" si="180"/>
        <v/>
      </c>
      <c r="ET177" t="str">
        <f t="shared" si="181"/>
        <v/>
      </c>
      <c r="EU177" t="str">
        <f t="shared" si="182"/>
        <v/>
      </c>
      <c r="EW177" t="s">
        <v>3276</v>
      </c>
      <c r="EY177" t="b">
        <f>IF(ISNUMBER(BW177),IF(ABS(BW177-[1]QC_indicators!$B$2)&gt;3*[1]QC_indicators!$C$2,"C ratio",IF(ISNUMBER(CA177),IF(ABS(CA177-[1]QC_indicators!$B$1)&gt;3*[1]QC_indicators!$C$1,"DF","no"))),IF(ISNUMBER(CA177),IF(ABS(CA177-[1]QC_indicators!$B$1)&gt;3*[1]QC_indicators!$C$1,"DF","no")))</f>
        <v>0</v>
      </c>
      <c r="FA177" t="str">
        <f t="shared" si="183"/>
        <v/>
      </c>
      <c r="FB177" s="299" t="s">
        <v>3280</v>
      </c>
    </row>
    <row r="178" spans="1:158" ht="15" hidden="1" customHeight="1">
      <c r="A178" s="1" t="s">
        <v>380</v>
      </c>
      <c r="B178" t="s">
        <v>3267</v>
      </c>
      <c r="C178" t="s">
        <v>531</v>
      </c>
      <c r="D178" t="s">
        <v>3268</v>
      </c>
      <c r="E178" t="s">
        <v>3269</v>
      </c>
      <c r="F178" t="s">
        <v>3270</v>
      </c>
      <c r="G178" t="s">
        <v>386</v>
      </c>
      <c r="H178" t="s">
        <v>254</v>
      </c>
      <c r="I178">
        <v>2003</v>
      </c>
      <c r="J178">
        <v>83</v>
      </c>
      <c r="K178" t="s">
        <v>3271</v>
      </c>
      <c r="M178" t="str">
        <f t="shared" si="139"/>
        <v>Fu_2003</v>
      </c>
      <c r="N178" s="297" t="s">
        <v>4058</v>
      </c>
      <c r="O178" s="180" t="s">
        <v>225</v>
      </c>
      <c r="Q178" s="297" t="s">
        <v>256</v>
      </c>
      <c r="R178" s="298"/>
      <c r="S178" s="1" t="s">
        <v>3278</v>
      </c>
      <c r="T178" t="s">
        <v>3279</v>
      </c>
      <c r="U178" t="s">
        <v>3274</v>
      </c>
      <c r="X178">
        <v>0</v>
      </c>
      <c r="Y178">
        <v>0</v>
      </c>
      <c r="Z178">
        <v>0</v>
      </c>
      <c r="AA178">
        <v>0</v>
      </c>
      <c r="AB178">
        <v>0</v>
      </c>
      <c r="AC178">
        <v>0</v>
      </c>
      <c r="AD178">
        <v>0</v>
      </c>
      <c r="AE178">
        <v>0</v>
      </c>
      <c r="AF178">
        <v>0</v>
      </c>
      <c r="AG178">
        <v>0</v>
      </c>
      <c r="AH178">
        <v>0</v>
      </c>
      <c r="AI178">
        <v>0</v>
      </c>
      <c r="AJ178">
        <v>0</v>
      </c>
      <c r="AK178">
        <v>0</v>
      </c>
      <c r="AL178">
        <v>0</v>
      </c>
      <c r="AM178">
        <v>1</v>
      </c>
      <c r="AN178">
        <v>0</v>
      </c>
      <c r="AO178">
        <v>0</v>
      </c>
      <c r="AP178">
        <v>0</v>
      </c>
      <c r="AQ178">
        <v>0</v>
      </c>
      <c r="AR178">
        <v>0</v>
      </c>
      <c r="AS178">
        <v>0</v>
      </c>
      <c r="AT178">
        <v>0</v>
      </c>
      <c r="AU178">
        <v>0</v>
      </c>
      <c r="AV178">
        <v>0</v>
      </c>
      <c r="AW178">
        <v>0</v>
      </c>
      <c r="AX178">
        <v>0</v>
      </c>
      <c r="AY178">
        <v>0</v>
      </c>
      <c r="AZ178" s="141">
        <f t="shared" si="184"/>
        <v>1</v>
      </c>
      <c r="BA178" s="141">
        <f t="shared" si="185"/>
        <v>1</v>
      </c>
      <c r="BB178">
        <f t="shared" si="186"/>
        <v>0</v>
      </c>
      <c r="BC178">
        <f t="shared" si="187"/>
        <v>0</v>
      </c>
      <c r="BD178">
        <f t="shared" si="188"/>
        <v>1</v>
      </c>
      <c r="BE178">
        <f t="shared" si="189"/>
        <v>0</v>
      </c>
      <c r="BF178">
        <f t="shared" si="190"/>
        <v>0</v>
      </c>
      <c r="BG178" t="str" cm="1">
        <f t="array" ref="BG178">IF(BA178=1,INDEX($X$7:$AN$7,MATCH(TRUE,INDEX($X178:$AY178&lt;&gt;0,),0)),IF(BA178=0,INDEX($AO$7:$AY$7,MATCH(1,$AO178:$AY178,0)),IF(BH178="Multiple strategies","mixed drivers",IF(BH178="Supply chain","multiple supply","multiple silviculture"))))</f>
        <v>technologies/design switch</v>
      </c>
      <c r="BH178" s="2" t="str" cm="1">
        <f t="array" ref="BH178">IF(COUNTIF(BB178:BD178,"&lt;&gt;0")=1,INDEX($X$4:$AY$4,MATCH(TRUE,INDEX($X178:$AY178&lt;&gt;0,),0)),IF(COUNTIF(BB178:BD178,"&lt;&gt;0")=0,INDEX($AO$4:$AY$4,MATCH(1,$AO178:$AY178,0)),"Multiple strategies"))</f>
        <v>Technology</v>
      </c>
      <c r="BR178" s="297" t="s">
        <v>232</v>
      </c>
      <c r="BS178" s="331"/>
      <c r="BT178" t="s">
        <v>3275</v>
      </c>
      <c r="BU178">
        <v>-255</v>
      </c>
      <c r="BV178">
        <v>-244</v>
      </c>
      <c r="BW178" s="144">
        <v>0.95686274509803926</v>
      </c>
      <c r="BX178">
        <v>11</v>
      </c>
      <c r="BZ178">
        <f>BX178/10^6</f>
        <v>1.1E-5</v>
      </c>
      <c r="CA178" t="str">
        <f t="shared" si="173"/>
        <v/>
      </c>
      <c r="CB178">
        <v>1</v>
      </c>
      <c r="CC178">
        <v>0</v>
      </c>
      <c r="CD178">
        <v>0</v>
      </c>
      <c r="CE178">
        <v>0</v>
      </c>
      <c r="CF178">
        <v>0</v>
      </c>
      <c r="CG178">
        <v>0</v>
      </c>
      <c r="CH178">
        <v>0</v>
      </c>
      <c r="CI178">
        <v>0</v>
      </c>
      <c r="CJ178">
        <v>0</v>
      </c>
      <c r="CK178">
        <v>0</v>
      </c>
      <c r="CL178">
        <v>1</v>
      </c>
      <c r="CM178">
        <v>0</v>
      </c>
      <c r="CN178">
        <v>0</v>
      </c>
      <c r="CO178">
        <v>0</v>
      </c>
      <c r="CP178" t="str">
        <f t="shared" si="171"/>
        <v>refOK</v>
      </c>
      <c r="CQ178"/>
      <c r="CR178"/>
      <c r="CS178"/>
      <c r="CT178">
        <f t="shared" si="174"/>
        <v>0</v>
      </c>
      <c r="CU178">
        <f t="shared" si="191"/>
        <v>-255</v>
      </c>
      <c r="CV178">
        <f t="shared" si="192"/>
        <v>-244</v>
      </c>
      <c r="CW178">
        <f t="shared" si="193"/>
        <v>1.1E-5</v>
      </c>
      <c r="CX178" t="str">
        <f t="shared" si="175"/>
        <v/>
      </c>
      <c r="CY178" t="str">
        <f t="shared" si="194"/>
        <v/>
      </c>
      <c r="CZ178" t="str">
        <f t="shared" si="176"/>
        <v/>
      </c>
      <c r="DA178" s="2">
        <f t="shared" si="195"/>
        <v>4.3137254901960784E-2</v>
      </c>
      <c r="DB178" s="1" t="s">
        <v>1074</v>
      </c>
      <c r="DC178" s="297" t="str">
        <f t="shared" si="196"/>
        <v>reg</v>
      </c>
      <c r="DD178" t="s">
        <v>527</v>
      </c>
      <c r="DE178">
        <v>2003</v>
      </c>
      <c r="DG178">
        <v>0</v>
      </c>
      <c r="DH178" t="str">
        <f t="shared" si="197"/>
        <v>0</v>
      </c>
      <c r="DI178">
        <v>0</v>
      </c>
      <c r="DJ178">
        <v>1</v>
      </c>
      <c r="DK178">
        <v>0</v>
      </c>
      <c r="DL178">
        <v>0</v>
      </c>
      <c r="DN178">
        <f t="shared" si="160"/>
        <v>1</v>
      </c>
      <c r="DO178" t="str">
        <f t="shared" si="198"/>
        <v>EnergyInput</v>
      </c>
      <c r="DP178">
        <f t="shared" si="199"/>
        <v>0</v>
      </c>
      <c r="DQ178" t="str">
        <f t="shared" si="200"/>
        <v>Energy</v>
      </c>
      <c r="DR178">
        <f t="shared" si="201"/>
        <v>0</v>
      </c>
      <c r="DS178">
        <f t="shared" si="202"/>
        <v>0</v>
      </c>
      <c r="DT178">
        <v>0</v>
      </c>
      <c r="DU178">
        <v>0</v>
      </c>
      <c r="DV178">
        <v>0</v>
      </c>
      <c r="DW178">
        <v>0</v>
      </c>
      <c r="DX178">
        <v>0</v>
      </c>
      <c r="DY178">
        <f t="shared" si="203"/>
        <v>0</v>
      </c>
      <c r="DZ178" s="143" t="str">
        <f t="shared" si="204"/>
        <v>explicit C balance</v>
      </c>
      <c r="EA178">
        <v>0</v>
      </c>
      <c r="EB178">
        <v>0</v>
      </c>
      <c r="EC178">
        <v>0</v>
      </c>
      <c r="ED178">
        <v>0</v>
      </c>
      <c r="EE178">
        <v>0</v>
      </c>
      <c r="EF178" s="143">
        <v>0</v>
      </c>
      <c r="EG178">
        <v>0</v>
      </c>
      <c r="EH178">
        <v>1</v>
      </c>
      <c r="EI178">
        <v>0</v>
      </c>
      <c r="EJ178">
        <v>1</v>
      </c>
      <c r="EK178">
        <v>0</v>
      </c>
      <c r="EL178">
        <v>0</v>
      </c>
      <c r="EM178">
        <v>0</v>
      </c>
      <c r="EN178" s="2">
        <v>0</v>
      </c>
      <c r="EP178" t="str">
        <f t="shared" si="177"/>
        <v/>
      </c>
      <c r="EQ178" t="str">
        <f t="shared" si="178"/>
        <v/>
      </c>
      <c r="ER178" s="2" t="str">
        <f t="shared" si="179"/>
        <v>Technology approach</v>
      </c>
      <c r="ES178" t="str">
        <f t="shared" si="180"/>
        <v/>
      </c>
      <c r="ET178" t="str">
        <f t="shared" si="181"/>
        <v/>
      </c>
      <c r="EU178" t="str">
        <f t="shared" si="182"/>
        <v/>
      </c>
      <c r="EW178" t="s">
        <v>3276</v>
      </c>
      <c r="EY178" t="b">
        <f>IF(ISNUMBER(BW178),IF(ABS(BW178-[1]QC_indicators!$B$2)&gt;3*[1]QC_indicators!$C$2,"C ratio",IF(ISNUMBER(CA178),IF(ABS(CA178-[1]QC_indicators!$B$1)&gt;3*[1]QC_indicators!$C$1,"DF","no"))),IF(ISNUMBER(CA178),IF(ABS(CA178-[1]QC_indicators!$B$1)&gt;3*[1]QC_indicators!$C$1,"DF","no")))</f>
        <v>0</v>
      </c>
      <c r="FA178" t="str">
        <f t="shared" si="183"/>
        <v/>
      </c>
      <c r="FB178" s="299" t="s">
        <v>3280</v>
      </c>
    </row>
    <row r="179" spans="1:158" ht="85" hidden="1">
      <c r="A179" s="1" t="s">
        <v>430</v>
      </c>
      <c r="B179" t="s">
        <v>3282</v>
      </c>
      <c r="C179" t="s">
        <v>3283</v>
      </c>
      <c r="D179" t="s">
        <v>3284</v>
      </c>
      <c r="E179" t="s">
        <v>3285</v>
      </c>
      <c r="F179" t="s">
        <v>3286</v>
      </c>
      <c r="G179" t="s">
        <v>436</v>
      </c>
      <c r="H179" t="s">
        <v>254</v>
      </c>
      <c r="I179">
        <v>2015</v>
      </c>
      <c r="J179">
        <v>14</v>
      </c>
      <c r="K179" t="s">
        <v>3287</v>
      </c>
      <c r="M179" t="str">
        <f t="shared" si="139"/>
        <v>Galik_2015</v>
      </c>
      <c r="N179" s="297" t="s">
        <v>4058</v>
      </c>
      <c r="O179" s="171" t="s">
        <v>225</v>
      </c>
      <c r="P179" t="s">
        <v>341</v>
      </c>
      <c r="Q179" s="297" t="s">
        <v>389</v>
      </c>
      <c r="R179" s="298"/>
      <c r="S179" s="154" t="s">
        <v>3288</v>
      </c>
      <c r="T179" s="149" t="s">
        <v>778</v>
      </c>
      <c r="U179" t="s">
        <v>3289</v>
      </c>
      <c r="X179">
        <v>1</v>
      </c>
      <c r="Y179">
        <v>0</v>
      </c>
      <c r="Z179">
        <v>0</v>
      </c>
      <c r="AA179">
        <v>1</v>
      </c>
      <c r="AB179">
        <v>0</v>
      </c>
      <c r="AC179">
        <v>0</v>
      </c>
      <c r="AD179">
        <v>0</v>
      </c>
      <c r="AE179">
        <v>0</v>
      </c>
      <c r="AF179">
        <v>0</v>
      </c>
      <c r="AG179">
        <v>0</v>
      </c>
      <c r="AH179">
        <v>1</v>
      </c>
      <c r="AI179">
        <v>0</v>
      </c>
      <c r="AJ179">
        <v>0</v>
      </c>
      <c r="AK179">
        <v>0</v>
      </c>
      <c r="AL179">
        <v>0</v>
      </c>
      <c r="AM179">
        <v>0</v>
      </c>
      <c r="AN179">
        <v>0</v>
      </c>
      <c r="AO179">
        <v>0</v>
      </c>
      <c r="AP179">
        <v>0</v>
      </c>
      <c r="AQ179">
        <v>0</v>
      </c>
      <c r="AR179">
        <v>0</v>
      </c>
      <c r="AS179">
        <v>0</v>
      </c>
      <c r="AT179">
        <v>0</v>
      </c>
      <c r="AU179">
        <v>1</v>
      </c>
      <c r="AV179">
        <v>0</v>
      </c>
      <c r="AW179">
        <v>1</v>
      </c>
      <c r="AX179">
        <v>0</v>
      </c>
      <c r="AY179">
        <v>0</v>
      </c>
      <c r="AZ179" s="141">
        <f t="shared" si="184"/>
        <v>5</v>
      </c>
      <c r="BA179" s="141">
        <f t="shared" si="185"/>
        <v>3</v>
      </c>
      <c r="BB179">
        <f t="shared" si="186"/>
        <v>2</v>
      </c>
      <c r="BC179">
        <f t="shared" si="187"/>
        <v>1</v>
      </c>
      <c r="BD179">
        <f t="shared" si="188"/>
        <v>0</v>
      </c>
      <c r="BE179">
        <f t="shared" si="189"/>
        <v>2</v>
      </c>
      <c r="BF179">
        <f t="shared" si="190"/>
        <v>0</v>
      </c>
      <c r="BG179" t="str" cm="1">
        <f t="array" ref="BG179">IF(BA179=1,INDEX($X$7:$AN$7,MATCH(TRUE,INDEX($X179:$AY179&lt;&gt;0,),0)),IF(BA179=0,INDEX($AO$7:$AY$7,MATCH(1,$AO179:$AY179,0)),IF(BH179="Multiple strategies","mixed drivers",IF(BH179="Supply chain","multiple supply","multiple silviculture"))))</f>
        <v>mixed drivers</v>
      </c>
      <c r="BH179" s="2" t="str" cm="1">
        <f t="array" ref="BH179">IF(COUNTIF(BB179:BD179,"&lt;&gt;0")=1,INDEX($X$4:$AY$4,MATCH(TRUE,INDEX($X179:$AY179&lt;&gt;0,),0)),IF(COUNTIF(BB179:BD179,"&lt;&gt;0")=0,INDEX($AO$4:$AY$4,MATCH(1,$AO179:$AY179,0)),"Multiple strategies"))</f>
        <v>Multiple strategies</v>
      </c>
      <c r="BI179" s="142"/>
      <c r="BL179" s="143"/>
      <c r="BN179" s="143"/>
      <c r="BO179" t="str">
        <f>IFERROR(BN179/BM179,"")</f>
        <v/>
      </c>
      <c r="BP179" s="158"/>
      <c r="BQ179" s="143"/>
      <c r="BR179" s="155" t="s">
        <v>232</v>
      </c>
      <c r="BS179" s="230"/>
      <c r="BT179" s="155" t="s">
        <v>3290</v>
      </c>
      <c r="BW179" s="144"/>
      <c r="BX179">
        <v>410</v>
      </c>
      <c r="CA179" t="str">
        <f t="shared" si="173"/>
        <v/>
      </c>
      <c r="CB179">
        <v>0</v>
      </c>
      <c r="CC179">
        <v>1</v>
      </c>
      <c r="CD179">
        <v>0</v>
      </c>
      <c r="CE179">
        <v>1</v>
      </c>
      <c r="CF179">
        <v>0</v>
      </c>
      <c r="CG179">
        <v>0</v>
      </c>
      <c r="CH179">
        <v>0</v>
      </c>
      <c r="CI179">
        <v>0</v>
      </c>
      <c r="CJ179">
        <v>0</v>
      </c>
      <c r="CK179">
        <v>0</v>
      </c>
      <c r="CL179">
        <v>0</v>
      </c>
      <c r="CM179">
        <v>0</v>
      </c>
      <c r="CN179">
        <v>0</v>
      </c>
      <c r="CO179">
        <v>0</v>
      </c>
      <c r="CP179" t="str">
        <f t="shared" ref="CP179:CP218" si="205">IF($BN179&lt;$BM179,"refNeedCorrection","refOK")</f>
        <v>refOK</v>
      </c>
      <c r="CQ179"/>
      <c r="CR179"/>
      <c r="CS179"/>
      <c r="CT179">
        <f t="shared" si="174"/>
        <v>0</v>
      </c>
      <c r="CU179">
        <f t="shared" si="191"/>
        <v>0</v>
      </c>
      <c r="CV179">
        <f t="shared" si="192"/>
        <v>0</v>
      </c>
      <c r="CW179">
        <f t="shared" si="193"/>
        <v>0</v>
      </c>
      <c r="CX179" t="str">
        <f t="shared" si="175"/>
        <v/>
      </c>
      <c r="CY179" t="str">
        <f t="shared" si="194"/>
        <v/>
      </c>
      <c r="CZ179" t="str">
        <f t="shared" si="176"/>
        <v/>
      </c>
      <c r="DA179" s="2" t="str">
        <f t="shared" si="195"/>
        <v/>
      </c>
      <c r="DB179" s="1" t="s">
        <v>1078</v>
      </c>
      <c r="DC179" s="297" t="str">
        <f t="shared" si="196"/>
        <v>reg</v>
      </c>
      <c r="DD179" s="303" t="s">
        <v>428</v>
      </c>
      <c r="DE179">
        <v>2010</v>
      </c>
      <c r="DF179" s="143">
        <v>2045</v>
      </c>
      <c r="DG179" s="143">
        <v>35</v>
      </c>
      <c r="DH179" t="str">
        <f t="shared" si="197"/>
        <v>31-70</v>
      </c>
      <c r="DI179">
        <v>0</v>
      </c>
      <c r="DJ179">
        <v>1</v>
      </c>
      <c r="DK179">
        <v>1</v>
      </c>
      <c r="DL179">
        <v>1</v>
      </c>
      <c r="DM179">
        <v>1</v>
      </c>
      <c r="DN179">
        <f>SUM(DI179:DM179)</f>
        <v>4</v>
      </c>
      <c r="DO179" t="str">
        <f t="shared" si="198"/>
        <v>mixedProduct</v>
      </c>
      <c r="DP179">
        <f t="shared" si="199"/>
        <v>0</v>
      </c>
      <c r="DQ179" t="str">
        <f t="shared" si="200"/>
        <v>Energy</v>
      </c>
      <c r="DR179" t="str">
        <f t="shared" si="201"/>
        <v>Pulp/Paper</v>
      </c>
      <c r="DS179" t="str">
        <f t="shared" si="202"/>
        <v>Timber</v>
      </c>
      <c r="DT179">
        <v>1</v>
      </c>
      <c r="DU179" s="143">
        <v>0</v>
      </c>
      <c r="DV179" s="143">
        <v>0</v>
      </c>
      <c r="DW179">
        <v>0</v>
      </c>
      <c r="DX179" s="143">
        <v>0</v>
      </c>
      <c r="DY179">
        <f t="shared" si="203"/>
        <v>1</v>
      </c>
      <c r="DZ179" s="143" t="str">
        <f t="shared" si="204"/>
        <v>self-calculated DF</v>
      </c>
      <c r="EA179" s="143">
        <v>1</v>
      </c>
      <c r="EB179" s="143">
        <v>1</v>
      </c>
      <c r="EC179" s="143">
        <v>1</v>
      </c>
      <c r="ED179" s="143">
        <v>1</v>
      </c>
      <c r="EE179">
        <v>0</v>
      </c>
      <c r="EF179" s="143">
        <v>0</v>
      </c>
      <c r="EG179" s="143">
        <v>1</v>
      </c>
      <c r="EH179" s="143">
        <v>1</v>
      </c>
      <c r="EI179" s="143">
        <v>1</v>
      </c>
      <c r="EJ179">
        <v>0</v>
      </c>
      <c r="EK179">
        <v>1</v>
      </c>
      <c r="EL179" s="143">
        <v>1</v>
      </c>
      <c r="EM179" s="143">
        <v>1</v>
      </c>
      <c r="EN179" s="2">
        <v>0</v>
      </c>
      <c r="EP179" t="str">
        <f t="shared" si="177"/>
        <v>Whole sector approach</v>
      </c>
      <c r="EQ179" t="str">
        <f t="shared" si="178"/>
        <v/>
      </c>
      <c r="ER179" s="2" t="str">
        <f t="shared" si="179"/>
        <v/>
      </c>
      <c r="ES179" t="str">
        <f t="shared" si="180"/>
        <v/>
      </c>
      <c r="ET179" t="str">
        <f t="shared" si="181"/>
        <v/>
      </c>
      <c r="EU179" t="str">
        <f t="shared" si="182"/>
        <v/>
      </c>
      <c r="EY179" t="b">
        <f>IF(ISNUMBER(BW179),IF(ABS(BW179-[1]QC_indicators!$B$2)&gt;3*[1]QC_indicators!$C$2,"C ratio",IF(ISNUMBER(CA179),IF(ABS(CA179-[1]QC_indicators!$B$1)&gt;3*[1]QC_indicators!$C$1,"DF","no"))),IF(ISNUMBER(CA179),IF(ABS(CA179-[1]QC_indicators!$B$1)&gt;3*[1]QC_indicators!$C$1,"DF","no")))</f>
        <v>0</v>
      </c>
      <c r="FA179" t="str">
        <f t="shared" si="183"/>
        <v/>
      </c>
    </row>
    <row r="180" spans="1:158" ht="85" hidden="1">
      <c r="A180" s="1" t="s">
        <v>430</v>
      </c>
      <c r="B180" t="s">
        <v>3282</v>
      </c>
      <c r="C180" t="s">
        <v>3283</v>
      </c>
      <c r="D180" t="s">
        <v>3284</v>
      </c>
      <c r="E180" t="s">
        <v>3285</v>
      </c>
      <c r="F180" t="s">
        <v>3286</v>
      </c>
      <c r="G180" t="s">
        <v>436</v>
      </c>
      <c r="H180" t="s">
        <v>254</v>
      </c>
      <c r="I180">
        <v>2015</v>
      </c>
      <c r="J180">
        <v>14</v>
      </c>
      <c r="K180" t="s">
        <v>3287</v>
      </c>
      <c r="M180" t="str">
        <f t="shared" si="139"/>
        <v>Galik_2015</v>
      </c>
      <c r="N180" s="297" t="s">
        <v>4058</v>
      </c>
      <c r="O180" s="171" t="s">
        <v>225</v>
      </c>
      <c r="P180" t="s">
        <v>341</v>
      </c>
      <c r="Q180" s="297" t="s">
        <v>389</v>
      </c>
      <c r="R180" s="298"/>
      <c r="S180" s="154" t="s">
        <v>3291</v>
      </c>
      <c r="T180" s="149" t="s">
        <v>3292</v>
      </c>
      <c r="U180" t="s">
        <v>3289</v>
      </c>
      <c r="X180">
        <v>1</v>
      </c>
      <c r="Y180">
        <v>0</v>
      </c>
      <c r="Z180">
        <v>0</v>
      </c>
      <c r="AA180">
        <v>1</v>
      </c>
      <c r="AB180">
        <v>0</v>
      </c>
      <c r="AC180">
        <v>0</v>
      </c>
      <c r="AD180">
        <v>0</v>
      </c>
      <c r="AE180">
        <v>0</v>
      </c>
      <c r="AF180">
        <v>0</v>
      </c>
      <c r="AG180">
        <v>0</v>
      </c>
      <c r="AH180">
        <v>1</v>
      </c>
      <c r="AI180">
        <v>0</v>
      </c>
      <c r="AJ180">
        <v>0</v>
      </c>
      <c r="AK180">
        <v>0</v>
      </c>
      <c r="AL180">
        <v>0</v>
      </c>
      <c r="AM180">
        <v>0</v>
      </c>
      <c r="AN180">
        <v>0</v>
      </c>
      <c r="AO180">
        <v>0</v>
      </c>
      <c r="AP180">
        <v>0</v>
      </c>
      <c r="AQ180">
        <v>0</v>
      </c>
      <c r="AR180">
        <v>0</v>
      </c>
      <c r="AS180">
        <v>0</v>
      </c>
      <c r="AT180">
        <v>0</v>
      </c>
      <c r="AU180">
        <v>1</v>
      </c>
      <c r="AV180">
        <v>0</v>
      </c>
      <c r="AW180">
        <v>1</v>
      </c>
      <c r="AX180">
        <v>0</v>
      </c>
      <c r="AY180">
        <v>0</v>
      </c>
      <c r="AZ180" s="141">
        <f t="shared" si="184"/>
        <v>5</v>
      </c>
      <c r="BA180" s="141">
        <f t="shared" si="185"/>
        <v>3</v>
      </c>
      <c r="BB180">
        <f t="shared" si="186"/>
        <v>2</v>
      </c>
      <c r="BC180">
        <f t="shared" si="187"/>
        <v>1</v>
      </c>
      <c r="BD180">
        <f t="shared" si="188"/>
        <v>0</v>
      </c>
      <c r="BE180">
        <f t="shared" si="189"/>
        <v>2</v>
      </c>
      <c r="BF180">
        <f t="shared" si="190"/>
        <v>0</v>
      </c>
      <c r="BG180" t="str" cm="1">
        <f t="array" ref="BG180">IF(BA180=1,INDEX($X$7:$AN$7,MATCH(TRUE,INDEX($X180:$AY180&lt;&gt;0,),0)),IF(BA180=0,INDEX($AO$7:$AY$7,MATCH(1,$AO180:$AY180,0)),IF(BH180="Multiple strategies","mixed drivers",IF(BH180="Supply chain","multiple supply","multiple silviculture"))))</f>
        <v>mixed drivers</v>
      </c>
      <c r="BH180" s="2" t="str" cm="1">
        <f t="array" ref="BH180">IF(COUNTIF(BB180:BD180,"&lt;&gt;0")=1,INDEX($X$4:$AY$4,MATCH(TRUE,INDEX($X180:$AY180&lt;&gt;0,),0)),IF(COUNTIF(BB180:BD180,"&lt;&gt;0")=0,INDEX($AO$4:$AY$4,MATCH(1,$AO180:$AY180,0)),"Multiple strategies"))</f>
        <v>Multiple strategies</v>
      </c>
      <c r="BI180" s="142"/>
      <c r="BL180" s="143"/>
      <c r="BN180" s="143"/>
      <c r="BP180" s="158"/>
      <c r="BQ180" s="143"/>
      <c r="BR180" s="155" t="s">
        <v>232</v>
      </c>
      <c r="BS180" s="230"/>
      <c r="BT180" s="155" t="s">
        <v>3290</v>
      </c>
      <c r="BW180" s="144"/>
      <c r="BX180">
        <v>200</v>
      </c>
      <c r="CA180" t="str">
        <f t="shared" si="173"/>
        <v/>
      </c>
      <c r="CB180">
        <v>0</v>
      </c>
      <c r="CC180">
        <v>1</v>
      </c>
      <c r="CD180">
        <v>0</v>
      </c>
      <c r="CE180">
        <v>1</v>
      </c>
      <c r="CF180">
        <v>0</v>
      </c>
      <c r="CG180">
        <v>0</v>
      </c>
      <c r="CH180">
        <v>0</v>
      </c>
      <c r="CI180">
        <v>0</v>
      </c>
      <c r="CJ180">
        <v>0</v>
      </c>
      <c r="CK180">
        <v>0</v>
      </c>
      <c r="CL180">
        <v>0</v>
      </c>
      <c r="CM180">
        <v>0</v>
      </c>
      <c r="CN180">
        <v>0</v>
      </c>
      <c r="CO180">
        <v>0</v>
      </c>
      <c r="CP180" t="str">
        <f t="shared" si="205"/>
        <v>refOK</v>
      </c>
      <c r="CQ180"/>
      <c r="CR180"/>
      <c r="CS180"/>
      <c r="CT180">
        <f t="shared" si="174"/>
        <v>0</v>
      </c>
      <c r="CU180">
        <f t="shared" si="191"/>
        <v>0</v>
      </c>
      <c r="CV180">
        <f t="shared" si="192"/>
        <v>0</v>
      </c>
      <c r="CW180">
        <f t="shared" si="193"/>
        <v>0</v>
      </c>
      <c r="CX180" t="str">
        <f t="shared" si="175"/>
        <v/>
      </c>
      <c r="CY180" t="str">
        <f t="shared" si="194"/>
        <v/>
      </c>
      <c r="CZ180" t="str">
        <f t="shared" si="176"/>
        <v/>
      </c>
      <c r="DA180" s="2" t="str">
        <f t="shared" si="195"/>
        <v/>
      </c>
      <c r="DB180" s="1" t="s">
        <v>1078</v>
      </c>
      <c r="DC180" s="297" t="str">
        <f t="shared" si="196"/>
        <v>reg</v>
      </c>
      <c r="DD180" s="303" t="s">
        <v>428</v>
      </c>
      <c r="DE180">
        <v>2010</v>
      </c>
      <c r="DF180" s="143">
        <v>2045</v>
      </c>
      <c r="DG180" s="143">
        <v>35</v>
      </c>
      <c r="DH180" t="str">
        <f t="shared" si="197"/>
        <v>31-70</v>
      </c>
      <c r="DI180">
        <v>0</v>
      </c>
      <c r="DJ180">
        <v>1</v>
      </c>
      <c r="DK180">
        <v>1</v>
      </c>
      <c r="DL180">
        <v>1</v>
      </c>
      <c r="DM180">
        <v>1</v>
      </c>
      <c r="DN180">
        <f>SUM(DI180:DM180)</f>
        <v>4</v>
      </c>
      <c r="DO180" t="str">
        <f t="shared" si="198"/>
        <v>mixedProduct</v>
      </c>
      <c r="DP180">
        <f t="shared" si="199"/>
        <v>0</v>
      </c>
      <c r="DQ180" t="str">
        <f t="shared" si="200"/>
        <v>Energy</v>
      </c>
      <c r="DR180" t="str">
        <f t="shared" si="201"/>
        <v>Pulp/Paper</v>
      </c>
      <c r="DS180" t="str">
        <f t="shared" si="202"/>
        <v>Timber</v>
      </c>
      <c r="DT180">
        <v>1</v>
      </c>
      <c r="DU180" s="143">
        <v>0</v>
      </c>
      <c r="DV180" s="143">
        <v>0</v>
      </c>
      <c r="DW180">
        <v>0</v>
      </c>
      <c r="DX180" s="143">
        <v>0</v>
      </c>
      <c r="DY180">
        <f t="shared" si="203"/>
        <v>1</v>
      </c>
      <c r="DZ180" s="143" t="str">
        <f t="shared" si="204"/>
        <v>self-calculated DF</v>
      </c>
      <c r="EA180" s="143">
        <v>1</v>
      </c>
      <c r="EB180" s="143">
        <v>1</v>
      </c>
      <c r="EC180" s="143">
        <v>1</v>
      </c>
      <c r="ED180" s="143">
        <v>1</v>
      </c>
      <c r="EE180">
        <v>0</v>
      </c>
      <c r="EF180" s="143">
        <v>0</v>
      </c>
      <c r="EG180" s="143">
        <v>1</v>
      </c>
      <c r="EH180" s="143">
        <v>1</v>
      </c>
      <c r="EI180" s="143">
        <v>1</v>
      </c>
      <c r="EJ180">
        <v>0</v>
      </c>
      <c r="EK180">
        <v>1</v>
      </c>
      <c r="EL180" s="143">
        <v>1</v>
      </c>
      <c r="EM180" s="143">
        <v>1</v>
      </c>
      <c r="EN180" s="2">
        <v>0</v>
      </c>
      <c r="EP180" t="str">
        <f t="shared" si="177"/>
        <v>Whole sector approach</v>
      </c>
      <c r="EQ180" t="str">
        <f t="shared" si="178"/>
        <v/>
      </c>
      <c r="ER180" s="2" t="str">
        <f t="shared" si="179"/>
        <v/>
      </c>
      <c r="ES180" t="str">
        <f t="shared" si="180"/>
        <v/>
      </c>
      <c r="ET180" t="str">
        <f t="shared" si="181"/>
        <v/>
      </c>
      <c r="EU180" t="str">
        <f t="shared" si="182"/>
        <v/>
      </c>
      <c r="EY180" t="b">
        <f>IF(ISNUMBER(BW180),IF(ABS(BW180-[1]QC_indicators!$B$2)&gt;3*[1]QC_indicators!$C$2,"C ratio",IF(ISNUMBER(CA180),IF(ABS(CA180-[1]QC_indicators!$B$1)&gt;3*[1]QC_indicators!$C$1,"DF","no"))),IF(ISNUMBER(CA180),IF(ABS(CA180-[1]QC_indicators!$B$1)&gt;3*[1]QC_indicators!$C$1,"DF","no")))</f>
        <v>0</v>
      </c>
      <c r="FA180" t="str">
        <f t="shared" si="183"/>
        <v/>
      </c>
    </row>
    <row r="181" spans="1:158" ht="119" hidden="1">
      <c r="A181" s="1" t="s">
        <v>3293</v>
      </c>
      <c r="B181" t="s">
        <v>3294</v>
      </c>
      <c r="C181" t="s">
        <v>3295</v>
      </c>
      <c r="D181" t="s">
        <v>3296</v>
      </c>
      <c r="E181" t="s">
        <v>3297</v>
      </c>
      <c r="F181" t="s">
        <v>3298</v>
      </c>
      <c r="G181" t="s">
        <v>3299</v>
      </c>
      <c r="H181" t="s">
        <v>254</v>
      </c>
      <c r="I181">
        <v>2017</v>
      </c>
      <c r="J181">
        <v>6</v>
      </c>
      <c r="K181" t="s">
        <v>3300</v>
      </c>
      <c r="M181" t="str">
        <f t="shared" si="139"/>
        <v>Gopalakrishnan_2017</v>
      </c>
      <c r="N181" s="297" t="s">
        <v>4058</v>
      </c>
      <c r="O181" s="171" t="s">
        <v>274</v>
      </c>
      <c r="P181" t="s">
        <v>341</v>
      </c>
      <c r="Q181" s="297" t="s">
        <v>389</v>
      </c>
      <c r="R181" s="298"/>
      <c r="S181" s="154" t="s">
        <v>3301</v>
      </c>
      <c r="T181" s="149" t="s">
        <v>712</v>
      </c>
      <c r="U181" t="s">
        <v>3305</v>
      </c>
      <c r="X181">
        <v>0</v>
      </c>
      <c r="Y181">
        <v>0</v>
      </c>
      <c r="Z181">
        <v>0</v>
      </c>
      <c r="AA181">
        <v>0</v>
      </c>
      <c r="AB181">
        <v>0</v>
      </c>
      <c r="AC181">
        <v>0</v>
      </c>
      <c r="AD181">
        <v>0</v>
      </c>
      <c r="AE181">
        <v>0</v>
      </c>
      <c r="AF181">
        <v>0</v>
      </c>
      <c r="AG181">
        <v>0</v>
      </c>
      <c r="AH181">
        <v>0</v>
      </c>
      <c r="AI181">
        <v>0</v>
      </c>
      <c r="AJ181">
        <v>1</v>
      </c>
      <c r="AK181">
        <v>0</v>
      </c>
      <c r="AL181">
        <v>0</v>
      </c>
      <c r="AM181">
        <v>0</v>
      </c>
      <c r="AN181">
        <v>0</v>
      </c>
      <c r="AO181">
        <v>0</v>
      </c>
      <c r="AP181">
        <v>0</v>
      </c>
      <c r="AQ181">
        <v>0</v>
      </c>
      <c r="AR181">
        <v>0</v>
      </c>
      <c r="AS181">
        <v>0</v>
      </c>
      <c r="AT181">
        <v>0</v>
      </c>
      <c r="AU181">
        <v>0</v>
      </c>
      <c r="AV181">
        <v>0</v>
      </c>
      <c r="AW181">
        <v>0</v>
      </c>
      <c r="AX181">
        <v>0</v>
      </c>
      <c r="AY181">
        <v>0</v>
      </c>
      <c r="AZ181" s="141">
        <f t="shared" si="184"/>
        <v>1</v>
      </c>
      <c r="BA181" s="141">
        <f t="shared" si="185"/>
        <v>1</v>
      </c>
      <c r="BB181">
        <f t="shared" si="186"/>
        <v>0</v>
      </c>
      <c r="BC181">
        <f t="shared" si="187"/>
        <v>1</v>
      </c>
      <c r="BD181">
        <f t="shared" si="188"/>
        <v>0</v>
      </c>
      <c r="BE181">
        <f t="shared" si="189"/>
        <v>0</v>
      </c>
      <c r="BF181">
        <f t="shared" si="190"/>
        <v>0</v>
      </c>
      <c r="BG181" t="str" cm="1">
        <f t="array" ref="BG181">IF(BA181=1,INDEX($X$7:$AN$7,MATCH(TRUE,INDEX($X181:$AY181&lt;&gt;0,),0)),IF(BA181=0,INDEX($AO$7:$AY$7,MATCH(1,$AO181:$AY181,0)),IF(BH181="Multiple strategies","mixed drivers",IF(BH181="Supply chain","multiple supply","multiple silviculture"))))</f>
        <v xml:space="preserve">end of life disposal </v>
      </c>
      <c r="BH181" s="2" t="str" cm="1">
        <f t="array" ref="BH181">IF(COUNTIF(BB181:BD181,"&lt;&gt;0")=1,INDEX($X$4:$AY$4,MATCH(TRUE,INDEX($X181:$AY181&lt;&gt;0,),0)),IF(COUNTIF(BB181:BD181,"&lt;&gt;0")=0,INDEX($AO$4:$AY$4,MATCH(1,$AO181:$AY181,0)),"Multiple strategies"))</f>
        <v>Supply chain</v>
      </c>
      <c r="BI181" s="142"/>
      <c r="BL181" s="143"/>
      <c r="BN181" s="143"/>
      <c r="BP181" s="158"/>
      <c r="BQ181" s="143"/>
      <c r="BR181" s="155" t="s">
        <v>232</v>
      </c>
      <c r="BS181" s="230"/>
      <c r="BT181" s="155" t="s">
        <v>3303</v>
      </c>
      <c r="BU181">
        <v>-42808.988764044901</v>
      </c>
      <c r="BV181">
        <v>-36629.213483145999</v>
      </c>
      <c r="BW181" s="144"/>
      <c r="CA181" t="str">
        <f t="shared" si="173"/>
        <v/>
      </c>
      <c r="CB181">
        <v>0</v>
      </c>
      <c r="CC181">
        <v>0</v>
      </c>
      <c r="CD181">
        <v>0</v>
      </c>
      <c r="CE181">
        <v>0</v>
      </c>
      <c r="CF181">
        <v>0</v>
      </c>
      <c r="CG181">
        <v>0</v>
      </c>
      <c r="CH181">
        <v>0</v>
      </c>
      <c r="CI181">
        <v>0</v>
      </c>
      <c r="CJ181">
        <v>0</v>
      </c>
      <c r="CK181">
        <v>0</v>
      </c>
      <c r="CL181">
        <v>0</v>
      </c>
      <c r="CM181">
        <v>0</v>
      </c>
      <c r="CN181">
        <v>0</v>
      </c>
      <c r="CO181">
        <v>0</v>
      </c>
      <c r="CP181" t="str">
        <f t="shared" si="205"/>
        <v>refOK</v>
      </c>
      <c r="CQ181"/>
      <c r="CR181"/>
      <c r="CS181"/>
      <c r="CT181">
        <f t="shared" si="174"/>
        <v>0</v>
      </c>
      <c r="CU181">
        <f t="shared" si="191"/>
        <v>-42808.988764044901</v>
      </c>
      <c r="CV181">
        <f t="shared" si="192"/>
        <v>-36629.213483145999</v>
      </c>
      <c r="CW181">
        <f t="shared" si="193"/>
        <v>0</v>
      </c>
      <c r="CX181" t="str">
        <f t="shared" si="175"/>
        <v/>
      </c>
      <c r="CY181" t="str">
        <f t="shared" si="194"/>
        <v/>
      </c>
      <c r="CZ181" t="str">
        <f t="shared" si="176"/>
        <v/>
      </c>
      <c r="DA181" s="2">
        <f t="shared" si="195"/>
        <v>0.14435695538057819</v>
      </c>
      <c r="DB181" s="1" t="s">
        <v>1074</v>
      </c>
      <c r="DC181" s="297" t="str">
        <f t="shared" si="196"/>
        <v>reg</v>
      </c>
      <c r="DD181" s="303" t="s">
        <v>428</v>
      </c>
      <c r="DE181">
        <v>2007</v>
      </c>
      <c r="DF181" s="143">
        <v>2009</v>
      </c>
      <c r="DG181" s="143">
        <v>2</v>
      </c>
      <c r="DH181" t="str">
        <f t="shared" si="197"/>
        <v>1-30</v>
      </c>
      <c r="DI181">
        <v>0</v>
      </c>
      <c r="DJ181">
        <v>1</v>
      </c>
      <c r="DK181">
        <v>0</v>
      </c>
      <c r="DL181">
        <v>0</v>
      </c>
      <c r="DM181">
        <v>1</v>
      </c>
      <c r="DN181">
        <f t="shared" ref="DN181:DN187" si="206">SUM(DI181:DL181)</f>
        <v>1</v>
      </c>
      <c r="DO181" t="str">
        <f t="shared" si="198"/>
        <v>EnergyInput</v>
      </c>
      <c r="DP181">
        <f t="shared" si="199"/>
        <v>0</v>
      </c>
      <c r="DQ181" t="str">
        <f t="shared" si="200"/>
        <v>Energy</v>
      </c>
      <c r="DR181">
        <f t="shared" si="201"/>
        <v>0</v>
      </c>
      <c r="DS181">
        <f t="shared" si="202"/>
        <v>0</v>
      </c>
      <c r="DT181">
        <v>1</v>
      </c>
      <c r="DU181" s="143">
        <v>0</v>
      </c>
      <c r="DV181" s="143">
        <v>0</v>
      </c>
      <c r="DW181">
        <v>0</v>
      </c>
      <c r="DX181" s="143">
        <v>0</v>
      </c>
      <c r="DY181">
        <f t="shared" si="203"/>
        <v>1</v>
      </c>
      <c r="DZ181" s="143" t="str">
        <f t="shared" si="204"/>
        <v>self-calculated DF</v>
      </c>
      <c r="EA181" s="143">
        <v>0</v>
      </c>
      <c r="EB181">
        <v>0</v>
      </c>
      <c r="EC181" s="143">
        <v>1</v>
      </c>
      <c r="ED181" s="143">
        <v>0</v>
      </c>
      <c r="EE181">
        <v>1</v>
      </c>
      <c r="EF181" s="143">
        <v>1</v>
      </c>
      <c r="EG181" s="143">
        <v>0</v>
      </c>
      <c r="EH181" s="143">
        <v>0</v>
      </c>
      <c r="EI181" s="143">
        <v>0</v>
      </c>
      <c r="EJ181">
        <v>1</v>
      </c>
      <c r="EK181">
        <v>0</v>
      </c>
      <c r="EL181" s="143">
        <v>0</v>
      </c>
      <c r="EM181" s="143">
        <v>0</v>
      </c>
      <c r="EN181" s="2">
        <v>0</v>
      </c>
      <c r="EP181" t="str">
        <f t="shared" si="177"/>
        <v/>
      </c>
      <c r="EQ181" t="str">
        <f t="shared" si="178"/>
        <v/>
      </c>
      <c r="ER181" s="2" t="str">
        <f t="shared" si="179"/>
        <v/>
      </c>
      <c r="ES181" t="str">
        <f t="shared" si="180"/>
        <v/>
      </c>
      <c r="ET181" t="str">
        <f t="shared" si="181"/>
        <v/>
      </c>
      <c r="EU181" t="str">
        <f t="shared" si="182"/>
        <v/>
      </c>
      <c r="EY181" t="b">
        <f>IF(ISNUMBER(BW181),IF(ABS(BW181-[1]QC_indicators!$B$2)&gt;3*[1]QC_indicators!$C$2,"C ratio",IF(ISNUMBER(CA181),IF(ABS(CA181-[1]QC_indicators!$B$1)&gt;3*[1]QC_indicators!$C$1,"DF","no"))),IF(ISNUMBER(CA181),IF(ABS(CA181-[1]QC_indicators!$B$1)&gt;3*[1]QC_indicators!$C$1,"DF","no")))</f>
        <v>0</v>
      </c>
      <c r="FA181" t="str">
        <f t="shared" si="183"/>
        <v/>
      </c>
    </row>
    <row r="182" spans="1:158" ht="15" hidden="1" customHeight="1">
      <c r="A182" s="1" t="s">
        <v>3293</v>
      </c>
      <c r="B182" t="s">
        <v>3294</v>
      </c>
      <c r="C182" t="s">
        <v>3295</v>
      </c>
      <c r="D182" t="s">
        <v>3296</v>
      </c>
      <c r="E182" t="s">
        <v>3297</v>
      </c>
      <c r="F182" t="s">
        <v>3298</v>
      </c>
      <c r="G182" t="s">
        <v>3299</v>
      </c>
      <c r="H182" t="s">
        <v>254</v>
      </c>
      <c r="I182">
        <v>2017</v>
      </c>
      <c r="J182">
        <v>6</v>
      </c>
      <c r="K182" t="s">
        <v>3300</v>
      </c>
      <c r="M182" t="str">
        <f t="shared" si="139"/>
        <v>Gopalakrishnan_2017</v>
      </c>
      <c r="N182" s="297" t="s">
        <v>4058</v>
      </c>
      <c r="O182" s="171" t="s">
        <v>274</v>
      </c>
      <c r="P182" t="s">
        <v>341</v>
      </c>
      <c r="Q182" s="297" t="s">
        <v>389</v>
      </c>
      <c r="R182" s="298"/>
      <c r="S182" s="154" t="s">
        <v>3301</v>
      </c>
      <c r="T182" s="149" t="s">
        <v>712</v>
      </c>
      <c r="U182" t="s">
        <v>3307</v>
      </c>
      <c r="X182">
        <v>0</v>
      </c>
      <c r="Y182">
        <v>0</v>
      </c>
      <c r="Z182">
        <v>0</v>
      </c>
      <c r="AA182">
        <v>0</v>
      </c>
      <c r="AB182">
        <v>0</v>
      </c>
      <c r="AC182">
        <v>0</v>
      </c>
      <c r="AD182">
        <v>0</v>
      </c>
      <c r="AE182">
        <v>0</v>
      </c>
      <c r="AF182">
        <v>0</v>
      </c>
      <c r="AG182">
        <v>0</v>
      </c>
      <c r="AH182">
        <v>0</v>
      </c>
      <c r="AI182">
        <v>0</v>
      </c>
      <c r="AJ182">
        <v>1</v>
      </c>
      <c r="AK182">
        <v>0</v>
      </c>
      <c r="AL182">
        <v>0</v>
      </c>
      <c r="AM182">
        <v>0</v>
      </c>
      <c r="AN182">
        <v>0</v>
      </c>
      <c r="AO182">
        <v>0</v>
      </c>
      <c r="AP182">
        <v>0</v>
      </c>
      <c r="AQ182">
        <v>0</v>
      </c>
      <c r="AR182">
        <v>0</v>
      </c>
      <c r="AS182">
        <v>0</v>
      </c>
      <c r="AT182">
        <v>0</v>
      </c>
      <c r="AU182">
        <v>0</v>
      </c>
      <c r="AV182">
        <v>0</v>
      </c>
      <c r="AW182">
        <v>0</v>
      </c>
      <c r="AX182">
        <v>0</v>
      </c>
      <c r="AY182">
        <v>0</v>
      </c>
      <c r="AZ182" s="141">
        <f t="shared" si="184"/>
        <v>1</v>
      </c>
      <c r="BA182" s="141">
        <f t="shared" si="185"/>
        <v>1</v>
      </c>
      <c r="BB182">
        <f t="shared" si="186"/>
        <v>0</v>
      </c>
      <c r="BC182">
        <f t="shared" si="187"/>
        <v>1</v>
      </c>
      <c r="BD182">
        <f t="shared" si="188"/>
        <v>0</v>
      </c>
      <c r="BE182">
        <f t="shared" si="189"/>
        <v>0</v>
      </c>
      <c r="BF182">
        <f t="shared" si="190"/>
        <v>0</v>
      </c>
      <c r="BG182" t="str" cm="1">
        <f t="array" ref="BG182">IF(BA182=1,INDEX($X$7:$AN$7,MATCH(TRUE,INDEX($X182:$AY182&lt;&gt;0,),0)),IF(BA182=0,INDEX($AO$7:$AY$7,MATCH(1,$AO182:$AY182,0)),IF(BH182="Multiple strategies","mixed drivers",IF(BH182="Supply chain","multiple supply","multiple silviculture"))))</f>
        <v xml:space="preserve">end of life disposal </v>
      </c>
      <c r="BH182" s="2" t="str" cm="1">
        <f t="array" ref="BH182">IF(COUNTIF(BB182:BD182,"&lt;&gt;0")=1,INDEX($X$4:$AY$4,MATCH(TRUE,INDEX($X182:$AY182&lt;&gt;0,),0)),IF(COUNTIF(BB182:BD182,"&lt;&gt;0")=0,INDEX($AO$4:$AY$4,MATCH(1,$AO182:$AY182,0)),"Multiple strategies"))</f>
        <v>Supply chain</v>
      </c>
      <c r="BI182" s="142"/>
      <c r="BL182" s="143"/>
      <c r="BN182" s="143"/>
      <c r="BP182" s="158"/>
      <c r="BQ182" s="143"/>
      <c r="BR182" s="155" t="s">
        <v>232</v>
      </c>
      <c r="BS182" s="230"/>
      <c r="BT182" s="155" t="s">
        <v>3303</v>
      </c>
      <c r="BU182">
        <v>-42808.988764044901</v>
      </c>
      <c r="BV182">
        <v>-36629.213483145999</v>
      </c>
      <c r="BW182" s="144"/>
      <c r="CA182" t="str">
        <f t="shared" si="173"/>
        <v/>
      </c>
      <c r="CB182">
        <v>0</v>
      </c>
      <c r="CC182">
        <v>0</v>
      </c>
      <c r="CD182">
        <v>0</v>
      </c>
      <c r="CE182">
        <v>0</v>
      </c>
      <c r="CF182">
        <v>0</v>
      </c>
      <c r="CG182">
        <v>0</v>
      </c>
      <c r="CH182">
        <v>0</v>
      </c>
      <c r="CI182">
        <v>0</v>
      </c>
      <c r="CJ182">
        <v>0</v>
      </c>
      <c r="CK182">
        <v>0</v>
      </c>
      <c r="CL182">
        <v>0</v>
      </c>
      <c r="CM182">
        <v>0</v>
      </c>
      <c r="CN182">
        <v>0</v>
      </c>
      <c r="CO182">
        <v>0</v>
      </c>
      <c r="CP182" t="str">
        <f t="shared" si="205"/>
        <v>refOK</v>
      </c>
      <c r="CQ182"/>
      <c r="CR182"/>
      <c r="CS182"/>
      <c r="CT182">
        <f t="shared" si="174"/>
        <v>0</v>
      </c>
      <c r="CU182">
        <f t="shared" si="191"/>
        <v>-42808.988764044901</v>
      </c>
      <c r="CV182">
        <f t="shared" si="192"/>
        <v>-36629.213483145999</v>
      </c>
      <c r="CW182">
        <f t="shared" si="193"/>
        <v>0</v>
      </c>
      <c r="CX182" t="str">
        <f t="shared" si="175"/>
        <v/>
      </c>
      <c r="CY182" t="str">
        <f t="shared" si="194"/>
        <v/>
      </c>
      <c r="CZ182" t="str">
        <f t="shared" si="176"/>
        <v/>
      </c>
      <c r="DA182" s="2">
        <f t="shared" si="195"/>
        <v>0.14435695538057819</v>
      </c>
      <c r="DB182" s="1" t="s">
        <v>1074</v>
      </c>
      <c r="DC182" s="297" t="str">
        <f t="shared" si="196"/>
        <v>reg</v>
      </c>
      <c r="DD182" s="303" t="s">
        <v>428</v>
      </c>
      <c r="DE182">
        <v>2007</v>
      </c>
      <c r="DF182" s="143">
        <v>2009</v>
      </c>
      <c r="DG182" s="143">
        <v>2</v>
      </c>
      <c r="DH182" t="str">
        <f t="shared" si="197"/>
        <v>1-30</v>
      </c>
      <c r="DI182">
        <v>0</v>
      </c>
      <c r="DJ182">
        <v>1</v>
      </c>
      <c r="DK182">
        <v>0</v>
      </c>
      <c r="DL182">
        <v>0</v>
      </c>
      <c r="DM182">
        <v>1</v>
      </c>
      <c r="DN182">
        <f t="shared" si="206"/>
        <v>1</v>
      </c>
      <c r="DO182" t="str">
        <f t="shared" si="198"/>
        <v>EnergyInput</v>
      </c>
      <c r="DP182">
        <f t="shared" si="199"/>
        <v>0</v>
      </c>
      <c r="DQ182" t="str">
        <f t="shared" si="200"/>
        <v>Energy</v>
      </c>
      <c r="DR182">
        <f t="shared" si="201"/>
        <v>0</v>
      </c>
      <c r="DS182">
        <f t="shared" si="202"/>
        <v>0</v>
      </c>
      <c r="DT182">
        <v>1</v>
      </c>
      <c r="DU182" s="143">
        <v>0</v>
      </c>
      <c r="DV182" s="143">
        <v>0</v>
      </c>
      <c r="DW182">
        <v>0</v>
      </c>
      <c r="DX182" s="143">
        <v>0</v>
      </c>
      <c r="DY182">
        <f t="shared" si="203"/>
        <v>1</v>
      </c>
      <c r="DZ182" s="143" t="str">
        <f t="shared" si="204"/>
        <v>self-calculated DF</v>
      </c>
      <c r="EA182" s="143">
        <v>0</v>
      </c>
      <c r="EB182">
        <v>0</v>
      </c>
      <c r="EC182" s="143">
        <v>1</v>
      </c>
      <c r="ED182" s="143">
        <v>0</v>
      </c>
      <c r="EE182">
        <v>1</v>
      </c>
      <c r="EF182" s="143">
        <v>1</v>
      </c>
      <c r="EG182" s="143">
        <v>0</v>
      </c>
      <c r="EH182" s="143">
        <v>0</v>
      </c>
      <c r="EI182" s="143">
        <v>0</v>
      </c>
      <c r="EJ182">
        <v>1</v>
      </c>
      <c r="EK182">
        <v>0</v>
      </c>
      <c r="EL182" s="143">
        <v>0</v>
      </c>
      <c r="EM182" s="143">
        <v>0</v>
      </c>
      <c r="EN182" s="2">
        <v>0</v>
      </c>
      <c r="EP182" t="str">
        <f t="shared" si="177"/>
        <v/>
      </c>
      <c r="EQ182" t="str">
        <f t="shared" si="178"/>
        <v/>
      </c>
      <c r="ER182" s="2" t="str">
        <f t="shared" si="179"/>
        <v/>
      </c>
      <c r="ES182" t="str">
        <f t="shared" si="180"/>
        <v/>
      </c>
      <c r="ET182" t="str">
        <f t="shared" si="181"/>
        <v/>
      </c>
      <c r="EU182" t="str">
        <f t="shared" si="182"/>
        <v/>
      </c>
      <c r="EY182" t="b">
        <f>IF(ISNUMBER(BW182),IF(ABS(BW182-[1]QC_indicators!$B$2)&gt;3*[1]QC_indicators!$C$2,"C ratio",IF(ISNUMBER(CA182),IF(ABS(CA182-[1]QC_indicators!$B$1)&gt;3*[1]QC_indicators!$C$1,"DF","no"))),IF(ISNUMBER(CA182),IF(ABS(CA182-[1]QC_indicators!$B$1)&gt;3*[1]QC_indicators!$C$1,"DF","no")))</f>
        <v>0</v>
      </c>
      <c r="FA182" t="str">
        <f t="shared" si="183"/>
        <v/>
      </c>
    </row>
    <row r="183" spans="1:158" ht="15" hidden="1" customHeight="1">
      <c r="A183" s="1" t="s">
        <v>3293</v>
      </c>
      <c r="B183" t="s">
        <v>3294</v>
      </c>
      <c r="C183" t="s">
        <v>3295</v>
      </c>
      <c r="D183" t="s">
        <v>3296</v>
      </c>
      <c r="E183" t="s">
        <v>3297</v>
      </c>
      <c r="F183" t="s">
        <v>3298</v>
      </c>
      <c r="G183" t="s">
        <v>3299</v>
      </c>
      <c r="H183" t="s">
        <v>254</v>
      </c>
      <c r="I183">
        <v>2017</v>
      </c>
      <c r="J183">
        <v>6</v>
      </c>
      <c r="K183" t="s">
        <v>3300</v>
      </c>
      <c r="M183" t="str">
        <f t="shared" si="139"/>
        <v>Gopalakrishnan_2017</v>
      </c>
      <c r="N183" s="297" t="s">
        <v>4058</v>
      </c>
      <c r="O183" s="171" t="s">
        <v>274</v>
      </c>
      <c r="P183" t="s">
        <v>341</v>
      </c>
      <c r="Q183" s="297" t="s">
        <v>389</v>
      </c>
      <c r="R183" s="298"/>
      <c r="S183" s="154" t="s">
        <v>3301</v>
      </c>
      <c r="T183" s="149" t="s">
        <v>712</v>
      </c>
      <c r="U183" t="s">
        <v>3302</v>
      </c>
      <c r="X183">
        <v>0</v>
      </c>
      <c r="Y183">
        <v>0</v>
      </c>
      <c r="Z183">
        <v>0</v>
      </c>
      <c r="AA183">
        <v>0</v>
      </c>
      <c r="AB183">
        <v>0</v>
      </c>
      <c r="AC183">
        <v>0</v>
      </c>
      <c r="AD183">
        <v>0</v>
      </c>
      <c r="AE183">
        <v>0</v>
      </c>
      <c r="AF183">
        <v>0</v>
      </c>
      <c r="AG183">
        <v>0</v>
      </c>
      <c r="AH183">
        <v>0</v>
      </c>
      <c r="AI183">
        <v>0</v>
      </c>
      <c r="AJ183">
        <v>1</v>
      </c>
      <c r="AK183">
        <v>0</v>
      </c>
      <c r="AL183">
        <v>0</v>
      </c>
      <c r="AM183">
        <v>0</v>
      </c>
      <c r="AN183">
        <v>0</v>
      </c>
      <c r="AO183">
        <v>0</v>
      </c>
      <c r="AP183">
        <v>0</v>
      </c>
      <c r="AQ183">
        <v>0</v>
      </c>
      <c r="AR183">
        <v>0</v>
      </c>
      <c r="AS183">
        <v>0</v>
      </c>
      <c r="AT183">
        <v>0</v>
      </c>
      <c r="AU183">
        <v>0</v>
      </c>
      <c r="AV183">
        <v>0</v>
      </c>
      <c r="AW183">
        <v>0</v>
      </c>
      <c r="AX183">
        <v>0</v>
      </c>
      <c r="AY183">
        <v>0</v>
      </c>
      <c r="AZ183" s="141">
        <f t="shared" si="184"/>
        <v>1</v>
      </c>
      <c r="BA183" s="141">
        <f t="shared" si="185"/>
        <v>1</v>
      </c>
      <c r="BB183">
        <f t="shared" si="186"/>
        <v>0</v>
      </c>
      <c r="BC183">
        <f t="shared" si="187"/>
        <v>1</v>
      </c>
      <c r="BD183">
        <f t="shared" si="188"/>
        <v>0</v>
      </c>
      <c r="BE183">
        <f t="shared" si="189"/>
        <v>0</v>
      </c>
      <c r="BF183">
        <f t="shared" si="190"/>
        <v>0</v>
      </c>
      <c r="BG183" t="str" cm="1">
        <f t="array" ref="BG183">IF(BA183=1,INDEX($X$7:$AN$7,MATCH(TRUE,INDEX($X183:$AY183&lt;&gt;0,),0)),IF(BA183=0,INDEX($AO$7:$AY$7,MATCH(1,$AO183:$AY183,0)),IF(BH183="Multiple strategies","mixed drivers",IF(BH183="Supply chain","multiple supply","multiple silviculture"))))</f>
        <v xml:space="preserve">end of life disposal </v>
      </c>
      <c r="BH183" s="2" t="str" cm="1">
        <f t="array" ref="BH183">IF(COUNTIF(BB183:BD183,"&lt;&gt;0")=1,INDEX($X$4:$AY$4,MATCH(TRUE,INDEX($X183:$AY183&lt;&gt;0,),0)),IF(COUNTIF(BB183:BD183,"&lt;&gt;0")=0,INDEX($AO$4:$AY$4,MATCH(1,$AO183:$AY183,0)),"Multiple strategies"))</f>
        <v>Supply chain</v>
      </c>
      <c r="BI183" s="142"/>
      <c r="BL183" s="143"/>
      <c r="BN183" s="143"/>
      <c r="BO183" t="str">
        <f>IFERROR(BN183/BM183,"")</f>
        <v/>
      </c>
      <c r="BP183" s="158"/>
      <c r="BQ183" s="143"/>
      <c r="BR183" s="155" t="s">
        <v>232</v>
      </c>
      <c r="BS183" s="230"/>
      <c r="BT183" s="155" t="s">
        <v>3303</v>
      </c>
      <c r="BU183">
        <v>-42808.988764044901</v>
      </c>
      <c r="BV183">
        <v>-36292.1348314606</v>
      </c>
      <c r="BW183" s="144"/>
      <c r="CA183" t="str">
        <f t="shared" si="173"/>
        <v/>
      </c>
      <c r="CB183">
        <v>0</v>
      </c>
      <c r="CC183">
        <v>0</v>
      </c>
      <c r="CD183">
        <v>0</v>
      </c>
      <c r="CE183">
        <v>0</v>
      </c>
      <c r="CF183">
        <v>0</v>
      </c>
      <c r="CG183">
        <v>0</v>
      </c>
      <c r="CH183">
        <v>0</v>
      </c>
      <c r="CI183">
        <v>0</v>
      </c>
      <c r="CJ183">
        <v>0</v>
      </c>
      <c r="CK183">
        <v>0</v>
      </c>
      <c r="CL183">
        <v>0</v>
      </c>
      <c r="CM183">
        <v>0</v>
      </c>
      <c r="CN183">
        <v>0</v>
      </c>
      <c r="CO183">
        <v>0</v>
      </c>
      <c r="CP183" t="str">
        <f t="shared" si="205"/>
        <v>refOK</v>
      </c>
      <c r="CQ183"/>
      <c r="CR183"/>
      <c r="CS183"/>
      <c r="CT183">
        <f t="shared" si="174"/>
        <v>0</v>
      </c>
      <c r="CU183">
        <f t="shared" si="191"/>
        <v>-42808.988764044901</v>
      </c>
      <c r="CV183">
        <f t="shared" si="192"/>
        <v>-36292.1348314606</v>
      </c>
      <c r="CW183">
        <f t="shared" si="193"/>
        <v>0</v>
      </c>
      <c r="CX183" t="str">
        <f t="shared" si="175"/>
        <v/>
      </c>
      <c r="CY183" t="str">
        <f t="shared" si="194"/>
        <v/>
      </c>
      <c r="CZ183" t="str">
        <f t="shared" si="176"/>
        <v/>
      </c>
      <c r="DA183" s="2">
        <f t="shared" si="195"/>
        <v>0.15223097112860981</v>
      </c>
      <c r="DB183" s="1" t="s">
        <v>1074</v>
      </c>
      <c r="DC183" s="297" t="str">
        <f t="shared" si="196"/>
        <v>reg</v>
      </c>
      <c r="DD183" s="303" t="s">
        <v>428</v>
      </c>
      <c r="DE183">
        <v>2007</v>
      </c>
      <c r="DF183" s="143">
        <v>2009</v>
      </c>
      <c r="DG183" s="143">
        <v>2</v>
      </c>
      <c r="DH183" t="str">
        <f t="shared" si="197"/>
        <v>1-30</v>
      </c>
      <c r="DI183">
        <v>0</v>
      </c>
      <c r="DJ183">
        <v>1</v>
      </c>
      <c r="DK183">
        <v>0</v>
      </c>
      <c r="DL183">
        <v>0</v>
      </c>
      <c r="DM183">
        <v>1</v>
      </c>
      <c r="DN183">
        <f t="shared" si="206"/>
        <v>1</v>
      </c>
      <c r="DO183" t="str">
        <f t="shared" si="198"/>
        <v>EnergyInput</v>
      </c>
      <c r="DP183">
        <f t="shared" si="199"/>
        <v>0</v>
      </c>
      <c r="DQ183" t="str">
        <f t="shared" si="200"/>
        <v>Energy</v>
      </c>
      <c r="DR183">
        <f t="shared" si="201"/>
        <v>0</v>
      </c>
      <c r="DS183">
        <f t="shared" si="202"/>
        <v>0</v>
      </c>
      <c r="DT183">
        <v>1</v>
      </c>
      <c r="DU183" s="143">
        <v>0</v>
      </c>
      <c r="DV183" s="143">
        <v>0</v>
      </c>
      <c r="DW183">
        <v>0</v>
      </c>
      <c r="DX183" s="143">
        <v>0</v>
      </c>
      <c r="DY183">
        <f t="shared" si="203"/>
        <v>1</v>
      </c>
      <c r="DZ183" s="143" t="str">
        <f t="shared" si="204"/>
        <v>self-calculated DF</v>
      </c>
      <c r="EA183" s="143">
        <v>0</v>
      </c>
      <c r="EB183">
        <v>0</v>
      </c>
      <c r="EC183" s="143">
        <v>1</v>
      </c>
      <c r="ED183" s="143">
        <v>0</v>
      </c>
      <c r="EE183">
        <v>1</v>
      </c>
      <c r="EF183" s="143">
        <v>1</v>
      </c>
      <c r="EG183" s="143">
        <v>0</v>
      </c>
      <c r="EH183" s="143">
        <v>0</v>
      </c>
      <c r="EI183" s="143">
        <v>0</v>
      </c>
      <c r="EJ183">
        <v>1</v>
      </c>
      <c r="EK183">
        <v>0</v>
      </c>
      <c r="EL183" s="143">
        <v>0</v>
      </c>
      <c r="EM183" s="143">
        <v>0</v>
      </c>
      <c r="EN183" s="2">
        <v>0</v>
      </c>
      <c r="EP183" t="str">
        <f t="shared" si="177"/>
        <v/>
      </c>
      <c r="EQ183" t="str">
        <f t="shared" si="178"/>
        <v/>
      </c>
      <c r="ER183" s="2" t="str">
        <f t="shared" si="179"/>
        <v/>
      </c>
      <c r="ES183" t="str">
        <f t="shared" si="180"/>
        <v/>
      </c>
      <c r="ET183" t="str">
        <f t="shared" si="181"/>
        <v/>
      </c>
      <c r="EU183" t="str">
        <f t="shared" si="182"/>
        <v/>
      </c>
      <c r="EY183" t="b">
        <f>IF(ISNUMBER(BW183),IF(ABS(BW183-[1]QC_indicators!$B$2)&gt;3*[1]QC_indicators!$C$2,"C ratio",IF(ISNUMBER(CA183),IF(ABS(CA183-[1]QC_indicators!$B$1)&gt;3*[1]QC_indicators!$C$1,"DF","no"))),IF(ISNUMBER(CA183),IF(ABS(CA183-[1]QC_indicators!$B$1)&gt;3*[1]QC_indicators!$C$1,"DF","no")))</f>
        <v>0</v>
      </c>
      <c r="FA183" t="str">
        <f t="shared" si="183"/>
        <v/>
      </c>
    </row>
    <row r="184" spans="1:158" ht="15" hidden="1" customHeight="1">
      <c r="A184" s="1" t="s">
        <v>3293</v>
      </c>
      <c r="B184" t="s">
        <v>3294</v>
      </c>
      <c r="C184" t="s">
        <v>3295</v>
      </c>
      <c r="D184" t="s">
        <v>3296</v>
      </c>
      <c r="E184" t="s">
        <v>3297</v>
      </c>
      <c r="F184" t="s">
        <v>3298</v>
      </c>
      <c r="G184" t="s">
        <v>3299</v>
      </c>
      <c r="H184" t="s">
        <v>254</v>
      </c>
      <c r="I184">
        <v>2017</v>
      </c>
      <c r="J184">
        <v>6</v>
      </c>
      <c r="K184" t="s">
        <v>3300</v>
      </c>
      <c r="M184" t="str">
        <f t="shared" si="139"/>
        <v>Gopalakrishnan_2017</v>
      </c>
      <c r="N184" s="297" t="s">
        <v>4058</v>
      </c>
      <c r="O184" s="171" t="s">
        <v>274</v>
      </c>
      <c r="P184" t="s">
        <v>341</v>
      </c>
      <c r="Q184" s="297" t="s">
        <v>389</v>
      </c>
      <c r="R184" s="298"/>
      <c r="S184" s="154" t="s">
        <v>3301</v>
      </c>
      <c r="T184" s="149" t="s">
        <v>712</v>
      </c>
      <c r="U184" t="s">
        <v>3304</v>
      </c>
      <c r="X184">
        <v>0</v>
      </c>
      <c r="Y184">
        <v>0</v>
      </c>
      <c r="Z184">
        <v>0</v>
      </c>
      <c r="AA184">
        <v>0</v>
      </c>
      <c r="AB184">
        <v>0</v>
      </c>
      <c r="AC184">
        <v>0</v>
      </c>
      <c r="AD184">
        <v>0</v>
      </c>
      <c r="AE184">
        <v>0</v>
      </c>
      <c r="AF184">
        <v>0</v>
      </c>
      <c r="AG184">
        <v>0</v>
      </c>
      <c r="AH184">
        <v>0</v>
      </c>
      <c r="AI184">
        <v>0</v>
      </c>
      <c r="AJ184">
        <v>1</v>
      </c>
      <c r="AK184">
        <v>0</v>
      </c>
      <c r="AL184">
        <v>0</v>
      </c>
      <c r="AM184">
        <v>0</v>
      </c>
      <c r="AN184">
        <v>0</v>
      </c>
      <c r="AO184">
        <v>0</v>
      </c>
      <c r="AP184">
        <v>0</v>
      </c>
      <c r="AQ184">
        <v>0</v>
      </c>
      <c r="AR184">
        <v>0</v>
      </c>
      <c r="AS184">
        <v>0</v>
      </c>
      <c r="AT184">
        <v>0</v>
      </c>
      <c r="AU184">
        <v>0</v>
      </c>
      <c r="AV184">
        <v>0</v>
      </c>
      <c r="AW184">
        <v>0</v>
      </c>
      <c r="AX184">
        <v>0</v>
      </c>
      <c r="AY184">
        <v>0</v>
      </c>
      <c r="AZ184" s="141">
        <f t="shared" si="184"/>
        <v>1</v>
      </c>
      <c r="BA184" s="141">
        <f t="shared" si="185"/>
        <v>1</v>
      </c>
      <c r="BB184">
        <f t="shared" si="186"/>
        <v>0</v>
      </c>
      <c r="BC184">
        <f t="shared" si="187"/>
        <v>1</v>
      </c>
      <c r="BD184">
        <f t="shared" si="188"/>
        <v>0</v>
      </c>
      <c r="BE184">
        <f t="shared" si="189"/>
        <v>0</v>
      </c>
      <c r="BF184">
        <f t="shared" si="190"/>
        <v>0</v>
      </c>
      <c r="BG184" t="str" cm="1">
        <f t="array" ref="BG184">IF(BA184=1,INDEX($X$7:$AN$7,MATCH(TRUE,INDEX($X184:$AY184&lt;&gt;0,),0)),IF(BA184=0,INDEX($AO$7:$AY$7,MATCH(1,$AO184:$AY184,0)),IF(BH184="Multiple strategies","mixed drivers",IF(BH184="Supply chain","multiple supply","multiple silviculture"))))</f>
        <v xml:space="preserve">end of life disposal </v>
      </c>
      <c r="BH184" s="2" t="str" cm="1">
        <f t="array" ref="BH184">IF(COUNTIF(BB184:BD184,"&lt;&gt;0")=1,INDEX($X$4:$AY$4,MATCH(TRUE,INDEX($X184:$AY184&lt;&gt;0,),0)),IF(COUNTIF(BB184:BD184,"&lt;&gt;0")=0,INDEX($AO$4:$AY$4,MATCH(1,$AO184:$AY184,0)),"Multiple strategies"))</f>
        <v>Supply chain</v>
      </c>
      <c r="BI184" s="142"/>
      <c r="BL184" s="143"/>
      <c r="BN184" s="143"/>
      <c r="BP184" s="158"/>
      <c r="BQ184" s="143"/>
      <c r="BR184" s="155" t="s">
        <v>232</v>
      </c>
      <c r="BS184" s="230"/>
      <c r="BT184" s="155" t="s">
        <v>3303</v>
      </c>
      <c r="BU184">
        <v>-42808.988764044901</v>
      </c>
      <c r="BV184">
        <v>-23033.707865168501</v>
      </c>
      <c r="BW184" s="144"/>
      <c r="CA184" t="str">
        <f t="shared" si="173"/>
        <v/>
      </c>
      <c r="CB184">
        <v>0</v>
      </c>
      <c r="CC184">
        <v>0</v>
      </c>
      <c r="CD184">
        <v>0</v>
      </c>
      <c r="CE184">
        <v>0</v>
      </c>
      <c r="CF184">
        <v>0</v>
      </c>
      <c r="CG184">
        <v>0</v>
      </c>
      <c r="CH184">
        <v>0</v>
      </c>
      <c r="CI184">
        <v>0</v>
      </c>
      <c r="CJ184">
        <v>0</v>
      </c>
      <c r="CK184">
        <v>0</v>
      </c>
      <c r="CL184">
        <v>0</v>
      </c>
      <c r="CM184">
        <v>0</v>
      </c>
      <c r="CN184">
        <v>0</v>
      </c>
      <c r="CO184">
        <v>0</v>
      </c>
      <c r="CP184" t="str">
        <f t="shared" si="205"/>
        <v>refOK</v>
      </c>
      <c r="CQ184"/>
      <c r="CR184"/>
      <c r="CS184"/>
      <c r="CT184">
        <f t="shared" si="174"/>
        <v>0</v>
      </c>
      <c r="CU184">
        <f t="shared" si="191"/>
        <v>-42808.988764044901</v>
      </c>
      <c r="CV184">
        <f t="shared" si="192"/>
        <v>-23033.707865168501</v>
      </c>
      <c r="CW184">
        <f t="shared" si="193"/>
        <v>0</v>
      </c>
      <c r="CX184" t="str">
        <f t="shared" si="175"/>
        <v/>
      </c>
      <c r="CY184" t="str">
        <f t="shared" si="194"/>
        <v/>
      </c>
      <c r="CZ184" t="str">
        <f t="shared" si="176"/>
        <v/>
      </c>
      <c r="DA184" s="2">
        <f t="shared" si="195"/>
        <v>0.46194225721784815</v>
      </c>
      <c r="DB184" s="1" t="s">
        <v>1074</v>
      </c>
      <c r="DC184" s="297" t="str">
        <f t="shared" si="196"/>
        <v>reg</v>
      </c>
      <c r="DD184" s="303" t="s">
        <v>428</v>
      </c>
      <c r="DE184">
        <v>2007</v>
      </c>
      <c r="DF184" s="143">
        <v>2009</v>
      </c>
      <c r="DG184" s="143">
        <v>2</v>
      </c>
      <c r="DH184" t="str">
        <f t="shared" si="197"/>
        <v>1-30</v>
      </c>
      <c r="DI184">
        <v>0</v>
      </c>
      <c r="DJ184">
        <v>1</v>
      </c>
      <c r="DK184">
        <v>0</v>
      </c>
      <c r="DL184">
        <v>0</v>
      </c>
      <c r="DM184">
        <v>1</v>
      </c>
      <c r="DN184">
        <f t="shared" si="206"/>
        <v>1</v>
      </c>
      <c r="DO184" t="str">
        <f t="shared" si="198"/>
        <v>EnergyInput</v>
      </c>
      <c r="DP184">
        <f t="shared" si="199"/>
        <v>0</v>
      </c>
      <c r="DQ184" t="str">
        <f t="shared" si="200"/>
        <v>Energy</v>
      </c>
      <c r="DR184">
        <f t="shared" si="201"/>
        <v>0</v>
      </c>
      <c r="DS184">
        <f t="shared" si="202"/>
        <v>0</v>
      </c>
      <c r="DT184">
        <v>1</v>
      </c>
      <c r="DU184" s="143">
        <v>0</v>
      </c>
      <c r="DV184" s="143">
        <v>0</v>
      </c>
      <c r="DW184">
        <v>0</v>
      </c>
      <c r="DX184" s="143">
        <v>0</v>
      </c>
      <c r="DY184">
        <f t="shared" si="203"/>
        <v>1</v>
      </c>
      <c r="DZ184" s="143" t="str">
        <f t="shared" si="204"/>
        <v>self-calculated DF</v>
      </c>
      <c r="EA184" s="143">
        <v>0</v>
      </c>
      <c r="EB184">
        <v>0</v>
      </c>
      <c r="EC184" s="143">
        <v>1</v>
      </c>
      <c r="ED184" s="143">
        <v>0</v>
      </c>
      <c r="EE184">
        <v>1</v>
      </c>
      <c r="EF184" s="143">
        <v>1</v>
      </c>
      <c r="EG184" s="143">
        <v>0</v>
      </c>
      <c r="EH184" s="143">
        <v>0</v>
      </c>
      <c r="EI184" s="143">
        <v>0</v>
      </c>
      <c r="EJ184">
        <v>1</v>
      </c>
      <c r="EK184">
        <v>0</v>
      </c>
      <c r="EL184" s="143">
        <v>0</v>
      </c>
      <c r="EM184" s="143">
        <v>0</v>
      </c>
      <c r="EN184" s="2">
        <v>0</v>
      </c>
      <c r="EP184" t="str">
        <f t="shared" si="177"/>
        <v/>
      </c>
      <c r="EQ184" t="str">
        <f t="shared" si="178"/>
        <v/>
      </c>
      <c r="ER184" s="2" t="str">
        <f t="shared" si="179"/>
        <v/>
      </c>
      <c r="ES184" t="str">
        <f t="shared" si="180"/>
        <v/>
      </c>
      <c r="ET184" t="str">
        <f t="shared" si="181"/>
        <v/>
      </c>
      <c r="EU184" t="str">
        <f t="shared" si="182"/>
        <v/>
      </c>
      <c r="EY184" t="b">
        <f>IF(ISNUMBER(BW184),IF(ABS(BW184-[1]QC_indicators!$B$2)&gt;3*[1]QC_indicators!$C$2,"C ratio",IF(ISNUMBER(CA184),IF(ABS(CA184-[1]QC_indicators!$B$1)&gt;3*[1]QC_indicators!$C$1,"DF","no"))),IF(ISNUMBER(CA184),IF(ABS(CA184-[1]QC_indicators!$B$1)&gt;3*[1]QC_indicators!$C$1,"DF","no")))</f>
        <v>0</v>
      </c>
      <c r="FA184" t="str">
        <f t="shared" si="183"/>
        <v/>
      </c>
    </row>
    <row r="185" spans="1:158" ht="15" hidden="1" customHeight="1">
      <c r="A185" s="1" t="s">
        <v>3293</v>
      </c>
      <c r="B185" t="s">
        <v>3294</v>
      </c>
      <c r="C185" t="s">
        <v>3295</v>
      </c>
      <c r="D185" t="s">
        <v>3296</v>
      </c>
      <c r="E185" t="s">
        <v>3297</v>
      </c>
      <c r="F185" t="s">
        <v>3298</v>
      </c>
      <c r="G185" t="s">
        <v>3299</v>
      </c>
      <c r="H185" t="s">
        <v>254</v>
      </c>
      <c r="I185">
        <v>2017</v>
      </c>
      <c r="J185">
        <v>6</v>
      </c>
      <c r="K185" t="s">
        <v>3300</v>
      </c>
      <c r="M185" t="str">
        <f t="shared" si="139"/>
        <v>Gopalakrishnan_2017</v>
      </c>
      <c r="N185" s="297" t="s">
        <v>4058</v>
      </c>
      <c r="O185" s="171" t="s">
        <v>274</v>
      </c>
      <c r="P185" t="s">
        <v>341</v>
      </c>
      <c r="Q185" s="297" t="s">
        <v>389</v>
      </c>
      <c r="R185" s="298"/>
      <c r="S185" s="154" t="s">
        <v>3301</v>
      </c>
      <c r="T185" s="149" t="s">
        <v>712</v>
      </c>
      <c r="U185" t="s">
        <v>3309</v>
      </c>
      <c r="X185">
        <v>0</v>
      </c>
      <c r="Y185">
        <v>0</v>
      </c>
      <c r="Z185">
        <v>0</v>
      </c>
      <c r="AA185">
        <v>0</v>
      </c>
      <c r="AB185">
        <v>0</v>
      </c>
      <c r="AC185">
        <v>0</v>
      </c>
      <c r="AD185">
        <v>0</v>
      </c>
      <c r="AE185">
        <v>0</v>
      </c>
      <c r="AF185">
        <v>0</v>
      </c>
      <c r="AG185">
        <v>0</v>
      </c>
      <c r="AH185">
        <v>0</v>
      </c>
      <c r="AI185">
        <v>0</v>
      </c>
      <c r="AJ185">
        <v>1</v>
      </c>
      <c r="AK185">
        <v>0</v>
      </c>
      <c r="AL185">
        <v>0</v>
      </c>
      <c r="AM185">
        <v>0</v>
      </c>
      <c r="AN185">
        <v>0</v>
      </c>
      <c r="AO185">
        <v>0</v>
      </c>
      <c r="AP185">
        <v>0</v>
      </c>
      <c r="AQ185">
        <v>0</v>
      </c>
      <c r="AR185">
        <v>0</v>
      </c>
      <c r="AS185">
        <v>0</v>
      </c>
      <c r="AT185">
        <v>0</v>
      </c>
      <c r="AU185">
        <v>0</v>
      </c>
      <c r="AV185">
        <v>0</v>
      </c>
      <c r="AW185">
        <v>0</v>
      </c>
      <c r="AX185">
        <v>0</v>
      </c>
      <c r="AY185">
        <v>0</v>
      </c>
      <c r="AZ185" s="141">
        <f t="shared" si="184"/>
        <v>1</v>
      </c>
      <c r="BA185" s="141">
        <f t="shared" si="185"/>
        <v>1</v>
      </c>
      <c r="BB185">
        <f t="shared" si="186"/>
        <v>0</v>
      </c>
      <c r="BC185">
        <f t="shared" si="187"/>
        <v>1</v>
      </c>
      <c r="BD185">
        <f t="shared" si="188"/>
        <v>0</v>
      </c>
      <c r="BE185">
        <f t="shared" si="189"/>
        <v>0</v>
      </c>
      <c r="BF185">
        <f t="shared" si="190"/>
        <v>0</v>
      </c>
      <c r="BG185" t="str" cm="1">
        <f t="array" ref="BG185">IF(BA185=1,INDEX($X$7:$AN$7,MATCH(TRUE,INDEX($X185:$AY185&lt;&gt;0,),0)),IF(BA185=0,INDEX($AO$7:$AY$7,MATCH(1,$AO185:$AY185,0)),IF(BH185="Multiple strategies","mixed drivers",IF(BH185="Supply chain","multiple supply","multiple silviculture"))))</f>
        <v xml:space="preserve">end of life disposal </v>
      </c>
      <c r="BH185" s="2" t="str" cm="1">
        <f t="array" ref="BH185">IF(COUNTIF(BB185:BD185,"&lt;&gt;0")=1,INDEX($X$4:$AY$4,MATCH(TRUE,INDEX($X185:$AY185&lt;&gt;0,),0)),IF(COUNTIF(BB185:BD185,"&lt;&gt;0")=0,INDEX($AO$4:$AY$4,MATCH(1,$AO185:$AY185,0)),"Multiple strategies"))</f>
        <v>Supply chain</v>
      </c>
      <c r="BI185" s="142"/>
      <c r="BL185" s="143"/>
      <c r="BN185" s="143"/>
      <c r="BP185" s="158"/>
      <c r="BQ185" s="143"/>
      <c r="BR185" s="155" t="s">
        <v>232</v>
      </c>
      <c r="BS185" s="230"/>
      <c r="BT185" s="155" t="s">
        <v>3303</v>
      </c>
      <c r="BU185">
        <v>-42808.988764044901</v>
      </c>
      <c r="BV185">
        <v>-2247.1910112359501</v>
      </c>
      <c r="BW185" s="144"/>
      <c r="CA185" t="str">
        <f t="shared" si="173"/>
        <v/>
      </c>
      <c r="CB185">
        <v>0</v>
      </c>
      <c r="CC185">
        <v>0</v>
      </c>
      <c r="CD185">
        <v>0</v>
      </c>
      <c r="CE185">
        <v>0</v>
      </c>
      <c r="CF185">
        <v>0</v>
      </c>
      <c r="CG185">
        <v>0</v>
      </c>
      <c r="CH185">
        <v>0</v>
      </c>
      <c r="CI185">
        <v>0</v>
      </c>
      <c r="CJ185">
        <v>0</v>
      </c>
      <c r="CK185">
        <v>0</v>
      </c>
      <c r="CL185">
        <v>0</v>
      </c>
      <c r="CM185">
        <v>0</v>
      </c>
      <c r="CN185">
        <v>0</v>
      </c>
      <c r="CO185">
        <v>0</v>
      </c>
      <c r="CP185" t="str">
        <f t="shared" si="205"/>
        <v>refOK</v>
      </c>
      <c r="CQ185"/>
      <c r="CR185"/>
      <c r="CS185"/>
      <c r="CT185">
        <f t="shared" si="174"/>
        <v>0</v>
      </c>
      <c r="CU185">
        <f t="shared" si="191"/>
        <v>-42808.988764044901</v>
      </c>
      <c r="CV185">
        <f t="shared" si="192"/>
        <v>-2247.1910112359501</v>
      </c>
      <c r="CW185">
        <f t="shared" si="193"/>
        <v>0</v>
      </c>
      <c r="CX185" t="str">
        <f t="shared" si="175"/>
        <v/>
      </c>
      <c r="CY185" t="str">
        <f t="shared" si="194"/>
        <v/>
      </c>
      <c r="CZ185" t="str">
        <f t="shared" si="176"/>
        <v/>
      </c>
      <c r="DA185" s="2">
        <f t="shared" si="195"/>
        <v>0.94750656167979019</v>
      </c>
      <c r="DB185" s="1" t="s">
        <v>1074</v>
      </c>
      <c r="DC185" s="297" t="str">
        <f t="shared" si="196"/>
        <v>reg</v>
      </c>
      <c r="DD185" s="303" t="s">
        <v>428</v>
      </c>
      <c r="DE185">
        <v>2007</v>
      </c>
      <c r="DF185" s="143">
        <v>2009</v>
      </c>
      <c r="DG185" s="143">
        <v>2</v>
      </c>
      <c r="DH185" t="str">
        <f t="shared" si="197"/>
        <v>1-30</v>
      </c>
      <c r="DI185">
        <v>0</v>
      </c>
      <c r="DJ185">
        <v>1</v>
      </c>
      <c r="DK185">
        <v>0</v>
      </c>
      <c r="DL185">
        <v>0</v>
      </c>
      <c r="DM185">
        <v>1</v>
      </c>
      <c r="DN185">
        <f t="shared" si="206"/>
        <v>1</v>
      </c>
      <c r="DO185" t="str">
        <f t="shared" si="198"/>
        <v>EnergyInput</v>
      </c>
      <c r="DP185">
        <f t="shared" si="199"/>
        <v>0</v>
      </c>
      <c r="DQ185" t="str">
        <f t="shared" si="200"/>
        <v>Energy</v>
      </c>
      <c r="DR185">
        <f t="shared" si="201"/>
        <v>0</v>
      </c>
      <c r="DS185">
        <f t="shared" si="202"/>
        <v>0</v>
      </c>
      <c r="DT185">
        <v>1</v>
      </c>
      <c r="DU185" s="143">
        <v>0</v>
      </c>
      <c r="DV185" s="143">
        <v>0</v>
      </c>
      <c r="DW185">
        <v>0</v>
      </c>
      <c r="DX185" s="143">
        <v>0</v>
      </c>
      <c r="DY185">
        <f t="shared" si="203"/>
        <v>1</v>
      </c>
      <c r="DZ185" s="143" t="str">
        <f t="shared" si="204"/>
        <v>self-calculated DF</v>
      </c>
      <c r="EA185" s="143">
        <v>0</v>
      </c>
      <c r="EB185">
        <v>0</v>
      </c>
      <c r="EC185" s="143">
        <v>1</v>
      </c>
      <c r="ED185" s="143">
        <v>0</v>
      </c>
      <c r="EE185">
        <v>1</v>
      </c>
      <c r="EF185" s="143">
        <v>1</v>
      </c>
      <c r="EG185" s="143">
        <v>0</v>
      </c>
      <c r="EH185" s="143">
        <v>0</v>
      </c>
      <c r="EI185" s="143">
        <v>0</v>
      </c>
      <c r="EJ185">
        <v>1</v>
      </c>
      <c r="EK185">
        <v>0</v>
      </c>
      <c r="EL185" s="143">
        <v>0</v>
      </c>
      <c r="EM185" s="143">
        <v>0</v>
      </c>
      <c r="EN185" s="2">
        <v>0</v>
      </c>
      <c r="EP185" t="str">
        <f t="shared" si="177"/>
        <v/>
      </c>
      <c r="EQ185" t="str">
        <f t="shared" si="178"/>
        <v/>
      </c>
      <c r="ER185" s="2" t="str">
        <f t="shared" si="179"/>
        <v/>
      </c>
      <c r="ES185" t="str">
        <f t="shared" si="180"/>
        <v/>
      </c>
      <c r="ET185" t="str">
        <f t="shared" si="181"/>
        <v/>
      </c>
      <c r="EU185" t="str">
        <f t="shared" si="182"/>
        <v/>
      </c>
      <c r="EY185" t="b">
        <f>IF(ISNUMBER(BW185),IF(ABS(BW185-[1]QC_indicators!$B$2)&gt;3*[1]QC_indicators!$C$2,"C ratio",IF(ISNUMBER(CA185),IF(ABS(CA185-[1]QC_indicators!$B$1)&gt;3*[1]QC_indicators!$C$1,"DF","no"))),IF(ISNUMBER(CA185),IF(ABS(CA185-[1]QC_indicators!$B$1)&gt;3*[1]QC_indicators!$C$1,"DF","no")))</f>
        <v>0</v>
      </c>
      <c r="FA185" t="str">
        <f t="shared" si="183"/>
        <v/>
      </c>
    </row>
    <row r="186" spans="1:158" ht="15" hidden="1" customHeight="1">
      <c r="A186" s="1" t="s">
        <v>3293</v>
      </c>
      <c r="B186" t="s">
        <v>3294</v>
      </c>
      <c r="C186" t="s">
        <v>3295</v>
      </c>
      <c r="D186" t="s">
        <v>3296</v>
      </c>
      <c r="E186" s="297" t="s">
        <v>3297</v>
      </c>
      <c r="F186" t="s">
        <v>3298</v>
      </c>
      <c r="G186" t="s">
        <v>3299</v>
      </c>
      <c r="H186" t="s">
        <v>254</v>
      </c>
      <c r="I186">
        <v>2017</v>
      </c>
      <c r="J186">
        <v>6</v>
      </c>
      <c r="K186" t="s">
        <v>3300</v>
      </c>
      <c r="M186" t="str">
        <f t="shared" si="139"/>
        <v>Gopalakrishnan_2017</v>
      </c>
      <c r="N186" s="297" t="s">
        <v>4058</v>
      </c>
      <c r="O186" s="171" t="s">
        <v>274</v>
      </c>
      <c r="P186" t="s">
        <v>341</v>
      </c>
      <c r="Q186" s="297" t="s">
        <v>389</v>
      </c>
      <c r="R186" s="298"/>
      <c r="S186" s="154" t="s">
        <v>3301</v>
      </c>
      <c r="T186" s="149" t="s">
        <v>712</v>
      </c>
      <c r="U186" t="s">
        <v>3306</v>
      </c>
      <c r="X186">
        <v>0</v>
      </c>
      <c r="Y186">
        <v>0</v>
      </c>
      <c r="Z186">
        <v>0</v>
      </c>
      <c r="AA186">
        <v>0</v>
      </c>
      <c r="AB186">
        <v>0</v>
      </c>
      <c r="AC186">
        <v>0</v>
      </c>
      <c r="AD186">
        <v>0</v>
      </c>
      <c r="AE186">
        <v>0</v>
      </c>
      <c r="AF186">
        <v>0</v>
      </c>
      <c r="AG186">
        <v>0</v>
      </c>
      <c r="AH186">
        <v>0</v>
      </c>
      <c r="AI186">
        <v>0</v>
      </c>
      <c r="AJ186">
        <v>1</v>
      </c>
      <c r="AK186">
        <v>0</v>
      </c>
      <c r="AL186">
        <v>0</v>
      </c>
      <c r="AM186">
        <v>0</v>
      </c>
      <c r="AN186">
        <v>0</v>
      </c>
      <c r="AO186">
        <v>0</v>
      </c>
      <c r="AP186">
        <v>0</v>
      </c>
      <c r="AQ186">
        <v>0</v>
      </c>
      <c r="AR186">
        <v>0</v>
      </c>
      <c r="AS186">
        <v>0</v>
      </c>
      <c r="AT186">
        <v>0</v>
      </c>
      <c r="AU186">
        <v>0</v>
      </c>
      <c r="AV186">
        <v>0</v>
      </c>
      <c r="AW186">
        <v>0</v>
      </c>
      <c r="AX186">
        <v>0</v>
      </c>
      <c r="AY186">
        <v>0</v>
      </c>
      <c r="AZ186" s="141">
        <f t="shared" si="184"/>
        <v>1</v>
      </c>
      <c r="BA186" s="141">
        <f t="shared" si="185"/>
        <v>1</v>
      </c>
      <c r="BB186">
        <f t="shared" si="186"/>
        <v>0</v>
      </c>
      <c r="BC186">
        <f t="shared" si="187"/>
        <v>1</v>
      </c>
      <c r="BD186">
        <f t="shared" si="188"/>
        <v>0</v>
      </c>
      <c r="BE186">
        <f t="shared" si="189"/>
        <v>0</v>
      </c>
      <c r="BF186">
        <f t="shared" si="190"/>
        <v>0</v>
      </c>
      <c r="BG186" t="str" cm="1">
        <f t="array" ref="BG186">IF(BA186=1,INDEX($X$7:$AN$7,MATCH(TRUE,INDEX($X186:$AY186&lt;&gt;0,),0)),IF(BA186=0,INDEX($AO$7:$AY$7,MATCH(1,$AO186:$AY186,0)),IF(BH186="Multiple strategies","mixed drivers",IF(BH186="Supply chain","multiple supply","multiple silviculture"))))</f>
        <v xml:space="preserve">end of life disposal </v>
      </c>
      <c r="BH186" s="2" t="str" cm="1">
        <f t="array" ref="BH186">IF(COUNTIF(BB186:BD186,"&lt;&gt;0")=1,INDEX($X$4:$AY$4,MATCH(TRUE,INDEX($X186:$AY186&lt;&gt;0,),0)),IF(COUNTIF(BB186:BD186,"&lt;&gt;0")=0,INDEX($AO$4:$AY$4,MATCH(1,$AO186:$AY186,0)),"Multiple strategies"))</f>
        <v>Supply chain</v>
      </c>
      <c r="BI186" s="142"/>
      <c r="BL186" s="143"/>
      <c r="BN186" s="143"/>
      <c r="BP186" s="158"/>
      <c r="BQ186" s="143"/>
      <c r="BR186" s="155" t="s">
        <v>232</v>
      </c>
      <c r="BS186" s="230"/>
      <c r="BT186" s="155" t="s">
        <v>3303</v>
      </c>
      <c r="BU186">
        <v>-42808.988764044901</v>
      </c>
      <c r="BV186">
        <v>0</v>
      </c>
      <c r="BW186" s="144"/>
      <c r="CA186" t="str">
        <f t="shared" si="173"/>
        <v/>
      </c>
      <c r="CB186">
        <v>0</v>
      </c>
      <c r="CC186">
        <v>0</v>
      </c>
      <c r="CD186">
        <v>0</v>
      </c>
      <c r="CE186">
        <v>0</v>
      </c>
      <c r="CF186">
        <v>0</v>
      </c>
      <c r="CG186">
        <v>0</v>
      </c>
      <c r="CH186">
        <v>0</v>
      </c>
      <c r="CI186">
        <v>0</v>
      </c>
      <c r="CJ186">
        <v>0</v>
      </c>
      <c r="CK186">
        <v>0</v>
      </c>
      <c r="CL186">
        <v>0</v>
      </c>
      <c r="CM186">
        <v>0</v>
      </c>
      <c r="CN186">
        <v>0</v>
      </c>
      <c r="CO186">
        <v>0</v>
      </c>
      <c r="CP186" t="str">
        <f t="shared" si="205"/>
        <v>refOK</v>
      </c>
      <c r="CQ186"/>
      <c r="CR186"/>
      <c r="CS186"/>
      <c r="CT186">
        <f t="shared" si="174"/>
        <v>0</v>
      </c>
      <c r="CU186">
        <f t="shared" si="191"/>
        <v>-42808.988764044901</v>
      </c>
      <c r="CV186">
        <f t="shared" si="192"/>
        <v>0</v>
      </c>
      <c r="CW186">
        <f t="shared" si="193"/>
        <v>0</v>
      </c>
      <c r="CX186" t="str">
        <f t="shared" si="175"/>
        <v/>
      </c>
      <c r="CY186" t="str">
        <f t="shared" si="194"/>
        <v/>
      </c>
      <c r="CZ186" t="str">
        <f t="shared" si="176"/>
        <v/>
      </c>
      <c r="DA186" s="2">
        <f t="shared" si="195"/>
        <v>1</v>
      </c>
      <c r="DB186" s="1" t="s">
        <v>1074</v>
      </c>
      <c r="DC186" s="297" t="str">
        <f t="shared" si="196"/>
        <v>reg</v>
      </c>
      <c r="DD186" s="303" t="s">
        <v>428</v>
      </c>
      <c r="DE186">
        <v>2007</v>
      </c>
      <c r="DF186" s="143">
        <v>2009</v>
      </c>
      <c r="DG186" s="143">
        <v>2</v>
      </c>
      <c r="DH186" t="str">
        <f t="shared" si="197"/>
        <v>1-30</v>
      </c>
      <c r="DI186">
        <v>0</v>
      </c>
      <c r="DJ186">
        <v>1</v>
      </c>
      <c r="DK186">
        <v>0</v>
      </c>
      <c r="DL186">
        <v>0</v>
      </c>
      <c r="DM186">
        <v>1</v>
      </c>
      <c r="DN186">
        <f t="shared" si="206"/>
        <v>1</v>
      </c>
      <c r="DO186" t="str">
        <f t="shared" si="198"/>
        <v>EnergyInput</v>
      </c>
      <c r="DP186">
        <f t="shared" si="199"/>
        <v>0</v>
      </c>
      <c r="DQ186" t="str">
        <f t="shared" si="200"/>
        <v>Energy</v>
      </c>
      <c r="DR186">
        <f t="shared" si="201"/>
        <v>0</v>
      </c>
      <c r="DS186">
        <f t="shared" si="202"/>
        <v>0</v>
      </c>
      <c r="DT186">
        <v>1</v>
      </c>
      <c r="DU186" s="143">
        <v>0</v>
      </c>
      <c r="DV186" s="143">
        <v>0</v>
      </c>
      <c r="DW186">
        <v>0</v>
      </c>
      <c r="DX186" s="143">
        <v>0</v>
      </c>
      <c r="DY186">
        <f t="shared" si="203"/>
        <v>1</v>
      </c>
      <c r="DZ186" s="143" t="str">
        <f t="shared" si="204"/>
        <v>self-calculated DF</v>
      </c>
      <c r="EA186" s="143">
        <v>0</v>
      </c>
      <c r="EB186">
        <v>0</v>
      </c>
      <c r="EC186" s="143">
        <v>1</v>
      </c>
      <c r="ED186" s="143">
        <v>0</v>
      </c>
      <c r="EE186">
        <v>1</v>
      </c>
      <c r="EF186" s="143">
        <v>1</v>
      </c>
      <c r="EG186" s="143">
        <v>0</v>
      </c>
      <c r="EH186" s="143">
        <v>0</v>
      </c>
      <c r="EI186" s="143">
        <v>0</v>
      </c>
      <c r="EJ186">
        <v>1</v>
      </c>
      <c r="EK186">
        <v>0</v>
      </c>
      <c r="EL186" s="143">
        <v>0</v>
      </c>
      <c r="EM186" s="143">
        <v>0</v>
      </c>
      <c r="EN186" s="2">
        <v>0</v>
      </c>
      <c r="EP186" t="str">
        <f t="shared" si="177"/>
        <v/>
      </c>
      <c r="EQ186" t="str">
        <f t="shared" si="178"/>
        <v/>
      </c>
      <c r="ER186" s="2" t="str">
        <f t="shared" si="179"/>
        <v/>
      </c>
      <c r="ES186" t="str">
        <f t="shared" si="180"/>
        <v/>
      </c>
      <c r="ET186" t="str">
        <f t="shared" si="181"/>
        <v/>
      </c>
      <c r="EU186" t="str">
        <f t="shared" si="182"/>
        <v/>
      </c>
      <c r="EY186" t="b">
        <f>IF(ISNUMBER(BW186),IF(ABS(BW186-[1]QC_indicators!$B$2)&gt;3*[1]QC_indicators!$C$2,"C ratio",IF(ISNUMBER(CA186),IF(ABS(CA186-[1]QC_indicators!$B$1)&gt;3*[1]QC_indicators!$C$1,"DF","no"))),IF(ISNUMBER(CA186),IF(ABS(CA186-[1]QC_indicators!$B$1)&gt;3*[1]QC_indicators!$C$1,"DF","no")))</f>
        <v>0</v>
      </c>
      <c r="FA186" t="str">
        <f t="shared" si="183"/>
        <v/>
      </c>
    </row>
    <row r="187" spans="1:158" ht="15" hidden="1" customHeight="1">
      <c r="A187" s="1" t="s">
        <v>3293</v>
      </c>
      <c r="B187" t="s">
        <v>3294</v>
      </c>
      <c r="C187" t="s">
        <v>3295</v>
      </c>
      <c r="D187" t="s">
        <v>3296</v>
      </c>
      <c r="E187" t="s">
        <v>3297</v>
      </c>
      <c r="F187" t="s">
        <v>3298</v>
      </c>
      <c r="G187" t="s">
        <v>3299</v>
      </c>
      <c r="H187" t="s">
        <v>254</v>
      </c>
      <c r="I187">
        <v>2017</v>
      </c>
      <c r="J187">
        <v>6</v>
      </c>
      <c r="K187" t="s">
        <v>3300</v>
      </c>
      <c r="M187" t="str">
        <f t="shared" si="139"/>
        <v>Gopalakrishnan_2017</v>
      </c>
      <c r="N187" s="297" t="s">
        <v>4058</v>
      </c>
      <c r="O187" s="171" t="s">
        <v>274</v>
      </c>
      <c r="P187" t="s">
        <v>341</v>
      </c>
      <c r="Q187" s="297" t="s">
        <v>389</v>
      </c>
      <c r="R187" s="298"/>
      <c r="S187" s="154" t="s">
        <v>3301</v>
      </c>
      <c r="T187" s="149" t="s">
        <v>712</v>
      </c>
      <c r="U187" t="s">
        <v>3308</v>
      </c>
      <c r="X187">
        <v>0</v>
      </c>
      <c r="Y187">
        <v>0</v>
      </c>
      <c r="Z187">
        <v>0</v>
      </c>
      <c r="AA187">
        <v>0</v>
      </c>
      <c r="AB187">
        <v>0</v>
      </c>
      <c r="AC187">
        <v>0</v>
      </c>
      <c r="AD187">
        <v>0</v>
      </c>
      <c r="AE187">
        <v>0</v>
      </c>
      <c r="AF187">
        <v>0</v>
      </c>
      <c r="AG187">
        <v>0</v>
      </c>
      <c r="AH187">
        <v>0</v>
      </c>
      <c r="AI187">
        <v>0</v>
      </c>
      <c r="AJ187">
        <v>1</v>
      </c>
      <c r="AK187">
        <v>0</v>
      </c>
      <c r="AL187">
        <v>0</v>
      </c>
      <c r="AM187">
        <v>0</v>
      </c>
      <c r="AN187">
        <v>0</v>
      </c>
      <c r="AO187">
        <v>0</v>
      </c>
      <c r="AP187">
        <v>0</v>
      </c>
      <c r="AQ187">
        <v>0</v>
      </c>
      <c r="AR187">
        <v>0</v>
      </c>
      <c r="AS187">
        <v>0</v>
      </c>
      <c r="AT187">
        <v>0</v>
      </c>
      <c r="AU187">
        <v>0</v>
      </c>
      <c r="AV187">
        <v>0</v>
      </c>
      <c r="AW187">
        <v>0</v>
      </c>
      <c r="AX187">
        <v>0</v>
      </c>
      <c r="AY187">
        <v>0</v>
      </c>
      <c r="AZ187" s="141">
        <f t="shared" si="184"/>
        <v>1</v>
      </c>
      <c r="BA187" s="141">
        <f t="shared" si="185"/>
        <v>1</v>
      </c>
      <c r="BB187">
        <f t="shared" si="186"/>
        <v>0</v>
      </c>
      <c r="BC187">
        <f t="shared" si="187"/>
        <v>1</v>
      </c>
      <c r="BD187">
        <f t="shared" si="188"/>
        <v>0</v>
      </c>
      <c r="BE187">
        <f t="shared" si="189"/>
        <v>0</v>
      </c>
      <c r="BF187">
        <f t="shared" si="190"/>
        <v>0</v>
      </c>
      <c r="BG187" t="str" cm="1">
        <f t="array" ref="BG187">IF(BA187=1,INDEX($X$7:$AN$7,MATCH(TRUE,INDEX($X187:$AY187&lt;&gt;0,),0)),IF(BA187=0,INDEX($AO$7:$AY$7,MATCH(1,$AO187:$AY187,0)),IF(BH187="Multiple strategies","mixed drivers",IF(BH187="Supply chain","multiple supply","multiple silviculture"))))</f>
        <v xml:space="preserve">end of life disposal </v>
      </c>
      <c r="BH187" s="2" t="str" cm="1">
        <f t="array" ref="BH187">IF(COUNTIF(BB187:BD187,"&lt;&gt;0")=1,INDEX($X$4:$AY$4,MATCH(TRUE,INDEX($X187:$AY187&lt;&gt;0,),0)),IF(COUNTIF(BB187:BD187,"&lt;&gt;0")=0,INDEX($AO$4:$AY$4,MATCH(1,$AO187:$AY187,0)),"Multiple strategies"))</f>
        <v>Supply chain</v>
      </c>
      <c r="BI187" s="142"/>
      <c r="BL187" s="143"/>
      <c r="BN187" s="143"/>
      <c r="BP187" s="158"/>
      <c r="BQ187" s="143"/>
      <c r="BR187" s="155" t="s">
        <v>232</v>
      </c>
      <c r="BS187" s="230"/>
      <c r="BT187" s="155" t="s">
        <v>3303</v>
      </c>
      <c r="BU187">
        <v>-42808.988764044901</v>
      </c>
      <c r="BV187">
        <v>2247.1910112359501</v>
      </c>
      <c r="BW187" s="144"/>
      <c r="CA187" t="str">
        <f t="shared" si="173"/>
        <v/>
      </c>
      <c r="CB187">
        <v>0</v>
      </c>
      <c r="CC187">
        <v>0</v>
      </c>
      <c r="CD187">
        <v>0</v>
      </c>
      <c r="CE187">
        <v>0</v>
      </c>
      <c r="CF187">
        <v>0</v>
      </c>
      <c r="CG187">
        <v>0</v>
      </c>
      <c r="CH187">
        <v>0</v>
      </c>
      <c r="CI187">
        <v>0</v>
      </c>
      <c r="CJ187">
        <v>0</v>
      </c>
      <c r="CK187">
        <v>0</v>
      </c>
      <c r="CL187">
        <v>0</v>
      </c>
      <c r="CM187">
        <v>0</v>
      </c>
      <c r="CN187">
        <v>0</v>
      </c>
      <c r="CO187">
        <v>0</v>
      </c>
      <c r="CP187" t="str">
        <f t="shared" si="205"/>
        <v>refOK</v>
      </c>
      <c r="CQ187"/>
      <c r="CR187"/>
      <c r="CS187"/>
      <c r="CT187">
        <f t="shared" si="174"/>
        <v>0</v>
      </c>
      <c r="CU187">
        <f t="shared" si="191"/>
        <v>-42808.988764044901</v>
      </c>
      <c r="CV187">
        <f t="shared" si="192"/>
        <v>2247.1910112359501</v>
      </c>
      <c r="CW187">
        <f t="shared" si="193"/>
        <v>0</v>
      </c>
      <c r="CX187" t="str">
        <f t="shared" si="175"/>
        <v/>
      </c>
      <c r="CY187" t="str">
        <f t="shared" si="194"/>
        <v/>
      </c>
      <c r="CZ187" t="str">
        <f t="shared" si="176"/>
        <v/>
      </c>
      <c r="DA187" s="2">
        <f t="shared" si="195"/>
        <v>1.0524934383202098</v>
      </c>
      <c r="DB187" s="1" t="s">
        <v>1074</v>
      </c>
      <c r="DC187" s="297" t="str">
        <f t="shared" si="196"/>
        <v>reg</v>
      </c>
      <c r="DD187" s="303" t="s">
        <v>428</v>
      </c>
      <c r="DE187">
        <v>2007</v>
      </c>
      <c r="DF187" s="143">
        <v>2009</v>
      </c>
      <c r="DG187" s="143">
        <v>2</v>
      </c>
      <c r="DH187" t="str">
        <f t="shared" si="197"/>
        <v>1-30</v>
      </c>
      <c r="DI187">
        <v>0</v>
      </c>
      <c r="DJ187">
        <v>1</v>
      </c>
      <c r="DK187">
        <v>0</v>
      </c>
      <c r="DL187">
        <v>0</v>
      </c>
      <c r="DM187">
        <v>1</v>
      </c>
      <c r="DN187">
        <f t="shared" si="206"/>
        <v>1</v>
      </c>
      <c r="DO187" t="str">
        <f t="shared" si="198"/>
        <v>EnergyInput</v>
      </c>
      <c r="DP187">
        <f t="shared" si="199"/>
        <v>0</v>
      </c>
      <c r="DQ187" t="str">
        <f t="shared" si="200"/>
        <v>Energy</v>
      </c>
      <c r="DR187">
        <f t="shared" si="201"/>
        <v>0</v>
      </c>
      <c r="DS187">
        <f t="shared" si="202"/>
        <v>0</v>
      </c>
      <c r="DT187">
        <v>1</v>
      </c>
      <c r="DU187" s="143">
        <v>0</v>
      </c>
      <c r="DV187" s="143">
        <v>0</v>
      </c>
      <c r="DW187">
        <v>0</v>
      </c>
      <c r="DX187" s="143">
        <v>0</v>
      </c>
      <c r="DY187">
        <f t="shared" si="203"/>
        <v>1</v>
      </c>
      <c r="DZ187" s="143" t="str">
        <f t="shared" si="204"/>
        <v>self-calculated DF</v>
      </c>
      <c r="EA187" s="143">
        <v>0</v>
      </c>
      <c r="EB187">
        <v>0</v>
      </c>
      <c r="EC187" s="143">
        <v>1</v>
      </c>
      <c r="ED187" s="143">
        <v>0</v>
      </c>
      <c r="EE187">
        <v>1</v>
      </c>
      <c r="EF187" s="143">
        <v>1</v>
      </c>
      <c r="EG187" s="143">
        <v>0</v>
      </c>
      <c r="EH187" s="143">
        <v>0</v>
      </c>
      <c r="EI187" s="143">
        <v>0</v>
      </c>
      <c r="EJ187">
        <v>1</v>
      </c>
      <c r="EK187">
        <v>0</v>
      </c>
      <c r="EL187" s="143">
        <v>0</v>
      </c>
      <c r="EM187" s="143">
        <v>0</v>
      </c>
      <c r="EN187" s="2">
        <v>0</v>
      </c>
      <c r="EP187" t="str">
        <f t="shared" si="177"/>
        <v/>
      </c>
      <c r="EQ187" t="str">
        <f t="shared" si="178"/>
        <v/>
      </c>
      <c r="ER187" s="2" t="str">
        <f t="shared" si="179"/>
        <v/>
      </c>
      <c r="ES187" t="str">
        <f t="shared" si="180"/>
        <v/>
      </c>
      <c r="ET187" t="str">
        <f t="shared" si="181"/>
        <v/>
      </c>
      <c r="EU187" t="str">
        <f t="shared" si="182"/>
        <v/>
      </c>
      <c r="EY187" t="b">
        <f>IF(ISNUMBER(BW187),IF(ABS(BW187-[1]QC_indicators!$B$2)&gt;3*[1]QC_indicators!$C$2,"C ratio",IF(ISNUMBER(CA187),IF(ABS(CA187-[1]QC_indicators!$B$1)&gt;3*[1]QC_indicators!$C$1,"DF","no"))),IF(ISNUMBER(CA187),IF(ABS(CA187-[1]QC_indicators!$B$1)&gt;3*[1]QC_indicators!$C$1,"DF","no")))</f>
        <v>0</v>
      </c>
      <c r="FA187" t="str">
        <f t="shared" si="183"/>
        <v/>
      </c>
    </row>
    <row r="188" spans="1:158" ht="15" hidden="1" customHeight="1">
      <c r="A188" s="1" t="s">
        <v>3310</v>
      </c>
      <c r="B188" t="s">
        <v>531</v>
      </c>
      <c r="C188" t="s">
        <v>3311</v>
      </c>
      <c r="D188" t="s">
        <v>3312</v>
      </c>
      <c r="E188" t="s">
        <v>3313</v>
      </c>
      <c r="F188" t="s">
        <v>3314</v>
      </c>
      <c r="G188" t="s">
        <v>3315</v>
      </c>
      <c r="H188" t="s">
        <v>254</v>
      </c>
      <c r="I188">
        <v>2020</v>
      </c>
      <c r="J188">
        <v>9</v>
      </c>
      <c r="K188" t="s">
        <v>3316</v>
      </c>
      <c r="M188" t="str">
        <f t="shared" si="139"/>
        <v>Graves_2020</v>
      </c>
      <c r="N188" s="297" t="s">
        <v>4058</v>
      </c>
      <c r="O188" s="171" t="s">
        <v>341</v>
      </c>
      <c r="P188" t="s">
        <v>223</v>
      </c>
      <c r="Q188" s="297" t="s">
        <v>389</v>
      </c>
      <c r="R188" s="298"/>
      <c r="S188" s="307" t="s">
        <v>3317</v>
      </c>
      <c r="T188" s="299" t="s">
        <v>3318</v>
      </c>
      <c r="U188" s="297" t="s">
        <v>3319</v>
      </c>
      <c r="V188" s="297"/>
      <c r="W188" s="297"/>
      <c r="X188">
        <v>1</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s="141">
        <f t="shared" si="184"/>
        <v>1</v>
      </c>
      <c r="BA188" s="141">
        <f t="shared" si="185"/>
        <v>1</v>
      </c>
      <c r="BB188">
        <f t="shared" si="186"/>
        <v>1</v>
      </c>
      <c r="BC188">
        <f t="shared" si="187"/>
        <v>0</v>
      </c>
      <c r="BD188">
        <f t="shared" si="188"/>
        <v>0</v>
      </c>
      <c r="BE188">
        <f t="shared" si="189"/>
        <v>0</v>
      </c>
      <c r="BF188">
        <f t="shared" si="190"/>
        <v>0</v>
      </c>
      <c r="BG188" t="str" cm="1">
        <f t="array" ref="BG188">IF(BA188=1,INDEX($X$7:$AN$7,MATCH(TRUE,INDEX($X188:$AY188&lt;&gt;0,),0)),IF(BA188=0,INDEX($AO$7:$AY$7,MATCH(1,$AO188:$AY188,0)),IF(BH188="Multiple strategies","mixed drivers",IF(BH188="Supply chain","multiple supply","multiple silviculture"))))</f>
        <v>area subject to harvest</v>
      </c>
      <c r="BH188" s="2" t="str" cm="1">
        <f t="array" ref="BH188">IF(COUNTIF(BB188:BD188,"&lt;&gt;0")=1,INDEX($X$4:$AY$4,MATCH(TRUE,INDEX($X188:$AY188&lt;&gt;0,),0)),IF(COUNTIF(BB188:BD188,"&lt;&gt;0")=0,INDEX($AO$4:$AY$4,MATCH(1,$AO188:$AY188,0)),"Multiple strategies"))</f>
        <v>Silviculture for removals</v>
      </c>
      <c r="BP188" s="158"/>
      <c r="BQ188" s="159"/>
      <c r="BR188" s="155" t="s">
        <v>395</v>
      </c>
      <c r="BS188" s="329" t="s">
        <v>3320</v>
      </c>
      <c r="BT188" s="141" t="s">
        <v>3321</v>
      </c>
      <c r="BU188">
        <f>BV188-0.52</f>
        <v>63.48</v>
      </c>
      <c r="BV188" s="151">
        <v>64</v>
      </c>
      <c r="BW188" s="144">
        <f t="shared" ref="BW188:BW199" si="207">BV188/BU188</f>
        <v>1.0081915563957153</v>
      </c>
      <c r="BX188">
        <f t="shared" ref="BX188:BX222" si="208">BV188-BU188</f>
        <v>0.52000000000000313</v>
      </c>
      <c r="BZ188">
        <f t="shared" ref="BZ188:BZ199" si="209">BX188</f>
        <v>0.52000000000000313</v>
      </c>
      <c r="CA188" t="str">
        <f t="shared" si="173"/>
        <v/>
      </c>
      <c r="CB188">
        <v>0</v>
      </c>
      <c r="CC188">
        <v>0</v>
      </c>
      <c r="CD188">
        <v>0</v>
      </c>
      <c r="CE188">
        <v>0</v>
      </c>
      <c r="CF188">
        <v>0</v>
      </c>
      <c r="CG188">
        <v>0</v>
      </c>
      <c r="CH188">
        <v>0</v>
      </c>
      <c r="CI188">
        <v>0</v>
      </c>
      <c r="CJ188">
        <v>0</v>
      </c>
      <c r="CK188">
        <v>0</v>
      </c>
      <c r="CL188">
        <v>0</v>
      </c>
      <c r="CM188">
        <v>0</v>
      </c>
      <c r="CN188">
        <v>0</v>
      </c>
      <c r="CO188">
        <v>0</v>
      </c>
      <c r="CP188" t="str">
        <f t="shared" si="205"/>
        <v>refOK</v>
      </c>
      <c r="CQ188"/>
      <c r="CR188"/>
      <c r="CS188"/>
      <c r="CT188">
        <f t="shared" si="174"/>
        <v>0</v>
      </c>
      <c r="CU188">
        <f t="shared" si="191"/>
        <v>-63.48</v>
      </c>
      <c r="CV188">
        <f t="shared" si="192"/>
        <v>-64</v>
      </c>
      <c r="CW188">
        <f t="shared" si="193"/>
        <v>-0.52000000000000313</v>
      </c>
      <c r="CX188" t="str">
        <f t="shared" si="175"/>
        <v/>
      </c>
      <c r="CY188" t="str">
        <f t="shared" si="194"/>
        <v/>
      </c>
      <c r="CZ188" t="str">
        <f t="shared" si="176"/>
        <v/>
      </c>
      <c r="DA188" s="2">
        <f t="shared" si="195"/>
        <v>-8.1915563957152358E-3</v>
      </c>
      <c r="DB188" s="304" t="s">
        <v>1074</v>
      </c>
      <c r="DC188" s="297" t="str">
        <f t="shared" si="196"/>
        <v>reg</v>
      </c>
      <c r="DD188" s="303" t="s">
        <v>428</v>
      </c>
      <c r="DE188">
        <v>2020</v>
      </c>
      <c r="DF188">
        <v>2050</v>
      </c>
      <c r="DG188">
        <f t="shared" ref="DG188:DG199" si="210">DF188-DE188</f>
        <v>30</v>
      </c>
      <c r="DH188" t="str">
        <f t="shared" si="197"/>
        <v>1-30</v>
      </c>
      <c r="DI188">
        <v>1</v>
      </c>
      <c r="DJ188">
        <v>1</v>
      </c>
      <c r="DK188">
        <v>1</v>
      </c>
      <c r="DL188">
        <v>1</v>
      </c>
      <c r="DM188">
        <v>0</v>
      </c>
      <c r="DN188">
        <f t="shared" ref="DN188:DN207" si="211">SUM(DI188:DM188)</f>
        <v>4</v>
      </c>
      <c r="DO188" t="str">
        <f t="shared" si="198"/>
        <v>mixedProduct</v>
      </c>
      <c r="DP188" t="str">
        <f t="shared" si="199"/>
        <v>Upstream</v>
      </c>
      <c r="DQ188" t="str">
        <f t="shared" si="200"/>
        <v>Energy</v>
      </c>
      <c r="DR188" t="str">
        <f t="shared" si="201"/>
        <v>Pulp/Paper</v>
      </c>
      <c r="DS188" t="str">
        <f t="shared" si="202"/>
        <v>Timber</v>
      </c>
      <c r="DT188">
        <v>0</v>
      </c>
      <c r="DU188" s="143">
        <v>0</v>
      </c>
      <c r="DV188" s="143">
        <v>0</v>
      </c>
      <c r="DW188">
        <v>0</v>
      </c>
      <c r="DX188">
        <v>0</v>
      </c>
      <c r="DY188">
        <f t="shared" si="203"/>
        <v>0</v>
      </c>
      <c r="DZ188" s="143" t="str">
        <f t="shared" si="204"/>
        <v>explicit C balance</v>
      </c>
      <c r="EA188" s="143">
        <v>0</v>
      </c>
      <c r="EB188" s="143">
        <v>1</v>
      </c>
      <c r="EC188" s="143">
        <v>1</v>
      </c>
      <c r="ED188" s="143">
        <v>1</v>
      </c>
      <c r="EE188">
        <v>1</v>
      </c>
      <c r="EF188" s="143">
        <v>0</v>
      </c>
      <c r="EG188" s="143">
        <v>0</v>
      </c>
      <c r="EH188" s="143">
        <v>0</v>
      </c>
      <c r="EI188" s="143">
        <v>0</v>
      </c>
      <c r="EJ188">
        <v>0</v>
      </c>
      <c r="EK188">
        <v>1</v>
      </c>
      <c r="EL188" s="143">
        <v>0</v>
      </c>
      <c r="EM188" s="143">
        <v>0</v>
      </c>
      <c r="EN188" s="2">
        <v>0</v>
      </c>
      <c r="EP188" t="str">
        <f t="shared" si="177"/>
        <v/>
      </c>
      <c r="EQ188" t="str">
        <f t="shared" si="178"/>
        <v>Ecosystem approach</v>
      </c>
      <c r="ER188" s="2" t="str">
        <f t="shared" si="179"/>
        <v/>
      </c>
      <c r="ES188" t="str">
        <f t="shared" si="180"/>
        <v/>
      </c>
      <c r="ET188" t="str">
        <f t="shared" si="181"/>
        <v/>
      </c>
      <c r="EU188" t="str">
        <f t="shared" si="182"/>
        <v/>
      </c>
      <c r="EY188" t="b">
        <f>IF(ISNUMBER(BW188),IF(ABS(BW188-[1]QC_indicators!$B$2)&gt;3*[1]QC_indicators!$C$2,"C ratio",IF(ISNUMBER(CA188),IF(ABS(CA188-[1]QC_indicators!$B$1)&gt;3*[1]QC_indicators!$C$1,"DF","no"))),IF(ISNUMBER(CA188),IF(ABS(CA188-[1]QC_indicators!$B$1)&gt;3*[1]QC_indicators!$C$1,"DF","no")))</f>
        <v>0</v>
      </c>
      <c r="FA188" t="str">
        <f t="shared" si="183"/>
        <v/>
      </c>
    </row>
    <row r="189" spans="1:158" ht="15" hidden="1" customHeight="1">
      <c r="A189" s="1" t="s">
        <v>3310</v>
      </c>
      <c r="B189" t="s">
        <v>531</v>
      </c>
      <c r="C189" t="s">
        <v>3311</v>
      </c>
      <c r="D189" t="s">
        <v>3312</v>
      </c>
      <c r="E189" t="s">
        <v>3313</v>
      </c>
      <c r="F189" t="s">
        <v>3314</v>
      </c>
      <c r="G189" t="s">
        <v>3315</v>
      </c>
      <c r="H189" t="s">
        <v>254</v>
      </c>
      <c r="I189">
        <v>2020</v>
      </c>
      <c r="J189">
        <v>9</v>
      </c>
      <c r="K189" t="s">
        <v>3316</v>
      </c>
      <c r="M189" t="str">
        <f t="shared" si="139"/>
        <v>Graves_2020</v>
      </c>
      <c r="N189" s="297" t="s">
        <v>4058</v>
      </c>
      <c r="O189" s="171" t="s">
        <v>341</v>
      </c>
      <c r="P189" t="s">
        <v>223</v>
      </c>
      <c r="Q189" s="297" t="s">
        <v>389</v>
      </c>
      <c r="R189" s="298"/>
      <c r="S189" s="307" t="s">
        <v>3317</v>
      </c>
      <c r="T189" s="299" t="s">
        <v>3318</v>
      </c>
      <c r="U189" s="297" t="s">
        <v>3319</v>
      </c>
      <c r="V189" s="297"/>
      <c r="W189" s="297"/>
      <c r="X189">
        <v>1</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s="141">
        <f t="shared" si="184"/>
        <v>1</v>
      </c>
      <c r="BA189" s="141">
        <f t="shared" si="185"/>
        <v>1</v>
      </c>
      <c r="BB189">
        <f t="shared" si="186"/>
        <v>1</v>
      </c>
      <c r="BC189">
        <f t="shared" si="187"/>
        <v>0</v>
      </c>
      <c r="BD189">
        <f t="shared" si="188"/>
        <v>0</v>
      </c>
      <c r="BE189">
        <f t="shared" si="189"/>
        <v>0</v>
      </c>
      <c r="BF189">
        <f t="shared" si="190"/>
        <v>0</v>
      </c>
      <c r="BG189" t="str" cm="1">
        <f t="array" ref="BG189">IF(BA189=1,INDEX($X$7:$AN$7,MATCH(TRUE,INDEX($X189:$AY189&lt;&gt;0,),0)),IF(BA189=0,INDEX($AO$7:$AY$7,MATCH(1,$AO189:$AY189,0)),IF(BH189="Multiple strategies","mixed drivers",IF(BH189="Supply chain","multiple supply","multiple silviculture"))))</f>
        <v>area subject to harvest</v>
      </c>
      <c r="BH189" s="2" t="str" cm="1">
        <f t="array" ref="BH189">IF(COUNTIF(BB189:BD189,"&lt;&gt;0")=1,INDEX($X$4:$AY$4,MATCH(TRUE,INDEX($X189:$AY189&lt;&gt;0,),0)),IF(COUNTIF(BB189:BD189,"&lt;&gt;0")=0,INDEX($AO$4:$AY$4,MATCH(1,$AO189:$AY189,0)),"Multiple strategies"))</f>
        <v>Silviculture for removals</v>
      </c>
      <c r="BP189" s="158"/>
      <c r="BQ189" s="159"/>
      <c r="BR189" s="155" t="s">
        <v>395</v>
      </c>
      <c r="BS189" s="329" t="s">
        <v>3320</v>
      </c>
      <c r="BT189" s="141" t="s">
        <v>3321</v>
      </c>
      <c r="BU189">
        <f>BV189-0.48</f>
        <v>63.52</v>
      </c>
      <c r="BV189" s="151">
        <v>64</v>
      </c>
      <c r="BW189" s="144">
        <f t="shared" si="207"/>
        <v>1.0075566750629723</v>
      </c>
      <c r="BX189">
        <f t="shared" si="208"/>
        <v>0.47999999999999687</v>
      </c>
      <c r="BZ189">
        <f t="shared" si="209"/>
        <v>0.47999999999999687</v>
      </c>
      <c r="CA189" t="str">
        <f t="shared" si="173"/>
        <v/>
      </c>
      <c r="CB189">
        <v>0</v>
      </c>
      <c r="CC189">
        <v>0</v>
      </c>
      <c r="CD189">
        <v>0</v>
      </c>
      <c r="CE189">
        <v>0</v>
      </c>
      <c r="CF189">
        <v>0</v>
      </c>
      <c r="CG189">
        <v>0</v>
      </c>
      <c r="CH189">
        <v>0</v>
      </c>
      <c r="CI189">
        <v>0</v>
      </c>
      <c r="CJ189">
        <v>0</v>
      </c>
      <c r="CK189">
        <v>0</v>
      </c>
      <c r="CL189">
        <v>0</v>
      </c>
      <c r="CM189">
        <v>0</v>
      </c>
      <c r="CN189">
        <v>0</v>
      </c>
      <c r="CO189">
        <v>0</v>
      </c>
      <c r="CP189" t="str">
        <f t="shared" si="205"/>
        <v>refOK</v>
      </c>
      <c r="CQ189"/>
      <c r="CR189"/>
      <c r="CS189"/>
      <c r="CT189">
        <f t="shared" si="174"/>
        <v>0</v>
      </c>
      <c r="CU189">
        <f t="shared" si="191"/>
        <v>-63.52</v>
      </c>
      <c r="CV189">
        <f t="shared" si="192"/>
        <v>-64</v>
      </c>
      <c r="CW189">
        <f t="shared" si="193"/>
        <v>-0.47999999999999687</v>
      </c>
      <c r="CX189" t="str">
        <f t="shared" si="175"/>
        <v/>
      </c>
      <c r="CY189" t="str">
        <f t="shared" si="194"/>
        <v/>
      </c>
      <c r="CZ189" t="str">
        <f t="shared" si="176"/>
        <v/>
      </c>
      <c r="DA189" s="2">
        <f t="shared" si="195"/>
        <v>-7.5566750629722425E-3</v>
      </c>
      <c r="DB189" s="304" t="s">
        <v>1074</v>
      </c>
      <c r="DC189" s="297" t="str">
        <f t="shared" si="196"/>
        <v>reg</v>
      </c>
      <c r="DD189" s="303" t="s">
        <v>428</v>
      </c>
      <c r="DE189">
        <v>2020</v>
      </c>
      <c r="DF189">
        <v>2035</v>
      </c>
      <c r="DG189">
        <f t="shared" si="210"/>
        <v>15</v>
      </c>
      <c r="DH189" t="str">
        <f t="shared" si="197"/>
        <v>1-30</v>
      </c>
      <c r="DI189">
        <v>1</v>
      </c>
      <c r="DJ189">
        <v>1</v>
      </c>
      <c r="DK189">
        <v>1</v>
      </c>
      <c r="DL189">
        <v>1</v>
      </c>
      <c r="DM189">
        <v>0</v>
      </c>
      <c r="DN189">
        <f t="shared" si="211"/>
        <v>4</v>
      </c>
      <c r="DO189" t="str">
        <f t="shared" si="198"/>
        <v>mixedProduct</v>
      </c>
      <c r="DP189" t="str">
        <f t="shared" si="199"/>
        <v>Upstream</v>
      </c>
      <c r="DQ189" t="str">
        <f t="shared" si="200"/>
        <v>Energy</v>
      </c>
      <c r="DR189" t="str">
        <f t="shared" si="201"/>
        <v>Pulp/Paper</v>
      </c>
      <c r="DS189" t="str">
        <f t="shared" si="202"/>
        <v>Timber</v>
      </c>
      <c r="DT189">
        <v>0</v>
      </c>
      <c r="DU189" s="143">
        <v>0</v>
      </c>
      <c r="DV189" s="143">
        <v>0</v>
      </c>
      <c r="DW189">
        <v>0</v>
      </c>
      <c r="DX189">
        <v>0</v>
      </c>
      <c r="DY189">
        <f t="shared" si="203"/>
        <v>0</v>
      </c>
      <c r="DZ189" s="143" t="str">
        <f t="shared" si="204"/>
        <v>explicit C balance</v>
      </c>
      <c r="EA189" s="143">
        <v>0</v>
      </c>
      <c r="EB189" s="143">
        <v>1</v>
      </c>
      <c r="EC189" s="143">
        <v>1</v>
      </c>
      <c r="ED189" s="143">
        <v>1</v>
      </c>
      <c r="EE189">
        <v>1</v>
      </c>
      <c r="EF189" s="143">
        <v>0</v>
      </c>
      <c r="EG189" s="143">
        <v>0</v>
      </c>
      <c r="EH189" s="143">
        <v>0</v>
      </c>
      <c r="EI189" s="143">
        <v>0</v>
      </c>
      <c r="EJ189">
        <v>0</v>
      </c>
      <c r="EK189">
        <v>1</v>
      </c>
      <c r="EL189" s="143">
        <v>0</v>
      </c>
      <c r="EM189" s="143">
        <v>0</v>
      </c>
      <c r="EN189" s="2">
        <v>0</v>
      </c>
      <c r="EP189" t="str">
        <f t="shared" si="177"/>
        <v/>
      </c>
      <c r="EQ189" t="str">
        <f t="shared" si="178"/>
        <v>Ecosystem approach</v>
      </c>
      <c r="ER189" s="2" t="str">
        <f t="shared" si="179"/>
        <v/>
      </c>
      <c r="ES189" t="str">
        <f t="shared" si="180"/>
        <v/>
      </c>
      <c r="ET189" t="str">
        <f t="shared" si="181"/>
        <v/>
      </c>
      <c r="EU189" t="str">
        <f t="shared" si="182"/>
        <v/>
      </c>
      <c r="EY189" t="b">
        <f>IF(ISNUMBER(BW189),IF(ABS(BW189-[1]QC_indicators!$B$2)&gt;3*[1]QC_indicators!$C$2,"C ratio",IF(ISNUMBER(CA189),IF(ABS(CA189-[1]QC_indicators!$B$1)&gt;3*[1]QC_indicators!$C$1,"DF","no"))),IF(ISNUMBER(CA189),IF(ABS(CA189-[1]QC_indicators!$B$1)&gt;3*[1]QC_indicators!$C$1,"DF","no")))</f>
        <v>0</v>
      </c>
      <c r="FA189" t="str">
        <f t="shared" si="183"/>
        <v/>
      </c>
    </row>
    <row r="190" spans="1:158" ht="15" hidden="1" customHeight="1">
      <c r="A190" s="1" t="s">
        <v>3310</v>
      </c>
      <c r="B190" t="s">
        <v>531</v>
      </c>
      <c r="C190" t="s">
        <v>3311</v>
      </c>
      <c r="D190" t="s">
        <v>3312</v>
      </c>
      <c r="E190" t="s">
        <v>3313</v>
      </c>
      <c r="F190" t="s">
        <v>3314</v>
      </c>
      <c r="G190" t="s">
        <v>3315</v>
      </c>
      <c r="H190" t="s">
        <v>254</v>
      </c>
      <c r="I190">
        <v>2020</v>
      </c>
      <c r="J190">
        <v>9</v>
      </c>
      <c r="K190" t="s">
        <v>3316</v>
      </c>
      <c r="M190" t="str">
        <f t="shared" si="139"/>
        <v>Graves_2020</v>
      </c>
      <c r="N190" s="297" t="s">
        <v>4058</v>
      </c>
      <c r="O190" s="171" t="s">
        <v>341</v>
      </c>
      <c r="P190" t="s">
        <v>223</v>
      </c>
      <c r="Q190" s="297" t="s">
        <v>389</v>
      </c>
      <c r="R190" s="298"/>
      <c r="S190" s="307" t="s">
        <v>3317</v>
      </c>
      <c r="T190" s="299" t="s">
        <v>3318</v>
      </c>
      <c r="U190" s="297" t="s">
        <v>3319</v>
      </c>
      <c r="V190" s="297"/>
      <c r="W190" s="297"/>
      <c r="X190">
        <v>1</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s="141">
        <f t="shared" si="184"/>
        <v>1</v>
      </c>
      <c r="BA190" s="141">
        <f t="shared" si="185"/>
        <v>1</v>
      </c>
      <c r="BB190">
        <f t="shared" si="186"/>
        <v>1</v>
      </c>
      <c r="BC190">
        <f t="shared" si="187"/>
        <v>0</v>
      </c>
      <c r="BD190">
        <f t="shared" si="188"/>
        <v>0</v>
      </c>
      <c r="BE190">
        <f t="shared" si="189"/>
        <v>0</v>
      </c>
      <c r="BF190">
        <f t="shared" si="190"/>
        <v>0</v>
      </c>
      <c r="BG190" t="str" cm="1">
        <f t="array" ref="BG190">IF(BA190=1,INDEX($X$7:$AN$7,MATCH(TRUE,INDEX($X190:$AY190&lt;&gt;0,),0)),IF(BA190=0,INDEX($AO$7:$AY$7,MATCH(1,$AO190:$AY190,0)),IF(BH190="Multiple strategies","mixed drivers",IF(BH190="Supply chain","multiple supply","multiple silviculture"))))</f>
        <v>area subject to harvest</v>
      </c>
      <c r="BH190" s="2" t="str" cm="1">
        <f t="array" ref="BH190">IF(COUNTIF(BB190:BD190,"&lt;&gt;0")=1,INDEX($X$4:$AY$4,MATCH(TRUE,INDEX($X190:$AY190&lt;&gt;0,),0)),IF(COUNTIF(BB190:BD190,"&lt;&gt;0")=0,INDEX($AO$4:$AY$4,MATCH(1,$AO190:$AY190,0)),"Multiple strategies"))</f>
        <v>Silviculture for removals</v>
      </c>
      <c r="BR190" s="155" t="s">
        <v>395</v>
      </c>
      <c r="BS190" s="329" t="s">
        <v>3320</v>
      </c>
      <c r="BT190" s="141" t="s">
        <v>3321</v>
      </c>
      <c r="BU190">
        <f>BV190-0.26</f>
        <v>63.74</v>
      </c>
      <c r="BV190" s="151">
        <v>64</v>
      </c>
      <c r="BW190" s="144">
        <f t="shared" si="207"/>
        <v>1.004079071226859</v>
      </c>
      <c r="BX190">
        <f t="shared" si="208"/>
        <v>0.25999999999999801</v>
      </c>
      <c r="BZ190">
        <f t="shared" si="209"/>
        <v>0.25999999999999801</v>
      </c>
      <c r="CA190" t="str">
        <f t="shared" si="173"/>
        <v/>
      </c>
      <c r="CB190">
        <v>0</v>
      </c>
      <c r="CC190">
        <v>0</v>
      </c>
      <c r="CD190">
        <v>0</v>
      </c>
      <c r="CE190">
        <v>0</v>
      </c>
      <c r="CF190">
        <v>0</v>
      </c>
      <c r="CG190">
        <v>0</v>
      </c>
      <c r="CH190">
        <v>0</v>
      </c>
      <c r="CI190">
        <v>0</v>
      </c>
      <c r="CJ190">
        <v>0</v>
      </c>
      <c r="CK190">
        <v>0</v>
      </c>
      <c r="CL190">
        <v>0</v>
      </c>
      <c r="CM190">
        <v>0</v>
      </c>
      <c r="CN190">
        <v>0</v>
      </c>
      <c r="CO190">
        <v>0</v>
      </c>
      <c r="CP190" t="str">
        <f t="shared" si="205"/>
        <v>refOK</v>
      </c>
      <c r="CQ190"/>
      <c r="CR190"/>
      <c r="CS190"/>
      <c r="CT190">
        <f t="shared" si="174"/>
        <v>0</v>
      </c>
      <c r="CU190">
        <f t="shared" si="191"/>
        <v>-63.74</v>
      </c>
      <c r="CV190">
        <f t="shared" si="192"/>
        <v>-64</v>
      </c>
      <c r="CW190">
        <f t="shared" si="193"/>
        <v>-0.25999999999999801</v>
      </c>
      <c r="CX190" t="str">
        <f t="shared" si="175"/>
        <v/>
      </c>
      <c r="CY190" t="str">
        <f t="shared" si="194"/>
        <v/>
      </c>
      <c r="CZ190" t="str">
        <f t="shared" si="176"/>
        <v/>
      </c>
      <c r="DA190" s="2">
        <f t="shared" si="195"/>
        <v>-4.0790712268590837E-3</v>
      </c>
      <c r="DB190" s="304" t="s">
        <v>1074</v>
      </c>
      <c r="DC190" s="297" t="str">
        <f t="shared" si="196"/>
        <v>reg</v>
      </c>
      <c r="DD190" s="303" t="s">
        <v>428</v>
      </c>
      <c r="DE190">
        <v>2020</v>
      </c>
      <c r="DF190">
        <v>2050</v>
      </c>
      <c r="DG190">
        <f t="shared" si="210"/>
        <v>30</v>
      </c>
      <c r="DH190" t="str">
        <f t="shared" si="197"/>
        <v>1-30</v>
      </c>
      <c r="DI190">
        <v>1</v>
      </c>
      <c r="DJ190">
        <v>1</v>
      </c>
      <c r="DK190">
        <v>1</v>
      </c>
      <c r="DL190">
        <v>1</v>
      </c>
      <c r="DM190">
        <v>0</v>
      </c>
      <c r="DN190">
        <f t="shared" si="211"/>
        <v>4</v>
      </c>
      <c r="DO190" t="str">
        <f t="shared" si="198"/>
        <v>mixedProduct</v>
      </c>
      <c r="DP190" t="str">
        <f t="shared" si="199"/>
        <v>Upstream</v>
      </c>
      <c r="DQ190" t="str">
        <f t="shared" si="200"/>
        <v>Energy</v>
      </c>
      <c r="DR190" t="str">
        <f t="shared" si="201"/>
        <v>Pulp/Paper</v>
      </c>
      <c r="DS190" t="str">
        <f t="shared" si="202"/>
        <v>Timber</v>
      </c>
      <c r="DT190">
        <v>0</v>
      </c>
      <c r="DU190" s="143">
        <v>0</v>
      </c>
      <c r="DV190" s="143">
        <v>0</v>
      </c>
      <c r="DW190">
        <v>0</v>
      </c>
      <c r="DX190">
        <v>0</v>
      </c>
      <c r="DY190">
        <f t="shared" si="203"/>
        <v>0</v>
      </c>
      <c r="DZ190" s="143" t="str">
        <f t="shared" si="204"/>
        <v>explicit C balance</v>
      </c>
      <c r="EA190" s="143">
        <v>0</v>
      </c>
      <c r="EB190" s="143">
        <v>1</v>
      </c>
      <c r="EC190" s="143">
        <v>1</v>
      </c>
      <c r="ED190" s="143">
        <v>1</v>
      </c>
      <c r="EE190">
        <v>1</v>
      </c>
      <c r="EF190" s="143">
        <v>0</v>
      </c>
      <c r="EG190" s="143">
        <v>0</v>
      </c>
      <c r="EH190" s="143">
        <v>0</v>
      </c>
      <c r="EI190" s="143">
        <v>0</v>
      </c>
      <c r="EJ190">
        <v>0</v>
      </c>
      <c r="EK190">
        <v>1</v>
      </c>
      <c r="EL190" s="143">
        <v>0</v>
      </c>
      <c r="EM190" s="143">
        <v>0</v>
      </c>
      <c r="EN190" s="2">
        <v>0</v>
      </c>
      <c r="EP190" t="str">
        <f t="shared" si="177"/>
        <v/>
      </c>
      <c r="EQ190" t="str">
        <f t="shared" si="178"/>
        <v>Ecosystem approach</v>
      </c>
      <c r="ER190" s="2" t="str">
        <f t="shared" si="179"/>
        <v/>
      </c>
      <c r="ES190" t="str">
        <f t="shared" si="180"/>
        <v/>
      </c>
      <c r="ET190" t="str">
        <f t="shared" si="181"/>
        <v/>
      </c>
      <c r="EU190" t="str">
        <f t="shared" si="182"/>
        <v/>
      </c>
      <c r="EY190" t="b">
        <f>IF(ISNUMBER(BW190),IF(ABS(BW190-[1]QC_indicators!$B$2)&gt;3*[1]QC_indicators!$C$2,"C ratio",IF(ISNUMBER(CA190),IF(ABS(CA190-[1]QC_indicators!$B$1)&gt;3*[1]QC_indicators!$C$1,"DF","no"))),IF(ISNUMBER(CA190),IF(ABS(CA190-[1]QC_indicators!$B$1)&gt;3*[1]QC_indicators!$C$1,"DF","no")))</f>
        <v>0</v>
      </c>
      <c r="FA190" t="str">
        <f t="shared" si="183"/>
        <v/>
      </c>
    </row>
    <row r="191" spans="1:158" ht="15" hidden="1" customHeight="1">
      <c r="A191" s="1" t="s">
        <v>3310</v>
      </c>
      <c r="B191" t="s">
        <v>531</v>
      </c>
      <c r="C191" t="s">
        <v>3311</v>
      </c>
      <c r="D191" t="s">
        <v>3312</v>
      </c>
      <c r="E191" t="s">
        <v>3313</v>
      </c>
      <c r="F191" t="s">
        <v>3314</v>
      </c>
      <c r="G191" t="s">
        <v>3315</v>
      </c>
      <c r="H191" t="s">
        <v>254</v>
      </c>
      <c r="I191">
        <v>2020</v>
      </c>
      <c r="J191">
        <v>9</v>
      </c>
      <c r="K191" t="s">
        <v>3316</v>
      </c>
      <c r="M191" t="str">
        <f t="shared" si="139"/>
        <v>Graves_2020</v>
      </c>
      <c r="N191" s="297" t="s">
        <v>4058</v>
      </c>
      <c r="O191" s="171" t="s">
        <v>341</v>
      </c>
      <c r="P191" t="s">
        <v>223</v>
      </c>
      <c r="Q191" s="297" t="s">
        <v>389</v>
      </c>
      <c r="R191" s="298"/>
      <c r="S191" s="307" t="s">
        <v>3317</v>
      </c>
      <c r="T191" s="299" t="s">
        <v>3318</v>
      </c>
      <c r="U191" s="297" t="s">
        <v>3319</v>
      </c>
      <c r="V191" s="297"/>
      <c r="W191" s="297"/>
      <c r="X191">
        <v>1</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s="141">
        <f t="shared" si="184"/>
        <v>1</v>
      </c>
      <c r="BA191" s="141">
        <f t="shared" si="185"/>
        <v>1</v>
      </c>
      <c r="BB191">
        <f t="shared" si="186"/>
        <v>1</v>
      </c>
      <c r="BC191">
        <f t="shared" si="187"/>
        <v>0</v>
      </c>
      <c r="BD191">
        <f t="shared" si="188"/>
        <v>0</v>
      </c>
      <c r="BE191">
        <f t="shared" si="189"/>
        <v>0</v>
      </c>
      <c r="BF191">
        <f t="shared" si="190"/>
        <v>0</v>
      </c>
      <c r="BG191" t="str" cm="1">
        <f t="array" ref="BG191">IF(BA191=1,INDEX($X$7:$AN$7,MATCH(TRUE,INDEX($X191:$AY191&lt;&gt;0,),0)),IF(BA191=0,INDEX($AO$7:$AY$7,MATCH(1,$AO191:$AY191,0)),IF(BH191="Multiple strategies","mixed drivers",IF(BH191="Supply chain","multiple supply","multiple silviculture"))))</f>
        <v>area subject to harvest</v>
      </c>
      <c r="BH191" s="2" t="str" cm="1">
        <f t="array" ref="BH191">IF(COUNTIF(BB191:BD191,"&lt;&gt;0")=1,INDEX($X$4:$AY$4,MATCH(TRUE,INDEX($X191:$AY191&lt;&gt;0,),0)),IF(COUNTIF(BB191:BD191,"&lt;&gt;0")=0,INDEX($AO$4:$AY$4,MATCH(1,$AO191:$AY191,0)),"Multiple strategies"))</f>
        <v>Silviculture for removals</v>
      </c>
      <c r="BR191" s="155" t="s">
        <v>395</v>
      </c>
      <c r="BS191" s="329" t="s">
        <v>3320</v>
      </c>
      <c r="BT191" s="141" t="s">
        <v>3321</v>
      </c>
      <c r="BU191">
        <f>BV191-0.24</f>
        <v>63.76</v>
      </c>
      <c r="BV191" s="151">
        <v>64</v>
      </c>
      <c r="BW191" s="144">
        <f t="shared" si="207"/>
        <v>1.0037641154328734</v>
      </c>
      <c r="BX191">
        <f t="shared" si="208"/>
        <v>0.24000000000000199</v>
      </c>
      <c r="BZ191">
        <f t="shared" si="209"/>
        <v>0.24000000000000199</v>
      </c>
      <c r="CA191" t="str">
        <f t="shared" si="173"/>
        <v/>
      </c>
      <c r="CB191">
        <v>0</v>
      </c>
      <c r="CC191">
        <v>0</v>
      </c>
      <c r="CD191">
        <v>0</v>
      </c>
      <c r="CE191">
        <v>0</v>
      </c>
      <c r="CF191">
        <v>0</v>
      </c>
      <c r="CG191">
        <v>0</v>
      </c>
      <c r="CH191">
        <v>0</v>
      </c>
      <c r="CI191">
        <v>0</v>
      </c>
      <c r="CJ191">
        <v>0</v>
      </c>
      <c r="CK191">
        <v>0</v>
      </c>
      <c r="CL191">
        <v>0</v>
      </c>
      <c r="CM191">
        <v>0</v>
      </c>
      <c r="CN191">
        <v>0</v>
      </c>
      <c r="CO191">
        <v>0</v>
      </c>
      <c r="CP191" t="str">
        <f t="shared" si="205"/>
        <v>refOK</v>
      </c>
      <c r="CQ191"/>
      <c r="CR191"/>
      <c r="CS191"/>
      <c r="CT191">
        <f t="shared" si="174"/>
        <v>0</v>
      </c>
      <c r="CU191">
        <f t="shared" si="191"/>
        <v>-63.76</v>
      </c>
      <c r="CV191">
        <f t="shared" si="192"/>
        <v>-64</v>
      </c>
      <c r="CW191">
        <f t="shared" si="193"/>
        <v>-0.24000000000000199</v>
      </c>
      <c r="CX191" t="str">
        <f t="shared" si="175"/>
        <v/>
      </c>
      <c r="CY191" t="str">
        <f t="shared" si="194"/>
        <v/>
      </c>
      <c r="CZ191" t="str">
        <f t="shared" si="176"/>
        <v/>
      </c>
      <c r="DA191" s="2">
        <f t="shared" si="195"/>
        <v>-3.7641154328733059E-3</v>
      </c>
      <c r="DB191" s="304" t="s">
        <v>1074</v>
      </c>
      <c r="DC191" s="297" t="str">
        <f t="shared" si="196"/>
        <v>reg</v>
      </c>
      <c r="DD191" s="303" t="s">
        <v>428</v>
      </c>
      <c r="DE191">
        <v>2020</v>
      </c>
      <c r="DF191">
        <v>2035</v>
      </c>
      <c r="DG191">
        <f t="shared" si="210"/>
        <v>15</v>
      </c>
      <c r="DH191" t="str">
        <f t="shared" si="197"/>
        <v>1-30</v>
      </c>
      <c r="DI191">
        <v>1</v>
      </c>
      <c r="DJ191">
        <v>1</v>
      </c>
      <c r="DK191">
        <v>1</v>
      </c>
      <c r="DL191">
        <v>1</v>
      </c>
      <c r="DM191">
        <v>0</v>
      </c>
      <c r="DN191">
        <f t="shared" si="211"/>
        <v>4</v>
      </c>
      <c r="DO191" t="str">
        <f t="shared" si="198"/>
        <v>mixedProduct</v>
      </c>
      <c r="DP191" t="str">
        <f t="shared" si="199"/>
        <v>Upstream</v>
      </c>
      <c r="DQ191" t="str">
        <f t="shared" si="200"/>
        <v>Energy</v>
      </c>
      <c r="DR191" t="str">
        <f t="shared" si="201"/>
        <v>Pulp/Paper</v>
      </c>
      <c r="DS191" t="str">
        <f t="shared" si="202"/>
        <v>Timber</v>
      </c>
      <c r="DT191">
        <v>0</v>
      </c>
      <c r="DU191" s="143">
        <v>0</v>
      </c>
      <c r="DV191" s="143">
        <v>0</v>
      </c>
      <c r="DW191">
        <v>0</v>
      </c>
      <c r="DX191">
        <v>0</v>
      </c>
      <c r="DY191">
        <f t="shared" si="203"/>
        <v>0</v>
      </c>
      <c r="DZ191" s="143" t="str">
        <f t="shared" si="204"/>
        <v>explicit C balance</v>
      </c>
      <c r="EA191" s="143">
        <v>0</v>
      </c>
      <c r="EB191" s="143">
        <v>1</v>
      </c>
      <c r="EC191" s="143">
        <v>1</v>
      </c>
      <c r="ED191" s="143">
        <v>1</v>
      </c>
      <c r="EE191">
        <v>1</v>
      </c>
      <c r="EF191" s="143">
        <v>0</v>
      </c>
      <c r="EG191" s="143">
        <v>0</v>
      </c>
      <c r="EH191" s="143">
        <v>0</v>
      </c>
      <c r="EI191" s="143">
        <v>0</v>
      </c>
      <c r="EJ191">
        <v>0</v>
      </c>
      <c r="EK191">
        <v>1</v>
      </c>
      <c r="EL191" s="143">
        <v>0</v>
      </c>
      <c r="EM191" s="143">
        <v>0</v>
      </c>
      <c r="EN191" s="2">
        <v>0</v>
      </c>
      <c r="EP191" t="str">
        <f t="shared" si="177"/>
        <v/>
      </c>
      <c r="EQ191" t="str">
        <f t="shared" si="178"/>
        <v>Ecosystem approach</v>
      </c>
      <c r="ER191" s="2" t="str">
        <f t="shared" si="179"/>
        <v/>
      </c>
      <c r="ES191" t="str">
        <f t="shared" si="180"/>
        <v/>
      </c>
      <c r="ET191" t="str">
        <f t="shared" si="181"/>
        <v/>
      </c>
      <c r="EU191" t="str">
        <f t="shared" si="182"/>
        <v/>
      </c>
      <c r="EY191" t="b">
        <f>IF(ISNUMBER(BW191),IF(ABS(BW191-[1]QC_indicators!$B$2)&gt;3*[1]QC_indicators!$C$2,"C ratio",IF(ISNUMBER(CA191),IF(ABS(CA191-[1]QC_indicators!$B$1)&gt;3*[1]QC_indicators!$C$1,"DF","no"))),IF(ISNUMBER(CA191),IF(ABS(CA191-[1]QC_indicators!$B$1)&gt;3*[1]QC_indicators!$C$1,"DF","no")))</f>
        <v>0</v>
      </c>
      <c r="FA191" t="str">
        <f t="shared" si="183"/>
        <v/>
      </c>
    </row>
    <row r="192" spans="1:158" ht="15" hidden="1" customHeight="1">
      <c r="A192" s="1" t="s">
        <v>3310</v>
      </c>
      <c r="B192" t="s">
        <v>531</v>
      </c>
      <c r="C192" t="s">
        <v>3311</v>
      </c>
      <c r="D192" t="s">
        <v>3312</v>
      </c>
      <c r="E192" t="s">
        <v>3313</v>
      </c>
      <c r="F192" t="s">
        <v>3314</v>
      </c>
      <c r="G192" t="s">
        <v>3315</v>
      </c>
      <c r="H192" t="s">
        <v>254</v>
      </c>
      <c r="I192">
        <v>2020</v>
      </c>
      <c r="J192">
        <v>9</v>
      </c>
      <c r="K192" t="s">
        <v>3316</v>
      </c>
      <c r="M192" t="str">
        <f t="shared" si="139"/>
        <v>Graves_2020</v>
      </c>
      <c r="N192" s="297" t="s">
        <v>4058</v>
      </c>
      <c r="O192" s="171" t="s">
        <v>341</v>
      </c>
      <c r="P192" t="s">
        <v>223</v>
      </c>
      <c r="Q192" s="297" t="s">
        <v>389</v>
      </c>
      <c r="R192" s="298"/>
      <c r="S192" s="154" t="s">
        <v>3325</v>
      </c>
      <c r="T192" s="299" t="s">
        <v>3326</v>
      </c>
      <c r="U192" s="297" t="s">
        <v>3327</v>
      </c>
      <c r="V192" s="297"/>
      <c r="W192" s="297"/>
      <c r="X192">
        <v>0</v>
      </c>
      <c r="Y192">
        <v>0</v>
      </c>
      <c r="Z192">
        <v>1</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s="141">
        <f t="shared" si="184"/>
        <v>1</v>
      </c>
      <c r="BA192" s="141">
        <f t="shared" si="185"/>
        <v>1</v>
      </c>
      <c r="BB192">
        <f t="shared" si="186"/>
        <v>1</v>
      </c>
      <c r="BC192">
        <f t="shared" si="187"/>
        <v>0</v>
      </c>
      <c r="BD192">
        <f t="shared" si="188"/>
        <v>0</v>
      </c>
      <c r="BE192">
        <f t="shared" si="189"/>
        <v>0</v>
      </c>
      <c r="BF192">
        <f t="shared" si="190"/>
        <v>0</v>
      </c>
      <c r="BG192" t="str" cm="1">
        <f t="array" ref="BG192">IF(BA192=1,INDEX($X$7:$AN$7,MATCH(TRUE,INDEX($X192:$AY192&lt;&gt;0,),0)),IF(BA192=0,INDEX($AO$7:$AY$7,MATCH(1,$AO192:$AY192,0)),IF(BH192="Multiple strategies","mixed drivers",IF(BH192="Supply chain","multiple supply","multiple silviculture"))))</f>
        <v>rotation length</v>
      </c>
      <c r="BH192" s="2" t="str" cm="1">
        <f t="array" ref="BH192">IF(COUNTIF(BB192:BD192,"&lt;&gt;0")=1,INDEX($X$4:$AY$4,MATCH(TRUE,INDEX($X192:$AY192&lt;&gt;0,),0)),IF(COUNTIF(BB192:BD192,"&lt;&gt;0")=0,INDEX($AO$4:$AY$4,MATCH(1,$AO192:$AY192,0)),"Multiple strategies"))</f>
        <v>Silviculture for removals</v>
      </c>
      <c r="BO192" t="str">
        <f>IFERROR(BN192/BM192,"")</f>
        <v/>
      </c>
      <c r="BP192" s="158"/>
      <c r="BQ192" s="159"/>
      <c r="BR192" s="155" t="s">
        <v>395</v>
      </c>
      <c r="BS192" s="329" t="s">
        <v>3320</v>
      </c>
      <c r="BT192" s="141" t="s">
        <v>3321</v>
      </c>
      <c r="BU192">
        <f>BV192-5.2</f>
        <v>58.8</v>
      </c>
      <c r="BV192" s="151">
        <v>64</v>
      </c>
      <c r="BW192" s="144">
        <f t="shared" si="207"/>
        <v>1.08843537414966</v>
      </c>
      <c r="BX192">
        <f t="shared" si="208"/>
        <v>5.2000000000000028</v>
      </c>
      <c r="BZ192">
        <f t="shared" si="209"/>
        <v>5.2000000000000028</v>
      </c>
      <c r="CA192" t="str">
        <f t="shared" si="173"/>
        <v/>
      </c>
      <c r="CB192">
        <v>0</v>
      </c>
      <c r="CC192">
        <v>0</v>
      </c>
      <c r="CD192">
        <v>0</v>
      </c>
      <c r="CE192">
        <v>0</v>
      </c>
      <c r="CF192">
        <v>0</v>
      </c>
      <c r="CG192">
        <v>0</v>
      </c>
      <c r="CH192">
        <v>0</v>
      </c>
      <c r="CI192">
        <v>0</v>
      </c>
      <c r="CJ192">
        <v>0</v>
      </c>
      <c r="CK192">
        <v>0</v>
      </c>
      <c r="CL192">
        <v>0</v>
      </c>
      <c r="CM192">
        <v>0</v>
      </c>
      <c r="CN192">
        <v>0</v>
      </c>
      <c r="CO192">
        <v>0</v>
      </c>
      <c r="CP192" t="str">
        <f t="shared" si="205"/>
        <v>refOK</v>
      </c>
      <c r="CQ192"/>
      <c r="CR192"/>
      <c r="CS192"/>
      <c r="CT192">
        <f t="shared" si="174"/>
        <v>0</v>
      </c>
      <c r="CU192">
        <f t="shared" si="191"/>
        <v>-58.8</v>
      </c>
      <c r="CV192">
        <f t="shared" si="192"/>
        <v>-64</v>
      </c>
      <c r="CW192">
        <f t="shared" si="193"/>
        <v>-5.2000000000000028</v>
      </c>
      <c r="CX192" t="str">
        <f t="shared" si="175"/>
        <v/>
      </c>
      <c r="CY192" t="str">
        <f t="shared" si="194"/>
        <v/>
      </c>
      <c r="CZ192" t="str">
        <f t="shared" si="176"/>
        <v/>
      </c>
      <c r="DA192" s="2">
        <f t="shared" si="195"/>
        <v>-8.843537414965992E-2</v>
      </c>
      <c r="DB192" s="304" t="s">
        <v>1074</v>
      </c>
      <c r="DC192" s="297" t="str">
        <f t="shared" si="196"/>
        <v>reg</v>
      </c>
      <c r="DD192" s="303" t="s">
        <v>428</v>
      </c>
      <c r="DE192">
        <v>2020</v>
      </c>
      <c r="DF192">
        <v>2050</v>
      </c>
      <c r="DG192">
        <f t="shared" si="210"/>
        <v>30</v>
      </c>
      <c r="DH192" t="str">
        <f t="shared" si="197"/>
        <v>1-30</v>
      </c>
      <c r="DI192">
        <v>1</v>
      </c>
      <c r="DJ192">
        <v>1</v>
      </c>
      <c r="DK192">
        <v>1</v>
      </c>
      <c r="DL192">
        <v>1</v>
      </c>
      <c r="DM192">
        <v>0</v>
      </c>
      <c r="DN192">
        <f t="shared" si="211"/>
        <v>4</v>
      </c>
      <c r="DO192" t="str">
        <f t="shared" si="198"/>
        <v>mixedProduct</v>
      </c>
      <c r="DP192" t="str">
        <f t="shared" si="199"/>
        <v>Upstream</v>
      </c>
      <c r="DQ192" t="str">
        <f t="shared" si="200"/>
        <v>Energy</v>
      </c>
      <c r="DR192" t="str">
        <f t="shared" si="201"/>
        <v>Pulp/Paper</v>
      </c>
      <c r="DS192" t="str">
        <f t="shared" si="202"/>
        <v>Timber</v>
      </c>
      <c r="DT192">
        <v>0</v>
      </c>
      <c r="DU192" s="143">
        <v>0</v>
      </c>
      <c r="DV192" s="143">
        <v>0</v>
      </c>
      <c r="DW192">
        <v>0</v>
      </c>
      <c r="DX192">
        <v>0</v>
      </c>
      <c r="DY192">
        <f t="shared" si="203"/>
        <v>0</v>
      </c>
      <c r="DZ192" s="143" t="str">
        <f t="shared" si="204"/>
        <v>explicit C balance</v>
      </c>
      <c r="EA192" s="143">
        <v>0</v>
      </c>
      <c r="EB192" s="143">
        <v>1</v>
      </c>
      <c r="EC192" s="143">
        <v>1</v>
      </c>
      <c r="ED192" s="143">
        <v>1</v>
      </c>
      <c r="EE192">
        <v>1</v>
      </c>
      <c r="EF192" s="143">
        <v>0</v>
      </c>
      <c r="EG192" s="143">
        <v>0</v>
      </c>
      <c r="EH192" s="143">
        <v>0</v>
      </c>
      <c r="EI192" s="143">
        <v>0</v>
      </c>
      <c r="EJ192">
        <v>0</v>
      </c>
      <c r="EK192">
        <v>1</v>
      </c>
      <c r="EL192" s="143">
        <v>0</v>
      </c>
      <c r="EM192" s="143">
        <v>0</v>
      </c>
      <c r="EN192" s="2">
        <v>0</v>
      </c>
      <c r="EP192" t="str">
        <f t="shared" si="177"/>
        <v/>
      </c>
      <c r="EQ192" t="str">
        <f t="shared" si="178"/>
        <v>Ecosystem approach</v>
      </c>
      <c r="ER192" s="2" t="str">
        <f t="shared" si="179"/>
        <v/>
      </c>
      <c r="ES192" t="str">
        <f t="shared" si="180"/>
        <v/>
      </c>
      <c r="ET192" t="str">
        <f t="shared" si="181"/>
        <v/>
      </c>
      <c r="EU192" t="str">
        <f t="shared" si="182"/>
        <v/>
      </c>
      <c r="EY192" t="b">
        <f>IF(ISNUMBER(BW192),IF(ABS(BW192-[1]QC_indicators!$B$2)&gt;3*[1]QC_indicators!$C$2,"C ratio",IF(ISNUMBER(CA192),IF(ABS(CA192-[1]QC_indicators!$B$1)&gt;3*[1]QC_indicators!$C$1,"DF","no"))),IF(ISNUMBER(CA192),IF(ABS(CA192-[1]QC_indicators!$B$1)&gt;3*[1]QC_indicators!$C$1,"DF","no")))</f>
        <v>0</v>
      </c>
      <c r="FA192" t="str">
        <f t="shared" si="183"/>
        <v/>
      </c>
    </row>
    <row r="193" spans="1:157" ht="15" hidden="1" customHeight="1">
      <c r="A193" s="1" t="s">
        <v>3310</v>
      </c>
      <c r="B193" t="s">
        <v>531</v>
      </c>
      <c r="C193" t="s">
        <v>3311</v>
      </c>
      <c r="D193" t="s">
        <v>3312</v>
      </c>
      <c r="E193" t="s">
        <v>3313</v>
      </c>
      <c r="F193" t="s">
        <v>3314</v>
      </c>
      <c r="G193" t="s">
        <v>3315</v>
      </c>
      <c r="H193" t="s">
        <v>254</v>
      </c>
      <c r="I193">
        <v>2020</v>
      </c>
      <c r="J193">
        <v>9</v>
      </c>
      <c r="K193" t="s">
        <v>3316</v>
      </c>
      <c r="M193" t="str">
        <f t="shared" si="139"/>
        <v>Graves_2020</v>
      </c>
      <c r="N193" s="297" t="s">
        <v>4058</v>
      </c>
      <c r="O193" s="171" t="s">
        <v>341</v>
      </c>
      <c r="P193" t="s">
        <v>223</v>
      </c>
      <c r="Q193" s="297" t="s">
        <v>389</v>
      </c>
      <c r="R193" s="298"/>
      <c r="S193" s="154" t="s">
        <v>3325</v>
      </c>
      <c r="T193" s="299" t="s">
        <v>3326</v>
      </c>
      <c r="U193" s="297" t="s">
        <v>3327</v>
      </c>
      <c r="V193" s="297"/>
      <c r="W193" s="297"/>
      <c r="X193">
        <v>0</v>
      </c>
      <c r="Y193">
        <v>0</v>
      </c>
      <c r="Z193">
        <v>1</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s="141">
        <f t="shared" si="184"/>
        <v>1</v>
      </c>
      <c r="BA193" s="141">
        <f t="shared" si="185"/>
        <v>1</v>
      </c>
      <c r="BB193">
        <f t="shared" si="186"/>
        <v>1</v>
      </c>
      <c r="BC193">
        <f t="shared" si="187"/>
        <v>0</v>
      </c>
      <c r="BD193">
        <f t="shared" si="188"/>
        <v>0</v>
      </c>
      <c r="BE193">
        <f t="shared" si="189"/>
        <v>0</v>
      </c>
      <c r="BF193">
        <f t="shared" si="190"/>
        <v>0</v>
      </c>
      <c r="BG193" t="str" cm="1">
        <f t="array" ref="BG193">IF(BA193=1,INDEX($X$7:$AN$7,MATCH(TRUE,INDEX($X193:$AY193&lt;&gt;0,),0)),IF(BA193=0,INDEX($AO$7:$AY$7,MATCH(1,$AO193:$AY193,0)),IF(BH193="Multiple strategies","mixed drivers",IF(BH193="Supply chain","multiple supply","multiple silviculture"))))</f>
        <v>rotation length</v>
      </c>
      <c r="BH193" s="2" t="str" cm="1">
        <f t="array" ref="BH193">IF(COUNTIF(BB193:BD193,"&lt;&gt;0")=1,INDEX($X$4:$AY$4,MATCH(TRUE,INDEX($X193:$AY193&lt;&gt;0,),0)),IF(COUNTIF(BB193:BD193,"&lt;&gt;0")=0,INDEX($AO$4:$AY$4,MATCH(1,$AO193:$AY193,0)),"Multiple strategies"))</f>
        <v>Silviculture for removals</v>
      </c>
      <c r="BO193" t="str">
        <f>IFERROR(BN193/BM193,"")</f>
        <v/>
      </c>
      <c r="BP193" s="158"/>
      <c r="BQ193" s="159"/>
      <c r="BR193" s="155" t="s">
        <v>395</v>
      </c>
      <c r="BS193" s="329" t="s">
        <v>3320</v>
      </c>
      <c r="BT193" s="141" t="s">
        <v>3321</v>
      </c>
      <c r="BU193">
        <f>BV193-5.03</f>
        <v>58.97</v>
      </c>
      <c r="BV193" s="151">
        <v>64</v>
      </c>
      <c r="BW193" s="144">
        <f t="shared" si="207"/>
        <v>1.0852976089537052</v>
      </c>
      <c r="BX193">
        <f t="shared" si="208"/>
        <v>5.0300000000000011</v>
      </c>
      <c r="BZ193">
        <f t="shared" si="209"/>
        <v>5.0300000000000011</v>
      </c>
      <c r="CA193" t="str">
        <f t="shared" si="173"/>
        <v/>
      </c>
      <c r="CB193">
        <v>0</v>
      </c>
      <c r="CC193">
        <v>0</v>
      </c>
      <c r="CD193">
        <v>0</v>
      </c>
      <c r="CE193">
        <v>0</v>
      </c>
      <c r="CF193">
        <v>0</v>
      </c>
      <c r="CG193">
        <v>0</v>
      </c>
      <c r="CH193">
        <v>0</v>
      </c>
      <c r="CI193">
        <v>0</v>
      </c>
      <c r="CJ193">
        <v>0</v>
      </c>
      <c r="CK193">
        <v>0</v>
      </c>
      <c r="CL193">
        <v>0</v>
      </c>
      <c r="CM193">
        <v>0</v>
      </c>
      <c r="CN193">
        <v>0</v>
      </c>
      <c r="CO193">
        <v>0</v>
      </c>
      <c r="CP193" t="str">
        <f t="shared" si="205"/>
        <v>refOK</v>
      </c>
      <c r="CQ193"/>
      <c r="CR193"/>
      <c r="CS193"/>
      <c r="CT193">
        <f t="shared" si="174"/>
        <v>0</v>
      </c>
      <c r="CU193">
        <f t="shared" si="191"/>
        <v>-58.97</v>
      </c>
      <c r="CV193">
        <f t="shared" si="192"/>
        <v>-64</v>
      </c>
      <c r="CW193">
        <f t="shared" si="193"/>
        <v>-5.0300000000000011</v>
      </c>
      <c r="CX193" t="str">
        <f t="shared" si="175"/>
        <v/>
      </c>
      <c r="CY193" t="str">
        <f t="shared" si="194"/>
        <v/>
      </c>
      <c r="CZ193" t="str">
        <f t="shared" si="176"/>
        <v/>
      </c>
      <c r="DA193" s="2">
        <f t="shared" si="195"/>
        <v>-8.5297608953705292E-2</v>
      </c>
      <c r="DB193" s="304" t="s">
        <v>1074</v>
      </c>
      <c r="DC193" s="297" t="str">
        <f t="shared" si="196"/>
        <v>reg</v>
      </c>
      <c r="DD193" s="303" t="s">
        <v>428</v>
      </c>
      <c r="DE193">
        <v>2020</v>
      </c>
      <c r="DF193">
        <v>2035</v>
      </c>
      <c r="DG193">
        <f t="shared" si="210"/>
        <v>15</v>
      </c>
      <c r="DH193" t="str">
        <f t="shared" si="197"/>
        <v>1-30</v>
      </c>
      <c r="DI193">
        <v>1</v>
      </c>
      <c r="DJ193">
        <v>1</v>
      </c>
      <c r="DK193">
        <v>1</v>
      </c>
      <c r="DL193">
        <v>1</v>
      </c>
      <c r="DM193">
        <v>0</v>
      </c>
      <c r="DN193">
        <f t="shared" si="211"/>
        <v>4</v>
      </c>
      <c r="DO193" t="str">
        <f t="shared" si="198"/>
        <v>mixedProduct</v>
      </c>
      <c r="DP193" t="str">
        <f t="shared" si="199"/>
        <v>Upstream</v>
      </c>
      <c r="DQ193" t="str">
        <f t="shared" si="200"/>
        <v>Energy</v>
      </c>
      <c r="DR193" t="str">
        <f t="shared" si="201"/>
        <v>Pulp/Paper</v>
      </c>
      <c r="DS193" t="str">
        <f t="shared" si="202"/>
        <v>Timber</v>
      </c>
      <c r="DT193">
        <v>0</v>
      </c>
      <c r="DU193" s="143">
        <v>0</v>
      </c>
      <c r="DV193" s="143">
        <v>0</v>
      </c>
      <c r="DW193">
        <v>0</v>
      </c>
      <c r="DX193">
        <v>0</v>
      </c>
      <c r="DY193">
        <f t="shared" si="203"/>
        <v>0</v>
      </c>
      <c r="DZ193" s="143" t="str">
        <f t="shared" si="204"/>
        <v>explicit C balance</v>
      </c>
      <c r="EA193" s="143">
        <v>0</v>
      </c>
      <c r="EB193" s="143">
        <v>1</v>
      </c>
      <c r="EC193" s="143">
        <v>1</v>
      </c>
      <c r="ED193" s="143">
        <v>1</v>
      </c>
      <c r="EE193">
        <v>1</v>
      </c>
      <c r="EF193" s="143">
        <v>0</v>
      </c>
      <c r="EG193" s="143">
        <v>0</v>
      </c>
      <c r="EH193" s="143">
        <v>0</v>
      </c>
      <c r="EI193" s="143">
        <v>0</v>
      </c>
      <c r="EJ193">
        <v>0</v>
      </c>
      <c r="EK193">
        <v>1</v>
      </c>
      <c r="EL193" s="143">
        <v>0</v>
      </c>
      <c r="EM193" s="143">
        <v>0</v>
      </c>
      <c r="EN193" s="2">
        <v>0</v>
      </c>
      <c r="EP193" t="str">
        <f t="shared" si="177"/>
        <v/>
      </c>
      <c r="EQ193" t="str">
        <f t="shared" si="178"/>
        <v>Ecosystem approach</v>
      </c>
      <c r="ER193" s="2" t="str">
        <f t="shared" si="179"/>
        <v/>
      </c>
      <c r="ES193" t="str">
        <f t="shared" si="180"/>
        <v/>
      </c>
      <c r="ET193" t="str">
        <f t="shared" si="181"/>
        <v/>
      </c>
      <c r="EU193" t="str">
        <f t="shared" si="182"/>
        <v/>
      </c>
      <c r="EY193" t="b">
        <f>IF(ISNUMBER(BW193),IF(ABS(BW193-[1]QC_indicators!$B$2)&gt;3*[1]QC_indicators!$C$2,"C ratio",IF(ISNUMBER(CA193),IF(ABS(CA193-[1]QC_indicators!$B$1)&gt;3*[1]QC_indicators!$C$1,"DF","no"))),IF(ISNUMBER(CA193),IF(ABS(CA193-[1]QC_indicators!$B$1)&gt;3*[1]QC_indicators!$C$1,"DF","no")))</f>
        <v>0</v>
      </c>
      <c r="FA193" t="str">
        <f t="shared" si="183"/>
        <v/>
      </c>
    </row>
    <row r="194" spans="1:157" ht="15" hidden="1" customHeight="1">
      <c r="A194" s="1" t="s">
        <v>3310</v>
      </c>
      <c r="B194" t="s">
        <v>531</v>
      </c>
      <c r="C194" t="s">
        <v>3311</v>
      </c>
      <c r="D194" t="s">
        <v>3312</v>
      </c>
      <c r="E194" t="s">
        <v>3313</v>
      </c>
      <c r="F194" t="s">
        <v>3314</v>
      </c>
      <c r="G194" t="s">
        <v>3315</v>
      </c>
      <c r="H194" t="s">
        <v>254</v>
      </c>
      <c r="I194">
        <v>2020</v>
      </c>
      <c r="J194">
        <v>9</v>
      </c>
      <c r="K194" t="s">
        <v>3316</v>
      </c>
      <c r="M194" t="str">
        <f t="shared" si="139"/>
        <v>Graves_2020</v>
      </c>
      <c r="N194" s="297" t="s">
        <v>4058</v>
      </c>
      <c r="O194" s="171" t="s">
        <v>341</v>
      </c>
      <c r="P194" t="s">
        <v>223</v>
      </c>
      <c r="Q194" s="297" t="s">
        <v>389</v>
      </c>
      <c r="R194" s="298"/>
      <c r="S194" s="154" t="s">
        <v>3325</v>
      </c>
      <c r="T194" s="299" t="s">
        <v>3328</v>
      </c>
      <c r="U194" s="297" t="s">
        <v>3327</v>
      </c>
      <c r="V194" s="297"/>
      <c r="W194" s="297"/>
      <c r="X194">
        <v>0</v>
      </c>
      <c r="Y194">
        <v>0</v>
      </c>
      <c r="Z194">
        <v>1</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s="141">
        <f t="shared" si="184"/>
        <v>1</v>
      </c>
      <c r="BA194" s="141">
        <f t="shared" si="185"/>
        <v>1</v>
      </c>
      <c r="BB194">
        <f t="shared" si="186"/>
        <v>1</v>
      </c>
      <c r="BC194">
        <f t="shared" si="187"/>
        <v>0</v>
      </c>
      <c r="BD194">
        <f t="shared" si="188"/>
        <v>0</v>
      </c>
      <c r="BE194">
        <f t="shared" si="189"/>
        <v>0</v>
      </c>
      <c r="BF194">
        <f t="shared" si="190"/>
        <v>0</v>
      </c>
      <c r="BG194" t="str" cm="1">
        <f t="array" ref="BG194">IF(BA194=1,INDEX($X$7:$AN$7,MATCH(TRUE,INDEX($X194:$AY194&lt;&gt;0,),0)),IF(BA194=0,INDEX($AO$7:$AY$7,MATCH(1,$AO194:$AY194,0)),IF(BH194="Multiple strategies","mixed drivers",IF(BH194="Supply chain","multiple supply","multiple silviculture"))))</f>
        <v>rotation length</v>
      </c>
      <c r="BH194" s="2" t="str" cm="1">
        <f t="array" ref="BH194">IF(COUNTIF(BB194:BD194,"&lt;&gt;0")=1,INDEX($X$4:$AY$4,MATCH(TRUE,INDEX($X194:$AY194&lt;&gt;0,),0)),IF(COUNTIF(BB194:BD194,"&lt;&gt;0")=0,INDEX($AO$4:$AY$4,MATCH(1,$AO194:$AY194,0)),"Multiple strategies"))</f>
        <v>Silviculture for removals</v>
      </c>
      <c r="BP194" s="158"/>
      <c r="BQ194" s="159"/>
      <c r="BR194" s="155" t="s">
        <v>395</v>
      </c>
      <c r="BS194" s="329" t="s">
        <v>3320</v>
      </c>
      <c r="BT194" s="141" t="s">
        <v>3321</v>
      </c>
      <c r="BU194">
        <f>BV194-3.45</f>
        <v>60.55</v>
      </c>
      <c r="BV194" s="151">
        <v>64</v>
      </c>
      <c r="BW194" s="144">
        <f t="shared" si="207"/>
        <v>1.0569777043765483</v>
      </c>
      <c r="BX194">
        <f t="shared" si="208"/>
        <v>3.4500000000000028</v>
      </c>
      <c r="BZ194">
        <f t="shared" si="209"/>
        <v>3.4500000000000028</v>
      </c>
      <c r="CA194" t="str">
        <f t="shared" si="173"/>
        <v/>
      </c>
      <c r="CB194">
        <v>0</v>
      </c>
      <c r="CC194">
        <v>0</v>
      </c>
      <c r="CD194">
        <v>0</v>
      </c>
      <c r="CE194">
        <v>0</v>
      </c>
      <c r="CF194">
        <v>0</v>
      </c>
      <c r="CG194">
        <v>0</v>
      </c>
      <c r="CH194">
        <v>0</v>
      </c>
      <c r="CI194">
        <v>0</v>
      </c>
      <c r="CJ194">
        <v>0</v>
      </c>
      <c r="CK194">
        <v>0</v>
      </c>
      <c r="CL194">
        <v>0</v>
      </c>
      <c r="CM194">
        <v>0</v>
      </c>
      <c r="CN194">
        <v>0</v>
      </c>
      <c r="CO194">
        <v>0</v>
      </c>
      <c r="CP194" t="str">
        <f t="shared" si="205"/>
        <v>refOK</v>
      </c>
      <c r="CQ194"/>
      <c r="CR194"/>
      <c r="CS194"/>
      <c r="CT194">
        <f t="shared" si="174"/>
        <v>0</v>
      </c>
      <c r="CU194">
        <f t="shared" si="191"/>
        <v>-60.55</v>
      </c>
      <c r="CV194">
        <f t="shared" si="192"/>
        <v>-64</v>
      </c>
      <c r="CW194">
        <f t="shared" si="193"/>
        <v>-3.4500000000000028</v>
      </c>
      <c r="CX194" t="str">
        <f t="shared" si="175"/>
        <v/>
      </c>
      <c r="CY194" t="str">
        <f t="shared" si="194"/>
        <v/>
      </c>
      <c r="CZ194" t="str">
        <f t="shared" si="176"/>
        <v/>
      </c>
      <c r="DA194" s="2">
        <f t="shared" si="195"/>
        <v>-5.6977704376548359E-2</v>
      </c>
      <c r="DB194" s="304" t="s">
        <v>1074</v>
      </c>
      <c r="DC194" s="297" t="str">
        <f t="shared" si="196"/>
        <v>reg</v>
      </c>
      <c r="DD194" s="303" t="s">
        <v>428</v>
      </c>
      <c r="DE194">
        <v>2020</v>
      </c>
      <c r="DF194">
        <v>2050</v>
      </c>
      <c r="DG194">
        <f t="shared" si="210"/>
        <v>30</v>
      </c>
      <c r="DH194" t="str">
        <f t="shared" si="197"/>
        <v>1-30</v>
      </c>
      <c r="DI194">
        <v>1</v>
      </c>
      <c r="DJ194">
        <v>1</v>
      </c>
      <c r="DK194">
        <v>1</v>
      </c>
      <c r="DL194">
        <v>1</v>
      </c>
      <c r="DM194">
        <v>0</v>
      </c>
      <c r="DN194">
        <f t="shared" si="211"/>
        <v>4</v>
      </c>
      <c r="DO194" t="str">
        <f t="shared" si="198"/>
        <v>mixedProduct</v>
      </c>
      <c r="DP194" t="str">
        <f t="shared" si="199"/>
        <v>Upstream</v>
      </c>
      <c r="DQ194" t="str">
        <f t="shared" si="200"/>
        <v>Energy</v>
      </c>
      <c r="DR194" t="str">
        <f t="shared" si="201"/>
        <v>Pulp/Paper</v>
      </c>
      <c r="DS194" t="str">
        <f t="shared" si="202"/>
        <v>Timber</v>
      </c>
      <c r="DT194">
        <v>0</v>
      </c>
      <c r="DU194" s="143">
        <v>0</v>
      </c>
      <c r="DV194" s="143">
        <v>0</v>
      </c>
      <c r="DW194">
        <v>0</v>
      </c>
      <c r="DX194">
        <v>0</v>
      </c>
      <c r="DY194">
        <f t="shared" si="203"/>
        <v>0</v>
      </c>
      <c r="DZ194" s="143" t="str">
        <f t="shared" si="204"/>
        <v>explicit C balance</v>
      </c>
      <c r="EA194" s="143">
        <v>0</v>
      </c>
      <c r="EB194" s="143">
        <v>1</v>
      </c>
      <c r="EC194" s="143">
        <v>1</v>
      </c>
      <c r="ED194" s="143">
        <v>1</v>
      </c>
      <c r="EE194">
        <v>1</v>
      </c>
      <c r="EF194" s="143">
        <v>0</v>
      </c>
      <c r="EG194" s="143">
        <v>0</v>
      </c>
      <c r="EH194" s="143">
        <v>0</v>
      </c>
      <c r="EI194" s="143">
        <v>0</v>
      </c>
      <c r="EJ194">
        <v>0</v>
      </c>
      <c r="EK194">
        <v>1</v>
      </c>
      <c r="EL194" s="143">
        <v>0</v>
      </c>
      <c r="EM194" s="143">
        <v>0</v>
      </c>
      <c r="EN194" s="2">
        <v>0</v>
      </c>
      <c r="EP194" t="str">
        <f t="shared" si="177"/>
        <v/>
      </c>
      <c r="EQ194" t="str">
        <f t="shared" si="178"/>
        <v>Ecosystem approach</v>
      </c>
      <c r="ER194" s="2" t="str">
        <f t="shared" si="179"/>
        <v/>
      </c>
      <c r="ES194" t="str">
        <f t="shared" si="180"/>
        <v/>
      </c>
      <c r="ET194" t="str">
        <f t="shared" si="181"/>
        <v/>
      </c>
      <c r="EU194" t="str">
        <f t="shared" si="182"/>
        <v/>
      </c>
      <c r="EY194" t="b">
        <f>IF(ISNUMBER(BW194),IF(ABS(BW194-[1]QC_indicators!$B$2)&gt;3*[1]QC_indicators!$C$2,"C ratio",IF(ISNUMBER(CA194),IF(ABS(CA194-[1]QC_indicators!$B$1)&gt;3*[1]QC_indicators!$C$1,"DF","no"))),IF(ISNUMBER(CA194),IF(ABS(CA194-[1]QC_indicators!$B$1)&gt;3*[1]QC_indicators!$C$1,"DF","no")))</f>
        <v>0</v>
      </c>
      <c r="FA194" t="str">
        <f t="shared" si="183"/>
        <v/>
      </c>
    </row>
    <row r="195" spans="1:157" ht="15" hidden="1" customHeight="1">
      <c r="A195" s="1" t="s">
        <v>3310</v>
      </c>
      <c r="B195" t="s">
        <v>531</v>
      </c>
      <c r="C195" t="s">
        <v>3311</v>
      </c>
      <c r="D195" t="s">
        <v>3312</v>
      </c>
      <c r="E195" t="s">
        <v>3313</v>
      </c>
      <c r="F195" t="s">
        <v>3314</v>
      </c>
      <c r="G195" t="s">
        <v>3315</v>
      </c>
      <c r="H195" t="s">
        <v>254</v>
      </c>
      <c r="I195">
        <v>2020</v>
      </c>
      <c r="J195">
        <v>9</v>
      </c>
      <c r="K195" t="s">
        <v>3316</v>
      </c>
      <c r="M195" t="str">
        <f t="shared" si="139"/>
        <v>Graves_2020</v>
      </c>
      <c r="N195" s="297" t="s">
        <v>4058</v>
      </c>
      <c r="O195" s="171" t="s">
        <v>341</v>
      </c>
      <c r="P195" t="s">
        <v>223</v>
      </c>
      <c r="Q195" s="297" t="s">
        <v>389</v>
      </c>
      <c r="R195" s="298"/>
      <c r="S195" s="154" t="s">
        <v>3325</v>
      </c>
      <c r="T195" s="299" t="s">
        <v>3328</v>
      </c>
      <c r="U195" s="297" t="s">
        <v>3327</v>
      </c>
      <c r="V195" s="297"/>
      <c r="W195" s="297"/>
      <c r="X195">
        <v>0</v>
      </c>
      <c r="Y195">
        <v>0</v>
      </c>
      <c r="Z195">
        <v>1</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s="141">
        <f t="shared" si="184"/>
        <v>1</v>
      </c>
      <c r="BA195" s="141">
        <f t="shared" si="185"/>
        <v>1</v>
      </c>
      <c r="BB195">
        <f t="shared" si="186"/>
        <v>1</v>
      </c>
      <c r="BC195">
        <f t="shared" si="187"/>
        <v>0</v>
      </c>
      <c r="BD195">
        <f t="shared" si="188"/>
        <v>0</v>
      </c>
      <c r="BE195">
        <f t="shared" si="189"/>
        <v>0</v>
      </c>
      <c r="BF195">
        <f t="shared" si="190"/>
        <v>0</v>
      </c>
      <c r="BG195" t="str" cm="1">
        <f t="array" ref="BG195">IF(BA195=1,INDEX($X$7:$AN$7,MATCH(TRUE,INDEX($X195:$AY195&lt;&gt;0,),0)),IF(BA195=0,INDEX($AO$7:$AY$7,MATCH(1,$AO195:$AY195,0)),IF(BH195="Multiple strategies","mixed drivers",IF(BH195="Supply chain","multiple supply","multiple silviculture"))))</f>
        <v>rotation length</v>
      </c>
      <c r="BH195" s="2" t="str" cm="1">
        <f t="array" ref="BH195">IF(COUNTIF(BB195:BD195,"&lt;&gt;0")=1,INDEX($X$4:$AY$4,MATCH(TRUE,INDEX($X195:$AY195&lt;&gt;0,),0)),IF(COUNTIF(BB195:BD195,"&lt;&gt;0")=0,INDEX($AO$4:$AY$4,MATCH(1,$AO195:$AY195,0)),"Multiple strategies"))</f>
        <v>Silviculture for removals</v>
      </c>
      <c r="BP195" s="158"/>
      <c r="BQ195" s="159"/>
      <c r="BR195" s="155" t="s">
        <v>395</v>
      </c>
      <c r="BS195" s="329" t="s">
        <v>3320</v>
      </c>
      <c r="BT195" s="141" t="s">
        <v>3321</v>
      </c>
      <c r="BU195">
        <f>BV195-3.36</f>
        <v>60.64</v>
      </c>
      <c r="BV195" s="151">
        <v>64</v>
      </c>
      <c r="BW195" s="144">
        <f t="shared" si="207"/>
        <v>1.0554089709762533</v>
      </c>
      <c r="BX195">
        <f t="shared" si="208"/>
        <v>3.3599999999999994</v>
      </c>
      <c r="BZ195">
        <f t="shared" si="209"/>
        <v>3.3599999999999994</v>
      </c>
      <c r="CA195" t="str">
        <f t="shared" si="173"/>
        <v/>
      </c>
      <c r="CB195">
        <v>0</v>
      </c>
      <c r="CC195">
        <v>0</v>
      </c>
      <c r="CD195">
        <v>0</v>
      </c>
      <c r="CE195">
        <v>0</v>
      </c>
      <c r="CF195">
        <v>0</v>
      </c>
      <c r="CG195">
        <v>0</v>
      </c>
      <c r="CH195">
        <v>0</v>
      </c>
      <c r="CI195">
        <v>0</v>
      </c>
      <c r="CJ195">
        <v>0</v>
      </c>
      <c r="CK195">
        <v>0</v>
      </c>
      <c r="CL195">
        <v>0</v>
      </c>
      <c r="CM195">
        <v>0</v>
      </c>
      <c r="CN195">
        <v>0</v>
      </c>
      <c r="CO195">
        <v>0</v>
      </c>
      <c r="CP195" t="str">
        <f t="shared" si="205"/>
        <v>refOK</v>
      </c>
      <c r="CQ195"/>
      <c r="CR195"/>
      <c r="CS195"/>
      <c r="CT195">
        <f t="shared" si="174"/>
        <v>0</v>
      </c>
      <c r="CU195">
        <f t="shared" si="191"/>
        <v>-60.64</v>
      </c>
      <c r="CV195">
        <f t="shared" si="192"/>
        <v>-64</v>
      </c>
      <c r="CW195">
        <f t="shared" si="193"/>
        <v>-3.3599999999999994</v>
      </c>
      <c r="CX195" t="str">
        <f t="shared" si="175"/>
        <v/>
      </c>
      <c r="CY195" t="str">
        <f t="shared" si="194"/>
        <v/>
      </c>
      <c r="CZ195" t="str">
        <f t="shared" si="176"/>
        <v/>
      </c>
      <c r="DA195" s="2">
        <f t="shared" si="195"/>
        <v>-5.5408970976253288E-2</v>
      </c>
      <c r="DB195" s="304" t="s">
        <v>1074</v>
      </c>
      <c r="DC195" s="297" t="str">
        <f t="shared" si="196"/>
        <v>reg</v>
      </c>
      <c r="DD195" s="303" t="s">
        <v>428</v>
      </c>
      <c r="DE195">
        <v>2020</v>
      </c>
      <c r="DF195">
        <v>2035</v>
      </c>
      <c r="DG195">
        <f t="shared" si="210"/>
        <v>15</v>
      </c>
      <c r="DH195" t="str">
        <f t="shared" si="197"/>
        <v>1-30</v>
      </c>
      <c r="DI195">
        <v>1</v>
      </c>
      <c r="DJ195">
        <v>1</v>
      </c>
      <c r="DK195">
        <v>1</v>
      </c>
      <c r="DL195">
        <v>1</v>
      </c>
      <c r="DM195">
        <v>0</v>
      </c>
      <c r="DN195">
        <f t="shared" si="211"/>
        <v>4</v>
      </c>
      <c r="DO195" t="str">
        <f t="shared" si="198"/>
        <v>mixedProduct</v>
      </c>
      <c r="DP195" t="str">
        <f t="shared" si="199"/>
        <v>Upstream</v>
      </c>
      <c r="DQ195" t="str">
        <f t="shared" si="200"/>
        <v>Energy</v>
      </c>
      <c r="DR195" t="str">
        <f t="shared" si="201"/>
        <v>Pulp/Paper</v>
      </c>
      <c r="DS195" t="str">
        <f t="shared" si="202"/>
        <v>Timber</v>
      </c>
      <c r="DT195">
        <v>0</v>
      </c>
      <c r="DU195" s="143">
        <v>0</v>
      </c>
      <c r="DV195" s="143">
        <v>0</v>
      </c>
      <c r="DW195">
        <v>0</v>
      </c>
      <c r="DX195">
        <v>0</v>
      </c>
      <c r="DY195">
        <f t="shared" si="203"/>
        <v>0</v>
      </c>
      <c r="DZ195" s="143" t="str">
        <f t="shared" si="204"/>
        <v>explicit C balance</v>
      </c>
      <c r="EA195" s="143">
        <v>0</v>
      </c>
      <c r="EB195" s="143">
        <v>1</v>
      </c>
      <c r="EC195" s="143">
        <v>1</v>
      </c>
      <c r="ED195" s="143">
        <v>1</v>
      </c>
      <c r="EE195">
        <v>1</v>
      </c>
      <c r="EF195" s="143">
        <v>0</v>
      </c>
      <c r="EG195" s="143">
        <v>0</v>
      </c>
      <c r="EH195" s="143">
        <v>0</v>
      </c>
      <c r="EI195" s="143">
        <v>0</v>
      </c>
      <c r="EJ195">
        <v>0</v>
      </c>
      <c r="EK195">
        <v>1</v>
      </c>
      <c r="EL195" s="143">
        <v>0</v>
      </c>
      <c r="EM195" s="143">
        <v>0</v>
      </c>
      <c r="EN195" s="2">
        <v>0</v>
      </c>
      <c r="EP195" t="str">
        <f t="shared" si="177"/>
        <v/>
      </c>
      <c r="EQ195" t="str">
        <f t="shared" si="178"/>
        <v>Ecosystem approach</v>
      </c>
      <c r="ER195" s="2" t="str">
        <f t="shared" si="179"/>
        <v/>
      </c>
      <c r="ES195" t="str">
        <f t="shared" si="180"/>
        <v/>
      </c>
      <c r="ET195" t="str">
        <f t="shared" si="181"/>
        <v/>
      </c>
      <c r="EU195" t="str">
        <f t="shared" si="182"/>
        <v/>
      </c>
      <c r="EY195" t="b">
        <f>IF(ISNUMBER(BW195),IF(ABS(BW195-[1]QC_indicators!$B$2)&gt;3*[1]QC_indicators!$C$2,"C ratio",IF(ISNUMBER(CA195),IF(ABS(CA195-[1]QC_indicators!$B$1)&gt;3*[1]QC_indicators!$C$1,"DF","no"))),IF(ISNUMBER(CA195),IF(ABS(CA195-[1]QC_indicators!$B$1)&gt;3*[1]QC_indicators!$C$1,"DF","no")))</f>
        <v>0</v>
      </c>
      <c r="FA195" t="str">
        <f t="shared" si="183"/>
        <v/>
      </c>
    </row>
    <row r="196" spans="1:157" ht="15" hidden="1" customHeight="1">
      <c r="A196" s="1" t="s">
        <v>3310</v>
      </c>
      <c r="B196" t="s">
        <v>531</v>
      </c>
      <c r="C196" t="s">
        <v>3311</v>
      </c>
      <c r="D196" t="s">
        <v>3312</v>
      </c>
      <c r="E196" t="s">
        <v>3313</v>
      </c>
      <c r="F196" t="s">
        <v>3314</v>
      </c>
      <c r="G196" t="s">
        <v>3315</v>
      </c>
      <c r="H196" t="s">
        <v>254</v>
      </c>
      <c r="I196">
        <v>2020</v>
      </c>
      <c r="J196">
        <v>9</v>
      </c>
      <c r="K196" t="s">
        <v>3316</v>
      </c>
      <c r="M196" t="str">
        <f t="shared" si="139"/>
        <v>Graves_2020</v>
      </c>
      <c r="N196" s="297" t="s">
        <v>4058</v>
      </c>
      <c r="O196" s="171" t="s">
        <v>341</v>
      </c>
      <c r="P196" t="s">
        <v>223</v>
      </c>
      <c r="Q196" s="297" t="s">
        <v>389</v>
      </c>
      <c r="R196" s="298"/>
      <c r="S196" s="307" t="s">
        <v>3322</v>
      </c>
      <c r="T196" s="299" t="s">
        <v>3323</v>
      </c>
      <c r="U196" s="297" t="s">
        <v>3324</v>
      </c>
      <c r="V196" s="297"/>
      <c r="W196" s="297"/>
      <c r="X196">
        <v>0</v>
      </c>
      <c r="Y196">
        <v>0</v>
      </c>
      <c r="Z196">
        <v>0</v>
      </c>
      <c r="AA196">
        <v>0</v>
      </c>
      <c r="AB196">
        <v>0</v>
      </c>
      <c r="AC196">
        <v>1</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s="141">
        <f t="shared" si="184"/>
        <v>1</v>
      </c>
      <c r="BA196" s="141">
        <f t="shared" si="185"/>
        <v>1</v>
      </c>
      <c r="BB196">
        <f t="shared" si="186"/>
        <v>1</v>
      </c>
      <c r="BC196">
        <f t="shared" si="187"/>
        <v>0</v>
      </c>
      <c r="BD196">
        <f t="shared" si="188"/>
        <v>0</v>
      </c>
      <c r="BE196">
        <f t="shared" si="189"/>
        <v>0</v>
      </c>
      <c r="BF196">
        <f t="shared" si="190"/>
        <v>0</v>
      </c>
      <c r="BG196" t="str" cm="1">
        <f t="array" ref="BG196">IF(BA196=1,INDEX($X$7:$AN$7,MATCH(TRUE,INDEX($X196:$AY196&lt;&gt;0,),0)),IF(BA196=0,INDEX($AO$7:$AY$7,MATCH(1,$AO196:$AY196,0)),IF(BH196="Multiple strategies","mixed drivers",IF(BH196="Supply chain","multiple supply","multiple silviculture"))))</f>
        <v>plantation density</v>
      </c>
      <c r="BH196" s="2" t="str" cm="1">
        <f t="array" ref="BH196">IF(COUNTIF(BB196:BD196,"&lt;&gt;0")=1,INDEX($X$4:$AY$4,MATCH(TRUE,INDEX($X196:$AY196&lt;&gt;0,),0)),IF(COUNTIF(BB196:BD196,"&lt;&gt;0")=0,INDEX($AO$4:$AY$4,MATCH(1,$AO196:$AY196,0)),"Multiple strategies"))</f>
        <v>Silviculture for productivity</v>
      </c>
      <c r="BR196" s="155" t="s">
        <v>395</v>
      </c>
      <c r="BS196" s="329" t="s">
        <v>3320</v>
      </c>
      <c r="BT196" s="141" t="s">
        <v>3321</v>
      </c>
      <c r="BU196">
        <f>BV196-0.45</f>
        <v>63.55</v>
      </c>
      <c r="BV196" s="151">
        <v>64</v>
      </c>
      <c r="BW196" s="144">
        <f t="shared" si="207"/>
        <v>1.007081038552321</v>
      </c>
      <c r="BX196">
        <f t="shared" si="208"/>
        <v>0.45000000000000284</v>
      </c>
      <c r="BZ196">
        <f t="shared" si="209"/>
        <v>0.45000000000000284</v>
      </c>
      <c r="CA196" t="str">
        <f t="shared" si="173"/>
        <v/>
      </c>
      <c r="CB196">
        <v>0</v>
      </c>
      <c r="CC196">
        <v>0</v>
      </c>
      <c r="CD196">
        <v>0</v>
      </c>
      <c r="CE196">
        <v>0</v>
      </c>
      <c r="CF196">
        <v>0</v>
      </c>
      <c r="CG196">
        <v>0</v>
      </c>
      <c r="CH196">
        <v>0</v>
      </c>
      <c r="CI196">
        <v>0</v>
      </c>
      <c r="CJ196">
        <v>0</v>
      </c>
      <c r="CK196">
        <v>0</v>
      </c>
      <c r="CL196">
        <v>0</v>
      </c>
      <c r="CM196">
        <v>0</v>
      </c>
      <c r="CN196">
        <v>0</v>
      </c>
      <c r="CO196">
        <v>0</v>
      </c>
      <c r="CP196" t="str">
        <f t="shared" si="205"/>
        <v>refOK</v>
      </c>
      <c r="CQ196"/>
      <c r="CR196"/>
      <c r="CS196"/>
      <c r="CT196">
        <f t="shared" si="174"/>
        <v>0</v>
      </c>
      <c r="CU196">
        <f t="shared" si="191"/>
        <v>-63.55</v>
      </c>
      <c r="CV196">
        <f t="shared" si="192"/>
        <v>-64</v>
      </c>
      <c r="CW196">
        <f t="shared" si="193"/>
        <v>-0.45000000000000284</v>
      </c>
      <c r="CX196" t="str">
        <f t="shared" si="175"/>
        <v/>
      </c>
      <c r="CY196" t="str">
        <f t="shared" si="194"/>
        <v/>
      </c>
      <c r="CZ196" t="str">
        <f t="shared" si="176"/>
        <v/>
      </c>
      <c r="DA196" s="2">
        <f t="shared" si="195"/>
        <v>-7.0810385523210522E-3</v>
      </c>
      <c r="DB196" s="304" t="s">
        <v>1074</v>
      </c>
      <c r="DC196" s="297" t="str">
        <f t="shared" si="196"/>
        <v>reg</v>
      </c>
      <c r="DD196" s="303" t="s">
        <v>428</v>
      </c>
      <c r="DE196">
        <v>2020</v>
      </c>
      <c r="DF196">
        <v>2050</v>
      </c>
      <c r="DG196">
        <f t="shared" si="210"/>
        <v>30</v>
      </c>
      <c r="DH196" t="str">
        <f t="shared" si="197"/>
        <v>1-30</v>
      </c>
      <c r="DI196">
        <v>1</v>
      </c>
      <c r="DJ196">
        <v>1</v>
      </c>
      <c r="DK196">
        <v>1</v>
      </c>
      <c r="DL196">
        <v>1</v>
      </c>
      <c r="DM196">
        <v>0</v>
      </c>
      <c r="DN196">
        <f t="shared" si="211"/>
        <v>4</v>
      </c>
      <c r="DO196" t="str">
        <f t="shared" si="198"/>
        <v>mixedProduct</v>
      </c>
      <c r="DP196" t="str">
        <f t="shared" si="199"/>
        <v>Upstream</v>
      </c>
      <c r="DQ196" t="str">
        <f t="shared" si="200"/>
        <v>Energy</v>
      </c>
      <c r="DR196" t="str">
        <f t="shared" si="201"/>
        <v>Pulp/Paper</v>
      </c>
      <c r="DS196" t="str">
        <f t="shared" si="202"/>
        <v>Timber</v>
      </c>
      <c r="DT196">
        <v>0</v>
      </c>
      <c r="DU196" s="143">
        <v>0</v>
      </c>
      <c r="DV196" s="143">
        <v>0</v>
      </c>
      <c r="DW196">
        <v>0</v>
      </c>
      <c r="DX196">
        <v>0</v>
      </c>
      <c r="DY196">
        <f t="shared" si="203"/>
        <v>0</v>
      </c>
      <c r="DZ196" s="143" t="str">
        <f t="shared" si="204"/>
        <v>explicit C balance</v>
      </c>
      <c r="EA196" s="143">
        <v>0</v>
      </c>
      <c r="EB196" s="143">
        <v>1</v>
      </c>
      <c r="EC196" s="143">
        <v>1</v>
      </c>
      <c r="ED196" s="143">
        <v>1</v>
      </c>
      <c r="EE196">
        <v>1</v>
      </c>
      <c r="EF196" s="143">
        <v>0</v>
      </c>
      <c r="EG196" s="143">
        <v>0</v>
      </c>
      <c r="EH196" s="143">
        <v>0</v>
      </c>
      <c r="EI196" s="143">
        <v>0</v>
      </c>
      <c r="EJ196">
        <v>0</v>
      </c>
      <c r="EK196">
        <v>1</v>
      </c>
      <c r="EL196" s="143">
        <v>0</v>
      </c>
      <c r="EM196" s="143">
        <v>0</v>
      </c>
      <c r="EN196" s="2">
        <v>0</v>
      </c>
      <c r="EP196" t="str">
        <f t="shared" si="177"/>
        <v/>
      </c>
      <c r="EQ196" t="str">
        <f t="shared" si="178"/>
        <v>Ecosystem approach</v>
      </c>
      <c r="ER196" s="2" t="str">
        <f t="shared" si="179"/>
        <v/>
      </c>
      <c r="ES196" t="str">
        <f t="shared" si="180"/>
        <v/>
      </c>
      <c r="ET196" t="str">
        <f t="shared" si="181"/>
        <v/>
      </c>
      <c r="EU196" t="str">
        <f t="shared" si="182"/>
        <v/>
      </c>
      <c r="EY196" t="b">
        <f>IF(ISNUMBER(BW196),IF(ABS(BW196-[1]QC_indicators!$B$2)&gt;3*[1]QC_indicators!$C$2,"C ratio",IF(ISNUMBER(CA196),IF(ABS(CA196-[1]QC_indicators!$B$1)&gt;3*[1]QC_indicators!$C$1,"DF","no"))),IF(ISNUMBER(CA196),IF(ABS(CA196-[1]QC_indicators!$B$1)&gt;3*[1]QC_indicators!$C$1,"DF","no")))</f>
        <v>0</v>
      </c>
      <c r="FA196" t="str">
        <f t="shared" si="183"/>
        <v/>
      </c>
    </row>
    <row r="197" spans="1:157" ht="15" hidden="1" customHeight="1">
      <c r="A197" s="1" t="s">
        <v>3310</v>
      </c>
      <c r="B197" t="s">
        <v>531</v>
      </c>
      <c r="C197" t="s">
        <v>3311</v>
      </c>
      <c r="D197" t="s">
        <v>3312</v>
      </c>
      <c r="E197" t="s">
        <v>3313</v>
      </c>
      <c r="F197" t="s">
        <v>3314</v>
      </c>
      <c r="G197" t="s">
        <v>3315</v>
      </c>
      <c r="H197" t="s">
        <v>254</v>
      </c>
      <c r="I197">
        <v>2020</v>
      </c>
      <c r="J197">
        <v>9</v>
      </c>
      <c r="K197" t="s">
        <v>3316</v>
      </c>
      <c r="M197" t="str">
        <f t="shared" si="139"/>
        <v>Graves_2020</v>
      </c>
      <c r="N197" s="297" t="s">
        <v>4058</v>
      </c>
      <c r="O197" s="171" t="s">
        <v>341</v>
      </c>
      <c r="P197" t="s">
        <v>223</v>
      </c>
      <c r="Q197" s="297" t="s">
        <v>389</v>
      </c>
      <c r="R197" s="298"/>
      <c r="S197" s="307" t="s">
        <v>3322</v>
      </c>
      <c r="T197" s="299" t="s">
        <v>3323</v>
      </c>
      <c r="U197" s="297" t="s">
        <v>3324</v>
      </c>
      <c r="V197" s="297"/>
      <c r="W197" s="297"/>
      <c r="X197">
        <v>0</v>
      </c>
      <c r="Y197">
        <v>0</v>
      </c>
      <c r="Z197">
        <v>0</v>
      </c>
      <c r="AA197">
        <v>0</v>
      </c>
      <c r="AB197">
        <v>0</v>
      </c>
      <c r="AC197">
        <v>1</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s="141">
        <f t="shared" si="184"/>
        <v>1</v>
      </c>
      <c r="BA197" s="141">
        <f t="shared" si="185"/>
        <v>1</v>
      </c>
      <c r="BB197">
        <f t="shared" si="186"/>
        <v>1</v>
      </c>
      <c r="BC197">
        <f t="shared" si="187"/>
        <v>0</v>
      </c>
      <c r="BD197">
        <f t="shared" si="188"/>
        <v>0</v>
      </c>
      <c r="BE197">
        <f t="shared" si="189"/>
        <v>0</v>
      </c>
      <c r="BF197">
        <f t="shared" si="190"/>
        <v>0</v>
      </c>
      <c r="BG197" t="str" cm="1">
        <f t="array" ref="BG197">IF(BA197=1,INDEX($X$7:$AN$7,MATCH(TRUE,INDEX($X197:$AY197&lt;&gt;0,),0)),IF(BA197=0,INDEX($AO$7:$AY$7,MATCH(1,$AO197:$AY197,0)),IF(BH197="Multiple strategies","mixed drivers",IF(BH197="Supply chain","multiple supply","multiple silviculture"))))</f>
        <v>plantation density</v>
      </c>
      <c r="BH197" s="2" t="str" cm="1">
        <f t="array" ref="BH197">IF(COUNTIF(BB197:BD197,"&lt;&gt;0")=1,INDEX($X$4:$AY$4,MATCH(TRUE,INDEX($X197:$AY197&lt;&gt;0,),0)),IF(COUNTIF(BB197:BD197,"&lt;&gt;0")=0,INDEX($AO$4:$AY$4,MATCH(1,$AO197:$AY197,0)),"Multiple strategies"))</f>
        <v>Silviculture for productivity</v>
      </c>
      <c r="BR197" s="155" t="s">
        <v>395</v>
      </c>
      <c r="BS197" s="329" t="s">
        <v>3320</v>
      </c>
      <c r="BT197" s="141" t="s">
        <v>3321</v>
      </c>
      <c r="BU197">
        <f>BV197-0.24</f>
        <v>63.76</v>
      </c>
      <c r="BV197" s="151">
        <v>64</v>
      </c>
      <c r="BW197" s="144">
        <f t="shared" si="207"/>
        <v>1.0037641154328734</v>
      </c>
      <c r="BX197">
        <f t="shared" si="208"/>
        <v>0.24000000000000199</v>
      </c>
      <c r="BZ197">
        <f t="shared" si="209"/>
        <v>0.24000000000000199</v>
      </c>
      <c r="CA197" t="str">
        <f t="shared" si="173"/>
        <v/>
      </c>
      <c r="CB197">
        <v>0</v>
      </c>
      <c r="CC197">
        <v>0</v>
      </c>
      <c r="CD197">
        <v>0</v>
      </c>
      <c r="CE197">
        <v>0</v>
      </c>
      <c r="CF197">
        <v>0</v>
      </c>
      <c r="CG197">
        <v>0</v>
      </c>
      <c r="CH197">
        <v>0</v>
      </c>
      <c r="CI197">
        <v>0</v>
      </c>
      <c r="CJ197">
        <v>0</v>
      </c>
      <c r="CK197">
        <v>0</v>
      </c>
      <c r="CL197">
        <v>0</v>
      </c>
      <c r="CM197">
        <v>0</v>
      </c>
      <c r="CN197">
        <v>0</v>
      </c>
      <c r="CO197">
        <v>0</v>
      </c>
      <c r="CP197" t="str">
        <f t="shared" si="205"/>
        <v>refOK</v>
      </c>
      <c r="CQ197"/>
      <c r="CR197"/>
      <c r="CS197"/>
      <c r="CT197">
        <f t="shared" si="174"/>
        <v>0</v>
      </c>
      <c r="CU197">
        <f t="shared" si="191"/>
        <v>-63.76</v>
      </c>
      <c r="CV197">
        <f t="shared" si="192"/>
        <v>-64</v>
      </c>
      <c r="CW197">
        <f t="shared" si="193"/>
        <v>-0.24000000000000199</v>
      </c>
      <c r="CX197" t="str">
        <f t="shared" si="175"/>
        <v/>
      </c>
      <c r="CY197" t="str">
        <f t="shared" si="194"/>
        <v/>
      </c>
      <c r="CZ197" t="str">
        <f t="shared" si="176"/>
        <v/>
      </c>
      <c r="DA197" s="2">
        <f t="shared" si="195"/>
        <v>-3.7641154328733059E-3</v>
      </c>
      <c r="DB197" s="304" t="s">
        <v>1074</v>
      </c>
      <c r="DC197" s="297" t="str">
        <f t="shared" si="196"/>
        <v>reg</v>
      </c>
      <c r="DD197" s="303" t="s">
        <v>428</v>
      </c>
      <c r="DE197">
        <v>2020</v>
      </c>
      <c r="DF197">
        <v>2050</v>
      </c>
      <c r="DG197">
        <f t="shared" si="210"/>
        <v>30</v>
      </c>
      <c r="DH197" t="str">
        <f t="shared" si="197"/>
        <v>1-30</v>
      </c>
      <c r="DI197">
        <v>1</v>
      </c>
      <c r="DJ197">
        <v>1</v>
      </c>
      <c r="DK197">
        <v>1</v>
      </c>
      <c r="DL197">
        <v>1</v>
      </c>
      <c r="DM197">
        <v>0</v>
      </c>
      <c r="DN197">
        <f t="shared" si="211"/>
        <v>4</v>
      </c>
      <c r="DO197" t="str">
        <f t="shared" si="198"/>
        <v>mixedProduct</v>
      </c>
      <c r="DP197" t="str">
        <f t="shared" si="199"/>
        <v>Upstream</v>
      </c>
      <c r="DQ197" t="str">
        <f t="shared" si="200"/>
        <v>Energy</v>
      </c>
      <c r="DR197" t="str">
        <f t="shared" si="201"/>
        <v>Pulp/Paper</v>
      </c>
      <c r="DS197" t="str">
        <f t="shared" si="202"/>
        <v>Timber</v>
      </c>
      <c r="DT197">
        <v>0</v>
      </c>
      <c r="DU197" s="143">
        <v>0</v>
      </c>
      <c r="DV197" s="143">
        <v>0</v>
      </c>
      <c r="DW197">
        <v>0</v>
      </c>
      <c r="DX197">
        <v>0</v>
      </c>
      <c r="DY197">
        <f t="shared" si="203"/>
        <v>0</v>
      </c>
      <c r="DZ197" s="143" t="str">
        <f t="shared" si="204"/>
        <v>explicit C balance</v>
      </c>
      <c r="EA197" s="143">
        <v>0</v>
      </c>
      <c r="EB197" s="143">
        <v>1</v>
      </c>
      <c r="EC197" s="143">
        <v>1</v>
      </c>
      <c r="ED197" s="143">
        <v>1</v>
      </c>
      <c r="EE197">
        <v>1</v>
      </c>
      <c r="EF197" s="143">
        <v>0</v>
      </c>
      <c r="EG197" s="143">
        <v>0</v>
      </c>
      <c r="EH197" s="143">
        <v>0</v>
      </c>
      <c r="EI197" s="143">
        <v>0</v>
      </c>
      <c r="EJ197">
        <v>0</v>
      </c>
      <c r="EK197">
        <v>1</v>
      </c>
      <c r="EL197" s="143">
        <v>0</v>
      </c>
      <c r="EM197" s="143">
        <v>0</v>
      </c>
      <c r="EN197" s="2">
        <v>0</v>
      </c>
      <c r="EP197" t="str">
        <f t="shared" si="177"/>
        <v/>
      </c>
      <c r="EQ197" t="str">
        <f t="shared" si="178"/>
        <v>Ecosystem approach</v>
      </c>
      <c r="ER197" s="2" t="str">
        <f t="shared" si="179"/>
        <v/>
      </c>
      <c r="ES197" t="str">
        <f t="shared" si="180"/>
        <v/>
      </c>
      <c r="ET197" t="str">
        <f t="shared" si="181"/>
        <v/>
      </c>
      <c r="EU197" t="str">
        <f t="shared" si="182"/>
        <v/>
      </c>
      <c r="EY197" t="b">
        <f>IF(ISNUMBER(BW197),IF(ABS(BW197-[1]QC_indicators!$B$2)&gt;3*[1]QC_indicators!$C$2,"C ratio",IF(ISNUMBER(CA197),IF(ABS(CA197-[1]QC_indicators!$B$1)&gt;3*[1]QC_indicators!$C$1,"DF","no"))),IF(ISNUMBER(CA197),IF(ABS(CA197-[1]QC_indicators!$B$1)&gt;3*[1]QC_indicators!$C$1,"DF","no")))</f>
        <v>0</v>
      </c>
      <c r="FA197" t="str">
        <f t="shared" si="183"/>
        <v/>
      </c>
    </row>
    <row r="198" spans="1:157" ht="15" hidden="1" customHeight="1">
      <c r="A198" s="1" t="s">
        <v>3310</v>
      </c>
      <c r="B198" t="s">
        <v>531</v>
      </c>
      <c r="C198" t="s">
        <v>3311</v>
      </c>
      <c r="D198" t="s">
        <v>3312</v>
      </c>
      <c r="E198" t="s">
        <v>3313</v>
      </c>
      <c r="F198" t="s">
        <v>3314</v>
      </c>
      <c r="G198" t="s">
        <v>3315</v>
      </c>
      <c r="H198" t="s">
        <v>254</v>
      </c>
      <c r="I198">
        <v>2020</v>
      </c>
      <c r="J198">
        <v>9</v>
      </c>
      <c r="K198" t="s">
        <v>3316</v>
      </c>
      <c r="M198" t="str">
        <f t="shared" si="139"/>
        <v>Graves_2020</v>
      </c>
      <c r="N198" s="297" t="s">
        <v>4058</v>
      </c>
      <c r="O198" s="171" t="s">
        <v>341</v>
      </c>
      <c r="P198" t="s">
        <v>223</v>
      </c>
      <c r="Q198" s="297" t="s">
        <v>389</v>
      </c>
      <c r="R198" s="298"/>
      <c r="S198" s="307" t="s">
        <v>3322</v>
      </c>
      <c r="T198" s="299" t="s">
        <v>3323</v>
      </c>
      <c r="U198" s="297" t="s">
        <v>3324</v>
      </c>
      <c r="V198" s="297"/>
      <c r="W198" s="297"/>
      <c r="X198">
        <v>0</v>
      </c>
      <c r="Y198">
        <v>0</v>
      </c>
      <c r="Z198">
        <v>0</v>
      </c>
      <c r="AA198">
        <v>0</v>
      </c>
      <c r="AB198">
        <v>0</v>
      </c>
      <c r="AC198">
        <v>1</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s="141">
        <f t="shared" si="184"/>
        <v>1</v>
      </c>
      <c r="BA198" s="141">
        <f t="shared" si="185"/>
        <v>1</v>
      </c>
      <c r="BB198">
        <f t="shared" si="186"/>
        <v>1</v>
      </c>
      <c r="BC198">
        <f t="shared" si="187"/>
        <v>0</v>
      </c>
      <c r="BD198">
        <f t="shared" si="188"/>
        <v>0</v>
      </c>
      <c r="BE198">
        <f t="shared" si="189"/>
        <v>0</v>
      </c>
      <c r="BF198">
        <f t="shared" si="190"/>
        <v>0</v>
      </c>
      <c r="BG198" t="str" cm="1">
        <f t="array" ref="BG198">IF(BA198=1,INDEX($X$7:$AN$7,MATCH(TRUE,INDEX($X198:$AY198&lt;&gt;0,),0)),IF(BA198=0,INDEX($AO$7:$AY$7,MATCH(1,$AO198:$AY198,0)),IF(BH198="Multiple strategies","mixed drivers",IF(BH198="Supply chain","multiple supply","multiple silviculture"))))</f>
        <v>plantation density</v>
      </c>
      <c r="BH198" s="2" t="str" cm="1">
        <f t="array" ref="BH198">IF(COUNTIF(BB198:BD198,"&lt;&gt;0")=1,INDEX($X$4:$AY$4,MATCH(TRUE,INDEX($X198:$AY198&lt;&gt;0,),0)),IF(COUNTIF(BB198:BD198,"&lt;&gt;0")=0,INDEX($AO$4:$AY$4,MATCH(1,$AO198:$AY198,0)),"Multiple strategies"))</f>
        <v>Silviculture for productivity</v>
      </c>
      <c r="BR198" s="155" t="s">
        <v>395</v>
      </c>
      <c r="BS198" s="329" t="s">
        <v>3320</v>
      </c>
      <c r="BT198" s="141" t="s">
        <v>3321</v>
      </c>
      <c r="BU198">
        <f>BV198-0.22</f>
        <v>63.78</v>
      </c>
      <c r="BV198" s="151">
        <v>64</v>
      </c>
      <c r="BW198" s="144">
        <f t="shared" si="207"/>
        <v>1.0034493571652556</v>
      </c>
      <c r="BX198">
        <f t="shared" si="208"/>
        <v>0.21999999999999886</v>
      </c>
      <c r="BZ198">
        <f t="shared" si="209"/>
        <v>0.21999999999999886</v>
      </c>
      <c r="CA198" t="str">
        <f t="shared" si="173"/>
        <v/>
      </c>
      <c r="CB198">
        <v>0</v>
      </c>
      <c r="CC198">
        <v>0</v>
      </c>
      <c r="CD198">
        <v>0</v>
      </c>
      <c r="CE198">
        <v>0</v>
      </c>
      <c r="CF198">
        <v>0</v>
      </c>
      <c r="CG198">
        <v>0</v>
      </c>
      <c r="CH198">
        <v>0</v>
      </c>
      <c r="CI198">
        <v>0</v>
      </c>
      <c r="CJ198">
        <v>0</v>
      </c>
      <c r="CK198">
        <v>0</v>
      </c>
      <c r="CL198">
        <v>0</v>
      </c>
      <c r="CM198">
        <v>0</v>
      </c>
      <c r="CN198">
        <v>0</v>
      </c>
      <c r="CO198">
        <v>0</v>
      </c>
      <c r="CP198" t="str">
        <f t="shared" si="205"/>
        <v>refOK</v>
      </c>
      <c r="CQ198"/>
      <c r="CR198"/>
      <c r="CS198"/>
      <c r="CT198">
        <f t="shared" si="174"/>
        <v>0</v>
      </c>
      <c r="CU198">
        <f t="shared" si="191"/>
        <v>-63.78</v>
      </c>
      <c r="CV198">
        <f t="shared" si="192"/>
        <v>-64</v>
      </c>
      <c r="CW198">
        <f t="shared" si="193"/>
        <v>-0.21999999999999886</v>
      </c>
      <c r="CX198" t="str">
        <f t="shared" si="175"/>
        <v/>
      </c>
      <c r="CY198" t="str">
        <f t="shared" si="194"/>
        <v/>
      </c>
      <c r="CZ198" t="str">
        <f t="shared" si="176"/>
        <v/>
      </c>
      <c r="DA198" s="2">
        <f t="shared" si="195"/>
        <v>-3.4493571652555481E-3</v>
      </c>
      <c r="DB198" s="304" t="s">
        <v>1074</v>
      </c>
      <c r="DC198" s="297" t="str">
        <f t="shared" si="196"/>
        <v>reg</v>
      </c>
      <c r="DD198" s="303" t="s">
        <v>428</v>
      </c>
      <c r="DE198">
        <v>2020</v>
      </c>
      <c r="DF198">
        <v>2035</v>
      </c>
      <c r="DG198">
        <f t="shared" si="210"/>
        <v>15</v>
      </c>
      <c r="DH198" t="str">
        <f t="shared" si="197"/>
        <v>1-30</v>
      </c>
      <c r="DI198">
        <v>1</v>
      </c>
      <c r="DJ198">
        <v>1</v>
      </c>
      <c r="DK198">
        <v>1</v>
      </c>
      <c r="DL198">
        <v>1</v>
      </c>
      <c r="DM198">
        <v>0</v>
      </c>
      <c r="DN198">
        <f t="shared" si="211"/>
        <v>4</v>
      </c>
      <c r="DO198" t="str">
        <f t="shared" si="198"/>
        <v>mixedProduct</v>
      </c>
      <c r="DP198" t="str">
        <f t="shared" si="199"/>
        <v>Upstream</v>
      </c>
      <c r="DQ198" t="str">
        <f t="shared" si="200"/>
        <v>Energy</v>
      </c>
      <c r="DR198" t="str">
        <f t="shared" si="201"/>
        <v>Pulp/Paper</v>
      </c>
      <c r="DS198" t="str">
        <f t="shared" si="202"/>
        <v>Timber</v>
      </c>
      <c r="DT198">
        <v>0</v>
      </c>
      <c r="DU198" s="143">
        <v>0</v>
      </c>
      <c r="DV198" s="143">
        <v>0</v>
      </c>
      <c r="DW198">
        <v>0</v>
      </c>
      <c r="DX198">
        <v>0</v>
      </c>
      <c r="DY198">
        <f t="shared" si="203"/>
        <v>0</v>
      </c>
      <c r="DZ198" s="143" t="str">
        <f t="shared" si="204"/>
        <v>explicit C balance</v>
      </c>
      <c r="EA198" s="143">
        <v>0</v>
      </c>
      <c r="EB198" s="143">
        <v>1</v>
      </c>
      <c r="EC198" s="143">
        <v>1</v>
      </c>
      <c r="ED198" s="143">
        <v>1</v>
      </c>
      <c r="EE198">
        <v>1</v>
      </c>
      <c r="EF198" s="143">
        <v>0</v>
      </c>
      <c r="EG198" s="143">
        <v>0</v>
      </c>
      <c r="EH198" s="143">
        <v>0</v>
      </c>
      <c r="EI198" s="143">
        <v>0</v>
      </c>
      <c r="EJ198">
        <v>0</v>
      </c>
      <c r="EK198">
        <v>1</v>
      </c>
      <c r="EL198" s="143">
        <v>0</v>
      </c>
      <c r="EM198" s="143">
        <v>0</v>
      </c>
      <c r="EN198" s="2">
        <v>0</v>
      </c>
      <c r="EP198" t="str">
        <f t="shared" si="177"/>
        <v/>
      </c>
      <c r="EQ198" t="str">
        <f t="shared" si="178"/>
        <v>Ecosystem approach</v>
      </c>
      <c r="ER198" s="2" t="str">
        <f t="shared" si="179"/>
        <v/>
      </c>
      <c r="ES198" t="str">
        <f t="shared" si="180"/>
        <v/>
      </c>
      <c r="ET198" t="str">
        <f t="shared" si="181"/>
        <v/>
      </c>
      <c r="EU198" t="str">
        <f t="shared" si="182"/>
        <v/>
      </c>
      <c r="EY198" t="b">
        <f>IF(ISNUMBER(BW198),IF(ABS(BW198-[1]QC_indicators!$B$2)&gt;3*[1]QC_indicators!$C$2,"C ratio",IF(ISNUMBER(CA198),IF(ABS(CA198-[1]QC_indicators!$B$1)&gt;3*[1]QC_indicators!$C$1,"DF","no"))),IF(ISNUMBER(CA198),IF(ABS(CA198-[1]QC_indicators!$B$1)&gt;3*[1]QC_indicators!$C$1,"DF","no")))</f>
        <v>0</v>
      </c>
      <c r="FA198" t="str">
        <f t="shared" si="183"/>
        <v/>
      </c>
    </row>
    <row r="199" spans="1:157" ht="15" hidden="1" customHeight="1">
      <c r="A199" s="1" t="s">
        <v>3310</v>
      </c>
      <c r="B199" t="s">
        <v>531</v>
      </c>
      <c r="C199" t="s">
        <v>3311</v>
      </c>
      <c r="D199" t="s">
        <v>3312</v>
      </c>
      <c r="E199" t="s">
        <v>3313</v>
      </c>
      <c r="F199" t="s">
        <v>3314</v>
      </c>
      <c r="G199" t="s">
        <v>3315</v>
      </c>
      <c r="H199" t="s">
        <v>254</v>
      </c>
      <c r="I199">
        <v>2020</v>
      </c>
      <c r="J199">
        <v>9</v>
      </c>
      <c r="K199" s="297" t="s">
        <v>3316</v>
      </c>
      <c r="M199" t="str">
        <f t="shared" si="139"/>
        <v>Graves_2020</v>
      </c>
      <c r="N199" s="297" t="s">
        <v>4058</v>
      </c>
      <c r="O199" s="171" t="s">
        <v>341</v>
      </c>
      <c r="P199" t="s">
        <v>223</v>
      </c>
      <c r="Q199" s="297" t="s">
        <v>389</v>
      </c>
      <c r="R199" s="298"/>
      <c r="S199" s="307" t="s">
        <v>3322</v>
      </c>
      <c r="T199" s="299" t="s">
        <v>3323</v>
      </c>
      <c r="U199" s="297" t="s">
        <v>3324</v>
      </c>
      <c r="V199" s="297"/>
      <c r="W199" s="297"/>
      <c r="X199">
        <v>0</v>
      </c>
      <c r="Y199">
        <v>0</v>
      </c>
      <c r="Z199">
        <v>0</v>
      </c>
      <c r="AA199">
        <v>0</v>
      </c>
      <c r="AB199">
        <v>0</v>
      </c>
      <c r="AC199">
        <v>1</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s="141">
        <f t="shared" si="184"/>
        <v>1</v>
      </c>
      <c r="BA199" s="141">
        <f t="shared" si="185"/>
        <v>1</v>
      </c>
      <c r="BB199">
        <f t="shared" si="186"/>
        <v>1</v>
      </c>
      <c r="BC199">
        <f t="shared" si="187"/>
        <v>0</v>
      </c>
      <c r="BD199">
        <f t="shared" si="188"/>
        <v>0</v>
      </c>
      <c r="BE199">
        <f t="shared" si="189"/>
        <v>0</v>
      </c>
      <c r="BF199">
        <f t="shared" si="190"/>
        <v>0</v>
      </c>
      <c r="BG199" t="str" cm="1">
        <f t="array" ref="BG199">IF(BA199=1,INDEX($X$7:$AN$7,MATCH(TRUE,INDEX($X199:$AY199&lt;&gt;0,),0)),IF(BA199=0,INDEX($AO$7:$AY$7,MATCH(1,$AO199:$AY199,0)),IF(BH199="Multiple strategies","mixed drivers",IF(BH199="Supply chain","multiple supply","multiple silviculture"))))</f>
        <v>plantation density</v>
      </c>
      <c r="BH199" s="2" t="str" cm="1">
        <f t="array" ref="BH199">IF(COUNTIF(BB199:BD199,"&lt;&gt;0")=1,INDEX($X$4:$AY$4,MATCH(TRUE,INDEX($X199:$AY199&lt;&gt;0,),0)),IF(COUNTIF(BB199:BD199,"&lt;&gt;0")=0,INDEX($AO$4:$AY$4,MATCH(1,$AO199:$AY199,0)),"Multiple strategies"))</f>
        <v>Silviculture for productivity</v>
      </c>
      <c r="BR199" s="155" t="s">
        <v>395</v>
      </c>
      <c r="BS199" s="329" t="s">
        <v>3320</v>
      </c>
      <c r="BT199" s="141" t="s">
        <v>3321</v>
      </c>
      <c r="BU199">
        <f>BV199-0.12</f>
        <v>63.88</v>
      </c>
      <c r="BV199" s="151">
        <v>64</v>
      </c>
      <c r="BW199" s="144">
        <f t="shared" si="207"/>
        <v>1.0018785222291797</v>
      </c>
      <c r="BX199">
        <f t="shared" si="208"/>
        <v>0.11999999999999744</v>
      </c>
      <c r="BZ199">
        <f t="shared" si="209"/>
        <v>0.11999999999999744</v>
      </c>
      <c r="CA199" t="str">
        <f t="shared" si="173"/>
        <v/>
      </c>
      <c r="CB199">
        <v>0</v>
      </c>
      <c r="CC199">
        <v>0</v>
      </c>
      <c r="CD199">
        <v>0</v>
      </c>
      <c r="CE199">
        <v>0</v>
      </c>
      <c r="CF199">
        <v>0</v>
      </c>
      <c r="CG199">
        <v>0</v>
      </c>
      <c r="CH199">
        <v>0</v>
      </c>
      <c r="CI199">
        <v>0</v>
      </c>
      <c r="CJ199">
        <v>0</v>
      </c>
      <c r="CK199">
        <v>0</v>
      </c>
      <c r="CL199">
        <v>0</v>
      </c>
      <c r="CM199">
        <v>0</v>
      </c>
      <c r="CN199">
        <v>0</v>
      </c>
      <c r="CO199">
        <v>0</v>
      </c>
      <c r="CP199" t="str">
        <f t="shared" si="205"/>
        <v>refOK</v>
      </c>
      <c r="CQ199"/>
      <c r="CR199"/>
      <c r="CS199"/>
      <c r="CT199">
        <f t="shared" si="174"/>
        <v>0</v>
      </c>
      <c r="CU199">
        <f t="shared" si="191"/>
        <v>-63.88</v>
      </c>
      <c r="CV199">
        <f t="shared" si="192"/>
        <v>-64</v>
      </c>
      <c r="CW199">
        <f t="shared" si="193"/>
        <v>-0.11999999999999744</v>
      </c>
      <c r="CX199" t="str">
        <f t="shared" si="175"/>
        <v/>
      </c>
      <c r="CY199" t="str">
        <f t="shared" si="194"/>
        <v/>
      </c>
      <c r="CZ199" t="str">
        <f t="shared" si="176"/>
        <v/>
      </c>
      <c r="DA199" s="2">
        <f t="shared" si="195"/>
        <v>-1.8785222291796719E-3</v>
      </c>
      <c r="DB199" s="304" t="s">
        <v>1074</v>
      </c>
      <c r="DC199" s="297" t="str">
        <f t="shared" si="196"/>
        <v>reg</v>
      </c>
      <c r="DD199" s="303" t="s">
        <v>428</v>
      </c>
      <c r="DE199">
        <v>2020</v>
      </c>
      <c r="DF199">
        <v>2035</v>
      </c>
      <c r="DG199">
        <f t="shared" si="210"/>
        <v>15</v>
      </c>
      <c r="DH199" t="str">
        <f t="shared" si="197"/>
        <v>1-30</v>
      </c>
      <c r="DI199">
        <v>1</v>
      </c>
      <c r="DJ199">
        <v>1</v>
      </c>
      <c r="DK199">
        <v>1</v>
      </c>
      <c r="DL199">
        <v>1</v>
      </c>
      <c r="DM199">
        <v>0</v>
      </c>
      <c r="DN199">
        <f t="shared" si="211"/>
        <v>4</v>
      </c>
      <c r="DO199" t="str">
        <f t="shared" si="198"/>
        <v>mixedProduct</v>
      </c>
      <c r="DP199" t="str">
        <f t="shared" si="199"/>
        <v>Upstream</v>
      </c>
      <c r="DQ199" t="str">
        <f t="shared" si="200"/>
        <v>Energy</v>
      </c>
      <c r="DR199" t="str">
        <f t="shared" si="201"/>
        <v>Pulp/Paper</v>
      </c>
      <c r="DS199" t="str">
        <f t="shared" si="202"/>
        <v>Timber</v>
      </c>
      <c r="DT199">
        <v>0</v>
      </c>
      <c r="DU199" s="143">
        <v>0</v>
      </c>
      <c r="DV199" s="143">
        <v>0</v>
      </c>
      <c r="DW199">
        <v>0</v>
      </c>
      <c r="DX199">
        <v>0</v>
      </c>
      <c r="DY199">
        <f t="shared" si="203"/>
        <v>0</v>
      </c>
      <c r="DZ199" s="143" t="str">
        <f t="shared" si="204"/>
        <v>explicit C balance</v>
      </c>
      <c r="EA199" s="143">
        <v>0</v>
      </c>
      <c r="EB199" s="143">
        <v>1</v>
      </c>
      <c r="EC199" s="143">
        <v>1</v>
      </c>
      <c r="ED199" s="143">
        <v>1</v>
      </c>
      <c r="EE199">
        <v>1</v>
      </c>
      <c r="EF199" s="143">
        <v>0</v>
      </c>
      <c r="EG199" s="143">
        <v>0</v>
      </c>
      <c r="EH199" s="143">
        <v>0</v>
      </c>
      <c r="EI199" s="143">
        <v>0</v>
      </c>
      <c r="EJ199">
        <v>0</v>
      </c>
      <c r="EK199">
        <v>1</v>
      </c>
      <c r="EL199" s="143">
        <v>0</v>
      </c>
      <c r="EM199" s="143">
        <v>0</v>
      </c>
      <c r="EN199" s="2">
        <v>0</v>
      </c>
      <c r="EP199" t="str">
        <f t="shared" si="177"/>
        <v/>
      </c>
      <c r="EQ199" t="str">
        <f t="shared" si="178"/>
        <v>Ecosystem approach</v>
      </c>
      <c r="ER199" s="2" t="str">
        <f t="shared" si="179"/>
        <v/>
      </c>
      <c r="ES199" t="str">
        <f t="shared" si="180"/>
        <v/>
      </c>
      <c r="ET199" t="str">
        <f t="shared" si="181"/>
        <v/>
      </c>
      <c r="EU199" t="str">
        <f t="shared" si="182"/>
        <v/>
      </c>
      <c r="EY199" t="b">
        <f>IF(ISNUMBER(BW199),IF(ABS(BW199-[1]QC_indicators!$B$2)&gt;3*[1]QC_indicators!$C$2,"C ratio",IF(ISNUMBER(CA199),IF(ABS(CA199-[1]QC_indicators!$B$1)&gt;3*[1]QC_indicators!$C$1,"DF","no"))),IF(ISNUMBER(CA199),IF(ABS(CA199-[1]QC_indicators!$B$1)&gt;3*[1]QC_indicators!$C$1,"DF","no")))</f>
        <v>0</v>
      </c>
      <c r="FA199" t="str">
        <f t="shared" si="183"/>
        <v/>
      </c>
    </row>
    <row r="200" spans="1:157" ht="15" hidden="1" customHeight="1">
      <c r="A200" s="1" t="s">
        <v>3329</v>
      </c>
      <c r="B200" t="s">
        <v>3330</v>
      </c>
      <c r="C200" t="s">
        <v>3331</v>
      </c>
      <c r="D200" t="s">
        <v>3332</v>
      </c>
      <c r="E200" s="297" t="s">
        <v>3333</v>
      </c>
      <c r="F200" t="s">
        <v>3334</v>
      </c>
      <c r="G200" t="s">
        <v>3335</v>
      </c>
      <c r="H200" t="s">
        <v>254</v>
      </c>
      <c r="I200">
        <v>2015</v>
      </c>
      <c r="J200">
        <v>19</v>
      </c>
      <c r="K200" t="s">
        <v>3336</v>
      </c>
      <c r="M200" t="str">
        <f t="shared" ref="M200:M263" si="212">LEFT($D200,FIND(",",$D200)-1)&amp;"_"&amp;I200&amp;L200</f>
        <v>Guo_2015</v>
      </c>
      <c r="N200" s="297" t="s">
        <v>4058</v>
      </c>
      <c r="O200" s="297" t="s">
        <v>223</v>
      </c>
      <c r="Q200" s="297" t="s">
        <v>389</v>
      </c>
      <c r="R200" s="298"/>
      <c r="S200" s="154" t="s">
        <v>3345</v>
      </c>
      <c r="T200" s="299" t="s">
        <v>3346</v>
      </c>
      <c r="U200" s="297" t="s">
        <v>3347</v>
      </c>
      <c r="V200" s="297"/>
      <c r="W200" s="297"/>
      <c r="X200">
        <v>0</v>
      </c>
      <c r="Y200">
        <v>0</v>
      </c>
      <c r="Z200">
        <v>0</v>
      </c>
      <c r="AA200">
        <v>0</v>
      </c>
      <c r="AB200">
        <v>0</v>
      </c>
      <c r="AC200">
        <v>0</v>
      </c>
      <c r="AD200">
        <v>0</v>
      </c>
      <c r="AE200">
        <v>0</v>
      </c>
      <c r="AF200">
        <v>0</v>
      </c>
      <c r="AG200">
        <v>0</v>
      </c>
      <c r="AH200">
        <v>0</v>
      </c>
      <c r="AI200">
        <v>0</v>
      </c>
      <c r="AJ200">
        <v>0</v>
      </c>
      <c r="AK200">
        <v>0</v>
      </c>
      <c r="AL200">
        <v>0</v>
      </c>
      <c r="AM200">
        <v>1</v>
      </c>
      <c r="AN200">
        <v>0</v>
      </c>
      <c r="AO200">
        <v>0</v>
      </c>
      <c r="AP200">
        <v>0</v>
      </c>
      <c r="AQ200">
        <v>0</v>
      </c>
      <c r="AR200">
        <v>0</v>
      </c>
      <c r="AS200">
        <v>0</v>
      </c>
      <c r="AT200">
        <v>0</v>
      </c>
      <c r="AU200">
        <v>0</v>
      </c>
      <c r="AV200">
        <v>0</v>
      </c>
      <c r="AW200">
        <v>0</v>
      </c>
      <c r="AX200">
        <v>0</v>
      </c>
      <c r="AY200">
        <v>0</v>
      </c>
      <c r="AZ200" s="141">
        <f t="shared" si="184"/>
        <v>1</v>
      </c>
      <c r="BA200" s="141">
        <f t="shared" si="185"/>
        <v>1</v>
      </c>
      <c r="BB200">
        <f t="shared" si="186"/>
        <v>0</v>
      </c>
      <c r="BC200">
        <f t="shared" si="187"/>
        <v>0</v>
      </c>
      <c r="BD200">
        <f t="shared" si="188"/>
        <v>1</v>
      </c>
      <c r="BE200">
        <f t="shared" si="189"/>
        <v>0</v>
      </c>
      <c r="BF200">
        <f t="shared" si="190"/>
        <v>0</v>
      </c>
      <c r="BG200" t="str" cm="1">
        <f t="array" ref="BG200">IF(BA200=1,INDEX($X$7:$AN$7,MATCH(TRUE,INDEX($X200:$AY200&lt;&gt;0,),0)),IF(BA200=0,INDEX($AO$7:$AY$7,MATCH(1,$AO200:$AY200,0)),IF(BH200="Multiple strategies","mixed drivers",IF(BH200="Supply chain","multiple supply","multiple silviculture"))))</f>
        <v>technologies/design switch</v>
      </c>
      <c r="BH200" s="2" t="str" cm="1">
        <f t="array" ref="BH200">IF(COUNTIF(BB200:BD200,"&lt;&gt;0")=1,INDEX($X$4:$AY$4,MATCH(TRUE,INDEX($X200:$AY200&lt;&gt;0,),0)),IF(COUNTIF(BB200:BD200,"&lt;&gt;0")=0,INDEX($AO$4:$AY$4,MATCH(1,$AO200:$AY200,0)),"Multiple strategies"))</f>
        <v>Technology</v>
      </c>
      <c r="BI200" s="1" t="s">
        <v>321</v>
      </c>
      <c r="BJ200" s="297" t="s">
        <v>3340</v>
      </c>
      <c r="BK200" s="297"/>
      <c r="BL200" s="297" t="s">
        <v>345</v>
      </c>
      <c r="BM200">
        <v>1</v>
      </c>
      <c r="BN200">
        <v>1</v>
      </c>
      <c r="BP200">
        <f t="shared" ref="BP200:BP207" si="213">BN200-BM200</f>
        <v>0</v>
      </c>
      <c r="BQ200">
        <f t="shared" ref="BQ200:BQ206" si="214">BP200*10^6</f>
        <v>0</v>
      </c>
      <c r="BR200" s="297" t="s">
        <v>395</v>
      </c>
      <c r="BS200" s="230"/>
      <c r="BT200" s="297" t="s">
        <v>397</v>
      </c>
      <c r="BU200">
        <f>-2.1+2.74+1.91</f>
        <v>2.5499999999999998</v>
      </c>
      <c r="BV200">
        <f>-2.87+3.5+1.91</f>
        <v>2.54</v>
      </c>
      <c r="BX200">
        <f t="shared" si="208"/>
        <v>-9.9999999999997868E-3</v>
      </c>
      <c r="BZ200">
        <f t="shared" ref="BZ200:BZ206" si="215">BX200/1000</f>
        <v>-9.9999999999997874E-6</v>
      </c>
      <c r="CA200" t="str">
        <f t="shared" si="173"/>
        <v/>
      </c>
      <c r="CB200">
        <v>1</v>
      </c>
      <c r="CP200" t="str">
        <f t="shared" si="205"/>
        <v>refOK</v>
      </c>
      <c r="CQ200">
        <f t="shared" ref="CQ200:CQ207" si="216">IF($CP200="refOK",$BM200,$BN200)</f>
        <v>1</v>
      </c>
      <c r="CR200">
        <f t="shared" ref="CR200:CR207" si="217">IF($CP200="refOK",$BN200,$BM200)</f>
        <v>1</v>
      </c>
      <c r="CS200">
        <f t="shared" ref="CS200:CS207" si="218">IF($CP200="refOK",$BQ200,-$BQ200)</f>
        <v>0</v>
      </c>
      <c r="CT200">
        <f t="shared" si="174"/>
        <v>0</v>
      </c>
      <c r="CU200">
        <f t="shared" si="191"/>
        <v>-2.5499999999999998</v>
      </c>
      <c r="CV200">
        <f t="shared" si="192"/>
        <v>-2.54</v>
      </c>
      <c r="CW200">
        <f t="shared" si="193"/>
        <v>9.9999999999997874E-6</v>
      </c>
      <c r="CX200" t="str">
        <f t="shared" si="175"/>
        <v/>
      </c>
      <c r="CY200" t="str">
        <f t="shared" si="194"/>
        <v/>
      </c>
      <c r="CZ200" t="str">
        <f t="shared" si="176"/>
        <v/>
      </c>
      <c r="DA200" s="2">
        <f t="shared" si="195"/>
        <v>3.9215686274508971E-3</v>
      </c>
      <c r="DB200" s="304" t="s">
        <v>263</v>
      </c>
      <c r="DC200" s="297" t="str">
        <f t="shared" si="196"/>
        <v>loc</v>
      </c>
      <c r="DD200" s="303" t="s">
        <v>718</v>
      </c>
      <c r="DG200">
        <v>3</v>
      </c>
      <c r="DH200" t="str">
        <f t="shared" si="197"/>
        <v>1-30</v>
      </c>
      <c r="DI200">
        <v>0</v>
      </c>
      <c r="DJ200">
        <v>1</v>
      </c>
      <c r="DK200">
        <v>0</v>
      </c>
      <c r="DL200">
        <v>0</v>
      </c>
      <c r="DM200">
        <v>0</v>
      </c>
      <c r="DN200">
        <f t="shared" si="211"/>
        <v>1</v>
      </c>
      <c r="DO200" t="str">
        <f t="shared" si="198"/>
        <v>EnergyInput</v>
      </c>
      <c r="DP200">
        <f t="shared" si="199"/>
        <v>0</v>
      </c>
      <c r="DQ200" t="str">
        <f t="shared" si="200"/>
        <v>Energy</v>
      </c>
      <c r="DR200">
        <f t="shared" si="201"/>
        <v>0</v>
      </c>
      <c r="DS200">
        <f t="shared" si="202"/>
        <v>0</v>
      </c>
      <c r="DT200">
        <v>0</v>
      </c>
      <c r="DU200">
        <v>0</v>
      </c>
      <c r="DV200">
        <v>0</v>
      </c>
      <c r="DW200">
        <v>0</v>
      </c>
      <c r="DX200">
        <v>0</v>
      </c>
      <c r="DY200"/>
      <c r="DZ200" t="str">
        <f t="shared" si="204"/>
        <v>explicit C balance</v>
      </c>
      <c r="EA200">
        <v>0</v>
      </c>
      <c r="EB200">
        <v>0</v>
      </c>
      <c r="EC200">
        <v>0</v>
      </c>
      <c r="ED200">
        <v>0</v>
      </c>
      <c r="EE200">
        <v>0</v>
      </c>
      <c r="EF200">
        <v>0</v>
      </c>
      <c r="EG200">
        <v>1</v>
      </c>
      <c r="EH200">
        <v>1</v>
      </c>
      <c r="EI200">
        <v>0</v>
      </c>
      <c r="EJ200">
        <v>0</v>
      </c>
      <c r="EK200">
        <v>0</v>
      </c>
      <c r="EL200">
        <v>0</v>
      </c>
      <c r="EM200">
        <v>0</v>
      </c>
      <c r="EN200" s="2">
        <v>0</v>
      </c>
      <c r="EP200" t="str">
        <f t="shared" si="177"/>
        <v/>
      </c>
      <c r="EQ200" t="str">
        <f t="shared" si="178"/>
        <v/>
      </c>
      <c r="ER200" s="2" t="str">
        <f t="shared" si="179"/>
        <v>Technology approach</v>
      </c>
      <c r="ES200" t="str">
        <f t="shared" si="180"/>
        <v/>
      </c>
      <c r="ET200" t="str">
        <f t="shared" si="181"/>
        <v/>
      </c>
      <c r="EU200" t="str">
        <f t="shared" si="182"/>
        <v/>
      </c>
      <c r="EY200" t="b">
        <f>IF(ISNUMBER(BW200),IF(ABS(BW200-[1]QC_indicators!$B$2)&gt;3*[1]QC_indicators!$C$2,"C ratio",IF(ISNUMBER(CA200),IF(ABS(CA200-[1]QC_indicators!$B$1)&gt;3*[1]QC_indicators!$C$1,"DF","no"))),IF(ISNUMBER(CA200),IF(ABS(CA200-[1]QC_indicators!$B$1)&gt;3*[1]QC_indicators!$C$1,"DF","no")))</f>
        <v>0</v>
      </c>
      <c r="FA200" t="str">
        <f t="shared" si="183"/>
        <v/>
      </c>
    </row>
    <row r="201" spans="1:157" ht="15" hidden="1" customHeight="1">
      <c r="A201" s="1" t="s">
        <v>3329</v>
      </c>
      <c r="B201" t="s">
        <v>3330</v>
      </c>
      <c r="C201" t="s">
        <v>3331</v>
      </c>
      <c r="D201" t="s">
        <v>3332</v>
      </c>
      <c r="E201" s="297" t="s">
        <v>3333</v>
      </c>
      <c r="F201" t="s">
        <v>3334</v>
      </c>
      <c r="G201" t="s">
        <v>3335</v>
      </c>
      <c r="H201" t="s">
        <v>254</v>
      </c>
      <c r="I201">
        <v>2015</v>
      </c>
      <c r="J201">
        <v>19</v>
      </c>
      <c r="K201" t="s">
        <v>3336</v>
      </c>
      <c r="M201" t="str">
        <f t="shared" si="212"/>
        <v>Guo_2015</v>
      </c>
      <c r="N201" s="297" t="s">
        <v>4058</v>
      </c>
      <c r="O201" s="297" t="s">
        <v>223</v>
      </c>
      <c r="Q201" s="297" t="s">
        <v>389</v>
      </c>
      <c r="R201" s="298"/>
      <c r="S201" s="154" t="s">
        <v>3345</v>
      </c>
      <c r="T201" s="299" t="s">
        <v>3346</v>
      </c>
      <c r="U201" s="297" t="s">
        <v>3347</v>
      </c>
      <c r="V201" s="297"/>
      <c r="W201" s="297"/>
      <c r="X201">
        <v>0</v>
      </c>
      <c r="Y201">
        <v>0</v>
      </c>
      <c r="Z201">
        <v>0</v>
      </c>
      <c r="AA201">
        <v>0</v>
      </c>
      <c r="AB201">
        <v>0</v>
      </c>
      <c r="AC201">
        <v>0</v>
      </c>
      <c r="AD201">
        <v>0</v>
      </c>
      <c r="AE201">
        <v>0</v>
      </c>
      <c r="AF201">
        <v>0</v>
      </c>
      <c r="AG201">
        <v>0</v>
      </c>
      <c r="AH201">
        <v>0</v>
      </c>
      <c r="AI201">
        <v>0</v>
      </c>
      <c r="AJ201">
        <v>0</v>
      </c>
      <c r="AK201">
        <v>0</v>
      </c>
      <c r="AL201">
        <v>0</v>
      </c>
      <c r="AM201">
        <v>1</v>
      </c>
      <c r="AN201">
        <v>0</v>
      </c>
      <c r="AO201">
        <v>0</v>
      </c>
      <c r="AP201">
        <v>0</v>
      </c>
      <c r="AQ201">
        <v>0</v>
      </c>
      <c r="AR201">
        <v>0</v>
      </c>
      <c r="AS201">
        <v>0</v>
      </c>
      <c r="AT201">
        <v>0</v>
      </c>
      <c r="AU201">
        <v>0</v>
      </c>
      <c r="AV201">
        <v>0</v>
      </c>
      <c r="AW201">
        <v>0</v>
      </c>
      <c r="AX201">
        <v>0</v>
      </c>
      <c r="AY201">
        <v>0</v>
      </c>
      <c r="AZ201" s="141">
        <f t="shared" si="184"/>
        <v>1</v>
      </c>
      <c r="BA201" s="141">
        <f t="shared" si="185"/>
        <v>1</v>
      </c>
      <c r="BB201">
        <f t="shared" si="186"/>
        <v>0</v>
      </c>
      <c r="BC201">
        <f t="shared" si="187"/>
        <v>0</v>
      </c>
      <c r="BD201">
        <f t="shared" si="188"/>
        <v>1</v>
      </c>
      <c r="BE201">
        <f t="shared" si="189"/>
        <v>0</v>
      </c>
      <c r="BF201">
        <f t="shared" si="190"/>
        <v>0</v>
      </c>
      <c r="BG201" t="str" cm="1">
        <f t="array" ref="BG201">IF(BA201=1,INDEX($X$7:$AN$7,MATCH(TRUE,INDEX($X201:$AY201&lt;&gt;0,),0)),IF(BA201=0,INDEX($AO$7:$AY$7,MATCH(1,$AO201:$AY201,0)),IF(BH201="Multiple strategies","mixed drivers",IF(BH201="Supply chain","multiple supply","multiple silviculture"))))</f>
        <v>technologies/design switch</v>
      </c>
      <c r="BH201" s="2" t="str" cm="1">
        <f t="array" ref="BH201">IF(COUNTIF(BB201:BD201,"&lt;&gt;0")=1,INDEX($X$4:$AY$4,MATCH(TRUE,INDEX($X201:$AY201&lt;&gt;0,),0)),IF(COUNTIF(BB201:BD201,"&lt;&gt;0")=0,INDEX($AO$4:$AY$4,MATCH(1,$AO201:$AY201,0)),"Multiple strategies"))</f>
        <v>Technology</v>
      </c>
      <c r="BI201" s="1" t="s">
        <v>321</v>
      </c>
      <c r="BJ201" s="297" t="s">
        <v>3340</v>
      </c>
      <c r="BK201" s="297"/>
      <c r="BL201" s="297" t="s">
        <v>345</v>
      </c>
      <c r="BM201">
        <v>1</v>
      </c>
      <c r="BN201">
        <v>1</v>
      </c>
      <c r="BP201">
        <f t="shared" si="213"/>
        <v>0</v>
      </c>
      <c r="BQ201">
        <f t="shared" si="214"/>
        <v>0</v>
      </c>
      <c r="BR201" s="297" t="s">
        <v>395</v>
      </c>
      <c r="BS201" s="230"/>
      <c r="BT201" s="297" t="s">
        <v>397</v>
      </c>
      <c r="BU201">
        <f>-2.1</f>
        <v>-2.1</v>
      </c>
      <c r="BV201">
        <v>-2.87</v>
      </c>
      <c r="BX201">
        <f t="shared" si="208"/>
        <v>-0.77</v>
      </c>
      <c r="BZ201">
        <f t="shared" si="215"/>
        <v>-7.7000000000000007E-4</v>
      </c>
      <c r="CA201" t="str">
        <f t="shared" si="173"/>
        <v/>
      </c>
      <c r="CB201">
        <v>1</v>
      </c>
      <c r="CP201" t="str">
        <f t="shared" si="205"/>
        <v>refOK</v>
      </c>
      <c r="CQ201">
        <f t="shared" si="216"/>
        <v>1</v>
      </c>
      <c r="CR201">
        <f t="shared" si="217"/>
        <v>1</v>
      </c>
      <c r="CS201">
        <f t="shared" si="218"/>
        <v>0</v>
      </c>
      <c r="CT201">
        <f t="shared" si="174"/>
        <v>0</v>
      </c>
      <c r="CU201">
        <f t="shared" si="191"/>
        <v>2.1</v>
      </c>
      <c r="CV201">
        <f t="shared" si="192"/>
        <v>2.87</v>
      </c>
      <c r="CW201">
        <f t="shared" si="193"/>
        <v>7.7000000000000007E-4</v>
      </c>
      <c r="CX201" t="str">
        <f t="shared" si="175"/>
        <v/>
      </c>
      <c r="CY201" t="str">
        <f t="shared" si="194"/>
        <v/>
      </c>
      <c r="CZ201" t="str">
        <f t="shared" si="176"/>
        <v/>
      </c>
      <c r="DA201" s="2">
        <f t="shared" si="195"/>
        <v>0.36666666666666664</v>
      </c>
      <c r="DB201" s="304" t="s">
        <v>263</v>
      </c>
      <c r="DC201" s="297" t="str">
        <f t="shared" si="196"/>
        <v>loc</v>
      </c>
      <c r="DD201" s="303" t="s">
        <v>718</v>
      </c>
      <c r="DG201">
        <v>3</v>
      </c>
      <c r="DH201" t="str">
        <f t="shared" si="197"/>
        <v>1-30</v>
      </c>
      <c r="DI201">
        <v>0</v>
      </c>
      <c r="DJ201">
        <v>1</v>
      </c>
      <c r="DK201">
        <v>0</v>
      </c>
      <c r="DL201">
        <v>0</v>
      </c>
      <c r="DM201">
        <v>0</v>
      </c>
      <c r="DN201">
        <f t="shared" si="211"/>
        <v>1</v>
      </c>
      <c r="DO201" t="str">
        <f t="shared" si="198"/>
        <v>EnergyInput</v>
      </c>
      <c r="DP201">
        <f t="shared" si="199"/>
        <v>0</v>
      </c>
      <c r="DQ201" t="str">
        <f t="shared" si="200"/>
        <v>Energy</v>
      </c>
      <c r="DR201">
        <f t="shared" si="201"/>
        <v>0</v>
      </c>
      <c r="DS201">
        <f t="shared" si="202"/>
        <v>0</v>
      </c>
      <c r="DT201">
        <v>0</v>
      </c>
      <c r="DU201">
        <v>0</v>
      </c>
      <c r="DV201">
        <v>0</v>
      </c>
      <c r="DW201">
        <v>0</v>
      </c>
      <c r="DX201">
        <v>0</v>
      </c>
      <c r="DY201"/>
      <c r="DZ201" t="str">
        <f t="shared" si="204"/>
        <v>explicit C balance</v>
      </c>
      <c r="EA201">
        <v>1</v>
      </c>
      <c r="EB201">
        <v>0</v>
      </c>
      <c r="EC201">
        <v>0</v>
      </c>
      <c r="ED201">
        <v>1</v>
      </c>
      <c r="EE201">
        <v>0</v>
      </c>
      <c r="EF201">
        <v>0</v>
      </c>
      <c r="EG201">
        <v>1</v>
      </c>
      <c r="EH201">
        <v>1</v>
      </c>
      <c r="EI201">
        <v>0</v>
      </c>
      <c r="EJ201">
        <v>0</v>
      </c>
      <c r="EK201">
        <v>0</v>
      </c>
      <c r="EL201">
        <v>0</v>
      </c>
      <c r="EM201">
        <v>0</v>
      </c>
      <c r="EN201" s="2">
        <v>0</v>
      </c>
      <c r="EP201" t="str">
        <f t="shared" si="177"/>
        <v/>
      </c>
      <c r="EQ201" t="str">
        <f t="shared" si="178"/>
        <v/>
      </c>
      <c r="ER201" s="2" t="str">
        <f t="shared" si="179"/>
        <v>Technology approach</v>
      </c>
      <c r="ES201" t="str">
        <f t="shared" si="180"/>
        <v/>
      </c>
      <c r="ET201" t="str">
        <f t="shared" si="181"/>
        <v/>
      </c>
      <c r="EU201" t="str">
        <f t="shared" si="182"/>
        <v/>
      </c>
      <c r="EY201" t="b">
        <f>IF(ISNUMBER(BW201),IF(ABS(BW201-[1]QC_indicators!$B$2)&gt;3*[1]QC_indicators!$C$2,"C ratio",IF(ISNUMBER(CA201),IF(ABS(CA201-[1]QC_indicators!$B$1)&gt;3*[1]QC_indicators!$C$1,"DF","no"))),IF(ISNUMBER(CA201),IF(ABS(CA201-[1]QC_indicators!$B$1)&gt;3*[1]QC_indicators!$C$1,"DF","no")))</f>
        <v>0</v>
      </c>
      <c r="FA201" t="str">
        <f t="shared" si="183"/>
        <v/>
      </c>
    </row>
    <row r="202" spans="1:157" ht="15" hidden="1" customHeight="1">
      <c r="A202" s="1" t="s">
        <v>3329</v>
      </c>
      <c r="B202" t="s">
        <v>3330</v>
      </c>
      <c r="C202" t="s">
        <v>3331</v>
      </c>
      <c r="D202" t="s">
        <v>3332</v>
      </c>
      <c r="E202" s="297" t="s">
        <v>3333</v>
      </c>
      <c r="F202" t="s">
        <v>3334</v>
      </c>
      <c r="G202" t="s">
        <v>3335</v>
      </c>
      <c r="H202" t="s">
        <v>254</v>
      </c>
      <c r="I202">
        <v>2015</v>
      </c>
      <c r="J202">
        <v>19</v>
      </c>
      <c r="K202" t="s">
        <v>3336</v>
      </c>
      <c r="M202" t="str">
        <f t="shared" si="212"/>
        <v>Guo_2015</v>
      </c>
      <c r="N202" s="297" t="s">
        <v>4058</v>
      </c>
      <c r="O202" s="297" t="s">
        <v>223</v>
      </c>
      <c r="Q202" s="297" t="s">
        <v>389</v>
      </c>
      <c r="R202" s="298"/>
      <c r="S202" s="154" t="s">
        <v>3337</v>
      </c>
      <c r="T202" s="299" t="s">
        <v>3338</v>
      </c>
      <c r="U202" s="297" t="s">
        <v>3339</v>
      </c>
      <c r="V202" s="297"/>
      <c r="W202" s="297"/>
      <c r="X202">
        <v>0</v>
      </c>
      <c r="Y202">
        <v>0</v>
      </c>
      <c r="Z202">
        <v>1</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s="141">
        <f t="shared" si="184"/>
        <v>1</v>
      </c>
      <c r="BA202" s="141">
        <f t="shared" si="185"/>
        <v>1</v>
      </c>
      <c r="BB202">
        <f t="shared" si="186"/>
        <v>1</v>
      </c>
      <c r="BC202">
        <f t="shared" si="187"/>
        <v>0</v>
      </c>
      <c r="BD202">
        <f t="shared" si="188"/>
        <v>0</v>
      </c>
      <c r="BE202">
        <f t="shared" si="189"/>
        <v>0</v>
      </c>
      <c r="BF202">
        <f t="shared" si="190"/>
        <v>0</v>
      </c>
      <c r="BG202" t="str" cm="1">
        <f t="array" ref="BG202">IF(BA202=1,INDEX($X$7:$AN$7,MATCH(TRUE,INDEX($X202:$AY202&lt;&gt;0,),0)),IF(BA202=0,INDEX($AO$7:$AY$7,MATCH(1,$AO202:$AY202,0)),IF(BH202="Multiple strategies","mixed drivers",IF(BH202="Supply chain","multiple supply","multiple silviculture"))))</f>
        <v>rotation length</v>
      </c>
      <c r="BH202" s="2" t="str" cm="1">
        <f t="array" ref="BH202">IF(COUNTIF(BB202:BD202,"&lt;&gt;0")=1,INDEX($X$4:$AY$4,MATCH(TRUE,INDEX($X202:$AY202&lt;&gt;0,),0)),IF(COUNTIF(BB202:BD202,"&lt;&gt;0")=0,INDEX($AO$4:$AY$4,MATCH(1,$AO202:$AY202,0)),"Multiple strategies"))</f>
        <v>Silviculture for removals</v>
      </c>
      <c r="BI202" s="1" t="s">
        <v>321</v>
      </c>
      <c r="BJ202" s="297" t="s">
        <v>3340</v>
      </c>
      <c r="BK202" s="297"/>
      <c r="BL202" s="297" t="s">
        <v>345</v>
      </c>
      <c r="BM202">
        <v>1</v>
      </c>
      <c r="BN202">
        <v>1</v>
      </c>
      <c r="BP202">
        <f t="shared" si="213"/>
        <v>0</v>
      </c>
      <c r="BQ202">
        <f t="shared" si="214"/>
        <v>0</v>
      </c>
      <c r="BR202" s="297" t="s">
        <v>395</v>
      </c>
      <c r="BS202" s="331" t="s">
        <v>3341</v>
      </c>
      <c r="BT202" s="297" t="s">
        <v>397</v>
      </c>
      <c r="BU202">
        <f>-2.1+2.74+1.91</f>
        <v>2.5499999999999998</v>
      </c>
      <c r="BV202">
        <f>-3.19+3.89+1.91</f>
        <v>2.6100000000000003</v>
      </c>
      <c r="BX202">
        <f t="shared" si="208"/>
        <v>6.0000000000000497E-2</v>
      </c>
      <c r="BZ202">
        <f t="shared" si="215"/>
        <v>6.0000000000000496E-5</v>
      </c>
      <c r="CA202" t="str">
        <f t="shared" si="173"/>
        <v/>
      </c>
      <c r="CB202">
        <v>1</v>
      </c>
      <c r="CP202" t="str">
        <f t="shared" si="205"/>
        <v>refOK</v>
      </c>
      <c r="CQ202">
        <f t="shared" si="216"/>
        <v>1</v>
      </c>
      <c r="CR202">
        <f t="shared" si="217"/>
        <v>1</v>
      </c>
      <c r="CS202">
        <f t="shared" si="218"/>
        <v>0</v>
      </c>
      <c r="CT202">
        <f t="shared" si="174"/>
        <v>0</v>
      </c>
      <c r="CU202">
        <f t="shared" si="191"/>
        <v>-2.5499999999999998</v>
      </c>
      <c r="CV202">
        <f t="shared" si="192"/>
        <v>-2.6100000000000003</v>
      </c>
      <c r="CW202">
        <f t="shared" si="193"/>
        <v>-6.0000000000000496E-5</v>
      </c>
      <c r="CX202" t="str">
        <f t="shared" si="175"/>
        <v/>
      </c>
      <c r="CY202" t="str">
        <f t="shared" si="194"/>
        <v/>
      </c>
      <c r="CZ202" t="str">
        <f t="shared" si="176"/>
        <v/>
      </c>
      <c r="DA202" s="2">
        <f t="shared" si="195"/>
        <v>-2.352941176470608E-2</v>
      </c>
      <c r="DB202" s="304" t="s">
        <v>263</v>
      </c>
      <c r="DC202" s="297" t="str">
        <f t="shared" si="196"/>
        <v>loc</v>
      </c>
      <c r="DD202" s="303" t="s">
        <v>718</v>
      </c>
      <c r="DG202">
        <v>3</v>
      </c>
      <c r="DH202" t="str">
        <f t="shared" si="197"/>
        <v>1-30</v>
      </c>
      <c r="DI202">
        <v>0</v>
      </c>
      <c r="DJ202">
        <v>1</v>
      </c>
      <c r="DK202">
        <v>0</v>
      </c>
      <c r="DL202">
        <v>0</v>
      </c>
      <c r="DM202">
        <v>0</v>
      </c>
      <c r="DN202">
        <f t="shared" si="211"/>
        <v>1</v>
      </c>
      <c r="DO202" t="str">
        <f t="shared" si="198"/>
        <v>EnergyInput</v>
      </c>
      <c r="DP202">
        <f t="shared" si="199"/>
        <v>0</v>
      </c>
      <c r="DQ202" t="str">
        <f t="shared" si="200"/>
        <v>Energy</v>
      </c>
      <c r="DR202">
        <f t="shared" si="201"/>
        <v>0</v>
      </c>
      <c r="DS202">
        <f t="shared" si="202"/>
        <v>0</v>
      </c>
      <c r="DT202">
        <v>0</v>
      </c>
      <c r="DU202">
        <v>0</v>
      </c>
      <c r="DV202">
        <v>0</v>
      </c>
      <c r="DW202">
        <v>0</v>
      </c>
      <c r="DX202">
        <v>0</v>
      </c>
      <c r="DY202"/>
      <c r="DZ202" t="str">
        <f t="shared" si="204"/>
        <v>explicit C balance</v>
      </c>
      <c r="EA202">
        <v>0</v>
      </c>
      <c r="EB202">
        <v>0</v>
      </c>
      <c r="EC202">
        <v>0</v>
      </c>
      <c r="ED202">
        <v>0</v>
      </c>
      <c r="EE202">
        <v>0</v>
      </c>
      <c r="EF202">
        <v>0</v>
      </c>
      <c r="EG202">
        <v>1</v>
      </c>
      <c r="EH202">
        <v>1</v>
      </c>
      <c r="EI202">
        <v>0</v>
      </c>
      <c r="EJ202">
        <v>0</v>
      </c>
      <c r="EK202">
        <v>0</v>
      </c>
      <c r="EL202">
        <v>0</v>
      </c>
      <c r="EM202">
        <v>0</v>
      </c>
      <c r="EN202" s="2">
        <v>0</v>
      </c>
      <c r="EP202" t="str">
        <f t="shared" si="177"/>
        <v/>
      </c>
      <c r="EQ202" t="str">
        <f t="shared" ref="EQ202:EQ227" si="219">IF(AND(AND(OR($EC202=1,$EB202=1),AND($EH202=0,$EF202=0)),SUM($EA202:$EE202,$EK202)&gt;=3),"Ecosystem approach","")</f>
        <v/>
      </c>
      <c r="ER202" s="2" t="str">
        <f t="shared" si="179"/>
        <v>Technology approach</v>
      </c>
      <c r="ES202" t="str">
        <f t="shared" si="180"/>
        <v/>
      </c>
      <c r="ET202" t="str">
        <f t="shared" si="181"/>
        <v/>
      </c>
      <c r="EU202" t="str">
        <f t="shared" si="182"/>
        <v/>
      </c>
      <c r="EY202" t="b">
        <f>IF(ISNUMBER(BW202),IF(ABS(BW202-[1]QC_indicators!$B$2)&gt;3*[1]QC_indicators!$C$2,"C ratio",IF(ISNUMBER(CA202),IF(ABS(CA202-[1]QC_indicators!$B$1)&gt;3*[1]QC_indicators!$C$1,"DF","no"))),IF(ISNUMBER(CA202),IF(ABS(CA202-[1]QC_indicators!$B$1)&gt;3*[1]QC_indicators!$C$1,"DF","no")))</f>
        <v>0</v>
      </c>
      <c r="FA202" t="str">
        <f t="shared" si="183"/>
        <v/>
      </c>
    </row>
    <row r="203" spans="1:157" ht="15" hidden="1" customHeight="1">
      <c r="A203" s="1" t="s">
        <v>3329</v>
      </c>
      <c r="B203" t="s">
        <v>3330</v>
      </c>
      <c r="C203" t="s">
        <v>3331</v>
      </c>
      <c r="D203" t="s">
        <v>3332</v>
      </c>
      <c r="E203" s="297" t="s">
        <v>3333</v>
      </c>
      <c r="F203" t="s">
        <v>3334</v>
      </c>
      <c r="G203" t="s">
        <v>3335</v>
      </c>
      <c r="H203" t="s">
        <v>254</v>
      </c>
      <c r="I203">
        <v>2015</v>
      </c>
      <c r="J203">
        <v>19</v>
      </c>
      <c r="K203" t="s">
        <v>3336</v>
      </c>
      <c r="M203" t="str">
        <f t="shared" si="212"/>
        <v>Guo_2015</v>
      </c>
      <c r="N203" s="297" t="s">
        <v>4058</v>
      </c>
      <c r="O203" s="297" t="s">
        <v>223</v>
      </c>
      <c r="Q203" s="297" t="s">
        <v>389</v>
      </c>
      <c r="R203" s="298"/>
      <c r="S203" s="154" t="s">
        <v>3337</v>
      </c>
      <c r="T203" s="299" t="s">
        <v>3338</v>
      </c>
      <c r="U203" s="297" t="s">
        <v>3339</v>
      </c>
      <c r="V203" s="297"/>
      <c r="W203" s="297"/>
      <c r="X203">
        <v>0</v>
      </c>
      <c r="Y203">
        <v>0</v>
      </c>
      <c r="Z203">
        <v>1</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s="141">
        <f t="shared" si="184"/>
        <v>1</v>
      </c>
      <c r="BA203" s="141">
        <f t="shared" si="185"/>
        <v>1</v>
      </c>
      <c r="BB203">
        <f t="shared" si="186"/>
        <v>1</v>
      </c>
      <c r="BC203">
        <f t="shared" si="187"/>
        <v>0</v>
      </c>
      <c r="BD203">
        <f t="shared" si="188"/>
        <v>0</v>
      </c>
      <c r="BE203">
        <f t="shared" si="189"/>
        <v>0</v>
      </c>
      <c r="BF203">
        <f t="shared" si="190"/>
        <v>0</v>
      </c>
      <c r="BG203" t="str" cm="1">
        <f t="array" ref="BG203">IF(BA203=1,INDEX($X$7:$AN$7,MATCH(TRUE,INDEX($X203:$AY203&lt;&gt;0,),0)),IF(BA203=0,INDEX($AO$7:$AY$7,MATCH(1,$AO203:$AY203,0)),IF(BH203="Multiple strategies","mixed drivers",IF(BH203="Supply chain","multiple supply","multiple silviculture"))))</f>
        <v>rotation length</v>
      </c>
      <c r="BH203" s="2" t="str" cm="1">
        <f t="array" ref="BH203">IF(COUNTIF(BB203:BD203,"&lt;&gt;0")=1,INDEX($X$4:$AY$4,MATCH(TRUE,INDEX($X203:$AY203&lt;&gt;0,),0)),IF(COUNTIF(BB203:BD203,"&lt;&gt;0")=0,INDEX($AO$4:$AY$4,MATCH(1,$AO203:$AY203,0)),"Multiple strategies"))</f>
        <v>Silviculture for removals</v>
      </c>
      <c r="BI203" s="1" t="s">
        <v>321</v>
      </c>
      <c r="BJ203" s="297" t="s">
        <v>3340</v>
      </c>
      <c r="BK203" s="297"/>
      <c r="BL203" s="297" t="s">
        <v>345</v>
      </c>
      <c r="BM203">
        <v>1</v>
      </c>
      <c r="BN203">
        <v>1</v>
      </c>
      <c r="BP203">
        <f t="shared" si="213"/>
        <v>0</v>
      </c>
      <c r="BQ203">
        <f t="shared" si="214"/>
        <v>0</v>
      </c>
      <c r="BR203" s="297" t="s">
        <v>232</v>
      </c>
      <c r="BS203" s="331" t="s">
        <v>3341</v>
      </c>
      <c r="BT203" s="297" t="s">
        <v>397</v>
      </c>
      <c r="BU203">
        <v>4.6500000000000004</v>
      </c>
      <c r="BV203">
        <v>5.8</v>
      </c>
      <c r="BW203" s="144">
        <f>BV203/BU203</f>
        <v>1.247311827956989</v>
      </c>
      <c r="BX203">
        <f t="shared" si="208"/>
        <v>1.1499999999999995</v>
      </c>
      <c r="BZ203">
        <f t="shared" si="215"/>
        <v>1.1499999999999995E-3</v>
      </c>
      <c r="CA203" t="str">
        <f t="shared" si="173"/>
        <v/>
      </c>
      <c r="CB203">
        <v>1</v>
      </c>
      <c r="CP203" t="str">
        <f t="shared" si="205"/>
        <v>refOK</v>
      </c>
      <c r="CQ203">
        <f t="shared" si="216"/>
        <v>1</v>
      </c>
      <c r="CR203">
        <f t="shared" si="217"/>
        <v>1</v>
      </c>
      <c r="CS203">
        <f t="shared" si="218"/>
        <v>0</v>
      </c>
      <c r="CT203">
        <f t="shared" si="174"/>
        <v>0</v>
      </c>
      <c r="CU203">
        <f t="shared" si="191"/>
        <v>4.6500000000000004</v>
      </c>
      <c r="CV203">
        <f t="shared" si="192"/>
        <v>5.8</v>
      </c>
      <c r="CW203">
        <f t="shared" si="193"/>
        <v>1.1499999999999995E-3</v>
      </c>
      <c r="CX203" t="str">
        <f t="shared" si="175"/>
        <v/>
      </c>
      <c r="CY203" t="str">
        <f t="shared" si="194"/>
        <v/>
      </c>
      <c r="CZ203" t="str">
        <f t="shared" si="176"/>
        <v/>
      </c>
      <c r="DA203" s="2">
        <f t="shared" si="195"/>
        <v>0.24731182795698911</v>
      </c>
      <c r="DB203" s="304" t="s">
        <v>263</v>
      </c>
      <c r="DC203" s="297" t="str">
        <f t="shared" si="196"/>
        <v>loc</v>
      </c>
      <c r="DD203" s="303" t="s">
        <v>718</v>
      </c>
      <c r="DG203">
        <v>3</v>
      </c>
      <c r="DH203" t="str">
        <f t="shared" si="197"/>
        <v>1-30</v>
      </c>
      <c r="DI203">
        <v>0</v>
      </c>
      <c r="DJ203">
        <v>1</v>
      </c>
      <c r="DK203">
        <v>0</v>
      </c>
      <c r="DL203">
        <v>0</v>
      </c>
      <c r="DM203">
        <v>0</v>
      </c>
      <c r="DN203">
        <f t="shared" si="211"/>
        <v>1</v>
      </c>
      <c r="DO203" t="str">
        <f t="shared" si="198"/>
        <v>EnergyInput</v>
      </c>
      <c r="DP203">
        <f t="shared" si="199"/>
        <v>0</v>
      </c>
      <c r="DQ203" t="str">
        <f t="shared" si="200"/>
        <v>Energy</v>
      </c>
      <c r="DR203">
        <f t="shared" si="201"/>
        <v>0</v>
      </c>
      <c r="DS203">
        <f t="shared" si="202"/>
        <v>0</v>
      </c>
      <c r="DT203">
        <v>0</v>
      </c>
      <c r="DU203">
        <v>0</v>
      </c>
      <c r="DV203">
        <v>0</v>
      </c>
      <c r="DW203">
        <v>0</v>
      </c>
      <c r="DX203">
        <v>0</v>
      </c>
      <c r="DY203"/>
      <c r="DZ203" t="str">
        <f t="shared" si="204"/>
        <v>explicit C balance</v>
      </c>
      <c r="EA203">
        <v>1</v>
      </c>
      <c r="EB203">
        <v>0</v>
      </c>
      <c r="EC203">
        <v>0</v>
      </c>
      <c r="ED203">
        <v>1</v>
      </c>
      <c r="EE203">
        <v>0</v>
      </c>
      <c r="EF203">
        <v>0</v>
      </c>
      <c r="EG203">
        <v>0</v>
      </c>
      <c r="EH203">
        <v>0</v>
      </c>
      <c r="EI203">
        <v>0</v>
      </c>
      <c r="EJ203">
        <v>0</v>
      </c>
      <c r="EK203">
        <v>0</v>
      </c>
      <c r="EL203">
        <v>0</v>
      </c>
      <c r="EM203">
        <v>0</v>
      </c>
      <c r="EN203" s="2">
        <v>0</v>
      </c>
      <c r="EP203" t="str">
        <f t="shared" si="177"/>
        <v/>
      </c>
      <c r="EQ203" t="str">
        <f t="shared" si="219"/>
        <v/>
      </c>
      <c r="ER203" s="2" t="str">
        <f t="shared" si="179"/>
        <v/>
      </c>
      <c r="ES203" t="str">
        <f t="shared" si="180"/>
        <v/>
      </c>
      <c r="ET203" t="str">
        <f t="shared" si="181"/>
        <v/>
      </c>
      <c r="EU203" t="str">
        <f t="shared" si="182"/>
        <v/>
      </c>
      <c r="EY203" t="b">
        <f>IF(ISNUMBER(BW203),IF(ABS(BW203-[1]QC_indicators!$B$2)&gt;3*[1]QC_indicators!$C$2,"C ratio",IF(ISNUMBER(CA203),IF(ABS(CA203-[1]QC_indicators!$B$1)&gt;3*[1]QC_indicators!$C$1,"DF","no"))),IF(ISNUMBER(CA203),IF(ABS(CA203-[1]QC_indicators!$B$1)&gt;3*[1]QC_indicators!$C$1,"DF","no")))</f>
        <v>0</v>
      </c>
      <c r="FA203" t="str">
        <f t="shared" si="183"/>
        <v/>
      </c>
    </row>
    <row r="204" spans="1:157" ht="15" hidden="1" customHeight="1">
      <c r="A204" s="1" t="s">
        <v>3329</v>
      </c>
      <c r="B204" t="s">
        <v>3330</v>
      </c>
      <c r="C204" t="s">
        <v>3331</v>
      </c>
      <c r="D204" t="s">
        <v>3332</v>
      </c>
      <c r="E204" s="297" t="s">
        <v>3333</v>
      </c>
      <c r="F204" t="s">
        <v>3334</v>
      </c>
      <c r="G204" t="s">
        <v>3335</v>
      </c>
      <c r="H204" t="s">
        <v>254</v>
      </c>
      <c r="I204">
        <v>2015</v>
      </c>
      <c r="J204">
        <v>19</v>
      </c>
      <c r="K204" t="s">
        <v>3336</v>
      </c>
      <c r="M204" t="str">
        <f t="shared" si="212"/>
        <v>Guo_2015</v>
      </c>
      <c r="N204" s="297" t="s">
        <v>4058</v>
      </c>
      <c r="O204" s="297" t="s">
        <v>223</v>
      </c>
      <c r="Q204" s="297" t="s">
        <v>389</v>
      </c>
      <c r="R204" s="298"/>
      <c r="S204" s="154" t="s">
        <v>3337</v>
      </c>
      <c r="T204" s="299" t="s">
        <v>3342</v>
      </c>
      <c r="U204" s="297" t="s">
        <v>3343</v>
      </c>
      <c r="V204" s="297"/>
      <c r="W204" s="297"/>
      <c r="X204">
        <v>0</v>
      </c>
      <c r="Y204">
        <v>0</v>
      </c>
      <c r="Z204">
        <v>1</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s="141">
        <f t="shared" si="184"/>
        <v>1</v>
      </c>
      <c r="BA204" s="141">
        <f t="shared" si="185"/>
        <v>1</v>
      </c>
      <c r="BB204">
        <f t="shared" si="186"/>
        <v>1</v>
      </c>
      <c r="BC204">
        <f t="shared" si="187"/>
        <v>0</v>
      </c>
      <c r="BD204">
        <f t="shared" si="188"/>
        <v>0</v>
      </c>
      <c r="BE204">
        <f t="shared" si="189"/>
        <v>0</v>
      </c>
      <c r="BF204">
        <f t="shared" si="190"/>
        <v>0</v>
      </c>
      <c r="BG204" t="str" cm="1">
        <f t="array" ref="BG204">IF(BA204=1,INDEX($X$7:$AN$7,MATCH(TRUE,INDEX($X204:$AY204&lt;&gt;0,),0)),IF(BA204=0,INDEX($AO$7:$AY$7,MATCH(1,$AO204:$AY204,0)),IF(BH204="Multiple strategies","mixed drivers",IF(BH204="Supply chain","multiple supply","multiple silviculture"))))</f>
        <v>rotation length</v>
      </c>
      <c r="BH204" s="2" t="str" cm="1">
        <f t="array" ref="BH204">IF(COUNTIF(BB204:BD204,"&lt;&gt;0")=1,INDEX($X$4:$AY$4,MATCH(TRUE,INDEX($X204:$AY204&lt;&gt;0,),0)),IF(COUNTIF(BB204:BD204,"&lt;&gt;0")=0,INDEX($AO$4:$AY$4,MATCH(1,$AO204:$AY204,0)),"Multiple strategies"))</f>
        <v>Silviculture for removals</v>
      </c>
      <c r="BI204" s="1" t="s">
        <v>321</v>
      </c>
      <c r="BJ204" s="297" t="s">
        <v>3340</v>
      </c>
      <c r="BK204" s="297"/>
      <c r="BL204" s="297" t="s">
        <v>345</v>
      </c>
      <c r="BM204">
        <v>1</v>
      </c>
      <c r="BN204">
        <v>1</v>
      </c>
      <c r="BP204">
        <f t="shared" si="213"/>
        <v>0</v>
      </c>
      <c r="BQ204">
        <f t="shared" si="214"/>
        <v>0</v>
      </c>
      <c r="BR204" s="297" t="s">
        <v>232</v>
      </c>
      <c r="BS204" s="230"/>
      <c r="BT204" s="297" t="s">
        <v>397</v>
      </c>
      <c r="BU204">
        <f>3.5+1.91</f>
        <v>5.41</v>
      </c>
      <c r="BV204">
        <f>4.99+1.91</f>
        <v>6.9</v>
      </c>
      <c r="BW204" s="144">
        <f>BV204/BU204</f>
        <v>1.2754158964879851</v>
      </c>
      <c r="BX204">
        <f t="shared" si="208"/>
        <v>1.4900000000000002</v>
      </c>
      <c r="BZ204">
        <f t="shared" si="215"/>
        <v>1.4900000000000002E-3</v>
      </c>
      <c r="CA204" t="str">
        <f t="shared" si="173"/>
        <v/>
      </c>
      <c r="CB204">
        <v>1</v>
      </c>
      <c r="CP204" t="str">
        <f t="shared" si="205"/>
        <v>refOK</v>
      </c>
      <c r="CQ204">
        <f t="shared" si="216"/>
        <v>1</v>
      </c>
      <c r="CR204">
        <f t="shared" si="217"/>
        <v>1</v>
      </c>
      <c r="CS204">
        <f t="shared" si="218"/>
        <v>0</v>
      </c>
      <c r="CT204">
        <f t="shared" si="174"/>
        <v>0</v>
      </c>
      <c r="CU204">
        <f t="shared" si="191"/>
        <v>5.41</v>
      </c>
      <c r="CV204">
        <f t="shared" si="192"/>
        <v>6.9</v>
      </c>
      <c r="CW204">
        <f t="shared" si="193"/>
        <v>1.4900000000000002E-3</v>
      </c>
      <c r="CX204" t="str">
        <f t="shared" si="175"/>
        <v/>
      </c>
      <c r="CY204" t="str">
        <f t="shared" si="194"/>
        <v/>
      </c>
      <c r="CZ204" t="str">
        <f t="shared" si="176"/>
        <v/>
      </c>
      <c r="DA204" s="2">
        <f t="shared" si="195"/>
        <v>0.27541589648798526</v>
      </c>
      <c r="DB204" s="304" t="s">
        <v>263</v>
      </c>
      <c r="DC204" s="297" t="str">
        <f t="shared" si="196"/>
        <v>loc</v>
      </c>
      <c r="DD204" s="303" t="s">
        <v>718</v>
      </c>
      <c r="DG204">
        <v>3</v>
      </c>
      <c r="DH204" t="str">
        <f t="shared" si="197"/>
        <v>1-30</v>
      </c>
      <c r="DI204">
        <v>0</v>
      </c>
      <c r="DJ204">
        <v>1</v>
      </c>
      <c r="DK204">
        <v>0</v>
      </c>
      <c r="DL204">
        <v>0</v>
      </c>
      <c r="DM204">
        <v>0</v>
      </c>
      <c r="DN204">
        <f t="shared" si="211"/>
        <v>1</v>
      </c>
      <c r="DO204" t="str">
        <f t="shared" si="198"/>
        <v>EnergyInput</v>
      </c>
      <c r="DP204">
        <f t="shared" si="199"/>
        <v>0</v>
      </c>
      <c r="DQ204" t="str">
        <f t="shared" si="200"/>
        <v>Energy</v>
      </c>
      <c r="DR204">
        <f t="shared" si="201"/>
        <v>0</v>
      </c>
      <c r="DS204">
        <f t="shared" si="202"/>
        <v>0</v>
      </c>
      <c r="DT204">
        <v>0</v>
      </c>
      <c r="DU204">
        <v>0</v>
      </c>
      <c r="DV204">
        <v>0</v>
      </c>
      <c r="DW204">
        <v>0</v>
      </c>
      <c r="DX204">
        <v>0</v>
      </c>
      <c r="DY204"/>
      <c r="DZ204" t="str">
        <f t="shared" si="204"/>
        <v>explicit C balance</v>
      </c>
      <c r="EA204">
        <v>1</v>
      </c>
      <c r="EB204">
        <v>0</v>
      </c>
      <c r="EC204">
        <v>0</v>
      </c>
      <c r="ED204">
        <v>1</v>
      </c>
      <c r="EE204">
        <v>0</v>
      </c>
      <c r="EF204">
        <v>0</v>
      </c>
      <c r="EG204">
        <v>0</v>
      </c>
      <c r="EH204">
        <v>0</v>
      </c>
      <c r="EI204">
        <v>0</v>
      </c>
      <c r="EJ204">
        <v>0</v>
      </c>
      <c r="EK204">
        <v>0</v>
      </c>
      <c r="EL204">
        <v>0</v>
      </c>
      <c r="EM204">
        <v>0</v>
      </c>
      <c r="EN204" s="2">
        <v>0</v>
      </c>
      <c r="EP204" t="str">
        <f t="shared" si="177"/>
        <v/>
      </c>
      <c r="EQ204" t="str">
        <f t="shared" si="219"/>
        <v/>
      </c>
      <c r="ER204" s="2" t="str">
        <f t="shared" si="179"/>
        <v/>
      </c>
      <c r="ES204" t="str">
        <f t="shared" si="180"/>
        <v/>
      </c>
      <c r="ET204" t="str">
        <f t="shared" si="181"/>
        <v/>
      </c>
      <c r="EU204" t="str">
        <f t="shared" si="182"/>
        <v/>
      </c>
      <c r="EY204" t="b">
        <f>IF(ISNUMBER(BW204),IF(ABS(BW204-[1]QC_indicators!$B$2)&gt;3*[1]QC_indicators!$C$2,"C ratio",IF(ISNUMBER(CA204),IF(ABS(CA204-[1]QC_indicators!$B$1)&gt;3*[1]QC_indicators!$C$1,"DF","no"))),IF(ISNUMBER(CA204),IF(ABS(CA204-[1]QC_indicators!$B$1)&gt;3*[1]QC_indicators!$C$1,"DF","no")))</f>
        <v>0</v>
      </c>
      <c r="FA204" t="str">
        <f t="shared" si="183"/>
        <v/>
      </c>
    </row>
    <row r="205" spans="1:157" ht="15" hidden="1" customHeight="1">
      <c r="A205" s="1" t="s">
        <v>3329</v>
      </c>
      <c r="B205" t="s">
        <v>3330</v>
      </c>
      <c r="C205" t="s">
        <v>3331</v>
      </c>
      <c r="D205" t="s">
        <v>3332</v>
      </c>
      <c r="E205" s="297" t="s">
        <v>3333</v>
      </c>
      <c r="F205" t="s">
        <v>3334</v>
      </c>
      <c r="G205" t="s">
        <v>3335</v>
      </c>
      <c r="H205" t="s">
        <v>254</v>
      </c>
      <c r="I205">
        <v>2015</v>
      </c>
      <c r="J205">
        <v>19</v>
      </c>
      <c r="K205" t="s">
        <v>3336</v>
      </c>
      <c r="M205" t="str">
        <f t="shared" si="212"/>
        <v>Guo_2015</v>
      </c>
      <c r="N205" s="297" t="s">
        <v>4058</v>
      </c>
      <c r="O205" s="297" t="s">
        <v>223</v>
      </c>
      <c r="Q205" s="297" t="s">
        <v>389</v>
      </c>
      <c r="R205" s="298"/>
      <c r="S205" s="154" t="s">
        <v>3337</v>
      </c>
      <c r="T205" s="299" t="s">
        <v>3342</v>
      </c>
      <c r="U205" s="297" t="s">
        <v>3343</v>
      </c>
      <c r="V205" s="297"/>
      <c r="W205" s="297"/>
      <c r="X205">
        <v>0</v>
      </c>
      <c r="Y205">
        <v>0</v>
      </c>
      <c r="Z205">
        <v>1</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s="141">
        <f t="shared" si="184"/>
        <v>1</v>
      </c>
      <c r="BA205" s="141">
        <f t="shared" si="185"/>
        <v>1</v>
      </c>
      <c r="BB205">
        <f t="shared" si="186"/>
        <v>1</v>
      </c>
      <c r="BC205">
        <f t="shared" si="187"/>
        <v>0</v>
      </c>
      <c r="BD205">
        <f t="shared" si="188"/>
        <v>0</v>
      </c>
      <c r="BE205">
        <f t="shared" si="189"/>
        <v>0</v>
      </c>
      <c r="BF205">
        <f t="shared" si="190"/>
        <v>0</v>
      </c>
      <c r="BG205" t="str" cm="1">
        <f t="array" ref="BG205">IF(BA205=1,INDEX($X$7:$AN$7,MATCH(TRUE,INDEX($X205:$AY205&lt;&gt;0,),0)),IF(BA205=0,INDEX($AO$7:$AY$7,MATCH(1,$AO205:$AY205,0)),IF(BH205="Multiple strategies","mixed drivers",IF(BH205="Supply chain","multiple supply","multiple silviculture"))))</f>
        <v>rotation length</v>
      </c>
      <c r="BH205" s="2" t="str" cm="1">
        <f t="array" ref="BH205">IF(COUNTIF(BB205:BD205,"&lt;&gt;0")=1,INDEX($X$4:$AY$4,MATCH(TRUE,INDEX($X205:$AY205&lt;&gt;0,),0)),IF(COUNTIF(BB205:BD205,"&lt;&gt;0")=0,INDEX($AO$4:$AY$4,MATCH(1,$AO205:$AY205,0)),"Multiple strategies"))</f>
        <v>Silviculture for removals</v>
      </c>
      <c r="BI205" s="1" t="s">
        <v>321</v>
      </c>
      <c r="BJ205" s="297" t="s">
        <v>3340</v>
      </c>
      <c r="BK205" s="297"/>
      <c r="BL205" s="297" t="s">
        <v>345</v>
      </c>
      <c r="BM205">
        <v>1</v>
      </c>
      <c r="BN205">
        <v>1</v>
      </c>
      <c r="BP205">
        <f t="shared" si="213"/>
        <v>0</v>
      </c>
      <c r="BQ205">
        <f t="shared" si="214"/>
        <v>0</v>
      </c>
      <c r="BR205" s="297" t="s">
        <v>232</v>
      </c>
      <c r="BS205" s="297" t="s">
        <v>3341</v>
      </c>
      <c r="BT205" s="297" t="s">
        <v>397</v>
      </c>
      <c r="BU205">
        <v>2.87</v>
      </c>
      <c r="BV205">
        <v>4.2699999999999996</v>
      </c>
      <c r="BW205" s="144">
        <f>BV205/BU205</f>
        <v>1.4878048780487803</v>
      </c>
      <c r="BX205">
        <f t="shared" si="208"/>
        <v>1.3999999999999995</v>
      </c>
      <c r="BZ205">
        <f t="shared" si="215"/>
        <v>1.3999999999999996E-3</v>
      </c>
      <c r="CA205" t="str">
        <f t="shared" si="173"/>
        <v/>
      </c>
      <c r="CB205">
        <v>1</v>
      </c>
      <c r="CP205" t="str">
        <f t="shared" si="205"/>
        <v>refOK</v>
      </c>
      <c r="CQ205">
        <f t="shared" si="216"/>
        <v>1</v>
      </c>
      <c r="CR205">
        <f t="shared" si="217"/>
        <v>1</v>
      </c>
      <c r="CS205">
        <f t="shared" si="218"/>
        <v>0</v>
      </c>
      <c r="CT205">
        <f t="shared" si="174"/>
        <v>0</v>
      </c>
      <c r="CU205">
        <f t="shared" si="191"/>
        <v>2.87</v>
      </c>
      <c r="CV205">
        <f t="shared" si="192"/>
        <v>4.2699999999999996</v>
      </c>
      <c r="CW205">
        <f t="shared" si="193"/>
        <v>1.3999999999999996E-3</v>
      </c>
      <c r="CX205" t="str">
        <f t="shared" si="175"/>
        <v/>
      </c>
      <c r="CY205" t="str">
        <f t="shared" si="194"/>
        <v/>
      </c>
      <c r="CZ205" t="str">
        <f t="shared" si="176"/>
        <v/>
      </c>
      <c r="DA205" s="2">
        <f t="shared" si="195"/>
        <v>0.48780487804878031</v>
      </c>
      <c r="DB205" s="304" t="s">
        <v>263</v>
      </c>
      <c r="DC205" s="297" t="str">
        <f t="shared" si="196"/>
        <v>loc</v>
      </c>
      <c r="DD205" s="303" t="s">
        <v>718</v>
      </c>
      <c r="DG205">
        <v>3</v>
      </c>
      <c r="DH205" t="str">
        <f t="shared" si="197"/>
        <v>1-30</v>
      </c>
      <c r="DI205">
        <v>0</v>
      </c>
      <c r="DJ205">
        <v>1</v>
      </c>
      <c r="DK205">
        <v>0</v>
      </c>
      <c r="DL205">
        <v>0</v>
      </c>
      <c r="DM205">
        <v>0</v>
      </c>
      <c r="DN205">
        <f t="shared" si="211"/>
        <v>1</v>
      </c>
      <c r="DO205" t="str">
        <f t="shared" si="198"/>
        <v>EnergyInput</v>
      </c>
      <c r="DP205">
        <f t="shared" si="199"/>
        <v>0</v>
      </c>
      <c r="DQ205" t="str">
        <f t="shared" si="200"/>
        <v>Energy</v>
      </c>
      <c r="DR205">
        <f t="shared" si="201"/>
        <v>0</v>
      </c>
      <c r="DS205">
        <f t="shared" si="202"/>
        <v>0</v>
      </c>
      <c r="DT205">
        <v>0</v>
      </c>
      <c r="DU205">
        <v>0</v>
      </c>
      <c r="DV205">
        <v>0</v>
      </c>
      <c r="DW205">
        <v>0</v>
      </c>
      <c r="DX205">
        <v>0</v>
      </c>
      <c r="DY205"/>
      <c r="DZ205" t="str">
        <f t="shared" si="204"/>
        <v>explicit C balance</v>
      </c>
      <c r="EA205">
        <v>1</v>
      </c>
      <c r="EB205">
        <v>0</v>
      </c>
      <c r="EC205">
        <v>0</v>
      </c>
      <c r="ED205">
        <v>1</v>
      </c>
      <c r="EE205">
        <v>0</v>
      </c>
      <c r="EF205">
        <v>0</v>
      </c>
      <c r="EG205">
        <v>1</v>
      </c>
      <c r="EH205">
        <v>1</v>
      </c>
      <c r="EI205">
        <v>0</v>
      </c>
      <c r="EJ205">
        <v>0</v>
      </c>
      <c r="EK205">
        <v>0</v>
      </c>
      <c r="EL205">
        <v>0</v>
      </c>
      <c r="EM205">
        <v>0</v>
      </c>
      <c r="EN205" s="2">
        <v>0</v>
      </c>
      <c r="EP205" t="str">
        <f t="shared" si="177"/>
        <v/>
      </c>
      <c r="EQ205" t="str">
        <f t="shared" si="219"/>
        <v/>
      </c>
      <c r="ER205" s="2" t="str">
        <f t="shared" si="179"/>
        <v>Technology approach</v>
      </c>
      <c r="ES205" t="str">
        <f t="shared" si="180"/>
        <v/>
      </c>
      <c r="ET205" t="str">
        <f t="shared" si="181"/>
        <v/>
      </c>
      <c r="EU205" t="str">
        <f t="shared" si="182"/>
        <v/>
      </c>
      <c r="EY205" t="b">
        <f>IF(ISNUMBER(BW205),IF(ABS(BW205-[1]QC_indicators!$B$2)&gt;3*[1]QC_indicators!$C$2,"C ratio",IF(ISNUMBER(CA205),IF(ABS(CA205-[1]QC_indicators!$B$1)&gt;3*[1]QC_indicators!$C$1,"DF","no"))),IF(ISNUMBER(CA205),IF(ABS(CA205-[1]QC_indicators!$B$1)&gt;3*[1]QC_indicators!$C$1,"DF","no")))</f>
        <v>0</v>
      </c>
      <c r="FA205" t="str">
        <f t="shared" si="183"/>
        <v/>
      </c>
    </row>
    <row r="206" spans="1:157" ht="15" hidden="1" customHeight="1">
      <c r="A206" s="1" t="s">
        <v>3329</v>
      </c>
      <c r="B206" t="s">
        <v>3330</v>
      </c>
      <c r="C206" t="s">
        <v>3331</v>
      </c>
      <c r="D206" t="s">
        <v>3332</v>
      </c>
      <c r="E206" s="297" t="s">
        <v>3333</v>
      </c>
      <c r="F206" t="s">
        <v>3334</v>
      </c>
      <c r="G206" t="s">
        <v>3335</v>
      </c>
      <c r="H206" t="s">
        <v>254</v>
      </c>
      <c r="I206">
        <v>2015</v>
      </c>
      <c r="J206">
        <v>19</v>
      </c>
      <c r="K206" t="s">
        <v>3336</v>
      </c>
      <c r="M206" t="str">
        <f t="shared" si="212"/>
        <v>Guo_2015</v>
      </c>
      <c r="N206" s="297" t="s">
        <v>4058</v>
      </c>
      <c r="O206" s="297" t="s">
        <v>223</v>
      </c>
      <c r="Q206" s="297" t="s">
        <v>389</v>
      </c>
      <c r="R206" s="298"/>
      <c r="S206" s="154" t="s">
        <v>3337</v>
      </c>
      <c r="T206" s="299" t="s">
        <v>3338</v>
      </c>
      <c r="U206" s="297" t="s">
        <v>3344</v>
      </c>
      <c r="V206" s="297"/>
      <c r="W206" s="297"/>
      <c r="X206">
        <v>0</v>
      </c>
      <c r="Y206">
        <v>0</v>
      </c>
      <c r="Z206">
        <v>1</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s="141">
        <f t="shared" ref="AZ206:AZ237" si="220">COUNTIF(X206:AY206,"&lt;&gt;0")</f>
        <v>1</v>
      </c>
      <c r="BA206" s="141">
        <f t="shared" ref="BA206:BA237" si="221">COUNTIF(X206:AN206,"&lt;&gt;0")</f>
        <v>1</v>
      </c>
      <c r="BB206">
        <f t="shared" ref="BB206:BB237" si="222">COUNTIF(X206:AE206,"&lt;&gt;0")</f>
        <v>1</v>
      </c>
      <c r="BC206">
        <f t="shared" ref="BC206:BC237" si="223">COUNTIF(AF206:AK206,"&lt;&gt;0")</f>
        <v>0</v>
      </c>
      <c r="BD206">
        <f t="shared" ref="BD206:BD237" si="224">COUNTIF(AL206:AN206,"&lt;&gt;0")</f>
        <v>0</v>
      </c>
      <c r="BE206">
        <f t="shared" ref="BE206:BE237" si="225">COUNTIF(AU206:AY206,"&lt;&gt;0")</f>
        <v>0</v>
      </c>
      <c r="BF206">
        <f t="shared" ref="BF206:BF237" si="226">COUNTIF(AO206:AT206,"&lt;&gt;0")</f>
        <v>0</v>
      </c>
      <c r="BG206" t="str" cm="1">
        <f t="array" ref="BG206">IF(BA206=1,INDEX($X$7:$AN$7,MATCH(TRUE,INDEX($X206:$AY206&lt;&gt;0,),0)),IF(BA206=0,INDEX($AO$7:$AY$7,MATCH(1,$AO206:$AY206,0)),IF(BH206="Multiple strategies","mixed drivers",IF(BH206="Supply chain","multiple supply","multiple silviculture"))))</f>
        <v>rotation length</v>
      </c>
      <c r="BH206" s="2" t="str" cm="1">
        <f t="array" ref="BH206">IF(COUNTIF(BB206:BD206,"&lt;&gt;0")=1,INDEX($X$4:$AY$4,MATCH(TRUE,INDEX($X206:$AY206&lt;&gt;0,),0)),IF(COUNTIF(BB206:BD206,"&lt;&gt;0")=0,INDEX($AO$4:$AY$4,MATCH(1,$AO206:$AY206,0)),"Multiple strategies"))</f>
        <v>Silviculture for removals</v>
      </c>
      <c r="BI206" s="1" t="s">
        <v>321</v>
      </c>
      <c r="BJ206" s="297" t="s">
        <v>3340</v>
      </c>
      <c r="BK206" s="297"/>
      <c r="BL206" s="297" t="s">
        <v>345</v>
      </c>
      <c r="BM206">
        <v>1</v>
      </c>
      <c r="BN206">
        <v>1</v>
      </c>
      <c r="BP206">
        <f t="shared" si="213"/>
        <v>0</v>
      </c>
      <c r="BQ206">
        <f t="shared" si="214"/>
        <v>0</v>
      </c>
      <c r="BR206" s="297" t="s">
        <v>395</v>
      </c>
      <c r="BT206" s="297" t="s">
        <v>397</v>
      </c>
      <c r="BU206">
        <f>-2.1</f>
        <v>-2.1</v>
      </c>
      <c r="BV206">
        <v>-3.19</v>
      </c>
      <c r="BX206">
        <f t="shared" si="208"/>
        <v>-1.0899999999999999</v>
      </c>
      <c r="BZ206">
        <f t="shared" si="215"/>
        <v>-1.0899999999999998E-3</v>
      </c>
      <c r="CA206" t="str">
        <f t="shared" si="173"/>
        <v/>
      </c>
      <c r="CB206">
        <v>1</v>
      </c>
      <c r="CP206" t="str">
        <f t="shared" si="205"/>
        <v>refOK</v>
      </c>
      <c r="CQ206">
        <f t="shared" si="216"/>
        <v>1</v>
      </c>
      <c r="CR206">
        <f t="shared" si="217"/>
        <v>1</v>
      </c>
      <c r="CS206">
        <f t="shared" si="218"/>
        <v>0</v>
      </c>
      <c r="CT206">
        <f t="shared" si="174"/>
        <v>0</v>
      </c>
      <c r="CU206">
        <f t="shared" ref="CU206:CU237" si="227">IF($CP206="refOK",$BU206,$BV206)*IF($BR206="Emissions positive",-1,1)</f>
        <v>2.1</v>
      </c>
      <c r="CV206">
        <f t="shared" ref="CV206:CV237" si="228">IF($CP206="refOK",$BV206,$BU206)*IF($BR206="Emissions positive",-1,1)</f>
        <v>3.19</v>
      </c>
      <c r="CW206">
        <f t="shared" ref="CW206:CW237" si="229">IF($CP206="refNeedCorrection",-BZ206,BZ206)*IF($BR206="Emissions positive",-1,1)</f>
        <v>1.0899999999999998E-3</v>
      </c>
      <c r="CX206" t="str">
        <f t="shared" si="175"/>
        <v/>
      </c>
      <c r="CY206" t="str">
        <f t="shared" ref="CY206:CY237" si="230">IFERROR($CW206/$CS206,"")</f>
        <v/>
      </c>
      <c r="CZ206" t="str">
        <f t="shared" si="176"/>
        <v/>
      </c>
      <c r="DA206" s="2">
        <f t="shared" ref="DA206:DA237" si="231">IFERROR((CV206-CU206)/ABS(CU206),"")</f>
        <v>0.51904761904761898</v>
      </c>
      <c r="DB206" s="304" t="s">
        <v>263</v>
      </c>
      <c r="DC206" s="297" t="str">
        <f t="shared" ref="DC206:DC237" si="232">IF(OR($DB206="prd",$DB206="std",$DB206="cit"),"loc",IF(OR($DB206="eur",$DB206="reg",$DB206="coy"),"reg",$DB206))</f>
        <v>loc</v>
      </c>
      <c r="DD206" s="303" t="s">
        <v>718</v>
      </c>
      <c r="DG206">
        <v>3</v>
      </c>
      <c r="DH206" t="str">
        <f t="shared" ref="DH206:DH237" si="233">IF(DG206=0,"0",IF(AND(DG206&gt;=1,DG206&lt;=30),"1-30",IF(AND(DG206&gt;30,DG206&lt;=70),"31-70",IF(AND(DG206&gt;70,DG206&lt;=100),"71-100",IF(DG206&gt;100,"+100")))))</f>
        <v>1-30</v>
      </c>
      <c r="DI206">
        <v>0</v>
      </c>
      <c r="DJ206">
        <v>1</v>
      </c>
      <c r="DK206">
        <v>0</v>
      </c>
      <c r="DL206">
        <v>0</v>
      </c>
      <c r="DM206">
        <v>0</v>
      </c>
      <c r="DN206">
        <f t="shared" si="211"/>
        <v>1</v>
      </c>
      <c r="DO206" t="str">
        <f t="shared" ref="DO206:DO237" si="234">IF(DN206=1,INDEX($DI$7:$DL$7,MATCH(1,$DI206:$DL206,0)),"mixedProduct")</f>
        <v>EnergyInput</v>
      </c>
      <c r="DP206">
        <f t="shared" ref="DP206:DP237" si="235">IF(DI206=1,DP$7,0)</f>
        <v>0</v>
      </c>
      <c r="DQ206" t="str">
        <f t="shared" ref="DQ206:DQ237" si="236">IF(DJ206=1,DQ$7,0)</f>
        <v>Energy</v>
      </c>
      <c r="DR206">
        <f t="shared" ref="DR206:DR237" si="237">IF(DK206=1,DR$7,0)</f>
        <v>0</v>
      </c>
      <c r="DS206">
        <f t="shared" ref="DS206:DS237" si="238">IF(DL206=1,DS$7,0)</f>
        <v>0</v>
      </c>
      <c r="DT206">
        <v>0</v>
      </c>
      <c r="DU206">
        <v>0</v>
      </c>
      <c r="DV206">
        <v>0</v>
      </c>
      <c r="DW206">
        <v>0</v>
      </c>
      <c r="DX206">
        <v>0</v>
      </c>
      <c r="DY206"/>
      <c r="DZ206" t="str">
        <f t="shared" ref="DZ206:DZ237" si="239">IF(DT206=1,"self-calculated DF",IF(DU206=1,"external DF used","explicit C balance"))</f>
        <v>explicit C balance</v>
      </c>
      <c r="EA206">
        <v>1</v>
      </c>
      <c r="EB206">
        <v>0</v>
      </c>
      <c r="EC206">
        <v>0</v>
      </c>
      <c r="ED206">
        <v>1</v>
      </c>
      <c r="EE206">
        <v>0</v>
      </c>
      <c r="EF206">
        <v>0</v>
      </c>
      <c r="EG206">
        <v>1</v>
      </c>
      <c r="EH206">
        <v>1</v>
      </c>
      <c r="EI206">
        <v>0</v>
      </c>
      <c r="EJ206">
        <v>0</v>
      </c>
      <c r="EK206">
        <v>0</v>
      </c>
      <c r="EL206">
        <v>0</v>
      </c>
      <c r="EM206">
        <v>0</v>
      </c>
      <c r="EN206" s="2">
        <v>0</v>
      </c>
      <c r="EP206" t="str">
        <f t="shared" si="177"/>
        <v/>
      </c>
      <c r="EQ206" t="str">
        <f t="shared" si="219"/>
        <v/>
      </c>
      <c r="ER206" s="2" t="str">
        <f t="shared" si="179"/>
        <v>Technology approach</v>
      </c>
      <c r="ES206" t="str">
        <f t="shared" si="180"/>
        <v/>
      </c>
      <c r="ET206" t="str">
        <f t="shared" si="181"/>
        <v/>
      </c>
      <c r="EU206" t="str">
        <f t="shared" si="182"/>
        <v/>
      </c>
      <c r="EY206" t="b">
        <f>IF(ISNUMBER(BW206),IF(ABS(BW206-[1]QC_indicators!$B$2)&gt;3*[1]QC_indicators!$C$2,"C ratio",IF(ISNUMBER(CA206),IF(ABS(CA206-[1]QC_indicators!$B$1)&gt;3*[1]QC_indicators!$C$1,"DF","no"))),IF(ISNUMBER(CA206),IF(ABS(CA206-[1]QC_indicators!$B$1)&gt;3*[1]QC_indicators!$C$1,"DF","no")))</f>
        <v>0</v>
      </c>
      <c r="FA206" t="str">
        <f t="shared" si="183"/>
        <v/>
      </c>
    </row>
    <row r="207" spans="1:157" ht="15" hidden="1" customHeight="1">
      <c r="A207" s="304" t="s">
        <v>761</v>
      </c>
      <c r="D207" t="s">
        <v>3348</v>
      </c>
      <c r="E207" s="297" t="s">
        <v>3349</v>
      </c>
      <c r="F207" s="297" t="s">
        <v>3350</v>
      </c>
      <c r="G207" t="s">
        <v>762</v>
      </c>
      <c r="I207">
        <v>2014</v>
      </c>
      <c r="J207">
        <v>34</v>
      </c>
      <c r="K207" s="288" t="s">
        <v>3351</v>
      </c>
      <c r="M207" t="str">
        <f t="shared" si="212"/>
        <v>Haus_2014</v>
      </c>
      <c r="N207" s="297" t="s">
        <v>4058</v>
      </c>
      <c r="O207" s="157" t="s">
        <v>223</v>
      </c>
      <c r="P207" t="s">
        <v>223</v>
      </c>
      <c r="Q207" s="297" t="s">
        <v>389</v>
      </c>
      <c r="R207" s="298"/>
      <c r="S207" s="154" t="s">
        <v>3352</v>
      </c>
      <c r="T207" s="299" t="s">
        <v>3353</v>
      </c>
      <c r="U207" s="143" t="s">
        <v>3358</v>
      </c>
      <c r="V207" s="143"/>
      <c r="W207" s="143"/>
      <c r="X207">
        <v>1</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s="141">
        <f t="shared" si="220"/>
        <v>1</v>
      </c>
      <c r="BA207" s="141">
        <f t="shared" si="221"/>
        <v>1</v>
      </c>
      <c r="BB207">
        <f t="shared" si="222"/>
        <v>1</v>
      </c>
      <c r="BC207">
        <f t="shared" si="223"/>
        <v>0</v>
      </c>
      <c r="BD207">
        <f t="shared" si="224"/>
        <v>0</v>
      </c>
      <c r="BE207">
        <f t="shared" si="225"/>
        <v>0</v>
      </c>
      <c r="BF207">
        <f t="shared" si="226"/>
        <v>0</v>
      </c>
      <c r="BG207" t="str" cm="1">
        <f t="array" ref="BG207">IF(BA207=1,INDEX($X$7:$AN$7,MATCH(TRUE,INDEX($X207:$AY207&lt;&gt;0,),0)),IF(BA207=0,INDEX($AO$7:$AY$7,MATCH(1,$AO207:$AY207,0)),IF(BH207="Multiple strategies","mixed drivers",IF(BH207="Supply chain","multiple supply","multiple silviculture"))))</f>
        <v>area subject to harvest</v>
      </c>
      <c r="BH207" s="2" t="str" cm="1">
        <f t="array" ref="BH207">IF(COUNTIF(BB207:BD207,"&lt;&gt;0")=1,INDEX($X$4:$AY$4,MATCH(TRUE,INDEX($X207:$AY207&lt;&gt;0,),0)),IF(COUNTIF(BB207:BD207,"&lt;&gt;0")=0,INDEX($AO$4:$AY$4,MATCH(1,$AO207:$AY207,0)),"Multiple strategies"))</f>
        <v>Silviculture for removals</v>
      </c>
      <c r="BI207" s="142"/>
      <c r="BL207" s="143"/>
      <c r="BN207" s="143"/>
      <c r="BO207" t="str">
        <f>IFERROR(BN207/BM207,"")</f>
        <v/>
      </c>
      <c r="BP207" s="158">
        <f t="shared" si="213"/>
        <v>0</v>
      </c>
      <c r="BQ207" s="159">
        <f>BP207</f>
        <v>0</v>
      </c>
      <c r="BR207" s="155" t="s">
        <v>232</v>
      </c>
      <c r="BS207" s="329" t="s">
        <v>429</v>
      </c>
      <c r="BT207" s="141" t="s">
        <v>764</v>
      </c>
      <c r="BU207" s="151">
        <v>649</v>
      </c>
      <c r="BV207" s="151">
        <v>-1716</v>
      </c>
      <c r="BW207" s="144">
        <f t="shared" ref="BW207:BW218" si="240">BV207/BU207</f>
        <v>-2.6440677966101696</v>
      </c>
      <c r="BX207">
        <f t="shared" si="208"/>
        <v>-2365</v>
      </c>
      <c r="BZ207">
        <f t="shared" ref="BZ207:BZ218" si="241">BX207</f>
        <v>-2365</v>
      </c>
      <c r="CA207" t="str">
        <f t="shared" si="173"/>
        <v/>
      </c>
      <c r="CB207">
        <v>0</v>
      </c>
      <c r="CC207">
        <v>0</v>
      </c>
      <c r="CD207">
        <v>0</v>
      </c>
      <c r="CE207">
        <v>0</v>
      </c>
      <c r="CF207">
        <v>0</v>
      </c>
      <c r="CG207">
        <v>0</v>
      </c>
      <c r="CH207">
        <v>0</v>
      </c>
      <c r="CI207">
        <v>0</v>
      </c>
      <c r="CJ207">
        <v>0</v>
      </c>
      <c r="CK207">
        <v>0</v>
      </c>
      <c r="CL207">
        <v>0</v>
      </c>
      <c r="CM207">
        <v>0</v>
      </c>
      <c r="CN207">
        <v>0</v>
      </c>
      <c r="CO207">
        <v>0</v>
      </c>
      <c r="CP207" t="str">
        <f t="shared" si="205"/>
        <v>refOK</v>
      </c>
      <c r="CQ207">
        <f t="shared" si="216"/>
        <v>0</v>
      </c>
      <c r="CR207">
        <f t="shared" si="217"/>
        <v>0</v>
      </c>
      <c r="CS207">
        <f t="shared" si="218"/>
        <v>0</v>
      </c>
      <c r="CT207">
        <f t="shared" si="174"/>
        <v>0</v>
      </c>
      <c r="CU207">
        <f t="shared" si="227"/>
        <v>649</v>
      </c>
      <c r="CV207">
        <f t="shared" si="228"/>
        <v>-1716</v>
      </c>
      <c r="CW207">
        <f t="shared" si="229"/>
        <v>-2365</v>
      </c>
      <c r="CX207" t="str">
        <f t="shared" si="175"/>
        <v/>
      </c>
      <c r="CY207" t="str">
        <f t="shared" si="230"/>
        <v/>
      </c>
      <c r="CZ207" t="str">
        <f t="shared" si="176"/>
        <v/>
      </c>
      <c r="DA207" s="2">
        <f t="shared" si="231"/>
        <v>-3.6440677966101696</v>
      </c>
      <c r="DB207" s="304" t="s">
        <v>234</v>
      </c>
      <c r="DC207" s="297" t="str">
        <f t="shared" si="232"/>
        <v>loc</v>
      </c>
      <c r="DD207" s="303" t="s">
        <v>444</v>
      </c>
      <c r="DF207" s="143"/>
      <c r="DG207" s="143">
        <v>240</v>
      </c>
      <c r="DH207" t="str">
        <f t="shared" si="233"/>
        <v>+100</v>
      </c>
      <c r="DI207">
        <v>1</v>
      </c>
      <c r="DJ207">
        <v>1</v>
      </c>
      <c r="DK207">
        <v>1</v>
      </c>
      <c r="DL207">
        <v>1</v>
      </c>
      <c r="DM207">
        <v>0</v>
      </c>
      <c r="DN207">
        <f t="shared" si="211"/>
        <v>4</v>
      </c>
      <c r="DO207" t="str">
        <f t="shared" si="234"/>
        <v>mixedProduct</v>
      </c>
      <c r="DP207" t="str">
        <f t="shared" si="235"/>
        <v>Upstream</v>
      </c>
      <c r="DQ207" t="str">
        <f t="shared" si="236"/>
        <v>Energy</v>
      </c>
      <c r="DR207" t="str">
        <f t="shared" si="237"/>
        <v>Pulp/Paper</v>
      </c>
      <c r="DS207" t="str">
        <f t="shared" si="238"/>
        <v>Timber</v>
      </c>
      <c r="DT207">
        <v>0</v>
      </c>
      <c r="DU207" s="143">
        <v>0</v>
      </c>
      <c r="DV207" s="143">
        <v>0</v>
      </c>
      <c r="DW207">
        <v>0</v>
      </c>
      <c r="DX207" s="143">
        <v>0</v>
      </c>
      <c r="DY207">
        <f t="shared" ref="DY207:DY237" si="242">SUM(DT207:DU207)</f>
        <v>0</v>
      </c>
      <c r="DZ207" s="143" t="str">
        <f t="shared" si="239"/>
        <v>explicit C balance</v>
      </c>
      <c r="EA207" s="143">
        <v>0</v>
      </c>
      <c r="EB207" s="143">
        <v>1</v>
      </c>
      <c r="EC207" s="143">
        <v>1</v>
      </c>
      <c r="ED207" s="143">
        <v>1</v>
      </c>
      <c r="EE207">
        <v>0</v>
      </c>
      <c r="EF207" s="143">
        <v>0</v>
      </c>
      <c r="EG207" s="143">
        <v>0</v>
      </c>
      <c r="EH207" s="143">
        <v>0</v>
      </c>
      <c r="EI207" s="143">
        <v>0</v>
      </c>
      <c r="EJ207">
        <v>0</v>
      </c>
      <c r="EK207">
        <v>1</v>
      </c>
      <c r="EL207" s="143">
        <v>0</v>
      </c>
      <c r="EM207" s="143">
        <v>0</v>
      </c>
      <c r="EN207" s="2">
        <v>0</v>
      </c>
      <c r="EP207" t="str">
        <f t="shared" si="177"/>
        <v/>
      </c>
      <c r="EQ207" t="str">
        <f t="shared" si="219"/>
        <v>Ecosystem approach</v>
      </c>
      <c r="ER207" s="2" t="str">
        <f t="shared" si="179"/>
        <v/>
      </c>
      <c r="ES207" t="str">
        <f t="shared" si="180"/>
        <v/>
      </c>
      <c r="ET207" t="str">
        <f t="shared" si="181"/>
        <v/>
      </c>
      <c r="EU207" t="str">
        <f t="shared" si="182"/>
        <v/>
      </c>
      <c r="EW207" s="297" t="s">
        <v>3355</v>
      </c>
      <c r="EY207" t="b">
        <f>IF(ISNUMBER(BW207),IF(ABS(BW207-[1]QC_indicators!$B$2)&gt;3*[1]QC_indicators!$C$2,"C ratio",IF(ISNUMBER(CA207),IF(ABS(CA207-[1]QC_indicators!$B$1)&gt;3*[1]QC_indicators!$C$1,"DF","no"))),IF(ISNUMBER(CA207),IF(ABS(CA207-[1]QC_indicators!$B$1)&gt;3*[1]QC_indicators!$C$1,"DF","no")))</f>
        <v>0</v>
      </c>
      <c r="FA207" t="str">
        <f t="shared" si="183"/>
        <v/>
      </c>
    </row>
    <row r="208" spans="1:157" ht="15" hidden="1" customHeight="1">
      <c r="A208" s="304" t="s">
        <v>761</v>
      </c>
      <c r="D208" t="s">
        <v>3348</v>
      </c>
      <c r="E208" s="297" t="s">
        <v>3349</v>
      </c>
      <c r="F208" s="297" t="s">
        <v>3350</v>
      </c>
      <c r="G208" t="s">
        <v>762</v>
      </c>
      <c r="I208">
        <v>2014</v>
      </c>
      <c r="J208">
        <v>34</v>
      </c>
      <c r="K208" s="288" t="s">
        <v>3351</v>
      </c>
      <c r="M208" t="str">
        <f t="shared" si="212"/>
        <v>Haus_2014</v>
      </c>
      <c r="N208" s="297" t="s">
        <v>4058</v>
      </c>
      <c r="O208" s="157" t="s">
        <v>223</v>
      </c>
      <c r="P208" t="s">
        <v>223</v>
      </c>
      <c r="Q208" s="297" t="s">
        <v>389</v>
      </c>
      <c r="R208" s="298"/>
      <c r="S208" s="154" t="s">
        <v>3352</v>
      </c>
      <c r="T208" s="299" t="s">
        <v>3356</v>
      </c>
      <c r="U208" s="143" t="s">
        <v>3358</v>
      </c>
      <c r="V208" s="143"/>
      <c r="W208" s="143"/>
      <c r="X208">
        <v>1</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s="141">
        <f t="shared" si="220"/>
        <v>1</v>
      </c>
      <c r="BA208" s="141">
        <f t="shared" si="221"/>
        <v>1</v>
      </c>
      <c r="BB208">
        <f t="shared" si="222"/>
        <v>1</v>
      </c>
      <c r="BC208">
        <f t="shared" si="223"/>
        <v>0</v>
      </c>
      <c r="BD208">
        <f t="shared" si="224"/>
        <v>0</v>
      </c>
      <c r="BE208">
        <f t="shared" si="225"/>
        <v>0</v>
      </c>
      <c r="BF208">
        <f t="shared" si="226"/>
        <v>0</v>
      </c>
      <c r="BG208" t="str" cm="1">
        <f t="array" ref="BG208">IF(BA208=1,INDEX($X$7:$AN$7,MATCH(TRUE,INDEX($X208:$AY208&lt;&gt;0,),0)),IF(BA208=0,INDEX($AO$7:$AY$7,MATCH(1,$AO208:$AY208,0)),IF(BH208="Multiple strategies","mixed drivers",IF(BH208="Supply chain","multiple supply","multiple silviculture"))))</f>
        <v>area subject to harvest</v>
      </c>
      <c r="BH208" s="2" t="str" cm="1">
        <f t="array" ref="BH208">IF(COUNTIF(BB208:BD208,"&lt;&gt;0")=1,INDEX($X$4:$AY$4,MATCH(TRUE,INDEX($X208:$AY208&lt;&gt;0,),0)),IF(COUNTIF(BB208:BD208,"&lt;&gt;0")=0,INDEX($AO$4:$AY$4,MATCH(1,$AO208:$AY208,0)),"Multiple strategies"))</f>
        <v>Silviculture for removals</v>
      </c>
      <c r="BI208" s="142"/>
      <c r="BL208" s="143"/>
      <c r="BN208" s="143"/>
      <c r="BP208" s="158"/>
      <c r="BQ208" s="159"/>
      <c r="BR208" s="155" t="s">
        <v>232</v>
      </c>
      <c r="BS208" s="329" t="s">
        <v>429</v>
      </c>
      <c r="BT208" s="141" t="s">
        <v>764</v>
      </c>
      <c r="BU208" s="151">
        <v>992</v>
      </c>
      <c r="BV208" s="151">
        <v>-1716</v>
      </c>
      <c r="BW208" s="144">
        <f t="shared" si="240"/>
        <v>-1.7298387096774193</v>
      </c>
      <c r="BX208">
        <f t="shared" si="208"/>
        <v>-2708</v>
      </c>
      <c r="BZ208">
        <f t="shared" si="241"/>
        <v>-2708</v>
      </c>
      <c r="CA208" t="str">
        <f t="shared" si="173"/>
        <v/>
      </c>
      <c r="CB208">
        <v>0</v>
      </c>
      <c r="CC208">
        <v>0</v>
      </c>
      <c r="CD208">
        <v>0</v>
      </c>
      <c r="CE208">
        <v>0</v>
      </c>
      <c r="CF208">
        <v>0</v>
      </c>
      <c r="CG208">
        <v>0</v>
      </c>
      <c r="CH208">
        <v>0</v>
      </c>
      <c r="CI208">
        <v>0</v>
      </c>
      <c r="CJ208">
        <v>0</v>
      </c>
      <c r="CK208">
        <v>0</v>
      </c>
      <c r="CL208">
        <v>0</v>
      </c>
      <c r="CM208">
        <v>0</v>
      </c>
      <c r="CN208">
        <v>0</v>
      </c>
      <c r="CO208">
        <v>0</v>
      </c>
      <c r="CP208" t="str">
        <f t="shared" si="205"/>
        <v>refOK</v>
      </c>
      <c r="CQ208"/>
      <c r="CR208"/>
      <c r="CS208"/>
      <c r="CT208">
        <f t="shared" si="174"/>
        <v>0</v>
      </c>
      <c r="CU208">
        <f t="shared" si="227"/>
        <v>992</v>
      </c>
      <c r="CV208">
        <f t="shared" si="228"/>
        <v>-1716</v>
      </c>
      <c r="CW208">
        <f t="shared" si="229"/>
        <v>-2708</v>
      </c>
      <c r="CX208" t="str">
        <f t="shared" si="175"/>
        <v/>
      </c>
      <c r="CY208" t="str">
        <f t="shared" si="230"/>
        <v/>
      </c>
      <c r="CZ208" t="str">
        <f t="shared" si="176"/>
        <v/>
      </c>
      <c r="DA208" s="2">
        <f t="shared" si="231"/>
        <v>-2.7298387096774195</v>
      </c>
      <c r="DB208" s="304" t="s">
        <v>234</v>
      </c>
      <c r="DC208" s="297" t="str">
        <f t="shared" si="232"/>
        <v>loc</v>
      </c>
      <c r="DD208" s="303" t="s">
        <v>444</v>
      </c>
      <c r="DF208" s="143"/>
      <c r="DG208" s="143">
        <v>240</v>
      </c>
      <c r="DH208" t="str">
        <f t="shared" si="233"/>
        <v>+100</v>
      </c>
      <c r="DI208">
        <v>1</v>
      </c>
      <c r="DJ208">
        <v>1</v>
      </c>
      <c r="DK208">
        <v>1</v>
      </c>
      <c r="DL208">
        <v>1</v>
      </c>
      <c r="DM208">
        <v>0</v>
      </c>
      <c r="DN208">
        <f t="shared" ref="DN208:DN234" si="243">SUM(DI208:DL208)</f>
        <v>4</v>
      </c>
      <c r="DO208" t="str">
        <f t="shared" si="234"/>
        <v>mixedProduct</v>
      </c>
      <c r="DP208" t="str">
        <f t="shared" si="235"/>
        <v>Upstream</v>
      </c>
      <c r="DQ208" t="str">
        <f t="shared" si="236"/>
        <v>Energy</v>
      </c>
      <c r="DR208" t="str">
        <f t="shared" si="237"/>
        <v>Pulp/Paper</v>
      </c>
      <c r="DS208" t="str">
        <f t="shared" si="238"/>
        <v>Timber</v>
      </c>
      <c r="DT208">
        <v>0</v>
      </c>
      <c r="DU208" s="143">
        <v>0</v>
      </c>
      <c r="DV208" s="143">
        <v>0</v>
      </c>
      <c r="DW208">
        <v>0</v>
      </c>
      <c r="DX208" s="143">
        <v>0</v>
      </c>
      <c r="DY208">
        <f t="shared" si="242"/>
        <v>0</v>
      </c>
      <c r="DZ208" s="143" t="str">
        <f t="shared" si="239"/>
        <v>explicit C balance</v>
      </c>
      <c r="EA208" s="143">
        <v>0</v>
      </c>
      <c r="EB208" s="143">
        <v>1</v>
      </c>
      <c r="EC208" s="143">
        <v>1</v>
      </c>
      <c r="ED208" s="143">
        <v>1</v>
      </c>
      <c r="EE208">
        <v>0</v>
      </c>
      <c r="EF208" s="143">
        <v>0</v>
      </c>
      <c r="EG208" s="143">
        <v>0</v>
      </c>
      <c r="EH208" s="143">
        <v>0</v>
      </c>
      <c r="EI208" s="143">
        <v>0</v>
      </c>
      <c r="EJ208">
        <v>0</v>
      </c>
      <c r="EK208">
        <v>1</v>
      </c>
      <c r="EL208" s="143">
        <v>0</v>
      </c>
      <c r="EM208" s="143">
        <v>0</v>
      </c>
      <c r="EN208" s="2">
        <v>0</v>
      </c>
      <c r="EP208" t="str">
        <f t="shared" si="177"/>
        <v/>
      </c>
      <c r="EQ208" t="str">
        <f t="shared" si="219"/>
        <v>Ecosystem approach</v>
      </c>
      <c r="ER208" s="2" t="str">
        <f t="shared" si="179"/>
        <v/>
      </c>
      <c r="ES208" t="str">
        <f t="shared" si="180"/>
        <v/>
      </c>
      <c r="ET208" t="str">
        <f t="shared" si="181"/>
        <v/>
      </c>
      <c r="EU208" t="str">
        <f t="shared" si="182"/>
        <v/>
      </c>
      <c r="EW208" s="297" t="s">
        <v>3355</v>
      </c>
      <c r="EY208" t="b">
        <f>IF(ISNUMBER(BW208),IF(ABS(BW208-[1]QC_indicators!$B$2)&gt;3*[1]QC_indicators!$C$2,"C ratio",IF(ISNUMBER(CA208),IF(ABS(CA208-[1]QC_indicators!$B$1)&gt;3*[1]QC_indicators!$C$1,"DF","no"))),IF(ISNUMBER(CA208),IF(ABS(CA208-[1]QC_indicators!$B$1)&gt;3*[1]QC_indicators!$C$1,"DF","no")))</f>
        <v>0</v>
      </c>
      <c r="FA208" t="str">
        <f t="shared" si="183"/>
        <v/>
      </c>
    </row>
    <row r="209" spans="1:158" ht="15" hidden="1" customHeight="1">
      <c r="A209" s="304" t="s">
        <v>761</v>
      </c>
      <c r="D209" t="s">
        <v>3348</v>
      </c>
      <c r="E209" s="297" t="s">
        <v>3349</v>
      </c>
      <c r="F209" s="297" t="s">
        <v>3350</v>
      </c>
      <c r="G209" t="s">
        <v>762</v>
      </c>
      <c r="I209">
        <v>2014</v>
      </c>
      <c r="J209">
        <v>34</v>
      </c>
      <c r="K209" s="288" t="s">
        <v>3351</v>
      </c>
      <c r="M209" t="str">
        <f t="shared" si="212"/>
        <v>Haus_2014</v>
      </c>
      <c r="N209" s="297" t="s">
        <v>4058</v>
      </c>
      <c r="O209" s="157" t="s">
        <v>223</v>
      </c>
      <c r="P209" t="s">
        <v>223</v>
      </c>
      <c r="Q209" s="297" t="s">
        <v>389</v>
      </c>
      <c r="R209" s="298"/>
      <c r="S209" s="154" t="s">
        <v>3352</v>
      </c>
      <c r="T209" s="299" t="s">
        <v>3353</v>
      </c>
      <c r="U209" s="143" t="s">
        <v>3354</v>
      </c>
      <c r="V209" s="143"/>
      <c r="W209" s="143"/>
      <c r="X209">
        <v>1</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s="141">
        <f t="shared" si="220"/>
        <v>1</v>
      </c>
      <c r="BA209" s="141">
        <f t="shared" si="221"/>
        <v>1</v>
      </c>
      <c r="BB209">
        <f t="shared" si="222"/>
        <v>1</v>
      </c>
      <c r="BC209">
        <f t="shared" si="223"/>
        <v>0</v>
      </c>
      <c r="BD209">
        <f t="shared" si="224"/>
        <v>0</v>
      </c>
      <c r="BE209">
        <f t="shared" si="225"/>
        <v>0</v>
      </c>
      <c r="BF209">
        <f t="shared" si="226"/>
        <v>0</v>
      </c>
      <c r="BG209" t="str" cm="1">
        <f t="array" ref="BG209">IF(BA209=1,INDEX($X$7:$AN$7,MATCH(TRUE,INDEX($X209:$AY209&lt;&gt;0,),0)),IF(BA209=0,INDEX($AO$7:$AY$7,MATCH(1,$AO209:$AY209,0)),IF(BH209="Multiple strategies","mixed drivers",IF(BH209="Supply chain","multiple supply","multiple silviculture"))))</f>
        <v>area subject to harvest</v>
      </c>
      <c r="BH209" s="2" t="str" cm="1">
        <f t="array" ref="BH209">IF(COUNTIF(BB209:BD209,"&lt;&gt;0")=1,INDEX($X$4:$AY$4,MATCH(TRUE,INDEX($X209:$AY209&lt;&gt;0,),0)),IF(COUNTIF(BB209:BD209,"&lt;&gt;0")=0,INDEX($AO$4:$AY$4,MATCH(1,$AO209:$AY209,0)),"Multiple strategies"))</f>
        <v>Silviculture for removals</v>
      </c>
      <c r="BI209" s="142"/>
      <c r="BL209" s="143"/>
      <c r="BN209" s="143"/>
      <c r="BP209" s="158"/>
      <c r="BQ209" s="159"/>
      <c r="BR209" s="155" t="s">
        <v>232</v>
      </c>
      <c r="BS209" s="329" t="s">
        <v>429</v>
      </c>
      <c r="BT209" s="141" t="s">
        <v>764</v>
      </c>
      <c r="BU209" s="151">
        <v>649</v>
      </c>
      <c r="BV209" s="151">
        <v>-852</v>
      </c>
      <c r="BW209" s="144">
        <f t="shared" si="240"/>
        <v>-1.312788906009245</v>
      </c>
      <c r="BX209">
        <f t="shared" si="208"/>
        <v>-1501</v>
      </c>
      <c r="BZ209">
        <f t="shared" si="241"/>
        <v>-1501</v>
      </c>
      <c r="CA209" t="str">
        <f t="shared" si="173"/>
        <v/>
      </c>
      <c r="CB209">
        <v>0</v>
      </c>
      <c r="CC209">
        <v>0</v>
      </c>
      <c r="CD209">
        <v>0</v>
      </c>
      <c r="CE209">
        <v>0</v>
      </c>
      <c r="CF209">
        <v>0</v>
      </c>
      <c r="CG209">
        <v>0</v>
      </c>
      <c r="CH209">
        <v>0</v>
      </c>
      <c r="CI209">
        <v>0</v>
      </c>
      <c r="CJ209">
        <v>0</v>
      </c>
      <c r="CK209">
        <v>0</v>
      </c>
      <c r="CL209">
        <v>0</v>
      </c>
      <c r="CM209">
        <v>0</v>
      </c>
      <c r="CN209">
        <v>0</v>
      </c>
      <c r="CO209">
        <v>0</v>
      </c>
      <c r="CP209" t="str">
        <f t="shared" si="205"/>
        <v>refOK</v>
      </c>
      <c r="CQ209"/>
      <c r="CR209"/>
      <c r="CS209"/>
      <c r="CT209">
        <f t="shared" si="174"/>
        <v>0</v>
      </c>
      <c r="CU209">
        <f t="shared" si="227"/>
        <v>649</v>
      </c>
      <c r="CV209">
        <f t="shared" si="228"/>
        <v>-852</v>
      </c>
      <c r="CW209">
        <f t="shared" si="229"/>
        <v>-1501</v>
      </c>
      <c r="CX209" t="str">
        <f t="shared" si="175"/>
        <v/>
      </c>
      <c r="CY209" t="str">
        <f t="shared" si="230"/>
        <v/>
      </c>
      <c r="CZ209" t="str">
        <f t="shared" si="176"/>
        <v/>
      </c>
      <c r="DA209" s="2">
        <f t="shared" si="231"/>
        <v>-2.3127889060092448</v>
      </c>
      <c r="DB209" s="304" t="s">
        <v>234</v>
      </c>
      <c r="DC209" s="297" t="str">
        <f t="shared" si="232"/>
        <v>loc</v>
      </c>
      <c r="DD209" s="303" t="s">
        <v>444</v>
      </c>
      <c r="DF209" s="143"/>
      <c r="DG209" s="143">
        <v>240</v>
      </c>
      <c r="DH209" t="str">
        <f t="shared" si="233"/>
        <v>+100</v>
      </c>
      <c r="DI209">
        <v>1</v>
      </c>
      <c r="DJ209">
        <v>1</v>
      </c>
      <c r="DK209">
        <v>1</v>
      </c>
      <c r="DL209">
        <v>1</v>
      </c>
      <c r="DM209">
        <v>0</v>
      </c>
      <c r="DN209">
        <f t="shared" si="243"/>
        <v>4</v>
      </c>
      <c r="DO209" t="str">
        <f t="shared" si="234"/>
        <v>mixedProduct</v>
      </c>
      <c r="DP209" t="str">
        <f t="shared" si="235"/>
        <v>Upstream</v>
      </c>
      <c r="DQ209" t="str">
        <f t="shared" si="236"/>
        <v>Energy</v>
      </c>
      <c r="DR209" t="str">
        <f t="shared" si="237"/>
        <v>Pulp/Paper</v>
      </c>
      <c r="DS209" t="str">
        <f t="shared" si="238"/>
        <v>Timber</v>
      </c>
      <c r="DT209">
        <v>0</v>
      </c>
      <c r="DU209" s="143">
        <v>0</v>
      </c>
      <c r="DV209" s="143">
        <v>0</v>
      </c>
      <c r="DW209">
        <v>0</v>
      </c>
      <c r="DX209" s="143">
        <v>0</v>
      </c>
      <c r="DY209">
        <f t="shared" si="242"/>
        <v>0</v>
      </c>
      <c r="DZ209" s="143" t="str">
        <f t="shared" si="239"/>
        <v>explicit C balance</v>
      </c>
      <c r="EA209" s="143">
        <v>0</v>
      </c>
      <c r="EB209" s="143">
        <v>1</v>
      </c>
      <c r="EC209" s="143">
        <v>1</v>
      </c>
      <c r="ED209" s="143">
        <v>1</v>
      </c>
      <c r="EE209">
        <v>0</v>
      </c>
      <c r="EF209" s="143">
        <v>0</v>
      </c>
      <c r="EG209" s="143">
        <v>0</v>
      </c>
      <c r="EH209" s="143">
        <v>0</v>
      </c>
      <c r="EI209" s="143">
        <v>0</v>
      </c>
      <c r="EJ209">
        <v>0</v>
      </c>
      <c r="EK209">
        <v>1</v>
      </c>
      <c r="EL209" s="143">
        <v>0</v>
      </c>
      <c r="EM209" s="143">
        <v>0</v>
      </c>
      <c r="EN209" s="2">
        <v>0</v>
      </c>
      <c r="EP209" t="str">
        <f t="shared" si="177"/>
        <v/>
      </c>
      <c r="EQ209" t="str">
        <f t="shared" si="219"/>
        <v>Ecosystem approach</v>
      </c>
      <c r="ER209" s="2" t="str">
        <f t="shared" si="179"/>
        <v/>
      </c>
      <c r="ES209" t="str">
        <f t="shared" si="180"/>
        <v/>
      </c>
      <c r="ET209" t="str">
        <f t="shared" si="181"/>
        <v/>
      </c>
      <c r="EU209" t="str">
        <f t="shared" si="182"/>
        <v/>
      </c>
      <c r="EW209" s="297" t="s">
        <v>3355</v>
      </c>
      <c r="EY209" t="b">
        <f>IF(ISNUMBER(BW209),IF(ABS(BW209-[1]QC_indicators!$B$2)&gt;3*[1]QC_indicators!$C$2,"C ratio",IF(ISNUMBER(CA209),IF(ABS(CA209-[1]QC_indicators!$B$1)&gt;3*[1]QC_indicators!$C$1,"DF","no"))),IF(ISNUMBER(CA209),IF(ABS(CA209-[1]QC_indicators!$B$1)&gt;3*[1]QC_indicators!$C$1,"DF","no")))</f>
        <v>0</v>
      </c>
      <c r="FA209" t="str">
        <f t="shared" si="183"/>
        <v/>
      </c>
    </row>
    <row r="210" spans="1:158" ht="15" hidden="1" customHeight="1">
      <c r="A210" s="304" t="s">
        <v>761</v>
      </c>
      <c r="D210" t="s">
        <v>3348</v>
      </c>
      <c r="E210" s="297" t="s">
        <v>3349</v>
      </c>
      <c r="F210" s="297" t="s">
        <v>3350</v>
      </c>
      <c r="G210" t="s">
        <v>762</v>
      </c>
      <c r="I210">
        <v>2014</v>
      </c>
      <c r="J210">
        <v>34</v>
      </c>
      <c r="K210" s="288" t="s">
        <v>3351</v>
      </c>
      <c r="M210" t="str">
        <f t="shared" si="212"/>
        <v>Haus_2014</v>
      </c>
      <c r="N210" s="297" t="s">
        <v>4058</v>
      </c>
      <c r="O210" s="157" t="s">
        <v>223</v>
      </c>
      <c r="P210" t="s">
        <v>223</v>
      </c>
      <c r="Q210" s="297" t="s">
        <v>389</v>
      </c>
      <c r="R210" s="298"/>
      <c r="S210" s="154" t="s">
        <v>3352</v>
      </c>
      <c r="T210" s="299" t="s">
        <v>3353</v>
      </c>
      <c r="U210" s="143" t="s">
        <v>3354</v>
      </c>
      <c r="V210" s="143"/>
      <c r="W210" s="143"/>
      <c r="X210">
        <v>1</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s="141">
        <f t="shared" si="220"/>
        <v>1</v>
      </c>
      <c r="BA210" s="141">
        <f t="shared" si="221"/>
        <v>1</v>
      </c>
      <c r="BB210">
        <f t="shared" si="222"/>
        <v>1</v>
      </c>
      <c r="BC210">
        <f t="shared" si="223"/>
        <v>0</v>
      </c>
      <c r="BD210">
        <f t="shared" si="224"/>
        <v>0</v>
      </c>
      <c r="BE210">
        <f t="shared" si="225"/>
        <v>0</v>
      </c>
      <c r="BF210">
        <f t="shared" si="226"/>
        <v>0</v>
      </c>
      <c r="BG210" t="str" cm="1">
        <f t="array" ref="BG210">IF(BA210=1,INDEX($X$7:$AN$7,MATCH(TRUE,INDEX($X210:$AY210&lt;&gt;0,),0)),IF(BA210=0,INDEX($AO$7:$AY$7,MATCH(1,$AO210:$AY210,0)),IF(BH210="Multiple strategies","mixed drivers",IF(BH210="Supply chain","multiple supply","multiple silviculture"))))</f>
        <v>area subject to harvest</v>
      </c>
      <c r="BH210" s="2" t="str" cm="1">
        <f t="array" ref="BH210">IF(COUNTIF(BB210:BD210,"&lt;&gt;0")=1,INDEX($X$4:$AY$4,MATCH(TRUE,INDEX($X210:$AY210&lt;&gt;0,),0)),IF(COUNTIF(BB210:BD210,"&lt;&gt;0")=0,INDEX($AO$4:$AY$4,MATCH(1,$AO210:$AY210,0)),"Multiple strategies"))</f>
        <v>Silviculture for removals</v>
      </c>
      <c r="BI210" s="142"/>
      <c r="BL210" s="143"/>
      <c r="BN210" s="143"/>
      <c r="BP210" s="158"/>
      <c r="BQ210" s="159"/>
      <c r="BR210" s="155" t="s">
        <v>232</v>
      </c>
      <c r="BS210" s="329" t="s">
        <v>3357</v>
      </c>
      <c r="BT210" s="141" t="s">
        <v>764</v>
      </c>
      <c r="BU210" s="151">
        <v>131</v>
      </c>
      <c r="BV210" s="151">
        <v>-138</v>
      </c>
      <c r="BW210" s="144">
        <f t="shared" si="240"/>
        <v>-1.0534351145038168</v>
      </c>
      <c r="BX210">
        <f t="shared" si="208"/>
        <v>-269</v>
      </c>
      <c r="BZ210">
        <f t="shared" si="241"/>
        <v>-269</v>
      </c>
      <c r="CA210" t="str">
        <f t="shared" si="173"/>
        <v/>
      </c>
      <c r="CB210">
        <v>0</v>
      </c>
      <c r="CC210">
        <v>0</v>
      </c>
      <c r="CD210">
        <v>0</v>
      </c>
      <c r="CE210">
        <v>0</v>
      </c>
      <c r="CF210">
        <v>0</v>
      </c>
      <c r="CG210">
        <v>0</v>
      </c>
      <c r="CH210">
        <v>0</v>
      </c>
      <c r="CI210">
        <v>0</v>
      </c>
      <c r="CJ210">
        <v>0</v>
      </c>
      <c r="CK210">
        <v>0</v>
      </c>
      <c r="CL210">
        <v>0</v>
      </c>
      <c r="CM210">
        <v>0</v>
      </c>
      <c r="CN210">
        <v>0</v>
      </c>
      <c r="CO210">
        <v>0</v>
      </c>
      <c r="CP210" t="str">
        <f t="shared" si="205"/>
        <v>refOK</v>
      </c>
      <c r="CQ210"/>
      <c r="CR210"/>
      <c r="CS210"/>
      <c r="CT210">
        <f t="shared" si="174"/>
        <v>0</v>
      </c>
      <c r="CU210">
        <f t="shared" si="227"/>
        <v>131</v>
      </c>
      <c r="CV210">
        <f t="shared" si="228"/>
        <v>-138</v>
      </c>
      <c r="CW210">
        <f t="shared" si="229"/>
        <v>-269</v>
      </c>
      <c r="CX210" t="str">
        <f t="shared" si="175"/>
        <v/>
      </c>
      <c r="CY210" t="str">
        <f t="shared" si="230"/>
        <v/>
      </c>
      <c r="CZ210" t="str">
        <f t="shared" si="176"/>
        <v/>
      </c>
      <c r="DA210" s="2">
        <f t="shared" si="231"/>
        <v>-2.053435114503817</v>
      </c>
      <c r="DB210" s="304" t="s">
        <v>234</v>
      </c>
      <c r="DC210" s="297" t="str">
        <f t="shared" si="232"/>
        <v>loc</v>
      </c>
      <c r="DD210" s="303" t="s">
        <v>444</v>
      </c>
      <c r="DF210" s="143"/>
      <c r="DG210" s="143">
        <v>29</v>
      </c>
      <c r="DH210" t="str">
        <f t="shared" si="233"/>
        <v>1-30</v>
      </c>
      <c r="DI210">
        <v>1</v>
      </c>
      <c r="DJ210">
        <v>1</v>
      </c>
      <c r="DK210">
        <v>1</v>
      </c>
      <c r="DL210">
        <v>1</v>
      </c>
      <c r="DM210">
        <v>0</v>
      </c>
      <c r="DN210">
        <f t="shared" si="243"/>
        <v>4</v>
      </c>
      <c r="DO210" t="str">
        <f t="shared" si="234"/>
        <v>mixedProduct</v>
      </c>
      <c r="DP210" t="str">
        <f t="shared" si="235"/>
        <v>Upstream</v>
      </c>
      <c r="DQ210" t="str">
        <f t="shared" si="236"/>
        <v>Energy</v>
      </c>
      <c r="DR210" t="str">
        <f t="shared" si="237"/>
        <v>Pulp/Paper</v>
      </c>
      <c r="DS210" t="str">
        <f t="shared" si="238"/>
        <v>Timber</v>
      </c>
      <c r="DT210">
        <v>0</v>
      </c>
      <c r="DU210" s="143">
        <v>0</v>
      </c>
      <c r="DV210" s="143">
        <v>0</v>
      </c>
      <c r="DW210">
        <v>0</v>
      </c>
      <c r="DX210" s="143">
        <v>0</v>
      </c>
      <c r="DY210">
        <f t="shared" si="242"/>
        <v>0</v>
      </c>
      <c r="DZ210" s="143" t="str">
        <f t="shared" si="239"/>
        <v>explicit C balance</v>
      </c>
      <c r="EA210" s="143">
        <v>0</v>
      </c>
      <c r="EB210" s="143">
        <v>1</v>
      </c>
      <c r="EC210" s="143">
        <v>1</v>
      </c>
      <c r="ED210" s="143">
        <v>1</v>
      </c>
      <c r="EE210">
        <v>0</v>
      </c>
      <c r="EF210" s="143">
        <v>0</v>
      </c>
      <c r="EG210" s="143">
        <v>0</v>
      </c>
      <c r="EH210" s="143">
        <v>0</v>
      </c>
      <c r="EI210" s="143">
        <v>0</v>
      </c>
      <c r="EJ210">
        <v>0</v>
      </c>
      <c r="EK210">
        <v>1</v>
      </c>
      <c r="EL210" s="143">
        <v>0</v>
      </c>
      <c r="EM210" s="143">
        <v>0</v>
      </c>
      <c r="EN210" s="2">
        <v>0</v>
      </c>
      <c r="EP210" t="str">
        <f t="shared" si="177"/>
        <v/>
      </c>
      <c r="EQ210" t="str">
        <f t="shared" si="219"/>
        <v>Ecosystem approach</v>
      </c>
      <c r="ER210" s="2" t="str">
        <f t="shared" si="179"/>
        <v/>
      </c>
      <c r="ES210" t="str">
        <f t="shared" si="180"/>
        <v/>
      </c>
      <c r="ET210" t="str">
        <f t="shared" si="181"/>
        <v/>
      </c>
      <c r="EU210" t="str">
        <f t="shared" si="182"/>
        <v/>
      </c>
      <c r="EW210" s="297" t="s">
        <v>3355</v>
      </c>
      <c r="EY210" t="b">
        <f>IF(ISNUMBER(BW210),IF(ABS(BW210-[1]QC_indicators!$B$2)&gt;3*[1]QC_indicators!$C$2,"C ratio",IF(ISNUMBER(CA210),IF(ABS(CA210-[1]QC_indicators!$B$1)&gt;3*[1]QC_indicators!$C$1,"DF","no"))),IF(ISNUMBER(CA210),IF(ABS(CA210-[1]QC_indicators!$B$1)&gt;3*[1]QC_indicators!$C$1,"DF","no")))</f>
        <v>0</v>
      </c>
      <c r="FA210" t="str">
        <f t="shared" si="183"/>
        <v/>
      </c>
    </row>
    <row r="211" spans="1:158" ht="15" hidden="1" customHeight="1">
      <c r="A211" s="304" t="s">
        <v>761</v>
      </c>
      <c r="D211" t="s">
        <v>3348</v>
      </c>
      <c r="E211" s="297" t="s">
        <v>3349</v>
      </c>
      <c r="F211" s="297" t="s">
        <v>3350</v>
      </c>
      <c r="G211" t="s">
        <v>762</v>
      </c>
      <c r="I211">
        <v>2014</v>
      </c>
      <c r="J211">
        <v>34</v>
      </c>
      <c r="K211" s="288" t="s">
        <v>3351</v>
      </c>
      <c r="M211" t="str">
        <f t="shared" si="212"/>
        <v>Haus_2014</v>
      </c>
      <c r="N211" s="297" t="s">
        <v>4058</v>
      </c>
      <c r="O211" s="157" t="s">
        <v>223</v>
      </c>
      <c r="P211" t="s">
        <v>223</v>
      </c>
      <c r="Q211" s="297" t="s">
        <v>389</v>
      </c>
      <c r="R211" s="298"/>
      <c r="S211" s="154" t="s">
        <v>3352</v>
      </c>
      <c r="T211" s="299" t="s">
        <v>3356</v>
      </c>
      <c r="U211" s="143" t="s">
        <v>3354</v>
      </c>
      <c r="V211" s="143"/>
      <c r="W211" s="143"/>
      <c r="X211">
        <v>1</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s="141">
        <f t="shared" si="220"/>
        <v>1</v>
      </c>
      <c r="BA211" s="141">
        <f t="shared" si="221"/>
        <v>1</v>
      </c>
      <c r="BB211">
        <f t="shared" si="222"/>
        <v>1</v>
      </c>
      <c r="BC211">
        <f t="shared" si="223"/>
        <v>0</v>
      </c>
      <c r="BD211">
        <f t="shared" si="224"/>
        <v>0</v>
      </c>
      <c r="BE211">
        <f t="shared" si="225"/>
        <v>0</v>
      </c>
      <c r="BF211">
        <f t="shared" si="226"/>
        <v>0</v>
      </c>
      <c r="BG211" t="str" cm="1">
        <f t="array" ref="BG211">IF(BA211=1,INDEX($X$7:$AN$7,MATCH(TRUE,INDEX($X211:$AY211&lt;&gt;0,),0)),IF(BA211=0,INDEX($AO$7:$AY$7,MATCH(1,$AO211:$AY211,0)),IF(BH211="Multiple strategies","mixed drivers",IF(BH211="Supply chain","multiple supply","multiple silviculture"))))</f>
        <v>area subject to harvest</v>
      </c>
      <c r="BH211" s="2" t="str" cm="1">
        <f t="array" ref="BH211">IF(COUNTIF(BB211:BD211,"&lt;&gt;0")=1,INDEX($X$4:$AY$4,MATCH(TRUE,INDEX($X211:$AY211&lt;&gt;0,),0)),IF(COUNTIF(BB211:BD211,"&lt;&gt;0")=0,INDEX($AO$4:$AY$4,MATCH(1,$AO211:$AY211,0)),"Multiple strategies"))</f>
        <v>Silviculture for removals</v>
      </c>
      <c r="BI211" s="142"/>
      <c r="BJ211" s="160"/>
      <c r="BK211" s="160"/>
      <c r="BL211" s="143"/>
      <c r="BM211" s="143"/>
      <c r="BN211" s="143"/>
      <c r="BP211" s="158"/>
      <c r="BQ211" s="159"/>
      <c r="BR211" s="155" t="s">
        <v>232</v>
      </c>
      <c r="BS211" s="329" t="s">
        <v>765</v>
      </c>
      <c r="BT211" s="141" t="s">
        <v>764</v>
      </c>
      <c r="BU211" s="143">
        <v>141</v>
      </c>
      <c r="BV211" s="151">
        <v>-138</v>
      </c>
      <c r="BW211" s="144">
        <f t="shared" si="240"/>
        <v>-0.97872340425531912</v>
      </c>
      <c r="BX211">
        <f t="shared" si="208"/>
        <v>-279</v>
      </c>
      <c r="BZ211">
        <f t="shared" si="241"/>
        <v>-279</v>
      </c>
      <c r="CA211" t="str">
        <f t="shared" si="173"/>
        <v/>
      </c>
      <c r="CB211">
        <v>0</v>
      </c>
      <c r="CC211">
        <v>0</v>
      </c>
      <c r="CD211">
        <v>0</v>
      </c>
      <c r="CE211">
        <v>0</v>
      </c>
      <c r="CF211">
        <v>0</v>
      </c>
      <c r="CG211">
        <v>0</v>
      </c>
      <c r="CH211">
        <v>0</v>
      </c>
      <c r="CI211">
        <v>0</v>
      </c>
      <c r="CJ211">
        <v>0</v>
      </c>
      <c r="CK211">
        <v>0</v>
      </c>
      <c r="CL211">
        <v>0</v>
      </c>
      <c r="CM211">
        <v>0</v>
      </c>
      <c r="CN211">
        <v>0</v>
      </c>
      <c r="CO211">
        <v>0</v>
      </c>
      <c r="CP211" t="str">
        <f t="shared" si="205"/>
        <v>refOK</v>
      </c>
      <c r="CQ211"/>
      <c r="CR211"/>
      <c r="CS211"/>
      <c r="CT211">
        <f t="shared" si="174"/>
        <v>0</v>
      </c>
      <c r="CU211">
        <f t="shared" si="227"/>
        <v>141</v>
      </c>
      <c r="CV211">
        <f t="shared" si="228"/>
        <v>-138</v>
      </c>
      <c r="CW211">
        <f t="shared" si="229"/>
        <v>-279</v>
      </c>
      <c r="CX211" t="str">
        <f t="shared" si="175"/>
        <v/>
      </c>
      <c r="CY211" t="str">
        <f t="shared" si="230"/>
        <v/>
      </c>
      <c r="CZ211" t="str">
        <f t="shared" si="176"/>
        <v/>
      </c>
      <c r="DA211" s="2">
        <f t="shared" si="231"/>
        <v>-1.9787234042553192</v>
      </c>
      <c r="DB211" s="304" t="s">
        <v>234</v>
      </c>
      <c r="DC211" s="297" t="str">
        <f t="shared" si="232"/>
        <v>loc</v>
      </c>
      <c r="DD211" s="303" t="s">
        <v>444</v>
      </c>
      <c r="DF211" s="143"/>
      <c r="DG211" s="143">
        <v>29</v>
      </c>
      <c r="DH211" t="str">
        <f t="shared" si="233"/>
        <v>1-30</v>
      </c>
      <c r="DI211">
        <v>1</v>
      </c>
      <c r="DJ211">
        <v>1</v>
      </c>
      <c r="DK211">
        <v>1</v>
      </c>
      <c r="DL211">
        <v>1</v>
      </c>
      <c r="DM211">
        <v>0</v>
      </c>
      <c r="DN211">
        <f t="shared" si="243"/>
        <v>4</v>
      </c>
      <c r="DO211" t="str">
        <f t="shared" si="234"/>
        <v>mixedProduct</v>
      </c>
      <c r="DP211" t="str">
        <f t="shared" si="235"/>
        <v>Upstream</v>
      </c>
      <c r="DQ211" t="str">
        <f t="shared" si="236"/>
        <v>Energy</v>
      </c>
      <c r="DR211" t="str">
        <f t="shared" si="237"/>
        <v>Pulp/Paper</v>
      </c>
      <c r="DS211" t="str">
        <f t="shared" si="238"/>
        <v>Timber</v>
      </c>
      <c r="DT211">
        <v>0</v>
      </c>
      <c r="DU211" s="143">
        <v>0</v>
      </c>
      <c r="DV211" s="143">
        <v>0</v>
      </c>
      <c r="DW211">
        <v>0</v>
      </c>
      <c r="DX211" s="143">
        <v>0</v>
      </c>
      <c r="DY211">
        <f t="shared" si="242"/>
        <v>0</v>
      </c>
      <c r="DZ211" s="143" t="str">
        <f t="shared" si="239"/>
        <v>explicit C balance</v>
      </c>
      <c r="EA211" s="143">
        <v>0</v>
      </c>
      <c r="EB211" s="143">
        <v>1</v>
      </c>
      <c r="EC211" s="143">
        <v>1</v>
      </c>
      <c r="ED211" s="143">
        <v>1</v>
      </c>
      <c r="EE211">
        <v>0</v>
      </c>
      <c r="EF211" s="143">
        <v>0</v>
      </c>
      <c r="EG211" s="143">
        <v>0</v>
      </c>
      <c r="EH211" s="143">
        <v>0</v>
      </c>
      <c r="EI211" s="143">
        <v>0</v>
      </c>
      <c r="EJ211">
        <v>0</v>
      </c>
      <c r="EK211">
        <v>1</v>
      </c>
      <c r="EL211" s="143">
        <v>0</v>
      </c>
      <c r="EM211" s="143">
        <v>0</v>
      </c>
      <c r="EN211" s="2">
        <v>0</v>
      </c>
      <c r="EP211" t="str">
        <f t="shared" si="177"/>
        <v/>
      </c>
      <c r="EQ211" t="str">
        <f t="shared" si="219"/>
        <v>Ecosystem approach</v>
      </c>
      <c r="ER211" s="2" t="str">
        <f t="shared" si="179"/>
        <v/>
      </c>
      <c r="ES211" t="str">
        <f t="shared" si="180"/>
        <v/>
      </c>
      <c r="ET211" t="str">
        <f t="shared" si="181"/>
        <v/>
      </c>
      <c r="EU211" t="str">
        <f t="shared" si="182"/>
        <v/>
      </c>
      <c r="EW211" s="297" t="s">
        <v>3355</v>
      </c>
      <c r="EY211" t="b">
        <f>IF(ISNUMBER(BW211),IF(ABS(BW211-[1]QC_indicators!$B$2)&gt;3*[1]QC_indicators!$C$2,"C ratio",IF(ISNUMBER(CA211),IF(ABS(CA211-[1]QC_indicators!$B$1)&gt;3*[1]QC_indicators!$C$1,"DF","no"))),IF(ISNUMBER(CA211),IF(ABS(CA211-[1]QC_indicators!$B$1)&gt;3*[1]QC_indicators!$C$1,"DF","no")))</f>
        <v>0</v>
      </c>
      <c r="FA211" t="str">
        <f t="shared" si="183"/>
        <v/>
      </c>
      <c r="FB211" s="149"/>
    </row>
    <row r="212" spans="1:158" ht="15" hidden="1" customHeight="1">
      <c r="A212" s="304" t="s">
        <v>761</v>
      </c>
      <c r="D212" t="s">
        <v>3348</v>
      </c>
      <c r="E212" s="297" t="s">
        <v>3349</v>
      </c>
      <c r="F212" s="297" t="s">
        <v>3350</v>
      </c>
      <c r="G212" t="s">
        <v>762</v>
      </c>
      <c r="I212">
        <v>2014</v>
      </c>
      <c r="J212">
        <v>34</v>
      </c>
      <c r="K212" s="288" t="s">
        <v>3351</v>
      </c>
      <c r="M212" t="str">
        <f t="shared" si="212"/>
        <v>Haus_2014</v>
      </c>
      <c r="N212" s="297" t="s">
        <v>4058</v>
      </c>
      <c r="O212" s="157" t="s">
        <v>223</v>
      </c>
      <c r="P212" t="s">
        <v>223</v>
      </c>
      <c r="Q212" s="297" t="s">
        <v>389</v>
      </c>
      <c r="R212" s="298"/>
      <c r="S212" s="154" t="s">
        <v>3352</v>
      </c>
      <c r="T212" s="299" t="s">
        <v>3356</v>
      </c>
      <c r="U212" s="143" t="s">
        <v>3354</v>
      </c>
      <c r="V212" s="143"/>
      <c r="W212" s="143"/>
      <c r="X212">
        <v>1</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s="141">
        <f t="shared" si="220"/>
        <v>1</v>
      </c>
      <c r="BA212" s="141">
        <f t="shared" si="221"/>
        <v>1</v>
      </c>
      <c r="BB212">
        <f t="shared" si="222"/>
        <v>1</v>
      </c>
      <c r="BC212">
        <f t="shared" si="223"/>
        <v>0</v>
      </c>
      <c r="BD212">
        <f t="shared" si="224"/>
        <v>0</v>
      </c>
      <c r="BE212">
        <f t="shared" si="225"/>
        <v>0</v>
      </c>
      <c r="BF212">
        <f t="shared" si="226"/>
        <v>0</v>
      </c>
      <c r="BG212" t="str" cm="1">
        <f t="array" ref="BG212">IF(BA212=1,INDEX($X$7:$AN$7,MATCH(TRUE,INDEX($X212:$AY212&lt;&gt;0,),0)),IF(BA212=0,INDEX($AO$7:$AY$7,MATCH(1,$AO212:$AY212,0)),IF(BH212="Multiple strategies","mixed drivers",IF(BH212="Supply chain","multiple supply","multiple silviculture"))))</f>
        <v>area subject to harvest</v>
      </c>
      <c r="BH212" s="2" t="str" cm="1">
        <f t="array" ref="BH212">IF(COUNTIF(BB212:BD212,"&lt;&gt;0")=1,INDEX($X$4:$AY$4,MATCH(TRUE,INDEX($X212:$AY212&lt;&gt;0,),0)),IF(COUNTIF(BB212:BD212,"&lt;&gt;0")=0,INDEX($AO$4:$AY$4,MATCH(1,$AO212:$AY212,0)),"Multiple strategies"))</f>
        <v>Silviculture for removals</v>
      </c>
      <c r="BI212" s="142"/>
      <c r="BL212" s="143"/>
      <c r="BN212" s="143"/>
      <c r="BP212" s="158"/>
      <c r="BQ212" s="159"/>
      <c r="BR212" s="155" t="s">
        <v>232</v>
      </c>
      <c r="BS212" s="329" t="s">
        <v>429</v>
      </c>
      <c r="BT212" s="141" t="s">
        <v>764</v>
      </c>
      <c r="BU212" s="151">
        <v>992</v>
      </c>
      <c r="BV212" s="151">
        <v>-852</v>
      </c>
      <c r="BW212" s="144">
        <f t="shared" si="240"/>
        <v>-0.8588709677419355</v>
      </c>
      <c r="BX212">
        <f t="shared" si="208"/>
        <v>-1844</v>
      </c>
      <c r="BZ212">
        <f t="shared" si="241"/>
        <v>-1844</v>
      </c>
      <c r="CA212" t="str">
        <f t="shared" si="173"/>
        <v/>
      </c>
      <c r="CB212">
        <v>0</v>
      </c>
      <c r="CC212">
        <v>0</v>
      </c>
      <c r="CD212">
        <v>0</v>
      </c>
      <c r="CE212">
        <v>0</v>
      </c>
      <c r="CF212">
        <v>0</v>
      </c>
      <c r="CG212">
        <v>0</v>
      </c>
      <c r="CH212">
        <v>0</v>
      </c>
      <c r="CI212">
        <v>0</v>
      </c>
      <c r="CJ212">
        <v>0</v>
      </c>
      <c r="CK212">
        <v>0</v>
      </c>
      <c r="CL212">
        <v>0</v>
      </c>
      <c r="CM212">
        <v>0</v>
      </c>
      <c r="CN212">
        <v>0</v>
      </c>
      <c r="CO212">
        <v>0</v>
      </c>
      <c r="CP212" t="str">
        <f t="shared" si="205"/>
        <v>refOK</v>
      </c>
      <c r="CQ212"/>
      <c r="CR212"/>
      <c r="CS212"/>
      <c r="CT212">
        <f t="shared" si="174"/>
        <v>0</v>
      </c>
      <c r="CU212">
        <f t="shared" si="227"/>
        <v>992</v>
      </c>
      <c r="CV212">
        <f t="shared" si="228"/>
        <v>-852</v>
      </c>
      <c r="CW212">
        <f t="shared" si="229"/>
        <v>-1844</v>
      </c>
      <c r="CX212" t="str">
        <f t="shared" si="175"/>
        <v/>
      </c>
      <c r="CY212" t="str">
        <f t="shared" si="230"/>
        <v/>
      </c>
      <c r="CZ212" t="str">
        <f t="shared" si="176"/>
        <v/>
      </c>
      <c r="DA212" s="2">
        <f t="shared" si="231"/>
        <v>-1.8588709677419355</v>
      </c>
      <c r="DB212" s="304" t="s">
        <v>234</v>
      </c>
      <c r="DC212" s="297" t="str">
        <f t="shared" si="232"/>
        <v>loc</v>
      </c>
      <c r="DD212" s="303" t="s">
        <v>444</v>
      </c>
      <c r="DF212" s="143"/>
      <c r="DG212" s="143">
        <v>240</v>
      </c>
      <c r="DH212" t="str">
        <f t="shared" si="233"/>
        <v>+100</v>
      </c>
      <c r="DI212">
        <v>1</v>
      </c>
      <c r="DJ212">
        <v>1</v>
      </c>
      <c r="DK212">
        <v>1</v>
      </c>
      <c r="DL212">
        <v>1</v>
      </c>
      <c r="DM212">
        <v>0</v>
      </c>
      <c r="DN212">
        <f t="shared" si="243"/>
        <v>4</v>
      </c>
      <c r="DO212" t="str">
        <f t="shared" si="234"/>
        <v>mixedProduct</v>
      </c>
      <c r="DP212" t="str">
        <f t="shared" si="235"/>
        <v>Upstream</v>
      </c>
      <c r="DQ212" t="str">
        <f t="shared" si="236"/>
        <v>Energy</v>
      </c>
      <c r="DR212" t="str">
        <f t="shared" si="237"/>
        <v>Pulp/Paper</v>
      </c>
      <c r="DS212" t="str">
        <f t="shared" si="238"/>
        <v>Timber</v>
      </c>
      <c r="DT212">
        <v>0</v>
      </c>
      <c r="DU212" s="143">
        <v>0</v>
      </c>
      <c r="DV212" s="143">
        <v>0</v>
      </c>
      <c r="DW212">
        <v>0</v>
      </c>
      <c r="DX212" s="143">
        <v>0</v>
      </c>
      <c r="DY212">
        <f t="shared" si="242"/>
        <v>0</v>
      </c>
      <c r="DZ212" s="143" t="str">
        <f t="shared" si="239"/>
        <v>explicit C balance</v>
      </c>
      <c r="EA212" s="143">
        <v>0</v>
      </c>
      <c r="EB212" s="143">
        <v>1</v>
      </c>
      <c r="EC212" s="143">
        <v>1</v>
      </c>
      <c r="ED212" s="143">
        <v>1</v>
      </c>
      <c r="EE212">
        <v>0</v>
      </c>
      <c r="EF212" s="143">
        <v>0</v>
      </c>
      <c r="EG212" s="143">
        <v>0</v>
      </c>
      <c r="EH212" s="143">
        <v>0</v>
      </c>
      <c r="EI212" s="143">
        <v>0</v>
      </c>
      <c r="EJ212">
        <v>0</v>
      </c>
      <c r="EK212">
        <v>1</v>
      </c>
      <c r="EL212" s="143">
        <v>0</v>
      </c>
      <c r="EM212" s="143">
        <v>0</v>
      </c>
      <c r="EN212" s="2">
        <v>0</v>
      </c>
      <c r="EP212" t="str">
        <f t="shared" si="177"/>
        <v/>
      </c>
      <c r="EQ212" t="str">
        <f t="shared" si="219"/>
        <v>Ecosystem approach</v>
      </c>
      <c r="ER212" s="2" t="str">
        <f t="shared" si="179"/>
        <v/>
      </c>
      <c r="ES212" t="str">
        <f t="shared" si="180"/>
        <v/>
      </c>
      <c r="ET212" t="str">
        <f t="shared" si="181"/>
        <v/>
      </c>
      <c r="EU212" t="str">
        <f t="shared" si="182"/>
        <v/>
      </c>
      <c r="EW212" s="297" t="s">
        <v>3355</v>
      </c>
      <c r="EY212" t="b">
        <f>IF(ISNUMBER(BW212),IF(ABS(BW212-[1]QC_indicators!$B$2)&gt;3*[1]QC_indicators!$C$2,"C ratio",IF(ISNUMBER(CA212),IF(ABS(CA212-[1]QC_indicators!$B$1)&gt;3*[1]QC_indicators!$C$1,"DF","no"))),IF(ISNUMBER(CA212),IF(ABS(CA212-[1]QC_indicators!$B$1)&gt;3*[1]QC_indicators!$C$1,"DF","no")))</f>
        <v>0</v>
      </c>
      <c r="FA212" t="str">
        <f t="shared" si="183"/>
        <v/>
      </c>
    </row>
    <row r="213" spans="1:158" ht="15" hidden="1" customHeight="1">
      <c r="A213" s="304" t="s">
        <v>761</v>
      </c>
      <c r="D213" t="s">
        <v>3348</v>
      </c>
      <c r="E213" s="297" t="s">
        <v>3349</v>
      </c>
      <c r="F213" s="297" t="s">
        <v>3350</v>
      </c>
      <c r="G213" t="s">
        <v>762</v>
      </c>
      <c r="I213">
        <v>2014</v>
      </c>
      <c r="J213">
        <v>34</v>
      </c>
      <c r="K213" s="288" t="s">
        <v>3351</v>
      </c>
      <c r="M213" t="str">
        <f t="shared" si="212"/>
        <v>Haus_2014</v>
      </c>
      <c r="N213" s="297" t="s">
        <v>4058</v>
      </c>
      <c r="O213" s="157" t="s">
        <v>223</v>
      </c>
      <c r="P213" t="s">
        <v>223</v>
      </c>
      <c r="Q213" s="297" t="s">
        <v>389</v>
      </c>
      <c r="R213" s="298"/>
      <c r="S213" s="154" t="s">
        <v>3352</v>
      </c>
      <c r="T213" s="299" t="s">
        <v>3356</v>
      </c>
      <c r="U213" s="143" t="s">
        <v>3358</v>
      </c>
      <c r="V213" s="143"/>
      <c r="W213" s="143"/>
      <c r="X213">
        <v>1</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s="141">
        <f t="shared" si="220"/>
        <v>1</v>
      </c>
      <c r="BA213" s="141">
        <f t="shared" si="221"/>
        <v>1</v>
      </c>
      <c r="BB213">
        <f t="shared" si="222"/>
        <v>1</v>
      </c>
      <c r="BC213">
        <f t="shared" si="223"/>
        <v>0</v>
      </c>
      <c r="BD213">
        <f t="shared" si="224"/>
        <v>0</v>
      </c>
      <c r="BE213">
        <f t="shared" si="225"/>
        <v>0</v>
      </c>
      <c r="BF213">
        <f t="shared" si="226"/>
        <v>0</v>
      </c>
      <c r="BG213" t="str" cm="1">
        <f t="array" ref="BG213">IF(BA213=1,INDEX($X$7:$AN$7,MATCH(TRUE,INDEX($X213:$AY213&lt;&gt;0,),0)),IF(BA213=0,INDEX($AO$7:$AY$7,MATCH(1,$AO213:$AY213,0)),IF(BH213="Multiple strategies","mixed drivers",IF(BH213="Supply chain","multiple supply","multiple silviculture"))))</f>
        <v>area subject to harvest</v>
      </c>
      <c r="BH213" s="2" t="str" cm="1">
        <f t="array" ref="BH213">IF(COUNTIF(BB213:BD213,"&lt;&gt;0")=1,INDEX($X$4:$AY$4,MATCH(TRUE,INDEX($X213:$AY213&lt;&gt;0,),0)),IF(COUNTIF(BB213:BD213,"&lt;&gt;0")=0,INDEX($AO$4:$AY$4,MATCH(1,$AO213:$AY213,0)),"Multiple strategies"))</f>
        <v>Silviculture for removals</v>
      </c>
      <c r="BI213" s="142"/>
      <c r="BL213" s="143"/>
      <c r="BN213" s="143"/>
      <c r="BP213" s="158"/>
      <c r="BQ213" s="159"/>
      <c r="BR213" s="155" t="s">
        <v>232</v>
      </c>
      <c r="BS213" s="329" t="s">
        <v>3360</v>
      </c>
      <c r="BT213" s="141" t="s">
        <v>764</v>
      </c>
      <c r="BU213" s="151">
        <v>141</v>
      </c>
      <c r="BV213" s="151">
        <v>47</v>
      </c>
      <c r="BW213" s="144">
        <f t="shared" si="240"/>
        <v>0.33333333333333331</v>
      </c>
      <c r="BX213">
        <f t="shared" si="208"/>
        <v>-94</v>
      </c>
      <c r="BZ213">
        <f t="shared" si="241"/>
        <v>-94</v>
      </c>
      <c r="CA213" t="str">
        <f t="shared" si="173"/>
        <v/>
      </c>
      <c r="CB213">
        <v>0</v>
      </c>
      <c r="CC213">
        <v>0</v>
      </c>
      <c r="CD213">
        <v>0</v>
      </c>
      <c r="CE213">
        <v>0</v>
      </c>
      <c r="CF213">
        <v>0</v>
      </c>
      <c r="CG213">
        <v>0</v>
      </c>
      <c r="CH213">
        <v>0</v>
      </c>
      <c r="CI213">
        <v>0</v>
      </c>
      <c r="CJ213">
        <v>0</v>
      </c>
      <c r="CK213">
        <v>0</v>
      </c>
      <c r="CL213">
        <v>0</v>
      </c>
      <c r="CM213">
        <v>0</v>
      </c>
      <c r="CN213">
        <v>0</v>
      </c>
      <c r="CO213">
        <v>0</v>
      </c>
      <c r="CP213" t="str">
        <f t="shared" si="205"/>
        <v>refOK</v>
      </c>
      <c r="CQ213"/>
      <c r="CR213"/>
      <c r="CS213"/>
      <c r="CT213">
        <f t="shared" si="174"/>
        <v>0</v>
      </c>
      <c r="CU213">
        <f t="shared" si="227"/>
        <v>141</v>
      </c>
      <c r="CV213">
        <f t="shared" si="228"/>
        <v>47</v>
      </c>
      <c r="CW213">
        <f t="shared" si="229"/>
        <v>-94</v>
      </c>
      <c r="CX213" t="str">
        <f t="shared" si="175"/>
        <v/>
      </c>
      <c r="CY213" t="str">
        <f t="shared" si="230"/>
        <v/>
      </c>
      <c r="CZ213" t="str">
        <f t="shared" si="176"/>
        <v/>
      </c>
      <c r="DA213" s="2">
        <f t="shared" si="231"/>
        <v>-0.66666666666666663</v>
      </c>
      <c r="DB213" s="304" t="s">
        <v>234</v>
      </c>
      <c r="DC213" s="297" t="str">
        <f t="shared" si="232"/>
        <v>loc</v>
      </c>
      <c r="DD213" s="303" t="s">
        <v>444</v>
      </c>
      <c r="DF213" s="143"/>
      <c r="DG213" s="143">
        <v>29</v>
      </c>
      <c r="DH213" t="str">
        <f t="shared" si="233"/>
        <v>1-30</v>
      </c>
      <c r="DI213">
        <v>1</v>
      </c>
      <c r="DJ213">
        <v>1</v>
      </c>
      <c r="DK213">
        <v>1</v>
      </c>
      <c r="DL213">
        <v>1</v>
      </c>
      <c r="DM213">
        <v>0</v>
      </c>
      <c r="DN213">
        <f t="shared" si="243"/>
        <v>4</v>
      </c>
      <c r="DO213" t="str">
        <f t="shared" si="234"/>
        <v>mixedProduct</v>
      </c>
      <c r="DP213" t="str">
        <f t="shared" si="235"/>
        <v>Upstream</v>
      </c>
      <c r="DQ213" t="str">
        <f t="shared" si="236"/>
        <v>Energy</v>
      </c>
      <c r="DR213" t="str">
        <f t="shared" si="237"/>
        <v>Pulp/Paper</v>
      </c>
      <c r="DS213" t="str">
        <f t="shared" si="238"/>
        <v>Timber</v>
      </c>
      <c r="DT213">
        <v>0</v>
      </c>
      <c r="DU213" s="143">
        <v>0</v>
      </c>
      <c r="DV213" s="143">
        <v>0</v>
      </c>
      <c r="DW213">
        <v>0</v>
      </c>
      <c r="DX213" s="143">
        <v>0</v>
      </c>
      <c r="DY213">
        <f t="shared" si="242"/>
        <v>0</v>
      </c>
      <c r="DZ213" s="143" t="str">
        <f t="shared" si="239"/>
        <v>explicit C balance</v>
      </c>
      <c r="EA213" s="143">
        <v>0</v>
      </c>
      <c r="EB213" s="143">
        <v>1</v>
      </c>
      <c r="EC213" s="143">
        <v>1</v>
      </c>
      <c r="ED213" s="143">
        <v>1</v>
      </c>
      <c r="EE213">
        <v>0</v>
      </c>
      <c r="EF213" s="143">
        <v>0</v>
      </c>
      <c r="EG213" s="143">
        <v>0</v>
      </c>
      <c r="EH213" s="143">
        <v>0</v>
      </c>
      <c r="EI213" s="143">
        <v>0</v>
      </c>
      <c r="EJ213">
        <v>0</v>
      </c>
      <c r="EK213">
        <v>1</v>
      </c>
      <c r="EL213" s="143">
        <v>0</v>
      </c>
      <c r="EM213" s="143">
        <v>0</v>
      </c>
      <c r="EN213" s="2">
        <v>0</v>
      </c>
      <c r="EP213" t="str">
        <f t="shared" si="177"/>
        <v/>
      </c>
      <c r="EQ213" t="str">
        <f t="shared" si="219"/>
        <v>Ecosystem approach</v>
      </c>
      <c r="ER213" s="2" t="str">
        <f t="shared" si="179"/>
        <v/>
      </c>
      <c r="ES213" t="str">
        <f t="shared" si="180"/>
        <v/>
      </c>
      <c r="ET213" t="str">
        <f t="shared" si="181"/>
        <v/>
      </c>
      <c r="EU213" t="str">
        <f t="shared" si="182"/>
        <v/>
      </c>
      <c r="EW213" s="297" t="s">
        <v>3355</v>
      </c>
      <c r="EY213" t="b">
        <f>IF(ISNUMBER(BW213),IF(ABS(BW213-[1]QC_indicators!$B$2)&gt;3*[1]QC_indicators!$C$2,"C ratio",IF(ISNUMBER(CA213),IF(ABS(CA213-[1]QC_indicators!$B$1)&gt;3*[1]QC_indicators!$C$1,"DF","no"))),IF(ISNUMBER(CA213),IF(ABS(CA213-[1]QC_indicators!$B$1)&gt;3*[1]QC_indicators!$C$1,"DF","no")))</f>
        <v>0</v>
      </c>
      <c r="FA213" t="str">
        <f t="shared" si="183"/>
        <v/>
      </c>
    </row>
    <row r="214" spans="1:158" ht="15" hidden="1" customHeight="1">
      <c r="A214" s="304" t="s">
        <v>761</v>
      </c>
      <c r="D214" t="s">
        <v>3348</v>
      </c>
      <c r="E214" s="297" t="s">
        <v>3349</v>
      </c>
      <c r="F214" s="297" t="s">
        <v>3350</v>
      </c>
      <c r="G214" t="s">
        <v>762</v>
      </c>
      <c r="I214">
        <v>2014</v>
      </c>
      <c r="J214">
        <v>34</v>
      </c>
      <c r="K214" s="288" t="s">
        <v>3351</v>
      </c>
      <c r="M214" t="str">
        <f t="shared" si="212"/>
        <v>Haus_2014</v>
      </c>
      <c r="N214" s="297" t="s">
        <v>4058</v>
      </c>
      <c r="O214" s="157" t="s">
        <v>223</v>
      </c>
      <c r="P214" t="s">
        <v>223</v>
      </c>
      <c r="Q214" s="297" t="s">
        <v>389</v>
      </c>
      <c r="R214" s="298"/>
      <c r="S214" s="154" t="s">
        <v>3352</v>
      </c>
      <c r="T214" s="299" t="s">
        <v>3353</v>
      </c>
      <c r="U214" s="143" t="s">
        <v>3358</v>
      </c>
      <c r="V214" s="143"/>
      <c r="W214" s="143"/>
      <c r="X214">
        <v>1</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s="141">
        <f t="shared" si="220"/>
        <v>1</v>
      </c>
      <c r="BA214" s="141">
        <f t="shared" si="221"/>
        <v>1</v>
      </c>
      <c r="BB214">
        <f t="shared" si="222"/>
        <v>1</v>
      </c>
      <c r="BC214">
        <f t="shared" si="223"/>
        <v>0</v>
      </c>
      <c r="BD214">
        <f t="shared" si="224"/>
        <v>0</v>
      </c>
      <c r="BE214">
        <f t="shared" si="225"/>
        <v>0</v>
      </c>
      <c r="BF214">
        <f t="shared" si="226"/>
        <v>0</v>
      </c>
      <c r="BG214" t="str" cm="1">
        <f t="array" ref="BG214">IF(BA214=1,INDEX($X$7:$AN$7,MATCH(TRUE,INDEX($X214:$AY214&lt;&gt;0,),0)),IF(BA214=0,INDEX($AO$7:$AY$7,MATCH(1,$AO214:$AY214,0)),IF(BH214="Multiple strategies","mixed drivers",IF(BH214="Supply chain","multiple supply","multiple silviculture"))))</f>
        <v>area subject to harvest</v>
      </c>
      <c r="BH214" s="2" t="str" cm="1">
        <f t="array" ref="BH214">IF(COUNTIF(BB214:BD214,"&lt;&gt;0")=1,INDEX($X$4:$AY$4,MATCH(TRUE,INDEX($X214:$AY214&lt;&gt;0,),0)),IF(COUNTIF(BB214:BD214,"&lt;&gt;0")=0,INDEX($AO$4:$AY$4,MATCH(1,$AO214:$AY214,0)),"Multiple strategies"))</f>
        <v>Silviculture for removals</v>
      </c>
      <c r="BI214" s="142"/>
      <c r="BL214" s="143"/>
      <c r="BN214" s="143"/>
      <c r="BP214" s="158"/>
      <c r="BQ214" s="159"/>
      <c r="BR214" s="155" t="s">
        <v>232</v>
      </c>
      <c r="BS214" s="329" t="s">
        <v>3359</v>
      </c>
      <c r="BT214" s="141" t="s">
        <v>764</v>
      </c>
      <c r="BU214" s="151">
        <v>131</v>
      </c>
      <c r="BV214" s="151">
        <v>47</v>
      </c>
      <c r="BW214" s="144">
        <f t="shared" si="240"/>
        <v>0.35877862595419846</v>
      </c>
      <c r="BX214">
        <f t="shared" si="208"/>
        <v>-84</v>
      </c>
      <c r="BZ214">
        <f t="shared" si="241"/>
        <v>-84</v>
      </c>
      <c r="CA214" t="str">
        <f t="shared" si="173"/>
        <v/>
      </c>
      <c r="CB214">
        <v>0</v>
      </c>
      <c r="CC214">
        <v>0</v>
      </c>
      <c r="CD214">
        <v>0</v>
      </c>
      <c r="CE214">
        <v>0</v>
      </c>
      <c r="CF214">
        <v>0</v>
      </c>
      <c r="CG214">
        <v>0</v>
      </c>
      <c r="CH214">
        <v>0</v>
      </c>
      <c r="CI214">
        <v>0</v>
      </c>
      <c r="CJ214">
        <v>0</v>
      </c>
      <c r="CK214">
        <v>0</v>
      </c>
      <c r="CL214">
        <v>0</v>
      </c>
      <c r="CM214">
        <v>0</v>
      </c>
      <c r="CN214">
        <v>0</v>
      </c>
      <c r="CO214">
        <v>0</v>
      </c>
      <c r="CP214" t="str">
        <f t="shared" si="205"/>
        <v>refOK</v>
      </c>
      <c r="CQ214"/>
      <c r="CR214"/>
      <c r="CS214"/>
      <c r="CT214">
        <f t="shared" si="174"/>
        <v>0</v>
      </c>
      <c r="CU214">
        <f t="shared" si="227"/>
        <v>131</v>
      </c>
      <c r="CV214">
        <f t="shared" si="228"/>
        <v>47</v>
      </c>
      <c r="CW214">
        <f t="shared" si="229"/>
        <v>-84</v>
      </c>
      <c r="CX214" t="str">
        <f t="shared" si="175"/>
        <v/>
      </c>
      <c r="CY214" t="str">
        <f t="shared" si="230"/>
        <v/>
      </c>
      <c r="CZ214" t="str">
        <f t="shared" si="176"/>
        <v/>
      </c>
      <c r="DA214" s="2">
        <f t="shared" si="231"/>
        <v>-0.64122137404580148</v>
      </c>
      <c r="DB214" s="304" t="s">
        <v>234</v>
      </c>
      <c r="DC214" s="297" t="str">
        <f t="shared" si="232"/>
        <v>loc</v>
      </c>
      <c r="DD214" s="303" t="s">
        <v>444</v>
      </c>
      <c r="DF214" s="143"/>
      <c r="DG214" s="143">
        <v>29</v>
      </c>
      <c r="DH214" t="str">
        <f t="shared" si="233"/>
        <v>1-30</v>
      </c>
      <c r="DI214">
        <v>1</v>
      </c>
      <c r="DJ214">
        <v>1</v>
      </c>
      <c r="DK214">
        <v>1</v>
      </c>
      <c r="DL214">
        <v>1</v>
      </c>
      <c r="DM214">
        <v>0</v>
      </c>
      <c r="DN214">
        <f t="shared" si="243"/>
        <v>4</v>
      </c>
      <c r="DO214" t="str">
        <f t="shared" si="234"/>
        <v>mixedProduct</v>
      </c>
      <c r="DP214" t="str">
        <f t="shared" si="235"/>
        <v>Upstream</v>
      </c>
      <c r="DQ214" t="str">
        <f t="shared" si="236"/>
        <v>Energy</v>
      </c>
      <c r="DR214" t="str">
        <f t="shared" si="237"/>
        <v>Pulp/Paper</v>
      </c>
      <c r="DS214" t="str">
        <f t="shared" si="238"/>
        <v>Timber</v>
      </c>
      <c r="DT214">
        <v>0</v>
      </c>
      <c r="DU214" s="143">
        <v>0</v>
      </c>
      <c r="DV214" s="143">
        <v>0</v>
      </c>
      <c r="DW214">
        <v>0</v>
      </c>
      <c r="DX214" s="143">
        <v>0</v>
      </c>
      <c r="DY214">
        <f t="shared" si="242"/>
        <v>0</v>
      </c>
      <c r="DZ214" s="143" t="str">
        <f t="shared" si="239"/>
        <v>explicit C balance</v>
      </c>
      <c r="EA214" s="143">
        <v>0</v>
      </c>
      <c r="EB214" s="143">
        <v>1</v>
      </c>
      <c r="EC214" s="143">
        <v>1</v>
      </c>
      <c r="ED214" s="143">
        <v>1</v>
      </c>
      <c r="EE214">
        <v>0</v>
      </c>
      <c r="EF214" s="143">
        <v>0</v>
      </c>
      <c r="EG214" s="143">
        <v>0</v>
      </c>
      <c r="EH214" s="143">
        <v>0</v>
      </c>
      <c r="EI214" s="143">
        <v>0</v>
      </c>
      <c r="EJ214">
        <v>0</v>
      </c>
      <c r="EK214">
        <v>1</v>
      </c>
      <c r="EL214" s="143">
        <v>0</v>
      </c>
      <c r="EM214" s="143">
        <v>0</v>
      </c>
      <c r="EN214" s="2">
        <v>0</v>
      </c>
      <c r="EP214" t="str">
        <f t="shared" si="177"/>
        <v/>
      </c>
      <c r="EQ214" t="str">
        <f t="shared" si="219"/>
        <v>Ecosystem approach</v>
      </c>
      <c r="ER214" s="2" t="str">
        <f t="shared" si="179"/>
        <v/>
      </c>
      <c r="ES214" t="str">
        <f t="shared" si="180"/>
        <v/>
      </c>
      <c r="ET214" t="str">
        <f t="shared" si="181"/>
        <v/>
      </c>
      <c r="EU214" t="str">
        <f t="shared" si="182"/>
        <v/>
      </c>
      <c r="EW214" s="297" t="s">
        <v>3355</v>
      </c>
      <c r="EY214" t="b">
        <f>IF(ISNUMBER(BW214),IF(ABS(BW214-[1]QC_indicators!$B$2)&gt;3*[1]QC_indicators!$C$2,"C ratio",IF(ISNUMBER(CA214),IF(ABS(CA214-[1]QC_indicators!$B$1)&gt;3*[1]QC_indicators!$C$1,"DF","no"))),IF(ISNUMBER(CA214),IF(ABS(CA214-[1]QC_indicators!$B$1)&gt;3*[1]QC_indicators!$C$1,"DF","no")))</f>
        <v>0</v>
      </c>
      <c r="FA214" t="str">
        <f t="shared" si="183"/>
        <v/>
      </c>
    </row>
    <row r="215" spans="1:158" ht="15" hidden="1" customHeight="1">
      <c r="A215" s="304" t="s">
        <v>761</v>
      </c>
      <c r="D215" t="s">
        <v>3348</v>
      </c>
      <c r="E215" s="297" t="s">
        <v>3349</v>
      </c>
      <c r="F215" s="297" t="s">
        <v>3350</v>
      </c>
      <c r="G215" t="s">
        <v>762</v>
      </c>
      <c r="I215">
        <v>2014</v>
      </c>
      <c r="J215">
        <v>34</v>
      </c>
      <c r="K215" s="288" t="s">
        <v>3351</v>
      </c>
      <c r="M215" t="str">
        <f t="shared" si="212"/>
        <v>Haus_2014</v>
      </c>
      <c r="N215" s="297" t="s">
        <v>4058</v>
      </c>
      <c r="O215" s="157" t="s">
        <v>223</v>
      </c>
      <c r="P215" t="s">
        <v>223</v>
      </c>
      <c r="Q215" s="297" t="s">
        <v>389</v>
      </c>
      <c r="R215" s="298"/>
      <c r="S215" s="154" t="s">
        <v>3352</v>
      </c>
      <c r="T215" s="299" t="s">
        <v>3356</v>
      </c>
      <c r="U215" s="143" t="s">
        <v>3354</v>
      </c>
      <c r="V215" s="143"/>
      <c r="W215" s="143"/>
      <c r="X215">
        <v>1</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s="141">
        <f t="shared" si="220"/>
        <v>1</v>
      </c>
      <c r="BA215" s="141">
        <f t="shared" si="221"/>
        <v>1</v>
      </c>
      <c r="BB215">
        <f t="shared" si="222"/>
        <v>1</v>
      </c>
      <c r="BC215">
        <f t="shared" si="223"/>
        <v>0</v>
      </c>
      <c r="BD215">
        <f t="shared" si="224"/>
        <v>0</v>
      </c>
      <c r="BE215">
        <f t="shared" si="225"/>
        <v>0</v>
      </c>
      <c r="BF215">
        <f t="shared" si="226"/>
        <v>0</v>
      </c>
      <c r="BG215" t="str" cm="1">
        <f t="array" ref="BG215">IF(BA215=1,INDEX($X$7:$AN$7,MATCH(TRUE,INDEX($X215:$AY215&lt;&gt;0,),0)),IF(BA215=0,INDEX($AO$7:$AY$7,MATCH(1,$AO215:$AY215,0)),IF(BH215="Multiple strategies","mixed drivers",IF(BH215="Supply chain","multiple supply","multiple silviculture"))))</f>
        <v>area subject to harvest</v>
      </c>
      <c r="BH215" s="2" t="str" cm="1">
        <f t="array" ref="BH215">IF(COUNTIF(BB215:BD215,"&lt;&gt;0")=1,INDEX($X$4:$AY$4,MATCH(TRUE,INDEX($X215:$AY215&lt;&gt;0,),0)),IF(COUNTIF(BB215:BD215,"&lt;&gt;0")=0,INDEX($AO$4:$AY$4,MATCH(1,$AO215:$AY215,0)),"Multiple strategies"))</f>
        <v>Silviculture for removals</v>
      </c>
      <c r="BI215" s="142"/>
      <c r="BL215" s="143"/>
      <c r="BN215" s="143"/>
      <c r="BP215" s="158"/>
      <c r="BQ215" s="159"/>
      <c r="BR215" s="155" t="s">
        <v>232</v>
      </c>
      <c r="BS215" s="329" t="s">
        <v>676</v>
      </c>
      <c r="BT215" s="141" t="s">
        <v>764</v>
      </c>
      <c r="BU215" s="151">
        <v>766</v>
      </c>
      <c r="BV215" s="151">
        <v>328</v>
      </c>
      <c r="BW215" s="144">
        <f t="shared" si="240"/>
        <v>0.42819843342036551</v>
      </c>
      <c r="BX215">
        <f t="shared" si="208"/>
        <v>-438</v>
      </c>
      <c r="BZ215">
        <f t="shared" si="241"/>
        <v>-438</v>
      </c>
      <c r="CA215" t="str">
        <f t="shared" si="173"/>
        <v/>
      </c>
      <c r="CB215">
        <v>0</v>
      </c>
      <c r="CC215">
        <v>0</v>
      </c>
      <c r="CD215">
        <v>0</v>
      </c>
      <c r="CE215">
        <v>0</v>
      </c>
      <c r="CF215">
        <v>0</v>
      </c>
      <c r="CG215">
        <v>0</v>
      </c>
      <c r="CH215">
        <v>0</v>
      </c>
      <c r="CI215">
        <v>0</v>
      </c>
      <c r="CJ215">
        <v>0</v>
      </c>
      <c r="CK215">
        <v>0</v>
      </c>
      <c r="CL215">
        <v>0</v>
      </c>
      <c r="CM215">
        <v>0</v>
      </c>
      <c r="CN215">
        <v>0</v>
      </c>
      <c r="CO215">
        <v>0</v>
      </c>
      <c r="CP215" t="str">
        <f t="shared" si="205"/>
        <v>refOK</v>
      </c>
      <c r="CQ215"/>
      <c r="CR215"/>
      <c r="CS215"/>
      <c r="CT215">
        <f t="shared" si="174"/>
        <v>0</v>
      </c>
      <c r="CU215">
        <f t="shared" si="227"/>
        <v>766</v>
      </c>
      <c r="CV215">
        <f t="shared" si="228"/>
        <v>328</v>
      </c>
      <c r="CW215">
        <f t="shared" si="229"/>
        <v>-438</v>
      </c>
      <c r="CX215" t="str">
        <f t="shared" si="175"/>
        <v/>
      </c>
      <c r="CY215" t="str">
        <f t="shared" si="230"/>
        <v/>
      </c>
      <c r="CZ215" t="str">
        <f t="shared" si="176"/>
        <v/>
      </c>
      <c r="DA215" s="2">
        <f t="shared" si="231"/>
        <v>-0.57180156657963443</v>
      </c>
      <c r="DB215" s="304" t="s">
        <v>234</v>
      </c>
      <c r="DC215" s="297" t="str">
        <f t="shared" si="232"/>
        <v>loc</v>
      </c>
      <c r="DD215" s="303" t="s">
        <v>444</v>
      </c>
      <c r="DF215" s="143"/>
      <c r="DG215" s="143">
        <v>69</v>
      </c>
      <c r="DH215" t="str">
        <f t="shared" si="233"/>
        <v>31-70</v>
      </c>
      <c r="DI215">
        <v>1</v>
      </c>
      <c r="DJ215">
        <v>1</v>
      </c>
      <c r="DK215">
        <v>1</v>
      </c>
      <c r="DL215">
        <v>1</v>
      </c>
      <c r="DM215">
        <v>0</v>
      </c>
      <c r="DN215">
        <f t="shared" si="243"/>
        <v>4</v>
      </c>
      <c r="DO215" t="str">
        <f t="shared" si="234"/>
        <v>mixedProduct</v>
      </c>
      <c r="DP215" t="str">
        <f t="shared" si="235"/>
        <v>Upstream</v>
      </c>
      <c r="DQ215" t="str">
        <f t="shared" si="236"/>
        <v>Energy</v>
      </c>
      <c r="DR215" t="str">
        <f t="shared" si="237"/>
        <v>Pulp/Paper</v>
      </c>
      <c r="DS215" t="str">
        <f t="shared" si="238"/>
        <v>Timber</v>
      </c>
      <c r="DT215">
        <v>0</v>
      </c>
      <c r="DU215" s="143">
        <v>0</v>
      </c>
      <c r="DV215" s="143">
        <v>0</v>
      </c>
      <c r="DW215">
        <v>0</v>
      </c>
      <c r="DX215" s="143">
        <v>0</v>
      </c>
      <c r="DY215">
        <f t="shared" si="242"/>
        <v>0</v>
      </c>
      <c r="DZ215" s="143" t="str">
        <f t="shared" si="239"/>
        <v>explicit C balance</v>
      </c>
      <c r="EA215" s="143">
        <v>0</v>
      </c>
      <c r="EB215" s="143">
        <v>1</v>
      </c>
      <c r="EC215" s="143">
        <v>1</v>
      </c>
      <c r="ED215" s="143">
        <v>1</v>
      </c>
      <c r="EE215">
        <v>0</v>
      </c>
      <c r="EF215" s="143">
        <v>0</v>
      </c>
      <c r="EG215" s="143">
        <v>0</v>
      </c>
      <c r="EH215" s="143">
        <v>0</v>
      </c>
      <c r="EI215" s="143">
        <v>0</v>
      </c>
      <c r="EJ215">
        <v>0</v>
      </c>
      <c r="EK215">
        <v>1</v>
      </c>
      <c r="EL215" s="143">
        <v>0</v>
      </c>
      <c r="EM215" s="143">
        <v>0</v>
      </c>
      <c r="EN215" s="2">
        <v>0</v>
      </c>
      <c r="EP215" t="str">
        <f t="shared" si="177"/>
        <v/>
      </c>
      <c r="EQ215" t="str">
        <f t="shared" si="219"/>
        <v>Ecosystem approach</v>
      </c>
      <c r="ER215" s="2" t="str">
        <f t="shared" si="179"/>
        <v/>
      </c>
      <c r="ES215" t="str">
        <f t="shared" si="180"/>
        <v/>
      </c>
      <c r="ET215" t="str">
        <f t="shared" si="181"/>
        <v/>
      </c>
      <c r="EU215" t="str">
        <f t="shared" si="182"/>
        <v/>
      </c>
      <c r="EW215" s="297" t="s">
        <v>3355</v>
      </c>
      <c r="EY215" t="b">
        <f>IF(ISNUMBER(BW215),IF(ABS(BW215-[1]QC_indicators!$B$2)&gt;3*[1]QC_indicators!$C$2,"C ratio",IF(ISNUMBER(CA215),IF(ABS(CA215-[1]QC_indicators!$B$1)&gt;3*[1]QC_indicators!$C$1,"DF","no"))),IF(ISNUMBER(CA215),IF(ABS(CA215-[1]QC_indicators!$B$1)&gt;3*[1]QC_indicators!$C$1,"DF","no")))</f>
        <v>0</v>
      </c>
      <c r="FA215" t="str">
        <f t="shared" si="183"/>
        <v/>
      </c>
    </row>
    <row r="216" spans="1:158" ht="15" hidden="1" customHeight="1">
      <c r="A216" s="304" t="s">
        <v>761</v>
      </c>
      <c r="D216" t="s">
        <v>3348</v>
      </c>
      <c r="E216" s="297" t="s">
        <v>3349</v>
      </c>
      <c r="F216" s="297" t="s">
        <v>3350</v>
      </c>
      <c r="G216" t="s">
        <v>762</v>
      </c>
      <c r="I216">
        <v>2014</v>
      </c>
      <c r="J216">
        <v>34</v>
      </c>
      <c r="K216" s="288" t="s">
        <v>3351</v>
      </c>
      <c r="M216" t="str">
        <f t="shared" si="212"/>
        <v>Haus_2014</v>
      </c>
      <c r="N216" s="297" t="s">
        <v>4058</v>
      </c>
      <c r="O216" s="157" t="s">
        <v>223</v>
      </c>
      <c r="P216" t="s">
        <v>223</v>
      </c>
      <c r="Q216" s="297" t="s">
        <v>389</v>
      </c>
      <c r="R216" s="298"/>
      <c r="S216" s="154" t="s">
        <v>3352</v>
      </c>
      <c r="T216" s="299" t="s">
        <v>3353</v>
      </c>
      <c r="U216" s="143" t="s">
        <v>3354</v>
      </c>
      <c r="V216" s="143"/>
      <c r="W216" s="143"/>
      <c r="X216">
        <v>1</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s="141">
        <f t="shared" si="220"/>
        <v>1</v>
      </c>
      <c r="BA216" s="141">
        <f t="shared" si="221"/>
        <v>1</v>
      </c>
      <c r="BB216">
        <f t="shared" si="222"/>
        <v>1</v>
      </c>
      <c r="BC216">
        <f t="shared" si="223"/>
        <v>0</v>
      </c>
      <c r="BD216">
        <f t="shared" si="224"/>
        <v>0</v>
      </c>
      <c r="BE216">
        <f t="shared" si="225"/>
        <v>0</v>
      </c>
      <c r="BF216">
        <f t="shared" si="226"/>
        <v>0</v>
      </c>
      <c r="BG216" t="str" cm="1">
        <f t="array" ref="BG216">IF(BA216=1,INDEX($X$7:$AN$7,MATCH(TRUE,INDEX($X216:$AY216&lt;&gt;0,),0)),IF(BA216=0,INDEX($AO$7:$AY$7,MATCH(1,$AO216:$AY216,0)),IF(BH216="Multiple strategies","mixed drivers",IF(BH216="Supply chain","multiple supply","multiple silviculture"))))</f>
        <v>area subject to harvest</v>
      </c>
      <c r="BH216" s="2" t="str" cm="1">
        <f t="array" ref="BH216">IF(COUNTIF(BB216:BD216,"&lt;&gt;0")=1,INDEX($X$4:$AY$4,MATCH(TRUE,INDEX($X216:$AY216&lt;&gt;0,),0)),IF(COUNTIF(BB216:BD216,"&lt;&gt;0")=0,INDEX($AO$4:$AY$4,MATCH(1,$AO216:$AY216,0)),"Multiple strategies"))</f>
        <v>Silviculture for removals</v>
      </c>
      <c r="BI216" s="142"/>
      <c r="BL216" s="143"/>
      <c r="BN216" s="143"/>
      <c r="BP216" s="158"/>
      <c r="BQ216" s="159"/>
      <c r="BR216" s="155" t="s">
        <v>232</v>
      </c>
      <c r="BS216" s="329" t="s">
        <v>763</v>
      </c>
      <c r="BT216" s="141" t="s">
        <v>764</v>
      </c>
      <c r="BU216" s="151">
        <v>608</v>
      </c>
      <c r="BV216" s="151">
        <v>328</v>
      </c>
      <c r="BW216" s="144">
        <f t="shared" si="240"/>
        <v>0.53947368421052633</v>
      </c>
      <c r="BX216">
        <f t="shared" si="208"/>
        <v>-280</v>
      </c>
      <c r="BZ216">
        <f t="shared" si="241"/>
        <v>-280</v>
      </c>
      <c r="CA216" t="str">
        <f t="shared" si="173"/>
        <v/>
      </c>
      <c r="CB216">
        <v>0</v>
      </c>
      <c r="CC216">
        <v>0</v>
      </c>
      <c r="CD216">
        <v>0</v>
      </c>
      <c r="CE216">
        <v>0</v>
      </c>
      <c r="CF216">
        <v>0</v>
      </c>
      <c r="CG216">
        <v>0</v>
      </c>
      <c r="CH216">
        <v>0</v>
      </c>
      <c r="CI216">
        <v>0</v>
      </c>
      <c r="CJ216">
        <v>0</v>
      </c>
      <c r="CK216">
        <v>0</v>
      </c>
      <c r="CL216">
        <v>0</v>
      </c>
      <c r="CM216">
        <v>0</v>
      </c>
      <c r="CN216">
        <v>0</v>
      </c>
      <c r="CO216">
        <v>0</v>
      </c>
      <c r="CP216" t="str">
        <f t="shared" si="205"/>
        <v>refOK</v>
      </c>
      <c r="CQ216"/>
      <c r="CR216"/>
      <c r="CS216"/>
      <c r="CT216">
        <f t="shared" si="174"/>
        <v>0</v>
      </c>
      <c r="CU216">
        <f t="shared" si="227"/>
        <v>608</v>
      </c>
      <c r="CV216">
        <f t="shared" si="228"/>
        <v>328</v>
      </c>
      <c r="CW216">
        <f t="shared" si="229"/>
        <v>-280</v>
      </c>
      <c r="CX216" t="str">
        <f t="shared" si="175"/>
        <v/>
      </c>
      <c r="CY216" t="str">
        <f t="shared" si="230"/>
        <v/>
      </c>
      <c r="CZ216" t="str">
        <f t="shared" si="176"/>
        <v/>
      </c>
      <c r="DA216" s="2">
        <f t="shared" si="231"/>
        <v>-0.46052631578947367</v>
      </c>
      <c r="DB216" s="304" t="s">
        <v>234</v>
      </c>
      <c r="DC216" s="297" t="str">
        <f t="shared" si="232"/>
        <v>loc</v>
      </c>
      <c r="DD216" s="303" t="s">
        <v>444</v>
      </c>
      <c r="DF216" s="143"/>
      <c r="DG216" s="143">
        <v>69</v>
      </c>
      <c r="DH216" t="str">
        <f t="shared" si="233"/>
        <v>31-70</v>
      </c>
      <c r="DI216">
        <v>1</v>
      </c>
      <c r="DJ216">
        <v>1</v>
      </c>
      <c r="DK216">
        <v>1</v>
      </c>
      <c r="DL216">
        <v>1</v>
      </c>
      <c r="DM216">
        <v>0</v>
      </c>
      <c r="DN216">
        <f t="shared" si="243"/>
        <v>4</v>
      </c>
      <c r="DO216" t="str">
        <f t="shared" si="234"/>
        <v>mixedProduct</v>
      </c>
      <c r="DP216" t="str">
        <f t="shared" si="235"/>
        <v>Upstream</v>
      </c>
      <c r="DQ216" t="str">
        <f t="shared" si="236"/>
        <v>Energy</v>
      </c>
      <c r="DR216" t="str">
        <f t="shared" si="237"/>
        <v>Pulp/Paper</v>
      </c>
      <c r="DS216" t="str">
        <f t="shared" si="238"/>
        <v>Timber</v>
      </c>
      <c r="DT216">
        <v>0</v>
      </c>
      <c r="DU216" s="143">
        <v>0</v>
      </c>
      <c r="DV216" s="143">
        <v>0</v>
      </c>
      <c r="DW216">
        <v>0</v>
      </c>
      <c r="DX216" s="143">
        <v>0</v>
      </c>
      <c r="DY216">
        <f t="shared" si="242"/>
        <v>0</v>
      </c>
      <c r="DZ216" s="143" t="str">
        <f t="shared" si="239"/>
        <v>explicit C balance</v>
      </c>
      <c r="EA216" s="143">
        <v>0</v>
      </c>
      <c r="EB216" s="143">
        <v>1</v>
      </c>
      <c r="EC216" s="143">
        <v>1</v>
      </c>
      <c r="ED216" s="143">
        <v>1</v>
      </c>
      <c r="EE216">
        <v>0</v>
      </c>
      <c r="EF216" s="143">
        <v>0</v>
      </c>
      <c r="EG216" s="143">
        <v>0</v>
      </c>
      <c r="EH216" s="143">
        <v>0</v>
      </c>
      <c r="EI216" s="143">
        <v>0</v>
      </c>
      <c r="EJ216">
        <v>0</v>
      </c>
      <c r="EK216">
        <v>1</v>
      </c>
      <c r="EL216" s="143">
        <v>0</v>
      </c>
      <c r="EM216" s="143">
        <v>0</v>
      </c>
      <c r="EN216" s="2">
        <v>0</v>
      </c>
      <c r="EP216" t="str">
        <f t="shared" si="177"/>
        <v/>
      </c>
      <c r="EQ216" t="str">
        <f t="shared" si="219"/>
        <v>Ecosystem approach</v>
      </c>
      <c r="ER216" s="2" t="str">
        <f t="shared" si="179"/>
        <v/>
      </c>
      <c r="ES216" t="str">
        <f t="shared" si="180"/>
        <v/>
      </c>
      <c r="ET216" t="str">
        <f t="shared" si="181"/>
        <v/>
      </c>
      <c r="EU216" t="str">
        <f t="shared" si="182"/>
        <v/>
      </c>
      <c r="EW216" s="297" t="s">
        <v>3355</v>
      </c>
      <c r="EY216" t="b">
        <f>IF(ISNUMBER(BW216),IF(ABS(BW216-[1]QC_indicators!$B$2)&gt;3*[1]QC_indicators!$C$2,"C ratio",IF(ISNUMBER(CA216),IF(ABS(CA216-[1]QC_indicators!$B$1)&gt;3*[1]QC_indicators!$C$1,"DF","no"))),IF(ISNUMBER(CA216),IF(ABS(CA216-[1]QC_indicators!$B$1)&gt;3*[1]QC_indicators!$C$1,"DF","no")))</f>
        <v>0</v>
      </c>
      <c r="FA216" t="str">
        <f t="shared" si="183"/>
        <v/>
      </c>
    </row>
    <row r="217" spans="1:158" ht="15" hidden="1" customHeight="1">
      <c r="A217" s="304" t="s">
        <v>761</v>
      </c>
      <c r="D217" t="s">
        <v>3348</v>
      </c>
      <c r="E217" s="297" t="s">
        <v>3349</v>
      </c>
      <c r="F217" s="297" t="s">
        <v>3350</v>
      </c>
      <c r="G217" t="s">
        <v>762</v>
      </c>
      <c r="I217">
        <v>2014</v>
      </c>
      <c r="J217">
        <v>34</v>
      </c>
      <c r="K217" s="288" t="s">
        <v>3351</v>
      </c>
      <c r="M217" t="str">
        <f t="shared" si="212"/>
        <v>Haus_2014</v>
      </c>
      <c r="N217" s="297" t="s">
        <v>4058</v>
      </c>
      <c r="O217" s="157" t="s">
        <v>223</v>
      </c>
      <c r="P217" t="s">
        <v>223</v>
      </c>
      <c r="Q217" s="297" t="s">
        <v>389</v>
      </c>
      <c r="R217" s="298"/>
      <c r="S217" s="154" t="s">
        <v>3352</v>
      </c>
      <c r="T217" s="299" t="s">
        <v>3356</v>
      </c>
      <c r="U217" s="143" t="s">
        <v>3358</v>
      </c>
      <c r="V217" s="143"/>
      <c r="W217" s="143"/>
      <c r="X217">
        <v>1</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s="141">
        <f t="shared" si="220"/>
        <v>1</v>
      </c>
      <c r="BA217" s="141">
        <f t="shared" si="221"/>
        <v>1</v>
      </c>
      <c r="BB217">
        <f t="shared" si="222"/>
        <v>1</v>
      </c>
      <c r="BC217">
        <f t="shared" si="223"/>
        <v>0</v>
      </c>
      <c r="BD217">
        <f t="shared" si="224"/>
        <v>0</v>
      </c>
      <c r="BE217">
        <f t="shared" si="225"/>
        <v>0</v>
      </c>
      <c r="BF217">
        <f t="shared" si="226"/>
        <v>0</v>
      </c>
      <c r="BG217" t="str" cm="1">
        <f t="array" ref="BG217">IF(BA217=1,INDEX($X$7:$AN$7,MATCH(TRUE,INDEX($X217:$AY217&lt;&gt;0,),0)),IF(BA217=0,INDEX($AO$7:$AY$7,MATCH(1,$AO217:$AY217,0)),IF(BH217="Multiple strategies","mixed drivers",IF(BH217="Supply chain","multiple supply","multiple silviculture"))))</f>
        <v>area subject to harvest</v>
      </c>
      <c r="BH217" s="2" t="str" cm="1">
        <f t="array" ref="BH217">IF(COUNTIF(BB217:BD217,"&lt;&gt;0")=1,INDEX($X$4:$AY$4,MATCH(TRUE,INDEX($X217:$AY217&lt;&gt;0,),0)),IF(COUNTIF(BB217:BD217,"&lt;&gt;0")=0,INDEX($AO$4:$AY$4,MATCH(1,$AO217:$AY217,0)),"Multiple strategies"))</f>
        <v>Silviculture for removals</v>
      </c>
      <c r="BI217" s="142"/>
      <c r="BL217" s="143"/>
      <c r="BN217" s="143"/>
      <c r="BP217" s="158"/>
      <c r="BQ217" s="159"/>
      <c r="BR217" s="155" t="s">
        <v>232</v>
      </c>
      <c r="BS217" s="329" t="s">
        <v>767</v>
      </c>
      <c r="BT217" s="141" t="s">
        <v>764</v>
      </c>
      <c r="BU217" s="151">
        <v>766</v>
      </c>
      <c r="BV217" s="151">
        <v>513</v>
      </c>
      <c r="BW217" s="144">
        <f t="shared" si="240"/>
        <v>0.66971279373368142</v>
      </c>
      <c r="BX217">
        <f t="shared" si="208"/>
        <v>-253</v>
      </c>
      <c r="BZ217">
        <f t="shared" si="241"/>
        <v>-253</v>
      </c>
      <c r="CA217" t="str">
        <f t="shared" si="173"/>
        <v/>
      </c>
      <c r="CB217">
        <v>0</v>
      </c>
      <c r="CC217">
        <v>0</v>
      </c>
      <c r="CD217">
        <v>0</v>
      </c>
      <c r="CE217">
        <v>0</v>
      </c>
      <c r="CF217">
        <v>0</v>
      </c>
      <c r="CG217">
        <v>0</v>
      </c>
      <c r="CH217">
        <v>0</v>
      </c>
      <c r="CI217">
        <v>0</v>
      </c>
      <c r="CJ217">
        <v>0</v>
      </c>
      <c r="CK217">
        <v>0</v>
      </c>
      <c r="CL217">
        <v>0</v>
      </c>
      <c r="CM217">
        <v>0</v>
      </c>
      <c r="CN217">
        <v>0</v>
      </c>
      <c r="CO217">
        <v>0</v>
      </c>
      <c r="CP217" t="str">
        <f t="shared" si="205"/>
        <v>refOK</v>
      </c>
      <c r="CQ217"/>
      <c r="CR217"/>
      <c r="CS217"/>
      <c r="CT217">
        <f t="shared" si="174"/>
        <v>0</v>
      </c>
      <c r="CU217">
        <f t="shared" si="227"/>
        <v>766</v>
      </c>
      <c r="CV217">
        <f t="shared" si="228"/>
        <v>513</v>
      </c>
      <c r="CW217">
        <f t="shared" si="229"/>
        <v>-253</v>
      </c>
      <c r="CX217" t="str">
        <f t="shared" si="175"/>
        <v/>
      </c>
      <c r="CY217" t="str">
        <f t="shared" si="230"/>
        <v/>
      </c>
      <c r="CZ217" t="str">
        <f t="shared" si="176"/>
        <v/>
      </c>
      <c r="DA217" s="2">
        <f t="shared" si="231"/>
        <v>-0.33028720626631852</v>
      </c>
      <c r="DB217" s="304" t="s">
        <v>234</v>
      </c>
      <c r="DC217" s="297" t="str">
        <f t="shared" si="232"/>
        <v>loc</v>
      </c>
      <c r="DD217" s="303" t="s">
        <v>444</v>
      </c>
      <c r="DF217" s="143"/>
      <c r="DG217" s="143">
        <v>69</v>
      </c>
      <c r="DH217" t="str">
        <f t="shared" si="233"/>
        <v>31-70</v>
      </c>
      <c r="DI217">
        <v>1</v>
      </c>
      <c r="DJ217">
        <v>1</v>
      </c>
      <c r="DK217">
        <v>1</v>
      </c>
      <c r="DL217">
        <v>1</v>
      </c>
      <c r="DM217">
        <v>0</v>
      </c>
      <c r="DN217">
        <f t="shared" si="243"/>
        <v>4</v>
      </c>
      <c r="DO217" t="str">
        <f t="shared" si="234"/>
        <v>mixedProduct</v>
      </c>
      <c r="DP217" t="str">
        <f t="shared" si="235"/>
        <v>Upstream</v>
      </c>
      <c r="DQ217" t="str">
        <f t="shared" si="236"/>
        <v>Energy</v>
      </c>
      <c r="DR217" t="str">
        <f t="shared" si="237"/>
        <v>Pulp/Paper</v>
      </c>
      <c r="DS217" t="str">
        <f t="shared" si="238"/>
        <v>Timber</v>
      </c>
      <c r="DT217">
        <v>0</v>
      </c>
      <c r="DU217" s="143">
        <v>0</v>
      </c>
      <c r="DV217" s="143">
        <v>0</v>
      </c>
      <c r="DW217">
        <v>0</v>
      </c>
      <c r="DX217" s="143">
        <v>0</v>
      </c>
      <c r="DY217">
        <f t="shared" si="242"/>
        <v>0</v>
      </c>
      <c r="DZ217" s="143" t="str">
        <f t="shared" si="239"/>
        <v>explicit C balance</v>
      </c>
      <c r="EA217" s="143">
        <v>0</v>
      </c>
      <c r="EB217" s="143">
        <v>1</v>
      </c>
      <c r="EC217" s="143">
        <v>1</v>
      </c>
      <c r="ED217" s="143">
        <v>1</v>
      </c>
      <c r="EE217">
        <v>0</v>
      </c>
      <c r="EF217" s="143">
        <v>0</v>
      </c>
      <c r="EG217" s="143">
        <v>0</v>
      </c>
      <c r="EH217" s="143">
        <v>0</v>
      </c>
      <c r="EI217" s="143">
        <v>0</v>
      </c>
      <c r="EJ217">
        <v>0</v>
      </c>
      <c r="EK217">
        <v>1</v>
      </c>
      <c r="EL217" s="143">
        <v>0</v>
      </c>
      <c r="EM217" s="143">
        <v>0</v>
      </c>
      <c r="EN217" s="2">
        <v>0</v>
      </c>
      <c r="EP217" t="str">
        <f t="shared" si="177"/>
        <v/>
      </c>
      <c r="EQ217" t="str">
        <f t="shared" si="219"/>
        <v>Ecosystem approach</v>
      </c>
      <c r="ER217" s="2" t="str">
        <f t="shared" si="179"/>
        <v/>
      </c>
      <c r="ES217" t="str">
        <f t="shared" si="180"/>
        <v/>
      </c>
      <c r="ET217" t="str">
        <f t="shared" si="181"/>
        <v/>
      </c>
      <c r="EU217" t="str">
        <f t="shared" si="182"/>
        <v/>
      </c>
      <c r="EW217" s="297" t="s">
        <v>3355</v>
      </c>
      <c r="EY217" t="b">
        <f>IF(ISNUMBER(BW217),IF(ABS(BW217-[1]QC_indicators!$B$2)&gt;3*[1]QC_indicators!$C$2,"C ratio",IF(ISNUMBER(CA217),IF(ABS(CA217-[1]QC_indicators!$B$1)&gt;3*[1]QC_indicators!$C$1,"DF","no"))),IF(ISNUMBER(CA217),IF(ABS(CA217-[1]QC_indicators!$B$1)&gt;3*[1]QC_indicators!$C$1,"DF","no")))</f>
        <v>0</v>
      </c>
      <c r="FA217" t="str">
        <f t="shared" si="183"/>
        <v/>
      </c>
    </row>
    <row r="218" spans="1:158" ht="15" hidden="1" customHeight="1">
      <c r="A218" s="304" t="s">
        <v>761</v>
      </c>
      <c r="D218" t="s">
        <v>3348</v>
      </c>
      <c r="E218" s="297" t="s">
        <v>3349</v>
      </c>
      <c r="F218" s="297" t="s">
        <v>3350</v>
      </c>
      <c r="G218" t="s">
        <v>762</v>
      </c>
      <c r="I218">
        <v>2014</v>
      </c>
      <c r="J218">
        <v>34</v>
      </c>
      <c r="K218" s="288" t="s">
        <v>3351</v>
      </c>
      <c r="M218" t="str">
        <f t="shared" si="212"/>
        <v>Haus_2014</v>
      </c>
      <c r="N218" s="297" t="s">
        <v>4058</v>
      </c>
      <c r="O218" s="157" t="s">
        <v>223</v>
      </c>
      <c r="P218" t="s">
        <v>223</v>
      </c>
      <c r="Q218" s="297" t="s">
        <v>389</v>
      </c>
      <c r="R218" s="298"/>
      <c r="S218" s="154" t="s">
        <v>3352</v>
      </c>
      <c r="T218" s="299" t="s">
        <v>3353</v>
      </c>
      <c r="U218" s="143" t="s">
        <v>3358</v>
      </c>
      <c r="V218" s="143"/>
      <c r="W218" s="143"/>
      <c r="X218">
        <v>1</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s="141">
        <f t="shared" si="220"/>
        <v>1</v>
      </c>
      <c r="BA218" s="141">
        <f t="shared" si="221"/>
        <v>1</v>
      </c>
      <c r="BB218">
        <f t="shared" si="222"/>
        <v>1</v>
      </c>
      <c r="BC218">
        <f t="shared" si="223"/>
        <v>0</v>
      </c>
      <c r="BD218">
        <f t="shared" si="224"/>
        <v>0</v>
      </c>
      <c r="BE218">
        <f t="shared" si="225"/>
        <v>0</v>
      </c>
      <c r="BF218">
        <f t="shared" si="226"/>
        <v>0</v>
      </c>
      <c r="BG218" t="str" cm="1">
        <f t="array" ref="BG218">IF(BA218=1,INDEX($X$7:$AN$7,MATCH(TRUE,INDEX($X218:$AY218&lt;&gt;0,),0)),IF(BA218=0,INDEX($AO$7:$AY$7,MATCH(1,$AO218:$AY218,0)),IF(BH218="Multiple strategies","mixed drivers",IF(BH218="Supply chain","multiple supply","multiple silviculture"))))</f>
        <v>area subject to harvest</v>
      </c>
      <c r="BH218" s="2" t="str" cm="1">
        <f t="array" ref="BH218">IF(COUNTIF(BB218:BD218,"&lt;&gt;0")=1,INDEX($X$4:$AY$4,MATCH(TRUE,INDEX($X218:$AY218&lt;&gt;0,),0)),IF(COUNTIF(BB218:BD218,"&lt;&gt;0")=0,INDEX($AO$4:$AY$4,MATCH(1,$AO218:$AY218,0)),"Multiple strategies"))</f>
        <v>Silviculture for removals</v>
      </c>
      <c r="BI218" s="142"/>
      <c r="BL218" s="143"/>
      <c r="BN218" s="143"/>
      <c r="BP218" s="158"/>
      <c r="BQ218" s="159"/>
      <c r="BR218" s="155" t="s">
        <v>232</v>
      </c>
      <c r="BS218" s="329" t="s">
        <v>766</v>
      </c>
      <c r="BT218" s="141" t="s">
        <v>764</v>
      </c>
      <c r="BU218" s="151">
        <v>608</v>
      </c>
      <c r="BV218" s="151">
        <v>513</v>
      </c>
      <c r="BW218" s="144">
        <f t="shared" si="240"/>
        <v>0.84375</v>
      </c>
      <c r="BX218">
        <f t="shared" si="208"/>
        <v>-95</v>
      </c>
      <c r="BZ218">
        <f t="shared" si="241"/>
        <v>-95</v>
      </c>
      <c r="CA218" t="str">
        <f t="shared" si="173"/>
        <v/>
      </c>
      <c r="CB218">
        <v>0</v>
      </c>
      <c r="CC218">
        <v>0</v>
      </c>
      <c r="CD218">
        <v>0</v>
      </c>
      <c r="CE218">
        <v>0</v>
      </c>
      <c r="CF218">
        <v>0</v>
      </c>
      <c r="CG218">
        <v>0</v>
      </c>
      <c r="CH218">
        <v>0</v>
      </c>
      <c r="CI218">
        <v>0</v>
      </c>
      <c r="CJ218">
        <v>0</v>
      </c>
      <c r="CK218">
        <v>0</v>
      </c>
      <c r="CL218">
        <v>0</v>
      </c>
      <c r="CM218">
        <v>0</v>
      </c>
      <c r="CN218">
        <v>0</v>
      </c>
      <c r="CO218">
        <v>0</v>
      </c>
      <c r="CP218" t="str">
        <f t="shared" si="205"/>
        <v>refOK</v>
      </c>
      <c r="CQ218"/>
      <c r="CR218"/>
      <c r="CS218"/>
      <c r="CT218">
        <f t="shared" si="174"/>
        <v>0</v>
      </c>
      <c r="CU218">
        <f t="shared" si="227"/>
        <v>608</v>
      </c>
      <c r="CV218">
        <f t="shared" si="228"/>
        <v>513</v>
      </c>
      <c r="CW218">
        <f t="shared" si="229"/>
        <v>-95</v>
      </c>
      <c r="CX218" t="str">
        <f t="shared" si="175"/>
        <v/>
      </c>
      <c r="CY218" t="str">
        <f t="shared" si="230"/>
        <v/>
      </c>
      <c r="CZ218" t="str">
        <f t="shared" si="176"/>
        <v/>
      </c>
      <c r="DA218" s="2">
        <f t="shared" si="231"/>
        <v>-0.15625</v>
      </c>
      <c r="DB218" s="304" t="s">
        <v>234</v>
      </c>
      <c r="DC218" s="297" t="str">
        <f t="shared" si="232"/>
        <v>loc</v>
      </c>
      <c r="DD218" s="303" t="s">
        <v>444</v>
      </c>
      <c r="DF218" s="143"/>
      <c r="DG218" s="143">
        <v>69</v>
      </c>
      <c r="DH218" t="str">
        <f t="shared" si="233"/>
        <v>31-70</v>
      </c>
      <c r="DI218">
        <v>1</v>
      </c>
      <c r="DJ218">
        <v>1</v>
      </c>
      <c r="DK218">
        <v>1</v>
      </c>
      <c r="DL218">
        <v>1</v>
      </c>
      <c r="DM218">
        <v>0</v>
      </c>
      <c r="DN218">
        <f t="shared" si="243"/>
        <v>4</v>
      </c>
      <c r="DO218" t="str">
        <f t="shared" si="234"/>
        <v>mixedProduct</v>
      </c>
      <c r="DP218" t="str">
        <f t="shared" si="235"/>
        <v>Upstream</v>
      </c>
      <c r="DQ218" t="str">
        <f t="shared" si="236"/>
        <v>Energy</v>
      </c>
      <c r="DR218" t="str">
        <f t="shared" si="237"/>
        <v>Pulp/Paper</v>
      </c>
      <c r="DS218" t="str">
        <f t="shared" si="238"/>
        <v>Timber</v>
      </c>
      <c r="DT218">
        <v>0</v>
      </c>
      <c r="DU218" s="143">
        <v>0</v>
      </c>
      <c r="DV218" s="143">
        <v>0</v>
      </c>
      <c r="DW218">
        <v>0</v>
      </c>
      <c r="DX218" s="143">
        <v>0</v>
      </c>
      <c r="DY218">
        <f t="shared" si="242"/>
        <v>0</v>
      </c>
      <c r="DZ218" s="143" t="str">
        <f t="shared" si="239"/>
        <v>explicit C balance</v>
      </c>
      <c r="EA218" s="143">
        <v>0</v>
      </c>
      <c r="EB218" s="143">
        <v>1</v>
      </c>
      <c r="EC218" s="143">
        <v>1</v>
      </c>
      <c r="ED218" s="143">
        <v>1</v>
      </c>
      <c r="EE218">
        <v>0</v>
      </c>
      <c r="EF218" s="143">
        <v>0</v>
      </c>
      <c r="EG218" s="143">
        <v>0</v>
      </c>
      <c r="EH218" s="143">
        <v>0</v>
      </c>
      <c r="EI218" s="143">
        <v>0</v>
      </c>
      <c r="EJ218">
        <v>0</v>
      </c>
      <c r="EK218">
        <v>1</v>
      </c>
      <c r="EL218" s="143">
        <v>0</v>
      </c>
      <c r="EM218" s="143">
        <v>0</v>
      </c>
      <c r="EN218" s="2">
        <v>0</v>
      </c>
      <c r="EP218" t="str">
        <f t="shared" si="177"/>
        <v/>
      </c>
      <c r="EQ218" t="str">
        <f t="shared" si="219"/>
        <v>Ecosystem approach</v>
      </c>
      <c r="ER218" s="2" t="str">
        <f t="shared" si="179"/>
        <v/>
      </c>
      <c r="ES218" t="str">
        <f t="shared" si="180"/>
        <v/>
      </c>
      <c r="ET218" t="str">
        <f t="shared" si="181"/>
        <v/>
      </c>
      <c r="EU218" t="str">
        <f t="shared" si="182"/>
        <v/>
      </c>
      <c r="EW218" s="297" t="s">
        <v>3355</v>
      </c>
      <c r="EY218" t="b">
        <f>IF(ISNUMBER(BW218),IF(ABS(BW218-[1]QC_indicators!$B$2)&gt;3*[1]QC_indicators!$C$2,"C ratio",IF(ISNUMBER(CA218),IF(ABS(CA218-[1]QC_indicators!$B$1)&gt;3*[1]QC_indicators!$C$1,"DF","no"))),IF(ISNUMBER(CA218),IF(ABS(CA218-[1]QC_indicators!$B$1)&gt;3*[1]QC_indicators!$C$1,"DF","no")))</f>
        <v>0</v>
      </c>
      <c r="FA218" t="str">
        <f t="shared" si="183"/>
        <v/>
      </c>
    </row>
    <row r="219" spans="1:158" ht="15" hidden="1" customHeight="1">
      <c r="A219" s="1" t="s">
        <v>654</v>
      </c>
      <c r="B219" t="s">
        <v>3361</v>
      </c>
      <c r="C219" t="s">
        <v>3362</v>
      </c>
      <c r="D219" t="s">
        <v>3363</v>
      </c>
      <c r="E219" t="s">
        <v>3364</v>
      </c>
      <c r="F219" t="s">
        <v>3365</v>
      </c>
      <c r="G219" t="s">
        <v>660</v>
      </c>
      <c r="H219" t="s">
        <v>254</v>
      </c>
      <c r="I219">
        <v>2018</v>
      </c>
      <c r="J219">
        <v>27</v>
      </c>
      <c r="K219" t="s">
        <v>3366</v>
      </c>
      <c r="L219" t="s">
        <v>388</v>
      </c>
      <c r="M219" t="str">
        <f t="shared" si="212"/>
        <v>Hossain_2018a</v>
      </c>
      <c r="N219" s="297" t="s">
        <v>4058</v>
      </c>
      <c r="O219" s="145" t="s">
        <v>508</v>
      </c>
      <c r="Q219" s="297" t="s">
        <v>256</v>
      </c>
      <c r="R219" s="298"/>
      <c r="S219" s="1" t="s">
        <v>3367</v>
      </c>
      <c r="T219" t="s">
        <v>3368</v>
      </c>
      <c r="U219" t="s">
        <v>3369</v>
      </c>
      <c r="X219">
        <v>0</v>
      </c>
      <c r="Y219">
        <v>0</v>
      </c>
      <c r="Z219">
        <v>0</v>
      </c>
      <c r="AA219">
        <v>0</v>
      </c>
      <c r="AB219">
        <v>0</v>
      </c>
      <c r="AC219">
        <v>0</v>
      </c>
      <c r="AD219">
        <v>0</v>
      </c>
      <c r="AE219">
        <v>0</v>
      </c>
      <c r="AF219">
        <v>0</v>
      </c>
      <c r="AG219">
        <v>0</v>
      </c>
      <c r="AH219">
        <v>0</v>
      </c>
      <c r="AI219">
        <v>1</v>
      </c>
      <c r="AJ219">
        <v>0</v>
      </c>
      <c r="AK219">
        <v>0</v>
      </c>
      <c r="AL219">
        <v>0</v>
      </c>
      <c r="AM219">
        <v>2</v>
      </c>
      <c r="AN219">
        <v>0</v>
      </c>
      <c r="AO219">
        <v>0</v>
      </c>
      <c r="AP219">
        <v>0</v>
      </c>
      <c r="AQ219">
        <v>0</v>
      </c>
      <c r="AR219">
        <v>0</v>
      </c>
      <c r="AS219">
        <v>0</v>
      </c>
      <c r="AT219">
        <v>0</v>
      </c>
      <c r="AU219">
        <v>0</v>
      </c>
      <c r="AV219">
        <v>0</v>
      </c>
      <c r="AW219">
        <v>0</v>
      </c>
      <c r="AX219">
        <v>0</v>
      </c>
      <c r="AY219">
        <v>0</v>
      </c>
      <c r="AZ219" s="141">
        <f t="shared" si="220"/>
        <v>2</v>
      </c>
      <c r="BA219" s="141">
        <f t="shared" si="221"/>
        <v>2</v>
      </c>
      <c r="BB219">
        <f t="shared" si="222"/>
        <v>0</v>
      </c>
      <c r="BC219">
        <f t="shared" si="223"/>
        <v>1</v>
      </c>
      <c r="BD219">
        <f t="shared" si="224"/>
        <v>1</v>
      </c>
      <c r="BE219">
        <f t="shared" si="225"/>
        <v>0</v>
      </c>
      <c r="BF219">
        <f t="shared" si="226"/>
        <v>0</v>
      </c>
      <c r="BG219" t="str" cm="1">
        <f t="array" ref="BG219">IF(BA219=1,INDEX($X$7:$AN$7,MATCH(TRUE,INDEX($X219:$AY219&lt;&gt;0,),0)),IF(BA219=0,INDEX($AO$7:$AY$7,MATCH(1,$AO219:$AY219,0)),IF(BH219="Multiple strategies","mixed drivers",IF(BH219="Supply chain","multiple supply","multiple silviculture"))))</f>
        <v>mixed drivers</v>
      </c>
      <c r="BH219" s="2" t="str" cm="1">
        <f t="array" ref="BH219">IF(COUNTIF(BB219:BD219,"&lt;&gt;0")=1,INDEX($X$4:$AY$4,MATCH(TRUE,INDEX($X219:$AY219&lt;&gt;0,),0)),IF(COUNTIF(BB219:BD219,"&lt;&gt;0")=0,INDEX($AO$4:$AY$4,MATCH(1,$AO219:$AY219,0)),"Multiple strategies"))</f>
        <v>Multiple strategies</v>
      </c>
      <c r="BR219" t="s">
        <v>232</v>
      </c>
      <c r="BS219" s="230"/>
      <c r="BT219" t="s">
        <v>3370</v>
      </c>
      <c r="BU219">
        <v>-957</v>
      </c>
      <c r="BV219">
        <v>-994</v>
      </c>
      <c r="BW219" s="144">
        <f t="shared" ref="BW219:BW226" si="244">IFERROR(BV219/BU219,"")</f>
        <v>1.038662486938349</v>
      </c>
      <c r="BX219">
        <f t="shared" si="208"/>
        <v>-37</v>
      </c>
      <c r="BZ219">
        <f t="shared" ref="BZ219:BZ224" si="245">BX219/1000</f>
        <v>-3.6999999999999998E-2</v>
      </c>
      <c r="CA219" t="str">
        <f t="shared" si="173"/>
        <v/>
      </c>
      <c r="CB219">
        <v>0</v>
      </c>
      <c r="CC219">
        <v>0</v>
      </c>
      <c r="CD219">
        <v>0</v>
      </c>
      <c r="CE219">
        <v>0</v>
      </c>
      <c r="CF219">
        <v>0</v>
      </c>
      <c r="CG219">
        <v>0</v>
      </c>
      <c r="CH219">
        <v>0</v>
      </c>
      <c r="CI219">
        <v>0</v>
      </c>
      <c r="CJ219">
        <v>0</v>
      </c>
      <c r="CK219">
        <v>0</v>
      </c>
      <c r="CL219">
        <v>0</v>
      </c>
      <c r="CM219">
        <v>0</v>
      </c>
      <c r="CN219">
        <v>0</v>
      </c>
      <c r="CO219">
        <v>0</v>
      </c>
      <c r="CP219" t="str">
        <f t="shared" ref="CP219:CP226" si="246">IF(BN219&lt;BM219,"refNeedCorrection","refOK")</f>
        <v>refOK</v>
      </c>
      <c r="CQ219"/>
      <c r="CR219"/>
      <c r="CS219"/>
      <c r="CT219">
        <f t="shared" si="174"/>
        <v>0</v>
      </c>
      <c r="CU219">
        <f t="shared" si="227"/>
        <v>-957</v>
      </c>
      <c r="CV219">
        <f t="shared" si="228"/>
        <v>-994</v>
      </c>
      <c r="CW219">
        <f t="shared" si="229"/>
        <v>-3.6999999999999998E-2</v>
      </c>
      <c r="CX219" t="str">
        <f t="shared" si="175"/>
        <v/>
      </c>
      <c r="CY219" t="str">
        <f t="shared" si="230"/>
        <v/>
      </c>
      <c r="CZ219" t="str">
        <f t="shared" si="176"/>
        <v/>
      </c>
      <c r="DA219" s="2">
        <f t="shared" si="231"/>
        <v>-3.8662486938349006E-2</v>
      </c>
      <c r="DB219" s="1" t="s">
        <v>347</v>
      </c>
      <c r="DC219" s="297" t="str">
        <f t="shared" si="232"/>
        <v>loc</v>
      </c>
      <c r="DD219" t="s">
        <v>667</v>
      </c>
      <c r="DG219">
        <v>0</v>
      </c>
      <c r="DH219" t="str">
        <f t="shared" si="233"/>
        <v>0</v>
      </c>
      <c r="DI219">
        <v>0</v>
      </c>
      <c r="DJ219">
        <v>0</v>
      </c>
      <c r="DK219">
        <v>0</v>
      </c>
      <c r="DL219">
        <v>1</v>
      </c>
      <c r="DN219">
        <f t="shared" si="243"/>
        <v>1</v>
      </c>
      <c r="DO219" t="str">
        <f t="shared" si="234"/>
        <v>TimberInput</v>
      </c>
      <c r="DP219">
        <f t="shared" si="235"/>
        <v>0</v>
      </c>
      <c r="DQ219">
        <f t="shared" si="236"/>
        <v>0</v>
      </c>
      <c r="DR219">
        <f t="shared" si="237"/>
        <v>0</v>
      </c>
      <c r="DS219" t="str">
        <f t="shared" si="238"/>
        <v>Timber</v>
      </c>
      <c r="DT219">
        <v>1</v>
      </c>
      <c r="DU219">
        <v>0</v>
      </c>
      <c r="DV219">
        <v>0</v>
      </c>
      <c r="DW219">
        <v>0</v>
      </c>
      <c r="DX219">
        <v>0</v>
      </c>
      <c r="DY219">
        <f t="shared" si="242"/>
        <v>1</v>
      </c>
      <c r="DZ219" s="143" t="str">
        <f t="shared" si="239"/>
        <v>self-calculated DF</v>
      </c>
      <c r="EA219">
        <v>0</v>
      </c>
      <c r="EB219">
        <v>0</v>
      </c>
      <c r="EC219">
        <v>0</v>
      </c>
      <c r="ED219">
        <v>0</v>
      </c>
      <c r="EE219">
        <v>0</v>
      </c>
      <c r="EF219" s="143">
        <v>0</v>
      </c>
      <c r="EG219">
        <v>0</v>
      </c>
      <c r="EH219">
        <v>1</v>
      </c>
      <c r="EI219">
        <v>0</v>
      </c>
      <c r="EJ219">
        <v>0</v>
      </c>
      <c r="EK219">
        <v>0</v>
      </c>
      <c r="EL219">
        <v>0</v>
      </c>
      <c r="EM219">
        <v>0</v>
      </c>
      <c r="EN219" s="2">
        <v>0</v>
      </c>
      <c r="EP219" t="str">
        <f t="shared" si="177"/>
        <v/>
      </c>
      <c r="EQ219" t="str">
        <f t="shared" si="219"/>
        <v/>
      </c>
      <c r="ER219" s="2" t="str">
        <f t="shared" si="179"/>
        <v/>
      </c>
      <c r="ES219" t="str">
        <f t="shared" si="180"/>
        <v/>
      </c>
      <c r="ET219" t="str">
        <f t="shared" si="181"/>
        <v/>
      </c>
      <c r="EU219" t="str">
        <f t="shared" si="182"/>
        <v/>
      </c>
      <c r="EY219" t="b">
        <f>IF(ISNUMBER(BW219),IF(ABS(BW219-[1]QC_indicators!$B$2)&gt;3*[1]QC_indicators!$C$2,"C ratio",IF(ISNUMBER(CA219),IF(ABS(CA219-[1]QC_indicators!$B$1)&gt;3*[1]QC_indicators!$C$1,"DF","no"))),IF(ISNUMBER(CA219),IF(ABS(CA219-[1]QC_indicators!$B$1)&gt;3*[1]QC_indicators!$C$1,"DF","no")))</f>
        <v>0</v>
      </c>
      <c r="FA219" t="str">
        <f t="shared" si="183"/>
        <v/>
      </c>
    </row>
    <row r="220" spans="1:158" ht="15" hidden="1" customHeight="1">
      <c r="A220" s="1" t="s">
        <v>654</v>
      </c>
      <c r="B220" t="s">
        <v>3361</v>
      </c>
      <c r="C220" t="s">
        <v>3362</v>
      </c>
      <c r="D220" t="s">
        <v>3363</v>
      </c>
      <c r="E220" t="s">
        <v>3364</v>
      </c>
      <c r="F220" t="s">
        <v>3365</v>
      </c>
      <c r="G220" t="s">
        <v>660</v>
      </c>
      <c r="H220" t="s">
        <v>254</v>
      </c>
      <c r="I220">
        <v>2018</v>
      </c>
      <c r="J220">
        <v>27</v>
      </c>
      <c r="K220" t="s">
        <v>3366</v>
      </c>
      <c r="L220" t="s">
        <v>388</v>
      </c>
      <c r="M220" t="str">
        <f t="shared" si="212"/>
        <v>Hossain_2018a</v>
      </c>
      <c r="N220" s="297" t="s">
        <v>4058</v>
      </c>
      <c r="O220" s="145" t="s">
        <v>508</v>
      </c>
      <c r="Q220" s="297" t="s">
        <v>256</v>
      </c>
      <c r="R220" s="298"/>
      <c r="S220" s="1" t="s">
        <v>3371</v>
      </c>
      <c r="T220" t="s">
        <v>3368</v>
      </c>
      <c r="U220" t="s">
        <v>3372</v>
      </c>
      <c r="X220">
        <v>0</v>
      </c>
      <c r="Y220">
        <v>0</v>
      </c>
      <c r="Z220">
        <v>0</v>
      </c>
      <c r="AA220">
        <v>0</v>
      </c>
      <c r="AB220">
        <v>0</v>
      </c>
      <c r="AC220">
        <v>0</v>
      </c>
      <c r="AD220">
        <v>0</v>
      </c>
      <c r="AE220">
        <v>0</v>
      </c>
      <c r="AF220">
        <v>0</v>
      </c>
      <c r="AG220">
        <v>0</v>
      </c>
      <c r="AH220">
        <v>0</v>
      </c>
      <c r="AI220">
        <v>1</v>
      </c>
      <c r="AJ220">
        <v>0</v>
      </c>
      <c r="AK220">
        <v>0</v>
      </c>
      <c r="AL220">
        <v>0</v>
      </c>
      <c r="AM220">
        <v>2</v>
      </c>
      <c r="AN220">
        <v>0</v>
      </c>
      <c r="AO220">
        <v>0</v>
      </c>
      <c r="AP220">
        <v>0</v>
      </c>
      <c r="AQ220">
        <v>0</v>
      </c>
      <c r="AR220">
        <v>0</v>
      </c>
      <c r="AS220">
        <v>0</v>
      </c>
      <c r="AT220">
        <v>0</v>
      </c>
      <c r="AU220">
        <v>0</v>
      </c>
      <c r="AV220">
        <v>0</v>
      </c>
      <c r="AW220">
        <v>0</v>
      </c>
      <c r="AX220">
        <v>0</v>
      </c>
      <c r="AY220">
        <v>0</v>
      </c>
      <c r="AZ220" s="141">
        <f t="shared" si="220"/>
        <v>2</v>
      </c>
      <c r="BA220" s="141">
        <f t="shared" si="221"/>
        <v>2</v>
      </c>
      <c r="BB220">
        <f t="shared" si="222"/>
        <v>0</v>
      </c>
      <c r="BC220">
        <f t="shared" si="223"/>
        <v>1</v>
      </c>
      <c r="BD220">
        <f t="shared" si="224"/>
        <v>1</v>
      </c>
      <c r="BE220">
        <f t="shared" si="225"/>
        <v>0</v>
      </c>
      <c r="BF220">
        <f t="shared" si="226"/>
        <v>0</v>
      </c>
      <c r="BG220" t="str" cm="1">
        <f t="array" ref="BG220">IF(BA220=1,INDEX($X$7:$AN$7,MATCH(TRUE,INDEX($X220:$AY220&lt;&gt;0,),0)),IF(BA220=0,INDEX($AO$7:$AY$7,MATCH(1,$AO220:$AY220,0)),IF(BH220="Multiple strategies","mixed drivers",IF(BH220="Supply chain","multiple supply","multiple silviculture"))))</f>
        <v>mixed drivers</v>
      </c>
      <c r="BH220" s="2" t="str" cm="1">
        <f t="array" ref="BH220">IF(COUNTIF(BB220:BD220,"&lt;&gt;0")=1,INDEX($X$4:$AY$4,MATCH(TRUE,INDEX($X220:$AY220&lt;&gt;0,),0)),IF(COUNTIF(BB220:BD220,"&lt;&gt;0")=0,INDEX($AO$4:$AY$4,MATCH(1,$AO220:$AY220,0)),"Multiple strategies"))</f>
        <v>Multiple strategies</v>
      </c>
      <c r="BR220" t="s">
        <v>232</v>
      </c>
      <c r="BS220" s="230"/>
      <c r="BT220" t="s">
        <v>3370</v>
      </c>
      <c r="BU220">
        <v>-957</v>
      </c>
      <c r="BV220">
        <v>-906</v>
      </c>
      <c r="BW220" s="144">
        <f t="shared" si="244"/>
        <v>0.94670846394984332</v>
      </c>
      <c r="BX220">
        <f t="shared" si="208"/>
        <v>51</v>
      </c>
      <c r="BZ220">
        <f t="shared" si="245"/>
        <v>5.0999999999999997E-2</v>
      </c>
      <c r="CA220" t="str">
        <f t="shared" si="173"/>
        <v/>
      </c>
      <c r="CB220">
        <v>0</v>
      </c>
      <c r="CC220">
        <v>0</v>
      </c>
      <c r="CD220">
        <v>0</v>
      </c>
      <c r="CE220">
        <v>0</v>
      </c>
      <c r="CF220">
        <v>0</v>
      </c>
      <c r="CG220">
        <v>0</v>
      </c>
      <c r="CH220">
        <v>0</v>
      </c>
      <c r="CI220">
        <v>0</v>
      </c>
      <c r="CJ220">
        <v>0</v>
      </c>
      <c r="CK220">
        <v>0</v>
      </c>
      <c r="CL220">
        <v>0</v>
      </c>
      <c r="CM220">
        <v>0</v>
      </c>
      <c r="CN220">
        <v>0</v>
      </c>
      <c r="CO220">
        <v>0</v>
      </c>
      <c r="CP220" t="str">
        <f t="shared" si="246"/>
        <v>refOK</v>
      </c>
      <c r="CQ220"/>
      <c r="CR220"/>
      <c r="CS220"/>
      <c r="CT220">
        <f t="shared" si="174"/>
        <v>0</v>
      </c>
      <c r="CU220">
        <f t="shared" si="227"/>
        <v>-957</v>
      </c>
      <c r="CV220">
        <f t="shared" si="228"/>
        <v>-906</v>
      </c>
      <c r="CW220">
        <f t="shared" si="229"/>
        <v>5.0999999999999997E-2</v>
      </c>
      <c r="CX220" t="str">
        <f t="shared" si="175"/>
        <v/>
      </c>
      <c r="CY220" t="str">
        <f t="shared" si="230"/>
        <v/>
      </c>
      <c r="CZ220" t="str">
        <f t="shared" si="176"/>
        <v/>
      </c>
      <c r="DA220" s="2">
        <f t="shared" si="231"/>
        <v>5.329153605015674E-2</v>
      </c>
      <c r="DB220" s="1" t="s">
        <v>347</v>
      </c>
      <c r="DC220" s="297" t="str">
        <f t="shared" si="232"/>
        <v>loc</v>
      </c>
      <c r="DD220" t="s">
        <v>667</v>
      </c>
      <c r="DG220">
        <v>0</v>
      </c>
      <c r="DH220" t="str">
        <f t="shared" si="233"/>
        <v>0</v>
      </c>
      <c r="DI220">
        <v>0</v>
      </c>
      <c r="DJ220">
        <v>0</v>
      </c>
      <c r="DK220">
        <v>0</v>
      </c>
      <c r="DL220">
        <v>1</v>
      </c>
      <c r="DN220">
        <f t="shared" si="243"/>
        <v>1</v>
      </c>
      <c r="DO220" t="str">
        <f t="shared" si="234"/>
        <v>TimberInput</v>
      </c>
      <c r="DP220">
        <f t="shared" si="235"/>
        <v>0</v>
      </c>
      <c r="DQ220">
        <f t="shared" si="236"/>
        <v>0</v>
      </c>
      <c r="DR220">
        <f t="shared" si="237"/>
        <v>0</v>
      </c>
      <c r="DS220" t="str">
        <f t="shared" si="238"/>
        <v>Timber</v>
      </c>
      <c r="DT220">
        <v>1</v>
      </c>
      <c r="DU220">
        <v>0</v>
      </c>
      <c r="DV220">
        <v>0</v>
      </c>
      <c r="DW220">
        <v>0</v>
      </c>
      <c r="DX220">
        <v>0</v>
      </c>
      <c r="DY220">
        <f t="shared" si="242"/>
        <v>1</v>
      </c>
      <c r="DZ220" s="143" t="str">
        <f t="shared" si="239"/>
        <v>self-calculated DF</v>
      </c>
      <c r="EA220">
        <v>0</v>
      </c>
      <c r="EB220">
        <v>0</v>
      </c>
      <c r="EC220">
        <v>0</v>
      </c>
      <c r="ED220">
        <v>0</v>
      </c>
      <c r="EE220">
        <v>0</v>
      </c>
      <c r="EF220" s="143">
        <v>0</v>
      </c>
      <c r="EG220">
        <v>0</v>
      </c>
      <c r="EH220">
        <v>1</v>
      </c>
      <c r="EI220">
        <v>0</v>
      </c>
      <c r="EJ220">
        <v>0</v>
      </c>
      <c r="EK220">
        <v>0</v>
      </c>
      <c r="EL220">
        <v>0</v>
      </c>
      <c r="EM220">
        <v>0</v>
      </c>
      <c r="EN220" s="2">
        <v>0</v>
      </c>
      <c r="EP220" t="str">
        <f t="shared" si="177"/>
        <v/>
      </c>
      <c r="EQ220" t="str">
        <f t="shared" si="219"/>
        <v/>
      </c>
      <c r="ER220" s="2" t="str">
        <f t="shared" si="179"/>
        <v/>
      </c>
      <c r="ES220" t="str">
        <f t="shared" si="180"/>
        <v/>
      </c>
      <c r="ET220" t="str">
        <f t="shared" si="181"/>
        <v/>
      </c>
      <c r="EU220" t="str">
        <f t="shared" si="182"/>
        <v/>
      </c>
      <c r="EY220" t="b">
        <f>IF(ISNUMBER(BW220),IF(ABS(BW220-[1]QC_indicators!$B$2)&gt;3*[1]QC_indicators!$C$2,"C ratio",IF(ISNUMBER(CA220),IF(ABS(CA220-[1]QC_indicators!$B$1)&gt;3*[1]QC_indicators!$C$1,"DF","no"))),IF(ISNUMBER(CA220),IF(ABS(CA220-[1]QC_indicators!$B$1)&gt;3*[1]QC_indicators!$C$1,"DF","no")))</f>
        <v>0</v>
      </c>
      <c r="FA220" t="str">
        <f t="shared" si="183"/>
        <v/>
      </c>
    </row>
    <row r="221" spans="1:158" ht="15" hidden="1" customHeight="1">
      <c r="A221" s="1" t="s">
        <v>654</v>
      </c>
      <c r="B221" t="s">
        <v>3361</v>
      </c>
      <c r="C221" t="s">
        <v>3362</v>
      </c>
      <c r="D221" t="s">
        <v>3363</v>
      </c>
      <c r="E221" t="s">
        <v>3364</v>
      </c>
      <c r="F221" t="s">
        <v>3365</v>
      </c>
      <c r="G221" t="s">
        <v>660</v>
      </c>
      <c r="H221" t="s">
        <v>254</v>
      </c>
      <c r="I221">
        <v>2018</v>
      </c>
      <c r="J221">
        <v>27</v>
      </c>
      <c r="K221" t="s">
        <v>3366</v>
      </c>
      <c r="L221" t="s">
        <v>388</v>
      </c>
      <c r="M221" t="str">
        <f t="shared" si="212"/>
        <v>Hossain_2018a</v>
      </c>
      <c r="N221" s="297" t="s">
        <v>4058</v>
      </c>
      <c r="O221" s="145" t="s">
        <v>508</v>
      </c>
      <c r="Q221" s="297" t="s">
        <v>256</v>
      </c>
      <c r="R221" s="298"/>
      <c r="S221" s="1" t="s">
        <v>3373</v>
      </c>
      <c r="T221" t="s">
        <v>3368</v>
      </c>
      <c r="U221" t="s">
        <v>3374</v>
      </c>
      <c r="X221">
        <v>0</v>
      </c>
      <c r="Y221">
        <v>0</v>
      </c>
      <c r="Z221">
        <v>0</v>
      </c>
      <c r="AA221">
        <v>0</v>
      </c>
      <c r="AB221">
        <v>0</v>
      </c>
      <c r="AC221">
        <v>0</v>
      </c>
      <c r="AD221">
        <v>0</v>
      </c>
      <c r="AE221">
        <v>0</v>
      </c>
      <c r="AF221">
        <v>0</v>
      </c>
      <c r="AG221">
        <v>0</v>
      </c>
      <c r="AH221">
        <v>0</v>
      </c>
      <c r="AI221">
        <v>1</v>
      </c>
      <c r="AJ221">
        <v>0</v>
      </c>
      <c r="AK221">
        <v>2</v>
      </c>
      <c r="AL221">
        <v>0</v>
      </c>
      <c r="AM221">
        <v>2</v>
      </c>
      <c r="AN221">
        <v>0</v>
      </c>
      <c r="AO221">
        <v>0</v>
      </c>
      <c r="AP221">
        <v>0</v>
      </c>
      <c r="AQ221">
        <v>0</v>
      </c>
      <c r="AR221">
        <v>0</v>
      </c>
      <c r="AS221">
        <v>0</v>
      </c>
      <c r="AT221">
        <v>0</v>
      </c>
      <c r="AU221">
        <v>0</v>
      </c>
      <c r="AV221">
        <v>0</v>
      </c>
      <c r="AW221">
        <v>0</v>
      </c>
      <c r="AX221">
        <v>0</v>
      </c>
      <c r="AY221">
        <v>0</v>
      </c>
      <c r="AZ221" s="141">
        <f t="shared" si="220"/>
        <v>3</v>
      </c>
      <c r="BA221" s="141">
        <f t="shared" si="221"/>
        <v>3</v>
      </c>
      <c r="BB221">
        <f t="shared" si="222"/>
        <v>0</v>
      </c>
      <c r="BC221">
        <f t="shared" si="223"/>
        <v>2</v>
      </c>
      <c r="BD221">
        <f t="shared" si="224"/>
        <v>1</v>
      </c>
      <c r="BE221">
        <f t="shared" si="225"/>
        <v>0</v>
      </c>
      <c r="BF221">
        <f t="shared" si="226"/>
        <v>0</v>
      </c>
      <c r="BG221" t="str" cm="1">
        <f t="array" ref="BG221">IF(BA221=1,INDEX($X$7:$AN$7,MATCH(TRUE,INDEX($X221:$AY221&lt;&gt;0,),0)),IF(BA221=0,INDEX($AO$7:$AY$7,MATCH(1,$AO221:$AY221,0)),IF(BH221="Multiple strategies","mixed drivers",IF(BH221="Supply chain","multiple supply","multiple silviculture"))))</f>
        <v>mixed drivers</v>
      </c>
      <c r="BH221" s="2" t="str" cm="1">
        <f t="array" ref="BH221">IF(COUNTIF(BB221:BD221,"&lt;&gt;0")=1,INDEX($X$4:$AY$4,MATCH(TRUE,INDEX($X221:$AY221&lt;&gt;0,),0)),IF(COUNTIF(BB221:BD221,"&lt;&gt;0")=0,INDEX($AO$4:$AY$4,MATCH(1,$AO221:$AY221,0)),"Multiple strategies"))</f>
        <v>Multiple strategies</v>
      </c>
      <c r="BR221" t="s">
        <v>232</v>
      </c>
      <c r="BS221" s="230"/>
      <c r="BT221" t="s">
        <v>3370</v>
      </c>
      <c r="BU221">
        <v>-957</v>
      </c>
      <c r="BV221">
        <v>-873</v>
      </c>
      <c r="BW221" s="144">
        <f t="shared" si="244"/>
        <v>0.91222570532915359</v>
      </c>
      <c r="BX221">
        <f t="shared" si="208"/>
        <v>84</v>
      </c>
      <c r="BZ221">
        <f t="shared" si="245"/>
        <v>8.4000000000000005E-2</v>
      </c>
      <c r="CA221" t="str">
        <f t="shared" si="173"/>
        <v/>
      </c>
      <c r="CB221">
        <v>0</v>
      </c>
      <c r="CC221">
        <v>0</v>
      </c>
      <c r="CD221">
        <v>0</v>
      </c>
      <c r="CE221">
        <v>0</v>
      </c>
      <c r="CF221">
        <v>0</v>
      </c>
      <c r="CG221">
        <v>0</v>
      </c>
      <c r="CH221">
        <v>0</v>
      </c>
      <c r="CI221">
        <v>0</v>
      </c>
      <c r="CJ221">
        <v>0</v>
      </c>
      <c r="CK221">
        <v>0</v>
      </c>
      <c r="CL221">
        <v>0</v>
      </c>
      <c r="CM221">
        <v>0</v>
      </c>
      <c r="CN221">
        <v>0</v>
      </c>
      <c r="CO221">
        <v>0</v>
      </c>
      <c r="CP221" t="str">
        <f t="shared" si="246"/>
        <v>refOK</v>
      </c>
      <c r="CQ221"/>
      <c r="CR221"/>
      <c r="CS221"/>
      <c r="CT221">
        <f t="shared" si="174"/>
        <v>0</v>
      </c>
      <c r="CU221">
        <f t="shared" si="227"/>
        <v>-957</v>
      </c>
      <c r="CV221">
        <f t="shared" si="228"/>
        <v>-873</v>
      </c>
      <c r="CW221">
        <f t="shared" si="229"/>
        <v>8.4000000000000005E-2</v>
      </c>
      <c r="CX221" t="str">
        <f t="shared" si="175"/>
        <v/>
      </c>
      <c r="CY221" t="str">
        <f t="shared" si="230"/>
        <v/>
      </c>
      <c r="CZ221" t="str">
        <f t="shared" si="176"/>
        <v/>
      </c>
      <c r="DA221" s="2">
        <f t="shared" si="231"/>
        <v>8.7774294670846395E-2</v>
      </c>
      <c r="DB221" s="1" t="s">
        <v>347</v>
      </c>
      <c r="DC221" s="297" t="str">
        <f t="shared" si="232"/>
        <v>loc</v>
      </c>
      <c r="DD221" t="s">
        <v>667</v>
      </c>
      <c r="DG221">
        <v>0</v>
      </c>
      <c r="DH221" t="str">
        <f t="shared" si="233"/>
        <v>0</v>
      </c>
      <c r="DI221">
        <v>0</v>
      </c>
      <c r="DJ221">
        <v>0</v>
      </c>
      <c r="DK221">
        <v>0</v>
      </c>
      <c r="DL221">
        <v>1</v>
      </c>
      <c r="DN221">
        <f t="shared" si="243"/>
        <v>1</v>
      </c>
      <c r="DO221" t="str">
        <f t="shared" si="234"/>
        <v>TimberInput</v>
      </c>
      <c r="DP221">
        <f t="shared" si="235"/>
        <v>0</v>
      </c>
      <c r="DQ221">
        <f t="shared" si="236"/>
        <v>0</v>
      </c>
      <c r="DR221">
        <f t="shared" si="237"/>
        <v>0</v>
      </c>
      <c r="DS221" t="str">
        <f t="shared" si="238"/>
        <v>Timber</v>
      </c>
      <c r="DT221">
        <v>1</v>
      </c>
      <c r="DU221">
        <v>0</v>
      </c>
      <c r="DV221">
        <v>0</v>
      </c>
      <c r="DW221">
        <v>0</v>
      </c>
      <c r="DX221">
        <v>0</v>
      </c>
      <c r="DY221">
        <f t="shared" si="242"/>
        <v>1</v>
      </c>
      <c r="DZ221" s="143" t="str">
        <f t="shared" si="239"/>
        <v>self-calculated DF</v>
      </c>
      <c r="EA221">
        <v>0</v>
      </c>
      <c r="EB221">
        <v>0</v>
      </c>
      <c r="EC221">
        <v>0</v>
      </c>
      <c r="ED221">
        <v>0</v>
      </c>
      <c r="EE221">
        <v>0</v>
      </c>
      <c r="EF221" s="143">
        <v>0</v>
      </c>
      <c r="EG221">
        <v>0</v>
      </c>
      <c r="EH221">
        <v>1</v>
      </c>
      <c r="EI221">
        <v>0</v>
      </c>
      <c r="EJ221">
        <v>1</v>
      </c>
      <c r="EK221">
        <v>0</v>
      </c>
      <c r="EL221">
        <v>0</v>
      </c>
      <c r="EM221">
        <v>0</v>
      </c>
      <c r="EN221" s="2">
        <v>0</v>
      </c>
      <c r="EP221" t="str">
        <f t="shared" si="177"/>
        <v/>
      </c>
      <c r="EQ221" t="str">
        <f t="shared" si="219"/>
        <v/>
      </c>
      <c r="ER221" s="2" t="str">
        <f t="shared" si="179"/>
        <v>Technology approach</v>
      </c>
      <c r="ES221" t="str">
        <f t="shared" si="180"/>
        <v/>
      </c>
      <c r="ET221" t="str">
        <f t="shared" si="181"/>
        <v/>
      </c>
      <c r="EU221" t="str">
        <f t="shared" si="182"/>
        <v/>
      </c>
      <c r="EY221" t="b">
        <f>IF(ISNUMBER(BW221),IF(ABS(BW221-[1]QC_indicators!$B$2)&gt;3*[1]QC_indicators!$C$2,"C ratio",IF(ISNUMBER(CA221),IF(ABS(CA221-[1]QC_indicators!$B$1)&gt;3*[1]QC_indicators!$C$1,"DF","no"))),IF(ISNUMBER(CA221),IF(ABS(CA221-[1]QC_indicators!$B$1)&gt;3*[1]QC_indicators!$C$1,"DF","no")))</f>
        <v>0</v>
      </c>
      <c r="FA221" t="str">
        <f t="shared" si="183"/>
        <v/>
      </c>
    </row>
    <row r="222" spans="1:158" ht="15" hidden="1" customHeight="1">
      <c r="A222" s="1" t="s">
        <v>574</v>
      </c>
      <c r="B222" t="s">
        <v>3375</v>
      </c>
      <c r="C222" t="s">
        <v>3376</v>
      </c>
      <c r="D222" t="s">
        <v>3377</v>
      </c>
      <c r="E222" t="s">
        <v>3378</v>
      </c>
      <c r="F222" t="s">
        <v>3379</v>
      </c>
      <c r="G222" t="s">
        <v>580</v>
      </c>
      <c r="H222" t="s">
        <v>254</v>
      </c>
      <c r="I222">
        <v>2018</v>
      </c>
      <c r="J222">
        <v>40</v>
      </c>
      <c r="K222" t="s">
        <v>3380</v>
      </c>
      <c r="L222" t="s">
        <v>406</v>
      </c>
      <c r="M222" t="str">
        <f t="shared" si="212"/>
        <v>Hossain_2018b</v>
      </c>
      <c r="N222" s="297" t="s">
        <v>4058</v>
      </c>
      <c r="O222" s="145" t="s">
        <v>508</v>
      </c>
      <c r="Q222" s="297" t="s">
        <v>256</v>
      </c>
      <c r="R222" s="298"/>
      <c r="S222" s="1" t="s">
        <v>3381</v>
      </c>
      <c r="T222" t="s">
        <v>3368</v>
      </c>
      <c r="U222" t="s">
        <v>3382</v>
      </c>
      <c r="X222">
        <v>0</v>
      </c>
      <c r="Y222">
        <v>0</v>
      </c>
      <c r="Z222">
        <v>0</v>
      </c>
      <c r="AA222">
        <v>0</v>
      </c>
      <c r="AB222">
        <v>0</v>
      </c>
      <c r="AC222">
        <v>0</v>
      </c>
      <c r="AD222">
        <v>0</v>
      </c>
      <c r="AE222">
        <v>0</v>
      </c>
      <c r="AF222">
        <v>0</v>
      </c>
      <c r="AG222">
        <v>0</v>
      </c>
      <c r="AH222">
        <v>0</v>
      </c>
      <c r="AI222">
        <v>1</v>
      </c>
      <c r="AJ222">
        <v>0</v>
      </c>
      <c r="AK222">
        <v>0</v>
      </c>
      <c r="AL222">
        <v>0</v>
      </c>
      <c r="AM222">
        <v>2</v>
      </c>
      <c r="AN222">
        <v>0</v>
      </c>
      <c r="AO222">
        <v>0</v>
      </c>
      <c r="AP222">
        <v>0</v>
      </c>
      <c r="AQ222">
        <v>0</v>
      </c>
      <c r="AR222">
        <v>0</v>
      </c>
      <c r="AS222">
        <v>0</v>
      </c>
      <c r="AT222">
        <v>0</v>
      </c>
      <c r="AU222">
        <v>0</v>
      </c>
      <c r="AV222">
        <v>0</v>
      </c>
      <c r="AW222">
        <v>0</v>
      </c>
      <c r="AX222">
        <v>0</v>
      </c>
      <c r="AY222">
        <v>0</v>
      </c>
      <c r="AZ222" s="141">
        <f t="shared" si="220"/>
        <v>2</v>
      </c>
      <c r="BA222" s="141">
        <f t="shared" si="221"/>
        <v>2</v>
      </c>
      <c r="BB222">
        <f t="shared" si="222"/>
        <v>0</v>
      </c>
      <c r="BC222">
        <f t="shared" si="223"/>
        <v>1</v>
      </c>
      <c r="BD222">
        <f t="shared" si="224"/>
        <v>1</v>
      </c>
      <c r="BE222">
        <f t="shared" si="225"/>
        <v>0</v>
      </c>
      <c r="BF222">
        <f t="shared" si="226"/>
        <v>0</v>
      </c>
      <c r="BG222" t="str" cm="1">
        <f t="array" ref="BG222">IF(BA222=1,INDEX($X$7:$AN$7,MATCH(TRUE,INDEX($X222:$AY222&lt;&gt;0,),0)),IF(BA222=0,INDEX($AO$7:$AY$7,MATCH(1,$AO222:$AY222,0)),IF(BH222="Multiple strategies","mixed drivers",IF(BH222="Supply chain","multiple supply","multiple silviculture"))))</f>
        <v>mixed drivers</v>
      </c>
      <c r="BH222" s="2" t="str" cm="1">
        <f t="array" ref="BH222">IF(COUNTIF(BB222:BD222,"&lt;&gt;0")=1,INDEX($X$4:$AY$4,MATCH(TRUE,INDEX($X222:$AY222&lt;&gt;0,),0)),IF(COUNTIF(BB222:BD222,"&lt;&gt;0")=0,INDEX($AO$4:$AY$4,MATCH(1,$AO222:$AY222,0)),"Multiple strategies"))</f>
        <v>Multiple strategies</v>
      </c>
      <c r="BR222" t="s">
        <v>232</v>
      </c>
      <c r="BS222" s="230"/>
      <c r="BT222" t="s">
        <v>3383</v>
      </c>
      <c r="BU222">
        <v>-313</v>
      </c>
      <c r="BV222">
        <v>-295</v>
      </c>
      <c r="BW222" s="144">
        <f t="shared" si="244"/>
        <v>0.94249201277955275</v>
      </c>
      <c r="BX222">
        <f t="shared" si="208"/>
        <v>18</v>
      </c>
      <c r="BZ222">
        <f t="shared" si="245"/>
        <v>1.7999999999999999E-2</v>
      </c>
      <c r="CA222" t="str">
        <f t="shared" si="173"/>
        <v/>
      </c>
      <c r="CB222">
        <v>0</v>
      </c>
      <c r="CC222">
        <v>0</v>
      </c>
      <c r="CD222">
        <v>0</v>
      </c>
      <c r="CE222">
        <v>0</v>
      </c>
      <c r="CF222">
        <v>0</v>
      </c>
      <c r="CG222">
        <v>0</v>
      </c>
      <c r="CH222">
        <v>0</v>
      </c>
      <c r="CI222">
        <v>0</v>
      </c>
      <c r="CJ222">
        <v>0</v>
      </c>
      <c r="CK222">
        <v>0</v>
      </c>
      <c r="CL222">
        <v>0</v>
      </c>
      <c r="CM222">
        <v>0</v>
      </c>
      <c r="CN222">
        <v>0</v>
      </c>
      <c r="CO222">
        <v>0</v>
      </c>
      <c r="CP222" t="str">
        <f t="shared" si="246"/>
        <v>refOK</v>
      </c>
      <c r="CQ222"/>
      <c r="CR222"/>
      <c r="CS222"/>
      <c r="CT222">
        <f t="shared" si="174"/>
        <v>0</v>
      </c>
      <c r="CU222">
        <f t="shared" si="227"/>
        <v>-313</v>
      </c>
      <c r="CV222">
        <f t="shared" si="228"/>
        <v>-295</v>
      </c>
      <c r="CW222">
        <f t="shared" si="229"/>
        <v>1.7999999999999999E-2</v>
      </c>
      <c r="CX222" t="str">
        <f t="shared" si="175"/>
        <v/>
      </c>
      <c r="CY222" t="str">
        <f t="shared" si="230"/>
        <v/>
      </c>
      <c r="CZ222" t="str">
        <f t="shared" si="176"/>
        <v/>
      </c>
      <c r="DA222" s="2">
        <f t="shared" si="231"/>
        <v>5.7507987220447282E-2</v>
      </c>
      <c r="DB222" s="1" t="s">
        <v>347</v>
      </c>
      <c r="DC222" s="297" t="str">
        <f t="shared" si="232"/>
        <v>loc</v>
      </c>
      <c r="DD222" t="s">
        <v>667</v>
      </c>
      <c r="DG222">
        <v>0</v>
      </c>
      <c r="DH222" t="str">
        <f t="shared" si="233"/>
        <v>0</v>
      </c>
      <c r="DI222">
        <v>0</v>
      </c>
      <c r="DJ222">
        <v>0</v>
      </c>
      <c r="DK222">
        <v>0</v>
      </c>
      <c r="DL222">
        <v>1</v>
      </c>
      <c r="DN222">
        <f t="shared" si="243"/>
        <v>1</v>
      </c>
      <c r="DO222" t="str">
        <f t="shared" si="234"/>
        <v>TimberInput</v>
      </c>
      <c r="DP222">
        <f t="shared" si="235"/>
        <v>0</v>
      </c>
      <c r="DQ222">
        <f t="shared" si="236"/>
        <v>0</v>
      </c>
      <c r="DR222">
        <f t="shared" si="237"/>
        <v>0</v>
      </c>
      <c r="DS222" t="str">
        <f t="shared" si="238"/>
        <v>Timber</v>
      </c>
      <c r="DT222">
        <v>1</v>
      </c>
      <c r="DU222">
        <v>0</v>
      </c>
      <c r="DV222">
        <v>0</v>
      </c>
      <c r="DW222">
        <v>0</v>
      </c>
      <c r="DX222">
        <v>0</v>
      </c>
      <c r="DY222">
        <f t="shared" si="242"/>
        <v>1</v>
      </c>
      <c r="DZ222" s="143" t="str">
        <f t="shared" si="239"/>
        <v>self-calculated DF</v>
      </c>
      <c r="EA222">
        <v>0</v>
      </c>
      <c r="EB222">
        <v>0</v>
      </c>
      <c r="EC222">
        <v>0</v>
      </c>
      <c r="ED222">
        <v>0</v>
      </c>
      <c r="EE222">
        <v>0</v>
      </c>
      <c r="EF222" s="143">
        <v>0</v>
      </c>
      <c r="EG222">
        <v>0</v>
      </c>
      <c r="EH222">
        <v>1</v>
      </c>
      <c r="EI222">
        <v>0</v>
      </c>
      <c r="EJ222">
        <v>0</v>
      </c>
      <c r="EK222">
        <v>0</v>
      </c>
      <c r="EL222">
        <v>0</v>
      </c>
      <c r="EM222">
        <v>0</v>
      </c>
      <c r="EN222" s="2">
        <v>0</v>
      </c>
      <c r="EP222" t="str">
        <f t="shared" si="177"/>
        <v/>
      </c>
      <c r="EQ222" t="str">
        <f t="shared" si="219"/>
        <v/>
      </c>
      <c r="ER222" s="2" t="str">
        <f t="shared" si="179"/>
        <v/>
      </c>
      <c r="ES222" t="str">
        <f t="shared" si="180"/>
        <v/>
      </c>
      <c r="ET222" t="str">
        <f t="shared" si="181"/>
        <v/>
      </c>
      <c r="EU222" t="str">
        <f t="shared" si="182"/>
        <v/>
      </c>
      <c r="EY222" t="b">
        <f>IF(ISNUMBER(BW222),IF(ABS(BW222-[1]QC_indicators!$B$2)&gt;3*[1]QC_indicators!$C$2,"C ratio",IF(ISNUMBER(CA222),IF(ABS(CA222-[1]QC_indicators!$B$1)&gt;3*[1]QC_indicators!$C$1,"DF","no"))),IF(ISNUMBER(CA222),IF(ABS(CA222-[1]QC_indicators!$B$1)&gt;3*[1]QC_indicators!$C$1,"DF","no")))</f>
        <v>0</v>
      </c>
      <c r="FA222" t="str">
        <f t="shared" si="183"/>
        <v/>
      </c>
    </row>
    <row r="223" spans="1:158" ht="15" hidden="1" customHeight="1">
      <c r="A223" s="1" t="s">
        <v>574</v>
      </c>
      <c r="B223" t="s">
        <v>3375</v>
      </c>
      <c r="C223" t="s">
        <v>3376</v>
      </c>
      <c r="D223" t="s">
        <v>3377</v>
      </c>
      <c r="E223" t="s">
        <v>3378</v>
      </c>
      <c r="F223" t="s">
        <v>3379</v>
      </c>
      <c r="G223" t="s">
        <v>580</v>
      </c>
      <c r="H223" t="s">
        <v>254</v>
      </c>
      <c r="I223">
        <v>2018</v>
      </c>
      <c r="J223">
        <v>40</v>
      </c>
      <c r="K223" t="s">
        <v>3380</v>
      </c>
      <c r="L223" t="s">
        <v>406</v>
      </c>
      <c r="M223" t="str">
        <f t="shared" si="212"/>
        <v>Hossain_2018b</v>
      </c>
      <c r="N223" s="297" t="s">
        <v>4058</v>
      </c>
      <c r="O223" s="145" t="s">
        <v>508</v>
      </c>
      <c r="Q223" s="297" t="s">
        <v>256</v>
      </c>
      <c r="R223" s="298"/>
      <c r="S223" s="1" t="s">
        <v>3381</v>
      </c>
      <c r="T223" t="s">
        <v>3368</v>
      </c>
      <c r="U223" t="s">
        <v>3384</v>
      </c>
      <c r="X223">
        <v>0</v>
      </c>
      <c r="Y223">
        <v>0</v>
      </c>
      <c r="Z223">
        <v>0</v>
      </c>
      <c r="AA223">
        <v>0</v>
      </c>
      <c r="AB223">
        <v>0</v>
      </c>
      <c r="AC223">
        <v>0</v>
      </c>
      <c r="AD223">
        <v>0</v>
      </c>
      <c r="AE223">
        <v>0</v>
      </c>
      <c r="AF223">
        <v>0</v>
      </c>
      <c r="AG223">
        <v>0</v>
      </c>
      <c r="AH223">
        <v>0</v>
      </c>
      <c r="AI223">
        <v>1</v>
      </c>
      <c r="AJ223">
        <v>0</v>
      </c>
      <c r="AK223">
        <v>0</v>
      </c>
      <c r="AL223">
        <v>0</v>
      </c>
      <c r="AM223">
        <v>2</v>
      </c>
      <c r="AN223">
        <v>0</v>
      </c>
      <c r="AO223">
        <v>0</v>
      </c>
      <c r="AP223">
        <v>0</v>
      </c>
      <c r="AQ223">
        <v>0</v>
      </c>
      <c r="AR223">
        <v>0</v>
      </c>
      <c r="AS223">
        <v>0</v>
      </c>
      <c r="AT223">
        <v>0</v>
      </c>
      <c r="AU223">
        <v>0</v>
      </c>
      <c r="AV223">
        <v>0</v>
      </c>
      <c r="AW223">
        <v>0</v>
      </c>
      <c r="AX223">
        <v>0</v>
      </c>
      <c r="AY223">
        <v>0</v>
      </c>
      <c r="AZ223" s="141">
        <f t="shared" si="220"/>
        <v>2</v>
      </c>
      <c r="BA223" s="141">
        <f t="shared" si="221"/>
        <v>2</v>
      </c>
      <c r="BB223">
        <f t="shared" si="222"/>
        <v>0</v>
      </c>
      <c r="BC223">
        <f t="shared" si="223"/>
        <v>1</v>
      </c>
      <c r="BD223">
        <f t="shared" si="224"/>
        <v>1</v>
      </c>
      <c r="BE223">
        <f t="shared" si="225"/>
        <v>0</v>
      </c>
      <c r="BF223">
        <f t="shared" si="226"/>
        <v>0</v>
      </c>
      <c r="BG223" t="str" cm="1">
        <f t="array" ref="BG223">IF(BA223=1,INDEX($X$7:$AN$7,MATCH(TRUE,INDEX($X223:$AY223&lt;&gt;0,),0)),IF(BA223=0,INDEX($AO$7:$AY$7,MATCH(1,$AO223:$AY223,0)),IF(BH223="Multiple strategies","mixed drivers",IF(BH223="Supply chain","multiple supply","multiple silviculture"))))</f>
        <v>mixed drivers</v>
      </c>
      <c r="BH223" s="2" t="str" cm="1">
        <f t="array" ref="BH223">IF(COUNTIF(BB223:BD223,"&lt;&gt;0")=1,INDEX($X$4:$AY$4,MATCH(TRUE,INDEX($X223:$AY223&lt;&gt;0,),0)),IF(COUNTIF(BB223:BD223,"&lt;&gt;0")=0,INDEX($AO$4:$AY$4,MATCH(1,$AO223:$AY223,0)),"Multiple strategies"))</f>
        <v>Multiple strategies</v>
      </c>
      <c r="BR223" t="s">
        <v>232</v>
      </c>
      <c r="BS223" s="230"/>
      <c r="BT223" t="s">
        <v>3385</v>
      </c>
      <c r="BW223" s="144" t="str">
        <f t="shared" si="244"/>
        <v/>
      </c>
      <c r="BX223">
        <v>12</v>
      </c>
      <c r="BZ223">
        <f t="shared" si="245"/>
        <v>1.2E-2</v>
      </c>
      <c r="CA223" t="str">
        <f t="shared" si="173"/>
        <v/>
      </c>
      <c r="CB223">
        <v>0</v>
      </c>
      <c r="CC223">
        <v>0</v>
      </c>
      <c r="CD223">
        <v>0</v>
      </c>
      <c r="CE223">
        <v>0</v>
      </c>
      <c r="CF223">
        <v>0</v>
      </c>
      <c r="CG223">
        <v>0</v>
      </c>
      <c r="CH223">
        <v>0</v>
      </c>
      <c r="CI223">
        <v>0</v>
      </c>
      <c r="CJ223">
        <v>0</v>
      </c>
      <c r="CK223">
        <v>0</v>
      </c>
      <c r="CL223">
        <v>0</v>
      </c>
      <c r="CM223">
        <v>0</v>
      </c>
      <c r="CN223">
        <v>0</v>
      </c>
      <c r="CO223">
        <v>0</v>
      </c>
      <c r="CP223" t="str">
        <f t="shared" si="246"/>
        <v>refOK</v>
      </c>
      <c r="CQ223"/>
      <c r="CR223"/>
      <c r="CS223"/>
      <c r="CT223">
        <f t="shared" si="174"/>
        <v>0</v>
      </c>
      <c r="CU223">
        <f t="shared" si="227"/>
        <v>0</v>
      </c>
      <c r="CV223">
        <f t="shared" si="228"/>
        <v>0</v>
      </c>
      <c r="CW223">
        <f t="shared" si="229"/>
        <v>1.2E-2</v>
      </c>
      <c r="CX223" t="str">
        <f t="shared" si="175"/>
        <v/>
      </c>
      <c r="CY223" t="str">
        <f t="shared" si="230"/>
        <v/>
      </c>
      <c r="CZ223" t="str">
        <f t="shared" si="176"/>
        <v/>
      </c>
      <c r="DA223" s="2" t="str">
        <f t="shared" si="231"/>
        <v/>
      </c>
      <c r="DB223" s="1" t="s">
        <v>347</v>
      </c>
      <c r="DC223" s="297" t="str">
        <f t="shared" si="232"/>
        <v>loc</v>
      </c>
      <c r="DD223" t="s">
        <v>667</v>
      </c>
      <c r="DG223">
        <v>0</v>
      </c>
      <c r="DH223" t="str">
        <f t="shared" si="233"/>
        <v>0</v>
      </c>
      <c r="DI223">
        <v>0</v>
      </c>
      <c r="DJ223">
        <v>0</v>
      </c>
      <c r="DK223">
        <v>0</v>
      </c>
      <c r="DL223">
        <v>1</v>
      </c>
      <c r="DN223">
        <f t="shared" si="243"/>
        <v>1</v>
      </c>
      <c r="DO223" t="str">
        <f t="shared" si="234"/>
        <v>TimberInput</v>
      </c>
      <c r="DP223">
        <f t="shared" si="235"/>
        <v>0</v>
      </c>
      <c r="DQ223">
        <f t="shared" si="236"/>
        <v>0</v>
      </c>
      <c r="DR223">
        <f t="shared" si="237"/>
        <v>0</v>
      </c>
      <c r="DS223" t="str">
        <f t="shared" si="238"/>
        <v>Timber</v>
      </c>
      <c r="DT223">
        <v>1</v>
      </c>
      <c r="DU223">
        <v>0</v>
      </c>
      <c r="DV223">
        <v>0</v>
      </c>
      <c r="DW223">
        <v>0</v>
      </c>
      <c r="DX223">
        <v>0</v>
      </c>
      <c r="DY223">
        <f t="shared" si="242"/>
        <v>1</v>
      </c>
      <c r="DZ223" s="143" t="str">
        <f t="shared" si="239"/>
        <v>self-calculated DF</v>
      </c>
      <c r="EA223">
        <v>0</v>
      </c>
      <c r="EB223">
        <v>0</v>
      </c>
      <c r="EC223">
        <v>0</v>
      </c>
      <c r="ED223">
        <v>0</v>
      </c>
      <c r="EE223">
        <v>0</v>
      </c>
      <c r="EF223" s="143">
        <v>0</v>
      </c>
      <c r="EG223">
        <v>0</v>
      </c>
      <c r="EH223">
        <v>1</v>
      </c>
      <c r="EI223">
        <v>0</v>
      </c>
      <c r="EJ223">
        <v>0</v>
      </c>
      <c r="EK223">
        <v>0</v>
      </c>
      <c r="EL223">
        <v>0</v>
      </c>
      <c r="EM223">
        <v>0</v>
      </c>
      <c r="EN223" s="2">
        <v>0</v>
      </c>
      <c r="EP223" t="str">
        <f t="shared" si="177"/>
        <v/>
      </c>
      <c r="EQ223" t="str">
        <f t="shared" si="219"/>
        <v/>
      </c>
      <c r="ER223" s="2" t="str">
        <f t="shared" si="179"/>
        <v/>
      </c>
      <c r="ES223" t="str">
        <f t="shared" si="180"/>
        <v/>
      </c>
      <c r="ET223" t="str">
        <f t="shared" si="181"/>
        <v/>
      </c>
      <c r="EU223" t="str">
        <f t="shared" si="182"/>
        <v/>
      </c>
      <c r="EY223" t="b">
        <f>IF(ISNUMBER(BW223),IF(ABS(BW223-[1]QC_indicators!$B$2)&gt;3*[1]QC_indicators!$C$2,"C ratio",IF(ISNUMBER(CA223),IF(ABS(CA223-[1]QC_indicators!$B$1)&gt;3*[1]QC_indicators!$C$1,"DF","no"))),IF(ISNUMBER(CA223),IF(ABS(CA223-[1]QC_indicators!$B$1)&gt;3*[1]QC_indicators!$C$1,"DF","no")))</f>
        <v>0</v>
      </c>
      <c r="FA223" t="str">
        <f t="shared" si="183"/>
        <v/>
      </c>
    </row>
    <row r="224" spans="1:158" ht="15" hidden="1" customHeight="1">
      <c r="A224" s="1" t="s">
        <v>574</v>
      </c>
      <c r="B224" t="s">
        <v>3375</v>
      </c>
      <c r="C224" t="s">
        <v>3376</v>
      </c>
      <c r="D224" t="s">
        <v>3377</v>
      </c>
      <c r="E224" t="s">
        <v>3378</v>
      </c>
      <c r="F224" t="s">
        <v>3379</v>
      </c>
      <c r="G224" t="s">
        <v>580</v>
      </c>
      <c r="H224" t="s">
        <v>254</v>
      </c>
      <c r="I224">
        <v>2018</v>
      </c>
      <c r="J224">
        <v>40</v>
      </c>
      <c r="K224" t="s">
        <v>3380</v>
      </c>
      <c r="L224" t="s">
        <v>406</v>
      </c>
      <c r="M224" t="str">
        <f t="shared" si="212"/>
        <v>Hossain_2018b</v>
      </c>
      <c r="N224" s="297" t="s">
        <v>4058</v>
      </c>
      <c r="O224" s="145" t="s">
        <v>508</v>
      </c>
      <c r="Q224" s="297" t="s">
        <v>256</v>
      </c>
      <c r="R224" s="298"/>
      <c r="S224" s="1" t="s">
        <v>3381</v>
      </c>
      <c r="T224" t="s">
        <v>778</v>
      </c>
      <c r="U224" t="s">
        <v>3386</v>
      </c>
      <c r="X224">
        <v>0</v>
      </c>
      <c r="Y224">
        <v>0</v>
      </c>
      <c r="Z224">
        <v>0</v>
      </c>
      <c r="AA224">
        <v>0</v>
      </c>
      <c r="AB224">
        <v>0</v>
      </c>
      <c r="AC224">
        <v>0</v>
      </c>
      <c r="AD224">
        <v>0</v>
      </c>
      <c r="AE224">
        <v>0</v>
      </c>
      <c r="AF224">
        <v>0</v>
      </c>
      <c r="AG224">
        <v>0</v>
      </c>
      <c r="AH224">
        <v>0</v>
      </c>
      <c r="AI224">
        <v>1</v>
      </c>
      <c r="AJ224">
        <v>0</v>
      </c>
      <c r="AK224">
        <v>0</v>
      </c>
      <c r="AL224">
        <v>0</v>
      </c>
      <c r="AM224">
        <v>2</v>
      </c>
      <c r="AN224">
        <v>0</v>
      </c>
      <c r="AO224">
        <v>0</v>
      </c>
      <c r="AP224">
        <v>0</v>
      </c>
      <c r="AQ224">
        <v>0</v>
      </c>
      <c r="AR224">
        <v>0</v>
      </c>
      <c r="AS224">
        <v>0</v>
      </c>
      <c r="AT224">
        <v>0</v>
      </c>
      <c r="AU224">
        <v>0</v>
      </c>
      <c r="AV224">
        <v>0</v>
      </c>
      <c r="AW224">
        <v>0</v>
      </c>
      <c r="AX224">
        <v>0</v>
      </c>
      <c r="AY224">
        <v>0</v>
      </c>
      <c r="AZ224" s="141">
        <f t="shared" si="220"/>
        <v>2</v>
      </c>
      <c r="BA224" s="141">
        <f t="shared" si="221"/>
        <v>2</v>
      </c>
      <c r="BB224">
        <f t="shared" si="222"/>
        <v>0</v>
      </c>
      <c r="BC224">
        <f t="shared" si="223"/>
        <v>1</v>
      </c>
      <c r="BD224">
        <f t="shared" si="224"/>
        <v>1</v>
      </c>
      <c r="BE224">
        <f t="shared" si="225"/>
        <v>0</v>
      </c>
      <c r="BF224">
        <f t="shared" si="226"/>
        <v>0</v>
      </c>
      <c r="BG224" t="str" cm="1">
        <f t="array" ref="BG224">IF(BA224=1,INDEX($X$7:$AN$7,MATCH(TRUE,INDEX($X224:$AY224&lt;&gt;0,),0)),IF(BA224=0,INDEX($AO$7:$AY$7,MATCH(1,$AO224:$AY224,0)),IF(BH224="Multiple strategies","mixed drivers",IF(BH224="Supply chain","multiple supply","multiple silviculture"))))</f>
        <v>mixed drivers</v>
      </c>
      <c r="BH224" s="2" t="str" cm="1">
        <f t="array" ref="BH224">IF(COUNTIF(BB224:BD224,"&lt;&gt;0")=1,INDEX($X$4:$AY$4,MATCH(TRUE,INDEX($X224:$AY224&lt;&gt;0,),0)),IF(COUNTIF(BB224:BD224,"&lt;&gt;0")=0,INDEX($AO$4:$AY$4,MATCH(1,$AO224:$AY224,0)),"Multiple strategies"))</f>
        <v>Multiple strategies</v>
      </c>
      <c r="BR224" t="s">
        <v>232</v>
      </c>
      <c r="BS224" s="230"/>
      <c r="BT224" t="s">
        <v>3387</v>
      </c>
      <c r="BW224" s="144" t="str">
        <f t="shared" si="244"/>
        <v/>
      </c>
      <c r="BX224">
        <v>1075</v>
      </c>
      <c r="BZ224">
        <f t="shared" si="245"/>
        <v>1.075</v>
      </c>
      <c r="CA224" t="str">
        <f t="shared" si="173"/>
        <v/>
      </c>
      <c r="CB224">
        <v>0</v>
      </c>
      <c r="CC224">
        <v>0</v>
      </c>
      <c r="CD224">
        <v>0</v>
      </c>
      <c r="CE224">
        <v>0</v>
      </c>
      <c r="CF224">
        <v>0</v>
      </c>
      <c r="CG224">
        <v>0</v>
      </c>
      <c r="CH224">
        <v>0</v>
      </c>
      <c r="CI224">
        <v>0</v>
      </c>
      <c r="CJ224">
        <v>0</v>
      </c>
      <c r="CK224">
        <v>0</v>
      </c>
      <c r="CL224">
        <v>0</v>
      </c>
      <c r="CM224">
        <v>0</v>
      </c>
      <c r="CN224">
        <v>0</v>
      </c>
      <c r="CO224">
        <v>0</v>
      </c>
      <c r="CP224" t="str">
        <f t="shared" si="246"/>
        <v>refOK</v>
      </c>
      <c r="CQ224"/>
      <c r="CR224"/>
      <c r="CS224"/>
      <c r="CT224">
        <f t="shared" si="174"/>
        <v>0</v>
      </c>
      <c r="CU224">
        <f t="shared" si="227"/>
        <v>0</v>
      </c>
      <c r="CV224">
        <f t="shared" si="228"/>
        <v>0</v>
      </c>
      <c r="CW224">
        <f t="shared" si="229"/>
        <v>1.075</v>
      </c>
      <c r="CX224" t="str">
        <f t="shared" si="175"/>
        <v/>
      </c>
      <c r="CY224" t="str">
        <f t="shared" si="230"/>
        <v/>
      </c>
      <c r="CZ224" t="str">
        <f t="shared" si="176"/>
        <v/>
      </c>
      <c r="DA224" s="2" t="str">
        <f t="shared" si="231"/>
        <v/>
      </c>
      <c r="DB224" s="1" t="s">
        <v>347</v>
      </c>
      <c r="DC224" s="297" t="str">
        <f t="shared" si="232"/>
        <v>loc</v>
      </c>
      <c r="DD224" t="s">
        <v>667</v>
      </c>
      <c r="DG224">
        <v>0</v>
      </c>
      <c r="DH224" t="str">
        <f t="shared" si="233"/>
        <v>0</v>
      </c>
      <c r="DI224">
        <v>0</v>
      </c>
      <c r="DJ224">
        <v>1</v>
      </c>
      <c r="DK224">
        <v>0</v>
      </c>
      <c r="DL224">
        <v>0</v>
      </c>
      <c r="DN224">
        <f t="shared" si="243"/>
        <v>1</v>
      </c>
      <c r="DO224" t="str">
        <f t="shared" si="234"/>
        <v>EnergyInput</v>
      </c>
      <c r="DP224">
        <f t="shared" si="235"/>
        <v>0</v>
      </c>
      <c r="DQ224" t="str">
        <f t="shared" si="236"/>
        <v>Energy</v>
      </c>
      <c r="DR224">
        <f t="shared" si="237"/>
        <v>0</v>
      </c>
      <c r="DS224">
        <f t="shared" si="238"/>
        <v>0</v>
      </c>
      <c r="DT224">
        <v>1</v>
      </c>
      <c r="DU224">
        <v>0</v>
      </c>
      <c r="DV224">
        <v>0</v>
      </c>
      <c r="DW224">
        <v>0</v>
      </c>
      <c r="DX224">
        <v>0</v>
      </c>
      <c r="DY224">
        <f t="shared" si="242"/>
        <v>1</v>
      </c>
      <c r="DZ224" s="143" t="str">
        <f t="shared" si="239"/>
        <v>self-calculated DF</v>
      </c>
      <c r="EA224">
        <v>0</v>
      </c>
      <c r="EB224">
        <v>0</v>
      </c>
      <c r="EC224">
        <v>0</v>
      </c>
      <c r="ED224">
        <v>0</v>
      </c>
      <c r="EE224">
        <v>0</v>
      </c>
      <c r="EF224" s="143">
        <v>0</v>
      </c>
      <c r="EG224">
        <v>0</v>
      </c>
      <c r="EH224">
        <v>1</v>
      </c>
      <c r="EI224">
        <v>0</v>
      </c>
      <c r="EJ224">
        <v>0</v>
      </c>
      <c r="EK224">
        <v>0</v>
      </c>
      <c r="EL224">
        <v>0</v>
      </c>
      <c r="EM224">
        <v>0</v>
      </c>
      <c r="EN224" s="2">
        <v>0</v>
      </c>
      <c r="EP224" t="str">
        <f t="shared" si="177"/>
        <v/>
      </c>
      <c r="EQ224" t="str">
        <f t="shared" si="219"/>
        <v/>
      </c>
      <c r="ER224" s="2" t="str">
        <f t="shared" si="179"/>
        <v/>
      </c>
      <c r="ES224" t="str">
        <f t="shared" si="180"/>
        <v/>
      </c>
      <c r="ET224" t="str">
        <f t="shared" si="181"/>
        <v/>
      </c>
      <c r="EU224" t="str">
        <f t="shared" si="182"/>
        <v/>
      </c>
      <c r="EY224" t="b">
        <f>IF(ISNUMBER(BW224),IF(ABS(BW224-[1]QC_indicators!$B$2)&gt;3*[1]QC_indicators!$C$2,"C ratio",IF(ISNUMBER(CA224),IF(ABS(CA224-[1]QC_indicators!$B$1)&gt;3*[1]QC_indicators!$C$1,"DF","no"))),IF(ISNUMBER(CA224),IF(ABS(CA224-[1]QC_indicators!$B$1)&gt;3*[1]QC_indicators!$C$1,"DF","no")))</f>
        <v>0</v>
      </c>
      <c r="FA224" t="str">
        <f t="shared" si="183"/>
        <v/>
      </c>
    </row>
    <row r="225" spans="1:160" ht="15" hidden="1" customHeight="1">
      <c r="A225" s="1" t="s">
        <v>3388</v>
      </c>
      <c r="B225" t="s">
        <v>3389</v>
      </c>
      <c r="C225" t="s">
        <v>3390</v>
      </c>
      <c r="D225" t="s">
        <v>3391</v>
      </c>
      <c r="E225" t="s">
        <v>3392</v>
      </c>
      <c r="F225" t="s">
        <v>3393</v>
      </c>
      <c r="G225" t="s">
        <v>3394</v>
      </c>
      <c r="H225" t="s">
        <v>254</v>
      </c>
      <c r="I225">
        <v>2021</v>
      </c>
      <c r="J225">
        <v>1</v>
      </c>
      <c r="K225" t="s">
        <v>3395</v>
      </c>
      <c r="M225" t="str">
        <f t="shared" si="212"/>
        <v>Iannuzzi_2021</v>
      </c>
      <c r="N225" s="297" t="s">
        <v>4058</v>
      </c>
      <c r="O225" s="145" t="s">
        <v>508</v>
      </c>
      <c r="Q225" s="297" t="s">
        <v>256</v>
      </c>
      <c r="R225" s="298"/>
      <c r="S225" s="1" t="s">
        <v>3401</v>
      </c>
      <c r="T225" t="s">
        <v>3397</v>
      </c>
      <c r="U225" t="s">
        <v>3402</v>
      </c>
      <c r="X225">
        <v>0</v>
      </c>
      <c r="Y225">
        <v>0</v>
      </c>
      <c r="Z225">
        <v>0</v>
      </c>
      <c r="AA225">
        <v>0</v>
      </c>
      <c r="AB225">
        <v>0</v>
      </c>
      <c r="AC225">
        <v>0</v>
      </c>
      <c r="AD225">
        <v>0</v>
      </c>
      <c r="AE225">
        <v>0</v>
      </c>
      <c r="AF225">
        <v>0</v>
      </c>
      <c r="AG225">
        <v>0</v>
      </c>
      <c r="AH225">
        <v>1</v>
      </c>
      <c r="AI225">
        <v>0</v>
      </c>
      <c r="AJ225">
        <v>0</v>
      </c>
      <c r="AK225">
        <v>0</v>
      </c>
      <c r="AL225">
        <v>0</v>
      </c>
      <c r="AM225">
        <v>0</v>
      </c>
      <c r="AN225">
        <v>0</v>
      </c>
      <c r="AO225">
        <v>0</v>
      </c>
      <c r="AP225">
        <v>0</v>
      </c>
      <c r="AQ225">
        <v>0</v>
      </c>
      <c r="AR225">
        <v>0</v>
      </c>
      <c r="AS225">
        <v>0</v>
      </c>
      <c r="AT225">
        <v>0</v>
      </c>
      <c r="AU225">
        <v>0</v>
      </c>
      <c r="AV225">
        <v>0</v>
      </c>
      <c r="AW225">
        <v>0</v>
      </c>
      <c r="AX225">
        <v>0</v>
      </c>
      <c r="AY225">
        <v>0</v>
      </c>
      <c r="AZ225" s="141">
        <f t="shared" si="220"/>
        <v>1</v>
      </c>
      <c r="BA225" s="141">
        <f t="shared" si="221"/>
        <v>1</v>
      </c>
      <c r="BB225">
        <f t="shared" si="222"/>
        <v>0</v>
      </c>
      <c r="BC225">
        <f t="shared" si="223"/>
        <v>1</v>
      </c>
      <c r="BD225">
        <f t="shared" si="224"/>
        <v>0</v>
      </c>
      <c r="BE225">
        <f t="shared" si="225"/>
        <v>0</v>
      </c>
      <c r="BF225">
        <f t="shared" si="226"/>
        <v>0</v>
      </c>
      <c r="BG225" t="str" cm="1">
        <f t="array" ref="BG225">IF(BA225=1,INDEX($X$7:$AN$7,MATCH(TRUE,INDEX($X225:$AY225&lt;&gt;0,),0)),IF(BA225=0,INDEX($AO$7:$AY$7,MATCH(1,$AO225:$AY225,0)),IF(BH225="Multiple strategies","mixed drivers",IF(BH225="Supply chain","multiple supply","multiple silviculture"))))</f>
        <v>supply chain organization</v>
      </c>
      <c r="BH225" s="2" t="str" cm="1">
        <f t="array" ref="BH225">IF(COUNTIF(BB225:BD225,"&lt;&gt;0")=1,INDEX($X$4:$AY$4,MATCH(TRUE,INDEX($X225:$AY225&lt;&gt;0,),0)),IF(COUNTIF(BB225:BD225,"&lt;&gt;0")=0,INDEX($AO$4:$AY$4,MATCH(1,$AO225:$AY225,0)),"Multiple strategies"))</f>
        <v>Supply chain</v>
      </c>
      <c r="BR225" t="s">
        <v>232</v>
      </c>
      <c r="BS225" s="230"/>
      <c r="BT225" t="s">
        <v>3399</v>
      </c>
      <c r="BU225">
        <v>-97.7</v>
      </c>
      <c r="BV225">
        <v>-43.9</v>
      </c>
      <c r="BW225" s="144">
        <f t="shared" si="244"/>
        <v>0.44933469805527121</v>
      </c>
      <c r="BX225">
        <f>BV225-BU225</f>
        <v>53.800000000000004</v>
      </c>
      <c r="BZ225">
        <f>BX225/10^6</f>
        <v>5.3800000000000007E-5</v>
      </c>
      <c r="CA225" t="str">
        <f t="shared" si="173"/>
        <v/>
      </c>
      <c r="CB225">
        <v>0</v>
      </c>
      <c r="CC225">
        <v>0</v>
      </c>
      <c r="CD225">
        <v>0</v>
      </c>
      <c r="CE225">
        <v>0</v>
      </c>
      <c r="CF225">
        <v>0</v>
      </c>
      <c r="CG225">
        <v>0</v>
      </c>
      <c r="CH225">
        <v>0</v>
      </c>
      <c r="CI225">
        <v>0</v>
      </c>
      <c r="CJ225">
        <v>0</v>
      </c>
      <c r="CK225">
        <v>1</v>
      </c>
      <c r="CL225">
        <v>0</v>
      </c>
      <c r="CM225">
        <v>0</v>
      </c>
      <c r="CN225">
        <v>0</v>
      </c>
      <c r="CO225">
        <v>0</v>
      </c>
      <c r="CP225" t="str">
        <f t="shared" si="246"/>
        <v>refOK</v>
      </c>
      <c r="CQ225"/>
      <c r="CR225"/>
      <c r="CS225"/>
      <c r="CT225">
        <f t="shared" si="174"/>
        <v>0</v>
      </c>
      <c r="CU225">
        <f t="shared" si="227"/>
        <v>-97.7</v>
      </c>
      <c r="CV225">
        <f t="shared" si="228"/>
        <v>-43.9</v>
      </c>
      <c r="CW225">
        <f t="shared" si="229"/>
        <v>5.3800000000000007E-5</v>
      </c>
      <c r="CX225" t="str">
        <f t="shared" si="175"/>
        <v/>
      </c>
      <c r="CY225" t="str">
        <f t="shared" si="230"/>
        <v/>
      </c>
      <c r="CZ225" t="str">
        <f t="shared" si="176"/>
        <v/>
      </c>
      <c r="DA225" s="2">
        <f t="shared" si="231"/>
        <v>0.55066530194472874</v>
      </c>
      <c r="DB225" s="1" t="s">
        <v>347</v>
      </c>
      <c r="DC225" s="297" t="str">
        <f t="shared" si="232"/>
        <v>loc</v>
      </c>
      <c r="DD225" t="s">
        <v>3400</v>
      </c>
      <c r="DG225">
        <v>0</v>
      </c>
      <c r="DH225" t="str">
        <f t="shared" si="233"/>
        <v>0</v>
      </c>
      <c r="DI225">
        <v>0</v>
      </c>
      <c r="DJ225">
        <v>1</v>
      </c>
      <c r="DK225">
        <v>0</v>
      </c>
      <c r="DL225">
        <v>0</v>
      </c>
      <c r="DN225">
        <f t="shared" si="243"/>
        <v>1</v>
      </c>
      <c r="DO225" t="str">
        <f t="shared" si="234"/>
        <v>EnergyInput</v>
      </c>
      <c r="DP225">
        <f t="shared" si="235"/>
        <v>0</v>
      </c>
      <c r="DQ225" t="str">
        <f t="shared" si="236"/>
        <v>Energy</v>
      </c>
      <c r="DR225">
        <f t="shared" si="237"/>
        <v>0</v>
      </c>
      <c r="DS225">
        <f t="shared" si="238"/>
        <v>0</v>
      </c>
      <c r="DT225">
        <v>1</v>
      </c>
      <c r="DU225">
        <v>0</v>
      </c>
      <c r="DV225">
        <v>0</v>
      </c>
      <c r="DW225">
        <v>0</v>
      </c>
      <c r="DX225">
        <v>0</v>
      </c>
      <c r="DY225">
        <f t="shared" si="242"/>
        <v>1</v>
      </c>
      <c r="DZ225" s="143" t="str">
        <f t="shared" si="239"/>
        <v>self-calculated DF</v>
      </c>
      <c r="EA225">
        <v>0</v>
      </c>
      <c r="EB225">
        <v>0</v>
      </c>
      <c r="EC225">
        <v>0</v>
      </c>
      <c r="ED225">
        <v>0</v>
      </c>
      <c r="EE225">
        <v>0</v>
      </c>
      <c r="EF225" s="143">
        <v>0</v>
      </c>
      <c r="EG225">
        <v>0</v>
      </c>
      <c r="EH225">
        <v>1</v>
      </c>
      <c r="EI225">
        <v>0</v>
      </c>
      <c r="EJ225">
        <v>0</v>
      </c>
      <c r="EK225">
        <v>0</v>
      </c>
      <c r="EL225">
        <v>0</v>
      </c>
      <c r="EM225">
        <v>1</v>
      </c>
      <c r="EN225" s="2">
        <v>0</v>
      </c>
      <c r="EP225" t="str">
        <f t="shared" si="177"/>
        <v/>
      </c>
      <c r="EQ225" t="str">
        <f t="shared" si="219"/>
        <v/>
      </c>
      <c r="ER225" s="2" t="str">
        <f t="shared" si="179"/>
        <v/>
      </c>
      <c r="ES225" t="str">
        <f t="shared" si="180"/>
        <v/>
      </c>
      <c r="ET225" t="str">
        <f t="shared" si="181"/>
        <v/>
      </c>
      <c r="EU225" t="str">
        <f t="shared" si="182"/>
        <v/>
      </c>
      <c r="EY225" t="b">
        <f>IF(ISNUMBER(BW225),IF(ABS(BW225-[1]QC_indicators!$B$2)&gt;3*[1]QC_indicators!$C$2,"C ratio",IF(ISNUMBER(CA225),IF(ABS(CA225-[1]QC_indicators!$B$1)&gt;3*[1]QC_indicators!$C$1,"DF","no"))),IF(ISNUMBER(CA225),IF(ABS(CA225-[1]QC_indicators!$B$1)&gt;3*[1]QC_indicators!$C$1,"DF","no")))</f>
        <v>0</v>
      </c>
      <c r="FA225" t="str">
        <f t="shared" si="183"/>
        <v/>
      </c>
    </row>
    <row r="226" spans="1:160" ht="15" hidden="1" customHeight="1">
      <c r="A226" s="1" t="s">
        <v>3388</v>
      </c>
      <c r="B226" t="s">
        <v>3389</v>
      </c>
      <c r="C226" t="s">
        <v>3390</v>
      </c>
      <c r="D226" t="s">
        <v>3391</v>
      </c>
      <c r="E226" t="s">
        <v>3392</v>
      </c>
      <c r="F226" t="s">
        <v>3393</v>
      </c>
      <c r="G226" t="s">
        <v>3394</v>
      </c>
      <c r="H226" t="s">
        <v>254</v>
      </c>
      <c r="I226">
        <v>2021</v>
      </c>
      <c r="J226">
        <v>1</v>
      </c>
      <c r="K226" t="s">
        <v>3395</v>
      </c>
      <c r="M226" t="str">
        <f t="shared" si="212"/>
        <v>Iannuzzi_2021</v>
      </c>
      <c r="N226" s="297" t="s">
        <v>4058</v>
      </c>
      <c r="O226" s="145" t="s">
        <v>508</v>
      </c>
      <c r="Q226" s="297" t="s">
        <v>256</v>
      </c>
      <c r="R226" s="298"/>
      <c r="S226" s="1" t="s">
        <v>3396</v>
      </c>
      <c r="T226" t="s">
        <v>3397</v>
      </c>
      <c r="U226" t="s">
        <v>3398</v>
      </c>
      <c r="X226">
        <v>0</v>
      </c>
      <c r="Y226">
        <v>0</v>
      </c>
      <c r="Z226">
        <v>0</v>
      </c>
      <c r="AA226">
        <v>0</v>
      </c>
      <c r="AB226">
        <v>0</v>
      </c>
      <c r="AC226">
        <v>0</v>
      </c>
      <c r="AD226">
        <v>0</v>
      </c>
      <c r="AE226">
        <v>0</v>
      </c>
      <c r="AF226">
        <v>0</v>
      </c>
      <c r="AG226">
        <v>0</v>
      </c>
      <c r="AH226">
        <v>0</v>
      </c>
      <c r="AI226">
        <v>1</v>
      </c>
      <c r="AJ226">
        <v>0</v>
      </c>
      <c r="AK226">
        <v>0</v>
      </c>
      <c r="AL226">
        <v>0</v>
      </c>
      <c r="AM226">
        <v>0</v>
      </c>
      <c r="AN226">
        <v>0</v>
      </c>
      <c r="AO226">
        <v>0</v>
      </c>
      <c r="AP226">
        <v>0</v>
      </c>
      <c r="AQ226">
        <v>0</v>
      </c>
      <c r="AR226">
        <v>0</v>
      </c>
      <c r="AS226">
        <v>0</v>
      </c>
      <c r="AT226">
        <v>0</v>
      </c>
      <c r="AU226">
        <v>0</v>
      </c>
      <c r="AV226">
        <v>0</v>
      </c>
      <c r="AW226">
        <v>0</v>
      </c>
      <c r="AX226">
        <v>0</v>
      </c>
      <c r="AY226">
        <v>0</v>
      </c>
      <c r="AZ226" s="141">
        <f t="shared" si="220"/>
        <v>1</v>
      </c>
      <c r="BA226" s="141">
        <f t="shared" si="221"/>
        <v>1</v>
      </c>
      <c r="BB226">
        <f t="shared" si="222"/>
        <v>0</v>
      </c>
      <c r="BC226">
        <f t="shared" si="223"/>
        <v>1</v>
      </c>
      <c r="BD226">
        <f t="shared" si="224"/>
        <v>0</v>
      </c>
      <c r="BE226">
        <f t="shared" si="225"/>
        <v>0</v>
      </c>
      <c r="BF226">
        <f t="shared" si="226"/>
        <v>0</v>
      </c>
      <c r="BG226" t="str" cm="1">
        <f t="array" ref="BG226">IF(BA226=1,INDEX($X$7:$AN$7,MATCH(TRUE,INDEX($X226:$AY226&lt;&gt;0,),0)),IF(BA226=0,INDEX($AO$7:$AY$7,MATCH(1,$AO226:$AY226,0)),IF(BH226="Multiple strategies","mixed drivers",IF(BH226="Supply chain","multiple supply","multiple silviculture"))))</f>
        <v>recycling</v>
      </c>
      <c r="BH226" s="2" t="str" cm="1">
        <f t="array" ref="BH226">IF(COUNTIF(BB226:BD226,"&lt;&gt;0")=1,INDEX($X$4:$AY$4,MATCH(TRUE,INDEX($X226:$AY226&lt;&gt;0,),0)),IF(COUNTIF(BB226:BD226,"&lt;&gt;0")=0,INDEX($AO$4:$AY$4,MATCH(1,$AO226:$AY226,0)),"Multiple strategies"))</f>
        <v>Supply chain</v>
      </c>
      <c r="BR226" t="s">
        <v>232</v>
      </c>
      <c r="BS226" s="230"/>
      <c r="BT226" t="s">
        <v>3399</v>
      </c>
      <c r="BU226">
        <v>-97.7</v>
      </c>
      <c r="BV226">
        <v>-43.6</v>
      </c>
      <c r="BW226" s="144">
        <f t="shared" si="244"/>
        <v>0.44626407369498466</v>
      </c>
      <c r="BX226">
        <f>BV226-BU226</f>
        <v>54.1</v>
      </c>
      <c r="BZ226">
        <f>BX226/10^6</f>
        <v>5.41E-5</v>
      </c>
      <c r="CA226" t="str">
        <f t="shared" si="173"/>
        <v/>
      </c>
      <c r="CB226">
        <v>0</v>
      </c>
      <c r="CC226">
        <v>0</v>
      </c>
      <c r="CD226">
        <v>0</v>
      </c>
      <c r="CE226">
        <v>0</v>
      </c>
      <c r="CF226">
        <v>0</v>
      </c>
      <c r="CG226">
        <v>0</v>
      </c>
      <c r="CH226">
        <v>0</v>
      </c>
      <c r="CI226">
        <v>0</v>
      </c>
      <c r="CJ226">
        <v>0</v>
      </c>
      <c r="CK226">
        <v>1</v>
      </c>
      <c r="CL226">
        <v>0</v>
      </c>
      <c r="CM226">
        <v>0</v>
      </c>
      <c r="CN226">
        <v>0</v>
      </c>
      <c r="CO226">
        <v>0</v>
      </c>
      <c r="CP226" t="str">
        <f t="shared" si="246"/>
        <v>refOK</v>
      </c>
      <c r="CQ226"/>
      <c r="CR226"/>
      <c r="CS226"/>
      <c r="CT226">
        <f t="shared" si="174"/>
        <v>0</v>
      </c>
      <c r="CU226">
        <f t="shared" si="227"/>
        <v>-97.7</v>
      </c>
      <c r="CV226">
        <f t="shared" si="228"/>
        <v>-43.6</v>
      </c>
      <c r="CW226">
        <f t="shared" si="229"/>
        <v>5.41E-5</v>
      </c>
      <c r="CX226" t="str">
        <f t="shared" si="175"/>
        <v/>
      </c>
      <c r="CY226" t="str">
        <f t="shared" si="230"/>
        <v/>
      </c>
      <c r="CZ226" t="str">
        <f t="shared" si="176"/>
        <v/>
      </c>
      <c r="DA226" s="2">
        <f t="shared" si="231"/>
        <v>0.55373592630501534</v>
      </c>
      <c r="DB226" s="1" t="s">
        <v>347</v>
      </c>
      <c r="DC226" s="297" t="str">
        <f t="shared" si="232"/>
        <v>loc</v>
      </c>
      <c r="DD226" t="s">
        <v>3400</v>
      </c>
      <c r="DG226">
        <v>0</v>
      </c>
      <c r="DH226" t="str">
        <f t="shared" si="233"/>
        <v>0</v>
      </c>
      <c r="DI226">
        <v>0</v>
      </c>
      <c r="DJ226">
        <v>1</v>
      </c>
      <c r="DK226">
        <v>0</v>
      </c>
      <c r="DL226">
        <v>0</v>
      </c>
      <c r="DN226">
        <f t="shared" si="243"/>
        <v>1</v>
      </c>
      <c r="DO226" t="str">
        <f t="shared" si="234"/>
        <v>EnergyInput</v>
      </c>
      <c r="DP226">
        <f t="shared" si="235"/>
        <v>0</v>
      </c>
      <c r="DQ226" t="str">
        <f t="shared" si="236"/>
        <v>Energy</v>
      </c>
      <c r="DR226">
        <f t="shared" si="237"/>
        <v>0</v>
      </c>
      <c r="DS226">
        <f t="shared" si="238"/>
        <v>0</v>
      </c>
      <c r="DT226">
        <v>1</v>
      </c>
      <c r="DU226">
        <v>0</v>
      </c>
      <c r="DV226">
        <v>0</v>
      </c>
      <c r="DW226">
        <v>0</v>
      </c>
      <c r="DX226">
        <v>0</v>
      </c>
      <c r="DY226">
        <f t="shared" si="242"/>
        <v>1</v>
      </c>
      <c r="DZ226" s="143" t="str">
        <f t="shared" si="239"/>
        <v>self-calculated DF</v>
      </c>
      <c r="EA226">
        <v>0</v>
      </c>
      <c r="EB226">
        <v>0</v>
      </c>
      <c r="EC226">
        <v>0</v>
      </c>
      <c r="ED226">
        <v>0</v>
      </c>
      <c r="EE226">
        <v>0</v>
      </c>
      <c r="EF226" s="143">
        <v>0</v>
      </c>
      <c r="EG226">
        <v>0</v>
      </c>
      <c r="EH226">
        <v>1</v>
      </c>
      <c r="EI226">
        <v>0</v>
      </c>
      <c r="EJ226">
        <v>0</v>
      </c>
      <c r="EK226">
        <v>0</v>
      </c>
      <c r="EL226">
        <v>0</v>
      </c>
      <c r="EM226">
        <v>1</v>
      </c>
      <c r="EN226" s="2">
        <v>0</v>
      </c>
      <c r="EP226" t="str">
        <f t="shared" si="177"/>
        <v/>
      </c>
      <c r="EQ226" t="str">
        <f t="shared" si="219"/>
        <v/>
      </c>
      <c r="ER226" s="2" t="str">
        <f t="shared" si="179"/>
        <v/>
      </c>
      <c r="ES226" t="str">
        <f t="shared" si="180"/>
        <v/>
      </c>
      <c r="ET226" t="str">
        <f t="shared" si="181"/>
        <v/>
      </c>
      <c r="EU226" t="str">
        <f t="shared" si="182"/>
        <v/>
      </c>
      <c r="EY226" t="b">
        <f>IF(ISNUMBER(BW226),IF(ABS(BW226-[1]QC_indicators!$B$2)&gt;3*[1]QC_indicators!$C$2,"C ratio",IF(ISNUMBER(CA226),IF(ABS(CA226-[1]QC_indicators!$B$1)&gt;3*[1]QC_indicators!$C$1,"DF","no"))),IF(ISNUMBER(CA226),IF(ABS(CA226-[1]QC_indicators!$B$1)&gt;3*[1]QC_indicators!$C$1,"DF","no")))</f>
        <v>0</v>
      </c>
      <c r="FA226" t="str">
        <f t="shared" si="183"/>
        <v/>
      </c>
    </row>
    <row r="227" spans="1:160" ht="15" hidden="1" customHeight="1">
      <c r="A227" s="1" t="s">
        <v>3403</v>
      </c>
      <c r="B227" t="s">
        <v>3404</v>
      </c>
      <c r="C227" t="s">
        <v>3405</v>
      </c>
      <c r="D227" t="s">
        <v>3406</v>
      </c>
      <c r="E227" t="s">
        <v>3407</v>
      </c>
      <c r="F227" t="s">
        <v>3408</v>
      </c>
      <c r="G227" t="s">
        <v>3409</v>
      </c>
      <c r="H227" t="s">
        <v>254</v>
      </c>
      <c r="I227">
        <v>2022</v>
      </c>
      <c r="J227">
        <v>2</v>
      </c>
      <c r="K227" t="s">
        <v>3410</v>
      </c>
      <c r="M227" t="str">
        <f t="shared" si="212"/>
        <v>Ilari_2022</v>
      </c>
      <c r="N227" s="297" t="s">
        <v>4058</v>
      </c>
      <c r="O227" s="161" t="s">
        <v>223</v>
      </c>
      <c r="Q227" s="297" t="s">
        <v>389</v>
      </c>
      <c r="R227" s="298"/>
      <c r="S227" s="154" t="s">
        <v>3411</v>
      </c>
      <c r="T227" s="299" t="s">
        <v>3412</v>
      </c>
      <c r="U227" s="297" t="s">
        <v>3417</v>
      </c>
      <c r="V227" s="297"/>
      <c r="W227" s="297"/>
      <c r="X227">
        <v>0</v>
      </c>
      <c r="Y227">
        <v>0</v>
      </c>
      <c r="Z227">
        <v>0</v>
      </c>
      <c r="AA227">
        <v>0</v>
      </c>
      <c r="AB227">
        <v>0</v>
      </c>
      <c r="AC227">
        <v>0</v>
      </c>
      <c r="AD227">
        <v>0</v>
      </c>
      <c r="AE227">
        <v>0</v>
      </c>
      <c r="AF227">
        <v>0</v>
      </c>
      <c r="AG227">
        <v>0</v>
      </c>
      <c r="AH227">
        <v>0</v>
      </c>
      <c r="AI227">
        <v>0</v>
      </c>
      <c r="AJ227">
        <v>0</v>
      </c>
      <c r="AK227">
        <v>0</v>
      </c>
      <c r="AL227">
        <v>0</v>
      </c>
      <c r="AM227">
        <v>1</v>
      </c>
      <c r="AN227">
        <v>0</v>
      </c>
      <c r="AO227">
        <v>0</v>
      </c>
      <c r="AP227">
        <v>0</v>
      </c>
      <c r="AQ227">
        <v>0</v>
      </c>
      <c r="AR227">
        <v>0</v>
      </c>
      <c r="AS227">
        <v>0</v>
      </c>
      <c r="AT227">
        <v>0</v>
      </c>
      <c r="AU227">
        <v>0</v>
      </c>
      <c r="AV227">
        <v>0</v>
      </c>
      <c r="AW227">
        <v>0</v>
      </c>
      <c r="AX227">
        <v>0</v>
      </c>
      <c r="AY227">
        <v>0</v>
      </c>
      <c r="AZ227" s="141">
        <f t="shared" si="220"/>
        <v>1</v>
      </c>
      <c r="BA227" s="141">
        <f t="shared" si="221"/>
        <v>1</v>
      </c>
      <c r="BB227">
        <f t="shared" si="222"/>
        <v>0</v>
      </c>
      <c r="BC227">
        <f t="shared" si="223"/>
        <v>0</v>
      </c>
      <c r="BD227">
        <f t="shared" si="224"/>
        <v>1</v>
      </c>
      <c r="BE227">
        <f t="shared" si="225"/>
        <v>0</v>
      </c>
      <c r="BF227">
        <f t="shared" si="226"/>
        <v>0</v>
      </c>
      <c r="BG227" t="str" cm="1">
        <f t="array" ref="BG227">IF(BA227=1,INDEX($X$7:$AN$7,MATCH(TRUE,INDEX($X227:$AY227&lt;&gt;0,),0)),IF(BA227=0,INDEX($AO$7:$AY$7,MATCH(1,$AO227:$AY227,0)),IF(BH227="Multiple strategies","mixed drivers",IF(BH227="Supply chain","multiple supply","multiple silviculture"))))</f>
        <v>technologies/design switch</v>
      </c>
      <c r="BH227" s="2" t="str" cm="1">
        <f t="array" ref="BH227">IF(COUNTIF(BB227:BD227,"&lt;&gt;0")=1,INDEX($X$4:$AY$4,MATCH(TRUE,INDEX($X227:$AY227&lt;&gt;0,),0)),IF(COUNTIF(BB227:BD227,"&lt;&gt;0")=0,INDEX($AO$4:$AY$4,MATCH(1,$AO227:$AY227,0)),"Multiple strategies"))</f>
        <v>Technology</v>
      </c>
      <c r="BI227" s="1" t="s">
        <v>321</v>
      </c>
      <c r="BJ227" s="297" t="s">
        <v>3414</v>
      </c>
      <c r="BK227" s="297" t="s">
        <v>685</v>
      </c>
      <c r="BL227" s="297" t="s">
        <v>3415</v>
      </c>
      <c r="BM227">
        <v>4.5</v>
      </c>
      <c r="BN227">
        <v>4.5</v>
      </c>
      <c r="BP227">
        <f>BN227-BM227</f>
        <v>0</v>
      </c>
      <c r="BQ227">
        <f>BP227</f>
        <v>0</v>
      </c>
      <c r="BR227" t="s">
        <v>395</v>
      </c>
      <c r="BS227" s="331" t="s">
        <v>3416</v>
      </c>
      <c r="BT227" s="297" t="s">
        <v>397</v>
      </c>
      <c r="BU227">
        <v>2.09</v>
      </c>
      <c r="BV227">
        <v>2.0299999999999998</v>
      </c>
      <c r="CA227" t="str">
        <f t="shared" si="173"/>
        <v/>
      </c>
      <c r="CB227">
        <v>0</v>
      </c>
      <c r="CC227">
        <v>0</v>
      </c>
      <c r="CD227">
        <v>0</v>
      </c>
      <c r="CE227">
        <v>0</v>
      </c>
      <c r="CF227">
        <v>0</v>
      </c>
      <c r="CG227">
        <v>0</v>
      </c>
      <c r="CH227">
        <v>0</v>
      </c>
      <c r="CI227">
        <v>0</v>
      </c>
      <c r="CJ227">
        <v>0</v>
      </c>
      <c r="CK227">
        <v>0</v>
      </c>
      <c r="CL227">
        <v>0</v>
      </c>
      <c r="CM227">
        <v>0</v>
      </c>
      <c r="CN227">
        <v>0</v>
      </c>
      <c r="CO227">
        <v>0</v>
      </c>
      <c r="CP227" t="str">
        <f t="shared" ref="CP227:CP232" si="247">IF($BN227&lt;$BM227,"refNeedCorrection","refOK")</f>
        <v>refOK</v>
      </c>
      <c r="CQ227">
        <f t="shared" ref="CQ227:CQ232" si="248">IF($CP227="refOK",$BM227,$BN227)</f>
        <v>4.5</v>
      </c>
      <c r="CR227">
        <f t="shared" ref="CR227:CR232" si="249">IF($CP227="refOK",$BN227,$BM227)</f>
        <v>4.5</v>
      </c>
      <c r="CS227">
        <f t="shared" ref="CS227:CS232" si="250">IF($CP227="refOK",$BQ227,-$BQ227)</f>
        <v>0</v>
      </c>
      <c r="CT227">
        <f t="shared" si="174"/>
        <v>0</v>
      </c>
      <c r="CU227">
        <f t="shared" si="227"/>
        <v>-2.09</v>
      </c>
      <c r="CV227">
        <f t="shared" si="228"/>
        <v>-2.0299999999999998</v>
      </c>
      <c r="CW227">
        <f t="shared" si="229"/>
        <v>0</v>
      </c>
      <c r="CX227" t="str">
        <f t="shared" si="175"/>
        <v/>
      </c>
      <c r="CY227" t="str">
        <f t="shared" si="230"/>
        <v/>
      </c>
      <c r="CZ227" t="str">
        <f t="shared" si="176"/>
        <v/>
      </c>
      <c r="DA227" s="2">
        <f t="shared" si="231"/>
        <v>2.8708133971291894E-2</v>
      </c>
      <c r="DB227" s="304" t="s">
        <v>263</v>
      </c>
      <c r="DC227" s="297" t="str">
        <f t="shared" si="232"/>
        <v>loc</v>
      </c>
      <c r="DD227" s="297" t="s">
        <v>264</v>
      </c>
      <c r="DH227" t="str">
        <f t="shared" si="233"/>
        <v>0</v>
      </c>
      <c r="DI227">
        <v>0</v>
      </c>
      <c r="DJ227">
        <v>1</v>
      </c>
      <c r="DK227">
        <v>0</v>
      </c>
      <c r="DL227">
        <v>0</v>
      </c>
      <c r="DN227">
        <f t="shared" si="243"/>
        <v>1</v>
      </c>
      <c r="DO227" t="str">
        <f t="shared" si="234"/>
        <v>EnergyInput</v>
      </c>
      <c r="DP227">
        <f t="shared" si="235"/>
        <v>0</v>
      </c>
      <c r="DQ227" t="str">
        <f t="shared" si="236"/>
        <v>Energy</v>
      </c>
      <c r="DR227">
        <f t="shared" si="237"/>
        <v>0</v>
      </c>
      <c r="DS227">
        <f t="shared" si="238"/>
        <v>0</v>
      </c>
      <c r="DY227">
        <f t="shared" si="242"/>
        <v>0</v>
      </c>
      <c r="DZ227" s="143" t="str">
        <f t="shared" si="239"/>
        <v>explicit C balance</v>
      </c>
      <c r="EA227">
        <v>0</v>
      </c>
      <c r="EB227">
        <v>0</v>
      </c>
      <c r="EC227">
        <v>0</v>
      </c>
      <c r="ED227">
        <v>0</v>
      </c>
      <c r="EE227">
        <v>1</v>
      </c>
      <c r="EF227">
        <v>0</v>
      </c>
      <c r="EG227">
        <v>1</v>
      </c>
      <c r="EH227">
        <v>1</v>
      </c>
      <c r="EI227">
        <v>0</v>
      </c>
      <c r="EJ227">
        <v>0</v>
      </c>
      <c r="EK227">
        <v>0</v>
      </c>
      <c r="EL227">
        <v>0</v>
      </c>
      <c r="EM227">
        <v>0</v>
      </c>
      <c r="EN227" s="2">
        <v>0</v>
      </c>
      <c r="EP227" t="str">
        <f t="shared" si="177"/>
        <v/>
      </c>
      <c r="EQ227" t="str">
        <f t="shared" si="219"/>
        <v/>
      </c>
      <c r="ER227" s="2" t="str">
        <f t="shared" si="179"/>
        <v>Technology approach</v>
      </c>
      <c r="ES227" t="str">
        <f t="shared" si="180"/>
        <v/>
      </c>
      <c r="ET227" t="str">
        <f t="shared" si="181"/>
        <v/>
      </c>
      <c r="EU227" t="str">
        <f t="shared" si="182"/>
        <v/>
      </c>
      <c r="EY227" t="b">
        <f>IF(ISNUMBER(BW227),IF(ABS(BW227-[1]QC_indicators!$B$2)&gt;3*[1]QC_indicators!$C$2,"C ratio",IF(ISNUMBER(CA227),IF(ABS(CA227-[1]QC_indicators!$B$1)&gt;3*[1]QC_indicators!$C$1,"DF","no"))),IF(ISNUMBER(CA227),IF(ABS(CA227-[1]QC_indicators!$B$1)&gt;3*[1]QC_indicators!$C$1,"DF","no")))</f>
        <v>0</v>
      </c>
      <c r="FA227" t="str">
        <f t="shared" si="183"/>
        <v/>
      </c>
    </row>
    <row r="228" spans="1:160" ht="0" hidden="1" customHeight="1">
      <c r="A228" s="1" t="s">
        <v>1233</v>
      </c>
      <c r="B228" t="s">
        <v>1941</v>
      </c>
      <c r="C228" t="s">
        <v>1942</v>
      </c>
      <c r="D228" t="s">
        <v>1943</v>
      </c>
      <c r="E228" t="s">
        <v>1944</v>
      </c>
      <c r="F228" t="s">
        <v>1945</v>
      </c>
      <c r="G228" t="s">
        <v>1239</v>
      </c>
      <c r="H228" t="s">
        <v>254</v>
      </c>
      <c r="I228">
        <v>2012</v>
      </c>
      <c r="J228">
        <v>21</v>
      </c>
      <c r="K228" t="s">
        <v>1946</v>
      </c>
      <c r="L228" s="191"/>
      <c r="M228" t="str">
        <f t="shared" si="212"/>
        <v>Pyorala_2012</v>
      </c>
      <c r="N228" t="s">
        <v>222</v>
      </c>
      <c r="O228" s="145" t="s">
        <v>341</v>
      </c>
      <c r="P228" s="179" t="s">
        <v>223</v>
      </c>
      <c r="Q228" s="260" t="s">
        <v>256</v>
      </c>
      <c r="R228" s="264" t="s">
        <v>1029</v>
      </c>
      <c r="S228" s="259" t="s">
        <v>1951</v>
      </c>
      <c r="T228" s="260" t="s">
        <v>1948</v>
      </c>
      <c r="U228" s="260" t="s">
        <v>1947</v>
      </c>
      <c r="V228" s="260"/>
      <c r="W228" s="260"/>
      <c r="X228">
        <v>0</v>
      </c>
      <c r="Y228">
        <v>0</v>
      </c>
      <c r="Z228">
        <v>0</v>
      </c>
      <c r="AA228">
        <v>1</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s="141">
        <f t="shared" si="220"/>
        <v>1</v>
      </c>
      <c r="BA228" s="141">
        <f t="shared" si="221"/>
        <v>1</v>
      </c>
      <c r="BB228">
        <f t="shared" si="222"/>
        <v>1</v>
      </c>
      <c r="BC228">
        <f t="shared" si="223"/>
        <v>0</v>
      </c>
      <c r="BD228">
        <f t="shared" si="224"/>
        <v>0</v>
      </c>
      <c r="BE228">
        <f t="shared" si="225"/>
        <v>0</v>
      </c>
      <c r="BF228">
        <f t="shared" si="226"/>
        <v>0</v>
      </c>
      <c r="BG228" t="str" cm="1">
        <f t="array" ref="BG228">IF(BA228=1,INDEX($X$7:$AN$7,MATCH(TRUE,INDEX($X228:$AY228&lt;&gt;0,),0)),IF(BA228=0,INDEX($AO$7:$AY$7,MATCH(1,$AO228:$AY228,0)),IF(BH228="Multiple strategies","mixed drivers",IF(BH228="Supply chain","multiple supply","multiple silviculture"))))</f>
        <v xml:space="preserve">cutting intensity </v>
      </c>
      <c r="BH228" s="2" t="str" cm="1">
        <f t="array" ref="BH228">IF(COUNTIF(BB228:BD228,"&lt;&gt;0")=1,INDEX($X$4:$AY$4,MATCH(TRUE,INDEX($X228:$AY228&lt;&gt;0,),0)),IF(COUNTIF(BB228:BD228,"&lt;&gt;0")=0,INDEX($AO$4:$AY$4,MATCH(1,$AO228:$AY228,0)),"Multiple strategies"))</f>
        <v>Silviculture for removals</v>
      </c>
      <c r="BI228" s="177" t="s">
        <v>321</v>
      </c>
      <c r="BJ228" s="260" t="s">
        <v>1949</v>
      </c>
      <c r="BK228" s="260" t="s">
        <v>426</v>
      </c>
      <c r="BL228" s="160" t="s">
        <v>686</v>
      </c>
      <c r="BM228">
        <v>7.8</v>
      </c>
      <c r="BN228">
        <v>8.6999999999999993</v>
      </c>
      <c r="BP228">
        <f>BN228-BM228</f>
        <v>0.89999999999999947</v>
      </c>
      <c r="BQ228">
        <f>BP228</f>
        <v>0.89999999999999947</v>
      </c>
      <c r="BR228" s="155" t="s">
        <v>395</v>
      </c>
      <c r="BS228" s="291" t="s">
        <v>763</v>
      </c>
      <c r="BT228" s="155" t="s">
        <v>279</v>
      </c>
      <c r="BU228">
        <v>0.6</v>
      </c>
      <c r="BV228">
        <v>0.6</v>
      </c>
      <c r="BW228" s="144"/>
      <c r="BX228">
        <f>BV228-BU228</f>
        <v>0</v>
      </c>
      <c r="BZ228">
        <f>BX228</f>
        <v>0</v>
      </c>
      <c r="CA228">
        <f t="shared" si="173"/>
        <v>0</v>
      </c>
      <c r="CB228">
        <v>0</v>
      </c>
      <c r="CC228">
        <v>0</v>
      </c>
      <c r="CD228">
        <v>0</v>
      </c>
      <c r="CE228">
        <v>0</v>
      </c>
      <c r="CF228">
        <v>0</v>
      </c>
      <c r="CG228">
        <v>0</v>
      </c>
      <c r="CH228">
        <v>0</v>
      </c>
      <c r="CI228">
        <v>0</v>
      </c>
      <c r="CJ228">
        <v>0</v>
      </c>
      <c r="CK228">
        <v>0</v>
      </c>
      <c r="CL228">
        <v>0</v>
      </c>
      <c r="CM228">
        <v>0</v>
      </c>
      <c r="CN228">
        <v>0</v>
      </c>
      <c r="CO228">
        <v>0</v>
      </c>
      <c r="CP228" t="str">
        <f t="shared" si="247"/>
        <v>refOK</v>
      </c>
      <c r="CQ228">
        <f t="shared" si="248"/>
        <v>7.8</v>
      </c>
      <c r="CR228">
        <f t="shared" si="249"/>
        <v>8.6999999999999993</v>
      </c>
      <c r="CS228">
        <f t="shared" si="250"/>
        <v>0.89999999999999947</v>
      </c>
      <c r="CT228">
        <f t="shared" si="174"/>
        <v>0.44999999999999973</v>
      </c>
      <c r="CU228">
        <f t="shared" si="227"/>
        <v>-0.6</v>
      </c>
      <c r="CV228">
        <f t="shared" si="228"/>
        <v>-0.6</v>
      </c>
      <c r="CW228">
        <f t="shared" si="229"/>
        <v>0</v>
      </c>
      <c r="CX228">
        <f t="shared" si="175"/>
        <v>0</v>
      </c>
      <c r="CY228">
        <f t="shared" si="230"/>
        <v>0</v>
      </c>
      <c r="CZ228">
        <f t="shared" si="176"/>
        <v>0</v>
      </c>
      <c r="DA228" s="2">
        <f t="shared" si="231"/>
        <v>0</v>
      </c>
      <c r="DB228" s="1" t="s">
        <v>1074</v>
      </c>
      <c r="DC228" s="260" t="str">
        <f t="shared" si="232"/>
        <v>reg</v>
      </c>
      <c r="DD228" t="s">
        <v>235</v>
      </c>
      <c r="DG228">
        <v>50</v>
      </c>
      <c r="DH228" t="str">
        <f t="shared" si="233"/>
        <v>31-70</v>
      </c>
      <c r="DI228">
        <v>0</v>
      </c>
      <c r="DJ228">
        <v>1</v>
      </c>
      <c r="DK228">
        <v>1</v>
      </c>
      <c r="DL228">
        <v>1</v>
      </c>
      <c r="DN228">
        <f t="shared" si="243"/>
        <v>3</v>
      </c>
      <c r="DO228" t="str">
        <f t="shared" si="234"/>
        <v>mixedProduct</v>
      </c>
      <c r="DP228">
        <f t="shared" si="235"/>
        <v>0</v>
      </c>
      <c r="DQ228" t="str">
        <f t="shared" si="236"/>
        <v>Energy</v>
      </c>
      <c r="DR228" t="str">
        <f t="shared" si="237"/>
        <v>Pulp/Paper</v>
      </c>
      <c r="DS228" t="str">
        <f t="shared" si="238"/>
        <v>Timber</v>
      </c>
      <c r="DT228">
        <v>0</v>
      </c>
      <c r="DU228">
        <v>1</v>
      </c>
      <c r="DV228" t="s">
        <v>1950</v>
      </c>
      <c r="DW228">
        <v>0</v>
      </c>
      <c r="DX228">
        <v>0</v>
      </c>
      <c r="DY228">
        <f t="shared" si="242"/>
        <v>1</v>
      </c>
      <c r="DZ228" s="143" t="str">
        <f t="shared" si="239"/>
        <v>external DF used</v>
      </c>
      <c r="EA228">
        <v>1</v>
      </c>
      <c r="EB228">
        <v>1</v>
      </c>
      <c r="EC228">
        <v>1</v>
      </c>
      <c r="ED228">
        <v>0</v>
      </c>
      <c r="EE228">
        <v>1</v>
      </c>
      <c r="EF228">
        <v>0</v>
      </c>
      <c r="EG228">
        <v>1</v>
      </c>
      <c r="EH228">
        <v>1</v>
      </c>
      <c r="EI228">
        <v>0</v>
      </c>
      <c r="EJ228">
        <v>0</v>
      </c>
      <c r="EK228">
        <v>1</v>
      </c>
      <c r="EL228">
        <v>0</v>
      </c>
      <c r="EM228">
        <v>0</v>
      </c>
      <c r="EN228" s="2">
        <v>0</v>
      </c>
      <c r="EP228" t="str">
        <f t="shared" si="177"/>
        <v>Whole sector approach</v>
      </c>
      <c r="EQ228" t="str">
        <f>IF(AND(AND(OR($EC228=1,$EB228=1),AND($EH228=0,$EF228=0)),SUM($EA228:$EE228,$EK228)&gt;=4),"Ecosystem approach","")</f>
        <v/>
      </c>
      <c r="ER228" s="2" t="str">
        <f t="shared" si="179"/>
        <v/>
      </c>
      <c r="ES228" t="str">
        <f t="shared" si="180"/>
        <v/>
      </c>
      <c r="ET228" t="str">
        <f t="shared" si="181"/>
        <v>All C pools assumption</v>
      </c>
      <c r="EU228" t="str">
        <f t="shared" si="182"/>
        <v/>
      </c>
      <c r="EY228" t="str">
        <f>IF(ISNUMBER(BW228),IF(ABS(BW228-[5]QC_indicators!$B$2)&gt;3*[5]QC_indicators!$C$2,"C ratio",IF(ISNUMBER(CA228),IF(ABS(CA228-[5]QC_indicators!$B$1)&gt;3*[5]QC_indicators!$C$1,"DF","no"))),IF(ISNUMBER(CA228),IF(ABS(CA228-[5]QC_indicators!$B$1)&gt;3*[5]QC_indicators!$C$1,"DF","no")))</f>
        <v>no</v>
      </c>
      <c r="FA228" t="str">
        <f t="shared" si="183"/>
        <v/>
      </c>
      <c r="FD228" s="260" t="s">
        <v>3082</v>
      </c>
    </row>
    <row r="229" spans="1:160" ht="15" hidden="1" customHeight="1">
      <c r="A229" s="1" t="s">
        <v>3403</v>
      </c>
      <c r="B229" t="s">
        <v>3404</v>
      </c>
      <c r="C229" t="s">
        <v>3405</v>
      </c>
      <c r="D229" t="s">
        <v>3406</v>
      </c>
      <c r="E229" t="s">
        <v>3407</v>
      </c>
      <c r="F229" t="s">
        <v>3408</v>
      </c>
      <c r="G229" t="s">
        <v>3409</v>
      </c>
      <c r="H229" t="s">
        <v>254</v>
      </c>
      <c r="I229">
        <v>2022</v>
      </c>
      <c r="J229">
        <v>2</v>
      </c>
      <c r="K229" t="s">
        <v>3410</v>
      </c>
      <c r="M229" t="str">
        <f t="shared" si="212"/>
        <v>Ilari_2022</v>
      </c>
      <c r="N229" s="297" t="s">
        <v>4058</v>
      </c>
      <c r="O229" s="161" t="s">
        <v>223</v>
      </c>
      <c r="Q229" s="297" t="s">
        <v>389</v>
      </c>
      <c r="R229" s="298"/>
      <c r="S229" s="154" t="s">
        <v>3411</v>
      </c>
      <c r="T229" s="299" t="s">
        <v>3412</v>
      </c>
      <c r="U229" s="297" t="s">
        <v>3413</v>
      </c>
      <c r="V229" s="297"/>
      <c r="W229" s="297"/>
      <c r="X229">
        <v>0</v>
      </c>
      <c r="Y229">
        <v>0</v>
      </c>
      <c r="Z229">
        <v>0</v>
      </c>
      <c r="AA229">
        <v>0</v>
      </c>
      <c r="AB229">
        <v>0</v>
      </c>
      <c r="AC229">
        <v>0</v>
      </c>
      <c r="AD229">
        <v>0</v>
      </c>
      <c r="AE229">
        <v>0</v>
      </c>
      <c r="AF229">
        <v>0</v>
      </c>
      <c r="AG229">
        <v>0</v>
      </c>
      <c r="AH229">
        <v>0</v>
      </c>
      <c r="AI229">
        <v>0</v>
      </c>
      <c r="AJ229">
        <v>0</v>
      </c>
      <c r="AK229">
        <v>0</v>
      </c>
      <c r="AL229">
        <v>0</v>
      </c>
      <c r="AM229">
        <v>1</v>
      </c>
      <c r="AN229">
        <v>0</v>
      </c>
      <c r="AO229">
        <v>0</v>
      </c>
      <c r="AP229">
        <v>0</v>
      </c>
      <c r="AQ229">
        <v>0</v>
      </c>
      <c r="AR229">
        <v>0</v>
      </c>
      <c r="AS229">
        <v>0</v>
      </c>
      <c r="AT229">
        <v>0</v>
      </c>
      <c r="AU229">
        <v>0</v>
      </c>
      <c r="AV229">
        <v>0</v>
      </c>
      <c r="AW229">
        <v>0</v>
      </c>
      <c r="AX229">
        <v>0</v>
      </c>
      <c r="AY229">
        <v>0</v>
      </c>
      <c r="AZ229" s="141">
        <f t="shared" si="220"/>
        <v>1</v>
      </c>
      <c r="BA229" s="141">
        <f t="shared" si="221"/>
        <v>1</v>
      </c>
      <c r="BB229">
        <f t="shared" si="222"/>
        <v>0</v>
      </c>
      <c r="BC229">
        <f t="shared" si="223"/>
        <v>0</v>
      </c>
      <c r="BD229">
        <f t="shared" si="224"/>
        <v>1</v>
      </c>
      <c r="BE229">
        <f t="shared" si="225"/>
        <v>0</v>
      </c>
      <c r="BF229">
        <f t="shared" si="226"/>
        <v>0</v>
      </c>
      <c r="BG229" t="str" cm="1">
        <f t="array" ref="BG229">IF(BA229=1,INDEX($X$7:$AN$7,MATCH(TRUE,INDEX($X229:$AY229&lt;&gt;0,),0)),IF(BA229=0,INDEX($AO$7:$AY$7,MATCH(1,$AO229:$AY229,0)),IF(BH229="Multiple strategies","mixed drivers",IF(BH229="Supply chain","multiple supply","multiple silviculture"))))</f>
        <v>technologies/design switch</v>
      </c>
      <c r="BH229" s="2" t="str" cm="1">
        <f t="array" ref="BH229">IF(COUNTIF(BB229:BD229,"&lt;&gt;0")=1,INDEX($X$4:$AY$4,MATCH(TRUE,INDEX($X229:$AY229&lt;&gt;0,),0)),IF(COUNTIF(BB229:BD229,"&lt;&gt;0")=0,INDEX($AO$4:$AY$4,MATCH(1,$AO229:$AY229,0)),"Multiple strategies"))</f>
        <v>Technology</v>
      </c>
      <c r="BI229" s="1" t="s">
        <v>321</v>
      </c>
      <c r="BJ229" s="297" t="s">
        <v>3414</v>
      </c>
      <c r="BK229" s="297" t="s">
        <v>685</v>
      </c>
      <c r="BL229" s="297" t="s">
        <v>3415</v>
      </c>
      <c r="BM229">
        <v>4.5</v>
      </c>
      <c r="BN229">
        <v>4.5</v>
      </c>
      <c r="BP229">
        <f>BN229-BM229</f>
        <v>0</v>
      </c>
      <c r="BQ229">
        <f>BP229</f>
        <v>0</v>
      </c>
      <c r="BR229" t="s">
        <v>395</v>
      </c>
      <c r="BS229" s="331" t="s">
        <v>3416</v>
      </c>
      <c r="BT229" s="297" t="s">
        <v>397</v>
      </c>
      <c r="BU229">
        <v>2.09</v>
      </c>
      <c r="BV229">
        <v>1.97</v>
      </c>
      <c r="CA229" t="str">
        <f t="shared" si="173"/>
        <v/>
      </c>
      <c r="CB229">
        <v>0</v>
      </c>
      <c r="CC229">
        <v>0</v>
      </c>
      <c r="CD229">
        <v>0</v>
      </c>
      <c r="CE229">
        <v>0</v>
      </c>
      <c r="CF229">
        <v>0</v>
      </c>
      <c r="CG229">
        <v>0</v>
      </c>
      <c r="CH229">
        <v>0</v>
      </c>
      <c r="CI229">
        <v>0</v>
      </c>
      <c r="CJ229">
        <v>0</v>
      </c>
      <c r="CK229">
        <v>0</v>
      </c>
      <c r="CL229">
        <v>0</v>
      </c>
      <c r="CM229">
        <v>0</v>
      </c>
      <c r="CN229">
        <v>0</v>
      </c>
      <c r="CO229">
        <v>0</v>
      </c>
      <c r="CP229" t="str">
        <f t="shared" si="247"/>
        <v>refOK</v>
      </c>
      <c r="CQ229">
        <f t="shared" si="248"/>
        <v>4.5</v>
      </c>
      <c r="CR229">
        <f t="shared" si="249"/>
        <v>4.5</v>
      </c>
      <c r="CS229">
        <f t="shared" si="250"/>
        <v>0</v>
      </c>
      <c r="CT229">
        <f t="shared" si="174"/>
        <v>0</v>
      </c>
      <c r="CU229">
        <f t="shared" si="227"/>
        <v>-2.09</v>
      </c>
      <c r="CV229">
        <f t="shared" si="228"/>
        <v>-1.97</v>
      </c>
      <c r="CW229">
        <f t="shared" si="229"/>
        <v>0</v>
      </c>
      <c r="CX229" t="str">
        <f t="shared" si="175"/>
        <v/>
      </c>
      <c r="CY229" t="str">
        <f t="shared" si="230"/>
        <v/>
      </c>
      <c r="CZ229" t="str">
        <f t="shared" si="176"/>
        <v/>
      </c>
      <c r="DA229" s="2">
        <f t="shared" si="231"/>
        <v>5.7416267942583678E-2</v>
      </c>
      <c r="DB229" s="304" t="s">
        <v>263</v>
      </c>
      <c r="DC229" s="297" t="str">
        <f t="shared" si="232"/>
        <v>loc</v>
      </c>
      <c r="DD229" s="297" t="s">
        <v>264</v>
      </c>
      <c r="DH229" t="str">
        <f t="shared" si="233"/>
        <v>0</v>
      </c>
      <c r="DI229">
        <v>0</v>
      </c>
      <c r="DJ229">
        <v>1</v>
      </c>
      <c r="DK229">
        <v>0</v>
      </c>
      <c r="DL229">
        <v>0</v>
      </c>
      <c r="DN229">
        <f t="shared" si="243"/>
        <v>1</v>
      </c>
      <c r="DO229" t="str">
        <f t="shared" si="234"/>
        <v>EnergyInput</v>
      </c>
      <c r="DP229">
        <f t="shared" si="235"/>
        <v>0</v>
      </c>
      <c r="DQ229" t="str">
        <f t="shared" si="236"/>
        <v>Energy</v>
      </c>
      <c r="DR229">
        <f t="shared" si="237"/>
        <v>0</v>
      </c>
      <c r="DS229">
        <f t="shared" si="238"/>
        <v>0</v>
      </c>
      <c r="DY229">
        <f t="shared" si="242"/>
        <v>0</v>
      </c>
      <c r="DZ229" s="143" t="str">
        <f t="shared" si="239"/>
        <v>explicit C balance</v>
      </c>
      <c r="EA229">
        <v>0</v>
      </c>
      <c r="EB229">
        <v>0</v>
      </c>
      <c r="EC229">
        <v>0</v>
      </c>
      <c r="ED229">
        <v>0</v>
      </c>
      <c r="EE229">
        <v>1</v>
      </c>
      <c r="EF229">
        <v>0</v>
      </c>
      <c r="EG229">
        <v>1</v>
      </c>
      <c r="EH229">
        <v>1</v>
      </c>
      <c r="EI229">
        <v>0</v>
      </c>
      <c r="EJ229">
        <v>0</v>
      </c>
      <c r="EK229">
        <v>0</v>
      </c>
      <c r="EL229">
        <v>0</v>
      </c>
      <c r="EM229">
        <v>0</v>
      </c>
      <c r="EN229" s="2">
        <v>0</v>
      </c>
      <c r="EP229" t="str">
        <f t="shared" si="177"/>
        <v/>
      </c>
      <c r="EQ229" t="str">
        <f t="shared" ref="EQ229:EQ250" si="251">IF(AND(AND(OR($EC229=1,$EB229=1),AND($EH229=0,$EF229=0)),SUM($EA229:$EE229,$EK229)&gt;=3),"Ecosystem approach","")</f>
        <v/>
      </c>
      <c r="ER229" s="2" t="str">
        <f t="shared" si="179"/>
        <v>Technology approach</v>
      </c>
      <c r="ES229" t="str">
        <f t="shared" si="180"/>
        <v/>
      </c>
      <c r="ET229" t="str">
        <f t="shared" si="181"/>
        <v/>
      </c>
      <c r="EU229" t="str">
        <f t="shared" si="182"/>
        <v/>
      </c>
      <c r="EY229" t="b">
        <f>IF(ISNUMBER(BW229),IF(ABS(BW229-[1]QC_indicators!$B$2)&gt;3*[1]QC_indicators!$C$2,"C ratio",IF(ISNUMBER(CA229),IF(ABS(CA229-[1]QC_indicators!$B$1)&gt;3*[1]QC_indicators!$C$1,"DF","no"))),IF(ISNUMBER(CA229),IF(ABS(CA229-[1]QC_indicators!$B$1)&gt;3*[1]QC_indicators!$C$1,"DF","no")))</f>
        <v>0</v>
      </c>
      <c r="FA229" t="str">
        <f t="shared" si="183"/>
        <v/>
      </c>
    </row>
    <row r="230" spans="1:160" ht="15" hidden="1" customHeight="1">
      <c r="A230" s="1" t="s">
        <v>3403</v>
      </c>
      <c r="B230" t="s">
        <v>3404</v>
      </c>
      <c r="C230" t="s">
        <v>3405</v>
      </c>
      <c r="D230" t="s">
        <v>3406</v>
      </c>
      <c r="E230" t="s">
        <v>3407</v>
      </c>
      <c r="F230" t="s">
        <v>3408</v>
      </c>
      <c r="G230" t="s">
        <v>3409</v>
      </c>
      <c r="H230" t="s">
        <v>254</v>
      </c>
      <c r="I230">
        <v>2022</v>
      </c>
      <c r="J230">
        <v>2</v>
      </c>
      <c r="K230" t="s">
        <v>3410</v>
      </c>
      <c r="M230" t="str">
        <f t="shared" si="212"/>
        <v>Ilari_2022</v>
      </c>
      <c r="N230" s="297" t="s">
        <v>4058</v>
      </c>
      <c r="O230" s="161" t="s">
        <v>223</v>
      </c>
      <c r="Q230" s="297" t="s">
        <v>389</v>
      </c>
      <c r="R230" s="298"/>
      <c r="S230" s="154" t="s">
        <v>3411</v>
      </c>
      <c r="T230" s="299" t="s">
        <v>3412</v>
      </c>
      <c r="U230" s="297" t="s">
        <v>3419</v>
      </c>
      <c r="V230" s="297"/>
      <c r="W230" s="297"/>
      <c r="X230">
        <v>0</v>
      </c>
      <c r="Y230">
        <v>0</v>
      </c>
      <c r="Z230">
        <v>0</v>
      </c>
      <c r="AA230">
        <v>0</v>
      </c>
      <c r="AB230">
        <v>0</v>
      </c>
      <c r="AC230">
        <v>0</v>
      </c>
      <c r="AD230">
        <v>0</v>
      </c>
      <c r="AE230">
        <v>0</v>
      </c>
      <c r="AF230">
        <v>0</v>
      </c>
      <c r="AG230">
        <v>0</v>
      </c>
      <c r="AH230">
        <v>0</v>
      </c>
      <c r="AI230">
        <v>0</v>
      </c>
      <c r="AJ230">
        <v>0</v>
      </c>
      <c r="AK230">
        <v>0</v>
      </c>
      <c r="AL230">
        <v>0</v>
      </c>
      <c r="AM230">
        <v>1</v>
      </c>
      <c r="AN230">
        <v>0</v>
      </c>
      <c r="AO230">
        <v>0</v>
      </c>
      <c r="AP230">
        <v>0</v>
      </c>
      <c r="AQ230">
        <v>0</v>
      </c>
      <c r="AR230">
        <v>0</v>
      </c>
      <c r="AS230">
        <v>0</v>
      </c>
      <c r="AT230">
        <v>0</v>
      </c>
      <c r="AU230">
        <v>0</v>
      </c>
      <c r="AV230">
        <v>0</v>
      </c>
      <c r="AW230">
        <v>0</v>
      </c>
      <c r="AX230">
        <v>0</v>
      </c>
      <c r="AY230">
        <v>0</v>
      </c>
      <c r="AZ230" s="141">
        <f t="shared" si="220"/>
        <v>1</v>
      </c>
      <c r="BA230" s="141">
        <f t="shared" si="221"/>
        <v>1</v>
      </c>
      <c r="BB230">
        <f t="shared" si="222"/>
        <v>0</v>
      </c>
      <c r="BC230">
        <f t="shared" si="223"/>
        <v>0</v>
      </c>
      <c r="BD230">
        <f t="shared" si="224"/>
        <v>1</v>
      </c>
      <c r="BE230">
        <f t="shared" si="225"/>
        <v>0</v>
      </c>
      <c r="BF230">
        <f t="shared" si="226"/>
        <v>0</v>
      </c>
      <c r="BG230" t="str" cm="1">
        <f t="array" ref="BG230">IF(BA230=1,INDEX($X$7:$AN$7,MATCH(TRUE,INDEX($X230:$AY230&lt;&gt;0,),0)),IF(BA230=0,INDEX($AO$7:$AY$7,MATCH(1,$AO230:$AY230,0)),IF(BH230="Multiple strategies","mixed drivers",IF(BH230="Supply chain","multiple supply","multiple silviculture"))))</f>
        <v>technologies/design switch</v>
      </c>
      <c r="BH230" s="2" t="str" cm="1">
        <f t="array" ref="BH230">IF(COUNTIF(BB230:BD230,"&lt;&gt;0")=1,INDEX($X$4:$AY$4,MATCH(TRUE,INDEX($X230:$AY230&lt;&gt;0,),0)),IF(COUNTIF(BB230:BD230,"&lt;&gt;0")=0,INDEX($AO$4:$AY$4,MATCH(1,$AO230:$AY230,0)),"Multiple strategies"))</f>
        <v>Technology</v>
      </c>
      <c r="BI230" s="1" t="s">
        <v>321</v>
      </c>
      <c r="BJ230" s="297" t="s">
        <v>3414</v>
      </c>
      <c r="BK230" s="297" t="s">
        <v>685</v>
      </c>
      <c r="BL230" s="297" t="s">
        <v>3415</v>
      </c>
      <c r="BM230">
        <v>4.5</v>
      </c>
      <c r="BN230">
        <v>4.5</v>
      </c>
      <c r="BP230">
        <f>BN230-BM230</f>
        <v>0</v>
      </c>
      <c r="BQ230">
        <f>BP230</f>
        <v>0</v>
      </c>
      <c r="BR230" t="s">
        <v>395</v>
      </c>
      <c r="BS230" s="331" t="s">
        <v>3416</v>
      </c>
      <c r="BT230" s="297" t="s">
        <v>397</v>
      </c>
      <c r="BU230">
        <v>2.09</v>
      </c>
      <c r="BV230">
        <v>1.93</v>
      </c>
      <c r="CA230" t="str">
        <f t="shared" si="173"/>
        <v/>
      </c>
      <c r="CB230">
        <v>0</v>
      </c>
      <c r="CC230">
        <v>0</v>
      </c>
      <c r="CD230">
        <v>0</v>
      </c>
      <c r="CE230">
        <v>0</v>
      </c>
      <c r="CF230">
        <v>0</v>
      </c>
      <c r="CG230">
        <v>0</v>
      </c>
      <c r="CH230">
        <v>0</v>
      </c>
      <c r="CI230">
        <v>0</v>
      </c>
      <c r="CJ230">
        <v>0</v>
      </c>
      <c r="CK230">
        <v>0</v>
      </c>
      <c r="CL230">
        <v>0</v>
      </c>
      <c r="CM230">
        <v>0</v>
      </c>
      <c r="CN230">
        <v>0</v>
      </c>
      <c r="CO230">
        <v>0</v>
      </c>
      <c r="CP230" t="str">
        <f t="shared" si="247"/>
        <v>refOK</v>
      </c>
      <c r="CQ230">
        <f t="shared" si="248"/>
        <v>4.5</v>
      </c>
      <c r="CR230">
        <f t="shared" si="249"/>
        <v>4.5</v>
      </c>
      <c r="CS230">
        <f t="shared" si="250"/>
        <v>0</v>
      </c>
      <c r="CT230">
        <f t="shared" si="174"/>
        <v>0</v>
      </c>
      <c r="CU230">
        <f t="shared" si="227"/>
        <v>-2.09</v>
      </c>
      <c r="CV230">
        <f t="shared" si="228"/>
        <v>-1.93</v>
      </c>
      <c r="CW230">
        <f t="shared" si="229"/>
        <v>0</v>
      </c>
      <c r="CX230" t="str">
        <f t="shared" si="175"/>
        <v/>
      </c>
      <c r="CY230" t="str">
        <f t="shared" si="230"/>
        <v/>
      </c>
      <c r="CZ230" t="str">
        <f t="shared" si="176"/>
        <v/>
      </c>
      <c r="DA230" s="2">
        <f t="shared" si="231"/>
        <v>7.6555023923444945E-2</v>
      </c>
      <c r="DB230" s="304" t="s">
        <v>263</v>
      </c>
      <c r="DC230" s="297" t="str">
        <f t="shared" si="232"/>
        <v>loc</v>
      </c>
      <c r="DD230" s="297" t="s">
        <v>264</v>
      </c>
      <c r="DH230" t="str">
        <f t="shared" si="233"/>
        <v>0</v>
      </c>
      <c r="DI230">
        <v>0</v>
      </c>
      <c r="DJ230">
        <v>1</v>
      </c>
      <c r="DK230">
        <v>0</v>
      </c>
      <c r="DL230">
        <v>0</v>
      </c>
      <c r="DN230">
        <f t="shared" si="243"/>
        <v>1</v>
      </c>
      <c r="DO230" t="str">
        <f t="shared" si="234"/>
        <v>EnergyInput</v>
      </c>
      <c r="DP230">
        <f t="shared" si="235"/>
        <v>0</v>
      </c>
      <c r="DQ230" t="str">
        <f t="shared" si="236"/>
        <v>Energy</v>
      </c>
      <c r="DR230">
        <f t="shared" si="237"/>
        <v>0</v>
      </c>
      <c r="DS230">
        <f t="shared" si="238"/>
        <v>0</v>
      </c>
      <c r="DY230">
        <f t="shared" si="242"/>
        <v>0</v>
      </c>
      <c r="DZ230" s="143" t="str">
        <f t="shared" si="239"/>
        <v>explicit C balance</v>
      </c>
      <c r="EA230">
        <v>0</v>
      </c>
      <c r="EB230">
        <v>0</v>
      </c>
      <c r="EC230">
        <v>0</v>
      </c>
      <c r="ED230">
        <v>0</v>
      </c>
      <c r="EE230">
        <v>1</v>
      </c>
      <c r="EF230">
        <v>0</v>
      </c>
      <c r="EG230">
        <v>1</v>
      </c>
      <c r="EH230">
        <v>1</v>
      </c>
      <c r="EI230">
        <v>0</v>
      </c>
      <c r="EJ230">
        <v>0</v>
      </c>
      <c r="EK230">
        <v>0</v>
      </c>
      <c r="EL230">
        <v>0</v>
      </c>
      <c r="EM230">
        <v>0</v>
      </c>
      <c r="EN230" s="2">
        <v>0</v>
      </c>
      <c r="EP230" t="str">
        <f t="shared" si="177"/>
        <v/>
      </c>
      <c r="EQ230" t="str">
        <f t="shared" si="251"/>
        <v/>
      </c>
      <c r="ER230" s="2" t="str">
        <f t="shared" si="179"/>
        <v>Technology approach</v>
      </c>
      <c r="ES230" t="str">
        <f t="shared" si="180"/>
        <v/>
      </c>
      <c r="ET230" t="str">
        <f t="shared" si="181"/>
        <v/>
      </c>
      <c r="EU230" t="str">
        <f t="shared" si="182"/>
        <v/>
      </c>
      <c r="EY230" t="b">
        <f>IF(ISNUMBER(BW230),IF(ABS(BW230-[1]QC_indicators!$B$2)&gt;3*[1]QC_indicators!$C$2,"C ratio",IF(ISNUMBER(CA230),IF(ABS(CA230-[1]QC_indicators!$B$1)&gt;3*[1]QC_indicators!$C$1,"DF","no"))),IF(ISNUMBER(CA230),IF(ABS(CA230-[1]QC_indicators!$B$1)&gt;3*[1]QC_indicators!$C$1,"DF","no")))</f>
        <v>0</v>
      </c>
      <c r="FA230" t="str">
        <f t="shared" si="183"/>
        <v/>
      </c>
    </row>
    <row r="231" spans="1:160" ht="15" hidden="1" customHeight="1">
      <c r="A231" s="1" t="s">
        <v>3403</v>
      </c>
      <c r="B231" t="s">
        <v>3404</v>
      </c>
      <c r="C231" t="s">
        <v>3405</v>
      </c>
      <c r="D231" t="s">
        <v>3406</v>
      </c>
      <c r="E231" t="s">
        <v>3407</v>
      </c>
      <c r="F231" t="s">
        <v>3408</v>
      </c>
      <c r="G231" t="s">
        <v>3409</v>
      </c>
      <c r="H231" t="s">
        <v>254</v>
      </c>
      <c r="I231">
        <v>2022</v>
      </c>
      <c r="J231">
        <v>2</v>
      </c>
      <c r="K231" t="s">
        <v>3410</v>
      </c>
      <c r="M231" t="str">
        <f t="shared" si="212"/>
        <v>Ilari_2022</v>
      </c>
      <c r="N231" s="297" t="s">
        <v>4058</v>
      </c>
      <c r="O231" s="161" t="s">
        <v>223</v>
      </c>
      <c r="Q231" s="297" t="s">
        <v>389</v>
      </c>
      <c r="R231" s="298"/>
      <c r="S231" s="154" t="s">
        <v>3411</v>
      </c>
      <c r="T231" s="299" t="s">
        <v>3412</v>
      </c>
      <c r="U231" s="297" t="s">
        <v>3418</v>
      </c>
      <c r="V231" s="297"/>
      <c r="W231" s="297"/>
      <c r="X231">
        <v>0</v>
      </c>
      <c r="Y231">
        <v>0</v>
      </c>
      <c r="Z231">
        <v>0</v>
      </c>
      <c r="AA231">
        <v>0</v>
      </c>
      <c r="AB231">
        <v>0</v>
      </c>
      <c r="AC231">
        <v>0</v>
      </c>
      <c r="AD231">
        <v>0</v>
      </c>
      <c r="AE231">
        <v>0</v>
      </c>
      <c r="AF231">
        <v>0</v>
      </c>
      <c r="AG231">
        <v>0</v>
      </c>
      <c r="AH231">
        <v>0</v>
      </c>
      <c r="AI231">
        <v>0</v>
      </c>
      <c r="AJ231">
        <v>0</v>
      </c>
      <c r="AK231">
        <v>0</v>
      </c>
      <c r="AL231">
        <v>0</v>
      </c>
      <c r="AM231">
        <v>1</v>
      </c>
      <c r="AN231">
        <v>0</v>
      </c>
      <c r="AO231">
        <v>0</v>
      </c>
      <c r="AP231">
        <v>0</v>
      </c>
      <c r="AQ231">
        <v>0</v>
      </c>
      <c r="AR231">
        <v>0</v>
      </c>
      <c r="AS231">
        <v>0</v>
      </c>
      <c r="AT231">
        <v>0</v>
      </c>
      <c r="AU231">
        <v>0</v>
      </c>
      <c r="AV231">
        <v>0</v>
      </c>
      <c r="AW231">
        <v>0</v>
      </c>
      <c r="AX231">
        <v>0</v>
      </c>
      <c r="AY231">
        <v>0</v>
      </c>
      <c r="AZ231" s="141">
        <f t="shared" si="220"/>
        <v>1</v>
      </c>
      <c r="BA231" s="141">
        <f t="shared" si="221"/>
        <v>1</v>
      </c>
      <c r="BB231">
        <f t="shared" si="222"/>
        <v>0</v>
      </c>
      <c r="BC231">
        <f t="shared" si="223"/>
        <v>0</v>
      </c>
      <c r="BD231">
        <f t="shared" si="224"/>
        <v>1</v>
      </c>
      <c r="BE231">
        <f t="shared" si="225"/>
        <v>0</v>
      </c>
      <c r="BF231">
        <f t="shared" si="226"/>
        <v>0</v>
      </c>
      <c r="BG231" t="str" cm="1">
        <f t="array" ref="BG231">IF(BA231=1,INDEX($X$7:$AN$7,MATCH(TRUE,INDEX($X231:$AY231&lt;&gt;0,),0)),IF(BA231=0,INDEX($AO$7:$AY$7,MATCH(1,$AO231:$AY231,0)),IF(BH231="Multiple strategies","mixed drivers",IF(BH231="Supply chain","multiple supply","multiple silviculture"))))</f>
        <v>technologies/design switch</v>
      </c>
      <c r="BH231" s="2" t="str" cm="1">
        <f t="array" ref="BH231">IF(COUNTIF(BB231:BD231,"&lt;&gt;0")=1,INDEX($X$4:$AY$4,MATCH(TRUE,INDEX($X231:$AY231&lt;&gt;0,),0)),IF(COUNTIF(BB231:BD231,"&lt;&gt;0")=0,INDEX($AO$4:$AY$4,MATCH(1,$AO231:$AY231,0)),"Multiple strategies"))</f>
        <v>Technology</v>
      </c>
      <c r="BI231" s="1" t="s">
        <v>321</v>
      </c>
      <c r="BJ231" s="297" t="s">
        <v>3414</v>
      </c>
      <c r="BK231" s="297" t="s">
        <v>685</v>
      </c>
      <c r="BL231" s="297" t="s">
        <v>3415</v>
      </c>
      <c r="BM231">
        <v>4.5</v>
      </c>
      <c r="BN231">
        <v>4.5</v>
      </c>
      <c r="BP231">
        <f>BN231-BM231</f>
        <v>0</v>
      </c>
      <c r="BQ231">
        <f>BP231</f>
        <v>0</v>
      </c>
      <c r="BR231" t="s">
        <v>395</v>
      </c>
      <c r="BS231" s="331" t="s">
        <v>3416</v>
      </c>
      <c r="BT231" s="297" t="s">
        <v>397</v>
      </c>
      <c r="BU231">
        <v>2.09</v>
      </c>
      <c r="BV231">
        <v>1.87</v>
      </c>
      <c r="CA231" t="str">
        <f t="shared" si="173"/>
        <v/>
      </c>
      <c r="CB231">
        <v>0</v>
      </c>
      <c r="CC231">
        <v>0</v>
      </c>
      <c r="CD231">
        <v>0</v>
      </c>
      <c r="CE231">
        <v>0</v>
      </c>
      <c r="CF231">
        <v>0</v>
      </c>
      <c r="CG231">
        <v>0</v>
      </c>
      <c r="CH231">
        <v>0</v>
      </c>
      <c r="CI231">
        <v>0</v>
      </c>
      <c r="CJ231">
        <v>0</v>
      </c>
      <c r="CK231">
        <v>0</v>
      </c>
      <c r="CL231">
        <v>0</v>
      </c>
      <c r="CM231">
        <v>0</v>
      </c>
      <c r="CN231">
        <v>0</v>
      </c>
      <c r="CO231">
        <v>0</v>
      </c>
      <c r="CP231" t="str">
        <f t="shared" si="247"/>
        <v>refOK</v>
      </c>
      <c r="CQ231">
        <f t="shared" si="248"/>
        <v>4.5</v>
      </c>
      <c r="CR231">
        <f t="shared" si="249"/>
        <v>4.5</v>
      </c>
      <c r="CS231">
        <f t="shared" si="250"/>
        <v>0</v>
      </c>
      <c r="CT231">
        <f t="shared" si="174"/>
        <v>0</v>
      </c>
      <c r="CU231">
        <f t="shared" si="227"/>
        <v>-2.09</v>
      </c>
      <c r="CV231">
        <f t="shared" si="228"/>
        <v>-1.87</v>
      </c>
      <c r="CW231">
        <f t="shared" si="229"/>
        <v>0</v>
      </c>
      <c r="CX231" t="str">
        <f t="shared" si="175"/>
        <v/>
      </c>
      <c r="CY231" t="str">
        <f t="shared" si="230"/>
        <v/>
      </c>
      <c r="CZ231" t="str">
        <f t="shared" si="176"/>
        <v/>
      </c>
      <c r="DA231" s="2">
        <f t="shared" si="231"/>
        <v>0.10526315789473673</v>
      </c>
      <c r="DB231" s="304" t="s">
        <v>263</v>
      </c>
      <c r="DC231" s="297" t="str">
        <f t="shared" si="232"/>
        <v>loc</v>
      </c>
      <c r="DD231" s="297" t="s">
        <v>264</v>
      </c>
      <c r="DH231" t="str">
        <f t="shared" si="233"/>
        <v>0</v>
      </c>
      <c r="DI231">
        <v>0</v>
      </c>
      <c r="DJ231">
        <v>1</v>
      </c>
      <c r="DK231">
        <v>0</v>
      </c>
      <c r="DL231">
        <v>0</v>
      </c>
      <c r="DN231">
        <f t="shared" si="243"/>
        <v>1</v>
      </c>
      <c r="DO231" t="str">
        <f t="shared" si="234"/>
        <v>EnergyInput</v>
      </c>
      <c r="DP231">
        <f t="shared" si="235"/>
        <v>0</v>
      </c>
      <c r="DQ231" t="str">
        <f t="shared" si="236"/>
        <v>Energy</v>
      </c>
      <c r="DR231">
        <f t="shared" si="237"/>
        <v>0</v>
      </c>
      <c r="DS231">
        <f t="shared" si="238"/>
        <v>0</v>
      </c>
      <c r="DY231">
        <f t="shared" si="242"/>
        <v>0</v>
      </c>
      <c r="DZ231" s="143" t="str">
        <f t="shared" si="239"/>
        <v>explicit C balance</v>
      </c>
      <c r="EA231">
        <v>0</v>
      </c>
      <c r="EB231">
        <v>0</v>
      </c>
      <c r="EC231">
        <v>0</v>
      </c>
      <c r="ED231">
        <v>0</v>
      </c>
      <c r="EE231">
        <v>1</v>
      </c>
      <c r="EF231">
        <v>0</v>
      </c>
      <c r="EG231">
        <v>1</v>
      </c>
      <c r="EH231">
        <v>1</v>
      </c>
      <c r="EI231">
        <v>0</v>
      </c>
      <c r="EJ231">
        <v>0</v>
      </c>
      <c r="EK231">
        <v>0</v>
      </c>
      <c r="EL231">
        <v>0</v>
      </c>
      <c r="EM231">
        <v>0</v>
      </c>
      <c r="EN231" s="2">
        <v>0</v>
      </c>
      <c r="EP231" t="str">
        <f t="shared" si="177"/>
        <v/>
      </c>
      <c r="EQ231" t="str">
        <f t="shared" si="251"/>
        <v/>
      </c>
      <c r="ER231" s="2" t="str">
        <f t="shared" si="179"/>
        <v>Technology approach</v>
      </c>
      <c r="ES231" t="str">
        <f t="shared" si="180"/>
        <v/>
      </c>
      <c r="ET231" t="str">
        <f t="shared" si="181"/>
        <v/>
      </c>
      <c r="EU231" t="str">
        <f t="shared" si="182"/>
        <v/>
      </c>
      <c r="EY231" t="b">
        <f>IF(ISNUMBER(BW231),IF(ABS(BW231-[1]QC_indicators!$B$2)&gt;3*[1]QC_indicators!$C$2,"C ratio",IF(ISNUMBER(CA231),IF(ABS(CA231-[1]QC_indicators!$B$1)&gt;3*[1]QC_indicators!$C$1,"DF","no"))),IF(ISNUMBER(CA231),IF(ABS(CA231-[1]QC_indicators!$B$1)&gt;3*[1]QC_indicators!$C$1,"DF","no")))</f>
        <v>0</v>
      </c>
      <c r="FA231" t="str">
        <f t="shared" si="183"/>
        <v/>
      </c>
    </row>
    <row r="232" spans="1:160" customFormat="1" hidden="1">
      <c r="A232" s="1" t="s">
        <v>1016</v>
      </c>
      <c r="B232" t="s">
        <v>3420</v>
      </c>
      <c r="C232" t="s">
        <v>3421</v>
      </c>
      <c r="D232" t="s">
        <v>3422</v>
      </c>
      <c r="E232" t="s">
        <v>3423</v>
      </c>
      <c r="F232" t="s">
        <v>3424</v>
      </c>
      <c r="G232" t="s">
        <v>1017</v>
      </c>
      <c r="H232" t="s">
        <v>254</v>
      </c>
      <c r="I232">
        <v>2017</v>
      </c>
      <c r="J232">
        <v>12</v>
      </c>
      <c r="K232" t="s">
        <v>3425</v>
      </c>
      <c r="M232" t="str">
        <f t="shared" si="212"/>
        <v>Jasinevicius_2017</v>
      </c>
      <c r="N232" s="297" t="s">
        <v>4058</v>
      </c>
      <c r="O232" s="145" t="s">
        <v>508</v>
      </c>
      <c r="Q232" s="297" t="s">
        <v>256</v>
      </c>
      <c r="R232" s="298"/>
      <c r="S232" s="1" t="s">
        <v>1587</v>
      </c>
      <c r="T232" t="s">
        <v>1030</v>
      </c>
      <c r="U232" t="s">
        <v>3426</v>
      </c>
      <c r="X232">
        <v>0</v>
      </c>
      <c r="Y232">
        <v>0</v>
      </c>
      <c r="Z232">
        <v>0</v>
      </c>
      <c r="AA232">
        <v>1</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s="141">
        <f t="shared" si="220"/>
        <v>1</v>
      </c>
      <c r="BA232" s="141">
        <f t="shared" si="221"/>
        <v>1</v>
      </c>
      <c r="BB232">
        <f t="shared" si="222"/>
        <v>1</v>
      </c>
      <c r="BC232">
        <f t="shared" si="223"/>
        <v>0</v>
      </c>
      <c r="BD232">
        <f t="shared" si="224"/>
        <v>0</v>
      </c>
      <c r="BE232">
        <f t="shared" si="225"/>
        <v>0</v>
      </c>
      <c r="BF232">
        <f t="shared" si="226"/>
        <v>0</v>
      </c>
      <c r="BG232" t="str" cm="1">
        <f t="array" ref="BG232">IF(BA232=1,INDEX($X$7:$AN$7,MATCH(TRUE,INDEX($X232:$AY232&lt;&gt;0,),0)),IF(BA232=0,INDEX($AO$7:$AY$7,MATCH(1,$AO232:$AY232,0)),IF(BH232="Multiple strategies","mixed drivers",IF(BH232="Supply chain","multiple supply","multiple silviculture"))))</f>
        <v xml:space="preserve">cutting intensity </v>
      </c>
      <c r="BH232" s="2" t="str" cm="1">
        <f t="array" ref="BH232">IF(COUNTIF(BB232:BD232,"&lt;&gt;0")=1,INDEX($X$4:$AY$4,MATCH(TRUE,INDEX($X232:$AY232&lt;&gt;0,),0)),IF(COUNTIF(BB232:BD232,"&lt;&gt;0")=0,INDEX($AO$4:$AY$4,MATCH(1,$AO232:$AY232,0)),"Multiple strategies"))</f>
        <v>Silviculture for removals</v>
      </c>
      <c r="BI232" s="1"/>
      <c r="BJ232" s="297"/>
      <c r="BL232" s="297"/>
      <c r="BR232" t="s">
        <v>232</v>
      </c>
      <c r="BS232" s="331" t="s">
        <v>3359</v>
      </c>
      <c r="BT232" t="s">
        <v>1232</v>
      </c>
      <c r="BU232">
        <v>617</v>
      </c>
      <c r="BV232">
        <v>602</v>
      </c>
      <c r="BW232" s="144">
        <f>IFERROR(BV232/BU232,"")</f>
        <v>0.97568881685575359</v>
      </c>
      <c r="BX232">
        <f>BV232-BU232</f>
        <v>-15</v>
      </c>
      <c r="BZ232">
        <f>BX232*C_to_CO2*10^6</f>
        <v>-55050000</v>
      </c>
      <c r="CA232" t="str">
        <f t="shared" si="173"/>
        <v/>
      </c>
      <c r="CB232">
        <v>0</v>
      </c>
      <c r="CC232">
        <v>0</v>
      </c>
      <c r="CD232">
        <v>0</v>
      </c>
      <c r="CE232">
        <v>0</v>
      </c>
      <c r="CF232">
        <v>0</v>
      </c>
      <c r="CG232">
        <v>0</v>
      </c>
      <c r="CH232">
        <v>0</v>
      </c>
      <c r="CI232">
        <v>0</v>
      </c>
      <c r="CJ232">
        <v>0</v>
      </c>
      <c r="CK232">
        <v>0</v>
      </c>
      <c r="CL232">
        <v>0</v>
      </c>
      <c r="CM232">
        <v>0</v>
      </c>
      <c r="CN232">
        <v>0</v>
      </c>
      <c r="CO232">
        <v>1</v>
      </c>
      <c r="CP232" t="str">
        <f t="shared" si="247"/>
        <v>refOK</v>
      </c>
      <c r="CQ232">
        <f t="shared" si="248"/>
        <v>0</v>
      </c>
      <c r="CR232">
        <f t="shared" si="249"/>
        <v>0</v>
      </c>
      <c r="CS232">
        <f t="shared" si="250"/>
        <v>0</v>
      </c>
      <c r="CT232">
        <f t="shared" si="174"/>
        <v>0</v>
      </c>
      <c r="CU232">
        <f t="shared" si="227"/>
        <v>617</v>
      </c>
      <c r="CV232">
        <f t="shared" si="228"/>
        <v>602</v>
      </c>
      <c r="CW232">
        <f t="shared" si="229"/>
        <v>-55050000</v>
      </c>
      <c r="CX232" t="str">
        <f t="shared" si="175"/>
        <v/>
      </c>
      <c r="CY232" t="str">
        <f t="shared" si="230"/>
        <v/>
      </c>
      <c r="CZ232" t="str">
        <f t="shared" si="176"/>
        <v/>
      </c>
      <c r="DA232" s="2">
        <f t="shared" si="231"/>
        <v>-2.4311183144246355E-2</v>
      </c>
      <c r="DB232" s="1" t="s">
        <v>1078</v>
      </c>
      <c r="DC232" s="297" t="str">
        <f t="shared" si="232"/>
        <v>reg</v>
      </c>
      <c r="DD232" t="s">
        <v>3427</v>
      </c>
      <c r="DE232">
        <v>1994</v>
      </c>
      <c r="DF232">
        <v>2100</v>
      </c>
      <c r="DG232">
        <f>DF232-DE232</f>
        <v>106</v>
      </c>
      <c r="DH232" t="str">
        <f t="shared" si="233"/>
        <v>+100</v>
      </c>
      <c r="DI232">
        <v>1</v>
      </c>
      <c r="DJ232">
        <v>1</v>
      </c>
      <c r="DK232">
        <v>1</v>
      </c>
      <c r="DL232">
        <v>1</v>
      </c>
      <c r="DM232">
        <v>1</v>
      </c>
      <c r="DN232">
        <f t="shared" si="243"/>
        <v>4</v>
      </c>
      <c r="DO232" t="str">
        <f t="shared" si="234"/>
        <v>mixedProduct</v>
      </c>
      <c r="DP232" t="str">
        <f t="shared" si="235"/>
        <v>Upstream</v>
      </c>
      <c r="DQ232" t="str">
        <f t="shared" si="236"/>
        <v>Energy</v>
      </c>
      <c r="DR232" t="str">
        <f t="shared" si="237"/>
        <v>Pulp/Paper</v>
      </c>
      <c r="DS232" t="str">
        <f t="shared" si="238"/>
        <v>Timber</v>
      </c>
      <c r="DT232">
        <v>0</v>
      </c>
      <c r="DU232">
        <v>1</v>
      </c>
      <c r="DV232">
        <v>0</v>
      </c>
      <c r="DW232">
        <v>0</v>
      </c>
      <c r="DX232" t="s">
        <v>3428</v>
      </c>
      <c r="DY232">
        <f t="shared" si="242"/>
        <v>1</v>
      </c>
      <c r="DZ232" s="143" t="str">
        <f t="shared" si="239"/>
        <v>external DF used</v>
      </c>
      <c r="EA232">
        <v>1</v>
      </c>
      <c r="EB232">
        <v>0</v>
      </c>
      <c r="EC232">
        <v>1</v>
      </c>
      <c r="ED232">
        <v>1</v>
      </c>
      <c r="EE232">
        <v>1</v>
      </c>
      <c r="EF232">
        <v>1</v>
      </c>
      <c r="EG232">
        <v>1</v>
      </c>
      <c r="EH232">
        <v>1</v>
      </c>
      <c r="EI232">
        <v>0</v>
      </c>
      <c r="EJ232">
        <v>0</v>
      </c>
      <c r="EK232">
        <v>1</v>
      </c>
      <c r="EL232">
        <v>0</v>
      </c>
      <c r="EM232">
        <v>0</v>
      </c>
      <c r="EN232" s="2">
        <v>0</v>
      </c>
      <c r="EO232" s="1"/>
      <c r="EP232" t="str">
        <f t="shared" si="177"/>
        <v>Whole sector approach</v>
      </c>
      <c r="EQ232" t="str">
        <f t="shared" si="251"/>
        <v/>
      </c>
      <c r="ER232" s="2" t="str">
        <f t="shared" si="179"/>
        <v/>
      </c>
      <c r="ES232" t="str">
        <f t="shared" si="180"/>
        <v/>
      </c>
      <c r="ET232" t="str">
        <f t="shared" si="181"/>
        <v/>
      </c>
      <c r="EU232" t="str">
        <f t="shared" si="182"/>
        <v/>
      </c>
      <c r="EY232" t="b">
        <f>IF(ISNUMBER(BW232),IF(ABS(BW232-[1]QC_indicators!$B$2)&gt;3*[1]QC_indicators!$C$2,"C ratio",IF(ISNUMBER(CA232),IF(ABS(CA232-[1]QC_indicators!$B$1)&gt;3*[1]QC_indicators!$C$1,"DF","no"))),IF(ISNUMBER(CA232),IF(ABS(CA232-[1]QC_indicators!$B$1)&gt;3*[1]QC_indicators!$C$1,"DF","no")))</f>
        <v>0</v>
      </c>
      <c r="FA232" t="str">
        <f t="shared" si="183"/>
        <v/>
      </c>
    </row>
    <row r="233" spans="1:160" ht="15" hidden="1" customHeight="1">
      <c r="A233" s="1" t="s">
        <v>3429</v>
      </c>
      <c r="B233" t="s">
        <v>3430</v>
      </c>
      <c r="C233" t="s">
        <v>3431</v>
      </c>
      <c r="D233" t="s">
        <v>3432</v>
      </c>
      <c r="E233" t="s">
        <v>3433</v>
      </c>
      <c r="F233" t="s">
        <v>3434</v>
      </c>
      <c r="G233" t="s">
        <v>3435</v>
      </c>
      <c r="H233" t="s">
        <v>254</v>
      </c>
      <c r="I233">
        <v>2019</v>
      </c>
      <c r="J233">
        <v>12</v>
      </c>
      <c r="K233" t="s">
        <v>3436</v>
      </c>
      <c r="M233" t="str">
        <f t="shared" si="212"/>
        <v>Jia_2019</v>
      </c>
      <c r="N233" s="297" t="s">
        <v>4058</v>
      </c>
      <c r="O233" s="145" t="s">
        <v>508</v>
      </c>
      <c r="Q233" s="297" t="s">
        <v>256</v>
      </c>
      <c r="R233" s="298"/>
      <c r="S233" s="1" t="s">
        <v>3437</v>
      </c>
      <c r="T233" t="s">
        <v>3438</v>
      </c>
      <c r="U233" t="s">
        <v>3439</v>
      </c>
      <c r="X233">
        <v>0</v>
      </c>
      <c r="Y233">
        <v>0</v>
      </c>
      <c r="Z233">
        <v>0</v>
      </c>
      <c r="AA233">
        <v>0</v>
      </c>
      <c r="AB233">
        <v>0</v>
      </c>
      <c r="AC233">
        <v>0</v>
      </c>
      <c r="AD233">
        <v>0</v>
      </c>
      <c r="AE233">
        <v>0</v>
      </c>
      <c r="AF233">
        <v>0</v>
      </c>
      <c r="AG233">
        <v>0</v>
      </c>
      <c r="AH233">
        <v>0</v>
      </c>
      <c r="AI233">
        <v>0</v>
      </c>
      <c r="AJ233">
        <v>0</v>
      </c>
      <c r="AK233">
        <v>0</v>
      </c>
      <c r="AL233">
        <v>0</v>
      </c>
      <c r="AM233">
        <v>1</v>
      </c>
      <c r="AN233">
        <v>0</v>
      </c>
      <c r="AO233">
        <v>0</v>
      </c>
      <c r="AP233">
        <v>0</v>
      </c>
      <c r="AQ233">
        <v>0</v>
      </c>
      <c r="AR233">
        <v>0</v>
      </c>
      <c r="AS233">
        <v>0</v>
      </c>
      <c r="AT233">
        <v>0</v>
      </c>
      <c r="AU233">
        <v>0</v>
      </c>
      <c r="AV233">
        <v>0</v>
      </c>
      <c r="AW233">
        <v>0</v>
      </c>
      <c r="AX233">
        <v>0</v>
      </c>
      <c r="AY233">
        <v>0</v>
      </c>
      <c r="AZ233" s="141">
        <f t="shared" si="220"/>
        <v>1</v>
      </c>
      <c r="BA233" s="141">
        <f t="shared" si="221"/>
        <v>1</v>
      </c>
      <c r="BB233">
        <f t="shared" si="222"/>
        <v>0</v>
      </c>
      <c r="BC233">
        <f t="shared" si="223"/>
        <v>0</v>
      </c>
      <c r="BD233">
        <f t="shared" si="224"/>
        <v>1</v>
      </c>
      <c r="BE233">
        <f t="shared" si="225"/>
        <v>0</v>
      </c>
      <c r="BF233">
        <f t="shared" si="226"/>
        <v>0</v>
      </c>
      <c r="BG233" t="str" cm="1">
        <f t="array" ref="BG233">IF(BA233=1,INDEX($X$7:$AN$7,MATCH(TRUE,INDEX($X233:$AY233&lt;&gt;0,),0)),IF(BA233=0,INDEX($AO$7:$AY$7,MATCH(1,$AO233:$AY233,0)),IF(BH233="Multiple strategies","mixed drivers",IF(BH233="Supply chain","multiple supply","multiple silviculture"))))</f>
        <v>technologies/design switch</v>
      </c>
      <c r="BH233" s="2" t="str" cm="1">
        <f t="array" ref="BH233">IF(COUNTIF(BB233:BD233,"&lt;&gt;0")=1,INDEX($X$4:$AY$4,MATCH(TRUE,INDEX($X233:$AY233&lt;&gt;0,),0)),IF(COUNTIF(BB233:BD233,"&lt;&gt;0")=0,INDEX($AO$4:$AY$4,MATCH(1,$AO233:$AY233,0)),"Multiple strategies"))</f>
        <v>Technology</v>
      </c>
      <c r="BN233" s="143"/>
      <c r="BR233" s="297" t="s">
        <v>232</v>
      </c>
      <c r="BS233" s="331" t="s">
        <v>3440</v>
      </c>
      <c r="BT233" t="s">
        <v>666</v>
      </c>
      <c r="BU233">
        <v>-18800</v>
      </c>
      <c r="BV233">
        <v>-18296.16</v>
      </c>
      <c r="BW233" s="144">
        <v>0.97319999999999995</v>
      </c>
      <c r="BX233">
        <v>503.84000000000015</v>
      </c>
      <c r="BZ233">
        <f>BX233/1000</f>
        <v>0.50384000000000018</v>
      </c>
      <c r="CA233" t="str">
        <f t="shared" si="173"/>
        <v/>
      </c>
      <c r="CB233">
        <v>1</v>
      </c>
      <c r="CC233">
        <v>0</v>
      </c>
      <c r="CD233">
        <v>0</v>
      </c>
      <c r="CE233">
        <v>0</v>
      </c>
      <c r="CF233">
        <v>0</v>
      </c>
      <c r="CG233">
        <v>1</v>
      </c>
      <c r="CH233">
        <v>0</v>
      </c>
      <c r="CI233">
        <v>0</v>
      </c>
      <c r="CJ233">
        <v>0</v>
      </c>
      <c r="CK233">
        <v>0</v>
      </c>
      <c r="CL233">
        <v>0</v>
      </c>
      <c r="CM233">
        <v>0</v>
      </c>
      <c r="CN233">
        <v>0</v>
      </c>
      <c r="CO233">
        <v>0</v>
      </c>
      <c r="CP233" t="str">
        <f>IF(BN233&lt;BM233,"refNeedCorrection","refOK")</f>
        <v>refOK</v>
      </c>
      <c r="CQ233"/>
      <c r="CR233"/>
      <c r="CS233"/>
      <c r="CT233">
        <f t="shared" si="174"/>
        <v>0</v>
      </c>
      <c r="CU233">
        <f t="shared" si="227"/>
        <v>-18800</v>
      </c>
      <c r="CV233">
        <f t="shared" si="228"/>
        <v>-18296.16</v>
      </c>
      <c r="CW233">
        <f t="shared" si="229"/>
        <v>0.50384000000000018</v>
      </c>
      <c r="CX233" t="str">
        <f t="shared" si="175"/>
        <v/>
      </c>
      <c r="CY233" t="str">
        <f t="shared" si="230"/>
        <v/>
      </c>
      <c r="CZ233" t="str">
        <f t="shared" si="176"/>
        <v/>
      </c>
      <c r="DA233" s="2">
        <f t="shared" si="231"/>
        <v>2.6800000000000008E-2</v>
      </c>
      <c r="DB233" s="1" t="s">
        <v>1078</v>
      </c>
      <c r="DC233" s="297" t="str">
        <f t="shared" si="232"/>
        <v>reg</v>
      </c>
      <c r="DD233" t="s">
        <v>677</v>
      </c>
      <c r="DG233">
        <v>0</v>
      </c>
      <c r="DH233" t="str">
        <f t="shared" si="233"/>
        <v>0</v>
      </c>
      <c r="DI233">
        <v>0</v>
      </c>
      <c r="DJ233">
        <v>0</v>
      </c>
      <c r="DK233">
        <v>0</v>
      </c>
      <c r="DL233">
        <v>1</v>
      </c>
      <c r="DN233">
        <f t="shared" si="243"/>
        <v>1</v>
      </c>
      <c r="DO233" t="str">
        <f t="shared" si="234"/>
        <v>TimberInput</v>
      </c>
      <c r="DP233">
        <f t="shared" si="235"/>
        <v>0</v>
      </c>
      <c r="DQ233">
        <f t="shared" si="236"/>
        <v>0</v>
      </c>
      <c r="DR233">
        <f t="shared" si="237"/>
        <v>0</v>
      </c>
      <c r="DS233" t="str">
        <f t="shared" si="238"/>
        <v>Timber</v>
      </c>
      <c r="DT233">
        <v>0</v>
      </c>
      <c r="DU233">
        <v>0</v>
      </c>
      <c r="DV233">
        <v>0</v>
      </c>
      <c r="DW233">
        <v>0</v>
      </c>
      <c r="DX233">
        <v>0</v>
      </c>
      <c r="DY233">
        <f t="shared" si="242"/>
        <v>0</v>
      </c>
      <c r="DZ233" s="143" t="str">
        <f t="shared" si="239"/>
        <v>explicit C balance</v>
      </c>
      <c r="EA233">
        <v>0</v>
      </c>
      <c r="EB233">
        <v>0</v>
      </c>
      <c r="EC233">
        <v>0</v>
      </c>
      <c r="ED233">
        <v>0</v>
      </c>
      <c r="EE233">
        <v>0</v>
      </c>
      <c r="EF233" s="143">
        <v>0</v>
      </c>
      <c r="EG233">
        <v>0</v>
      </c>
      <c r="EH233">
        <v>1</v>
      </c>
      <c r="EI233">
        <v>0</v>
      </c>
      <c r="EJ233">
        <v>0</v>
      </c>
      <c r="EK233">
        <v>0</v>
      </c>
      <c r="EL233">
        <v>0</v>
      </c>
      <c r="EM233">
        <v>0</v>
      </c>
      <c r="EN233" s="2">
        <v>0</v>
      </c>
      <c r="EP233" t="str">
        <f t="shared" si="177"/>
        <v/>
      </c>
      <c r="EQ233" t="str">
        <f t="shared" si="251"/>
        <v/>
      </c>
      <c r="ER233" s="2" t="str">
        <f t="shared" si="179"/>
        <v/>
      </c>
      <c r="ES233" t="str">
        <f t="shared" si="180"/>
        <v/>
      </c>
      <c r="ET233" t="str">
        <f t="shared" si="181"/>
        <v/>
      </c>
      <c r="EU233" t="str">
        <f t="shared" si="182"/>
        <v/>
      </c>
      <c r="EY233" t="b">
        <f>IF(ISNUMBER(BW233),IF(ABS(BW233-[1]QC_indicators!$B$2)&gt;3*[1]QC_indicators!$C$2,"C ratio",IF(ISNUMBER(CA233),IF(ABS(CA233-[1]QC_indicators!$B$1)&gt;3*[1]QC_indicators!$C$1,"DF","no"))),IF(ISNUMBER(CA233),IF(ABS(CA233-[1]QC_indicators!$B$1)&gt;3*[1]QC_indicators!$C$1,"DF","no")))</f>
        <v>0</v>
      </c>
      <c r="FA233" t="str">
        <f t="shared" si="183"/>
        <v/>
      </c>
      <c r="FB233" s="299" t="s">
        <v>349</v>
      </c>
    </row>
    <row r="234" spans="1:160" ht="15" hidden="1" customHeight="1">
      <c r="A234" s="1" t="s">
        <v>3429</v>
      </c>
      <c r="B234" t="s">
        <v>3430</v>
      </c>
      <c r="C234" t="s">
        <v>3431</v>
      </c>
      <c r="D234" t="s">
        <v>3432</v>
      </c>
      <c r="E234" t="s">
        <v>3433</v>
      </c>
      <c r="F234" t="s">
        <v>3434</v>
      </c>
      <c r="G234" t="s">
        <v>3435</v>
      </c>
      <c r="H234" t="s">
        <v>254</v>
      </c>
      <c r="I234">
        <v>2019</v>
      </c>
      <c r="J234">
        <v>12</v>
      </c>
      <c r="K234" t="s">
        <v>3436</v>
      </c>
      <c r="M234" t="str">
        <f t="shared" si="212"/>
        <v>Jia_2019</v>
      </c>
      <c r="N234" s="297" t="s">
        <v>4058</v>
      </c>
      <c r="O234" s="145" t="s">
        <v>508</v>
      </c>
      <c r="Q234" s="297" t="s">
        <v>256</v>
      </c>
      <c r="R234" s="298"/>
      <c r="S234" s="1" t="s">
        <v>3441</v>
      </c>
      <c r="T234" t="s">
        <v>3442</v>
      </c>
      <c r="U234" t="s">
        <v>3443</v>
      </c>
      <c r="X234">
        <v>0</v>
      </c>
      <c r="Y234">
        <v>0</v>
      </c>
      <c r="Z234">
        <v>0</v>
      </c>
      <c r="AA234">
        <v>0</v>
      </c>
      <c r="AB234">
        <v>0</v>
      </c>
      <c r="AC234">
        <v>0</v>
      </c>
      <c r="AD234">
        <v>0</v>
      </c>
      <c r="AE234">
        <v>0</v>
      </c>
      <c r="AF234">
        <v>0</v>
      </c>
      <c r="AG234">
        <v>0</v>
      </c>
      <c r="AH234">
        <v>0</v>
      </c>
      <c r="AI234">
        <v>0</v>
      </c>
      <c r="AJ234">
        <v>0</v>
      </c>
      <c r="AK234">
        <v>0</v>
      </c>
      <c r="AL234">
        <v>0</v>
      </c>
      <c r="AM234">
        <v>1</v>
      </c>
      <c r="AN234">
        <v>0</v>
      </c>
      <c r="AO234">
        <v>0</v>
      </c>
      <c r="AP234">
        <v>0</v>
      </c>
      <c r="AQ234">
        <v>0</v>
      </c>
      <c r="AR234">
        <v>0</v>
      </c>
      <c r="AS234">
        <v>0</v>
      </c>
      <c r="AT234">
        <v>0</v>
      </c>
      <c r="AU234">
        <v>0</v>
      </c>
      <c r="AV234">
        <v>0</v>
      </c>
      <c r="AW234">
        <v>0</v>
      </c>
      <c r="AX234">
        <v>0</v>
      </c>
      <c r="AY234">
        <v>0</v>
      </c>
      <c r="AZ234" s="141">
        <f t="shared" si="220"/>
        <v>1</v>
      </c>
      <c r="BA234" s="141">
        <f t="shared" si="221"/>
        <v>1</v>
      </c>
      <c r="BB234">
        <f t="shared" si="222"/>
        <v>0</v>
      </c>
      <c r="BC234">
        <f t="shared" si="223"/>
        <v>0</v>
      </c>
      <c r="BD234">
        <f t="shared" si="224"/>
        <v>1</v>
      </c>
      <c r="BE234">
        <f t="shared" si="225"/>
        <v>0</v>
      </c>
      <c r="BF234">
        <f t="shared" si="226"/>
        <v>0</v>
      </c>
      <c r="BG234" t="str" cm="1">
        <f t="array" ref="BG234">IF(BA234=1,INDEX($X$7:$AN$7,MATCH(TRUE,INDEX($X234:$AY234&lt;&gt;0,),0)),IF(BA234=0,INDEX($AO$7:$AY$7,MATCH(1,$AO234:$AY234,0)),IF(BH234="Multiple strategies","mixed drivers",IF(BH234="Supply chain","multiple supply","multiple silviculture"))))</f>
        <v>technologies/design switch</v>
      </c>
      <c r="BH234" s="2" t="str" cm="1">
        <f t="array" ref="BH234">IF(COUNTIF(BB234:BD234,"&lt;&gt;0")=1,INDEX($X$4:$AY$4,MATCH(TRUE,INDEX($X234:$AY234&lt;&gt;0,),0)),IF(COUNTIF(BB234:BD234,"&lt;&gt;0")=0,INDEX($AO$4:$AY$4,MATCH(1,$AO234:$AY234,0)),"Multiple strategies"))</f>
        <v>Technology</v>
      </c>
      <c r="BN234" s="143"/>
      <c r="BR234" s="297" t="s">
        <v>232</v>
      </c>
      <c r="BS234" s="331" t="s">
        <v>3440</v>
      </c>
      <c r="BT234" t="s">
        <v>666</v>
      </c>
      <c r="BU234">
        <v>-18800</v>
      </c>
      <c r="BV234">
        <v>-12374.16</v>
      </c>
      <c r="BW234" s="144">
        <v>0.65820000000000001</v>
      </c>
      <c r="BX234">
        <v>6425.84</v>
      </c>
      <c r="BZ234">
        <f>BX234/1000</f>
        <v>6.42584</v>
      </c>
      <c r="CA234" t="str">
        <f t="shared" ref="CA234:CA297" si="252">IFERROR(BZ234/BQ234,"")</f>
        <v/>
      </c>
      <c r="CB234">
        <v>1</v>
      </c>
      <c r="CC234">
        <v>0</v>
      </c>
      <c r="CD234">
        <v>0</v>
      </c>
      <c r="CE234">
        <v>0</v>
      </c>
      <c r="CF234">
        <v>0</v>
      </c>
      <c r="CG234">
        <v>1</v>
      </c>
      <c r="CH234">
        <v>0</v>
      </c>
      <c r="CI234">
        <v>0</v>
      </c>
      <c r="CJ234">
        <v>0</v>
      </c>
      <c r="CK234">
        <v>0</v>
      </c>
      <c r="CL234">
        <v>0</v>
      </c>
      <c r="CM234">
        <v>0</v>
      </c>
      <c r="CN234">
        <v>0</v>
      </c>
      <c r="CO234">
        <v>0</v>
      </c>
      <c r="CP234" t="str">
        <f>IF(BN234&lt;BM234,"refNeedCorrection","refOK")</f>
        <v>refOK</v>
      </c>
      <c r="CQ234"/>
      <c r="CR234"/>
      <c r="CS234"/>
      <c r="CT234">
        <f t="shared" ref="CT234:CT297" si="253">IF(BI234="Roundwood",$CS234/2,$CS234)</f>
        <v>0</v>
      </c>
      <c r="CU234">
        <f t="shared" si="227"/>
        <v>-18800</v>
      </c>
      <c r="CV234">
        <f t="shared" si="228"/>
        <v>-12374.16</v>
      </c>
      <c r="CW234">
        <f t="shared" si="229"/>
        <v>6.42584</v>
      </c>
      <c r="CX234" t="str">
        <f t="shared" ref="CX234:CX297" si="254">IFERROR($CW234/$CS234,"")</f>
        <v/>
      </c>
      <c r="CY234" t="str">
        <f t="shared" si="230"/>
        <v/>
      </c>
      <c r="CZ234" t="str">
        <f t="shared" ref="CZ234:CZ297" si="255">IFERROR($CW234/$CT234,"")</f>
        <v/>
      </c>
      <c r="DA234" s="2">
        <f t="shared" si="231"/>
        <v>0.34179999999999999</v>
      </c>
      <c r="DB234" s="1" t="s">
        <v>1078</v>
      </c>
      <c r="DC234" s="297" t="str">
        <f t="shared" si="232"/>
        <v>reg</v>
      </c>
      <c r="DD234" t="s">
        <v>677</v>
      </c>
      <c r="DG234">
        <v>0</v>
      </c>
      <c r="DH234" t="str">
        <f t="shared" si="233"/>
        <v>0</v>
      </c>
      <c r="DI234">
        <v>0</v>
      </c>
      <c r="DJ234">
        <v>0</v>
      </c>
      <c r="DK234">
        <v>0</v>
      </c>
      <c r="DL234">
        <v>1</v>
      </c>
      <c r="DN234">
        <f t="shared" si="243"/>
        <v>1</v>
      </c>
      <c r="DO234" t="str">
        <f t="shared" si="234"/>
        <v>TimberInput</v>
      </c>
      <c r="DP234">
        <f t="shared" si="235"/>
        <v>0</v>
      </c>
      <c r="DQ234">
        <f t="shared" si="236"/>
        <v>0</v>
      </c>
      <c r="DR234">
        <f t="shared" si="237"/>
        <v>0</v>
      </c>
      <c r="DS234" t="str">
        <f t="shared" si="238"/>
        <v>Timber</v>
      </c>
      <c r="DT234">
        <v>0</v>
      </c>
      <c r="DU234">
        <v>0</v>
      </c>
      <c r="DV234">
        <v>0</v>
      </c>
      <c r="DW234">
        <v>0</v>
      </c>
      <c r="DX234">
        <v>0</v>
      </c>
      <c r="DY234">
        <f t="shared" si="242"/>
        <v>0</v>
      </c>
      <c r="DZ234" s="143" t="str">
        <f t="shared" si="239"/>
        <v>explicit C balance</v>
      </c>
      <c r="EA234">
        <v>0</v>
      </c>
      <c r="EB234">
        <v>0</v>
      </c>
      <c r="EC234">
        <v>0</v>
      </c>
      <c r="ED234">
        <v>0</v>
      </c>
      <c r="EE234">
        <v>0</v>
      </c>
      <c r="EF234" s="143">
        <v>0</v>
      </c>
      <c r="EG234">
        <v>0</v>
      </c>
      <c r="EH234">
        <v>1</v>
      </c>
      <c r="EI234">
        <v>0</v>
      </c>
      <c r="EJ234">
        <v>0</v>
      </c>
      <c r="EK234">
        <v>0</v>
      </c>
      <c r="EL234">
        <v>0</v>
      </c>
      <c r="EM234">
        <v>0</v>
      </c>
      <c r="EN234" s="2">
        <v>0</v>
      </c>
      <c r="EP234" t="str">
        <f t="shared" ref="EP234:EP297" si="256">IF(AND(AND(AND(OR($EC234=1,$EB234=1),OR($EH234=1,$EF234=1)),SUM($EA234:$EE234,$EK234)&gt;=3),SUM($EF234:$EJ234)&gt;=2),"Whole sector approach","")</f>
        <v/>
      </c>
      <c r="EQ234" t="str">
        <f t="shared" si="251"/>
        <v/>
      </c>
      <c r="ER234" s="2" t="str">
        <f t="shared" ref="ER234:ER297" si="257">IF(AND(AND(AND($EC234=0,$EB234=0),OR($EH234=1,$EF234=1)),SUM($EG234:$EJ234)&gt;=2),"Technology approach","")</f>
        <v/>
      </c>
      <c r="ES234" t="str">
        <f t="shared" ref="ES234:ES297" si="258">IF(AND($EC234+$EB234+$EE234+$EA234+$EF234+$EG234=0,$N234="included"),"C neutral forest and HWP assumption","")</f>
        <v/>
      </c>
      <c r="ET234" t="str">
        <f t="shared" ref="ET234:ET297" si="259">IF(AND(AND(AND($EC234+$EB234+$EA234+$EG234&gt;=2,$EF234+$EH234+$EI234&gt;=1),$ED234+$EE234&gt;=1),$N234="included"),"All C pools assumption","")</f>
        <v/>
      </c>
      <c r="EU234" t="str">
        <f t="shared" ref="EU234:EU297" si="260">IF(AND($ED234+$EE234+$EI234+$EH234+$EF234=0,$N234="included"),"In-situ only assumption","")</f>
        <v/>
      </c>
      <c r="EY234" t="b">
        <f>IF(ISNUMBER(BW234),IF(ABS(BW234-[1]QC_indicators!$B$2)&gt;3*[1]QC_indicators!$C$2,"C ratio",IF(ISNUMBER(CA234),IF(ABS(CA234-[1]QC_indicators!$B$1)&gt;3*[1]QC_indicators!$C$1,"DF","no"))),IF(ISNUMBER(CA234),IF(ABS(CA234-[1]QC_indicators!$B$1)&gt;3*[1]QC_indicators!$C$1,"DF","no")))</f>
        <v>0</v>
      </c>
      <c r="FA234" t="str">
        <f t="shared" ref="FA234:FA297" si="261">IF(LEN($CY234)=0,"",IF(AND($CY234&lt;(-0.05),$ES234="C neutral forest and HWP assumption"),"Cneutral paradox",IF(AND($CY234&gt;0.05,$EU234="In-situ only assumption"),"In-situ only paradox","")))</f>
        <v/>
      </c>
      <c r="FB234" s="299" t="s">
        <v>349</v>
      </c>
    </row>
    <row r="235" spans="1:160" ht="15" hidden="1" customHeight="1">
      <c r="A235" s="1" t="s">
        <v>1233</v>
      </c>
      <c r="B235" t="s">
        <v>3444</v>
      </c>
      <c r="C235" t="s">
        <v>3445</v>
      </c>
      <c r="D235" t="s">
        <v>3446</v>
      </c>
      <c r="E235" t="s">
        <v>3447</v>
      </c>
      <c r="F235" t="s">
        <v>3448</v>
      </c>
      <c r="G235" t="s">
        <v>1239</v>
      </c>
      <c r="H235" t="s">
        <v>254</v>
      </c>
      <c r="I235">
        <v>2021</v>
      </c>
      <c r="J235">
        <v>2</v>
      </c>
      <c r="K235" t="s">
        <v>3449</v>
      </c>
      <c r="M235" t="str">
        <f t="shared" si="212"/>
        <v>Jong_2021</v>
      </c>
      <c r="N235" s="297" t="s">
        <v>4058</v>
      </c>
      <c r="O235" s="171" t="s">
        <v>508</v>
      </c>
      <c r="P235" t="s">
        <v>341</v>
      </c>
      <c r="Q235" s="297" t="s">
        <v>389</v>
      </c>
      <c r="R235" s="298"/>
      <c r="S235" s="154" t="s">
        <v>3455</v>
      </c>
      <c r="T235" s="149" t="s">
        <v>3451</v>
      </c>
      <c r="U235" t="s">
        <v>3456</v>
      </c>
      <c r="X235">
        <v>1</v>
      </c>
      <c r="Y235">
        <v>0</v>
      </c>
      <c r="Z235">
        <v>1</v>
      </c>
      <c r="AA235">
        <v>0</v>
      </c>
      <c r="AB235">
        <v>1</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1</v>
      </c>
      <c r="AV235">
        <v>0</v>
      </c>
      <c r="AW235">
        <v>0</v>
      </c>
      <c r="AX235">
        <v>0</v>
      </c>
      <c r="AY235">
        <v>0</v>
      </c>
      <c r="AZ235" s="141">
        <f t="shared" si="220"/>
        <v>4</v>
      </c>
      <c r="BA235" s="141">
        <f t="shared" si="221"/>
        <v>3</v>
      </c>
      <c r="BB235">
        <f t="shared" si="222"/>
        <v>3</v>
      </c>
      <c r="BC235">
        <f t="shared" si="223"/>
        <v>0</v>
      </c>
      <c r="BD235">
        <f t="shared" si="224"/>
        <v>0</v>
      </c>
      <c r="BE235">
        <f t="shared" si="225"/>
        <v>1</v>
      </c>
      <c r="BF235">
        <f t="shared" si="226"/>
        <v>0</v>
      </c>
      <c r="BG235" t="str" cm="1">
        <f t="array" ref="BG235">IF(BA235=1,INDEX($X$7:$AN$7,MATCH(TRUE,INDEX($X235:$AY235&lt;&gt;0,),0)),IF(BA235=0,INDEX($AO$7:$AY$7,MATCH(1,$AO235:$AY235,0)),IF(BH235="Multiple strategies","mixed drivers",IF(BH235="Supply chain","multiple supply","multiple silviculture"))))</f>
        <v>multiple silviculture</v>
      </c>
      <c r="BH235" s="2" t="str" cm="1">
        <f t="array" ref="BH235">IF(COUNTIF(BB235:BD235,"&lt;&gt;0")=1,INDEX($X$4:$AY$4,MATCH(TRUE,INDEX($X235:$AY235&lt;&gt;0,),0)),IF(COUNTIF(BB235:BD235,"&lt;&gt;0")=0,INDEX($AO$4:$AY$4,MATCH(1,$AO235:$AY235,0)),"Multiple strategies"))</f>
        <v>Silviculture for removals</v>
      </c>
      <c r="BI235" s="142"/>
      <c r="BL235" s="143"/>
      <c r="BN235" s="143"/>
      <c r="BP235" s="158"/>
      <c r="BQ235" s="143"/>
      <c r="BR235" s="149" t="s">
        <v>232</v>
      </c>
      <c r="BS235" s="230"/>
      <c r="BT235" s="149" t="s">
        <v>3453</v>
      </c>
      <c r="BU235">
        <v>151.1</v>
      </c>
      <c r="BV235">
        <v>29.5</v>
      </c>
      <c r="BW235" s="144"/>
      <c r="BX235">
        <f t="shared" ref="BX235:BX242" si="262">BV235-BU235</f>
        <v>-121.6</v>
      </c>
      <c r="CA235" t="str">
        <f t="shared" si="252"/>
        <v/>
      </c>
      <c r="CB235">
        <v>0</v>
      </c>
      <c r="CC235">
        <v>0</v>
      </c>
      <c r="CD235">
        <v>0</v>
      </c>
      <c r="CE235">
        <v>0</v>
      </c>
      <c r="CF235">
        <v>0</v>
      </c>
      <c r="CG235">
        <v>0</v>
      </c>
      <c r="CH235">
        <v>0</v>
      </c>
      <c r="CI235">
        <v>0</v>
      </c>
      <c r="CJ235">
        <v>0</v>
      </c>
      <c r="CK235">
        <v>0</v>
      </c>
      <c r="CL235">
        <v>0</v>
      </c>
      <c r="CM235">
        <v>0</v>
      </c>
      <c r="CN235">
        <v>0</v>
      </c>
      <c r="CO235">
        <v>0</v>
      </c>
      <c r="CP235" t="str">
        <f t="shared" ref="CP235:CP240" si="263">IF($BN235&lt;$BM235,"refNeedCorrection","refOK")</f>
        <v>refOK</v>
      </c>
      <c r="CQ235"/>
      <c r="CR235"/>
      <c r="CS235"/>
      <c r="CT235">
        <f t="shared" si="253"/>
        <v>0</v>
      </c>
      <c r="CU235">
        <f t="shared" si="227"/>
        <v>151.1</v>
      </c>
      <c r="CV235">
        <f t="shared" si="228"/>
        <v>29.5</v>
      </c>
      <c r="CW235">
        <f t="shared" si="229"/>
        <v>0</v>
      </c>
      <c r="CX235" t="str">
        <f t="shared" si="254"/>
        <v/>
      </c>
      <c r="CY235" t="str">
        <f t="shared" si="230"/>
        <v/>
      </c>
      <c r="CZ235" t="str">
        <f t="shared" si="255"/>
        <v/>
      </c>
      <c r="DA235" s="2">
        <f t="shared" si="231"/>
        <v>-0.8047650562541363</v>
      </c>
      <c r="DB235" s="1" t="s">
        <v>1078</v>
      </c>
      <c r="DC235" s="297" t="str">
        <f t="shared" si="232"/>
        <v>reg</v>
      </c>
      <c r="DD235" s="149" t="s">
        <v>3454</v>
      </c>
      <c r="DF235" s="143"/>
      <c r="DG235" s="143">
        <v>30</v>
      </c>
      <c r="DH235" t="str">
        <f t="shared" si="233"/>
        <v>1-30</v>
      </c>
      <c r="DI235">
        <v>0</v>
      </c>
      <c r="DJ235">
        <v>0</v>
      </c>
      <c r="DK235">
        <v>0</v>
      </c>
      <c r="DL235">
        <v>1</v>
      </c>
      <c r="DM235">
        <v>0</v>
      </c>
      <c r="DN235">
        <f t="shared" ref="DN235:DN240" si="264">SUM(DI235:DM235)</f>
        <v>1</v>
      </c>
      <c r="DO235" t="str">
        <f t="shared" si="234"/>
        <v>TimberInput</v>
      </c>
      <c r="DP235">
        <f t="shared" si="235"/>
        <v>0</v>
      </c>
      <c r="DQ235">
        <f t="shared" si="236"/>
        <v>0</v>
      </c>
      <c r="DR235">
        <f t="shared" si="237"/>
        <v>0</v>
      </c>
      <c r="DS235" t="str">
        <f t="shared" si="238"/>
        <v>Timber</v>
      </c>
      <c r="DT235">
        <v>1</v>
      </c>
      <c r="DU235" s="143">
        <v>0</v>
      </c>
      <c r="DV235" s="143">
        <v>0</v>
      </c>
      <c r="DW235">
        <v>0</v>
      </c>
      <c r="DX235" s="143">
        <v>0</v>
      </c>
      <c r="DY235">
        <f t="shared" si="242"/>
        <v>1</v>
      </c>
      <c r="DZ235" s="143" t="str">
        <f t="shared" si="239"/>
        <v>self-calculated DF</v>
      </c>
      <c r="EA235" s="143">
        <v>0</v>
      </c>
      <c r="EB235" s="143">
        <v>0</v>
      </c>
      <c r="EC235" s="143">
        <v>1</v>
      </c>
      <c r="ED235" s="143">
        <v>0</v>
      </c>
      <c r="EE235">
        <v>0</v>
      </c>
      <c r="EF235" s="143">
        <v>0</v>
      </c>
      <c r="EG235" s="143">
        <v>0</v>
      </c>
      <c r="EH235" s="143">
        <v>0</v>
      </c>
      <c r="EI235" s="143">
        <v>0</v>
      </c>
      <c r="EJ235">
        <v>0</v>
      </c>
      <c r="EK235">
        <v>1</v>
      </c>
      <c r="EL235" s="143">
        <v>0</v>
      </c>
      <c r="EM235" s="143">
        <v>1</v>
      </c>
      <c r="EN235" s="2">
        <v>0</v>
      </c>
      <c r="EP235" t="str">
        <f t="shared" si="256"/>
        <v/>
      </c>
      <c r="EQ235" t="str">
        <f t="shared" si="251"/>
        <v/>
      </c>
      <c r="ER235" s="2" t="str">
        <f t="shared" si="257"/>
        <v/>
      </c>
      <c r="ES235" t="str">
        <f t="shared" si="258"/>
        <v/>
      </c>
      <c r="ET235" t="str">
        <f t="shared" si="259"/>
        <v/>
      </c>
      <c r="EU235" t="str">
        <f t="shared" si="260"/>
        <v/>
      </c>
      <c r="EY235" t="b">
        <f>IF(ISNUMBER(BW235),IF(ABS(BW235-[1]QC_indicators!$B$2)&gt;3*[1]QC_indicators!$C$2,"C ratio",IF(ISNUMBER(CA235),IF(ABS(CA235-[1]QC_indicators!$B$1)&gt;3*[1]QC_indicators!$C$1,"DF","no"))),IF(ISNUMBER(CA235),IF(ABS(CA235-[1]QC_indicators!$B$1)&gt;3*[1]QC_indicators!$C$1,"DF","no")))</f>
        <v>0</v>
      </c>
      <c r="FA235" t="str">
        <f t="shared" si="261"/>
        <v/>
      </c>
    </row>
    <row r="236" spans="1:160" ht="15" hidden="1" customHeight="1">
      <c r="A236" s="1" t="s">
        <v>1233</v>
      </c>
      <c r="B236" t="s">
        <v>3444</v>
      </c>
      <c r="C236" t="s">
        <v>3445</v>
      </c>
      <c r="D236" t="s">
        <v>3446</v>
      </c>
      <c r="E236" t="s">
        <v>3447</v>
      </c>
      <c r="F236" t="s">
        <v>3448</v>
      </c>
      <c r="G236" t="s">
        <v>1239</v>
      </c>
      <c r="H236" t="s">
        <v>254</v>
      </c>
      <c r="I236">
        <v>2021</v>
      </c>
      <c r="J236">
        <v>2</v>
      </c>
      <c r="K236" t="s">
        <v>3449</v>
      </c>
      <c r="M236" t="str">
        <f t="shared" si="212"/>
        <v>Jong_2021</v>
      </c>
      <c r="N236" s="297" t="s">
        <v>4058</v>
      </c>
      <c r="O236" s="171" t="s">
        <v>508</v>
      </c>
      <c r="P236" t="s">
        <v>341</v>
      </c>
      <c r="Q236" s="297" t="s">
        <v>389</v>
      </c>
      <c r="R236" s="298"/>
      <c r="S236" s="154" t="s">
        <v>3450</v>
      </c>
      <c r="T236" s="149" t="s">
        <v>3451</v>
      </c>
      <c r="U236" t="s">
        <v>3452</v>
      </c>
      <c r="X236">
        <v>1</v>
      </c>
      <c r="Y236">
        <v>0</v>
      </c>
      <c r="Z236">
        <v>1</v>
      </c>
      <c r="AA236">
        <v>0</v>
      </c>
      <c r="AB236">
        <v>1</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1</v>
      </c>
      <c r="AV236">
        <v>0</v>
      </c>
      <c r="AW236">
        <v>0</v>
      </c>
      <c r="AX236">
        <v>0</v>
      </c>
      <c r="AY236">
        <v>0</v>
      </c>
      <c r="AZ236" s="141">
        <f t="shared" si="220"/>
        <v>4</v>
      </c>
      <c r="BA236" s="141">
        <f t="shared" si="221"/>
        <v>3</v>
      </c>
      <c r="BB236">
        <f t="shared" si="222"/>
        <v>3</v>
      </c>
      <c r="BC236">
        <f t="shared" si="223"/>
        <v>0</v>
      </c>
      <c r="BD236">
        <f t="shared" si="224"/>
        <v>0</v>
      </c>
      <c r="BE236">
        <f t="shared" si="225"/>
        <v>1</v>
      </c>
      <c r="BF236">
        <f t="shared" si="226"/>
        <v>0</v>
      </c>
      <c r="BG236" t="str" cm="1">
        <f t="array" ref="BG236">IF(BA236=1,INDEX($X$7:$AN$7,MATCH(TRUE,INDEX($X236:$AY236&lt;&gt;0,),0)),IF(BA236=0,INDEX($AO$7:$AY$7,MATCH(1,$AO236:$AY236,0)),IF(BH236="Multiple strategies","mixed drivers",IF(BH236="Supply chain","multiple supply","multiple silviculture"))))</f>
        <v>multiple silviculture</v>
      </c>
      <c r="BH236" s="2" t="str" cm="1">
        <f t="array" ref="BH236">IF(COUNTIF(BB236:BD236,"&lt;&gt;0")=1,INDEX($X$4:$AY$4,MATCH(TRUE,INDEX($X236:$AY236&lt;&gt;0,),0)),IF(COUNTIF(BB236:BD236,"&lt;&gt;0")=0,INDEX($AO$4:$AY$4,MATCH(1,$AO236:$AY236,0)),"Multiple strategies"))</f>
        <v>Silviculture for removals</v>
      </c>
      <c r="BI236" s="142"/>
      <c r="BL236" s="143"/>
      <c r="BN236" s="143"/>
      <c r="BO236" t="str">
        <f>IFERROR(BN236/BM236,"")</f>
        <v/>
      </c>
      <c r="BP236" s="158"/>
      <c r="BQ236" s="143"/>
      <c r="BR236" s="149" t="s">
        <v>232</v>
      </c>
      <c r="BS236" s="230"/>
      <c r="BT236" s="149" t="s">
        <v>3453</v>
      </c>
      <c r="BU236">
        <v>151.1</v>
      </c>
      <c r="BV236">
        <v>82</v>
      </c>
      <c r="BW236" s="144"/>
      <c r="BX236">
        <f t="shared" si="262"/>
        <v>-69.099999999999994</v>
      </c>
      <c r="CA236" t="str">
        <f t="shared" si="252"/>
        <v/>
      </c>
      <c r="CB236">
        <v>0</v>
      </c>
      <c r="CC236">
        <v>0</v>
      </c>
      <c r="CD236">
        <v>0</v>
      </c>
      <c r="CE236">
        <v>0</v>
      </c>
      <c r="CF236">
        <v>0</v>
      </c>
      <c r="CG236">
        <v>0</v>
      </c>
      <c r="CH236">
        <v>0</v>
      </c>
      <c r="CI236">
        <v>0</v>
      </c>
      <c r="CJ236">
        <v>0</v>
      </c>
      <c r="CK236">
        <v>0</v>
      </c>
      <c r="CL236">
        <v>0</v>
      </c>
      <c r="CM236">
        <v>0</v>
      </c>
      <c r="CN236">
        <v>0</v>
      </c>
      <c r="CO236">
        <v>0</v>
      </c>
      <c r="CP236" t="str">
        <f t="shared" si="263"/>
        <v>refOK</v>
      </c>
      <c r="CQ236"/>
      <c r="CR236"/>
      <c r="CS236"/>
      <c r="CT236">
        <f t="shared" si="253"/>
        <v>0</v>
      </c>
      <c r="CU236">
        <f t="shared" si="227"/>
        <v>151.1</v>
      </c>
      <c r="CV236">
        <f t="shared" si="228"/>
        <v>82</v>
      </c>
      <c r="CW236">
        <f t="shared" si="229"/>
        <v>0</v>
      </c>
      <c r="CX236" t="str">
        <f t="shared" si="254"/>
        <v/>
      </c>
      <c r="CY236" t="str">
        <f t="shared" si="230"/>
        <v/>
      </c>
      <c r="CZ236" t="str">
        <f t="shared" si="255"/>
        <v/>
      </c>
      <c r="DA236" s="2">
        <f t="shared" si="231"/>
        <v>-0.45731303772336201</v>
      </c>
      <c r="DB236" s="1" t="s">
        <v>1078</v>
      </c>
      <c r="DC236" s="297" t="str">
        <f t="shared" si="232"/>
        <v>reg</v>
      </c>
      <c r="DD236" s="149" t="s">
        <v>3454</v>
      </c>
      <c r="DF236" s="143"/>
      <c r="DG236" s="143">
        <v>30</v>
      </c>
      <c r="DH236" t="str">
        <f t="shared" si="233"/>
        <v>1-30</v>
      </c>
      <c r="DI236">
        <v>0</v>
      </c>
      <c r="DJ236">
        <v>0</v>
      </c>
      <c r="DK236">
        <v>0</v>
      </c>
      <c r="DL236">
        <v>1</v>
      </c>
      <c r="DM236">
        <v>0</v>
      </c>
      <c r="DN236">
        <f t="shared" si="264"/>
        <v>1</v>
      </c>
      <c r="DO236" t="str">
        <f t="shared" si="234"/>
        <v>TimberInput</v>
      </c>
      <c r="DP236">
        <f t="shared" si="235"/>
        <v>0</v>
      </c>
      <c r="DQ236">
        <f t="shared" si="236"/>
        <v>0</v>
      </c>
      <c r="DR236">
        <f t="shared" si="237"/>
        <v>0</v>
      </c>
      <c r="DS236" t="str">
        <f t="shared" si="238"/>
        <v>Timber</v>
      </c>
      <c r="DT236">
        <v>1</v>
      </c>
      <c r="DU236" s="143">
        <v>0</v>
      </c>
      <c r="DV236" s="143">
        <v>0</v>
      </c>
      <c r="DW236">
        <v>0</v>
      </c>
      <c r="DX236" s="143">
        <v>0</v>
      </c>
      <c r="DY236">
        <f t="shared" si="242"/>
        <v>1</v>
      </c>
      <c r="DZ236" s="143" t="str">
        <f t="shared" si="239"/>
        <v>self-calculated DF</v>
      </c>
      <c r="EA236" s="143">
        <v>0</v>
      </c>
      <c r="EB236" s="143">
        <v>0</v>
      </c>
      <c r="EC236" s="143">
        <v>1</v>
      </c>
      <c r="ED236" s="143">
        <v>0</v>
      </c>
      <c r="EE236">
        <v>0</v>
      </c>
      <c r="EF236" s="143">
        <v>0</v>
      </c>
      <c r="EG236" s="143">
        <v>0</v>
      </c>
      <c r="EH236" s="143">
        <v>0</v>
      </c>
      <c r="EI236" s="143">
        <v>0</v>
      </c>
      <c r="EJ236">
        <v>0</v>
      </c>
      <c r="EK236">
        <v>1</v>
      </c>
      <c r="EL236" s="143">
        <v>0</v>
      </c>
      <c r="EM236" s="143">
        <v>1</v>
      </c>
      <c r="EN236" s="2">
        <v>0</v>
      </c>
      <c r="EP236" t="str">
        <f t="shared" si="256"/>
        <v/>
      </c>
      <c r="EQ236" t="str">
        <f t="shared" si="251"/>
        <v/>
      </c>
      <c r="ER236" s="2" t="str">
        <f t="shared" si="257"/>
        <v/>
      </c>
      <c r="ES236" t="str">
        <f t="shared" si="258"/>
        <v/>
      </c>
      <c r="ET236" t="str">
        <f t="shared" si="259"/>
        <v/>
      </c>
      <c r="EU236" t="str">
        <f t="shared" si="260"/>
        <v/>
      </c>
      <c r="EY236" t="b">
        <f>IF(ISNUMBER(BW236),IF(ABS(BW236-[1]QC_indicators!$B$2)&gt;3*[1]QC_indicators!$C$2,"C ratio",IF(ISNUMBER(CA236),IF(ABS(CA236-[1]QC_indicators!$B$1)&gt;3*[1]QC_indicators!$C$1,"DF","no"))),IF(ISNUMBER(CA236),IF(ABS(CA236-[1]QC_indicators!$B$1)&gt;3*[1]QC_indicators!$C$1,"DF","no")))</f>
        <v>0</v>
      </c>
      <c r="FA236" t="str">
        <f t="shared" si="261"/>
        <v/>
      </c>
    </row>
    <row r="237" spans="1:160" ht="15" hidden="1" customHeight="1">
      <c r="A237" s="1" t="s">
        <v>1233</v>
      </c>
      <c r="B237" t="s">
        <v>3444</v>
      </c>
      <c r="C237" t="s">
        <v>3445</v>
      </c>
      <c r="D237" t="s">
        <v>3446</v>
      </c>
      <c r="E237" t="s">
        <v>3447</v>
      </c>
      <c r="F237" t="s">
        <v>3448</v>
      </c>
      <c r="G237" t="s">
        <v>1239</v>
      </c>
      <c r="H237" t="s">
        <v>254</v>
      </c>
      <c r="I237">
        <v>2021</v>
      </c>
      <c r="J237">
        <v>2</v>
      </c>
      <c r="K237" t="s">
        <v>3449</v>
      </c>
      <c r="M237" t="str">
        <f t="shared" si="212"/>
        <v>Jong_2021</v>
      </c>
      <c r="N237" s="297" t="s">
        <v>4058</v>
      </c>
      <c r="O237" s="171" t="s">
        <v>508</v>
      </c>
      <c r="P237" t="s">
        <v>341</v>
      </c>
      <c r="Q237" s="297" t="s">
        <v>389</v>
      </c>
      <c r="R237" s="298"/>
      <c r="S237" s="154" t="s">
        <v>3457</v>
      </c>
      <c r="T237" s="149" t="s">
        <v>3451</v>
      </c>
      <c r="U237" t="s">
        <v>3458</v>
      </c>
      <c r="X237">
        <v>1</v>
      </c>
      <c r="Y237">
        <v>0</v>
      </c>
      <c r="Z237">
        <v>1</v>
      </c>
      <c r="AA237">
        <v>0</v>
      </c>
      <c r="AB237">
        <v>1</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1</v>
      </c>
      <c r="AV237">
        <v>0</v>
      </c>
      <c r="AW237">
        <v>0</v>
      </c>
      <c r="AX237">
        <v>0</v>
      </c>
      <c r="AY237">
        <v>0</v>
      </c>
      <c r="AZ237" s="141">
        <f t="shared" si="220"/>
        <v>4</v>
      </c>
      <c r="BA237" s="141">
        <f t="shared" si="221"/>
        <v>3</v>
      </c>
      <c r="BB237">
        <f t="shared" si="222"/>
        <v>3</v>
      </c>
      <c r="BC237">
        <f t="shared" si="223"/>
        <v>0</v>
      </c>
      <c r="BD237">
        <f t="shared" si="224"/>
        <v>0</v>
      </c>
      <c r="BE237">
        <f t="shared" si="225"/>
        <v>1</v>
      </c>
      <c r="BF237">
        <f t="shared" si="226"/>
        <v>0</v>
      </c>
      <c r="BG237" t="str" cm="1">
        <f t="array" ref="BG237">IF(BA237=1,INDEX($X$7:$AN$7,MATCH(TRUE,INDEX($X237:$AY237&lt;&gt;0,),0)),IF(BA237=0,INDEX($AO$7:$AY$7,MATCH(1,$AO237:$AY237,0)),IF(BH237="Multiple strategies","mixed drivers",IF(BH237="Supply chain","multiple supply","multiple silviculture"))))</f>
        <v>multiple silviculture</v>
      </c>
      <c r="BH237" s="2" t="str" cm="1">
        <f t="array" ref="BH237">IF(COUNTIF(BB237:BD237,"&lt;&gt;0")=1,INDEX($X$4:$AY$4,MATCH(TRUE,INDEX($X237:$AY237&lt;&gt;0,),0)),IF(COUNTIF(BB237:BD237,"&lt;&gt;0")=0,INDEX($AO$4:$AY$4,MATCH(1,$AO237:$AY237,0)),"Multiple strategies"))</f>
        <v>Silviculture for removals</v>
      </c>
      <c r="BI237" s="142"/>
      <c r="BL237" s="143"/>
      <c r="BN237" s="143"/>
      <c r="BP237" s="158"/>
      <c r="BQ237" s="143"/>
      <c r="BR237" s="149" t="s">
        <v>232</v>
      </c>
      <c r="BS237" s="230"/>
      <c r="BT237" s="149" t="s">
        <v>3453</v>
      </c>
      <c r="BU237">
        <v>151.1</v>
      </c>
      <c r="BV237">
        <v>89.1</v>
      </c>
      <c r="BW237" s="144"/>
      <c r="BX237">
        <f t="shared" si="262"/>
        <v>-62</v>
      </c>
      <c r="CA237" t="str">
        <f t="shared" si="252"/>
        <v/>
      </c>
      <c r="CB237">
        <v>0</v>
      </c>
      <c r="CC237">
        <v>0</v>
      </c>
      <c r="CD237">
        <v>0</v>
      </c>
      <c r="CE237">
        <v>0</v>
      </c>
      <c r="CF237">
        <v>0</v>
      </c>
      <c r="CG237">
        <v>0</v>
      </c>
      <c r="CH237">
        <v>0</v>
      </c>
      <c r="CI237">
        <v>0</v>
      </c>
      <c r="CJ237">
        <v>0</v>
      </c>
      <c r="CK237">
        <v>0</v>
      </c>
      <c r="CL237">
        <v>0</v>
      </c>
      <c r="CM237">
        <v>0</v>
      </c>
      <c r="CN237">
        <v>0</v>
      </c>
      <c r="CO237">
        <v>0</v>
      </c>
      <c r="CP237" t="str">
        <f t="shared" si="263"/>
        <v>refOK</v>
      </c>
      <c r="CQ237"/>
      <c r="CR237"/>
      <c r="CS237"/>
      <c r="CT237">
        <f t="shared" si="253"/>
        <v>0</v>
      </c>
      <c r="CU237">
        <f t="shared" si="227"/>
        <v>151.1</v>
      </c>
      <c r="CV237">
        <f t="shared" si="228"/>
        <v>89.1</v>
      </c>
      <c r="CW237">
        <f t="shared" si="229"/>
        <v>0</v>
      </c>
      <c r="CX237" t="str">
        <f t="shared" si="254"/>
        <v/>
      </c>
      <c r="CY237" t="str">
        <f t="shared" si="230"/>
        <v/>
      </c>
      <c r="CZ237" t="str">
        <f t="shared" si="255"/>
        <v/>
      </c>
      <c r="DA237" s="2">
        <f t="shared" si="231"/>
        <v>-0.41032428855062875</v>
      </c>
      <c r="DB237" s="1" t="s">
        <v>1078</v>
      </c>
      <c r="DC237" s="297" t="str">
        <f t="shared" si="232"/>
        <v>reg</v>
      </c>
      <c r="DD237" s="149" t="s">
        <v>3454</v>
      </c>
      <c r="DF237" s="143"/>
      <c r="DG237" s="143">
        <v>40</v>
      </c>
      <c r="DH237" t="str">
        <f t="shared" si="233"/>
        <v>31-70</v>
      </c>
      <c r="DI237">
        <v>0</v>
      </c>
      <c r="DJ237">
        <v>0</v>
      </c>
      <c r="DK237">
        <v>0</v>
      </c>
      <c r="DL237">
        <v>1</v>
      </c>
      <c r="DM237">
        <v>0</v>
      </c>
      <c r="DN237">
        <f t="shared" si="264"/>
        <v>1</v>
      </c>
      <c r="DO237" t="str">
        <f t="shared" si="234"/>
        <v>TimberInput</v>
      </c>
      <c r="DP237">
        <f t="shared" si="235"/>
        <v>0</v>
      </c>
      <c r="DQ237">
        <f t="shared" si="236"/>
        <v>0</v>
      </c>
      <c r="DR237">
        <f t="shared" si="237"/>
        <v>0</v>
      </c>
      <c r="DS237" t="str">
        <f t="shared" si="238"/>
        <v>Timber</v>
      </c>
      <c r="DT237">
        <v>1</v>
      </c>
      <c r="DU237" s="143">
        <v>0</v>
      </c>
      <c r="DV237" s="143">
        <v>0</v>
      </c>
      <c r="DW237">
        <v>0</v>
      </c>
      <c r="DX237" s="143">
        <v>0</v>
      </c>
      <c r="DY237">
        <f t="shared" si="242"/>
        <v>1</v>
      </c>
      <c r="DZ237" s="143" t="str">
        <f t="shared" si="239"/>
        <v>self-calculated DF</v>
      </c>
      <c r="EA237" s="143">
        <v>0</v>
      </c>
      <c r="EB237" s="143">
        <v>0</v>
      </c>
      <c r="EC237" s="143">
        <v>1</v>
      </c>
      <c r="ED237" s="143">
        <v>0</v>
      </c>
      <c r="EE237">
        <v>0</v>
      </c>
      <c r="EF237" s="143">
        <v>0</v>
      </c>
      <c r="EG237" s="143">
        <v>0</v>
      </c>
      <c r="EH237" s="143">
        <v>0</v>
      </c>
      <c r="EI237" s="143">
        <v>0</v>
      </c>
      <c r="EJ237">
        <v>0</v>
      </c>
      <c r="EK237">
        <v>1</v>
      </c>
      <c r="EL237" s="143">
        <v>0</v>
      </c>
      <c r="EM237" s="143">
        <v>1</v>
      </c>
      <c r="EN237" s="2">
        <v>0</v>
      </c>
      <c r="EP237" t="str">
        <f t="shared" si="256"/>
        <v/>
      </c>
      <c r="EQ237" t="str">
        <f t="shared" si="251"/>
        <v/>
      </c>
      <c r="ER237" s="2" t="str">
        <f t="shared" si="257"/>
        <v/>
      </c>
      <c r="ES237" t="str">
        <f t="shared" si="258"/>
        <v/>
      </c>
      <c r="ET237" t="str">
        <f t="shared" si="259"/>
        <v/>
      </c>
      <c r="EU237" t="str">
        <f t="shared" si="260"/>
        <v/>
      </c>
      <c r="EY237" t="b">
        <f>IF(ISNUMBER(BW237),IF(ABS(BW237-[1]QC_indicators!$B$2)&gt;3*[1]QC_indicators!$C$2,"C ratio",IF(ISNUMBER(CA237),IF(ABS(CA237-[1]QC_indicators!$B$1)&gt;3*[1]QC_indicators!$C$1,"DF","no"))),IF(ISNUMBER(CA237),IF(ABS(CA237-[1]QC_indicators!$B$1)&gt;3*[1]QC_indicators!$C$1,"DF","no")))</f>
        <v>0</v>
      </c>
      <c r="FA237" t="str">
        <f t="shared" si="261"/>
        <v/>
      </c>
    </row>
    <row r="238" spans="1:160" ht="15" hidden="1" customHeight="1">
      <c r="A238" s="1" t="s">
        <v>3459</v>
      </c>
      <c r="B238" t="s">
        <v>3460</v>
      </c>
      <c r="C238" t="s">
        <v>3461</v>
      </c>
      <c r="D238" t="s">
        <v>3462</v>
      </c>
      <c r="E238" s="297" t="s">
        <v>3463</v>
      </c>
      <c r="F238" t="s">
        <v>3464</v>
      </c>
      <c r="G238" t="s">
        <v>3465</v>
      </c>
      <c r="H238" t="s">
        <v>3466</v>
      </c>
      <c r="I238">
        <v>2018</v>
      </c>
      <c r="J238">
        <v>17</v>
      </c>
      <c r="K238" t="s">
        <v>3467</v>
      </c>
      <c r="M238" t="str">
        <f t="shared" si="212"/>
        <v>Kovacic_2018</v>
      </c>
      <c r="N238" s="297" t="s">
        <v>4058</v>
      </c>
      <c r="O238" s="171" t="s">
        <v>225</v>
      </c>
      <c r="P238" t="s">
        <v>508</v>
      </c>
      <c r="Q238" s="297" t="s">
        <v>389</v>
      </c>
      <c r="R238" s="298"/>
      <c r="S238" s="1" t="s">
        <v>3468</v>
      </c>
      <c r="T238" t="s">
        <v>3469</v>
      </c>
      <c r="U238" t="s">
        <v>3470</v>
      </c>
      <c r="X238">
        <v>0</v>
      </c>
      <c r="Y238">
        <v>0</v>
      </c>
      <c r="Z238">
        <v>0</v>
      </c>
      <c r="AA238">
        <v>0</v>
      </c>
      <c r="AB238">
        <v>0</v>
      </c>
      <c r="AC238">
        <v>0</v>
      </c>
      <c r="AD238">
        <v>0</v>
      </c>
      <c r="AE238">
        <v>0</v>
      </c>
      <c r="AF238">
        <v>0</v>
      </c>
      <c r="AG238">
        <v>0</v>
      </c>
      <c r="AH238">
        <v>0</v>
      </c>
      <c r="AI238">
        <v>0</v>
      </c>
      <c r="AJ238">
        <v>0</v>
      </c>
      <c r="AK238">
        <v>0</v>
      </c>
      <c r="AL238">
        <v>0</v>
      </c>
      <c r="AM238">
        <v>1</v>
      </c>
      <c r="AN238">
        <v>0</v>
      </c>
      <c r="AO238">
        <v>0</v>
      </c>
      <c r="AP238">
        <v>0</v>
      </c>
      <c r="AQ238">
        <v>0</v>
      </c>
      <c r="AR238">
        <v>0</v>
      </c>
      <c r="AS238">
        <v>0</v>
      </c>
      <c r="AT238">
        <v>0</v>
      </c>
      <c r="AU238">
        <v>0</v>
      </c>
      <c r="AV238">
        <v>0</v>
      </c>
      <c r="AW238">
        <v>0</v>
      </c>
      <c r="AX238">
        <v>0</v>
      </c>
      <c r="AY238">
        <v>0</v>
      </c>
      <c r="AZ238" s="141">
        <f t="shared" ref="AZ238:AZ269" si="265">COUNTIF(X238:AY238,"&lt;&gt;0")</f>
        <v>1</v>
      </c>
      <c r="BA238" s="141">
        <f t="shared" ref="BA238:BA260" si="266">COUNTIF(X238:AN238,"&lt;&gt;0")</f>
        <v>1</v>
      </c>
      <c r="BB238">
        <f t="shared" ref="BB238:BB260" si="267">COUNTIF(X238:AE238,"&lt;&gt;0")</f>
        <v>0</v>
      </c>
      <c r="BC238">
        <f t="shared" ref="BC238:BC260" si="268">COUNTIF(AF238:AK238,"&lt;&gt;0")</f>
        <v>0</v>
      </c>
      <c r="BD238">
        <f t="shared" ref="BD238:BD260" si="269">COUNTIF(AL238:AN238,"&lt;&gt;0")</f>
        <v>1</v>
      </c>
      <c r="BE238">
        <f t="shared" ref="BE238:BE260" si="270">COUNTIF(AU238:AY238,"&lt;&gt;0")</f>
        <v>0</v>
      </c>
      <c r="BF238">
        <f t="shared" ref="BF238:BF260" si="271">COUNTIF(AO238:AT238,"&lt;&gt;0")</f>
        <v>0</v>
      </c>
      <c r="BG238" t="str" cm="1">
        <f t="array" ref="BG238">IF(BA238=1,INDEX($X$7:$AN$7,MATCH(TRUE,INDEX($X238:$AY238&lt;&gt;0,),0)),IF(BA238=0,INDEX($AO$7:$AY$7,MATCH(1,$AO238:$AY238,0)),IF(BH238="Multiple strategies","mixed drivers",IF(BH238="Supply chain","multiple supply","multiple silviculture"))))</f>
        <v>technologies/design switch</v>
      </c>
      <c r="BH238" s="2" t="str" cm="1">
        <f t="array" ref="BH238">IF(COUNTIF(BB238:BD238,"&lt;&gt;0")=1,INDEX($X$4:$AY$4,MATCH(TRUE,INDEX($X238:$AY238&lt;&gt;0,),0)),IF(COUNTIF(BB238:BD238,"&lt;&gt;0")=0,INDEX($AO$4:$AY$4,MATCH(1,$AO238:$AY238,0)),"Multiple strategies"))</f>
        <v>Technology</v>
      </c>
      <c r="BI238" s="1" t="s">
        <v>229</v>
      </c>
      <c r="BO238" t="str">
        <f>IFERROR(BN238/BM238,"")</f>
        <v/>
      </c>
      <c r="BR238" t="s">
        <v>395</v>
      </c>
      <c r="BS238" s="230"/>
      <c r="BT238" s="297" t="s">
        <v>3471</v>
      </c>
      <c r="BU238">
        <v>483</v>
      </c>
      <c r="BV238">
        <v>388</v>
      </c>
      <c r="BW238" s="144">
        <f>BV238/BU238</f>
        <v>0.80331262939958592</v>
      </c>
      <c r="BX238">
        <f t="shared" si="262"/>
        <v>-95</v>
      </c>
      <c r="BZ238">
        <f>BX238/1000</f>
        <v>-9.5000000000000001E-2</v>
      </c>
      <c r="CA238" t="str">
        <f t="shared" si="252"/>
        <v/>
      </c>
      <c r="CB238">
        <v>0</v>
      </c>
      <c r="CC238">
        <v>0</v>
      </c>
      <c r="CD238">
        <v>0</v>
      </c>
      <c r="CE238">
        <v>0</v>
      </c>
      <c r="CF238">
        <v>0</v>
      </c>
      <c r="CG238">
        <v>1</v>
      </c>
      <c r="CH238">
        <v>0</v>
      </c>
      <c r="CI238">
        <v>0</v>
      </c>
      <c r="CJ238">
        <v>0</v>
      </c>
      <c r="CK238">
        <v>0</v>
      </c>
      <c r="CL238">
        <v>0</v>
      </c>
      <c r="CM238">
        <v>0</v>
      </c>
      <c r="CN238">
        <v>0</v>
      </c>
      <c r="CO238">
        <v>0</v>
      </c>
      <c r="CP238" t="str">
        <f t="shared" si="263"/>
        <v>refOK</v>
      </c>
      <c r="CQ238"/>
      <c r="CR238"/>
      <c r="CS238"/>
      <c r="CT238">
        <f t="shared" si="253"/>
        <v>0</v>
      </c>
      <c r="CU238">
        <f t="shared" ref="CU238:CU260" si="272">IF($CP238="refOK",$BU238,$BV238)*IF($BR238="Emissions positive",-1,1)</f>
        <v>-483</v>
      </c>
      <c r="CV238">
        <f t="shared" ref="CV238:CV260" si="273">IF($CP238="refOK",$BV238,$BU238)*IF($BR238="Emissions positive",-1,1)</f>
        <v>-388</v>
      </c>
      <c r="CW238">
        <f t="shared" ref="CW238:CW260" si="274">IF($CP238="refNeedCorrection",-BZ238,BZ238)*IF($BR238="Emissions positive",-1,1)</f>
        <v>9.5000000000000001E-2</v>
      </c>
      <c r="CX238" t="str">
        <f t="shared" si="254"/>
        <v/>
      </c>
      <c r="CY238" t="str">
        <f t="shared" ref="CY238:CY260" si="275">IFERROR($CW238/$CS238,"")</f>
        <v/>
      </c>
      <c r="CZ238" t="str">
        <f t="shared" si="255"/>
        <v/>
      </c>
      <c r="DA238" s="2">
        <f t="shared" ref="DA238:DA260" si="276">IFERROR((CV238-CU238)/ABS(CU238),"")</f>
        <v>0.19668737060041408</v>
      </c>
      <c r="DB238" s="1" t="s">
        <v>3472</v>
      </c>
      <c r="DC238" s="297" t="str">
        <f t="shared" ref="DC238:DC260" si="277">IF(OR($DB238="prd",$DB238="std",$DB238="cit"),"loc",IF(OR($DB238="eur",$DB238="reg",$DB238="coy"),"reg",$DB238))</f>
        <v>reg</v>
      </c>
      <c r="DD238" t="s">
        <v>653</v>
      </c>
      <c r="DG238">
        <v>80</v>
      </c>
      <c r="DH238" t="str">
        <f t="shared" ref="DH238:DH269" si="278">IF(DG238=0,"0",IF(AND(DG238&gt;=1,DG238&lt;=30),"1-30",IF(AND(DG238&gt;30,DG238&lt;=70),"31-70",IF(AND(DG238&gt;70,DG238&lt;=100),"71-100",IF(DG238&gt;100,"+100")))))</f>
        <v>71-100</v>
      </c>
      <c r="DI238">
        <v>0</v>
      </c>
      <c r="DJ238">
        <v>0</v>
      </c>
      <c r="DK238">
        <v>0</v>
      </c>
      <c r="DL238">
        <v>1</v>
      </c>
      <c r="DM238">
        <v>0</v>
      </c>
      <c r="DN238">
        <f t="shared" si="264"/>
        <v>1</v>
      </c>
      <c r="DO238" t="str">
        <f t="shared" ref="DO238:DO269" si="279">IF(DN238=1,INDEX($DI$7:$DL$7,MATCH(1,$DI238:$DL238,0)),"mixedProduct")</f>
        <v>TimberInput</v>
      </c>
      <c r="DP238">
        <f t="shared" ref="DP238:DP260" si="280">IF(DI238=1,DP$7,0)</f>
        <v>0</v>
      </c>
      <c r="DQ238">
        <f t="shared" ref="DQ238:DQ260" si="281">IF(DJ238=1,DQ$7,0)</f>
        <v>0</v>
      </c>
      <c r="DR238">
        <f t="shared" ref="DR238:DR260" si="282">IF(DK238=1,DR$7,0)</f>
        <v>0</v>
      </c>
      <c r="DS238" t="str">
        <f t="shared" ref="DS238:DS260" si="283">IF(DL238=1,DS$7,0)</f>
        <v>Timber</v>
      </c>
      <c r="DT238">
        <v>0</v>
      </c>
      <c r="DU238">
        <v>0</v>
      </c>
      <c r="DV238">
        <v>0</v>
      </c>
      <c r="DW238">
        <v>0</v>
      </c>
      <c r="DX238">
        <v>0</v>
      </c>
      <c r="DY238"/>
      <c r="DZ238" s="143" t="str">
        <f t="shared" ref="DZ238:DZ260" si="284">IF(DT238=1,"self-calculated DF",IF(DU238=1,"external DF used","explicit C balance"))</f>
        <v>explicit C balance</v>
      </c>
      <c r="EA238">
        <v>0</v>
      </c>
      <c r="EB238">
        <v>0</v>
      </c>
      <c r="EC238">
        <v>0</v>
      </c>
      <c r="ED238">
        <v>0</v>
      </c>
      <c r="EE238">
        <v>0</v>
      </c>
      <c r="EF238" s="143">
        <v>0</v>
      </c>
      <c r="EG238">
        <v>0</v>
      </c>
      <c r="EH238">
        <v>1</v>
      </c>
      <c r="EI238">
        <v>1</v>
      </c>
      <c r="EJ238">
        <v>1</v>
      </c>
      <c r="EK238">
        <v>0</v>
      </c>
      <c r="EL238">
        <v>0</v>
      </c>
      <c r="EM238">
        <v>0</v>
      </c>
      <c r="EN238" s="2">
        <v>0</v>
      </c>
      <c r="EP238" t="str">
        <f t="shared" si="256"/>
        <v/>
      </c>
      <c r="EQ238" t="str">
        <f t="shared" si="251"/>
        <v/>
      </c>
      <c r="ER238" s="2" t="str">
        <f t="shared" si="257"/>
        <v>Technology approach</v>
      </c>
      <c r="ES238" t="str">
        <f t="shared" si="258"/>
        <v/>
      </c>
      <c r="ET238" t="str">
        <f t="shared" si="259"/>
        <v/>
      </c>
      <c r="EU238" t="str">
        <f t="shared" si="260"/>
        <v/>
      </c>
      <c r="EY238" t="b">
        <f>IF(ISNUMBER(BW238),IF(ABS(BW238-[1]QC_indicators!$B$2)&gt;3*[1]QC_indicators!$C$2,"C ratio",IF(ISNUMBER(CA238),IF(ABS(CA238-[1]QC_indicators!$B$1)&gt;3*[1]QC_indicators!$C$1,"DF","no"))),IF(ISNUMBER(CA238),IF(ABS(CA238-[1]QC_indicators!$B$1)&gt;3*[1]QC_indicators!$C$1,"DF","no")))</f>
        <v>0</v>
      </c>
      <c r="FA238" t="str">
        <f t="shared" si="261"/>
        <v/>
      </c>
    </row>
    <row r="239" spans="1:160" ht="15" hidden="1" customHeight="1">
      <c r="A239" s="1" t="s">
        <v>3459</v>
      </c>
      <c r="B239" t="s">
        <v>3460</v>
      </c>
      <c r="C239" t="s">
        <v>3461</v>
      </c>
      <c r="D239" t="s">
        <v>3462</v>
      </c>
      <c r="E239" s="297" t="s">
        <v>3463</v>
      </c>
      <c r="F239" t="s">
        <v>3464</v>
      </c>
      <c r="G239" t="s">
        <v>3465</v>
      </c>
      <c r="H239" t="s">
        <v>3466</v>
      </c>
      <c r="I239">
        <v>2018</v>
      </c>
      <c r="J239">
        <v>17</v>
      </c>
      <c r="K239" t="s">
        <v>3467</v>
      </c>
      <c r="M239" t="str">
        <f t="shared" si="212"/>
        <v>Kovacic_2018</v>
      </c>
      <c r="N239" s="297" t="s">
        <v>4058</v>
      </c>
      <c r="O239" s="171" t="s">
        <v>225</v>
      </c>
      <c r="P239" t="s">
        <v>508</v>
      </c>
      <c r="Q239" s="297" t="s">
        <v>389</v>
      </c>
      <c r="R239" s="298"/>
      <c r="S239" s="1" t="s">
        <v>3468</v>
      </c>
      <c r="T239" t="s">
        <v>3469</v>
      </c>
      <c r="U239" t="s">
        <v>3470</v>
      </c>
      <c r="X239">
        <v>0</v>
      </c>
      <c r="Y239">
        <v>0</v>
      </c>
      <c r="Z239">
        <v>0</v>
      </c>
      <c r="AA239">
        <v>0</v>
      </c>
      <c r="AB239">
        <v>0</v>
      </c>
      <c r="AC239">
        <v>0</v>
      </c>
      <c r="AD239">
        <v>0</v>
      </c>
      <c r="AE239">
        <v>0</v>
      </c>
      <c r="AF239">
        <v>0</v>
      </c>
      <c r="AG239">
        <v>0</v>
      </c>
      <c r="AH239">
        <v>0</v>
      </c>
      <c r="AI239">
        <v>0</v>
      </c>
      <c r="AJ239">
        <v>0</v>
      </c>
      <c r="AK239">
        <v>0</v>
      </c>
      <c r="AL239">
        <v>0</v>
      </c>
      <c r="AM239">
        <v>1</v>
      </c>
      <c r="AN239">
        <v>0</v>
      </c>
      <c r="AO239">
        <v>0</v>
      </c>
      <c r="AP239">
        <v>0</v>
      </c>
      <c r="AQ239">
        <v>0</v>
      </c>
      <c r="AR239">
        <v>0</v>
      </c>
      <c r="AS239">
        <v>0</v>
      </c>
      <c r="AT239">
        <v>0</v>
      </c>
      <c r="AU239">
        <v>0</v>
      </c>
      <c r="AV239">
        <v>0</v>
      </c>
      <c r="AW239">
        <v>0</v>
      </c>
      <c r="AX239">
        <v>0</v>
      </c>
      <c r="AY239">
        <v>0</v>
      </c>
      <c r="AZ239" s="141">
        <f t="shared" si="265"/>
        <v>1</v>
      </c>
      <c r="BA239" s="141">
        <f t="shared" si="266"/>
        <v>1</v>
      </c>
      <c r="BB239">
        <f t="shared" si="267"/>
        <v>0</v>
      </c>
      <c r="BC239">
        <f t="shared" si="268"/>
        <v>0</v>
      </c>
      <c r="BD239">
        <f t="shared" si="269"/>
        <v>1</v>
      </c>
      <c r="BE239">
        <f t="shared" si="270"/>
        <v>0</v>
      </c>
      <c r="BF239">
        <f t="shared" si="271"/>
        <v>0</v>
      </c>
      <c r="BG239" t="str" cm="1">
        <f t="array" ref="BG239">IF(BA239=1,INDEX($X$7:$AN$7,MATCH(TRUE,INDEX($X239:$AY239&lt;&gt;0,),0)),IF(BA239=0,INDEX($AO$7:$AY$7,MATCH(1,$AO239:$AY239,0)),IF(BH239="Multiple strategies","mixed drivers",IF(BH239="Supply chain","multiple supply","multiple silviculture"))))</f>
        <v>technologies/design switch</v>
      </c>
      <c r="BH239" s="2" t="str" cm="1">
        <f t="array" ref="BH239">IF(COUNTIF(BB239:BD239,"&lt;&gt;0")=1,INDEX($X$4:$AY$4,MATCH(TRUE,INDEX($X239:$AY239&lt;&gt;0,),0)),IF(COUNTIF(BB239:BD239,"&lt;&gt;0")=0,INDEX($AO$4:$AY$4,MATCH(1,$AO239:$AY239,0)),"Multiple strategies"))</f>
        <v>Technology</v>
      </c>
      <c r="BI239" s="1" t="s">
        <v>229</v>
      </c>
      <c r="BO239" t="str">
        <f>IFERROR(BN239/BM239,"")</f>
        <v/>
      </c>
      <c r="BR239" t="s">
        <v>395</v>
      </c>
      <c r="BS239" s="230"/>
      <c r="BT239" s="297" t="s">
        <v>3471</v>
      </c>
      <c r="BU239">
        <v>373</v>
      </c>
      <c r="BV239">
        <v>295</v>
      </c>
      <c r="BW239" s="144">
        <f>BV239/BU239</f>
        <v>0.79088471849865949</v>
      </c>
      <c r="BX239">
        <f t="shared" si="262"/>
        <v>-78</v>
      </c>
      <c r="BZ239">
        <f>BX239/1000</f>
        <v>-7.8E-2</v>
      </c>
      <c r="CA239" t="str">
        <f t="shared" si="252"/>
        <v/>
      </c>
      <c r="CB239">
        <v>0</v>
      </c>
      <c r="CC239">
        <v>0</v>
      </c>
      <c r="CD239">
        <v>0</v>
      </c>
      <c r="CE239">
        <v>0</v>
      </c>
      <c r="CF239">
        <v>0</v>
      </c>
      <c r="CG239">
        <v>1</v>
      </c>
      <c r="CH239">
        <v>0</v>
      </c>
      <c r="CI239">
        <v>0</v>
      </c>
      <c r="CJ239">
        <v>0</v>
      </c>
      <c r="CK239">
        <v>0</v>
      </c>
      <c r="CL239">
        <v>0</v>
      </c>
      <c r="CM239">
        <v>0</v>
      </c>
      <c r="CN239">
        <v>0</v>
      </c>
      <c r="CO239">
        <v>0</v>
      </c>
      <c r="CP239" t="str">
        <f t="shared" si="263"/>
        <v>refOK</v>
      </c>
      <c r="CQ239"/>
      <c r="CR239"/>
      <c r="CS239"/>
      <c r="CT239">
        <f t="shared" si="253"/>
        <v>0</v>
      </c>
      <c r="CU239">
        <f t="shared" si="272"/>
        <v>-373</v>
      </c>
      <c r="CV239">
        <f t="shared" si="273"/>
        <v>-295</v>
      </c>
      <c r="CW239">
        <f t="shared" si="274"/>
        <v>7.8E-2</v>
      </c>
      <c r="CX239" t="str">
        <f t="shared" si="254"/>
        <v/>
      </c>
      <c r="CY239" t="str">
        <f t="shared" si="275"/>
        <v/>
      </c>
      <c r="CZ239" t="str">
        <f t="shared" si="255"/>
        <v/>
      </c>
      <c r="DA239" s="2">
        <f t="shared" si="276"/>
        <v>0.20911528150134048</v>
      </c>
      <c r="DB239" s="1" t="s">
        <v>3472</v>
      </c>
      <c r="DC239" s="297" t="str">
        <f t="shared" si="277"/>
        <v>reg</v>
      </c>
      <c r="DD239" t="s">
        <v>653</v>
      </c>
      <c r="DG239">
        <v>20</v>
      </c>
      <c r="DH239" t="str">
        <f t="shared" si="278"/>
        <v>1-30</v>
      </c>
      <c r="DI239">
        <v>0</v>
      </c>
      <c r="DJ239">
        <v>0</v>
      </c>
      <c r="DK239">
        <v>0</v>
      </c>
      <c r="DL239">
        <v>1</v>
      </c>
      <c r="DM239">
        <v>0</v>
      </c>
      <c r="DN239">
        <f t="shared" si="264"/>
        <v>1</v>
      </c>
      <c r="DO239" t="str">
        <f t="shared" si="279"/>
        <v>TimberInput</v>
      </c>
      <c r="DP239">
        <f t="shared" si="280"/>
        <v>0</v>
      </c>
      <c r="DQ239">
        <f t="shared" si="281"/>
        <v>0</v>
      </c>
      <c r="DR239">
        <f t="shared" si="282"/>
        <v>0</v>
      </c>
      <c r="DS239" t="str">
        <f t="shared" si="283"/>
        <v>Timber</v>
      </c>
      <c r="DT239">
        <v>0</v>
      </c>
      <c r="DU239">
        <v>0</v>
      </c>
      <c r="DV239">
        <v>0</v>
      </c>
      <c r="DW239">
        <v>0</v>
      </c>
      <c r="DX239">
        <v>0</v>
      </c>
      <c r="DY239"/>
      <c r="DZ239" s="143" t="str">
        <f t="shared" si="284"/>
        <v>explicit C balance</v>
      </c>
      <c r="EA239">
        <v>0</v>
      </c>
      <c r="EB239">
        <v>0</v>
      </c>
      <c r="EC239">
        <v>0</v>
      </c>
      <c r="ED239">
        <v>0</v>
      </c>
      <c r="EE239">
        <v>0</v>
      </c>
      <c r="EF239" s="143">
        <v>0</v>
      </c>
      <c r="EG239">
        <v>0</v>
      </c>
      <c r="EH239">
        <v>1</v>
      </c>
      <c r="EI239">
        <v>1</v>
      </c>
      <c r="EJ239">
        <v>1</v>
      </c>
      <c r="EK239">
        <v>0</v>
      </c>
      <c r="EL239">
        <v>0</v>
      </c>
      <c r="EM239">
        <v>0</v>
      </c>
      <c r="EN239" s="2">
        <v>0</v>
      </c>
      <c r="EP239" t="str">
        <f t="shared" si="256"/>
        <v/>
      </c>
      <c r="EQ239" t="str">
        <f t="shared" si="251"/>
        <v/>
      </c>
      <c r="ER239" s="2" t="str">
        <f t="shared" si="257"/>
        <v>Technology approach</v>
      </c>
      <c r="ES239" t="str">
        <f t="shared" si="258"/>
        <v/>
      </c>
      <c r="ET239" t="str">
        <f t="shared" si="259"/>
        <v/>
      </c>
      <c r="EU239" t="str">
        <f t="shared" si="260"/>
        <v/>
      </c>
      <c r="EY239" t="b">
        <f>IF(ISNUMBER(BW239),IF(ABS(BW239-[1]QC_indicators!$B$2)&gt;3*[1]QC_indicators!$C$2,"C ratio",IF(ISNUMBER(CA239),IF(ABS(CA239-[1]QC_indicators!$B$1)&gt;3*[1]QC_indicators!$C$1,"DF","no"))),IF(ISNUMBER(CA239),IF(ABS(CA239-[1]QC_indicators!$B$1)&gt;3*[1]QC_indicators!$C$1,"DF","no")))</f>
        <v>0</v>
      </c>
      <c r="FA239" t="str">
        <f t="shared" si="261"/>
        <v/>
      </c>
    </row>
    <row r="240" spans="1:160" ht="15" hidden="1" customHeight="1">
      <c r="A240" s="1" t="s">
        <v>3459</v>
      </c>
      <c r="B240" t="s">
        <v>3460</v>
      </c>
      <c r="C240" t="s">
        <v>3461</v>
      </c>
      <c r="D240" t="s">
        <v>3462</v>
      </c>
      <c r="E240" s="297" t="s">
        <v>3463</v>
      </c>
      <c r="F240" t="s">
        <v>3464</v>
      </c>
      <c r="G240" t="s">
        <v>3465</v>
      </c>
      <c r="H240" t="s">
        <v>3466</v>
      </c>
      <c r="I240">
        <v>2018</v>
      </c>
      <c r="J240">
        <v>17</v>
      </c>
      <c r="K240" t="s">
        <v>3467</v>
      </c>
      <c r="M240" t="str">
        <f t="shared" si="212"/>
        <v>Kovacic_2018</v>
      </c>
      <c r="N240" s="297" t="s">
        <v>4058</v>
      </c>
      <c r="O240" s="171" t="s">
        <v>225</v>
      </c>
      <c r="P240" t="s">
        <v>508</v>
      </c>
      <c r="Q240" s="297" t="s">
        <v>389</v>
      </c>
      <c r="R240" s="298"/>
      <c r="S240" s="1" t="s">
        <v>3468</v>
      </c>
      <c r="T240" t="s">
        <v>3469</v>
      </c>
      <c r="U240" t="s">
        <v>3470</v>
      </c>
      <c r="X240">
        <v>0</v>
      </c>
      <c r="Y240">
        <v>0</v>
      </c>
      <c r="Z240">
        <v>0</v>
      </c>
      <c r="AA240">
        <v>0</v>
      </c>
      <c r="AB240">
        <v>0</v>
      </c>
      <c r="AC240">
        <v>0</v>
      </c>
      <c r="AD240">
        <v>0</v>
      </c>
      <c r="AE240">
        <v>0</v>
      </c>
      <c r="AF240">
        <v>0</v>
      </c>
      <c r="AG240">
        <v>0</v>
      </c>
      <c r="AH240">
        <v>0</v>
      </c>
      <c r="AI240">
        <v>0</v>
      </c>
      <c r="AJ240">
        <v>0</v>
      </c>
      <c r="AK240">
        <v>0</v>
      </c>
      <c r="AL240">
        <v>0</v>
      </c>
      <c r="AM240">
        <v>1</v>
      </c>
      <c r="AN240">
        <v>0</v>
      </c>
      <c r="AO240">
        <v>0</v>
      </c>
      <c r="AP240">
        <v>0</v>
      </c>
      <c r="AQ240">
        <v>0</v>
      </c>
      <c r="AR240">
        <v>0</v>
      </c>
      <c r="AS240">
        <v>0</v>
      </c>
      <c r="AT240">
        <v>0</v>
      </c>
      <c r="AU240">
        <v>0</v>
      </c>
      <c r="AV240">
        <v>0</v>
      </c>
      <c r="AW240">
        <v>0</v>
      </c>
      <c r="AX240">
        <v>0</v>
      </c>
      <c r="AY240">
        <v>0</v>
      </c>
      <c r="AZ240" s="141">
        <f t="shared" si="265"/>
        <v>1</v>
      </c>
      <c r="BA240" s="141">
        <f t="shared" si="266"/>
        <v>1</v>
      </c>
      <c r="BB240">
        <f t="shared" si="267"/>
        <v>0</v>
      </c>
      <c r="BC240">
        <f t="shared" si="268"/>
        <v>0</v>
      </c>
      <c r="BD240">
        <f t="shared" si="269"/>
        <v>1</v>
      </c>
      <c r="BE240">
        <f t="shared" si="270"/>
        <v>0</v>
      </c>
      <c r="BF240">
        <f t="shared" si="271"/>
        <v>0</v>
      </c>
      <c r="BG240" t="str" cm="1">
        <f t="array" ref="BG240">IF(BA240=1,INDEX($X$7:$AN$7,MATCH(TRUE,INDEX($X240:$AY240&lt;&gt;0,),0)),IF(BA240=0,INDEX($AO$7:$AY$7,MATCH(1,$AO240:$AY240,0)),IF(BH240="Multiple strategies","mixed drivers",IF(BH240="Supply chain","multiple supply","multiple silviculture"))))</f>
        <v>technologies/design switch</v>
      </c>
      <c r="BH240" s="2" t="str" cm="1">
        <f t="array" ref="BH240">IF(COUNTIF(BB240:BD240,"&lt;&gt;0")=1,INDEX($X$4:$AY$4,MATCH(TRUE,INDEX($X240:$AY240&lt;&gt;0,),0)),IF(COUNTIF(BB240:BD240,"&lt;&gt;0")=0,INDEX($AO$4:$AY$4,MATCH(1,$AO240:$AY240,0)),"Multiple strategies"))</f>
        <v>Technology</v>
      </c>
      <c r="BI240" s="1" t="s">
        <v>229</v>
      </c>
      <c r="BO240" t="str">
        <f>IFERROR(BN240/BM240,"")</f>
        <v/>
      </c>
      <c r="BR240" t="s">
        <v>395</v>
      </c>
      <c r="BS240" s="230"/>
      <c r="BT240" s="297" t="s">
        <v>3471</v>
      </c>
      <c r="BU240">
        <v>429</v>
      </c>
      <c r="BV240">
        <v>324</v>
      </c>
      <c r="BW240" s="144">
        <f>BV240/BU240</f>
        <v>0.75524475524475521</v>
      </c>
      <c r="BX240">
        <f t="shared" si="262"/>
        <v>-105</v>
      </c>
      <c r="BZ240">
        <f>BX240/1000</f>
        <v>-0.105</v>
      </c>
      <c r="CA240" t="str">
        <f t="shared" si="252"/>
        <v/>
      </c>
      <c r="CB240">
        <v>0</v>
      </c>
      <c r="CC240">
        <v>0</v>
      </c>
      <c r="CD240">
        <v>0</v>
      </c>
      <c r="CE240">
        <v>0</v>
      </c>
      <c r="CF240">
        <v>0</v>
      </c>
      <c r="CG240">
        <v>1</v>
      </c>
      <c r="CH240">
        <v>0</v>
      </c>
      <c r="CI240">
        <v>0</v>
      </c>
      <c r="CJ240">
        <v>0</v>
      </c>
      <c r="CK240">
        <v>0</v>
      </c>
      <c r="CL240">
        <v>0</v>
      </c>
      <c r="CM240">
        <v>0</v>
      </c>
      <c r="CN240">
        <v>0</v>
      </c>
      <c r="CO240">
        <v>0</v>
      </c>
      <c r="CP240" t="str">
        <f t="shared" si="263"/>
        <v>refOK</v>
      </c>
      <c r="CQ240"/>
      <c r="CR240"/>
      <c r="CS240"/>
      <c r="CT240">
        <f t="shared" si="253"/>
        <v>0</v>
      </c>
      <c r="CU240">
        <f t="shared" si="272"/>
        <v>-429</v>
      </c>
      <c r="CV240">
        <f t="shared" si="273"/>
        <v>-324</v>
      </c>
      <c r="CW240">
        <f t="shared" si="274"/>
        <v>0.105</v>
      </c>
      <c r="CX240" t="str">
        <f t="shared" si="254"/>
        <v/>
      </c>
      <c r="CY240" t="str">
        <f t="shared" si="275"/>
        <v/>
      </c>
      <c r="CZ240" t="str">
        <f t="shared" si="255"/>
        <v/>
      </c>
      <c r="DA240" s="2">
        <f t="shared" si="276"/>
        <v>0.24475524475524477</v>
      </c>
      <c r="DB240" s="1" t="s">
        <v>3472</v>
      </c>
      <c r="DC240" s="297" t="str">
        <f t="shared" si="277"/>
        <v>reg</v>
      </c>
      <c r="DD240" t="s">
        <v>653</v>
      </c>
      <c r="DG240">
        <v>50</v>
      </c>
      <c r="DH240" t="str">
        <f t="shared" si="278"/>
        <v>31-70</v>
      </c>
      <c r="DI240">
        <v>0</v>
      </c>
      <c r="DJ240">
        <v>0</v>
      </c>
      <c r="DK240">
        <v>0</v>
      </c>
      <c r="DL240">
        <v>1</v>
      </c>
      <c r="DM240">
        <v>0</v>
      </c>
      <c r="DN240">
        <f t="shared" si="264"/>
        <v>1</v>
      </c>
      <c r="DO240" t="str">
        <f t="shared" si="279"/>
        <v>TimberInput</v>
      </c>
      <c r="DP240">
        <f t="shared" si="280"/>
        <v>0</v>
      </c>
      <c r="DQ240">
        <f t="shared" si="281"/>
        <v>0</v>
      </c>
      <c r="DR240">
        <f t="shared" si="282"/>
        <v>0</v>
      </c>
      <c r="DS240" t="str">
        <f t="shared" si="283"/>
        <v>Timber</v>
      </c>
      <c r="DT240">
        <v>0</v>
      </c>
      <c r="DU240">
        <v>0</v>
      </c>
      <c r="DV240">
        <v>0</v>
      </c>
      <c r="DW240">
        <v>0</v>
      </c>
      <c r="DX240">
        <v>0</v>
      </c>
      <c r="DY240"/>
      <c r="DZ240" s="143" t="str">
        <f t="shared" si="284"/>
        <v>explicit C balance</v>
      </c>
      <c r="EA240">
        <v>0</v>
      </c>
      <c r="EB240">
        <v>0</v>
      </c>
      <c r="EC240">
        <v>0</v>
      </c>
      <c r="ED240">
        <v>0</v>
      </c>
      <c r="EE240">
        <v>0</v>
      </c>
      <c r="EF240" s="143">
        <v>0</v>
      </c>
      <c r="EG240">
        <v>0</v>
      </c>
      <c r="EH240">
        <v>1</v>
      </c>
      <c r="EI240">
        <v>1</v>
      </c>
      <c r="EJ240">
        <v>1</v>
      </c>
      <c r="EK240">
        <v>0</v>
      </c>
      <c r="EL240">
        <v>0</v>
      </c>
      <c r="EM240">
        <v>0</v>
      </c>
      <c r="EN240" s="2">
        <v>0</v>
      </c>
      <c r="EP240" t="str">
        <f t="shared" si="256"/>
        <v/>
      </c>
      <c r="EQ240" t="str">
        <f t="shared" si="251"/>
        <v/>
      </c>
      <c r="ER240" s="2" t="str">
        <f t="shared" si="257"/>
        <v>Technology approach</v>
      </c>
      <c r="ES240" t="str">
        <f t="shared" si="258"/>
        <v/>
      </c>
      <c r="ET240" t="str">
        <f t="shared" si="259"/>
        <v/>
      </c>
      <c r="EU240" t="str">
        <f t="shared" si="260"/>
        <v/>
      </c>
      <c r="EY240" t="b">
        <f>IF(ISNUMBER(BW240),IF(ABS(BW240-[1]QC_indicators!$B$2)&gt;3*[1]QC_indicators!$C$2,"C ratio",IF(ISNUMBER(CA240),IF(ABS(CA240-[1]QC_indicators!$B$1)&gt;3*[1]QC_indicators!$C$1,"DF","no"))),IF(ISNUMBER(CA240),IF(ABS(CA240-[1]QC_indicators!$B$1)&gt;3*[1]QC_indicators!$C$1,"DF","no")))</f>
        <v>0</v>
      </c>
      <c r="FA240" t="str">
        <f t="shared" si="261"/>
        <v/>
      </c>
    </row>
    <row r="241" spans="1:160" ht="15" hidden="1" customHeight="1">
      <c r="A241" s="1" t="s">
        <v>3473</v>
      </c>
      <c r="B241" t="s">
        <v>3474</v>
      </c>
      <c r="C241" t="s">
        <v>3475</v>
      </c>
      <c r="D241" t="s">
        <v>3476</v>
      </c>
      <c r="E241" t="s">
        <v>3477</v>
      </c>
      <c r="F241" t="s">
        <v>3478</v>
      </c>
      <c r="G241" t="s">
        <v>3479</v>
      </c>
      <c r="H241" t="s">
        <v>254</v>
      </c>
      <c r="I241">
        <v>2019</v>
      </c>
      <c r="J241">
        <v>9</v>
      </c>
      <c r="K241" t="s">
        <v>3480</v>
      </c>
      <c r="M241" t="str">
        <f t="shared" si="212"/>
        <v>Labelle_2019</v>
      </c>
      <c r="N241" s="297" t="s">
        <v>4058</v>
      </c>
      <c r="O241" s="145" t="s">
        <v>225</v>
      </c>
      <c r="Q241" s="297" t="s">
        <v>256</v>
      </c>
      <c r="R241" s="298"/>
      <c r="S241" s="1" t="s">
        <v>3481</v>
      </c>
      <c r="T241" t="s">
        <v>3482</v>
      </c>
      <c r="U241" t="s">
        <v>3483</v>
      </c>
      <c r="X241">
        <v>0</v>
      </c>
      <c r="Y241">
        <v>0</v>
      </c>
      <c r="Z241">
        <v>0</v>
      </c>
      <c r="AA241">
        <v>0</v>
      </c>
      <c r="AB241">
        <v>0</v>
      </c>
      <c r="AC241">
        <v>0</v>
      </c>
      <c r="AD241">
        <v>0</v>
      </c>
      <c r="AE241">
        <v>0</v>
      </c>
      <c r="AF241">
        <v>1</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s="141">
        <f t="shared" si="265"/>
        <v>1</v>
      </c>
      <c r="BA241" s="141">
        <f t="shared" si="266"/>
        <v>1</v>
      </c>
      <c r="BB241">
        <f t="shared" si="267"/>
        <v>0</v>
      </c>
      <c r="BC241">
        <f t="shared" si="268"/>
        <v>1</v>
      </c>
      <c r="BD241">
        <f t="shared" si="269"/>
        <v>0</v>
      </c>
      <c r="BE241">
        <f t="shared" si="270"/>
        <v>0</v>
      </c>
      <c r="BF241">
        <f t="shared" si="271"/>
        <v>0</v>
      </c>
      <c r="BG241" t="str" cm="1">
        <f t="array" ref="BG241">IF(BA241=1,INDEX($X$7:$AN$7,MATCH(TRUE,INDEX($X241:$AY241&lt;&gt;0,),0)),IF(BA241=0,INDEX($AO$7:$AY$7,MATCH(1,$AO241:$AY241,0)),IF(BH241="Multiple strategies","mixed drivers",IF(BH241="Supply chain","multiple supply","multiple silviculture"))))</f>
        <v>harvesting system</v>
      </c>
      <c r="BH241" s="2" t="str" cm="1">
        <f t="array" ref="BH241">IF(COUNTIF(BB241:BD241,"&lt;&gt;0")=1,INDEX($X$4:$AY$4,MATCH(TRUE,INDEX($X241:$AY241&lt;&gt;0,),0)),IF(COUNTIF(BB241:BD241,"&lt;&gt;0")=0,INDEX($AO$4:$AY$4,MATCH(1,$AO241:$AY241,0)),"Multiple strategies"))</f>
        <v>Supply chain</v>
      </c>
      <c r="BI241" s="142"/>
      <c r="BL241" s="143"/>
      <c r="BN241" s="143"/>
      <c r="BO241" s="163"/>
      <c r="BP241" s="158"/>
      <c r="BQ241" s="143"/>
      <c r="BR241" s="297" t="s">
        <v>232</v>
      </c>
      <c r="BS241" s="331"/>
      <c r="BT241" t="s">
        <v>3484</v>
      </c>
      <c r="BU241" s="308">
        <v>-4.4180000000000001</v>
      </c>
      <c r="BV241" s="309">
        <v>-3.0760000000000001</v>
      </c>
      <c r="BW241" s="144">
        <v>0.69624264373019462</v>
      </c>
      <c r="BX241" s="309">
        <f t="shared" si="262"/>
        <v>1.3420000000000001</v>
      </c>
      <c r="BZ241">
        <f>BX241/10^3</f>
        <v>1.3420000000000001E-3</v>
      </c>
      <c r="CA241" t="str">
        <f t="shared" si="252"/>
        <v/>
      </c>
      <c r="CB241">
        <v>0</v>
      </c>
      <c r="CC241">
        <v>0</v>
      </c>
      <c r="CD241">
        <v>0</v>
      </c>
      <c r="CE241">
        <v>0</v>
      </c>
      <c r="CF241">
        <v>0</v>
      </c>
      <c r="CG241">
        <v>0</v>
      </c>
      <c r="CH241">
        <v>0</v>
      </c>
      <c r="CI241">
        <v>0</v>
      </c>
      <c r="CJ241">
        <v>0</v>
      </c>
      <c r="CK241">
        <v>0</v>
      </c>
      <c r="CL241">
        <v>0</v>
      </c>
      <c r="CM241">
        <v>0</v>
      </c>
      <c r="CN241">
        <v>0</v>
      </c>
      <c r="CO241">
        <v>0</v>
      </c>
      <c r="CP241" t="str">
        <f t="shared" ref="CP241:CP250" si="285">IF(BN241&lt;BM241,"refNeedCorrection","refOK")</f>
        <v>refOK</v>
      </c>
      <c r="CQ241"/>
      <c r="CR241"/>
      <c r="CS241"/>
      <c r="CT241">
        <f t="shared" si="253"/>
        <v>0</v>
      </c>
      <c r="CU241">
        <f t="shared" si="272"/>
        <v>-4.4180000000000001</v>
      </c>
      <c r="CV241">
        <f t="shared" si="273"/>
        <v>-3.0760000000000001</v>
      </c>
      <c r="CW241">
        <f t="shared" si="274"/>
        <v>1.3420000000000001E-3</v>
      </c>
      <c r="CX241" t="str">
        <f t="shared" si="254"/>
        <v/>
      </c>
      <c r="CY241" t="str">
        <f t="shared" si="275"/>
        <v/>
      </c>
      <c r="CZ241" t="str">
        <f t="shared" si="255"/>
        <v/>
      </c>
      <c r="DA241" s="2">
        <f t="shared" si="276"/>
        <v>0.30375735626980532</v>
      </c>
      <c r="DB241" s="1" t="s">
        <v>1074</v>
      </c>
      <c r="DC241" s="297" t="str">
        <f t="shared" si="277"/>
        <v>reg</v>
      </c>
      <c r="DD241" t="s">
        <v>1176</v>
      </c>
      <c r="DE241">
        <v>2016</v>
      </c>
      <c r="DF241" s="143">
        <v>2016</v>
      </c>
      <c r="DG241" s="143">
        <v>1</v>
      </c>
      <c r="DH241" t="str">
        <f t="shared" si="278"/>
        <v>1-30</v>
      </c>
      <c r="DI241">
        <v>0</v>
      </c>
      <c r="DJ241">
        <v>0</v>
      </c>
      <c r="DK241">
        <v>0</v>
      </c>
      <c r="DL241">
        <v>0</v>
      </c>
      <c r="DN241">
        <f t="shared" ref="DN241:DN260" si="286">SUM(DI241:DL241)</f>
        <v>0</v>
      </c>
      <c r="DO241" t="str">
        <f t="shared" si="279"/>
        <v>mixedProduct</v>
      </c>
      <c r="DP241">
        <f t="shared" si="280"/>
        <v>0</v>
      </c>
      <c r="DQ241">
        <f t="shared" si="281"/>
        <v>0</v>
      </c>
      <c r="DR241">
        <f t="shared" si="282"/>
        <v>0</v>
      </c>
      <c r="DS241">
        <f t="shared" si="283"/>
        <v>0</v>
      </c>
      <c r="DT241">
        <v>0</v>
      </c>
      <c r="DU241" s="143">
        <v>0</v>
      </c>
      <c r="DV241" s="143">
        <v>0</v>
      </c>
      <c r="DW241">
        <v>0</v>
      </c>
      <c r="DX241" s="143">
        <v>0</v>
      </c>
      <c r="DY241">
        <f t="shared" ref="DY241:DY260" si="287">SUM(DT241:DU241)</f>
        <v>0</v>
      </c>
      <c r="DZ241" s="143" t="str">
        <f t="shared" si="284"/>
        <v>explicit C balance</v>
      </c>
      <c r="EA241" s="143">
        <v>0</v>
      </c>
      <c r="EB241" s="143">
        <v>0</v>
      </c>
      <c r="EC241" s="143">
        <v>0</v>
      </c>
      <c r="ED241" s="143">
        <v>0</v>
      </c>
      <c r="EE241">
        <v>0</v>
      </c>
      <c r="EF241" s="143">
        <v>0</v>
      </c>
      <c r="EG241" s="143">
        <v>1</v>
      </c>
      <c r="EH241" s="143">
        <v>0</v>
      </c>
      <c r="EI241" s="143">
        <v>0</v>
      </c>
      <c r="EJ241">
        <v>0</v>
      </c>
      <c r="EK241">
        <v>0</v>
      </c>
      <c r="EL241" s="143">
        <v>0</v>
      </c>
      <c r="EM241">
        <v>0</v>
      </c>
      <c r="EN241" s="2">
        <v>0</v>
      </c>
      <c r="EP241" t="str">
        <f t="shared" si="256"/>
        <v/>
      </c>
      <c r="EQ241" t="str">
        <f t="shared" si="251"/>
        <v/>
      </c>
      <c r="ER241" s="2" t="str">
        <f t="shared" si="257"/>
        <v/>
      </c>
      <c r="ES241" t="str">
        <f t="shared" si="258"/>
        <v/>
      </c>
      <c r="ET241" t="str">
        <f t="shared" si="259"/>
        <v/>
      </c>
      <c r="EU241" t="str">
        <f t="shared" si="260"/>
        <v/>
      </c>
      <c r="EY241" t="b">
        <f>IF(ISNUMBER(BW241),IF(ABS(BW241-[1]QC_indicators!$B$2)&gt;3*[1]QC_indicators!$C$2,"C ratio",IF(ISNUMBER(CA241),IF(ABS(CA241-[1]QC_indicators!$B$1)&gt;3*[1]QC_indicators!$C$1,"DF","no"))),IF(ISNUMBER(CA241),IF(ABS(CA241-[1]QC_indicators!$B$1)&gt;3*[1]QC_indicators!$C$1,"DF","no")))</f>
        <v>0</v>
      </c>
      <c r="FA241" t="str">
        <f t="shared" si="261"/>
        <v/>
      </c>
      <c r="FB241" s="299" t="s">
        <v>349</v>
      </c>
    </row>
    <row r="242" spans="1:160" ht="15" hidden="1" customHeight="1">
      <c r="A242" s="1" t="s">
        <v>3473</v>
      </c>
      <c r="B242" t="s">
        <v>3474</v>
      </c>
      <c r="C242" t="s">
        <v>3475</v>
      </c>
      <c r="D242" t="s">
        <v>3476</v>
      </c>
      <c r="E242" t="s">
        <v>3477</v>
      </c>
      <c r="F242" t="s">
        <v>3478</v>
      </c>
      <c r="G242" t="s">
        <v>3479</v>
      </c>
      <c r="H242" t="s">
        <v>254</v>
      </c>
      <c r="I242">
        <v>2019</v>
      </c>
      <c r="J242">
        <v>9</v>
      </c>
      <c r="K242" t="s">
        <v>3480</v>
      </c>
      <c r="M242" t="str">
        <f t="shared" si="212"/>
        <v>Labelle_2019</v>
      </c>
      <c r="N242" s="297" t="s">
        <v>4058</v>
      </c>
      <c r="O242" s="145" t="s">
        <v>225</v>
      </c>
      <c r="Q242" s="297" t="s">
        <v>256</v>
      </c>
      <c r="R242" s="298"/>
      <c r="S242" s="1" t="s">
        <v>3481</v>
      </c>
      <c r="T242" t="s">
        <v>3482</v>
      </c>
      <c r="U242" t="s">
        <v>3485</v>
      </c>
      <c r="X242">
        <v>0</v>
      </c>
      <c r="Y242">
        <v>0</v>
      </c>
      <c r="Z242">
        <v>0</v>
      </c>
      <c r="AA242">
        <v>0</v>
      </c>
      <c r="AB242">
        <v>0</v>
      </c>
      <c r="AC242">
        <v>0</v>
      </c>
      <c r="AD242">
        <v>0</v>
      </c>
      <c r="AE242">
        <v>0</v>
      </c>
      <c r="AF242">
        <v>1</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s="141">
        <f t="shared" si="265"/>
        <v>1</v>
      </c>
      <c r="BA242" s="141">
        <f t="shared" si="266"/>
        <v>1</v>
      </c>
      <c r="BB242">
        <f t="shared" si="267"/>
        <v>0</v>
      </c>
      <c r="BC242">
        <f t="shared" si="268"/>
        <v>1</v>
      </c>
      <c r="BD242">
        <f t="shared" si="269"/>
        <v>0</v>
      </c>
      <c r="BE242">
        <f t="shared" si="270"/>
        <v>0</v>
      </c>
      <c r="BF242">
        <f t="shared" si="271"/>
        <v>0</v>
      </c>
      <c r="BG242" t="str" cm="1">
        <f t="array" ref="BG242">IF(BA242=1,INDEX($X$7:$AN$7,MATCH(TRUE,INDEX($X242:$AY242&lt;&gt;0,),0)),IF(BA242=0,INDEX($AO$7:$AY$7,MATCH(1,$AO242:$AY242,0)),IF(BH242="Multiple strategies","mixed drivers",IF(BH242="Supply chain","multiple supply","multiple silviculture"))))</f>
        <v>harvesting system</v>
      </c>
      <c r="BH242" s="2" t="str" cm="1">
        <f t="array" ref="BH242">IF(COUNTIF(BB242:BD242,"&lt;&gt;0")=1,INDEX($X$4:$AY$4,MATCH(TRUE,INDEX($X242:$AY242&lt;&gt;0,),0)),IF(COUNTIF(BB242:BD242,"&lt;&gt;0")=0,INDEX($AO$4:$AY$4,MATCH(1,$AO242:$AY242,0)),"Multiple strategies"))</f>
        <v>Supply chain</v>
      </c>
      <c r="BI242" s="142"/>
      <c r="BL242" s="143"/>
      <c r="BN242" s="143"/>
      <c r="BO242" s="163"/>
      <c r="BP242" s="158"/>
      <c r="BQ242" s="143"/>
      <c r="BR242" s="297" t="s">
        <v>232</v>
      </c>
      <c r="BS242" s="331"/>
      <c r="BT242" t="s">
        <v>3484</v>
      </c>
      <c r="BU242" s="308">
        <v>-4.4180000000000001</v>
      </c>
      <c r="BV242">
        <v>-2.1970000000000001</v>
      </c>
      <c r="BW242" s="144">
        <v>0.49728383884110455</v>
      </c>
      <c r="BX242" s="309">
        <f t="shared" si="262"/>
        <v>2.2210000000000001</v>
      </c>
      <c r="BZ242">
        <f>BX242/10^3</f>
        <v>2.2209999999999999E-3</v>
      </c>
      <c r="CA242" t="str">
        <f t="shared" si="252"/>
        <v/>
      </c>
      <c r="CB242">
        <v>0</v>
      </c>
      <c r="CC242">
        <v>0</v>
      </c>
      <c r="CD242">
        <v>0</v>
      </c>
      <c r="CE242">
        <v>0</v>
      </c>
      <c r="CF242">
        <v>0</v>
      </c>
      <c r="CG242">
        <v>0</v>
      </c>
      <c r="CH242">
        <v>0</v>
      </c>
      <c r="CI242">
        <v>0</v>
      </c>
      <c r="CJ242">
        <v>0</v>
      </c>
      <c r="CK242">
        <v>0</v>
      </c>
      <c r="CL242">
        <v>0</v>
      </c>
      <c r="CM242">
        <v>0</v>
      </c>
      <c r="CN242">
        <v>0</v>
      </c>
      <c r="CO242">
        <v>0</v>
      </c>
      <c r="CP242" t="str">
        <f t="shared" si="285"/>
        <v>refOK</v>
      </c>
      <c r="CQ242"/>
      <c r="CR242"/>
      <c r="CS242"/>
      <c r="CT242">
        <f t="shared" si="253"/>
        <v>0</v>
      </c>
      <c r="CU242">
        <f t="shared" si="272"/>
        <v>-4.4180000000000001</v>
      </c>
      <c r="CV242">
        <f t="shared" si="273"/>
        <v>-2.1970000000000001</v>
      </c>
      <c r="CW242">
        <f t="shared" si="274"/>
        <v>2.2209999999999999E-3</v>
      </c>
      <c r="CX242" t="str">
        <f t="shared" si="254"/>
        <v/>
      </c>
      <c r="CY242" t="str">
        <f t="shared" si="275"/>
        <v/>
      </c>
      <c r="CZ242" t="str">
        <f t="shared" si="255"/>
        <v/>
      </c>
      <c r="DA242" s="2">
        <f t="shared" si="276"/>
        <v>0.50271616115889539</v>
      </c>
      <c r="DB242" s="1" t="s">
        <v>1074</v>
      </c>
      <c r="DC242" s="297" t="str">
        <f t="shared" si="277"/>
        <v>reg</v>
      </c>
      <c r="DD242" t="s">
        <v>1176</v>
      </c>
      <c r="DE242">
        <v>2016</v>
      </c>
      <c r="DF242" s="143">
        <v>2016</v>
      </c>
      <c r="DG242" s="143">
        <v>1</v>
      </c>
      <c r="DH242" t="str">
        <f t="shared" si="278"/>
        <v>1-30</v>
      </c>
      <c r="DI242">
        <v>0</v>
      </c>
      <c r="DJ242">
        <v>0</v>
      </c>
      <c r="DK242">
        <v>0</v>
      </c>
      <c r="DL242">
        <v>0</v>
      </c>
      <c r="DN242">
        <f t="shared" si="286"/>
        <v>0</v>
      </c>
      <c r="DO242" t="str">
        <f t="shared" si="279"/>
        <v>mixedProduct</v>
      </c>
      <c r="DP242">
        <f t="shared" si="280"/>
        <v>0</v>
      </c>
      <c r="DQ242">
        <f t="shared" si="281"/>
        <v>0</v>
      </c>
      <c r="DR242">
        <f t="shared" si="282"/>
        <v>0</v>
      </c>
      <c r="DS242">
        <f t="shared" si="283"/>
        <v>0</v>
      </c>
      <c r="DT242">
        <v>0</v>
      </c>
      <c r="DU242" s="143">
        <v>0</v>
      </c>
      <c r="DV242" s="143">
        <v>0</v>
      </c>
      <c r="DW242">
        <v>0</v>
      </c>
      <c r="DX242" s="143">
        <v>0</v>
      </c>
      <c r="DY242">
        <f t="shared" si="287"/>
        <v>0</v>
      </c>
      <c r="DZ242" s="143" t="str">
        <f t="shared" si="284"/>
        <v>explicit C balance</v>
      </c>
      <c r="EA242" s="143">
        <v>0</v>
      </c>
      <c r="EB242" s="143">
        <v>0</v>
      </c>
      <c r="EC242" s="143">
        <v>0</v>
      </c>
      <c r="ED242" s="143">
        <v>0</v>
      </c>
      <c r="EE242">
        <v>0</v>
      </c>
      <c r="EF242" s="143">
        <v>0</v>
      </c>
      <c r="EG242" s="143">
        <v>1</v>
      </c>
      <c r="EH242" s="143">
        <v>0</v>
      </c>
      <c r="EI242" s="143">
        <v>0</v>
      </c>
      <c r="EJ242">
        <v>0</v>
      </c>
      <c r="EK242">
        <v>0</v>
      </c>
      <c r="EL242" s="143">
        <v>0</v>
      </c>
      <c r="EM242">
        <v>0</v>
      </c>
      <c r="EN242" s="2">
        <v>0</v>
      </c>
      <c r="EP242" t="str">
        <f t="shared" si="256"/>
        <v/>
      </c>
      <c r="EQ242" t="str">
        <f t="shared" si="251"/>
        <v/>
      </c>
      <c r="ER242" s="2" t="str">
        <f t="shared" si="257"/>
        <v/>
      </c>
      <c r="ES242" t="str">
        <f t="shared" si="258"/>
        <v/>
      </c>
      <c r="ET242" t="str">
        <f t="shared" si="259"/>
        <v/>
      </c>
      <c r="EU242" t="str">
        <f t="shared" si="260"/>
        <v/>
      </c>
      <c r="EY242" t="b">
        <f>IF(ISNUMBER(BW242),IF(ABS(BW242-[1]QC_indicators!$B$2)&gt;3*[1]QC_indicators!$C$2,"C ratio",IF(ISNUMBER(CA242),IF(ABS(CA242-[1]QC_indicators!$B$1)&gt;3*[1]QC_indicators!$C$1,"DF","no"))),IF(ISNUMBER(CA242),IF(ABS(CA242-[1]QC_indicators!$B$1)&gt;3*[1]QC_indicators!$C$1,"DF","no")))</f>
        <v>0</v>
      </c>
      <c r="FA242" t="str">
        <f t="shared" si="261"/>
        <v/>
      </c>
      <c r="FB242" s="299" t="s">
        <v>349</v>
      </c>
    </row>
    <row r="243" spans="1:160" ht="15" hidden="1" customHeight="1">
      <c r="A243" s="1" t="s">
        <v>643</v>
      </c>
      <c r="B243" t="s">
        <v>3486</v>
      </c>
      <c r="C243" t="s">
        <v>3487</v>
      </c>
      <c r="D243" t="s">
        <v>3488</v>
      </c>
      <c r="E243" t="s">
        <v>3489</v>
      </c>
      <c r="F243" t="s">
        <v>3490</v>
      </c>
      <c r="G243" t="s">
        <v>649</v>
      </c>
      <c r="H243" t="s">
        <v>254</v>
      </c>
      <c r="I243">
        <v>2021</v>
      </c>
      <c r="J243">
        <v>2</v>
      </c>
      <c r="K243" t="s">
        <v>3491</v>
      </c>
      <c r="M243" t="str">
        <f t="shared" si="212"/>
        <v>Liang_2021</v>
      </c>
      <c r="N243" s="297" t="s">
        <v>4058</v>
      </c>
      <c r="O243" s="145" t="s">
        <v>225</v>
      </c>
      <c r="Q243" s="297" t="s">
        <v>256</v>
      </c>
      <c r="R243" s="298"/>
      <c r="S243" s="1" t="s">
        <v>3499</v>
      </c>
      <c r="T243" t="s">
        <v>3500</v>
      </c>
      <c r="U243" s="143" t="s">
        <v>3501</v>
      </c>
      <c r="V243" s="143"/>
      <c r="W243" s="143"/>
      <c r="X243">
        <v>0</v>
      </c>
      <c r="Y243">
        <v>0</v>
      </c>
      <c r="Z243">
        <v>0</v>
      </c>
      <c r="AA243">
        <v>0</v>
      </c>
      <c r="AB243">
        <v>0</v>
      </c>
      <c r="AC243">
        <v>0</v>
      </c>
      <c r="AD243">
        <v>0</v>
      </c>
      <c r="AE243">
        <v>0</v>
      </c>
      <c r="AF243">
        <v>0</v>
      </c>
      <c r="AG243">
        <v>0</v>
      </c>
      <c r="AH243">
        <v>1</v>
      </c>
      <c r="AI243">
        <v>0</v>
      </c>
      <c r="AJ243">
        <v>0</v>
      </c>
      <c r="AK243">
        <v>0</v>
      </c>
      <c r="AL243">
        <v>0</v>
      </c>
      <c r="AM243">
        <v>0</v>
      </c>
      <c r="AN243">
        <v>0</v>
      </c>
      <c r="AO243">
        <v>0</v>
      </c>
      <c r="AP243">
        <v>0</v>
      </c>
      <c r="AQ243">
        <v>0</v>
      </c>
      <c r="AR243">
        <v>0</v>
      </c>
      <c r="AS243">
        <v>0</v>
      </c>
      <c r="AT243">
        <v>0</v>
      </c>
      <c r="AU243">
        <v>0</v>
      </c>
      <c r="AV243">
        <v>0</v>
      </c>
      <c r="AW243">
        <v>0</v>
      </c>
      <c r="AX243">
        <v>0</v>
      </c>
      <c r="AY243">
        <v>0</v>
      </c>
      <c r="AZ243" s="141">
        <f t="shared" si="265"/>
        <v>1</v>
      </c>
      <c r="BA243" s="141">
        <f t="shared" si="266"/>
        <v>1</v>
      </c>
      <c r="BB243">
        <f t="shared" si="267"/>
        <v>0</v>
      </c>
      <c r="BC243">
        <f t="shared" si="268"/>
        <v>1</v>
      </c>
      <c r="BD243">
        <f t="shared" si="269"/>
        <v>0</v>
      </c>
      <c r="BE243">
        <f t="shared" si="270"/>
        <v>0</v>
      </c>
      <c r="BF243">
        <f t="shared" si="271"/>
        <v>0</v>
      </c>
      <c r="BG243" t="str" cm="1">
        <f t="array" ref="BG243">IF(BA243=1,INDEX($X$7:$AN$7,MATCH(TRUE,INDEX($X243:$AY243&lt;&gt;0,),0)),IF(BA243=0,INDEX($AO$7:$AY$7,MATCH(1,$AO243:$AY243,0)),IF(BH243="Multiple strategies","mixed drivers",IF(BH243="Supply chain","multiple supply","multiple silviculture"))))</f>
        <v>supply chain organization</v>
      </c>
      <c r="BH243" s="2" t="str" cm="1">
        <f t="array" ref="BH243">IF(COUNTIF(BB243:BD243,"&lt;&gt;0")=1,INDEX($X$4:$AY$4,MATCH(TRUE,INDEX($X243:$AY243&lt;&gt;0,),0)),IF(COUNTIF(BB243:BD243,"&lt;&gt;0")=0,INDEX($AO$4:$AY$4,MATCH(1,$AO243:$AY243,0)),"Multiple strategies"))</f>
        <v>Supply chain</v>
      </c>
      <c r="BI243" s="142"/>
      <c r="BL243" s="143"/>
      <c r="BN243" s="143"/>
      <c r="BO243" s="163"/>
      <c r="BP243" s="158"/>
      <c r="BQ243" s="143"/>
      <c r="BR243" s="297" t="s">
        <v>232</v>
      </c>
      <c r="BS243" s="331"/>
      <c r="BT243" t="s">
        <v>3495</v>
      </c>
      <c r="BU243">
        <v>-36.467999999999996</v>
      </c>
      <c r="BV243">
        <v>-63.11</v>
      </c>
      <c r="BW243" s="144">
        <v>1.7305582976856424</v>
      </c>
      <c r="BX243">
        <v>-26.642000000000003</v>
      </c>
      <c r="BZ243">
        <v>2.6642000000000002E-2</v>
      </c>
      <c r="CA243" t="str">
        <f t="shared" si="252"/>
        <v/>
      </c>
      <c r="CB243">
        <v>0</v>
      </c>
      <c r="CC243">
        <v>0</v>
      </c>
      <c r="CD243">
        <v>0</v>
      </c>
      <c r="CE243">
        <v>0</v>
      </c>
      <c r="CF243">
        <v>0</v>
      </c>
      <c r="CG243">
        <v>0</v>
      </c>
      <c r="CH243">
        <v>0</v>
      </c>
      <c r="CI243">
        <v>0</v>
      </c>
      <c r="CJ243">
        <v>0</v>
      </c>
      <c r="CK243">
        <v>0</v>
      </c>
      <c r="CL243">
        <v>0</v>
      </c>
      <c r="CM243">
        <v>0</v>
      </c>
      <c r="CN243">
        <v>0</v>
      </c>
      <c r="CO243">
        <v>0</v>
      </c>
      <c r="CP243" t="str">
        <f t="shared" si="285"/>
        <v>refOK</v>
      </c>
      <c r="CQ243"/>
      <c r="CR243"/>
      <c r="CS243"/>
      <c r="CT243">
        <f t="shared" si="253"/>
        <v>0</v>
      </c>
      <c r="CU243">
        <f t="shared" si="272"/>
        <v>-36.467999999999996</v>
      </c>
      <c r="CV243">
        <f t="shared" si="273"/>
        <v>-63.11</v>
      </c>
      <c r="CW243">
        <f t="shared" si="274"/>
        <v>2.6642000000000002E-2</v>
      </c>
      <c r="CX243" t="str">
        <f t="shared" si="254"/>
        <v/>
      </c>
      <c r="CY243" t="str">
        <f t="shared" si="275"/>
        <v/>
      </c>
      <c r="CZ243" t="str">
        <f t="shared" si="255"/>
        <v/>
      </c>
      <c r="DA243" s="2">
        <f t="shared" si="276"/>
        <v>-0.7305582976856424</v>
      </c>
      <c r="DB243" s="1" t="s">
        <v>1078</v>
      </c>
      <c r="DC243" s="297" t="str">
        <f t="shared" si="277"/>
        <v>reg</v>
      </c>
      <c r="DD243" t="s">
        <v>428</v>
      </c>
      <c r="DF243" s="143"/>
      <c r="DG243" s="143">
        <v>60</v>
      </c>
      <c r="DH243" t="str">
        <f t="shared" si="278"/>
        <v>31-70</v>
      </c>
      <c r="DI243">
        <v>0</v>
      </c>
      <c r="DJ243">
        <v>0</v>
      </c>
      <c r="DK243">
        <v>0</v>
      </c>
      <c r="DL243">
        <v>1</v>
      </c>
      <c r="DN243">
        <f t="shared" si="286"/>
        <v>1</v>
      </c>
      <c r="DO243" t="str">
        <f t="shared" si="279"/>
        <v>TimberInput</v>
      </c>
      <c r="DP243">
        <f t="shared" si="280"/>
        <v>0</v>
      </c>
      <c r="DQ243">
        <f t="shared" si="281"/>
        <v>0</v>
      </c>
      <c r="DR243">
        <f t="shared" si="282"/>
        <v>0</v>
      </c>
      <c r="DS243" t="str">
        <f t="shared" si="283"/>
        <v>Timber</v>
      </c>
      <c r="DT243">
        <v>0</v>
      </c>
      <c r="DU243" s="143">
        <v>0</v>
      </c>
      <c r="DV243" s="143">
        <v>0</v>
      </c>
      <c r="DW243">
        <v>0</v>
      </c>
      <c r="DX243" s="143">
        <v>0</v>
      </c>
      <c r="DY243">
        <f t="shared" si="287"/>
        <v>0</v>
      </c>
      <c r="DZ243" s="143" t="str">
        <f t="shared" si="284"/>
        <v>explicit C balance</v>
      </c>
      <c r="EA243" s="143">
        <v>0</v>
      </c>
      <c r="EB243" s="143">
        <v>0</v>
      </c>
      <c r="EC243" s="143">
        <v>0</v>
      </c>
      <c r="ED243" s="143">
        <v>1</v>
      </c>
      <c r="EE243">
        <v>1</v>
      </c>
      <c r="EF243" s="143">
        <v>1</v>
      </c>
      <c r="EG243" s="143">
        <v>1</v>
      </c>
      <c r="EH243" s="143">
        <v>1</v>
      </c>
      <c r="EI243" s="143">
        <v>1</v>
      </c>
      <c r="EJ243" s="143">
        <v>1</v>
      </c>
      <c r="EK243">
        <v>0</v>
      </c>
      <c r="EL243" s="143">
        <v>0</v>
      </c>
      <c r="EM243">
        <v>0</v>
      </c>
      <c r="EN243" s="2">
        <v>0</v>
      </c>
      <c r="EP243" t="str">
        <f t="shared" si="256"/>
        <v/>
      </c>
      <c r="EQ243" t="str">
        <f t="shared" si="251"/>
        <v/>
      </c>
      <c r="ER243" s="2" t="str">
        <f t="shared" si="257"/>
        <v>Technology approach</v>
      </c>
      <c r="ES243" t="str">
        <f t="shared" si="258"/>
        <v/>
      </c>
      <c r="ET243" t="str">
        <f t="shared" si="259"/>
        <v/>
      </c>
      <c r="EU243" t="str">
        <f t="shared" si="260"/>
        <v/>
      </c>
      <c r="EY243" t="b">
        <f>IF(ISNUMBER(BW243),IF(ABS(BW243-[1]QC_indicators!$B$2)&gt;3*[1]QC_indicators!$C$2,"C ratio",IF(ISNUMBER(CA243),IF(ABS(CA243-[1]QC_indicators!$B$1)&gt;3*[1]QC_indicators!$C$1,"DF","no"))),IF(ISNUMBER(CA243),IF(ABS(CA243-[1]QC_indicators!$B$1)&gt;3*[1]QC_indicators!$C$1,"DF","no")))</f>
        <v>0</v>
      </c>
      <c r="FA243" t="str">
        <f t="shared" si="261"/>
        <v/>
      </c>
      <c r="FB243" s="299" t="s">
        <v>349</v>
      </c>
    </row>
    <row r="244" spans="1:160" ht="15" hidden="1" customHeight="1">
      <c r="A244" s="1" t="s">
        <v>643</v>
      </c>
      <c r="B244" t="s">
        <v>3486</v>
      </c>
      <c r="C244" t="s">
        <v>3487</v>
      </c>
      <c r="D244" t="s">
        <v>3488</v>
      </c>
      <c r="E244" t="s">
        <v>3489</v>
      </c>
      <c r="F244" t="s">
        <v>3490</v>
      </c>
      <c r="G244" t="s">
        <v>649</v>
      </c>
      <c r="H244" t="s">
        <v>254</v>
      </c>
      <c r="I244">
        <v>2021</v>
      </c>
      <c r="J244">
        <v>2</v>
      </c>
      <c r="K244" t="s">
        <v>3491</v>
      </c>
      <c r="M244" t="str">
        <f t="shared" si="212"/>
        <v>Liang_2021</v>
      </c>
      <c r="N244" s="297" t="s">
        <v>4058</v>
      </c>
      <c r="O244" s="145" t="s">
        <v>225</v>
      </c>
      <c r="Q244" s="297" t="s">
        <v>256</v>
      </c>
      <c r="R244" s="298"/>
      <c r="S244" s="1" t="s">
        <v>3499</v>
      </c>
      <c r="T244" t="s">
        <v>3500</v>
      </c>
      <c r="U244" s="143" t="s">
        <v>3502</v>
      </c>
      <c r="V244" s="143"/>
      <c r="W244" s="143"/>
      <c r="X244">
        <v>0</v>
      </c>
      <c r="Y244">
        <v>0</v>
      </c>
      <c r="Z244">
        <v>0</v>
      </c>
      <c r="AA244">
        <v>0</v>
      </c>
      <c r="AB244">
        <v>0</v>
      </c>
      <c r="AC244">
        <v>0</v>
      </c>
      <c r="AD244">
        <v>0</v>
      </c>
      <c r="AE244">
        <v>0</v>
      </c>
      <c r="AF244">
        <v>0</v>
      </c>
      <c r="AG244">
        <v>0</v>
      </c>
      <c r="AH244">
        <v>1</v>
      </c>
      <c r="AI244">
        <v>0</v>
      </c>
      <c r="AJ244">
        <v>0</v>
      </c>
      <c r="AK244">
        <v>0</v>
      </c>
      <c r="AL244">
        <v>0</v>
      </c>
      <c r="AM244">
        <v>0</v>
      </c>
      <c r="AN244">
        <v>0</v>
      </c>
      <c r="AO244">
        <v>0</v>
      </c>
      <c r="AP244">
        <v>0</v>
      </c>
      <c r="AQ244">
        <v>0</v>
      </c>
      <c r="AR244">
        <v>0</v>
      </c>
      <c r="AS244">
        <v>0</v>
      </c>
      <c r="AT244">
        <v>0</v>
      </c>
      <c r="AU244">
        <v>0</v>
      </c>
      <c r="AV244">
        <v>0</v>
      </c>
      <c r="AW244">
        <v>0</v>
      </c>
      <c r="AX244">
        <v>0</v>
      </c>
      <c r="AY244">
        <v>0</v>
      </c>
      <c r="AZ244" s="141">
        <f t="shared" si="265"/>
        <v>1</v>
      </c>
      <c r="BA244" s="141">
        <f t="shared" si="266"/>
        <v>1</v>
      </c>
      <c r="BB244">
        <f t="shared" si="267"/>
        <v>0</v>
      </c>
      <c r="BC244">
        <f t="shared" si="268"/>
        <v>1</v>
      </c>
      <c r="BD244">
        <f t="shared" si="269"/>
        <v>0</v>
      </c>
      <c r="BE244">
        <f t="shared" si="270"/>
        <v>0</v>
      </c>
      <c r="BF244">
        <f t="shared" si="271"/>
        <v>0</v>
      </c>
      <c r="BG244" t="str" cm="1">
        <f t="array" ref="BG244">IF(BA244=1,INDEX($X$7:$AN$7,MATCH(TRUE,INDEX($X244:$AY244&lt;&gt;0,),0)),IF(BA244=0,INDEX($AO$7:$AY$7,MATCH(1,$AO244:$AY244,0)),IF(BH244="Multiple strategies","mixed drivers",IF(BH244="Supply chain","multiple supply","multiple silviculture"))))</f>
        <v>supply chain organization</v>
      </c>
      <c r="BH244" s="2" t="str" cm="1">
        <f t="array" ref="BH244">IF(COUNTIF(BB244:BD244,"&lt;&gt;0")=1,INDEX($X$4:$AY$4,MATCH(TRUE,INDEX($X244:$AY244&lt;&gt;0,),0)),IF(COUNTIF(BB244:BD244,"&lt;&gt;0")=0,INDEX($AO$4:$AY$4,MATCH(1,$AO244:$AY244,0)),"Multiple strategies"))</f>
        <v>Supply chain</v>
      </c>
      <c r="BI244" s="164"/>
      <c r="BJ244" s="165"/>
      <c r="BK244" s="165"/>
      <c r="BL244" s="166"/>
      <c r="BM244" s="167"/>
      <c r="BN244" s="300"/>
      <c r="BO244" s="310"/>
      <c r="BP244" s="311"/>
      <c r="BQ244" s="166"/>
      <c r="BR244" s="297" t="s">
        <v>232</v>
      </c>
      <c r="BS244" s="331"/>
      <c r="BT244" t="s">
        <v>3495</v>
      </c>
      <c r="BU244">
        <v>-36.467999999999996</v>
      </c>
      <c r="BV244">
        <v>-41.379999999999995</v>
      </c>
      <c r="BW244" s="144">
        <v>1.1346934298563123</v>
      </c>
      <c r="BX244">
        <v>-4.911999999999999</v>
      </c>
      <c r="BZ244">
        <v>4.9119999999999988E-3</v>
      </c>
      <c r="CA244" t="str">
        <f t="shared" si="252"/>
        <v/>
      </c>
      <c r="CB244">
        <v>0</v>
      </c>
      <c r="CC244">
        <v>0</v>
      </c>
      <c r="CD244">
        <v>0</v>
      </c>
      <c r="CE244">
        <v>0</v>
      </c>
      <c r="CF244">
        <v>0</v>
      </c>
      <c r="CG244">
        <v>0</v>
      </c>
      <c r="CH244">
        <v>0</v>
      </c>
      <c r="CI244">
        <v>0</v>
      </c>
      <c r="CJ244">
        <v>0</v>
      </c>
      <c r="CK244">
        <v>0</v>
      </c>
      <c r="CL244">
        <v>0</v>
      </c>
      <c r="CM244">
        <v>0</v>
      </c>
      <c r="CN244">
        <v>0</v>
      </c>
      <c r="CO244">
        <v>0</v>
      </c>
      <c r="CP244" t="str">
        <f t="shared" si="285"/>
        <v>refOK</v>
      </c>
      <c r="CQ244"/>
      <c r="CR244"/>
      <c r="CS244"/>
      <c r="CT244">
        <f t="shared" si="253"/>
        <v>0</v>
      </c>
      <c r="CU244">
        <f t="shared" si="272"/>
        <v>-36.467999999999996</v>
      </c>
      <c r="CV244">
        <f t="shared" si="273"/>
        <v>-41.379999999999995</v>
      </c>
      <c r="CW244">
        <f t="shared" si="274"/>
        <v>4.9119999999999988E-3</v>
      </c>
      <c r="CX244" t="str">
        <f t="shared" si="254"/>
        <v/>
      </c>
      <c r="CY244" t="str">
        <f t="shared" si="275"/>
        <v/>
      </c>
      <c r="CZ244" t="str">
        <f t="shared" si="255"/>
        <v/>
      </c>
      <c r="DA244" s="2">
        <f t="shared" si="276"/>
        <v>-0.13469342985631236</v>
      </c>
      <c r="DB244" s="1" t="s">
        <v>1078</v>
      </c>
      <c r="DC244" s="297" t="str">
        <f t="shared" si="277"/>
        <v>reg</v>
      </c>
      <c r="DD244" t="s">
        <v>428</v>
      </c>
      <c r="DF244" s="143"/>
      <c r="DG244" s="143">
        <v>60</v>
      </c>
      <c r="DH244" t="str">
        <f t="shared" si="278"/>
        <v>31-70</v>
      </c>
      <c r="DI244">
        <v>0</v>
      </c>
      <c r="DJ244">
        <v>0</v>
      </c>
      <c r="DK244">
        <v>0</v>
      </c>
      <c r="DL244">
        <v>1</v>
      </c>
      <c r="DN244">
        <f t="shared" si="286"/>
        <v>1</v>
      </c>
      <c r="DO244" t="str">
        <f t="shared" si="279"/>
        <v>TimberInput</v>
      </c>
      <c r="DP244">
        <f t="shared" si="280"/>
        <v>0</v>
      </c>
      <c r="DQ244">
        <f t="shared" si="281"/>
        <v>0</v>
      </c>
      <c r="DR244">
        <f t="shared" si="282"/>
        <v>0</v>
      </c>
      <c r="DS244" t="str">
        <f t="shared" si="283"/>
        <v>Timber</v>
      </c>
      <c r="DT244">
        <v>0</v>
      </c>
      <c r="DU244" s="143">
        <v>0</v>
      </c>
      <c r="DV244" s="143">
        <v>0</v>
      </c>
      <c r="DW244">
        <v>0</v>
      </c>
      <c r="DX244" s="143">
        <v>0</v>
      </c>
      <c r="DY244">
        <f t="shared" si="287"/>
        <v>0</v>
      </c>
      <c r="DZ244" s="143" t="str">
        <f t="shared" si="284"/>
        <v>explicit C balance</v>
      </c>
      <c r="EA244" s="143">
        <v>0</v>
      </c>
      <c r="EB244" s="143">
        <v>0</v>
      </c>
      <c r="EC244" s="143">
        <v>0</v>
      </c>
      <c r="ED244" s="143">
        <v>1</v>
      </c>
      <c r="EE244">
        <v>1</v>
      </c>
      <c r="EF244" s="143">
        <v>1</v>
      </c>
      <c r="EG244" s="143">
        <v>1</v>
      </c>
      <c r="EH244" s="143">
        <v>1</v>
      </c>
      <c r="EI244" s="143">
        <v>1</v>
      </c>
      <c r="EJ244" s="143">
        <v>1</v>
      </c>
      <c r="EK244">
        <v>0</v>
      </c>
      <c r="EL244" s="143">
        <v>0</v>
      </c>
      <c r="EM244">
        <v>0</v>
      </c>
      <c r="EN244" s="2">
        <v>0</v>
      </c>
      <c r="EP244" t="str">
        <f t="shared" si="256"/>
        <v/>
      </c>
      <c r="EQ244" t="str">
        <f t="shared" si="251"/>
        <v/>
      </c>
      <c r="ER244" s="2" t="str">
        <f t="shared" si="257"/>
        <v>Technology approach</v>
      </c>
      <c r="ES244" t="str">
        <f t="shared" si="258"/>
        <v/>
      </c>
      <c r="ET244" t="str">
        <f t="shared" si="259"/>
        <v/>
      </c>
      <c r="EU244" t="str">
        <f t="shared" si="260"/>
        <v/>
      </c>
      <c r="EY244" t="b">
        <f>IF(ISNUMBER(BW244),IF(ABS(BW244-[1]QC_indicators!$B$2)&gt;3*[1]QC_indicators!$C$2,"C ratio",IF(ISNUMBER(CA244),IF(ABS(CA244-[1]QC_indicators!$B$1)&gt;3*[1]QC_indicators!$C$1,"DF","no"))),IF(ISNUMBER(CA244),IF(ABS(CA244-[1]QC_indicators!$B$1)&gt;3*[1]QC_indicators!$C$1,"DF","no")))</f>
        <v>0</v>
      </c>
      <c r="FA244" t="str">
        <f t="shared" si="261"/>
        <v/>
      </c>
      <c r="FB244" s="299" t="s">
        <v>349</v>
      </c>
    </row>
    <row r="245" spans="1:160" ht="15" hidden="1" customHeight="1">
      <c r="A245" s="1" t="s">
        <v>643</v>
      </c>
      <c r="B245" t="s">
        <v>3486</v>
      </c>
      <c r="C245" t="s">
        <v>3487</v>
      </c>
      <c r="D245" t="s">
        <v>3488</v>
      </c>
      <c r="E245" t="s">
        <v>3489</v>
      </c>
      <c r="F245" t="s">
        <v>3490</v>
      </c>
      <c r="G245" t="s">
        <v>649</v>
      </c>
      <c r="H245" t="s">
        <v>254</v>
      </c>
      <c r="I245">
        <v>2021</v>
      </c>
      <c r="J245">
        <v>2</v>
      </c>
      <c r="K245" t="s">
        <v>3491</v>
      </c>
      <c r="M245" t="str">
        <f t="shared" si="212"/>
        <v>Liang_2021</v>
      </c>
      <c r="N245" s="297" t="s">
        <v>4058</v>
      </c>
      <c r="O245" s="145" t="s">
        <v>225</v>
      </c>
      <c r="Q245" s="297" t="s">
        <v>256</v>
      </c>
      <c r="R245" s="298"/>
      <c r="S245" s="1" t="s">
        <v>3499</v>
      </c>
      <c r="T245" t="s">
        <v>3500</v>
      </c>
      <c r="U245" s="143" t="s">
        <v>3503</v>
      </c>
      <c r="V245" s="143"/>
      <c r="W245" s="143"/>
      <c r="X245">
        <v>0</v>
      </c>
      <c r="Y245">
        <v>0</v>
      </c>
      <c r="Z245">
        <v>0</v>
      </c>
      <c r="AA245">
        <v>0</v>
      </c>
      <c r="AB245">
        <v>0</v>
      </c>
      <c r="AC245">
        <v>0</v>
      </c>
      <c r="AD245">
        <v>0</v>
      </c>
      <c r="AE245">
        <v>0</v>
      </c>
      <c r="AF245">
        <v>0</v>
      </c>
      <c r="AG245">
        <v>0</v>
      </c>
      <c r="AH245">
        <v>1</v>
      </c>
      <c r="AI245">
        <v>0</v>
      </c>
      <c r="AJ245">
        <v>0</v>
      </c>
      <c r="AK245">
        <v>0</v>
      </c>
      <c r="AL245">
        <v>0</v>
      </c>
      <c r="AM245">
        <v>0</v>
      </c>
      <c r="AN245">
        <v>0</v>
      </c>
      <c r="AO245">
        <v>0</v>
      </c>
      <c r="AP245">
        <v>0</v>
      </c>
      <c r="AQ245">
        <v>0</v>
      </c>
      <c r="AR245">
        <v>0</v>
      </c>
      <c r="AS245">
        <v>0</v>
      </c>
      <c r="AT245">
        <v>0</v>
      </c>
      <c r="AU245">
        <v>0</v>
      </c>
      <c r="AV245">
        <v>0</v>
      </c>
      <c r="AW245">
        <v>0</v>
      </c>
      <c r="AX245">
        <v>0</v>
      </c>
      <c r="AY245">
        <v>0</v>
      </c>
      <c r="AZ245" s="141">
        <f t="shared" si="265"/>
        <v>1</v>
      </c>
      <c r="BA245" s="141">
        <f t="shared" si="266"/>
        <v>1</v>
      </c>
      <c r="BB245">
        <f t="shared" si="267"/>
        <v>0</v>
      </c>
      <c r="BC245">
        <f t="shared" si="268"/>
        <v>1</v>
      </c>
      <c r="BD245">
        <f t="shared" si="269"/>
        <v>0</v>
      </c>
      <c r="BE245">
        <f t="shared" si="270"/>
        <v>0</v>
      </c>
      <c r="BF245">
        <f t="shared" si="271"/>
        <v>0</v>
      </c>
      <c r="BG245" t="str" cm="1">
        <f t="array" ref="BG245">IF(BA245=1,INDEX($X$7:$AN$7,MATCH(TRUE,INDEX($X245:$AY245&lt;&gt;0,),0)),IF(BA245=0,INDEX($AO$7:$AY$7,MATCH(1,$AO245:$AY245,0)),IF(BH245="Multiple strategies","mixed drivers",IF(BH245="Supply chain","multiple supply","multiple silviculture"))))</f>
        <v>supply chain organization</v>
      </c>
      <c r="BH245" s="2" t="str" cm="1">
        <f t="array" ref="BH245">IF(COUNTIF(BB245:BD245,"&lt;&gt;0")=1,INDEX($X$4:$AY$4,MATCH(TRUE,INDEX($X245:$AY245&lt;&gt;0,),0)),IF(COUNTIF(BB245:BD245,"&lt;&gt;0")=0,INDEX($AO$4:$AY$4,MATCH(1,$AO245:$AY245,0)),"Multiple strategies"))</f>
        <v>Supply chain</v>
      </c>
      <c r="BI245" s="142"/>
      <c r="BL245" s="143"/>
      <c r="BN245" s="143"/>
      <c r="BO245" s="163"/>
      <c r="BP245" s="158"/>
      <c r="BQ245" s="143"/>
      <c r="BR245" s="297" t="s">
        <v>232</v>
      </c>
      <c r="BS245" s="331"/>
      <c r="BT245" t="s">
        <v>3495</v>
      </c>
      <c r="BU245">
        <v>-36.467999999999996</v>
      </c>
      <c r="BV245">
        <v>-35.64</v>
      </c>
      <c r="BW245" s="144">
        <v>0.97729516288252727</v>
      </c>
      <c r="BX245">
        <v>0.82799999999999585</v>
      </c>
      <c r="BZ245">
        <v>-8.2799999999999584E-4</v>
      </c>
      <c r="CA245" t="str">
        <f t="shared" si="252"/>
        <v/>
      </c>
      <c r="CB245">
        <v>0</v>
      </c>
      <c r="CC245">
        <v>0</v>
      </c>
      <c r="CD245">
        <v>0</v>
      </c>
      <c r="CE245">
        <v>0</v>
      </c>
      <c r="CF245">
        <v>0</v>
      </c>
      <c r="CG245">
        <v>0</v>
      </c>
      <c r="CH245">
        <v>0</v>
      </c>
      <c r="CI245">
        <v>0</v>
      </c>
      <c r="CJ245">
        <v>0</v>
      </c>
      <c r="CK245">
        <v>0</v>
      </c>
      <c r="CL245">
        <v>0</v>
      </c>
      <c r="CM245">
        <v>0</v>
      </c>
      <c r="CN245">
        <v>0</v>
      </c>
      <c r="CO245">
        <v>0</v>
      </c>
      <c r="CP245" t="str">
        <f t="shared" si="285"/>
        <v>refOK</v>
      </c>
      <c r="CQ245"/>
      <c r="CR245"/>
      <c r="CS245"/>
      <c r="CT245">
        <f t="shared" si="253"/>
        <v>0</v>
      </c>
      <c r="CU245">
        <f t="shared" si="272"/>
        <v>-36.467999999999996</v>
      </c>
      <c r="CV245">
        <f t="shared" si="273"/>
        <v>-35.64</v>
      </c>
      <c r="CW245">
        <f t="shared" si="274"/>
        <v>-8.2799999999999584E-4</v>
      </c>
      <c r="CX245" t="str">
        <f t="shared" si="254"/>
        <v/>
      </c>
      <c r="CY245" t="str">
        <f t="shared" si="275"/>
        <v/>
      </c>
      <c r="CZ245" t="str">
        <f t="shared" si="255"/>
        <v/>
      </c>
      <c r="DA245" s="2">
        <f t="shared" si="276"/>
        <v>2.2704837117472742E-2</v>
      </c>
      <c r="DB245" s="1" t="s">
        <v>1078</v>
      </c>
      <c r="DC245" s="297" t="str">
        <f t="shared" si="277"/>
        <v>reg</v>
      </c>
      <c r="DD245" t="s">
        <v>428</v>
      </c>
      <c r="DF245" s="143"/>
      <c r="DG245" s="143">
        <v>60</v>
      </c>
      <c r="DH245" t="str">
        <f t="shared" si="278"/>
        <v>31-70</v>
      </c>
      <c r="DI245">
        <v>0</v>
      </c>
      <c r="DJ245">
        <v>0</v>
      </c>
      <c r="DK245">
        <v>0</v>
      </c>
      <c r="DL245">
        <v>1</v>
      </c>
      <c r="DN245">
        <f t="shared" si="286"/>
        <v>1</v>
      </c>
      <c r="DO245" t="str">
        <f t="shared" si="279"/>
        <v>TimberInput</v>
      </c>
      <c r="DP245">
        <f t="shared" si="280"/>
        <v>0</v>
      </c>
      <c r="DQ245">
        <f t="shared" si="281"/>
        <v>0</v>
      </c>
      <c r="DR245">
        <f t="shared" si="282"/>
        <v>0</v>
      </c>
      <c r="DS245" t="str">
        <f t="shared" si="283"/>
        <v>Timber</v>
      </c>
      <c r="DT245">
        <v>0</v>
      </c>
      <c r="DU245" s="143">
        <v>0</v>
      </c>
      <c r="DV245" s="143">
        <v>0</v>
      </c>
      <c r="DW245">
        <v>0</v>
      </c>
      <c r="DX245" s="143">
        <v>0</v>
      </c>
      <c r="DY245">
        <f t="shared" si="287"/>
        <v>0</v>
      </c>
      <c r="DZ245" s="143" t="str">
        <f t="shared" si="284"/>
        <v>explicit C balance</v>
      </c>
      <c r="EA245" s="143">
        <v>0</v>
      </c>
      <c r="EB245" s="143">
        <v>0</v>
      </c>
      <c r="EC245" s="143">
        <v>0</v>
      </c>
      <c r="ED245" s="143">
        <v>1</v>
      </c>
      <c r="EE245">
        <v>1</v>
      </c>
      <c r="EF245" s="143">
        <v>1</v>
      </c>
      <c r="EG245" s="143">
        <v>1</v>
      </c>
      <c r="EH245" s="143">
        <v>1</v>
      </c>
      <c r="EI245" s="143">
        <v>1</v>
      </c>
      <c r="EJ245" s="143">
        <v>1</v>
      </c>
      <c r="EK245">
        <v>0</v>
      </c>
      <c r="EL245" s="143">
        <v>0</v>
      </c>
      <c r="EM245">
        <v>0</v>
      </c>
      <c r="EN245" s="2">
        <v>0</v>
      </c>
      <c r="EP245" t="str">
        <f t="shared" si="256"/>
        <v/>
      </c>
      <c r="EQ245" t="str">
        <f t="shared" si="251"/>
        <v/>
      </c>
      <c r="ER245" s="2" t="str">
        <f t="shared" si="257"/>
        <v>Technology approach</v>
      </c>
      <c r="ES245" t="str">
        <f t="shared" si="258"/>
        <v/>
      </c>
      <c r="ET245" t="str">
        <f t="shared" si="259"/>
        <v/>
      </c>
      <c r="EU245" t="str">
        <f t="shared" si="260"/>
        <v/>
      </c>
      <c r="EY245" t="b">
        <f>IF(ISNUMBER(BW245),IF(ABS(BW245-[1]QC_indicators!$B$2)&gt;3*[1]QC_indicators!$C$2,"C ratio",IF(ISNUMBER(CA245),IF(ABS(CA245-[1]QC_indicators!$B$1)&gt;3*[1]QC_indicators!$C$1,"DF","no"))),IF(ISNUMBER(CA245),IF(ABS(CA245-[1]QC_indicators!$B$1)&gt;3*[1]QC_indicators!$C$1,"DF","no")))</f>
        <v>0</v>
      </c>
      <c r="FA245" t="str">
        <f t="shared" si="261"/>
        <v/>
      </c>
      <c r="FB245" s="299" t="s">
        <v>349</v>
      </c>
    </row>
    <row r="246" spans="1:160" ht="15" hidden="1" customHeight="1">
      <c r="A246" s="1" t="s">
        <v>643</v>
      </c>
      <c r="B246" t="s">
        <v>3486</v>
      </c>
      <c r="C246" t="s">
        <v>3487</v>
      </c>
      <c r="D246" t="s">
        <v>3488</v>
      </c>
      <c r="E246" t="s">
        <v>3489</v>
      </c>
      <c r="F246" t="s">
        <v>3490</v>
      </c>
      <c r="G246" t="s">
        <v>649</v>
      </c>
      <c r="H246" t="s">
        <v>254</v>
      </c>
      <c r="I246">
        <v>2021</v>
      </c>
      <c r="J246">
        <v>2</v>
      </c>
      <c r="K246" t="s">
        <v>3491</v>
      </c>
      <c r="M246" t="str">
        <f t="shared" si="212"/>
        <v>Liang_2021</v>
      </c>
      <c r="N246" s="297" t="s">
        <v>4058</v>
      </c>
      <c r="O246" s="145" t="s">
        <v>225</v>
      </c>
      <c r="Q246" s="297" t="s">
        <v>256</v>
      </c>
      <c r="R246" s="298"/>
      <c r="S246" s="1" t="s">
        <v>3499</v>
      </c>
      <c r="T246" t="s">
        <v>3500</v>
      </c>
      <c r="U246" s="143" t="s">
        <v>3504</v>
      </c>
      <c r="V246" s="143"/>
      <c r="W246" s="143"/>
      <c r="X246">
        <v>0</v>
      </c>
      <c r="Y246">
        <v>0</v>
      </c>
      <c r="Z246">
        <v>0</v>
      </c>
      <c r="AA246">
        <v>0</v>
      </c>
      <c r="AB246">
        <v>0</v>
      </c>
      <c r="AC246">
        <v>0</v>
      </c>
      <c r="AD246">
        <v>0</v>
      </c>
      <c r="AE246">
        <v>0</v>
      </c>
      <c r="AF246">
        <v>0</v>
      </c>
      <c r="AG246">
        <v>0</v>
      </c>
      <c r="AH246">
        <v>1</v>
      </c>
      <c r="AI246">
        <v>0</v>
      </c>
      <c r="AJ246">
        <v>0</v>
      </c>
      <c r="AK246">
        <v>0</v>
      </c>
      <c r="AL246">
        <v>0</v>
      </c>
      <c r="AM246">
        <v>0</v>
      </c>
      <c r="AN246">
        <v>0</v>
      </c>
      <c r="AO246">
        <v>0</v>
      </c>
      <c r="AP246">
        <v>0</v>
      </c>
      <c r="AQ246">
        <v>0</v>
      </c>
      <c r="AR246">
        <v>0</v>
      </c>
      <c r="AS246">
        <v>0</v>
      </c>
      <c r="AT246">
        <v>0</v>
      </c>
      <c r="AU246">
        <v>0</v>
      </c>
      <c r="AV246">
        <v>0</v>
      </c>
      <c r="AW246">
        <v>0</v>
      </c>
      <c r="AX246">
        <v>0</v>
      </c>
      <c r="AY246">
        <v>0</v>
      </c>
      <c r="AZ246" s="141">
        <f t="shared" si="265"/>
        <v>1</v>
      </c>
      <c r="BA246" s="141">
        <f t="shared" si="266"/>
        <v>1</v>
      </c>
      <c r="BB246">
        <f t="shared" si="267"/>
        <v>0</v>
      </c>
      <c r="BC246">
        <f t="shared" si="268"/>
        <v>1</v>
      </c>
      <c r="BD246">
        <f t="shared" si="269"/>
        <v>0</v>
      </c>
      <c r="BE246">
        <f t="shared" si="270"/>
        <v>0</v>
      </c>
      <c r="BF246">
        <f t="shared" si="271"/>
        <v>0</v>
      </c>
      <c r="BG246" t="str" cm="1">
        <f t="array" ref="BG246">IF(BA246=1,INDEX($X$7:$AN$7,MATCH(TRUE,INDEX($X246:$AY246&lt;&gt;0,),0)),IF(BA246=0,INDEX($AO$7:$AY$7,MATCH(1,$AO246:$AY246,0)),IF(BH246="Multiple strategies","mixed drivers",IF(BH246="Supply chain","multiple supply","multiple silviculture"))))</f>
        <v>supply chain organization</v>
      </c>
      <c r="BH246" s="2" t="str" cm="1">
        <f t="array" ref="BH246">IF(COUNTIF(BB246:BD246,"&lt;&gt;0")=1,INDEX($X$4:$AY$4,MATCH(TRUE,INDEX($X246:$AY246&lt;&gt;0,),0)),IF(COUNTIF(BB246:BD246,"&lt;&gt;0")=0,INDEX($AO$4:$AY$4,MATCH(1,$AO246:$AY246,0)),"Multiple strategies"))</f>
        <v>Supply chain</v>
      </c>
      <c r="BI246" s="142"/>
      <c r="BL246" s="143"/>
      <c r="BN246" s="143"/>
      <c r="BO246" s="163"/>
      <c r="BP246" s="158"/>
      <c r="BQ246" s="143"/>
      <c r="BR246" s="297" t="s">
        <v>232</v>
      </c>
      <c r="BS246" s="331"/>
      <c r="BT246" t="s">
        <v>3495</v>
      </c>
      <c r="BU246">
        <v>-36.467999999999996</v>
      </c>
      <c r="BV246">
        <v>-28.270000000000003</v>
      </c>
      <c r="BW246" s="144">
        <v>0.77520017549632569</v>
      </c>
      <c r="BX246">
        <v>8.1979999999999933</v>
      </c>
      <c r="BZ246">
        <v>-8.1979999999999935E-3</v>
      </c>
      <c r="CA246" t="str">
        <f t="shared" si="252"/>
        <v/>
      </c>
      <c r="CB246">
        <v>0</v>
      </c>
      <c r="CC246">
        <v>0</v>
      </c>
      <c r="CD246">
        <v>0</v>
      </c>
      <c r="CE246">
        <v>0</v>
      </c>
      <c r="CF246">
        <v>0</v>
      </c>
      <c r="CG246">
        <v>0</v>
      </c>
      <c r="CH246">
        <v>0</v>
      </c>
      <c r="CI246">
        <v>0</v>
      </c>
      <c r="CJ246">
        <v>0</v>
      </c>
      <c r="CK246">
        <v>0</v>
      </c>
      <c r="CL246">
        <v>0</v>
      </c>
      <c r="CM246">
        <v>0</v>
      </c>
      <c r="CN246">
        <v>0</v>
      </c>
      <c r="CO246">
        <v>0</v>
      </c>
      <c r="CP246" t="str">
        <f t="shared" si="285"/>
        <v>refOK</v>
      </c>
      <c r="CQ246"/>
      <c r="CR246"/>
      <c r="CS246"/>
      <c r="CT246">
        <f t="shared" si="253"/>
        <v>0</v>
      </c>
      <c r="CU246">
        <f t="shared" si="272"/>
        <v>-36.467999999999996</v>
      </c>
      <c r="CV246">
        <f t="shared" si="273"/>
        <v>-28.270000000000003</v>
      </c>
      <c r="CW246">
        <f t="shared" si="274"/>
        <v>-8.1979999999999935E-3</v>
      </c>
      <c r="CX246" t="str">
        <f t="shared" si="254"/>
        <v/>
      </c>
      <c r="CY246" t="str">
        <f t="shared" si="275"/>
        <v/>
      </c>
      <c r="CZ246" t="str">
        <f t="shared" si="255"/>
        <v/>
      </c>
      <c r="DA246" s="2">
        <f t="shared" si="276"/>
        <v>0.22479982450367431</v>
      </c>
      <c r="DB246" s="1" t="s">
        <v>1078</v>
      </c>
      <c r="DC246" s="297" t="str">
        <f t="shared" si="277"/>
        <v>reg</v>
      </c>
      <c r="DD246" t="s">
        <v>428</v>
      </c>
      <c r="DF246" s="143"/>
      <c r="DG246" s="143">
        <v>60</v>
      </c>
      <c r="DH246" t="str">
        <f t="shared" si="278"/>
        <v>31-70</v>
      </c>
      <c r="DI246">
        <v>0</v>
      </c>
      <c r="DJ246">
        <v>0</v>
      </c>
      <c r="DK246">
        <v>0</v>
      </c>
      <c r="DL246">
        <v>1</v>
      </c>
      <c r="DN246">
        <f t="shared" si="286"/>
        <v>1</v>
      </c>
      <c r="DO246" t="str">
        <f t="shared" si="279"/>
        <v>TimberInput</v>
      </c>
      <c r="DP246">
        <f t="shared" si="280"/>
        <v>0</v>
      </c>
      <c r="DQ246">
        <f t="shared" si="281"/>
        <v>0</v>
      </c>
      <c r="DR246">
        <f t="shared" si="282"/>
        <v>0</v>
      </c>
      <c r="DS246" t="str">
        <f t="shared" si="283"/>
        <v>Timber</v>
      </c>
      <c r="DT246">
        <v>0</v>
      </c>
      <c r="DU246" s="143">
        <v>0</v>
      </c>
      <c r="DV246" s="143">
        <v>0</v>
      </c>
      <c r="DW246">
        <v>0</v>
      </c>
      <c r="DX246" s="143">
        <v>0</v>
      </c>
      <c r="DY246">
        <f t="shared" si="287"/>
        <v>0</v>
      </c>
      <c r="DZ246" s="143" t="str">
        <f t="shared" si="284"/>
        <v>explicit C balance</v>
      </c>
      <c r="EA246" s="143">
        <v>0</v>
      </c>
      <c r="EB246" s="143">
        <v>0</v>
      </c>
      <c r="EC246" s="143">
        <v>0</v>
      </c>
      <c r="ED246" s="143">
        <v>1</v>
      </c>
      <c r="EE246">
        <v>1</v>
      </c>
      <c r="EF246" s="143">
        <v>1</v>
      </c>
      <c r="EG246" s="143">
        <v>1</v>
      </c>
      <c r="EH246" s="143">
        <v>1</v>
      </c>
      <c r="EI246" s="143">
        <v>1</v>
      </c>
      <c r="EJ246" s="143">
        <v>1</v>
      </c>
      <c r="EK246">
        <v>0</v>
      </c>
      <c r="EL246" s="143">
        <v>0</v>
      </c>
      <c r="EM246">
        <v>0</v>
      </c>
      <c r="EN246" s="2">
        <v>0</v>
      </c>
      <c r="EP246" t="str">
        <f t="shared" si="256"/>
        <v/>
      </c>
      <c r="EQ246" t="str">
        <f t="shared" si="251"/>
        <v/>
      </c>
      <c r="ER246" s="2" t="str">
        <f t="shared" si="257"/>
        <v>Technology approach</v>
      </c>
      <c r="ES246" t="str">
        <f t="shared" si="258"/>
        <v/>
      </c>
      <c r="ET246" t="str">
        <f t="shared" si="259"/>
        <v/>
      </c>
      <c r="EU246" t="str">
        <f t="shared" si="260"/>
        <v/>
      </c>
      <c r="EY246" t="b">
        <f>IF(ISNUMBER(BW246),IF(ABS(BW246-[1]QC_indicators!$B$2)&gt;3*[1]QC_indicators!$C$2,"C ratio",IF(ISNUMBER(CA246),IF(ABS(CA246-[1]QC_indicators!$B$1)&gt;3*[1]QC_indicators!$C$1,"DF","no"))),IF(ISNUMBER(CA246),IF(ABS(CA246-[1]QC_indicators!$B$1)&gt;3*[1]QC_indicators!$C$1,"DF","no")))</f>
        <v>0</v>
      </c>
      <c r="FA246" t="str">
        <f t="shared" si="261"/>
        <v/>
      </c>
      <c r="FB246" s="299" t="s">
        <v>349</v>
      </c>
    </row>
    <row r="247" spans="1:160" ht="15" hidden="1" customHeight="1">
      <c r="A247" s="1" t="s">
        <v>643</v>
      </c>
      <c r="B247" t="s">
        <v>3486</v>
      </c>
      <c r="C247" t="s">
        <v>3487</v>
      </c>
      <c r="D247" t="s">
        <v>3488</v>
      </c>
      <c r="E247" t="s">
        <v>3489</v>
      </c>
      <c r="F247" t="s">
        <v>3490</v>
      </c>
      <c r="G247" t="s">
        <v>649</v>
      </c>
      <c r="H247" t="s">
        <v>254</v>
      </c>
      <c r="I247">
        <v>2021</v>
      </c>
      <c r="J247">
        <v>2</v>
      </c>
      <c r="K247" t="s">
        <v>3491</v>
      </c>
      <c r="M247" t="str">
        <f t="shared" si="212"/>
        <v>Liang_2021</v>
      </c>
      <c r="N247" s="297" t="s">
        <v>4058</v>
      </c>
      <c r="O247" s="145" t="s">
        <v>225</v>
      </c>
      <c r="Q247" s="297" t="s">
        <v>256</v>
      </c>
      <c r="R247" s="298"/>
      <c r="S247" s="1" t="s">
        <v>3492</v>
      </c>
      <c r="T247" s="143" t="s">
        <v>3493</v>
      </c>
      <c r="U247" s="143" t="s">
        <v>3496</v>
      </c>
      <c r="V247" s="143"/>
      <c r="W247" s="143"/>
      <c r="X247">
        <v>0</v>
      </c>
      <c r="Y247">
        <v>0</v>
      </c>
      <c r="Z247">
        <v>0</v>
      </c>
      <c r="AA247">
        <v>0</v>
      </c>
      <c r="AB247">
        <v>0</v>
      </c>
      <c r="AC247">
        <v>0</v>
      </c>
      <c r="AD247">
        <v>0</v>
      </c>
      <c r="AE247">
        <v>0</v>
      </c>
      <c r="AF247">
        <v>0</v>
      </c>
      <c r="AG247">
        <v>0</v>
      </c>
      <c r="AH247">
        <v>0</v>
      </c>
      <c r="AI247">
        <v>0</v>
      </c>
      <c r="AJ247">
        <v>1</v>
      </c>
      <c r="AK247">
        <v>0</v>
      </c>
      <c r="AL247">
        <v>0</v>
      </c>
      <c r="AM247">
        <v>0</v>
      </c>
      <c r="AN247">
        <v>0</v>
      </c>
      <c r="AO247">
        <v>0</v>
      </c>
      <c r="AP247">
        <v>0</v>
      </c>
      <c r="AQ247">
        <v>0</v>
      </c>
      <c r="AR247">
        <v>0</v>
      </c>
      <c r="AS247">
        <v>0</v>
      </c>
      <c r="AT247">
        <v>0</v>
      </c>
      <c r="AU247">
        <v>0</v>
      </c>
      <c r="AV247">
        <v>0</v>
      </c>
      <c r="AW247">
        <v>0</v>
      </c>
      <c r="AX247">
        <v>0</v>
      </c>
      <c r="AY247">
        <v>0</v>
      </c>
      <c r="AZ247" s="141">
        <f t="shared" si="265"/>
        <v>1</v>
      </c>
      <c r="BA247" s="141">
        <f t="shared" si="266"/>
        <v>1</v>
      </c>
      <c r="BB247">
        <f t="shared" si="267"/>
        <v>0</v>
      </c>
      <c r="BC247">
        <f t="shared" si="268"/>
        <v>1</v>
      </c>
      <c r="BD247">
        <f t="shared" si="269"/>
        <v>0</v>
      </c>
      <c r="BE247">
        <f t="shared" si="270"/>
        <v>0</v>
      </c>
      <c r="BF247">
        <f t="shared" si="271"/>
        <v>0</v>
      </c>
      <c r="BG247" t="str" cm="1">
        <f t="array" ref="BG247">IF(BA247=1,INDEX($X$7:$AN$7,MATCH(TRUE,INDEX($X247:$AY247&lt;&gt;0,),0)),IF(BA247=0,INDEX($AO$7:$AY$7,MATCH(1,$AO247:$AY247,0)),IF(BH247="Multiple strategies","mixed drivers",IF(BH247="Supply chain","multiple supply","multiple silviculture"))))</f>
        <v xml:space="preserve">end of life disposal </v>
      </c>
      <c r="BH247" s="2" t="str" cm="1">
        <f t="array" ref="BH247">IF(COUNTIF(BB247:BD247,"&lt;&gt;0")=1,INDEX($X$4:$AY$4,MATCH(TRUE,INDEX($X247:$AY247&lt;&gt;0,),0)),IF(COUNTIF(BB247:BD247,"&lt;&gt;0")=0,INDEX($AO$4:$AY$4,MATCH(1,$AO247:$AY247,0)),"Multiple strategies"))</f>
        <v>Supply chain</v>
      </c>
      <c r="BI247" s="142"/>
      <c r="BL247" s="143"/>
      <c r="BN247" s="143"/>
      <c r="BO247" s="163"/>
      <c r="BP247" s="158"/>
      <c r="BQ247" s="143"/>
      <c r="BR247" s="297" t="s">
        <v>232</v>
      </c>
      <c r="BS247" s="331"/>
      <c r="BT247" t="s">
        <v>3495</v>
      </c>
      <c r="BU247">
        <v>-273</v>
      </c>
      <c r="BV247">
        <v>-251</v>
      </c>
      <c r="BW247" s="144">
        <v>0.91941391941391937</v>
      </c>
      <c r="BX247">
        <v>22</v>
      </c>
      <c r="BZ247">
        <v>-2.1999999999999999E-2</v>
      </c>
      <c r="CA247" t="str">
        <f t="shared" si="252"/>
        <v/>
      </c>
      <c r="CB247">
        <v>0</v>
      </c>
      <c r="CC247">
        <v>0</v>
      </c>
      <c r="CD247">
        <v>0</v>
      </c>
      <c r="CE247">
        <v>0</v>
      </c>
      <c r="CF247">
        <v>0</v>
      </c>
      <c r="CG247">
        <v>0</v>
      </c>
      <c r="CH247">
        <v>0</v>
      </c>
      <c r="CI247">
        <v>0</v>
      </c>
      <c r="CJ247">
        <v>0</v>
      </c>
      <c r="CK247">
        <v>0</v>
      </c>
      <c r="CL247">
        <v>0</v>
      </c>
      <c r="CM247">
        <v>0</v>
      </c>
      <c r="CN247">
        <v>0</v>
      </c>
      <c r="CO247">
        <v>0</v>
      </c>
      <c r="CP247" t="str">
        <f t="shared" si="285"/>
        <v>refOK</v>
      </c>
      <c r="CQ247"/>
      <c r="CR247"/>
      <c r="CS247"/>
      <c r="CT247">
        <f t="shared" si="253"/>
        <v>0</v>
      </c>
      <c r="CU247">
        <f t="shared" si="272"/>
        <v>-273</v>
      </c>
      <c r="CV247">
        <f t="shared" si="273"/>
        <v>-251</v>
      </c>
      <c r="CW247">
        <f t="shared" si="274"/>
        <v>-2.1999999999999999E-2</v>
      </c>
      <c r="CX247" t="str">
        <f t="shared" si="254"/>
        <v/>
      </c>
      <c r="CY247" t="str">
        <f t="shared" si="275"/>
        <v/>
      </c>
      <c r="CZ247" t="str">
        <f t="shared" si="255"/>
        <v/>
      </c>
      <c r="DA247" s="2">
        <f t="shared" si="276"/>
        <v>8.0586080586080591E-2</v>
      </c>
      <c r="DB247" s="1" t="s">
        <v>1078</v>
      </c>
      <c r="DC247" s="297" t="str">
        <f t="shared" si="277"/>
        <v>reg</v>
      </c>
      <c r="DD247" t="s">
        <v>428</v>
      </c>
      <c r="DF247" s="143"/>
      <c r="DG247" s="143">
        <v>60</v>
      </c>
      <c r="DH247" t="str">
        <f t="shared" si="278"/>
        <v>31-70</v>
      </c>
      <c r="DI247">
        <v>0</v>
      </c>
      <c r="DJ247">
        <v>0</v>
      </c>
      <c r="DK247">
        <v>0</v>
      </c>
      <c r="DL247">
        <v>1</v>
      </c>
      <c r="DN247">
        <f t="shared" si="286"/>
        <v>1</v>
      </c>
      <c r="DO247" t="str">
        <f t="shared" si="279"/>
        <v>TimberInput</v>
      </c>
      <c r="DP247">
        <f t="shared" si="280"/>
        <v>0</v>
      </c>
      <c r="DQ247">
        <f t="shared" si="281"/>
        <v>0</v>
      </c>
      <c r="DR247">
        <f t="shared" si="282"/>
        <v>0</v>
      </c>
      <c r="DS247" t="str">
        <f t="shared" si="283"/>
        <v>Timber</v>
      </c>
      <c r="DT247">
        <v>0</v>
      </c>
      <c r="DU247" s="143">
        <v>0</v>
      </c>
      <c r="DV247" s="143">
        <v>0</v>
      </c>
      <c r="DW247">
        <v>0</v>
      </c>
      <c r="DX247" s="143">
        <v>0</v>
      </c>
      <c r="DY247">
        <f t="shared" si="287"/>
        <v>0</v>
      </c>
      <c r="DZ247" s="143" t="str">
        <f t="shared" si="284"/>
        <v>explicit C balance</v>
      </c>
      <c r="EA247" s="143">
        <v>0</v>
      </c>
      <c r="EB247" s="143">
        <v>0</v>
      </c>
      <c r="EC247" s="143">
        <v>0</v>
      </c>
      <c r="ED247" s="143">
        <v>1</v>
      </c>
      <c r="EE247">
        <v>1</v>
      </c>
      <c r="EF247" s="143">
        <v>1</v>
      </c>
      <c r="EG247" s="143">
        <v>1</v>
      </c>
      <c r="EH247" s="143">
        <v>1</v>
      </c>
      <c r="EI247" s="143">
        <v>1</v>
      </c>
      <c r="EJ247" s="143">
        <v>1</v>
      </c>
      <c r="EK247">
        <v>0</v>
      </c>
      <c r="EL247" s="143">
        <v>0</v>
      </c>
      <c r="EM247">
        <v>0</v>
      </c>
      <c r="EN247" s="2">
        <v>0</v>
      </c>
      <c r="EP247" t="str">
        <f t="shared" si="256"/>
        <v/>
      </c>
      <c r="EQ247" t="str">
        <f t="shared" si="251"/>
        <v/>
      </c>
      <c r="ER247" s="2" t="str">
        <f t="shared" si="257"/>
        <v>Technology approach</v>
      </c>
      <c r="ES247" t="str">
        <f t="shared" si="258"/>
        <v/>
      </c>
      <c r="ET247" t="str">
        <f t="shared" si="259"/>
        <v/>
      </c>
      <c r="EU247" t="str">
        <f t="shared" si="260"/>
        <v/>
      </c>
      <c r="EY247" t="b">
        <f>IF(ISNUMBER(BW247),IF(ABS(BW247-[1]QC_indicators!$B$2)&gt;3*[1]QC_indicators!$C$2,"C ratio",IF(ISNUMBER(CA247),IF(ABS(CA247-[1]QC_indicators!$B$1)&gt;3*[1]QC_indicators!$C$1,"DF","no"))),IF(ISNUMBER(CA247),IF(ABS(CA247-[1]QC_indicators!$B$1)&gt;3*[1]QC_indicators!$C$1,"DF","no")))</f>
        <v>0</v>
      </c>
      <c r="FA247" t="str">
        <f t="shared" si="261"/>
        <v/>
      </c>
      <c r="FB247" s="299" t="s">
        <v>349</v>
      </c>
    </row>
    <row r="248" spans="1:160" ht="15" hidden="1" customHeight="1">
      <c r="A248" s="1" t="s">
        <v>643</v>
      </c>
      <c r="B248" t="s">
        <v>3486</v>
      </c>
      <c r="C248" t="s">
        <v>3487</v>
      </c>
      <c r="D248" t="s">
        <v>3488</v>
      </c>
      <c r="E248" t="s">
        <v>3489</v>
      </c>
      <c r="F248" t="s">
        <v>3490</v>
      </c>
      <c r="G248" t="s">
        <v>649</v>
      </c>
      <c r="H248" t="s">
        <v>254</v>
      </c>
      <c r="I248">
        <v>2021</v>
      </c>
      <c r="J248">
        <v>2</v>
      </c>
      <c r="K248" t="s">
        <v>3491</v>
      </c>
      <c r="M248" t="str">
        <f t="shared" si="212"/>
        <v>Liang_2021</v>
      </c>
      <c r="N248" s="297" t="s">
        <v>4058</v>
      </c>
      <c r="O248" s="145" t="s">
        <v>225</v>
      </c>
      <c r="Q248" s="297" t="s">
        <v>256</v>
      </c>
      <c r="R248" s="298"/>
      <c r="S248" s="1" t="s">
        <v>3492</v>
      </c>
      <c r="T248" s="143" t="s">
        <v>3493</v>
      </c>
      <c r="U248" s="143" t="s">
        <v>3497</v>
      </c>
      <c r="V248" s="143"/>
      <c r="W248" s="143"/>
      <c r="X248">
        <v>0</v>
      </c>
      <c r="Y248">
        <v>0</v>
      </c>
      <c r="Z248">
        <v>0</v>
      </c>
      <c r="AA248">
        <v>0</v>
      </c>
      <c r="AB248">
        <v>0</v>
      </c>
      <c r="AC248">
        <v>0</v>
      </c>
      <c r="AD248">
        <v>0</v>
      </c>
      <c r="AE248">
        <v>0</v>
      </c>
      <c r="AF248">
        <v>0</v>
      </c>
      <c r="AG248">
        <v>0</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s="141">
        <f t="shared" si="265"/>
        <v>1</v>
      </c>
      <c r="BA248" s="141">
        <f t="shared" si="266"/>
        <v>1</v>
      </c>
      <c r="BB248">
        <f t="shared" si="267"/>
        <v>0</v>
      </c>
      <c r="BC248">
        <f t="shared" si="268"/>
        <v>1</v>
      </c>
      <c r="BD248">
        <f t="shared" si="269"/>
        <v>0</v>
      </c>
      <c r="BE248">
        <f t="shared" si="270"/>
        <v>0</v>
      </c>
      <c r="BF248">
        <f t="shared" si="271"/>
        <v>0</v>
      </c>
      <c r="BG248" t="str" cm="1">
        <f t="array" ref="BG248">IF(BA248=1,INDEX($X$7:$AN$7,MATCH(TRUE,INDEX($X248:$AY248&lt;&gt;0,),0)),IF(BA248=0,INDEX($AO$7:$AY$7,MATCH(1,$AO248:$AY248,0)),IF(BH248="Multiple strategies","mixed drivers",IF(BH248="Supply chain","multiple supply","multiple silviculture"))))</f>
        <v xml:space="preserve">end of life disposal </v>
      </c>
      <c r="BH248" s="2" t="str" cm="1">
        <f t="array" ref="BH248">IF(COUNTIF(BB248:BD248,"&lt;&gt;0")=1,INDEX($X$4:$AY$4,MATCH(TRUE,INDEX($X248:$AY248&lt;&gt;0,),0)),IF(COUNTIF(BB248:BD248,"&lt;&gt;0")=0,INDEX($AO$4:$AY$4,MATCH(1,$AO248:$AY248,0)),"Multiple strategies"))</f>
        <v>Supply chain</v>
      </c>
      <c r="BI248" s="142"/>
      <c r="BL248" s="143"/>
      <c r="BN248" s="143"/>
      <c r="BO248" s="163"/>
      <c r="BP248" s="158"/>
      <c r="BQ248" s="143"/>
      <c r="BR248" s="297" t="s">
        <v>232</v>
      </c>
      <c r="BS248" s="331"/>
      <c r="BT248" t="s">
        <v>3495</v>
      </c>
      <c r="BU248">
        <v>-273</v>
      </c>
      <c r="BV248">
        <v>-225</v>
      </c>
      <c r="BW248" s="144">
        <v>0.82417582417582413</v>
      </c>
      <c r="BX248">
        <v>48</v>
      </c>
      <c r="BZ248">
        <v>-4.8000000000000001E-2</v>
      </c>
      <c r="CA248" t="str">
        <f t="shared" si="252"/>
        <v/>
      </c>
      <c r="CB248">
        <v>0</v>
      </c>
      <c r="CC248">
        <v>0</v>
      </c>
      <c r="CD248">
        <v>0</v>
      </c>
      <c r="CE248">
        <v>0</v>
      </c>
      <c r="CF248">
        <v>0</v>
      </c>
      <c r="CG248">
        <v>0</v>
      </c>
      <c r="CH248">
        <v>0</v>
      </c>
      <c r="CI248">
        <v>0</v>
      </c>
      <c r="CJ248">
        <v>0</v>
      </c>
      <c r="CK248">
        <v>0</v>
      </c>
      <c r="CL248">
        <v>0</v>
      </c>
      <c r="CM248">
        <v>0</v>
      </c>
      <c r="CN248">
        <v>0</v>
      </c>
      <c r="CO248">
        <v>0</v>
      </c>
      <c r="CP248" t="str">
        <f t="shared" si="285"/>
        <v>refOK</v>
      </c>
      <c r="CQ248"/>
      <c r="CR248"/>
      <c r="CS248"/>
      <c r="CT248">
        <f t="shared" si="253"/>
        <v>0</v>
      </c>
      <c r="CU248">
        <f t="shared" si="272"/>
        <v>-273</v>
      </c>
      <c r="CV248">
        <f t="shared" si="273"/>
        <v>-225</v>
      </c>
      <c r="CW248">
        <f t="shared" si="274"/>
        <v>-4.8000000000000001E-2</v>
      </c>
      <c r="CX248" t="str">
        <f t="shared" si="254"/>
        <v/>
      </c>
      <c r="CY248" t="str">
        <f t="shared" si="275"/>
        <v/>
      </c>
      <c r="CZ248" t="str">
        <f t="shared" si="255"/>
        <v/>
      </c>
      <c r="DA248" s="2">
        <f t="shared" si="276"/>
        <v>0.17582417582417584</v>
      </c>
      <c r="DB248" s="1" t="s">
        <v>1078</v>
      </c>
      <c r="DC248" s="297" t="str">
        <f t="shared" si="277"/>
        <v>reg</v>
      </c>
      <c r="DD248" t="s">
        <v>428</v>
      </c>
      <c r="DF248" s="143"/>
      <c r="DG248" s="143">
        <v>60</v>
      </c>
      <c r="DH248" t="str">
        <f t="shared" si="278"/>
        <v>31-70</v>
      </c>
      <c r="DI248">
        <v>0</v>
      </c>
      <c r="DJ248">
        <v>0</v>
      </c>
      <c r="DK248">
        <v>0</v>
      </c>
      <c r="DL248">
        <v>1</v>
      </c>
      <c r="DN248">
        <f t="shared" si="286"/>
        <v>1</v>
      </c>
      <c r="DO248" t="str">
        <f t="shared" si="279"/>
        <v>TimberInput</v>
      </c>
      <c r="DP248">
        <f t="shared" si="280"/>
        <v>0</v>
      </c>
      <c r="DQ248">
        <f t="shared" si="281"/>
        <v>0</v>
      </c>
      <c r="DR248">
        <f t="shared" si="282"/>
        <v>0</v>
      </c>
      <c r="DS248" t="str">
        <f t="shared" si="283"/>
        <v>Timber</v>
      </c>
      <c r="DT248">
        <v>0</v>
      </c>
      <c r="DU248" s="143">
        <v>0</v>
      </c>
      <c r="DV248" s="143">
        <v>0</v>
      </c>
      <c r="DW248">
        <v>0</v>
      </c>
      <c r="DX248" s="143">
        <v>0</v>
      </c>
      <c r="DY248">
        <f t="shared" si="287"/>
        <v>0</v>
      </c>
      <c r="DZ248" s="143" t="str">
        <f t="shared" si="284"/>
        <v>explicit C balance</v>
      </c>
      <c r="EA248" s="143">
        <v>0</v>
      </c>
      <c r="EB248" s="143">
        <v>0</v>
      </c>
      <c r="EC248" s="143">
        <v>0</v>
      </c>
      <c r="ED248" s="143">
        <v>1</v>
      </c>
      <c r="EE248">
        <v>1</v>
      </c>
      <c r="EF248" s="143">
        <v>1</v>
      </c>
      <c r="EG248" s="143">
        <v>1</v>
      </c>
      <c r="EH248" s="143">
        <v>1</v>
      </c>
      <c r="EI248" s="143">
        <v>1</v>
      </c>
      <c r="EJ248" s="143">
        <v>1</v>
      </c>
      <c r="EK248">
        <v>0</v>
      </c>
      <c r="EL248" s="143">
        <v>0</v>
      </c>
      <c r="EM248">
        <v>0</v>
      </c>
      <c r="EN248" s="2">
        <v>0</v>
      </c>
      <c r="EP248" t="str">
        <f t="shared" si="256"/>
        <v/>
      </c>
      <c r="EQ248" t="str">
        <f t="shared" si="251"/>
        <v/>
      </c>
      <c r="ER248" s="2" t="str">
        <f t="shared" si="257"/>
        <v>Technology approach</v>
      </c>
      <c r="ES248" t="str">
        <f t="shared" si="258"/>
        <v/>
      </c>
      <c r="ET248" t="str">
        <f t="shared" si="259"/>
        <v/>
      </c>
      <c r="EU248" t="str">
        <f t="shared" si="260"/>
        <v/>
      </c>
      <c r="EY248" t="b">
        <f>IF(ISNUMBER(BW248),IF(ABS(BW248-[1]QC_indicators!$B$2)&gt;3*[1]QC_indicators!$C$2,"C ratio",IF(ISNUMBER(CA248),IF(ABS(CA248-[1]QC_indicators!$B$1)&gt;3*[1]QC_indicators!$C$1,"DF","no"))),IF(ISNUMBER(CA248),IF(ABS(CA248-[1]QC_indicators!$B$1)&gt;3*[1]QC_indicators!$C$1,"DF","no")))</f>
        <v>0</v>
      </c>
      <c r="FA248" t="str">
        <f t="shared" si="261"/>
        <v/>
      </c>
      <c r="FB248" s="299" t="s">
        <v>349</v>
      </c>
    </row>
    <row r="249" spans="1:160" ht="15" hidden="1" customHeight="1">
      <c r="A249" s="1" t="s">
        <v>643</v>
      </c>
      <c r="B249" t="s">
        <v>3486</v>
      </c>
      <c r="C249" t="s">
        <v>3487</v>
      </c>
      <c r="D249" t="s">
        <v>3488</v>
      </c>
      <c r="E249" t="s">
        <v>3489</v>
      </c>
      <c r="F249" t="s">
        <v>3490</v>
      </c>
      <c r="G249" t="s">
        <v>649</v>
      </c>
      <c r="H249" t="s">
        <v>254</v>
      </c>
      <c r="I249">
        <v>2021</v>
      </c>
      <c r="J249">
        <v>2</v>
      </c>
      <c r="K249" t="s">
        <v>3491</v>
      </c>
      <c r="M249" t="str">
        <f t="shared" si="212"/>
        <v>Liang_2021</v>
      </c>
      <c r="N249" s="297" t="s">
        <v>4058</v>
      </c>
      <c r="O249" s="145" t="s">
        <v>225</v>
      </c>
      <c r="Q249" s="297" t="s">
        <v>256</v>
      </c>
      <c r="R249" s="298"/>
      <c r="S249" s="1" t="s">
        <v>3492</v>
      </c>
      <c r="T249" s="143" t="s">
        <v>3493</v>
      </c>
      <c r="U249" s="143" t="s">
        <v>3498</v>
      </c>
      <c r="V249" s="143"/>
      <c r="W249" s="143"/>
      <c r="X249">
        <v>0</v>
      </c>
      <c r="Y249">
        <v>0</v>
      </c>
      <c r="Z249">
        <v>0</v>
      </c>
      <c r="AA249">
        <v>0</v>
      </c>
      <c r="AB249">
        <v>0</v>
      </c>
      <c r="AC249">
        <v>0</v>
      </c>
      <c r="AD249">
        <v>0</v>
      </c>
      <c r="AE249">
        <v>0</v>
      </c>
      <c r="AF249">
        <v>0</v>
      </c>
      <c r="AG249">
        <v>0</v>
      </c>
      <c r="AH249">
        <v>0</v>
      </c>
      <c r="AI249">
        <v>0</v>
      </c>
      <c r="AJ249">
        <v>1</v>
      </c>
      <c r="AK249">
        <v>0</v>
      </c>
      <c r="AL249">
        <v>0</v>
      </c>
      <c r="AM249">
        <v>0</v>
      </c>
      <c r="AN249">
        <v>0</v>
      </c>
      <c r="AO249">
        <v>0</v>
      </c>
      <c r="AP249">
        <v>0</v>
      </c>
      <c r="AQ249">
        <v>0</v>
      </c>
      <c r="AR249">
        <v>0</v>
      </c>
      <c r="AS249">
        <v>0</v>
      </c>
      <c r="AT249">
        <v>0</v>
      </c>
      <c r="AU249">
        <v>0</v>
      </c>
      <c r="AV249">
        <v>0</v>
      </c>
      <c r="AW249">
        <v>0</v>
      </c>
      <c r="AX249">
        <v>0</v>
      </c>
      <c r="AY249">
        <v>0</v>
      </c>
      <c r="AZ249" s="141">
        <f t="shared" si="265"/>
        <v>1</v>
      </c>
      <c r="BA249" s="141">
        <f t="shared" si="266"/>
        <v>1</v>
      </c>
      <c r="BB249">
        <f t="shared" si="267"/>
        <v>0</v>
      </c>
      <c r="BC249">
        <f t="shared" si="268"/>
        <v>1</v>
      </c>
      <c r="BD249">
        <f t="shared" si="269"/>
        <v>0</v>
      </c>
      <c r="BE249">
        <f t="shared" si="270"/>
        <v>0</v>
      </c>
      <c r="BF249">
        <f t="shared" si="271"/>
        <v>0</v>
      </c>
      <c r="BG249" t="str" cm="1">
        <f t="array" ref="BG249">IF(BA249=1,INDEX($X$7:$AN$7,MATCH(TRUE,INDEX($X249:$AY249&lt;&gt;0,),0)),IF(BA249=0,INDEX($AO$7:$AY$7,MATCH(1,$AO249:$AY249,0)),IF(BH249="Multiple strategies","mixed drivers",IF(BH249="Supply chain","multiple supply","multiple silviculture"))))</f>
        <v xml:space="preserve">end of life disposal </v>
      </c>
      <c r="BH249" s="2" t="str" cm="1">
        <f t="array" ref="BH249">IF(COUNTIF(BB249:BD249,"&lt;&gt;0")=1,INDEX($X$4:$AY$4,MATCH(TRUE,INDEX($X249:$AY249&lt;&gt;0,),0)),IF(COUNTIF(BB249:BD249,"&lt;&gt;0")=0,INDEX($AO$4:$AY$4,MATCH(1,$AO249:$AY249,0)),"Multiple strategies"))</f>
        <v>Supply chain</v>
      </c>
      <c r="BI249" s="142"/>
      <c r="BL249" s="143"/>
      <c r="BN249" s="143"/>
      <c r="BO249" s="163"/>
      <c r="BP249" s="158"/>
      <c r="BQ249" s="143"/>
      <c r="BR249" s="297" t="s">
        <v>232</v>
      </c>
      <c r="BS249" s="331"/>
      <c r="BT249" t="s">
        <v>3495</v>
      </c>
      <c r="BU249">
        <v>-273</v>
      </c>
      <c r="BV249">
        <v>-208</v>
      </c>
      <c r="BW249" s="144">
        <v>0.76190476190476186</v>
      </c>
      <c r="BX249">
        <v>65</v>
      </c>
      <c r="BZ249">
        <v>-6.5000000000000002E-2</v>
      </c>
      <c r="CA249" t="str">
        <f t="shared" si="252"/>
        <v/>
      </c>
      <c r="CB249">
        <v>0</v>
      </c>
      <c r="CC249">
        <v>0</v>
      </c>
      <c r="CD249">
        <v>0</v>
      </c>
      <c r="CE249">
        <v>0</v>
      </c>
      <c r="CF249">
        <v>0</v>
      </c>
      <c r="CG249">
        <v>0</v>
      </c>
      <c r="CH249">
        <v>0</v>
      </c>
      <c r="CI249">
        <v>0</v>
      </c>
      <c r="CJ249">
        <v>0</v>
      </c>
      <c r="CK249">
        <v>0</v>
      </c>
      <c r="CL249">
        <v>0</v>
      </c>
      <c r="CM249">
        <v>0</v>
      </c>
      <c r="CN249">
        <v>0</v>
      </c>
      <c r="CO249">
        <v>0</v>
      </c>
      <c r="CP249" t="str">
        <f t="shared" si="285"/>
        <v>refOK</v>
      </c>
      <c r="CQ249"/>
      <c r="CR249"/>
      <c r="CS249"/>
      <c r="CT249">
        <f t="shared" si="253"/>
        <v>0</v>
      </c>
      <c r="CU249">
        <f t="shared" si="272"/>
        <v>-273</v>
      </c>
      <c r="CV249">
        <f t="shared" si="273"/>
        <v>-208</v>
      </c>
      <c r="CW249">
        <f t="shared" si="274"/>
        <v>-6.5000000000000002E-2</v>
      </c>
      <c r="CX249" t="str">
        <f t="shared" si="254"/>
        <v/>
      </c>
      <c r="CY249" t="str">
        <f t="shared" si="275"/>
        <v/>
      </c>
      <c r="CZ249" t="str">
        <f t="shared" si="255"/>
        <v/>
      </c>
      <c r="DA249" s="2">
        <f t="shared" si="276"/>
        <v>0.23809523809523808</v>
      </c>
      <c r="DB249" s="1" t="s">
        <v>1078</v>
      </c>
      <c r="DC249" s="297" t="str">
        <f t="shared" si="277"/>
        <v>reg</v>
      </c>
      <c r="DD249" t="s">
        <v>428</v>
      </c>
      <c r="DF249" s="143"/>
      <c r="DG249" s="143">
        <v>60</v>
      </c>
      <c r="DH249" t="str">
        <f t="shared" si="278"/>
        <v>31-70</v>
      </c>
      <c r="DI249">
        <v>0</v>
      </c>
      <c r="DJ249">
        <v>0</v>
      </c>
      <c r="DK249">
        <v>0</v>
      </c>
      <c r="DL249">
        <v>1</v>
      </c>
      <c r="DN249">
        <f t="shared" si="286"/>
        <v>1</v>
      </c>
      <c r="DO249" t="str">
        <f t="shared" si="279"/>
        <v>TimberInput</v>
      </c>
      <c r="DP249">
        <f t="shared" si="280"/>
        <v>0</v>
      </c>
      <c r="DQ249">
        <f t="shared" si="281"/>
        <v>0</v>
      </c>
      <c r="DR249">
        <f t="shared" si="282"/>
        <v>0</v>
      </c>
      <c r="DS249" t="str">
        <f t="shared" si="283"/>
        <v>Timber</v>
      </c>
      <c r="DT249">
        <v>0</v>
      </c>
      <c r="DU249" s="143">
        <v>0</v>
      </c>
      <c r="DV249" s="143">
        <v>0</v>
      </c>
      <c r="DW249">
        <v>0</v>
      </c>
      <c r="DX249" s="143">
        <v>0</v>
      </c>
      <c r="DY249">
        <f t="shared" si="287"/>
        <v>0</v>
      </c>
      <c r="DZ249" s="143" t="str">
        <f t="shared" si="284"/>
        <v>explicit C balance</v>
      </c>
      <c r="EA249" s="143">
        <v>0</v>
      </c>
      <c r="EB249" s="143">
        <v>0</v>
      </c>
      <c r="EC249" s="143">
        <v>0</v>
      </c>
      <c r="ED249" s="143">
        <v>1</v>
      </c>
      <c r="EE249">
        <v>1</v>
      </c>
      <c r="EF249" s="143">
        <v>1</v>
      </c>
      <c r="EG249" s="143">
        <v>1</v>
      </c>
      <c r="EH249" s="143">
        <v>1</v>
      </c>
      <c r="EI249" s="143">
        <v>1</v>
      </c>
      <c r="EJ249" s="143">
        <v>1</v>
      </c>
      <c r="EK249">
        <v>0</v>
      </c>
      <c r="EL249" s="143">
        <v>0</v>
      </c>
      <c r="EM249">
        <v>0</v>
      </c>
      <c r="EN249" s="2">
        <v>0</v>
      </c>
      <c r="EP249" t="str">
        <f t="shared" si="256"/>
        <v/>
      </c>
      <c r="EQ249" t="str">
        <f t="shared" si="251"/>
        <v/>
      </c>
      <c r="ER249" s="2" t="str">
        <f t="shared" si="257"/>
        <v>Technology approach</v>
      </c>
      <c r="ES249" t="str">
        <f t="shared" si="258"/>
        <v/>
      </c>
      <c r="ET249" t="str">
        <f t="shared" si="259"/>
        <v/>
      </c>
      <c r="EU249" t="str">
        <f t="shared" si="260"/>
        <v/>
      </c>
      <c r="EY249" t="b">
        <f>IF(ISNUMBER(BW249),IF(ABS(BW249-[1]QC_indicators!$B$2)&gt;3*[1]QC_indicators!$C$2,"C ratio",IF(ISNUMBER(CA249),IF(ABS(CA249-[1]QC_indicators!$B$1)&gt;3*[1]QC_indicators!$C$1,"DF","no"))),IF(ISNUMBER(CA249),IF(ABS(CA249-[1]QC_indicators!$B$1)&gt;3*[1]QC_indicators!$C$1,"DF","no")))</f>
        <v>0</v>
      </c>
      <c r="FA249" t="str">
        <f t="shared" si="261"/>
        <v/>
      </c>
      <c r="FB249" s="299" t="s">
        <v>349</v>
      </c>
    </row>
    <row r="250" spans="1:160" ht="15" hidden="1" customHeight="1">
      <c r="A250" s="1" t="s">
        <v>643</v>
      </c>
      <c r="B250" t="s">
        <v>3486</v>
      </c>
      <c r="C250" t="s">
        <v>3487</v>
      </c>
      <c r="D250" t="s">
        <v>3488</v>
      </c>
      <c r="E250" t="s">
        <v>3489</v>
      </c>
      <c r="F250" t="s">
        <v>3490</v>
      </c>
      <c r="G250" t="s">
        <v>649</v>
      </c>
      <c r="H250" t="s">
        <v>254</v>
      </c>
      <c r="I250">
        <v>2021</v>
      </c>
      <c r="J250">
        <v>2</v>
      </c>
      <c r="K250" t="s">
        <v>3491</v>
      </c>
      <c r="M250" t="str">
        <f t="shared" si="212"/>
        <v>Liang_2021</v>
      </c>
      <c r="N250" s="297" t="s">
        <v>4058</v>
      </c>
      <c r="O250" s="145" t="s">
        <v>225</v>
      </c>
      <c r="Q250" s="297" t="s">
        <v>256</v>
      </c>
      <c r="R250" s="298"/>
      <c r="S250" s="1" t="s">
        <v>3492</v>
      </c>
      <c r="T250" s="143" t="s">
        <v>3493</v>
      </c>
      <c r="U250" s="143" t="s">
        <v>3494</v>
      </c>
      <c r="V250" s="143"/>
      <c r="W250" s="143"/>
      <c r="X250">
        <v>0</v>
      </c>
      <c r="Y250">
        <v>0</v>
      </c>
      <c r="Z250">
        <v>0</v>
      </c>
      <c r="AA250">
        <v>0</v>
      </c>
      <c r="AB250">
        <v>0</v>
      </c>
      <c r="AC250">
        <v>0</v>
      </c>
      <c r="AD250">
        <v>0</v>
      </c>
      <c r="AE250">
        <v>0</v>
      </c>
      <c r="AF250">
        <v>0</v>
      </c>
      <c r="AG250">
        <v>0</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s="141">
        <f t="shared" si="265"/>
        <v>1</v>
      </c>
      <c r="BA250" s="141">
        <f t="shared" si="266"/>
        <v>1</v>
      </c>
      <c r="BB250">
        <f t="shared" si="267"/>
        <v>0</v>
      </c>
      <c r="BC250">
        <f t="shared" si="268"/>
        <v>1</v>
      </c>
      <c r="BD250">
        <f t="shared" si="269"/>
        <v>0</v>
      </c>
      <c r="BE250">
        <f t="shared" si="270"/>
        <v>0</v>
      </c>
      <c r="BF250">
        <f t="shared" si="271"/>
        <v>0</v>
      </c>
      <c r="BG250" t="str" cm="1">
        <f t="array" ref="BG250">IF(BA250=1,INDEX($X$7:$AN$7,MATCH(TRUE,INDEX($X250:$AY250&lt;&gt;0,),0)),IF(BA250=0,INDEX($AO$7:$AY$7,MATCH(1,$AO250:$AY250,0)),IF(BH250="Multiple strategies","mixed drivers",IF(BH250="Supply chain","multiple supply","multiple silviculture"))))</f>
        <v xml:space="preserve">end of life disposal </v>
      </c>
      <c r="BH250" s="2" t="str" cm="1">
        <f t="array" ref="BH250">IF(COUNTIF(BB250:BD250,"&lt;&gt;0")=1,INDEX($X$4:$AY$4,MATCH(TRUE,INDEX($X250:$AY250&lt;&gt;0,),0)),IF(COUNTIF(BB250:BD250,"&lt;&gt;0")=0,INDEX($AO$4:$AY$4,MATCH(1,$AO250:$AY250,0)),"Multiple strategies"))</f>
        <v>Supply chain</v>
      </c>
      <c r="BI250" s="142"/>
      <c r="BL250" s="143"/>
      <c r="BN250" s="143"/>
      <c r="BO250" s="163"/>
      <c r="BP250" s="158"/>
      <c r="BQ250" s="143"/>
      <c r="BR250" s="297" t="s">
        <v>232</v>
      </c>
      <c r="BS250" s="331"/>
      <c r="BT250" t="s">
        <v>3495</v>
      </c>
      <c r="BU250">
        <v>-273</v>
      </c>
      <c r="BV250">
        <v>-186</v>
      </c>
      <c r="BW250" s="144">
        <v>0.68131868131868134</v>
      </c>
      <c r="BX250">
        <v>87</v>
      </c>
      <c r="BZ250">
        <v>-8.6999999999999994E-2</v>
      </c>
      <c r="CA250" t="str">
        <f t="shared" si="252"/>
        <v/>
      </c>
      <c r="CB250">
        <v>0</v>
      </c>
      <c r="CC250">
        <v>0</v>
      </c>
      <c r="CD250">
        <v>0</v>
      </c>
      <c r="CE250">
        <v>0</v>
      </c>
      <c r="CF250">
        <v>0</v>
      </c>
      <c r="CG250">
        <v>0</v>
      </c>
      <c r="CH250">
        <v>0</v>
      </c>
      <c r="CI250">
        <v>0</v>
      </c>
      <c r="CJ250">
        <v>0</v>
      </c>
      <c r="CK250">
        <v>0</v>
      </c>
      <c r="CL250">
        <v>0</v>
      </c>
      <c r="CM250">
        <v>0</v>
      </c>
      <c r="CN250">
        <v>0</v>
      </c>
      <c r="CO250">
        <v>0</v>
      </c>
      <c r="CP250" t="str">
        <f t="shared" si="285"/>
        <v>refOK</v>
      </c>
      <c r="CQ250"/>
      <c r="CR250"/>
      <c r="CS250"/>
      <c r="CT250">
        <f t="shared" si="253"/>
        <v>0</v>
      </c>
      <c r="CU250">
        <f t="shared" si="272"/>
        <v>-273</v>
      </c>
      <c r="CV250">
        <f t="shared" si="273"/>
        <v>-186</v>
      </c>
      <c r="CW250">
        <f t="shared" si="274"/>
        <v>-8.6999999999999994E-2</v>
      </c>
      <c r="CX250" t="str">
        <f t="shared" si="254"/>
        <v/>
      </c>
      <c r="CY250" t="str">
        <f t="shared" si="275"/>
        <v/>
      </c>
      <c r="CZ250" t="str">
        <f t="shared" si="255"/>
        <v/>
      </c>
      <c r="DA250" s="2">
        <f t="shared" si="276"/>
        <v>0.31868131868131866</v>
      </c>
      <c r="DB250" s="1" t="s">
        <v>1078</v>
      </c>
      <c r="DC250" s="297" t="str">
        <f t="shared" si="277"/>
        <v>reg</v>
      </c>
      <c r="DD250" t="s">
        <v>428</v>
      </c>
      <c r="DF250" s="143"/>
      <c r="DG250" s="143">
        <v>60</v>
      </c>
      <c r="DH250" t="str">
        <f t="shared" si="278"/>
        <v>31-70</v>
      </c>
      <c r="DI250">
        <v>0</v>
      </c>
      <c r="DJ250">
        <v>0</v>
      </c>
      <c r="DK250">
        <v>0</v>
      </c>
      <c r="DL250">
        <v>1</v>
      </c>
      <c r="DN250">
        <f t="shared" si="286"/>
        <v>1</v>
      </c>
      <c r="DO250" t="str">
        <f t="shared" si="279"/>
        <v>TimberInput</v>
      </c>
      <c r="DP250">
        <f t="shared" si="280"/>
        <v>0</v>
      </c>
      <c r="DQ250">
        <f t="shared" si="281"/>
        <v>0</v>
      </c>
      <c r="DR250">
        <f t="shared" si="282"/>
        <v>0</v>
      </c>
      <c r="DS250" t="str">
        <f t="shared" si="283"/>
        <v>Timber</v>
      </c>
      <c r="DT250">
        <v>0</v>
      </c>
      <c r="DU250" s="143">
        <v>0</v>
      </c>
      <c r="DV250" s="143">
        <v>0</v>
      </c>
      <c r="DW250">
        <v>0</v>
      </c>
      <c r="DX250" s="143">
        <v>0</v>
      </c>
      <c r="DY250">
        <f t="shared" si="287"/>
        <v>0</v>
      </c>
      <c r="DZ250" s="143" t="str">
        <f t="shared" si="284"/>
        <v>explicit C balance</v>
      </c>
      <c r="EA250" s="143">
        <v>0</v>
      </c>
      <c r="EB250" s="143">
        <v>0</v>
      </c>
      <c r="EC250" s="143">
        <v>0</v>
      </c>
      <c r="ED250" s="143">
        <v>1</v>
      </c>
      <c r="EE250">
        <v>1</v>
      </c>
      <c r="EF250" s="143">
        <v>1</v>
      </c>
      <c r="EG250" s="143">
        <v>1</v>
      </c>
      <c r="EH250" s="143">
        <v>1</v>
      </c>
      <c r="EI250" s="143">
        <v>1</v>
      </c>
      <c r="EJ250" s="143">
        <v>1</v>
      </c>
      <c r="EK250">
        <v>0</v>
      </c>
      <c r="EL250" s="143">
        <v>0</v>
      </c>
      <c r="EM250">
        <v>0</v>
      </c>
      <c r="EN250" s="2">
        <v>0</v>
      </c>
      <c r="EP250" t="str">
        <f t="shared" si="256"/>
        <v/>
      </c>
      <c r="EQ250" t="str">
        <f t="shared" si="251"/>
        <v/>
      </c>
      <c r="ER250" s="2" t="str">
        <f t="shared" si="257"/>
        <v>Technology approach</v>
      </c>
      <c r="ES250" t="str">
        <f t="shared" si="258"/>
        <v/>
      </c>
      <c r="ET250" t="str">
        <f t="shared" si="259"/>
        <v/>
      </c>
      <c r="EU250" t="str">
        <f t="shared" si="260"/>
        <v/>
      </c>
      <c r="EY250" t="b">
        <f>IF(ISNUMBER(BW250),IF(ABS(BW250-[1]QC_indicators!$B$2)&gt;3*[1]QC_indicators!$C$2,"C ratio",IF(ISNUMBER(CA250),IF(ABS(CA250-[1]QC_indicators!$B$1)&gt;3*[1]QC_indicators!$C$1,"DF","no"))),IF(ISNUMBER(CA250),IF(ABS(CA250-[1]QC_indicators!$B$1)&gt;3*[1]QC_indicators!$C$1,"DF","no")))</f>
        <v>0</v>
      </c>
      <c r="FA250" t="str">
        <f t="shared" si="261"/>
        <v/>
      </c>
      <c r="FB250" s="299" t="s">
        <v>349</v>
      </c>
    </row>
    <row r="251" spans="1:160" ht="15" hidden="1" customHeight="1">
      <c r="A251" s="1" t="s">
        <v>1759</v>
      </c>
      <c r="B251" t="s">
        <v>1760</v>
      </c>
      <c r="C251" t="s">
        <v>1761</v>
      </c>
      <c r="D251" t="s">
        <v>1762</v>
      </c>
      <c r="E251" t="s">
        <v>1763</v>
      </c>
      <c r="F251" t="s">
        <v>1764</v>
      </c>
      <c r="G251" t="s">
        <v>1765</v>
      </c>
      <c r="H251" t="s">
        <v>1484</v>
      </c>
      <c r="I251">
        <v>2005</v>
      </c>
      <c r="J251">
        <v>91</v>
      </c>
      <c r="K251" t="s">
        <v>1766</v>
      </c>
      <c r="M251" t="str">
        <f t="shared" si="212"/>
        <v>Loustau_2005</v>
      </c>
      <c r="N251" s="315" t="s">
        <v>4058</v>
      </c>
      <c r="O251" s="145" t="s">
        <v>225</v>
      </c>
      <c r="Q251" t="s">
        <v>256</v>
      </c>
      <c r="R251" s="258" t="s">
        <v>223</v>
      </c>
      <c r="S251" s="1" t="s">
        <v>90</v>
      </c>
      <c r="T251" s="143" t="s">
        <v>1767</v>
      </c>
      <c r="U251" t="s">
        <v>1768</v>
      </c>
      <c r="X251">
        <v>0</v>
      </c>
      <c r="Y251">
        <v>0</v>
      </c>
      <c r="Z251">
        <v>1</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s="141">
        <f t="shared" si="265"/>
        <v>1</v>
      </c>
      <c r="BA251" s="141">
        <f t="shared" si="266"/>
        <v>1</v>
      </c>
      <c r="BB251">
        <f t="shared" si="267"/>
        <v>1</v>
      </c>
      <c r="BC251">
        <f t="shared" si="268"/>
        <v>0</v>
      </c>
      <c r="BD251">
        <f t="shared" si="269"/>
        <v>0</v>
      </c>
      <c r="BE251">
        <f t="shared" si="270"/>
        <v>0</v>
      </c>
      <c r="BF251">
        <f t="shared" si="271"/>
        <v>0</v>
      </c>
      <c r="BG251" t="str">
        <f t="array" ref="BG251">IF(BA251=1,INDEX($X$7:$AN$7,MATCH(TRUE,INDEX($X251:$AY251&lt;&gt;0,),0)),IF(BA251=0,INDEX($AO$7:$AY$7,MATCH(1,$AO251:$AY251,0)),IF(BH251="Multiple strategies","mixed drivers",IF(BH251="Supply chain","multiple supply","multiple silviculture"))))</f>
        <v>rotation length</v>
      </c>
      <c r="BH251" s="2" t="str" cm="1">
        <f t="array" ref="BH251">IF(COUNTIF(BB251:BD251,"&lt;&gt;0")=1,INDEX($X$4:$AY$4,MATCH(TRUE,INDEX($X251:$AY251&lt;&gt;0,),0)),IF(COUNTIF(BB251:BD251,"&lt;&gt;0")=0,INDEX($AO$4:$AY$4,MATCH(1,$AO251:$AY251,0)),"Multiple strategies"))</f>
        <v>Silviculture for removals</v>
      </c>
      <c r="BI251" s="142"/>
      <c r="BM251" s="143"/>
      <c r="BN251" s="143"/>
      <c r="BQ251" s="159"/>
      <c r="BR251" t="s">
        <v>232</v>
      </c>
      <c r="BS251" s="292" t="s">
        <v>2851</v>
      </c>
      <c r="BT251" t="s">
        <v>1769</v>
      </c>
      <c r="BU251">
        <v>552</v>
      </c>
      <c r="BV251" s="143">
        <v>473</v>
      </c>
      <c r="BW251" s="144">
        <f t="shared" ref="BW251:BW258" si="288">IFERROR(BV251/BU251,"")</f>
        <v>0.85688405797101452</v>
      </c>
      <c r="BX251">
        <f t="shared" ref="BX251:BX258" si="289">BV251-BU251</f>
        <v>-79</v>
      </c>
      <c r="BZ251">
        <f t="shared" ref="BZ251:BZ256" si="290">BX251/10^6*C_to_CO2</f>
        <v>-2.8992999999999998E-4</v>
      </c>
      <c r="CA251" t="str">
        <f t="shared" si="252"/>
        <v/>
      </c>
      <c r="CB251">
        <v>0</v>
      </c>
      <c r="CC251">
        <v>0</v>
      </c>
      <c r="CD251">
        <v>0</v>
      </c>
      <c r="CE251">
        <v>0</v>
      </c>
      <c r="CF251">
        <v>0</v>
      </c>
      <c r="CG251">
        <v>0</v>
      </c>
      <c r="CH251">
        <v>0</v>
      </c>
      <c r="CI251">
        <v>0</v>
      </c>
      <c r="CJ251">
        <v>0</v>
      </c>
      <c r="CK251">
        <v>0</v>
      </c>
      <c r="CL251">
        <v>0</v>
      </c>
      <c r="CM251">
        <v>0</v>
      </c>
      <c r="CN251">
        <v>0</v>
      </c>
      <c r="CO251">
        <v>0</v>
      </c>
      <c r="CP251" t="str">
        <f t="shared" ref="CP251:CP256" si="291">IF($BN251&lt;$BM251,"refNeedCorrection","refOK")</f>
        <v>refOK</v>
      </c>
      <c r="CQ251">
        <f t="shared" ref="CQ251:CQ256" si="292">IF($CP251="refOK",$BM251,$BN251)</f>
        <v>0</v>
      </c>
      <c r="CR251">
        <f t="shared" ref="CR251:CR256" si="293">IF($CP251="refOK",$BN251,$BM251)</f>
        <v>0</v>
      </c>
      <c r="CS251">
        <f t="shared" ref="CS251:CS256" si="294">IF($CP251="refOK",$BQ251,-$BQ251)</f>
        <v>0</v>
      </c>
      <c r="CT251">
        <f t="shared" si="253"/>
        <v>0</v>
      </c>
      <c r="CU251">
        <f t="shared" si="272"/>
        <v>552</v>
      </c>
      <c r="CV251">
        <f t="shared" si="273"/>
        <v>473</v>
      </c>
      <c r="CW251">
        <f t="shared" si="274"/>
        <v>-2.8992999999999998E-4</v>
      </c>
      <c r="CX251" t="str">
        <f t="shared" si="254"/>
        <v/>
      </c>
      <c r="CY251" t="str">
        <f t="shared" si="275"/>
        <v/>
      </c>
      <c r="CZ251" t="str">
        <f t="shared" si="255"/>
        <v/>
      </c>
      <c r="DA251" s="2">
        <f t="shared" si="276"/>
        <v>-0.1431159420289855</v>
      </c>
      <c r="DB251" s="1" t="s">
        <v>1078</v>
      </c>
      <c r="DC251" t="str">
        <f t="shared" si="277"/>
        <v>reg</v>
      </c>
      <c r="DD251" t="s">
        <v>715</v>
      </c>
      <c r="DE251">
        <v>1981</v>
      </c>
      <c r="DF251" s="143">
        <v>2080</v>
      </c>
      <c r="DG251" s="143">
        <f t="shared" ref="DG251:DG260" si="295">DF251-DE251</f>
        <v>99</v>
      </c>
      <c r="DH251" t="str">
        <f t="shared" si="278"/>
        <v>71-100</v>
      </c>
      <c r="DI251">
        <v>1</v>
      </c>
      <c r="DJ251">
        <v>0</v>
      </c>
      <c r="DK251">
        <v>0</v>
      </c>
      <c r="DL251">
        <v>0</v>
      </c>
      <c r="DN251">
        <f t="shared" si="286"/>
        <v>1</v>
      </c>
      <c r="DO251" t="str">
        <f t="shared" si="279"/>
        <v>UpstreamInput</v>
      </c>
      <c r="DP251" t="str">
        <f t="shared" si="280"/>
        <v>Upstream</v>
      </c>
      <c r="DQ251">
        <f t="shared" si="281"/>
        <v>0</v>
      </c>
      <c r="DR251">
        <f t="shared" si="282"/>
        <v>0</v>
      </c>
      <c r="DS251">
        <f t="shared" si="283"/>
        <v>0</v>
      </c>
      <c r="DT251">
        <v>0</v>
      </c>
      <c r="DU251" s="143">
        <v>0</v>
      </c>
      <c r="DV251" s="143">
        <v>0</v>
      </c>
      <c r="DW251">
        <v>0</v>
      </c>
      <c r="DX251" s="143">
        <v>0</v>
      </c>
      <c r="DY251">
        <f t="shared" si="287"/>
        <v>0</v>
      </c>
      <c r="DZ251" s="143" t="str">
        <f t="shared" si="284"/>
        <v>explicit C balance</v>
      </c>
      <c r="EA251" s="143">
        <v>1</v>
      </c>
      <c r="EB251" s="143">
        <v>1</v>
      </c>
      <c r="EC251" s="143">
        <v>1</v>
      </c>
      <c r="ED251" s="143">
        <v>0</v>
      </c>
      <c r="EE251">
        <v>0</v>
      </c>
      <c r="EF251" s="143">
        <v>0</v>
      </c>
      <c r="EG251" s="143">
        <v>0</v>
      </c>
      <c r="EH251" s="143">
        <v>0</v>
      </c>
      <c r="EI251" s="143">
        <v>0</v>
      </c>
      <c r="EJ251">
        <v>0</v>
      </c>
      <c r="EK251">
        <v>0</v>
      </c>
      <c r="EL251" s="143">
        <v>0</v>
      </c>
      <c r="EM251">
        <v>0</v>
      </c>
      <c r="EN251" s="2">
        <v>0</v>
      </c>
      <c r="EP251" t="str">
        <f t="shared" si="256"/>
        <v/>
      </c>
      <c r="EQ251" t="str">
        <f t="shared" ref="EQ251:EQ256" si="296">IF(AND(AND(OR($EC251=1,$EB251=1),AND($EH251=0,$EF251=0)),SUM($EA251:$EE251,$EK251)&gt;=4),"Ecosystem approach","")</f>
        <v/>
      </c>
      <c r="ER251" s="2" t="str">
        <f t="shared" si="257"/>
        <v/>
      </c>
      <c r="ES251" t="str">
        <f t="shared" si="258"/>
        <v/>
      </c>
      <c r="ET251" t="str">
        <f t="shared" si="259"/>
        <v/>
      </c>
      <c r="EU251" t="str">
        <f t="shared" si="260"/>
        <v/>
      </c>
      <c r="EY251" t="b">
        <f>IF(ISNUMBER(BW251),IF(ABS(BW251-[2]QC_indicators!$B$2)&gt;3*[2]QC_indicators!$C$2,"C ratio",IF(ISNUMBER(CA251),IF(ABS(CA251-[2]QC_indicators!$B$1)&gt;3*[2]QC_indicators!$C$1,"DF","no"))),IF(ISNUMBER(CA251),IF(ABS(CA251-[2]QC_indicators!$B$1)&gt;3*[2]QC_indicators!$C$1,"DF","no")))</f>
        <v>0</v>
      </c>
      <c r="FA251" t="str">
        <f t="shared" si="261"/>
        <v/>
      </c>
      <c r="FD251" s="260" t="s">
        <v>2852</v>
      </c>
    </row>
    <row r="252" spans="1:160" ht="15" hidden="1" customHeight="1">
      <c r="A252" s="1" t="s">
        <v>1759</v>
      </c>
      <c r="B252" t="s">
        <v>1760</v>
      </c>
      <c r="C252" t="s">
        <v>1761</v>
      </c>
      <c r="D252" t="s">
        <v>1762</v>
      </c>
      <c r="E252" t="s">
        <v>1763</v>
      </c>
      <c r="F252" t="s">
        <v>1764</v>
      </c>
      <c r="G252" t="s">
        <v>1765</v>
      </c>
      <c r="H252" t="s">
        <v>1484</v>
      </c>
      <c r="I252">
        <v>2005</v>
      </c>
      <c r="J252">
        <v>91</v>
      </c>
      <c r="K252" t="s">
        <v>1766</v>
      </c>
      <c r="M252" t="str">
        <f t="shared" si="212"/>
        <v>Loustau_2005</v>
      </c>
      <c r="N252" s="315" t="s">
        <v>4058</v>
      </c>
      <c r="O252" s="145" t="s">
        <v>225</v>
      </c>
      <c r="Q252" t="s">
        <v>256</v>
      </c>
      <c r="R252" s="258" t="s">
        <v>223</v>
      </c>
      <c r="S252" s="1" t="s">
        <v>90</v>
      </c>
      <c r="T252" s="143" t="s">
        <v>1770</v>
      </c>
      <c r="U252" t="s">
        <v>1771</v>
      </c>
      <c r="X252">
        <v>0</v>
      </c>
      <c r="Y252">
        <v>0</v>
      </c>
      <c r="Z252">
        <v>1</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s="141">
        <f t="shared" si="265"/>
        <v>1</v>
      </c>
      <c r="BA252" s="141">
        <f t="shared" si="266"/>
        <v>1</v>
      </c>
      <c r="BB252">
        <f t="shared" si="267"/>
        <v>1</v>
      </c>
      <c r="BC252">
        <f t="shared" si="268"/>
        <v>0</v>
      </c>
      <c r="BD252">
        <f t="shared" si="269"/>
        <v>0</v>
      </c>
      <c r="BE252">
        <f t="shared" si="270"/>
        <v>0</v>
      </c>
      <c r="BF252">
        <f t="shared" si="271"/>
        <v>0</v>
      </c>
      <c r="BG252" t="str">
        <f t="array" ref="BG252">IF(BA252=1,INDEX($X$7:$AN$7,MATCH(TRUE,INDEX($X252:$AY252&lt;&gt;0,),0)),IF(BA252=0,INDEX($AO$7:$AY$7,MATCH(1,$AO252:$AY252,0)),IF(BH252="Multiple strategies","mixed drivers",IF(BH252="Supply chain","multiple supply","multiple silviculture"))))</f>
        <v>rotation length</v>
      </c>
      <c r="BH252" s="2" t="str" cm="1">
        <f t="array" ref="BH252">IF(COUNTIF(BB252:BD252,"&lt;&gt;0")=1,INDEX($X$4:$AY$4,MATCH(TRUE,INDEX($X252:$AY252&lt;&gt;0,),0)),IF(COUNTIF(BB252:BD252,"&lt;&gt;0")=0,INDEX($AO$4:$AY$4,MATCH(1,$AO252:$AY252,0)),"Multiple strategies"))</f>
        <v>Silviculture for removals</v>
      </c>
      <c r="BI252" s="142"/>
      <c r="BM252" s="143"/>
      <c r="BQ252" s="159"/>
      <c r="BR252" t="s">
        <v>232</v>
      </c>
      <c r="BS252" s="292" t="s">
        <v>2851</v>
      </c>
      <c r="BT252" t="s">
        <v>1769</v>
      </c>
      <c r="BU252">
        <v>473</v>
      </c>
      <c r="BV252" s="143">
        <v>453</v>
      </c>
      <c r="BW252" s="144">
        <f t="shared" si="288"/>
        <v>0.95771670190274838</v>
      </c>
      <c r="BX252">
        <f t="shared" si="289"/>
        <v>-20</v>
      </c>
      <c r="BZ252">
        <f t="shared" si="290"/>
        <v>-7.3400000000000009E-5</v>
      </c>
      <c r="CA252" t="str">
        <f t="shared" si="252"/>
        <v/>
      </c>
      <c r="CB252">
        <v>0</v>
      </c>
      <c r="CC252">
        <v>0</v>
      </c>
      <c r="CD252">
        <v>0</v>
      </c>
      <c r="CE252">
        <v>0</v>
      </c>
      <c r="CF252">
        <v>0</v>
      </c>
      <c r="CG252">
        <v>0</v>
      </c>
      <c r="CH252">
        <v>0</v>
      </c>
      <c r="CI252">
        <v>0</v>
      </c>
      <c r="CJ252">
        <v>0</v>
      </c>
      <c r="CK252">
        <v>0</v>
      </c>
      <c r="CL252">
        <v>0</v>
      </c>
      <c r="CM252">
        <v>0</v>
      </c>
      <c r="CN252">
        <v>0</v>
      </c>
      <c r="CO252">
        <v>0</v>
      </c>
      <c r="CP252" t="str">
        <f t="shared" si="291"/>
        <v>refOK</v>
      </c>
      <c r="CQ252">
        <f t="shared" si="292"/>
        <v>0</v>
      </c>
      <c r="CR252">
        <f t="shared" si="293"/>
        <v>0</v>
      </c>
      <c r="CS252">
        <f t="shared" si="294"/>
        <v>0</v>
      </c>
      <c r="CT252">
        <f t="shared" si="253"/>
        <v>0</v>
      </c>
      <c r="CU252">
        <f t="shared" si="272"/>
        <v>473</v>
      </c>
      <c r="CV252">
        <f t="shared" si="273"/>
        <v>453</v>
      </c>
      <c r="CW252">
        <f t="shared" si="274"/>
        <v>-7.3400000000000009E-5</v>
      </c>
      <c r="CX252" t="str">
        <f t="shared" si="254"/>
        <v/>
      </c>
      <c r="CY252" t="str">
        <f t="shared" si="275"/>
        <v/>
      </c>
      <c r="CZ252" t="str">
        <f t="shared" si="255"/>
        <v/>
      </c>
      <c r="DA252" s="2">
        <f t="shared" si="276"/>
        <v>-4.2283298097251586E-2</v>
      </c>
      <c r="DB252" s="1" t="s">
        <v>1078</v>
      </c>
      <c r="DC252" t="str">
        <f t="shared" si="277"/>
        <v>reg</v>
      </c>
      <c r="DD252" t="s">
        <v>715</v>
      </c>
      <c r="DE252">
        <v>1981</v>
      </c>
      <c r="DF252" s="143">
        <v>2080</v>
      </c>
      <c r="DG252" s="143">
        <f t="shared" si="295"/>
        <v>99</v>
      </c>
      <c r="DH252" t="str">
        <f t="shared" si="278"/>
        <v>71-100</v>
      </c>
      <c r="DI252">
        <v>1</v>
      </c>
      <c r="DJ252">
        <v>0</v>
      </c>
      <c r="DK252">
        <v>0</v>
      </c>
      <c r="DL252">
        <v>0</v>
      </c>
      <c r="DN252">
        <f t="shared" si="286"/>
        <v>1</v>
      </c>
      <c r="DO252" t="str">
        <f t="shared" si="279"/>
        <v>UpstreamInput</v>
      </c>
      <c r="DP252" t="str">
        <f t="shared" si="280"/>
        <v>Upstream</v>
      </c>
      <c r="DQ252">
        <f t="shared" si="281"/>
        <v>0</v>
      </c>
      <c r="DR252">
        <f t="shared" si="282"/>
        <v>0</v>
      </c>
      <c r="DS252">
        <f t="shared" si="283"/>
        <v>0</v>
      </c>
      <c r="DT252">
        <v>0</v>
      </c>
      <c r="DU252" s="143">
        <v>0</v>
      </c>
      <c r="DV252" s="143">
        <v>0</v>
      </c>
      <c r="DW252">
        <v>0</v>
      </c>
      <c r="DX252" s="143">
        <v>0</v>
      </c>
      <c r="DY252">
        <f t="shared" si="287"/>
        <v>0</v>
      </c>
      <c r="DZ252" s="143" t="str">
        <f t="shared" si="284"/>
        <v>explicit C balance</v>
      </c>
      <c r="EA252" s="143">
        <v>1</v>
      </c>
      <c r="EB252" s="143">
        <v>1</v>
      </c>
      <c r="EC252" s="143">
        <v>1</v>
      </c>
      <c r="ED252" s="143">
        <v>0</v>
      </c>
      <c r="EE252">
        <v>0</v>
      </c>
      <c r="EF252" s="143">
        <v>0</v>
      </c>
      <c r="EG252" s="143">
        <v>0</v>
      </c>
      <c r="EH252" s="143">
        <v>0</v>
      </c>
      <c r="EI252" s="143">
        <v>0</v>
      </c>
      <c r="EJ252">
        <v>0</v>
      </c>
      <c r="EK252">
        <v>0</v>
      </c>
      <c r="EL252" s="143">
        <v>0</v>
      </c>
      <c r="EM252">
        <v>0</v>
      </c>
      <c r="EN252" s="2">
        <v>0</v>
      </c>
      <c r="EP252" t="str">
        <f t="shared" si="256"/>
        <v/>
      </c>
      <c r="EQ252" t="str">
        <f t="shared" si="296"/>
        <v/>
      </c>
      <c r="ER252" s="2" t="str">
        <f t="shared" si="257"/>
        <v/>
      </c>
      <c r="ES252" t="str">
        <f t="shared" si="258"/>
        <v/>
      </c>
      <c r="ET252" t="str">
        <f t="shared" si="259"/>
        <v/>
      </c>
      <c r="EU252" t="str">
        <f t="shared" si="260"/>
        <v/>
      </c>
      <c r="EY252" t="b">
        <f>IF(ISNUMBER(BW252),IF(ABS(BW252-[2]QC_indicators!$B$2)&gt;3*[2]QC_indicators!$C$2,"C ratio",IF(ISNUMBER(CA252),IF(ABS(CA252-[2]QC_indicators!$B$1)&gt;3*[2]QC_indicators!$C$1,"DF","no"))),IF(ISNUMBER(CA252),IF(ABS(CA252-[2]QC_indicators!$B$1)&gt;3*[2]QC_indicators!$C$1,"DF","no")))</f>
        <v>0</v>
      </c>
      <c r="FA252" t="str">
        <f t="shared" si="261"/>
        <v/>
      </c>
      <c r="FD252" s="260" t="s">
        <v>2852</v>
      </c>
    </row>
    <row r="253" spans="1:160" ht="15" hidden="1" customHeight="1">
      <c r="A253" s="1" t="s">
        <v>1759</v>
      </c>
      <c r="B253" t="s">
        <v>1760</v>
      </c>
      <c r="C253" t="s">
        <v>1761</v>
      </c>
      <c r="D253" t="s">
        <v>1762</v>
      </c>
      <c r="E253" t="s">
        <v>1763</v>
      </c>
      <c r="F253" t="s">
        <v>1764</v>
      </c>
      <c r="G253" t="s">
        <v>1765</v>
      </c>
      <c r="H253" t="s">
        <v>1484</v>
      </c>
      <c r="I253">
        <v>2005</v>
      </c>
      <c r="J253">
        <v>91</v>
      </c>
      <c r="K253" t="s">
        <v>1766</v>
      </c>
      <c r="M253" t="str">
        <f t="shared" si="212"/>
        <v>Loustau_2005</v>
      </c>
      <c r="N253" s="315" t="s">
        <v>4058</v>
      </c>
      <c r="O253" s="145" t="s">
        <v>225</v>
      </c>
      <c r="Q253" t="s">
        <v>256</v>
      </c>
      <c r="R253" s="258" t="s">
        <v>223</v>
      </c>
      <c r="S253" s="1" t="s">
        <v>90</v>
      </c>
      <c r="T253" t="s">
        <v>1772</v>
      </c>
      <c r="U253" s="143" t="s">
        <v>1773</v>
      </c>
      <c r="V253" s="143"/>
      <c r="W253" s="143"/>
      <c r="X253">
        <v>0</v>
      </c>
      <c r="Y253">
        <v>0</v>
      </c>
      <c r="Z253">
        <v>1</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s="141">
        <f t="shared" si="265"/>
        <v>1</v>
      </c>
      <c r="BA253" s="141">
        <f t="shared" si="266"/>
        <v>1</v>
      </c>
      <c r="BB253">
        <f t="shared" si="267"/>
        <v>1</v>
      </c>
      <c r="BC253">
        <f t="shared" si="268"/>
        <v>0</v>
      </c>
      <c r="BD253">
        <f t="shared" si="269"/>
        <v>0</v>
      </c>
      <c r="BE253">
        <f t="shared" si="270"/>
        <v>0</v>
      </c>
      <c r="BF253">
        <f t="shared" si="271"/>
        <v>0</v>
      </c>
      <c r="BG253" t="str">
        <f t="array" ref="BG253">IF(BA253=1,INDEX($X$7:$AN$7,MATCH(TRUE,INDEX($X253:$AY253&lt;&gt;0,),0)),IF(BA253=0,INDEX($AO$7:$AY$7,MATCH(1,$AO253:$AY253,0)),IF(BH253="Multiple strategies","mixed drivers",IF(BH253="Supply chain","multiple supply","multiple silviculture"))))</f>
        <v>rotation length</v>
      </c>
      <c r="BH253" s="2" t="str" cm="1">
        <f t="array" ref="BH253">IF(COUNTIF(BB253:BD253,"&lt;&gt;0")=1,INDEX($X$4:$AY$4,MATCH(TRUE,INDEX($X253:$AY253&lt;&gt;0,),0)),IF(COUNTIF(BB253:BD253,"&lt;&gt;0")=0,INDEX($AO$4:$AY$4,MATCH(1,$AO253:$AY253,0)),"Multiple strategies"))</f>
        <v>Silviculture for removals</v>
      </c>
      <c r="BI253" s="142"/>
      <c r="BN253" s="143"/>
      <c r="BO253" s="163"/>
      <c r="BQ253" s="159"/>
      <c r="BR253" t="s">
        <v>232</v>
      </c>
      <c r="BS253" s="292" t="s">
        <v>2851</v>
      </c>
      <c r="BT253" t="s">
        <v>1769</v>
      </c>
      <c r="BU253" s="143">
        <v>355</v>
      </c>
      <c r="BV253">
        <v>377</v>
      </c>
      <c r="BW253" s="144">
        <f t="shared" si="288"/>
        <v>1.0619718309859154</v>
      </c>
      <c r="BX253">
        <f t="shared" si="289"/>
        <v>22</v>
      </c>
      <c r="BZ253">
        <f t="shared" si="290"/>
        <v>8.0740000000000003E-5</v>
      </c>
      <c r="CA253" t="str">
        <f t="shared" si="252"/>
        <v/>
      </c>
      <c r="CB253">
        <v>0</v>
      </c>
      <c r="CC253">
        <v>0</v>
      </c>
      <c r="CD253">
        <v>0</v>
      </c>
      <c r="CE253">
        <v>0</v>
      </c>
      <c r="CF253">
        <v>0</v>
      </c>
      <c r="CG253">
        <v>0</v>
      </c>
      <c r="CH253">
        <v>0</v>
      </c>
      <c r="CI253">
        <v>0</v>
      </c>
      <c r="CJ253">
        <v>0</v>
      </c>
      <c r="CK253">
        <v>0</v>
      </c>
      <c r="CL253">
        <v>0</v>
      </c>
      <c r="CM253">
        <v>0</v>
      </c>
      <c r="CN253">
        <v>0</v>
      </c>
      <c r="CO253">
        <v>0</v>
      </c>
      <c r="CP253" t="str">
        <f t="shared" si="291"/>
        <v>refOK</v>
      </c>
      <c r="CQ253">
        <f t="shared" si="292"/>
        <v>0</v>
      </c>
      <c r="CR253">
        <f t="shared" si="293"/>
        <v>0</v>
      </c>
      <c r="CS253">
        <f t="shared" si="294"/>
        <v>0</v>
      </c>
      <c r="CT253">
        <f t="shared" si="253"/>
        <v>0</v>
      </c>
      <c r="CU253">
        <f t="shared" si="272"/>
        <v>355</v>
      </c>
      <c r="CV253">
        <f t="shared" si="273"/>
        <v>377</v>
      </c>
      <c r="CW253">
        <f t="shared" si="274"/>
        <v>8.0740000000000003E-5</v>
      </c>
      <c r="CX253" t="str">
        <f t="shared" si="254"/>
        <v/>
      </c>
      <c r="CY253" t="str">
        <f t="shared" si="275"/>
        <v/>
      </c>
      <c r="CZ253" t="str">
        <f t="shared" si="255"/>
        <v/>
      </c>
      <c r="DA253" s="2">
        <f t="shared" si="276"/>
        <v>6.1971830985915494E-2</v>
      </c>
      <c r="DB253" s="1" t="s">
        <v>1078</v>
      </c>
      <c r="DC253" t="str">
        <f t="shared" si="277"/>
        <v>reg</v>
      </c>
      <c r="DD253" t="s">
        <v>715</v>
      </c>
      <c r="DE253">
        <v>1981</v>
      </c>
      <c r="DF253" s="143">
        <v>2080</v>
      </c>
      <c r="DG253" s="143">
        <f t="shared" si="295"/>
        <v>99</v>
      </c>
      <c r="DH253" t="str">
        <f t="shared" si="278"/>
        <v>71-100</v>
      </c>
      <c r="DI253">
        <v>1</v>
      </c>
      <c r="DJ253">
        <v>0</v>
      </c>
      <c r="DK253">
        <v>0</v>
      </c>
      <c r="DL253">
        <v>0</v>
      </c>
      <c r="DN253">
        <f t="shared" si="286"/>
        <v>1</v>
      </c>
      <c r="DO253" t="str">
        <f t="shared" si="279"/>
        <v>UpstreamInput</v>
      </c>
      <c r="DP253" t="str">
        <f t="shared" si="280"/>
        <v>Upstream</v>
      </c>
      <c r="DQ253">
        <f t="shared" si="281"/>
        <v>0</v>
      </c>
      <c r="DR253">
        <f t="shared" si="282"/>
        <v>0</v>
      </c>
      <c r="DS253">
        <f t="shared" si="283"/>
        <v>0</v>
      </c>
      <c r="DT253">
        <v>0</v>
      </c>
      <c r="DU253" s="143">
        <v>0</v>
      </c>
      <c r="DV253" s="143">
        <v>0</v>
      </c>
      <c r="DW253">
        <v>0</v>
      </c>
      <c r="DX253" s="143">
        <v>0</v>
      </c>
      <c r="DY253">
        <f t="shared" si="287"/>
        <v>0</v>
      </c>
      <c r="DZ253" s="143" t="str">
        <f t="shared" si="284"/>
        <v>explicit C balance</v>
      </c>
      <c r="EA253" s="143">
        <v>1</v>
      </c>
      <c r="EB253" s="143">
        <v>1</v>
      </c>
      <c r="EC253" s="143">
        <v>1</v>
      </c>
      <c r="ED253" s="143">
        <v>0</v>
      </c>
      <c r="EE253">
        <v>0</v>
      </c>
      <c r="EF253" s="143">
        <v>0</v>
      </c>
      <c r="EG253" s="143">
        <v>0</v>
      </c>
      <c r="EH253" s="143">
        <v>0</v>
      </c>
      <c r="EI253" s="143">
        <v>0</v>
      </c>
      <c r="EJ253">
        <v>0</v>
      </c>
      <c r="EK253">
        <v>0</v>
      </c>
      <c r="EL253" s="143">
        <v>0</v>
      </c>
      <c r="EM253">
        <v>0</v>
      </c>
      <c r="EN253" s="2">
        <v>0</v>
      </c>
      <c r="EP253" t="str">
        <f t="shared" si="256"/>
        <v/>
      </c>
      <c r="EQ253" t="str">
        <f t="shared" si="296"/>
        <v/>
      </c>
      <c r="ER253" s="2" t="str">
        <f t="shared" si="257"/>
        <v/>
      </c>
      <c r="ES253" t="str">
        <f t="shared" si="258"/>
        <v/>
      </c>
      <c r="ET253" t="str">
        <f t="shared" si="259"/>
        <v/>
      </c>
      <c r="EU253" t="str">
        <f t="shared" si="260"/>
        <v/>
      </c>
      <c r="EY253" t="b">
        <f>IF(ISNUMBER(BW253),IF(ABS(BW253-[2]QC_indicators!$B$2)&gt;3*[2]QC_indicators!$C$2,"C ratio",IF(ISNUMBER(CA253),IF(ABS(CA253-[2]QC_indicators!$B$1)&gt;3*[2]QC_indicators!$C$1,"DF","no"))),IF(ISNUMBER(CA253),IF(ABS(CA253-[2]QC_indicators!$B$1)&gt;3*[2]QC_indicators!$C$1,"DF","no")))</f>
        <v>0</v>
      </c>
      <c r="FA253" t="str">
        <f t="shared" si="261"/>
        <v/>
      </c>
      <c r="FD253" s="260" t="s">
        <v>2852</v>
      </c>
    </row>
    <row r="254" spans="1:160" ht="15" hidden="1" customHeight="1">
      <c r="A254" s="1" t="s">
        <v>1759</v>
      </c>
      <c r="B254" t="s">
        <v>1760</v>
      </c>
      <c r="C254" t="s">
        <v>1761</v>
      </c>
      <c r="D254" t="s">
        <v>1762</v>
      </c>
      <c r="E254" t="s">
        <v>1763</v>
      </c>
      <c r="F254" t="s">
        <v>1764</v>
      </c>
      <c r="G254" t="s">
        <v>1765</v>
      </c>
      <c r="H254" t="s">
        <v>1484</v>
      </c>
      <c r="I254">
        <v>2005</v>
      </c>
      <c r="J254">
        <v>91</v>
      </c>
      <c r="K254" t="s">
        <v>1766</v>
      </c>
      <c r="M254" t="str">
        <f t="shared" si="212"/>
        <v>Loustau_2005</v>
      </c>
      <c r="N254" s="315" t="s">
        <v>4058</v>
      </c>
      <c r="O254" s="145" t="s">
        <v>225</v>
      </c>
      <c r="Q254" t="s">
        <v>256</v>
      </c>
      <c r="R254" s="258" t="s">
        <v>223</v>
      </c>
      <c r="S254" s="1" t="s">
        <v>90</v>
      </c>
      <c r="T254" t="s">
        <v>1774</v>
      </c>
      <c r="U254" s="143" t="s">
        <v>1775</v>
      </c>
      <c r="V254" s="143"/>
      <c r="W254" s="143"/>
      <c r="X254">
        <v>0</v>
      </c>
      <c r="Y254">
        <v>0</v>
      </c>
      <c r="Z254">
        <v>1</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s="141">
        <f t="shared" si="265"/>
        <v>1</v>
      </c>
      <c r="BA254" s="141">
        <f t="shared" si="266"/>
        <v>1</v>
      </c>
      <c r="BB254">
        <f t="shared" si="267"/>
        <v>1</v>
      </c>
      <c r="BC254">
        <f t="shared" si="268"/>
        <v>0</v>
      </c>
      <c r="BD254">
        <f t="shared" si="269"/>
        <v>0</v>
      </c>
      <c r="BE254">
        <f t="shared" si="270"/>
        <v>0</v>
      </c>
      <c r="BF254">
        <f t="shared" si="271"/>
        <v>0</v>
      </c>
      <c r="BG254" t="str">
        <f t="array" ref="BG254">IF(BA254=1,INDEX($X$7:$AN$7,MATCH(TRUE,INDEX($X254:$AY254&lt;&gt;0,),0)),IF(BA254=0,INDEX($AO$7:$AY$7,MATCH(1,$AO254:$AY254,0)),IF(BH254="Multiple strategies","mixed drivers",IF(BH254="Supply chain","multiple supply","multiple silviculture"))))</f>
        <v>rotation length</v>
      </c>
      <c r="BH254" s="2" t="str" cm="1">
        <f t="array" ref="BH254">IF(COUNTIF(BB254:BD254,"&lt;&gt;0")=1,INDEX($X$4:$AY$4,MATCH(TRUE,INDEX($X254:$AY254&lt;&gt;0,),0)),IF(COUNTIF(BB254:BD254,"&lt;&gt;0")=0,INDEX($AO$4:$AY$4,MATCH(1,$AO254:$AY254,0)),"Multiple strategies"))</f>
        <v>Silviculture for removals</v>
      </c>
      <c r="BI254" s="142"/>
      <c r="BN254" s="143"/>
      <c r="BO254" s="163"/>
      <c r="BQ254" s="159"/>
      <c r="BR254" t="s">
        <v>232</v>
      </c>
      <c r="BS254" s="292" t="s">
        <v>2851</v>
      </c>
      <c r="BT254" t="s">
        <v>1769</v>
      </c>
      <c r="BU254" s="143">
        <v>377</v>
      </c>
      <c r="BV254">
        <v>444</v>
      </c>
      <c r="BW254" s="144">
        <f t="shared" si="288"/>
        <v>1.1777188328912467</v>
      </c>
      <c r="BX254">
        <f t="shared" si="289"/>
        <v>67</v>
      </c>
      <c r="BZ254">
        <f t="shared" si="290"/>
        <v>2.4589000000000002E-4</v>
      </c>
      <c r="CA254" t="str">
        <f t="shared" si="252"/>
        <v/>
      </c>
      <c r="CB254">
        <v>0</v>
      </c>
      <c r="CC254">
        <v>0</v>
      </c>
      <c r="CD254">
        <v>0</v>
      </c>
      <c r="CE254">
        <v>0</v>
      </c>
      <c r="CF254">
        <v>0</v>
      </c>
      <c r="CG254">
        <v>0</v>
      </c>
      <c r="CH254">
        <v>0</v>
      </c>
      <c r="CI254">
        <v>0</v>
      </c>
      <c r="CJ254">
        <v>0</v>
      </c>
      <c r="CK254">
        <v>0</v>
      </c>
      <c r="CL254">
        <v>0</v>
      </c>
      <c r="CM254">
        <v>0</v>
      </c>
      <c r="CN254">
        <v>0</v>
      </c>
      <c r="CO254">
        <v>0</v>
      </c>
      <c r="CP254" t="str">
        <f t="shared" si="291"/>
        <v>refOK</v>
      </c>
      <c r="CQ254">
        <f t="shared" si="292"/>
        <v>0</v>
      </c>
      <c r="CR254">
        <f t="shared" si="293"/>
        <v>0</v>
      </c>
      <c r="CS254">
        <f t="shared" si="294"/>
        <v>0</v>
      </c>
      <c r="CT254">
        <f t="shared" si="253"/>
        <v>0</v>
      </c>
      <c r="CU254">
        <f t="shared" si="272"/>
        <v>377</v>
      </c>
      <c r="CV254">
        <f t="shared" si="273"/>
        <v>444</v>
      </c>
      <c r="CW254">
        <f t="shared" si="274"/>
        <v>2.4589000000000002E-4</v>
      </c>
      <c r="CX254" t="str">
        <f t="shared" si="254"/>
        <v/>
      </c>
      <c r="CY254" t="str">
        <f t="shared" si="275"/>
        <v/>
      </c>
      <c r="CZ254" t="str">
        <f t="shared" si="255"/>
        <v/>
      </c>
      <c r="DA254" s="2">
        <f t="shared" si="276"/>
        <v>0.17771883289124668</v>
      </c>
      <c r="DB254" s="1" t="s">
        <v>1078</v>
      </c>
      <c r="DC254" t="str">
        <f t="shared" si="277"/>
        <v>reg</v>
      </c>
      <c r="DD254" t="s">
        <v>715</v>
      </c>
      <c r="DE254">
        <v>1981</v>
      </c>
      <c r="DF254" s="143">
        <v>2080</v>
      </c>
      <c r="DG254" s="143">
        <f t="shared" si="295"/>
        <v>99</v>
      </c>
      <c r="DH254" t="str">
        <f t="shared" si="278"/>
        <v>71-100</v>
      </c>
      <c r="DI254">
        <v>1</v>
      </c>
      <c r="DJ254">
        <v>0</v>
      </c>
      <c r="DK254">
        <v>0</v>
      </c>
      <c r="DL254">
        <v>0</v>
      </c>
      <c r="DN254">
        <f t="shared" si="286"/>
        <v>1</v>
      </c>
      <c r="DO254" t="str">
        <f t="shared" si="279"/>
        <v>UpstreamInput</v>
      </c>
      <c r="DP254" t="str">
        <f t="shared" si="280"/>
        <v>Upstream</v>
      </c>
      <c r="DQ254">
        <f t="shared" si="281"/>
        <v>0</v>
      </c>
      <c r="DR254">
        <f t="shared" si="282"/>
        <v>0</v>
      </c>
      <c r="DS254">
        <f t="shared" si="283"/>
        <v>0</v>
      </c>
      <c r="DT254">
        <v>0</v>
      </c>
      <c r="DU254" s="143">
        <v>0</v>
      </c>
      <c r="DV254" s="143">
        <v>0</v>
      </c>
      <c r="DW254">
        <v>0</v>
      </c>
      <c r="DX254" s="143">
        <v>0</v>
      </c>
      <c r="DY254">
        <f t="shared" si="287"/>
        <v>0</v>
      </c>
      <c r="DZ254" s="143" t="str">
        <f t="shared" si="284"/>
        <v>explicit C balance</v>
      </c>
      <c r="EA254" s="143">
        <v>1</v>
      </c>
      <c r="EB254" s="143">
        <v>1</v>
      </c>
      <c r="EC254" s="143">
        <v>1</v>
      </c>
      <c r="ED254" s="143">
        <v>0</v>
      </c>
      <c r="EE254">
        <v>0</v>
      </c>
      <c r="EF254" s="143">
        <v>0</v>
      </c>
      <c r="EG254" s="143">
        <v>0</v>
      </c>
      <c r="EH254" s="143">
        <v>0</v>
      </c>
      <c r="EI254" s="143">
        <v>0</v>
      </c>
      <c r="EJ254">
        <v>0</v>
      </c>
      <c r="EK254">
        <v>0</v>
      </c>
      <c r="EL254" s="143">
        <v>0</v>
      </c>
      <c r="EM254">
        <v>0</v>
      </c>
      <c r="EN254" s="2">
        <v>0</v>
      </c>
      <c r="EP254" t="str">
        <f t="shared" si="256"/>
        <v/>
      </c>
      <c r="EQ254" t="str">
        <f t="shared" si="296"/>
        <v/>
      </c>
      <c r="ER254" s="2" t="str">
        <f t="shared" si="257"/>
        <v/>
      </c>
      <c r="ES254" t="str">
        <f t="shared" si="258"/>
        <v/>
      </c>
      <c r="ET254" t="str">
        <f t="shared" si="259"/>
        <v/>
      </c>
      <c r="EU254" t="str">
        <f t="shared" si="260"/>
        <v/>
      </c>
      <c r="EY254" t="b">
        <f>IF(ISNUMBER(BW254),IF(ABS(BW254-[2]QC_indicators!$B$2)&gt;3*[2]QC_indicators!$C$2,"C ratio",IF(ISNUMBER(CA254),IF(ABS(CA254-[2]QC_indicators!$B$1)&gt;3*[2]QC_indicators!$C$1,"DF","no"))),IF(ISNUMBER(CA254),IF(ABS(CA254-[2]QC_indicators!$B$1)&gt;3*[2]QC_indicators!$C$1,"DF","no")))</f>
        <v>0</v>
      </c>
      <c r="FA254" t="str">
        <f t="shared" si="261"/>
        <v/>
      </c>
      <c r="FD254" s="260" t="s">
        <v>2852</v>
      </c>
    </row>
    <row r="255" spans="1:160" ht="15" hidden="1" customHeight="1">
      <c r="A255" s="1" t="s">
        <v>1759</v>
      </c>
      <c r="B255" t="s">
        <v>1760</v>
      </c>
      <c r="C255" t="s">
        <v>1761</v>
      </c>
      <c r="D255" t="s">
        <v>1762</v>
      </c>
      <c r="E255" t="s">
        <v>1763</v>
      </c>
      <c r="F255" t="s">
        <v>1764</v>
      </c>
      <c r="G255" t="s">
        <v>1765</v>
      </c>
      <c r="H255" t="s">
        <v>1484</v>
      </c>
      <c r="I255">
        <v>2005</v>
      </c>
      <c r="J255">
        <v>91</v>
      </c>
      <c r="K255" t="s">
        <v>1766</v>
      </c>
      <c r="M255" t="str">
        <f t="shared" si="212"/>
        <v>Loustau_2005</v>
      </c>
      <c r="N255" s="315" t="s">
        <v>4058</v>
      </c>
      <c r="O255" s="145" t="s">
        <v>225</v>
      </c>
      <c r="Q255" t="s">
        <v>256</v>
      </c>
      <c r="R255" s="258" t="s">
        <v>223</v>
      </c>
      <c r="S255" s="1" t="s">
        <v>90</v>
      </c>
      <c r="T255" s="143" t="s">
        <v>1777</v>
      </c>
      <c r="U255" t="s">
        <v>1778</v>
      </c>
      <c r="X255">
        <v>0</v>
      </c>
      <c r="Y255">
        <v>0</v>
      </c>
      <c r="Z255">
        <v>1</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s="141">
        <f t="shared" si="265"/>
        <v>1</v>
      </c>
      <c r="BA255" s="141">
        <f t="shared" si="266"/>
        <v>1</v>
      </c>
      <c r="BB255">
        <f t="shared" si="267"/>
        <v>1</v>
      </c>
      <c r="BC255">
        <f t="shared" si="268"/>
        <v>0</v>
      </c>
      <c r="BD255">
        <f t="shared" si="269"/>
        <v>0</v>
      </c>
      <c r="BE255">
        <f t="shared" si="270"/>
        <v>0</v>
      </c>
      <c r="BF255">
        <f t="shared" si="271"/>
        <v>0</v>
      </c>
      <c r="BG255" t="str">
        <f t="array" ref="BG255">IF(BA255=1,INDEX($X$7:$AN$7,MATCH(TRUE,INDEX($X255:$AY255&lt;&gt;0,),0)),IF(BA255=0,INDEX($AO$7:$AY$7,MATCH(1,$AO255:$AY255,0)),IF(BH255="Multiple strategies","mixed drivers",IF(BH255="Supply chain","multiple supply","multiple silviculture"))))</f>
        <v>rotation length</v>
      </c>
      <c r="BH255" s="2" t="str" cm="1">
        <f t="array" ref="BH255">IF(COUNTIF(BB255:BD255,"&lt;&gt;0")=1,INDEX($X$4:$AY$4,MATCH(TRUE,INDEX($X255:$AY255&lt;&gt;0,),0)),IF(COUNTIF(BB255:BD255,"&lt;&gt;0")=0,INDEX($AO$4:$AY$4,MATCH(1,$AO255:$AY255,0)),"Multiple strategies"))</f>
        <v>Silviculture for removals</v>
      </c>
      <c r="BI255" s="142"/>
      <c r="BM255" s="143"/>
      <c r="BQ255" s="159"/>
      <c r="BR255" t="s">
        <v>232</v>
      </c>
      <c r="BS255" s="292" t="s">
        <v>2851</v>
      </c>
      <c r="BT255" t="s">
        <v>1769</v>
      </c>
      <c r="BU255">
        <v>217</v>
      </c>
      <c r="BV255" s="143">
        <v>453</v>
      </c>
      <c r="BW255" s="144">
        <f t="shared" si="288"/>
        <v>2.0875576036866361</v>
      </c>
      <c r="BX255">
        <f t="shared" si="289"/>
        <v>236</v>
      </c>
      <c r="BZ255">
        <f t="shared" si="290"/>
        <v>8.6611999999999995E-4</v>
      </c>
      <c r="CA255" t="str">
        <f t="shared" si="252"/>
        <v/>
      </c>
      <c r="CB255">
        <v>0</v>
      </c>
      <c r="CC255">
        <v>0</v>
      </c>
      <c r="CD255">
        <v>0</v>
      </c>
      <c r="CE255">
        <v>0</v>
      </c>
      <c r="CF255">
        <v>0</v>
      </c>
      <c r="CG255">
        <v>0</v>
      </c>
      <c r="CH255">
        <v>0</v>
      </c>
      <c r="CI255">
        <v>0</v>
      </c>
      <c r="CJ255">
        <v>0</v>
      </c>
      <c r="CK255">
        <v>0</v>
      </c>
      <c r="CL255">
        <v>0</v>
      </c>
      <c r="CM255">
        <v>0</v>
      </c>
      <c r="CN255">
        <v>0</v>
      </c>
      <c r="CO255">
        <v>0</v>
      </c>
      <c r="CP255" t="str">
        <f t="shared" si="291"/>
        <v>refOK</v>
      </c>
      <c r="CQ255">
        <f t="shared" si="292"/>
        <v>0</v>
      </c>
      <c r="CR255">
        <f t="shared" si="293"/>
        <v>0</v>
      </c>
      <c r="CS255">
        <f t="shared" si="294"/>
        <v>0</v>
      </c>
      <c r="CT255">
        <f t="shared" si="253"/>
        <v>0</v>
      </c>
      <c r="CU255">
        <f t="shared" si="272"/>
        <v>217</v>
      </c>
      <c r="CV255">
        <f t="shared" si="273"/>
        <v>453</v>
      </c>
      <c r="CW255">
        <f t="shared" si="274"/>
        <v>8.6611999999999995E-4</v>
      </c>
      <c r="CX255" t="str">
        <f t="shared" si="254"/>
        <v/>
      </c>
      <c r="CY255" t="str">
        <f t="shared" si="275"/>
        <v/>
      </c>
      <c r="CZ255" t="str">
        <f t="shared" si="255"/>
        <v/>
      </c>
      <c r="DA255" s="2">
        <f t="shared" si="276"/>
        <v>1.0875576036866359</v>
      </c>
      <c r="DB255" s="1" t="s">
        <v>1078</v>
      </c>
      <c r="DC255" t="str">
        <f t="shared" si="277"/>
        <v>reg</v>
      </c>
      <c r="DD255" t="s">
        <v>715</v>
      </c>
      <c r="DE255">
        <v>1981</v>
      </c>
      <c r="DF255" s="143">
        <v>2080</v>
      </c>
      <c r="DG255" s="143">
        <f t="shared" si="295"/>
        <v>99</v>
      </c>
      <c r="DH255" t="str">
        <f t="shared" si="278"/>
        <v>71-100</v>
      </c>
      <c r="DI255">
        <v>1</v>
      </c>
      <c r="DJ255">
        <v>0</v>
      </c>
      <c r="DK255">
        <v>0</v>
      </c>
      <c r="DL255">
        <v>0</v>
      </c>
      <c r="DN255">
        <f t="shared" si="286"/>
        <v>1</v>
      </c>
      <c r="DO255" t="str">
        <f t="shared" si="279"/>
        <v>UpstreamInput</v>
      </c>
      <c r="DP255" t="str">
        <f t="shared" si="280"/>
        <v>Upstream</v>
      </c>
      <c r="DQ255">
        <f t="shared" si="281"/>
        <v>0</v>
      </c>
      <c r="DR255">
        <f t="shared" si="282"/>
        <v>0</v>
      </c>
      <c r="DS255">
        <f t="shared" si="283"/>
        <v>0</v>
      </c>
      <c r="DT255">
        <v>0</v>
      </c>
      <c r="DU255" s="143">
        <v>0</v>
      </c>
      <c r="DV255" s="143">
        <v>0</v>
      </c>
      <c r="DW255">
        <v>0</v>
      </c>
      <c r="DX255" s="143">
        <v>0</v>
      </c>
      <c r="DY255">
        <f t="shared" si="287"/>
        <v>0</v>
      </c>
      <c r="DZ255" s="143" t="str">
        <f t="shared" si="284"/>
        <v>explicit C balance</v>
      </c>
      <c r="EA255" s="143">
        <v>1</v>
      </c>
      <c r="EB255" s="143">
        <v>1</v>
      </c>
      <c r="EC255" s="143">
        <v>1</v>
      </c>
      <c r="ED255" s="143">
        <v>0</v>
      </c>
      <c r="EE255">
        <v>0</v>
      </c>
      <c r="EF255" s="143">
        <v>0</v>
      </c>
      <c r="EG255" s="143">
        <v>0</v>
      </c>
      <c r="EH255" s="143">
        <v>0</v>
      </c>
      <c r="EI255" s="143">
        <v>0</v>
      </c>
      <c r="EJ255">
        <v>0</v>
      </c>
      <c r="EK255">
        <v>0</v>
      </c>
      <c r="EL255" s="143">
        <v>0</v>
      </c>
      <c r="EM255">
        <v>0</v>
      </c>
      <c r="EN255" s="2">
        <v>0</v>
      </c>
      <c r="EP255" t="str">
        <f t="shared" si="256"/>
        <v/>
      </c>
      <c r="EQ255" t="str">
        <f t="shared" si="296"/>
        <v/>
      </c>
      <c r="ER255" s="2" t="str">
        <f t="shared" si="257"/>
        <v/>
      </c>
      <c r="ES255" t="str">
        <f t="shared" si="258"/>
        <v/>
      </c>
      <c r="ET255" t="str">
        <f t="shared" si="259"/>
        <v/>
      </c>
      <c r="EU255" t="str">
        <f t="shared" si="260"/>
        <v/>
      </c>
      <c r="EY255" t="b">
        <f>IF(ISNUMBER(BW255),IF(ABS(BW255-[2]QC_indicators!$B$2)&gt;3*[2]QC_indicators!$C$2,"C ratio",IF(ISNUMBER(CA255),IF(ABS(CA255-[2]QC_indicators!$B$1)&gt;3*[2]QC_indicators!$C$1,"DF","no"))),IF(ISNUMBER(CA255),IF(ABS(CA255-[2]QC_indicators!$B$1)&gt;3*[2]QC_indicators!$C$1,"DF","no")))</f>
        <v>0</v>
      </c>
      <c r="FA255" t="str">
        <f t="shared" si="261"/>
        <v/>
      </c>
      <c r="FD255" s="260" t="s">
        <v>2852</v>
      </c>
    </row>
    <row r="256" spans="1:160" ht="15" hidden="1" customHeight="1">
      <c r="A256" s="1" t="s">
        <v>1759</v>
      </c>
      <c r="B256" t="s">
        <v>1760</v>
      </c>
      <c r="C256" t="s">
        <v>1761</v>
      </c>
      <c r="D256" t="s">
        <v>1762</v>
      </c>
      <c r="E256" t="s">
        <v>1763</v>
      </c>
      <c r="F256" t="s">
        <v>1764</v>
      </c>
      <c r="G256" t="s">
        <v>1765</v>
      </c>
      <c r="H256" t="s">
        <v>1484</v>
      </c>
      <c r="I256">
        <v>2005</v>
      </c>
      <c r="J256">
        <v>91</v>
      </c>
      <c r="K256" t="s">
        <v>1766</v>
      </c>
      <c r="M256" t="str">
        <f t="shared" si="212"/>
        <v>Loustau_2005</v>
      </c>
      <c r="N256" s="315" t="s">
        <v>4058</v>
      </c>
      <c r="O256" s="145" t="s">
        <v>225</v>
      </c>
      <c r="Q256" t="s">
        <v>256</v>
      </c>
      <c r="R256" s="258" t="s">
        <v>223</v>
      </c>
      <c r="S256" s="1" t="s">
        <v>90</v>
      </c>
      <c r="T256" s="143" t="s">
        <v>1776</v>
      </c>
      <c r="U256" t="s">
        <v>1768</v>
      </c>
      <c r="X256">
        <v>0</v>
      </c>
      <c r="Y256">
        <v>0</v>
      </c>
      <c r="Z256">
        <v>1</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s="141">
        <f t="shared" si="265"/>
        <v>1</v>
      </c>
      <c r="BA256" s="141">
        <f t="shared" si="266"/>
        <v>1</v>
      </c>
      <c r="BB256">
        <f t="shared" si="267"/>
        <v>1</v>
      </c>
      <c r="BC256">
        <f t="shared" si="268"/>
        <v>0</v>
      </c>
      <c r="BD256">
        <f t="shared" si="269"/>
        <v>0</v>
      </c>
      <c r="BE256">
        <f t="shared" si="270"/>
        <v>0</v>
      </c>
      <c r="BF256">
        <f t="shared" si="271"/>
        <v>0</v>
      </c>
      <c r="BG256" t="str">
        <f t="array" ref="BG256">IF(BA256=1,INDEX($X$7:$AN$7,MATCH(TRUE,INDEX($X256:$AY256&lt;&gt;0,),0)),IF(BA256=0,INDEX($AO$7:$AY$7,MATCH(1,$AO256:$AY256,0)),IF(BH256="Multiple strategies","mixed drivers",IF(BH256="Supply chain","multiple supply","multiple silviculture"))))</f>
        <v>rotation length</v>
      </c>
      <c r="BH256" s="2" t="str" cm="1">
        <f t="array" ref="BH256">IF(COUNTIF(BB256:BD256,"&lt;&gt;0")=1,INDEX($X$4:$AY$4,MATCH(TRUE,INDEX($X256:$AY256&lt;&gt;0,),0)),IF(COUNTIF(BB256:BD256,"&lt;&gt;0")=0,INDEX($AO$4:$AY$4,MATCH(1,$AO256:$AY256,0)),"Multiple strategies"))</f>
        <v>Silviculture for removals</v>
      </c>
      <c r="BI256" s="142"/>
      <c r="BM256" s="143"/>
      <c r="BN256" s="143"/>
      <c r="BQ256" s="159"/>
      <c r="BR256" t="s">
        <v>232</v>
      </c>
      <c r="BS256" s="292" t="s">
        <v>2851</v>
      </c>
      <c r="BT256" t="s">
        <v>1769</v>
      </c>
      <c r="BU256">
        <v>177</v>
      </c>
      <c r="BV256" s="143">
        <v>473</v>
      </c>
      <c r="BW256" s="144">
        <f t="shared" si="288"/>
        <v>2.6723163841807911</v>
      </c>
      <c r="BX256">
        <f t="shared" si="289"/>
        <v>296</v>
      </c>
      <c r="BZ256">
        <f t="shared" si="290"/>
        <v>1.08632E-3</v>
      </c>
      <c r="CA256" t="str">
        <f t="shared" si="252"/>
        <v/>
      </c>
      <c r="CB256">
        <v>0</v>
      </c>
      <c r="CC256">
        <v>0</v>
      </c>
      <c r="CD256">
        <v>0</v>
      </c>
      <c r="CE256">
        <v>0</v>
      </c>
      <c r="CF256">
        <v>0</v>
      </c>
      <c r="CG256">
        <v>0</v>
      </c>
      <c r="CH256">
        <v>0</v>
      </c>
      <c r="CI256">
        <v>0</v>
      </c>
      <c r="CJ256">
        <v>0</v>
      </c>
      <c r="CK256">
        <v>0</v>
      </c>
      <c r="CL256">
        <v>0</v>
      </c>
      <c r="CM256">
        <v>0</v>
      </c>
      <c r="CN256">
        <v>0</v>
      </c>
      <c r="CO256">
        <v>0</v>
      </c>
      <c r="CP256" t="str">
        <f t="shared" si="291"/>
        <v>refOK</v>
      </c>
      <c r="CQ256">
        <f t="shared" si="292"/>
        <v>0</v>
      </c>
      <c r="CR256">
        <f t="shared" si="293"/>
        <v>0</v>
      </c>
      <c r="CS256">
        <f t="shared" si="294"/>
        <v>0</v>
      </c>
      <c r="CT256">
        <f t="shared" si="253"/>
        <v>0</v>
      </c>
      <c r="CU256">
        <f t="shared" si="272"/>
        <v>177</v>
      </c>
      <c r="CV256">
        <f t="shared" si="273"/>
        <v>473</v>
      </c>
      <c r="CW256">
        <f t="shared" si="274"/>
        <v>1.08632E-3</v>
      </c>
      <c r="CX256" t="str">
        <f t="shared" si="254"/>
        <v/>
      </c>
      <c r="CY256" t="str">
        <f t="shared" si="275"/>
        <v/>
      </c>
      <c r="CZ256" t="str">
        <f t="shared" si="255"/>
        <v/>
      </c>
      <c r="DA256" s="2">
        <f t="shared" si="276"/>
        <v>1.6723163841807909</v>
      </c>
      <c r="DB256" s="1" t="s">
        <v>1078</v>
      </c>
      <c r="DC256" t="str">
        <f t="shared" si="277"/>
        <v>reg</v>
      </c>
      <c r="DD256" t="s">
        <v>715</v>
      </c>
      <c r="DE256">
        <v>1981</v>
      </c>
      <c r="DF256" s="143">
        <v>2080</v>
      </c>
      <c r="DG256" s="143">
        <f t="shared" si="295"/>
        <v>99</v>
      </c>
      <c r="DH256" t="str">
        <f t="shared" si="278"/>
        <v>71-100</v>
      </c>
      <c r="DI256">
        <v>1</v>
      </c>
      <c r="DJ256">
        <v>0</v>
      </c>
      <c r="DK256">
        <v>0</v>
      </c>
      <c r="DL256">
        <v>0</v>
      </c>
      <c r="DN256">
        <f t="shared" si="286"/>
        <v>1</v>
      </c>
      <c r="DO256" t="str">
        <f t="shared" si="279"/>
        <v>UpstreamInput</v>
      </c>
      <c r="DP256" t="str">
        <f t="shared" si="280"/>
        <v>Upstream</v>
      </c>
      <c r="DQ256">
        <f t="shared" si="281"/>
        <v>0</v>
      </c>
      <c r="DR256">
        <f t="shared" si="282"/>
        <v>0</v>
      </c>
      <c r="DS256">
        <f t="shared" si="283"/>
        <v>0</v>
      </c>
      <c r="DT256">
        <v>0</v>
      </c>
      <c r="DU256" s="143">
        <v>0</v>
      </c>
      <c r="DV256" s="143">
        <v>0</v>
      </c>
      <c r="DW256">
        <v>0</v>
      </c>
      <c r="DX256" s="143">
        <v>0</v>
      </c>
      <c r="DY256">
        <f t="shared" si="287"/>
        <v>0</v>
      </c>
      <c r="DZ256" s="143" t="str">
        <f t="shared" si="284"/>
        <v>explicit C balance</v>
      </c>
      <c r="EA256" s="143">
        <v>1</v>
      </c>
      <c r="EB256" s="143">
        <v>1</v>
      </c>
      <c r="EC256" s="143">
        <v>1</v>
      </c>
      <c r="ED256" s="143">
        <v>0</v>
      </c>
      <c r="EE256">
        <v>0</v>
      </c>
      <c r="EF256" s="143">
        <v>0</v>
      </c>
      <c r="EG256" s="143">
        <v>0</v>
      </c>
      <c r="EH256" s="143">
        <v>0</v>
      </c>
      <c r="EI256" s="143">
        <v>0</v>
      </c>
      <c r="EJ256">
        <v>0</v>
      </c>
      <c r="EK256">
        <v>0</v>
      </c>
      <c r="EL256" s="143">
        <v>0</v>
      </c>
      <c r="EM256">
        <v>0</v>
      </c>
      <c r="EN256" s="2">
        <v>0</v>
      </c>
      <c r="EP256" t="str">
        <f t="shared" si="256"/>
        <v/>
      </c>
      <c r="EQ256" t="str">
        <f t="shared" si="296"/>
        <v/>
      </c>
      <c r="ER256" s="2" t="str">
        <f t="shared" si="257"/>
        <v/>
      </c>
      <c r="ES256" t="str">
        <f t="shared" si="258"/>
        <v/>
      </c>
      <c r="ET256" t="str">
        <f t="shared" si="259"/>
        <v/>
      </c>
      <c r="EU256" t="str">
        <f t="shared" si="260"/>
        <v/>
      </c>
      <c r="EY256" t="b">
        <f>IF(ISNUMBER(BW256),IF(ABS(BW256-[2]QC_indicators!$B$2)&gt;3*[2]QC_indicators!$C$2,"C ratio",IF(ISNUMBER(CA256),IF(ABS(CA256-[2]QC_indicators!$B$1)&gt;3*[2]QC_indicators!$C$1,"DF","no"))),IF(ISNUMBER(CA256),IF(ABS(CA256-[2]QC_indicators!$B$1)&gt;3*[2]QC_indicators!$C$1,"DF","no")))</f>
        <v>0</v>
      </c>
      <c r="FA256" t="str">
        <f t="shared" si="261"/>
        <v/>
      </c>
      <c r="FD256" s="260" t="s">
        <v>2852</v>
      </c>
    </row>
    <row r="257" spans="1:158" ht="15" hidden="1" customHeight="1">
      <c r="A257" s="1" t="s">
        <v>643</v>
      </c>
      <c r="B257" t="s">
        <v>3505</v>
      </c>
      <c r="C257" t="s">
        <v>3506</v>
      </c>
      <c r="D257" t="s">
        <v>3507</v>
      </c>
      <c r="E257" t="s">
        <v>3508</v>
      </c>
      <c r="F257" t="s">
        <v>3509</v>
      </c>
      <c r="G257" t="s">
        <v>649</v>
      </c>
      <c r="H257" t="s">
        <v>254</v>
      </c>
      <c r="I257">
        <v>2016</v>
      </c>
      <c r="J257">
        <v>6</v>
      </c>
      <c r="K257" t="s">
        <v>3510</v>
      </c>
      <c r="M257" t="str">
        <f t="shared" si="212"/>
        <v>Lun_2016</v>
      </c>
      <c r="N257" s="297" t="s">
        <v>4058</v>
      </c>
      <c r="O257" s="145" t="s">
        <v>225</v>
      </c>
      <c r="Q257" s="297" t="s">
        <v>256</v>
      </c>
      <c r="R257" s="298"/>
      <c r="S257" s="1" t="s">
        <v>3511</v>
      </c>
      <c r="T257" t="s">
        <v>3512</v>
      </c>
      <c r="U257" s="143" t="s">
        <v>3513</v>
      </c>
      <c r="V257" s="143"/>
      <c r="W257" s="143"/>
      <c r="X257">
        <v>0</v>
      </c>
      <c r="Y257">
        <v>0</v>
      </c>
      <c r="Z257">
        <v>0</v>
      </c>
      <c r="AA257">
        <v>0</v>
      </c>
      <c r="AB257">
        <v>0</v>
      </c>
      <c r="AC257">
        <v>0</v>
      </c>
      <c r="AD257">
        <v>0</v>
      </c>
      <c r="AE257">
        <v>0</v>
      </c>
      <c r="AF257">
        <v>0</v>
      </c>
      <c r="AG257">
        <v>0</v>
      </c>
      <c r="AH257">
        <v>1</v>
      </c>
      <c r="AI257">
        <v>0</v>
      </c>
      <c r="AJ257">
        <v>0</v>
      </c>
      <c r="AK257">
        <v>0</v>
      </c>
      <c r="AL257">
        <v>0</v>
      </c>
      <c r="AM257">
        <v>0</v>
      </c>
      <c r="AN257">
        <v>0</v>
      </c>
      <c r="AO257">
        <v>0</v>
      </c>
      <c r="AP257">
        <v>0</v>
      </c>
      <c r="AQ257">
        <v>0</v>
      </c>
      <c r="AR257">
        <v>0</v>
      </c>
      <c r="AS257">
        <v>0</v>
      </c>
      <c r="AT257">
        <v>0</v>
      </c>
      <c r="AU257">
        <v>0</v>
      </c>
      <c r="AV257">
        <v>0</v>
      </c>
      <c r="AW257">
        <v>0</v>
      </c>
      <c r="AX257">
        <v>0</v>
      </c>
      <c r="AY257">
        <v>0</v>
      </c>
      <c r="AZ257" s="141">
        <f t="shared" si="265"/>
        <v>1</v>
      </c>
      <c r="BA257" s="141">
        <f t="shared" si="266"/>
        <v>1</v>
      </c>
      <c r="BB257">
        <f t="shared" si="267"/>
        <v>0</v>
      </c>
      <c r="BC257">
        <f t="shared" si="268"/>
        <v>1</v>
      </c>
      <c r="BD257">
        <f t="shared" si="269"/>
        <v>0</v>
      </c>
      <c r="BE257">
        <f t="shared" si="270"/>
        <v>0</v>
      </c>
      <c r="BF257">
        <f t="shared" si="271"/>
        <v>0</v>
      </c>
      <c r="BG257" t="str" cm="1">
        <f t="array" ref="BG257">IF(BA257=1,INDEX($X$7:$AN$7,MATCH(TRUE,INDEX($X257:$AY257&lt;&gt;0,),0)),IF(BA257=0,INDEX($AO$7:$AY$7,MATCH(1,$AO257:$AY257,0)),IF(BH257="Multiple strategies","mixed drivers",IF(BH257="Supply chain","multiple supply","multiple silviculture"))))</f>
        <v>supply chain organization</v>
      </c>
      <c r="BH257" s="2" t="str" cm="1">
        <f t="array" ref="BH257">IF(COUNTIF(BB257:BD257,"&lt;&gt;0")=1,INDEX($X$4:$AY$4,MATCH(TRUE,INDEX($X257:$AY257&lt;&gt;0,),0)),IF(COUNTIF(BB257:BD257,"&lt;&gt;0")=0,INDEX($AO$4:$AY$4,MATCH(1,$AO257:$AY257,0)),"Multiple strategies"))</f>
        <v>Supply chain</v>
      </c>
      <c r="BI257" s="142"/>
      <c r="BL257" s="143"/>
      <c r="BN257" s="143"/>
      <c r="BO257" s="163"/>
      <c r="BP257" s="158"/>
      <c r="BQ257" s="143"/>
      <c r="BR257" t="s">
        <v>232</v>
      </c>
      <c r="BS257" s="230"/>
      <c r="BT257" t="s">
        <v>3514</v>
      </c>
      <c r="BU257" s="143">
        <v>14.87</v>
      </c>
      <c r="BV257">
        <v>54.14</v>
      </c>
      <c r="BW257" s="144">
        <f t="shared" si="288"/>
        <v>3.6408876933423002</v>
      </c>
      <c r="BX257">
        <f t="shared" si="289"/>
        <v>39.270000000000003</v>
      </c>
      <c r="BZ257">
        <f>BX257/10^3*C_to_CO2</f>
        <v>0.14412090000000002</v>
      </c>
      <c r="CA257" t="str">
        <f t="shared" si="252"/>
        <v/>
      </c>
      <c r="CB257">
        <v>0</v>
      </c>
      <c r="CC257">
        <v>0</v>
      </c>
      <c r="CD257">
        <v>0</v>
      </c>
      <c r="CE257">
        <v>0</v>
      </c>
      <c r="CF257">
        <v>0</v>
      </c>
      <c r="CG257">
        <v>0</v>
      </c>
      <c r="CH257">
        <v>0</v>
      </c>
      <c r="CI257">
        <v>0</v>
      </c>
      <c r="CJ257">
        <v>0</v>
      </c>
      <c r="CK257">
        <v>0</v>
      </c>
      <c r="CL257">
        <v>0</v>
      </c>
      <c r="CM257">
        <v>0</v>
      </c>
      <c r="CN257">
        <v>0</v>
      </c>
      <c r="CO257">
        <v>0</v>
      </c>
      <c r="CP257" t="str">
        <f>IF(BN257&lt;BM257,"refNeedCorrection","refOK")</f>
        <v>refOK</v>
      </c>
      <c r="CQ257"/>
      <c r="CR257"/>
      <c r="CS257"/>
      <c r="CT257">
        <f t="shared" si="253"/>
        <v>0</v>
      </c>
      <c r="CU257">
        <f t="shared" si="272"/>
        <v>14.87</v>
      </c>
      <c r="CV257">
        <f t="shared" si="273"/>
        <v>54.14</v>
      </c>
      <c r="CW257">
        <f t="shared" si="274"/>
        <v>0.14412090000000002</v>
      </c>
      <c r="CX257" t="str">
        <f t="shared" si="254"/>
        <v/>
      </c>
      <c r="CY257" t="str">
        <f t="shared" si="275"/>
        <v/>
      </c>
      <c r="CZ257" t="str">
        <f t="shared" si="255"/>
        <v/>
      </c>
      <c r="DA257" s="2">
        <f t="shared" si="276"/>
        <v>2.6408876933423002</v>
      </c>
      <c r="DB257" s="1" t="s">
        <v>234</v>
      </c>
      <c r="DC257" s="297" t="str">
        <f t="shared" si="277"/>
        <v>loc</v>
      </c>
      <c r="DD257" t="s">
        <v>677</v>
      </c>
      <c r="DF257" s="143"/>
      <c r="DG257" s="143">
        <f t="shared" si="295"/>
        <v>0</v>
      </c>
      <c r="DH257" t="str">
        <f t="shared" si="278"/>
        <v>0</v>
      </c>
      <c r="DI257">
        <v>0</v>
      </c>
      <c r="DJ257">
        <v>1</v>
      </c>
      <c r="DK257">
        <v>0</v>
      </c>
      <c r="DL257">
        <v>1</v>
      </c>
      <c r="DN257">
        <f t="shared" si="286"/>
        <v>2</v>
      </c>
      <c r="DO257" t="str">
        <f t="shared" si="279"/>
        <v>mixedProduct</v>
      </c>
      <c r="DP257">
        <f t="shared" si="280"/>
        <v>0</v>
      </c>
      <c r="DQ257" t="str">
        <f t="shared" si="281"/>
        <v>Energy</v>
      </c>
      <c r="DR257">
        <f t="shared" si="282"/>
        <v>0</v>
      </c>
      <c r="DS257" t="str">
        <f t="shared" si="283"/>
        <v>Timber</v>
      </c>
      <c r="DT257">
        <v>0</v>
      </c>
      <c r="DU257" s="143">
        <v>0</v>
      </c>
      <c r="DV257" s="143" t="s">
        <v>3515</v>
      </c>
      <c r="DW257">
        <v>0</v>
      </c>
      <c r="DX257" s="143">
        <v>0</v>
      </c>
      <c r="DY257">
        <f t="shared" si="287"/>
        <v>0</v>
      </c>
      <c r="DZ257" s="143" t="str">
        <f t="shared" si="284"/>
        <v>explicit C balance</v>
      </c>
      <c r="EA257" s="143">
        <v>0</v>
      </c>
      <c r="EB257" s="143">
        <v>0</v>
      </c>
      <c r="EC257" s="143">
        <v>1</v>
      </c>
      <c r="ED257" s="143">
        <v>1</v>
      </c>
      <c r="EE257">
        <v>1</v>
      </c>
      <c r="EF257" s="143">
        <v>1</v>
      </c>
      <c r="EG257" s="143">
        <v>1</v>
      </c>
      <c r="EH257" s="143">
        <v>1</v>
      </c>
      <c r="EI257" s="143">
        <v>1</v>
      </c>
      <c r="EJ257">
        <v>0</v>
      </c>
      <c r="EK257">
        <v>0</v>
      </c>
      <c r="EL257" s="143">
        <v>0</v>
      </c>
      <c r="EM257">
        <v>0</v>
      </c>
      <c r="EN257" s="2">
        <v>0</v>
      </c>
      <c r="EP257" t="str">
        <f t="shared" si="256"/>
        <v>Whole sector approach</v>
      </c>
      <c r="EQ257" t="str">
        <f t="shared" ref="EQ257:EQ288" si="297">IF(AND(AND(OR($EC257=1,$EB257=1),AND($EH257=0,$EF257=0)),SUM($EA257:$EE257,$EK257)&gt;=3),"Ecosystem approach","")</f>
        <v/>
      </c>
      <c r="ER257" s="2" t="str">
        <f t="shared" si="257"/>
        <v/>
      </c>
      <c r="ES257" t="str">
        <f t="shared" si="258"/>
        <v/>
      </c>
      <c r="ET257" t="str">
        <f t="shared" si="259"/>
        <v/>
      </c>
      <c r="EU257" t="str">
        <f t="shared" si="260"/>
        <v/>
      </c>
      <c r="EY257" t="b">
        <f>IF(ISNUMBER(BW257),IF(ABS(BW257-[1]QC_indicators!$B$2)&gt;3*[1]QC_indicators!$C$2,"C ratio",IF(ISNUMBER(CA257),IF(ABS(CA257-[1]QC_indicators!$B$1)&gt;3*[1]QC_indicators!$C$1,"DF","no"))),IF(ISNUMBER(CA257),IF(ABS(CA257-[1]QC_indicators!$B$1)&gt;3*[1]QC_indicators!$C$1,"DF","no")))</f>
        <v>0</v>
      </c>
      <c r="FA257" t="str">
        <f t="shared" si="261"/>
        <v/>
      </c>
    </row>
    <row r="258" spans="1:158" ht="15" hidden="1" customHeight="1">
      <c r="A258" s="1" t="s">
        <v>643</v>
      </c>
      <c r="B258" t="s">
        <v>3505</v>
      </c>
      <c r="C258" t="s">
        <v>3506</v>
      </c>
      <c r="D258" t="s">
        <v>3507</v>
      </c>
      <c r="E258" t="s">
        <v>3508</v>
      </c>
      <c r="F258" t="s">
        <v>3509</v>
      </c>
      <c r="G258" t="s">
        <v>649</v>
      </c>
      <c r="H258" t="s">
        <v>254</v>
      </c>
      <c r="I258">
        <v>2016</v>
      </c>
      <c r="J258">
        <v>6</v>
      </c>
      <c r="K258" t="s">
        <v>3510</v>
      </c>
      <c r="M258" t="str">
        <f t="shared" si="212"/>
        <v>Lun_2016</v>
      </c>
      <c r="N258" s="297" t="s">
        <v>4058</v>
      </c>
      <c r="O258" s="145" t="s">
        <v>225</v>
      </c>
      <c r="Q258" s="297" t="s">
        <v>256</v>
      </c>
      <c r="R258" s="298"/>
      <c r="S258" s="1" t="s">
        <v>3511</v>
      </c>
      <c r="T258" t="s">
        <v>3512</v>
      </c>
      <c r="U258" s="143" t="s">
        <v>894</v>
      </c>
      <c r="V258" s="143"/>
      <c r="W258" s="143"/>
      <c r="X258">
        <v>0</v>
      </c>
      <c r="Y258">
        <v>0</v>
      </c>
      <c r="Z258">
        <v>0</v>
      </c>
      <c r="AA258">
        <v>0</v>
      </c>
      <c r="AB258">
        <v>0</v>
      </c>
      <c r="AC258">
        <v>0</v>
      </c>
      <c r="AD258">
        <v>0</v>
      </c>
      <c r="AE258">
        <v>0</v>
      </c>
      <c r="AF258">
        <v>0</v>
      </c>
      <c r="AG258">
        <v>0</v>
      </c>
      <c r="AH258">
        <v>1</v>
      </c>
      <c r="AI258">
        <v>0</v>
      </c>
      <c r="AJ258">
        <v>0</v>
      </c>
      <c r="AK258">
        <v>0</v>
      </c>
      <c r="AL258">
        <v>0</v>
      </c>
      <c r="AM258">
        <v>0</v>
      </c>
      <c r="AN258">
        <v>0</v>
      </c>
      <c r="AO258">
        <v>0</v>
      </c>
      <c r="AP258">
        <v>0</v>
      </c>
      <c r="AQ258">
        <v>0</v>
      </c>
      <c r="AR258">
        <v>0</v>
      </c>
      <c r="AS258">
        <v>0</v>
      </c>
      <c r="AT258">
        <v>0</v>
      </c>
      <c r="AU258">
        <v>0</v>
      </c>
      <c r="AV258">
        <v>0</v>
      </c>
      <c r="AW258">
        <v>0</v>
      </c>
      <c r="AX258">
        <v>0</v>
      </c>
      <c r="AY258">
        <v>0</v>
      </c>
      <c r="AZ258" s="141">
        <f t="shared" si="265"/>
        <v>1</v>
      </c>
      <c r="BA258" s="141">
        <f t="shared" si="266"/>
        <v>1</v>
      </c>
      <c r="BB258">
        <f t="shared" si="267"/>
        <v>0</v>
      </c>
      <c r="BC258">
        <f t="shared" si="268"/>
        <v>1</v>
      </c>
      <c r="BD258">
        <f t="shared" si="269"/>
        <v>0</v>
      </c>
      <c r="BE258">
        <f t="shared" si="270"/>
        <v>0</v>
      </c>
      <c r="BF258">
        <f t="shared" si="271"/>
        <v>0</v>
      </c>
      <c r="BG258" t="str" cm="1">
        <f t="array" ref="BG258">IF(BA258=1,INDEX($X$7:$AN$7,MATCH(TRUE,INDEX($X258:$AY258&lt;&gt;0,),0)),IF(BA258=0,INDEX($AO$7:$AY$7,MATCH(1,$AO258:$AY258,0)),IF(BH258="Multiple strategies","mixed drivers",IF(BH258="Supply chain","multiple supply","multiple silviculture"))))</f>
        <v>supply chain organization</v>
      </c>
      <c r="BH258" s="2" t="str" cm="1">
        <f t="array" ref="BH258">IF(COUNTIF(BB258:BD258,"&lt;&gt;0")=1,INDEX($X$4:$AY$4,MATCH(TRUE,INDEX($X258:$AY258&lt;&gt;0,),0)),IF(COUNTIF(BB258:BD258,"&lt;&gt;0")=0,INDEX($AO$4:$AY$4,MATCH(1,$AO258:$AY258,0)),"Multiple strategies"))</f>
        <v>Supply chain</v>
      </c>
      <c r="BI258" s="142"/>
      <c r="BL258" s="143"/>
      <c r="BN258" s="143"/>
      <c r="BO258" s="163"/>
      <c r="BP258" s="158"/>
      <c r="BQ258" s="143"/>
      <c r="BR258" t="s">
        <v>232</v>
      </c>
      <c r="BS258" s="230"/>
      <c r="BT258" t="s">
        <v>3514</v>
      </c>
      <c r="BU258" s="143">
        <v>14.87</v>
      </c>
      <c r="BV258">
        <v>147.22</v>
      </c>
      <c r="BW258" s="144">
        <f t="shared" si="288"/>
        <v>9.9004707464694022</v>
      </c>
      <c r="BX258">
        <f t="shared" si="289"/>
        <v>132.35</v>
      </c>
      <c r="BZ258">
        <f>BX258/10^3*C_to_CO2</f>
        <v>0.48572449999999995</v>
      </c>
      <c r="CA258" t="str">
        <f t="shared" si="252"/>
        <v/>
      </c>
      <c r="CB258">
        <v>0</v>
      </c>
      <c r="CC258">
        <v>0</v>
      </c>
      <c r="CD258">
        <v>0</v>
      </c>
      <c r="CE258">
        <v>0</v>
      </c>
      <c r="CF258">
        <v>0</v>
      </c>
      <c r="CG258">
        <v>0</v>
      </c>
      <c r="CH258">
        <v>0</v>
      </c>
      <c r="CI258">
        <v>0</v>
      </c>
      <c r="CJ258">
        <v>0</v>
      </c>
      <c r="CK258">
        <v>0</v>
      </c>
      <c r="CL258">
        <v>0</v>
      </c>
      <c r="CM258">
        <v>0</v>
      </c>
      <c r="CN258">
        <v>0</v>
      </c>
      <c r="CO258">
        <v>0</v>
      </c>
      <c r="CP258" t="str">
        <f>IF(BN258&lt;BM258,"refNeedCorrection","refOK")</f>
        <v>refOK</v>
      </c>
      <c r="CQ258"/>
      <c r="CR258"/>
      <c r="CS258"/>
      <c r="CT258">
        <f t="shared" si="253"/>
        <v>0</v>
      </c>
      <c r="CU258">
        <f t="shared" si="272"/>
        <v>14.87</v>
      </c>
      <c r="CV258">
        <f t="shared" si="273"/>
        <v>147.22</v>
      </c>
      <c r="CW258">
        <f t="shared" si="274"/>
        <v>0.48572449999999995</v>
      </c>
      <c r="CX258" t="str">
        <f t="shared" si="254"/>
        <v/>
      </c>
      <c r="CY258" t="str">
        <f t="shared" si="275"/>
        <v/>
      </c>
      <c r="CZ258" t="str">
        <f t="shared" si="255"/>
        <v/>
      </c>
      <c r="DA258" s="2">
        <f t="shared" si="276"/>
        <v>8.9004707464694022</v>
      </c>
      <c r="DB258" s="1" t="s">
        <v>234</v>
      </c>
      <c r="DC258" s="297" t="str">
        <f t="shared" si="277"/>
        <v>loc</v>
      </c>
      <c r="DD258" t="s">
        <v>677</v>
      </c>
      <c r="DF258" s="143"/>
      <c r="DG258" s="143">
        <f t="shared" si="295"/>
        <v>0</v>
      </c>
      <c r="DH258" t="str">
        <f t="shared" si="278"/>
        <v>0</v>
      </c>
      <c r="DI258">
        <v>0</v>
      </c>
      <c r="DJ258">
        <v>1</v>
      </c>
      <c r="DK258">
        <v>0</v>
      </c>
      <c r="DL258">
        <v>1</v>
      </c>
      <c r="DN258">
        <f t="shared" si="286"/>
        <v>2</v>
      </c>
      <c r="DO258" t="str">
        <f t="shared" si="279"/>
        <v>mixedProduct</v>
      </c>
      <c r="DP258">
        <f t="shared" si="280"/>
        <v>0</v>
      </c>
      <c r="DQ258" t="str">
        <f t="shared" si="281"/>
        <v>Energy</v>
      </c>
      <c r="DR258">
        <f t="shared" si="282"/>
        <v>0</v>
      </c>
      <c r="DS258" t="str">
        <f t="shared" si="283"/>
        <v>Timber</v>
      </c>
      <c r="DT258">
        <v>0</v>
      </c>
      <c r="DU258" s="143">
        <v>0</v>
      </c>
      <c r="DV258" s="143" t="s">
        <v>3515</v>
      </c>
      <c r="DW258">
        <v>0</v>
      </c>
      <c r="DX258" s="143">
        <v>0</v>
      </c>
      <c r="DY258">
        <f t="shared" si="287"/>
        <v>0</v>
      </c>
      <c r="DZ258" s="143" t="str">
        <f t="shared" si="284"/>
        <v>explicit C balance</v>
      </c>
      <c r="EA258" s="143">
        <v>0</v>
      </c>
      <c r="EB258" s="143">
        <v>0</v>
      </c>
      <c r="EC258" s="143">
        <v>1</v>
      </c>
      <c r="ED258" s="143">
        <v>1</v>
      </c>
      <c r="EE258">
        <v>1</v>
      </c>
      <c r="EF258" s="143">
        <v>1</v>
      </c>
      <c r="EG258" s="143">
        <v>1</v>
      </c>
      <c r="EH258" s="143">
        <v>1</v>
      </c>
      <c r="EI258" s="143">
        <v>1</v>
      </c>
      <c r="EJ258">
        <v>0</v>
      </c>
      <c r="EK258">
        <v>0</v>
      </c>
      <c r="EL258" s="143">
        <v>0</v>
      </c>
      <c r="EM258">
        <v>0</v>
      </c>
      <c r="EN258" s="2">
        <v>0</v>
      </c>
      <c r="EP258" t="str">
        <f t="shared" si="256"/>
        <v>Whole sector approach</v>
      </c>
      <c r="EQ258" t="str">
        <f t="shared" si="297"/>
        <v/>
      </c>
      <c r="ER258" s="2" t="str">
        <f t="shared" si="257"/>
        <v/>
      </c>
      <c r="ES258" t="str">
        <f t="shared" si="258"/>
        <v/>
      </c>
      <c r="ET258" t="str">
        <f t="shared" si="259"/>
        <v/>
      </c>
      <c r="EU258" t="str">
        <f t="shared" si="260"/>
        <v/>
      </c>
      <c r="EY258" t="b">
        <f>IF(ISNUMBER(BW258),IF(ABS(BW258-[1]QC_indicators!$B$2)&gt;3*[1]QC_indicators!$C$2,"C ratio",IF(ISNUMBER(CA258),IF(ABS(CA258-[1]QC_indicators!$B$1)&gt;3*[1]QC_indicators!$C$1,"DF","no"))),IF(ISNUMBER(CA258),IF(ABS(CA258-[1]QC_indicators!$B$1)&gt;3*[1]QC_indicators!$C$1,"DF","no")))</f>
        <v>0</v>
      </c>
      <c r="FA258" t="str">
        <f t="shared" si="261"/>
        <v/>
      </c>
    </row>
    <row r="259" spans="1:158" ht="15" hidden="1" customHeight="1">
      <c r="A259" s="1" t="s">
        <v>3516</v>
      </c>
      <c r="B259" t="s">
        <v>3517</v>
      </c>
      <c r="C259" t="s">
        <v>3518</v>
      </c>
      <c r="D259" t="s">
        <v>3519</v>
      </c>
      <c r="E259" t="s">
        <v>3520</v>
      </c>
      <c r="F259" t="s">
        <v>3521</v>
      </c>
      <c r="G259" t="s">
        <v>3522</v>
      </c>
      <c r="H259" t="s">
        <v>254</v>
      </c>
      <c r="I259">
        <v>2019</v>
      </c>
      <c r="J259">
        <v>10</v>
      </c>
      <c r="K259" t="s">
        <v>3523</v>
      </c>
      <c r="M259" t="str">
        <f t="shared" si="212"/>
        <v>Mai-Moulin_2019</v>
      </c>
      <c r="N259" s="297" t="s">
        <v>4058</v>
      </c>
      <c r="O259" s="145" t="s">
        <v>225</v>
      </c>
      <c r="Q259" s="297" t="s">
        <v>256</v>
      </c>
      <c r="R259" s="298"/>
      <c r="S259" s="1" t="s">
        <v>3524</v>
      </c>
      <c r="T259" t="s">
        <v>3525</v>
      </c>
      <c r="U259" t="s">
        <v>3526</v>
      </c>
      <c r="X259">
        <v>0</v>
      </c>
      <c r="Y259">
        <v>0</v>
      </c>
      <c r="Z259">
        <v>0</v>
      </c>
      <c r="AA259">
        <v>0</v>
      </c>
      <c r="AB259">
        <v>0</v>
      </c>
      <c r="AC259">
        <v>0</v>
      </c>
      <c r="AD259">
        <v>0</v>
      </c>
      <c r="AE259">
        <v>0</v>
      </c>
      <c r="AF259">
        <v>0</v>
      </c>
      <c r="AG259">
        <v>0</v>
      </c>
      <c r="AH259">
        <v>0</v>
      </c>
      <c r="AI259">
        <v>0</v>
      </c>
      <c r="AJ259">
        <v>0</v>
      </c>
      <c r="AK259">
        <v>0</v>
      </c>
      <c r="AL259">
        <v>1</v>
      </c>
      <c r="AM259">
        <v>0</v>
      </c>
      <c r="AN259">
        <v>0</v>
      </c>
      <c r="AO259">
        <v>0</v>
      </c>
      <c r="AP259">
        <v>0</v>
      </c>
      <c r="AQ259">
        <v>0</v>
      </c>
      <c r="AR259">
        <v>0</v>
      </c>
      <c r="AS259">
        <v>0</v>
      </c>
      <c r="AT259">
        <v>0</v>
      </c>
      <c r="AU259">
        <v>0</v>
      </c>
      <c r="AV259">
        <v>0</v>
      </c>
      <c r="AW259">
        <v>0</v>
      </c>
      <c r="AX259">
        <v>0</v>
      </c>
      <c r="AY259">
        <v>0</v>
      </c>
      <c r="AZ259" s="141">
        <f t="shared" si="265"/>
        <v>1</v>
      </c>
      <c r="BA259" s="141">
        <f t="shared" si="266"/>
        <v>1</v>
      </c>
      <c r="BB259">
        <f t="shared" si="267"/>
        <v>0</v>
      </c>
      <c r="BC259">
        <f t="shared" si="268"/>
        <v>0</v>
      </c>
      <c r="BD259">
        <f t="shared" si="269"/>
        <v>1</v>
      </c>
      <c r="BE259">
        <f t="shared" si="270"/>
        <v>0</v>
      </c>
      <c r="BF259">
        <f t="shared" si="271"/>
        <v>0</v>
      </c>
      <c r="BG259" t="str" cm="1">
        <f t="array" ref="BG259">IF(BA259=1,INDEX($X$7:$AN$7,MATCH(TRUE,INDEX($X259:$AY259&lt;&gt;0,),0)),IF(BA259=0,INDEX($AO$7:$AY$7,MATCH(1,$AO259:$AY259,0)),IF(BH259="Multiple strategies","mixed drivers",IF(BH259="Supply chain","multiple supply","multiple silviculture"))))</f>
        <v>efficiency improvement</v>
      </c>
      <c r="BH259" s="2" t="str" cm="1">
        <f t="array" ref="BH259">IF(COUNTIF(BB259:BD259,"&lt;&gt;0")=1,INDEX($X$4:$AY$4,MATCH(TRUE,INDEX($X259:$AY259&lt;&gt;0,),0)),IF(COUNTIF(BB259:BD259,"&lt;&gt;0")=0,INDEX($AO$4:$AY$4,MATCH(1,$AO259:$AY259,0)),"Multiple strategies"))</f>
        <v>Technology</v>
      </c>
      <c r="BI259" s="142"/>
      <c r="BL259" s="143"/>
      <c r="BN259" s="143"/>
      <c r="BO259" s="163"/>
      <c r="BP259" s="158"/>
      <c r="BQ259" s="143"/>
      <c r="BR259" s="297" t="s">
        <v>232</v>
      </c>
      <c r="BS259" s="331"/>
      <c r="BT259" t="s">
        <v>3527</v>
      </c>
      <c r="BU259">
        <v>-6.53</v>
      </c>
      <c r="BV259" s="143">
        <v>-18.2</v>
      </c>
      <c r="BW259" s="144">
        <v>2.7871362940275648</v>
      </c>
      <c r="BX259">
        <v>-11.669999999999998</v>
      </c>
      <c r="BZ259" s="144">
        <f>BX259*1000</f>
        <v>-11669.999999999998</v>
      </c>
      <c r="CA259" t="str">
        <f t="shared" si="252"/>
        <v/>
      </c>
      <c r="CB259">
        <v>0</v>
      </c>
      <c r="CC259">
        <v>0</v>
      </c>
      <c r="CD259">
        <v>0</v>
      </c>
      <c r="CE259">
        <v>0</v>
      </c>
      <c r="CF259">
        <v>0</v>
      </c>
      <c r="CG259">
        <v>0</v>
      </c>
      <c r="CH259">
        <v>0</v>
      </c>
      <c r="CI259">
        <v>0</v>
      </c>
      <c r="CJ259">
        <v>0</v>
      </c>
      <c r="CK259">
        <v>0</v>
      </c>
      <c r="CL259">
        <v>0</v>
      </c>
      <c r="CM259">
        <v>0</v>
      </c>
      <c r="CN259">
        <v>0</v>
      </c>
      <c r="CO259">
        <v>0</v>
      </c>
      <c r="CP259" t="str">
        <f>IF(BN259&lt;BM259,"refNeedCorrection","refOK")</f>
        <v>refOK</v>
      </c>
      <c r="CQ259"/>
      <c r="CR259"/>
      <c r="CS259"/>
      <c r="CT259">
        <f t="shared" si="253"/>
        <v>0</v>
      </c>
      <c r="CU259">
        <f t="shared" si="272"/>
        <v>-6.53</v>
      </c>
      <c r="CV259">
        <f t="shared" si="273"/>
        <v>-18.2</v>
      </c>
      <c r="CW259">
        <f t="shared" si="274"/>
        <v>-11669.999999999998</v>
      </c>
      <c r="CX259" t="str">
        <f t="shared" si="254"/>
        <v/>
      </c>
      <c r="CY259" t="str">
        <f t="shared" si="275"/>
        <v/>
      </c>
      <c r="CZ259" t="str">
        <f t="shared" si="255"/>
        <v/>
      </c>
      <c r="DA259" s="2">
        <f t="shared" si="276"/>
        <v>-1.7871362940275648</v>
      </c>
      <c r="DB259" s="1" t="s">
        <v>1078</v>
      </c>
      <c r="DC259" s="297" t="str">
        <f t="shared" si="277"/>
        <v>reg</v>
      </c>
      <c r="DD259" t="s">
        <v>513</v>
      </c>
      <c r="DE259">
        <v>2020</v>
      </c>
      <c r="DF259" s="143">
        <v>2030</v>
      </c>
      <c r="DG259" s="143">
        <f t="shared" si="295"/>
        <v>10</v>
      </c>
      <c r="DH259" t="str">
        <f t="shared" si="278"/>
        <v>1-30</v>
      </c>
      <c r="DI259">
        <v>0</v>
      </c>
      <c r="DJ259">
        <v>1</v>
      </c>
      <c r="DK259">
        <v>0</v>
      </c>
      <c r="DL259">
        <v>0</v>
      </c>
      <c r="DN259">
        <f t="shared" si="286"/>
        <v>1</v>
      </c>
      <c r="DO259" t="str">
        <f t="shared" si="279"/>
        <v>EnergyInput</v>
      </c>
      <c r="DP259">
        <f t="shared" si="280"/>
        <v>0</v>
      </c>
      <c r="DQ259" t="str">
        <f t="shared" si="281"/>
        <v>Energy</v>
      </c>
      <c r="DR259">
        <f t="shared" si="282"/>
        <v>0</v>
      </c>
      <c r="DS259">
        <f t="shared" si="283"/>
        <v>0</v>
      </c>
      <c r="DT259">
        <v>0</v>
      </c>
      <c r="DU259" s="143">
        <v>0</v>
      </c>
      <c r="DV259" s="143">
        <v>0</v>
      </c>
      <c r="DW259">
        <v>0</v>
      </c>
      <c r="DX259" s="143">
        <v>0</v>
      </c>
      <c r="DY259">
        <f t="shared" si="287"/>
        <v>0</v>
      </c>
      <c r="DZ259" s="143" t="str">
        <f t="shared" si="284"/>
        <v>explicit C balance</v>
      </c>
      <c r="EA259" s="143">
        <v>0</v>
      </c>
      <c r="EB259" s="143">
        <v>0</v>
      </c>
      <c r="EC259" s="143">
        <v>0</v>
      </c>
      <c r="ED259" s="143">
        <v>0</v>
      </c>
      <c r="EE259">
        <v>0</v>
      </c>
      <c r="EF259" s="143">
        <v>0</v>
      </c>
      <c r="EG259" s="143">
        <v>0</v>
      </c>
      <c r="EH259" s="143">
        <v>1</v>
      </c>
      <c r="EI259" s="143">
        <v>0</v>
      </c>
      <c r="EJ259">
        <v>0</v>
      </c>
      <c r="EK259">
        <v>0</v>
      </c>
      <c r="EL259" s="143">
        <v>0</v>
      </c>
      <c r="EM259">
        <v>0</v>
      </c>
      <c r="EN259" s="2">
        <v>0</v>
      </c>
      <c r="EP259" t="str">
        <f t="shared" si="256"/>
        <v/>
      </c>
      <c r="EQ259" t="str">
        <f t="shared" si="297"/>
        <v/>
      </c>
      <c r="ER259" s="2" t="str">
        <f t="shared" si="257"/>
        <v/>
      </c>
      <c r="ES259" t="str">
        <f t="shared" si="258"/>
        <v/>
      </c>
      <c r="ET259" t="str">
        <f t="shared" si="259"/>
        <v/>
      </c>
      <c r="EU259" t="str">
        <f t="shared" si="260"/>
        <v/>
      </c>
      <c r="EW259" t="s">
        <v>3529</v>
      </c>
      <c r="EY259" t="b">
        <f>IF(ISNUMBER(BW259),IF(ABS(BW259-[1]QC_indicators!$B$2)&gt;3*[1]QC_indicators!$C$2,"C ratio",IF(ISNUMBER(CA259),IF(ABS(CA259-[1]QC_indicators!$B$1)&gt;3*[1]QC_indicators!$C$1,"DF","no"))),IF(ISNUMBER(CA259),IF(ABS(CA259-[1]QC_indicators!$B$1)&gt;3*[1]QC_indicators!$C$1,"DF","no")))</f>
        <v>0</v>
      </c>
      <c r="FA259" t="str">
        <f t="shared" si="261"/>
        <v/>
      </c>
      <c r="FB259" s="299" t="s">
        <v>349</v>
      </c>
    </row>
    <row r="260" spans="1:158" ht="15" hidden="1" customHeight="1">
      <c r="A260" s="1" t="s">
        <v>3516</v>
      </c>
      <c r="B260" t="s">
        <v>3517</v>
      </c>
      <c r="C260" t="s">
        <v>3518</v>
      </c>
      <c r="D260" t="s">
        <v>3519</v>
      </c>
      <c r="E260" t="s">
        <v>3520</v>
      </c>
      <c r="F260" t="s">
        <v>3521</v>
      </c>
      <c r="G260" t="s">
        <v>3522</v>
      </c>
      <c r="H260" t="s">
        <v>254</v>
      </c>
      <c r="I260">
        <v>2019</v>
      </c>
      <c r="J260">
        <v>10</v>
      </c>
      <c r="K260" t="s">
        <v>3523</v>
      </c>
      <c r="M260" t="str">
        <f t="shared" si="212"/>
        <v>Mai-Moulin_2019</v>
      </c>
      <c r="N260" s="297" t="s">
        <v>4058</v>
      </c>
      <c r="O260" s="145" t="s">
        <v>225</v>
      </c>
      <c r="Q260" s="297" t="s">
        <v>256</v>
      </c>
      <c r="R260" s="298"/>
      <c r="S260" s="1" t="s">
        <v>3524</v>
      </c>
      <c r="T260" t="s">
        <v>3525</v>
      </c>
      <c r="U260" t="s">
        <v>3526</v>
      </c>
      <c r="X260">
        <v>0</v>
      </c>
      <c r="Y260">
        <v>0</v>
      </c>
      <c r="Z260">
        <v>0</v>
      </c>
      <c r="AA260">
        <v>0</v>
      </c>
      <c r="AB260">
        <v>0</v>
      </c>
      <c r="AC260">
        <v>0</v>
      </c>
      <c r="AD260">
        <v>0</v>
      </c>
      <c r="AE260">
        <v>0</v>
      </c>
      <c r="AF260">
        <v>0</v>
      </c>
      <c r="AG260">
        <v>0</v>
      </c>
      <c r="AH260">
        <v>0</v>
      </c>
      <c r="AI260">
        <v>0</v>
      </c>
      <c r="AJ260">
        <v>0</v>
      </c>
      <c r="AK260">
        <v>0</v>
      </c>
      <c r="AL260">
        <v>1</v>
      </c>
      <c r="AM260">
        <v>0</v>
      </c>
      <c r="AN260">
        <v>0</v>
      </c>
      <c r="AO260">
        <v>0</v>
      </c>
      <c r="AP260">
        <v>0</v>
      </c>
      <c r="AQ260">
        <v>0</v>
      </c>
      <c r="AR260">
        <v>0</v>
      </c>
      <c r="AS260">
        <v>0</v>
      </c>
      <c r="AT260">
        <v>0</v>
      </c>
      <c r="AU260">
        <v>0</v>
      </c>
      <c r="AV260">
        <v>0</v>
      </c>
      <c r="AW260">
        <v>0</v>
      </c>
      <c r="AX260">
        <v>0</v>
      </c>
      <c r="AY260">
        <v>0</v>
      </c>
      <c r="AZ260" s="141">
        <f t="shared" si="265"/>
        <v>1</v>
      </c>
      <c r="BA260" s="141">
        <f t="shared" si="266"/>
        <v>1</v>
      </c>
      <c r="BB260">
        <f t="shared" si="267"/>
        <v>0</v>
      </c>
      <c r="BC260">
        <f t="shared" si="268"/>
        <v>0</v>
      </c>
      <c r="BD260">
        <f t="shared" si="269"/>
        <v>1</v>
      </c>
      <c r="BE260">
        <f t="shared" si="270"/>
        <v>0</v>
      </c>
      <c r="BF260">
        <f t="shared" si="271"/>
        <v>0</v>
      </c>
      <c r="BG260" t="str" cm="1">
        <f t="array" ref="BG260">IF(BA260=1,INDEX($X$7:$AN$7,MATCH(TRUE,INDEX($X260:$AY260&lt;&gt;0,),0)),IF(BA260=0,INDEX($AO$7:$AY$7,MATCH(1,$AO260:$AY260,0)),IF(BH260="Multiple strategies","mixed drivers",IF(BH260="Supply chain","multiple supply","multiple silviculture"))))</f>
        <v>efficiency improvement</v>
      </c>
      <c r="BH260" s="2" t="str" cm="1">
        <f t="array" ref="BH260">IF(COUNTIF(BB260:BD260,"&lt;&gt;0")=1,INDEX($X$4:$AY$4,MATCH(TRUE,INDEX($X260:$AY260&lt;&gt;0,),0)),IF(COUNTIF(BB260:BD260,"&lt;&gt;0")=0,INDEX($AO$4:$AY$4,MATCH(1,$AO260:$AY260,0)),"Multiple strategies"))</f>
        <v>Technology</v>
      </c>
      <c r="BI260" s="142"/>
      <c r="BL260" s="143"/>
      <c r="BN260" s="143"/>
      <c r="BO260" s="163"/>
      <c r="BP260" s="158"/>
      <c r="BQ260" s="143"/>
      <c r="BR260" s="297" t="s">
        <v>232</v>
      </c>
      <c r="BS260" s="331"/>
      <c r="BT260" t="s">
        <v>3527</v>
      </c>
      <c r="BU260">
        <v>-6.73</v>
      </c>
      <c r="BV260" s="143">
        <v>-9</v>
      </c>
      <c r="BW260" s="144">
        <v>1.3372956909361069</v>
      </c>
      <c r="BX260">
        <v>-2.2699999999999996</v>
      </c>
      <c r="BZ260" s="144">
        <f>BX260*1000</f>
        <v>-2269.9999999999995</v>
      </c>
      <c r="CA260" t="str">
        <f t="shared" si="252"/>
        <v/>
      </c>
      <c r="CB260">
        <v>0</v>
      </c>
      <c r="CC260">
        <v>0</v>
      </c>
      <c r="CD260">
        <v>0</v>
      </c>
      <c r="CE260">
        <v>0</v>
      </c>
      <c r="CF260">
        <v>0</v>
      </c>
      <c r="CG260">
        <v>0</v>
      </c>
      <c r="CH260">
        <v>0</v>
      </c>
      <c r="CI260">
        <v>0</v>
      </c>
      <c r="CJ260">
        <v>0</v>
      </c>
      <c r="CK260">
        <v>0</v>
      </c>
      <c r="CL260">
        <v>0</v>
      </c>
      <c r="CM260">
        <v>0</v>
      </c>
      <c r="CN260">
        <v>0</v>
      </c>
      <c r="CO260">
        <v>0</v>
      </c>
      <c r="CP260" t="str">
        <f>IF(BN260&lt;BM260,"refNeedCorrection","refOK")</f>
        <v>refOK</v>
      </c>
      <c r="CQ260"/>
      <c r="CR260"/>
      <c r="CS260"/>
      <c r="CT260">
        <f t="shared" si="253"/>
        <v>0</v>
      </c>
      <c r="CU260">
        <f t="shared" si="272"/>
        <v>-6.73</v>
      </c>
      <c r="CV260">
        <f t="shared" si="273"/>
        <v>-9</v>
      </c>
      <c r="CW260">
        <f t="shared" si="274"/>
        <v>-2269.9999999999995</v>
      </c>
      <c r="CX260" t="str">
        <f t="shared" si="254"/>
        <v/>
      </c>
      <c r="CY260" t="str">
        <f t="shared" si="275"/>
        <v/>
      </c>
      <c r="CZ260" t="str">
        <f t="shared" si="255"/>
        <v/>
      </c>
      <c r="DA260" s="2">
        <f t="shared" si="276"/>
        <v>-0.3372956909361069</v>
      </c>
      <c r="DB260" s="1" t="s">
        <v>1078</v>
      </c>
      <c r="DC260" s="297" t="str">
        <f t="shared" si="277"/>
        <v>reg</v>
      </c>
      <c r="DD260" t="s">
        <v>3528</v>
      </c>
      <c r="DE260">
        <v>2020</v>
      </c>
      <c r="DF260" s="143">
        <v>2030</v>
      </c>
      <c r="DG260" s="143">
        <f t="shared" si="295"/>
        <v>10</v>
      </c>
      <c r="DH260" t="str">
        <f t="shared" si="278"/>
        <v>1-30</v>
      </c>
      <c r="DI260">
        <v>0</v>
      </c>
      <c r="DJ260">
        <v>1</v>
      </c>
      <c r="DK260">
        <v>0</v>
      </c>
      <c r="DL260">
        <v>0</v>
      </c>
      <c r="DN260">
        <f t="shared" si="286"/>
        <v>1</v>
      </c>
      <c r="DO260" t="str">
        <f t="shared" si="279"/>
        <v>EnergyInput</v>
      </c>
      <c r="DP260">
        <f t="shared" si="280"/>
        <v>0</v>
      </c>
      <c r="DQ260" t="str">
        <f t="shared" si="281"/>
        <v>Energy</v>
      </c>
      <c r="DR260">
        <f t="shared" si="282"/>
        <v>0</v>
      </c>
      <c r="DS260">
        <f t="shared" si="283"/>
        <v>0</v>
      </c>
      <c r="DT260">
        <v>0</v>
      </c>
      <c r="DU260" s="143">
        <v>0</v>
      </c>
      <c r="DV260" s="143">
        <v>0</v>
      </c>
      <c r="DW260">
        <v>0</v>
      </c>
      <c r="DX260" s="143">
        <v>0</v>
      </c>
      <c r="DY260">
        <f t="shared" si="287"/>
        <v>0</v>
      </c>
      <c r="DZ260" s="143" t="str">
        <f t="shared" si="284"/>
        <v>explicit C balance</v>
      </c>
      <c r="EA260" s="143">
        <v>0</v>
      </c>
      <c r="EB260" s="143">
        <v>0</v>
      </c>
      <c r="EC260" s="143">
        <v>0</v>
      </c>
      <c r="ED260" s="143">
        <v>0</v>
      </c>
      <c r="EE260">
        <v>0</v>
      </c>
      <c r="EF260" s="143">
        <v>0</v>
      </c>
      <c r="EG260" s="143">
        <v>0</v>
      </c>
      <c r="EH260" s="143">
        <v>1</v>
      </c>
      <c r="EI260" s="143">
        <v>0</v>
      </c>
      <c r="EJ260">
        <v>0</v>
      </c>
      <c r="EK260">
        <v>0</v>
      </c>
      <c r="EL260" s="143">
        <v>0</v>
      </c>
      <c r="EM260">
        <v>0</v>
      </c>
      <c r="EN260" s="2">
        <v>0</v>
      </c>
      <c r="EP260" t="str">
        <f t="shared" si="256"/>
        <v/>
      </c>
      <c r="EQ260" t="str">
        <f t="shared" si="297"/>
        <v/>
      </c>
      <c r="ER260" s="2" t="str">
        <f t="shared" si="257"/>
        <v/>
      </c>
      <c r="ES260" t="str">
        <f t="shared" si="258"/>
        <v/>
      </c>
      <c r="ET260" t="str">
        <f t="shared" si="259"/>
        <v/>
      </c>
      <c r="EU260" t="str">
        <f t="shared" si="260"/>
        <v/>
      </c>
      <c r="EW260" t="s">
        <v>3529</v>
      </c>
      <c r="EY260" t="b">
        <f>IF(ISNUMBER(BW260),IF(ABS(BW260-[1]QC_indicators!$B$2)&gt;3*[1]QC_indicators!$C$2,"C ratio",IF(ISNUMBER(CA260),IF(ABS(CA260-[1]QC_indicators!$B$1)&gt;3*[1]QC_indicators!$C$1,"DF","no"))),IF(ISNUMBER(CA260),IF(ABS(CA260-[1]QC_indicators!$B$1)&gt;3*[1]QC_indicators!$C$1,"DF","no")))</f>
        <v>0</v>
      </c>
      <c r="FA260" t="str">
        <f t="shared" si="261"/>
        <v/>
      </c>
      <c r="FB260" s="299" t="s">
        <v>349</v>
      </c>
    </row>
    <row r="261" spans="1:158" ht="15" hidden="1" customHeight="1">
      <c r="A261" s="1" t="s">
        <v>895</v>
      </c>
      <c r="B261" t="s">
        <v>531</v>
      </c>
      <c r="C261" t="s">
        <v>4404</v>
      </c>
      <c r="D261" t="s">
        <v>4405</v>
      </c>
      <c r="E261" t="s">
        <v>4406</v>
      </c>
      <c r="F261" t="s">
        <v>4407</v>
      </c>
      <c r="G261" t="s">
        <v>901</v>
      </c>
      <c r="H261" t="s">
        <v>254</v>
      </c>
      <c r="I261">
        <v>2010</v>
      </c>
      <c r="J261">
        <v>14</v>
      </c>
      <c r="K261" t="s">
        <v>4408</v>
      </c>
      <c r="M261" t="str">
        <f t="shared" si="212"/>
        <v>Minunno_2010</v>
      </c>
      <c r="N261" s="297" t="s">
        <v>4058</v>
      </c>
      <c r="O261" t="s">
        <v>223</v>
      </c>
      <c r="Q261" s="297" t="s">
        <v>256</v>
      </c>
      <c r="R261" s="298"/>
      <c r="AZ261" s="141"/>
      <c r="BA261" s="141"/>
      <c r="BG261"/>
      <c r="BH261" s="2"/>
      <c r="BS261" s="230"/>
      <c r="CA261" t="str">
        <f t="shared" si="252"/>
        <v/>
      </c>
      <c r="CP261"/>
      <c r="CQ261"/>
      <c r="CR261"/>
      <c r="CS261"/>
      <c r="CT261">
        <f t="shared" si="253"/>
        <v>0</v>
      </c>
      <c r="CU261"/>
      <c r="CV261"/>
      <c r="CW261"/>
      <c r="CX261" t="str">
        <f t="shared" si="254"/>
        <v/>
      </c>
      <c r="CY261"/>
      <c r="CZ261" t="str">
        <f t="shared" si="255"/>
        <v/>
      </c>
      <c r="DA261" s="2"/>
      <c r="DC261"/>
      <c r="DH261"/>
      <c r="DN261"/>
      <c r="DO261"/>
      <c r="DP261"/>
      <c r="DQ261"/>
      <c r="DR261"/>
      <c r="DS261"/>
      <c r="DY261"/>
      <c r="DZ261" s="143"/>
      <c r="EP261" t="str">
        <f t="shared" si="256"/>
        <v/>
      </c>
      <c r="EQ261" t="str">
        <f t="shared" si="297"/>
        <v/>
      </c>
      <c r="ER261" s="2" t="str">
        <f t="shared" si="257"/>
        <v/>
      </c>
      <c r="ES261" t="str">
        <f t="shared" si="258"/>
        <v/>
      </c>
      <c r="ET261" t="str">
        <f t="shared" si="259"/>
        <v/>
      </c>
      <c r="EU261" t="str">
        <f t="shared" si="260"/>
        <v/>
      </c>
      <c r="EY261" t="b">
        <f>IF(ISNUMBER(BW261),IF(ABS(BW261-[1]QC_indicators!$B$2)&gt;3*[1]QC_indicators!$C$2,"C ratio",IF(ISNUMBER(CA261),IF(ABS(CA261-[1]QC_indicators!$B$1)&gt;3*[1]QC_indicators!$C$1,"DF","no"))),IF(ISNUMBER(CA261),IF(ABS(CA261-[1]QC_indicators!$B$1)&gt;3*[1]QC_indicators!$C$1,"DF","no")))</f>
        <v>0</v>
      </c>
      <c r="FA261" t="str">
        <f t="shared" si="261"/>
        <v/>
      </c>
    </row>
    <row r="262" spans="1:158" ht="15" hidden="1" customHeight="1">
      <c r="A262" s="1" t="s">
        <v>643</v>
      </c>
      <c r="B262" t="s">
        <v>3530</v>
      </c>
      <c r="C262" t="s">
        <v>3531</v>
      </c>
      <c r="D262" t="s">
        <v>3532</v>
      </c>
      <c r="E262" t="s">
        <v>3533</v>
      </c>
      <c r="F262" t="s">
        <v>3534</v>
      </c>
      <c r="G262" t="s">
        <v>649</v>
      </c>
      <c r="H262" t="s">
        <v>254</v>
      </c>
      <c r="I262">
        <v>2020</v>
      </c>
      <c r="J262">
        <v>4</v>
      </c>
      <c r="K262" t="s">
        <v>3535</v>
      </c>
      <c r="M262" t="str">
        <f t="shared" si="212"/>
        <v>Nakano_2020</v>
      </c>
      <c r="N262" s="297" t="s">
        <v>4058</v>
      </c>
      <c r="O262" s="157" t="s">
        <v>274</v>
      </c>
      <c r="P262" t="s">
        <v>924</v>
      </c>
      <c r="Q262" s="297" t="s">
        <v>389</v>
      </c>
      <c r="R262" s="298"/>
      <c r="S262" s="304" t="s">
        <v>3536</v>
      </c>
      <c r="T262" s="297" t="s">
        <v>3537</v>
      </c>
      <c r="U262" t="s">
        <v>3538</v>
      </c>
      <c r="X262">
        <v>0</v>
      </c>
      <c r="Y262">
        <v>0</v>
      </c>
      <c r="Z262">
        <v>0</v>
      </c>
      <c r="AA262">
        <v>0</v>
      </c>
      <c r="AB262">
        <v>0</v>
      </c>
      <c r="AC262">
        <v>0</v>
      </c>
      <c r="AD262">
        <v>0</v>
      </c>
      <c r="AE262">
        <v>0</v>
      </c>
      <c r="AF262">
        <v>0</v>
      </c>
      <c r="AG262">
        <v>0</v>
      </c>
      <c r="AH262">
        <v>1</v>
      </c>
      <c r="AI262">
        <v>0</v>
      </c>
      <c r="AJ262">
        <v>0</v>
      </c>
      <c r="AK262">
        <v>0</v>
      </c>
      <c r="AL262">
        <v>0</v>
      </c>
      <c r="AM262">
        <v>0</v>
      </c>
      <c r="AN262">
        <v>0</v>
      </c>
      <c r="AO262">
        <v>0</v>
      </c>
      <c r="AP262">
        <v>0</v>
      </c>
      <c r="AQ262">
        <v>0</v>
      </c>
      <c r="AR262">
        <v>0</v>
      </c>
      <c r="AS262">
        <v>0</v>
      </c>
      <c r="AT262">
        <v>0</v>
      </c>
      <c r="AU262">
        <v>0</v>
      </c>
      <c r="AV262">
        <v>0</v>
      </c>
      <c r="AW262">
        <v>0</v>
      </c>
      <c r="AX262">
        <v>0</v>
      </c>
      <c r="AY262">
        <v>0</v>
      </c>
      <c r="AZ262" s="141">
        <f t="shared" ref="AZ262:AZ293" si="298">COUNTIF(X262:AY262,"&lt;&gt;0")</f>
        <v>1</v>
      </c>
      <c r="BA262" s="141">
        <f t="shared" ref="BA262:BA293" si="299">COUNTIF(X262:AN262,"&lt;&gt;0")</f>
        <v>1</v>
      </c>
      <c r="BB262">
        <f t="shared" ref="BB262:BB293" si="300">COUNTIF(X262:AE262,"&lt;&gt;0")</f>
        <v>0</v>
      </c>
      <c r="BC262">
        <f t="shared" ref="BC262:BC293" si="301">COUNTIF(AF262:AK262,"&lt;&gt;0")</f>
        <v>1</v>
      </c>
      <c r="BD262">
        <f t="shared" ref="BD262:BD293" si="302">COUNTIF(AL262:AN262,"&lt;&gt;0")</f>
        <v>0</v>
      </c>
      <c r="BE262">
        <f t="shared" ref="BE262:BE293" si="303">COUNTIF(AU262:AY262,"&lt;&gt;0")</f>
        <v>0</v>
      </c>
      <c r="BF262">
        <f t="shared" ref="BF262:BF293" si="304">COUNTIF(AO262:AT262,"&lt;&gt;0")</f>
        <v>0</v>
      </c>
      <c r="BG262" t="str" cm="1">
        <f t="array" ref="BG262">IF(BA262=1,INDEX($X$7:$AN$7,MATCH(TRUE,INDEX($X262:$AY262&lt;&gt;0,),0)),IF(BA262=0,INDEX($AO$7:$AY$7,MATCH(1,$AO262:$AY262,0)),IF(BH262="Multiple strategies","mixed drivers",IF(BH262="Supply chain","multiple supply","multiple silviculture"))))</f>
        <v>supply chain organization</v>
      </c>
      <c r="BH262" s="2" t="str" cm="1">
        <f t="array" ref="BH262">IF(COUNTIF(BB262:BD262,"&lt;&gt;0")=1,INDEX($X$4:$AY$4,MATCH(TRUE,INDEX($X262:$AY262&lt;&gt;0,),0)),IF(COUNTIF(BB262:BD262,"&lt;&gt;0")=0,INDEX($AO$4:$AY$4,MATCH(1,$AO262:$AY262,0)),"Multiple strategies"))</f>
        <v>Supply chain</v>
      </c>
      <c r="BO262" t="s">
        <v>531</v>
      </c>
      <c r="BR262" t="s">
        <v>395</v>
      </c>
      <c r="BS262" s="230" t="s">
        <v>3539</v>
      </c>
      <c r="BT262" s="297" t="s">
        <v>3540</v>
      </c>
      <c r="BU262">
        <v>174</v>
      </c>
      <c r="BV262">
        <v>165.29999999999998</v>
      </c>
      <c r="BW262" s="144">
        <v>0.95</v>
      </c>
      <c r="BX262">
        <v>-8.7000000000000171</v>
      </c>
      <c r="BZ262">
        <v>-8.7000000000000167E-3</v>
      </c>
      <c r="CA262" t="str">
        <f t="shared" si="252"/>
        <v/>
      </c>
      <c r="CB262">
        <v>0</v>
      </c>
      <c r="CC262">
        <v>0</v>
      </c>
      <c r="CD262">
        <v>0</v>
      </c>
      <c r="CE262">
        <v>0</v>
      </c>
      <c r="CF262">
        <v>0</v>
      </c>
      <c r="CG262">
        <v>0</v>
      </c>
      <c r="CH262">
        <v>0</v>
      </c>
      <c r="CI262">
        <v>0</v>
      </c>
      <c r="CJ262">
        <v>0</v>
      </c>
      <c r="CK262">
        <v>0</v>
      </c>
      <c r="CL262">
        <v>0</v>
      </c>
      <c r="CM262">
        <v>0</v>
      </c>
      <c r="CN262">
        <v>0</v>
      </c>
      <c r="CO262">
        <v>0</v>
      </c>
      <c r="CP262" t="str">
        <f t="shared" ref="CP262:CP293" si="305">IF($BN262&lt;$BM262,"refNeedCorrection","refOK")</f>
        <v>refOK</v>
      </c>
      <c r="CQ262"/>
      <c r="CR262"/>
      <c r="CS262"/>
      <c r="CT262">
        <f t="shared" si="253"/>
        <v>0</v>
      </c>
      <c r="CU262">
        <f t="shared" ref="CU262:CU293" si="306">IF($CP262="refOK",$BU262,$BV262)*IF($BR262="Emissions positive",-1,1)</f>
        <v>-174</v>
      </c>
      <c r="CV262">
        <f t="shared" ref="CV262:CV270" si="307">IF($CP262="refOK",$BV262,$BU262)*IF($BR262="Emissions positive",-1,1)</f>
        <v>-165.29999999999998</v>
      </c>
      <c r="CW262">
        <f t="shared" ref="CW262:CW293" si="308">IF($CP262="refNeedCorrection",-BZ262,BZ262)*IF($BR262="Emissions positive",-1,1)</f>
        <v>8.7000000000000167E-3</v>
      </c>
      <c r="CX262" t="str">
        <f t="shared" si="254"/>
        <v/>
      </c>
      <c r="CY262" t="str">
        <f t="shared" ref="CY262:CY293" si="309">IFERROR($CW262/$CS262,"")</f>
        <v/>
      </c>
      <c r="CZ262" t="str">
        <f t="shared" si="255"/>
        <v/>
      </c>
      <c r="DA262" s="2">
        <f t="shared" ref="DA262:DA293" si="310">IFERROR((CV262-CU262)/ABS(CU262),"")</f>
        <v>5.00000000000001E-2</v>
      </c>
      <c r="DB262" s="1" t="s">
        <v>263</v>
      </c>
      <c r="DC262" s="297" t="str">
        <f>IF(OR($DB262="prd",$DB262="std",$DB262="cit"),"loc",IF(OR($DB262="eur",$DB262="reg",$DB262="coy"),"reg",$DB262))</f>
        <v>loc</v>
      </c>
      <c r="DD262" t="s">
        <v>925</v>
      </c>
      <c r="DE262">
        <v>0</v>
      </c>
      <c r="DF262">
        <v>0</v>
      </c>
      <c r="DG262">
        <v>0</v>
      </c>
      <c r="DH262" t="str">
        <f t="shared" ref="DH262:DH293" si="311">IF(DG262=0,"0",IF(AND(DG262&gt;=1,DG262&lt;=30),"1-30",IF(AND(DG262&gt;30,DG262&lt;=70),"31-70",IF(AND(DG262&gt;70,DG262&lt;=100),"71-100",IF(DG262&gt;100,"+100")))))</f>
        <v>0</v>
      </c>
      <c r="DI262">
        <v>0</v>
      </c>
      <c r="DJ262">
        <v>1</v>
      </c>
      <c r="DK262">
        <v>0</v>
      </c>
      <c r="DL262">
        <v>0</v>
      </c>
      <c r="DM262">
        <v>0</v>
      </c>
      <c r="DN262">
        <v>1</v>
      </c>
      <c r="DO262" t="str">
        <f t="shared" ref="DO262:DO293" si="312">IF(DN262=1,INDEX($DI$7:$DL$7,MATCH(1,$DI262:$DL262,0)),"mixedProduct")</f>
        <v>EnergyInput</v>
      </c>
      <c r="DP262">
        <f t="shared" ref="DP262:DP293" si="313">IF(DI262=1,DP$7,0)</f>
        <v>0</v>
      </c>
      <c r="DQ262" t="str">
        <f t="shared" ref="DQ262:DQ293" si="314">IF(DJ262=1,DQ$7,0)</f>
        <v>Energy</v>
      </c>
      <c r="DR262">
        <f t="shared" ref="DR262:DR293" si="315">IF(DK262=1,DR$7,0)</f>
        <v>0</v>
      </c>
      <c r="DS262">
        <f t="shared" ref="DS262:DS293" si="316">IF(DL262=1,DS$7,0)</f>
        <v>0</v>
      </c>
      <c r="DT262">
        <v>0</v>
      </c>
      <c r="DU262">
        <v>0</v>
      </c>
      <c r="DV262">
        <v>0</v>
      </c>
      <c r="DW262">
        <v>0</v>
      </c>
      <c r="DX262">
        <v>0</v>
      </c>
      <c r="DY262">
        <f t="shared" ref="DY262:DY270" si="317">SUM(DT262:DU262)</f>
        <v>0</v>
      </c>
      <c r="DZ262" s="143" t="s">
        <v>926</v>
      </c>
      <c r="EA262">
        <v>0</v>
      </c>
      <c r="EB262">
        <v>0</v>
      </c>
      <c r="EC262">
        <v>0</v>
      </c>
      <c r="ED262">
        <v>1</v>
      </c>
      <c r="EE262">
        <v>0</v>
      </c>
      <c r="EF262" s="143">
        <v>0</v>
      </c>
      <c r="EG262">
        <v>0</v>
      </c>
      <c r="EH262">
        <v>1</v>
      </c>
      <c r="EI262">
        <v>0</v>
      </c>
      <c r="EJ262">
        <v>0</v>
      </c>
      <c r="EK262">
        <v>0</v>
      </c>
      <c r="EL262">
        <v>0</v>
      </c>
      <c r="EM262">
        <v>0</v>
      </c>
      <c r="EN262" s="2">
        <v>0</v>
      </c>
      <c r="EP262" t="str">
        <f t="shared" si="256"/>
        <v/>
      </c>
      <c r="EQ262" t="str">
        <f t="shared" si="297"/>
        <v/>
      </c>
      <c r="ER262" s="2" t="str">
        <f t="shared" si="257"/>
        <v/>
      </c>
      <c r="ES262" t="str">
        <f t="shared" si="258"/>
        <v/>
      </c>
      <c r="ET262" t="str">
        <f t="shared" si="259"/>
        <v/>
      </c>
      <c r="EU262" t="str">
        <f t="shared" si="260"/>
        <v/>
      </c>
      <c r="EY262" t="b">
        <f>IF(ISNUMBER(BW262),IF(ABS(BW262-[1]QC_indicators!$B$2)&gt;3*[1]QC_indicators!$C$2,"C ratio",IF(ISNUMBER(CA262),IF(ABS(CA262-[1]QC_indicators!$B$1)&gt;3*[1]QC_indicators!$C$1,"DF","no"))),IF(ISNUMBER(CA262),IF(ABS(CA262-[1]QC_indicators!$B$1)&gt;3*[1]QC_indicators!$C$1,"DF","no")))</f>
        <v>0</v>
      </c>
      <c r="FA262" t="str">
        <f t="shared" si="261"/>
        <v/>
      </c>
    </row>
    <row r="263" spans="1:158" ht="15" hidden="1" customHeight="1">
      <c r="A263" s="1" t="s">
        <v>3541</v>
      </c>
      <c r="B263" t="s">
        <v>3542</v>
      </c>
      <c r="C263" t="s">
        <v>3543</v>
      </c>
      <c r="D263" t="s">
        <v>3544</v>
      </c>
      <c r="E263" t="s">
        <v>3545</v>
      </c>
      <c r="F263" t="s">
        <v>3546</v>
      </c>
      <c r="G263" t="s">
        <v>3547</v>
      </c>
      <c r="H263" t="s">
        <v>254</v>
      </c>
      <c r="I263">
        <v>2011</v>
      </c>
      <c r="J263">
        <v>23</v>
      </c>
      <c r="K263" t="s">
        <v>3548</v>
      </c>
      <c r="M263" t="str">
        <f t="shared" si="212"/>
        <v>Newell_2011</v>
      </c>
      <c r="N263" s="297" t="s">
        <v>4058</v>
      </c>
      <c r="O263" s="157" t="s">
        <v>274</v>
      </c>
      <c r="P263" t="s">
        <v>924</v>
      </c>
      <c r="Q263" s="297" t="s">
        <v>389</v>
      </c>
      <c r="R263" s="298"/>
      <c r="S263" s="304" t="s">
        <v>3555</v>
      </c>
      <c r="T263" s="297" t="s">
        <v>3550</v>
      </c>
      <c r="U263" s="297" t="s">
        <v>3551</v>
      </c>
      <c r="V263" s="297"/>
      <c r="W263" s="297"/>
      <c r="X263">
        <v>0</v>
      </c>
      <c r="Y263">
        <v>0</v>
      </c>
      <c r="Z263">
        <v>0</v>
      </c>
      <c r="AA263">
        <v>0</v>
      </c>
      <c r="AB263">
        <v>0</v>
      </c>
      <c r="AC263">
        <v>0</v>
      </c>
      <c r="AD263">
        <v>0</v>
      </c>
      <c r="AE263">
        <v>1</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s="141">
        <f t="shared" si="298"/>
        <v>1</v>
      </c>
      <c r="BA263" s="141">
        <f t="shared" si="299"/>
        <v>1</v>
      </c>
      <c r="BB263">
        <f t="shared" si="300"/>
        <v>1</v>
      </c>
      <c r="BC263">
        <f t="shared" si="301"/>
        <v>0</v>
      </c>
      <c r="BD263">
        <f t="shared" si="302"/>
        <v>0</v>
      </c>
      <c r="BE263">
        <f t="shared" si="303"/>
        <v>0</v>
      </c>
      <c r="BF263">
        <f t="shared" si="304"/>
        <v>0</v>
      </c>
      <c r="BG263" t="str" cm="1">
        <f t="array" ref="BG263">IF(BA263=1,INDEX($X$7:$AN$7,MATCH(TRUE,INDEX($X263:$AY263&lt;&gt;0,),0)),IF(BA263=0,INDEX($AO$7:$AY$7,MATCH(1,$AO263:$AY263,0)),IF(BH263="Multiple strategies","mixed drivers",IF(BH263="Supply chain","multiple supply","multiple silviculture"))))</f>
        <v>site fertility</v>
      </c>
      <c r="BH263" s="2" t="str" cm="1">
        <f t="array" ref="BH263">IF(COUNTIF(BB263:BD263,"&lt;&gt;0")=1,INDEX($X$4:$AY$4,MATCH(TRUE,INDEX($X263:$AY263&lt;&gt;0,),0)),IF(COUNTIF(BB263:BD263,"&lt;&gt;0")=0,INDEX($AO$4:$AY$4,MATCH(1,$AO263:$AY263,0)),"Multiple strategies"))</f>
        <v>Silviculture for productivity</v>
      </c>
      <c r="BI263" s="1" t="s">
        <v>229</v>
      </c>
      <c r="BJ263" t="s">
        <v>3552</v>
      </c>
      <c r="BK263" s="297" t="s">
        <v>3553</v>
      </c>
      <c r="BM263">
        <v>1</v>
      </c>
      <c r="BN263">
        <v>1</v>
      </c>
      <c r="BO263">
        <v>1</v>
      </c>
      <c r="BP263">
        <f t="shared" ref="BP263:BP270" si="318">BN263-BM263</f>
        <v>0</v>
      </c>
      <c r="BQ263">
        <f t="shared" ref="BQ263:BQ270" si="319">BP263</f>
        <v>0</v>
      </c>
      <c r="BR263" t="s">
        <v>395</v>
      </c>
      <c r="BS263" s="230"/>
      <c r="BT263" s="297" t="s">
        <v>3554</v>
      </c>
      <c r="BU263">
        <v>1.3860000000000001</v>
      </c>
      <c r="BV263">
        <v>9.2100000000000009</v>
      </c>
      <c r="BW263">
        <v>6.6450216450216448</v>
      </c>
      <c r="BX263">
        <v>7.8240000000000007</v>
      </c>
      <c r="BZ263">
        <v>7.8240000000000007</v>
      </c>
      <c r="CA263" t="str">
        <f t="shared" si="252"/>
        <v/>
      </c>
      <c r="CB263">
        <v>0</v>
      </c>
      <c r="CC263">
        <v>0</v>
      </c>
      <c r="CD263">
        <v>0</v>
      </c>
      <c r="CE263">
        <v>0</v>
      </c>
      <c r="CF263">
        <v>0</v>
      </c>
      <c r="CG263">
        <v>0</v>
      </c>
      <c r="CH263">
        <v>0</v>
      </c>
      <c r="CI263">
        <v>0</v>
      </c>
      <c r="CJ263">
        <v>0</v>
      </c>
      <c r="CK263">
        <v>0</v>
      </c>
      <c r="CL263">
        <v>0</v>
      </c>
      <c r="CM263">
        <v>0</v>
      </c>
      <c r="CN263">
        <v>0</v>
      </c>
      <c r="CO263">
        <v>0</v>
      </c>
      <c r="CP263" t="str">
        <f t="shared" si="305"/>
        <v>refOK</v>
      </c>
      <c r="CQ263">
        <f t="shared" ref="CQ263:CQ270" si="320">IF($CP263="refOK",$BM263,$BN263)</f>
        <v>1</v>
      </c>
      <c r="CR263">
        <f t="shared" ref="CR263:CR270" si="321">IF($CP263="refOK",$BN263,$BM263)</f>
        <v>1</v>
      </c>
      <c r="CS263">
        <f t="shared" ref="CS263:CS270" si="322">IF($CP263="refOK",$BQ263,-$BQ263)</f>
        <v>0</v>
      </c>
      <c r="CT263">
        <f t="shared" si="253"/>
        <v>0</v>
      </c>
      <c r="CU263">
        <f t="shared" si="306"/>
        <v>-1.3860000000000001</v>
      </c>
      <c r="CV263">
        <f t="shared" si="307"/>
        <v>-9.2100000000000009</v>
      </c>
      <c r="CW263">
        <f t="shared" si="308"/>
        <v>-7.8240000000000007</v>
      </c>
      <c r="CX263" t="str">
        <f t="shared" si="254"/>
        <v/>
      </c>
      <c r="CY263" t="str">
        <f t="shared" si="309"/>
        <v/>
      </c>
      <c r="CZ263" t="str">
        <f t="shared" si="255"/>
        <v/>
      </c>
      <c r="DA263" s="2">
        <f t="shared" si="310"/>
        <v>-5.6450216450216448</v>
      </c>
      <c r="DB263" s="304" t="s">
        <v>1078</v>
      </c>
      <c r="DC263" s="297" t="str">
        <f>IF(OR($DB263="prd",$DB263="std",$DB263="cit"),"loc",IF(OR($DB263="eur",$DB263="reg",$DB263="coy"),"reg",$DB263))</f>
        <v>reg</v>
      </c>
      <c r="DD263" s="297" t="s">
        <v>677</v>
      </c>
      <c r="DE263">
        <v>2007</v>
      </c>
      <c r="DF263">
        <v>0</v>
      </c>
      <c r="DG263">
        <v>0</v>
      </c>
      <c r="DH263" t="str">
        <f t="shared" si="311"/>
        <v>0</v>
      </c>
      <c r="DI263">
        <v>1</v>
      </c>
      <c r="DJ263">
        <v>0</v>
      </c>
      <c r="DK263">
        <v>0</v>
      </c>
      <c r="DL263">
        <v>0</v>
      </c>
      <c r="DM263">
        <v>0</v>
      </c>
      <c r="DN263">
        <v>1</v>
      </c>
      <c r="DO263" t="str">
        <f t="shared" si="312"/>
        <v>UpstreamInput</v>
      </c>
      <c r="DP263" t="str">
        <f t="shared" si="313"/>
        <v>Upstream</v>
      </c>
      <c r="DQ263">
        <f t="shared" si="314"/>
        <v>0</v>
      </c>
      <c r="DR263">
        <f t="shared" si="315"/>
        <v>0</v>
      </c>
      <c r="DS263">
        <f t="shared" si="316"/>
        <v>0</v>
      </c>
      <c r="DT263">
        <v>0</v>
      </c>
      <c r="DU263">
        <v>0</v>
      </c>
      <c r="DV263">
        <v>0</v>
      </c>
      <c r="DW263">
        <v>0</v>
      </c>
      <c r="DX263">
        <v>0</v>
      </c>
      <c r="DY263">
        <f t="shared" si="317"/>
        <v>0</v>
      </c>
      <c r="DZ263" s="143" t="s">
        <v>926</v>
      </c>
      <c r="EA263">
        <v>0</v>
      </c>
      <c r="EB263">
        <v>1</v>
      </c>
      <c r="EC263">
        <v>1</v>
      </c>
      <c r="ED263">
        <v>0</v>
      </c>
      <c r="EE263">
        <v>0</v>
      </c>
      <c r="EF263" s="143">
        <v>0</v>
      </c>
      <c r="EG263">
        <v>0</v>
      </c>
      <c r="EH263">
        <v>0</v>
      </c>
      <c r="EI263">
        <v>0</v>
      </c>
      <c r="EJ263">
        <v>0</v>
      </c>
      <c r="EK263">
        <v>1</v>
      </c>
      <c r="EL263">
        <v>0</v>
      </c>
      <c r="EM263">
        <v>1</v>
      </c>
      <c r="EN263" s="2">
        <v>0</v>
      </c>
      <c r="EP263" t="str">
        <f t="shared" si="256"/>
        <v/>
      </c>
      <c r="EQ263" t="str">
        <f t="shared" si="297"/>
        <v>Ecosystem approach</v>
      </c>
      <c r="ER263" s="2" t="str">
        <f t="shared" si="257"/>
        <v/>
      </c>
      <c r="ES263" t="str">
        <f t="shared" si="258"/>
        <v/>
      </c>
      <c r="ET263" t="str">
        <f t="shared" si="259"/>
        <v/>
      </c>
      <c r="EU263" t="str">
        <f t="shared" si="260"/>
        <v/>
      </c>
      <c r="EY263" t="b">
        <f>IF(ISNUMBER(BW263),IF(ABS(BW263-[1]QC_indicators!$B$2)&gt;3*[1]QC_indicators!$C$2,"C ratio",IF(ISNUMBER(CA263),IF(ABS(CA263-[1]QC_indicators!$B$1)&gt;3*[1]QC_indicators!$C$1,"DF","no"))),IF(ISNUMBER(CA263),IF(ABS(CA263-[1]QC_indicators!$B$1)&gt;3*[1]QC_indicators!$C$1,"DF","no")))</f>
        <v>0</v>
      </c>
      <c r="FA263" t="str">
        <f t="shared" si="261"/>
        <v/>
      </c>
    </row>
    <row r="264" spans="1:158" ht="15" hidden="1" customHeight="1">
      <c r="A264" s="1" t="s">
        <v>3541</v>
      </c>
      <c r="B264" t="s">
        <v>3542</v>
      </c>
      <c r="C264" t="s">
        <v>3543</v>
      </c>
      <c r="D264" t="s">
        <v>3544</v>
      </c>
      <c r="E264" t="s">
        <v>3545</v>
      </c>
      <c r="F264" t="s">
        <v>3546</v>
      </c>
      <c r="G264" t="s">
        <v>3547</v>
      </c>
      <c r="H264" t="s">
        <v>254</v>
      </c>
      <c r="I264">
        <v>2011</v>
      </c>
      <c r="J264">
        <v>23</v>
      </c>
      <c r="K264" t="s">
        <v>3548</v>
      </c>
      <c r="M264" t="str">
        <f t="shared" ref="M264:M327" si="323">LEFT($D264,FIND(",",$D264)-1)&amp;"_"&amp;I264&amp;L264</f>
        <v>Newell_2011</v>
      </c>
      <c r="N264" s="297" t="s">
        <v>4058</v>
      </c>
      <c r="O264" s="157" t="s">
        <v>274</v>
      </c>
      <c r="P264" t="s">
        <v>924</v>
      </c>
      <c r="Q264" s="297" t="s">
        <v>389</v>
      </c>
      <c r="R264" s="298"/>
      <c r="S264" s="304" t="s">
        <v>3549</v>
      </c>
      <c r="T264" s="297" t="s">
        <v>3550</v>
      </c>
      <c r="U264" s="297" t="s">
        <v>3551</v>
      </c>
      <c r="V264" s="297"/>
      <c r="W264" s="297"/>
      <c r="X264">
        <v>0</v>
      </c>
      <c r="Y264">
        <v>0</v>
      </c>
      <c r="Z264">
        <v>0</v>
      </c>
      <c r="AA264">
        <v>0</v>
      </c>
      <c r="AB264">
        <v>0</v>
      </c>
      <c r="AC264">
        <v>0</v>
      </c>
      <c r="AD264">
        <v>0</v>
      </c>
      <c r="AE264">
        <v>1</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s="141">
        <f t="shared" si="298"/>
        <v>1</v>
      </c>
      <c r="BA264" s="141">
        <f t="shared" si="299"/>
        <v>1</v>
      </c>
      <c r="BB264">
        <f t="shared" si="300"/>
        <v>1</v>
      </c>
      <c r="BC264">
        <f t="shared" si="301"/>
        <v>0</v>
      </c>
      <c r="BD264">
        <f t="shared" si="302"/>
        <v>0</v>
      </c>
      <c r="BE264">
        <f t="shared" si="303"/>
        <v>0</v>
      </c>
      <c r="BF264">
        <f t="shared" si="304"/>
        <v>0</v>
      </c>
      <c r="BG264" t="str" cm="1">
        <f t="array" ref="BG264">IF(BA264=1,INDEX($X$7:$AN$7,MATCH(TRUE,INDEX($X264:$AY264&lt;&gt;0,),0)),IF(BA264=0,INDEX($AO$7:$AY$7,MATCH(1,$AO264:$AY264,0)),IF(BH264="Multiple strategies","mixed drivers",IF(BH264="Supply chain","multiple supply","multiple silviculture"))))</f>
        <v>site fertility</v>
      </c>
      <c r="BH264" s="2" t="str" cm="1">
        <f t="array" ref="BH264">IF(COUNTIF(BB264:BD264,"&lt;&gt;0")=1,INDEX($X$4:$AY$4,MATCH(TRUE,INDEX($X264:$AY264&lt;&gt;0,),0)),IF(COUNTIF(BB264:BD264,"&lt;&gt;0")=0,INDEX($AO$4:$AY$4,MATCH(1,$AO264:$AY264,0)),"Multiple strategies"))</f>
        <v>Silviculture for productivity</v>
      </c>
      <c r="BI264" s="1" t="s">
        <v>229</v>
      </c>
      <c r="BJ264" t="s">
        <v>3552</v>
      </c>
      <c r="BK264" s="297" t="s">
        <v>3553</v>
      </c>
      <c r="BM264">
        <v>1</v>
      </c>
      <c r="BN264">
        <v>1</v>
      </c>
      <c r="BO264">
        <v>1</v>
      </c>
      <c r="BP264">
        <f t="shared" si="318"/>
        <v>0</v>
      </c>
      <c r="BQ264">
        <f t="shared" si="319"/>
        <v>0</v>
      </c>
      <c r="BR264" t="s">
        <v>395</v>
      </c>
      <c r="BS264" s="230"/>
      <c r="BT264" s="297" t="s">
        <v>3554</v>
      </c>
      <c r="BU264">
        <v>2.6710000000000003</v>
      </c>
      <c r="BV264">
        <v>3.5169999999999999</v>
      </c>
      <c r="BW264">
        <v>1.316735305129165</v>
      </c>
      <c r="BX264">
        <v>0.84599999999999964</v>
      </c>
      <c r="BZ264">
        <v>0.84599999999999964</v>
      </c>
      <c r="CA264" t="str">
        <f t="shared" si="252"/>
        <v/>
      </c>
      <c r="CB264">
        <v>0</v>
      </c>
      <c r="CC264">
        <v>0</v>
      </c>
      <c r="CD264">
        <v>0</v>
      </c>
      <c r="CE264">
        <v>0</v>
      </c>
      <c r="CF264">
        <v>0</v>
      </c>
      <c r="CG264">
        <v>0</v>
      </c>
      <c r="CH264">
        <v>0</v>
      </c>
      <c r="CI264">
        <v>0</v>
      </c>
      <c r="CJ264">
        <v>0</v>
      </c>
      <c r="CK264">
        <v>0</v>
      </c>
      <c r="CL264">
        <v>0</v>
      </c>
      <c r="CM264">
        <v>0</v>
      </c>
      <c r="CN264">
        <v>0</v>
      </c>
      <c r="CO264">
        <v>0</v>
      </c>
      <c r="CP264" t="str">
        <f t="shared" si="305"/>
        <v>refOK</v>
      </c>
      <c r="CQ264">
        <f t="shared" si="320"/>
        <v>1</v>
      </c>
      <c r="CR264">
        <f t="shared" si="321"/>
        <v>1</v>
      </c>
      <c r="CS264">
        <f t="shared" si="322"/>
        <v>0</v>
      </c>
      <c r="CT264">
        <f t="shared" si="253"/>
        <v>0</v>
      </c>
      <c r="CU264">
        <f t="shared" si="306"/>
        <v>-2.6710000000000003</v>
      </c>
      <c r="CV264">
        <f t="shared" si="307"/>
        <v>-3.5169999999999999</v>
      </c>
      <c r="CW264">
        <f t="shared" si="308"/>
        <v>-0.84599999999999964</v>
      </c>
      <c r="CX264" t="str">
        <f t="shared" si="254"/>
        <v/>
      </c>
      <c r="CY264" t="str">
        <f t="shared" si="309"/>
        <v/>
      </c>
      <c r="CZ264" t="str">
        <f t="shared" si="255"/>
        <v/>
      </c>
      <c r="DA264" s="2">
        <f t="shared" si="310"/>
        <v>-0.31673530512916492</v>
      </c>
      <c r="DB264" s="304" t="s">
        <v>1078</v>
      </c>
      <c r="DC264" s="297" t="str">
        <f>IF(OR($DB264="prd",$DB264="std",$DB264="cit"),"loc",IF(OR($DB264="eur",$DB264="reg",$DB264="coy"),"reg",$DB264))</f>
        <v>reg</v>
      </c>
      <c r="DD264" t="s">
        <v>428</v>
      </c>
      <c r="DE264">
        <v>2007</v>
      </c>
      <c r="DF264">
        <v>0</v>
      </c>
      <c r="DG264">
        <v>0</v>
      </c>
      <c r="DH264" t="str">
        <f t="shared" si="311"/>
        <v>0</v>
      </c>
      <c r="DI264">
        <v>1</v>
      </c>
      <c r="DJ264">
        <v>0</v>
      </c>
      <c r="DK264">
        <v>0</v>
      </c>
      <c r="DL264">
        <v>0</v>
      </c>
      <c r="DM264">
        <v>0</v>
      </c>
      <c r="DN264">
        <v>1</v>
      </c>
      <c r="DO264" t="str">
        <f t="shared" si="312"/>
        <v>UpstreamInput</v>
      </c>
      <c r="DP264" t="str">
        <f t="shared" si="313"/>
        <v>Upstream</v>
      </c>
      <c r="DQ264">
        <f t="shared" si="314"/>
        <v>0</v>
      </c>
      <c r="DR264">
        <f t="shared" si="315"/>
        <v>0</v>
      </c>
      <c r="DS264">
        <f t="shared" si="316"/>
        <v>0</v>
      </c>
      <c r="DT264">
        <v>0</v>
      </c>
      <c r="DU264">
        <v>0</v>
      </c>
      <c r="DV264">
        <v>0</v>
      </c>
      <c r="DW264">
        <v>0</v>
      </c>
      <c r="DX264">
        <v>0</v>
      </c>
      <c r="DY264">
        <f t="shared" si="317"/>
        <v>0</v>
      </c>
      <c r="DZ264" s="143" t="s">
        <v>926</v>
      </c>
      <c r="EA264">
        <v>0</v>
      </c>
      <c r="EB264">
        <v>1</v>
      </c>
      <c r="EC264">
        <v>1</v>
      </c>
      <c r="ED264">
        <v>0</v>
      </c>
      <c r="EE264">
        <v>0</v>
      </c>
      <c r="EF264" s="143">
        <v>0</v>
      </c>
      <c r="EG264">
        <v>0</v>
      </c>
      <c r="EH264">
        <v>0</v>
      </c>
      <c r="EI264">
        <v>0</v>
      </c>
      <c r="EJ264">
        <v>0</v>
      </c>
      <c r="EK264">
        <v>1</v>
      </c>
      <c r="EL264">
        <v>0</v>
      </c>
      <c r="EM264">
        <v>1</v>
      </c>
      <c r="EN264" s="2">
        <v>0</v>
      </c>
      <c r="EP264" t="str">
        <f t="shared" si="256"/>
        <v/>
      </c>
      <c r="EQ264" t="str">
        <f t="shared" si="297"/>
        <v>Ecosystem approach</v>
      </c>
      <c r="ER264" s="2" t="str">
        <f t="shared" si="257"/>
        <v/>
      </c>
      <c r="ES264" t="str">
        <f t="shared" si="258"/>
        <v/>
      </c>
      <c r="ET264" t="str">
        <f t="shared" si="259"/>
        <v/>
      </c>
      <c r="EU264" t="str">
        <f t="shared" si="260"/>
        <v/>
      </c>
      <c r="EY264" t="b">
        <f>IF(ISNUMBER(BW264),IF(ABS(BW264-[1]QC_indicators!$B$2)&gt;3*[1]QC_indicators!$C$2,"C ratio",IF(ISNUMBER(CA264),IF(ABS(CA264-[1]QC_indicators!$B$1)&gt;3*[1]QC_indicators!$C$1,"DF","no"))),IF(ISNUMBER(CA264),IF(ABS(CA264-[1]QC_indicators!$B$1)&gt;3*[1]QC_indicators!$C$1,"DF","no")))</f>
        <v>0</v>
      </c>
      <c r="FA264" t="str">
        <f t="shared" si="261"/>
        <v/>
      </c>
    </row>
    <row r="265" spans="1:158" ht="15" hidden="1" customHeight="1">
      <c r="A265" s="1" t="s">
        <v>3541</v>
      </c>
      <c r="B265" t="s">
        <v>3542</v>
      </c>
      <c r="C265" t="s">
        <v>3543</v>
      </c>
      <c r="D265" t="s">
        <v>3544</v>
      </c>
      <c r="E265" t="s">
        <v>3545</v>
      </c>
      <c r="F265" t="s">
        <v>3546</v>
      </c>
      <c r="G265" t="s">
        <v>3547</v>
      </c>
      <c r="H265" t="s">
        <v>254</v>
      </c>
      <c r="I265">
        <v>2011</v>
      </c>
      <c r="J265">
        <v>23</v>
      </c>
      <c r="K265" t="s">
        <v>3548</v>
      </c>
      <c r="M265" t="str">
        <f t="shared" si="323"/>
        <v>Newell_2011</v>
      </c>
      <c r="N265" s="297" t="s">
        <v>4058</v>
      </c>
      <c r="O265" s="157" t="s">
        <v>274</v>
      </c>
      <c r="P265" t="s">
        <v>924</v>
      </c>
      <c r="Q265" s="297" t="s">
        <v>389</v>
      </c>
      <c r="R265" s="298"/>
      <c r="S265" s="304" t="s">
        <v>3555</v>
      </c>
      <c r="T265" s="297" t="s">
        <v>3550</v>
      </c>
      <c r="U265" s="297" t="s">
        <v>3551</v>
      </c>
      <c r="V265" s="297"/>
      <c r="W265" s="297"/>
      <c r="X265">
        <v>0</v>
      </c>
      <c r="Y265">
        <v>0</v>
      </c>
      <c r="Z265">
        <v>0</v>
      </c>
      <c r="AA265">
        <v>0</v>
      </c>
      <c r="AB265">
        <v>0</v>
      </c>
      <c r="AC265">
        <v>0</v>
      </c>
      <c r="AD265">
        <v>0</v>
      </c>
      <c r="AE265">
        <v>0</v>
      </c>
      <c r="AF265">
        <v>0</v>
      </c>
      <c r="AG265">
        <v>1</v>
      </c>
      <c r="AH265">
        <v>1</v>
      </c>
      <c r="AI265">
        <v>0</v>
      </c>
      <c r="AJ265">
        <v>0</v>
      </c>
      <c r="AK265">
        <v>0</v>
      </c>
      <c r="AL265">
        <v>0</v>
      </c>
      <c r="AM265">
        <v>0</v>
      </c>
      <c r="AN265">
        <v>0</v>
      </c>
      <c r="AO265">
        <v>0</v>
      </c>
      <c r="AP265">
        <v>0</v>
      </c>
      <c r="AQ265">
        <v>0</v>
      </c>
      <c r="AR265">
        <v>0</v>
      </c>
      <c r="AS265">
        <v>0</v>
      </c>
      <c r="AT265">
        <v>0</v>
      </c>
      <c r="AU265">
        <v>0</v>
      </c>
      <c r="AV265">
        <v>0</v>
      </c>
      <c r="AW265">
        <v>0</v>
      </c>
      <c r="AX265">
        <v>0</v>
      </c>
      <c r="AY265">
        <v>0</v>
      </c>
      <c r="AZ265" s="141">
        <f t="shared" si="298"/>
        <v>2</v>
      </c>
      <c r="BA265" s="141">
        <f t="shared" si="299"/>
        <v>2</v>
      </c>
      <c r="BB265">
        <f t="shared" si="300"/>
        <v>0</v>
      </c>
      <c r="BC265">
        <f t="shared" si="301"/>
        <v>2</v>
      </c>
      <c r="BD265">
        <f t="shared" si="302"/>
        <v>0</v>
      </c>
      <c r="BE265">
        <f t="shared" si="303"/>
        <v>0</v>
      </c>
      <c r="BF265">
        <f t="shared" si="304"/>
        <v>0</v>
      </c>
      <c r="BG265" t="str" cm="1">
        <f t="array" ref="BG265">IF(BA265=1,INDEX($X$7:$AN$7,MATCH(TRUE,INDEX($X265:$AY265&lt;&gt;0,),0)),IF(BA265=0,INDEX($AO$7:$AY$7,MATCH(1,$AO265:$AY265,0)),IF(BH265="Multiple strategies","mixed drivers",IF(BH265="Supply chain","multiple supply","multiple silviculture"))))</f>
        <v>multiple supply</v>
      </c>
      <c r="BH265" s="2" t="str" cm="1">
        <f t="array" ref="BH265">IF(COUNTIF(BB265:BD265,"&lt;&gt;0")=1,INDEX($X$4:$AY$4,MATCH(TRUE,INDEX($X265:$AY265&lt;&gt;0,),0)),IF(COUNTIF(BB265:BD265,"&lt;&gt;0")=0,INDEX($AO$4:$AY$4,MATCH(1,$AO265:$AY265,0)),"Multiple strategies"))</f>
        <v>Supply chain</v>
      </c>
      <c r="BI265" s="1" t="s">
        <v>229</v>
      </c>
      <c r="BJ265" t="s">
        <v>3552</v>
      </c>
      <c r="BK265" s="297" t="s">
        <v>3553</v>
      </c>
      <c r="BM265">
        <v>1</v>
      </c>
      <c r="BN265">
        <v>1</v>
      </c>
      <c r="BO265">
        <v>1</v>
      </c>
      <c r="BP265">
        <f t="shared" si="318"/>
        <v>0</v>
      </c>
      <c r="BQ265">
        <f t="shared" si="319"/>
        <v>0</v>
      </c>
      <c r="BR265" t="s">
        <v>395</v>
      </c>
      <c r="BS265" s="230"/>
      <c r="BT265" s="297" t="s">
        <v>3554</v>
      </c>
      <c r="BU265">
        <v>4.0510000000000002</v>
      </c>
      <c r="BV265">
        <v>11.875</v>
      </c>
      <c r="BW265">
        <v>2.9313749691434214</v>
      </c>
      <c r="BX265">
        <v>7.8239999999999998</v>
      </c>
      <c r="BZ265">
        <v>7.8239999999999998</v>
      </c>
      <c r="CA265" t="str">
        <f t="shared" si="252"/>
        <v/>
      </c>
      <c r="CB265">
        <v>0</v>
      </c>
      <c r="CC265">
        <v>0</v>
      </c>
      <c r="CD265">
        <v>0</v>
      </c>
      <c r="CE265">
        <v>0</v>
      </c>
      <c r="CF265">
        <v>0</v>
      </c>
      <c r="CG265">
        <v>0</v>
      </c>
      <c r="CH265">
        <v>0</v>
      </c>
      <c r="CI265">
        <v>0</v>
      </c>
      <c r="CJ265">
        <v>0</v>
      </c>
      <c r="CK265">
        <v>0</v>
      </c>
      <c r="CL265">
        <v>0</v>
      </c>
      <c r="CM265">
        <v>0</v>
      </c>
      <c r="CN265">
        <v>0</v>
      </c>
      <c r="CO265">
        <v>0</v>
      </c>
      <c r="CP265" t="str">
        <f t="shared" si="305"/>
        <v>refOK</v>
      </c>
      <c r="CQ265">
        <f t="shared" si="320"/>
        <v>1</v>
      </c>
      <c r="CR265">
        <f t="shared" si="321"/>
        <v>1</v>
      </c>
      <c r="CS265">
        <f t="shared" si="322"/>
        <v>0</v>
      </c>
      <c r="CT265">
        <f t="shared" si="253"/>
        <v>0</v>
      </c>
      <c r="CU265">
        <f t="shared" si="306"/>
        <v>-4.0510000000000002</v>
      </c>
      <c r="CV265">
        <f t="shared" si="307"/>
        <v>-11.875</v>
      </c>
      <c r="CW265">
        <f t="shared" si="308"/>
        <v>-7.8239999999999998</v>
      </c>
      <c r="CX265" t="str">
        <f t="shared" si="254"/>
        <v/>
      </c>
      <c r="CY265" t="str">
        <f t="shared" si="309"/>
        <v/>
      </c>
      <c r="CZ265" t="str">
        <f t="shared" si="255"/>
        <v/>
      </c>
      <c r="DA265" s="2">
        <f t="shared" si="310"/>
        <v>-1.9313749691434212</v>
      </c>
      <c r="DB265" s="304" t="s">
        <v>1078</v>
      </c>
      <c r="DC265" s="297" t="str">
        <f>IF(OR($DB265="prd",$DB265="std",$DB265="cit"),"loc",IF(OR($DB265="eur",$DB265="reg",$DB265="coy"),"reg",$DB265))</f>
        <v>reg</v>
      </c>
      <c r="DD265" s="297" t="s">
        <v>677</v>
      </c>
      <c r="DE265">
        <v>2007</v>
      </c>
      <c r="DF265">
        <v>0</v>
      </c>
      <c r="DG265">
        <v>0</v>
      </c>
      <c r="DH265" t="str">
        <f t="shared" si="311"/>
        <v>0</v>
      </c>
      <c r="DI265">
        <v>0</v>
      </c>
      <c r="DJ265">
        <v>0</v>
      </c>
      <c r="DK265">
        <v>1</v>
      </c>
      <c r="DL265">
        <v>0</v>
      </c>
      <c r="DM265">
        <v>0</v>
      </c>
      <c r="DN265">
        <v>1</v>
      </c>
      <c r="DO265" t="str">
        <f t="shared" si="312"/>
        <v>PulpPaperInput</v>
      </c>
      <c r="DP265">
        <f t="shared" si="313"/>
        <v>0</v>
      </c>
      <c r="DQ265">
        <f t="shared" si="314"/>
        <v>0</v>
      </c>
      <c r="DR265" t="str">
        <f t="shared" si="315"/>
        <v>Pulp/Paper</v>
      </c>
      <c r="DS265">
        <f t="shared" si="316"/>
        <v>0</v>
      </c>
      <c r="DT265">
        <v>0</v>
      </c>
      <c r="DU265">
        <v>0</v>
      </c>
      <c r="DV265">
        <v>0</v>
      </c>
      <c r="DW265">
        <v>0</v>
      </c>
      <c r="DX265">
        <v>0</v>
      </c>
      <c r="DY265">
        <f t="shared" si="317"/>
        <v>0</v>
      </c>
      <c r="DZ265" s="143" t="s">
        <v>926</v>
      </c>
      <c r="EA265">
        <v>0</v>
      </c>
      <c r="EB265">
        <v>1</v>
      </c>
      <c r="EC265">
        <v>1</v>
      </c>
      <c r="ED265">
        <v>0</v>
      </c>
      <c r="EE265">
        <v>0</v>
      </c>
      <c r="EF265" s="143">
        <v>0</v>
      </c>
      <c r="EG265">
        <v>0</v>
      </c>
      <c r="EH265">
        <v>1</v>
      </c>
      <c r="EI265">
        <v>0</v>
      </c>
      <c r="EJ265">
        <v>0</v>
      </c>
      <c r="EK265">
        <v>1</v>
      </c>
      <c r="EL265">
        <v>0</v>
      </c>
      <c r="EM265">
        <v>1</v>
      </c>
      <c r="EN265" s="2">
        <v>0</v>
      </c>
      <c r="EP265" t="str">
        <f t="shared" si="256"/>
        <v/>
      </c>
      <c r="EQ265" t="str">
        <f t="shared" si="297"/>
        <v/>
      </c>
      <c r="ER265" s="2" t="str">
        <f t="shared" si="257"/>
        <v/>
      </c>
      <c r="ES265" t="str">
        <f t="shared" si="258"/>
        <v/>
      </c>
      <c r="ET265" t="str">
        <f t="shared" si="259"/>
        <v/>
      </c>
      <c r="EU265" t="str">
        <f t="shared" si="260"/>
        <v/>
      </c>
      <c r="EY265" t="b">
        <f>IF(ISNUMBER(BW265),IF(ABS(BW265-[1]QC_indicators!$B$2)&gt;3*[1]QC_indicators!$C$2,"C ratio",IF(ISNUMBER(CA265),IF(ABS(CA265-[1]QC_indicators!$B$1)&gt;3*[1]QC_indicators!$C$1,"DF","no"))),IF(ISNUMBER(CA265),IF(ABS(CA265-[1]QC_indicators!$B$1)&gt;3*[1]QC_indicators!$C$1,"DF","no")))</f>
        <v>0</v>
      </c>
      <c r="FA265" t="str">
        <f t="shared" si="261"/>
        <v/>
      </c>
    </row>
    <row r="266" spans="1:158" ht="15" hidden="1" customHeight="1">
      <c r="A266" s="1" t="s">
        <v>3541</v>
      </c>
      <c r="B266" t="s">
        <v>3542</v>
      </c>
      <c r="C266" t="s">
        <v>3543</v>
      </c>
      <c r="D266" t="s">
        <v>3544</v>
      </c>
      <c r="E266" t="s">
        <v>3545</v>
      </c>
      <c r="F266" t="s">
        <v>3546</v>
      </c>
      <c r="G266" t="s">
        <v>3547</v>
      </c>
      <c r="H266" t="s">
        <v>254</v>
      </c>
      <c r="I266">
        <v>2011</v>
      </c>
      <c r="J266">
        <v>23</v>
      </c>
      <c r="K266" t="s">
        <v>3548</v>
      </c>
      <c r="M266" t="str">
        <f t="shared" si="323"/>
        <v>Newell_2011</v>
      </c>
      <c r="N266" s="297" t="s">
        <v>4058</v>
      </c>
      <c r="O266" s="157" t="s">
        <v>274</v>
      </c>
      <c r="P266" t="s">
        <v>924</v>
      </c>
      <c r="Q266" s="297" t="s">
        <v>389</v>
      </c>
      <c r="R266" s="298"/>
      <c r="S266" s="304" t="s">
        <v>3549</v>
      </c>
      <c r="T266" s="297" t="s">
        <v>3550</v>
      </c>
      <c r="U266" s="297" t="s">
        <v>3551</v>
      </c>
      <c r="V266" s="297"/>
      <c r="W266" s="297"/>
      <c r="X266">
        <v>0</v>
      </c>
      <c r="Y266">
        <v>0</v>
      </c>
      <c r="Z266">
        <v>0</v>
      </c>
      <c r="AA266">
        <v>0</v>
      </c>
      <c r="AB266">
        <v>0</v>
      </c>
      <c r="AC266">
        <v>0</v>
      </c>
      <c r="AD266">
        <v>0</v>
      </c>
      <c r="AE266">
        <v>0</v>
      </c>
      <c r="AF266">
        <v>0</v>
      </c>
      <c r="AG266">
        <v>1</v>
      </c>
      <c r="AH266">
        <v>1</v>
      </c>
      <c r="AI266">
        <v>0</v>
      </c>
      <c r="AJ266">
        <v>0</v>
      </c>
      <c r="AK266">
        <v>0</v>
      </c>
      <c r="AL266">
        <v>0</v>
      </c>
      <c r="AM266">
        <v>0</v>
      </c>
      <c r="AN266">
        <v>0</v>
      </c>
      <c r="AO266">
        <v>0</v>
      </c>
      <c r="AP266">
        <v>0</v>
      </c>
      <c r="AQ266">
        <v>0</v>
      </c>
      <c r="AR266">
        <v>0</v>
      </c>
      <c r="AS266">
        <v>0</v>
      </c>
      <c r="AT266">
        <v>0</v>
      </c>
      <c r="AU266">
        <v>0</v>
      </c>
      <c r="AV266">
        <v>0</v>
      </c>
      <c r="AW266">
        <v>0</v>
      </c>
      <c r="AX266">
        <v>0</v>
      </c>
      <c r="AY266">
        <v>0</v>
      </c>
      <c r="AZ266" s="141">
        <f t="shared" si="298"/>
        <v>2</v>
      </c>
      <c r="BA266" s="141">
        <f t="shared" si="299"/>
        <v>2</v>
      </c>
      <c r="BB266">
        <f t="shared" si="300"/>
        <v>0</v>
      </c>
      <c r="BC266">
        <f t="shared" si="301"/>
        <v>2</v>
      </c>
      <c r="BD266">
        <f t="shared" si="302"/>
        <v>0</v>
      </c>
      <c r="BE266">
        <f t="shared" si="303"/>
        <v>0</v>
      </c>
      <c r="BF266">
        <f t="shared" si="304"/>
        <v>0</v>
      </c>
      <c r="BG266" t="str" cm="1">
        <f t="array" ref="BG266">IF(BA266=1,INDEX($X$7:$AN$7,MATCH(TRUE,INDEX($X266:$AY266&lt;&gt;0,),0)),IF(BA266=0,INDEX($AO$7:$AY$7,MATCH(1,$AO266:$AY266,0)),IF(BH266="Multiple strategies","mixed drivers",IF(BH266="Supply chain","multiple supply","multiple silviculture"))))</f>
        <v>multiple supply</v>
      </c>
      <c r="BH266" s="2" t="str" cm="1">
        <f t="array" ref="BH266">IF(COUNTIF(BB266:BD266,"&lt;&gt;0")=1,INDEX($X$4:$AY$4,MATCH(TRUE,INDEX($X266:$AY266&lt;&gt;0,),0)),IF(COUNTIF(BB266:BD266,"&lt;&gt;0")=0,INDEX($AO$4:$AY$4,MATCH(1,$AO266:$AY266,0)),"Multiple strategies"))</f>
        <v>Supply chain</v>
      </c>
      <c r="BI266" s="1" t="s">
        <v>229</v>
      </c>
      <c r="BJ266" t="s">
        <v>3552</v>
      </c>
      <c r="BK266" s="297" t="s">
        <v>3553</v>
      </c>
      <c r="BM266">
        <v>1</v>
      </c>
      <c r="BN266">
        <v>1</v>
      </c>
      <c r="BO266">
        <v>1</v>
      </c>
      <c r="BP266">
        <f t="shared" si="318"/>
        <v>0</v>
      </c>
      <c r="BQ266">
        <f t="shared" si="319"/>
        <v>0</v>
      </c>
      <c r="BR266" t="s">
        <v>395</v>
      </c>
      <c r="BT266" s="297" t="s">
        <v>3554</v>
      </c>
      <c r="BU266">
        <v>4.1040000000000001</v>
      </c>
      <c r="BV266">
        <v>4.95</v>
      </c>
      <c r="BW266">
        <v>1.2061403508771931</v>
      </c>
      <c r="BX266">
        <v>0.84600000000000009</v>
      </c>
      <c r="BZ266">
        <v>0.84600000000000009</v>
      </c>
      <c r="CA266" t="str">
        <f t="shared" si="252"/>
        <v/>
      </c>
      <c r="CB266">
        <v>0</v>
      </c>
      <c r="CC266">
        <v>0</v>
      </c>
      <c r="CD266">
        <v>0</v>
      </c>
      <c r="CE266">
        <v>0</v>
      </c>
      <c r="CF266">
        <v>0</v>
      </c>
      <c r="CG266">
        <v>0</v>
      </c>
      <c r="CH266">
        <v>0</v>
      </c>
      <c r="CI266">
        <v>0</v>
      </c>
      <c r="CJ266">
        <v>0</v>
      </c>
      <c r="CK266">
        <v>0</v>
      </c>
      <c r="CL266">
        <v>0</v>
      </c>
      <c r="CM266">
        <v>0</v>
      </c>
      <c r="CN266">
        <v>0</v>
      </c>
      <c r="CO266">
        <v>0</v>
      </c>
      <c r="CP266" t="str">
        <f t="shared" si="305"/>
        <v>refOK</v>
      </c>
      <c r="CQ266">
        <f t="shared" si="320"/>
        <v>1</v>
      </c>
      <c r="CR266">
        <f t="shared" si="321"/>
        <v>1</v>
      </c>
      <c r="CS266">
        <f t="shared" si="322"/>
        <v>0</v>
      </c>
      <c r="CT266">
        <f t="shared" si="253"/>
        <v>0</v>
      </c>
      <c r="CU266">
        <f t="shared" si="306"/>
        <v>-4.1040000000000001</v>
      </c>
      <c r="CV266">
        <f t="shared" si="307"/>
        <v>-4.95</v>
      </c>
      <c r="CW266">
        <f t="shared" si="308"/>
        <v>-0.84600000000000009</v>
      </c>
      <c r="CX266" t="str">
        <f t="shared" si="254"/>
        <v/>
      </c>
      <c r="CY266" t="str">
        <f t="shared" si="309"/>
        <v/>
      </c>
      <c r="CZ266" t="str">
        <f t="shared" si="255"/>
        <v/>
      </c>
      <c r="DA266" s="2">
        <f t="shared" si="310"/>
        <v>-0.20614035087719298</v>
      </c>
      <c r="DB266" s="304" t="s">
        <v>1078</v>
      </c>
      <c r="DC266" s="297" t="str">
        <f>IF(OR($DB266="prd",$DB266="std",$DB266="cit"),"loc",IF(OR($DB266="eur",$DB266="reg",$DB266="coy"),"reg",$DB266))</f>
        <v>reg</v>
      </c>
      <c r="DD266" t="s">
        <v>428</v>
      </c>
      <c r="DE266">
        <v>2007</v>
      </c>
      <c r="DF266">
        <v>0</v>
      </c>
      <c r="DG266">
        <v>0</v>
      </c>
      <c r="DH266" t="str">
        <f t="shared" si="311"/>
        <v>0</v>
      </c>
      <c r="DI266">
        <v>0</v>
      </c>
      <c r="DJ266">
        <v>0</v>
      </c>
      <c r="DK266">
        <v>1</v>
      </c>
      <c r="DL266">
        <v>0</v>
      </c>
      <c r="DM266">
        <v>0</v>
      </c>
      <c r="DN266">
        <v>1</v>
      </c>
      <c r="DO266" t="str">
        <f t="shared" si="312"/>
        <v>PulpPaperInput</v>
      </c>
      <c r="DP266">
        <f t="shared" si="313"/>
        <v>0</v>
      </c>
      <c r="DQ266">
        <f t="shared" si="314"/>
        <v>0</v>
      </c>
      <c r="DR266" t="str">
        <f t="shared" si="315"/>
        <v>Pulp/Paper</v>
      </c>
      <c r="DS266">
        <f t="shared" si="316"/>
        <v>0</v>
      </c>
      <c r="DT266">
        <v>0</v>
      </c>
      <c r="DU266">
        <v>0</v>
      </c>
      <c r="DV266">
        <v>0</v>
      </c>
      <c r="DW266">
        <v>0</v>
      </c>
      <c r="DX266">
        <v>0</v>
      </c>
      <c r="DY266">
        <f t="shared" si="317"/>
        <v>0</v>
      </c>
      <c r="DZ266" s="143" t="s">
        <v>926</v>
      </c>
      <c r="EA266">
        <v>0</v>
      </c>
      <c r="EB266">
        <v>1</v>
      </c>
      <c r="EC266">
        <v>1</v>
      </c>
      <c r="ED266">
        <v>0</v>
      </c>
      <c r="EE266">
        <v>0</v>
      </c>
      <c r="EF266" s="143">
        <v>0</v>
      </c>
      <c r="EG266">
        <v>0</v>
      </c>
      <c r="EH266">
        <v>1</v>
      </c>
      <c r="EI266">
        <v>0</v>
      </c>
      <c r="EJ266">
        <v>0</v>
      </c>
      <c r="EK266">
        <v>1</v>
      </c>
      <c r="EL266">
        <v>0</v>
      </c>
      <c r="EM266">
        <v>1</v>
      </c>
      <c r="EN266" s="2">
        <v>0</v>
      </c>
      <c r="EP266" t="str">
        <f t="shared" si="256"/>
        <v/>
      </c>
      <c r="EQ266" t="str">
        <f t="shared" si="297"/>
        <v/>
      </c>
      <c r="ER266" s="2" t="str">
        <f t="shared" si="257"/>
        <v/>
      </c>
      <c r="ES266" t="str">
        <f t="shared" si="258"/>
        <v/>
      </c>
      <c r="ET266" t="str">
        <f t="shared" si="259"/>
        <v/>
      </c>
      <c r="EU266" t="str">
        <f t="shared" si="260"/>
        <v/>
      </c>
      <c r="EY266" t="b">
        <f>IF(ISNUMBER(BW266),IF(ABS(BW266-[1]QC_indicators!$B$2)&gt;3*[1]QC_indicators!$C$2,"C ratio",IF(ISNUMBER(CA266),IF(ABS(CA266-[1]QC_indicators!$B$1)&gt;3*[1]QC_indicators!$C$1,"DF","no"))),IF(ISNUMBER(CA266),IF(ABS(CA266-[1]QC_indicators!$B$1)&gt;3*[1]QC_indicators!$C$1,"DF","no")))</f>
        <v>0</v>
      </c>
      <c r="FA266" t="str">
        <f t="shared" si="261"/>
        <v/>
      </c>
    </row>
    <row r="267" spans="1:158" ht="15" hidden="1" customHeight="1">
      <c r="A267" s="1" t="s">
        <v>3541</v>
      </c>
      <c r="B267" t="s">
        <v>3542</v>
      </c>
      <c r="C267" t="s">
        <v>3543</v>
      </c>
      <c r="D267" t="s">
        <v>3544</v>
      </c>
      <c r="E267" t="s">
        <v>3545</v>
      </c>
      <c r="F267" s="297" t="s">
        <v>3546</v>
      </c>
      <c r="G267" t="s">
        <v>3547</v>
      </c>
      <c r="H267" t="s">
        <v>254</v>
      </c>
      <c r="I267">
        <v>2011</v>
      </c>
      <c r="J267">
        <v>23</v>
      </c>
      <c r="K267" t="s">
        <v>3548</v>
      </c>
      <c r="M267" t="str">
        <f t="shared" si="323"/>
        <v>Newell_2011</v>
      </c>
      <c r="N267" s="297" t="s">
        <v>4058</v>
      </c>
      <c r="O267" s="157" t="s">
        <v>274</v>
      </c>
      <c r="P267" t="s">
        <v>924</v>
      </c>
      <c r="Q267" s="297" t="s">
        <v>389</v>
      </c>
      <c r="R267" s="298"/>
      <c r="S267" s="304" t="s">
        <v>3556</v>
      </c>
      <c r="T267" s="297" t="s">
        <v>3557</v>
      </c>
      <c r="U267" s="297" t="s">
        <v>3558</v>
      </c>
      <c r="V267" s="297"/>
      <c r="W267" s="297"/>
      <c r="X267">
        <v>1</v>
      </c>
      <c r="Y267">
        <v>0</v>
      </c>
      <c r="Z267">
        <v>0</v>
      </c>
      <c r="AA267">
        <v>0</v>
      </c>
      <c r="AB267">
        <v>0</v>
      </c>
      <c r="AC267">
        <v>0</v>
      </c>
      <c r="AD267">
        <v>0</v>
      </c>
      <c r="AE267">
        <v>0</v>
      </c>
      <c r="AF267">
        <v>0</v>
      </c>
      <c r="AG267">
        <v>1</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s="141">
        <f t="shared" si="298"/>
        <v>2</v>
      </c>
      <c r="BA267" s="141">
        <f t="shared" si="299"/>
        <v>2</v>
      </c>
      <c r="BB267">
        <f t="shared" si="300"/>
        <v>1</v>
      </c>
      <c r="BC267">
        <f t="shared" si="301"/>
        <v>1</v>
      </c>
      <c r="BD267">
        <f t="shared" si="302"/>
        <v>0</v>
      </c>
      <c r="BE267">
        <f t="shared" si="303"/>
        <v>0</v>
      </c>
      <c r="BF267">
        <f t="shared" si="304"/>
        <v>0</v>
      </c>
      <c r="BG267" t="str" cm="1">
        <f t="array" ref="BG267">IF(BA267=1,INDEX($X$7:$AN$7,MATCH(TRUE,INDEX($X267:$AY267&lt;&gt;0,),0)),IF(BA267=0,INDEX($AO$7:$AY$7,MATCH(1,$AO267:$AY267,0)),IF(BH267="Multiple strategies","mixed drivers",IF(BH267="Supply chain","multiple supply","multiple silviculture"))))</f>
        <v>mixed drivers</v>
      </c>
      <c r="BH267" s="2" t="str" cm="1">
        <f t="array" ref="BH267">IF(COUNTIF(BB267:BD267,"&lt;&gt;0")=1,INDEX($X$4:$AY$4,MATCH(TRUE,INDEX($X267:$AY267&lt;&gt;0,),0)),IF(COUNTIF(BB267:BD267,"&lt;&gt;0")=0,INDEX($AO$4:$AY$4,MATCH(1,$AO267:$AY267,0)),"Multiple strategies"))</f>
        <v>Multiple strategies</v>
      </c>
      <c r="BI267" s="1" t="s">
        <v>229</v>
      </c>
      <c r="BJ267" t="s">
        <v>3552</v>
      </c>
      <c r="BK267" t="s">
        <v>3553</v>
      </c>
      <c r="BM267">
        <v>1</v>
      </c>
      <c r="BN267">
        <v>1</v>
      </c>
      <c r="BO267">
        <v>1</v>
      </c>
      <c r="BP267">
        <f t="shared" si="318"/>
        <v>0</v>
      </c>
      <c r="BQ267">
        <f t="shared" si="319"/>
        <v>0</v>
      </c>
      <c r="BR267" t="s">
        <v>395</v>
      </c>
      <c r="BT267" s="297" t="s">
        <v>3554</v>
      </c>
      <c r="BU267">
        <v>3.5169999999999999</v>
      </c>
      <c r="BV267">
        <v>9.2100000000000009</v>
      </c>
      <c r="BW267">
        <v>2.6187091270969578</v>
      </c>
      <c r="BX267">
        <v>5.6930000000000014</v>
      </c>
      <c r="BZ267">
        <v>5.6930000000000014</v>
      </c>
      <c r="CA267" t="str">
        <f t="shared" si="252"/>
        <v/>
      </c>
      <c r="CB267">
        <v>0</v>
      </c>
      <c r="CC267">
        <v>0</v>
      </c>
      <c r="CD267">
        <v>0</v>
      </c>
      <c r="CE267">
        <v>0</v>
      </c>
      <c r="CF267">
        <v>0</v>
      </c>
      <c r="CG267">
        <v>0</v>
      </c>
      <c r="CH267">
        <v>0</v>
      </c>
      <c r="CI267">
        <v>0</v>
      </c>
      <c r="CJ267">
        <v>0</v>
      </c>
      <c r="CK267">
        <v>0</v>
      </c>
      <c r="CL267">
        <v>0</v>
      </c>
      <c r="CM267">
        <v>0</v>
      </c>
      <c r="CN267">
        <v>0</v>
      </c>
      <c r="CO267">
        <v>0</v>
      </c>
      <c r="CP267" t="str">
        <f t="shared" si="305"/>
        <v>refOK</v>
      </c>
      <c r="CQ267">
        <f t="shared" si="320"/>
        <v>1</v>
      </c>
      <c r="CR267">
        <f t="shared" si="321"/>
        <v>1</v>
      </c>
      <c r="CS267">
        <f t="shared" si="322"/>
        <v>0</v>
      </c>
      <c r="CT267">
        <f t="shared" si="253"/>
        <v>0</v>
      </c>
      <c r="CU267">
        <f t="shared" si="306"/>
        <v>-3.5169999999999999</v>
      </c>
      <c r="CV267">
        <f t="shared" si="307"/>
        <v>-9.2100000000000009</v>
      </c>
      <c r="CW267">
        <f t="shared" si="308"/>
        <v>-5.6930000000000014</v>
      </c>
      <c r="CX267" t="str">
        <f t="shared" si="254"/>
        <v/>
      </c>
      <c r="CY267" t="str">
        <f t="shared" si="309"/>
        <v/>
      </c>
      <c r="CZ267" t="str">
        <f t="shared" si="255"/>
        <v/>
      </c>
      <c r="DA267" s="2">
        <f t="shared" si="310"/>
        <v>-1.618709127096958</v>
      </c>
      <c r="DB267" s="304" t="s">
        <v>2252</v>
      </c>
      <c r="DC267" s="297" t="s">
        <v>2252</v>
      </c>
      <c r="DD267" s="297" t="s">
        <v>2253</v>
      </c>
      <c r="DE267">
        <v>2007</v>
      </c>
      <c r="DF267">
        <v>0</v>
      </c>
      <c r="DG267">
        <v>0</v>
      </c>
      <c r="DH267" t="str">
        <f t="shared" si="311"/>
        <v>0</v>
      </c>
      <c r="DI267">
        <v>1</v>
      </c>
      <c r="DJ267">
        <v>0</v>
      </c>
      <c r="DK267">
        <v>0</v>
      </c>
      <c r="DL267">
        <v>0</v>
      </c>
      <c r="DM267">
        <v>0</v>
      </c>
      <c r="DN267">
        <v>1</v>
      </c>
      <c r="DO267" t="str">
        <f t="shared" si="312"/>
        <v>UpstreamInput</v>
      </c>
      <c r="DP267" t="str">
        <f t="shared" si="313"/>
        <v>Upstream</v>
      </c>
      <c r="DQ267">
        <f t="shared" si="314"/>
        <v>0</v>
      </c>
      <c r="DR267">
        <f t="shared" si="315"/>
        <v>0</v>
      </c>
      <c r="DS267">
        <f t="shared" si="316"/>
        <v>0</v>
      </c>
      <c r="DT267">
        <v>0</v>
      </c>
      <c r="DU267">
        <v>0</v>
      </c>
      <c r="DV267">
        <v>0</v>
      </c>
      <c r="DW267">
        <v>0</v>
      </c>
      <c r="DX267">
        <v>0</v>
      </c>
      <c r="DY267">
        <f t="shared" si="317"/>
        <v>0</v>
      </c>
      <c r="DZ267" s="143" t="s">
        <v>926</v>
      </c>
      <c r="EA267">
        <v>0</v>
      </c>
      <c r="EB267">
        <v>1</v>
      </c>
      <c r="EC267">
        <v>1</v>
      </c>
      <c r="ED267">
        <v>0</v>
      </c>
      <c r="EE267">
        <v>0</v>
      </c>
      <c r="EF267" s="143">
        <v>0</v>
      </c>
      <c r="EG267">
        <v>0</v>
      </c>
      <c r="EH267">
        <v>0</v>
      </c>
      <c r="EI267">
        <v>0</v>
      </c>
      <c r="EJ267">
        <v>0</v>
      </c>
      <c r="EK267">
        <v>1</v>
      </c>
      <c r="EL267">
        <v>0</v>
      </c>
      <c r="EM267">
        <v>0</v>
      </c>
      <c r="EN267" s="2">
        <v>0</v>
      </c>
      <c r="EP267" t="str">
        <f t="shared" si="256"/>
        <v/>
      </c>
      <c r="EQ267" t="str">
        <f t="shared" si="297"/>
        <v>Ecosystem approach</v>
      </c>
      <c r="ER267" s="2" t="str">
        <f t="shared" si="257"/>
        <v/>
      </c>
      <c r="ES267" t="str">
        <f t="shared" si="258"/>
        <v/>
      </c>
      <c r="ET267" t="str">
        <f t="shared" si="259"/>
        <v/>
      </c>
      <c r="EU267" t="str">
        <f t="shared" si="260"/>
        <v/>
      </c>
      <c r="EY267" t="b">
        <f>IF(ISNUMBER(BW267),IF(ABS(BW267-[1]QC_indicators!$B$2)&gt;3*[1]QC_indicators!$C$2,"C ratio",IF(ISNUMBER(CA267),IF(ABS(CA267-[1]QC_indicators!$B$1)&gt;3*[1]QC_indicators!$C$1,"DF","no"))),IF(ISNUMBER(CA267),IF(ABS(CA267-[1]QC_indicators!$B$1)&gt;3*[1]QC_indicators!$C$1,"DF","no")))</f>
        <v>0</v>
      </c>
      <c r="FA267" t="str">
        <f t="shared" si="261"/>
        <v/>
      </c>
    </row>
    <row r="268" spans="1:158" ht="15" hidden="1" customHeight="1">
      <c r="A268" s="1" t="s">
        <v>3541</v>
      </c>
      <c r="B268" t="s">
        <v>3542</v>
      </c>
      <c r="C268" t="s">
        <v>3543</v>
      </c>
      <c r="D268" t="s">
        <v>3544</v>
      </c>
      <c r="E268" t="s">
        <v>3545</v>
      </c>
      <c r="F268" t="s">
        <v>3546</v>
      </c>
      <c r="G268" t="s">
        <v>3547</v>
      </c>
      <c r="H268" t="s">
        <v>254</v>
      </c>
      <c r="I268">
        <v>2011</v>
      </c>
      <c r="J268">
        <v>23</v>
      </c>
      <c r="K268" t="s">
        <v>3548</v>
      </c>
      <c r="M268" t="str">
        <f t="shared" si="323"/>
        <v>Newell_2011</v>
      </c>
      <c r="N268" s="297" t="s">
        <v>4058</v>
      </c>
      <c r="O268" s="157" t="s">
        <v>274</v>
      </c>
      <c r="P268" t="s">
        <v>924</v>
      </c>
      <c r="Q268" s="297" t="s">
        <v>389</v>
      </c>
      <c r="R268" s="298"/>
      <c r="S268" s="304" t="s">
        <v>3556</v>
      </c>
      <c r="T268" s="297" t="s">
        <v>3559</v>
      </c>
      <c r="U268" s="297" t="s">
        <v>3560</v>
      </c>
      <c r="V268" s="297"/>
      <c r="W268" s="297"/>
      <c r="X268">
        <v>1</v>
      </c>
      <c r="Y268">
        <v>0</v>
      </c>
      <c r="Z268">
        <v>0</v>
      </c>
      <c r="AA268">
        <v>0</v>
      </c>
      <c r="AB268">
        <v>0</v>
      </c>
      <c r="AC268">
        <v>1</v>
      </c>
      <c r="AD268">
        <v>0</v>
      </c>
      <c r="AE268">
        <v>0</v>
      </c>
      <c r="AF268">
        <v>0</v>
      </c>
      <c r="AG268">
        <v>1</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s="141">
        <f t="shared" si="298"/>
        <v>3</v>
      </c>
      <c r="BA268" s="141">
        <f t="shared" si="299"/>
        <v>3</v>
      </c>
      <c r="BB268">
        <f t="shared" si="300"/>
        <v>2</v>
      </c>
      <c r="BC268">
        <f t="shared" si="301"/>
        <v>1</v>
      </c>
      <c r="BD268">
        <f t="shared" si="302"/>
        <v>0</v>
      </c>
      <c r="BE268">
        <f t="shared" si="303"/>
        <v>0</v>
      </c>
      <c r="BF268">
        <f t="shared" si="304"/>
        <v>0</v>
      </c>
      <c r="BG268" t="str" cm="1">
        <f t="array" ref="BG268">IF(BA268=1,INDEX($X$7:$AN$7,MATCH(TRUE,INDEX($X268:$AY268&lt;&gt;0,),0)),IF(BA268=0,INDEX($AO$7:$AY$7,MATCH(1,$AO268:$AY268,0)),IF(BH268="Multiple strategies","mixed drivers",IF(BH268="Supply chain","multiple supply","multiple silviculture"))))</f>
        <v>mixed drivers</v>
      </c>
      <c r="BH268" s="2" t="str" cm="1">
        <f t="array" ref="BH268">IF(COUNTIF(BB268:BD268,"&lt;&gt;0")=1,INDEX($X$4:$AY$4,MATCH(TRUE,INDEX($X268:$AY268&lt;&gt;0,),0)),IF(COUNTIF(BB268:BD268,"&lt;&gt;0")=0,INDEX($AO$4:$AY$4,MATCH(1,$AO268:$AY268,0)),"Multiple strategies"))</f>
        <v>Multiple strategies</v>
      </c>
      <c r="BI268" s="1" t="s">
        <v>229</v>
      </c>
      <c r="BJ268" t="s">
        <v>3552</v>
      </c>
      <c r="BK268" t="s">
        <v>3553</v>
      </c>
      <c r="BM268">
        <v>1</v>
      </c>
      <c r="BN268">
        <v>1</v>
      </c>
      <c r="BO268">
        <v>1</v>
      </c>
      <c r="BP268">
        <f t="shared" si="318"/>
        <v>0</v>
      </c>
      <c r="BQ268">
        <f t="shared" si="319"/>
        <v>0</v>
      </c>
      <c r="BR268" t="s">
        <v>395</v>
      </c>
      <c r="BT268" s="297" t="s">
        <v>3554</v>
      </c>
      <c r="BU268">
        <v>1.3860000000000001</v>
      </c>
      <c r="BV268">
        <v>2.6710000000000003</v>
      </c>
      <c r="BW268">
        <v>1.9271284271284272</v>
      </c>
      <c r="BX268">
        <v>1.2850000000000001</v>
      </c>
      <c r="BZ268">
        <v>1.2850000000000001</v>
      </c>
      <c r="CA268" t="str">
        <f t="shared" si="252"/>
        <v/>
      </c>
      <c r="CB268">
        <v>0</v>
      </c>
      <c r="CC268">
        <v>0</v>
      </c>
      <c r="CD268">
        <v>0</v>
      </c>
      <c r="CE268">
        <v>0</v>
      </c>
      <c r="CF268">
        <v>0</v>
      </c>
      <c r="CG268">
        <v>0</v>
      </c>
      <c r="CH268">
        <v>0</v>
      </c>
      <c r="CI268">
        <v>0</v>
      </c>
      <c r="CJ268">
        <v>0</v>
      </c>
      <c r="CK268">
        <v>0</v>
      </c>
      <c r="CL268">
        <v>0</v>
      </c>
      <c r="CM268">
        <v>0</v>
      </c>
      <c r="CN268">
        <v>0</v>
      </c>
      <c r="CO268">
        <v>0</v>
      </c>
      <c r="CP268" t="str">
        <f t="shared" si="305"/>
        <v>refOK</v>
      </c>
      <c r="CQ268">
        <f t="shared" si="320"/>
        <v>1</v>
      </c>
      <c r="CR268">
        <f t="shared" si="321"/>
        <v>1</v>
      </c>
      <c r="CS268">
        <f t="shared" si="322"/>
        <v>0</v>
      </c>
      <c r="CT268">
        <f t="shared" si="253"/>
        <v>0</v>
      </c>
      <c r="CU268">
        <f t="shared" si="306"/>
        <v>-1.3860000000000001</v>
      </c>
      <c r="CV268">
        <f t="shared" si="307"/>
        <v>-2.6710000000000003</v>
      </c>
      <c r="CW268">
        <f t="shared" si="308"/>
        <v>-1.2850000000000001</v>
      </c>
      <c r="CX268" t="str">
        <f t="shared" si="254"/>
        <v/>
      </c>
      <c r="CY268" t="str">
        <f t="shared" si="309"/>
        <v/>
      </c>
      <c r="CZ268" t="str">
        <f t="shared" si="255"/>
        <v/>
      </c>
      <c r="DA268" s="2">
        <f t="shared" si="310"/>
        <v>-0.92712842712842713</v>
      </c>
      <c r="DB268" s="304" t="s">
        <v>2252</v>
      </c>
      <c r="DC268" s="297" t="s">
        <v>2252</v>
      </c>
      <c r="DD268" s="297" t="s">
        <v>2253</v>
      </c>
      <c r="DE268">
        <v>2007</v>
      </c>
      <c r="DF268">
        <v>0</v>
      </c>
      <c r="DG268">
        <v>0</v>
      </c>
      <c r="DH268" t="str">
        <f t="shared" si="311"/>
        <v>0</v>
      </c>
      <c r="DI268">
        <v>1</v>
      </c>
      <c r="DJ268">
        <v>0</v>
      </c>
      <c r="DK268">
        <v>0</v>
      </c>
      <c r="DL268">
        <v>0</v>
      </c>
      <c r="DM268">
        <v>0</v>
      </c>
      <c r="DN268">
        <v>1</v>
      </c>
      <c r="DO268" t="str">
        <f t="shared" si="312"/>
        <v>UpstreamInput</v>
      </c>
      <c r="DP268" t="str">
        <f t="shared" si="313"/>
        <v>Upstream</v>
      </c>
      <c r="DQ268">
        <f t="shared" si="314"/>
        <v>0</v>
      </c>
      <c r="DR268">
        <f t="shared" si="315"/>
        <v>0</v>
      </c>
      <c r="DS268">
        <f t="shared" si="316"/>
        <v>0</v>
      </c>
      <c r="DT268">
        <v>0</v>
      </c>
      <c r="DU268">
        <v>0</v>
      </c>
      <c r="DV268">
        <v>0</v>
      </c>
      <c r="DW268">
        <v>0</v>
      </c>
      <c r="DX268">
        <v>0</v>
      </c>
      <c r="DY268">
        <f t="shared" si="317"/>
        <v>0</v>
      </c>
      <c r="DZ268" s="143" t="s">
        <v>926</v>
      </c>
      <c r="EA268">
        <v>0</v>
      </c>
      <c r="EB268">
        <v>1</v>
      </c>
      <c r="EC268">
        <v>1</v>
      </c>
      <c r="ED268">
        <v>0</v>
      </c>
      <c r="EE268">
        <v>0</v>
      </c>
      <c r="EF268" s="143">
        <v>0</v>
      </c>
      <c r="EG268">
        <v>0</v>
      </c>
      <c r="EH268">
        <v>0</v>
      </c>
      <c r="EI268">
        <v>0</v>
      </c>
      <c r="EJ268">
        <v>0</v>
      </c>
      <c r="EK268">
        <v>1</v>
      </c>
      <c r="EL268">
        <v>0</v>
      </c>
      <c r="EM268">
        <v>0</v>
      </c>
      <c r="EN268" s="2">
        <v>0</v>
      </c>
      <c r="EP268" t="str">
        <f t="shared" si="256"/>
        <v/>
      </c>
      <c r="EQ268" t="str">
        <f t="shared" si="297"/>
        <v>Ecosystem approach</v>
      </c>
      <c r="ER268" s="2" t="str">
        <f t="shared" si="257"/>
        <v/>
      </c>
      <c r="ES268" t="str">
        <f t="shared" si="258"/>
        <v/>
      </c>
      <c r="ET268" t="str">
        <f t="shared" si="259"/>
        <v/>
      </c>
      <c r="EU268" t="str">
        <f t="shared" si="260"/>
        <v/>
      </c>
      <c r="EY268" t="b">
        <f>IF(ISNUMBER(BW268),IF(ABS(BW268-[1]QC_indicators!$B$2)&gt;3*[1]QC_indicators!$C$2,"C ratio",IF(ISNUMBER(CA268),IF(ABS(CA268-[1]QC_indicators!$B$1)&gt;3*[1]QC_indicators!$C$1,"DF","no"))),IF(ISNUMBER(CA268),IF(ABS(CA268-[1]QC_indicators!$B$1)&gt;3*[1]QC_indicators!$C$1,"DF","no")))</f>
        <v>0</v>
      </c>
      <c r="FA268" t="str">
        <f t="shared" si="261"/>
        <v/>
      </c>
    </row>
    <row r="269" spans="1:158" ht="15" hidden="1" customHeight="1">
      <c r="A269" s="1" t="s">
        <v>3541</v>
      </c>
      <c r="B269" t="s">
        <v>3542</v>
      </c>
      <c r="C269" t="s">
        <v>3543</v>
      </c>
      <c r="D269" t="s">
        <v>3544</v>
      </c>
      <c r="E269" t="s">
        <v>3545</v>
      </c>
      <c r="F269" t="s">
        <v>3546</v>
      </c>
      <c r="G269" t="s">
        <v>3547</v>
      </c>
      <c r="H269" t="s">
        <v>254</v>
      </c>
      <c r="I269">
        <v>2011</v>
      </c>
      <c r="J269">
        <v>23</v>
      </c>
      <c r="K269" t="s">
        <v>3548</v>
      </c>
      <c r="M269" t="str">
        <f t="shared" si="323"/>
        <v>Newell_2011</v>
      </c>
      <c r="N269" s="297" t="s">
        <v>4058</v>
      </c>
      <c r="O269" s="157" t="s">
        <v>274</v>
      </c>
      <c r="P269" t="s">
        <v>924</v>
      </c>
      <c r="Q269" s="297" t="s">
        <v>389</v>
      </c>
      <c r="R269" s="298"/>
      <c r="S269" s="304" t="s">
        <v>3556</v>
      </c>
      <c r="T269" s="297" t="s">
        <v>3557</v>
      </c>
      <c r="U269" s="297" t="s">
        <v>3558</v>
      </c>
      <c r="V269" s="297"/>
      <c r="W269" s="297"/>
      <c r="X269">
        <v>1</v>
      </c>
      <c r="Y269">
        <v>0</v>
      </c>
      <c r="Z269">
        <v>0</v>
      </c>
      <c r="AA269">
        <v>0</v>
      </c>
      <c r="AB269">
        <v>0</v>
      </c>
      <c r="AC269">
        <v>0</v>
      </c>
      <c r="AD269">
        <v>0</v>
      </c>
      <c r="AE269">
        <v>0</v>
      </c>
      <c r="AF269">
        <v>0</v>
      </c>
      <c r="AG269">
        <v>1</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s="141">
        <f t="shared" si="298"/>
        <v>2</v>
      </c>
      <c r="BA269" s="141">
        <f t="shared" si="299"/>
        <v>2</v>
      </c>
      <c r="BB269">
        <f t="shared" si="300"/>
        <v>1</v>
      </c>
      <c r="BC269">
        <f t="shared" si="301"/>
        <v>1</v>
      </c>
      <c r="BD269">
        <f t="shared" si="302"/>
        <v>0</v>
      </c>
      <c r="BE269">
        <f t="shared" si="303"/>
        <v>0</v>
      </c>
      <c r="BF269">
        <f t="shared" si="304"/>
        <v>0</v>
      </c>
      <c r="BG269" t="str" cm="1">
        <f t="array" ref="BG269">IF(BA269=1,INDEX($X$7:$AN$7,MATCH(TRUE,INDEX($X269:$AY269&lt;&gt;0,),0)),IF(BA269=0,INDEX($AO$7:$AY$7,MATCH(1,$AO269:$AY269,0)),IF(BH269="Multiple strategies","mixed drivers",IF(BH269="Supply chain","multiple supply","multiple silviculture"))))</f>
        <v>mixed drivers</v>
      </c>
      <c r="BH269" s="2" t="str" cm="1">
        <f t="array" ref="BH269">IF(COUNTIF(BB269:BD269,"&lt;&gt;0")=1,INDEX($X$4:$AY$4,MATCH(TRUE,INDEX($X269:$AY269&lt;&gt;0,),0)),IF(COUNTIF(BB269:BD269,"&lt;&gt;0")=0,INDEX($AO$4:$AY$4,MATCH(1,$AO269:$AY269,0)),"Multiple strategies"))</f>
        <v>Multiple strategies</v>
      </c>
      <c r="BI269" s="1" t="s">
        <v>229</v>
      </c>
      <c r="BJ269" t="s">
        <v>3552</v>
      </c>
      <c r="BK269" t="s">
        <v>3553</v>
      </c>
      <c r="BM269">
        <v>1</v>
      </c>
      <c r="BN269">
        <v>1</v>
      </c>
      <c r="BO269">
        <v>1</v>
      </c>
      <c r="BP269">
        <f t="shared" si="318"/>
        <v>0</v>
      </c>
      <c r="BQ269">
        <f t="shared" si="319"/>
        <v>0</v>
      </c>
      <c r="BR269" t="s">
        <v>395</v>
      </c>
      <c r="BT269" s="297" t="s">
        <v>3554</v>
      </c>
      <c r="BU269">
        <v>4.95</v>
      </c>
      <c r="BV269">
        <v>11.875</v>
      </c>
      <c r="BW269">
        <v>2.3989898989898988</v>
      </c>
      <c r="BX269">
        <v>6.9249999999999998</v>
      </c>
      <c r="BZ269">
        <v>6.9249999999999998</v>
      </c>
      <c r="CA269" t="str">
        <f t="shared" si="252"/>
        <v/>
      </c>
      <c r="CB269">
        <v>0</v>
      </c>
      <c r="CC269">
        <v>0</v>
      </c>
      <c r="CD269">
        <v>0</v>
      </c>
      <c r="CE269">
        <v>0</v>
      </c>
      <c r="CF269">
        <v>0</v>
      </c>
      <c r="CG269">
        <v>0</v>
      </c>
      <c r="CH269">
        <v>0</v>
      </c>
      <c r="CI269">
        <v>0</v>
      </c>
      <c r="CJ269">
        <v>0</v>
      </c>
      <c r="CK269">
        <v>0</v>
      </c>
      <c r="CL269">
        <v>0</v>
      </c>
      <c r="CM269">
        <v>0</v>
      </c>
      <c r="CN269">
        <v>0</v>
      </c>
      <c r="CO269">
        <v>0</v>
      </c>
      <c r="CP269" t="str">
        <f t="shared" si="305"/>
        <v>refOK</v>
      </c>
      <c r="CQ269">
        <f t="shared" si="320"/>
        <v>1</v>
      </c>
      <c r="CR269">
        <f t="shared" si="321"/>
        <v>1</v>
      </c>
      <c r="CS269">
        <f t="shared" si="322"/>
        <v>0</v>
      </c>
      <c r="CT269">
        <f t="shared" si="253"/>
        <v>0</v>
      </c>
      <c r="CU269">
        <f t="shared" si="306"/>
        <v>-4.95</v>
      </c>
      <c r="CV269">
        <f t="shared" si="307"/>
        <v>-11.875</v>
      </c>
      <c r="CW269">
        <f t="shared" si="308"/>
        <v>-6.9249999999999998</v>
      </c>
      <c r="CX269" t="str">
        <f t="shared" si="254"/>
        <v/>
      </c>
      <c r="CY269" t="str">
        <f t="shared" si="309"/>
        <v/>
      </c>
      <c r="CZ269" t="str">
        <f t="shared" si="255"/>
        <v/>
      </c>
      <c r="DA269" s="2">
        <f t="shared" si="310"/>
        <v>-1.398989898989899</v>
      </c>
      <c r="DB269" s="304" t="s">
        <v>2252</v>
      </c>
      <c r="DC269" s="297" t="s">
        <v>2252</v>
      </c>
      <c r="DD269" s="297" t="s">
        <v>2253</v>
      </c>
      <c r="DE269">
        <v>2007</v>
      </c>
      <c r="DF269">
        <v>0</v>
      </c>
      <c r="DG269">
        <v>0</v>
      </c>
      <c r="DH269" t="str">
        <f t="shared" si="311"/>
        <v>0</v>
      </c>
      <c r="DI269">
        <v>0</v>
      </c>
      <c r="DJ269">
        <v>0</v>
      </c>
      <c r="DK269">
        <v>1</v>
      </c>
      <c r="DL269">
        <v>0</v>
      </c>
      <c r="DM269">
        <v>0</v>
      </c>
      <c r="DN269">
        <v>1</v>
      </c>
      <c r="DO269" t="str">
        <f t="shared" si="312"/>
        <v>PulpPaperInput</v>
      </c>
      <c r="DP269">
        <f t="shared" si="313"/>
        <v>0</v>
      </c>
      <c r="DQ269">
        <f t="shared" si="314"/>
        <v>0</v>
      </c>
      <c r="DR269" t="str">
        <f t="shared" si="315"/>
        <v>Pulp/Paper</v>
      </c>
      <c r="DS269">
        <f t="shared" si="316"/>
        <v>0</v>
      </c>
      <c r="DT269">
        <v>0</v>
      </c>
      <c r="DU269">
        <v>0</v>
      </c>
      <c r="DV269">
        <v>0</v>
      </c>
      <c r="DW269">
        <v>0</v>
      </c>
      <c r="DX269">
        <v>0</v>
      </c>
      <c r="DY269">
        <f t="shared" si="317"/>
        <v>0</v>
      </c>
      <c r="DZ269" s="143" t="s">
        <v>926</v>
      </c>
      <c r="EA269">
        <v>0</v>
      </c>
      <c r="EB269">
        <v>1</v>
      </c>
      <c r="EC269">
        <v>1</v>
      </c>
      <c r="ED269">
        <v>0</v>
      </c>
      <c r="EE269">
        <v>0</v>
      </c>
      <c r="EF269" s="143">
        <v>0</v>
      </c>
      <c r="EG269">
        <v>0</v>
      </c>
      <c r="EH269">
        <v>1</v>
      </c>
      <c r="EI269">
        <v>0</v>
      </c>
      <c r="EJ269">
        <v>0</v>
      </c>
      <c r="EK269">
        <v>1</v>
      </c>
      <c r="EL269">
        <v>0</v>
      </c>
      <c r="EM269">
        <v>0</v>
      </c>
      <c r="EN269" s="2">
        <v>0</v>
      </c>
      <c r="EP269" t="str">
        <f t="shared" si="256"/>
        <v/>
      </c>
      <c r="EQ269" t="str">
        <f t="shared" si="297"/>
        <v/>
      </c>
      <c r="ER269" s="2" t="str">
        <f t="shared" si="257"/>
        <v/>
      </c>
      <c r="ES269" t="str">
        <f t="shared" si="258"/>
        <v/>
      </c>
      <c r="ET269" t="str">
        <f t="shared" si="259"/>
        <v/>
      </c>
      <c r="EU269" t="str">
        <f t="shared" si="260"/>
        <v/>
      </c>
      <c r="EY269" t="b">
        <f>IF(ISNUMBER(BW269),IF(ABS(BW269-[1]QC_indicators!$B$2)&gt;3*[1]QC_indicators!$C$2,"C ratio",IF(ISNUMBER(CA269),IF(ABS(CA269-[1]QC_indicators!$B$1)&gt;3*[1]QC_indicators!$C$1,"DF","no"))),IF(ISNUMBER(CA269),IF(ABS(CA269-[1]QC_indicators!$B$1)&gt;3*[1]QC_indicators!$C$1,"DF","no")))</f>
        <v>0</v>
      </c>
      <c r="FA269" t="str">
        <f t="shared" si="261"/>
        <v/>
      </c>
    </row>
    <row r="270" spans="1:158" ht="15" hidden="1" customHeight="1">
      <c r="A270" s="1" t="s">
        <v>3541</v>
      </c>
      <c r="B270" t="s">
        <v>3542</v>
      </c>
      <c r="C270" t="s">
        <v>3543</v>
      </c>
      <c r="D270" t="s">
        <v>3544</v>
      </c>
      <c r="E270" t="s">
        <v>3545</v>
      </c>
      <c r="F270" t="s">
        <v>3546</v>
      </c>
      <c r="G270" t="s">
        <v>3547</v>
      </c>
      <c r="H270" t="s">
        <v>254</v>
      </c>
      <c r="I270">
        <v>2011</v>
      </c>
      <c r="J270">
        <v>23</v>
      </c>
      <c r="K270" t="s">
        <v>3548</v>
      </c>
      <c r="M270" t="str">
        <f t="shared" si="323"/>
        <v>Newell_2011</v>
      </c>
      <c r="N270" s="297" t="s">
        <v>4058</v>
      </c>
      <c r="O270" s="157" t="s">
        <v>274</v>
      </c>
      <c r="P270" t="s">
        <v>924</v>
      </c>
      <c r="Q270" s="297" t="s">
        <v>389</v>
      </c>
      <c r="R270" s="298"/>
      <c r="S270" s="304" t="s">
        <v>3556</v>
      </c>
      <c r="T270" s="297" t="s">
        <v>3559</v>
      </c>
      <c r="U270" s="297" t="s">
        <v>3560</v>
      </c>
      <c r="V270" s="297"/>
      <c r="W270" s="297"/>
      <c r="X270">
        <v>1</v>
      </c>
      <c r="Y270">
        <v>0</v>
      </c>
      <c r="Z270">
        <v>0</v>
      </c>
      <c r="AA270">
        <v>0</v>
      </c>
      <c r="AB270">
        <v>0</v>
      </c>
      <c r="AC270">
        <v>1</v>
      </c>
      <c r="AD270">
        <v>0</v>
      </c>
      <c r="AE270">
        <v>0</v>
      </c>
      <c r="AF270">
        <v>0</v>
      </c>
      <c r="AG270">
        <v>1</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s="141">
        <f t="shared" si="298"/>
        <v>3</v>
      </c>
      <c r="BA270" s="141">
        <f t="shared" si="299"/>
        <v>3</v>
      </c>
      <c r="BB270">
        <f t="shared" si="300"/>
        <v>2</v>
      </c>
      <c r="BC270">
        <f t="shared" si="301"/>
        <v>1</v>
      </c>
      <c r="BD270">
        <f t="shared" si="302"/>
        <v>0</v>
      </c>
      <c r="BE270">
        <f t="shared" si="303"/>
        <v>0</v>
      </c>
      <c r="BF270">
        <f t="shared" si="304"/>
        <v>0</v>
      </c>
      <c r="BG270" t="str" cm="1">
        <f t="array" ref="BG270">IF(BA270=1,INDEX($X$7:$AN$7,MATCH(TRUE,INDEX($X270:$AY270&lt;&gt;0,),0)),IF(BA270=0,INDEX($AO$7:$AY$7,MATCH(1,$AO270:$AY270,0)),IF(BH270="Multiple strategies","mixed drivers",IF(BH270="Supply chain","multiple supply","multiple silviculture"))))</f>
        <v>mixed drivers</v>
      </c>
      <c r="BH270" s="2" t="str" cm="1">
        <f t="array" ref="BH270">IF(COUNTIF(BB270:BD270,"&lt;&gt;0")=1,INDEX($X$4:$AY$4,MATCH(TRUE,INDEX($X270:$AY270&lt;&gt;0,),0)),IF(COUNTIF(BB270:BD270,"&lt;&gt;0")=0,INDEX($AO$4:$AY$4,MATCH(1,$AO270:$AY270,0)),"Multiple strategies"))</f>
        <v>Multiple strategies</v>
      </c>
      <c r="BI270" s="1" t="s">
        <v>229</v>
      </c>
      <c r="BJ270" t="s">
        <v>3552</v>
      </c>
      <c r="BK270" t="s">
        <v>3553</v>
      </c>
      <c r="BM270">
        <v>1</v>
      </c>
      <c r="BN270">
        <v>1</v>
      </c>
      <c r="BO270">
        <v>1</v>
      </c>
      <c r="BP270">
        <f t="shared" si="318"/>
        <v>0</v>
      </c>
      <c r="BQ270">
        <f t="shared" si="319"/>
        <v>0</v>
      </c>
      <c r="BR270" t="s">
        <v>395</v>
      </c>
      <c r="BT270" s="297" t="s">
        <v>3554</v>
      </c>
      <c r="BU270">
        <v>4.0510000000000002</v>
      </c>
      <c r="BV270">
        <v>4.1040000000000001</v>
      </c>
      <c r="BW270">
        <v>1.0130831893359664</v>
      </c>
      <c r="BX270">
        <v>5.2999999999999936E-2</v>
      </c>
      <c r="BZ270">
        <v>5.2999999999999936E-2</v>
      </c>
      <c r="CA270" t="str">
        <f t="shared" si="252"/>
        <v/>
      </c>
      <c r="CB270">
        <v>0</v>
      </c>
      <c r="CC270">
        <v>0</v>
      </c>
      <c r="CD270">
        <v>0</v>
      </c>
      <c r="CE270">
        <v>0</v>
      </c>
      <c r="CF270">
        <v>0</v>
      </c>
      <c r="CG270">
        <v>0</v>
      </c>
      <c r="CH270">
        <v>0</v>
      </c>
      <c r="CI270">
        <v>0</v>
      </c>
      <c r="CJ270">
        <v>0</v>
      </c>
      <c r="CK270">
        <v>0</v>
      </c>
      <c r="CL270">
        <v>0</v>
      </c>
      <c r="CM270">
        <v>0</v>
      </c>
      <c r="CN270">
        <v>0</v>
      </c>
      <c r="CO270">
        <v>0</v>
      </c>
      <c r="CP270" t="str">
        <f t="shared" si="305"/>
        <v>refOK</v>
      </c>
      <c r="CQ270">
        <f t="shared" si="320"/>
        <v>1</v>
      </c>
      <c r="CR270">
        <f t="shared" si="321"/>
        <v>1</v>
      </c>
      <c r="CS270">
        <f t="shared" si="322"/>
        <v>0</v>
      </c>
      <c r="CT270">
        <f t="shared" si="253"/>
        <v>0</v>
      </c>
      <c r="CU270">
        <f t="shared" si="306"/>
        <v>-4.0510000000000002</v>
      </c>
      <c r="CV270">
        <f t="shared" si="307"/>
        <v>-4.1040000000000001</v>
      </c>
      <c r="CW270">
        <f t="shared" si="308"/>
        <v>-5.2999999999999936E-2</v>
      </c>
      <c r="CX270" t="str">
        <f t="shared" si="254"/>
        <v/>
      </c>
      <c r="CY270" t="str">
        <f t="shared" si="309"/>
        <v/>
      </c>
      <c r="CZ270" t="str">
        <f t="shared" si="255"/>
        <v/>
      </c>
      <c r="DA270" s="2">
        <f t="shared" si="310"/>
        <v>-1.3083189335966411E-2</v>
      </c>
      <c r="DB270" s="304" t="s">
        <v>2252</v>
      </c>
      <c r="DC270" s="297" t="s">
        <v>2252</v>
      </c>
      <c r="DD270" s="297" t="s">
        <v>2253</v>
      </c>
      <c r="DE270">
        <v>2007</v>
      </c>
      <c r="DF270">
        <v>0</v>
      </c>
      <c r="DG270">
        <v>0</v>
      </c>
      <c r="DH270" t="str">
        <f t="shared" si="311"/>
        <v>0</v>
      </c>
      <c r="DI270">
        <v>0</v>
      </c>
      <c r="DJ270">
        <v>0</v>
      </c>
      <c r="DK270">
        <v>1</v>
      </c>
      <c r="DL270">
        <v>0</v>
      </c>
      <c r="DM270">
        <v>0</v>
      </c>
      <c r="DN270">
        <v>1</v>
      </c>
      <c r="DO270" t="str">
        <f t="shared" si="312"/>
        <v>PulpPaperInput</v>
      </c>
      <c r="DP270">
        <f t="shared" si="313"/>
        <v>0</v>
      </c>
      <c r="DQ270">
        <f t="shared" si="314"/>
        <v>0</v>
      </c>
      <c r="DR270" t="str">
        <f t="shared" si="315"/>
        <v>Pulp/Paper</v>
      </c>
      <c r="DS270">
        <f t="shared" si="316"/>
        <v>0</v>
      </c>
      <c r="DT270">
        <v>0</v>
      </c>
      <c r="DU270">
        <v>0</v>
      </c>
      <c r="DV270">
        <v>0</v>
      </c>
      <c r="DW270">
        <v>0</v>
      </c>
      <c r="DX270">
        <v>0</v>
      </c>
      <c r="DY270">
        <f t="shared" si="317"/>
        <v>0</v>
      </c>
      <c r="DZ270" s="143" t="s">
        <v>926</v>
      </c>
      <c r="EA270">
        <v>0</v>
      </c>
      <c r="EB270">
        <v>1</v>
      </c>
      <c r="EC270">
        <v>1</v>
      </c>
      <c r="ED270">
        <v>0</v>
      </c>
      <c r="EE270">
        <v>0</v>
      </c>
      <c r="EF270" s="143">
        <v>0</v>
      </c>
      <c r="EG270">
        <v>0</v>
      </c>
      <c r="EH270">
        <v>1</v>
      </c>
      <c r="EI270">
        <v>0</v>
      </c>
      <c r="EJ270">
        <v>0</v>
      </c>
      <c r="EK270">
        <v>1</v>
      </c>
      <c r="EL270">
        <v>0</v>
      </c>
      <c r="EM270">
        <v>0</v>
      </c>
      <c r="EN270" s="2">
        <v>0</v>
      </c>
      <c r="EP270" t="str">
        <f t="shared" si="256"/>
        <v/>
      </c>
      <c r="EQ270" t="str">
        <f t="shared" si="297"/>
        <v/>
      </c>
      <c r="ER270" s="2" t="str">
        <f t="shared" si="257"/>
        <v/>
      </c>
      <c r="ES270" t="str">
        <f t="shared" si="258"/>
        <v/>
      </c>
      <c r="ET270" t="str">
        <f t="shared" si="259"/>
        <v/>
      </c>
      <c r="EU270" t="str">
        <f t="shared" si="260"/>
        <v/>
      </c>
      <c r="EY270" t="b">
        <f>IF(ISNUMBER(BW270),IF(ABS(BW270-[1]QC_indicators!$B$2)&gt;3*[1]QC_indicators!$C$2,"C ratio",IF(ISNUMBER(CA270),IF(ABS(CA270-[1]QC_indicators!$B$1)&gt;3*[1]QC_indicators!$C$1,"DF","no"))),IF(ISNUMBER(CA270),IF(ABS(CA270-[1]QC_indicators!$B$1)&gt;3*[1]QC_indicators!$C$1,"DF","no")))</f>
        <v>0</v>
      </c>
      <c r="FA270" t="str">
        <f t="shared" si="261"/>
        <v/>
      </c>
    </row>
    <row r="271" spans="1:158" ht="15" hidden="1" customHeight="1">
      <c r="A271" s="1" t="s">
        <v>654</v>
      </c>
      <c r="B271" t="s">
        <v>3561</v>
      </c>
      <c r="C271" t="s">
        <v>3562</v>
      </c>
      <c r="D271" t="s">
        <v>3563</v>
      </c>
      <c r="E271" t="s">
        <v>3564</v>
      </c>
      <c r="F271" t="s">
        <v>3565</v>
      </c>
      <c r="G271" t="s">
        <v>660</v>
      </c>
      <c r="H271" t="s">
        <v>254</v>
      </c>
      <c r="I271">
        <v>2016</v>
      </c>
      <c r="J271">
        <v>46</v>
      </c>
      <c r="K271" t="s">
        <v>3566</v>
      </c>
      <c r="M271" t="str">
        <f t="shared" si="323"/>
        <v>Penaloza_2016</v>
      </c>
      <c r="N271" s="297" t="s">
        <v>4058</v>
      </c>
      <c r="O271" s="171" t="s">
        <v>508</v>
      </c>
      <c r="P271" t="s">
        <v>508</v>
      </c>
      <c r="Q271" s="297" t="s">
        <v>389</v>
      </c>
      <c r="R271" s="298"/>
      <c r="S271" s="1" t="s">
        <v>3580</v>
      </c>
      <c r="T271" t="s">
        <v>3579</v>
      </c>
      <c r="U271" t="s">
        <v>3580</v>
      </c>
      <c r="X271">
        <v>0</v>
      </c>
      <c r="Y271">
        <v>0</v>
      </c>
      <c r="Z271">
        <v>0</v>
      </c>
      <c r="AA271">
        <v>0</v>
      </c>
      <c r="AB271">
        <v>0</v>
      </c>
      <c r="AC271">
        <v>0</v>
      </c>
      <c r="AD271">
        <v>0</v>
      </c>
      <c r="AE271">
        <v>0</v>
      </c>
      <c r="AF271">
        <v>0</v>
      </c>
      <c r="AG271">
        <v>0</v>
      </c>
      <c r="AH271">
        <v>0</v>
      </c>
      <c r="AI271">
        <v>0</v>
      </c>
      <c r="AJ271">
        <v>0</v>
      </c>
      <c r="AK271">
        <v>0</v>
      </c>
      <c r="AL271">
        <v>0</v>
      </c>
      <c r="AM271">
        <v>1</v>
      </c>
      <c r="AN271">
        <v>0</v>
      </c>
      <c r="AO271">
        <v>0</v>
      </c>
      <c r="AP271">
        <v>0</v>
      </c>
      <c r="AQ271">
        <v>0</v>
      </c>
      <c r="AR271">
        <v>0</v>
      </c>
      <c r="AS271">
        <v>0</v>
      </c>
      <c r="AT271">
        <v>0</v>
      </c>
      <c r="AU271">
        <v>0</v>
      </c>
      <c r="AV271">
        <v>0</v>
      </c>
      <c r="AW271">
        <v>0</v>
      </c>
      <c r="AX271">
        <v>0</v>
      </c>
      <c r="AY271">
        <v>0</v>
      </c>
      <c r="AZ271" s="141">
        <f t="shared" si="298"/>
        <v>1</v>
      </c>
      <c r="BA271" s="141">
        <f t="shared" si="299"/>
        <v>1</v>
      </c>
      <c r="BB271">
        <f t="shared" si="300"/>
        <v>0</v>
      </c>
      <c r="BC271">
        <f t="shared" si="301"/>
        <v>0</v>
      </c>
      <c r="BD271">
        <f t="shared" si="302"/>
        <v>1</v>
      </c>
      <c r="BE271">
        <f t="shared" si="303"/>
        <v>0</v>
      </c>
      <c r="BF271">
        <f t="shared" si="304"/>
        <v>0</v>
      </c>
      <c r="BG271" t="str" cm="1">
        <f t="array" ref="BG271">IF(BA271=1,INDEX($X$7:$AN$7,MATCH(TRUE,INDEX($X271:$AY271&lt;&gt;0,),0)),IF(BA271=0,INDEX($AO$7:$AY$7,MATCH(1,$AO271:$AY271,0)),IF(BH271="Multiple strategies","mixed drivers",IF(BH271="Supply chain","multiple supply","multiple silviculture"))))</f>
        <v>technologies/design switch</v>
      </c>
      <c r="BH271" s="2" t="str" cm="1">
        <f t="array" ref="BH271">IF(COUNTIF(BB271:BD271,"&lt;&gt;0")=1,INDEX($X$4:$AY$4,MATCH(TRUE,INDEX($X271:$AY271&lt;&gt;0,),0)),IF(COUNTIF(BB271:BD271,"&lt;&gt;0")=0,INDEX($AO$4:$AY$4,MATCH(1,$AO271:$AY271,0)),"Multiple strategies"))</f>
        <v>Technology</v>
      </c>
      <c r="BO271" t="str">
        <f t="shared" ref="BO271:BO286" si="324">IFERROR(BN271/BM271,"")</f>
        <v/>
      </c>
      <c r="BR271" s="297" t="s">
        <v>232</v>
      </c>
      <c r="BT271" t="s">
        <v>3569</v>
      </c>
      <c r="BU271">
        <v>-462</v>
      </c>
      <c r="BV271">
        <v>-281</v>
      </c>
      <c r="BW271" s="144">
        <f t="shared" ref="BW271:BW286" si="325">BV271/BU271</f>
        <v>0.60822510822510822</v>
      </c>
      <c r="BX271">
        <f t="shared" ref="BX271:BX302" si="326">BV271-BU271</f>
        <v>181</v>
      </c>
      <c r="BZ271">
        <f t="shared" ref="BZ271:BZ286" si="327">BX271/1000</f>
        <v>0.18099999999999999</v>
      </c>
      <c r="CA271" t="str">
        <f t="shared" si="252"/>
        <v/>
      </c>
      <c r="CB271">
        <v>0</v>
      </c>
      <c r="CC271">
        <v>0</v>
      </c>
      <c r="CD271">
        <v>0</v>
      </c>
      <c r="CE271">
        <v>0</v>
      </c>
      <c r="CF271">
        <v>0</v>
      </c>
      <c r="CG271">
        <v>0</v>
      </c>
      <c r="CH271">
        <v>0</v>
      </c>
      <c r="CI271">
        <v>0</v>
      </c>
      <c r="CJ271">
        <v>0</v>
      </c>
      <c r="CK271">
        <v>0</v>
      </c>
      <c r="CL271">
        <v>0</v>
      </c>
      <c r="CM271">
        <v>0</v>
      </c>
      <c r="CN271">
        <v>0</v>
      </c>
      <c r="CO271">
        <v>0</v>
      </c>
      <c r="CP271" t="str">
        <f t="shared" si="305"/>
        <v>refOK</v>
      </c>
      <c r="CQ271"/>
      <c r="CR271"/>
      <c r="CS271"/>
      <c r="CT271">
        <f t="shared" si="253"/>
        <v>0</v>
      </c>
      <c r="CU271">
        <f t="shared" si="306"/>
        <v>-462</v>
      </c>
      <c r="CV271">
        <v>-281</v>
      </c>
      <c r="CW271">
        <f t="shared" si="308"/>
        <v>0.18099999999999999</v>
      </c>
      <c r="CX271" t="str">
        <f t="shared" si="254"/>
        <v/>
      </c>
      <c r="CY271" t="str">
        <f t="shared" si="309"/>
        <v/>
      </c>
      <c r="CZ271" t="str">
        <f t="shared" si="255"/>
        <v/>
      </c>
      <c r="DA271" s="2">
        <f t="shared" si="310"/>
        <v>0.39177489177489178</v>
      </c>
      <c r="DB271" s="1" t="s">
        <v>3472</v>
      </c>
      <c r="DC271" s="297" t="str">
        <f t="shared" ref="DC271:DC302" si="328">IF(OR($DB271="prd",$DB271="std",$DB271="cit"),"loc",IF(OR($DB271="eur",$DB271="reg",$DB271="coy"),"reg",$DB271))</f>
        <v>reg</v>
      </c>
      <c r="DD271" t="s">
        <v>3570</v>
      </c>
      <c r="DG271">
        <v>100</v>
      </c>
      <c r="DH271" t="str">
        <f t="shared" si="311"/>
        <v>71-100</v>
      </c>
      <c r="DI271">
        <v>0</v>
      </c>
      <c r="DJ271">
        <v>0</v>
      </c>
      <c r="DK271">
        <v>0</v>
      </c>
      <c r="DL271">
        <v>1</v>
      </c>
      <c r="DM271">
        <v>1</v>
      </c>
      <c r="DN271">
        <f t="shared" ref="DN271:DN300" si="329">SUM(DI271:DM271)</f>
        <v>2</v>
      </c>
      <c r="DO271" t="str">
        <f t="shared" si="312"/>
        <v>mixedProduct</v>
      </c>
      <c r="DP271">
        <f t="shared" si="313"/>
        <v>0</v>
      </c>
      <c r="DQ271">
        <f t="shared" si="314"/>
        <v>0</v>
      </c>
      <c r="DR271">
        <f t="shared" si="315"/>
        <v>0</v>
      </c>
      <c r="DS271" t="str">
        <f t="shared" si="316"/>
        <v>Timber</v>
      </c>
      <c r="DT271">
        <v>0</v>
      </c>
      <c r="DU271">
        <v>0</v>
      </c>
      <c r="DV271">
        <v>0</v>
      </c>
      <c r="DW271">
        <v>0</v>
      </c>
      <c r="DX271">
        <v>0</v>
      </c>
      <c r="DY271"/>
      <c r="DZ271" s="143" t="str">
        <f t="shared" ref="DZ271:DZ300" si="330">IF(DT271=1,"self-calculated DF",IF(DU271=1,"external DF used","explicit C balance"))</f>
        <v>explicit C balance</v>
      </c>
      <c r="EA271">
        <v>0</v>
      </c>
      <c r="EB271">
        <v>0</v>
      </c>
      <c r="EC271">
        <v>1</v>
      </c>
      <c r="ED271">
        <v>1</v>
      </c>
      <c r="EE271">
        <v>1</v>
      </c>
      <c r="EF271">
        <v>1</v>
      </c>
      <c r="EG271">
        <v>0</v>
      </c>
      <c r="EH271">
        <v>1</v>
      </c>
      <c r="EI271">
        <v>1</v>
      </c>
      <c r="EJ271">
        <v>1</v>
      </c>
      <c r="EK271">
        <v>1</v>
      </c>
      <c r="EL271">
        <v>1</v>
      </c>
      <c r="EM271">
        <v>0</v>
      </c>
      <c r="EN271" s="2">
        <v>0</v>
      </c>
      <c r="EP271" t="str">
        <f t="shared" si="256"/>
        <v>Whole sector approach</v>
      </c>
      <c r="EQ271" t="str">
        <f t="shared" si="297"/>
        <v/>
      </c>
      <c r="ER271" s="2" t="str">
        <f t="shared" si="257"/>
        <v/>
      </c>
      <c r="ES271" t="str">
        <f t="shared" si="258"/>
        <v/>
      </c>
      <c r="ET271" t="str">
        <f t="shared" si="259"/>
        <v/>
      </c>
      <c r="EU271" t="str">
        <f t="shared" si="260"/>
        <v/>
      </c>
      <c r="EV271" s="328" t="s">
        <v>5064</v>
      </c>
      <c r="EY271" t="b">
        <f>IF(ISNUMBER(BW271),IF(ABS(BW271-[1]QC_indicators!$B$2)&gt;3*[1]QC_indicators!$C$2,"C ratio",IF(ISNUMBER(CA271),IF(ABS(CA271-[1]QC_indicators!$B$1)&gt;3*[1]QC_indicators!$C$1,"DF","no"))),IF(ISNUMBER(CA271),IF(ABS(CA271-[1]QC_indicators!$B$1)&gt;3*[1]QC_indicators!$C$1,"DF","no")))</f>
        <v>0</v>
      </c>
      <c r="FA271" t="str">
        <f t="shared" si="261"/>
        <v/>
      </c>
    </row>
    <row r="272" spans="1:158" ht="15" hidden="1" customHeight="1">
      <c r="A272" s="1" t="s">
        <v>654</v>
      </c>
      <c r="B272" t="s">
        <v>3561</v>
      </c>
      <c r="C272" t="s">
        <v>3562</v>
      </c>
      <c r="D272" t="s">
        <v>3563</v>
      </c>
      <c r="E272" t="s">
        <v>3564</v>
      </c>
      <c r="F272" t="s">
        <v>3565</v>
      </c>
      <c r="G272" t="s">
        <v>660</v>
      </c>
      <c r="H272" t="s">
        <v>254</v>
      </c>
      <c r="I272">
        <v>2016</v>
      </c>
      <c r="J272">
        <v>46</v>
      </c>
      <c r="K272" t="s">
        <v>3566</v>
      </c>
      <c r="M272" t="str">
        <f t="shared" si="323"/>
        <v>Penaloza_2016</v>
      </c>
      <c r="N272" s="297" t="s">
        <v>4058</v>
      </c>
      <c r="O272" s="171" t="s">
        <v>508</v>
      </c>
      <c r="P272" t="s">
        <v>508</v>
      </c>
      <c r="Q272" s="297" t="s">
        <v>389</v>
      </c>
      <c r="R272" s="298"/>
      <c r="S272" s="1" t="s">
        <v>3578</v>
      </c>
      <c r="T272" t="s">
        <v>3579</v>
      </c>
      <c r="U272" t="s">
        <v>3578</v>
      </c>
      <c r="X272">
        <v>0</v>
      </c>
      <c r="Y272">
        <v>0</v>
      </c>
      <c r="Z272">
        <v>0</v>
      </c>
      <c r="AA272">
        <v>0</v>
      </c>
      <c r="AB272">
        <v>0</v>
      </c>
      <c r="AC272">
        <v>0</v>
      </c>
      <c r="AD272">
        <v>0</v>
      </c>
      <c r="AE272">
        <v>0</v>
      </c>
      <c r="AF272">
        <v>0</v>
      </c>
      <c r="AG272">
        <v>0</v>
      </c>
      <c r="AH272">
        <v>0</v>
      </c>
      <c r="AI272">
        <v>0</v>
      </c>
      <c r="AJ272">
        <v>0</v>
      </c>
      <c r="AK272">
        <v>0</v>
      </c>
      <c r="AL272">
        <v>0</v>
      </c>
      <c r="AM272">
        <v>1</v>
      </c>
      <c r="AN272">
        <v>0</v>
      </c>
      <c r="AO272">
        <v>0</v>
      </c>
      <c r="AP272">
        <v>0</v>
      </c>
      <c r="AQ272">
        <v>0</v>
      </c>
      <c r="AR272">
        <v>0</v>
      </c>
      <c r="AS272">
        <v>0</v>
      </c>
      <c r="AT272">
        <v>0</v>
      </c>
      <c r="AU272">
        <v>0</v>
      </c>
      <c r="AV272">
        <v>0</v>
      </c>
      <c r="AW272">
        <v>0</v>
      </c>
      <c r="AX272">
        <v>0</v>
      </c>
      <c r="AY272">
        <v>0</v>
      </c>
      <c r="AZ272" s="141">
        <f t="shared" si="298"/>
        <v>1</v>
      </c>
      <c r="BA272" s="141">
        <f t="shared" si="299"/>
        <v>1</v>
      </c>
      <c r="BB272">
        <f t="shared" si="300"/>
        <v>0</v>
      </c>
      <c r="BC272">
        <f t="shared" si="301"/>
        <v>0</v>
      </c>
      <c r="BD272">
        <f t="shared" si="302"/>
        <v>1</v>
      </c>
      <c r="BE272">
        <f t="shared" si="303"/>
        <v>0</v>
      </c>
      <c r="BF272">
        <f t="shared" si="304"/>
        <v>0</v>
      </c>
      <c r="BG272" t="str" cm="1">
        <f t="array" ref="BG272">IF(BA272=1,INDEX($X$7:$AN$7,MATCH(TRUE,INDEX($X272:$AY272&lt;&gt;0,),0)),IF(BA272=0,INDEX($AO$7:$AY$7,MATCH(1,$AO272:$AY272,0)),IF(BH272="Multiple strategies","mixed drivers",IF(BH272="Supply chain","multiple supply","multiple silviculture"))))</f>
        <v>technologies/design switch</v>
      </c>
      <c r="BH272" s="2" t="str" cm="1">
        <f t="array" ref="BH272">IF(COUNTIF(BB272:BD272,"&lt;&gt;0")=1,INDEX($X$4:$AY$4,MATCH(TRUE,INDEX($X272:$AY272&lt;&gt;0,),0)),IF(COUNTIF(BB272:BD272,"&lt;&gt;0")=0,INDEX($AO$4:$AY$4,MATCH(1,$AO272:$AY272,0)),"Multiple strategies"))</f>
        <v>Technology</v>
      </c>
      <c r="BO272" t="str">
        <f t="shared" si="324"/>
        <v/>
      </c>
      <c r="BR272" s="297" t="s">
        <v>232</v>
      </c>
      <c r="BT272" t="s">
        <v>3569</v>
      </c>
      <c r="BU272">
        <v>-462</v>
      </c>
      <c r="BV272">
        <v>-260</v>
      </c>
      <c r="BW272" s="144">
        <f t="shared" si="325"/>
        <v>0.56277056277056281</v>
      </c>
      <c r="BX272">
        <f t="shared" si="326"/>
        <v>202</v>
      </c>
      <c r="BZ272">
        <f t="shared" si="327"/>
        <v>0.20200000000000001</v>
      </c>
      <c r="CA272" t="str">
        <f t="shared" si="252"/>
        <v/>
      </c>
      <c r="CB272">
        <v>0</v>
      </c>
      <c r="CC272">
        <v>0</v>
      </c>
      <c r="CD272">
        <v>0</v>
      </c>
      <c r="CE272">
        <v>0</v>
      </c>
      <c r="CF272">
        <v>0</v>
      </c>
      <c r="CG272">
        <v>0</v>
      </c>
      <c r="CH272">
        <v>0</v>
      </c>
      <c r="CI272">
        <v>0</v>
      </c>
      <c r="CJ272">
        <v>0</v>
      </c>
      <c r="CK272">
        <v>0</v>
      </c>
      <c r="CL272">
        <v>0</v>
      </c>
      <c r="CM272">
        <v>0</v>
      </c>
      <c r="CN272">
        <v>0</v>
      </c>
      <c r="CO272">
        <v>0</v>
      </c>
      <c r="CP272" t="str">
        <f t="shared" si="305"/>
        <v>refOK</v>
      </c>
      <c r="CQ272"/>
      <c r="CR272"/>
      <c r="CS272"/>
      <c r="CT272">
        <f t="shared" si="253"/>
        <v>0</v>
      </c>
      <c r="CU272">
        <f t="shared" si="306"/>
        <v>-462</v>
      </c>
      <c r="CV272">
        <f>IF($CP272="refOK",$BV272,$BU272)*IF($BR272="Emissions positive",-1,1)</f>
        <v>-260</v>
      </c>
      <c r="CW272">
        <f t="shared" si="308"/>
        <v>0.20200000000000001</v>
      </c>
      <c r="CX272" t="str">
        <f t="shared" si="254"/>
        <v/>
      </c>
      <c r="CY272" t="str">
        <f t="shared" si="309"/>
        <v/>
      </c>
      <c r="CZ272" t="str">
        <f t="shared" si="255"/>
        <v/>
      </c>
      <c r="DA272" s="2">
        <f t="shared" si="310"/>
        <v>0.43722943722943725</v>
      </c>
      <c r="DB272" s="1" t="s">
        <v>3472</v>
      </c>
      <c r="DC272" s="297" t="str">
        <f t="shared" si="328"/>
        <v>reg</v>
      </c>
      <c r="DD272" t="s">
        <v>3570</v>
      </c>
      <c r="DG272">
        <v>100</v>
      </c>
      <c r="DH272" t="str">
        <f t="shared" si="311"/>
        <v>71-100</v>
      </c>
      <c r="DI272">
        <v>0</v>
      </c>
      <c r="DJ272">
        <v>0</v>
      </c>
      <c r="DK272">
        <v>0</v>
      </c>
      <c r="DL272">
        <v>1</v>
      </c>
      <c r="DM272">
        <v>1</v>
      </c>
      <c r="DN272">
        <f t="shared" si="329"/>
        <v>2</v>
      </c>
      <c r="DO272" t="str">
        <f t="shared" si="312"/>
        <v>mixedProduct</v>
      </c>
      <c r="DP272">
        <f t="shared" si="313"/>
        <v>0</v>
      </c>
      <c r="DQ272">
        <f t="shared" si="314"/>
        <v>0</v>
      </c>
      <c r="DR272">
        <f t="shared" si="315"/>
        <v>0</v>
      </c>
      <c r="DS272" t="str">
        <f t="shared" si="316"/>
        <v>Timber</v>
      </c>
      <c r="DT272">
        <v>0</v>
      </c>
      <c r="DU272">
        <v>0</v>
      </c>
      <c r="DV272">
        <v>0</v>
      </c>
      <c r="DW272">
        <v>0</v>
      </c>
      <c r="DX272">
        <v>0</v>
      </c>
      <c r="DY272"/>
      <c r="DZ272" s="143" t="str">
        <f t="shared" si="330"/>
        <v>explicit C balance</v>
      </c>
      <c r="EA272">
        <v>0</v>
      </c>
      <c r="EB272">
        <v>0</v>
      </c>
      <c r="EC272">
        <v>1</v>
      </c>
      <c r="ED272">
        <v>1</v>
      </c>
      <c r="EE272">
        <v>1</v>
      </c>
      <c r="EF272">
        <v>1</v>
      </c>
      <c r="EG272">
        <v>0</v>
      </c>
      <c r="EH272">
        <v>1</v>
      </c>
      <c r="EI272">
        <v>1</v>
      </c>
      <c r="EJ272">
        <v>1</v>
      </c>
      <c r="EK272">
        <v>1</v>
      </c>
      <c r="EL272">
        <v>1</v>
      </c>
      <c r="EM272">
        <v>0</v>
      </c>
      <c r="EN272" s="2">
        <v>0</v>
      </c>
      <c r="EP272" t="str">
        <f t="shared" si="256"/>
        <v>Whole sector approach</v>
      </c>
      <c r="EQ272" t="str">
        <f t="shared" si="297"/>
        <v/>
      </c>
      <c r="ER272" s="2" t="str">
        <f t="shared" si="257"/>
        <v/>
      </c>
      <c r="ES272" t="str">
        <f t="shared" si="258"/>
        <v/>
      </c>
      <c r="ET272" t="str">
        <f t="shared" si="259"/>
        <v/>
      </c>
      <c r="EU272" t="str">
        <f t="shared" si="260"/>
        <v/>
      </c>
      <c r="EV272" s="328" t="s">
        <v>5064</v>
      </c>
      <c r="EY272" t="b">
        <f>IF(ISNUMBER(BW272),IF(ABS(BW272-[1]QC_indicators!$B$2)&gt;3*[1]QC_indicators!$C$2,"C ratio",IF(ISNUMBER(CA272),IF(ABS(CA272-[1]QC_indicators!$B$1)&gt;3*[1]QC_indicators!$C$1,"DF","no"))),IF(ISNUMBER(CA272),IF(ABS(CA272-[1]QC_indicators!$B$1)&gt;3*[1]QC_indicators!$C$1,"DF","no")))</f>
        <v>0</v>
      </c>
      <c r="FA272" t="str">
        <f t="shared" si="261"/>
        <v/>
      </c>
    </row>
    <row r="273" spans="1:157" ht="15" hidden="1" customHeight="1">
      <c r="A273" s="1" t="s">
        <v>654</v>
      </c>
      <c r="B273" t="s">
        <v>3561</v>
      </c>
      <c r="C273" t="s">
        <v>3562</v>
      </c>
      <c r="D273" t="s">
        <v>3563</v>
      </c>
      <c r="E273" t="s">
        <v>3564</v>
      </c>
      <c r="F273" t="s">
        <v>3565</v>
      </c>
      <c r="G273" t="s">
        <v>660</v>
      </c>
      <c r="H273" t="s">
        <v>254</v>
      </c>
      <c r="I273">
        <v>2016</v>
      </c>
      <c r="J273">
        <v>46</v>
      </c>
      <c r="K273" t="s">
        <v>3566</v>
      </c>
      <c r="M273" t="str">
        <f t="shared" si="323"/>
        <v>Penaloza_2016</v>
      </c>
      <c r="N273" s="297" t="s">
        <v>4058</v>
      </c>
      <c r="O273" s="171" t="s">
        <v>508</v>
      </c>
      <c r="P273" t="s">
        <v>508</v>
      </c>
      <c r="Q273" s="297" t="s">
        <v>389</v>
      </c>
      <c r="R273" s="298"/>
      <c r="S273" s="1" t="s">
        <v>3578</v>
      </c>
      <c r="T273" t="s">
        <v>3579</v>
      </c>
      <c r="U273" t="s">
        <v>3578</v>
      </c>
      <c r="X273">
        <v>0</v>
      </c>
      <c r="Y273">
        <v>0</v>
      </c>
      <c r="Z273">
        <v>0</v>
      </c>
      <c r="AA273">
        <v>0</v>
      </c>
      <c r="AB273">
        <v>0</v>
      </c>
      <c r="AC273">
        <v>0</v>
      </c>
      <c r="AD273">
        <v>0</v>
      </c>
      <c r="AE273">
        <v>0</v>
      </c>
      <c r="AF273">
        <v>0</v>
      </c>
      <c r="AG273">
        <v>0</v>
      </c>
      <c r="AH273">
        <v>0</v>
      </c>
      <c r="AI273">
        <v>0</v>
      </c>
      <c r="AJ273">
        <v>0</v>
      </c>
      <c r="AK273">
        <v>0</v>
      </c>
      <c r="AL273">
        <v>0</v>
      </c>
      <c r="AM273">
        <v>1</v>
      </c>
      <c r="AN273">
        <v>0</v>
      </c>
      <c r="AO273">
        <v>0</v>
      </c>
      <c r="AP273">
        <v>0</v>
      </c>
      <c r="AQ273">
        <v>0</v>
      </c>
      <c r="AR273">
        <v>0</v>
      </c>
      <c r="AS273">
        <v>0</v>
      </c>
      <c r="AT273">
        <v>0</v>
      </c>
      <c r="AU273">
        <v>0</v>
      </c>
      <c r="AV273">
        <v>0</v>
      </c>
      <c r="AW273">
        <v>0</v>
      </c>
      <c r="AX273">
        <v>0</v>
      </c>
      <c r="AY273">
        <v>0</v>
      </c>
      <c r="AZ273" s="141">
        <f t="shared" si="298"/>
        <v>1</v>
      </c>
      <c r="BA273" s="141">
        <f t="shared" si="299"/>
        <v>1</v>
      </c>
      <c r="BB273">
        <f t="shared" si="300"/>
        <v>0</v>
      </c>
      <c r="BC273">
        <f t="shared" si="301"/>
        <v>0</v>
      </c>
      <c r="BD273">
        <f t="shared" si="302"/>
        <v>1</v>
      </c>
      <c r="BE273">
        <f t="shared" si="303"/>
        <v>0</v>
      </c>
      <c r="BF273">
        <f t="shared" si="304"/>
        <v>0</v>
      </c>
      <c r="BG273" t="str" cm="1">
        <f t="array" ref="BG273">IF(BA273=1,INDEX($X$7:$AN$7,MATCH(TRUE,INDEX($X273:$AY273&lt;&gt;0,),0)),IF(BA273=0,INDEX($AO$7:$AY$7,MATCH(1,$AO273:$AY273,0)),IF(BH273="Multiple strategies","mixed drivers",IF(BH273="Supply chain","multiple supply","multiple silviculture"))))</f>
        <v>technologies/design switch</v>
      </c>
      <c r="BH273" s="2" t="str" cm="1">
        <f t="array" ref="BH273">IF(COUNTIF(BB273:BD273,"&lt;&gt;0")=1,INDEX($X$4:$AY$4,MATCH(TRUE,INDEX($X273:$AY273&lt;&gt;0,),0)),IF(COUNTIF(BB273:BD273,"&lt;&gt;0")=0,INDEX($AO$4:$AY$4,MATCH(1,$AO273:$AY273,0)),"Multiple strategies"))</f>
        <v>Technology</v>
      </c>
      <c r="BO273" t="str">
        <f t="shared" si="324"/>
        <v/>
      </c>
      <c r="BR273" s="297" t="s">
        <v>232</v>
      </c>
      <c r="BT273" t="s">
        <v>3569</v>
      </c>
      <c r="BU273">
        <v>-462</v>
      </c>
      <c r="BV273">
        <v>-218</v>
      </c>
      <c r="BW273" s="144">
        <f t="shared" si="325"/>
        <v>0.47186147186147187</v>
      </c>
      <c r="BX273">
        <f t="shared" si="326"/>
        <v>244</v>
      </c>
      <c r="BZ273">
        <f t="shared" si="327"/>
        <v>0.24399999999999999</v>
      </c>
      <c r="CA273" t="str">
        <f t="shared" si="252"/>
        <v/>
      </c>
      <c r="CB273">
        <v>0</v>
      </c>
      <c r="CC273">
        <v>0</v>
      </c>
      <c r="CD273">
        <v>0</v>
      </c>
      <c r="CE273">
        <v>0</v>
      </c>
      <c r="CF273">
        <v>0</v>
      </c>
      <c r="CG273">
        <v>0</v>
      </c>
      <c r="CH273">
        <v>0</v>
      </c>
      <c r="CI273">
        <v>0</v>
      </c>
      <c r="CJ273">
        <v>0</v>
      </c>
      <c r="CK273">
        <v>0</v>
      </c>
      <c r="CL273">
        <v>0</v>
      </c>
      <c r="CM273">
        <v>0</v>
      </c>
      <c r="CN273">
        <v>0</v>
      </c>
      <c r="CO273">
        <v>0</v>
      </c>
      <c r="CP273" t="str">
        <f t="shared" si="305"/>
        <v>refOK</v>
      </c>
      <c r="CQ273"/>
      <c r="CR273"/>
      <c r="CS273"/>
      <c r="CT273">
        <f t="shared" si="253"/>
        <v>0</v>
      </c>
      <c r="CU273">
        <f t="shared" si="306"/>
        <v>-462</v>
      </c>
      <c r="CV273">
        <v>-218</v>
      </c>
      <c r="CW273">
        <f t="shared" si="308"/>
        <v>0.24399999999999999</v>
      </c>
      <c r="CX273" t="str">
        <f t="shared" si="254"/>
        <v/>
      </c>
      <c r="CY273" t="str">
        <f t="shared" si="309"/>
        <v/>
      </c>
      <c r="CZ273" t="str">
        <f t="shared" si="255"/>
        <v/>
      </c>
      <c r="DA273" s="2">
        <f t="shared" si="310"/>
        <v>0.52813852813852813</v>
      </c>
      <c r="DB273" s="1" t="s">
        <v>3472</v>
      </c>
      <c r="DC273" s="297" t="str">
        <f t="shared" si="328"/>
        <v>reg</v>
      </c>
      <c r="DD273" t="s">
        <v>3570</v>
      </c>
      <c r="DG273">
        <v>300</v>
      </c>
      <c r="DH273" t="str">
        <f t="shared" si="311"/>
        <v>+100</v>
      </c>
      <c r="DI273">
        <v>0</v>
      </c>
      <c r="DJ273">
        <v>0</v>
      </c>
      <c r="DK273">
        <v>0</v>
      </c>
      <c r="DL273">
        <v>1</v>
      </c>
      <c r="DM273">
        <v>1</v>
      </c>
      <c r="DN273">
        <f t="shared" si="329"/>
        <v>2</v>
      </c>
      <c r="DO273" t="str">
        <f t="shared" si="312"/>
        <v>mixedProduct</v>
      </c>
      <c r="DP273">
        <f t="shared" si="313"/>
        <v>0</v>
      </c>
      <c r="DQ273">
        <f t="shared" si="314"/>
        <v>0</v>
      </c>
      <c r="DR273">
        <f t="shared" si="315"/>
        <v>0</v>
      </c>
      <c r="DS273" t="str">
        <f t="shared" si="316"/>
        <v>Timber</v>
      </c>
      <c r="DT273">
        <v>0</v>
      </c>
      <c r="DU273">
        <v>0</v>
      </c>
      <c r="DV273">
        <v>0</v>
      </c>
      <c r="DW273">
        <v>0</v>
      </c>
      <c r="DX273">
        <v>0</v>
      </c>
      <c r="DY273"/>
      <c r="DZ273" s="143" t="str">
        <f t="shared" si="330"/>
        <v>explicit C balance</v>
      </c>
      <c r="EA273">
        <v>0</v>
      </c>
      <c r="EB273">
        <v>0</v>
      </c>
      <c r="EC273">
        <v>1</v>
      </c>
      <c r="ED273">
        <v>1</v>
      </c>
      <c r="EE273">
        <v>1</v>
      </c>
      <c r="EF273">
        <v>1</v>
      </c>
      <c r="EG273">
        <v>0</v>
      </c>
      <c r="EH273">
        <v>1</v>
      </c>
      <c r="EI273">
        <v>1</v>
      </c>
      <c r="EJ273">
        <v>1</v>
      </c>
      <c r="EK273">
        <v>1</v>
      </c>
      <c r="EL273">
        <v>1</v>
      </c>
      <c r="EM273">
        <v>0</v>
      </c>
      <c r="EN273" s="2">
        <v>0</v>
      </c>
      <c r="EP273" t="str">
        <f t="shared" si="256"/>
        <v>Whole sector approach</v>
      </c>
      <c r="EQ273" t="str">
        <f t="shared" si="297"/>
        <v/>
      </c>
      <c r="ER273" s="2" t="str">
        <f t="shared" si="257"/>
        <v/>
      </c>
      <c r="ES273" t="str">
        <f t="shared" si="258"/>
        <v/>
      </c>
      <c r="ET273" t="str">
        <f t="shared" si="259"/>
        <v/>
      </c>
      <c r="EU273" t="str">
        <f t="shared" si="260"/>
        <v/>
      </c>
      <c r="EV273" s="328" t="s">
        <v>5064</v>
      </c>
      <c r="EY273" t="b">
        <f>IF(ISNUMBER(BW273),IF(ABS(BW273-[1]QC_indicators!$B$2)&gt;3*[1]QC_indicators!$C$2,"C ratio",IF(ISNUMBER(CA273),IF(ABS(CA273-[1]QC_indicators!$B$1)&gt;3*[1]QC_indicators!$C$1,"DF","no"))),IF(ISNUMBER(CA273),IF(ABS(CA273-[1]QC_indicators!$B$1)&gt;3*[1]QC_indicators!$C$1,"DF","no")))</f>
        <v>0</v>
      </c>
      <c r="FA273" t="str">
        <f t="shared" si="261"/>
        <v/>
      </c>
    </row>
    <row r="274" spans="1:157" ht="15" hidden="1" customHeight="1">
      <c r="A274" s="1" t="s">
        <v>654</v>
      </c>
      <c r="B274" t="s">
        <v>3561</v>
      </c>
      <c r="C274" t="s">
        <v>3562</v>
      </c>
      <c r="D274" t="s">
        <v>3563</v>
      </c>
      <c r="E274" t="s">
        <v>3564</v>
      </c>
      <c r="F274" t="s">
        <v>3565</v>
      </c>
      <c r="G274" t="s">
        <v>660</v>
      </c>
      <c r="H274" t="s">
        <v>254</v>
      </c>
      <c r="I274">
        <v>2016</v>
      </c>
      <c r="J274">
        <v>46</v>
      </c>
      <c r="K274" t="s">
        <v>3566</v>
      </c>
      <c r="M274" t="str">
        <f t="shared" si="323"/>
        <v>Penaloza_2016</v>
      </c>
      <c r="N274" s="297" t="s">
        <v>4058</v>
      </c>
      <c r="O274" s="171" t="s">
        <v>508</v>
      </c>
      <c r="P274" t="s">
        <v>508</v>
      </c>
      <c r="Q274" s="297" t="s">
        <v>389</v>
      </c>
      <c r="R274" s="298"/>
      <c r="S274" s="1" t="s">
        <v>3580</v>
      </c>
      <c r="T274" t="s">
        <v>3579</v>
      </c>
      <c r="U274" t="s">
        <v>3580</v>
      </c>
      <c r="X274">
        <v>0</v>
      </c>
      <c r="Y274">
        <v>0</v>
      </c>
      <c r="Z274">
        <v>0</v>
      </c>
      <c r="AA274">
        <v>0</v>
      </c>
      <c r="AB274">
        <v>0</v>
      </c>
      <c r="AC274">
        <v>0</v>
      </c>
      <c r="AD274">
        <v>0</v>
      </c>
      <c r="AE274">
        <v>0</v>
      </c>
      <c r="AF274">
        <v>0</v>
      </c>
      <c r="AG274">
        <v>0</v>
      </c>
      <c r="AH274">
        <v>0</v>
      </c>
      <c r="AI274">
        <v>0</v>
      </c>
      <c r="AJ274">
        <v>0</v>
      </c>
      <c r="AK274">
        <v>0</v>
      </c>
      <c r="AL274">
        <v>0</v>
      </c>
      <c r="AM274">
        <v>1</v>
      </c>
      <c r="AN274">
        <v>0</v>
      </c>
      <c r="AO274">
        <v>0</v>
      </c>
      <c r="AP274">
        <v>0</v>
      </c>
      <c r="AQ274">
        <v>0</v>
      </c>
      <c r="AR274">
        <v>0</v>
      </c>
      <c r="AS274">
        <v>0</v>
      </c>
      <c r="AT274">
        <v>0</v>
      </c>
      <c r="AU274">
        <v>0</v>
      </c>
      <c r="AV274">
        <v>0</v>
      </c>
      <c r="AW274">
        <v>0</v>
      </c>
      <c r="AX274">
        <v>0</v>
      </c>
      <c r="AY274">
        <v>0</v>
      </c>
      <c r="AZ274" s="141">
        <f t="shared" si="298"/>
        <v>1</v>
      </c>
      <c r="BA274" s="141">
        <f t="shared" si="299"/>
        <v>1</v>
      </c>
      <c r="BB274">
        <f t="shared" si="300"/>
        <v>0</v>
      </c>
      <c r="BC274">
        <f t="shared" si="301"/>
        <v>0</v>
      </c>
      <c r="BD274">
        <f t="shared" si="302"/>
        <v>1</v>
      </c>
      <c r="BE274">
        <f t="shared" si="303"/>
        <v>0</v>
      </c>
      <c r="BF274">
        <f t="shared" si="304"/>
        <v>0</v>
      </c>
      <c r="BG274" t="str" cm="1">
        <f t="array" ref="BG274">IF(BA274=1,INDEX($X$7:$AN$7,MATCH(TRUE,INDEX($X274:$AY274&lt;&gt;0,),0)),IF(BA274=0,INDEX($AO$7:$AY$7,MATCH(1,$AO274:$AY274,0)),IF(BH274="Multiple strategies","mixed drivers",IF(BH274="Supply chain","multiple supply","multiple silviculture"))))</f>
        <v>technologies/design switch</v>
      </c>
      <c r="BH274" s="2" t="str" cm="1">
        <f t="array" ref="BH274">IF(COUNTIF(BB274:BD274,"&lt;&gt;0")=1,INDEX($X$4:$AY$4,MATCH(TRUE,INDEX($X274:$AY274&lt;&gt;0,),0)),IF(COUNTIF(BB274:BD274,"&lt;&gt;0")=0,INDEX($AO$4:$AY$4,MATCH(1,$AO274:$AY274,0)),"Multiple strategies"))</f>
        <v>Technology</v>
      </c>
      <c r="BO274" t="str">
        <f t="shared" si="324"/>
        <v/>
      </c>
      <c r="BR274" s="297" t="s">
        <v>232</v>
      </c>
      <c r="BT274" t="s">
        <v>3569</v>
      </c>
      <c r="BU274">
        <v>-462</v>
      </c>
      <c r="BV274">
        <v>-167</v>
      </c>
      <c r="BW274" s="144">
        <f t="shared" si="325"/>
        <v>0.36147186147186144</v>
      </c>
      <c r="BX274">
        <f t="shared" si="326"/>
        <v>295</v>
      </c>
      <c r="BZ274">
        <f t="shared" si="327"/>
        <v>0.29499999999999998</v>
      </c>
      <c r="CA274" t="str">
        <f t="shared" si="252"/>
        <v/>
      </c>
      <c r="CB274">
        <v>0</v>
      </c>
      <c r="CC274">
        <v>0</v>
      </c>
      <c r="CD274">
        <v>0</v>
      </c>
      <c r="CE274">
        <v>0</v>
      </c>
      <c r="CF274">
        <v>0</v>
      </c>
      <c r="CG274">
        <v>0</v>
      </c>
      <c r="CH274">
        <v>0</v>
      </c>
      <c r="CI274">
        <v>0</v>
      </c>
      <c r="CJ274">
        <v>0</v>
      </c>
      <c r="CK274">
        <v>0</v>
      </c>
      <c r="CL274">
        <v>0</v>
      </c>
      <c r="CM274">
        <v>0</v>
      </c>
      <c r="CN274">
        <v>0</v>
      </c>
      <c r="CO274">
        <v>0</v>
      </c>
      <c r="CP274" t="str">
        <f t="shared" si="305"/>
        <v>refOK</v>
      </c>
      <c r="CQ274"/>
      <c r="CR274"/>
      <c r="CS274"/>
      <c r="CT274">
        <f t="shared" si="253"/>
        <v>0</v>
      </c>
      <c r="CU274">
        <f t="shared" si="306"/>
        <v>-462</v>
      </c>
      <c r="CV274">
        <f>IF($CP274="refOK",$BV274,$BU274)*IF($BR274="Emissions positive",-1,1)</f>
        <v>-167</v>
      </c>
      <c r="CW274">
        <f t="shared" si="308"/>
        <v>0.29499999999999998</v>
      </c>
      <c r="CX274" t="str">
        <f t="shared" si="254"/>
        <v/>
      </c>
      <c r="CY274" t="str">
        <f t="shared" si="309"/>
        <v/>
      </c>
      <c r="CZ274" t="str">
        <f t="shared" si="255"/>
        <v/>
      </c>
      <c r="DA274" s="2">
        <f t="shared" si="310"/>
        <v>0.6385281385281385</v>
      </c>
      <c r="DB274" s="1" t="s">
        <v>3472</v>
      </c>
      <c r="DC274" s="297" t="str">
        <f t="shared" si="328"/>
        <v>reg</v>
      </c>
      <c r="DD274" t="s">
        <v>3570</v>
      </c>
      <c r="DG274">
        <v>300</v>
      </c>
      <c r="DH274" t="str">
        <f t="shared" si="311"/>
        <v>+100</v>
      </c>
      <c r="DI274">
        <v>0</v>
      </c>
      <c r="DJ274">
        <v>0</v>
      </c>
      <c r="DK274">
        <v>0</v>
      </c>
      <c r="DL274">
        <v>1</v>
      </c>
      <c r="DM274">
        <v>1</v>
      </c>
      <c r="DN274">
        <f t="shared" si="329"/>
        <v>2</v>
      </c>
      <c r="DO274" t="str">
        <f t="shared" si="312"/>
        <v>mixedProduct</v>
      </c>
      <c r="DP274">
        <f t="shared" si="313"/>
        <v>0</v>
      </c>
      <c r="DQ274">
        <f t="shared" si="314"/>
        <v>0</v>
      </c>
      <c r="DR274">
        <f t="shared" si="315"/>
        <v>0</v>
      </c>
      <c r="DS274" t="str">
        <f t="shared" si="316"/>
        <v>Timber</v>
      </c>
      <c r="DT274">
        <v>0</v>
      </c>
      <c r="DU274">
        <v>0</v>
      </c>
      <c r="DV274">
        <v>0</v>
      </c>
      <c r="DW274">
        <v>0</v>
      </c>
      <c r="DX274">
        <v>0</v>
      </c>
      <c r="DY274"/>
      <c r="DZ274" s="143" t="str">
        <f t="shared" si="330"/>
        <v>explicit C balance</v>
      </c>
      <c r="EA274">
        <v>0</v>
      </c>
      <c r="EB274">
        <v>0</v>
      </c>
      <c r="EC274">
        <v>1</v>
      </c>
      <c r="ED274">
        <v>1</v>
      </c>
      <c r="EE274">
        <v>1</v>
      </c>
      <c r="EF274">
        <v>1</v>
      </c>
      <c r="EG274">
        <v>0</v>
      </c>
      <c r="EH274">
        <v>1</v>
      </c>
      <c r="EI274">
        <v>1</v>
      </c>
      <c r="EJ274">
        <v>1</v>
      </c>
      <c r="EK274">
        <v>1</v>
      </c>
      <c r="EL274">
        <v>1</v>
      </c>
      <c r="EM274">
        <v>0</v>
      </c>
      <c r="EN274" s="2">
        <v>0</v>
      </c>
      <c r="EP274" t="str">
        <f t="shared" si="256"/>
        <v>Whole sector approach</v>
      </c>
      <c r="EQ274" t="str">
        <f t="shared" si="297"/>
        <v/>
      </c>
      <c r="ER274" s="2" t="str">
        <f t="shared" si="257"/>
        <v/>
      </c>
      <c r="ES274" t="str">
        <f t="shared" si="258"/>
        <v/>
      </c>
      <c r="ET274" t="str">
        <f t="shared" si="259"/>
        <v/>
      </c>
      <c r="EU274" t="str">
        <f t="shared" si="260"/>
        <v/>
      </c>
      <c r="EV274" s="328" t="s">
        <v>5064</v>
      </c>
      <c r="EY274" t="b">
        <f>IF(ISNUMBER(BW274),IF(ABS(BW274-[1]QC_indicators!$B$2)&gt;3*[1]QC_indicators!$C$2,"C ratio",IF(ISNUMBER(CA274),IF(ABS(CA274-[1]QC_indicators!$B$1)&gt;3*[1]QC_indicators!$C$1,"DF","no"))),IF(ISNUMBER(CA274),IF(ABS(CA274-[1]QC_indicators!$B$1)&gt;3*[1]QC_indicators!$C$1,"DF","no")))</f>
        <v>0</v>
      </c>
      <c r="FA274" t="str">
        <f t="shared" si="261"/>
        <v/>
      </c>
    </row>
    <row r="275" spans="1:157" ht="15" hidden="1" customHeight="1">
      <c r="A275" s="1" t="s">
        <v>654</v>
      </c>
      <c r="B275" t="s">
        <v>3561</v>
      </c>
      <c r="C275" t="s">
        <v>3562</v>
      </c>
      <c r="D275" t="s">
        <v>3563</v>
      </c>
      <c r="E275" t="s">
        <v>3564</v>
      </c>
      <c r="F275" t="s">
        <v>3565</v>
      </c>
      <c r="G275" t="s">
        <v>660</v>
      </c>
      <c r="H275" t="s">
        <v>254</v>
      </c>
      <c r="I275">
        <v>2016</v>
      </c>
      <c r="J275">
        <v>46</v>
      </c>
      <c r="K275" t="s">
        <v>3566</v>
      </c>
      <c r="M275" t="str">
        <f t="shared" si="323"/>
        <v>Penaloza_2016</v>
      </c>
      <c r="N275" s="297" t="s">
        <v>4058</v>
      </c>
      <c r="O275" s="171" t="s">
        <v>508</v>
      </c>
      <c r="P275" t="s">
        <v>508</v>
      </c>
      <c r="Q275" s="297" t="s">
        <v>389</v>
      </c>
      <c r="R275" s="298"/>
      <c r="S275" s="1" t="s">
        <v>3575</v>
      </c>
      <c r="T275" t="s">
        <v>3576</v>
      </c>
      <c r="U275" t="s">
        <v>3575</v>
      </c>
      <c r="X275">
        <v>0</v>
      </c>
      <c r="Y275">
        <v>0</v>
      </c>
      <c r="Z275">
        <v>0</v>
      </c>
      <c r="AA275">
        <v>0</v>
      </c>
      <c r="AB275">
        <v>0</v>
      </c>
      <c r="AC275">
        <v>0</v>
      </c>
      <c r="AD275">
        <v>0</v>
      </c>
      <c r="AE275">
        <v>0</v>
      </c>
      <c r="AF275">
        <v>0</v>
      </c>
      <c r="AG275">
        <v>0</v>
      </c>
      <c r="AH275">
        <v>0</v>
      </c>
      <c r="AI275">
        <v>0</v>
      </c>
      <c r="AJ275">
        <v>0</v>
      </c>
      <c r="AK275">
        <v>0</v>
      </c>
      <c r="AL275">
        <v>0</v>
      </c>
      <c r="AM275">
        <v>1</v>
      </c>
      <c r="AN275">
        <v>0</v>
      </c>
      <c r="AO275">
        <v>0</v>
      </c>
      <c r="AP275">
        <v>0</v>
      </c>
      <c r="AQ275">
        <v>0</v>
      </c>
      <c r="AR275">
        <v>0</v>
      </c>
      <c r="AS275">
        <v>0</v>
      </c>
      <c r="AT275">
        <v>0</v>
      </c>
      <c r="AU275">
        <v>0</v>
      </c>
      <c r="AV275">
        <v>0</v>
      </c>
      <c r="AW275">
        <v>0</v>
      </c>
      <c r="AX275">
        <v>0</v>
      </c>
      <c r="AY275">
        <v>0</v>
      </c>
      <c r="AZ275" s="141">
        <f t="shared" si="298"/>
        <v>1</v>
      </c>
      <c r="BA275" s="141">
        <f t="shared" si="299"/>
        <v>1</v>
      </c>
      <c r="BB275">
        <f t="shared" si="300"/>
        <v>0</v>
      </c>
      <c r="BC275">
        <f t="shared" si="301"/>
        <v>0</v>
      </c>
      <c r="BD275">
        <f t="shared" si="302"/>
        <v>1</v>
      </c>
      <c r="BE275">
        <f t="shared" si="303"/>
        <v>0</v>
      </c>
      <c r="BF275">
        <f t="shared" si="304"/>
        <v>0</v>
      </c>
      <c r="BG275" t="str" cm="1">
        <f t="array" ref="BG275">IF(BA275=1,INDEX($X$7:$AN$7,MATCH(TRUE,INDEX($X275:$AY275&lt;&gt;0,),0)),IF(BA275=0,INDEX($AO$7:$AY$7,MATCH(1,$AO275:$AY275,0)),IF(BH275="Multiple strategies","mixed drivers",IF(BH275="Supply chain","multiple supply","multiple silviculture"))))</f>
        <v>technologies/design switch</v>
      </c>
      <c r="BH275" s="2" t="str" cm="1">
        <f t="array" ref="BH275">IF(COUNTIF(BB275:BD275,"&lt;&gt;0")=1,INDEX($X$4:$AY$4,MATCH(TRUE,INDEX($X275:$AY275&lt;&gt;0,),0)),IF(COUNTIF(BB275:BD275,"&lt;&gt;0")=0,INDEX($AO$4:$AY$4,MATCH(1,$AO275:$AY275,0)),"Multiple strategies"))</f>
        <v>Technology</v>
      </c>
      <c r="BO275" t="str">
        <f t="shared" si="324"/>
        <v/>
      </c>
      <c r="BR275" s="297" t="s">
        <v>232</v>
      </c>
      <c r="BT275" t="s">
        <v>3569</v>
      </c>
      <c r="BU275">
        <v>-463</v>
      </c>
      <c r="BV275">
        <v>-79</v>
      </c>
      <c r="BW275" s="144">
        <f t="shared" si="325"/>
        <v>0.17062634989200864</v>
      </c>
      <c r="BX275">
        <f t="shared" si="326"/>
        <v>384</v>
      </c>
      <c r="BZ275">
        <f t="shared" si="327"/>
        <v>0.38400000000000001</v>
      </c>
      <c r="CA275" t="str">
        <f t="shared" si="252"/>
        <v/>
      </c>
      <c r="CB275">
        <v>0</v>
      </c>
      <c r="CC275">
        <v>0</v>
      </c>
      <c r="CD275">
        <v>0</v>
      </c>
      <c r="CE275">
        <v>0</v>
      </c>
      <c r="CF275">
        <v>0</v>
      </c>
      <c r="CG275">
        <v>0</v>
      </c>
      <c r="CH275">
        <v>0</v>
      </c>
      <c r="CI275">
        <v>0</v>
      </c>
      <c r="CJ275">
        <v>0</v>
      </c>
      <c r="CK275">
        <v>0</v>
      </c>
      <c r="CL275">
        <v>0</v>
      </c>
      <c r="CM275">
        <v>0</v>
      </c>
      <c r="CN275">
        <v>0</v>
      </c>
      <c r="CO275">
        <v>0</v>
      </c>
      <c r="CP275" t="str">
        <f t="shared" si="305"/>
        <v>refOK</v>
      </c>
      <c r="CQ275"/>
      <c r="CR275"/>
      <c r="CS275"/>
      <c r="CT275">
        <f t="shared" si="253"/>
        <v>0</v>
      </c>
      <c r="CU275">
        <f t="shared" si="306"/>
        <v>-463</v>
      </c>
      <c r="CV275">
        <f>IF($CP275="refOK",$BV275,$BU275)*IF($BR275="Emissions positive",-1,1)</f>
        <v>-79</v>
      </c>
      <c r="CW275">
        <f t="shared" si="308"/>
        <v>0.38400000000000001</v>
      </c>
      <c r="CX275" t="str">
        <f t="shared" si="254"/>
        <v/>
      </c>
      <c r="CY275" t="str">
        <f t="shared" si="309"/>
        <v/>
      </c>
      <c r="CZ275" t="str">
        <f t="shared" si="255"/>
        <v/>
      </c>
      <c r="DA275" s="2">
        <f t="shared" si="310"/>
        <v>0.82937365010799136</v>
      </c>
      <c r="DB275" s="1" t="s">
        <v>3472</v>
      </c>
      <c r="DC275" s="297" t="str">
        <f t="shared" si="328"/>
        <v>reg</v>
      </c>
      <c r="DD275" t="s">
        <v>3570</v>
      </c>
      <c r="DG275">
        <v>300</v>
      </c>
      <c r="DH275" t="str">
        <f t="shared" si="311"/>
        <v>+100</v>
      </c>
      <c r="DI275">
        <v>0</v>
      </c>
      <c r="DJ275">
        <v>0</v>
      </c>
      <c r="DK275">
        <v>0</v>
      </c>
      <c r="DL275">
        <v>1</v>
      </c>
      <c r="DM275">
        <v>1</v>
      </c>
      <c r="DN275">
        <f t="shared" si="329"/>
        <v>2</v>
      </c>
      <c r="DO275" t="str">
        <f t="shared" si="312"/>
        <v>mixedProduct</v>
      </c>
      <c r="DP275">
        <f t="shared" si="313"/>
        <v>0</v>
      </c>
      <c r="DQ275">
        <f t="shared" si="314"/>
        <v>0</v>
      </c>
      <c r="DR275">
        <f t="shared" si="315"/>
        <v>0</v>
      </c>
      <c r="DS275" t="str">
        <f t="shared" si="316"/>
        <v>Timber</v>
      </c>
      <c r="DT275">
        <v>0</v>
      </c>
      <c r="DU275">
        <v>0</v>
      </c>
      <c r="DV275">
        <v>0</v>
      </c>
      <c r="DW275">
        <v>0</v>
      </c>
      <c r="DX275">
        <v>0</v>
      </c>
      <c r="DY275"/>
      <c r="DZ275" s="143" t="str">
        <f t="shared" si="330"/>
        <v>explicit C balance</v>
      </c>
      <c r="EA275">
        <v>0</v>
      </c>
      <c r="EB275">
        <v>0</v>
      </c>
      <c r="EC275">
        <v>1</v>
      </c>
      <c r="ED275">
        <v>1</v>
      </c>
      <c r="EE275">
        <v>1</v>
      </c>
      <c r="EF275">
        <v>1</v>
      </c>
      <c r="EG275">
        <v>0</v>
      </c>
      <c r="EH275">
        <v>1</v>
      </c>
      <c r="EI275">
        <v>1</v>
      </c>
      <c r="EJ275">
        <v>1</v>
      </c>
      <c r="EK275">
        <v>1</v>
      </c>
      <c r="EL275">
        <v>1</v>
      </c>
      <c r="EM275">
        <v>0</v>
      </c>
      <c r="EN275" s="2">
        <v>0</v>
      </c>
      <c r="EP275" t="str">
        <f t="shared" si="256"/>
        <v>Whole sector approach</v>
      </c>
      <c r="EQ275" t="str">
        <f t="shared" si="297"/>
        <v/>
      </c>
      <c r="ER275" s="2" t="str">
        <f t="shared" si="257"/>
        <v/>
      </c>
      <c r="ES275" t="str">
        <f t="shared" si="258"/>
        <v/>
      </c>
      <c r="ET275" t="str">
        <f t="shared" si="259"/>
        <v/>
      </c>
      <c r="EU275" t="str">
        <f t="shared" si="260"/>
        <v/>
      </c>
      <c r="EV275" s="328" t="s">
        <v>5064</v>
      </c>
      <c r="EY275" t="b">
        <f>IF(ISNUMBER(BW275),IF(ABS(BW275-[1]QC_indicators!$B$2)&gt;3*[1]QC_indicators!$C$2,"C ratio",IF(ISNUMBER(CA275),IF(ABS(CA275-[1]QC_indicators!$B$1)&gt;3*[1]QC_indicators!$C$1,"DF","no"))),IF(ISNUMBER(CA275),IF(ABS(CA275-[1]QC_indicators!$B$1)&gt;3*[1]QC_indicators!$C$1,"DF","no")))</f>
        <v>0</v>
      </c>
      <c r="FA275" t="str">
        <f t="shared" si="261"/>
        <v/>
      </c>
    </row>
    <row r="276" spans="1:157" ht="15" hidden="1" customHeight="1">
      <c r="A276" s="1" t="s">
        <v>654</v>
      </c>
      <c r="B276" t="s">
        <v>3561</v>
      </c>
      <c r="C276" t="s">
        <v>3562</v>
      </c>
      <c r="D276" t="s">
        <v>3563</v>
      </c>
      <c r="E276" t="s">
        <v>3564</v>
      </c>
      <c r="F276" t="s">
        <v>3565</v>
      </c>
      <c r="G276" t="s">
        <v>660</v>
      </c>
      <c r="H276" t="s">
        <v>254</v>
      </c>
      <c r="I276">
        <v>2016</v>
      </c>
      <c r="J276">
        <v>46</v>
      </c>
      <c r="K276" t="s">
        <v>3566</v>
      </c>
      <c r="M276" t="str">
        <f t="shared" si="323"/>
        <v>Penaloza_2016</v>
      </c>
      <c r="N276" s="297" t="s">
        <v>4058</v>
      </c>
      <c r="O276" s="171" t="s">
        <v>508</v>
      </c>
      <c r="P276" t="s">
        <v>508</v>
      </c>
      <c r="Q276" s="297" t="s">
        <v>389</v>
      </c>
      <c r="R276" s="298"/>
      <c r="S276" s="1" t="s">
        <v>3575</v>
      </c>
      <c r="T276" t="s">
        <v>3576</v>
      </c>
      <c r="U276" t="s">
        <v>3575</v>
      </c>
      <c r="X276">
        <v>0</v>
      </c>
      <c r="Y276">
        <v>0</v>
      </c>
      <c r="Z276">
        <v>0</v>
      </c>
      <c r="AA276">
        <v>0</v>
      </c>
      <c r="AB276">
        <v>0</v>
      </c>
      <c r="AC276">
        <v>0</v>
      </c>
      <c r="AD276">
        <v>0</v>
      </c>
      <c r="AE276">
        <v>0</v>
      </c>
      <c r="AF276">
        <v>0</v>
      </c>
      <c r="AG276">
        <v>0</v>
      </c>
      <c r="AH276">
        <v>0</v>
      </c>
      <c r="AI276">
        <v>0</v>
      </c>
      <c r="AJ276">
        <v>0</v>
      </c>
      <c r="AK276">
        <v>0</v>
      </c>
      <c r="AL276">
        <v>0</v>
      </c>
      <c r="AM276">
        <v>1</v>
      </c>
      <c r="AN276">
        <v>0</v>
      </c>
      <c r="AO276">
        <v>0</v>
      </c>
      <c r="AP276">
        <v>0</v>
      </c>
      <c r="AQ276">
        <v>0</v>
      </c>
      <c r="AR276">
        <v>0</v>
      </c>
      <c r="AS276">
        <v>0</v>
      </c>
      <c r="AT276">
        <v>0</v>
      </c>
      <c r="AU276">
        <v>0</v>
      </c>
      <c r="AV276">
        <v>0</v>
      </c>
      <c r="AW276">
        <v>0</v>
      </c>
      <c r="AX276">
        <v>0</v>
      </c>
      <c r="AY276">
        <v>0</v>
      </c>
      <c r="AZ276" s="141">
        <f t="shared" si="298"/>
        <v>1</v>
      </c>
      <c r="BA276" s="141">
        <f t="shared" si="299"/>
        <v>1</v>
      </c>
      <c r="BB276">
        <f t="shared" si="300"/>
        <v>0</v>
      </c>
      <c r="BC276">
        <f t="shared" si="301"/>
        <v>0</v>
      </c>
      <c r="BD276">
        <f t="shared" si="302"/>
        <v>1</v>
      </c>
      <c r="BE276">
        <f t="shared" si="303"/>
        <v>0</v>
      </c>
      <c r="BF276">
        <f t="shared" si="304"/>
        <v>0</v>
      </c>
      <c r="BG276" t="str" cm="1">
        <f t="array" ref="BG276">IF(BA276=1,INDEX($X$7:$AN$7,MATCH(TRUE,INDEX($X276:$AY276&lt;&gt;0,),0)),IF(BA276=0,INDEX($AO$7:$AY$7,MATCH(1,$AO276:$AY276,0)),IF(BH276="Multiple strategies","mixed drivers",IF(BH276="Supply chain","multiple supply","multiple silviculture"))))</f>
        <v>technologies/design switch</v>
      </c>
      <c r="BH276" s="2" t="str" cm="1">
        <f t="array" ref="BH276">IF(COUNTIF(BB276:BD276,"&lt;&gt;0")=1,INDEX($X$4:$AY$4,MATCH(TRUE,INDEX($X276:$AY276&lt;&gt;0,),0)),IF(COUNTIF(BB276:BD276,"&lt;&gt;0")=0,INDEX($AO$4:$AY$4,MATCH(1,$AO276:$AY276,0)),"Multiple strategies"))</f>
        <v>Technology</v>
      </c>
      <c r="BO276" t="str">
        <f t="shared" si="324"/>
        <v/>
      </c>
      <c r="BR276" s="297" t="s">
        <v>232</v>
      </c>
      <c r="BT276" t="s">
        <v>3569</v>
      </c>
      <c r="BU276">
        <v>-462</v>
      </c>
      <c r="BV276">
        <v>-5</v>
      </c>
      <c r="BW276" s="144">
        <f t="shared" si="325"/>
        <v>1.0822510822510822E-2</v>
      </c>
      <c r="BX276">
        <f t="shared" si="326"/>
        <v>457</v>
      </c>
      <c r="BZ276">
        <f t="shared" si="327"/>
        <v>0.45700000000000002</v>
      </c>
      <c r="CA276" t="str">
        <f t="shared" si="252"/>
        <v/>
      </c>
      <c r="CB276">
        <v>0</v>
      </c>
      <c r="CC276">
        <v>0</v>
      </c>
      <c r="CD276">
        <v>0</v>
      </c>
      <c r="CE276">
        <v>0</v>
      </c>
      <c r="CF276">
        <v>0</v>
      </c>
      <c r="CG276">
        <v>0</v>
      </c>
      <c r="CH276">
        <v>0</v>
      </c>
      <c r="CI276">
        <v>0</v>
      </c>
      <c r="CJ276">
        <v>0</v>
      </c>
      <c r="CK276">
        <v>0</v>
      </c>
      <c r="CL276">
        <v>0</v>
      </c>
      <c r="CM276">
        <v>0</v>
      </c>
      <c r="CN276">
        <v>0</v>
      </c>
      <c r="CO276">
        <v>0</v>
      </c>
      <c r="CP276" t="str">
        <f t="shared" si="305"/>
        <v>refOK</v>
      </c>
      <c r="CQ276"/>
      <c r="CR276"/>
      <c r="CS276"/>
      <c r="CT276">
        <f t="shared" si="253"/>
        <v>0</v>
      </c>
      <c r="CU276">
        <f t="shared" si="306"/>
        <v>-462</v>
      </c>
      <c r="CV276">
        <f>IF($CP276="refOK",$BV276,$BU276)*IF($BR276="Emissions positive",-1,1)</f>
        <v>-5</v>
      </c>
      <c r="CW276">
        <f t="shared" si="308"/>
        <v>0.45700000000000002</v>
      </c>
      <c r="CX276" t="str">
        <f t="shared" si="254"/>
        <v/>
      </c>
      <c r="CY276" t="str">
        <f t="shared" si="309"/>
        <v/>
      </c>
      <c r="CZ276" t="str">
        <f t="shared" si="255"/>
        <v/>
      </c>
      <c r="DA276" s="2">
        <f t="shared" si="310"/>
        <v>0.98917748917748916</v>
      </c>
      <c r="DB276" s="1" t="s">
        <v>3472</v>
      </c>
      <c r="DC276" s="297" t="str">
        <f t="shared" si="328"/>
        <v>reg</v>
      </c>
      <c r="DD276" t="s">
        <v>3570</v>
      </c>
      <c r="DG276">
        <v>100</v>
      </c>
      <c r="DH276" t="str">
        <f t="shared" si="311"/>
        <v>71-100</v>
      </c>
      <c r="DI276">
        <v>0</v>
      </c>
      <c r="DJ276">
        <v>0</v>
      </c>
      <c r="DK276">
        <v>0</v>
      </c>
      <c r="DL276">
        <v>1</v>
      </c>
      <c r="DM276">
        <v>1</v>
      </c>
      <c r="DN276">
        <f t="shared" si="329"/>
        <v>2</v>
      </c>
      <c r="DO276" t="str">
        <f t="shared" si="312"/>
        <v>mixedProduct</v>
      </c>
      <c r="DP276">
        <f t="shared" si="313"/>
        <v>0</v>
      </c>
      <c r="DQ276">
        <f t="shared" si="314"/>
        <v>0</v>
      </c>
      <c r="DR276">
        <f t="shared" si="315"/>
        <v>0</v>
      </c>
      <c r="DS276" t="str">
        <f t="shared" si="316"/>
        <v>Timber</v>
      </c>
      <c r="DT276">
        <v>0</v>
      </c>
      <c r="DU276">
        <v>0</v>
      </c>
      <c r="DV276">
        <v>0</v>
      </c>
      <c r="DW276">
        <v>0</v>
      </c>
      <c r="DX276">
        <v>0</v>
      </c>
      <c r="DY276"/>
      <c r="DZ276" s="143" t="str">
        <f t="shared" si="330"/>
        <v>explicit C balance</v>
      </c>
      <c r="EA276">
        <v>0</v>
      </c>
      <c r="EB276">
        <v>0</v>
      </c>
      <c r="EC276">
        <v>1</v>
      </c>
      <c r="ED276">
        <v>1</v>
      </c>
      <c r="EE276">
        <v>1</v>
      </c>
      <c r="EF276">
        <v>1</v>
      </c>
      <c r="EG276">
        <v>0</v>
      </c>
      <c r="EH276">
        <v>1</v>
      </c>
      <c r="EI276">
        <v>1</v>
      </c>
      <c r="EJ276">
        <v>1</v>
      </c>
      <c r="EK276">
        <v>1</v>
      </c>
      <c r="EL276">
        <v>1</v>
      </c>
      <c r="EM276">
        <v>0</v>
      </c>
      <c r="EN276" s="2">
        <v>0</v>
      </c>
      <c r="EP276" t="str">
        <f t="shared" si="256"/>
        <v>Whole sector approach</v>
      </c>
      <c r="EQ276" t="str">
        <f t="shared" si="297"/>
        <v/>
      </c>
      <c r="ER276" s="2" t="str">
        <f t="shared" si="257"/>
        <v/>
      </c>
      <c r="ES276" t="str">
        <f t="shared" si="258"/>
        <v/>
      </c>
      <c r="ET276" t="str">
        <f t="shared" si="259"/>
        <v/>
      </c>
      <c r="EU276" t="str">
        <f t="shared" si="260"/>
        <v/>
      </c>
      <c r="EV276" s="328" t="s">
        <v>5064</v>
      </c>
      <c r="EY276" t="b">
        <f>IF(ISNUMBER(BW276),IF(ABS(BW276-[1]QC_indicators!$B$2)&gt;3*[1]QC_indicators!$C$2,"C ratio",IF(ISNUMBER(CA276),IF(ABS(CA276-[1]QC_indicators!$B$1)&gt;3*[1]QC_indicators!$C$1,"DF","no"))),IF(ISNUMBER(CA276),IF(ABS(CA276-[1]QC_indicators!$B$1)&gt;3*[1]QC_indicators!$C$1,"DF","no")))</f>
        <v>0</v>
      </c>
      <c r="FA276" t="str">
        <f t="shared" si="261"/>
        <v/>
      </c>
    </row>
    <row r="277" spans="1:157" ht="15" hidden="1" customHeight="1">
      <c r="A277" s="1" t="s">
        <v>654</v>
      </c>
      <c r="B277" t="s">
        <v>3561</v>
      </c>
      <c r="C277" t="s">
        <v>3562</v>
      </c>
      <c r="D277" t="s">
        <v>3563</v>
      </c>
      <c r="E277" t="s">
        <v>3564</v>
      </c>
      <c r="F277" t="s">
        <v>3565</v>
      </c>
      <c r="G277" t="s">
        <v>660</v>
      </c>
      <c r="H277" t="s">
        <v>254</v>
      </c>
      <c r="I277">
        <v>2016</v>
      </c>
      <c r="J277">
        <v>46</v>
      </c>
      <c r="K277" t="s">
        <v>3566</v>
      </c>
      <c r="M277" t="str">
        <f t="shared" si="323"/>
        <v>Penaloza_2016</v>
      </c>
      <c r="N277" s="297" t="s">
        <v>4058</v>
      </c>
      <c r="O277" s="171" t="s">
        <v>508</v>
      </c>
      <c r="P277" t="s">
        <v>508</v>
      </c>
      <c r="Q277" s="297" t="s">
        <v>389</v>
      </c>
      <c r="R277" s="298"/>
      <c r="S277" s="1" t="s">
        <v>3577</v>
      </c>
      <c r="T277" t="s">
        <v>3576</v>
      </c>
      <c r="U277" t="s">
        <v>3577</v>
      </c>
      <c r="X277">
        <v>0</v>
      </c>
      <c r="Y277">
        <v>0</v>
      </c>
      <c r="Z277">
        <v>0</v>
      </c>
      <c r="AA277">
        <v>0</v>
      </c>
      <c r="AB277">
        <v>0</v>
      </c>
      <c r="AC277">
        <v>0</v>
      </c>
      <c r="AD277">
        <v>0</v>
      </c>
      <c r="AE277">
        <v>0</v>
      </c>
      <c r="AF277">
        <v>0</v>
      </c>
      <c r="AG277">
        <v>0</v>
      </c>
      <c r="AH277">
        <v>0</v>
      </c>
      <c r="AI277">
        <v>0</v>
      </c>
      <c r="AJ277">
        <v>0</v>
      </c>
      <c r="AK277">
        <v>0</v>
      </c>
      <c r="AL277">
        <v>0</v>
      </c>
      <c r="AM277">
        <v>1</v>
      </c>
      <c r="AN277">
        <v>0</v>
      </c>
      <c r="AO277">
        <v>0</v>
      </c>
      <c r="AP277">
        <v>0</v>
      </c>
      <c r="AQ277">
        <v>0</v>
      </c>
      <c r="AR277">
        <v>0</v>
      </c>
      <c r="AS277">
        <v>0</v>
      </c>
      <c r="AT277">
        <v>0</v>
      </c>
      <c r="AU277">
        <v>0</v>
      </c>
      <c r="AV277">
        <v>0</v>
      </c>
      <c r="AW277">
        <v>0</v>
      </c>
      <c r="AX277">
        <v>0</v>
      </c>
      <c r="AY277">
        <v>0</v>
      </c>
      <c r="AZ277" s="141">
        <f t="shared" si="298"/>
        <v>1</v>
      </c>
      <c r="BA277" s="141">
        <f t="shared" si="299"/>
        <v>1</v>
      </c>
      <c r="BB277">
        <f t="shared" si="300"/>
        <v>0</v>
      </c>
      <c r="BC277">
        <f t="shared" si="301"/>
        <v>0</v>
      </c>
      <c r="BD277">
        <f t="shared" si="302"/>
        <v>1</v>
      </c>
      <c r="BE277">
        <f t="shared" si="303"/>
        <v>0</v>
      </c>
      <c r="BF277">
        <f t="shared" si="304"/>
        <v>0</v>
      </c>
      <c r="BG277" t="str" cm="1">
        <f t="array" ref="BG277">IF(BA277=1,INDEX($X$7:$AN$7,MATCH(TRUE,INDEX($X277:$AY277&lt;&gt;0,),0)),IF(BA277=0,INDEX($AO$7:$AY$7,MATCH(1,$AO277:$AY277,0)),IF(BH277="Multiple strategies","mixed drivers",IF(BH277="Supply chain","multiple supply","multiple silviculture"))))</f>
        <v>technologies/design switch</v>
      </c>
      <c r="BH277" s="2" t="str" cm="1">
        <f t="array" ref="BH277">IF(COUNTIF(BB277:BD277,"&lt;&gt;0")=1,INDEX($X$4:$AY$4,MATCH(TRUE,INDEX($X277:$AY277&lt;&gt;0,),0)),IF(COUNTIF(BB277:BD277,"&lt;&gt;0")=0,INDEX($AO$4:$AY$4,MATCH(1,$AO277:$AY277,0)),"Multiple strategies"))</f>
        <v>Technology</v>
      </c>
      <c r="BO277" t="str">
        <f t="shared" si="324"/>
        <v/>
      </c>
      <c r="BR277" s="297" t="s">
        <v>232</v>
      </c>
      <c r="BT277" t="s">
        <v>3569</v>
      </c>
      <c r="BU277">
        <v>-463</v>
      </c>
      <c r="BV277">
        <v>70</v>
      </c>
      <c r="BW277" s="144">
        <f t="shared" si="325"/>
        <v>-0.15118790496760259</v>
      </c>
      <c r="BX277">
        <f t="shared" si="326"/>
        <v>533</v>
      </c>
      <c r="BZ277">
        <f t="shared" si="327"/>
        <v>0.53300000000000003</v>
      </c>
      <c r="CA277" t="str">
        <f t="shared" si="252"/>
        <v/>
      </c>
      <c r="CB277">
        <v>0</v>
      </c>
      <c r="CC277">
        <v>0</v>
      </c>
      <c r="CD277">
        <v>0</v>
      </c>
      <c r="CE277">
        <v>0</v>
      </c>
      <c r="CF277">
        <v>0</v>
      </c>
      <c r="CG277">
        <v>0</v>
      </c>
      <c r="CH277">
        <v>0</v>
      </c>
      <c r="CI277">
        <v>0</v>
      </c>
      <c r="CJ277">
        <v>0</v>
      </c>
      <c r="CK277">
        <v>0</v>
      </c>
      <c r="CL277">
        <v>0</v>
      </c>
      <c r="CM277">
        <v>0</v>
      </c>
      <c r="CN277">
        <v>0</v>
      </c>
      <c r="CO277">
        <v>0</v>
      </c>
      <c r="CP277" t="str">
        <f t="shared" si="305"/>
        <v>refOK</v>
      </c>
      <c r="CQ277"/>
      <c r="CR277"/>
      <c r="CS277"/>
      <c r="CT277">
        <f t="shared" si="253"/>
        <v>0</v>
      </c>
      <c r="CU277">
        <f t="shared" si="306"/>
        <v>-463</v>
      </c>
      <c r="CV277">
        <f>IF($CP277="refOK",$BV277,$BU277)*IF($BR277="Emissions positive",-1,1)</f>
        <v>70</v>
      </c>
      <c r="CW277">
        <f t="shared" si="308"/>
        <v>0.53300000000000003</v>
      </c>
      <c r="CX277" t="str">
        <f t="shared" si="254"/>
        <v/>
      </c>
      <c r="CY277" t="str">
        <f t="shared" si="309"/>
        <v/>
      </c>
      <c r="CZ277" t="str">
        <f t="shared" si="255"/>
        <v/>
      </c>
      <c r="DA277" s="2">
        <f t="shared" si="310"/>
        <v>1.1511879049676026</v>
      </c>
      <c r="DB277" s="1" t="s">
        <v>3472</v>
      </c>
      <c r="DC277" s="297" t="str">
        <f t="shared" si="328"/>
        <v>reg</v>
      </c>
      <c r="DD277" t="s">
        <v>3570</v>
      </c>
      <c r="DG277">
        <v>300</v>
      </c>
      <c r="DH277" t="str">
        <f t="shared" si="311"/>
        <v>+100</v>
      </c>
      <c r="DI277">
        <v>0</v>
      </c>
      <c r="DJ277">
        <v>0</v>
      </c>
      <c r="DK277">
        <v>0</v>
      </c>
      <c r="DL277">
        <v>1</v>
      </c>
      <c r="DM277">
        <v>1</v>
      </c>
      <c r="DN277">
        <f t="shared" si="329"/>
        <v>2</v>
      </c>
      <c r="DO277" t="str">
        <f t="shared" si="312"/>
        <v>mixedProduct</v>
      </c>
      <c r="DP277">
        <f t="shared" si="313"/>
        <v>0</v>
      </c>
      <c r="DQ277">
        <f t="shared" si="314"/>
        <v>0</v>
      </c>
      <c r="DR277">
        <f t="shared" si="315"/>
        <v>0</v>
      </c>
      <c r="DS277" t="str">
        <f t="shared" si="316"/>
        <v>Timber</v>
      </c>
      <c r="DT277">
        <v>0</v>
      </c>
      <c r="DU277">
        <v>0</v>
      </c>
      <c r="DV277">
        <v>0</v>
      </c>
      <c r="DW277">
        <v>0</v>
      </c>
      <c r="DX277">
        <v>0</v>
      </c>
      <c r="DY277"/>
      <c r="DZ277" s="143" t="str">
        <f t="shared" si="330"/>
        <v>explicit C balance</v>
      </c>
      <c r="EA277">
        <v>0</v>
      </c>
      <c r="EB277">
        <v>0</v>
      </c>
      <c r="EC277">
        <v>1</v>
      </c>
      <c r="ED277">
        <v>1</v>
      </c>
      <c r="EE277">
        <v>1</v>
      </c>
      <c r="EF277">
        <v>1</v>
      </c>
      <c r="EG277">
        <v>0</v>
      </c>
      <c r="EH277">
        <v>1</v>
      </c>
      <c r="EI277">
        <v>1</v>
      </c>
      <c r="EJ277">
        <v>1</v>
      </c>
      <c r="EK277">
        <v>1</v>
      </c>
      <c r="EL277">
        <v>1</v>
      </c>
      <c r="EM277">
        <v>0</v>
      </c>
      <c r="EN277" s="2">
        <v>0</v>
      </c>
      <c r="EP277" t="str">
        <f t="shared" si="256"/>
        <v>Whole sector approach</v>
      </c>
      <c r="EQ277" t="str">
        <f t="shared" si="297"/>
        <v/>
      </c>
      <c r="ER277" s="2" t="str">
        <f t="shared" si="257"/>
        <v/>
      </c>
      <c r="ES277" t="str">
        <f t="shared" si="258"/>
        <v/>
      </c>
      <c r="ET277" t="str">
        <f t="shared" si="259"/>
        <v/>
      </c>
      <c r="EU277" t="str">
        <f t="shared" si="260"/>
        <v/>
      </c>
      <c r="EV277" s="328" t="s">
        <v>5064</v>
      </c>
      <c r="EY277" t="b">
        <f>IF(ISNUMBER(BW277),IF(ABS(BW277-[1]QC_indicators!$B$2)&gt;3*[1]QC_indicators!$C$2,"C ratio",IF(ISNUMBER(CA277),IF(ABS(CA277-[1]QC_indicators!$B$1)&gt;3*[1]QC_indicators!$C$1,"DF","no"))),IF(ISNUMBER(CA277),IF(ABS(CA277-[1]QC_indicators!$B$1)&gt;3*[1]QC_indicators!$C$1,"DF","no")))</f>
        <v>0</v>
      </c>
      <c r="FA277" t="str">
        <f t="shared" si="261"/>
        <v/>
      </c>
    </row>
    <row r="278" spans="1:157" ht="15" hidden="1" customHeight="1">
      <c r="A278" s="1" t="s">
        <v>654</v>
      </c>
      <c r="B278" t="s">
        <v>3561</v>
      </c>
      <c r="C278" t="s">
        <v>3562</v>
      </c>
      <c r="D278" t="s">
        <v>3563</v>
      </c>
      <c r="E278" t="s">
        <v>3564</v>
      </c>
      <c r="F278" t="s">
        <v>3565</v>
      </c>
      <c r="G278" t="s">
        <v>660</v>
      </c>
      <c r="H278" t="s">
        <v>254</v>
      </c>
      <c r="I278">
        <v>2016</v>
      </c>
      <c r="J278">
        <v>46</v>
      </c>
      <c r="K278" t="s">
        <v>3566</v>
      </c>
      <c r="M278" t="str">
        <f t="shared" si="323"/>
        <v>Penaloza_2016</v>
      </c>
      <c r="N278" s="297" t="s">
        <v>4058</v>
      </c>
      <c r="O278" s="171" t="s">
        <v>508</v>
      </c>
      <c r="P278" t="s">
        <v>508</v>
      </c>
      <c r="Q278" s="297" t="s">
        <v>389</v>
      </c>
      <c r="R278" s="298"/>
      <c r="S278" s="1" t="s">
        <v>3577</v>
      </c>
      <c r="T278" t="s">
        <v>3576</v>
      </c>
      <c r="U278" t="s">
        <v>3577</v>
      </c>
      <c r="X278">
        <v>0</v>
      </c>
      <c r="Y278">
        <v>0</v>
      </c>
      <c r="Z278">
        <v>0</v>
      </c>
      <c r="AA278">
        <v>0</v>
      </c>
      <c r="AB278">
        <v>0</v>
      </c>
      <c r="AC278">
        <v>0</v>
      </c>
      <c r="AD278">
        <v>0</v>
      </c>
      <c r="AE278">
        <v>0</v>
      </c>
      <c r="AF278">
        <v>0</v>
      </c>
      <c r="AG278">
        <v>0</v>
      </c>
      <c r="AH278">
        <v>0</v>
      </c>
      <c r="AI278">
        <v>0</v>
      </c>
      <c r="AJ278">
        <v>0</v>
      </c>
      <c r="AK278">
        <v>0</v>
      </c>
      <c r="AL278">
        <v>0</v>
      </c>
      <c r="AM278">
        <v>1</v>
      </c>
      <c r="AN278">
        <v>0</v>
      </c>
      <c r="AO278">
        <v>0</v>
      </c>
      <c r="AP278">
        <v>0</v>
      </c>
      <c r="AQ278">
        <v>0</v>
      </c>
      <c r="AR278">
        <v>0</v>
      </c>
      <c r="AS278">
        <v>0</v>
      </c>
      <c r="AT278">
        <v>0</v>
      </c>
      <c r="AU278">
        <v>0</v>
      </c>
      <c r="AV278">
        <v>0</v>
      </c>
      <c r="AW278">
        <v>0</v>
      </c>
      <c r="AX278">
        <v>0</v>
      </c>
      <c r="AY278">
        <v>0</v>
      </c>
      <c r="AZ278" s="141">
        <f t="shared" si="298"/>
        <v>1</v>
      </c>
      <c r="BA278" s="141">
        <f t="shared" si="299"/>
        <v>1</v>
      </c>
      <c r="BB278">
        <f t="shared" si="300"/>
        <v>0</v>
      </c>
      <c r="BC278">
        <f t="shared" si="301"/>
        <v>0</v>
      </c>
      <c r="BD278">
        <f t="shared" si="302"/>
        <v>1</v>
      </c>
      <c r="BE278">
        <f t="shared" si="303"/>
        <v>0</v>
      </c>
      <c r="BF278">
        <f t="shared" si="304"/>
        <v>0</v>
      </c>
      <c r="BG278" t="str" cm="1">
        <f t="array" ref="BG278">IF(BA278=1,INDEX($X$7:$AN$7,MATCH(TRUE,INDEX($X278:$AY278&lt;&gt;0,),0)),IF(BA278=0,INDEX($AO$7:$AY$7,MATCH(1,$AO278:$AY278,0)),IF(BH278="Multiple strategies","mixed drivers",IF(BH278="Supply chain","multiple supply","multiple silviculture"))))</f>
        <v>technologies/design switch</v>
      </c>
      <c r="BH278" s="2" t="str" cm="1">
        <f t="array" ref="BH278">IF(COUNTIF(BB278:BD278,"&lt;&gt;0")=1,INDEX($X$4:$AY$4,MATCH(TRUE,INDEX($X278:$AY278&lt;&gt;0,),0)),IF(COUNTIF(BB278:BD278,"&lt;&gt;0")=0,INDEX($AO$4:$AY$4,MATCH(1,$AO278:$AY278,0)),"Multiple strategies"))</f>
        <v>Technology</v>
      </c>
      <c r="BO278" t="str">
        <f t="shared" si="324"/>
        <v/>
      </c>
      <c r="BR278" s="297" t="s">
        <v>232</v>
      </c>
      <c r="BT278" t="s">
        <v>3569</v>
      </c>
      <c r="BU278">
        <v>-462</v>
      </c>
      <c r="BV278">
        <v>188</v>
      </c>
      <c r="BW278" s="144">
        <f t="shared" si="325"/>
        <v>-0.40692640692640691</v>
      </c>
      <c r="BX278">
        <f t="shared" si="326"/>
        <v>650</v>
      </c>
      <c r="BZ278">
        <f t="shared" si="327"/>
        <v>0.65</v>
      </c>
      <c r="CA278" t="str">
        <f t="shared" si="252"/>
        <v/>
      </c>
      <c r="CB278">
        <v>0</v>
      </c>
      <c r="CC278">
        <v>0</v>
      </c>
      <c r="CD278">
        <v>0</v>
      </c>
      <c r="CE278">
        <v>0</v>
      </c>
      <c r="CF278">
        <v>0</v>
      </c>
      <c r="CG278">
        <v>0</v>
      </c>
      <c r="CH278">
        <v>0</v>
      </c>
      <c r="CI278">
        <v>0</v>
      </c>
      <c r="CJ278">
        <v>0</v>
      </c>
      <c r="CK278">
        <v>0</v>
      </c>
      <c r="CL278">
        <v>0</v>
      </c>
      <c r="CM278">
        <v>0</v>
      </c>
      <c r="CN278">
        <v>0</v>
      </c>
      <c r="CO278">
        <v>0</v>
      </c>
      <c r="CP278" t="str">
        <f t="shared" si="305"/>
        <v>refOK</v>
      </c>
      <c r="CQ278"/>
      <c r="CR278"/>
      <c r="CS278"/>
      <c r="CT278">
        <f t="shared" si="253"/>
        <v>0</v>
      </c>
      <c r="CU278">
        <f t="shared" si="306"/>
        <v>-462</v>
      </c>
      <c r="CV278">
        <v>188</v>
      </c>
      <c r="CW278">
        <f t="shared" si="308"/>
        <v>0.65</v>
      </c>
      <c r="CX278" t="str">
        <f t="shared" si="254"/>
        <v/>
      </c>
      <c r="CY278" t="str">
        <f t="shared" si="309"/>
        <v/>
      </c>
      <c r="CZ278" t="str">
        <f t="shared" si="255"/>
        <v/>
      </c>
      <c r="DA278" s="2">
        <f t="shared" si="310"/>
        <v>1.4069264069264069</v>
      </c>
      <c r="DB278" s="1" t="s">
        <v>3472</v>
      </c>
      <c r="DC278" s="297" t="str">
        <f t="shared" si="328"/>
        <v>reg</v>
      </c>
      <c r="DD278" t="s">
        <v>3570</v>
      </c>
      <c r="DG278">
        <v>100</v>
      </c>
      <c r="DH278" t="str">
        <f t="shared" si="311"/>
        <v>71-100</v>
      </c>
      <c r="DI278">
        <v>0</v>
      </c>
      <c r="DJ278">
        <v>0</v>
      </c>
      <c r="DK278">
        <v>0</v>
      </c>
      <c r="DL278">
        <v>1</v>
      </c>
      <c r="DM278">
        <v>1</v>
      </c>
      <c r="DN278">
        <f t="shared" si="329"/>
        <v>2</v>
      </c>
      <c r="DO278" t="str">
        <f t="shared" si="312"/>
        <v>mixedProduct</v>
      </c>
      <c r="DP278">
        <f t="shared" si="313"/>
        <v>0</v>
      </c>
      <c r="DQ278">
        <f t="shared" si="314"/>
        <v>0</v>
      </c>
      <c r="DR278">
        <f t="shared" si="315"/>
        <v>0</v>
      </c>
      <c r="DS278" t="str">
        <f t="shared" si="316"/>
        <v>Timber</v>
      </c>
      <c r="DT278">
        <v>0</v>
      </c>
      <c r="DU278">
        <v>0</v>
      </c>
      <c r="DV278">
        <v>0</v>
      </c>
      <c r="DW278">
        <v>0</v>
      </c>
      <c r="DX278">
        <v>0</v>
      </c>
      <c r="DY278"/>
      <c r="DZ278" s="143" t="str">
        <f t="shared" si="330"/>
        <v>explicit C balance</v>
      </c>
      <c r="EA278">
        <v>0</v>
      </c>
      <c r="EB278">
        <v>0</v>
      </c>
      <c r="EC278">
        <v>1</v>
      </c>
      <c r="ED278">
        <v>1</v>
      </c>
      <c r="EE278">
        <v>1</v>
      </c>
      <c r="EF278">
        <v>1</v>
      </c>
      <c r="EG278">
        <v>0</v>
      </c>
      <c r="EH278">
        <v>1</v>
      </c>
      <c r="EI278">
        <v>1</v>
      </c>
      <c r="EJ278">
        <v>1</v>
      </c>
      <c r="EK278">
        <v>1</v>
      </c>
      <c r="EL278">
        <v>1</v>
      </c>
      <c r="EM278">
        <v>0</v>
      </c>
      <c r="EN278" s="2">
        <v>0</v>
      </c>
      <c r="EP278" t="str">
        <f t="shared" si="256"/>
        <v>Whole sector approach</v>
      </c>
      <c r="EQ278" t="str">
        <f t="shared" si="297"/>
        <v/>
      </c>
      <c r="ER278" s="2" t="str">
        <f t="shared" si="257"/>
        <v/>
      </c>
      <c r="ES278" t="str">
        <f t="shared" si="258"/>
        <v/>
      </c>
      <c r="ET278" t="str">
        <f t="shared" si="259"/>
        <v/>
      </c>
      <c r="EU278" t="str">
        <f t="shared" si="260"/>
        <v/>
      </c>
      <c r="EV278" s="328" t="s">
        <v>5064</v>
      </c>
      <c r="EY278" t="b">
        <f>IF(ISNUMBER(BW278),IF(ABS(BW278-[1]QC_indicators!$B$2)&gt;3*[1]QC_indicators!$C$2,"C ratio",IF(ISNUMBER(CA278),IF(ABS(CA278-[1]QC_indicators!$B$1)&gt;3*[1]QC_indicators!$C$1,"DF","no"))),IF(ISNUMBER(CA278),IF(ABS(CA278-[1]QC_indicators!$B$1)&gt;3*[1]QC_indicators!$C$1,"DF","no")))</f>
        <v>0</v>
      </c>
      <c r="FA278" t="str">
        <f t="shared" si="261"/>
        <v/>
      </c>
    </row>
    <row r="279" spans="1:157" ht="15" hidden="1" customHeight="1">
      <c r="A279" s="1" t="s">
        <v>654</v>
      </c>
      <c r="B279" t="s">
        <v>3561</v>
      </c>
      <c r="C279" t="s">
        <v>3562</v>
      </c>
      <c r="D279" t="s">
        <v>3563</v>
      </c>
      <c r="E279" s="297" t="s">
        <v>3564</v>
      </c>
      <c r="F279" t="s">
        <v>3565</v>
      </c>
      <c r="G279" t="s">
        <v>660</v>
      </c>
      <c r="H279" t="s">
        <v>254</v>
      </c>
      <c r="I279">
        <v>2016</v>
      </c>
      <c r="J279">
        <v>46</v>
      </c>
      <c r="K279" t="s">
        <v>3566</v>
      </c>
      <c r="M279" t="str">
        <f t="shared" si="323"/>
        <v>Penaloza_2016</v>
      </c>
      <c r="N279" s="297" t="s">
        <v>4058</v>
      </c>
      <c r="O279" s="171" t="s">
        <v>508</v>
      </c>
      <c r="P279" t="s">
        <v>508</v>
      </c>
      <c r="Q279" s="297" t="s">
        <v>389</v>
      </c>
      <c r="R279" s="298"/>
      <c r="S279" s="1" t="s">
        <v>3567</v>
      </c>
      <c r="T279" t="s">
        <v>3568</v>
      </c>
      <c r="U279" t="s">
        <v>3567</v>
      </c>
      <c r="X279">
        <v>0</v>
      </c>
      <c r="Y279">
        <v>0</v>
      </c>
      <c r="Z279">
        <v>0</v>
      </c>
      <c r="AA279">
        <v>0</v>
      </c>
      <c r="AB279">
        <v>0</v>
      </c>
      <c r="AC279">
        <v>0</v>
      </c>
      <c r="AD279">
        <v>0</v>
      </c>
      <c r="AE279">
        <v>0</v>
      </c>
      <c r="AF279">
        <v>0</v>
      </c>
      <c r="AG279">
        <v>0</v>
      </c>
      <c r="AH279">
        <v>0</v>
      </c>
      <c r="AI279">
        <v>0</v>
      </c>
      <c r="AJ279">
        <v>0</v>
      </c>
      <c r="AK279">
        <v>1</v>
      </c>
      <c r="AL279">
        <v>0</v>
      </c>
      <c r="AM279">
        <v>1</v>
      </c>
      <c r="AN279">
        <v>0</v>
      </c>
      <c r="AO279">
        <v>0</v>
      </c>
      <c r="AP279">
        <v>0</v>
      </c>
      <c r="AQ279">
        <v>0</v>
      </c>
      <c r="AR279">
        <v>0</v>
      </c>
      <c r="AS279">
        <v>0</v>
      </c>
      <c r="AT279">
        <v>0</v>
      </c>
      <c r="AU279">
        <v>0</v>
      </c>
      <c r="AV279">
        <v>0</v>
      </c>
      <c r="AW279">
        <v>0</v>
      </c>
      <c r="AX279">
        <v>0</v>
      </c>
      <c r="AY279">
        <v>0</v>
      </c>
      <c r="AZ279" s="141">
        <f t="shared" si="298"/>
        <v>2</v>
      </c>
      <c r="BA279" s="141">
        <f t="shared" si="299"/>
        <v>2</v>
      </c>
      <c r="BB279">
        <f t="shared" si="300"/>
        <v>0</v>
      </c>
      <c r="BC279">
        <f t="shared" si="301"/>
        <v>1</v>
      </c>
      <c r="BD279">
        <f t="shared" si="302"/>
        <v>1</v>
      </c>
      <c r="BE279">
        <f t="shared" si="303"/>
        <v>0</v>
      </c>
      <c r="BF279">
        <f t="shared" si="304"/>
        <v>0</v>
      </c>
      <c r="BG279" t="str" cm="1">
        <f t="array" ref="BG279">IF(BA279=1,INDEX($X$7:$AN$7,MATCH(TRUE,INDEX($X279:$AY279&lt;&gt;0,),0)),IF(BA279=0,INDEX($AO$7:$AY$7,MATCH(1,$AO279:$AY279,0)),IF(BH279="Multiple strategies","mixed drivers",IF(BH279="Supply chain","multiple supply","multiple silviculture"))))</f>
        <v>mixed drivers</v>
      </c>
      <c r="BH279" s="2" t="str" cm="1">
        <f t="array" ref="BH279">IF(COUNTIF(BB279:BD279,"&lt;&gt;0")=1,INDEX($X$4:$AY$4,MATCH(TRUE,INDEX($X279:$AY279&lt;&gt;0,),0)),IF(COUNTIF(BB279:BD279,"&lt;&gt;0")=0,INDEX($AO$4:$AY$4,MATCH(1,$AO279:$AY279,0)),"Multiple strategies"))</f>
        <v>Multiple strategies</v>
      </c>
      <c r="BO279" t="str">
        <f t="shared" si="324"/>
        <v/>
      </c>
      <c r="BR279" s="297" t="s">
        <v>232</v>
      </c>
      <c r="BT279" t="s">
        <v>3569</v>
      </c>
      <c r="BU279">
        <v>-479</v>
      </c>
      <c r="BV279">
        <v>-215</v>
      </c>
      <c r="BW279" s="144">
        <f t="shared" si="325"/>
        <v>0.44885177453027142</v>
      </c>
      <c r="BX279">
        <f t="shared" si="326"/>
        <v>264</v>
      </c>
      <c r="BZ279">
        <f t="shared" si="327"/>
        <v>0.26400000000000001</v>
      </c>
      <c r="CA279" t="str">
        <f t="shared" si="252"/>
        <v/>
      </c>
      <c r="CB279">
        <v>0</v>
      </c>
      <c r="CC279">
        <v>0</v>
      </c>
      <c r="CD279">
        <v>0</v>
      </c>
      <c r="CE279">
        <v>0</v>
      </c>
      <c r="CF279">
        <v>0</v>
      </c>
      <c r="CG279">
        <v>0</v>
      </c>
      <c r="CH279">
        <v>0</v>
      </c>
      <c r="CI279">
        <v>0</v>
      </c>
      <c r="CJ279">
        <v>0</v>
      </c>
      <c r="CK279">
        <v>0</v>
      </c>
      <c r="CL279">
        <v>0</v>
      </c>
      <c r="CM279">
        <v>0</v>
      </c>
      <c r="CN279">
        <v>0</v>
      </c>
      <c r="CO279">
        <v>0</v>
      </c>
      <c r="CP279" t="str">
        <f t="shared" si="305"/>
        <v>refOK</v>
      </c>
      <c r="CQ279"/>
      <c r="CR279"/>
      <c r="CS279"/>
      <c r="CT279">
        <f t="shared" si="253"/>
        <v>0</v>
      </c>
      <c r="CU279">
        <f t="shared" si="306"/>
        <v>-479</v>
      </c>
      <c r="CV279">
        <f>IF($CP279="refOK",$BV279,$BU279)*IF($BR279="Emissions positive",-1,1)</f>
        <v>-215</v>
      </c>
      <c r="CW279">
        <f t="shared" si="308"/>
        <v>0.26400000000000001</v>
      </c>
      <c r="CX279" t="str">
        <f t="shared" si="254"/>
        <v/>
      </c>
      <c r="CY279" t="str">
        <f t="shared" si="309"/>
        <v/>
      </c>
      <c r="CZ279" t="str">
        <f t="shared" si="255"/>
        <v/>
      </c>
      <c r="DA279" s="2">
        <f t="shared" si="310"/>
        <v>0.55114822546972864</v>
      </c>
      <c r="DB279" s="1" t="s">
        <v>3472</v>
      </c>
      <c r="DC279" s="297" t="str">
        <f t="shared" si="328"/>
        <v>reg</v>
      </c>
      <c r="DD279" t="s">
        <v>3570</v>
      </c>
      <c r="DG279">
        <v>300</v>
      </c>
      <c r="DH279" t="str">
        <f t="shared" si="311"/>
        <v>+100</v>
      </c>
      <c r="DI279">
        <v>0</v>
      </c>
      <c r="DJ279">
        <v>0</v>
      </c>
      <c r="DK279">
        <v>0</v>
      </c>
      <c r="DL279">
        <v>1</v>
      </c>
      <c r="DM279">
        <v>1</v>
      </c>
      <c r="DN279">
        <f t="shared" si="329"/>
        <v>2</v>
      </c>
      <c r="DO279" t="str">
        <f t="shared" si="312"/>
        <v>mixedProduct</v>
      </c>
      <c r="DP279">
        <f t="shared" si="313"/>
        <v>0</v>
      </c>
      <c r="DQ279">
        <f t="shared" si="314"/>
        <v>0</v>
      </c>
      <c r="DR279">
        <f t="shared" si="315"/>
        <v>0</v>
      </c>
      <c r="DS279" t="str">
        <f t="shared" si="316"/>
        <v>Timber</v>
      </c>
      <c r="DT279">
        <v>0</v>
      </c>
      <c r="DU279">
        <v>0</v>
      </c>
      <c r="DV279">
        <v>0</v>
      </c>
      <c r="DW279">
        <v>0</v>
      </c>
      <c r="DX279">
        <v>0</v>
      </c>
      <c r="DY279"/>
      <c r="DZ279" s="143" t="str">
        <f t="shared" si="330"/>
        <v>explicit C balance</v>
      </c>
      <c r="EA279">
        <v>0</v>
      </c>
      <c r="EB279">
        <v>0</v>
      </c>
      <c r="EC279">
        <v>1</v>
      </c>
      <c r="ED279">
        <v>1</v>
      </c>
      <c r="EE279">
        <v>1</v>
      </c>
      <c r="EF279">
        <v>1</v>
      </c>
      <c r="EG279">
        <v>0</v>
      </c>
      <c r="EH279">
        <v>1</v>
      </c>
      <c r="EI279">
        <v>1</v>
      </c>
      <c r="EJ279">
        <v>1</v>
      </c>
      <c r="EK279">
        <v>1</v>
      </c>
      <c r="EL279">
        <v>1</v>
      </c>
      <c r="EM279">
        <v>0</v>
      </c>
      <c r="EN279" s="2">
        <v>0</v>
      </c>
      <c r="EP279" t="str">
        <f t="shared" si="256"/>
        <v>Whole sector approach</v>
      </c>
      <c r="EQ279" t="str">
        <f t="shared" si="297"/>
        <v/>
      </c>
      <c r="ER279" s="2" t="str">
        <f t="shared" si="257"/>
        <v/>
      </c>
      <c r="ES279" t="str">
        <f t="shared" si="258"/>
        <v/>
      </c>
      <c r="ET279" t="str">
        <f t="shared" si="259"/>
        <v/>
      </c>
      <c r="EU279" t="str">
        <f t="shared" si="260"/>
        <v/>
      </c>
      <c r="EV279" s="328" t="s">
        <v>5064</v>
      </c>
      <c r="EY279" t="b">
        <f>IF(ISNUMBER(BW279),IF(ABS(BW279-[1]QC_indicators!$B$2)&gt;3*[1]QC_indicators!$C$2,"C ratio",IF(ISNUMBER(CA279),IF(ABS(CA279-[1]QC_indicators!$B$1)&gt;3*[1]QC_indicators!$C$1,"DF","no"))),IF(ISNUMBER(CA279),IF(ABS(CA279-[1]QC_indicators!$B$1)&gt;3*[1]QC_indicators!$C$1,"DF","no")))</f>
        <v>0</v>
      </c>
      <c r="FA279" t="str">
        <f t="shared" si="261"/>
        <v/>
      </c>
    </row>
    <row r="280" spans="1:157" ht="15" hidden="1" customHeight="1">
      <c r="A280" s="1" t="s">
        <v>654</v>
      </c>
      <c r="B280" t="s">
        <v>3561</v>
      </c>
      <c r="C280" t="s">
        <v>3562</v>
      </c>
      <c r="D280" t="s">
        <v>3563</v>
      </c>
      <c r="E280" t="s">
        <v>3564</v>
      </c>
      <c r="F280" t="s">
        <v>3565</v>
      </c>
      <c r="G280" t="s">
        <v>660</v>
      </c>
      <c r="H280" t="s">
        <v>254</v>
      </c>
      <c r="I280">
        <v>2016</v>
      </c>
      <c r="J280">
        <v>46</v>
      </c>
      <c r="K280" t="s">
        <v>3566</v>
      </c>
      <c r="M280" t="str">
        <f t="shared" si="323"/>
        <v>Penaloza_2016</v>
      </c>
      <c r="N280" s="297" t="s">
        <v>4058</v>
      </c>
      <c r="O280" s="171" t="s">
        <v>508</v>
      </c>
      <c r="P280" t="s">
        <v>508</v>
      </c>
      <c r="Q280" s="297" t="s">
        <v>389</v>
      </c>
      <c r="R280" s="298"/>
      <c r="S280" s="1" t="s">
        <v>3571</v>
      </c>
      <c r="T280" t="s">
        <v>3572</v>
      </c>
      <c r="U280" t="s">
        <v>3571</v>
      </c>
      <c r="X280">
        <v>0</v>
      </c>
      <c r="Y280">
        <v>0</v>
      </c>
      <c r="Z280">
        <v>0</v>
      </c>
      <c r="AA280">
        <v>0</v>
      </c>
      <c r="AB280">
        <v>0</v>
      </c>
      <c r="AC280">
        <v>0</v>
      </c>
      <c r="AD280">
        <v>0</v>
      </c>
      <c r="AE280">
        <v>0</v>
      </c>
      <c r="AF280">
        <v>0</v>
      </c>
      <c r="AG280">
        <v>0</v>
      </c>
      <c r="AH280">
        <v>0</v>
      </c>
      <c r="AI280">
        <v>0</v>
      </c>
      <c r="AJ280">
        <v>1</v>
      </c>
      <c r="AK280">
        <v>0</v>
      </c>
      <c r="AL280">
        <v>0</v>
      </c>
      <c r="AM280">
        <v>1</v>
      </c>
      <c r="AN280">
        <v>0</v>
      </c>
      <c r="AO280">
        <v>0</v>
      </c>
      <c r="AP280">
        <v>0</v>
      </c>
      <c r="AQ280">
        <v>0</v>
      </c>
      <c r="AR280">
        <v>0</v>
      </c>
      <c r="AS280">
        <v>0</v>
      </c>
      <c r="AT280">
        <v>0</v>
      </c>
      <c r="AU280">
        <v>0</v>
      </c>
      <c r="AV280">
        <v>0</v>
      </c>
      <c r="AW280">
        <v>0</v>
      </c>
      <c r="AX280">
        <v>0</v>
      </c>
      <c r="AY280">
        <v>0</v>
      </c>
      <c r="AZ280" s="141">
        <f t="shared" si="298"/>
        <v>2</v>
      </c>
      <c r="BA280" s="141">
        <f t="shared" si="299"/>
        <v>2</v>
      </c>
      <c r="BB280">
        <f t="shared" si="300"/>
        <v>0</v>
      </c>
      <c r="BC280">
        <f t="shared" si="301"/>
        <v>1</v>
      </c>
      <c r="BD280">
        <f t="shared" si="302"/>
        <v>1</v>
      </c>
      <c r="BE280">
        <f t="shared" si="303"/>
        <v>0</v>
      </c>
      <c r="BF280">
        <f t="shared" si="304"/>
        <v>0</v>
      </c>
      <c r="BG280" t="str" cm="1">
        <f t="array" ref="BG280">IF(BA280=1,INDEX($X$7:$AN$7,MATCH(TRUE,INDEX($X280:$AY280&lt;&gt;0,),0)),IF(BA280=0,INDEX($AO$7:$AY$7,MATCH(1,$AO280:$AY280,0)),IF(BH280="Multiple strategies","mixed drivers",IF(BH280="Supply chain","multiple supply","multiple silviculture"))))</f>
        <v>mixed drivers</v>
      </c>
      <c r="BH280" s="2" t="str" cm="1">
        <f t="array" ref="BH280">IF(COUNTIF(BB280:BD280,"&lt;&gt;0")=1,INDEX($X$4:$AY$4,MATCH(TRUE,INDEX($X280:$AY280&lt;&gt;0,),0)),IF(COUNTIF(BB280:BD280,"&lt;&gt;0")=0,INDEX($AO$4:$AY$4,MATCH(1,$AO280:$AY280,0)),"Multiple strategies"))</f>
        <v>Multiple strategies</v>
      </c>
      <c r="BO280" t="str">
        <f t="shared" si="324"/>
        <v/>
      </c>
      <c r="BR280" s="297" t="s">
        <v>232</v>
      </c>
      <c r="BT280" t="s">
        <v>3569</v>
      </c>
      <c r="BU280">
        <v>-462</v>
      </c>
      <c r="BV280">
        <v>-196</v>
      </c>
      <c r="BW280" s="144">
        <f t="shared" si="325"/>
        <v>0.42424242424242425</v>
      </c>
      <c r="BX280">
        <f t="shared" si="326"/>
        <v>266</v>
      </c>
      <c r="BZ280">
        <f t="shared" si="327"/>
        <v>0.26600000000000001</v>
      </c>
      <c r="CA280" t="str">
        <f t="shared" si="252"/>
        <v/>
      </c>
      <c r="CB280">
        <v>0</v>
      </c>
      <c r="CC280">
        <v>0</v>
      </c>
      <c r="CD280">
        <v>0</v>
      </c>
      <c r="CE280">
        <v>0</v>
      </c>
      <c r="CF280">
        <v>0</v>
      </c>
      <c r="CG280">
        <v>0</v>
      </c>
      <c r="CH280">
        <v>0</v>
      </c>
      <c r="CI280">
        <v>0</v>
      </c>
      <c r="CJ280">
        <v>0</v>
      </c>
      <c r="CK280">
        <v>0</v>
      </c>
      <c r="CL280">
        <v>0</v>
      </c>
      <c r="CM280">
        <v>0</v>
      </c>
      <c r="CN280">
        <v>0</v>
      </c>
      <c r="CO280">
        <v>0</v>
      </c>
      <c r="CP280" t="str">
        <f t="shared" si="305"/>
        <v>refOK</v>
      </c>
      <c r="CQ280"/>
      <c r="CR280"/>
      <c r="CS280"/>
      <c r="CT280">
        <f t="shared" si="253"/>
        <v>0</v>
      </c>
      <c r="CU280">
        <f t="shared" si="306"/>
        <v>-462</v>
      </c>
      <c r="CV280">
        <f>IF($CP280="refOK",$BV280,$BU280)*IF($BR280="Emissions positive",-1,1)</f>
        <v>-196</v>
      </c>
      <c r="CW280">
        <f t="shared" si="308"/>
        <v>0.26600000000000001</v>
      </c>
      <c r="CX280" t="str">
        <f t="shared" si="254"/>
        <v/>
      </c>
      <c r="CY280" t="str">
        <f t="shared" si="309"/>
        <v/>
      </c>
      <c r="CZ280" t="str">
        <f t="shared" si="255"/>
        <v/>
      </c>
      <c r="DA280" s="2">
        <f t="shared" si="310"/>
        <v>0.5757575757575758</v>
      </c>
      <c r="DB280" s="1" t="s">
        <v>3472</v>
      </c>
      <c r="DC280" s="297" t="str">
        <f t="shared" si="328"/>
        <v>reg</v>
      </c>
      <c r="DD280" t="s">
        <v>3570</v>
      </c>
      <c r="DG280">
        <v>300</v>
      </c>
      <c r="DH280" t="str">
        <f t="shared" si="311"/>
        <v>+100</v>
      </c>
      <c r="DI280">
        <v>0</v>
      </c>
      <c r="DJ280">
        <v>0</v>
      </c>
      <c r="DK280">
        <v>0</v>
      </c>
      <c r="DL280">
        <v>1</v>
      </c>
      <c r="DM280">
        <v>1</v>
      </c>
      <c r="DN280">
        <f t="shared" si="329"/>
        <v>2</v>
      </c>
      <c r="DO280" t="str">
        <f t="shared" si="312"/>
        <v>mixedProduct</v>
      </c>
      <c r="DP280">
        <f t="shared" si="313"/>
        <v>0</v>
      </c>
      <c r="DQ280">
        <f t="shared" si="314"/>
        <v>0</v>
      </c>
      <c r="DR280">
        <f t="shared" si="315"/>
        <v>0</v>
      </c>
      <c r="DS280" t="str">
        <f t="shared" si="316"/>
        <v>Timber</v>
      </c>
      <c r="DT280">
        <v>0</v>
      </c>
      <c r="DU280">
        <v>0</v>
      </c>
      <c r="DV280">
        <v>0</v>
      </c>
      <c r="DW280">
        <v>0</v>
      </c>
      <c r="DX280">
        <v>0</v>
      </c>
      <c r="DY280"/>
      <c r="DZ280" s="143" t="str">
        <f t="shared" si="330"/>
        <v>explicit C balance</v>
      </c>
      <c r="EA280">
        <v>0</v>
      </c>
      <c r="EB280">
        <v>0</v>
      </c>
      <c r="EC280">
        <v>1</v>
      </c>
      <c r="ED280">
        <v>1</v>
      </c>
      <c r="EE280">
        <v>1</v>
      </c>
      <c r="EF280">
        <v>1</v>
      </c>
      <c r="EG280">
        <v>0</v>
      </c>
      <c r="EH280">
        <v>1</v>
      </c>
      <c r="EI280">
        <v>1</v>
      </c>
      <c r="EJ280">
        <v>1</v>
      </c>
      <c r="EK280">
        <v>1</v>
      </c>
      <c r="EL280">
        <v>1</v>
      </c>
      <c r="EM280">
        <v>0</v>
      </c>
      <c r="EN280" s="2">
        <v>0</v>
      </c>
      <c r="EP280" t="str">
        <f t="shared" si="256"/>
        <v>Whole sector approach</v>
      </c>
      <c r="EQ280" t="str">
        <f t="shared" si="297"/>
        <v/>
      </c>
      <c r="ER280" s="2" t="str">
        <f t="shared" si="257"/>
        <v/>
      </c>
      <c r="ES280" t="str">
        <f t="shared" si="258"/>
        <v/>
      </c>
      <c r="ET280" t="str">
        <f t="shared" si="259"/>
        <v/>
      </c>
      <c r="EU280" t="str">
        <f t="shared" si="260"/>
        <v/>
      </c>
      <c r="EV280" s="328" t="s">
        <v>5064</v>
      </c>
      <c r="EY280" t="b">
        <f>IF(ISNUMBER(BW280),IF(ABS(BW280-[1]QC_indicators!$B$2)&gt;3*[1]QC_indicators!$C$2,"C ratio",IF(ISNUMBER(CA280),IF(ABS(CA280-[1]QC_indicators!$B$1)&gt;3*[1]QC_indicators!$C$1,"DF","no"))),IF(ISNUMBER(CA280),IF(ABS(CA280-[1]QC_indicators!$B$1)&gt;3*[1]QC_indicators!$C$1,"DF","no")))</f>
        <v>0</v>
      </c>
      <c r="FA280" t="str">
        <f t="shared" si="261"/>
        <v/>
      </c>
    </row>
    <row r="281" spans="1:157" ht="15" hidden="1" customHeight="1">
      <c r="A281" s="1" t="s">
        <v>654</v>
      </c>
      <c r="B281" t="s">
        <v>3561</v>
      </c>
      <c r="C281" t="s">
        <v>3562</v>
      </c>
      <c r="D281" t="s">
        <v>3563</v>
      </c>
      <c r="E281" t="s">
        <v>3564</v>
      </c>
      <c r="F281" t="s">
        <v>3565</v>
      </c>
      <c r="G281" t="s">
        <v>660</v>
      </c>
      <c r="H281" t="s">
        <v>254</v>
      </c>
      <c r="I281">
        <v>2016</v>
      </c>
      <c r="J281">
        <v>46</v>
      </c>
      <c r="K281" t="s">
        <v>3566</v>
      </c>
      <c r="M281" t="str">
        <f t="shared" si="323"/>
        <v>Penaloza_2016</v>
      </c>
      <c r="N281" s="297" t="s">
        <v>4058</v>
      </c>
      <c r="O281" s="171" t="s">
        <v>508</v>
      </c>
      <c r="P281" t="s">
        <v>508</v>
      </c>
      <c r="Q281" s="297" t="s">
        <v>389</v>
      </c>
      <c r="R281" s="298"/>
      <c r="S281" s="1" t="s">
        <v>3567</v>
      </c>
      <c r="T281" t="s">
        <v>3568</v>
      </c>
      <c r="U281" t="s">
        <v>3567</v>
      </c>
      <c r="X281">
        <v>0</v>
      </c>
      <c r="Y281">
        <v>0</v>
      </c>
      <c r="Z281">
        <v>0</v>
      </c>
      <c r="AA281">
        <v>0</v>
      </c>
      <c r="AB281">
        <v>0</v>
      </c>
      <c r="AC281">
        <v>0</v>
      </c>
      <c r="AD281">
        <v>0</v>
      </c>
      <c r="AE281">
        <v>0</v>
      </c>
      <c r="AF281">
        <v>0</v>
      </c>
      <c r="AG281">
        <v>0</v>
      </c>
      <c r="AH281">
        <v>0</v>
      </c>
      <c r="AI281">
        <v>0</v>
      </c>
      <c r="AJ281">
        <v>0</v>
      </c>
      <c r="AK281">
        <v>1</v>
      </c>
      <c r="AL281">
        <v>0</v>
      </c>
      <c r="AM281">
        <v>1</v>
      </c>
      <c r="AN281">
        <v>0</v>
      </c>
      <c r="AO281">
        <v>0</v>
      </c>
      <c r="AP281">
        <v>0</v>
      </c>
      <c r="AQ281">
        <v>0</v>
      </c>
      <c r="AR281">
        <v>0</v>
      </c>
      <c r="AS281">
        <v>0</v>
      </c>
      <c r="AT281">
        <v>0</v>
      </c>
      <c r="AU281">
        <v>0</v>
      </c>
      <c r="AV281">
        <v>0</v>
      </c>
      <c r="AW281">
        <v>0</v>
      </c>
      <c r="AX281">
        <v>0</v>
      </c>
      <c r="AY281">
        <v>0</v>
      </c>
      <c r="AZ281" s="141">
        <f t="shared" si="298"/>
        <v>2</v>
      </c>
      <c r="BA281" s="141">
        <f t="shared" si="299"/>
        <v>2</v>
      </c>
      <c r="BB281">
        <f t="shared" si="300"/>
        <v>0</v>
      </c>
      <c r="BC281">
        <f t="shared" si="301"/>
        <v>1</v>
      </c>
      <c r="BD281">
        <f t="shared" si="302"/>
        <v>1</v>
      </c>
      <c r="BE281">
        <f t="shared" si="303"/>
        <v>0</v>
      </c>
      <c r="BF281">
        <f t="shared" si="304"/>
        <v>0</v>
      </c>
      <c r="BG281" t="str" cm="1">
        <f t="array" ref="BG281">IF(BA281=1,INDEX($X$7:$AN$7,MATCH(TRUE,INDEX($X281:$AY281&lt;&gt;0,),0)),IF(BA281=0,INDEX($AO$7:$AY$7,MATCH(1,$AO281:$AY281,0)),IF(BH281="Multiple strategies","mixed drivers",IF(BH281="Supply chain","multiple supply","multiple silviculture"))))</f>
        <v>mixed drivers</v>
      </c>
      <c r="BH281" s="2" t="str" cm="1">
        <f t="array" ref="BH281">IF(COUNTIF(BB281:BD281,"&lt;&gt;0")=1,INDEX($X$4:$AY$4,MATCH(TRUE,INDEX($X281:$AY281&lt;&gt;0,),0)),IF(COUNTIF(BB281:BD281,"&lt;&gt;0")=0,INDEX($AO$4:$AY$4,MATCH(1,$AO281:$AY281,0)),"Multiple strategies"))</f>
        <v>Multiple strategies</v>
      </c>
      <c r="BO281" t="str">
        <f t="shared" si="324"/>
        <v/>
      </c>
      <c r="BR281" s="297" t="s">
        <v>232</v>
      </c>
      <c r="BT281" t="s">
        <v>3569</v>
      </c>
      <c r="BU281">
        <v>-468</v>
      </c>
      <c r="BV281">
        <v>-197</v>
      </c>
      <c r="BW281" s="144">
        <f t="shared" si="325"/>
        <v>0.42094017094017094</v>
      </c>
      <c r="BX281">
        <f t="shared" si="326"/>
        <v>271</v>
      </c>
      <c r="BZ281">
        <f t="shared" si="327"/>
        <v>0.27100000000000002</v>
      </c>
      <c r="CA281" t="str">
        <f t="shared" si="252"/>
        <v/>
      </c>
      <c r="CB281">
        <v>0</v>
      </c>
      <c r="CC281">
        <v>0</v>
      </c>
      <c r="CD281">
        <v>0</v>
      </c>
      <c r="CE281">
        <v>0</v>
      </c>
      <c r="CF281">
        <v>0</v>
      </c>
      <c r="CG281">
        <v>0</v>
      </c>
      <c r="CH281">
        <v>0</v>
      </c>
      <c r="CI281">
        <v>0</v>
      </c>
      <c r="CJ281">
        <v>0</v>
      </c>
      <c r="CK281">
        <v>0</v>
      </c>
      <c r="CL281">
        <v>0</v>
      </c>
      <c r="CM281">
        <v>0</v>
      </c>
      <c r="CN281">
        <v>0</v>
      </c>
      <c r="CO281">
        <v>0</v>
      </c>
      <c r="CP281" t="str">
        <f t="shared" si="305"/>
        <v>refOK</v>
      </c>
      <c r="CQ281"/>
      <c r="CR281"/>
      <c r="CS281"/>
      <c r="CT281">
        <f t="shared" si="253"/>
        <v>0</v>
      </c>
      <c r="CU281">
        <f t="shared" si="306"/>
        <v>-468</v>
      </c>
      <c r="CV281">
        <f>IF($CP281="refOK",$BV281,$BU281)*IF($BR281="Emissions positive",-1,1)</f>
        <v>-197</v>
      </c>
      <c r="CW281">
        <f t="shared" si="308"/>
        <v>0.27100000000000002</v>
      </c>
      <c r="CX281" t="str">
        <f t="shared" si="254"/>
        <v/>
      </c>
      <c r="CY281" t="str">
        <f t="shared" si="309"/>
        <v/>
      </c>
      <c r="CZ281" t="str">
        <f t="shared" si="255"/>
        <v/>
      </c>
      <c r="DA281" s="2">
        <f t="shared" si="310"/>
        <v>0.57905982905982911</v>
      </c>
      <c r="DB281" s="1" t="s">
        <v>3472</v>
      </c>
      <c r="DC281" s="297" t="str">
        <f t="shared" si="328"/>
        <v>reg</v>
      </c>
      <c r="DD281" t="s">
        <v>3570</v>
      </c>
      <c r="DG281">
        <v>100</v>
      </c>
      <c r="DH281" t="str">
        <f t="shared" si="311"/>
        <v>71-100</v>
      </c>
      <c r="DI281">
        <v>0</v>
      </c>
      <c r="DJ281">
        <v>0</v>
      </c>
      <c r="DK281">
        <v>0</v>
      </c>
      <c r="DL281">
        <v>1</v>
      </c>
      <c r="DM281">
        <v>1</v>
      </c>
      <c r="DN281">
        <f t="shared" si="329"/>
        <v>2</v>
      </c>
      <c r="DO281" t="str">
        <f t="shared" si="312"/>
        <v>mixedProduct</v>
      </c>
      <c r="DP281">
        <f t="shared" si="313"/>
        <v>0</v>
      </c>
      <c r="DQ281">
        <f t="shared" si="314"/>
        <v>0</v>
      </c>
      <c r="DR281">
        <f t="shared" si="315"/>
        <v>0</v>
      </c>
      <c r="DS281" t="str">
        <f t="shared" si="316"/>
        <v>Timber</v>
      </c>
      <c r="DT281">
        <v>0</v>
      </c>
      <c r="DU281">
        <v>0</v>
      </c>
      <c r="DV281">
        <v>0</v>
      </c>
      <c r="DW281">
        <v>0</v>
      </c>
      <c r="DX281">
        <v>0</v>
      </c>
      <c r="DY281"/>
      <c r="DZ281" s="143" t="str">
        <f t="shared" si="330"/>
        <v>explicit C balance</v>
      </c>
      <c r="EA281">
        <v>0</v>
      </c>
      <c r="EB281">
        <v>0</v>
      </c>
      <c r="EC281">
        <v>1</v>
      </c>
      <c r="ED281">
        <v>1</v>
      </c>
      <c r="EE281">
        <v>1</v>
      </c>
      <c r="EF281">
        <v>1</v>
      </c>
      <c r="EG281">
        <v>0</v>
      </c>
      <c r="EH281">
        <v>1</v>
      </c>
      <c r="EI281">
        <v>1</v>
      </c>
      <c r="EJ281">
        <v>1</v>
      </c>
      <c r="EK281">
        <v>1</v>
      </c>
      <c r="EL281">
        <v>1</v>
      </c>
      <c r="EM281">
        <v>0</v>
      </c>
      <c r="EN281" s="2">
        <v>0</v>
      </c>
      <c r="EP281" t="str">
        <f t="shared" si="256"/>
        <v>Whole sector approach</v>
      </c>
      <c r="EQ281" t="str">
        <f t="shared" si="297"/>
        <v/>
      </c>
      <c r="ER281" s="2" t="str">
        <f t="shared" si="257"/>
        <v/>
      </c>
      <c r="ES281" t="str">
        <f t="shared" si="258"/>
        <v/>
      </c>
      <c r="ET281" t="str">
        <f t="shared" si="259"/>
        <v/>
      </c>
      <c r="EU281" t="str">
        <f t="shared" si="260"/>
        <v/>
      </c>
      <c r="EV281" s="328" t="s">
        <v>5064</v>
      </c>
      <c r="EY281" t="b">
        <f>IF(ISNUMBER(BW281),IF(ABS(BW281-[1]QC_indicators!$B$2)&gt;3*[1]QC_indicators!$C$2,"C ratio",IF(ISNUMBER(CA281),IF(ABS(CA281-[1]QC_indicators!$B$1)&gt;3*[1]QC_indicators!$C$1,"DF","no"))),IF(ISNUMBER(CA281),IF(ABS(CA281-[1]QC_indicators!$B$1)&gt;3*[1]QC_indicators!$C$1,"DF","no")))</f>
        <v>0</v>
      </c>
      <c r="FA281" t="str">
        <f t="shared" si="261"/>
        <v/>
      </c>
    </row>
    <row r="282" spans="1:157" ht="15" hidden="1" customHeight="1">
      <c r="A282" s="1" t="s">
        <v>654</v>
      </c>
      <c r="B282" t="s">
        <v>3561</v>
      </c>
      <c r="C282" t="s">
        <v>3562</v>
      </c>
      <c r="D282" t="s">
        <v>3563</v>
      </c>
      <c r="E282" t="s">
        <v>3564</v>
      </c>
      <c r="F282" t="s">
        <v>3565</v>
      </c>
      <c r="G282" t="s">
        <v>660</v>
      </c>
      <c r="H282" t="s">
        <v>254</v>
      </c>
      <c r="I282">
        <v>2016</v>
      </c>
      <c r="J282">
        <v>46</v>
      </c>
      <c r="K282" t="s">
        <v>3566</v>
      </c>
      <c r="M282" t="str">
        <f t="shared" si="323"/>
        <v>Penaloza_2016</v>
      </c>
      <c r="N282" s="297" t="s">
        <v>4058</v>
      </c>
      <c r="O282" s="171" t="s">
        <v>508</v>
      </c>
      <c r="P282" t="s">
        <v>508</v>
      </c>
      <c r="Q282" s="297" t="s">
        <v>389</v>
      </c>
      <c r="R282" s="298"/>
      <c r="S282" s="1" t="s">
        <v>3571</v>
      </c>
      <c r="T282" t="s">
        <v>3572</v>
      </c>
      <c r="U282" t="s">
        <v>3571</v>
      </c>
      <c r="X282">
        <v>0</v>
      </c>
      <c r="Y282">
        <v>0</v>
      </c>
      <c r="Z282">
        <v>0</v>
      </c>
      <c r="AA282">
        <v>0</v>
      </c>
      <c r="AB282">
        <v>0</v>
      </c>
      <c r="AC282">
        <v>0</v>
      </c>
      <c r="AD282">
        <v>0</v>
      </c>
      <c r="AE282">
        <v>0</v>
      </c>
      <c r="AF282">
        <v>0</v>
      </c>
      <c r="AG282">
        <v>0</v>
      </c>
      <c r="AH282">
        <v>0</v>
      </c>
      <c r="AI282">
        <v>0</v>
      </c>
      <c r="AJ282">
        <v>1</v>
      </c>
      <c r="AK282">
        <v>0</v>
      </c>
      <c r="AL282">
        <v>0</v>
      </c>
      <c r="AM282">
        <v>1</v>
      </c>
      <c r="AN282">
        <v>0</v>
      </c>
      <c r="AO282">
        <v>0</v>
      </c>
      <c r="AP282">
        <v>0</v>
      </c>
      <c r="AQ282">
        <v>0</v>
      </c>
      <c r="AR282">
        <v>0</v>
      </c>
      <c r="AS282">
        <v>0</v>
      </c>
      <c r="AT282">
        <v>0</v>
      </c>
      <c r="AU282">
        <v>0</v>
      </c>
      <c r="AV282">
        <v>0</v>
      </c>
      <c r="AW282">
        <v>0</v>
      </c>
      <c r="AX282">
        <v>0</v>
      </c>
      <c r="AY282">
        <v>0</v>
      </c>
      <c r="AZ282" s="141">
        <f t="shared" si="298"/>
        <v>2</v>
      </c>
      <c r="BA282" s="141">
        <f t="shared" si="299"/>
        <v>2</v>
      </c>
      <c r="BB282">
        <f t="shared" si="300"/>
        <v>0</v>
      </c>
      <c r="BC282">
        <f t="shared" si="301"/>
        <v>1</v>
      </c>
      <c r="BD282">
        <f t="shared" si="302"/>
        <v>1</v>
      </c>
      <c r="BE282">
        <f t="shared" si="303"/>
        <v>0</v>
      </c>
      <c r="BF282">
        <f t="shared" si="304"/>
        <v>0</v>
      </c>
      <c r="BG282" t="str" cm="1">
        <f t="array" ref="BG282">IF(BA282=1,INDEX($X$7:$AN$7,MATCH(TRUE,INDEX($X282:$AY282&lt;&gt;0,),0)),IF(BA282=0,INDEX($AO$7:$AY$7,MATCH(1,$AO282:$AY282,0)),IF(BH282="Multiple strategies","mixed drivers",IF(BH282="Supply chain","multiple supply","multiple silviculture"))))</f>
        <v>mixed drivers</v>
      </c>
      <c r="BH282" s="2" t="str" cm="1">
        <f t="array" ref="BH282">IF(COUNTIF(BB282:BD282,"&lt;&gt;0")=1,INDEX($X$4:$AY$4,MATCH(TRUE,INDEX($X282:$AY282&lt;&gt;0,),0)),IF(COUNTIF(BB282:BD282,"&lt;&gt;0")=0,INDEX($AO$4:$AY$4,MATCH(1,$AO282:$AY282,0)),"Multiple strategies"))</f>
        <v>Multiple strategies</v>
      </c>
      <c r="BO282" t="str">
        <f t="shared" si="324"/>
        <v/>
      </c>
      <c r="BR282" s="297" t="s">
        <v>232</v>
      </c>
      <c r="BT282" t="s">
        <v>3569</v>
      </c>
      <c r="BU282">
        <v>-462</v>
      </c>
      <c r="BV282">
        <v>-149</v>
      </c>
      <c r="BW282" s="144">
        <f t="shared" si="325"/>
        <v>0.32251082251082253</v>
      </c>
      <c r="BX282">
        <f t="shared" si="326"/>
        <v>313</v>
      </c>
      <c r="BZ282">
        <f t="shared" si="327"/>
        <v>0.313</v>
      </c>
      <c r="CA282" t="str">
        <f t="shared" si="252"/>
        <v/>
      </c>
      <c r="CB282">
        <v>0</v>
      </c>
      <c r="CC282">
        <v>0</v>
      </c>
      <c r="CD282">
        <v>0</v>
      </c>
      <c r="CE282">
        <v>0</v>
      </c>
      <c r="CF282">
        <v>0</v>
      </c>
      <c r="CG282">
        <v>0</v>
      </c>
      <c r="CH282">
        <v>0</v>
      </c>
      <c r="CI282">
        <v>0</v>
      </c>
      <c r="CJ282">
        <v>0</v>
      </c>
      <c r="CK282">
        <v>0</v>
      </c>
      <c r="CL282">
        <v>0</v>
      </c>
      <c r="CM282">
        <v>0</v>
      </c>
      <c r="CN282">
        <v>0</v>
      </c>
      <c r="CO282">
        <v>0</v>
      </c>
      <c r="CP282" t="str">
        <f t="shared" si="305"/>
        <v>refOK</v>
      </c>
      <c r="CQ282"/>
      <c r="CR282"/>
      <c r="CS282"/>
      <c r="CT282">
        <f t="shared" si="253"/>
        <v>0</v>
      </c>
      <c r="CU282">
        <f t="shared" si="306"/>
        <v>-462</v>
      </c>
      <c r="CV282">
        <f>IF($CP282="refOK",$BV282,$BU282)*IF($BR282="Emissions positive",-1,1)</f>
        <v>-149</v>
      </c>
      <c r="CW282">
        <f t="shared" si="308"/>
        <v>0.313</v>
      </c>
      <c r="CX282" t="str">
        <f t="shared" si="254"/>
        <v/>
      </c>
      <c r="CY282" t="str">
        <f t="shared" si="309"/>
        <v/>
      </c>
      <c r="CZ282" t="str">
        <f t="shared" si="255"/>
        <v/>
      </c>
      <c r="DA282" s="2">
        <f t="shared" si="310"/>
        <v>0.67748917748917747</v>
      </c>
      <c r="DB282" s="1" t="s">
        <v>3472</v>
      </c>
      <c r="DC282" s="297" t="str">
        <f t="shared" si="328"/>
        <v>reg</v>
      </c>
      <c r="DD282" t="s">
        <v>3570</v>
      </c>
      <c r="DG282">
        <v>100</v>
      </c>
      <c r="DH282" t="str">
        <f t="shared" si="311"/>
        <v>71-100</v>
      </c>
      <c r="DI282">
        <v>0</v>
      </c>
      <c r="DJ282">
        <v>0</v>
      </c>
      <c r="DK282">
        <v>0</v>
      </c>
      <c r="DL282">
        <v>1</v>
      </c>
      <c r="DM282">
        <v>1</v>
      </c>
      <c r="DN282">
        <f t="shared" si="329"/>
        <v>2</v>
      </c>
      <c r="DO282" t="str">
        <f t="shared" si="312"/>
        <v>mixedProduct</v>
      </c>
      <c r="DP282">
        <f t="shared" si="313"/>
        <v>0</v>
      </c>
      <c r="DQ282">
        <f t="shared" si="314"/>
        <v>0</v>
      </c>
      <c r="DR282">
        <f t="shared" si="315"/>
        <v>0</v>
      </c>
      <c r="DS282" t="str">
        <f t="shared" si="316"/>
        <v>Timber</v>
      </c>
      <c r="DT282">
        <v>0</v>
      </c>
      <c r="DU282">
        <v>0</v>
      </c>
      <c r="DV282">
        <v>0</v>
      </c>
      <c r="DW282">
        <v>0</v>
      </c>
      <c r="DX282">
        <v>0</v>
      </c>
      <c r="DY282"/>
      <c r="DZ282" s="143" t="str">
        <f t="shared" si="330"/>
        <v>explicit C balance</v>
      </c>
      <c r="EA282">
        <v>0</v>
      </c>
      <c r="EB282">
        <v>0</v>
      </c>
      <c r="EC282">
        <v>1</v>
      </c>
      <c r="ED282">
        <v>1</v>
      </c>
      <c r="EE282">
        <v>1</v>
      </c>
      <c r="EF282">
        <v>1</v>
      </c>
      <c r="EG282">
        <v>0</v>
      </c>
      <c r="EH282">
        <v>1</v>
      </c>
      <c r="EI282">
        <v>1</v>
      </c>
      <c r="EJ282">
        <v>1</v>
      </c>
      <c r="EK282">
        <v>1</v>
      </c>
      <c r="EL282">
        <v>1</v>
      </c>
      <c r="EM282">
        <v>0</v>
      </c>
      <c r="EN282" s="2">
        <v>0</v>
      </c>
      <c r="EP282" t="str">
        <f t="shared" si="256"/>
        <v>Whole sector approach</v>
      </c>
      <c r="EQ282" t="str">
        <f t="shared" si="297"/>
        <v/>
      </c>
      <c r="ER282" s="2" t="str">
        <f t="shared" si="257"/>
        <v/>
      </c>
      <c r="ES282" t="str">
        <f t="shared" si="258"/>
        <v/>
      </c>
      <c r="ET282" t="str">
        <f t="shared" si="259"/>
        <v/>
      </c>
      <c r="EU282" t="str">
        <f t="shared" si="260"/>
        <v/>
      </c>
      <c r="EV282" s="328" t="s">
        <v>5064</v>
      </c>
      <c r="EY282" t="b">
        <f>IF(ISNUMBER(BW282),IF(ABS(BW282-[1]QC_indicators!$B$2)&gt;3*[1]QC_indicators!$C$2,"C ratio",IF(ISNUMBER(CA282),IF(ABS(CA282-[1]QC_indicators!$B$1)&gt;3*[1]QC_indicators!$C$1,"DF","no"))),IF(ISNUMBER(CA282),IF(ABS(CA282-[1]QC_indicators!$B$1)&gt;3*[1]QC_indicators!$C$1,"DF","no")))</f>
        <v>0</v>
      </c>
      <c r="FA282" t="str">
        <f t="shared" si="261"/>
        <v/>
      </c>
    </row>
    <row r="283" spans="1:157" ht="15" hidden="1" customHeight="1">
      <c r="A283" s="1" t="s">
        <v>654</v>
      </c>
      <c r="B283" t="s">
        <v>3561</v>
      </c>
      <c r="C283" t="s">
        <v>3562</v>
      </c>
      <c r="D283" t="s">
        <v>3563</v>
      </c>
      <c r="E283" t="s">
        <v>3564</v>
      </c>
      <c r="F283" t="s">
        <v>3565</v>
      </c>
      <c r="G283" t="s">
        <v>660</v>
      </c>
      <c r="H283" t="s">
        <v>254</v>
      </c>
      <c r="I283">
        <v>2016</v>
      </c>
      <c r="J283">
        <v>46</v>
      </c>
      <c r="K283" t="s">
        <v>3566</v>
      </c>
      <c r="M283" t="str">
        <f t="shared" si="323"/>
        <v>Penaloza_2016</v>
      </c>
      <c r="N283" s="297" t="s">
        <v>4058</v>
      </c>
      <c r="O283" s="171" t="s">
        <v>508</v>
      </c>
      <c r="P283" t="s">
        <v>508</v>
      </c>
      <c r="Q283" s="297" t="s">
        <v>389</v>
      </c>
      <c r="R283" s="298"/>
      <c r="S283" s="1" t="s">
        <v>3573</v>
      </c>
      <c r="T283" t="s">
        <v>3568</v>
      </c>
      <c r="U283" t="s">
        <v>3573</v>
      </c>
      <c r="X283">
        <v>0</v>
      </c>
      <c r="Y283">
        <v>0</v>
      </c>
      <c r="Z283">
        <v>0</v>
      </c>
      <c r="AA283">
        <v>0</v>
      </c>
      <c r="AB283">
        <v>0</v>
      </c>
      <c r="AC283">
        <v>0</v>
      </c>
      <c r="AD283">
        <v>0</v>
      </c>
      <c r="AE283">
        <v>0</v>
      </c>
      <c r="AF283">
        <v>0</v>
      </c>
      <c r="AG283">
        <v>0</v>
      </c>
      <c r="AH283">
        <v>0</v>
      </c>
      <c r="AI283">
        <v>0</v>
      </c>
      <c r="AJ283">
        <v>0</v>
      </c>
      <c r="AK283">
        <v>1</v>
      </c>
      <c r="AL283">
        <v>0</v>
      </c>
      <c r="AM283">
        <v>1</v>
      </c>
      <c r="AN283">
        <v>0</v>
      </c>
      <c r="AO283">
        <v>0</v>
      </c>
      <c r="AP283">
        <v>0</v>
      </c>
      <c r="AQ283">
        <v>0</v>
      </c>
      <c r="AR283">
        <v>0</v>
      </c>
      <c r="AS283">
        <v>0</v>
      </c>
      <c r="AT283">
        <v>0</v>
      </c>
      <c r="AU283">
        <v>0</v>
      </c>
      <c r="AV283">
        <v>0</v>
      </c>
      <c r="AW283">
        <v>0</v>
      </c>
      <c r="AX283">
        <v>0</v>
      </c>
      <c r="AY283">
        <v>0</v>
      </c>
      <c r="AZ283" s="141">
        <f t="shared" si="298"/>
        <v>2</v>
      </c>
      <c r="BA283" s="141">
        <f t="shared" si="299"/>
        <v>2</v>
      </c>
      <c r="BB283">
        <f t="shared" si="300"/>
        <v>0</v>
      </c>
      <c r="BC283">
        <f t="shared" si="301"/>
        <v>1</v>
      </c>
      <c r="BD283">
        <f t="shared" si="302"/>
        <v>1</v>
      </c>
      <c r="BE283">
        <f t="shared" si="303"/>
        <v>0</v>
      </c>
      <c r="BF283">
        <f t="shared" si="304"/>
        <v>0</v>
      </c>
      <c r="BG283" t="str" cm="1">
        <f t="array" ref="BG283">IF(BA283=1,INDEX($X$7:$AN$7,MATCH(TRUE,INDEX($X283:$AY283&lt;&gt;0,),0)),IF(BA283=0,INDEX($AO$7:$AY$7,MATCH(1,$AO283:$AY283,0)),IF(BH283="Multiple strategies","mixed drivers",IF(BH283="Supply chain","multiple supply","multiple silviculture"))))</f>
        <v>mixed drivers</v>
      </c>
      <c r="BH283" s="2" t="str" cm="1">
        <f t="array" ref="BH283">IF(COUNTIF(BB283:BD283,"&lt;&gt;0")=1,INDEX($X$4:$AY$4,MATCH(TRUE,INDEX($X283:$AY283&lt;&gt;0,),0)),IF(COUNTIF(BB283:BD283,"&lt;&gt;0")=0,INDEX($AO$4:$AY$4,MATCH(1,$AO283:$AY283,0)),"Multiple strategies"))</f>
        <v>Multiple strategies</v>
      </c>
      <c r="BO283" t="str">
        <f t="shared" si="324"/>
        <v/>
      </c>
      <c r="BR283" s="297" t="s">
        <v>232</v>
      </c>
      <c r="BT283" t="s">
        <v>3569</v>
      </c>
      <c r="BU283">
        <v>-468</v>
      </c>
      <c r="BV283">
        <v>-146</v>
      </c>
      <c r="BW283" s="144">
        <f t="shared" si="325"/>
        <v>0.31196581196581197</v>
      </c>
      <c r="BX283">
        <f t="shared" si="326"/>
        <v>322</v>
      </c>
      <c r="BZ283">
        <f t="shared" si="327"/>
        <v>0.32200000000000001</v>
      </c>
      <c r="CA283" t="str">
        <f t="shared" si="252"/>
        <v/>
      </c>
      <c r="CB283">
        <v>0</v>
      </c>
      <c r="CC283">
        <v>0</v>
      </c>
      <c r="CD283">
        <v>0</v>
      </c>
      <c r="CE283">
        <v>0</v>
      </c>
      <c r="CF283">
        <v>0</v>
      </c>
      <c r="CG283">
        <v>0</v>
      </c>
      <c r="CH283">
        <v>0</v>
      </c>
      <c r="CI283">
        <v>0</v>
      </c>
      <c r="CJ283">
        <v>0</v>
      </c>
      <c r="CK283">
        <v>0</v>
      </c>
      <c r="CL283">
        <v>0</v>
      </c>
      <c r="CM283">
        <v>0</v>
      </c>
      <c r="CN283">
        <v>0</v>
      </c>
      <c r="CO283">
        <v>0</v>
      </c>
      <c r="CP283" t="str">
        <f t="shared" si="305"/>
        <v>refOK</v>
      </c>
      <c r="CQ283"/>
      <c r="CR283"/>
      <c r="CS283"/>
      <c r="CT283">
        <f t="shared" si="253"/>
        <v>0</v>
      </c>
      <c r="CU283">
        <f t="shared" si="306"/>
        <v>-468</v>
      </c>
      <c r="CV283">
        <v>-146</v>
      </c>
      <c r="CW283">
        <f t="shared" si="308"/>
        <v>0.32200000000000001</v>
      </c>
      <c r="CX283" t="str">
        <f t="shared" si="254"/>
        <v/>
      </c>
      <c r="CY283" t="str">
        <f t="shared" si="309"/>
        <v/>
      </c>
      <c r="CZ283" t="str">
        <f t="shared" si="255"/>
        <v/>
      </c>
      <c r="DA283" s="2">
        <f t="shared" si="310"/>
        <v>0.68803418803418803</v>
      </c>
      <c r="DB283" s="1" t="s">
        <v>3472</v>
      </c>
      <c r="DC283" s="297" t="str">
        <f t="shared" si="328"/>
        <v>reg</v>
      </c>
      <c r="DD283" t="s">
        <v>3570</v>
      </c>
      <c r="DG283">
        <v>100</v>
      </c>
      <c r="DH283" t="str">
        <f t="shared" si="311"/>
        <v>71-100</v>
      </c>
      <c r="DI283">
        <v>0</v>
      </c>
      <c r="DJ283">
        <v>0</v>
      </c>
      <c r="DK283">
        <v>0</v>
      </c>
      <c r="DL283">
        <v>1</v>
      </c>
      <c r="DM283">
        <v>1</v>
      </c>
      <c r="DN283">
        <f t="shared" si="329"/>
        <v>2</v>
      </c>
      <c r="DO283" t="str">
        <f t="shared" si="312"/>
        <v>mixedProduct</v>
      </c>
      <c r="DP283">
        <f t="shared" si="313"/>
        <v>0</v>
      </c>
      <c r="DQ283">
        <f t="shared" si="314"/>
        <v>0</v>
      </c>
      <c r="DR283">
        <f t="shared" si="315"/>
        <v>0</v>
      </c>
      <c r="DS283" t="str">
        <f t="shared" si="316"/>
        <v>Timber</v>
      </c>
      <c r="DT283">
        <v>0</v>
      </c>
      <c r="DU283">
        <v>0</v>
      </c>
      <c r="DV283">
        <v>0</v>
      </c>
      <c r="DW283">
        <v>0</v>
      </c>
      <c r="DX283">
        <v>0</v>
      </c>
      <c r="DY283"/>
      <c r="DZ283" s="143" t="str">
        <f t="shared" si="330"/>
        <v>explicit C balance</v>
      </c>
      <c r="EA283">
        <v>0</v>
      </c>
      <c r="EB283">
        <v>0</v>
      </c>
      <c r="EC283">
        <v>1</v>
      </c>
      <c r="ED283">
        <v>1</v>
      </c>
      <c r="EE283">
        <v>1</v>
      </c>
      <c r="EF283">
        <v>1</v>
      </c>
      <c r="EG283">
        <v>0</v>
      </c>
      <c r="EH283">
        <v>1</v>
      </c>
      <c r="EI283">
        <v>1</v>
      </c>
      <c r="EJ283">
        <v>1</v>
      </c>
      <c r="EK283">
        <v>1</v>
      </c>
      <c r="EL283">
        <v>1</v>
      </c>
      <c r="EM283">
        <v>0</v>
      </c>
      <c r="EN283" s="2">
        <v>0</v>
      </c>
      <c r="EP283" t="str">
        <f t="shared" si="256"/>
        <v>Whole sector approach</v>
      </c>
      <c r="EQ283" t="str">
        <f t="shared" si="297"/>
        <v/>
      </c>
      <c r="ER283" s="2" t="str">
        <f t="shared" si="257"/>
        <v/>
      </c>
      <c r="ES283" t="str">
        <f t="shared" si="258"/>
        <v/>
      </c>
      <c r="ET283" t="str">
        <f t="shared" si="259"/>
        <v/>
      </c>
      <c r="EU283" t="str">
        <f t="shared" si="260"/>
        <v/>
      </c>
      <c r="EV283" s="328" t="s">
        <v>5064</v>
      </c>
      <c r="EY283" t="b">
        <f>IF(ISNUMBER(BW283),IF(ABS(BW283-[1]QC_indicators!$B$2)&gt;3*[1]QC_indicators!$C$2,"C ratio",IF(ISNUMBER(CA283),IF(ABS(CA283-[1]QC_indicators!$B$1)&gt;3*[1]QC_indicators!$C$1,"DF","no"))),IF(ISNUMBER(CA283),IF(ABS(CA283-[1]QC_indicators!$B$1)&gt;3*[1]QC_indicators!$C$1,"DF","no")))</f>
        <v>0</v>
      </c>
      <c r="FA283" t="str">
        <f t="shared" si="261"/>
        <v/>
      </c>
    </row>
    <row r="284" spans="1:157" ht="15" hidden="1" customHeight="1">
      <c r="A284" s="1" t="s">
        <v>654</v>
      </c>
      <c r="B284" t="s">
        <v>3561</v>
      </c>
      <c r="C284" t="s">
        <v>3562</v>
      </c>
      <c r="D284" t="s">
        <v>3563</v>
      </c>
      <c r="E284" t="s">
        <v>3564</v>
      </c>
      <c r="F284" t="s">
        <v>3565</v>
      </c>
      <c r="G284" t="s">
        <v>660</v>
      </c>
      <c r="H284" t="s">
        <v>254</v>
      </c>
      <c r="I284">
        <v>2016</v>
      </c>
      <c r="J284">
        <v>46</v>
      </c>
      <c r="K284" t="s">
        <v>3566</v>
      </c>
      <c r="M284" t="str">
        <f t="shared" si="323"/>
        <v>Penaloza_2016</v>
      </c>
      <c r="N284" s="297" t="s">
        <v>4058</v>
      </c>
      <c r="O284" s="171" t="s">
        <v>508</v>
      </c>
      <c r="P284" t="s">
        <v>508</v>
      </c>
      <c r="Q284" s="297" t="s">
        <v>389</v>
      </c>
      <c r="R284" s="298"/>
      <c r="S284" s="1" t="s">
        <v>3573</v>
      </c>
      <c r="T284" t="s">
        <v>3568</v>
      </c>
      <c r="U284" t="s">
        <v>3573</v>
      </c>
      <c r="X284">
        <v>0</v>
      </c>
      <c r="Y284">
        <v>0</v>
      </c>
      <c r="Z284">
        <v>0</v>
      </c>
      <c r="AA284">
        <v>0</v>
      </c>
      <c r="AB284">
        <v>0</v>
      </c>
      <c r="AC284">
        <v>0</v>
      </c>
      <c r="AD284">
        <v>0</v>
      </c>
      <c r="AE284">
        <v>0</v>
      </c>
      <c r="AF284">
        <v>0</v>
      </c>
      <c r="AG284">
        <v>0</v>
      </c>
      <c r="AH284">
        <v>0</v>
      </c>
      <c r="AI284">
        <v>0</v>
      </c>
      <c r="AJ284">
        <v>0</v>
      </c>
      <c r="AK284">
        <v>1</v>
      </c>
      <c r="AL284">
        <v>0</v>
      </c>
      <c r="AM284">
        <v>1</v>
      </c>
      <c r="AN284">
        <v>0</v>
      </c>
      <c r="AO284">
        <v>0</v>
      </c>
      <c r="AP284">
        <v>0</v>
      </c>
      <c r="AQ284">
        <v>0</v>
      </c>
      <c r="AR284">
        <v>0</v>
      </c>
      <c r="AS284">
        <v>0</v>
      </c>
      <c r="AT284">
        <v>0</v>
      </c>
      <c r="AU284">
        <v>0</v>
      </c>
      <c r="AV284">
        <v>0</v>
      </c>
      <c r="AW284">
        <v>0</v>
      </c>
      <c r="AX284">
        <v>0</v>
      </c>
      <c r="AY284">
        <v>0</v>
      </c>
      <c r="AZ284" s="141">
        <f t="shared" si="298"/>
        <v>2</v>
      </c>
      <c r="BA284" s="141">
        <f t="shared" si="299"/>
        <v>2</v>
      </c>
      <c r="BB284">
        <f t="shared" si="300"/>
        <v>0</v>
      </c>
      <c r="BC284">
        <f t="shared" si="301"/>
        <v>1</v>
      </c>
      <c r="BD284">
        <f t="shared" si="302"/>
        <v>1</v>
      </c>
      <c r="BE284">
        <f t="shared" si="303"/>
        <v>0</v>
      </c>
      <c r="BF284">
        <f t="shared" si="304"/>
        <v>0</v>
      </c>
      <c r="BG284" t="str" cm="1">
        <f t="array" ref="BG284">IF(BA284=1,INDEX($X$7:$AN$7,MATCH(TRUE,INDEX($X284:$AY284&lt;&gt;0,),0)),IF(BA284=0,INDEX($AO$7:$AY$7,MATCH(1,$AO284:$AY284,0)),IF(BH284="Multiple strategies","mixed drivers",IF(BH284="Supply chain","multiple supply","multiple silviculture"))))</f>
        <v>mixed drivers</v>
      </c>
      <c r="BH284" s="2" t="str" cm="1">
        <f t="array" ref="BH284">IF(COUNTIF(BB284:BD284,"&lt;&gt;0")=1,INDEX($X$4:$AY$4,MATCH(TRUE,INDEX($X284:$AY284&lt;&gt;0,),0)),IF(COUNTIF(BB284:BD284,"&lt;&gt;0")=0,INDEX($AO$4:$AY$4,MATCH(1,$AO284:$AY284,0)),"Multiple strategies"))</f>
        <v>Multiple strategies</v>
      </c>
      <c r="BO284" t="str">
        <f t="shared" si="324"/>
        <v/>
      </c>
      <c r="BR284" s="297" t="s">
        <v>232</v>
      </c>
      <c r="BT284" t="s">
        <v>3569</v>
      </c>
      <c r="BU284">
        <v>-479</v>
      </c>
      <c r="BV284">
        <v>-144</v>
      </c>
      <c r="BW284" s="144">
        <f t="shared" si="325"/>
        <v>0.30062630480167013</v>
      </c>
      <c r="BX284">
        <f t="shared" si="326"/>
        <v>335</v>
      </c>
      <c r="BZ284">
        <f t="shared" si="327"/>
        <v>0.33500000000000002</v>
      </c>
      <c r="CA284" t="str">
        <f t="shared" si="252"/>
        <v/>
      </c>
      <c r="CB284">
        <v>0</v>
      </c>
      <c r="CC284">
        <v>0</v>
      </c>
      <c r="CD284">
        <v>0</v>
      </c>
      <c r="CE284">
        <v>0</v>
      </c>
      <c r="CF284">
        <v>0</v>
      </c>
      <c r="CG284">
        <v>0</v>
      </c>
      <c r="CH284">
        <v>0</v>
      </c>
      <c r="CI284">
        <v>0</v>
      </c>
      <c r="CJ284">
        <v>0</v>
      </c>
      <c r="CK284">
        <v>0</v>
      </c>
      <c r="CL284">
        <v>0</v>
      </c>
      <c r="CM284">
        <v>0</v>
      </c>
      <c r="CN284">
        <v>0</v>
      </c>
      <c r="CO284">
        <v>0</v>
      </c>
      <c r="CP284" t="str">
        <f t="shared" si="305"/>
        <v>refOK</v>
      </c>
      <c r="CQ284"/>
      <c r="CR284"/>
      <c r="CS284"/>
      <c r="CT284">
        <f t="shared" si="253"/>
        <v>0</v>
      </c>
      <c r="CU284">
        <f t="shared" si="306"/>
        <v>-479</v>
      </c>
      <c r="CV284">
        <f>IF($CP284="refOK",$BV284,$BU284)*IF($BR284="Emissions positive",-1,1)</f>
        <v>-144</v>
      </c>
      <c r="CW284">
        <f t="shared" si="308"/>
        <v>0.33500000000000002</v>
      </c>
      <c r="CX284" t="str">
        <f t="shared" si="254"/>
        <v/>
      </c>
      <c r="CY284" t="str">
        <f t="shared" si="309"/>
        <v/>
      </c>
      <c r="CZ284" t="str">
        <f t="shared" si="255"/>
        <v/>
      </c>
      <c r="DA284" s="2">
        <f t="shared" si="310"/>
        <v>0.69937369519832981</v>
      </c>
      <c r="DB284" s="1" t="s">
        <v>3472</v>
      </c>
      <c r="DC284" s="297" t="str">
        <f t="shared" si="328"/>
        <v>reg</v>
      </c>
      <c r="DD284" t="s">
        <v>3570</v>
      </c>
      <c r="DG284">
        <v>300</v>
      </c>
      <c r="DH284" t="str">
        <f t="shared" si="311"/>
        <v>+100</v>
      </c>
      <c r="DI284">
        <v>0</v>
      </c>
      <c r="DJ284">
        <v>0</v>
      </c>
      <c r="DK284">
        <v>0</v>
      </c>
      <c r="DL284">
        <v>1</v>
      </c>
      <c r="DM284">
        <v>1</v>
      </c>
      <c r="DN284">
        <f t="shared" si="329"/>
        <v>2</v>
      </c>
      <c r="DO284" t="str">
        <f t="shared" si="312"/>
        <v>mixedProduct</v>
      </c>
      <c r="DP284">
        <f t="shared" si="313"/>
        <v>0</v>
      </c>
      <c r="DQ284">
        <f t="shared" si="314"/>
        <v>0</v>
      </c>
      <c r="DR284">
        <f t="shared" si="315"/>
        <v>0</v>
      </c>
      <c r="DS284" t="str">
        <f t="shared" si="316"/>
        <v>Timber</v>
      </c>
      <c r="DT284">
        <v>0</v>
      </c>
      <c r="DU284">
        <v>0</v>
      </c>
      <c r="DV284">
        <v>0</v>
      </c>
      <c r="DW284">
        <v>0</v>
      </c>
      <c r="DX284">
        <v>0</v>
      </c>
      <c r="DY284"/>
      <c r="DZ284" s="143" t="str">
        <f t="shared" si="330"/>
        <v>explicit C balance</v>
      </c>
      <c r="EA284">
        <v>0</v>
      </c>
      <c r="EB284">
        <v>0</v>
      </c>
      <c r="EC284">
        <v>1</v>
      </c>
      <c r="ED284">
        <v>1</v>
      </c>
      <c r="EE284">
        <v>1</v>
      </c>
      <c r="EF284">
        <v>1</v>
      </c>
      <c r="EG284">
        <v>0</v>
      </c>
      <c r="EH284">
        <v>1</v>
      </c>
      <c r="EI284">
        <v>1</v>
      </c>
      <c r="EJ284">
        <v>1</v>
      </c>
      <c r="EK284">
        <v>1</v>
      </c>
      <c r="EL284">
        <v>1</v>
      </c>
      <c r="EM284">
        <v>0</v>
      </c>
      <c r="EN284" s="2">
        <v>0</v>
      </c>
      <c r="EP284" t="str">
        <f t="shared" si="256"/>
        <v>Whole sector approach</v>
      </c>
      <c r="EQ284" t="str">
        <f t="shared" si="297"/>
        <v/>
      </c>
      <c r="ER284" s="2" t="str">
        <f t="shared" si="257"/>
        <v/>
      </c>
      <c r="ES284" t="str">
        <f t="shared" si="258"/>
        <v/>
      </c>
      <c r="ET284" t="str">
        <f t="shared" si="259"/>
        <v/>
      </c>
      <c r="EU284" t="str">
        <f t="shared" si="260"/>
        <v/>
      </c>
      <c r="EV284" s="328" t="s">
        <v>5064</v>
      </c>
      <c r="EY284" t="b">
        <f>IF(ISNUMBER(BW284),IF(ABS(BW284-[1]QC_indicators!$B$2)&gt;3*[1]QC_indicators!$C$2,"C ratio",IF(ISNUMBER(CA284),IF(ABS(CA284-[1]QC_indicators!$B$1)&gt;3*[1]QC_indicators!$C$1,"DF","no"))),IF(ISNUMBER(CA284),IF(ABS(CA284-[1]QC_indicators!$B$1)&gt;3*[1]QC_indicators!$C$1,"DF","no")))</f>
        <v>0</v>
      </c>
      <c r="FA284" t="str">
        <f t="shared" si="261"/>
        <v/>
      </c>
    </row>
    <row r="285" spans="1:157" ht="15" hidden="1" customHeight="1">
      <c r="A285" s="1" t="s">
        <v>654</v>
      </c>
      <c r="B285" t="s">
        <v>3561</v>
      </c>
      <c r="C285" t="s">
        <v>3562</v>
      </c>
      <c r="D285" t="s">
        <v>3563</v>
      </c>
      <c r="E285" t="s">
        <v>3564</v>
      </c>
      <c r="F285" t="s">
        <v>3565</v>
      </c>
      <c r="G285" t="s">
        <v>660</v>
      </c>
      <c r="H285" t="s">
        <v>254</v>
      </c>
      <c r="I285">
        <v>2016</v>
      </c>
      <c r="J285">
        <v>46</v>
      </c>
      <c r="K285" t="s">
        <v>3566</v>
      </c>
      <c r="M285" t="str">
        <f t="shared" si="323"/>
        <v>Penaloza_2016</v>
      </c>
      <c r="N285" s="297" t="s">
        <v>4058</v>
      </c>
      <c r="O285" s="171" t="s">
        <v>508</v>
      </c>
      <c r="P285" t="s">
        <v>508</v>
      </c>
      <c r="Q285" s="297" t="s">
        <v>389</v>
      </c>
      <c r="R285" s="298"/>
      <c r="S285" s="1" t="s">
        <v>3574</v>
      </c>
      <c r="T285" t="s">
        <v>3572</v>
      </c>
      <c r="U285" t="s">
        <v>3574</v>
      </c>
      <c r="X285">
        <v>0</v>
      </c>
      <c r="Y285">
        <v>0</v>
      </c>
      <c r="Z285">
        <v>0</v>
      </c>
      <c r="AA285">
        <v>0</v>
      </c>
      <c r="AB285">
        <v>0</v>
      </c>
      <c r="AC285">
        <v>0</v>
      </c>
      <c r="AD285">
        <v>0</v>
      </c>
      <c r="AE285">
        <v>0</v>
      </c>
      <c r="AF285">
        <v>0</v>
      </c>
      <c r="AG285">
        <v>0</v>
      </c>
      <c r="AH285">
        <v>0</v>
      </c>
      <c r="AI285">
        <v>0</v>
      </c>
      <c r="AJ285">
        <v>1</v>
      </c>
      <c r="AK285">
        <v>0</v>
      </c>
      <c r="AL285">
        <v>0</v>
      </c>
      <c r="AM285">
        <v>1</v>
      </c>
      <c r="AN285">
        <v>0</v>
      </c>
      <c r="AO285">
        <v>0</v>
      </c>
      <c r="AP285">
        <v>0</v>
      </c>
      <c r="AQ285">
        <v>0</v>
      </c>
      <c r="AR285">
        <v>0</v>
      </c>
      <c r="AS285">
        <v>0</v>
      </c>
      <c r="AT285">
        <v>0</v>
      </c>
      <c r="AU285">
        <v>0</v>
      </c>
      <c r="AV285">
        <v>0</v>
      </c>
      <c r="AW285">
        <v>0</v>
      </c>
      <c r="AX285">
        <v>0</v>
      </c>
      <c r="AY285">
        <v>0</v>
      </c>
      <c r="AZ285" s="141">
        <f t="shared" si="298"/>
        <v>2</v>
      </c>
      <c r="BA285" s="141">
        <f t="shared" si="299"/>
        <v>2</v>
      </c>
      <c r="BB285">
        <f t="shared" si="300"/>
        <v>0</v>
      </c>
      <c r="BC285">
        <f t="shared" si="301"/>
        <v>1</v>
      </c>
      <c r="BD285">
        <f t="shared" si="302"/>
        <v>1</v>
      </c>
      <c r="BE285">
        <f t="shared" si="303"/>
        <v>0</v>
      </c>
      <c r="BF285">
        <f t="shared" si="304"/>
        <v>0</v>
      </c>
      <c r="BG285" t="str" cm="1">
        <f t="array" ref="BG285">IF(BA285=1,INDEX($X$7:$AN$7,MATCH(TRUE,INDEX($X285:$AY285&lt;&gt;0,),0)),IF(BA285=0,INDEX($AO$7:$AY$7,MATCH(1,$AO285:$AY285,0)),IF(BH285="Multiple strategies","mixed drivers",IF(BH285="Supply chain","multiple supply","multiple silviculture"))))</f>
        <v>mixed drivers</v>
      </c>
      <c r="BH285" s="2" t="str" cm="1">
        <f t="array" ref="BH285">IF(COUNTIF(BB285:BD285,"&lt;&gt;0")=1,INDEX($X$4:$AY$4,MATCH(TRUE,INDEX($X285:$AY285&lt;&gt;0,),0)),IF(COUNTIF(BB285:BD285,"&lt;&gt;0")=0,INDEX($AO$4:$AY$4,MATCH(1,$AO285:$AY285,0)),"Multiple strategies"))</f>
        <v>Multiple strategies</v>
      </c>
      <c r="BO285" t="str">
        <f t="shared" si="324"/>
        <v/>
      </c>
      <c r="BR285" s="297" t="s">
        <v>232</v>
      </c>
      <c r="BT285" t="s">
        <v>3569</v>
      </c>
      <c r="BU285">
        <v>-462</v>
      </c>
      <c r="BV285">
        <v>-121</v>
      </c>
      <c r="BW285" s="144">
        <f t="shared" si="325"/>
        <v>0.26190476190476192</v>
      </c>
      <c r="BX285">
        <f t="shared" si="326"/>
        <v>341</v>
      </c>
      <c r="BZ285">
        <f t="shared" si="327"/>
        <v>0.34100000000000003</v>
      </c>
      <c r="CA285" t="str">
        <f t="shared" si="252"/>
        <v/>
      </c>
      <c r="CB285">
        <v>0</v>
      </c>
      <c r="CC285">
        <v>0</v>
      </c>
      <c r="CD285">
        <v>0</v>
      </c>
      <c r="CE285">
        <v>0</v>
      </c>
      <c r="CF285">
        <v>0</v>
      </c>
      <c r="CG285">
        <v>0</v>
      </c>
      <c r="CH285">
        <v>0</v>
      </c>
      <c r="CI285">
        <v>0</v>
      </c>
      <c r="CJ285">
        <v>0</v>
      </c>
      <c r="CK285">
        <v>0</v>
      </c>
      <c r="CL285">
        <v>0</v>
      </c>
      <c r="CM285">
        <v>0</v>
      </c>
      <c r="CN285">
        <v>0</v>
      </c>
      <c r="CO285">
        <v>0</v>
      </c>
      <c r="CP285" t="str">
        <f t="shared" si="305"/>
        <v>refOK</v>
      </c>
      <c r="CQ285"/>
      <c r="CR285"/>
      <c r="CS285"/>
      <c r="CT285">
        <f t="shared" si="253"/>
        <v>0</v>
      </c>
      <c r="CU285">
        <f t="shared" si="306"/>
        <v>-462</v>
      </c>
      <c r="CV285">
        <f>IF($CP285="refOK",$BV285,$BU285)*IF($BR285="Emissions positive",-1,1)</f>
        <v>-121</v>
      </c>
      <c r="CW285">
        <f t="shared" si="308"/>
        <v>0.34100000000000003</v>
      </c>
      <c r="CX285" t="str">
        <f t="shared" si="254"/>
        <v/>
      </c>
      <c r="CY285" t="str">
        <f t="shared" si="309"/>
        <v/>
      </c>
      <c r="CZ285" t="str">
        <f t="shared" si="255"/>
        <v/>
      </c>
      <c r="DA285" s="2">
        <f t="shared" si="310"/>
        <v>0.73809523809523814</v>
      </c>
      <c r="DB285" s="1" t="s">
        <v>3472</v>
      </c>
      <c r="DC285" s="297" t="str">
        <f t="shared" si="328"/>
        <v>reg</v>
      </c>
      <c r="DD285" t="s">
        <v>3570</v>
      </c>
      <c r="DG285">
        <v>300</v>
      </c>
      <c r="DH285" t="str">
        <f t="shared" si="311"/>
        <v>+100</v>
      </c>
      <c r="DI285">
        <v>0</v>
      </c>
      <c r="DJ285">
        <v>0</v>
      </c>
      <c r="DK285">
        <v>0</v>
      </c>
      <c r="DL285">
        <v>1</v>
      </c>
      <c r="DM285">
        <v>1</v>
      </c>
      <c r="DN285">
        <f t="shared" si="329"/>
        <v>2</v>
      </c>
      <c r="DO285" t="str">
        <f t="shared" si="312"/>
        <v>mixedProduct</v>
      </c>
      <c r="DP285">
        <f t="shared" si="313"/>
        <v>0</v>
      </c>
      <c r="DQ285">
        <f t="shared" si="314"/>
        <v>0</v>
      </c>
      <c r="DR285">
        <f t="shared" si="315"/>
        <v>0</v>
      </c>
      <c r="DS285" t="str">
        <f t="shared" si="316"/>
        <v>Timber</v>
      </c>
      <c r="DT285">
        <v>0</v>
      </c>
      <c r="DU285">
        <v>0</v>
      </c>
      <c r="DV285">
        <v>0</v>
      </c>
      <c r="DW285">
        <v>0</v>
      </c>
      <c r="DX285">
        <v>0</v>
      </c>
      <c r="DY285"/>
      <c r="DZ285" s="143" t="str">
        <f t="shared" si="330"/>
        <v>explicit C balance</v>
      </c>
      <c r="EA285">
        <v>0</v>
      </c>
      <c r="EB285">
        <v>0</v>
      </c>
      <c r="EC285">
        <v>1</v>
      </c>
      <c r="ED285">
        <v>1</v>
      </c>
      <c r="EE285">
        <v>1</v>
      </c>
      <c r="EF285">
        <v>1</v>
      </c>
      <c r="EG285">
        <v>0</v>
      </c>
      <c r="EH285">
        <v>1</v>
      </c>
      <c r="EI285">
        <v>1</v>
      </c>
      <c r="EJ285">
        <v>1</v>
      </c>
      <c r="EK285">
        <v>1</v>
      </c>
      <c r="EL285">
        <v>1</v>
      </c>
      <c r="EM285">
        <v>0</v>
      </c>
      <c r="EN285" s="2">
        <v>0</v>
      </c>
      <c r="EP285" t="str">
        <f t="shared" si="256"/>
        <v>Whole sector approach</v>
      </c>
      <c r="EQ285" t="str">
        <f t="shared" si="297"/>
        <v/>
      </c>
      <c r="ER285" s="2" t="str">
        <f t="shared" si="257"/>
        <v/>
      </c>
      <c r="ES285" t="str">
        <f t="shared" si="258"/>
        <v/>
      </c>
      <c r="ET285" t="str">
        <f t="shared" si="259"/>
        <v/>
      </c>
      <c r="EU285" t="str">
        <f t="shared" si="260"/>
        <v/>
      </c>
      <c r="EV285" s="328" t="s">
        <v>5064</v>
      </c>
      <c r="EY285" t="b">
        <f>IF(ISNUMBER(BW285),IF(ABS(BW285-[1]QC_indicators!$B$2)&gt;3*[1]QC_indicators!$C$2,"C ratio",IF(ISNUMBER(CA285),IF(ABS(CA285-[1]QC_indicators!$B$1)&gt;3*[1]QC_indicators!$C$1,"DF","no"))),IF(ISNUMBER(CA285),IF(ABS(CA285-[1]QC_indicators!$B$1)&gt;3*[1]QC_indicators!$C$1,"DF","no")))</f>
        <v>0</v>
      </c>
      <c r="FA285" t="str">
        <f t="shared" si="261"/>
        <v/>
      </c>
    </row>
    <row r="286" spans="1:157" ht="15" hidden="1" customHeight="1">
      <c r="A286" s="1" t="s">
        <v>654</v>
      </c>
      <c r="B286" t="s">
        <v>3561</v>
      </c>
      <c r="C286" t="s">
        <v>3562</v>
      </c>
      <c r="D286" t="s">
        <v>3563</v>
      </c>
      <c r="E286" t="s">
        <v>3564</v>
      </c>
      <c r="F286" t="s">
        <v>3565</v>
      </c>
      <c r="G286" t="s">
        <v>660</v>
      </c>
      <c r="H286" t="s">
        <v>254</v>
      </c>
      <c r="I286">
        <v>2016</v>
      </c>
      <c r="J286">
        <v>46</v>
      </c>
      <c r="K286" t="s">
        <v>3566</v>
      </c>
      <c r="M286" t="str">
        <f t="shared" si="323"/>
        <v>Penaloza_2016</v>
      </c>
      <c r="N286" s="297" t="s">
        <v>4058</v>
      </c>
      <c r="O286" s="171" t="s">
        <v>508</v>
      </c>
      <c r="P286" t="s">
        <v>508</v>
      </c>
      <c r="Q286" s="297" t="s">
        <v>389</v>
      </c>
      <c r="R286" s="298"/>
      <c r="S286" s="1" t="s">
        <v>3574</v>
      </c>
      <c r="T286" t="s">
        <v>3572</v>
      </c>
      <c r="U286" t="s">
        <v>3574</v>
      </c>
      <c r="X286">
        <v>0</v>
      </c>
      <c r="Y286">
        <v>0</v>
      </c>
      <c r="Z286">
        <v>0</v>
      </c>
      <c r="AA286">
        <v>0</v>
      </c>
      <c r="AB286">
        <v>0</v>
      </c>
      <c r="AC286">
        <v>0</v>
      </c>
      <c r="AD286">
        <v>0</v>
      </c>
      <c r="AE286">
        <v>0</v>
      </c>
      <c r="AF286">
        <v>0</v>
      </c>
      <c r="AG286">
        <v>0</v>
      </c>
      <c r="AH286">
        <v>0</v>
      </c>
      <c r="AI286">
        <v>0</v>
      </c>
      <c r="AJ286">
        <v>1</v>
      </c>
      <c r="AK286">
        <v>0</v>
      </c>
      <c r="AL286">
        <v>0</v>
      </c>
      <c r="AM286">
        <v>1</v>
      </c>
      <c r="AN286">
        <v>0</v>
      </c>
      <c r="AO286">
        <v>0</v>
      </c>
      <c r="AP286">
        <v>0</v>
      </c>
      <c r="AQ286">
        <v>0</v>
      </c>
      <c r="AR286">
        <v>0</v>
      </c>
      <c r="AS286">
        <v>0</v>
      </c>
      <c r="AT286">
        <v>0</v>
      </c>
      <c r="AU286">
        <v>0</v>
      </c>
      <c r="AV286">
        <v>0</v>
      </c>
      <c r="AW286">
        <v>0</v>
      </c>
      <c r="AX286">
        <v>0</v>
      </c>
      <c r="AY286">
        <v>0</v>
      </c>
      <c r="AZ286" s="141">
        <f t="shared" si="298"/>
        <v>2</v>
      </c>
      <c r="BA286" s="141">
        <f t="shared" si="299"/>
        <v>2</v>
      </c>
      <c r="BB286">
        <f t="shared" si="300"/>
        <v>0</v>
      </c>
      <c r="BC286">
        <f t="shared" si="301"/>
        <v>1</v>
      </c>
      <c r="BD286">
        <f t="shared" si="302"/>
        <v>1</v>
      </c>
      <c r="BE286">
        <f t="shared" si="303"/>
        <v>0</v>
      </c>
      <c r="BF286">
        <f t="shared" si="304"/>
        <v>0</v>
      </c>
      <c r="BG286" t="str" cm="1">
        <f t="array" ref="BG286">IF(BA286=1,INDEX($X$7:$AN$7,MATCH(TRUE,INDEX($X286:$AY286&lt;&gt;0,),0)),IF(BA286=0,INDEX($AO$7:$AY$7,MATCH(1,$AO286:$AY286,0)),IF(BH286="Multiple strategies","mixed drivers",IF(BH286="Supply chain","multiple supply","multiple silviculture"))))</f>
        <v>mixed drivers</v>
      </c>
      <c r="BH286" s="2" t="str" cm="1">
        <f t="array" ref="BH286">IF(COUNTIF(BB286:BD286,"&lt;&gt;0")=1,INDEX($X$4:$AY$4,MATCH(TRUE,INDEX($X286:$AY286&lt;&gt;0,),0)),IF(COUNTIF(BB286:BD286,"&lt;&gt;0")=0,INDEX($AO$4:$AY$4,MATCH(1,$AO286:$AY286,0)),"Multiple strategies"))</f>
        <v>Multiple strategies</v>
      </c>
      <c r="BO286" t="str">
        <f t="shared" si="324"/>
        <v/>
      </c>
      <c r="BR286" s="297" t="s">
        <v>232</v>
      </c>
      <c r="BT286" t="s">
        <v>3569</v>
      </c>
      <c r="BU286">
        <v>-462</v>
      </c>
      <c r="BV286">
        <v>-56</v>
      </c>
      <c r="BW286" s="144">
        <f t="shared" si="325"/>
        <v>0.12121212121212122</v>
      </c>
      <c r="BX286">
        <f t="shared" si="326"/>
        <v>406</v>
      </c>
      <c r="BZ286">
        <f t="shared" si="327"/>
        <v>0.40600000000000003</v>
      </c>
      <c r="CA286" t="str">
        <f t="shared" si="252"/>
        <v/>
      </c>
      <c r="CB286">
        <v>0</v>
      </c>
      <c r="CC286">
        <v>0</v>
      </c>
      <c r="CD286">
        <v>0</v>
      </c>
      <c r="CE286">
        <v>0</v>
      </c>
      <c r="CF286">
        <v>0</v>
      </c>
      <c r="CG286">
        <v>0</v>
      </c>
      <c r="CH286">
        <v>0</v>
      </c>
      <c r="CI286">
        <v>0</v>
      </c>
      <c r="CJ286">
        <v>0</v>
      </c>
      <c r="CK286">
        <v>0</v>
      </c>
      <c r="CL286">
        <v>0</v>
      </c>
      <c r="CM286">
        <v>0</v>
      </c>
      <c r="CN286">
        <v>0</v>
      </c>
      <c r="CO286">
        <v>0</v>
      </c>
      <c r="CP286" t="str">
        <f t="shared" si="305"/>
        <v>refOK</v>
      </c>
      <c r="CQ286"/>
      <c r="CR286"/>
      <c r="CS286"/>
      <c r="CT286">
        <f t="shared" si="253"/>
        <v>0</v>
      </c>
      <c r="CU286">
        <f t="shared" si="306"/>
        <v>-462</v>
      </c>
      <c r="CV286">
        <v>-56</v>
      </c>
      <c r="CW286">
        <f t="shared" si="308"/>
        <v>0.40600000000000003</v>
      </c>
      <c r="CX286" t="str">
        <f t="shared" si="254"/>
        <v/>
      </c>
      <c r="CY286" t="str">
        <f t="shared" si="309"/>
        <v/>
      </c>
      <c r="CZ286" t="str">
        <f t="shared" si="255"/>
        <v/>
      </c>
      <c r="DA286" s="2">
        <f t="shared" si="310"/>
        <v>0.87878787878787878</v>
      </c>
      <c r="DB286" s="1" t="s">
        <v>3472</v>
      </c>
      <c r="DC286" s="297" t="str">
        <f t="shared" si="328"/>
        <v>reg</v>
      </c>
      <c r="DD286" t="s">
        <v>3570</v>
      </c>
      <c r="DG286">
        <v>100</v>
      </c>
      <c r="DH286" t="str">
        <f t="shared" si="311"/>
        <v>71-100</v>
      </c>
      <c r="DI286">
        <v>0</v>
      </c>
      <c r="DJ286">
        <v>0</v>
      </c>
      <c r="DK286">
        <v>0</v>
      </c>
      <c r="DL286">
        <v>1</v>
      </c>
      <c r="DM286">
        <v>1</v>
      </c>
      <c r="DN286">
        <f t="shared" si="329"/>
        <v>2</v>
      </c>
      <c r="DO286" t="str">
        <f t="shared" si="312"/>
        <v>mixedProduct</v>
      </c>
      <c r="DP286">
        <f t="shared" si="313"/>
        <v>0</v>
      </c>
      <c r="DQ286">
        <f t="shared" si="314"/>
        <v>0</v>
      </c>
      <c r="DR286">
        <f t="shared" si="315"/>
        <v>0</v>
      </c>
      <c r="DS286" t="str">
        <f t="shared" si="316"/>
        <v>Timber</v>
      </c>
      <c r="DT286">
        <v>0</v>
      </c>
      <c r="DU286">
        <v>0</v>
      </c>
      <c r="DV286">
        <v>0</v>
      </c>
      <c r="DW286">
        <v>0</v>
      </c>
      <c r="DX286">
        <v>0</v>
      </c>
      <c r="DY286"/>
      <c r="DZ286" s="143" t="str">
        <f t="shared" si="330"/>
        <v>explicit C balance</v>
      </c>
      <c r="EA286">
        <v>0</v>
      </c>
      <c r="EB286">
        <v>0</v>
      </c>
      <c r="EC286">
        <v>1</v>
      </c>
      <c r="ED286">
        <v>1</v>
      </c>
      <c r="EE286">
        <v>1</v>
      </c>
      <c r="EF286">
        <v>1</v>
      </c>
      <c r="EG286">
        <v>0</v>
      </c>
      <c r="EH286">
        <v>1</v>
      </c>
      <c r="EI286">
        <v>1</v>
      </c>
      <c r="EJ286">
        <v>1</v>
      </c>
      <c r="EK286">
        <v>1</v>
      </c>
      <c r="EL286">
        <v>1</v>
      </c>
      <c r="EM286">
        <v>0</v>
      </c>
      <c r="EN286" s="2">
        <v>0</v>
      </c>
      <c r="EP286" t="str">
        <f t="shared" si="256"/>
        <v>Whole sector approach</v>
      </c>
      <c r="EQ286" t="str">
        <f t="shared" si="297"/>
        <v/>
      </c>
      <c r="ER286" s="2" t="str">
        <f t="shared" si="257"/>
        <v/>
      </c>
      <c r="ES286" t="str">
        <f t="shared" si="258"/>
        <v/>
      </c>
      <c r="ET286" t="str">
        <f t="shared" si="259"/>
        <v/>
      </c>
      <c r="EU286" t="str">
        <f t="shared" si="260"/>
        <v/>
      </c>
      <c r="EV286" s="328" t="s">
        <v>5064</v>
      </c>
      <c r="EY286" t="b">
        <f>IF(ISNUMBER(BW286),IF(ABS(BW286-[1]QC_indicators!$B$2)&gt;3*[1]QC_indicators!$C$2,"C ratio",IF(ISNUMBER(CA286),IF(ABS(CA286-[1]QC_indicators!$B$1)&gt;3*[1]QC_indicators!$C$1,"DF","no"))),IF(ISNUMBER(CA286),IF(ABS(CA286-[1]QC_indicators!$B$1)&gt;3*[1]QC_indicators!$C$1,"DF","no")))</f>
        <v>0</v>
      </c>
      <c r="FA286" t="str">
        <f t="shared" si="261"/>
        <v/>
      </c>
    </row>
    <row r="287" spans="1:157" ht="15" hidden="1" customHeight="1">
      <c r="A287" s="1" t="s">
        <v>214</v>
      </c>
      <c r="B287" t="s">
        <v>3581</v>
      </c>
      <c r="C287" t="s">
        <v>3582</v>
      </c>
      <c r="D287" t="s">
        <v>3583</v>
      </c>
      <c r="E287" t="s">
        <v>3584</v>
      </c>
      <c r="F287" t="s">
        <v>3585</v>
      </c>
      <c r="G287" t="s">
        <v>220</v>
      </c>
      <c r="H287" t="s">
        <v>254</v>
      </c>
      <c r="I287">
        <v>2012</v>
      </c>
      <c r="J287">
        <v>24</v>
      </c>
      <c r="K287" t="s">
        <v>3586</v>
      </c>
      <c r="M287" t="str">
        <f t="shared" si="323"/>
        <v>Perez-Cruzado_2012</v>
      </c>
      <c r="N287" s="297" t="s">
        <v>4058</v>
      </c>
      <c r="O287" s="171" t="s">
        <v>508</v>
      </c>
      <c r="P287" s="141" t="s">
        <v>225</v>
      </c>
      <c r="Q287" s="297" t="s">
        <v>389</v>
      </c>
      <c r="R287" s="298"/>
      <c r="S287" s="1" t="s">
        <v>3587</v>
      </c>
      <c r="T287" t="s">
        <v>3588</v>
      </c>
      <c r="U287" t="s">
        <v>3593</v>
      </c>
      <c r="X287">
        <v>0</v>
      </c>
      <c r="Y287">
        <v>0</v>
      </c>
      <c r="Z287">
        <v>0</v>
      </c>
      <c r="AA287">
        <v>0</v>
      </c>
      <c r="AB287">
        <v>1</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s="141">
        <f t="shared" si="298"/>
        <v>1</v>
      </c>
      <c r="BA287" s="141">
        <f t="shared" si="299"/>
        <v>1</v>
      </c>
      <c r="BB287">
        <f t="shared" si="300"/>
        <v>1</v>
      </c>
      <c r="BC287">
        <f t="shared" si="301"/>
        <v>0</v>
      </c>
      <c r="BD287">
        <f t="shared" si="302"/>
        <v>0</v>
      </c>
      <c r="BE287">
        <f t="shared" si="303"/>
        <v>0</v>
      </c>
      <c r="BF287">
        <f t="shared" si="304"/>
        <v>0</v>
      </c>
      <c r="BG287" t="str" cm="1">
        <f t="array" ref="BG287">IF(BA287=1,INDEX($X$7:$AN$7,MATCH(TRUE,INDEX($X287:$AY287&lt;&gt;0,),0)),IF(BA287=0,INDEX($AO$7:$AY$7,MATCH(1,$AO287:$AY287,0)),IF(BH287="Multiple strategies","mixed drivers",IF(BH287="Supply chain","multiple supply","multiple silviculture"))))</f>
        <v>species</v>
      </c>
      <c r="BH287" s="2" t="str" cm="1">
        <f t="array" ref="BH287">IF(COUNTIF(BB287:BD287,"&lt;&gt;0")=1,INDEX($X$4:$AY$4,MATCH(TRUE,INDEX($X287:$AY287&lt;&gt;0,),0)),IF(COUNTIF(BB287:BD287,"&lt;&gt;0")=0,INDEX($AO$4:$AY$4,MATCH(1,$AO287:$AY287,0)),"Multiple strategies"))</f>
        <v>Silviculture for productivity</v>
      </c>
      <c r="BR287" t="s">
        <v>232</v>
      </c>
      <c r="BS287" t="s">
        <v>3590</v>
      </c>
      <c r="BT287" t="s">
        <v>3591</v>
      </c>
      <c r="BU287">
        <v>237.9</v>
      </c>
      <c r="BV287">
        <v>273.7</v>
      </c>
      <c r="BW287" s="144"/>
      <c r="BX287">
        <f t="shared" si="326"/>
        <v>35.799999999999983</v>
      </c>
      <c r="CA287" t="str">
        <f t="shared" si="252"/>
        <v/>
      </c>
      <c r="CB287">
        <v>0</v>
      </c>
      <c r="CC287">
        <v>0</v>
      </c>
      <c r="CD287">
        <v>0</v>
      </c>
      <c r="CE287">
        <v>0</v>
      </c>
      <c r="CF287">
        <v>0</v>
      </c>
      <c r="CG287">
        <v>0</v>
      </c>
      <c r="CH287">
        <v>0</v>
      </c>
      <c r="CI287">
        <v>0</v>
      </c>
      <c r="CJ287">
        <v>0</v>
      </c>
      <c r="CK287">
        <v>0</v>
      </c>
      <c r="CL287">
        <v>0</v>
      </c>
      <c r="CM287">
        <v>0</v>
      </c>
      <c r="CN287">
        <v>0</v>
      </c>
      <c r="CO287">
        <v>0</v>
      </c>
      <c r="CP287" t="str">
        <f t="shared" si="305"/>
        <v>refOK</v>
      </c>
      <c r="CQ287"/>
      <c r="CR287"/>
      <c r="CS287"/>
      <c r="CT287">
        <f t="shared" si="253"/>
        <v>0</v>
      </c>
      <c r="CU287">
        <f t="shared" si="306"/>
        <v>237.9</v>
      </c>
      <c r="CV287">
        <f t="shared" ref="CV287:CV318" si="331">IF($CP287="refOK",$BV287,$BU287)*IF($BR287="Emissions positive",-1,1)</f>
        <v>273.7</v>
      </c>
      <c r="CW287">
        <f t="shared" si="308"/>
        <v>0</v>
      </c>
      <c r="CX287" t="str">
        <f t="shared" si="254"/>
        <v/>
      </c>
      <c r="CY287" t="str">
        <f t="shared" si="309"/>
        <v/>
      </c>
      <c r="CZ287" t="str">
        <f t="shared" si="255"/>
        <v/>
      </c>
      <c r="DA287" s="2">
        <f t="shared" si="310"/>
        <v>0.15048339638503566</v>
      </c>
      <c r="DB287" s="1" t="s">
        <v>1078</v>
      </c>
      <c r="DC287" s="297" t="str">
        <f t="shared" si="328"/>
        <v>reg</v>
      </c>
      <c r="DD287" t="s">
        <v>3592</v>
      </c>
      <c r="DG287">
        <v>200</v>
      </c>
      <c r="DH287" t="str">
        <f t="shared" si="311"/>
        <v>+100</v>
      </c>
      <c r="DI287">
        <v>0</v>
      </c>
      <c r="DJ287">
        <v>0</v>
      </c>
      <c r="DK287">
        <v>0</v>
      </c>
      <c r="DL287">
        <v>1</v>
      </c>
      <c r="DM287">
        <v>0</v>
      </c>
      <c r="DN287">
        <f t="shared" si="329"/>
        <v>1</v>
      </c>
      <c r="DO287" t="str">
        <f t="shared" si="312"/>
        <v>TimberInput</v>
      </c>
      <c r="DP287">
        <f t="shared" si="313"/>
        <v>0</v>
      </c>
      <c r="DQ287">
        <f t="shared" si="314"/>
        <v>0</v>
      </c>
      <c r="DR287">
        <f t="shared" si="315"/>
        <v>0</v>
      </c>
      <c r="DS287" t="str">
        <f t="shared" si="316"/>
        <v>Timber</v>
      </c>
      <c r="DT287">
        <v>0</v>
      </c>
      <c r="DU287">
        <v>0</v>
      </c>
      <c r="DV287">
        <v>0</v>
      </c>
      <c r="DW287">
        <v>0</v>
      </c>
      <c r="DX287">
        <v>0</v>
      </c>
      <c r="DY287">
        <f t="shared" ref="DY287:DY318" si="332">SUM(DT287:DU287)</f>
        <v>0</v>
      </c>
      <c r="DZ287" s="143" t="str">
        <f t="shared" si="330"/>
        <v>explicit C balance</v>
      </c>
      <c r="EA287">
        <v>1</v>
      </c>
      <c r="EB287">
        <v>1</v>
      </c>
      <c r="EC287">
        <v>1</v>
      </c>
      <c r="ED287">
        <v>1</v>
      </c>
      <c r="EE287">
        <v>1</v>
      </c>
      <c r="EF287">
        <v>0</v>
      </c>
      <c r="EG287">
        <v>0</v>
      </c>
      <c r="EH287">
        <v>0</v>
      </c>
      <c r="EI287">
        <v>0</v>
      </c>
      <c r="EJ287">
        <v>0</v>
      </c>
      <c r="EK287">
        <v>1</v>
      </c>
      <c r="EL287">
        <v>0</v>
      </c>
      <c r="EM287">
        <v>0</v>
      </c>
      <c r="EN287" s="2">
        <v>0</v>
      </c>
      <c r="EP287" t="str">
        <f t="shared" si="256"/>
        <v/>
      </c>
      <c r="EQ287" t="str">
        <f t="shared" si="297"/>
        <v>Ecosystem approach</v>
      </c>
      <c r="ER287" s="2" t="str">
        <f t="shared" si="257"/>
        <v/>
      </c>
      <c r="ES287" t="str">
        <f t="shared" si="258"/>
        <v/>
      </c>
      <c r="ET287" t="str">
        <f t="shared" si="259"/>
        <v/>
      </c>
      <c r="EU287" t="str">
        <f t="shared" si="260"/>
        <v/>
      </c>
      <c r="EY287" t="b">
        <f>IF(ISNUMBER(BW287),IF(ABS(BW287-[1]QC_indicators!$B$2)&gt;3*[1]QC_indicators!$C$2,"C ratio",IF(ISNUMBER(CA287),IF(ABS(CA287-[1]QC_indicators!$B$1)&gt;3*[1]QC_indicators!$C$1,"DF","no"))),IF(ISNUMBER(CA287),IF(ABS(CA287-[1]QC_indicators!$B$1)&gt;3*[1]QC_indicators!$C$1,"DF","no")))</f>
        <v>0</v>
      </c>
      <c r="FA287" t="str">
        <f t="shared" si="261"/>
        <v/>
      </c>
    </row>
    <row r="288" spans="1:157" ht="15" hidden="1" customHeight="1">
      <c r="A288" s="1" t="s">
        <v>214</v>
      </c>
      <c r="B288" t="s">
        <v>3581</v>
      </c>
      <c r="C288" t="s">
        <v>3582</v>
      </c>
      <c r="D288" t="s">
        <v>3583</v>
      </c>
      <c r="E288" t="s">
        <v>3584</v>
      </c>
      <c r="F288" t="s">
        <v>3585</v>
      </c>
      <c r="G288" t="s">
        <v>220</v>
      </c>
      <c r="H288" t="s">
        <v>254</v>
      </c>
      <c r="I288">
        <v>2012</v>
      </c>
      <c r="J288">
        <v>24</v>
      </c>
      <c r="K288" t="s">
        <v>3586</v>
      </c>
      <c r="M288" t="str">
        <f t="shared" si="323"/>
        <v>Perez-Cruzado_2012</v>
      </c>
      <c r="N288" s="297" t="s">
        <v>4058</v>
      </c>
      <c r="O288" s="171" t="s">
        <v>508</v>
      </c>
      <c r="P288" s="141" t="s">
        <v>225</v>
      </c>
      <c r="Q288" s="297" t="s">
        <v>389</v>
      </c>
      <c r="R288" s="298"/>
      <c r="S288" s="1" t="s">
        <v>3587</v>
      </c>
      <c r="T288" t="s">
        <v>3588</v>
      </c>
      <c r="U288" t="s">
        <v>3589</v>
      </c>
      <c r="X288">
        <v>0</v>
      </c>
      <c r="Y288">
        <v>0</v>
      </c>
      <c r="Z288">
        <v>0</v>
      </c>
      <c r="AA288">
        <v>0</v>
      </c>
      <c r="AB288">
        <v>1</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s="141">
        <f t="shared" si="298"/>
        <v>1</v>
      </c>
      <c r="BA288" s="141">
        <f t="shared" si="299"/>
        <v>1</v>
      </c>
      <c r="BB288">
        <f t="shared" si="300"/>
        <v>1</v>
      </c>
      <c r="BC288">
        <f t="shared" si="301"/>
        <v>0</v>
      </c>
      <c r="BD288">
        <f t="shared" si="302"/>
        <v>0</v>
      </c>
      <c r="BE288">
        <f t="shared" si="303"/>
        <v>0</v>
      </c>
      <c r="BF288">
        <f t="shared" si="304"/>
        <v>0</v>
      </c>
      <c r="BG288" t="str" cm="1">
        <f t="array" ref="BG288">IF(BA288=1,INDEX($X$7:$AN$7,MATCH(TRUE,INDEX($X288:$AY288&lt;&gt;0,),0)),IF(BA288=0,INDEX($AO$7:$AY$7,MATCH(1,$AO288:$AY288,0)),IF(BH288="Multiple strategies","mixed drivers",IF(BH288="Supply chain","multiple supply","multiple silviculture"))))</f>
        <v>species</v>
      </c>
      <c r="BH288" s="2" t="str" cm="1">
        <f t="array" ref="BH288">IF(COUNTIF(BB288:BD288,"&lt;&gt;0")=1,INDEX($X$4:$AY$4,MATCH(TRUE,INDEX($X288:$AY288&lt;&gt;0,),0)),IF(COUNTIF(BB288:BD288,"&lt;&gt;0")=0,INDEX($AO$4:$AY$4,MATCH(1,$AO288:$AY288,0)),"Multiple strategies"))</f>
        <v>Silviculture for productivity</v>
      </c>
      <c r="BR288" t="s">
        <v>232</v>
      </c>
      <c r="BS288" t="s">
        <v>3590</v>
      </c>
      <c r="BT288" t="s">
        <v>3591</v>
      </c>
      <c r="BU288">
        <v>237.9</v>
      </c>
      <c r="BV288">
        <v>304</v>
      </c>
      <c r="BW288" s="144"/>
      <c r="BX288">
        <f t="shared" si="326"/>
        <v>66.099999999999994</v>
      </c>
      <c r="CA288" t="str">
        <f t="shared" si="252"/>
        <v/>
      </c>
      <c r="CB288">
        <v>0</v>
      </c>
      <c r="CC288">
        <v>0</v>
      </c>
      <c r="CD288">
        <v>0</v>
      </c>
      <c r="CE288">
        <v>0</v>
      </c>
      <c r="CF288">
        <v>0</v>
      </c>
      <c r="CG288">
        <v>0</v>
      </c>
      <c r="CH288">
        <v>0</v>
      </c>
      <c r="CI288">
        <v>0</v>
      </c>
      <c r="CJ288">
        <v>0</v>
      </c>
      <c r="CK288">
        <v>0</v>
      </c>
      <c r="CL288">
        <v>0</v>
      </c>
      <c r="CM288">
        <v>0</v>
      </c>
      <c r="CN288">
        <v>0</v>
      </c>
      <c r="CO288">
        <v>0</v>
      </c>
      <c r="CP288" t="str">
        <f t="shared" si="305"/>
        <v>refOK</v>
      </c>
      <c r="CQ288"/>
      <c r="CR288"/>
      <c r="CS288"/>
      <c r="CT288">
        <f t="shared" si="253"/>
        <v>0</v>
      </c>
      <c r="CU288">
        <f t="shared" si="306"/>
        <v>237.9</v>
      </c>
      <c r="CV288">
        <f t="shared" si="331"/>
        <v>304</v>
      </c>
      <c r="CW288">
        <f t="shared" si="308"/>
        <v>0</v>
      </c>
      <c r="CX288" t="str">
        <f t="shared" si="254"/>
        <v/>
      </c>
      <c r="CY288" t="str">
        <f t="shared" si="309"/>
        <v/>
      </c>
      <c r="CZ288" t="str">
        <f t="shared" si="255"/>
        <v/>
      </c>
      <c r="DA288" s="2">
        <f t="shared" si="310"/>
        <v>0.27784783522488438</v>
      </c>
      <c r="DB288" s="1" t="s">
        <v>1078</v>
      </c>
      <c r="DC288" s="297" t="str">
        <f t="shared" si="328"/>
        <v>reg</v>
      </c>
      <c r="DD288" t="s">
        <v>3592</v>
      </c>
      <c r="DG288">
        <v>200</v>
      </c>
      <c r="DH288" t="str">
        <f t="shared" si="311"/>
        <v>+100</v>
      </c>
      <c r="DI288">
        <v>0</v>
      </c>
      <c r="DJ288">
        <v>0</v>
      </c>
      <c r="DK288">
        <v>0</v>
      </c>
      <c r="DL288">
        <v>1</v>
      </c>
      <c r="DM288">
        <v>0</v>
      </c>
      <c r="DN288">
        <f t="shared" si="329"/>
        <v>1</v>
      </c>
      <c r="DO288" t="str">
        <f t="shared" si="312"/>
        <v>TimberInput</v>
      </c>
      <c r="DP288">
        <f t="shared" si="313"/>
        <v>0</v>
      </c>
      <c r="DQ288">
        <f t="shared" si="314"/>
        <v>0</v>
      </c>
      <c r="DR288">
        <f t="shared" si="315"/>
        <v>0</v>
      </c>
      <c r="DS288" t="str">
        <f t="shared" si="316"/>
        <v>Timber</v>
      </c>
      <c r="DT288">
        <v>0</v>
      </c>
      <c r="DU288">
        <v>0</v>
      </c>
      <c r="DV288">
        <v>0</v>
      </c>
      <c r="DW288">
        <v>0</v>
      </c>
      <c r="DX288">
        <v>0</v>
      </c>
      <c r="DY288">
        <f t="shared" si="332"/>
        <v>0</v>
      </c>
      <c r="DZ288" s="143" t="str">
        <f t="shared" si="330"/>
        <v>explicit C balance</v>
      </c>
      <c r="EA288">
        <v>1</v>
      </c>
      <c r="EB288">
        <v>1</v>
      </c>
      <c r="EC288">
        <v>1</v>
      </c>
      <c r="ED288">
        <v>1</v>
      </c>
      <c r="EE288">
        <v>1</v>
      </c>
      <c r="EF288">
        <v>0</v>
      </c>
      <c r="EG288">
        <v>0</v>
      </c>
      <c r="EH288">
        <v>0</v>
      </c>
      <c r="EI288">
        <v>0</v>
      </c>
      <c r="EJ288">
        <v>0</v>
      </c>
      <c r="EK288">
        <v>1</v>
      </c>
      <c r="EL288">
        <v>0</v>
      </c>
      <c r="EM288">
        <v>0</v>
      </c>
      <c r="EN288" s="2">
        <v>0</v>
      </c>
      <c r="EP288" t="str">
        <f t="shared" si="256"/>
        <v/>
      </c>
      <c r="EQ288" t="str">
        <f t="shared" si="297"/>
        <v>Ecosystem approach</v>
      </c>
      <c r="ER288" s="2" t="str">
        <f t="shared" si="257"/>
        <v/>
      </c>
      <c r="ES288" t="str">
        <f t="shared" si="258"/>
        <v/>
      </c>
      <c r="ET288" t="str">
        <f t="shared" si="259"/>
        <v/>
      </c>
      <c r="EU288" t="str">
        <f t="shared" si="260"/>
        <v/>
      </c>
      <c r="EY288" t="b">
        <f>IF(ISNUMBER(BW288),IF(ABS(BW288-[1]QC_indicators!$B$2)&gt;3*[1]QC_indicators!$C$2,"C ratio",IF(ISNUMBER(CA288),IF(ABS(CA288-[1]QC_indicators!$B$1)&gt;3*[1]QC_indicators!$C$1,"DF","no"))),IF(ISNUMBER(CA288),IF(ABS(CA288-[1]QC_indicators!$B$1)&gt;3*[1]QC_indicators!$C$1,"DF","no")))</f>
        <v>0</v>
      </c>
      <c r="FA288" t="str">
        <f t="shared" si="261"/>
        <v/>
      </c>
    </row>
    <row r="289" spans="1:157" ht="15" hidden="1" customHeight="1">
      <c r="A289" s="1" t="s">
        <v>214</v>
      </c>
      <c r="B289" t="s">
        <v>3581</v>
      </c>
      <c r="C289" t="s">
        <v>3582</v>
      </c>
      <c r="D289" t="s">
        <v>3583</v>
      </c>
      <c r="E289" t="s">
        <v>3584</v>
      </c>
      <c r="F289" t="s">
        <v>3585</v>
      </c>
      <c r="G289" t="s">
        <v>220</v>
      </c>
      <c r="H289" t="s">
        <v>254</v>
      </c>
      <c r="I289">
        <v>2012</v>
      </c>
      <c r="J289">
        <v>24</v>
      </c>
      <c r="K289" t="s">
        <v>3586</v>
      </c>
      <c r="M289" t="str">
        <f t="shared" si="323"/>
        <v>Perez-Cruzado_2012</v>
      </c>
      <c r="N289" s="297" t="s">
        <v>4058</v>
      </c>
      <c r="O289" s="171" t="s">
        <v>508</v>
      </c>
      <c r="P289" s="141" t="s">
        <v>225</v>
      </c>
      <c r="Q289" s="297" t="s">
        <v>389</v>
      </c>
      <c r="R289" s="298"/>
      <c r="S289" s="1" t="s">
        <v>3594</v>
      </c>
      <c r="T289" t="s">
        <v>3595</v>
      </c>
      <c r="U289" t="s">
        <v>3593</v>
      </c>
      <c r="X289">
        <v>0</v>
      </c>
      <c r="Y289">
        <v>0</v>
      </c>
      <c r="Z289">
        <v>0</v>
      </c>
      <c r="AA289">
        <v>0</v>
      </c>
      <c r="AB289">
        <v>0</v>
      </c>
      <c r="AC289">
        <v>0</v>
      </c>
      <c r="AD289">
        <v>0</v>
      </c>
      <c r="AE289">
        <v>0</v>
      </c>
      <c r="AF289">
        <v>0</v>
      </c>
      <c r="AG289">
        <v>0</v>
      </c>
      <c r="AH289">
        <v>1</v>
      </c>
      <c r="AI289">
        <v>0</v>
      </c>
      <c r="AJ289">
        <v>0</v>
      </c>
      <c r="AK289">
        <v>0</v>
      </c>
      <c r="AL289">
        <v>0</v>
      </c>
      <c r="AM289">
        <v>0</v>
      </c>
      <c r="AN289">
        <v>0</v>
      </c>
      <c r="AO289">
        <v>0</v>
      </c>
      <c r="AP289">
        <v>0</v>
      </c>
      <c r="AQ289">
        <v>0</v>
      </c>
      <c r="AR289">
        <v>0</v>
      </c>
      <c r="AS289">
        <v>0</v>
      </c>
      <c r="AT289">
        <v>0</v>
      </c>
      <c r="AU289">
        <v>0</v>
      </c>
      <c r="AV289">
        <v>0</v>
      </c>
      <c r="AW289">
        <v>0</v>
      </c>
      <c r="AX289">
        <v>0</v>
      </c>
      <c r="AY289">
        <v>0</v>
      </c>
      <c r="AZ289" s="141">
        <f t="shared" si="298"/>
        <v>1</v>
      </c>
      <c r="BA289" s="141">
        <f t="shared" si="299"/>
        <v>1</v>
      </c>
      <c r="BB289">
        <f t="shared" si="300"/>
        <v>0</v>
      </c>
      <c r="BC289">
        <f t="shared" si="301"/>
        <v>1</v>
      </c>
      <c r="BD289">
        <f t="shared" si="302"/>
        <v>0</v>
      </c>
      <c r="BE289">
        <f t="shared" si="303"/>
        <v>0</v>
      </c>
      <c r="BF289">
        <f t="shared" si="304"/>
        <v>0</v>
      </c>
      <c r="BG289" t="str" cm="1">
        <f t="array" ref="BG289">IF(BA289=1,INDEX($X$7:$AN$7,MATCH(TRUE,INDEX($X289:$AY289&lt;&gt;0,),0)),IF(BA289=0,INDEX($AO$7:$AY$7,MATCH(1,$AO289:$AY289,0)),IF(BH289="Multiple strategies","mixed drivers",IF(BH289="Supply chain","multiple supply","multiple silviculture"))))</f>
        <v>supply chain organization</v>
      </c>
      <c r="BH289" s="2" t="str" cm="1">
        <f t="array" ref="BH289">IF(COUNTIF(BB289:BD289,"&lt;&gt;0")=1,INDEX($X$4:$AY$4,MATCH(TRUE,INDEX($X289:$AY289&lt;&gt;0,),0)),IF(COUNTIF(BB289:BD289,"&lt;&gt;0")=0,INDEX($AO$4:$AY$4,MATCH(1,$AO289:$AY289,0)),"Multiple strategies"))</f>
        <v>Supply chain</v>
      </c>
      <c r="BR289" t="s">
        <v>232</v>
      </c>
      <c r="BS289" t="s">
        <v>3590</v>
      </c>
      <c r="BT289" t="s">
        <v>3591</v>
      </c>
      <c r="BU289">
        <v>273.7</v>
      </c>
      <c r="BV289">
        <v>793.5</v>
      </c>
      <c r="BW289" s="144"/>
      <c r="BX289">
        <f t="shared" si="326"/>
        <v>519.79999999999995</v>
      </c>
      <c r="CA289" t="str">
        <f t="shared" si="252"/>
        <v/>
      </c>
      <c r="CB289">
        <v>0</v>
      </c>
      <c r="CC289">
        <v>0</v>
      </c>
      <c r="CD289">
        <v>0</v>
      </c>
      <c r="CE289">
        <v>0</v>
      </c>
      <c r="CF289">
        <v>0</v>
      </c>
      <c r="CG289">
        <v>0</v>
      </c>
      <c r="CH289">
        <v>0</v>
      </c>
      <c r="CI289">
        <v>0</v>
      </c>
      <c r="CJ289">
        <v>0</v>
      </c>
      <c r="CK289">
        <v>0</v>
      </c>
      <c r="CL289">
        <v>0</v>
      </c>
      <c r="CM289">
        <v>0</v>
      </c>
      <c r="CN289">
        <v>0</v>
      </c>
      <c r="CO289">
        <v>0</v>
      </c>
      <c r="CP289" t="str">
        <f t="shared" si="305"/>
        <v>refOK</v>
      </c>
      <c r="CQ289"/>
      <c r="CR289"/>
      <c r="CS289"/>
      <c r="CT289">
        <f t="shared" si="253"/>
        <v>0</v>
      </c>
      <c r="CU289">
        <f t="shared" si="306"/>
        <v>273.7</v>
      </c>
      <c r="CV289">
        <f t="shared" si="331"/>
        <v>793.5</v>
      </c>
      <c r="CW289">
        <f t="shared" si="308"/>
        <v>0</v>
      </c>
      <c r="CX289" t="str">
        <f t="shared" si="254"/>
        <v/>
      </c>
      <c r="CY289" t="str">
        <f t="shared" si="309"/>
        <v/>
      </c>
      <c r="CZ289" t="str">
        <f t="shared" si="255"/>
        <v/>
      </c>
      <c r="DA289" s="2">
        <f t="shared" si="310"/>
        <v>1.8991596638655461</v>
      </c>
      <c r="DB289" s="1" t="s">
        <v>1078</v>
      </c>
      <c r="DC289" s="297" t="str">
        <f t="shared" si="328"/>
        <v>reg</v>
      </c>
      <c r="DD289" t="s">
        <v>3592</v>
      </c>
      <c r="DG289">
        <v>200</v>
      </c>
      <c r="DH289" t="str">
        <f t="shared" si="311"/>
        <v>+100</v>
      </c>
      <c r="DI289">
        <v>0</v>
      </c>
      <c r="DJ289">
        <v>1</v>
      </c>
      <c r="DK289">
        <v>0</v>
      </c>
      <c r="DL289">
        <v>1</v>
      </c>
      <c r="DM289">
        <v>0</v>
      </c>
      <c r="DN289">
        <f t="shared" si="329"/>
        <v>2</v>
      </c>
      <c r="DO289" t="str">
        <f t="shared" si="312"/>
        <v>mixedProduct</v>
      </c>
      <c r="DP289">
        <f t="shared" si="313"/>
        <v>0</v>
      </c>
      <c r="DQ289" t="str">
        <f t="shared" si="314"/>
        <v>Energy</v>
      </c>
      <c r="DR289">
        <f t="shared" si="315"/>
        <v>0</v>
      </c>
      <c r="DS289" t="str">
        <f t="shared" si="316"/>
        <v>Timber</v>
      </c>
      <c r="DT289">
        <v>0</v>
      </c>
      <c r="DU289">
        <v>0</v>
      </c>
      <c r="DV289">
        <v>0</v>
      </c>
      <c r="DW289">
        <v>0</v>
      </c>
      <c r="DX289">
        <v>0</v>
      </c>
      <c r="DY289">
        <f t="shared" si="332"/>
        <v>0</v>
      </c>
      <c r="DZ289" s="143" t="str">
        <f t="shared" si="330"/>
        <v>explicit C balance</v>
      </c>
      <c r="EA289">
        <v>1</v>
      </c>
      <c r="EB289">
        <v>1</v>
      </c>
      <c r="EC289">
        <v>1</v>
      </c>
      <c r="ED289">
        <v>1</v>
      </c>
      <c r="EE289">
        <v>1</v>
      </c>
      <c r="EF289">
        <v>0</v>
      </c>
      <c r="EG289">
        <v>0</v>
      </c>
      <c r="EH289">
        <v>0</v>
      </c>
      <c r="EI289">
        <v>0</v>
      </c>
      <c r="EJ289">
        <v>0</v>
      </c>
      <c r="EK289">
        <v>1</v>
      </c>
      <c r="EL289">
        <v>0</v>
      </c>
      <c r="EM289">
        <v>0</v>
      </c>
      <c r="EN289" s="2">
        <v>0</v>
      </c>
      <c r="EP289" t="str">
        <f t="shared" si="256"/>
        <v/>
      </c>
      <c r="EQ289" t="str">
        <f t="shared" ref="EQ289:EQ320" si="333">IF(AND(AND(OR($EC289=1,$EB289=1),AND($EH289=0,$EF289=0)),SUM($EA289:$EE289,$EK289)&gt;=3),"Ecosystem approach","")</f>
        <v>Ecosystem approach</v>
      </c>
      <c r="ER289" s="2" t="str">
        <f t="shared" si="257"/>
        <v/>
      </c>
      <c r="ES289" t="str">
        <f t="shared" si="258"/>
        <v/>
      </c>
      <c r="ET289" t="str">
        <f t="shared" si="259"/>
        <v/>
      </c>
      <c r="EU289" t="str">
        <f t="shared" si="260"/>
        <v/>
      </c>
      <c r="EY289" t="b">
        <f>IF(ISNUMBER(BW289),IF(ABS(BW289-[1]QC_indicators!$B$2)&gt;3*[1]QC_indicators!$C$2,"C ratio",IF(ISNUMBER(CA289),IF(ABS(CA289-[1]QC_indicators!$B$1)&gt;3*[1]QC_indicators!$C$1,"DF","no"))),IF(ISNUMBER(CA289),IF(ABS(CA289-[1]QC_indicators!$B$1)&gt;3*[1]QC_indicators!$C$1,"DF","no")))</f>
        <v>0</v>
      </c>
      <c r="FA289" t="str">
        <f t="shared" si="261"/>
        <v/>
      </c>
    </row>
    <row r="290" spans="1:157" ht="15" hidden="1" customHeight="1">
      <c r="A290" s="1" t="s">
        <v>214</v>
      </c>
      <c r="B290" t="s">
        <v>3581</v>
      </c>
      <c r="C290" t="s">
        <v>3582</v>
      </c>
      <c r="D290" t="s">
        <v>3583</v>
      </c>
      <c r="E290" t="s">
        <v>3584</v>
      </c>
      <c r="F290" t="s">
        <v>3585</v>
      </c>
      <c r="G290" t="s">
        <v>220</v>
      </c>
      <c r="H290" t="s">
        <v>254</v>
      </c>
      <c r="I290">
        <v>2012</v>
      </c>
      <c r="J290">
        <v>24</v>
      </c>
      <c r="K290" t="s">
        <v>3586</v>
      </c>
      <c r="M290" t="str">
        <f t="shared" si="323"/>
        <v>Perez-Cruzado_2012</v>
      </c>
      <c r="N290" s="297" t="s">
        <v>4058</v>
      </c>
      <c r="O290" s="171" t="s">
        <v>508</v>
      </c>
      <c r="P290" s="141" t="s">
        <v>225</v>
      </c>
      <c r="Q290" s="297" t="s">
        <v>389</v>
      </c>
      <c r="R290" s="298"/>
      <c r="S290" s="1" t="s">
        <v>3594</v>
      </c>
      <c r="T290" t="s">
        <v>3589</v>
      </c>
      <c r="U290" t="s">
        <v>3596</v>
      </c>
      <c r="X290">
        <v>0</v>
      </c>
      <c r="Y290">
        <v>0</v>
      </c>
      <c r="Z290">
        <v>0</v>
      </c>
      <c r="AA290">
        <v>0</v>
      </c>
      <c r="AB290">
        <v>0</v>
      </c>
      <c r="AC290">
        <v>0</v>
      </c>
      <c r="AD290">
        <v>0</v>
      </c>
      <c r="AE290">
        <v>0</v>
      </c>
      <c r="AF290">
        <v>0</v>
      </c>
      <c r="AG290">
        <v>0</v>
      </c>
      <c r="AH290">
        <v>1</v>
      </c>
      <c r="AI290">
        <v>0</v>
      </c>
      <c r="AJ290">
        <v>0</v>
      </c>
      <c r="AK290">
        <v>0</v>
      </c>
      <c r="AL290">
        <v>0</v>
      </c>
      <c r="AM290">
        <v>0</v>
      </c>
      <c r="AN290">
        <v>0</v>
      </c>
      <c r="AO290">
        <v>0</v>
      </c>
      <c r="AP290">
        <v>0</v>
      </c>
      <c r="AQ290">
        <v>0</v>
      </c>
      <c r="AR290">
        <v>0</v>
      </c>
      <c r="AS290">
        <v>0</v>
      </c>
      <c r="AT290">
        <v>0</v>
      </c>
      <c r="AU290">
        <v>0</v>
      </c>
      <c r="AV290">
        <v>0</v>
      </c>
      <c r="AW290">
        <v>0</v>
      </c>
      <c r="AX290">
        <v>0</v>
      </c>
      <c r="AY290">
        <v>0</v>
      </c>
      <c r="AZ290" s="141">
        <f t="shared" si="298"/>
        <v>1</v>
      </c>
      <c r="BA290" s="141">
        <f t="shared" si="299"/>
        <v>1</v>
      </c>
      <c r="BB290">
        <f t="shared" si="300"/>
        <v>0</v>
      </c>
      <c r="BC290">
        <f t="shared" si="301"/>
        <v>1</v>
      </c>
      <c r="BD290">
        <f t="shared" si="302"/>
        <v>0</v>
      </c>
      <c r="BE290">
        <f t="shared" si="303"/>
        <v>0</v>
      </c>
      <c r="BF290">
        <f t="shared" si="304"/>
        <v>0</v>
      </c>
      <c r="BG290" t="str" cm="1">
        <f t="array" ref="BG290">IF(BA290=1,INDEX($X$7:$AN$7,MATCH(TRUE,INDEX($X290:$AY290&lt;&gt;0,),0)),IF(BA290=0,INDEX($AO$7:$AY$7,MATCH(1,$AO290:$AY290,0)),IF(BH290="Multiple strategies","mixed drivers",IF(BH290="Supply chain","multiple supply","multiple silviculture"))))</f>
        <v>supply chain organization</v>
      </c>
      <c r="BH290" s="2" t="str" cm="1">
        <f t="array" ref="BH290">IF(COUNTIF(BB290:BD290,"&lt;&gt;0")=1,INDEX($X$4:$AY$4,MATCH(TRUE,INDEX($X290:$AY290&lt;&gt;0,),0)),IF(COUNTIF(BB290:BD290,"&lt;&gt;0")=0,INDEX($AO$4:$AY$4,MATCH(1,$AO290:$AY290,0)),"Multiple strategies"))</f>
        <v>Supply chain</v>
      </c>
      <c r="BR290" t="s">
        <v>232</v>
      </c>
      <c r="BS290" t="s">
        <v>3590</v>
      </c>
      <c r="BT290" t="s">
        <v>3591</v>
      </c>
      <c r="BU290">
        <v>304</v>
      </c>
      <c r="BV290">
        <v>1031.5</v>
      </c>
      <c r="BW290" s="144"/>
      <c r="BX290">
        <f t="shared" si="326"/>
        <v>727.5</v>
      </c>
      <c r="CA290" t="str">
        <f t="shared" si="252"/>
        <v/>
      </c>
      <c r="CB290">
        <v>0</v>
      </c>
      <c r="CC290">
        <v>0</v>
      </c>
      <c r="CD290">
        <v>0</v>
      </c>
      <c r="CE290">
        <v>0</v>
      </c>
      <c r="CF290">
        <v>0</v>
      </c>
      <c r="CG290">
        <v>0</v>
      </c>
      <c r="CH290">
        <v>0</v>
      </c>
      <c r="CI290">
        <v>0</v>
      </c>
      <c r="CJ290">
        <v>0</v>
      </c>
      <c r="CK290">
        <v>0</v>
      </c>
      <c r="CL290">
        <v>0</v>
      </c>
      <c r="CM290">
        <v>0</v>
      </c>
      <c r="CN290">
        <v>0</v>
      </c>
      <c r="CO290">
        <v>0</v>
      </c>
      <c r="CP290" t="str">
        <f t="shared" si="305"/>
        <v>refOK</v>
      </c>
      <c r="CQ290"/>
      <c r="CR290"/>
      <c r="CS290"/>
      <c r="CT290">
        <f t="shared" si="253"/>
        <v>0</v>
      </c>
      <c r="CU290">
        <f t="shared" si="306"/>
        <v>304</v>
      </c>
      <c r="CV290">
        <f t="shared" si="331"/>
        <v>1031.5</v>
      </c>
      <c r="CW290">
        <f t="shared" si="308"/>
        <v>0</v>
      </c>
      <c r="CX290" t="str">
        <f t="shared" si="254"/>
        <v/>
      </c>
      <c r="CY290" t="str">
        <f t="shared" si="309"/>
        <v/>
      </c>
      <c r="CZ290" t="str">
        <f t="shared" si="255"/>
        <v/>
      </c>
      <c r="DA290" s="2">
        <f t="shared" si="310"/>
        <v>2.393092105263158</v>
      </c>
      <c r="DB290" s="1" t="s">
        <v>1078</v>
      </c>
      <c r="DC290" s="297" t="str">
        <f t="shared" si="328"/>
        <v>reg</v>
      </c>
      <c r="DD290" t="s">
        <v>3592</v>
      </c>
      <c r="DG290">
        <v>200</v>
      </c>
      <c r="DH290" t="str">
        <f t="shared" si="311"/>
        <v>+100</v>
      </c>
      <c r="DI290">
        <v>0</v>
      </c>
      <c r="DJ290">
        <v>1</v>
      </c>
      <c r="DK290">
        <v>0</v>
      </c>
      <c r="DL290">
        <v>1</v>
      </c>
      <c r="DM290">
        <v>0</v>
      </c>
      <c r="DN290">
        <f t="shared" si="329"/>
        <v>2</v>
      </c>
      <c r="DO290" t="str">
        <f t="shared" si="312"/>
        <v>mixedProduct</v>
      </c>
      <c r="DP290">
        <f t="shared" si="313"/>
        <v>0</v>
      </c>
      <c r="DQ290" t="str">
        <f t="shared" si="314"/>
        <v>Energy</v>
      </c>
      <c r="DR290">
        <f t="shared" si="315"/>
        <v>0</v>
      </c>
      <c r="DS290" t="str">
        <f t="shared" si="316"/>
        <v>Timber</v>
      </c>
      <c r="DT290">
        <v>0</v>
      </c>
      <c r="DU290">
        <v>0</v>
      </c>
      <c r="DV290">
        <v>0</v>
      </c>
      <c r="DW290">
        <v>0</v>
      </c>
      <c r="DX290">
        <v>0</v>
      </c>
      <c r="DY290">
        <f t="shared" si="332"/>
        <v>0</v>
      </c>
      <c r="DZ290" s="143" t="str">
        <f t="shared" si="330"/>
        <v>explicit C balance</v>
      </c>
      <c r="EA290">
        <v>1</v>
      </c>
      <c r="EB290">
        <v>1</v>
      </c>
      <c r="EC290">
        <v>1</v>
      </c>
      <c r="ED290">
        <v>1</v>
      </c>
      <c r="EE290">
        <v>1</v>
      </c>
      <c r="EF290">
        <v>0</v>
      </c>
      <c r="EG290">
        <v>0</v>
      </c>
      <c r="EH290">
        <v>0</v>
      </c>
      <c r="EI290">
        <v>0</v>
      </c>
      <c r="EJ290">
        <v>0</v>
      </c>
      <c r="EK290">
        <v>1</v>
      </c>
      <c r="EL290">
        <v>0</v>
      </c>
      <c r="EM290">
        <v>0</v>
      </c>
      <c r="EN290" s="2">
        <v>0</v>
      </c>
      <c r="EP290" t="str">
        <f t="shared" si="256"/>
        <v/>
      </c>
      <c r="EQ290" t="str">
        <f t="shared" si="333"/>
        <v>Ecosystem approach</v>
      </c>
      <c r="ER290" s="2" t="str">
        <f t="shared" si="257"/>
        <v/>
      </c>
      <c r="ES290" t="str">
        <f t="shared" si="258"/>
        <v/>
      </c>
      <c r="ET290" t="str">
        <f t="shared" si="259"/>
        <v/>
      </c>
      <c r="EU290" t="str">
        <f t="shared" si="260"/>
        <v/>
      </c>
      <c r="EY290" t="b">
        <f>IF(ISNUMBER(BW290),IF(ABS(BW290-[1]QC_indicators!$B$2)&gt;3*[1]QC_indicators!$C$2,"C ratio",IF(ISNUMBER(CA290),IF(ABS(CA290-[1]QC_indicators!$B$1)&gt;3*[1]QC_indicators!$C$1,"DF","no"))),IF(ISNUMBER(CA290),IF(ABS(CA290-[1]QC_indicators!$B$1)&gt;3*[1]QC_indicators!$C$1,"DF","no")))</f>
        <v>0</v>
      </c>
      <c r="FA290" t="str">
        <f t="shared" si="261"/>
        <v/>
      </c>
    </row>
    <row r="291" spans="1:157" ht="15" hidden="1" customHeight="1">
      <c r="A291" s="1" t="s">
        <v>214</v>
      </c>
      <c r="B291" t="s">
        <v>3581</v>
      </c>
      <c r="C291" t="s">
        <v>3582</v>
      </c>
      <c r="D291" t="s">
        <v>3583</v>
      </c>
      <c r="E291" t="s">
        <v>3584</v>
      </c>
      <c r="F291" t="s">
        <v>3585</v>
      </c>
      <c r="G291" t="s">
        <v>220</v>
      </c>
      <c r="H291" t="s">
        <v>254</v>
      </c>
      <c r="I291">
        <v>2012</v>
      </c>
      <c r="J291">
        <v>24</v>
      </c>
      <c r="K291" t="s">
        <v>3586</v>
      </c>
      <c r="M291" t="str">
        <f t="shared" si="323"/>
        <v>Perez-Cruzado_2012</v>
      </c>
      <c r="N291" s="297" t="s">
        <v>4058</v>
      </c>
      <c r="O291" s="171" t="s">
        <v>508</v>
      </c>
      <c r="P291" s="141" t="s">
        <v>225</v>
      </c>
      <c r="Q291" s="297" t="s">
        <v>389</v>
      </c>
      <c r="R291" s="298"/>
      <c r="S291" s="1" t="s">
        <v>3594</v>
      </c>
      <c r="T291" t="s">
        <v>3588</v>
      </c>
      <c r="U291" t="s">
        <v>3597</v>
      </c>
      <c r="X291">
        <v>0</v>
      </c>
      <c r="Y291">
        <v>0</v>
      </c>
      <c r="Z291">
        <v>0</v>
      </c>
      <c r="AA291">
        <v>0</v>
      </c>
      <c r="AB291">
        <v>0</v>
      </c>
      <c r="AC291">
        <v>0</v>
      </c>
      <c r="AD291">
        <v>0</v>
      </c>
      <c r="AE291">
        <v>0</v>
      </c>
      <c r="AF291">
        <v>0</v>
      </c>
      <c r="AG291">
        <v>0</v>
      </c>
      <c r="AH291">
        <v>1</v>
      </c>
      <c r="AI291">
        <v>0</v>
      </c>
      <c r="AJ291">
        <v>0</v>
      </c>
      <c r="AK291">
        <v>0</v>
      </c>
      <c r="AL291">
        <v>0</v>
      </c>
      <c r="AM291">
        <v>0</v>
      </c>
      <c r="AN291">
        <v>0</v>
      </c>
      <c r="AO291">
        <v>0</v>
      </c>
      <c r="AP291">
        <v>0</v>
      </c>
      <c r="AQ291">
        <v>0</v>
      </c>
      <c r="AR291">
        <v>0</v>
      </c>
      <c r="AS291">
        <v>0</v>
      </c>
      <c r="AT291">
        <v>0</v>
      </c>
      <c r="AU291">
        <v>0</v>
      </c>
      <c r="AV291">
        <v>0</v>
      </c>
      <c r="AW291">
        <v>0</v>
      </c>
      <c r="AX291">
        <v>0</v>
      </c>
      <c r="AY291">
        <v>0</v>
      </c>
      <c r="AZ291" s="141">
        <f t="shared" si="298"/>
        <v>1</v>
      </c>
      <c r="BA291" s="141">
        <f t="shared" si="299"/>
        <v>1</v>
      </c>
      <c r="BB291">
        <f t="shared" si="300"/>
        <v>0</v>
      </c>
      <c r="BC291">
        <f t="shared" si="301"/>
        <v>1</v>
      </c>
      <c r="BD291">
        <f t="shared" si="302"/>
        <v>0</v>
      </c>
      <c r="BE291">
        <f t="shared" si="303"/>
        <v>0</v>
      </c>
      <c r="BF291">
        <f t="shared" si="304"/>
        <v>0</v>
      </c>
      <c r="BG291" t="str" cm="1">
        <f t="array" ref="BG291">IF(BA291=1,INDEX($X$7:$AN$7,MATCH(TRUE,INDEX($X291:$AY291&lt;&gt;0,),0)),IF(BA291=0,INDEX($AO$7:$AY$7,MATCH(1,$AO291:$AY291,0)),IF(BH291="Multiple strategies","mixed drivers",IF(BH291="Supply chain","multiple supply","multiple silviculture"))))</f>
        <v>supply chain organization</v>
      </c>
      <c r="BH291" s="2" t="str" cm="1">
        <f t="array" ref="BH291">IF(COUNTIF(BB291:BD291,"&lt;&gt;0")=1,INDEX($X$4:$AY$4,MATCH(TRUE,INDEX($X291:$AY291&lt;&gt;0,),0)),IF(COUNTIF(BB291:BD291,"&lt;&gt;0")=0,INDEX($AO$4:$AY$4,MATCH(1,$AO291:$AY291,0)),"Multiple strategies"))</f>
        <v>Supply chain</v>
      </c>
      <c r="BR291" t="s">
        <v>232</v>
      </c>
      <c r="BS291" t="s">
        <v>3590</v>
      </c>
      <c r="BT291" t="s">
        <v>3591</v>
      </c>
      <c r="BU291">
        <v>237.9</v>
      </c>
      <c r="BV291">
        <v>1983</v>
      </c>
      <c r="BW291" s="144"/>
      <c r="BX291">
        <f t="shared" si="326"/>
        <v>1745.1</v>
      </c>
      <c r="CA291" t="str">
        <f t="shared" si="252"/>
        <v/>
      </c>
      <c r="CB291">
        <v>0</v>
      </c>
      <c r="CC291">
        <v>0</v>
      </c>
      <c r="CD291">
        <v>0</v>
      </c>
      <c r="CE291">
        <v>0</v>
      </c>
      <c r="CF291">
        <v>0</v>
      </c>
      <c r="CG291">
        <v>0</v>
      </c>
      <c r="CH291">
        <v>0</v>
      </c>
      <c r="CI291">
        <v>0</v>
      </c>
      <c r="CJ291">
        <v>0</v>
      </c>
      <c r="CK291">
        <v>0</v>
      </c>
      <c r="CL291">
        <v>0</v>
      </c>
      <c r="CM291">
        <v>0</v>
      </c>
      <c r="CN291">
        <v>0</v>
      </c>
      <c r="CO291">
        <v>0</v>
      </c>
      <c r="CP291" t="str">
        <f t="shared" si="305"/>
        <v>refOK</v>
      </c>
      <c r="CQ291"/>
      <c r="CR291"/>
      <c r="CS291"/>
      <c r="CT291">
        <f t="shared" si="253"/>
        <v>0</v>
      </c>
      <c r="CU291">
        <f t="shared" si="306"/>
        <v>237.9</v>
      </c>
      <c r="CV291">
        <f t="shared" si="331"/>
        <v>1983</v>
      </c>
      <c r="CW291">
        <f t="shared" si="308"/>
        <v>0</v>
      </c>
      <c r="CX291" t="str">
        <f t="shared" si="254"/>
        <v/>
      </c>
      <c r="CY291" t="str">
        <f t="shared" si="309"/>
        <v/>
      </c>
      <c r="CZ291" t="str">
        <f t="shared" si="255"/>
        <v/>
      </c>
      <c r="DA291" s="2">
        <f t="shared" si="310"/>
        <v>7.3354350567465314</v>
      </c>
      <c r="DB291" s="1" t="s">
        <v>1078</v>
      </c>
      <c r="DC291" s="297" t="str">
        <f t="shared" si="328"/>
        <v>reg</v>
      </c>
      <c r="DD291" t="s">
        <v>3592</v>
      </c>
      <c r="DG291">
        <v>200</v>
      </c>
      <c r="DH291" t="str">
        <f t="shared" si="311"/>
        <v>+100</v>
      </c>
      <c r="DI291">
        <v>0</v>
      </c>
      <c r="DJ291">
        <v>1</v>
      </c>
      <c r="DK291">
        <v>0</v>
      </c>
      <c r="DL291">
        <v>1</v>
      </c>
      <c r="DM291">
        <v>0</v>
      </c>
      <c r="DN291">
        <f t="shared" si="329"/>
        <v>2</v>
      </c>
      <c r="DO291" t="str">
        <f t="shared" si="312"/>
        <v>mixedProduct</v>
      </c>
      <c r="DP291">
        <f t="shared" si="313"/>
        <v>0</v>
      </c>
      <c r="DQ291" t="str">
        <f t="shared" si="314"/>
        <v>Energy</v>
      </c>
      <c r="DR291">
        <f t="shared" si="315"/>
        <v>0</v>
      </c>
      <c r="DS291" t="str">
        <f t="shared" si="316"/>
        <v>Timber</v>
      </c>
      <c r="DT291">
        <v>0</v>
      </c>
      <c r="DU291">
        <v>0</v>
      </c>
      <c r="DV291">
        <v>0</v>
      </c>
      <c r="DW291">
        <v>0</v>
      </c>
      <c r="DX291">
        <v>0</v>
      </c>
      <c r="DY291">
        <f t="shared" si="332"/>
        <v>0</v>
      </c>
      <c r="DZ291" s="143" t="str">
        <f t="shared" si="330"/>
        <v>explicit C balance</v>
      </c>
      <c r="EA291">
        <v>1</v>
      </c>
      <c r="EB291">
        <v>1</v>
      </c>
      <c r="EC291">
        <v>1</v>
      </c>
      <c r="ED291">
        <v>1</v>
      </c>
      <c r="EE291">
        <v>1</v>
      </c>
      <c r="EF291">
        <v>0</v>
      </c>
      <c r="EG291">
        <v>0</v>
      </c>
      <c r="EH291">
        <v>0</v>
      </c>
      <c r="EI291">
        <v>0</v>
      </c>
      <c r="EJ291">
        <v>0</v>
      </c>
      <c r="EK291">
        <v>1</v>
      </c>
      <c r="EL291">
        <v>0</v>
      </c>
      <c r="EM291">
        <v>0</v>
      </c>
      <c r="EN291" s="2">
        <v>0</v>
      </c>
      <c r="EP291" t="str">
        <f t="shared" si="256"/>
        <v/>
      </c>
      <c r="EQ291" t="str">
        <f t="shared" si="333"/>
        <v>Ecosystem approach</v>
      </c>
      <c r="ER291" s="2" t="str">
        <f t="shared" si="257"/>
        <v/>
      </c>
      <c r="ES291" t="str">
        <f t="shared" si="258"/>
        <v/>
      </c>
      <c r="ET291" t="str">
        <f t="shared" si="259"/>
        <v/>
      </c>
      <c r="EU291" t="str">
        <f t="shared" si="260"/>
        <v/>
      </c>
      <c r="EY291" t="b">
        <f>IF(ISNUMBER(BW291),IF(ABS(BW291-[1]QC_indicators!$B$2)&gt;3*[1]QC_indicators!$C$2,"C ratio",IF(ISNUMBER(CA291),IF(ABS(CA291-[1]QC_indicators!$B$1)&gt;3*[1]QC_indicators!$C$1,"DF","no"))),IF(ISNUMBER(CA291),IF(ABS(CA291-[1]QC_indicators!$B$1)&gt;3*[1]QC_indicators!$C$1,"DF","no")))</f>
        <v>0</v>
      </c>
      <c r="FA291" t="str">
        <f t="shared" si="261"/>
        <v/>
      </c>
    </row>
    <row r="292" spans="1:157" ht="15" hidden="1" customHeight="1">
      <c r="A292" s="1" t="s">
        <v>214</v>
      </c>
      <c r="B292" t="s">
        <v>3581</v>
      </c>
      <c r="C292" t="s">
        <v>3582</v>
      </c>
      <c r="D292" t="s">
        <v>3583</v>
      </c>
      <c r="E292" t="s">
        <v>3584</v>
      </c>
      <c r="F292" t="s">
        <v>3585</v>
      </c>
      <c r="G292" t="s">
        <v>220</v>
      </c>
      <c r="H292" t="s">
        <v>254</v>
      </c>
      <c r="I292">
        <v>2012</v>
      </c>
      <c r="J292">
        <v>24</v>
      </c>
      <c r="K292" t="s">
        <v>3586</v>
      </c>
      <c r="M292" t="str">
        <f t="shared" si="323"/>
        <v>Perez-Cruzado_2012</v>
      </c>
      <c r="N292" s="297" t="s">
        <v>4058</v>
      </c>
      <c r="O292" s="171" t="s">
        <v>508</v>
      </c>
      <c r="P292" s="141" t="s">
        <v>225</v>
      </c>
      <c r="Q292" s="297" t="s">
        <v>389</v>
      </c>
      <c r="R292" s="298"/>
      <c r="S292" s="1" t="s">
        <v>3587</v>
      </c>
      <c r="T292" t="s">
        <v>3593</v>
      </c>
      <c r="U292" t="s">
        <v>3588</v>
      </c>
      <c r="X292">
        <v>0</v>
      </c>
      <c r="Y292">
        <v>0</v>
      </c>
      <c r="Z292">
        <v>0</v>
      </c>
      <c r="AA292">
        <v>0</v>
      </c>
      <c r="AB292">
        <v>1</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s="141">
        <f t="shared" si="298"/>
        <v>1</v>
      </c>
      <c r="BA292" s="141">
        <f t="shared" si="299"/>
        <v>1</v>
      </c>
      <c r="BB292">
        <f t="shared" si="300"/>
        <v>1</v>
      </c>
      <c r="BC292">
        <f t="shared" si="301"/>
        <v>0</v>
      </c>
      <c r="BD292">
        <f t="shared" si="302"/>
        <v>0</v>
      </c>
      <c r="BE292">
        <f t="shared" si="303"/>
        <v>0</v>
      </c>
      <c r="BF292">
        <f t="shared" si="304"/>
        <v>0</v>
      </c>
      <c r="BG292" t="str" cm="1">
        <f t="array" ref="BG292">IF(BA292=1,INDEX($X$7:$AN$7,MATCH(TRUE,INDEX($X292:$AY292&lt;&gt;0,),0)),IF(BA292=0,INDEX($AO$7:$AY$7,MATCH(1,$AO292:$AY292,0)),IF(BH292="Multiple strategies","mixed drivers",IF(BH292="Supply chain","multiple supply","multiple silviculture"))))</f>
        <v>species</v>
      </c>
      <c r="BH292" s="2" t="str" cm="1">
        <f t="array" ref="BH292">IF(COUNTIF(BB292:BD292,"&lt;&gt;0")=1,INDEX($X$4:$AY$4,MATCH(TRUE,INDEX($X292:$AY292&lt;&gt;0,),0)),IF(COUNTIF(BB292:BD292,"&lt;&gt;0")=0,INDEX($AO$4:$AY$4,MATCH(1,$AO292:$AY292,0)),"Multiple strategies"))</f>
        <v>Silviculture for productivity</v>
      </c>
      <c r="BR292" t="s">
        <v>232</v>
      </c>
      <c r="BS292" t="s">
        <v>3590</v>
      </c>
      <c r="BT292" t="s">
        <v>3591</v>
      </c>
      <c r="BU292">
        <v>513.5</v>
      </c>
      <c r="BV292">
        <v>716.5</v>
      </c>
      <c r="BW292" s="144"/>
      <c r="BX292">
        <f t="shared" si="326"/>
        <v>203</v>
      </c>
      <c r="CA292" t="str">
        <f t="shared" si="252"/>
        <v/>
      </c>
      <c r="CB292">
        <v>0</v>
      </c>
      <c r="CC292">
        <v>0</v>
      </c>
      <c r="CD292">
        <v>0</v>
      </c>
      <c r="CE292">
        <v>0</v>
      </c>
      <c r="CF292">
        <v>0</v>
      </c>
      <c r="CG292">
        <v>0</v>
      </c>
      <c r="CH292">
        <v>0</v>
      </c>
      <c r="CI292">
        <v>0</v>
      </c>
      <c r="CJ292">
        <v>0</v>
      </c>
      <c r="CK292">
        <v>0</v>
      </c>
      <c r="CL292">
        <v>0</v>
      </c>
      <c r="CM292">
        <v>0</v>
      </c>
      <c r="CN292">
        <v>0</v>
      </c>
      <c r="CO292">
        <v>0</v>
      </c>
      <c r="CP292" t="str">
        <f t="shared" si="305"/>
        <v>refOK</v>
      </c>
      <c r="CQ292"/>
      <c r="CR292"/>
      <c r="CS292"/>
      <c r="CT292">
        <f t="shared" si="253"/>
        <v>0</v>
      </c>
      <c r="CU292">
        <f t="shared" si="306"/>
        <v>513.5</v>
      </c>
      <c r="CV292">
        <f t="shared" si="331"/>
        <v>716.5</v>
      </c>
      <c r="CW292">
        <f t="shared" si="308"/>
        <v>0</v>
      </c>
      <c r="CX292" t="str">
        <f t="shared" si="254"/>
        <v/>
      </c>
      <c r="CY292" t="str">
        <f t="shared" si="309"/>
        <v/>
      </c>
      <c r="CZ292" t="str">
        <f t="shared" si="255"/>
        <v/>
      </c>
      <c r="DA292" s="2">
        <f t="shared" si="310"/>
        <v>0.39532619279454723</v>
      </c>
      <c r="DB292" s="1" t="s">
        <v>1078</v>
      </c>
      <c r="DC292" s="297" t="str">
        <f t="shared" si="328"/>
        <v>reg</v>
      </c>
      <c r="DD292" t="s">
        <v>3592</v>
      </c>
      <c r="DG292">
        <v>200</v>
      </c>
      <c r="DH292" t="str">
        <f t="shared" si="311"/>
        <v>+100</v>
      </c>
      <c r="DI292">
        <v>0</v>
      </c>
      <c r="DJ292">
        <v>1</v>
      </c>
      <c r="DK292">
        <v>0</v>
      </c>
      <c r="DL292">
        <v>0</v>
      </c>
      <c r="DM292">
        <v>0</v>
      </c>
      <c r="DN292">
        <f t="shared" si="329"/>
        <v>1</v>
      </c>
      <c r="DO292" t="str">
        <f t="shared" si="312"/>
        <v>EnergyInput</v>
      </c>
      <c r="DP292">
        <f t="shared" si="313"/>
        <v>0</v>
      </c>
      <c r="DQ292" t="str">
        <f t="shared" si="314"/>
        <v>Energy</v>
      </c>
      <c r="DR292">
        <f t="shared" si="315"/>
        <v>0</v>
      </c>
      <c r="DS292">
        <f t="shared" si="316"/>
        <v>0</v>
      </c>
      <c r="DT292">
        <v>0</v>
      </c>
      <c r="DU292">
        <v>0</v>
      </c>
      <c r="DV292">
        <v>0</v>
      </c>
      <c r="DW292">
        <v>0</v>
      </c>
      <c r="DX292">
        <v>0</v>
      </c>
      <c r="DY292">
        <f t="shared" si="332"/>
        <v>0</v>
      </c>
      <c r="DZ292" s="143" t="str">
        <f t="shared" si="330"/>
        <v>explicit C balance</v>
      </c>
      <c r="EA292">
        <v>1</v>
      </c>
      <c r="EB292">
        <v>1</v>
      </c>
      <c r="EC292">
        <v>1</v>
      </c>
      <c r="ED292">
        <v>1</v>
      </c>
      <c r="EE292">
        <v>1</v>
      </c>
      <c r="EF292">
        <v>0</v>
      </c>
      <c r="EG292">
        <v>0</v>
      </c>
      <c r="EH292">
        <v>0</v>
      </c>
      <c r="EI292">
        <v>0</v>
      </c>
      <c r="EJ292">
        <v>0</v>
      </c>
      <c r="EK292">
        <v>1</v>
      </c>
      <c r="EL292">
        <v>0</v>
      </c>
      <c r="EM292">
        <v>0</v>
      </c>
      <c r="EN292" s="2">
        <v>0</v>
      </c>
      <c r="EP292" t="str">
        <f t="shared" si="256"/>
        <v/>
      </c>
      <c r="EQ292" t="str">
        <f t="shared" si="333"/>
        <v>Ecosystem approach</v>
      </c>
      <c r="ER292" s="2" t="str">
        <f t="shared" si="257"/>
        <v/>
      </c>
      <c r="ES292" t="str">
        <f t="shared" si="258"/>
        <v/>
      </c>
      <c r="ET292" t="str">
        <f t="shared" si="259"/>
        <v/>
      </c>
      <c r="EU292" t="str">
        <f t="shared" si="260"/>
        <v/>
      </c>
      <c r="EY292" t="b">
        <f>IF(ISNUMBER(BW292),IF(ABS(BW292-[1]QC_indicators!$B$2)&gt;3*[1]QC_indicators!$C$2,"C ratio",IF(ISNUMBER(CA292),IF(ABS(CA292-[1]QC_indicators!$B$1)&gt;3*[1]QC_indicators!$C$1,"DF","no"))),IF(ISNUMBER(CA292),IF(ABS(CA292-[1]QC_indicators!$B$1)&gt;3*[1]QC_indicators!$C$1,"DF","no")))</f>
        <v>0</v>
      </c>
      <c r="FA292" t="str">
        <f t="shared" si="261"/>
        <v/>
      </c>
    </row>
    <row r="293" spans="1:157" ht="15" hidden="1" customHeight="1">
      <c r="A293" s="1" t="s">
        <v>214</v>
      </c>
      <c r="B293" t="s">
        <v>3581</v>
      </c>
      <c r="C293" t="s">
        <v>3582</v>
      </c>
      <c r="D293" t="s">
        <v>3583</v>
      </c>
      <c r="E293" t="s">
        <v>3584</v>
      </c>
      <c r="F293" t="s">
        <v>3585</v>
      </c>
      <c r="G293" t="s">
        <v>220</v>
      </c>
      <c r="H293" t="s">
        <v>254</v>
      </c>
      <c r="I293">
        <v>2012</v>
      </c>
      <c r="J293">
        <v>24</v>
      </c>
      <c r="K293" t="s">
        <v>3586</v>
      </c>
      <c r="M293" t="str">
        <f t="shared" si="323"/>
        <v>Perez-Cruzado_2012</v>
      </c>
      <c r="N293" s="297" t="s">
        <v>4058</v>
      </c>
      <c r="O293" s="171" t="s">
        <v>508</v>
      </c>
      <c r="P293" s="141" t="s">
        <v>225</v>
      </c>
      <c r="Q293" s="297" t="s">
        <v>389</v>
      </c>
      <c r="R293" s="298"/>
      <c r="S293" s="1" t="s">
        <v>3587</v>
      </c>
      <c r="T293" t="s">
        <v>3593</v>
      </c>
      <c r="U293" t="s">
        <v>3589</v>
      </c>
      <c r="X293">
        <v>0</v>
      </c>
      <c r="Y293">
        <v>0</v>
      </c>
      <c r="Z293">
        <v>0</v>
      </c>
      <c r="AA293">
        <v>0</v>
      </c>
      <c r="AB293">
        <v>1</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s="141">
        <f t="shared" si="298"/>
        <v>1</v>
      </c>
      <c r="BA293" s="141">
        <f t="shared" si="299"/>
        <v>1</v>
      </c>
      <c r="BB293">
        <f t="shared" si="300"/>
        <v>1</v>
      </c>
      <c r="BC293">
        <f t="shared" si="301"/>
        <v>0</v>
      </c>
      <c r="BD293">
        <f t="shared" si="302"/>
        <v>0</v>
      </c>
      <c r="BE293">
        <f t="shared" si="303"/>
        <v>0</v>
      </c>
      <c r="BF293">
        <f t="shared" si="304"/>
        <v>0</v>
      </c>
      <c r="BG293" t="str" cm="1">
        <f t="array" ref="BG293">IF(BA293=1,INDEX($X$7:$AN$7,MATCH(TRUE,INDEX($X293:$AY293&lt;&gt;0,),0)),IF(BA293=0,INDEX($AO$7:$AY$7,MATCH(1,$AO293:$AY293,0)),IF(BH293="Multiple strategies","mixed drivers",IF(BH293="Supply chain","multiple supply","multiple silviculture"))))</f>
        <v>species</v>
      </c>
      <c r="BH293" s="2" t="str" cm="1">
        <f t="array" ref="BH293">IF(COUNTIF(BB293:BD293,"&lt;&gt;0")=1,INDEX($X$4:$AY$4,MATCH(TRUE,INDEX($X293:$AY293&lt;&gt;0,),0)),IF(COUNTIF(BB293:BD293,"&lt;&gt;0")=0,INDEX($AO$4:$AY$4,MATCH(1,$AO293:$AY293,0)),"Multiple strategies"))</f>
        <v>Silviculture for productivity</v>
      </c>
      <c r="BR293" t="s">
        <v>232</v>
      </c>
      <c r="BS293" t="s">
        <v>3590</v>
      </c>
      <c r="BT293" t="s">
        <v>3591</v>
      </c>
      <c r="BU293">
        <v>513.5</v>
      </c>
      <c r="BV293">
        <v>839.2</v>
      </c>
      <c r="BW293" s="144"/>
      <c r="BX293">
        <f t="shared" si="326"/>
        <v>325.70000000000005</v>
      </c>
      <c r="CA293" t="str">
        <f t="shared" si="252"/>
        <v/>
      </c>
      <c r="CB293">
        <v>0</v>
      </c>
      <c r="CC293">
        <v>0</v>
      </c>
      <c r="CD293">
        <v>0</v>
      </c>
      <c r="CE293">
        <v>0</v>
      </c>
      <c r="CF293">
        <v>0</v>
      </c>
      <c r="CG293">
        <v>0</v>
      </c>
      <c r="CH293">
        <v>0</v>
      </c>
      <c r="CI293">
        <v>0</v>
      </c>
      <c r="CJ293">
        <v>0</v>
      </c>
      <c r="CK293">
        <v>0</v>
      </c>
      <c r="CL293">
        <v>0</v>
      </c>
      <c r="CM293">
        <v>0</v>
      </c>
      <c r="CN293">
        <v>0</v>
      </c>
      <c r="CO293">
        <v>0</v>
      </c>
      <c r="CP293" t="str">
        <f t="shared" si="305"/>
        <v>refOK</v>
      </c>
      <c r="CQ293"/>
      <c r="CR293"/>
      <c r="CS293"/>
      <c r="CT293">
        <f t="shared" si="253"/>
        <v>0</v>
      </c>
      <c r="CU293">
        <f t="shared" si="306"/>
        <v>513.5</v>
      </c>
      <c r="CV293">
        <f t="shared" si="331"/>
        <v>839.2</v>
      </c>
      <c r="CW293">
        <f t="shared" si="308"/>
        <v>0</v>
      </c>
      <c r="CX293" t="str">
        <f t="shared" si="254"/>
        <v/>
      </c>
      <c r="CY293" t="str">
        <f t="shared" si="309"/>
        <v/>
      </c>
      <c r="CZ293" t="str">
        <f t="shared" si="255"/>
        <v/>
      </c>
      <c r="DA293" s="2">
        <f t="shared" si="310"/>
        <v>0.63427458617332044</v>
      </c>
      <c r="DB293" s="1" t="s">
        <v>1078</v>
      </c>
      <c r="DC293" s="297" t="str">
        <f t="shared" si="328"/>
        <v>reg</v>
      </c>
      <c r="DD293" t="s">
        <v>3592</v>
      </c>
      <c r="DG293">
        <v>200</v>
      </c>
      <c r="DH293" t="str">
        <f t="shared" si="311"/>
        <v>+100</v>
      </c>
      <c r="DI293">
        <v>0</v>
      </c>
      <c r="DJ293">
        <v>1</v>
      </c>
      <c r="DK293">
        <v>0</v>
      </c>
      <c r="DL293">
        <v>0</v>
      </c>
      <c r="DM293">
        <v>0</v>
      </c>
      <c r="DN293">
        <f t="shared" si="329"/>
        <v>1</v>
      </c>
      <c r="DO293" t="str">
        <f t="shared" si="312"/>
        <v>EnergyInput</v>
      </c>
      <c r="DP293">
        <f t="shared" si="313"/>
        <v>0</v>
      </c>
      <c r="DQ293" t="str">
        <f t="shared" si="314"/>
        <v>Energy</v>
      </c>
      <c r="DR293">
        <f t="shared" si="315"/>
        <v>0</v>
      </c>
      <c r="DS293">
        <f t="shared" si="316"/>
        <v>0</v>
      </c>
      <c r="DT293">
        <v>0</v>
      </c>
      <c r="DU293">
        <v>0</v>
      </c>
      <c r="DV293">
        <v>0</v>
      </c>
      <c r="DW293">
        <v>0</v>
      </c>
      <c r="DX293">
        <v>0</v>
      </c>
      <c r="DY293">
        <f t="shared" si="332"/>
        <v>0</v>
      </c>
      <c r="DZ293" s="143" t="str">
        <f t="shared" si="330"/>
        <v>explicit C balance</v>
      </c>
      <c r="EA293">
        <v>1</v>
      </c>
      <c r="EB293">
        <v>1</v>
      </c>
      <c r="EC293">
        <v>1</v>
      </c>
      <c r="ED293">
        <v>1</v>
      </c>
      <c r="EE293">
        <v>1</v>
      </c>
      <c r="EF293">
        <v>0</v>
      </c>
      <c r="EG293">
        <v>0</v>
      </c>
      <c r="EH293">
        <v>0</v>
      </c>
      <c r="EI293">
        <v>0</v>
      </c>
      <c r="EJ293">
        <v>0</v>
      </c>
      <c r="EK293">
        <v>1</v>
      </c>
      <c r="EL293">
        <v>0</v>
      </c>
      <c r="EM293">
        <v>0</v>
      </c>
      <c r="EN293" s="2">
        <v>0</v>
      </c>
      <c r="EP293" t="str">
        <f t="shared" si="256"/>
        <v/>
      </c>
      <c r="EQ293" t="str">
        <f t="shared" si="333"/>
        <v>Ecosystem approach</v>
      </c>
      <c r="ER293" s="2" t="str">
        <f t="shared" si="257"/>
        <v/>
      </c>
      <c r="ES293" t="str">
        <f t="shared" si="258"/>
        <v/>
      </c>
      <c r="ET293" t="str">
        <f t="shared" si="259"/>
        <v/>
      </c>
      <c r="EU293" t="str">
        <f t="shared" si="260"/>
        <v/>
      </c>
      <c r="EY293" t="b">
        <f>IF(ISNUMBER(BW293),IF(ABS(BW293-[1]QC_indicators!$B$2)&gt;3*[1]QC_indicators!$C$2,"C ratio",IF(ISNUMBER(CA293),IF(ABS(CA293-[1]QC_indicators!$B$1)&gt;3*[1]QC_indicators!$C$1,"DF","no"))),IF(ISNUMBER(CA293),IF(ABS(CA293-[1]QC_indicators!$B$1)&gt;3*[1]QC_indicators!$C$1,"DF","no")))</f>
        <v>0</v>
      </c>
      <c r="FA293" t="str">
        <f t="shared" si="261"/>
        <v/>
      </c>
    </row>
    <row r="294" spans="1:157" ht="15" hidden="1" customHeight="1">
      <c r="A294" s="1" t="s">
        <v>214</v>
      </c>
      <c r="B294" t="s">
        <v>3581</v>
      </c>
      <c r="C294" t="s">
        <v>3582</v>
      </c>
      <c r="D294" t="s">
        <v>3583</v>
      </c>
      <c r="E294" t="s">
        <v>3584</v>
      </c>
      <c r="F294" t="s">
        <v>3585</v>
      </c>
      <c r="G294" t="s">
        <v>220</v>
      </c>
      <c r="H294" t="s">
        <v>254</v>
      </c>
      <c r="I294">
        <v>2012</v>
      </c>
      <c r="J294">
        <v>24</v>
      </c>
      <c r="K294" t="s">
        <v>3586</v>
      </c>
      <c r="M294" t="str">
        <f t="shared" si="323"/>
        <v>Perez-Cruzado_2012</v>
      </c>
      <c r="N294" s="297" t="s">
        <v>4058</v>
      </c>
      <c r="O294" s="171" t="s">
        <v>508</v>
      </c>
      <c r="P294" s="141" t="s">
        <v>225</v>
      </c>
      <c r="Q294" s="297" t="s">
        <v>389</v>
      </c>
      <c r="R294" s="298"/>
      <c r="S294" s="1" t="s">
        <v>3598</v>
      </c>
      <c r="T294" t="s">
        <v>3596</v>
      </c>
      <c r="U294" t="s">
        <v>3601</v>
      </c>
      <c r="X294">
        <v>0</v>
      </c>
      <c r="Y294">
        <v>0</v>
      </c>
      <c r="Z294">
        <v>0</v>
      </c>
      <c r="AA294">
        <v>0</v>
      </c>
      <c r="AB294">
        <v>0</v>
      </c>
      <c r="AC294">
        <v>0</v>
      </c>
      <c r="AD294">
        <v>0</v>
      </c>
      <c r="AE294">
        <v>0</v>
      </c>
      <c r="AF294">
        <v>1</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s="141">
        <f t="shared" ref="AZ294:AZ325" si="334">COUNTIF(X294:AY294,"&lt;&gt;0")</f>
        <v>1</v>
      </c>
      <c r="BA294" s="141">
        <f t="shared" ref="BA294:BA325" si="335">COUNTIF(X294:AN294,"&lt;&gt;0")</f>
        <v>1</v>
      </c>
      <c r="BB294">
        <f t="shared" ref="BB294:BB325" si="336">COUNTIF(X294:AE294,"&lt;&gt;0")</f>
        <v>0</v>
      </c>
      <c r="BC294">
        <f t="shared" ref="BC294:BC325" si="337">COUNTIF(AF294:AK294,"&lt;&gt;0")</f>
        <v>1</v>
      </c>
      <c r="BD294">
        <f t="shared" ref="BD294:BD325" si="338">COUNTIF(AL294:AN294,"&lt;&gt;0")</f>
        <v>0</v>
      </c>
      <c r="BE294">
        <f t="shared" ref="BE294:BE325" si="339">COUNTIF(AU294:AY294,"&lt;&gt;0")</f>
        <v>0</v>
      </c>
      <c r="BF294">
        <f t="shared" ref="BF294:BF325" si="340">COUNTIF(AO294:AT294,"&lt;&gt;0")</f>
        <v>0</v>
      </c>
      <c r="BG294" t="str" cm="1">
        <f t="array" ref="BG294">IF(BA294=1,INDEX($X$7:$AN$7,MATCH(TRUE,INDEX($X294:$AY294&lt;&gt;0,),0)),IF(BA294=0,INDEX($AO$7:$AY$7,MATCH(1,$AO294:$AY294,0)),IF(BH294="Multiple strategies","mixed drivers",IF(BH294="Supply chain","multiple supply","multiple silviculture"))))</f>
        <v>harvesting system</v>
      </c>
      <c r="BH294" s="2" t="str" cm="1">
        <f t="array" ref="BH294">IF(COUNTIF(BB294:BD294,"&lt;&gt;0")=1,INDEX($X$4:$AY$4,MATCH(TRUE,INDEX($X294:$AY294&lt;&gt;0,),0)),IF(COUNTIF(BB294:BD294,"&lt;&gt;0")=0,INDEX($AO$4:$AY$4,MATCH(1,$AO294:$AY294,0)),"Multiple strategies"))</f>
        <v>Supply chain</v>
      </c>
      <c r="BR294" t="s">
        <v>232</v>
      </c>
      <c r="BS294" t="s">
        <v>3590</v>
      </c>
      <c r="BT294" t="s">
        <v>3591</v>
      </c>
      <c r="BU294">
        <v>839.2</v>
      </c>
      <c r="BV294">
        <v>1031.5</v>
      </c>
      <c r="BW294" s="144"/>
      <c r="BX294">
        <f t="shared" si="326"/>
        <v>192.29999999999995</v>
      </c>
      <c r="CA294" t="str">
        <f t="shared" si="252"/>
        <v/>
      </c>
      <c r="CB294">
        <v>0</v>
      </c>
      <c r="CC294">
        <v>0</v>
      </c>
      <c r="CD294">
        <v>0</v>
      </c>
      <c r="CE294">
        <v>0</v>
      </c>
      <c r="CF294">
        <v>0</v>
      </c>
      <c r="CG294">
        <v>0</v>
      </c>
      <c r="CH294">
        <v>0</v>
      </c>
      <c r="CI294">
        <v>0</v>
      </c>
      <c r="CJ294">
        <v>0</v>
      </c>
      <c r="CK294">
        <v>0</v>
      </c>
      <c r="CL294">
        <v>0</v>
      </c>
      <c r="CM294">
        <v>0</v>
      </c>
      <c r="CN294">
        <v>0</v>
      </c>
      <c r="CO294">
        <v>0</v>
      </c>
      <c r="CP294" t="str">
        <f t="shared" ref="CP294:CP325" si="341">IF($BN294&lt;$BM294,"refNeedCorrection","refOK")</f>
        <v>refOK</v>
      </c>
      <c r="CQ294"/>
      <c r="CR294"/>
      <c r="CS294"/>
      <c r="CT294">
        <f t="shared" si="253"/>
        <v>0</v>
      </c>
      <c r="CU294">
        <f t="shared" ref="CU294:CU325" si="342">IF($CP294="refOK",$BU294,$BV294)*IF($BR294="Emissions positive",-1,1)</f>
        <v>839.2</v>
      </c>
      <c r="CV294">
        <f t="shared" si="331"/>
        <v>1031.5</v>
      </c>
      <c r="CW294">
        <f t="shared" ref="CW294:CW325" si="343">IF($CP294="refNeedCorrection",-BZ294,BZ294)*IF($BR294="Emissions positive",-1,1)</f>
        <v>0</v>
      </c>
      <c r="CX294" t="str">
        <f t="shared" si="254"/>
        <v/>
      </c>
      <c r="CY294" t="str">
        <f t="shared" ref="CY294:CY325" si="344">IFERROR($CW294/$CS294,"")</f>
        <v/>
      </c>
      <c r="CZ294" t="str">
        <f t="shared" si="255"/>
        <v/>
      </c>
      <c r="DA294" s="2">
        <f t="shared" ref="DA294:DA325" si="345">IFERROR((CV294-CU294)/ABS(CU294),"")</f>
        <v>0.2291468064823641</v>
      </c>
      <c r="DB294" s="1" t="s">
        <v>1078</v>
      </c>
      <c r="DC294" s="297" t="str">
        <f t="shared" si="328"/>
        <v>reg</v>
      </c>
      <c r="DD294" t="s">
        <v>3592</v>
      </c>
      <c r="DG294">
        <v>200</v>
      </c>
      <c r="DH294" t="str">
        <f t="shared" ref="DH294:DH325" si="346">IF(DG294=0,"0",IF(AND(DG294&gt;=1,DG294&lt;=30),"1-30",IF(AND(DG294&gt;30,DG294&lt;=70),"31-70",IF(AND(DG294&gt;70,DG294&lt;=100),"71-100",IF(DG294&gt;100,"+100")))))</f>
        <v>+100</v>
      </c>
      <c r="DI294">
        <v>0</v>
      </c>
      <c r="DJ294">
        <v>1</v>
      </c>
      <c r="DK294">
        <v>0</v>
      </c>
      <c r="DL294">
        <v>0</v>
      </c>
      <c r="DM294">
        <v>0</v>
      </c>
      <c r="DN294">
        <f t="shared" si="329"/>
        <v>1</v>
      </c>
      <c r="DO294" t="str">
        <f t="shared" ref="DO294:DO325" si="347">IF(DN294=1,INDEX($DI$7:$DL$7,MATCH(1,$DI294:$DL294,0)),"mixedProduct")</f>
        <v>EnergyInput</v>
      </c>
      <c r="DP294">
        <f t="shared" ref="DP294:DP325" si="348">IF(DI294=1,DP$7,0)</f>
        <v>0</v>
      </c>
      <c r="DQ294" t="str">
        <f t="shared" ref="DQ294:DQ325" si="349">IF(DJ294=1,DQ$7,0)</f>
        <v>Energy</v>
      </c>
      <c r="DR294">
        <f t="shared" ref="DR294:DR325" si="350">IF(DK294=1,DR$7,0)</f>
        <v>0</v>
      </c>
      <c r="DS294">
        <f t="shared" ref="DS294:DS325" si="351">IF(DL294=1,DS$7,0)</f>
        <v>0</v>
      </c>
      <c r="DT294">
        <v>0</v>
      </c>
      <c r="DU294">
        <v>0</v>
      </c>
      <c r="DV294">
        <v>0</v>
      </c>
      <c r="DW294">
        <v>0</v>
      </c>
      <c r="DX294">
        <v>0</v>
      </c>
      <c r="DY294">
        <f t="shared" si="332"/>
        <v>0</v>
      </c>
      <c r="DZ294" s="143" t="str">
        <f t="shared" si="330"/>
        <v>explicit C balance</v>
      </c>
      <c r="EA294">
        <v>1</v>
      </c>
      <c r="EB294">
        <v>1</v>
      </c>
      <c r="EC294">
        <v>1</v>
      </c>
      <c r="ED294">
        <v>1</v>
      </c>
      <c r="EE294">
        <v>1</v>
      </c>
      <c r="EF294">
        <v>0</v>
      </c>
      <c r="EG294">
        <v>0</v>
      </c>
      <c r="EH294">
        <v>0</v>
      </c>
      <c r="EI294">
        <v>0</v>
      </c>
      <c r="EJ294">
        <v>0</v>
      </c>
      <c r="EK294">
        <v>1</v>
      </c>
      <c r="EL294">
        <v>0</v>
      </c>
      <c r="EM294">
        <v>0</v>
      </c>
      <c r="EN294" s="2">
        <v>0</v>
      </c>
      <c r="EP294" t="str">
        <f t="shared" si="256"/>
        <v/>
      </c>
      <c r="EQ294" t="str">
        <f t="shared" si="333"/>
        <v>Ecosystem approach</v>
      </c>
      <c r="ER294" s="2" t="str">
        <f t="shared" si="257"/>
        <v/>
      </c>
      <c r="ES294" t="str">
        <f t="shared" si="258"/>
        <v/>
      </c>
      <c r="ET294" t="str">
        <f t="shared" si="259"/>
        <v/>
      </c>
      <c r="EU294" t="str">
        <f t="shared" si="260"/>
        <v/>
      </c>
      <c r="EY294" t="b">
        <f>IF(ISNUMBER(BW294),IF(ABS(BW294-[1]QC_indicators!$B$2)&gt;3*[1]QC_indicators!$C$2,"C ratio",IF(ISNUMBER(CA294),IF(ABS(CA294-[1]QC_indicators!$B$1)&gt;3*[1]QC_indicators!$C$1,"DF","no"))),IF(ISNUMBER(CA294),IF(ABS(CA294-[1]QC_indicators!$B$1)&gt;3*[1]QC_indicators!$C$1,"DF","no")))</f>
        <v>0</v>
      </c>
      <c r="FA294" t="str">
        <f t="shared" si="261"/>
        <v/>
      </c>
    </row>
    <row r="295" spans="1:157" ht="15" hidden="1" customHeight="1">
      <c r="A295" s="1" t="s">
        <v>214</v>
      </c>
      <c r="B295" t="s">
        <v>3581</v>
      </c>
      <c r="C295" t="s">
        <v>3582</v>
      </c>
      <c r="D295" t="s">
        <v>3583</v>
      </c>
      <c r="E295" t="s">
        <v>3584</v>
      </c>
      <c r="F295" t="s">
        <v>3585</v>
      </c>
      <c r="G295" t="s">
        <v>220</v>
      </c>
      <c r="H295" t="s">
        <v>254</v>
      </c>
      <c r="I295">
        <v>2012</v>
      </c>
      <c r="J295">
        <v>24</v>
      </c>
      <c r="K295" t="s">
        <v>3586</v>
      </c>
      <c r="M295" t="str">
        <f t="shared" si="323"/>
        <v>Perez-Cruzado_2012</v>
      </c>
      <c r="N295" s="297" t="s">
        <v>4058</v>
      </c>
      <c r="O295" s="171" t="s">
        <v>508</v>
      </c>
      <c r="P295" s="141" t="s">
        <v>225</v>
      </c>
      <c r="Q295" s="297" t="s">
        <v>389</v>
      </c>
      <c r="R295" s="298"/>
      <c r="S295" s="1" t="s">
        <v>3598</v>
      </c>
      <c r="T295" t="s">
        <v>3593</v>
      </c>
      <c r="U295" t="s">
        <v>3602</v>
      </c>
      <c r="X295">
        <v>0</v>
      </c>
      <c r="Y295">
        <v>0</v>
      </c>
      <c r="Z295">
        <v>0</v>
      </c>
      <c r="AA295">
        <v>0</v>
      </c>
      <c r="AB295">
        <v>0</v>
      </c>
      <c r="AC295">
        <v>0</v>
      </c>
      <c r="AD295">
        <v>0</v>
      </c>
      <c r="AE295">
        <v>0</v>
      </c>
      <c r="AF295">
        <v>1</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s="141">
        <f t="shared" si="334"/>
        <v>1</v>
      </c>
      <c r="BA295" s="141">
        <f t="shared" si="335"/>
        <v>1</v>
      </c>
      <c r="BB295">
        <f t="shared" si="336"/>
        <v>0</v>
      </c>
      <c r="BC295">
        <f t="shared" si="337"/>
        <v>1</v>
      </c>
      <c r="BD295">
        <f t="shared" si="338"/>
        <v>0</v>
      </c>
      <c r="BE295">
        <f t="shared" si="339"/>
        <v>0</v>
      </c>
      <c r="BF295">
        <f t="shared" si="340"/>
        <v>0</v>
      </c>
      <c r="BG295" t="str" cm="1">
        <f t="array" ref="BG295">IF(BA295=1,INDEX($X$7:$AN$7,MATCH(TRUE,INDEX($X295:$AY295&lt;&gt;0,),0)),IF(BA295=0,INDEX($AO$7:$AY$7,MATCH(1,$AO295:$AY295,0)),IF(BH295="Multiple strategies","mixed drivers",IF(BH295="Supply chain","multiple supply","multiple silviculture"))))</f>
        <v>harvesting system</v>
      </c>
      <c r="BH295" s="2" t="str" cm="1">
        <f t="array" ref="BH295">IF(COUNTIF(BB295:BD295,"&lt;&gt;0")=1,INDEX($X$4:$AY$4,MATCH(TRUE,INDEX($X295:$AY295&lt;&gt;0,),0)),IF(COUNTIF(BB295:BD295,"&lt;&gt;0")=0,INDEX($AO$4:$AY$4,MATCH(1,$AO295:$AY295,0)),"Multiple strategies"))</f>
        <v>Supply chain</v>
      </c>
      <c r="BR295" t="s">
        <v>232</v>
      </c>
      <c r="BS295" t="s">
        <v>3590</v>
      </c>
      <c r="BT295" t="s">
        <v>3591</v>
      </c>
      <c r="BU295">
        <v>513.5</v>
      </c>
      <c r="BV295">
        <v>793.5</v>
      </c>
      <c r="BW295" s="144"/>
      <c r="BX295">
        <f t="shared" si="326"/>
        <v>280</v>
      </c>
      <c r="CA295" t="str">
        <f t="shared" si="252"/>
        <v/>
      </c>
      <c r="CB295">
        <v>0</v>
      </c>
      <c r="CC295">
        <v>0</v>
      </c>
      <c r="CD295">
        <v>0</v>
      </c>
      <c r="CE295">
        <v>0</v>
      </c>
      <c r="CF295">
        <v>0</v>
      </c>
      <c r="CG295">
        <v>0</v>
      </c>
      <c r="CH295">
        <v>0</v>
      </c>
      <c r="CI295">
        <v>0</v>
      </c>
      <c r="CJ295">
        <v>0</v>
      </c>
      <c r="CK295">
        <v>0</v>
      </c>
      <c r="CL295">
        <v>0</v>
      </c>
      <c r="CM295">
        <v>0</v>
      </c>
      <c r="CN295">
        <v>0</v>
      </c>
      <c r="CO295">
        <v>0</v>
      </c>
      <c r="CP295" t="str">
        <f t="shared" si="341"/>
        <v>refOK</v>
      </c>
      <c r="CQ295"/>
      <c r="CR295"/>
      <c r="CS295"/>
      <c r="CT295">
        <f t="shared" si="253"/>
        <v>0</v>
      </c>
      <c r="CU295">
        <f t="shared" si="342"/>
        <v>513.5</v>
      </c>
      <c r="CV295">
        <f t="shared" si="331"/>
        <v>793.5</v>
      </c>
      <c r="CW295">
        <f t="shared" si="343"/>
        <v>0</v>
      </c>
      <c r="CX295" t="str">
        <f t="shared" si="254"/>
        <v/>
      </c>
      <c r="CY295" t="str">
        <f t="shared" si="344"/>
        <v/>
      </c>
      <c r="CZ295" t="str">
        <f t="shared" si="255"/>
        <v/>
      </c>
      <c r="DA295" s="2">
        <f t="shared" si="345"/>
        <v>0.54527750730282376</v>
      </c>
      <c r="DB295" s="1" t="s">
        <v>1078</v>
      </c>
      <c r="DC295" s="297" t="str">
        <f t="shared" si="328"/>
        <v>reg</v>
      </c>
      <c r="DD295" t="s">
        <v>3592</v>
      </c>
      <c r="DG295">
        <v>200</v>
      </c>
      <c r="DH295" t="str">
        <f t="shared" si="346"/>
        <v>+100</v>
      </c>
      <c r="DI295">
        <v>0</v>
      </c>
      <c r="DJ295">
        <v>1</v>
      </c>
      <c r="DK295">
        <v>0</v>
      </c>
      <c r="DL295">
        <v>0</v>
      </c>
      <c r="DM295">
        <v>0</v>
      </c>
      <c r="DN295">
        <f t="shared" si="329"/>
        <v>1</v>
      </c>
      <c r="DO295" t="str">
        <f t="shared" si="347"/>
        <v>EnergyInput</v>
      </c>
      <c r="DP295">
        <f t="shared" si="348"/>
        <v>0</v>
      </c>
      <c r="DQ295" t="str">
        <f t="shared" si="349"/>
        <v>Energy</v>
      </c>
      <c r="DR295">
        <f t="shared" si="350"/>
        <v>0</v>
      </c>
      <c r="DS295">
        <f t="shared" si="351"/>
        <v>0</v>
      </c>
      <c r="DT295">
        <v>0</v>
      </c>
      <c r="DU295">
        <v>0</v>
      </c>
      <c r="DV295">
        <v>0</v>
      </c>
      <c r="DW295">
        <v>0</v>
      </c>
      <c r="DX295">
        <v>0</v>
      </c>
      <c r="DY295">
        <f t="shared" si="332"/>
        <v>0</v>
      </c>
      <c r="DZ295" s="143" t="str">
        <f t="shared" si="330"/>
        <v>explicit C balance</v>
      </c>
      <c r="EA295">
        <v>1</v>
      </c>
      <c r="EB295">
        <v>1</v>
      </c>
      <c r="EC295">
        <v>1</v>
      </c>
      <c r="ED295">
        <v>1</v>
      </c>
      <c r="EE295">
        <v>1</v>
      </c>
      <c r="EF295">
        <v>0</v>
      </c>
      <c r="EG295">
        <v>0</v>
      </c>
      <c r="EH295">
        <v>0</v>
      </c>
      <c r="EI295">
        <v>0</v>
      </c>
      <c r="EJ295">
        <v>0</v>
      </c>
      <c r="EK295">
        <v>1</v>
      </c>
      <c r="EL295">
        <v>0</v>
      </c>
      <c r="EM295">
        <v>0</v>
      </c>
      <c r="EN295" s="2">
        <v>0</v>
      </c>
      <c r="EP295" t="str">
        <f t="shared" si="256"/>
        <v/>
      </c>
      <c r="EQ295" t="str">
        <f t="shared" si="333"/>
        <v>Ecosystem approach</v>
      </c>
      <c r="ER295" s="2" t="str">
        <f t="shared" si="257"/>
        <v/>
      </c>
      <c r="ES295" t="str">
        <f t="shared" si="258"/>
        <v/>
      </c>
      <c r="ET295" t="str">
        <f t="shared" si="259"/>
        <v/>
      </c>
      <c r="EU295" t="str">
        <f t="shared" si="260"/>
        <v/>
      </c>
      <c r="EY295" t="b">
        <f>IF(ISNUMBER(BW295),IF(ABS(BW295-[1]QC_indicators!$B$2)&gt;3*[1]QC_indicators!$C$2,"C ratio",IF(ISNUMBER(CA295),IF(ABS(CA295-[1]QC_indicators!$B$1)&gt;3*[1]QC_indicators!$C$1,"DF","no"))),IF(ISNUMBER(CA295),IF(ABS(CA295-[1]QC_indicators!$B$1)&gt;3*[1]QC_indicators!$C$1,"DF","no")))</f>
        <v>0</v>
      </c>
      <c r="FA295" t="str">
        <f t="shared" si="261"/>
        <v/>
      </c>
    </row>
    <row r="296" spans="1:157" ht="15" hidden="1" customHeight="1">
      <c r="A296" s="1" t="s">
        <v>214</v>
      </c>
      <c r="B296" t="s">
        <v>3581</v>
      </c>
      <c r="C296" t="s">
        <v>3582</v>
      </c>
      <c r="D296" t="s">
        <v>3583</v>
      </c>
      <c r="E296" t="s">
        <v>3584</v>
      </c>
      <c r="F296" t="s">
        <v>3585</v>
      </c>
      <c r="G296" t="s">
        <v>220</v>
      </c>
      <c r="H296" t="s">
        <v>254</v>
      </c>
      <c r="I296">
        <v>2012</v>
      </c>
      <c r="J296">
        <v>24</v>
      </c>
      <c r="K296" t="s">
        <v>3586</v>
      </c>
      <c r="M296" t="str">
        <f t="shared" si="323"/>
        <v>Perez-Cruzado_2012</v>
      </c>
      <c r="N296" s="297" t="s">
        <v>4058</v>
      </c>
      <c r="O296" s="171" t="s">
        <v>508</v>
      </c>
      <c r="P296" s="141" t="s">
        <v>225</v>
      </c>
      <c r="Q296" s="297" t="s">
        <v>389</v>
      </c>
      <c r="R296" s="298"/>
      <c r="S296" s="1" t="s">
        <v>3598</v>
      </c>
      <c r="T296" t="s">
        <v>3599</v>
      </c>
      <c r="U296" t="s">
        <v>3600</v>
      </c>
      <c r="X296">
        <v>0</v>
      </c>
      <c r="Y296">
        <v>0</v>
      </c>
      <c r="Z296">
        <v>0</v>
      </c>
      <c r="AA296">
        <v>0</v>
      </c>
      <c r="AB296">
        <v>0</v>
      </c>
      <c r="AC296">
        <v>0</v>
      </c>
      <c r="AD296">
        <v>0</v>
      </c>
      <c r="AE296">
        <v>0</v>
      </c>
      <c r="AF296">
        <v>1</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s="141">
        <f t="shared" si="334"/>
        <v>1</v>
      </c>
      <c r="BA296" s="141">
        <f t="shared" si="335"/>
        <v>1</v>
      </c>
      <c r="BB296">
        <f t="shared" si="336"/>
        <v>0</v>
      </c>
      <c r="BC296">
        <f t="shared" si="337"/>
        <v>1</v>
      </c>
      <c r="BD296">
        <f t="shared" si="338"/>
        <v>0</v>
      </c>
      <c r="BE296">
        <f t="shared" si="339"/>
        <v>0</v>
      </c>
      <c r="BF296">
        <f t="shared" si="340"/>
        <v>0</v>
      </c>
      <c r="BG296" t="str" cm="1">
        <f t="array" ref="BG296">IF(BA296=1,INDEX($X$7:$AN$7,MATCH(TRUE,INDEX($X296:$AY296&lt;&gt;0,),0)),IF(BA296=0,INDEX($AO$7:$AY$7,MATCH(1,$AO296:$AY296,0)),IF(BH296="Multiple strategies","mixed drivers",IF(BH296="Supply chain","multiple supply","multiple silviculture"))))</f>
        <v>harvesting system</v>
      </c>
      <c r="BH296" s="2" t="str" cm="1">
        <f t="array" ref="BH296">IF(COUNTIF(BB296:BD296,"&lt;&gt;0")=1,INDEX($X$4:$AY$4,MATCH(TRUE,INDEX($X296:$AY296&lt;&gt;0,),0)),IF(COUNTIF(BB296:BD296,"&lt;&gt;0")=0,INDEX($AO$4:$AY$4,MATCH(1,$AO296:$AY296,0)),"Multiple strategies"))</f>
        <v>Supply chain</v>
      </c>
      <c r="BR296" t="s">
        <v>232</v>
      </c>
      <c r="BS296" t="s">
        <v>3590</v>
      </c>
      <c r="BT296" t="s">
        <v>3591</v>
      </c>
      <c r="BU296">
        <v>716.5</v>
      </c>
      <c r="BV296">
        <v>1983</v>
      </c>
      <c r="BW296" s="144"/>
      <c r="BX296">
        <f t="shared" si="326"/>
        <v>1266.5</v>
      </c>
      <c r="CA296" t="str">
        <f t="shared" si="252"/>
        <v/>
      </c>
      <c r="CB296">
        <v>0</v>
      </c>
      <c r="CC296">
        <v>0</v>
      </c>
      <c r="CD296">
        <v>0</v>
      </c>
      <c r="CE296">
        <v>0</v>
      </c>
      <c r="CF296">
        <v>0</v>
      </c>
      <c r="CG296">
        <v>0</v>
      </c>
      <c r="CH296">
        <v>0</v>
      </c>
      <c r="CI296">
        <v>0</v>
      </c>
      <c r="CJ296">
        <v>0</v>
      </c>
      <c r="CK296">
        <v>0</v>
      </c>
      <c r="CL296">
        <v>0</v>
      </c>
      <c r="CM296">
        <v>0</v>
      </c>
      <c r="CN296">
        <v>0</v>
      </c>
      <c r="CO296">
        <v>0</v>
      </c>
      <c r="CP296" t="str">
        <f t="shared" si="341"/>
        <v>refOK</v>
      </c>
      <c r="CQ296"/>
      <c r="CR296"/>
      <c r="CS296"/>
      <c r="CT296">
        <f t="shared" si="253"/>
        <v>0</v>
      </c>
      <c r="CU296">
        <f t="shared" si="342"/>
        <v>716.5</v>
      </c>
      <c r="CV296">
        <f t="shared" si="331"/>
        <v>1983</v>
      </c>
      <c r="CW296">
        <f t="shared" si="343"/>
        <v>0</v>
      </c>
      <c r="CX296" t="str">
        <f t="shared" si="254"/>
        <v/>
      </c>
      <c r="CY296" t="str">
        <f t="shared" si="344"/>
        <v/>
      </c>
      <c r="CZ296" t="str">
        <f t="shared" si="255"/>
        <v/>
      </c>
      <c r="DA296" s="2">
        <f t="shared" si="345"/>
        <v>1.7676203768318213</v>
      </c>
      <c r="DB296" s="1" t="s">
        <v>1078</v>
      </c>
      <c r="DC296" s="297" t="str">
        <f t="shared" si="328"/>
        <v>reg</v>
      </c>
      <c r="DD296" t="s">
        <v>3592</v>
      </c>
      <c r="DG296">
        <v>200</v>
      </c>
      <c r="DH296" t="str">
        <f t="shared" si="346"/>
        <v>+100</v>
      </c>
      <c r="DI296">
        <v>0</v>
      </c>
      <c r="DJ296">
        <v>1</v>
      </c>
      <c r="DK296">
        <v>0</v>
      </c>
      <c r="DL296">
        <v>0</v>
      </c>
      <c r="DM296">
        <v>0</v>
      </c>
      <c r="DN296">
        <f t="shared" si="329"/>
        <v>1</v>
      </c>
      <c r="DO296" t="str">
        <f t="shared" si="347"/>
        <v>EnergyInput</v>
      </c>
      <c r="DP296">
        <f t="shared" si="348"/>
        <v>0</v>
      </c>
      <c r="DQ296" t="str">
        <f t="shared" si="349"/>
        <v>Energy</v>
      </c>
      <c r="DR296">
        <f t="shared" si="350"/>
        <v>0</v>
      </c>
      <c r="DS296">
        <f t="shared" si="351"/>
        <v>0</v>
      </c>
      <c r="DT296">
        <v>0</v>
      </c>
      <c r="DU296">
        <v>0</v>
      </c>
      <c r="DV296">
        <v>0</v>
      </c>
      <c r="DW296">
        <v>0</v>
      </c>
      <c r="DX296">
        <v>0</v>
      </c>
      <c r="DY296">
        <f t="shared" si="332"/>
        <v>0</v>
      </c>
      <c r="DZ296" s="143" t="str">
        <f t="shared" si="330"/>
        <v>explicit C balance</v>
      </c>
      <c r="EA296">
        <v>1</v>
      </c>
      <c r="EB296">
        <v>1</v>
      </c>
      <c r="EC296">
        <v>1</v>
      </c>
      <c r="ED296">
        <v>1</v>
      </c>
      <c r="EE296">
        <v>1</v>
      </c>
      <c r="EF296">
        <v>0</v>
      </c>
      <c r="EG296">
        <v>0</v>
      </c>
      <c r="EH296">
        <v>0</v>
      </c>
      <c r="EI296">
        <v>0</v>
      </c>
      <c r="EJ296">
        <v>0</v>
      </c>
      <c r="EK296">
        <v>1</v>
      </c>
      <c r="EL296">
        <v>0</v>
      </c>
      <c r="EM296">
        <v>0</v>
      </c>
      <c r="EN296" s="2">
        <v>0</v>
      </c>
      <c r="EP296" t="str">
        <f t="shared" si="256"/>
        <v/>
      </c>
      <c r="EQ296" t="str">
        <f t="shared" si="333"/>
        <v>Ecosystem approach</v>
      </c>
      <c r="ER296" s="2" t="str">
        <f t="shared" si="257"/>
        <v/>
      </c>
      <c r="ES296" t="str">
        <f t="shared" si="258"/>
        <v/>
      </c>
      <c r="ET296" t="str">
        <f t="shared" si="259"/>
        <v/>
      </c>
      <c r="EU296" t="str">
        <f t="shared" si="260"/>
        <v/>
      </c>
      <c r="EY296" t="b">
        <f>IF(ISNUMBER(BW296),IF(ABS(BW296-[1]QC_indicators!$B$2)&gt;3*[1]QC_indicators!$C$2,"C ratio",IF(ISNUMBER(CA296),IF(ABS(CA296-[1]QC_indicators!$B$1)&gt;3*[1]QC_indicators!$C$1,"DF","no"))),IF(ISNUMBER(CA296),IF(ABS(CA296-[1]QC_indicators!$B$1)&gt;3*[1]QC_indicators!$C$1,"DF","no")))</f>
        <v>0</v>
      </c>
      <c r="FA296" t="str">
        <f t="shared" si="261"/>
        <v/>
      </c>
    </row>
    <row r="297" spans="1:157" ht="15" hidden="1" customHeight="1">
      <c r="A297" s="1" t="s">
        <v>1920</v>
      </c>
      <c r="B297" t="s">
        <v>531</v>
      </c>
      <c r="C297" t="s">
        <v>3603</v>
      </c>
      <c r="D297" t="s">
        <v>3604</v>
      </c>
      <c r="E297" t="s">
        <v>3605</v>
      </c>
      <c r="F297" t="s">
        <v>3606</v>
      </c>
      <c r="G297" t="s">
        <v>1921</v>
      </c>
      <c r="H297" t="s">
        <v>254</v>
      </c>
      <c r="I297">
        <v>2017</v>
      </c>
      <c r="J297">
        <v>25</v>
      </c>
      <c r="K297" t="s">
        <v>3607</v>
      </c>
      <c r="M297" t="str">
        <f t="shared" si="323"/>
        <v>Pilli_2017</v>
      </c>
      <c r="N297" s="297" t="s">
        <v>4058</v>
      </c>
      <c r="O297" s="171" t="s">
        <v>508</v>
      </c>
      <c r="P297" t="s">
        <v>341</v>
      </c>
      <c r="Q297" s="297" t="s">
        <v>389</v>
      </c>
      <c r="R297" s="298"/>
      <c r="S297" s="1" t="s">
        <v>3608</v>
      </c>
      <c r="T297" t="s">
        <v>3609</v>
      </c>
      <c r="U297" t="s">
        <v>3610</v>
      </c>
      <c r="X297">
        <v>0</v>
      </c>
      <c r="Y297">
        <v>1</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s="141">
        <f t="shared" si="334"/>
        <v>1</v>
      </c>
      <c r="BA297" s="141">
        <f t="shared" si="335"/>
        <v>1</v>
      </c>
      <c r="BB297">
        <f t="shared" si="336"/>
        <v>1</v>
      </c>
      <c r="BC297">
        <f t="shared" si="337"/>
        <v>0</v>
      </c>
      <c r="BD297">
        <f t="shared" si="338"/>
        <v>0</v>
      </c>
      <c r="BE297">
        <f t="shared" si="339"/>
        <v>0</v>
      </c>
      <c r="BF297">
        <f t="shared" si="340"/>
        <v>0</v>
      </c>
      <c r="BG297" t="str" cm="1">
        <f t="array" ref="BG297">IF(BA297=1,INDEX($X$7:$AN$7,MATCH(TRUE,INDEX($X297:$AY297&lt;&gt;0,),0)),IF(BA297=0,INDEX($AO$7:$AY$7,MATCH(1,$AO297:$AY297,0)),IF(BH297="Multiple strategies","mixed drivers",IF(BH297="Supply chain","multiple supply","multiple silviculture"))))</f>
        <v>unspecified harvest increase</v>
      </c>
      <c r="BH297" s="2" t="str" cm="1">
        <f t="array" ref="BH297">IF(COUNTIF(BB297:BD297,"&lt;&gt;0")=1,INDEX($X$4:$AY$4,MATCH(TRUE,INDEX($X297:$AY297&lt;&gt;0,),0)),IF(COUNTIF(BB297:BD297,"&lt;&gt;0")=0,INDEX($AO$4:$AY$4,MATCH(1,$AO297:$AY297,0)),"Multiple strategies"))</f>
        <v>Silviculture for removals</v>
      </c>
      <c r="BO297" t="str">
        <f>IFERROR(BN297/BM297,"")</f>
        <v/>
      </c>
      <c r="BP297" s="158"/>
      <c r="BQ297" s="143"/>
      <c r="BR297" t="s">
        <v>232</v>
      </c>
      <c r="BT297" t="s">
        <v>3611</v>
      </c>
      <c r="BU297">
        <v>126</v>
      </c>
      <c r="BV297">
        <v>101</v>
      </c>
      <c r="BW297" s="144"/>
      <c r="BX297">
        <f t="shared" si="326"/>
        <v>-25</v>
      </c>
      <c r="CA297" t="str">
        <f t="shared" si="252"/>
        <v/>
      </c>
      <c r="CB297">
        <v>0</v>
      </c>
      <c r="CC297">
        <v>0</v>
      </c>
      <c r="CD297">
        <v>0</v>
      </c>
      <c r="CE297">
        <v>0</v>
      </c>
      <c r="CF297">
        <v>0</v>
      </c>
      <c r="CG297">
        <v>0</v>
      </c>
      <c r="CH297">
        <v>0</v>
      </c>
      <c r="CI297">
        <v>0</v>
      </c>
      <c r="CJ297">
        <v>0</v>
      </c>
      <c r="CK297">
        <v>0</v>
      </c>
      <c r="CL297">
        <v>0</v>
      </c>
      <c r="CM297">
        <v>0</v>
      </c>
      <c r="CN297">
        <v>0</v>
      </c>
      <c r="CO297">
        <v>0</v>
      </c>
      <c r="CP297" t="str">
        <f t="shared" si="341"/>
        <v>refOK</v>
      </c>
      <c r="CQ297"/>
      <c r="CR297"/>
      <c r="CS297"/>
      <c r="CT297">
        <f t="shared" si="253"/>
        <v>0</v>
      </c>
      <c r="CU297">
        <f t="shared" si="342"/>
        <v>126</v>
      </c>
      <c r="CV297">
        <f t="shared" si="331"/>
        <v>101</v>
      </c>
      <c r="CW297">
        <f t="shared" si="343"/>
        <v>0</v>
      </c>
      <c r="CX297" t="str">
        <f t="shared" si="254"/>
        <v/>
      </c>
      <c r="CY297" t="str">
        <f t="shared" si="344"/>
        <v/>
      </c>
      <c r="CZ297" t="str">
        <f t="shared" si="255"/>
        <v/>
      </c>
      <c r="DA297" s="2">
        <f t="shared" si="345"/>
        <v>-0.1984126984126984</v>
      </c>
      <c r="DB297" s="1" t="s">
        <v>1106</v>
      </c>
      <c r="DC297" s="297" t="str">
        <f t="shared" si="328"/>
        <v>reg</v>
      </c>
      <c r="DD297" s="297" t="s">
        <v>729</v>
      </c>
      <c r="DE297">
        <v>2012</v>
      </c>
      <c r="DF297" s="143">
        <v>2030</v>
      </c>
      <c r="DG297" s="143">
        <v>18</v>
      </c>
      <c r="DH297" t="str">
        <f t="shared" si="346"/>
        <v>1-30</v>
      </c>
      <c r="DI297">
        <v>0</v>
      </c>
      <c r="DJ297">
        <v>1</v>
      </c>
      <c r="DK297">
        <v>1</v>
      </c>
      <c r="DL297">
        <v>1</v>
      </c>
      <c r="DM297">
        <v>0</v>
      </c>
      <c r="DN297">
        <f t="shared" si="329"/>
        <v>3</v>
      </c>
      <c r="DO297" t="str">
        <f t="shared" si="347"/>
        <v>mixedProduct</v>
      </c>
      <c r="DP297">
        <f t="shared" si="348"/>
        <v>0</v>
      </c>
      <c r="DQ297" t="str">
        <f t="shared" si="349"/>
        <v>Energy</v>
      </c>
      <c r="DR297" t="str">
        <f t="shared" si="350"/>
        <v>Pulp/Paper</v>
      </c>
      <c r="DS297" t="str">
        <f t="shared" si="351"/>
        <v>Timber</v>
      </c>
      <c r="DT297">
        <v>0</v>
      </c>
      <c r="DU297">
        <v>0</v>
      </c>
      <c r="DV297">
        <v>0</v>
      </c>
      <c r="DW297">
        <v>0</v>
      </c>
      <c r="DX297">
        <v>0</v>
      </c>
      <c r="DY297">
        <f t="shared" si="332"/>
        <v>0</v>
      </c>
      <c r="DZ297" s="143" t="str">
        <f t="shared" si="330"/>
        <v>explicit C balance</v>
      </c>
      <c r="EA297" s="143">
        <v>1</v>
      </c>
      <c r="EB297" s="143">
        <v>1</v>
      </c>
      <c r="EC297" s="143">
        <v>1</v>
      </c>
      <c r="ED297" s="143">
        <v>1</v>
      </c>
      <c r="EE297">
        <v>0</v>
      </c>
      <c r="EF297" s="143">
        <v>0</v>
      </c>
      <c r="EG297" s="143">
        <v>0</v>
      </c>
      <c r="EH297" s="143">
        <v>0</v>
      </c>
      <c r="EI297" s="143">
        <v>0</v>
      </c>
      <c r="EJ297">
        <v>0</v>
      </c>
      <c r="EK297">
        <v>1</v>
      </c>
      <c r="EL297" s="143">
        <v>0</v>
      </c>
      <c r="EM297">
        <v>1</v>
      </c>
      <c r="EN297" s="2">
        <v>0</v>
      </c>
      <c r="EP297" t="str">
        <f t="shared" si="256"/>
        <v/>
      </c>
      <c r="EQ297" t="str">
        <f t="shared" si="333"/>
        <v>Ecosystem approach</v>
      </c>
      <c r="ER297" s="2" t="str">
        <f t="shared" si="257"/>
        <v/>
      </c>
      <c r="ES297" t="str">
        <f t="shared" si="258"/>
        <v/>
      </c>
      <c r="ET297" t="str">
        <f t="shared" si="259"/>
        <v/>
      </c>
      <c r="EU297" t="str">
        <f t="shared" si="260"/>
        <v/>
      </c>
      <c r="EY297" t="b">
        <f>IF(ISNUMBER(BW297),IF(ABS(BW297-[1]QC_indicators!$B$2)&gt;3*[1]QC_indicators!$C$2,"C ratio",IF(ISNUMBER(CA297),IF(ABS(CA297-[1]QC_indicators!$B$1)&gt;3*[1]QC_indicators!$C$1,"DF","no"))),IF(ISNUMBER(CA297),IF(ABS(CA297-[1]QC_indicators!$B$1)&gt;3*[1]QC_indicators!$C$1,"DF","no")))</f>
        <v>0</v>
      </c>
      <c r="FA297" t="str">
        <f t="shared" si="261"/>
        <v/>
      </c>
    </row>
    <row r="298" spans="1:157" ht="15" hidden="1" customHeight="1">
      <c r="A298" s="1" t="s">
        <v>1920</v>
      </c>
      <c r="B298" t="s">
        <v>531</v>
      </c>
      <c r="C298" t="s">
        <v>3603</v>
      </c>
      <c r="D298" t="s">
        <v>3604</v>
      </c>
      <c r="E298" s="297" t="s">
        <v>3605</v>
      </c>
      <c r="F298" t="s">
        <v>3606</v>
      </c>
      <c r="G298" t="s">
        <v>1921</v>
      </c>
      <c r="H298" t="s">
        <v>254</v>
      </c>
      <c r="I298">
        <v>2017</v>
      </c>
      <c r="J298">
        <v>25</v>
      </c>
      <c r="K298" t="s">
        <v>3607</v>
      </c>
      <c r="M298" t="str">
        <f t="shared" si="323"/>
        <v>Pilli_2017</v>
      </c>
      <c r="N298" s="297" t="s">
        <v>4058</v>
      </c>
      <c r="O298" s="171" t="s">
        <v>508</v>
      </c>
      <c r="P298" t="s">
        <v>341</v>
      </c>
      <c r="Q298" s="297" t="s">
        <v>389</v>
      </c>
      <c r="R298" s="298"/>
      <c r="S298" s="1" t="s">
        <v>3608</v>
      </c>
      <c r="T298" t="s">
        <v>3609</v>
      </c>
      <c r="U298" t="s">
        <v>3612</v>
      </c>
      <c r="X298">
        <v>0</v>
      </c>
      <c r="Y298">
        <v>1</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s="141">
        <f t="shared" si="334"/>
        <v>1</v>
      </c>
      <c r="BA298" s="141">
        <f t="shared" si="335"/>
        <v>1</v>
      </c>
      <c r="BB298">
        <f t="shared" si="336"/>
        <v>1</v>
      </c>
      <c r="BC298">
        <f t="shared" si="337"/>
        <v>0</v>
      </c>
      <c r="BD298">
        <f t="shared" si="338"/>
        <v>0</v>
      </c>
      <c r="BE298">
        <f t="shared" si="339"/>
        <v>0</v>
      </c>
      <c r="BF298">
        <f t="shared" si="340"/>
        <v>0</v>
      </c>
      <c r="BG298" t="str" cm="1">
        <f t="array" ref="BG298">IF(BA298=1,INDEX($X$7:$AN$7,MATCH(TRUE,INDEX($X298:$AY298&lt;&gt;0,),0)),IF(BA298=0,INDEX($AO$7:$AY$7,MATCH(1,$AO298:$AY298,0)),IF(BH298="Multiple strategies","mixed drivers",IF(BH298="Supply chain","multiple supply","multiple silviculture"))))</f>
        <v>unspecified harvest increase</v>
      </c>
      <c r="BH298" s="2" t="str" cm="1">
        <f t="array" ref="BH298">IF(COUNTIF(BB298:BD298,"&lt;&gt;0")=1,INDEX($X$4:$AY$4,MATCH(TRUE,INDEX($X298:$AY298&lt;&gt;0,),0)),IF(COUNTIF(BB298:BD298,"&lt;&gt;0")=0,INDEX($AO$4:$AY$4,MATCH(1,$AO298:$AY298,0)),"Multiple strategies"))</f>
        <v>Silviculture for removals</v>
      </c>
      <c r="BP298" s="158"/>
      <c r="BQ298" s="143"/>
      <c r="BR298" t="s">
        <v>232</v>
      </c>
      <c r="BT298" t="s">
        <v>3611</v>
      </c>
      <c r="BU298">
        <v>126</v>
      </c>
      <c r="BV298">
        <v>151</v>
      </c>
      <c r="BW298" s="144"/>
      <c r="BX298">
        <f t="shared" si="326"/>
        <v>25</v>
      </c>
      <c r="CA298" t="str">
        <f t="shared" ref="CA298:CA361" si="352">IFERROR(BZ298/BQ298,"")</f>
        <v/>
      </c>
      <c r="CB298">
        <v>0</v>
      </c>
      <c r="CC298">
        <v>0</v>
      </c>
      <c r="CD298">
        <v>0</v>
      </c>
      <c r="CE298">
        <v>0</v>
      </c>
      <c r="CF298">
        <v>0</v>
      </c>
      <c r="CG298">
        <v>0</v>
      </c>
      <c r="CH298">
        <v>0</v>
      </c>
      <c r="CI298">
        <v>0</v>
      </c>
      <c r="CJ298">
        <v>0</v>
      </c>
      <c r="CK298">
        <v>0</v>
      </c>
      <c r="CL298">
        <v>0</v>
      </c>
      <c r="CM298">
        <v>0</v>
      </c>
      <c r="CN298">
        <v>0</v>
      </c>
      <c r="CO298">
        <v>0</v>
      </c>
      <c r="CP298" t="str">
        <f t="shared" si="341"/>
        <v>refOK</v>
      </c>
      <c r="CQ298"/>
      <c r="CR298"/>
      <c r="CS298"/>
      <c r="CT298">
        <f t="shared" ref="CT298:CT361" si="353">IF(BI298="Roundwood",$CS298/2,$CS298)</f>
        <v>0</v>
      </c>
      <c r="CU298">
        <f t="shared" si="342"/>
        <v>126</v>
      </c>
      <c r="CV298">
        <f t="shared" si="331"/>
        <v>151</v>
      </c>
      <c r="CW298">
        <f t="shared" si="343"/>
        <v>0</v>
      </c>
      <c r="CX298" t="str">
        <f t="shared" ref="CX298:CX361" si="354">IFERROR($CW298/$CS298,"")</f>
        <v/>
      </c>
      <c r="CY298" t="str">
        <f t="shared" si="344"/>
        <v/>
      </c>
      <c r="CZ298" t="str">
        <f t="shared" ref="CZ298:CZ361" si="355">IFERROR($CW298/$CT298,"")</f>
        <v/>
      </c>
      <c r="DA298" s="2">
        <f t="shared" si="345"/>
        <v>0.1984126984126984</v>
      </c>
      <c r="DB298" s="1" t="s">
        <v>1106</v>
      </c>
      <c r="DC298" s="297" t="str">
        <f t="shared" si="328"/>
        <v>reg</v>
      </c>
      <c r="DD298" s="297" t="s">
        <v>729</v>
      </c>
      <c r="DE298">
        <v>2012</v>
      </c>
      <c r="DF298" s="143">
        <v>2030</v>
      </c>
      <c r="DG298" s="143">
        <v>18</v>
      </c>
      <c r="DH298" t="str">
        <f t="shared" si="346"/>
        <v>1-30</v>
      </c>
      <c r="DI298">
        <v>0</v>
      </c>
      <c r="DJ298">
        <v>1</v>
      </c>
      <c r="DK298">
        <v>1</v>
      </c>
      <c r="DL298">
        <v>1</v>
      </c>
      <c r="DM298">
        <v>0</v>
      </c>
      <c r="DN298">
        <f t="shared" si="329"/>
        <v>3</v>
      </c>
      <c r="DO298" t="str">
        <f t="shared" si="347"/>
        <v>mixedProduct</v>
      </c>
      <c r="DP298">
        <f t="shared" si="348"/>
        <v>0</v>
      </c>
      <c r="DQ298" t="str">
        <f t="shared" si="349"/>
        <v>Energy</v>
      </c>
      <c r="DR298" t="str">
        <f t="shared" si="350"/>
        <v>Pulp/Paper</v>
      </c>
      <c r="DS298" t="str">
        <f t="shared" si="351"/>
        <v>Timber</v>
      </c>
      <c r="DT298">
        <v>0</v>
      </c>
      <c r="DU298">
        <v>0</v>
      </c>
      <c r="DV298">
        <v>0</v>
      </c>
      <c r="DW298">
        <v>0</v>
      </c>
      <c r="DX298">
        <v>0</v>
      </c>
      <c r="DY298">
        <f t="shared" si="332"/>
        <v>0</v>
      </c>
      <c r="DZ298" s="143" t="str">
        <f t="shared" si="330"/>
        <v>explicit C balance</v>
      </c>
      <c r="EA298" s="143">
        <v>1</v>
      </c>
      <c r="EB298" s="143">
        <v>1</v>
      </c>
      <c r="EC298" s="143">
        <v>1</v>
      </c>
      <c r="ED298" s="143">
        <v>1</v>
      </c>
      <c r="EE298">
        <v>0</v>
      </c>
      <c r="EF298" s="143">
        <v>0</v>
      </c>
      <c r="EG298" s="143">
        <v>0</v>
      </c>
      <c r="EH298" s="143">
        <v>0</v>
      </c>
      <c r="EI298" s="143">
        <v>0</v>
      </c>
      <c r="EJ298">
        <v>0</v>
      </c>
      <c r="EK298">
        <v>1</v>
      </c>
      <c r="EL298" s="143">
        <v>0</v>
      </c>
      <c r="EM298">
        <v>1</v>
      </c>
      <c r="EN298" s="2">
        <v>0</v>
      </c>
      <c r="EP298" t="str">
        <f t="shared" ref="EP298:EP361" si="356">IF(AND(AND(AND(OR($EC298=1,$EB298=1),OR($EH298=1,$EF298=1)),SUM($EA298:$EE298,$EK298)&gt;=3),SUM($EF298:$EJ298)&gt;=2),"Whole sector approach","")</f>
        <v/>
      </c>
      <c r="EQ298" t="str">
        <f t="shared" si="333"/>
        <v>Ecosystem approach</v>
      </c>
      <c r="ER298" s="2" t="str">
        <f t="shared" ref="ER298:ER361" si="357">IF(AND(AND(AND($EC298=0,$EB298=0),OR($EH298=1,$EF298=1)),SUM($EG298:$EJ298)&gt;=2),"Technology approach","")</f>
        <v/>
      </c>
      <c r="ES298" t="str">
        <f t="shared" ref="ES298:ES361" si="358">IF(AND($EC298+$EB298+$EE298+$EA298+$EF298+$EG298=0,$N298="included"),"C neutral forest and HWP assumption","")</f>
        <v/>
      </c>
      <c r="ET298" t="str">
        <f t="shared" ref="ET298:ET361" si="359">IF(AND(AND(AND($EC298+$EB298+$EA298+$EG298&gt;=2,$EF298+$EH298+$EI298&gt;=1),$ED298+$EE298&gt;=1),$N298="included"),"All C pools assumption","")</f>
        <v/>
      </c>
      <c r="EU298" t="str">
        <f t="shared" ref="EU298:EU361" si="360">IF(AND($ED298+$EE298+$EI298+$EH298+$EF298=0,$N298="included"),"In-situ only assumption","")</f>
        <v/>
      </c>
      <c r="EY298" t="b">
        <f>IF(ISNUMBER(BW298),IF(ABS(BW298-[1]QC_indicators!$B$2)&gt;3*[1]QC_indicators!$C$2,"C ratio",IF(ISNUMBER(CA298),IF(ABS(CA298-[1]QC_indicators!$B$1)&gt;3*[1]QC_indicators!$C$1,"DF","no"))),IF(ISNUMBER(CA298),IF(ABS(CA298-[1]QC_indicators!$B$1)&gt;3*[1]QC_indicators!$C$1,"DF","no")))</f>
        <v>0</v>
      </c>
      <c r="FA298" t="str">
        <f t="shared" ref="FA298:FA361" si="361">IF(LEN($CY298)=0,"",IF(AND($CY298&lt;(-0.05),$ES298="C neutral forest and HWP assumption"),"Cneutral paradox",IF(AND($CY298&gt;0.05,$EU298="In-situ only assumption"),"In-situ only paradox","")))</f>
        <v/>
      </c>
    </row>
    <row r="299" spans="1:157" ht="15" hidden="1" customHeight="1">
      <c r="A299" s="1" t="s">
        <v>333</v>
      </c>
      <c r="B299" t="s">
        <v>3613</v>
      </c>
      <c r="C299" t="s">
        <v>3614</v>
      </c>
      <c r="D299" t="s">
        <v>3615</v>
      </c>
      <c r="E299" t="s">
        <v>3616</v>
      </c>
      <c r="F299" t="s">
        <v>3617</v>
      </c>
      <c r="G299" t="s">
        <v>339</v>
      </c>
      <c r="H299" t="s">
        <v>254</v>
      </c>
      <c r="I299">
        <v>2018</v>
      </c>
      <c r="J299">
        <v>62</v>
      </c>
      <c r="K299" t="s">
        <v>3618</v>
      </c>
      <c r="M299" t="str">
        <f t="shared" si="323"/>
        <v>Pittau_2018</v>
      </c>
      <c r="N299" s="297" t="s">
        <v>4058</v>
      </c>
      <c r="O299" s="171" t="s">
        <v>508</v>
      </c>
      <c r="P299" t="s">
        <v>341</v>
      </c>
      <c r="Q299" s="297" t="s">
        <v>389</v>
      </c>
      <c r="R299" s="298"/>
      <c r="S299" s="1" t="s">
        <v>3634</v>
      </c>
      <c r="T299" t="s">
        <v>3620</v>
      </c>
      <c r="X299">
        <v>0</v>
      </c>
      <c r="Y299">
        <v>1</v>
      </c>
      <c r="Z299">
        <v>0</v>
      </c>
      <c r="AA299">
        <v>0</v>
      </c>
      <c r="AB299">
        <v>0</v>
      </c>
      <c r="AC299">
        <v>0</v>
      </c>
      <c r="AD299">
        <v>0</v>
      </c>
      <c r="AE299">
        <v>0</v>
      </c>
      <c r="AF299">
        <v>0</v>
      </c>
      <c r="AG299">
        <v>0</v>
      </c>
      <c r="AH299">
        <v>1</v>
      </c>
      <c r="AI299">
        <v>1</v>
      </c>
      <c r="AJ299">
        <v>1</v>
      </c>
      <c r="AK299">
        <v>1</v>
      </c>
      <c r="AL299">
        <v>0</v>
      </c>
      <c r="AM299">
        <v>0</v>
      </c>
      <c r="AN299">
        <v>0</v>
      </c>
      <c r="AO299">
        <v>0</v>
      </c>
      <c r="AP299">
        <v>0</v>
      </c>
      <c r="AQ299">
        <v>0</v>
      </c>
      <c r="AR299">
        <v>0</v>
      </c>
      <c r="AS299">
        <v>0</v>
      </c>
      <c r="AT299">
        <v>0</v>
      </c>
      <c r="AU299">
        <v>0</v>
      </c>
      <c r="AV299">
        <v>0</v>
      </c>
      <c r="AW299">
        <v>0</v>
      </c>
      <c r="AX299">
        <v>0</v>
      </c>
      <c r="AY299">
        <v>0</v>
      </c>
      <c r="AZ299" s="141">
        <f t="shared" si="334"/>
        <v>5</v>
      </c>
      <c r="BA299" s="141">
        <f t="shared" si="335"/>
        <v>5</v>
      </c>
      <c r="BB299">
        <f t="shared" si="336"/>
        <v>1</v>
      </c>
      <c r="BC299">
        <f t="shared" si="337"/>
        <v>4</v>
      </c>
      <c r="BD299">
        <f t="shared" si="338"/>
        <v>0</v>
      </c>
      <c r="BE299">
        <f t="shared" si="339"/>
        <v>0</v>
      </c>
      <c r="BF299">
        <f t="shared" si="340"/>
        <v>0</v>
      </c>
      <c r="BG299" t="str" cm="1">
        <f t="array" ref="BG299">IF(BA299=1,INDEX($X$7:$AN$7,MATCH(TRUE,INDEX($X299:$AY299&lt;&gt;0,),0)),IF(BA299=0,INDEX($AO$7:$AY$7,MATCH(1,$AO299:$AY299,0)),IF(BH299="Multiple strategies","mixed drivers",IF(BH299="Supply chain","multiple supply","multiple silviculture"))))</f>
        <v>mixed drivers</v>
      </c>
      <c r="BH299" s="2" t="str" cm="1">
        <f t="array" ref="BH299">IF(COUNTIF(BB299:BD299,"&lt;&gt;0")=1,INDEX($X$4:$AY$4,MATCH(TRUE,INDEX($X299:$AY299&lt;&gt;0,),0)),IF(COUNTIF(BB299:BD299,"&lt;&gt;0")=0,INDEX($AO$4:$AY$4,MATCH(1,$AO299:$AY299,0)),"Multiple strategies"))</f>
        <v>Multiple strategies</v>
      </c>
      <c r="BI299" s="142"/>
      <c r="BL299" s="143"/>
      <c r="BN299" s="143"/>
      <c r="BP299" s="158"/>
      <c r="BQ299" s="143"/>
      <c r="BR299" t="s">
        <v>395</v>
      </c>
      <c r="BT299" t="s">
        <v>3621</v>
      </c>
      <c r="BU299">
        <v>173.61053100000004</v>
      </c>
      <c r="BV299">
        <v>121.37</v>
      </c>
      <c r="BW299" s="144"/>
      <c r="BX299">
        <f t="shared" si="326"/>
        <v>-52.240531000000033</v>
      </c>
      <c r="CA299" t="str">
        <f t="shared" si="352"/>
        <v/>
      </c>
      <c r="CC299">
        <v>1</v>
      </c>
      <c r="CD299">
        <v>0</v>
      </c>
      <c r="CE299">
        <v>0</v>
      </c>
      <c r="CF299">
        <v>0</v>
      </c>
      <c r="CG299">
        <v>0</v>
      </c>
      <c r="CH299">
        <v>0</v>
      </c>
      <c r="CI299">
        <v>0</v>
      </c>
      <c r="CJ299">
        <v>0</v>
      </c>
      <c r="CK299">
        <v>0</v>
      </c>
      <c r="CL299">
        <v>0</v>
      </c>
      <c r="CM299">
        <v>0</v>
      </c>
      <c r="CN299">
        <v>0</v>
      </c>
      <c r="CO299">
        <v>0</v>
      </c>
      <c r="CP299" t="str">
        <f t="shared" si="341"/>
        <v>refOK</v>
      </c>
      <c r="CQ299"/>
      <c r="CR299"/>
      <c r="CS299"/>
      <c r="CT299">
        <f t="shared" si="353"/>
        <v>0</v>
      </c>
      <c r="CU299">
        <f t="shared" si="342"/>
        <v>-173.61053100000004</v>
      </c>
      <c r="CV299">
        <f t="shared" si="331"/>
        <v>-121.37</v>
      </c>
      <c r="CW299">
        <f t="shared" si="343"/>
        <v>0</v>
      </c>
      <c r="CX299" t="str">
        <f t="shared" si="354"/>
        <v/>
      </c>
      <c r="CY299" t="str">
        <f t="shared" si="344"/>
        <v/>
      </c>
      <c r="CZ299" t="str">
        <f t="shared" si="355"/>
        <v/>
      </c>
      <c r="DA299" s="2">
        <f t="shared" si="345"/>
        <v>0.30090646402089527</v>
      </c>
      <c r="DB299" s="1" t="s">
        <v>936</v>
      </c>
      <c r="DC299" s="297" t="str">
        <f t="shared" si="328"/>
        <v>loc</v>
      </c>
      <c r="DD299" t="s">
        <v>626</v>
      </c>
      <c r="DF299" s="143"/>
      <c r="DG299" s="143">
        <v>200</v>
      </c>
      <c r="DH299" t="str">
        <f t="shared" si="346"/>
        <v>+100</v>
      </c>
      <c r="DI299">
        <v>0</v>
      </c>
      <c r="DJ299">
        <v>0</v>
      </c>
      <c r="DK299">
        <v>0</v>
      </c>
      <c r="DL299">
        <v>1</v>
      </c>
      <c r="DM299">
        <v>0</v>
      </c>
      <c r="DN299">
        <f t="shared" si="329"/>
        <v>1</v>
      </c>
      <c r="DO299" t="str">
        <f t="shared" si="347"/>
        <v>TimberInput</v>
      </c>
      <c r="DP299">
        <f t="shared" si="348"/>
        <v>0</v>
      </c>
      <c r="DQ299">
        <f t="shared" si="349"/>
        <v>0</v>
      </c>
      <c r="DR299">
        <f t="shared" si="350"/>
        <v>0</v>
      </c>
      <c r="DS299" t="str">
        <f t="shared" si="351"/>
        <v>Timber</v>
      </c>
      <c r="DT299">
        <v>1</v>
      </c>
      <c r="DU299" s="143">
        <v>0</v>
      </c>
      <c r="DV299" s="143">
        <v>0</v>
      </c>
      <c r="DW299">
        <v>0</v>
      </c>
      <c r="DX299" s="143">
        <v>0</v>
      </c>
      <c r="DY299">
        <f t="shared" si="332"/>
        <v>1</v>
      </c>
      <c r="DZ299" s="143" t="str">
        <f t="shared" si="330"/>
        <v>self-calculated DF</v>
      </c>
      <c r="EA299" s="143">
        <v>0</v>
      </c>
      <c r="EB299" s="143">
        <v>0</v>
      </c>
      <c r="EC299" s="143">
        <v>1</v>
      </c>
      <c r="ED299" s="143">
        <v>1</v>
      </c>
      <c r="EE299">
        <v>1</v>
      </c>
      <c r="EF299" s="143">
        <v>1</v>
      </c>
      <c r="EG299" s="143">
        <v>1</v>
      </c>
      <c r="EH299" s="143">
        <v>1</v>
      </c>
      <c r="EI299" s="143">
        <v>1</v>
      </c>
      <c r="EJ299">
        <v>1</v>
      </c>
      <c r="EK299">
        <v>1</v>
      </c>
      <c r="EL299" s="143">
        <v>1</v>
      </c>
      <c r="EM299">
        <v>1</v>
      </c>
      <c r="EN299" s="2">
        <v>0</v>
      </c>
      <c r="EP299" t="str">
        <f t="shared" si="356"/>
        <v>Whole sector approach</v>
      </c>
      <c r="EQ299" t="str">
        <f t="shared" si="333"/>
        <v/>
      </c>
      <c r="ER299" s="2" t="str">
        <f t="shared" si="357"/>
        <v/>
      </c>
      <c r="ES299" t="str">
        <f t="shared" si="358"/>
        <v/>
      </c>
      <c r="ET299" t="str">
        <f t="shared" si="359"/>
        <v/>
      </c>
      <c r="EU299" t="str">
        <f t="shared" si="360"/>
        <v/>
      </c>
      <c r="EY299" t="b">
        <f>IF(ISNUMBER(BW299),IF(ABS(BW299-[1]QC_indicators!$B$2)&gt;3*[1]QC_indicators!$C$2,"C ratio",IF(ISNUMBER(CA299),IF(ABS(CA299-[1]QC_indicators!$B$1)&gt;3*[1]QC_indicators!$C$1,"DF","no"))),IF(ISNUMBER(CA299),IF(ABS(CA299-[1]QC_indicators!$B$1)&gt;3*[1]QC_indicators!$C$1,"DF","no")))</f>
        <v>0</v>
      </c>
      <c r="FA299" t="str">
        <f t="shared" si="361"/>
        <v/>
      </c>
    </row>
    <row r="300" spans="1:157" ht="15" hidden="1" customHeight="1">
      <c r="A300" s="1" t="s">
        <v>333</v>
      </c>
      <c r="B300" t="s">
        <v>3613</v>
      </c>
      <c r="C300" t="s">
        <v>3614</v>
      </c>
      <c r="D300" t="s">
        <v>3615</v>
      </c>
      <c r="E300" t="s">
        <v>3616</v>
      </c>
      <c r="F300" t="s">
        <v>3617</v>
      </c>
      <c r="G300" t="s">
        <v>339</v>
      </c>
      <c r="H300" t="s">
        <v>254</v>
      </c>
      <c r="I300">
        <v>2018</v>
      </c>
      <c r="J300">
        <v>62</v>
      </c>
      <c r="K300" t="s">
        <v>3618</v>
      </c>
      <c r="M300" t="str">
        <f t="shared" si="323"/>
        <v>Pittau_2018</v>
      </c>
      <c r="N300" s="297" t="s">
        <v>4058</v>
      </c>
      <c r="O300" s="171" t="s">
        <v>508</v>
      </c>
      <c r="P300" t="s">
        <v>341</v>
      </c>
      <c r="Q300" s="297" t="s">
        <v>389</v>
      </c>
      <c r="R300" s="298"/>
      <c r="S300" s="1" t="s">
        <v>3633</v>
      </c>
      <c r="T300" t="s">
        <v>3620</v>
      </c>
      <c r="X300">
        <v>0</v>
      </c>
      <c r="Y300">
        <v>1</v>
      </c>
      <c r="Z300">
        <v>0</v>
      </c>
      <c r="AA300">
        <v>0</v>
      </c>
      <c r="AB300">
        <v>0</v>
      </c>
      <c r="AC300">
        <v>0</v>
      </c>
      <c r="AD300">
        <v>0</v>
      </c>
      <c r="AE300">
        <v>0</v>
      </c>
      <c r="AF300">
        <v>0</v>
      </c>
      <c r="AG300">
        <v>0</v>
      </c>
      <c r="AH300">
        <v>1</v>
      </c>
      <c r="AI300">
        <v>1</v>
      </c>
      <c r="AJ300">
        <v>1</v>
      </c>
      <c r="AK300">
        <v>1</v>
      </c>
      <c r="AL300">
        <v>0</v>
      </c>
      <c r="AM300">
        <v>0</v>
      </c>
      <c r="AN300">
        <v>0</v>
      </c>
      <c r="AO300">
        <v>0</v>
      </c>
      <c r="AP300">
        <v>0</v>
      </c>
      <c r="AQ300">
        <v>0</v>
      </c>
      <c r="AR300">
        <v>0</v>
      </c>
      <c r="AS300">
        <v>0</v>
      </c>
      <c r="AT300">
        <v>0</v>
      </c>
      <c r="AU300">
        <v>0</v>
      </c>
      <c r="AV300">
        <v>0</v>
      </c>
      <c r="AW300">
        <v>0</v>
      </c>
      <c r="AX300">
        <v>0</v>
      </c>
      <c r="AY300">
        <v>0</v>
      </c>
      <c r="AZ300" s="141">
        <f t="shared" si="334"/>
        <v>5</v>
      </c>
      <c r="BA300" s="141">
        <f t="shared" si="335"/>
        <v>5</v>
      </c>
      <c r="BB300">
        <f t="shared" si="336"/>
        <v>1</v>
      </c>
      <c r="BC300">
        <f t="shared" si="337"/>
        <v>4</v>
      </c>
      <c r="BD300">
        <f t="shared" si="338"/>
        <v>0</v>
      </c>
      <c r="BE300">
        <f t="shared" si="339"/>
        <v>0</v>
      </c>
      <c r="BF300">
        <f t="shared" si="340"/>
        <v>0</v>
      </c>
      <c r="BG300" t="str" cm="1">
        <f t="array" ref="BG300">IF(BA300=1,INDEX($X$7:$AN$7,MATCH(TRUE,INDEX($X300:$AY300&lt;&gt;0,),0)),IF(BA300=0,INDEX($AO$7:$AY$7,MATCH(1,$AO300:$AY300,0)),IF(BH300="Multiple strategies","mixed drivers",IF(BH300="Supply chain","multiple supply","multiple silviculture"))))</f>
        <v>mixed drivers</v>
      </c>
      <c r="BH300" s="2" t="str" cm="1">
        <f t="array" ref="BH300">IF(COUNTIF(BB300:BD300,"&lt;&gt;0")=1,INDEX($X$4:$AY$4,MATCH(TRUE,INDEX($X300:$AY300&lt;&gt;0,),0)),IF(COUNTIF(BB300:BD300,"&lt;&gt;0")=0,INDEX($AO$4:$AY$4,MATCH(1,$AO300:$AY300,0)),"Multiple strategies"))</f>
        <v>Multiple strategies</v>
      </c>
      <c r="BR300" t="s">
        <v>395</v>
      </c>
      <c r="BT300" t="s">
        <v>3621</v>
      </c>
      <c r="BU300">
        <v>173.61053100000004</v>
      </c>
      <c r="BV300">
        <v>119.43</v>
      </c>
      <c r="BX300">
        <f t="shared" si="326"/>
        <v>-54.18053100000003</v>
      </c>
      <c r="CA300" t="str">
        <f t="shared" si="352"/>
        <v/>
      </c>
      <c r="CC300">
        <v>1</v>
      </c>
      <c r="CD300">
        <v>0</v>
      </c>
      <c r="CE300">
        <v>0</v>
      </c>
      <c r="CF300">
        <v>0</v>
      </c>
      <c r="CG300">
        <v>0</v>
      </c>
      <c r="CH300">
        <v>0</v>
      </c>
      <c r="CI300">
        <v>0</v>
      </c>
      <c r="CJ300">
        <v>0</v>
      </c>
      <c r="CK300">
        <v>0</v>
      </c>
      <c r="CL300">
        <v>0</v>
      </c>
      <c r="CM300">
        <v>0</v>
      </c>
      <c r="CN300">
        <v>0</v>
      </c>
      <c r="CO300">
        <v>0</v>
      </c>
      <c r="CP300" t="str">
        <f t="shared" si="341"/>
        <v>refOK</v>
      </c>
      <c r="CQ300"/>
      <c r="CR300"/>
      <c r="CS300"/>
      <c r="CT300">
        <f t="shared" si="353"/>
        <v>0</v>
      </c>
      <c r="CU300">
        <f t="shared" si="342"/>
        <v>-173.61053100000004</v>
      </c>
      <c r="CV300">
        <f t="shared" si="331"/>
        <v>-119.43</v>
      </c>
      <c r="CW300">
        <f t="shared" si="343"/>
        <v>0</v>
      </c>
      <c r="CX300" t="str">
        <f t="shared" si="354"/>
        <v/>
      </c>
      <c r="CY300" t="str">
        <f t="shared" si="344"/>
        <v/>
      </c>
      <c r="CZ300" t="str">
        <f t="shared" si="355"/>
        <v/>
      </c>
      <c r="DA300" s="2">
        <f t="shared" si="345"/>
        <v>0.31208090135960714</v>
      </c>
      <c r="DB300" s="1" t="s">
        <v>936</v>
      </c>
      <c r="DC300" s="297" t="str">
        <f t="shared" si="328"/>
        <v>loc</v>
      </c>
      <c r="DD300" t="s">
        <v>626</v>
      </c>
      <c r="DF300" s="143"/>
      <c r="DG300" s="143">
        <v>200</v>
      </c>
      <c r="DH300" t="str">
        <f t="shared" si="346"/>
        <v>+100</v>
      </c>
      <c r="DI300">
        <v>0</v>
      </c>
      <c r="DJ300">
        <v>0</v>
      </c>
      <c r="DK300">
        <v>0</v>
      </c>
      <c r="DL300">
        <v>1</v>
      </c>
      <c r="DM300">
        <v>0</v>
      </c>
      <c r="DN300">
        <f t="shared" si="329"/>
        <v>1</v>
      </c>
      <c r="DO300" t="str">
        <f t="shared" si="347"/>
        <v>TimberInput</v>
      </c>
      <c r="DP300">
        <f t="shared" si="348"/>
        <v>0</v>
      </c>
      <c r="DQ300">
        <f t="shared" si="349"/>
        <v>0</v>
      </c>
      <c r="DR300">
        <f t="shared" si="350"/>
        <v>0</v>
      </c>
      <c r="DS300" t="str">
        <f t="shared" si="351"/>
        <v>Timber</v>
      </c>
      <c r="DT300">
        <v>1</v>
      </c>
      <c r="DU300" s="143">
        <v>0</v>
      </c>
      <c r="DV300" s="143">
        <v>0</v>
      </c>
      <c r="DW300">
        <v>0</v>
      </c>
      <c r="DX300" s="143">
        <v>0</v>
      </c>
      <c r="DY300">
        <f t="shared" si="332"/>
        <v>1</v>
      </c>
      <c r="DZ300" s="143" t="str">
        <f t="shared" si="330"/>
        <v>self-calculated DF</v>
      </c>
      <c r="EA300" s="143">
        <v>0</v>
      </c>
      <c r="EB300" s="143">
        <v>0</v>
      </c>
      <c r="EC300" s="143">
        <v>1</v>
      </c>
      <c r="ED300" s="143">
        <v>1</v>
      </c>
      <c r="EE300">
        <v>1</v>
      </c>
      <c r="EF300" s="143">
        <v>1</v>
      </c>
      <c r="EG300" s="143">
        <v>1</v>
      </c>
      <c r="EH300" s="143">
        <v>1</v>
      </c>
      <c r="EI300" s="143">
        <v>1</v>
      </c>
      <c r="EJ300">
        <v>1</v>
      </c>
      <c r="EK300">
        <v>1</v>
      </c>
      <c r="EL300" s="143">
        <v>1</v>
      </c>
      <c r="EM300">
        <v>1</v>
      </c>
      <c r="EN300" s="2">
        <v>0</v>
      </c>
      <c r="EP300" t="str">
        <f t="shared" si="356"/>
        <v>Whole sector approach</v>
      </c>
      <c r="EQ300" t="str">
        <f t="shared" si="333"/>
        <v/>
      </c>
      <c r="ER300" s="2" t="str">
        <f t="shared" si="357"/>
        <v/>
      </c>
      <c r="ES300" t="str">
        <f t="shared" si="358"/>
        <v/>
      </c>
      <c r="ET300" t="str">
        <f t="shared" si="359"/>
        <v/>
      </c>
      <c r="EU300" t="str">
        <f t="shared" si="360"/>
        <v/>
      </c>
      <c r="EY300" t="b">
        <f>IF(ISNUMBER(BW300),IF(ABS(BW300-[1]QC_indicators!$B$2)&gt;3*[1]QC_indicators!$C$2,"C ratio",IF(ISNUMBER(CA300),IF(ABS(CA300-[1]QC_indicators!$B$1)&gt;3*[1]QC_indicators!$C$1,"DF","no"))),IF(ISNUMBER(CA300),IF(ABS(CA300-[1]QC_indicators!$B$1)&gt;3*[1]QC_indicators!$C$1,"DF","no")))</f>
        <v>0</v>
      </c>
      <c r="FA300" t="str">
        <f t="shared" si="361"/>
        <v/>
      </c>
    </row>
    <row r="301" spans="1:157" ht="15" hidden="1" customHeight="1">
      <c r="A301" s="1" t="s">
        <v>333</v>
      </c>
      <c r="B301" t="s">
        <v>3613</v>
      </c>
      <c r="C301" t="s">
        <v>3614</v>
      </c>
      <c r="D301" t="s">
        <v>3615</v>
      </c>
      <c r="E301" t="s">
        <v>3616</v>
      </c>
      <c r="F301" t="s">
        <v>3617</v>
      </c>
      <c r="G301" t="s">
        <v>339</v>
      </c>
      <c r="H301" t="s">
        <v>254</v>
      </c>
      <c r="I301">
        <v>2018</v>
      </c>
      <c r="J301">
        <v>62</v>
      </c>
      <c r="K301" t="s">
        <v>3618</v>
      </c>
      <c r="M301" t="str">
        <f t="shared" si="323"/>
        <v>Pittau_2018</v>
      </c>
      <c r="N301" s="297" t="s">
        <v>4058</v>
      </c>
      <c r="O301" s="171" t="s">
        <v>508</v>
      </c>
      <c r="P301" t="s">
        <v>341</v>
      </c>
      <c r="Q301" s="297" t="s">
        <v>389</v>
      </c>
      <c r="R301" s="298"/>
      <c r="S301" s="1" t="s">
        <v>3632</v>
      </c>
      <c r="T301" t="s">
        <v>3620</v>
      </c>
      <c r="X301">
        <v>0</v>
      </c>
      <c r="Y301">
        <v>1</v>
      </c>
      <c r="Z301">
        <v>0</v>
      </c>
      <c r="AA301">
        <v>0</v>
      </c>
      <c r="AB301">
        <v>0</v>
      </c>
      <c r="AC301">
        <v>0</v>
      </c>
      <c r="AD301">
        <v>0</v>
      </c>
      <c r="AE301">
        <v>0</v>
      </c>
      <c r="AF301">
        <v>0</v>
      </c>
      <c r="AG301">
        <v>0</v>
      </c>
      <c r="AH301">
        <v>1</v>
      </c>
      <c r="AI301">
        <v>1</v>
      </c>
      <c r="AJ301">
        <v>1</v>
      </c>
      <c r="AK301">
        <v>1</v>
      </c>
      <c r="AL301">
        <v>0</v>
      </c>
      <c r="AM301">
        <v>0</v>
      </c>
      <c r="AN301">
        <v>0</v>
      </c>
      <c r="AO301">
        <v>0</v>
      </c>
      <c r="AP301">
        <v>0</v>
      </c>
      <c r="AQ301">
        <v>0</v>
      </c>
      <c r="AR301">
        <v>0</v>
      </c>
      <c r="AS301">
        <v>0</v>
      </c>
      <c r="AT301">
        <v>0</v>
      </c>
      <c r="AU301">
        <v>0</v>
      </c>
      <c r="AV301">
        <v>0</v>
      </c>
      <c r="AW301">
        <v>0</v>
      </c>
      <c r="AX301">
        <v>0</v>
      </c>
      <c r="AY301">
        <v>0</v>
      </c>
      <c r="AZ301" s="141">
        <f t="shared" si="334"/>
        <v>5</v>
      </c>
      <c r="BA301" s="141">
        <f t="shared" si="335"/>
        <v>5</v>
      </c>
      <c r="BB301">
        <f t="shared" si="336"/>
        <v>1</v>
      </c>
      <c r="BC301">
        <f t="shared" si="337"/>
        <v>4</v>
      </c>
      <c r="BD301">
        <f t="shared" si="338"/>
        <v>0</v>
      </c>
      <c r="BE301">
        <f t="shared" si="339"/>
        <v>0</v>
      </c>
      <c r="BF301">
        <f t="shared" si="340"/>
        <v>0</v>
      </c>
      <c r="BG301" t="str" cm="1">
        <f t="array" ref="BG301">IF(BA301=1,INDEX($X$7:$AN$7,MATCH(TRUE,INDEX($X301:$AY301&lt;&gt;0,),0)),IF(BA301=0,INDEX($AO$7:$AY$7,MATCH(1,$AO301:$AY301,0)),IF(BH301="Multiple strategies","mixed drivers",IF(BH301="Supply chain","multiple supply","multiple silviculture"))))</f>
        <v>mixed drivers</v>
      </c>
      <c r="BH301" s="2" t="str" cm="1">
        <f t="array" ref="BH301">IF(COUNTIF(BB301:BD301,"&lt;&gt;0")=1,INDEX($X$4:$AY$4,MATCH(TRUE,INDEX($X301:$AY301&lt;&gt;0,),0)),IF(COUNTIF(BB301:BD301,"&lt;&gt;0")=0,INDEX($AO$4:$AY$4,MATCH(1,$AO301:$AY301,0)),"Multiple strategies"))</f>
        <v>Multiple strategies</v>
      </c>
      <c r="BR301" t="s">
        <v>395</v>
      </c>
      <c r="BT301" t="s">
        <v>3621</v>
      </c>
      <c r="BU301">
        <v>173.61053100000004</v>
      </c>
      <c r="BV301">
        <v>118.32</v>
      </c>
      <c r="BX301">
        <f t="shared" si="326"/>
        <v>-55.290531000000044</v>
      </c>
      <c r="CA301" t="str">
        <f t="shared" si="352"/>
        <v/>
      </c>
      <c r="CC301">
        <v>1</v>
      </c>
      <c r="CD301">
        <v>0</v>
      </c>
      <c r="CE301">
        <v>0</v>
      </c>
      <c r="CF301">
        <v>0</v>
      </c>
      <c r="CG301">
        <v>0</v>
      </c>
      <c r="CH301">
        <v>0</v>
      </c>
      <c r="CI301">
        <v>0</v>
      </c>
      <c r="CJ301">
        <v>0</v>
      </c>
      <c r="CK301">
        <v>0</v>
      </c>
      <c r="CL301">
        <v>0</v>
      </c>
      <c r="CM301">
        <v>0</v>
      </c>
      <c r="CN301">
        <v>0</v>
      </c>
      <c r="CO301">
        <v>0</v>
      </c>
      <c r="CP301" t="str">
        <f t="shared" si="341"/>
        <v>refOK</v>
      </c>
      <c r="CQ301"/>
      <c r="CR301"/>
      <c r="CS301"/>
      <c r="CT301">
        <f t="shared" si="353"/>
        <v>0</v>
      </c>
      <c r="CU301">
        <f t="shared" si="342"/>
        <v>-173.61053100000004</v>
      </c>
      <c r="CV301">
        <f t="shared" si="331"/>
        <v>-118.32</v>
      </c>
      <c r="CW301">
        <f t="shared" si="343"/>
        <v>0</v>
      </c>
      <c r="CX301" t="str">
        <f t="shared" si="354"/>
        <v/>
      </c>
      <c r="CY301" t="str">
        <f t="shared" si="344"/>
        <v/>
      </c>
      <c r="CZ301" t="str">
        <f t="shared" si="355"/>
        <v/>
      </c>
      <c r="DA301" s="2">
        <f t="shared" si="345"/>
        <v>0.3184745227235094</v>
      </c>
      <c r="DB301" s="1" t="s">
        <v>936</v>
      </c>
      <c r="DC301" s="297" t="str">
        <f t="shared" si="328"/>
        <v>loc</v>
      </c>
      <c r="DD301" t="s">
        <v>626</v>
      </c>
      <c r="DF301" s="143"/>
      <c r="DG301" s="143">
        <v>200</v>
      </c>
      <c r="DH301" t="str">
        <f t="shared" si="346"/>
        <v>+100</v>
      </c>
      <c r="DI301">
        <v>0</v>
      </c>
      <c r="DJ301">
        <v>0</v>
      </c>
      <c r="DK301">
        <v>0</v>
      </c>
      <c r="DL301">
        <v>1</v>
      </c>
      <c r="DM301">
        <v>0</v>
      </c>
      <c r="DN301">
        <v>1</v>
      </c>
      <c r="DO301" t="str">
        <f t="shared" si="347"/>
        <v>TimberInput</v>
      </c>
      <c r="DP301">
        <f t="shared" si="348"/>
        <v>0</v>
      </c>
      <c r="DQ301">
        <f t="shared" si="349"/>
        <v>0</v>
      </c>
      <c r="DR301">
        <f t="shared" si="350"/>
        <v>0</v>
      </c>
      <c r="DS301" t="str">
        <f t="shared" si="351"/>
        <v>Timber</v>
      </c>
      <c r="DT301">
        <v>1</v>
      </c>
      <c r="DU301" s="143">
        <v>0</v>
      </c>
      <c r="DV301" s="143">
        <v>0</v>
      </c>
      <c r="DW301">
        <v>0</v>
      </c>
      <c r="DX301" s="143">
        <v>0</v>
      </c>
      <c r="DY301">
        <f t="shared" si="332"/>
        <v>1</v>
      </c>
      <c r="DZ301" s="143" t="s">
        <v>183</v>
      </c>
      <c r="EA301" s="143">
        <v>0</v>
      </c>
      <c r="EB301" s="143">
        <v>0</v>
      </c>
      <c r="EC301" s="143">
        <v>1</v>
      </c>
      <c r="ED301" s="143">
        <v>1</v>
      </c>
      <c r="EE301">
        <v>1</v>
      </c>
      <c r="EF301" s="143">
        <v>1</v>
      </c>
      <c r="EG301" s="143">
        <v>1</v>
      </c>
      <c r="EH301" s="143">
        <v>1</v>
      </c>
      <c r="EI301" s="143">
        <v>1</v>
      </c>
      <c r="EJ301">
        <v>1</v>
      </c>
      <c r="EK301">
        <v>1</v>
      </c>
      <c r="EL301" s="143">
        <v>1</v>
      </c>
      <c r="EM301">
        <v>1</v>
      </c>
      <c r="EN301" s="2">
        <v>0</v>
      </c>
      <c r="EP301" t="str">
        <f t="shared" si="356"/>
        <v>Whole sector approach</v>
      </c>
      <c r="EQ301" t="str">
        <f t="shared" si="333"/>
        <v/>
      </c>
      <c r="ER301" s="2" t="str">
        <f t="shared" si="357"/>
        <v/>
      </c>
      <c r="ES301" t="str">
        <f t="shared" si="358"/>
        <v/>
      </c>
      <c r="ET301" t="str">
        <f t="shared" si="359"/>
        <v/>
      </c>
      <c r="EU301" t="str">
        <f t="shared" si="360"/>
        <v/>
      </c>
      <c r="EY301" t="b">
        <f>IF(ISNUMBER(BW301),IF(ABS(BW301-[1]QC_indicators!$B$2)&gt;3*[1]QC_indicators!$C$2,"C ratio",IF(ISNUMBER(CA301),IF(ABS(CA301-[1]QC_indicators!$B$1)&gt;3*[1]QC_indicators!$C$1,"DF","no"))),IF(ISNUMBER(CA301),IF(ABS(CA301-[1]QC_indicators!$B$1)&gt;3*[1]QC_indicators!$C$1,"DF","no")))</f>
        <v>0</v>
      </c>
      <c r="FA301" t="str">
        <f t="shared" si="361"/>
        <v/>
      </c>
    </row>
    <row r="302" spans="1:157" ht="15" hidden="1" customHeight="1">
      <c r="A302" s="1" t="s">
        <v>333</v>
      </c>
      <c r="B302" t="s">
        <v>3613</v>
      </c>
      <c r="C302" t="s">
        <v>3614</v>
      </c>
      <c r="D302" t="s">
        <v>3615</v>
      </c>
      <c r="E302" t="s">
        <v>3616</v>
      </c>
      <c r="F302" t="s">
        <v>3617</v>
      </c>
      <c r="G302" t="s">
        <v>339</v>
      </c>
      <c r="H302" t="s">
        <v>254</v>
      </c>
      <c r="I302">
        <v>2018</v>
      </c>
      <c r="J302">
        <v>62</v>
      </c>
      <c r="K302" t="s">
        <v>3618</v>
      </c>
      <c r="M302" t="str">
        <f t="shared" si="323"/>
        <v>Pittau_2018</v>
      </c>
      <c r="N302" s="297" t="s">
        <v>4058</v>
      </c>
      <c r="O302" s="171" t="s">
        <v>508</v>
      </c>
      <c r="P302" t="s">
        <v>341</v>
      </c>
      <c r="Q302" s="297" t="s">
        <v>389</v>
      </c>
      <c r="R302" s="298"/>
      <c r="S302" s="1" t="s">
        <v>3631</v>
      </c>
      <c r="T302" t="s">
        <v>3620</v>
      </c>
      <c r="X302">
        <v>0</v>
      </c>
      <c r="Y302">
        <v>1</v>
      </c>
      <c r="Z302">
        <v>0</v>
      </c>
      <c r="AA302">
        <v>0</v>
      </c>
      <c r="AB302">
        <v>0</v>
      </c>
      <c r="AC302">
        <v>0</v>
      </c>
      <c r="AD302">
        <v>0</v>
      </c>
      <c r="AE302">
        <v>0</v>
      </c>
      <c r="AF302">
        <v>0</v>
      </c>
      <c r="AG302">
        <v>0</v>
      </c>
      <c r="AH302">
        <v>1</v>
      </c>
      <c r="AI302">
        <v>1</v>
      </c>
      <c r="AJ302">
        <v>1</v>
      </c>
      <c r="AK302">
        <v>1</v>
      </c>
      <c r="AL302">
        <v>0</v>
      </c>
      <c r="AM302">
        <v>0</v>
      </c>
      <c r="AN302">
        <v>0</v>
      </c>
      <c r="AO302">
        <v>0</v>
      </c>
      <c r="AP302">
        <v>0</v>
      </c>
      <c r="AQ302">
        <v>0</v>
      </c>
      <c r="AR302">
        <v>0</v>
      </c>
      <c r="AS302">
        <v>0</v>
      </c>
      <c r="AT302">
        <v>0</v>
      </c>
      <c r="AU302">
        <v>0</v>
      </c>
      <c r="AV302">
        <v>0</v>
      </c>
      <c r="AW302">
        <v>0</v>
      </c>
      <c r="AX302">
        <v>0</v>
      </c>
      <c r="AY302">
        <v>0</v>
      </c>
      <c r="AZ302" s="141">
        <f t="shared" si="334"/>
        <v>5</v>
      </c>
      <c r="BA302" s="141">
        <f t="shared" si="335"/>
        <v>5</v>
      </c>
      <c r="BB302">
        <f t="shared" si="336"/>
        <v>1</v>
      </c>
      <c r="BC302">
        <f t="shared" si="337"/>
        <v>4</v>
      </c>
      <c r="BD302">
        <f t="shared" si="338"/>
        <v>0</v>
      </c>
      <c r="BE302">
        <f t="shared" si="339"/>
        <v>0</v>
      </c>
      <c r="BF302">
        <f t="shared" si="340"/>
        <v>0</v>
      </c>
      <c r="BG302" t="str" cm="1">
        <f t="array" ref="BG302">IF(BA302=1,INDEX($X$7:$AN$7,MATCH(TRUE,INDEX($X302:$AY302&lt;&gt;0,),0)),IF(BA302=0,INDEX($AO$7:$AY$7,MATCH(1,$AO302:$AY302,0)),IF(BH302="Multiple strategies","mixed drivers",IF(BH302="Supply chain","multiple supply","multiple silviculture"))))</f>
        <v>mixed drivers</v>
      </c>
      <c r="BH302" s="2" t="str" cm="1">
        <f t="array" ref="BH302">IF(COUNTIF(BB302:BD302,"&lt;&gt;0")=1,INDEX($X$4:$AY$4,MATCH(TRUE,INDEX($X302:$AY302&lt;&gt;0,),0)),IF(COUNTIF(BB302:BD302,"&lt;&gt;0")=0,INDEX($AO$4:$AY$4,MATCH(1,$AO302:$AY302,0)),"Multiple strategies"))</f>
        <v>Multiple strategies</v>
      </c>
      <c r="BR302" t="s">
        <v>395</v>
      </c>
      <c r="BT302" t="s">
        <v>3621</v>
      </c>
      <c r="BU302">
        <v>173.61053100000004</v>
      </c>
      <c r="BV302">
        <v>105.92</v>
      </c>
      <c r="BX302">
        <f t="shared" si="326"/>
        <v>-67.690531000000036</v>
      </c>
      <c r="CA302" t="str">
        <f t="shared" si="352"/>
        <v/>
      </c>
      <c r="CC302">
        <v>1</v>
      </c>
      <c r="CD302">
        <v>0</v>
      </c>
      <c r="CE302">
        <v>0</v>
      </c>
      <c r="CF302">
        <v>0</v>
      </c>
      <c r="CG302">
        <v>0</v>
      </c>
      <c r="CH302">
        <v>0</v>
      </c>
      <c r="CI302">
        <v>0</v>
      </c>
      <c r="CJ302">
        <v>0</v>
      </c>
      <c r="CK302">
        <v>0</v>
      </c>
      <c r="CL302">
        <v>0</v>
      </c>
      <c r="CM302">
        <v>0</v>
      </c>
      <c r="CN302">
        <v>0</v>
      </c>
      <c r="CO302">
        <v>0</v>
      </c>
      <c r="CP302" t="str">
        <f t="shared" si="341"/>
        <v>refOK</v>
      </c>
      <c r="CQ302"/>
      <c r="CR302"/>
      <c r="CS302"/>
      <c r="CT302">
        <f t="shared" si="353"/>
        <v>0</v>
      </c>
      <c r="CU302">
        <f t="shared" si="342"/>
        <v>-173.61053100000004</v>
      </c>
      <c r="CV302">
        <f t="shared" si="331"/>
        <v>-105.92</v>
      </c>
      <c r="CW302">
        <f t="shared" si="343"/>
        <v>0</v>
      </c>
      <c r="CX302" t="str">
        <f t="shared" si="354"/>
        <v/>
      </c>
      <c r="CY302" t="str">
        <f t="shared" si="344"/>
        <v/>
      </c>
      <c r="CZ302" t="str">
        <f t="shared" si="355"/>
        <v/>
      </c>
      <c r="DA302" s="2">
        <f t="shared" si="345"/>
        <v>0.38989876138331736</v>
      </c>
      <c r="DB302" s="1" t="s">
        <v>936</v>
      </c>
      <c r="DC302" s="297" t="str">
        <f t="shared" si="328"/>
        <v>loc</v>
      </c>
      <c r="DD302" t="s">
        <v>626</v>
      </c>
      <c r="DF302" s="143"/>
      <c r="DG302" s="143">
        <v>200</v>
      </c>
      <c r="DH302" t="str">
        <f t="shared" si="346"/>
        <v>+100</v>
      </c>
      <c r="DI302">
        <v>0</v>
      </c>
      <c r="DJ302">
        <v>0</v>
      </c>
      <c r="DK302">
        <v>0</v>
      </c>
      <c r="DL302">
        <v>1</v>
      </c>
      <c r="DM302">
        <v>0</v>
      </c>
      <c r="DN302">
        <v>1</v>
      </c>
      <c r="DO302" t="str">
        <f t="shared" si="347"/>
        <v>TimberInput</v>
      </c>
      <c r="DP302">
        <f t="shared" si="348"/>
        <v>0</v>
      </c>
      <c r="DQ302">
        <f t="shared" si="349"/>
        <v>0</v>
      </c>
      <c r="DR302">
        <f t="shared" si="350"/>
        <v>0</v>
      </c>
      <c r="DS302" t="str">
        <f t="shared" si="351"/>
        <v>Timber</v>
      </c>
      <c r="DT302">
        <v>1</v>
      </c>
      <c r="DU302" s="143">
        <v>0</v>
      </c>
      <c r="DV302" s="143">
        <v>0</v>
      </c>
      <c r="DW302">
        <v>0</v>
      </c>
      <c r="DX302" s="143">
        <v>0</v>
      </c>
      <c r="DY302">
        <f t="shared" si="332"/>
        <v>1</v>
      </c>
      <c r="DZ302" s="143" t="s">
        <v>183</v>
      </c>
      <c r="EA302" s="143">
        <v>0</v>
      </c>
      <c r="EB302" s="143">
        <v>0</v>
      </c>
      <c r="EC302" s="143">
        <v>1</v>
      </c>
      <c r="ED302" s="143">
        <v>1</v>
      </c>
      <c r="EE302">
        <v>1</v>
      </c>
      <c r="EF302" s="143">
        <v>1</v>
      </c>
      <c r="EG302" s="143">
        <v>1</v>
      </c>
      <c r="EH302" s="143">
        <v>1</v>
      </c>
      <c r="EI302" s="143">
        <v>1</v>
      </c>
      <c r="EJ302">
        <v>1</v>
      </c>
      <c r="EK302">
        <v>1</v>
      </c>
      <c r="EL302" s="143">
        <v>1</v>
      </c>
      <c r="EM302">
        <v>1</v>
      </c>
      <c r="EN302" s="2">
        <v>0</v>
      </c>
      <c r="EP302" t="str">
        <f t="shared" si="356"/>
        <v>Whole sector approach</v>
      </c>
      <c r="EQ302" t="str">
        <f t="shared" si="333"/>
        <v/>
      </c>
      <c r="ER302" s="2" t="str">
        <f t="shared" si="357"/>
        <v/>
      </c>
      <c r="ES302" t="str">
        <f t="shared" si="358"/>
        <v/>
      </c>
      <c r="ET302" t="str">
        <f t="shared" si="359"/>
        <v/>
      </c>
      <c r="EU302" t="str">
        <f t="shared" si="360"/>
        <v/>
      </c>
      <c r="EY302" t="b">
        <f>IF(ISNUMBER(BW302),IF(ABS(BW302-[1]QC_indicators!$B$2)&gt;3*[1]QC_indicators!$C$2,"C ratio",IF(ISNUMBER(CA302),IF(ABS(CA302-[1]QC_indicators!$B$1)&gt;3*[1]QC_indicators!$C$1,"DF","no"))),IF(ISNUMBER(CA302),IF(ABS(CA302-[1]QC_indicators!$B$1)&gt;3*[1]QC_indicators!$C$1,"DF","no")))</f>
        <v>0</v>
      </c>
      <c r="FA302" t="str">
        <f t="shared" si="361"/>
        <v/>
      </c>
    </row>
    <row r="303" spans="1:157" ht="15" hidden="1" customHeight="1">
      <c r="A303" s="1" t="s">
        <v>333</v>
      </c>
      <c r="B303" t="s">
        <v>3613</v>
      </c>
      <c r="C303" t="s">
        <v>3614</v>
      </c>
      <c r="D303" t="s">
        <v>3615</v>
      </c>
      <c r="E303" t="s">
        <v>3616</v>
      </c>
      <c r="F303" t="s">
        <v>3617</v>
      </c>
      <c r="G303" t="s">
        <v>339</v>
      </c>
      <c r="H303" t="s">
        <v>254</v>
      </c>
      <c r="I303">
        <v>2018</v>
      </c>
      <c r="J303">
        <v>62</v>
      </c>
      <c r="K303" t="s">
        <v>3618</v>
      </c>
      <c r="M303" t="str">
        <f t="shared" si="323"/>
        <v>Pittau_2018</v>
      </c>
      <c r="N303" s="297" t="s">
        <v>4058</v>
      </c>
      <c r="O303" s="171" t="s">
        <v>508</v>
      </c>
      <c r="P303" t="s">
        <v>341</v>
      </c>
      <c r="Q303" s="297" t="s">
        <v>389</v>
      </c>
      <c r="R303" s="298"/>
      <c r="S303" s="1" t="s">
        <v>3624</v>
      </c>
      <c r="T303" t="s">
        <v>3620</v>
      </c>
      <c r="X303">
        <v>0</v>
      </c>
      <c r="Y303">
        <v>1</v>
      </c>
      <c r="Z303">
        <v>0</v>
      </c>
      <c r="AA303">
        <v>0</v>
      </c>
      <c r="AB303">
        <v>0</v>
      </c>
      <c r="AC303">
        <v>0</v>
      </c>
      <c r="AD303">
        <v>0</v>
      </c>
      <c r="AE303">
        <v>0</v>
      </c>
      <c r="AF303">
        <v>0</v>
      </c>
      <c r="AG303">
        <v>0</v>
      </c>
      <c r="AH303">
        <v>1</v>
      </c>
      <c r="AI303">
        <v>1</v>
      </c>
      <c r="AJ303">
        <v>1</v>
      </c>
      <c r="AK303">
        <v>1</v>
      </c>
      <c r="AL303">
        <v>0</v>
      </c>
      <c r="AM303">
        <v>0</v>
      </c>
      <c r="AN303">
        <v>0</v>
      </c>
      <c r="AO303">
        <v>0</v>
      </c>
      <c r="AP303">
        <v>0</v>
      </c>
      <c r="AQ303">
        <v>0</v>
      </c>
      <c r="AR303">
        <v>0</v>
      </c>
      <c r="AS303">
        <v>0</v>
      </c>
      <c r="AT303">
        <v>0</v>
      </c>
      <c r="AU303">
        <v>0</v>
      </c>
      <c r="AV303">
        <v>0</v>
      </c>
      <c r="AW303">
        <v>0</v>
      </c>
      <c r="AX303">
        <v>0</v>
      </c>
      <c r="AY303">
        <v>0</v>
      </c>
      <c r="AZ303" s="141">
        <f t="shared" si="334"/>
        <v>5</v>
      </c>
      <c r="BA303" s="141">
        <f t="shared" si="335"/>
        <v>5</v>
      </c>
      <c r="BB303">
        <f t="shared" si="336"/>
        <v>1</v>
      </c>
      <c r="BC303">
        <f t="shared" si="337"/>
        <v>4</v>
      </c>
      <c r="BD303">
        <f t="shared" si="338"/>
        <v>0</v>
      </c>
      <c r="BE303">
        <f t="shared" si="339"/>
        <v>0</v>
      </c>
      <c r="BF303">
        <f t="shared" si="340"/>
        <v>0</v>
      </c>
      <c r="BG303" t="str" cm="1">
        <f t="array" ref="BG303">IF(BA303=1,INDEX($X$7:$AN$7,MATCH(TRUE,INDEX($X303:$AY303&lt;&gt;0,),0)),IF(BA303=0,INDEX($AO$7:$AY$7,MATCH(1,$AO303:$AY303,0)),IF(BH303="Multiple strategies","mixed drivers",IF(BH303="Supply chain","multiple supply","multiple silviculture"))))</f>
        <v>mixed drivers</v>
      </c>
      <c r="BH303" s="2" t="str" cm="1">
        <f t="array" ref="BH303">IF(COUNTIF(BB303:BD303,"&lt;&gt;0")=1,INDEX($X$4:$AY$4,MATCH(TRUE,INDEX($X303:$AY303&lt;&gt;0,),0)),IF(COUNTIF(BB303:BD303,"&lt;&gt;0")=0,INDEX($AO$4:$AY$4,MATCH(1,$AO303:$AY303,0)),"Multiple strategies"))</f>
        <v>Multiple strategies</v>
      </c>
      <c r="BI303" s="142"/>
      <c r="BL303" s="143"/>
      <c r="BN303" s="143"/>
      <c r="BO303" t="str">
        <f>IFERROR(BN303/BM303,"")</f>
        <v/>
      </c>
      <c r="BP303" s="158"/>
      <c r="BQ303" s="143"/>
      <c r="BR303" t="s">
        <v>395</v>
      </c>
      <c r="BT303" t="s">
        <v>3621</v>
      </c>
      <c r="BU303">
        <v>173.61053100000004</v>
      </c>
      <c r="BV303">
        <v>96.35</v>
      </c>
      <c r="BW303" s="144"/>
      <c r="BX303">
        <f t="shared" ref="BX303:BX322" si="362">BV303-BU303</f>
        <v>-77.260531000000043</v>
      </c>
      <c r="CA303" t="str">
        <f t="shared" si="352"/>
        <v/>
      </c>
      <c r="CB303">
        <v>0</v>
      </c>
      <c r="CC303">
        <v>1</v>
      </c>
      <c r="CD303">
        <v>0</v>
      </c>
      <c r="CE303">
        <v>0</v>
      </c>
      <c r="CF303">
        <v>0</v>
      </c>
      <c r="CG303">
        <v>0</v>
      </c>
      <c r="CH303">
        <v>0</v>
      </c>
      <c r="CI303">
        <v>0</v>
      </c>
      <c r="CJ303">
        <v>0</v>
      </c>
      <c r="CK303">
        <v>0</v>
      </c>
      <c r="CL303">
        <v>0</v>
      </c>
      <c r="CM303">
        <v>0</v>
      </c>
      <c r="CN303">
        <v>0</v>
      </c>
      <c r="CO303">
        <v>0</v>
      </c>
      <c r="CP303" t="str">
        <f t="shared" si="341"/>
        <v>refOK</v>
      </c>
      <c r="CQ303"/>
      <c r="CR303"/>
      <c r="CS303"/>
      <c r="CT303">
        <f t="shared" si="353"/>
        <v>0</v>
      </c>
      <c r="CU303">
        <f t="shared" si="342"/>
        <v>-173.61053100000004</v>
      </c>
      <c r="CV303">
        <f t="shared" si="331"/>
        <v>-96.35</v>
      </c>
      <c r="CW303">
        <f t="shared" si="343"/>
        <v>0</v>
      </c>
      <c r="CX303" t="str">
        <f t="shared" si="354"/>
        <v/>
      </c>
      <c r="CY303" t="str">
        <f t="shared" si="344"/>
        <v/>
      </c>
      <c r="CZ303" t="str">
        <f t="shared" si="355"/>
        <v/>
      </c>
      <c r="DA303" s="2">
        <f t="shared" si="345"/>
        <v>0.44502214557479824</v>
      </c>
      <c r="DB303" s="1" t="s">
        <v>936</v>
      </c>
      <c r="DC303" s="297" t="str">
        <f t="shared" ref="DC303:DC334" si="363">IF(OR($DB303="prd",$DB303="std",$DB303="cit"),"loc",IF(OR($DB303="eur",$DB303="reg",$DB303="coy"),"reg",$DB303))</f>
        <v>loc</v>
      </c>
      <c r="DD303" t="s">
        <v>626</v>
      </c>
      <c r="DF303" s="143"/>
      <c r="DG303" s="143">
        <v>200</v>
      </c>
      <c r="DH303" t="str">
        <f t="shared" si="346"/>
        <v>+100</v>
      </c>
      <c r="DI303">
        <v>0</v>
      </c>
      <c r="DJ303">
        <v>0</v>
      </c>
      <c r="DK303">
        <v>0</v>
      </c>
      <c r="DL303">
        <v>1</v>
      </c>
      <c r="DM303">
        <v>0</v>
      </c>
      <c r="DN303">
        <f t="shared" ref="DN303:DN329" si="364">SUM(DI303:DM303)</f>
        <v>1</v>
      </c>
      <c r="DO303" t="str">
        <f t="shared" si="347"/>
        <v>TimberInput</v>
      </c>
      <c r="DP303">
        <f t="shared" si="348"/>
        <v>0</v>
      </c>
      <c r="DQ303">
        <f t="shared" si="349"/>
        <v>0</v>
      </c>
      <c r="DR303">
        <f t="shared" si="350"/>
        <v>0</v>
      </c>
      <c r="DS303" t="str">
        <f t="shared" si="351"/>
        <v>Timber</v>
      </c>
      <c r="DT303">
        <v>1</v>
      </c>
      <c r="DU303" s="143">
        <v>0</v>
      </c>
      <c r="DV303" s="143">
        <v>0</v>
      </c>
      <c r="DW303">
        <v>0</v>
      </c>
      <c r="DX303" s="143">
        <v>0</v>
      </c>
      <c r="DY303">
        <f t="shared" si="332"/>
        <v>1</v>
      </c>
      <c r="DZ303" s="143" t="str">
        <f t="shared" ref="DZ303:DZ334" si="365">IF(DT303=1,"self-calculated DF",IF(DU303=1,"external DF used","explicit C balance"))</f>
        <v>self-calculated DF</v>
      </c>
      <c r="EA303" s="143">
        <v>0</v>
      </c>
      <c r="EB303" s="143">
        <v>0</v>
      </c>
      <c r="EC303" s="143">
        <v>1</v>
      </c>
      <c r="ED303" s="143">
        <v>1</v>
      </c>
      <c r="EE303">
        <v>1</v>
      </c>
      <c r="EF303" s="143">
        <v>1</v>
      </c>
      <c r="EG303" s="143">
        <v>1</v>
      </c>
      <c r="EH303" s="143">
        <v>1</v>
      </c>
      <c r="EI303" s="143">
        <v>1</v>
      </c>
      <c r="EJ303">
        <v>1</v>
      </c>
      <c r="EK303">
        <v>1</v>
      </c>
      <c r="EL303" s="143">
        <v>1</v>
      </c>
      <c r="EM303">
        <v>1</v>
      </c>
      <c r="EN303" s="2">
        <v>0</v>
      </c>
      <c r="EP303" t="str">
        <f t="shared" si="356"/>
        <v>Whole sector approach</v>
      </c>
      <c r="EQ303" t="str">
        <f t="shared" si="333"/>
        <v/>
      </c>
      <c r="ER303" s="2" t="str">
        <f t="shared" si="357"/>
        <v/>
      </c>
      <c r="ES303" t="str">
        <f t="shared" si="358"/>
        <v/>
      </c>
      <c r="ET303" t="str">
        <f t="shared" si="359"/>
        <v/>
      </c>
      <c r="EU303" t="str">
        <f t="shared" si="360"/>
        <v/>
      </c>
      <c r="EY303" t="b">
        <f>IF(ISNUMBER(BW303),IF(ABS(BW303-[1]QC_indicators!$B$2)&gt;3*[1]QC_indicators!$C$2,"C ratio",IF(ISNUMBER(CA303),IF(ABS(CA303-[1]QC_indicators!$B$1)&gt;3*[1]QC_indicators!$C$1,"DF","no"))),IF(ISNUMBER(CA303),IF(ABS(CA303-[1]QC_indicators!$B$1)&gt;3*[1]QC_indicators!$C$1,"DF","no")))</f>
        <v>0</v>
      </c>
      <c r="FA303" t="str">
        <f t="shared" si="361"/>
        <v/>
      </c>
    </row>
    <row r="304" spans="1:157" ht="15" hidden="1" customHeight="1">
      <c r="A304" s="1" t="s">
        <v>333</v>
      </c>
      <c r="B304" t="s">
        <v>3613</v>
      </c>
      <c r="C304" t="s">
        <v>3614</v>
      </c>
      <c r="D304" t="s">
        <v>3615</v>
      </c>
      <c r="E304" t="s">
        <v>3616</v>
      </c>
      <c r="F304" t="s">
        <v>3617</v>
      </c>
      <c r="G304" t="s">
        <v>339</v>
      </c>
      <c r="H304" t="s">
        <v>254</v>
      </c>
      <c r="I304">
        <v>2018</v>
      </c>
      <c r="J304">
        <v>62</v>
      </c>
      <c r="K304" t="s">
        <v>3618</v>
      </c>
      <c r="M304" t="str">
        <f t="shared" si="323"/>
        <v>Pittau_2018</v>
      </c>
      <c r="N304" s="297" t="s">
        <v>4058</v>
      </c>
      <c r="O304" s="171" t="s">
        <v>508</v>
      </c>
      <c r="P304" t="s">
        <v>341</v>
      </c>
      <c r="Q304" s="297" t="s">
        <v>389</v>
      </c>
      <c r="R304" s="298"/>
      <c r="S304" s="1" t="s">
        <v>3623</v>
      </c>
      <c r="T304" t="s">
        <v>3620</v>
      </c>
      <c r="X304">
        <v>0</v>
      </c>
      <c r="Y304">
        <v>1</v>
      </c>
      <c r="Z304">
        <v>0</v>
      </c>
      <c r="AA304">
        <v>0</v>
      </c>
      <c r="AB304">
        <v>0</v>
      </c>
      <c r="AC304">
        <v>0</v>
      </c>
      <c r="AD304">
        <v>0</v>
      </c>
      <c r="AE304">
        <v>0</v>
      </c>
      <c r="AF304">
        <v>0</v>
      </c>
      <c r="AG304">
        <v>0</v>
      </c>
      <c r="AH304">
        <v>1</v>
      </c>
      <c r="AI304">
        <v>1</v>
      </c>
      <c r="AJ304">
        <v>1</v>
      </c>
      <c r="AK304">
        <v>1</v>
      </c>
      <c r="AL304">
        <v>0</v>
      </c>
      <c r="AM304">
        <v>0</v>
      </c>
      <c r="AN304">
        <v>0</v>
      </c>
      <c r="AO304">
        <v>0</v>
      </c>
      <c r="AP304">
        <v>0</v>
      </c>
      <c r="AQ304">
        <v>0</v>
      </c>
      <c r="AR304">
        <v>0</v>
      </c>
      <c r="AS304">
        <v>0</v>
      </c>
      <c r="AT304">
        <v>0</v>
      </c>
      <c r="AU304">
        <v>0</v>
      </c>
      <c r="AV304">
        <v>0</v>
      </c>
      <c r="AW304">
        <v>0</v>
      </c>
      <c r="AX304">
        <v>0</v>
      </c>
      <c r="AY304">
        <v>0</v>
      </c>
      <c r="AZ304" s="141">
        <f t="shared" si="334"/>
        <v>5</v>
      </c>
      <c r="BA304" s="141">
        <f t="shared" si="335"/>
        <v>5</v>
      </c>
      <c r="BB304">
        <f t="shared" si="336"/>
        <v>1</v>
      </c>
      <c r="BC304">
        <f t="shared" si="337"/>
        <v>4</v>
      </c>
      <c r="BD304">
        <f t="shared" si="338"/>
        <v>0</v>
      </c>
      <c r="BE304">
        <f t="shared" si="339"/>
        <v>0</v>
      </c>
      <c r="BF304">
        <f t="shared" si="340"/>
        <v>0</v>
      </c>
      <c r="BG304" t="str" cm="1">
        <f t="array" ref="BG304">IF(BA304=1,INDEX($X$7:$AN$7,MATCH(TRUE,INDEX($X304:$AY304&lt;&gt;0,),0)),IF(BA304=0,INDEX($AO$7:$AY$7,MATCH(1,$AO304:$AY304,0)),IF(BH304="Multiple strategies","mixed drivers",IF(BH304="Supply chain","multiple supply","multiple silviculture"))))</f>
        <v>mixed drivers</v>
      </c>
      <c r="BH304" s="2" t="str" cm="1">
        <f t="array" ref="BH304">IF(COUNTIF(BB304:BD304,"&lt;&gt;0")=1,INDEX($X$4:$AY$4,MATCH(TRUE,INDEX($X304:$AY304&lt;&gt;0,),0)),IF(COUNTIF(BB304:BD304,"&lt;&gt;0")=0,INDEX($AO$4:$AY$4,MATCH(1,$AO304:$AY304,0)),"Multiple strategies"))</f>
        <v>Multiple strategies</v>
      </c>
      <c r="BI304" s="142"/>
      <c r="BL304" s="143"/>
      <c r="BN304" s="143"/>
      <c r="BO304" t="str">
        <f>IFERROR(BN304/BM304,"")</f>
        <v/>
      </c>
      <c r="BP304" s="158"/>
      <c r="BQ304" s="143"/>
      <c r="BR304" t="s">
        <v>395</v>
      </c>
      <c r="BT304" t="s">
        <v>3621</v>
      </c>
      <c r="BU304">
        <v>173.61053100000004</v>
      </c>
      <c r="BV304">
        <v>33.75</v>
      </c>
      <c r="BW304" s="144"/>
      <c r="BX304">
        <f t="shared" si="362"/>
        <v>-139.86053100000004</v>
      </c>
      <c r="CA304" t="str">
        <f t="shared" si="352"/>
        <v/>
      </c>
      <c r="CB304">
        <v>0</v>
      </c>
      <c r="CC304">
        <v>1</v>
      </c>
      <c r="CD304">
        <v>0</v>
      </c>
      <c r="CE304">
        <v>0</v>
      </c>
      <c r="CF304">
        <v>0</v>
      </c>
      <c r="CG304">
        <v>0</v>
      </c>
      <c r="CH304">
        <v>0</v>
      </c>
      <c r="CI304">
        <v>0</v>
      </c>
      <c r="CJ304">
        <v>0</v>
      </c>
      <c r="CK304">
        <v>0</v>
      </c>
      <c r="CL304">
        <v>0</v>
      </c>
      <c r="CM304">
        <v>0</v>
      </c>
      <c r="CN304">
        <v>0</v>
      </c>
      <c r="CO304">
        <v>0</v>
      </c>
      <c r="CP304" t="str">
        <f t="shared" si="341"/>
        <v>refOK</v>
      </c>
      <c r="CQ304"/>
      <c r="CR304"/>
      <c r="CS304"/>
      <c r="CT304">
        <f t="shared" si="353"/>
        <v>0</v>
      </c>
      <c r="CU304">
        <f t="shared" si="342"/>
        <v>-173.61053100000004</v>
      </c>
      <c r="CV304">
        <f t="shared" si="331"/>
        <v>-33.75</v>
      </c>
      <c r="CW304">
        <f t="shared" si="343"/>
        <v>0</v>
      </c>
      <c r="CX304" t="str">
        <f t="shared" si="354"/>
        <v/>
      </c>
      <c r="CY304" t="str">
        <f t="shared" si="344"/>
        <v/>
      </c>
      <c r="CZ304" t="str">
        <f t="shared" si="355"/>
        <v/>
      </c>
      <c r="DA304" s="2">
        <f t="shared" si="345"/>
        <v>0.80559935042189357</v>
      </c>
      <c r="DB304" s="1" t="s">
        <v>936</v>
      </c>
      <c r="DC304" s="297" t="str">
        <f t="shared" si="363"/>
        <v>loc</v>
      </c>
      <c r="DD304" t="s">
        <v>626</v>
      </c>
      <c r="DF304" s="143"/>
      <c r="DG304" s="143">
        <v>200</v>
      </c>
      <c r="DH304" t="str">
        <f t="shared" si="346"/>
        <v>+100</v>
      </c>
      <c r="DI304">
        <v>0</v>
      </c>
      <c r="DJ304">
        <v>0</v>
      </c>
      <c r="DK304">
        <v>0</v>
      </c>
      <c r="DL304">
        <v>1</v>
      </c>
      <c r="DM304">
        <v>0</v>
      </c>
      <c r="DN304">
        <f t="shared" si="364"/>
        <v>1</v>
      </c>
      <c r="DO304" t="str">
        <f t="shared" si="347"/>
        <v>TimberInput</v>
      </c>
      <c r="DP304">
        <f t="shared" si="348"/>
        <v>0</v>
      </c>
      <c r="DQ304">
        <f t="shared" si="349"/>
        <v>0</v>
      </c>
      <c r="DR304">
        <f t="shared" si="350"/>
        <v>0</v>
      </c>
      <c r="DS304" t="str">
        <f t="shared" si="351"/>
        <v>Timber</v>
      </c>
      <c r="DT304">
        <v>1</v>
      </c>
      <c r="DU304" s="143">
        <v>0</v>
      </c>
      <c r="DV304" s="143">
        <v>0</v>
      </c>
      <c r="DW304">
        <v>0</v>
      </c>
      <c r="DX304" s="143">
        <v>0</v>
      </c>
      <c r="DY304">
        <f t="shared" si="332"/>
        <v>1</v>
      </c>
      <c r="DZ304" s="143" t="str">
        <f t="shared" si="365"/>
        <v>self-calculated DF</v>
      </c>
      <c r="EA304" s="143">
        <v>0</v>
      </c>
      <c r="EB304" s="143">
        <v>0</v>
      </c>
      <c r="EC304" s="143">
        <v>1</v>
      </c>
      <c r="ED304" s="143">
        <v>1</v>
      </c>
      <c r="EE304">
        <v>1</v>
      </c>
      <c r="EF304" s="143">
        <v>1</v>
      </c>
      <c r="EG304" s="143">
        <v>1</v>
      </c>
      <c r="EH304" s="143">
        <v>1</v>
      </c>
      <c r="EI304" s="143">
        <v>1</v>
      </c>
      <c r="EJ304">
        <v>1</v>
      </c>
      <c r="EK304">
        <v>1</v>
      </c>
      <c r="EL304" s="143">
        <v>1</v>
      </c>
      <c r="EM304">
        <v>1</v>
      </c>
      <c r="EN304" s="2">
        <v>0</v>
      </c>
      <c r="EP304" t="str">
        <f t="shared" si="356"/>
        <v>Whole sector approach</v>
      </c>
      <c r="EQ304" t="str">
        <f t="shared" si="333"/>
        <v/>
      </c>
      <c r="ER304" s="2" t="str">
        <f t="shared" si="357"/>
        <v/>
      </c>
      <c r="ES304" t="str">
        <f t="shared" si="358"/>
        <v/>
      </c>
      <c r="ET304" t="str">
        <f t="shared" si="359"/>
        <v/>
      </c>
      <c r="EU304" t="str">
        <f t="shared" si="360"/>
        <v/>
      </c>
      <c r="EY304" t="b">
        <f>IF(ISNUMBER(BW304),IF(ABS(BW304-[1]QC_indicators!$B$2)&gt;3*[1]QC_indicators!$C$2,"C ratio",IF(ISNUMBER(CA304),IF(ABS(CA304-[1]QC_indicators!$B$1)&gt;3*[1]QC_indicators!$C$1,"DF","no"))),IF(ISNUMBER(CA304),IF(ABS(CA304-[1]QC_indicators!$B$1)&gt;3*[1]QC_indicators!$C$1,"DF","no")))</f>
        <v>0</v>
      </c>
      <c r="FA304" t="str">
        <f t="shared" si="361"/>
        <v/>
      </c>
    </row>
    <row r="305" spans="1:157" ht="15" hidden="1" customHeight="1">
      <c r="A305" s="1" t="s">
        <v>333</v>
      </c>
      <c r="B305" t="s">
        <v>3613</v>
      </c>
      <c r="C305" t="s">
        <v>3614</v>
      </c>
      <c r="D305" t="s">
        <v>3615</v>
      </c>
      <c r="E305" t="s">
        <v>3616</v>
      </c>
      <c r="F305" t="s">
        <v>3617</v>
      </c>
      <c r="G305" t="s">
        <v>339</v>
      </c>
      <c r="H305" t="s">
        <v>254</v>
      </c>
      <c r="I305">
        <v>2018</v>
      </c>
      <c r="J305">
        <v>62</v>
      </c>
      <c r="K305" t="s">
        <v>3618</v>
      </c>
      <c r="M305" t="str">
        <f t="shared" si="323"/>
        <v>Pittau_2018</v>
      </c>
      <c r="N305" s="297" t="s">
        <v>4058</v>
      </c>
      <c r="O305" s="171" t="s">
        <v>508</v>
      </c>
      <c r="P305" t="s">
        <v>341</v>
      </c>
      <c r="Q305" s="297" t="s">
        <v>389</v>
      </c>
      <c r="R305" s="298"/>
      <c r="S305" s="1" t="s">
        <v>3630</v>
      </c>
      <c r="T305" t="s">
        <v>3620</v>
      </c>
      <c r="X305">
        <v>0</v>
      </c>
      <c r="Y305">
        <v>1</v>
      </c>
      <c r="Z305">
        <v>0</v>
      </c>
      <c r="AA305">
        <v>0</v>
      </c>
      <c r="AB305">
        <v>0</v>
      </c>
      <c r="AC305">
        <v>0</v>
      </c>
      <c r="AD305">
        <v>0</v>
      </c>
      <c r="AE305">
        <v>0</v>
      </c>
      <c r="AF305">
        <v>0</v>
      </c>
      <c r="AG305">
        <v>0</v>
      </c>
      <c r="AH305">
        <v>1</v>
      </c>
      <c r="AI305">
        <v>1</v>
      </c>
      <c r="AJ305">
        <v>1</v>
      </c>
      <c r="AK305">
        <v>1</v>
      </c>
      <c r="AL305">
        <v>0</v>
      </c>
      <c r="AM305">
        <v>0</v>
      </c>
      <c r="AN305">
        <v>0</v>
      </c>
      <c r="AO305">
        <v>0</v>
      </c>
      <c r="AP305">
        <v>0</v>
      </c>
      <c r="AQ305">
        <v>0</v>
      </c>
      <c r="AR305">
        <v>0</v>
      </c>
      <c r="AS305">
        <v>0</v>
      </c>
      <c r="AT305">
        <v>0</v>
      </c>
      <c r="AU305">
        <v>0</v>
      </c>
      <c r="AV305">
        <v>0</v>
      </c>
      <c r="AW305">
        <v>0</v>
      </c>
      <c r="AX305">
        <v>0</v>
      </c>
      <c r="AY305">
        <v>0</v>
      </c>
      <c r="AZ305" s="141">
        <f t="shared" si="334"/>
        <v>5</v>
      </c>
      <c r="BA305" s="141">
        <f t="shared" si="335"/>
        <v>5</v>
      </c>
      <c r="BB305">
        <f t="shared" si="336"/>
        <v>1</v>
      </c>
      <c r="BC305">
        <f t="shared" si="337"/>
        <v>4</v>
      </c>
      <c r="BD305">
        <f t="shared" si="338"/>
        <v>0</v>
      </c>
      <c r="BE305">
        <f t="shared" si="339"/>
        <v>0</v>
      </c>
      <c r="BF305">
        <f t="shared" si="340"/>
        <v>0</v>
      </c>
      <c r="BG305" t="str" cm="1">
        <f t="array" ref="BG305">IF(BA305=1,INDEX($X$7:$AN$7,MATCH(TRUE,INDEX($X305:$AY305&lt;&gt;0,),0)),IF(BA305=0,INDEX($AO$7:$AY$7,MATCH(1,$AO305:$AY305,0)),IF(BH305="Multiple strategies","mixed drivers",IF(BH305="Supply chain","multiple supply","multiple silviculture"))))</f>
        <v>mixed drivers</v>
      </c>
      <c r="BH305" s="2" t="str" cm="1">
        <f t="array" ref="BH305">IF(COUNTIF(BB305:BD305,"&lt;&gt;0")=1,INDEX($X$4:$AY$4,MATCH(TRUE,INDEX($X305:$AY305&lt;&gt;0,),0)),IF(COUNTIF(BB305:BD305,"&lt;&gt;0")=0,INDEX($AO$4:$AY$4,MATCH(1,$AO305:$AY305,0)),"Multiple strategies"))</f>
        <v>Multiple strategies</v>
      </c>
      <c r="BI305" s="142"/>
      <c r="BL305" s="143"/>
      <c r="BN305" s="143"/>
      <c r="BP305" s="158"/>
      <c r="BQ305" s="143"/>
      <c r="BR305" t="s">
        <v>395</v>
      </c>
      <c r="BT305" t="s">
        <v>3621</v>
      </c>
      <c r="BU305">
        <v>173.61053100000004</v>
      </c>
      <c r="BV305">
        <v>14.45</v>
      </c>
      <c r="BW305" s="144"/>
      <c r="BX305">
        <f t="shared" si="362"/>
        <v>-159.16053100000005</v>
      </c>
      <c r="CA305" t="str">
        <f t="shared" si="352"/>
        <v/>
      </c>
      <c r="CC305">
        <v>1</v>
      </c>
      <c r="CD305">
        <v>0</v>
      </c>
      <c r="CE305">
        <v>0</v>
      </c>
      <c r="CF305">
        <v>0</v>
      </c>
      <c r="CG305">
        <v>0</v>
      </c>
      <c r="CH305">
        <v>0</v>
      </c>
      <c r="CI305">
        <v>0</v>
      </c>
      <c r="CJ305">
        <v>0</v>
      </c>
      <c r="CK305">
        <v>0</v>
      </c>
      <c r="CL305">
        <v>0</v>
      </c>
      <c r="CM305">
        <v>0</v>
      </c>
      <c r="CN305">
        <v>0</v>
      </c>
      <c r="CO305">
        <v>0</v>
      </c>
      <c r="CP305" t="str">
        <f t="shared" si="341"/>
        <v>refOK</v>
      </c>
      <c r="CQ305"/>
      <c r="CR305"/>
      <c r="CS305"/>
      <c r="CT305">
        <f t="shared" si="353"/>
        <v>0</v>
      </c>
      <c r="CU305">
        <f t="shared" si="342"/>
        <v>-173.61053100000004</v>
      </c>
      <c r="CV305">
        <f t="shared" si="331"/>
        <v>-14.45</v>
      </c>
      <c r="CW305">
        <f t="shared" si="343"/>
        <v>0</v>
      </c>
      <c r="CX305" t="str">
        <f t="shared" si="354"/>
        <v/>
      </c>
      <c r="CY305" t="str">
        <f t="shared" si="344"/>
        <v/>
      </c>
      <c r="CZ305" t="str">
        <f t="shared" si="355"/>
        <v/>
      </c>
      <c r="DA305" s="2">
        <f t="shared" si="345"/>
        <v>0.91676772188433675</v>
      </c>
      <c r="DB305" s="1" t="s">
        <v>936</v>
      </c>
      <c r="DC305" s="297" t="str">
        <f t="shared" si="363"/>
        <v>loc</v>
      </c>
      <c r="DD305" t="s">
        <v>626</v>
      </c>
      <c r="DF305" s="143"/>
      <c r="DG305" s="143">
        <v>200</v>
      </c>
      <c r="DH305" t="str">
        <f t="shared" si="346"/>
        <v>+100</v>
      </c>
      <c r="DI305">
        <v>0</v>
      </c>
      <c r="DJ305">
        <v>0</v>
      </c>
      <c r="DK305">
        <v>0</v>
      </c>
      <c r="DL305">
        <v>1</v>
      </c>
      <c r="DM305">
        <v>0</v>
      </c>
      <c r="DN305">
        <f t="shared" si="364"/>
        <v>1</v>
      </c>
      <c r="DO305" t="str">
        <f t="shared" si="347"/>
        <v>TimberInput</v>
      </c>
      <c r="DP305">
        <f t="shared" si="348"/>
        <v>0</v>
      </c>
      <c r="DQ305">
        <f t="shared" si="349"/>
        <v>0</v>
      </c>
      <c r="DR305">
        <f t="shared" si="350"/>
        <v>0</v>
      </c>
      <c r="DS305" t="str">
        <f t="shared" si="351"/>
        <v>Timber</v>
      </c>
      <c r="DT305">
        <v>1</v>
      </c>
      <c r="DU305" s="143">
        <v>0</v>
      </c>
      <c r="DV305" s="143">
        <v>0</v>
      </c>
      <c r="DW305">
        <v>0</v>
      </c>
      <c r="DX305" s="143">
        <v>0</v>
      </c>
      <c r="DY305">
        <f t="shared" si="332"/>
        <v>1</v>
      </c>
      <c r="DZ305" s="143" t="str">
        <f t="shared" si="365"/>
        <v>self-calculated DF</v>
      </c>
      <c r="EA305" s="143">
        <v>0</v>
      </c>
      <c r="EB305" s="143">
        <v>0</v>
      </c>
      <c r="EC305" s="143">
        <v>1</v>
      </c>
      <c r="ED305" s="143">
        <v>1</v>
      </c>
      <c r="EE305">
        <v>1</v>
      </c>
      <c r="EF305" s="143">
        <v>1</v>
      </c>
      <c r="EG305" s="143">
        <v>1</v>
      </c>
      <c r="EH305" s="143">
        <v>1</v>
      </c>
      <c r="EI305" s="143">
        <v>1</v>
      </c>
      <c r="EJ305">
        <v>1</v>
      </c>
      <c r="EK305">
        <v>1</v>
      </c>
      <c r="EL305" s="143">
        <v>1</v>
      </c>
      <c r="EM305">
        <v>1</v>
      </c>
      <c r="EN305" s="2">
        <v>0</v>
      </c>
      <c r="EP305" t="str">
        <f t="shared" si="356"/>
        <v>Whole sector approach</v>
      </c>
      <c r="EQ305" t="str">
        <f t="shared" si="333"/>
        <v/>
      </c>
      <c r="ER305" s="2" t="str">
        <f t="shared" si="357"/>
        <v/>
      </c>
      <c r="ES305" t="str">
        <f t="shared" si="358"/>
        <v/>
      </c>
      <c r="ET305" t="str">
        <f t="shared" si="359"/>
        <v/>
      </c>
      <c r="EU305" t="str">
        <f t="shared" si="360"/>
        <v/>
      </c>
      <c r="EY305" t="b">
        <f>IF(ISNUMBER(BW305),IF(ABS(BW305-[1]QC_indicators!$B$2)&gt;3*[1]QC_indicators!$C$2,"C ratio",IF(ISNUMBER(CA305),IF(ABS(CA305-[1]QC_indicators!$B$1)&gt;3*[1]QC_indicators!$C$1,"DF","no"))),IF(ISNUMBER(CA305),IF(ABS(CA305-[1]QC_indicators!$B$1)&gt;3*[1]QC_indicators!$C$1,"DF","no")))</f>
        <v>0</v>
      </c>
      <c r="FA305" t="str">
        <f t="shared" si="361"/>
        <v/>
      </c>
    </row>
    <row r="306" spans="1:157" ht="15" hidden="1" customHeight="1">
      <c r="A306" s="1" t="s">
        <v>333</v>
      </c>
      <c r="B306" t="s">
        <v>3613</v>
      </c>
      <c r="C306" t="s">
        <v>3614</v>
      </c>
      <c r="D306" t="s">
        <v>3615</v>
      </c>
      <c r="E306" t="s">
        <v>3616</v>
      </c>
      <c r="F306" t="s">
        <v>3617</v>
      </c>
      <c r="G306" t="s">
        <v>339</v>
      </c>
      <c r="H306" t="s">
        <v>254</v>
      </c>
      <c r="I306">
        <v>2018</v>
      </c>
      <c r="J306">
        <v>62</v>
      </c>
      <c r="K306" t="s">
        <v>3618</v>
      </c>
      <c r="M306" t="str">
        <f t="shared" si="323"/>
        <v>Pittau_2018</v>
      </c>
      <c r="N306" s="297" t="s">
        <v>4058</v>
      </c>
      <c r="O306" s="171" t="s">
        <v>508</v>
      </c>
      <c r="P306" t="s">
        <v>341</v>
      </c>
      <c r="Q306" s="297" t="s">
        <v>389</v>
      </c>
      <c r="R306" s="298"/>
      <c r="S306" s="1" t="s">
        <v>3629</v>
      </c>
      <c r="T306" t="s">
        <v>3620</v>
      </c>
      <c r="X306">
        <v>0</v>
      </c>
      <c r="Y306">
        <v>1</v>
      </c>
      <c r="Z306">
        <v>0</v>
      </c>
      <c r="AA306">
        <v>0</v>
      </c>
      <c r="AB306">
        <v>0</v>
      </c>
      <c r="AC306">
        <v>0</v>
      </c>
      <c r="AD306">
        <v>0</v>
      </c>
      <c r="AE306">
        <v>0</v>
      </c>
      <c r="AF306">
        <v>0</v>
      </c>
      <c r="AG306">
        <v>0</v>
      </c>
      <c r="AH306">
        <v>1</v>
      </c>
      <c r="AI306">
        <v>1</v>
      </c>
      <c r="AJ306">
        <v>1</v>
      </c>
      <c r="AK306">
        <v>1</v>
      </c>
      <c r="AL306">
        <v>0</v>
      </c>
      <c r="AM306">
        <v>0</v>
      </c>
      <c r="AN306">
        <v>0</v>
      </c>
      <c r="AO306">
        <v>0</v>
      </c>
      <c r="AP306">
        <v>0</v>
      </c>
      <c r="AQ306">
        <v>0</v>
      </c>
      <c r="AR306">
        <v>0</v>
      </c>
      <c r="AS306">
        <v>0</v>
      </c>
      <c r="AT306">
        <v>0</v>
      </c>
      <c r="AU306">
        <v>0</v>
      </c>
      <c r="AV306">
        <v>0</v>
      </c>
      <c r="AW306">
        <v>0</v>
      </c>
      <c r="AX306">
        <v>0</v>
      </c>
      <c r="AY306">
        <v>0</v>
      </c>
      <c r="AZ306" s="141">
        <f t="shared" si="334"/>
        <v>5</v>
      </c>
      <c r="BA306" s="141">
        <f t="shared" si="335"/>
        <v>5</v>
      </c>
      <c r="BB306">
        <f t="shared" si="336"/>
        <v>1</v>
      </c>
      <c r="BC306">
        <f t="shared" si="337"/>
        <v>4</v>
      </c>
      <c r="BD306">
        <f t="shared" si="338"/>
        <v>0</v>
      </c>
      <c r="BE306">
        <f t="shared" si="339"/>
        <v>0</v>
      </c>
      <c r="BF306">
        <f t="shared" si="340"/>
        <v>0</v>
      </c>
      <c r="BG306" t="str" cm="1">
        <f t="array" ref="BG306">IF(BA306=1,INDEX($X$7:$AN$7,MATCH(TRUE,INDEX($X306:$AY306&lt;&gt;0,),0)),IF(BA306=0,INDEX($AO$7:$AY$7,MATCH(1,$AO306:$AY306,0)),IF(BH306="Multiple strategies","mixed drivers",IF(BH306="Supply chain","multiple supply","multiple silviculture"))))</f>
        <v>mixed drivers</v>
      </c>
      <c r="BH306" s="2" t="str" cm="1">
        <f t="array" ref="BH306">IF(COUNTIF(BB306:BD306,"&lt;&gt;0")=1,INDEX($X$4:$AY$4,MATCH(TRUE,INDEX($X306:$AY306&lt;&gt;0,),0)),IF(COUNTIF(BB306:BD306,"&lt;&gt;0")=0,INDEX($AO$4:$AY$4,MATCH(1,$AO306:$AY306,0)),"Multiple strategies"))</f>
        <v>Multiple strategies</v>
      </c>
      <c r="BI306" s="142"/>
      <c r="BL306" s="143"/>
      <c r="BN306" s="143"/>
      <c r="BP306" s="158"/>
      <c r="BQ306" s="143"/>
      <c r="BR306" t="s">
        <v>395</v>
      </c>
      <c r="BT306" t="s">
        <v>3621</v>
      </c>
      <c r="BU306">
        <v>173.61053100000004</v>
      </c>
      <c r="BV306">
        <v>-1.91</v>
      </c>
      <c r="BW306" s="144"/>
      <c r="BX306">
        <f t="shared" si="362"/>
        <v>-175.52053100000003</v>
      </c>
      <c r="CA306" t="str">
        <f t="shared" si="352"/>
        <v/>
      </c>
      <c r="CC306">
        <v>1</v>
      </c>
      <c r="CD306">
        <v>0</v>
      </c>
      <c r="CE306">
        <v>0</v>
      </c>
      <c r="CF306">
        <v>0</v>
      </c>
      <c r="CG306">
        <v>0</v>
      </c>
      <c r="CH306">
        <v>0</v>
      </c>
      <c r="CI306">
        <v>0</v>
      </c>
      <c r="CJ306">
        <v>0</v>
      </c>
      <c r="CK306">
        <v>0</v>
      </c>
      <c r="CL306">
        <v>0</v>
      </c>
      <c r="CM306">
        <v>0</v>
      </c>
      <c r="CN306">
        <v>0</v>
      </c>
      <c r="CO306">
        <v>0</v>
      </c>
      <c r="CP306" t="str">
        <f t="shared" si="341"/>
        <v>refOK</v>
      </c>
      <c r="CQ306"/>
      <c r="CR306"/>
      <c r="CS306"/>
      <c r="CT306">
        <f t="shared" si="353"/>
        <v>0</v>
      </c>
      <c r="CU306">
        <f t="shared" si="342"/>
        <v>-173.61053100000004</v>
      </c>
      <c r="CV306">
        <f t="shared" si="331"/>
        <v>1.91</v>
      </c>
      <c r="CW306">
        <f t="shared" si="343"/>
        <v>0</v>
      </c>
      <c r="CX306" t="str">
        <f t="shared" si="354"/>
        <v/>
      </c>
      <c r="CY306" t="str">
        <f t="shared" si="344"/>
        <v/>
      </c>
      <c r="CZ306" t="str">
        <f t="shared" si="355"/>
        <v/>
      </c>
      <c r="DA306" s="2">
        <f t="shared" si="345"/>
        <v>1.0110016367613091</v>
      </c>
      <c r="DB306" s="1" t="s">
        <v>936</v>
      </c>
      <c r="DC306" s="297" t="str">
        <f t="shared" si="363"/>
        <v>loc</v>
      </c>
      <c r="DD306" t="s">
        <v>626</v>
      </c>
      <c r="DF306" s="143"/>
      <c r="DG306" s="143">
        <v>200</v>
      </c>
      <c r="DH306" t="str">
        <f t="shared" si="346"/>
        <v>+100</v>
      </c>
      <c r="DI306">
        <v>0</v>
      </c>
      <c r="DJ306">
        <v>0</v>
      </c>
      <c r="DK306">
        <v>0</v>
      </c>
      <c r="DL306">
        <v>1</v>
      </c>
      <c r="DM306">
        <v>0</v>
      </c>
      <c r="DN306">
        <f t="shared" si="364"/>
        <v>1</v>
      </c>
      <c r="DO306" t="str">
        <f t="shared" si="347"/>
        <v>TimberInput</v>
      </c>
      <c r="DP306">
        <f t="shared" si="348"/>
        <v>0</v>
      </c>
      <c r="DQ306">
        <f t="shared" si="349"/>
        <v>0</v>
      </c>
      <c r="DR306">
        <f t="shared" si="350"/>
        <v>0</v>
      </c>
      <c r="DS306" t="str">
        <f t="shared" si="351"/>
        <v>Timber</v>
      </c>
      <c r="DT306">
        <v>1</v>
      </c>
      <c r="DU306" s="143">
        <v>0</v>
      </c>
      <c r="DV306" s="143">
        <v>0</v>
      </c>
      <c r="DW306">
        <v>0</v>
      </c>
      <c r="DX306" s="143">
        <v>0</v>
      </c>
      <c r="DY306">
        <f t="shared" si="332"/>
        <v>1</v>
      </c>
      <c r="DZ306" s="143" t="str">
        <f t="shared" si="365"/>
        <v>self-calculated DF</v>
      </c>
      <c r="EA306" s="143">
        <v>0</v>
      </c>
      <c r="EB306" s="143">
        <v>0</v>
      </c>
      <c r="EC306" s="143">
        <v>1</v>
      </c>
      <c r="ED306" s="143">
        <v>1</v>
      </c>
      <c r="EE306">
        <v>1</v>
      </c>
      <c r="EF306" s="143">
        <v>1</v>
      </c>
      <c r="EG306" s="143">
        <v>1</v>
      </c>
      <c r="EH306" s="143">
        <v>1</v>
      </c>
      <c r="EI306" s="143">
        <v>1</v>
      </c>
      <c r="EJ306">
        <v>1</v>
      </c>
      <c r="EK306">
        <v>1</v>
      </c>
      <c r="EL306" s="143">
        <v>1</v>
      </c>
      <c r="EM306">
        <v>1</v>
      </c>
      <c r="EN306" s="2">
        <v>0</v>
      </c>
      <c r="EP306" t="str">
        <f t="shared" si="356"/>
        <v>Whole sector approach</v>
      </c>
      <c r="EQ306" t="str">
        <f t="shared" si="333"/>
        <v/>
      </c>
      <c r="ER306" s="2" t="str">
        <f t="shared" si="357"/>
        <v/>
      </c>
      <c r="ES306" t="str">
        <f t="shared" si="358"/>
        <v/>
      </c>
      <c r="ET306" t="str">
        <f t="shared" si="359"/>
        <v/>
      </c>
      <c r="EU306" t="str">
        <f t="shared" si="360"/>
        <v/>
      </c>
      <c r="EY306" t="b">
        <f>IF(ISNUMBER(BW306),IF(ABS(BW306-[1]QC_indicators!$B$2)&gt;3*[1]QC_indicators!$C$2,"C ratio",IF(ISNUMBER(CA306),IF(ABS(CA306-[1]QC_indicators!$B$1)&gt;3*[1]QC_indicators!$C$1,"DF","no"))),IF(ISNUMBER(CA306),IF(ABS(CA306-[1]QC_indicators!$B$1)&gt;3*[1]QC_indicators!$C$1,"DF","no")))</f>
        <v>0</v>
      </c>
      <c r="FA306" t="str">
        <f t="shared" si="361"/>
        <v/>
      </c>
    </row>
    <row r="307" spans="1:157" hidden="1">
      <c r="A307" s="1" t="s">
        <v>333</v>
      </c>
      <c r="B307" t="s">
        <v>3613</v>
      </c>
      <c r="C307" t="s">
        <v>3614</v>
      </c>
      <c r="D307" t="s">
        <v>3615</v>
      </c>
      <c r="E307" t="s">
        <v>3616</v>
      </c>
      <c r="F307" t="s">
        <v>3617</v>
      </c>
      <c r="G307" t="s">
        <v>339</v>
      </c>
      <c r="H307" t="s">
        <v>254</v>
      </c>
      <c r="I307">
        <v>2018</v>
      </c>
      <c r="J307">
        <v>62</v>
      </c>
      <c r="K307" t="s">
        <v>3618</v>
      </c>
      <c r="M307" t="str">
        <f t="shared" si="323"/>
        <v>Pittau_2018</v>
      </c>
      <c r="N307" s="297" t="s">
        <v>4058</v>
      </c>
      <c r="O307" s="171" t="s">
        <v>508</v>
      </c>
      <c r="P307" t="s">
        <v>341</v>
      </c>
      <c r="Q307" s="297" t="s">
        <v>389</v>
      </c>
      <c r="R307" s="298"/>
      <c r="S307" s="1" t="s">
        <v>3622</v>
      </c>
      <c r="T307" t="s">
        <v>3620</v>
      </c>
      <c r="X307">
        <v>0</v>
      </c>
      <c r="Y307">
        <v>1</v>
      </c>
      <c r="Z307">
        <v>0</v>
      </c>
      <c r="AA307">
        <v>0</v>
      </c>
      <c r="AB307">
        <v>0</v>
      </c>
      <c r="AC307">
        <v>0</v>
      </c>
      <c r="AD307">
        <v>0</v>
      </c>
      <c r="AE307">
        <v>0</v>
      </c>
      <c r="AF307">
        <v>0</v>
      </c>
      <c r="AG307">
        <v>0</v>
      </c>
      <c r="AH307">
        <v>1</v>
      </c>
      <c r="AI307">
        <v>1</v>
      </c>
      <c r="AJ307">
        <v>1</v>
      </c>
      <c r="AK307">
        <v>1</v>
      </c>
      <c r="AL307">
        <v>0</v>
      </c>
      <c r="AM307">
        <v>0</v>
      </c>
      <c r="AN307">
        <v>0</v>
      </c>
      <c r="AO307">
        <v>0</v>
      </c>
      <c r="AP307">
        <v>0</v>
      </c>
      <c r="AQ307">
        <v>0</v>
      </c>
      <c r="AR307">
        <v>0</v>
      </c>
      <c r="AS307">
        <v>0</v>
      </c>
      <c r="AT307">
        <v>0</v>
      </c>
      <c r="AU307">
        <v>0</v>
      </c>
      <c r="AV307">
        <v>0</v>
      </c>
      <c r="AW307">
        <v>0</v>
      </c>
      <c r="AX307">
        <v>0</v>
      </c>
      <c r="AY307">
        <v>0</v>
      </c>
      <c r="AZ307" s="141">
        <f t="shared" si="334"/>
        <v>5</v>
      </c>
      <c r="BA307" s="141">
        <f t="shared" si="335"/>
        <v>5</v>
      </c>
      <c r="BB307">
        <f t="shared" si="336"/>
        <v>1</v>
      </c>
      <c r="BC307">
        <f t="shared" si="337"/>
        <v>4</v>
      </c>
      <c r="BD307">
        <f t="shared" si="338"/>
        <v>0</v>
      </c>
      <c r="BE307">
        <f t="shared" si="339"/>
        <v>0</v>
      </c>
      <c r="BF307">
        <f t="shared" si="340"/>
        <v>0</v>
      </c>
      <c r="BG307" t="str" cm="1">
        <f t="array" ref="BG307">IF(BA307=1,INDEX($X$7:$AN$7,MATCH(TRUE,INDEX($X307:$AY307&lt;&gt;0,),0)),IF(BA307=0,INDEX($AO$7:$AY$7,MATCH(1,$AO307:$AY307,0)),IF(BH307="Multiple strategies","mixed drivers",IF(BH307="Supply chain","multiple supply","multiple silviculture"))))</f>
        <v>mixed drivers</v>
      </c>
      <c r="BH307" s="2" t="str" cm="1">
        <f t="array" ref="BH307">IF(COUNTIF(BB307:BD307,"&lt;&gt;0")=1,INDEX($X$4:$AY$4,MATCH(TRUE,INDEX($X307:$AY307&lt;&gt;0,),0)),IF(COUNTIF(BB307:BD307,"&lt;&gt;0")=0,INDEX($AO$4:$AY$4,MATCH(1,$AO307:$AY307,0)),"Multiple strategies"))</f>
        <v>Multiple strategies</v>
      </c>
      <c r="BI307" s="142"/>
      <c r="BL307" s="143"/>
      <c r="BN307" s="143"/>
      <c r="BO307" t="str">
        <f>IFERROR(BN307/BM307,"")</f>
        <v/>
      </c>
      <c r="BP307" s="158"/>
      <c r="BQ307" s="143"/>
      <c r="BR307" t="s">
        <v>395</v>
      </c>
      <c r="BT307" t="s">
        <v>3621</v>
      </c>
      <c r="BU307">
        <v>173.61053100000004</v>
      </c>
      <c r="BV307">
        <v>-56.19</v>
      </c>
      <c r="BW307" s="144"/>
      <c r="BX307">
        <f t="shared" si="362"/>
        <v>-229.80053100000003</v>
      </c>
      <c r="CA307" t="str">
        <f t="shared" si="352"/>
        <v/>
      </c>
      <c r="CB307">
        <v>0</v>
      </c>
      <c r="CC307">
        <v>1</v>
      </c>
      <c r="CD307">
        <v>0</v>
      </c>
      <c r="CE307">
        <v>0</v>
      </c>
      <c r="CF307">
        <v>0</v>
      </c>
      <c r="CG307">
        <v>0</v>
      </c>
      <c r="CH307">
        <v>0</v>
      </c>
      <c r="CI307">
        <v>0</v>
      </c>
      <c r="CJ307">
        <v>0</v>
      </c>
      <c r="CK307">
        <v>0</v>
      </c>
      <c r="CL307">
        <v>0</v>
      </c>
      <c r="CM307">
        <v>0</v>
      </c>
      <c r="CN307">
        <v>0</v>
      </c>
      <c r="CO307">
        <v>0</v>
      </c>
      <c r="CP307" t="str">
        <f t="shared" si="341"/>
        <v>refOK</v>
      </c>
      <c r="CQ307"/>
      <c r="CR307"/>
      <c r="CS307"/>
      <c r="CT307">
        <f t="shared" si="353"/>
        <v>0</v>
      </c>
      <c r="CU307">
        <f t="shared" si="342"/>
        <v>-173.61053100000004</v>
      </c>
      <c r="CV307">
        <f t="shared" si="331"/>
        <v>56.19</v>
      </c>
      <c r="CW307">
        <f t="shared" si="343"/>
        <v>0</v>
      </c>
      <c r="CX307" t="str">
        <f t="shared" si="354"/>
        <v/>
      </c>
      <c r="CY307" t="str">
        <f t="shared" si="344"/>
        <v/>
      </c>
      <c r="CZ307" t="str">
        <f t="shared" si="355"/>
        <v/>
      </c>
      <c r="DA307" s="2">
        <f t="shared" si="345"/>
        <v>1.323655481475372</v>
      </c>
      <c r="DB307" s="1" t="s">
        <v>936</v>
      </c>
      <c r="DC307" s="297" t="str">
        <f t="shared" si="363"/>
        <v>loc</v>
      </c>
      <c r="DD307" t="s">
        <v>626</v>
      </c>
      <c r="DF307" s="143"/>
      <c r="DG307" s="143">
        <v>200</v>
      </c>
      <c r="DH307" t="str">
        <f t="shared" si="346"/>
        <v>+100</v>
      </c>
      <c r="DI307">
        <v>0</v>
      </c>
      <c r="DJ307">
        <v>0</v>
      </c>
      <c r="DK307">
        <v>0</v>
      </c>
      <c r="DL307">
        <v>1</v>
      </c>
      <c r="DM307">
        <v>0</v>
      </c>
      <c r="DN307">
        <f t="shared" si="364"/>
        <v>1</v>
      </c>
      <c r="DO307" t="str">
        <f t="shared" si="347"/>
        <v>TimberInput</v>
      </c>
      <c r="DP307">
        <f t="shared" si="348"/>
        <v>0</v>
      </c>
      <c r="DQ307">
        <f t="shared" si="349"/>
        <v>0</v>
      </c>
      <c r="DR307">
        <f t="shared" si="350"/>
        <v>0</v>
      </c>
      <c r="DS307" t="str">
        <f t="shared" si="351"/>
        <v>Timber</v>
      </c>
      <c r="DT307">
        <v>1</v>
      </c>
      <c r="DU307" s="143">
        <v>0</v>
      </c>
      <c r="DV307" s="143">
        <v>0</v>
      </c>
      <c r="DW307">
        <v>0</v>
      </c>
      <c r="DX307" s="143">
        <v>0</v>
      </c>
      <c r="DY307">
        <f t="shared" si="332"/>
        <v>1</v>
      </c>
      <c r="DZ307" s="143" t="str">
        <f t="shared" si="365"/>
        <v>self-calculated DF</v>
      </c>
      <c r="EA307" s="143">
        <v>0</v>
      </c>
      <c r="EB307" s="143">
        <v>0</v>
      </c>
      <c r="EC307" s="143">
        <v>1</v>
      </c>
      <c r="ED307" s="143">
        <v>1</v>
      </c>
      <c r="EE307">
        <v>1</v>
      </c>
      <c r="EF307" s="143">
        <v>1</v>
      </c>
      <c r="EG307" s="143">
        <v>1</v>
      </c>
      <c r="EH307" s="143">
        <v>1</v>
      </c>
      <c r="EI307" s="143">
        <v>1</v>
      </c>
      <c r="EJ307">
        <v>1</v>
      </c>
      <c r="EK307">
        <v>1</v>
      </c>
      <c r="EL307" s="143">
        <v>1</v>
      </c>
      <c r="EM307">
        <v>1</v>
      </c>
      <c r="EN307" s="2">
        <v>0</v>
      </c>
      <c r="EP307" t="str">
        <f t="shared" si="356"/>
        <v>Whole sector approach</v>
      </c>
      <c r="EQ307" t="str">
        <f t="shared" si="333"/>
        <v/>
      </c>
      <c r="ER307" s="2" t="str">
        <f t="shared" si="357"/>
        <v/>
      </c>
      <c r="ES307" t="str">
        <f t="shared" si="358"/>
        <v/>
      </c>
      <c r="ET307" t="str">
        <f t="shared" si="359"/>
        <v/>
      </c>
      <c r="EU307" t="str">
        <f t="shared" si="360"/>
        <v/>
      </c>
      <c r="EY307" t="b">
        <f>IF(ISNUMBER(BW307),IF(ABS(BW307-[1]QC_indicators!$B$2)&gt;3*[1]QC_indicators!$C$2,"C ratio",IF(ISNUMBER(CA307),IF(ABS(CA307-[1]QC_indicators!$B$1)&gt;3*[1]QC_indicators!$C$1,"DF","no"))),IF(ISNUMBER(CA307),IF(ABS(CA307-[1]QC_indicators!$B$1)&gt;3*[1]QC_indicators!$C$1,"DF","no")))</f>
        <v>0</v>
      </c>
      <c r="FA307" t="str">
        <f t="shared" si="361"/>
        <v/>
      </c>
    </row>
    <row r="308" spans="1:157" ht="15" hidden="1" customHeight="1">
      <c r="A308" s="1" t="s">
        <v>333</v>
      </c>
      <c r="B308" t="s">
        <v>3613</v>
      </c>
      <c r="C308" t="s">
        <v>3614</v>
      </c>
      <c r="D308" t="s">
        <v>3615</v>
      </c>
      <c r="E308" t="s">
        <v>3616</v>
      </c>
      <c r="F308" t="s">
        <v>3617</v>
      </c>
      <c r="G308" t="s">
        <v>339</v>
      </c>
      <c r="H308" t="s">
        <v>254</v>
      </c>
      <c r="I308">
        <v>2018</v>
      </c>
      <c r="J308">
        <v>62</v>
      </c>
      <c r="K308" t="s">
        <v>3618</v>
      </c>
      <c r="M308" t="str">
        <f t="shared" si="323"/>
        <v>Pittau_2018</v>
      </c>
      <c r="N308" s="297" t="s">
        <v>4058</v>
      </c>
      <c r="O308" s="171" t="s">
        <v>508</v>
      </c>
      <c r="P308" t="s">
        <v>341</v>
      </c>
      <c r="Q308" s="297" t="s">
        <v>389</v>
      </c>
      <c r="R308" s="298"/>
      <c r="S308" s="1" t="s">
        <v>3628</v>
      </c>
      <c r="T308" t="s">
        <v>3620</v>
      </c>
      <c r="X308">
        <v>0</v>
      </c>
      <c r="Y308">
        <v>1</v>
      </c>
      <c r="Z308">
        <v>0</v>
      </c>
      <c r="AA308">
        <v>0</v>
      </c>
      <c r="AB308">
        <v>0</v>
      </c>
      <c r="AC308">
        <v>0</v>
      </c>
      <c r="AD308">
        <v>0</v>
      </c>
      <c r="AE308">
        <v>0</v>
      </c>
      <c r="AF308">
        <v>0</v>
      </c>
      <c r="AG308">
        <v>0</v>
      </c>
      <c r="AH308">
        <v>1</v>
      </c>
      <c r="AI308">
        <v>1</v>
      </c>
      <c r="AJ308">
        <v>1</v>
      </c>
      <c r="AK308">
        <v>1</v>
      </c>
      <c r="AL308">
        <v>0</v>
      </c>
      <c r="AM308">
        <v>0</v>
      </c>
      <c r="AN308">
        <v>0</v>
      </c>
      <c r="AO308">
        <v>0</v>
      </c>
      <c r="AP308">
        <v>0</v>
      </c>
      <c r="AQ308">
        <v>0</v>
      </c>
      <c r="AR308">
        <v>0</v>
      </c>
      <c r="AS308">
        <v>0</v>
      </c>
      <c r="AT308">
        <v>0</v>
      </c>
      <c r="AU308">
        <v>0</v>
      </c>
      <c r="AV308">
        <v>0</v>
      </c>
      <c r="AW308">
        <v>0</v>
      </c>
      <c r="AX308">
        <v>0</v>
      </c>
      <c r="AY308">
        <v>0</v>
      </c>
      <c r="AZ308" s="141">
        <f t="shared" si="334"/>
        <v>5</v>
      </c>
      <c r="BA308" s="141">
        <f t="shared" si="335"/>
        <v>5</v>
      </c>
      <c r="BB308">
        <f t="shared" si="336"/>
        <v>1</v>
      </c>
      <c r="BC308">
        <f t="shared" si="337"/>
        <v>4</v>
      </c>
      <c r="BD308">
        <f t="shared" si="338"/>
        <v>0</v>
      </c>
      <c r="BE308">
        <f t="shared" si="339"/>
        <v>0</v>
      </c>
      <c r="BF308">
        <f t="shared" si="340"/>
        <v>0</v>
      </c>
      <c r="BG308" t="str" cm="1">
        <f t="array" ref="BG308">IF(BA308=1,INDEX($X$7:$AN$7,MATCH(TRUE,INDEX($X308:$AY308&lt;&gt;0,),0)),IF(BA308=0,INDEX($AO$7:$AY$7,MATCH(1,$AO308:$AY308,0)),IF(BH308="Multiple strategies","mixed drivers",IF(BH308="Supply chain","multiple supply","multiple silviculture"))))</f>
        <v>mixed drivers</v>
      </c>
      <c r="BH308" s="2" t="str" cm="1">
        <f t="array" ref="BH308">IF(COUNTIF(BB308:BD308,"&lt;&gt;0")=1,INDEX($X$4:$AY$4,MATCH(TRUE,INDEX($X308:$AY308&lt;&gt;0,),0)),IF(COUNTIF(BB308:BD308,"&lt;&gt;0")=0,INDEX($AO$4:$AY$4,MATCH(1,$AO308:$AY308,0)),"Multiple strategies"))</f>
        <v>Multiple strategies</v>
      </c>
      <c r="BI308" s="142"/>
      <c r="BL308" s="143"/>
      <c r="BN308" s="143"/>
      <c r="BP308" s="158"/>
      <c r="BQ308" s="143"/>
      <c r="BR308" t="s">
        <v>395</v>
      </c>
      <c r="BT308" t="s">
        <v>3621</v>
      </c>
      <c r="BU308">
        <v>173.61053100000004</v>
      </c>
      <c r="BV308">
        <v>-73.069999999999993</v>
      </c>
      <c r="BW308" s="144"/>
      <c r="BX308">
        <f t="shared" si="362"/>
        <v>-246.68053100000003</v>
      </c>
      <c r="CA308" t="str">
        <f t="shared" si="352"/>
        <v/>
      </c>
      <c r="CC308">
        <v>1</v>
      </c>
      <c r="CD308">
        <v>0</v>
      </c>
      <c r="CE308">
        <v>0</v>
      </c>
      <c r="CF308">
        <v>0</v>
      </c>
      <c r="CG308">
        <v>0</v>
      </c>
      <c r="CH308">
        <v>0</v>
      </c>
      <c r="CI308">
        <v>0</v>
      </c>
      <c r="CJ308">
        <v>0</v>
      </c>
      <c r="CK308">
        <v>0</v>
      </c>
      <c r="CL308">
        <v>0</v>
      </c>
      <c r="CM308">
        <v>0</v>
      </c>
      <c r="CN308">
        <v>0</v>
      </c>
      <c r="CO308">
        <v>0</v>
      </c>
      <c r="CP308" t="str">
        <f t="shared" si="341"/>
        <v>refOK</v>
      </c>
      <c r="CQ308"/>
      <c r="CR308"/>
      <c r="CS308"/>
      <c r="CT308">
        <f t="shared" si="353"/>
        <v>0</v>
      </c>
      <c r="CU308">
        <f t="shared" si="342"/>
        <v>-173.61053100000004</v>
      </c>
      <c r="CV308">
        <f t="shared" si="331"/>
        <v>73.069999999999993</v>
      </c>
      <c r="CW308">
        <f t="shared" si="343"/>
        <v>0</v>
      </c>
      <c r="CX308" t="str">
        <f t="shared" si="354"/>
        <v/>
      </c>
      <c r="CY308" t="str">
        <f t="shared" si="344"/>
        <v/>
      </c>
      <c r="CZ308" t="str">
        <f t="shared" si="355"/>
        <v/>
      </c>
      <c r="DA308" s="2">
        <f t="shared" si="345"/>
        <v>1.4208846063606591</v>
      </c>
      <c r="DB308" s="1" t="s">
        <v>936</v>
      </c>
      <c r="DC308" s="297" t="str">
        <f t="shared" si="363"/>
        <v>loc</v>
      </c>
      <c r="DD308" t="s">
        <v>626</v>
      </c>
      <c r="DF308" s="143"/>
      <c r="DG308" s="143">
        <v>200</v>
      </c>
      <c r="DH308" t="str">
        <f t="shared" si="346"/>
        <v>+100</v>
      </c>
      <c r="DI308">
        <v>0</v>
      </c>
      <c r="DJ308">
        <v>0</v>
      </c>
      <c r="DK308">
        <v>0</v>
      </c>
      <c r="DL308">
        <v>1</v>
      </c>
      <c r="DM308">
        <v>0</v>
      </c>
      <c r="DN308">
        <f t="shared" si="364"/>
        <v>1</v>
      </c>
      <c r="DO308" t="str">
        <f t="shared" si="347"/>
        <v>TimberInput</v>
      </c>
      <c r="DP308">
        <f t="shared" si="348"/>
        <v>0</v>
      </c>
      <c r="DQ308">
        <f t="shared" si="349"/>
        <v>0</v>
      </c>
      <c r="DR308">
        <f t="shared" si="350"/>
        <v>0</v>
      </c>
      <c r="DS308" t="str">
        <f t="shared" si="351"/>
        <v>Timber</v>
      </c>
      <c r="DT308">
        <v>1</v>
      </c>
      <c r="DU308" s="143">
        <v>0</v>
      </c>
      <c r="DV308" s="143">
        <v>0</v>
      </c>
      <c r="DW308">
        <v>0</v>
      </c>
      <c r="DX308" s="143">
        <v>0</v>
      </c>
      <c r="DY308">
        <f t="shared" si="332"/>
        <v>1</v>
      </c>
      <c r="DZ308" s="143" t="str">
        <f t="shared" si="365"/>
        <v>self-calculated DF</v>
      </c>
      <c r="EA308" s="143">
        <v>0</v>
      </c>
      <c r="EB308" s="143">
        <v>0</v>
      </c>
      <c r="EC308" s="143">
        <v>1</v>
      </c>
      <c r="ED308" s="143">
        <v>1</v>
      </c>
      <c r="EE308">
        <v>1</v>
      </c>
      <c r="EF308" s="143">
        <v>1</v>
      </c>
      <c r="EG308" s="143">
        <v>1</v>
      </c>
      <c r="EH308" s="143">
        <v>1</v>
      </c>
      <c r="EI308" s="143">
        <v>1</v>
      </c>
      <c r="EJ308">
        <v>1</v>
      </c>
      <c r="EK308">
        <v>1</v>
      </c>
      <c r="EL308" s="143">
        <v>1</v>
      </c>
      <c r="EM308">
        <v>1</v>
      </c>
      <c r="EN308" s="2">
        <v>0</v>
      </c>
      <c r="EP308" t="str">
        <f t="shared" si="356"/>
        <v>Whole sector approach</v>
      </c>
      <c r="EQ308" t="str">
        <f t="shared" si="333"/>
        <v/>
      </c>
      <c r="ER308" s="2" t="str">
        <f t="shared" si="357"/>
        <v/>
      </c>
      <c r="ES308" t="str">
        <f t="shared" si="358"/>
        <v/>
      </c>
      <c r="ET308" t="str">
        <f t="shared" si="359"/>
        <v/>
      </c>
      <c r="EU308" t="str">
        <f t="shared" si="360"/>
        <v/>
      </c>
      <c r="EY308" t="b">
        <f>IF(ISNUMBER(BW308),IF(ABS(BW308-[1]QC_indicators!$B$2)&gt;3*[1]QC_indicators!$C$2,"C ratio",IF(ISNUMBER(CA308),IF(ABS(CA308-[1]QC_indicators!$B$1)&gt;3*[1]QC_indicators!$C$1,"DF","no"))),IF(ISNUMBER(CA308),IF(ABS(CA308-[1]QC_indicators!$B$1)&gt;3*[1]QC_indicators!$C$1,"DF","no")))</f>
        <v>0</v>
      </c>
      <c r="FA308" t="str">
        <f t="shared" si="361"/>
        <v/>
      </c>
    </row>
    <row r="309" spans="1:157" ht="15" hidden="1" customHeight="1">
      <c r="A309" s="1" t="s">
        <v>333</v>
      </c>
      <c r="B309" t="s">
        <v>3613</v>
      </c>
      <c r="C309" t="s">
        <v>3614</v>
      </c>
      <c r="D309" t="s">
        <v>3615</v>
      </c>
      <c r="E309" t="s">
        <v>3616</v>
      </c>
      <c r="F309" t="s">
        <v>3617</v>
      </c>
      <c r="G309" t="s">
        <v>339</v>
      </c>
      <c r="H309" t="s">
        <v>254</v>
      </c>
      <c r="I309">
        <v>2018</v>
      </c>
      <c r="J309">
        <v>62</v>
      </c>
      <c r="K309" t="s">
        <v>3618</v>
      </c>
      <c r="M309" t="str">
        <f t="shared" si="323"/>
        <v>Pittau_2018</v>
      </c>
      <c r="N309" s="297" t="s">
        <v>4058</v>
      </c>
      <c r="O309" s="171" t="s">
        <v>508</v>
      </c>
      <c r="P309" t="s">
        <v>341</v>
      </c>
      <c r="Q309" s="297" t="s">
        <v>389</v>
      </c>
      <c r="R309" s="298"/>
      <c r="S309" s="1" t="s">
        <v>3619</v>
      </c>
      <c r="T309" t="s">
        <v>3620</v>
      </c>
      <c r="X309">
        <v>0</v>
      </c>
      <c r="Y309">
        <v>1</v>
      </c>
      <c r="Z309">
        <v>0</v>
      </c>
      <c r="AA309">
        <v>0</v>
      </c>
      <c r="AB309">
        <v>0</v>
      </c>
      <c r="AC309">
        <v>0</v>
      </c>
      <c r="AD309">
        <v>0</v>
      </c>
      <c r="AE309">
        <v>0</v>
      </c>
      <c r="AF309">
        <v>0</v>
      </c>
      <c r="AG309">
        <v>0</v>
      </c>
      <c r="AH309">
        <v>1</v>
      </c>
      <c r="AI309">
        <v>1</v>
      </c>
      <c r="AJ309">
        <v>1</v>
      </c>
      <c r="AK309">
        <v>1</v>
      </c>
      <c r="AL309">
        <v>0</v>
      </c>
      <c r="AM309">
        <v>0</v>
      </c>
      <c r="AN309">
        <v>0</v>
      </c>
      <c r="AO309">
        <v>0</v>
      </c>
      <c r="AP309">
        <v>0</v>
      </c>
      <c r="AQ309">
        <v>0</v>
      </c>
      <c r="AR309">
        <v>0</v>
      </c>
      <c r="AS309">
        <v>0</v>
      </c>
      <c r="AT309">
        <v>0</v>
      </c>
      <c r="AU309">
        <v>0</v>
      </c>
      <c r="AV309">
        <v>0</v>
      </c>
      <c r="AW309">
        <v>0</v>
      </c>
      <c r="AX309">
        <v>0</v>
      </c>
      <c r="AY309">
        <v>0</v>
      </c>
      <c r="AZ309" s="141">
        <f t="shared" si="334"/>
        <v>5</v>
      </c>
      <c r="BA309" s="141">
        <f t="shared" si="335"/>
        <v>5</v>
      </c>
      <c r="BB309">
        <f t="shared" si="336"/>
        <v>1</v>
      </c>
      <c r="BC309">
        <f t="shared" si="337"/>
        <v>4</v>
      </c>
      <c r="BD309">
        <f t="shared" si="338"/>
        <v>0</v>
      </c>
      <c r="BE309">
        <f t="shared" si="339"/>
        <v>0</v>
      </c>
      <c r="BF309">
        <f t="shared" si="340"/>
        <v>0</v>
      </c>
      <c r="BG309" t="str" cm="1">
        <f t="array" ref="BG309">IF(BA309=1,INDEX($X$7:$AN$7,MATCH(TRUE,INDEX($X309:$AY309&lt;&gt;0,),0)),IF(BA309=0,INDEX($AO$7:$AY$7,MATCH(1,$AO309:$AY309,0)),IF(BH309="Multiple strategies","mixed drivers",IF(BH309="Supply chain","multiple supply","multiple silviculture"))))</f>
        <v>mixed drivers</v>
      </c>
      <c r="BH309" s="2" t="str" cm="1">
        <f t="array" ref="BH309">IF(COUNTIF(BB309:BD309,"&lt;&gt;0")=1,INDEX($X$4:$AY$4,MATCH(TRUE,INDEX($X309:$AY309&lt;&gt;0,),0)),IF(COUNTIF(BB309:BD309,"&lt;&gt;0")=0,INDEX($AO$4:$AY$4,MATCH(1,$AO309:$AY309,0)),"Multiple strategies"))</f>
        <v>Multiple strategies</v>
      </c>
      <c r="BI309" s="142"/>
      <c r="BL309" s="143"/>
      <c r="BN309" s="143"/>
      <c r="BO309" t="str">
        <f>IFERROR(BN309/BM309,"")</f>
        <v/>
      </c>
      <c r="BP309" s="158"/>
      <c r="BQ309" s="143"/>
      <c r="BR309" t="s">
        <v>395</v>
      </c>
      <c r="BT309" t="s">
        <v>3621</v>
      </c>
      <c r="BU309">
        <v>173.61053100000004</v>
      </c>
      <c r="BV309">
        <v>-79.87</v>
      </c>
      <c r="BW309" s="144"/>
      <c r="BX309">
        <f t="shared" si="362"/>
        <v>-253.48053100000004</v>
      </c>
      <c r="CA309" t="str">
        <f t="shared" si="352"/>
        <v/>
      </c>
      <c r="CB309">
        <v>0</v>
      </c>
      <c r="CC309">
        <v>1</v>
      </c>
      <c r="CD309">
        <v>0</v>
      </c>
      <c r="CE309">
        <v>0</v>
      </c>
      <c r="CF309">
        <v>0</v>
      </c>
      <c r="CG309">
        <v>0</v>
      </c>
      <c r="CH309">
        <v>0</v>
      </c>
      <c r="CI309">
        <v>0</v>
      </c>
      <c r="CJ309">
        <v>0</v>
      </c>
      <c r="CK309">
        <v>0</v>
      </c>
      <c r="CL309">
        <v>0</v>
      </c>
      <c r="CM309">
        <v>0</v>
      </c>
      <c r="CN309">
        <v>0</v>
      </c>
      <c r="CO309">
        <v>0</v>
      </c>
      <c r="CP309" t="str">
        <f t="shared" si="341"/>
        <v>refOK</v>
      </c>
      <c r="CQ309"/>
      <c r="CR309"/>
      <c r="CS309"/>
      <c r="CT309">
        <f t="shared" si="353"/>
        <v>0</v>
      </c>
      <c r="CU309">
        <f t="shared" si="342"/>
        <v>-173.61053100000004</v>
      </c>
      <c r="CV309">
        <f t="shared" si="331"/>
        <v>79.87</v>
      </c>
      <c r="CW309">
        <f t="shared" si="343"/>
        <v>0</v>
      </c>
      <c r="CX309" t="str">
        <f t="shared" si="354"/>
        <v/>
      </c>
      <c r="CY309" t="str">
        <f t="shared" si="344"/>
        <v/>
      </c>
      <c r="CZ309" t="str">
        <f t="shared" si="355"/>
        <v/>
      </c>
      <c r="DA309" s="2">
        <f t="shared" si="345"/>
        <v>1.4600527372386183</v>
      </c>
      <c r="DB309" s="1" t="s">
        <v>936</v>
      </c>
      <c r="DC309" s="297" t="str">
        <f t="shared" si="363"/>
        <v>loc</v>
      </c>
      <c r="DD309" t="s">
        <v>626</v>
      </c>
      <c r="DF309" s="143"/>
      <c r="DG309" s="143">
        <v>200</v>
      </c>
      <c r="DH309" t="str">
        <f t="shared" si="346"/>
        <v>+100</v>
      </c>
      <c r="DI309">
        <v>0</v>
      </c>
      <c r="DJ309">
        <v>0</v>
      </c>
      <c r="DK309">
        <v>0</v>
      </c>
      <c r="DL309">
        <v>1</v>
      </c>
      <c r="DM309">
        <v>0</v>
      </c>
      <c r="DN309">
        <f t="shared" si="364"/>
        <v>1</v>
      </c>
      <c r="DO309" t="str">
        <f t="shared" si="347"/>
        <v>TimberInput</v>
      </c>
      <c r="DP309">
        <f t="shared" si="348"/>
        <v>0</v>
      </c>
      <c r="DQ309">
        <f t="shared" si="349"/>
        <v>0</v>
      </c>
      <c r="DR309">
        <f t="shared" si="350"/>
        <v>0</v>
      </c>
      <c r="DS309" t="str">
        <f t="shared" si="351"/>
        <v>Timber</v>
      </c>
      <c r="DT309">
        <v>1</v>
      </c>
      <c r="DU309" s="143">
        <v>0</v>
      </c>
      <c r="DV309" s="143">
        <v>0</v>
      </c>
      <c r="DW309">
        <v>0</v>
      </c>
      <c r="DX309" s="143">
        <v>0</v>
      </c>
      <c r="DY309">
        <f t="shared" si="332"/>
        <v>1</v>
      </c>
      <c r="DZ309" s="143" t="str">
        <f t="shared" si="365"/>
        <v>self-calculated DF</v>
      </c>
      <c r="EA309" s="143">
        <v>0</v>
      </c>
      <c r="EB309" s="143">
        <v>0</v>
      </c>
      <c r="EC309" s="143">
        <v>1</v>
      </c>
      <c r="ED309" s="143">
        <v>1</v>
      </c>
      <c r="EE309">
        <v>1</v>
      </c>
      <c r="EF309" s="143">
        <v>1</v>
      </c>
      <c r="EG309" s="143">
        <v>1</v>
      </c>
      <c r="EH309" s="143">
        <v>1</v>
      </c>
      <c r="EI309" s="143">
        <v>1</v>
      </c>
      <c r="EJ309">
        <v>1</v>
      </c>
      <c r="EK309">
        <v>1</v>
      </c>
      <c r="EL309" s="143">
        <v>1</v>
      </c>
      <c r="EM309">
        <v>1</v>
      </c>
      <c r="EN309" s="2">
        <v>0</v>
      </c>
      <c r="EP309" t="str">
        <f t="shared" si="356"/>
        <v>Whole sector approach</v>
      </c>
      <c r="EQ309" t="str">
        <f t="shared" si="333"/>
        <v/>
      </c>
      <c r="ER309" s="2" t="str">
        <f t="shared" si="357"/>
        <v/>
      </c>
      <c r="ES309" t="str">
        <f t="shared" si="358"/>
        <v/>
      </c>
      <c r="ET309" t="str">
        <f t="shared" si="359"/>
        <v/>
      </c>
      <c r="EU309" t="str">
        <f t="shared" si="360"/>
        <v/>
      </c>
      <c r="EY309" t="b">
        <f>IF(ISNUMBER(BW309),IF(ABS(BW309-[1]QC_indicators!$B$2)&gt;3*[1]QC_indicators!$C$2,"C ratio",IF(ISNUMBER(CA309),IF(ABS(CA309-[1]QC_indicators!$B$1)&gt;3*[1]QC_indicators!$C$1,"DF","no"))),IF(ISNUMBER(CA309),IF(ABS(CA309-[1]QC_indicators!$B$1)&gt;3*[1]QC_indicators!$C$1,"DF","no")))</f>
        <v>0</v>
      </c>
      <c r="FA309" t="str">
        <f t="shared" si="361"/>
        <v/>
      </c>
    </row>
    <row r="310" spans="1:157" ht="15" hidden="1" customHeight="1">
      <c r="A310" s="1" t="s">
        <v>333</v>
      </c>
      <c r="B310" t="s">
        <v>3613</v>
      </c>
      <c r="C310" t="s">
        <v>3614</v>
      </c>
      <c r="D310" t="s">
        <v>3615</v>
      </c>
      <c r="E310" t="s">
        <v>3616</v>
      </c>
      <c r="F310" t="s">
        <v>3617</v>
      </c>
      <c r="G310" t="s">
        <v>339</v>
      </c>
      <c r="H310" t="s">
        <v>254</v>
      </c>
      <c r="I310">
        <v>2018</v>
      </c>
      <c r="J310">
        <v>62</v>
      </c>
      <c r="K310" t="s">
        <v>3618</v>
      </c>
      <c r="M310" t="str">
        <f t="shared" si="323"/>
        <v>Pittau_2018</v>
      </c>
      <c r="N310" s="297" t="s">
        <v>4058</v>
      </c>
      <c r="O310" s="171" t="s">
        <v>508</v>
      </c>
      <c r="P310" t="s">
        <v>341</v>
      </c>
      <c r="Q310" s="297" t="s">
        <v>389</v>
      </c>
      <c r="R310" s="298"/>
      <c r="S310" s="1" t="s">
        <v>3627</v>
      </c>
      <c r="T310" t="s">
        <v>3620</v>
      </c>
      <c r="X310">
        <v>0</v>
      </c>
      <c r="Y310">
        <v>1</v>
      </c>
      <c r="Z310">
        <v>0</v>
      </c>
      <c r="AA310">
        <v>0</v>
      </c>
      <c r="AB310">
        <v>0</v>
      </c>
      <c r="AC310">
        <v>0</v>
      </c>
      <c r="AD310">
        <v>0</v>
      </c>
      <c r="AE310">
        <v>0</v>
      </c>
      <c r="AF310">
        <v>0</v>
      </c>
      <c r="AG310">
        <v>0</v>
      </c>
      <c r="AH310">
        <v>1</v>
      </c>
      <c r="AI310">
        <v>1</v>
      </c>
      <c r="AJ310">
        <v>1</v>
      </c>
      <c r="AK310">
        <v>1</v>
      </c>
      <c r="AL310">
        <v>0</v>
      </c>
      <c r="AM310">
        <v>0</v>
      </c>
      <c r="AN310">
        <v>0</v>
      </c>
      <c r="AO310">
        <v>0</v>
      </c>
      <c r="AP310">
        <v>0</v>
      </c>
      <c r="AQ310">
        <v>0</v>
      </c>
      <c r="AR310">
        <v>0</v>
      </c>
      <c r="AS310">
        <v>0</v>
      </c>
      <c r="AT310">
        <v>0</v>
      </c>
      <c r="AU310">
        <v>0</v>
      </c>
      <c r="AV310">
        <v>0</v>
      </c>
      <c r="AW310">
        <v>0</v>
      </c>
      <c r="AX310">
        <v>0</v>
      </c>
      <c r="AY310">
        <v>0</v>
      </c>
      <c r="AZ310" s="141">
        <f t="shared" si="334"/>
        <v>5</v>
      </c>
      <c r="BA310" s="141">
        <f t="shared" si="335"/>
        <v>5</v>
      </c>
      <c r="BB310">
        <f t="shared" si="336"/>
        <v>1</v>
      </c>
      <c r="BC310">
        <f t="shared" si="337"/>
        <v>4</v>
      </c>
      <c r="BD310">
        <f t="shared" si="338"/>
        <v>0</v>
      </c>
      <c r="BE310">
        <f t="shared" si="339"/>
        <v>0</v>
      </c>
      <c r="BF310">
        <f t="shared" si="340"/>
        <v>0</v>
      </c>
      <c r="BG310" t="str" cm="1">
        <f t="array" ref="BG310">IF(BA310=1,INDEX($X$7:$AN$7,MATCH(TRUE,INDEX($X310:$AY310&lt;&gt;0,),0)),IF(BA310=0,INDEX($AO$7:$AY$7,MATCH(1,$AO310:$AY310,0)),IF(BH310="Multiple strategies","mixed drivers",IF(BH310="Supply chain","multiple supply","multiple silviculture"))))</f>
        <v>mixed drivers</v>
      </c>
      <c r="BH310" s="2" t="str" cm="1">
        <f t="array" ref="BH310">IF(COUNTIF(BB310:BD310,"&lt;&gt;0")=1,INDEX($X$4:$AY$4,MATCH(TRUE,INDEX($X310:$AY310&lt;&gt;0,),0)),IF(COUNTIF(BB310:BD310,"&lt;&gt;0")=0,INDEX($AO$4:$AY$4,MATCH(1,$AO310:$AY310,0)),"Multiple strategies"))</f>
        <v>Multiple strategies</v>
      </c>
      <c r="BI310" s="142"/>
      <c r="BL310" s="143"/>
      <c r="BN310" s="143"/>
      <c r="BP310" s="158"/>
      <c r="BQ310" s="143"/>
      <c r="BR310" t="s">
        <v>395</v>
      </c>
      <c r="BT310" t="s">
        <v>3621</v>
      </c>
      <c r="BU310">
        <v>173.61053100000004</v>
      </c>
      <c r="BV310">
        <v>-83.96</v>
      </c>
      <c r="BW310" s="144"/>
      <c r="BX310">
        <f t="shared" si="362"/>
        <v>-257.57053100000002</v>
      </c>
      <c r="CA310" t="str">
        <f t="shared" si="352"/>
        <v/>
      </c>
      <c r="CC310">
        <v>1</v>
      </c>
      <c r="CD310">
        <v>0</v>
      </c>
      <c r="CE310">
        <v>0</v>
      </c>
      <c r="CF310">
        <v>0</v>
      </c>
      <c r="CG310">
        <v>0</v>
      </c>
      <c r="CH310">
        <v>0</v>
      </c>
      <c r="CI310">
        <v>0</v>
      </c>
      <c r="CJ310">
        <v>0</v>
      </c>
      <c r="CK310">
        <v>0</v>
      </c>
      <c r="CL310">
        <v>0</v>
      </c>
      <c r="CM310">
        <v>0</v>
      </c>
      <c r="CN310">
        <v>0</v>
      </c>
      <c r="CO310">
        <v>0</v>
      </c>
      <c r="CP310" t="str">
        <f t="shared" si="341"/>
        <v>refOK</v>
      </c>
      <c r="CQ310"/>
      <c r="CR310"/>
      <c r="CS310"/>
      <c r="CT310">
        <f t="shared" si="353"/>
        <v>0</v>
      </c>
      <c r="CU310">
        <f t="shared" si="342"/>
        <v>-173.61053100000004</v>
      </c>
      <c r="CV310">
        <f t="shared" si="331"/>
        <v>83.96</v>
      </c>
      <c r="CW310">
        <f t="shared" si="343"/>
        <v>0</v>
      </c>
      <c r="CX310" t="str">
        <f t="shared" si="354"/>
        <v/>
      </c>
      <c r="CY310" t="str">
        <f t="shared" si="344"/>
        <v/>
      </c>
      <c r="CZ310" t="str">
        <f t="shared" si="355"/>
        <v/>
      </c>
      <c r="DA310" s="2">
        <f t="shared" si="345"/>
        <v>1.4836112159578612</v>
      </c>
      <c r="DB310" s="1" t="s">
        <v>936</v>
      </c>
      <c r="DC310" s="297" t="str">
        <f t="shared" si="363"/>
        <v>loc</v>
      </c>
      <c r="DD310" t="s">
        <v>626</v>
      </c>
      <c r="DF310" s="143"/>
      <c r="DG310" s="143">
        <v>200</v>
      </c>
      <c r="DH310" t="str">
        <f t="shared" si="346"/>
        <v>+100</v>
      </c>
      <c r="DI310">
        <v>0</v>
      </c>
      <c r="DJ310">
        <v>0</v>
      </c>
      <c r="DK310">
        <v>0</v>
      </c>
      <c r="DL310">
        <v>1</v>
      </c>
      <c r="DM310">
        <v>0</v>
      </c>
      <c r="DN310">
        <f t="shared" si="364"/>
        <v>1</v>
      </c>
      <c r="DO310" t="str">
        <f t="shared" si="347"/>
        <v>TimberInput</v>
      </c>
      <c r="DP310">
        <f t="shared" si="348"/>
        <v>0</v>
      </c>
      <c r="DQ310">
        <f t="shared" si="349"/>
        <v>0</v>
      </c>
      <c r="DR310">
        <f t="shared" si="350"/>
        <v>0</v>
      </c>
      <c r="DS310" t="str">
        <f t="shared" si="351"/>
        <v>Timber</v>
      </c>
      <c r="DT310">
        <v>1</v>
      </c>
      <c r="DU310" s="143">
        <v>0</v>
      </c>
      <c r="DV310" s="143">
        <v>0</v>
      </c>
      <c r="DW310">
        <v>0</v>
      </c>
      <c r="DX310" s="143">
        <v>0</v>
      </c>
      <c r="DY310">
        <f t="shared" si="332"/>
        <v>1</v>
      </c>
      <c r="DZ310" s="143" t="str">
        <f t="shared" si="365"/>
        <v>self-calculated DF</v>
      </c>
      <c r="EA310" s="143">
        <v>0</v>
      </c>
      <c r="EB310" s="143">
        <v>0</v>
      </c>
      <c r="EC310" s="143">
        <v>1</v>
      </c>
      <c r="ED310" s="143">
        <v>1</v>
      </c>
      <c r="EE310">
        <v>1</v>
      </c>
      <c r="EF310" s="143">
        <v>1</v>
      </c>
      <c r="EG310" s="143">
        <v>1</v>
      </c>
      <c r="EH310" s="143">
        <v>1</v>
      </c>
      <c r="EI310" s="143">
        <v>1</v>
      </c>
      <c r="EJ310">
        <v>1</v>
      </c>
      <c r="EK310">
        <v>1</v>
      </c>
      <c r="EL310" s="143">
        <v>1</v>
      </c>
      <c r="EM310">
        <v>1</v>
      </c>
      <c r="EN310" s="2">
        <v>0</v>
      </c>
      <c r="EP310" t="str">
        <f t="shared" si="356"/>
        <v>Whole sector approach</v>
      </c>
      <c r="EQ310" t="str">
        <f t="shared" si="333"/>
        <v/>
      </c>
      <c r="ER310" s="2" t="str">
        <f t="shared" si="357"/>
        <v/>
      </c>
      <c r="ES310" t="str">
        <f t="shared" si="358"/>
        <v/>
      </c>
      <c r="ET310" t="str">
        <f t="shared" si="359"/>
        <v/>
      </c>
      <c r="EU310" t="str">
        <f t="shared" si="360"/>
        <v/>
      </c>
      <c r="EY310" t="b">
        <f>IF(ISNUMBER(BW310),IF(ABS(BW310-[1]QC_indicators!$B$2)&gt;3*[1]QC_indicators!$C$2,"C ratio",IF(ISNUMBER(CA310),IF(ABS(CA310-[1]QC_indicators!$B$1)&gt;3*[1]QC_indicators!$C$1,"DF","no"))),IF(ISNUMBER(CA310),IF(ABS(CA310-[1]QC_indicators!$B$1)&gt;3*[1]QC_indicators!$C$1,"DF","no")))</f>
        <v>0</v>
      </c>
      <c r="FA310" t="str">
        <f t="shared" si="361"/>
        <v/>
      </c>
    </row>
    <row r="311" spans="1:157" ht="15" hidden="1" customHeight="1">
      <c r="A311" s="1" t="s">
        <v>333</v>
      </c>
      <c r="B311" t="s">
        <v>3613</v>
      </c>
      <c r="C311" t="s">
        <v>3614</v>
      </c>
      <c r="D311" t="s">
        <v>3615</v>
      </c>
      <c r="E311" t="s">
        <v>3616</v>
      </c>
      <c r="F311" t="s">
        <v>3617</v>
      </c>
      <c r="G311" t="s">
        <v>339</v>
      </c>
      <c r="H311" t="s">
        <v>254</v>
      </c>
      <c r="I311">
        <v>2018</v>
      </c>
      <c r="J311">
        <v>62</v>
      </c>
      <c r="K311" t="s">
        <v>3618</v>
      </c>
      <c r="M311" t="str">
        <f t="shared" si="323"/>
        <v>Pittau_2018</v>
      </c>
      <c r="N311" s="297" t="s">
        <v>4058</v>
      </c>
      <c r="O311" s="171" t="s">
        <v>508</v>
      </c>
      <c r="P311" t="s">
        <v>341</v>
      </c>
      <c r="Q311" s="297" t="s">
        <v>389</v>
      </c>
      <c r="R311" s="298"/>
      <c r="S311" s="1" t="s">
        <v>3626</v>
      </c>
      <c r="T311" t="s">
        <v>3620</v>
      </c>
      <c r="X311">
        <v>0</v>
      </c>
      <c r="Y311">
        <v>1</v>
      </c>
      <c r="Z311">
        <v>0</v>
      </c>
      <c r="AA311">
        <v>0</v>
      </c>
      <c r="AB311">
        <v>0</v>
      </c>
      <c r="AC311">
        <v>0</v>
      </c>
      <c r="AD311">
        <v>0</v>
      </c>
      <c r="AE311">
        <v>0</v>
      </c>
      <c r="AF311">
        <v>0</v>
      </c>
      <c r="AG311">
        <v>0</v>
      </c>
      <c r="AH311">
        <v>1</v>
      </c>
      <c r="AI311">
        <v>1</v>
      </c>
      <c r="AJ311">
        <v>1</v>
      </c>
      <c r="AK311">
        <v>1</v>
      </c>
      <c r="AL311">
        <v>0</v>
      </c>
      <c r="AM311">
        <v>0</v>
      </c>
      <c r="AN311">
        <v>0</v>
      </c>
      <c r="AO311">
        <v>0</v>
      </c>
      <c r="AP311">
        <v>0</v>
      </c>
      <c r="AQ311">
        <v>0</v>
      </c>
      <c r="AR311">
        <v>0</v>
      </c>
      <c r="AS311">
        <v>0</v>
      </c>
      <c r="AT311">
        <v>0</v>
      </c>
      <c r="AU311">
        <v>0</v>
      </c>
      <c r="AV311">
        <v>0</v>
      </c>
      <c r="AW311">
        <v>0</v>
      </c>
      <c r="AX311">
        <v>0</v>
      </c>
      <c r="AY311">
        <v>0</v>
      </c>
      <c r="AZ311" s="141">
        <f t="shared" si="334"/>
        <v>5</v>
      </c>
      <c r="BA311" s="141">
        <f t="shared" si="335"/>
        <v>5</v>
      </c>
      <c r="BB311">
        <f t="shared" si="336"/>
        <v>1</v>
      </c>
      <c r="BC311">
        <f t="shared" si="337"/>
        <v>4</v>
      </c>
      <c r="BD311">
        <f t="shared" si="338"/>
        <v>0</v>
      </c>
      <c r="BE311">
        <f t="shared" si="339"/>
        <v>0</v>
      </c>
      <c r="BF311">
        <f t="shared" si="340"/>
        <v>0</v>
      </c>
      <c r="BG311" t="str" cm="1">
        <f t="array" ref="BG311">IF(BA311=1,INDEX($X$7:$AN$7,MATCH(TRUE,INDEX($X311:$AY311&lt;&gt;0,),0)),IF(BA311=0,INDEX($AO$7:$AY$7,MATCH(1,$AO311:$AY311,0)),IF(BH311="Multiple strategies","mixed drivers",IF(BH311="Supply chain","multiple supply","multiple silviculture"))))</f>
        <v>mixed drivers</v>
      </c>
      <c r="BH311" s="2" t="str" cm="1">
        <f t="array" ref="BH311">IF(COUNTIF(BB311:BD311,"&lt;&gt;0")=1,INDEX($X$4:$AY$4,MATCH(TRUE,INDEX($X311:$AY311&lt;&gt;0,),0)),IF(COUNTIF(BB311:BD311,"&lt;&gt;0")=0,INDEX($AO$4:$AY$4,MATCH(1,$AO311:$AY311,0)),"Multiple strategies"))</f>
        <v>Multiple strategies</v>
      </c>
      <c r="BI311" s="142"/>
      <c r="BL311" s="143"/>
      <c r="BN311" s="143"/>
      <c r="BP311" s="158"/>
      <c r="BQ311" s="143"/>
      <c r="BR311" t="s">
        <v>395</v>
      </c>
      <c r="BT311" t="s">
        <v>3621</v>
      </c>
      <c r="BU311">
        <v>173.61053100000004</v>
      </c>
      <c r="BV311">
        <v>-96.38</v>
      </c>
      <c r="BW311" s="144"/>
      <c r="BX311">
        <f t="shared" si="362"/>
        <v>-269.99053100000003</v>
      </c>
      <c r="CA311" t="str">
        <f t="shared" si="352"/>
        <v/>
      </c>
      <c r="CC311">
        <v>1</v>
      </c>
      <c r="CD311">
        <v>0</v>
      </c>
      <c r="CE311">
        <v>0</v>
      </c>
      <c r="CF311">
        <v>0</v>
      </c>
      <c r="CG311">
        <v>0</v>
      </c>
      <c r="CH311">
        <v>0</v>
      </c>
      <c r="CI311">
        <v>0</v>
      </c>
      <c r="CJ311">
        <v>0</v>
      </c>
      <c r="CK311">
        <v>0</v>
      </c>
      <c r="CL311">
        <v>0</v>
      </c>
      <c r="CM311">
        <v>0</v>
      </c>
      <c r="CN311">
        <v>0</v>
      </c>
      <c r="CO311">
        <v>0</v>
      </c>
      <c r="CP311" t="str">
        <f t="shared" si="341"/>
        <v>refOK</v>
      </c>
      <c r="CQ311"/>
      <c r="CR311"/>
      <c r="CS311"/>
      <c r="CT311">
        <f t="shared" si="353"/>
        <v>0</v>
      </c>
      <c r="CU311">
        <f t="shared" si="342"/>
        <v>-173.61053100000004</v>
      </c>
      <c r="CV311">
        <f t="shared" si="331"/>
        <v>96.38</v>
      </c>
      <c r="CW311">
        <f t="shared" si="343"/>
        <v>0</v>
      </c>
      <c r="CX311" t="str">
        <f t="shared" si="354"/>
        <v/>
      </c>
      <c r="CY311" t="str">
        <f t="shared" si="344"/>
        <v/>
      </c>
      <c r="CZ311" t="str">
        <f t="shared" si="355"/>
        <v/>
      </c>
      <c r="DA311" s="2">
        <f t="shared" si="345"/>
        <v>1.5551506550026044</v>
      </c>
      <c r="DB311" s="1" t="s">
        <v>936</v>
      </c>
      <c r="DC311" s="297" t="str">
        <f t="shared" si="363"/>
        <v>loc</v>
      </c>
      <c r="DD311" t="s">
        <v>626</v>
      </c>
      <c r="DF311" s="143"/>
      <c r="DG311" s="143">
        <v>200</v>
      </c>
      <c r="DH311" t="str">
        <f t="shared" si="346"/>
        <v>+100</v>
      </c>
      <c r="DI311">
        <v>0</v>
      </c>
      <c r="DJ311">
        <v>0</v>
      </c>
      <c r="DK311">
        <v>0</v>
      </c>
      <c r="DL311">
        <v>1</v>
      </c>
      <c r="DM311">
        <v>0</v>
      </c>
      <c r="DN311">
        <f t="shared" si="364"/>
        <v>1</v>
      </c>
      <c r="DO311" t="str">
        <f t="shared" si="347"/>
        <v>TimberInput</v>
      </c>
      <c r="DP311">
        <f t="shared" si="348"/>
        <v>0</v>
      </c>
      <c r="DQ311">
        <f t="shared" si="349"/>
        <v>0</v>
      </c>
      <c r="DR311">
        <f t="shared" si="350"/>
        <v>0</v>
      </c>
      <c r="DS311" t="str">
        <f t="shared" si="351"/>
        <v>Timber</v>
      </c>
      <c r="DT311">
        <v>1</v>
      </c>
      <c r="DU311" s="143">
        <v>0</v>
      </c>
      <c r="DV311" s="143">
        <v>0</v>
      </c>
      <c r="DW311">
        <v>0</v>
      </c>
      <c r="DX311" s="143">
        <v>0</v>
      </c>
      <c r="DY311">
        <f t="shared" si="332"/>
        <v>1</v>
      </c>
      <c r="DZ311" s="143" t="str">
        <f t="shared" si="365"/>
        <v>self-calculated DF</v>
      </c>
      <c r="EA311" s="143">
        <v>0</v>
      </c>
      <c r="EB311" s="143">
        <v>0</v>
      </c>
      <c r="EC311" s="143">
        <v>1</v>
      </c>
      <c r="ED311" s="143">
        <v>1</v>
      </c>
      <c r="EE311">
        <v>1</v>
      </c>
      <c r="EF311" s="143">
        <v>1</v>
      </c>
      <c r="EG311" s="143">
        <v>1</v>
      </c>
      <c r="EH311" s="143">
        <v>1</v>
      </c>
      <c r="EI311" s="143">
        <v>1</v>
      </c>
      <c r="EJ311">
        <v>1</v>
      </c>
      <c r="EK311">
        <v>1</v>
      </c>
      <c r="EL311" s="143">
        <v>1</v>
      </c>
      <c r="EM311">
        <v>1</v>
      </c>
      <c r="EN311" s="2">
        <v>0</v>
      </c>
      <c r="EP311" t="str">
        <f t="shared" si="356"/>
        <v>Whole sector approach</v>
      </c>
      <c r="EQ311" t="str">
        <f t="shared" si="333"/>
        <v/>
      </c>
      <c r="ER311" s="2" t="str">
        <f t="shared" si="357"/>
        <v/>
      </c>
      <c r="ES311" t="str">
        <f t="shared" si="358"/>
        <v/>
      </c>
      <c r="ET311" t="str">
        <f t="shared" si="359"/>
        <v/>
      </c>
      <c r="EU311" t="str">
        <f t="shared" si="360"/>
        <v/>
      </c>
      <c r="EY311" t="b">
        <f>IF(ISNUMBER(BW311),IF(ABS(BW311-[1]QC_indicators!$B$2)&gt;3*[1]QC_indicators!$C$2,"C ratio",IF(ISNUMBER(CA311),IF(ABS(CA311-[1]QC_indicators!$B$1)&gt;3*[1]QC_indicators!$C$1,"DF","no"))),IF(ISNUMBER(CA311),IF(ABS(CA311-[1]QC_indicators!$B$1)&gt;3*[1]QC_indicators!$C$1,"DF","no")))</f>
        <v>0</v>
      </c>
      <c r="FA311" t="str">
        <f t="shared" si="361"/>
        <v/>
      </c>
    </row>
    <row r="312" spans="1:157" ht="15" hidden="1" customHeight="1">
      <c r="A312" s="1" t="s">
        <v>333</v>
      </c>
      <c r="B312" t="s">
        <v>3613</v>
      </c>
      <c r="C312" t="s">
        <v>3614</v>
      </c>
      <c r="D312" t="s">
        <v>3615</v>
      </c>
      <c r="E312" t="s">
        <v>3616</v>
      </c>
      <c r="F312" t="s">
        <v>3617</v>
      </c>
      <c r="G312" t="s">
        <v>339</v>
      </c>
      <c r="H312" t="s">
        <v>254</v>
      </c>
      <c r="I312">
        <v>2018</v>
      </c>
      <c r="J312">
        <v>62</v>
      </c>
      <c r="K312" t="s">
        <v>3618</v>
      </c>
      <c r="M312" t="str">
        <f t="shared" si="323"/>
        <v>Pittau_2018</v>
      </c>
      <c r="N312" s="297" t="s">
        <v>4058</v>
      </c>
      <c r="O312" s="171" t="s">
        <v>508</v>
      </c>
      <c r="P312" t="s">
        <v>341</v>
      </c>
      <c r="Q312" s="297" t="s">
        <v>389</v>
      </c>
      <c r="R312" s="298"/>
      <c r="S312" s="1" t="s">
        <v>3625</v>
      </c>
      <c r="T312" t="s">
        <v>3620</v>
      </c>
      <c r="X312">
        <v>0</v>
      </c>
      <c r="Y312">
        <v>1</v>
      </c>
      <c r="Z312">
        <v>0</v>
      </c>
      <c r="AA312">
        <v>0</v>
      </c>
      <c r="AB312">
        <v>0</v>
      </c>
      <c r="AC312">
        <v>0</v>
      </c>
      <c r="AD312">
        <v>0</v>
      </c>
      <c r="AE312">
        <v>0</v>
      </c>
      <c r="AF312">
        <v>0</v>
      </c>
      <c r="AG312">
        <v>0</v>
      </c>
      <c r="AH312">
        <v>1</v>
      </c>
      <c r="AI312">
        <v>1</v>
      </c>
      <c r="AJ312">
        <v>1</v>
      </c>
      <c r="AK312">
        <v>1</v>
      </c>
      <c r="AL312">
        <v>0</v>
      </c>
      <c r="AM312">
        <v>0</v>
      </c>
      <c r="AN312">
        <v>0</v>
      </c>
      <c r="AO312">
        <v>0</v>
      </c>
      <c r="AP312">
        <v>0</v>
      </c>
      <c r="AQ312">
        <v>0</v>
      </c>
      <c r="AR312">
        <v>0</v>
      </c>
      <c r="AS312">
        <v>0</v>
      </c>
      <c r="AT312">
        <v>0</v>
      </c>
      <c r="AU312">
        <v>0</v>
      </c>
      <c r="AV312">
        <v>0</v>
      </c>
      <c r="AW312">
        <v>0</v>
      </c>
      <c r="AX312">
        <v>0</v>
      </c>
      <c r="AY312">
        <v>0</v>
      </c>
      <c r="AZ312" s="141">
        <f t="shared" si="334"/>
        <v>5</v>
      </c>
      <c r="BA312" s="141">
        <f t="shared" si="335"/>
        <v>5</v>
      </c>
      <c r="BB312">
        <f t="shared" si="336"/>
        <v>1</v>
      </c>
      <c r="BC312">
        <f t="shared" si="337"/>
        <v>4</v>
      </c>
      <c r="BD312">
        <f t="shared" si="338"/>
        <v>0</v>
      </c>
      <c r="BE312">
        <f t="shared" si="339"/>
        <v>0</v>
      </c>
      <c r="BF312">
        <f t="shared" si="340"/>
        <v>0</v>
      </c>
      <c r="BG312" t="str" cm="1">
        <f t="array" ref="BG312">IF(BA312=1,INDEX($X$7:$AN$7,MATCH(TRUE,INDEX($X312:$AY312&lt;&gt;0,),0)),IF(BA312=0,INDEX($AO$7:$AY$7,MATCH(1,$AO312:$AY312,0)),IF(BH312="Multiple strategies","mixed drivers",IF(BH312="Supply chain","multiple supply","multiple silviculture"))))</f>
        <v>mixed drivers</v>
      </c>
      <c r="BH312" s="2" t="str" cm="1">
        <f t="array" ref="BH312">IF(COUNTIF(BB312:BD312,"&lt;&gt;0")=1,INDEX($X$4:$AY$4,MATCH(TRUE,INDEX($X312:$AY312&lt;&gt;0,),0)),IF(COUNTIF(BB312:BD312,"&lt;&gt;0")=0,INDEX($AO$4:$AY$4,MATCH(1,$AO312:$AY312,0)),"Multiple strategies"))</f>
        <v>Multiple strategies</v>
      </c>
      <c r="BI312" s="142"/>
      <c r="BL312" s="143"/>
      <c r="BN312" s="143"/>
      <c r="BP312" s="158"/>
      <c r="BQ312" s="143"/>
      <c r="BR312" t="s">
        <v>395</v>
      </c>
      <c r="BT312" t="s">
        <v>3621</v>
      </c>
      <c r="BU312">
        <v>173.61053100000004</v>
      </c>
      <c r="BV312">
        <v>-108.71</v>
      </c>
      <c r="BW312" s="144"/>
      <c r="BX312">
        <f t="shared" si="362"/>
        <v>-282.32053100000002</v>
      </c>
      <c r="CA312" t="str">
        <f t="shared" si="352"/>
        <v/>
      </c>
      <c r="CC312">
        <v>1</v>
      </c>
      <c r="CD312">
        <v>0</v>
      </c>
      <c r="CE312">
        <v>0</v>
      </c>
      <c r="CF312">
        <v>0</v>
      </c>
      <c r="CG312">
        <v>0</v>
      </c>
      <c r="CH312">
        <v>0</v>
      </c>
      <c r="CI312">
        <v>0</v>
      </c>
      <c r="CJ312">
        <v>0</v>
      </c>
      <c r="CK312">
        <v>0</v>
      </c>
      <c r="CL312">
        <v>0</v>
      </c>
      <c r="CM312">
        <v>0</v>
      </c>
      <c r="CN312">
        <v>0</v>
      </c>
      <c r="CO312">
        <v>0</v>
      </c>
      <c r="CP312" t="str">
        <f t="shared" si="341"/>
        <v>refOK</v>
      </c>
      <c r="CQ312"/>
      <c r="CR312"/>
      <c r="CS312"/>
      <c r="CT312">
        <f t="shared" si="353"/>
        <v>0</v>
      </c>
      <c r="CU312">
        <f t="shared" si="342"/>
        <v>-173.61053100000004</v>
      </c>
      <c r="CV312">
        <f t="shared" si="331"/>
        <v>108.71</v>
      </c>
      <c r="CW312">
        <f t="shared" si="343"/>
        <v>0</v>
      </c>
      <c r="CX312" t="str">
        <f t="shared" si="354"/>
        <v/>
      </c>
      <c r="CY312" t="str">
        <f t="shared" si="344"/>
        <v/>
      </c>
      <c r="CZ312" t="str">
        <f t="shared" si="355"/>
        <v/>
      </c>
      <c r="DA312" s="2">
        <f t="shared" si="345"/>
        <v>1.6261716923151392</v>
      </c>
      <c r="DB312" s="1" t="s">
        <v>936</v>
      </c>
      <c r="DC312" s="297" t="str">
        <f t="shared" si="363"/>
        <v>loc</v>
      </c>
      <c r="DD312" t="s">
        <v>626</v>
      </c>
      <c r="DF312" s="143"/>
      <c r="DG312" s="143">
        <v>200</v>
      </c>
      <c r="DH312" t="str">
        <f t="shared" si="346"/>
        <v>+100</v>
      </c>
      <c r="DI312">
        <v>0</v>
      </c>
      <c r="DJ312">
        <v>0</v>
      </c>
      <c r="DK312">
        <v>0</v>
      </c>
      <c r="DL312">
        <v>1</v>
      </c>
      <c r="DM312">
        <v>0</v>
      </c>
      <c r="DN312">
        <f t="shared" si="364"/>
        <v>1</v>
      </c>
      <c r="DO312" t="str">
        <f t="shared" si="347"/>
        <v>TimberInput</v>
      </c>
      <c r="DP312">
        <f t="shared" si="348"/>
        <v>0</v>
      </c>
      <c r="DQ312">
        <f t="shared" si="349"/>
        <v>0</v>
      </c>
      <c r="DR312">
        <f t="shared" si="350"/>
        <v>0</v>
      </c>
      <c r="DS312" t="str">
        <f t="shared" si="351"/>
        <v>Timber</v>
      </c>
      <c r="DT312">
        <v>1</v>
      </c>
      <c r="DU312" s="143">
        <v>0</v>
      </c>
      <c r="DV312" s="143">
        <v>0</v>
      </c>
      <c r="DW312">
        <v>0</v>
      </c>
      <c r="DX312" s="143">
        <v>0</v>
      </c>
      <c r="DY312">
        <f t="shared" si="332"/>
        <v>1</v>
      </c>
      <c r="DZ312" s="143" t="str">
        <f t="shared" si="365"/>
        <v>self-calculated DF</v>
      </c>
      <c r="EA312" s="143">
        <v>0</v>
      </c>
      <c r="EB312" s="143">
        <v>0</v>
      </c>
      <c r="EC312" s="143">
        <v>1</v>
      </c>
      <c r="ED312" s="143">
        <v>1</v>
      </c>
      <c r="EE312">
        <v>1</v>
      </c>
      <c r="EF312" s="143">
        <v>1</v>
      </c>
      <c r="EG312" s="143">
        <v>1</v>
      </c>
      <c r="EH312" s="143">
        <v>1</v>
      </c>
      <c r="EI312" s="143">
        <v>1</v>
      </c>
      <c r="EJ312">
        <v>1</v>
      </c>
      <c r="EK312">
        <v>1</v>
      </c>
      <c r="EL312" s="143">
        <v>1</v>
      </c>
      <c r="EM312">
        <v>1</v>
      </c>
      <c r="EN312" s="2">
        <v>0</v>
      </c>
      <c r="EP312" t="str">
        <f t="shared" si="356"/>
        <v>Whole sector approach</v>
      </c>
      <c r="EQ312" t="str">
        <f t="shared" si="333"/>
        <v/>
      </c>
      <c r="ER312" s="2" t="str">
        <f t="shared" si="357"/>
        <v/>
      </c>
      <c r="ES312" t="str">
        <f t="shared" si="358"/>
        <v/>
      </c>
      <c r="ET312" t="str">
        <f t="shared" si="359"/>
        <v/>
      </c>
      <c r="EU312" t="str">
        <f t="shared" si="360"/>
        <v/>
      </c>
      <c r="EY312" t="b">
        <f>IF(ISNUMBER(BW312),IF(ABS(BW312-[1]QC_indicators!$B$2)&gt;3*[1]QC_indicators!$C$2,"C ratio",IF(ISNUMBER(CA312),IF(ABS(CA312-[1]QC_indicators!$B$1)&gt;3*[1]QC_indicators!$C$1,"DF","no"))),IF(ISNUMBER(CA312),IF(ABS(CA312-[1]QC_indicators!$B$1)&gt;3*[1]QC_indicators!$C$1,"DF","no")))</f>
        <v>0</v>
      </c>
      <c r="FA312" t="str">
        <f t="shared" si="361"/>
        <v/>
      </c>
    </row>
    <row r="313" spans="1:157" ht="15" hidden="1" customHeight="1">
      <c r="A313" s="1" t="s">
        <v>3635</v>
      </c>
      <c r="B313" t="s">
        <v>531</v>
      </c>
      <c r="C313" t="s">
        <v>531</v>
      </c>
      <c r="D313" t="s">
        <v>3636</v>
      </c>
      <c r="E313" t="s">
        <v>3637</v>
      </c>
      <c r="F313" t="s">
        <v>3638</v>
      </c>
      <c r="G313" t="s">
        <v>3639</v>
      </c>
      <c r="H313" t="s">
        <v>3640</v>
      </c>
      <c r="I313">
        <v>2019</v>
      </c>
      <c r="J313">
        <v>4</v>
      </c>
      <c r="K313" t="s">
        <v>3641</v>
      </c>
      <c r="M313" t="str">
        <f t="shared" si="323"/>
        <v>Pittau_2019</v>
      </c>
      <c r="N313" s="297" t="s">
        <v>4058</v>
      </c>
      <c r="O313" s="171" t="s">
        <v>508</v>
      </c>
      <c r="P313" t="s">
        <v>341</v>
      </c>
      <c r="Q313" s="297" t="s">
        <v>389</v>
      </c>
      <c r="R313" s="298"/>
      <c r="S313" s="1" t="s">
        <v>3642</v>
      </c>
      <c r="T313" t="s">
        <v>652</v>
      </c>
      <c r="U313" t="s">
        <v>3643</v>
      </c>
      <c r="X313">
        <v>0</v>
      </c>
      <c r="Y313">
        <v>0</v>
      </c>
      <c r="Z313">
        <v>0</v>
      </c>
      <c r="AA313">
        <v>0</v>
      </c>
      <c r="AB313">
        <v>0</v>
      </c>
      <c r="AC313">
        <v>0</v>
      </c>
      <c r="AD313">
        <v>0</v>
      </c>
      <c r="AE313">
        <v>0</v>
      </c>
      <c r="AF313">
        <v>0</v>
      </c>
      <c r="AG313">
        <v>0</v>
      </c>
      <c r="AH313">
        <v>0</v>
      </c>
      <c r="AI313">
        <v>0</v>
      </c>
      <c r="AJ313">
        <v>0</v>
      </c>
      <c r="AK313">
        <v>0</v>
      </c>
      <c r="AL313">
        <v>0</v>
      </c>
      <c r="AM313">
        <v>1</v>
      </c>
      <c r="AN313">
        <v>0</v>
      </c>
      <c r="AO313">
        <v>0</v>
      </c>
      <c r="AP313">
        <v>0</v>
      </c>
      <c r="AQ313">
        <v>0</v>
      </c>
      <c r="AR313">
        <v>0</v>
      </c>
      <c r="AS313">
        <v>0</v>
      </c>
      <c r="AT313">
        <v>0</v>
      </c>
      <c r="AU313">
        <v>0</v>
      </c>
      <c r="AV313">
        <v>0</v>
      </c>
      <c r="AW313">
        <v>0</v>
      </c>
      <c r="AX313">
        <v>0</v>
      </c>
      <c r="AY313">
        <v>0</v>
      </c>
      <c r="AZ313" s="141">
        <f t="shared" si="334"/>
        <v>1</v>
      </c>
      <c r="BA313" s="141">
        <f t="shared" si="335"/>
        <v>1</v>
      </c>
      <c r="BB313">
        <f t="shared" si="336"/>
        <v>0</v>
      </c>
      <c r="BC313">
        <f t="shared" si="337"/>
        <v>0</v>
      </c>
      <c r="BD313">
        <f t="shared" si="338"/>
        <v>1</v>
      </c>
      <c r="BE313">
        <f t="shared" si="339"/>
        <v>0</v>
      </c>
      <c r="BF313">
        <f t="shared" si="340"/>
        <v>0</v>
      </c>
      <c r="BG313" t="str" cm="1">
        <f t="array" ref="BG313">IF(BA313=1,INDEX($X$7:$AN$7,MATCH(TRUE,INDEX($X313:$AY313&lt;&gt;0,),0)),IF(BA313=0,INDEX($AO$7:$AY$7,MATCH(1,$AO313:$AY313,0)),IF(BH313="Multiple strategies","mixed drivers",IF(BH313="Supply chain","multiple supply","multiple silviculture"))))</f>
        <v>technologies/design switch</v>
      </c>
      <c r="BH313" s="2" t="str" cm="1">
        <f t="array" ref="BH313">IF(COUNTIF(BB313:BD313,"&lt;&gt;0")=1,INDEX($X$4:$AY$4,MATCH(TRUE,INDEX($X313:$AY313&lt;&gt;0,),0)),IF(COUNTIF(BB313:BD313,"&lt;&gt;0")=0,INDEX($AO$4:$AY$4,MATCH(1,$AO313:$AY313,0)),"Multiple strategies"))</f>
        <v>Technology</v>
      </c>
      <c r="BI313" s="142"/>
      <c r="BL313" s="143"/>
      <c r="BN313" s="143"/>
      <c r="BO313" t="str">
        <f>IFERROR(BN313/BM313,"")</f>
        <v/>
      </c>
      <c r="BP313" s="158"/>
      <c r="BQ313" s="143"/>
      <c r="BR313" t="s">
        <v>395</v>
      </c>
      <c r="BT313" t="s">
        <v>397</v>
      </c>
      <c r="BU313">
        <v>34600</v>
      </c>
      <c r="BV313">
        <v>22400</v>
      </c>
      <c r="BW313" s="144"/>
      <c r="BX313">
        <f t="shared" si="362"/>
        <v>-12200</v>
      </c>
      <c r="CA313" t="str">
        <f t="shared" si="352"/>
        <v/>
      </c>
      <c r="CB313">
        <v>1</v>
      </c>
      <c r="CC313">
        <v>0</v>
      </c>
      <c r="CD313">
        <v>0</v>
      </c>
      <c r="CE313">
        <v>0</v>
      </c>
      <c r="CF313">
        <v>0</v>
      </c>
      <c r="CG313">
        <v>0</v>
      </c>
      <c r="CH313">
        <v>1</v>
      </c>
      <c r="CI313">
        <v>0</v>
      </c>
      <c r="CJ313">
        <v>0</v>
      </c>
      <c r="CK313">
        <v>1</v>
      </c>
      <c r="CL313">
        <v>1</v>
      </c>
      <c r="CM313">
        <v>0</v>
      </c>
      <c r="CN313">
        <v>0</v>
      </c>
      <c r="CO313">
        <v>0</v>
      </c>
      <c r="CP313" t="str">
        <f t="shared" si="341"/>
        <v>refOK</v>
      </c>
      <c r="CQ313"/>
      <c r="CR313"/>
      <c r="CS313"/>
      <c r="CT313">
        <f t="shared" si="353"/>
        <v>0</v>
      </c>
      <c r="CU313">
        <f t="shared" si="342"/>
        <v>-34600</v>
      </c>
      <c r="CV313">
        <f t="shared" si="331"/>
        <v>-22400</v>
      </c>
      <c r="CW313">
        <f t="shared" si="343"/>
        <v>0</v>
      </c>
      <c r="CX313" t="str">
        <f t="shared" si="354"/>
        <v/>
      </c>
      <c r="CY313" t="str">
        <f t="shared" si="344"/>
        <v/>
      </c>
      <c r="CZ313" t="str">
        <f t="shared" si="355"/>
        <v/>
      </c>
      <c r="DA313" s="2">
        <f t="shared" si="345"/>
        <v>0.35260115606936415</v>
      </c>
      <c r="DB313" s="1" t="s">
        <v>263</v>
      </c>
      <c r="DC313" s="297" t="str">
        <f t="shared" si="363"/>
        <v>loc</v>
      </c>
      <c r="DD313" t="s">
        <v>718</v>
      </c>
      <c r="DF313" s="143"/>
      <c r="DG313">
        <v>0</v>
      </c>
      <c r="DH313" t="str">
        <f t="shared" si="346"/>
        <v>0</v>
      </c>
      <c r="DI313">
        <v>0</v>
      </c>
      <c r="DJ313">
        <v>0</v>
      </c>
      <c r="DK313">
        <v>0</v>
      </c>
      <c r="DL313">
        <v>1</v>
      </c>
      <c r="DM313">
        <v>0</v>
      </c>
      <c r="DN313">
        <f t="shared" si="364"/>
        <v>1</v>
      </c>
      <c r="DO313" t="str">
        <f t="shared" si="347"/>
        <v>TimberInput</v>
      </c>
      <c r="DP313">
        <f t="shared" si="348"/>
        <v>0</v>
      </c>
      <c r="DQ313">
        <f t="shared" si="349"/>
        <v>0</v>
      </c>
      <c r="DR313">
        <f t="shared" si="350"/>
        <v>0</v>
      </c>
      <c r="DS313" t="str">
        <f t="shared" si="351"/>
        <v>Timber</v>
      </c>
      <c r="DT313">
        <v>0</v>
      </c>
      <c r="DU313" s="143">
        <v>1</v>
      </c>
      <c r="DV313" s="143" t="s">
        <v>3644</v>
      </c>
      <c r="DW313" t="s">
        <v>3644</v>
      </c>
      <c r="DX313" s="143" t="s">
        <v>3644</v>
      </c>
      <c r="DY313">
        <f t="shared" si="332"/>
        <v>1</v>
      </c>
      <c r="DZ313" s="143" t="str">
        <f t="shared" si="365"/>
        <v>external DF used</v>
      </c>
      <c r="EA313" s="143">
        <v>0</v>
      </c>
      <c r="EB313" s="143">
        <v>0</v>
      </c>
      <c r="EC313" s="143">
        <v>0</v>
      </c>
      <c r="ED313" s="143">
        <v>1</v>
      </c>
      <c r="EE313">
        <v>1</v>
      </c>
      <c r="EF313" s="143">
        <v>0</v>
      </c>
      <c r="EG313" s="143">
        <v>0</v>
      </c>
      <c r="EH313" s="143">
        <v>1</v>
      </c>
      <c r="EI313" s="143">
        <v>1</v>
      </c>
      <c r="EJ313">
        <v>1</v>
      </c>
      <c r="EK313">
        <v>0</v>
      </c>
      <c r="EL313" s="143">
        <v>0</v>
      </c>
      <c r="EM313">
        <v>0</v>
      </c>
      <c r="EN313" s="2">
        <v>0</v>
      </c>
      <c r="EP313" t="str">
        <f t="shared" si="356"/>
        <v/>
      </c>
      <c r="EQ313" t="str">
        <f t="shared" si="333"/>
        <v/>
      </c>
      <c r="ER313" s="2" t="str">
        <f t="shared" si="357"/>
        <v>Technology approach</v>
      </c>
      <c r="ES313" t="str">
        <f t="shared" si="358"/>
        <v/>
      </c>
      <c r="ET313" t="str">
        <f t="shared" si="359"/>
        <v/>
      </c>
      <c r="EU313" t="str">
        <f t="shared" si="360"/>
        <v/>
      </c>
      <c r="EY313" t="b">
        <f>IF(ISNUMBER(BW313),IF(ABS(BW313-[1]QC_indicators!$B$2)&gt;3*[1]QC_indicators!$C$2,"C ratio",IF(ISNUMBER(CA313),IF(ABS(CA313-[1]QC_indicators!$B$1)&gt;3*[1]QC_indicators!$C$1,"DF","no"))),IF(ISNUMBER(CA313),IF(ABS(CA313-[1]QC_indicators!$B$1)&gt;3*[1]QC_indicators!$C$1,"DF","no")))</f>
        <v>0</v>
      </c>
      <c r="FA313" t="str">
        <f t="shared" si="361"/>
        <v/>
      </c>
    </row>
    <row r="314" spans="1:157" ht="15" hidden="1" customHeight="1">
      <c r="A314" s="1" t="s">
        <v>985</v>
      </c>
      <c r="B314" t="s">
        <v>3645</v>
      </c>
      <c r="C314" t="s">
        <v>3646</v>
      </c>
      <c r="D314" t="s">
        <v>3647</v>
      </c>
      <c r="E314" s="297" t="s">
        <v>3648</v>
      </c>
      <c r="F314" t="s">
        <v>3649</v>
      </c>
      <c r="G314" t="s">
        <v>3650</v>
      </c>
      <c r="H314" t="s">
        <v>254</v>
      </c>
      <c r="I314">
        <v>2020</v>
      </c>
      <c r="J314">
        <v>2</v>
      </c>
      <c r="K314" t="s">
        <v>3651</v>
      </c>
      <c r="M314" t="str">
        <f t="shared" si="323"/>
        <v>Pittau_2020</v>
      </c>
      <c r="N314" s="297" t="s">
        <v>4058</v>
      </c>
      <c r="O314" s="171" t="s">
        <v>508</v>
      </c>
      <c r="P314" t="s">
        <v>341</v>
      </c>
      <c r="Q314" s="297" t="s">
        <v>389</v>
      </c>
      <c r="R314" s="298"/>
      <c r="S314" s="1" t="s">
        <v>3661</v>
      </c>
      <c r="T314" t="s">
        <v>3653</v>
      </c>
      <c r="U314" t="s">
        <v>3662</v>
      </c>
      <c r="X314">
        <v>0</v>
      </c>
      <c r="Y314">
        <v>0</v>
      </c>
      <c r="Z314">
        <v>0</v>
      </c>
      <c r="AA314">
        <v>0</v>
      </c>
      <c r="AB314">
        <v>0</v>
      </c>
      <c r="AC314">
        <v>0</v>
      </c>
      <c r="AD314">
        <v>0</v>
      </c>
      <c r="AE314">
        <v>0</v>
      </c>
      <c r="AF314">
        <v>0</v>
      </c>
      <c r="AG314">
        <v>0</v>
      </c>
      <c r="AH314">
        <v>0</v>
      </c>
      <c r="AI314">
        <v>0</v>
      </c>
      <c r="AJ314">
        <v>1</v>
      </c>
      <c r="AK314">
        <v>0</v>
      </c>
      <c r="AL314">
        <v>0</v>
      </c>
      <c r="AM314">
        <v>1</v>
      </c>
      <c r="AN314">
        <v>0</v>
      </c>
      <c r="AO314">
        <v>0</v>
      </c>
      <c r="AP314">
        <v>0</v>
      </c>
      <c r="AQ314">
        <v>0</v>
      </c>
      <c r="AR314">
        <v>0</v>
      </c>
      <c r="AS314">
        <v>0</v>
      </c>
      <c r="AT314">
        <v>0</v>
      </c>
      <c r="AU314">
        <v>0</v>
      </c>
      <c r="AV314">
        <v>0</v>
      </c>
      <c r="AW314">
        <v>0</v>
      </c>
      <c r="AX314">
        <v>0</v>
      </c>
      <c r="AY314">
        <v>0</v>
      </c>
      <c r="AZ314" s="141">
        <f t="shared" si="334"/>
        <v>2</v>
      </c>
      <c r="BA314" s="141">
        <f t="shared" si="335"/>
        <v>2</v>
      </c>
      <c r="BB314">
        <f t="shared" si="336"/>
        <v>0</v>
      </c>
      <c r="BC314">
        <f t="shared" si="337"/>
        <v>1</v>
      </c>
      <c r="BD314">
        <f t="shared" si="338"/>
        <v>1</v>
      </c>
      <c r="BE314">
        <f t="shared" si="339"/>
        <v>0</v>
      </c>
      <c r="BF314">
        <f t="shared" si="340"/>
        <v>0</v>
      </c>
      <c r="BG314" t="str" cm="1">
        <f t="array" ref="BG314">IF(BA314=1,INDEX($X$7:$AN$7,MATCH(TRUE,INDEX($X314:$AY314&lt;&gt;0,),0)),IF(BA314=0,INDEX($AO$7:$AY$7,MATCH(1,$AO314:$AY314,0)),IF(BH314="Multiple strategies","mixed drivers",IF(BH314="Supply chain","multiple supply","multiple silviculture"))))</f>
        <v>mixed drivers</v>
      </c>
      <c r="BH314" s="2" t="str" cm="1">
        <f t="array" ref="BH314">IF(COUNTIF(BB314:BD314,"&lt;&gt;0")=1,INDEX($X$4:$AY$4,MATCH(TRUE,INDEX($X314:$AY314&lt;&gt;0,),0)),IF(COUNTIF(BB314:BD314,"&lt;&gt;0")=0,INDEX($AO$4:$AY$4,MATCH(1,$AO314:$AY314,0)),"Multiple strategies"))</f>
        <v>Multiple strategies</v>
      </c>
      <c r="BR314" t="s">
        <v>395</v>
      </c>
      <c r="BT314" t="s">
        <v>397</v>
      </c>
      <c r="BU314">
        <v>519</v>
      </c>
      <c r="BV314">
        <v>405.58659217877067</v>
      </c>
      <c r="BW314" s="144"/>
      <c r="BX314">
        <f t="shared" si="362"/>
        <v>-113.41340782122933</v>
      </c>
      <c r="CA314" t="str">
        <f t="shared" si="352"/>
        <v/>
      </c>
      <c r="CB314">
        <v>1</v>
      </c>
      <c r="CC314">
        <v>0</v>
      </c>
      <c r="CD314">
        <v>0</v>
      </c>
      <c r="CE314">
        <v>0</v>
      </c>
      <c r="CF314">
        <v>0</v>
      </c>
      <c r="CG314">
        <v>0</v>
      </c>
      <c r="CH314">
        <v>1</v>
      </c>
      <c r="CI314">
        <v>0</v>
      </c>
      <c r="CJ314">
        <v>0</v>
      </c>
      <c r="CK314">
        <v>0</v>
      </c>
      <c r="CL314">
        <v>1</v>
      </c>
      <c r="CM314">
        <v>0</v>
      </c>
      <c r="CN314">
        <v>0</v>
      </c>
      <c r="CO314">
        <v>0</v>
      </c>
      <c r="CP314" t="str">
        <f t="shared" si="341"/>
        <v>refOK</v>
      </c>
      <c r="CQ314"/>
      <c r="CR314"/>
      <c r="CS314"/>
      <c r="CT314">
        <f t="shared" si="353"/>
        <v>0</v>
      </c>
      <c r="CU314">
        <f t="shared" si="342"/>
        <v>-519</v>
      </c>
      <c r="CV314">
        <f t="shared" si="331"/>
        <v>-405.58659217877067</v>
      </c>
      <c r="CW314">
        <f t="shared" si="343"/>
        <v>0</v>
      </c>
      <c r="CX314" t="str">
        <f t="shared" si="354"/>
        <v/>
      </c>
      <c r="CY314" t="str">
        <f t="shared" si="344"/>
        <v/>
      </c>
      <c r="CZ314" t="str">
        <f t="shared" si="355"/>
        <v/>
      </c>
      <c r="DA314" s="2">
        <f t="shared" si="345"/>
        <v>0.21852294377886189</v>
      </c>
      <c r="DB314" s="1" t="s">
        <v>936</v>
      </c>
      <c r="DC314" s="297" t="str">
        <f t="shared" si="363"/>
        <v>loc</v>
      </c>
      <c r="DD314" t="s">
        <v>718</v>
      </c>
      <c r="DG314">
        <v>0</v>
      </c>
      <c r="DH314" t="str">
        <f t="shared" si="346"/>
        <v>0</v>
      </c>
      <c r="DI314">
        <v>0</v>
      </c>
      <c r="DJ314">
        <v>0</v>
      </c>
      <c r="DK314">
        <v>0</v>
      </c>
      <c r="DL314">
        <v>1</v>
      </c>
      <c r="DM314">
        <v>0</v>
      </c>
      <c r="DN314">
        <f t="shared" si="364"/>
        <v>1</v>
      </c>
      <c r="DO314" t="str">
        <f t="shared" si="347"/>
        <v>TimberInput</v>
      </c>
      <c r="DP314">
        <f t="shared" si="348"/>
        <v>0</v>
      </c>
      <c r="DQ314">
        <f t="shared" si="349"/>
        <v>0</v>
      </c>
      <c r="DR314">
        <f t="shared" si="350"/>
        <v>0</v>
      </c>
      <c r="DS314" t="str">
        <f t="shared" si="351"/>
        <v>Timber</v>
      </c>
      <c r="DT314">
        <v>0</v>
      </c>
      <c r="DU314" s="143">
        <v>1</v>
      </c>
      <c r="DV314" s="143" t="s">
        <v>3644</v>
      </c>
      <c r="DW314" t="s">
        <v>3644</v>
      </c>
      <c r="DX314" s="143" t="s">
        <v>3644</v>
      </c>
      <c r="DY314">
        <f t="shared" si="332"/>
        <v>1</v>
      </c>
      <c r="DZ314" s="143" t="str">
        <f t="shared" si="365"/>
        <v>external DF used</v>
      </c>
      <c r="EA314">
        <v>0</v>
      </c>
      <c r="EB314">
        <v>0</v>
      </c>
      <c r="EC314">
        <v>0</v>
      </c>
      <c r="ED314">
        <v>1</v>
      </c>
      <c r="EE314">
        <v>1</v>
      </c>
      <c r="EF314" s="143">
        <v>1</v>
      </c>
      <c r="EG314">
        <v>0</v>
      </c>
      <c r="EH314">
        <v>1</v>
      </c>
      <c r="EI314">
        <v>1</v>
      </c>
      <c r="EJ314">
        <v>1</v>
      </c>
      <c r="EK314">
        <v>0</v>
      </c>
      <c r="EL314">
        <v>0</v>
      </c>
      <c r="EM314">
        <v>0</v>
      </c>
      <c r="EN314" s="2">
        <v>0</v>
      </c>
      <c r="EP314" t="str">
        <f t="shared" si="356"/>
        <v/>
      </c>
      <c r="EQ314" t="str">
        <f t="shared" si="333"/>
        <v/>
      </c>
      <c r="ER314" s="2" t="str">
        <f t="shared" si="357"/>
        <v>Technology approach</v>
      </c>
      <c r="ES314" t="str">
        <f t="shared" si="358"/>
        <v/>
      </c>
      <c r="ET314" t="str">
        <f t="shared" si="359"/>
        <v/>
      </c>
      <c r="EU314" t="str">
        <f t="shared" si="360"/>
        <v/>
      </c>
      <c r="EY314" t="b">
        <f>IF(ISNUMBER(BW314),IF(ABS(BW314-[1]QC_indicators!$B$2)&gt;3*[1]QC_indicators!$C$2,"C ratio",IF(ISNUMBER(CA314),IF(ABS(CA314-[1]QC_indicators!$B$1)&gt;3*[1]QC_indicators!$C$1,"DF","no"))),IF(ISNUMBER(CA314),IF(ABS(CA314-[1]QC_indicators!$B$1)&gt;3*[1]QC_indicators!$C$1,"DF","no")))</f>
        <v>0</v>
      </c>
      <c r="FA314" t="str">
        <f t="shared" si="361"/>
        <v/>
      </c>
    </row>
    <row r="315" spans="1:157" ht="15" hidden="1" customHeight="1">
      <c r="A315" s="1" t="s">
        <v>985</v>
      </c>
      <c r="B315" t="s">
        <v>3645</v>
      </c>
      <c r="C315" t="s">
        <v>3646</v>
      </c>
      <c r="D315" t="s">
        <v>3647</v>
      </c>
      <c r="E315" t="s">
        <v>3648</v>
      </c>
      <c r="F315" t="s">
        <v>3649</v>
      </c>
      <c r="G315" t="s">
        <v>3650</v>
      </c>
      <c r="H315" t="s">
        <v>254</v>
      </c>
      <c r="I315">
        <v>2020</v>
      </c>
      <c r="J315">
        <v>2</v>
      </c>
      <c r="K315" t="s">
        <v>3651</v>
      </c>
      <c r="M315" t="str">
        <f t="shared" si="323"/>
        <v>Pittau_2020</v>
      </c>
      <c r="N315" s="297" t="s">
        <v>4058</v>
      </c>
      <c r="O315" s="171" t="s">
        <v>508</v>
      </c>
      <c r="P315" t="s">
        <v>341</v>
      </c>
      <c r="Q315" s="297" t="s">
        <v>389</v>
      </c>
      <c r="R315" s="298"/>
      <c r="S315" s="1" t="s">
        <v>3659</v>
      </c>
      <c r="T315" t="s">
        <v>3653</v>
      </c>
      <c r="U315" t="s">
        <v>3660</v>
      </c>
      <c r="X315">
        <v>0</v>
      </c>
      <c r="Y315">
        <v>0</v>
      </c>
      <c r="Z315">
        <v>0</v>
      </c>
      <c r="AA315">
        <v>0</v>
      </c>
      <c r="AB315">
        <v>0</v>
      </c>
      <c r="AC315">
        <v>0</v>
      </c>
      <c r="AD315">
        <v>0</v>
      </c>
      <c r="AE315">
        <v>0</v>
      </c>
      <c r="AF315">
        <v>0</v>
      </c>
      <c r="AG315">
        <v>0</v>
      </c>
      <c r="AH315">
        <v>0</v>
      </c>
      <c r="AI315">
        <v>0</v>
      </c>
      <c r="AJ315">
        <v>1</v>
      </c>
      <c r="AK315">
        <v>0</v>
      </c>
      <c r="AL315">
        <v>0</v>
      </c>
      <c r="AM315">
        <v>1</v>
      </c>
      <c r="AN315">
        <v>0</v>
      </c>
      <c r="AO315">
        <v>0</v>
      </c>
      <c r="AP315">
        <v>0</v>
      </c>
      <c r="AQ315">
        <v>0</v>
      </c>
      <c r="AR315">
        <v>0</v>
      </c>
      <c r="AS315">
        <v>0</v>
      </c>
      <c r="AT315">
        <v>0</v>
      </c>
      <c r="AU315">
        <v>0</v>
      </c>
      <c r="AV315">
        <v>0</v>
      </c>
      <c r="AW315">
        <v>0</v>
      </c>
      <c r="AX315">
        <v>0</v>
      </c>
      <c r="AY315">
        <v>0</v>
      </c>
      <c r="AZ315" s="141">
        <f t="shared" si="334"/>
        <v>2</v>
      </c>
      <c r="BA315" s="141">
        <f t="shared" si="335"/>
        <v>2</v>
      </c>
      <c r="BB315">
        <f t="shared" si="336"/>
        <v>0</v>
      </c>
      <c r="BC315">
        <f t="shared" si="337"/>
        <v>1</v>
      </c>
      <c r="BD315">
        <f t="shared" si="338"/>
        <v>1</v>
      </c>
      <c r="BE315">
        <f t="shared" si="339"/>
        <v>0</v>
      </c>
      <c r="BF315">
        <f t="shared" si="340"/>
        <v>0</v>
      </c>
      <c r="BG315" t="str" cm="1">
        <f t="array" ref="BG315">IF(BA315=1,INDEX($X$7:$AN$7,MATCH(TRUE,INDEX($X315:$AY315&lt;&gt;0,),0)),IF(BA315=0,INDEX($AO$7:$AY$7,MATCH(1,$AO315:$AY315,0)),IF(BH315="Multiple strategies","mixed drivers",IF(BH315="Supply chain","multiple supply","multiple silviculture"))))</f>
        <v>mixed drivers</v>
      </c>
      <c r="BH315" s="2" t="str" cm="1">
        <f t="array" ref="BH315">IF(COUNTIF(BB315:BD315,"&lt;&gt;0")=1,INDEX($X$4:$AY$4,MATCH(TRUE,INDEX($X315:$AY315&lt;&gt;0,),0)),IF(COUNTIF(BB315:BD315,"&lt;&gt;0")=0,INDEX($AO$4:$AY$4,MATCH(1,$AO315:$AY315,0)),"Multiple strategies"))</f>
        <v>Multiple strategies</v>
      </c>
      <c r="BR315" t="s">
        <v>395</v>
      </c>
      <c r="BT315" t="s">
        <v>397</v>
      </c>
      <c r="BU315">
        <v>519</v>
      </c>
      <c r="BV315">
        <v>374.86033519553069</v>
      </c>
      <c r="BW315" s="144"/>
      <c r="BX315">
        <f t="shared" si="362"/>
        <v>-144.13966480446931</v>
      </c>
      <c r="CA315" t="str">
        <f t="shared" si="352"/>
        <v/>
      </c>
      <c r="CB315">
        <v>1</v>
      </c>
      <c r="CC315">
        <v>0</v>
      </c>
      <c r="CD315">
        <v>0</v>
      </c>
      <c r="CE315">
        <v>0</v>
      </c>
      <c r="CF315">
        <v>0</v>
      </c>
      <c r="CG315">
        <v>0</v>
      </c>
      <c r="CH315">
        <v>1</v>
      </c>
      <c r="CI315">
        <v>0</v>
      </c>
      <c r="CJ315">
        <v>0</v>
      </c>
      <c r="CK315">
        <v>0</v>
      </c>
      <c r="CL315">
        <v>1</v>
      </c>
      <c r="CM315">
        <v>0</v>
      </c>
      <c r="CN315">
        <v>0</v>
      </c>
      <c r="CO315">
        <v>0</v>
      </c>
      <c r="CP315" t="str">
        <f t="shared" si="341"/>
        <v>refOK</v>
      </c>
      <c r="CQ315"/>
      <c r="CR315"/>
      <c r="CS315"/>
      <c r="CT315">
        <f t="shared" si="353"/>
        <v>0</v>
      </c>
      <c r="CU315">
        <f t="shared" si="342"/>
        <v>-519</v>
      </c>
      <c r="CV315">
        <f t="shared" si="331"/>
        <v>-374.86033519553069</v>
      </c>
      <c r="CW315">
        <f t="shared" si="343"/>
        <v>0</v>
      </c>
      <c r="CX315" t="str">
        <f t="shared" si="354"/>
        <v/>
      </c>
      <c r="CY315" t="str">
        <f t="shared" si="344"/>
        <v/>
      </c>
      <c r="CZ315" t="str">
        <f t="shared" si="355"/>
        <v/>
      </c>
      <c r="DA315" s="2">
        <f t="shared" si="345"/>
        <v>0.27772575106834163</v>
      </c>
      <c r="DB315" s="1" t="s">
        <v>936</v>
      </c>
      <c r="DC315" s="297" t="str">
        <f t="shared" si="363"/>
        <v>loc</v>
      </c>
      <c r="DD315" t="s">
        <v>718</v>
      </c>
      <c r="DG315">
        <v>0</v>
      </c>
      <c r="DH315" t="str">
        <f t="shared" si="346"/>
        <v>0</v>
      </c>
      <c r="DI315">
        <v>0</v>
      </c>
      <c r="DJ315">
        <v>0</v>
      </c>
      <c r="DK315">
        <v>0</v>
      </c>
      <c r="DL315">
        <v>1</v>
      </c>
      <c r="DM315">
        <v>0</v>
      </c>
      <c r="DN315">
        <f t="shared" si="364"/>
        <v>1</v>
      </c>
      <c r="DO315" t="str">
        <f t="shared" si="347"/>
        <v>TimberInput</v>
      </c>
      <c r="DP315">
        <f t="shared" si="348"/>
        <v>0</v>
      </c>
      <c r="DQ315">
        <f t="shared" si="349"/>
        <v>0</v>
      </c>
      <c r="DR315">
        <f t="shared" si="350"/>
        <v>0</v>
      </c>
      <c r="DS315" t="str">
        <f t="shared" si="351"/>
        <v>Timber</v>
      </c>
      <c r="DT315">
        <v>0</v>
      </c>
      <c r="DU315" s="143">
        <v>1</v>
      </c>
      <c r="DV315" s="143" t="s">
        <v>3644</v>
      </c>
      <c r="DW315" t="s">
        <v>3644</v>
      </c>
      <c r="DX315" s="143" t="s">
        <v>3644</v>
      </c>
      <c r="DY315">
        <f t="shared" si="332"/>
        <v>1</v>
      </c>
      <c r="DZ315" s="143" t="str">
        <f t="shared" si="365"/>
        <v>external DF used</v>
      </c>
      <c r="EA315">
        <v>0</v>
      </c>
      <c r="EB315">
        <v>0</v>
      </c>
      <c r="EC315">
        <v>0</v>
      </c>
      <c r="ED315">
        <v>1</v>
      </c>
      <c r="EE315">
        <v>1</v>
      </c>
      <c r="EF315" s="143">
        <v>1</v>
      </c>
      <c r="EG315">
        <v>0</v>
      </c>
      <c r="EH315">
        <v>1</v>
      </c>
      <c r="EI315">
        <v>1</v>
      </c>
      <c r="EJ315">
        <v>1</v>
      </c>
      <c r="EK315">
        <v>0</v>
      </c>
      <c r="EL315">
        <v>0</v>
      </c>
      <c r="EM315">
        <v>0</v>
      </c>
      <c r="EN315" s="2">
        <v>0</v>
      </c>
      <c r="EP315" t="str">
        <f t="shared" si="356"/>
        <v/>
      </c>
      <c r="EQ315" t="str">
        <f t="shared" si="333"/>
        <v/>
      </c>
      <c r="ER315" s="2" t="str">
        <f t="shared" si="357"/>
        <v>Technology approach</v>
      </c>
      <c r="ES315" t="str">
        <f t="shared" si="358"/>
        <v/>
      </c>
      <c r="ET315" t="str">
        <f t="shared" si="359"/>
        <v/>
      </c>
      <c r="EU315" t="str">
        <f t="shared" si="360"/>
        <v/>
      </c>
      <c r="EY315" t="b">
        <f>IF(ISNUMBER(BW315),IF(ABS(BW315-[1]QC_indicators!$B$2)&gt;3*[1]QC_indicators!$C$2,"C ratio",IF(ISNUMBER(CA315),IF(ABS(CA315-[1]QC_indicators!$B$1)&gt;3*[1]QC_indicators!$C$1,"DF","no"))),IF(ISNUMBER(CA315),IF(ABS(CA315-[1]QC_indicators!$B$1)&gt;3*[1]QC_indicators!$C$1,"DF","no")))</f>
        <v>0</v>
      </c>
      <c r="FA315" t="str">
        <f t="shared" si="361"/>
        <v/>
      </c>
    </row>
    <row r="316" spans="1:157" ht="15" hidden="1" customHeight="1">
      <c r="A316" s="1" t="s">
        <v>985</v>
      </c>
      <c r="B316" t="s">
        <v>3645</v>
      </c>
      <c r="C316" t="s">
        <v>3646</v>
      </c>
      <c r="D316" t="s">
        <v>3647</v>
      </c>
      <c r="E316" t="s">
        <v>3648</v>
      </c>
      <c r="F316" t="s">
        <v>3649</v>
      </c>
      <c r="G316" t="s">
        <v>3650</v>
      </c>
      <c r="H316" t="s">
        <v>254</v>
      </c>
      <c r="I316">
        <v>2020</v>
      </c>
      <c r="J316">
        <v>2</v>
      </c>
      <c r="K316" t="s">
        <v>3651</v>
      </c>
      <c r="M316" t="str">
        <f t="shared" si="323"/>
        <v>Pittau_2020</v>
      </c>
      <c r="N316" s="297" t="s">
        <v>4058</v>
      </c>
      <c r="O316" s="171" t="s">
        <v>508</v>
      </c>
      <c r="P316" t="s">
        <v>341</v>
      </c>
      <c r="Q316" s="297" t="s">
        <v>389</v>
      </c>
      <c r="R316" s="298"/>
      <c r="S316" s="1" t="s">
        <v>3657</v>
      </c>
      <c r="T316" t="s">
        <v>3653</v>
      </c>
      <c r="U316" t="s">
        <v>3658</v>
      </c>
      <c r="X316">
        <v>0</v>
      </c>
      <c r="Y316">
        <v>0</v>
      </c>
      <c r="Z316">
        <v>0</v>
      </c>
      <c r="AA316">
        <v>0</v>
      </c>
      <c r="AB316">
        <v>0</v>
      </c>
      <c r="AC316">
        <v>0</v>
      </c>
      <c r="AD316">
        <v>0</v>
      </c>
      <c r="AE316">
        <v>0</v>
      </c>
      <c r="AF316">
        <v>0</v>
      </c>
      <c r="AG316">
        <v>0</v>
      </c>
      <c r="AH316">
        <v>0</v>
      </c>
      <c r="AI316">
        <v>0</v>
      </c>
      <c r="AJ316">
        <v>1</v>
      </c>
      <c r="AK316">
        <v>0</v>
      </c>
      <c r="AL316">
        <v>0</v>
      </c>
      <c r="AM316">
        <v>1</v>
      </c>
      <c r="AN316">
        <v>0</v>
      </c>
      <c r="AO316">
        <v>0</v>
      </c>
      <c r="AP316">
        <v>0</v>
      </c>
      <c r="AQ316">
        <v>0</v>
      </c>
      <c r="AR316">
        <v>0</v>
      </c>
      <c r="AS316">
        <v>0</v>
      </c>
      <c r="AT316">
        <v>0</v>
      </c>
      <c r="AU316">
        <v>0</v>
      </c>
      <c r="AV316">
        <v>0</v>
      </c>
      <c r="AW316">
        <v>0</v>
      </c>
      <c r="AX316">
        <v>0</v>
      </c>
      <c r="AY316">
        <v>0</v>
      </c>
      <c r="AZ316" s="141">
        <f t="shared" si="334"/>
        <v>2</v>
      </c>
      <c r="BA316" s="141">
        <f t="shared" si="335"/>
        <v>2</v>
      </c>
      <c r="BB316">
        <f t="shared" si="336"/>
        <v>0</v>
      </c>
      <c r="BC316">
        <f t="shared" si="337"/>
        <v>1</v>
      </c>
      <c r="BD316">
        <f t="shared" si="338"/>
        <v>1</v>
      </c>
      <c r="BE316">
        <f t="shared" si="339"/>
        <v>0</v>
      </c>
      <c r="BF316">
        <f t="shared" si="340"/>
        <v>0</v>
      </c>
      <c r="BG316" t="str" cm="1">
        <f t="array" ref="BG316">IF(BA316=1,INDEX($X$7:$AN$7,MATCH(TRUE,INDEX($X316:$AY316&lt;&gt;0,),0)),IF(BA316=0,INDEX($AO$7:$AY$7,MATCH(1,$AO316:$AY316,0)),IF(BH316="Multiple strategies","mixed drivers",IF(BH316="Supply chain","multiple supply","multiple silviculture"))))</f>
        <v>mixed drivers</v>
      </c>
      <c r="BH316" s="2" t="str" cm="1">
        <f t="array" ref="BH316">IF(COUNTIF(BB316:BD316,"&lt;&gt;0")=1,INDEX($X$4:$AY$4,MATCH(TRUE,INDEX($X316:$AY316&lt;&gt;0,),0)),IF(COUNTIF(BB316:BD316,"&lt;&gt;0")=0,INDEX($AO$4:$AY$4,MATCH(1,$AO316:$AY316,0)),"Multiple strategies"))</f>
        <v>Multiple strategies</v>
      </c>
      <c r="BR316" t="s">
        <v>395</v>
      </c>
      <c r="BT316" t="s">
        <v>397</v>
      </c>
      <c r="BU316">
        <v>519</v>
      </c>
      <c r="BV316">
        <v>82.960893854747695</v>
      </c>
      <c r="BW316" s="144"/>
      <c r="BX316">
        <f t="shared" si="362"/>
        <v>-436.03910614525228</v>
      </c>
      <c r="CA316" t="str">
        <f t="shared" si="352"/>
        <v/>
      </c>
      <c r="CB316">
        <v>1</v>
      </c>
      <c r="CC316">
        <v>0</v>
      </c>
      <c r="CD316">
        <v>0</v>
      </c>
      <c r="CE316">
        <v>0</v>
      </c>
      <c r="CF316">
        <v>0</v>
      </c>
      <c r="CG316">
        <v>0</v>
      </c>
      <c r="CH316">
        <v>1</v>
      </c>
      <c r="CI316">
        <v>0</v>
      </c>
      <c r="CJ316">
        <v>0</v>
      </c>
      <c r="CK316">
        <v>0</v>
      </c>
      <c r="CL316">
        <v>1</v>
      </c>
      <c r="CM316">
        <v>0</v>
      </c>
      <c r="CN316">
        <v>0</v>
      </c>
      <c r="CO316">
        <v>0</v>
      </c>
      <c r="CP316" t="str">
        <f t="shared" si="341"/>
        <v>refOK</v>
      </c>
      <c r="CQ316"/>
      <c r="CR316"/>
      <c r="CS316"/>
      <c r="CT316">
        <f t="shared" si="353"/>
        <v>0</v>
      </c>
      <c r="CU316">
        <f t="shared" si="342"/>
        <v>-519</v>
      </c>
      <c r="CV316">
        <f t="shared" si="331"/>
        <v>-82.960893854747695</v>
      </c>
      <c r="CW316">
        <f t="shared" si="343"/>
        <v>0</v>
      </c>
      <c r="CX316" t="str">
        <f t="shared" si="354"/>
        <v/>
      </c>
      <c r="CY316" t="str">
        <f t="shared" si="344"/>
        <v/>
      </c>
      <c r="CZ316" t="str">
        <f t="shared" si="355"/>
        <v/>
      </c>
      <c r="DA316" s="2">
        <f t="shared" si="345"/>
        <v>0.8401524203184052</v>
      </c>
      <c r="DB316" s="1" t="s">
        <v>936</v>
      </c>
      <c r="DC316" s="297" t="str">
        <f t="shared" si="363"/>
        <v>loc</v>
      </c>
      <c r="DD316" t="s">
        <v>718</v>
      </c>
      <c r="DG316">
        <v>0</v>
      </c>
      <c r="DH316" t="str">
        <f t="shared" si="346"/>
        <v>0</v>
      </c>
      <c r="DI316">
        <v>0</v>
      </c>
      <c r="DJ316">
        <v>0</v>
      </c>
      <c r="DK316">
        <v>0</v>
      </c>
      <c r="DL316">
        <v>1</v>
      </c>
      <c r="DM316">
        <v>0</v>
      </c>
      <c r="DN316">
        <f t="shared" si="364"/>
        <v>1</v>
      </c>
      <c r="DO316" t="str">
        <f t="shared" si="347"/>
        <v>TimberInput</v>
      </c>
      <c r="DP316">
        <f t="shared" si="348"/>
        <v>0</v>
      </c>
      <c r="DQ316">
        <f t="shared" si="349"/>
        <v>0</v>
      </c>
      <c r="DR316">
        <f t="shared" si="350"/>
        <v>0</v>
      </c>
      <c r="DS316" t="str">
        <f t="shared" si="351"/>
        <v>Timber</v>
      </c>
      <c r="DT316">
        <v>0</v>
      </c>
      <c r="DU316" s="143">
        <v>1</v>
      </c>
      <c r="DV316" s="143" t="s">
        <v>3644</v>
      </c>
      <c r="DW316" t="s">
        <v>3644</v>
      </c>
      <c r="DX316" s="143" t="s">
        <v>3644</v>
      </c>
      <c r="DY316">
        <f t="shared" si="332"/>
        <v>1</v>
      </c>
      <c r="DZ316" s="143" t="str">
        <f t="shared" si="365"/>
        <v>external DF used</v>
      </c>
      <c r="EA316">
        <v>0</v>
      </c>
      <c r="EB316">
        <v>0</v>
      </c>
      <c r="EC316">
        <v>0</v>
      </c>
      <c r="ED316">
        <v>1</v>
      </c>
      <c r="EE316">
        <v>1</v>
      </c>
      <c r="EF316" s="143">
        <v>1</v>
      </c>
      <c r="EG316">
        <v>0</v>
      </c>
      <c r="EH316">
        <v>1</v>
      </c>
      <c r="EI316">
        <v>1</v>
      </c>
      <c r="EJ316">
        <v>1</v>
      </c>
      <c r="EK316">
        <v>0</v>
      </c>
      <c r="EL316">
        <v>0</v>
      </c>
      <c r="EM316">
        <v>0</v>
      </c>
      <c r="EN316" s="2">
        <v>0</v>
      </c>
      <c r="EP316" t="str">
        <f t="shared" si="356"/>
        <v/>
      </c>
      <c r="EQ316" t="str">
        <f t="shared" si="333"/>
        <v/>
      </c>
      <c r="ER316" s="2" t="str">
        <f t="shared" si="357"/>
        <v>Technology approach</v>
      </c>
      <c r="ES316" t="str">
        <f t="shared" si="358"/>
        <v/>
      </c>
      <c r="ET316" t="str">
        <f t="shared" si="359"/>
        <v/>
      </c>
      <c r="EU316" t="str">
        <f t="shared" si="360"/>
        <v/>
      </c>
      <c r="EY316" t="b">
        <f>IF(ISNUMBER(BW316),IF(ABS(BW316-[1]QC_indicators!$B$2)&gt;3*[1]QC_indicators!$C$2,"C ratio",IF(ISNUMBER(CA316),IF(ABS(CA316-[1]QC_indicators!$B$1)&gt;3*[1]QC_indicators!$C$1,"DF","no"))),IF(ISNUMBER(CA316),IF(ABS(CA316-[1]QC_indicators!$B$1)&gt;3*[1]QC_indicators!$C$1,"DF","no")))</f>
        <v>0</v>
      </c>
      <c r="FA316" t="str">
        <f t="shared" si="361"/>
        <v/>
      </c>
    </row>
    <row r="317" spans="1:157" ht="15" hidden="1" customHeight="1">
      <c r="A317" s="1" t="s">
        <v>985</v>
      </c>
      <c r="B317" t="s">
        <v>3645</v>
      </c>
      <c r="C317" t="s">
        <v>3646</v>
      </c>
      <c r="D317" t="s">
        <v>3647</v>
      </c>
      <c r="E317" t="s">
        <v>3648</v>
      </c>
      <c r="F317" t="s">
        <v>3649</v>
      </c>
      <c r="G317" t="s">
        <v>3650</v>
      </c>
      <c r="H317" t="s">
        <v>254</v>
      </c>
      <c r="I317">
        <v>2020</v>
      </c>
      <c r="J317">
        <v>2</v>
      </c>
      <c r="K317" t="s">
        <v>3651</v>
      </c>
      <c r="M317" t="str">
        <f t="shared" si="323"/>
        <v>Pittau_2020</v>
      </c>
      <c r="N317" s="297" t="s">
        <v>4058</v>
      </c>
      <c r="O317" s="171" t="s">
        <v>508</v>
      </c>
      <c r="P317" t="s">
        <v>341</v>
      </c>
      <c r="Q317" s="297" t="s">
        <v>389</v>
      </c>
      <c r="R317" s="298"/>
      <c r="S317" s="1" t="s">
        <v>3663</v>
      </c>
      <c r="T317" t="s">
        <v>3653</v>
      </c>
      <c r="U317" t="s">
        <v>3664</v>
      </c>
      <c r="X317">
        <v>0</v>
      </c>
      <c r="Y317">
        <v>0</v>
      </c>
      <c r="Z317">
        <v>0</v>
      </c>
      <c r="AA317">
        <v>0</v>
      </c>
      <c r="AB317">
        <v>0</v>
      </c>
      <c r="AC317">
        <v>0</v>
      </c>
      <c r="AD317">
        <v>0</v>
      </c>
      <c r="AE317">
        <v>0</v>
      </c>
      <c r="AF317">
        <v>0</v>
      </c>
      <c r="AG317">
        <v>0</v>
      </c>
      <c r="AH317">
        <v>0</v>
      </c>
      <c r="AI317">
        <v>0</v>
      </c>
      <c r="AJ317">
        <v>1</v>
      </c>
      <c r="AK317">
        <v>0</v>
      </c>
      <c r="AL317">
        <v>0</v>
      </c>
      <c r="AM317">
        <v>1</v>
      </c>
      <c r="AN317">
        <v>0</v>
      </c>
      <c r="AO317">
        <v>0</v>
      </c>
      <c r="AP317">
        <v>0</v>
      </c>
      <c r="AQ317">
        <v>0</v>
      </c>
      <c r="AR317">
        <v>0</v>
      </c>
      <c r="AS317">
        <v>0</v>
      </c>
      <c r="AT317">
        <v>0</v>
      </c>
      <c r="AU317">
        <v>0</v>
      </c>
      <c r="AV317">
        <v>0</v>
      </c>
      <c r="AW317">
        <v>0</v>
      </c>
      <c r="AX317">
        <v>0</v>
      </c>
      <c r="AY317">
        <v>0</v>
      </c>
      <c r="AZ317" s="141">
        <f t="shared" si="334"/>
        <v>2</v>
      </c>
      <c r="BA317" s="141">
        <f t="shared" si="335"/>
        <v>2</v>
      </c>
      <c r="BB317">
        <f t="shared" si="336"/>
        <v>0</v>
      </c>
      <c r="BC317">
        <f t="shared" si="337"/>
        <v>1</v>
      </c>
      <c r="BD317">
        <f t="shared" si="338"/>
        <v>1</v>
      </c>
      <c r="BE317">
        <f t="shared" si="339"/>
        <v>0</v>
      </c>
      <c r="BF317">
        <f t="shared" si="340"/>
        <v>0</v>
      </c>
      <c r="BG317" t="str" cm="1">
        <f t="array" ref="BG317">IF(BA317=1,INDEX($X$7:$AN$7,MATCH(TRUE,INDEX($X317:$AY317&lt;&gt;0,),0)),IF(BA317=0,INDEX($AO$7:$AY$7,MATCH(1,$AO317:$AY317,0)),IF(BH317="Multiple strategies","mixed drivers",IF(BH317="Supply chain","multiple supply","multiple silviculture"))))</f>
        <v>mixed drivers</v>
      </c>
      <c r="BH317" s="2" t="str" cm="1">
        <f t="array" ref="BH317">IF(COUNTIF(BB317:BD317,"&lt;&gt;0")=1,INDEX($X$4:$AY$4,MATCH(TRUE,INDEX($X317:$AY317&lt;&gt;0,),0)),IF(COUNTIF(BB317:BD317,"&lt;&gt;0")=0,INDEX($AO$4:$AY$4,MATCH(1,$AO317:$AY317,0)),"Multiple strategies"))</f>
        <v>Multiple strategies</v>
      </c>
      <c r="BR317" t="s">
        <v>395</v>
      </c>
      <c r="BT317" t="s">
        <v>397</v>
      </c>
      <c r="BU317">
        <v>519</v>
      </c>
      <c r="BV317">
        <v>64.5251396648043</v>
      </c>
      <c r="BW317" s="144"/>
      <c r="BX317">
        <f t="shared" si="362"/>
        <v>-454.47486033519567</v>
      </c>
      <c r="CA317" t="str">
        <f t="shared" si="352"/>
        <v/>
      </c>
      <c r="CB317">
        <v>1</v>
      </c>
      <c r="CC317">
        <v>0</v>
      </c>
      <c r="CD317">
        <v>0</v>
      </c>
      <c r="CE317">
        <v>0</v>
      </c>
      <c r="CF317">
        <v>0</v>
      </c>
      <c r="CG317">
        <v>0</v>
      </c>
      <c r="CH317">
        <v>1</v>
      </c>
      <c r="CI317">
        <v>0</v>
      </c>
      <c r="CJ317">
        <v>0</v>
      </c>
      <c r="CK317">
        <v>0</v>
      </c>
      <c r="CL317">
        <v>1</v>
      </c>
      <c r="CM317">
        <v>0</v>
      </c>
      <c r="CN317">
        <v>0</v>
      </c>
      <c r="CO317">
        <v>0</v>
      </c>
      <c r="CP317" t="str">
        <f t="shared" si="341"/>
        <v>refOK</v>
      </c>
      <c r="CQ317"/>
      <c r="CR317"/>
      <c r="CS317"/>
      <c r="CT317">
        <f t="shared" si="353"/>
        <v>0</v>
      </c>
      <c r="CU317">
        <f t="shared" si="342"/>
        <v>-519</v>
      </c>
      <c r="CV317">
        <f t="shared" si="331"/>
        <v>-64.5251396648043</v>
      </c>
      <c r="CW317">
        <f t="shared" si="343"/>
        <v>0</v>
      </c>
      <c r="CX317" t="str">
        <f t="shared" si="354"/>
        <v/>
      </c>
      <c r="CY317" t="str">
        <f t="shared" si="344"/>
        <v/>
      </c>
      <c r="CZ317" t="str">
        <f t="shared" si="355"/>
        <v/>
      </c>
      <c r="DA317" s="2">
        <f t="shared" si="345"/>
        <v>0.87567410469209184</v>
      </c>
      <c r="DB317" s="1" t="s">
        <v>936</v>
      </c>
      <c r="DC317" s="297" t="str">
        <f t="shared" si="363"/>
        <v>loc</v>
      </c>
      <c r="DD317" t="s">
        <v>718</v>
      </c>
      <c r="DG317">
        <v>0</v>
      </c>
      <c r="DH317" t="str">
        <f t="shared" si="346"/>
        <v>0</v>
      </c>
      <c r="DI317">
        <v>0</v>
      </c>
      <c r="DJ317">
        <v>0</v>
      </c>
      <c r="DK317">
        <v>0</v>
      </c>
      <c r="DL317">
        <v>1</v>
      </c>
      <c r="DM317">
        <v>0</v>
      </c>
      <c r="DN317">
        <f t="shared" si="364"/>
        <v>1</v>
      </c>
      <c r="DO317" t="str">
        <f t="shared" si="347"/>
        <v>TimberInput</v>
      </c>
      <c r="DP317">
        <f t="shared" si="348"/>
        <v>0</v>
      </c>
      <c r="DQ317">
        <f t="shared" si="349"/>
        <v>0</v>
      </c>
      <c r="DR317">
        <f t="shared" si="350"/>
        <v>0</v>
      </c>
      <c r="DS317" t="str">
        <f t="shared" si="351"/>
        <v>Timber</v>
      </c>
      <c r="DT317">
        <v>0</v>
      </c>
      <c r="DU317" s="143">
        <v>1</v>
      </c>
      <c r="DV317" s="143" t="s">
        <v>3644</v>
      </c>
      <c r="DW317" t="s">
        <v>3644</v>
      </c>
      <c r="DX317" s="143" t="s">
        <v>3644</v>
      </c>
      <c r="DY317">
        <f t="shared" si="332"/>
        <v>1</v>
      </c>
      <c r="DZ317" s="143" t="str">
        <f t="shared" si="365"/>
        <v>external DF used</v>
      </c>
      <c r="EA317">
        <v>0</v>
      </c>
      <c r="EB317">
        <v>0</v>
      </c>
      <c r="EC317">
        <v>0</v>
      </c>
      <c r="ED317">
        <v>1</v>
      </c>
      <c r="EE317">
        <v>1</v>
      </c>
      <c r="EF317" s="143">
        <v>1</v>
      </c>
      <c r="EG317">
        <v>0</v>
      </c>
      <c r="EH317">
        <v>1</v>
      </c>
      <c r="EI317">
        <v>1</v>
      </c>
      <c r="EJ317">
        <v>1</v>
      </c>
      <c r="EK317">
        <v>0</v>
      </c>
      <c r="EL317">
        <v>0</v>
      </c>
      <c r="EM317">
        <v>0</v>
      </c>
      <c r="EN317" s="2">
        <v>0</v>
      </c>
      <c r="EP317" t="str">
        <f t="shared" si="356"/>
        <v/>
      </c>
      <c r="EQ317" t="str">
        <f t="shared" si="333"/>
        <v/>
      </c>
      <c r="ER317" s="2" t="str">
        <f t="shared" si="357"/>
        <v>Technology approach</v>
      </c>
      <c r="ES317" t="str">
        <f t="shared" si="358"/>
        <v/>
      </c>
      <c r="ET317" t="str">
        <f t="shared" si="359"/>
        <v/>
      </c>
      <c r="EU317" t="str">
        <f t="shared" si="360"/>
        <v/>
      </c>
      <c r="EY317" t="b">
        <f>IF(ISNUMBER(BW317),IF(ABS(BW317-[1]QC_indicators!$B$2)&gt;3*[1]QC_indicators!$C$2,"C ratio",IF(ISNUMBER(CA317),IF(ABS(CA317-[1]QC_indicators!$B$1)&gt;3*[1]QC_indicators!$C$1,"DF","no"))),IF(ISNUMBER(CA317),IF(ABS(CA317-[1]QC_indicators!$B$1)&gt;3*[1]QC_indicators!$C$1,"DF","no")))</f>
        <v>0</v>
      </c>
      <c r="FA317" t="str">
        <f t="shared" si="361"/>
        <v/>
      </c>
    </row>
    <row r="318" spans="1:157" ht="15" hidden="1" customHeight="1">
      <c r="A318" s="1" t="s">
        <v>985</v>
      </c>
      <c r="B318" t="s">
        <v>3645</v>
      </c>
      <c r="C318" t="s">
        <v>3646</v>
      </c>
      <c r="D318" t="s">
        <v>3647</v>
      </c>
      <c r="E318" t="s">
        <v>3648</v>
      </c>
      <c r="F318" t="s">
        <v>3649</v>
      </c>
      <c r="G318" t="s">
        <v>3650</v>
      </c>
      <c r="H318" t="s">
        <v>254</v>
      </c>
      <c r="I318">
        <v>2020</v>
      </c>
      <c r="J318">
        <v>2</v>
      </c>
      <c r="K318" t="s">
        <v>3651</v>
      </c>
      <c r="M318" t="str">
        <f t="shared" si="323"/>
        <v>Pittau_2020</v>
      </c>
      <c r="N318" s="297" t="s">
        <v>4058</v>
      </c>
      <c r="O318" s="171" t="s">
        <v>508</v>
      </c>
      <c r="P318" t="s">
        <v>341</v>
      </c>
      <c r="Q318" s="297" t="s">
        <v>389</v>
      </c>
      <c r="R318" s="298"/>
      <c r="S318" s="1" t="s">
        <v>3655</v>
      </c>
      <c r="T318" t="s">
        <v>3653</v>
      </c>
      <c r="U318" t="s">
        <v>3656</v>
      </c>
      <c r="X318">
        <v>0</v>
      </c>
      <c r="Y318">
        <v>0</v>
      </c>
      <c r="Z318">
        <v>0</v>
      </c>
      <c r="AA318">
        <v>0</v>
      </c>
      <c r="AB318">
        <v>0</v>
      </c>
      <c r="AC318">
        <v>0</v>
      </c>
      <c r="AD318">
        <v>0</v>
      </c>
      <c r="AE318">
        <v>0</v>
      </c>
      <c r="AF318">
        <v>0</v>
      </c>
      <c r="AG318">
        <v>0</v>
      </c>
      <c r="AH318">
        <v>0</v>
      </c>
      <c r="AI318">
        <v>0</v>
      </c>
      <c r="AJ318">
        <v>1</v>
      </c>
      <c r="AK318">
        <v>0</v>
      </c>
      <c r="AL318">
        <v>0</v>
      </c>
      <c r="AM318">
        <v>1</v>
      </c>
      <c r="AN318">
        <v>0</v>
      </c>
      <c r="AO318">
        <v>0</v>
      </c>
      <c r="AP318">
        <v>0</v>
      </c>
      <c r="AQ318">
        <v>0</v>
      </c>
      <c r="AR318">
        <v>0</v>
      </c>
      <c r="AS318">
        <v>0</v>
      </c>
      <c r="AT318">
        <v>0</v>
      </c>
      <c r="AU318">
        <v>0</v>
      </c>
      <c r="AV318">
        <v>0</v>
      </c>
      <c r="AW318">
        <v>0</v>
      </c>
      <c r="AX318">
        <v>0</v>
      </c>
      <c r="AY318">
        <v>0</v>
      </c>
      <c r="AZ318" s="141">
        <f t="shared" si="334"/>
        <v>2</v>
      </c>
      <c r="BA318" s="141">
        <f t="shared" si="335"/>
        <v>2</v>
      </c>
      <c r="BB318">
        <f t="shared" si="336"/>
        <v>0</v>
      </c>
      <c r="BC318">
        <f t="shared" si="337"/>
        <v>1</v>
      </c>
      <c r="BD318">
        <f t="shared" si="338"/>
        <v>1</v>
      </c>
      <c r="BE318">
        <f t="shared" si="339"/>
        <v>0</v>
      </c>
      <c r="BF318">
        <f t="shared" si="340"/>
        <v>0</v>
      </c>
      <c r="BG318" t="str" cm="1">
        <f t="array" ref="BG318">IF(BA318=1,INDEX($X$7:$AN$7,MATCH(TRUE,INDEX($X318:$AY318&lt;&gt;0,),0)),IF(BA318=0,INDEX($AO$7:$AY$7,MATCH(1,$AO318:$AY318,0)),IF(BH318="Multiple strategies","mixed drivers",IF(BH318="Supply chain","multiple supply","multiple silviculture"))))</f>
        <v>mixed drivers</v>
      </c>
      <c r="BH318" s="2" t="str" cm="1">
        <f t="array" ref="BH318">IF(COUNTIF(BB318:BD318,"&lt;&gt;0")=1,INDEX($X$4:$AY$4,MATCH(TRUE,INDEX($X318:$AY318&lt;&gt;0,),0)),IF(COUNTIF(BB318:BD318,"&lt;&gt;0")=0,INDEX($AO$4:$AY$4,MATCH(1,$AO318:$AY318,0)),"Multiple strategies"))</f>
        <v>Multiple strategies</v>
      </c>
      <c r="BO318" t="str">
        <f>IFERROR(BN318/BM318,"")</f>
        <v/>
      </c>
      <c r="BR318" t="s">
        <v>395</v>
      </c>
      <c r="BT318" t="s">
        <v>397</v>
      </c>
      <c r="BU318">
        <v>519</v>
      </c>
      <c r="BV318">
        <v>61.452513966480296</v>
      </c>
      <c r="BW318" s="144"/>
      <c r="BX318">
        <f t="shared" si="362"/>
        <v>-457.5474860335197</v>
      </c>
      <c r="CA318" t="str">
        <f t="shared" si="352"/>
        <v/>
      </c>
      <c r="CB318">
        <v>1</v>
      </c>
      <c r="CC318">
        <v>0</v>
      </c>
      <c r="CD318">
        <v>0</v>
      </c>
      <c r="CE318">
        <v>0</v>
      </c>
      <c r="CF318">
        <v>0</v>
      </c>
      <c r="CG318">
        <v>0</v>
      </c>
      <c r="CH318">
        <v>1</v>
      </c>
      <c r="CI318">
        <v>0</v>
      </c>
      <c r="CJ318">
        <v>0</v>
      </c>
      <c r="CK318">
        <v>0</v>
      </c>
      <c r="CL318">
        <v>1</v>
      </c>
      <c r="CM318">
        <v>0</v>
      </c>
      <c r="CN318">
        <v>0</v>
      </c>
      <c r="CO318">
        <v>0</v>
      </c>
      <c r="CP318" t="str">
        <f t="shared" si="341"/>
        <v>refOK</v>
      </c>
      <c r="CQ318"/>
      <c r="CR318"/>
      <c r="CS318"/>
      <c r="CT318">
        <f t="shared" si="353"/>
        <v>0</v>
      </c>
      <c r="CU318">
        <f t="shared" si="342"/>
        <v>-519</v>
      </c>
      <c r="CV318">
        <f t="shared" si="331"/>
        <v>-61.452513966480296</v>
      </c>
      <c r="CW318">
        <f t="shared" si="343"/>
        <v>0</v>
      </c>
      <c r="CX318" t="str">
        <f t="shared" si="354"/>
        <v/>
      </c>
      <c r="CY318" t="str">
        <f t="shared" si="344"/>
        <v/>
      </c>
      <c r="CZ318" t="str">
        <f t="shared" si="355"/>
        <v/>
      </c>
      <c r="DA318" s="2">
        <f t="shared" si="345"/>
        <v>0.88159438542103985</v>
      </c>
      <c r="DB318" s="1" t="s">
        <v>936</v>
      </c>
      <c r="DC318" s="297" t="str">
        <f t="shared" si="363"/>
        <v>loc</v>
      </c>
      <c r="DD318" t="s">
        <v>718</v>
      </c>
      <c r="DG318">
        <v>0</v>
      </c>
      <c r="DH318" t="str">
        <f t="shared" si="346"/>
        <v>0</v>
      </c>
      <c r="DI318">
        <v>0</v>
      </c>
      <c r="DJ318">
        <v>0</v>
      </c>
      <c r="DK318">
        <v>0</v>
      </c>
      <c r="DL318">
        <v>1</v>
      </c>
      <c r="DM318">
        <v>0</v>
      </c>
      <c r="DN318">
        <f t="shared" si="364"/>
        <v>1</v>
      </c>
      <c r="DO318" t="str">
        <f t="shared" si="347"/>
        <v>TimberInput</v>
      </c>
      <c r="DP318">
        <f t="shared" si="348"/>
        <v>0</v>
      </c>
      <c r="DQ318">
        <f t="shared" si="349"/>
        <v>0</v>
      </c>
      <c r="DR318">
        <f t="shared" si="350"/>
        <v>0</v>
      </c>
      <c r="DS318" t="str">
        <f t="shared" si="351"/>
        <v>Timber</v>
      </c>
      <c r="DT318">
        <v>0</v>
      </c>
      <c r="DU318" s="143">
        <v>1</v>
      </c>
      <c r="DV318" s="143" t="s">
        <v>3644</v>
      </c>
      <c r="DW318" t="s">
        <v>3644</v>
      </c>
      <c r="DX318" s="143" t="s">
        <v>3644</v>
      </c>
      <c r="DY318">
        <f t="shared" si="332"/>
        <v>1</v>
      </c>
      <c r="DZ318" s="143" t="str">
        <f t="shared" si="365"/>
        <v>external DF used</v>
      </c>
      <c r="EA318">
        <v>0</v>
      </c>
      <c r="EB318">
        <v>0</v>
      </c>
      <c r="EC318">
        <v>0</v>
      </c>
      <c r="ED318">
        <v>1</v>
      </c>
      <c r="EE318">
        <v>1</v>
      </c>
      <c r="EF318" s="143">
        <v>1</v>
      </c>
      <c r="EG318">
        <v>0</v>
      </c>
      <c r="EH318">
        <v>1</v>
      </c>
      <c r="EI318">
        <v>1</v>
      </c>
      <c r="EJ318">
        <v>1</v>
      </c>
      <c r="EK318">
        <v>0</v>
      </c>
      <c r="EL318">
        <v>0</v>
      </c>
      <c r="EM318">
        <v>0</v>
      </c>
      <c r="EN318" s="2">
        <v>0</v>
      </c>
      <c r="EP318" t="str">
        <f t="shared" si="356"/>
        <v/>
      </c>
      <c r="EQ318" t="str">
        <f t="shared" si="333"/>
        <v/>
      </c>
      <c r="ER318" s="2" t="str">
        <f t="shared" si="357"/>
        <v>Technology approach</v>
      </c>
      <c r="ES318" t="str">
        <f t="shared" si="358"/>
        <v/>
      </c>
      <c r="ET318" t="str">
        <f t="shared" si="359"/>
        <v/>
      </c>
      <c r="EU318" t="str">
        <f t="shared" si="360"/>
        <v/>
      </c>
      <c r="EY318" t="b">
        <f>IF(ISNUMBER(BW318),IF(ABS(BW318-[1]QC_indicators!$B$2)&gt;3*[1]QC_indicators!$C$2,"C ratio",IF(ISNUMBER(CA318),IF(ABS(CA318-[1]QC_indicators!$B$1)&gt;3*[1]QC_indicators!$C$1,"DF","no"))),IF(ISNUMBER(CA318),IF(ABS(CA318-[1]QC_indicators!$B$1)&gt;3*[1]QC_indicators!$C$1,"DF","no")))</f>
        <v>0</v>
      </c>
      <c r="FA318" t="str">
        <f t="shared" si="361"/>
        <v/>
      </c>
    </row>
    <row r="319" spans="1:157" ht="15" hidden="1" customHeight="1">
      <c r="A319" s="1" t="s">
        <v>985</v>
      </c>
      <c r="B319" t="s">
        <v>3645</v>
      </c>
      <c r="C319" t="s">
        <v>3646</v>
      </c>
      <c r="D319" t="s">
        <v>3647</v>
      </c>
      <c r="E319" t="s">
        <v>3648</v>
      </c>
      <c r="F319" t="s">
        <v>3649</v>
      </c>
      <c r="G319" t="s">
        <v>3650</v>
      </c>
      <c r="H319" t="s">
        <v>254</v>
      </c>
      <c r="I319">
        <v>2020</v>
      </c>
      <c r="J319">
        <v>2</v>
      </c>
      <c r="K319" t="s">
        <v>3651</v>
      </c>
      <c r="M319" t="str">
        <f t="shared" si="323"/>
        <v>Pittau_2020</v>
      </c>
      <c r="N319" s="297" t="s">
        <v>4058</v>
      </c>
      <c r="O319" s="171" t="s">
        <v>508</v>
      </c>
      <c r="P319" t="s">
        <v>341</v>
      </c>
      <c r="Q319" s="297" t="s">
        <v>389</v>
      </c>
      <c r="R319" s="298"/>
      <c r="S319" s="1" t="s">
        <v>3665</v>
      </c>
      <c r="T319" t="s">
        <v>3653</v>
      </c>
      <c r="U319" t="s">
        <v>3666</v>
      </c>
      <c r="X319">
        <v>0</v>
      </c>
      <c r="Y319">
        <v>0</v>
      </c>
      <c r="Z319">
        <v>0</v>
      </c>
      <c r="AA319">
        <v>0</v>
      </c>
      <c r="AB319">
        <v>0</v>
      </c>
      <c r="AC319">
        <v>0</v>
      </c>
      <c r="AD319">
        <v>0</v>
      </c>
      <c r="AE319">
        <v>0</v>
      </c>
      <c r="AF319">
        <v>0</v>
      </c>
      <c r="AG319">
        <v>0</v>
      </c>
      <c r="AH319">
        <v>0</v>
      </c>
      <c r="AI319">
        <v>0</v>
      </c>
      <c r="AJ319">
        <v>1</v>
      </c>
      <c r="AK319">
        <v>0</v>
      </c>
      <c r="AL319">
        <v>0</v>
      </c>
      <c r="AM319">
        <v>1</v>
      </c>
      <c r="AN319">
        <v>0</v>
      </c>
      <c r="AO319">
        <v>0</v>
      </c>
      <c r="AP319">
        <v>0</v>
      </c>
      <c r="AQ319">
        <v>0</v>
      </c>
      <c r="AR319">
        <v>0</v>
      </c>
      <c r="AS319">
        <v>0</v>
      </c>
      <c r="AT319">
        <v>0</v>
      </c>
      <c r="AU319">
        <v>0</v>
      </c>
      <c r="AV319">
        <v>0</v>
      </c>
      <c r="AW319">
        <v>0</v>
      </c>
      <c r="AX319">
        <v>0</v>
      </c>
      <c r="AY319">
        <v>0</v>
      </c>
      <c r="AZ319" s="141">
        <f t="shared" si="334"/>
        <v>2</v>
      </c>
      <c r="BA319" s="141">
        <f t="shared" si="335"/>
        <v>2</v>
      </c>
      <c r="BB319">
        <f t="shared" si="336"/>
        <v>0</v>
      </c>
      <c r="BC319">
        <f t="shared" si="337"/>
        <v>1</v>
      </c>
      <c r="BD319">
        <f t="shared" si="338"/>
        <v>1</v>
      </c>
      <c r="BE319">
        <f t="shared" si="339"/>
        <v>0</v>
      </c>
      <c r="BF319">
        <f t="shared" si="340"/>
        <v>0</v>
      </c>
      <c r="BG319" t="str" cm="1">
        <f t="array" ref="BG319">IF(BA319=1,INDEX($X$7:$AN$7,MATCH(TRUE,INDEX($X319:$AY319&lt;&gt;0,),0)),IF(BA319=0,INDEX($AO$7:$AY$7,MATCH(1,$AO319:$AY319,0)),IF(BH319="Multiple strategies","mixed drivers",IF(BH319="Supply chain","multiple supply","multiple silviculture"))))</f>
        <v>mixed drivers</v>
      </c>
      <c r="BH319" s="2" t="str" cm="1">
        <f t="array" ref="BH319">IF(COUNTIF(BB319:BD319,"&lt;&gt;0")=1,INDEX($X$4:$AY$4,MATCH(TRUE,INDEX($X319:$AY319&lt;&gt;0,),0)),IF(COUNTIF(BB319:BD319,"&lt;&gt;0")=0,INDEX($AO$4:$AY$4,MATCH(1,$AO319:$AY319,0)),"Multiple strategies"))</f>
        <v>Multiple strategies</v>
      </c>
      <c r="BR319" t="s">
        <v>395</v>
      </c>
      <c r="BT319" t="s">
        <v>397</v>
      </c>
      <c r="BU319">
        <v>519</v>
      </c>
      <c r="BV319">
        <v>61.452513966480296</v>
      </c>
      <c r="BW319" s="144"/>
      <c r="BX319">
        <f t="shared" si="362"/>
        <v>-457.5474860335197</v>
      </c>
      <c r="CA319" t="str">
        <f t="shared" si="352"/>
        <v/>
      </c>
      <c r="CB319">
        <v>1</v>
      </c>
      <c r="CC319">
        <v>0</v>
      </c>
      <c r="CD319">
        <v>0</v>
      </c>
      <c r="CE319">
        <v>0</v>
      </c>
      <c r="CF319">
        <v>0</v>
      </c>
      <c r="CG319">
        <v>0</v>
      </c>
      <c r="CH319">
        <v>1</v>
      </c>
      <c r="CI319">
        <v>0</v>
      </c>
      <c r="CJ319">
        <v>0</v>
      </c>
      <c r="CK319">
        <v>0</v>
      </c>
      <c r="CL319">
        <v>1</v>
      </c>
      <c r="CM319">
        <v>0</v>
      </c>
      <c r="CN319">
        <v>0</v>
      </c>
      <c r="CO319">
        <v>0</v>
      </c>
      <c r="CP319" t="str">
        <f t="shared" si="341"/>
        <v>refOK</v>
      </c>
      <c r="CQ319"/>
      <c r="CR319"/>
      <c r="CS319"/>
      <c r="CT319">
        <f t="shared" si="353"/>
        <v>0</v>
      </c>
      <c r="CU319">
        <f t="shared" si="342"/>
        <v>-519</v>
      </c>
      <c r="CV319">
        <f t="shared" ref="CV319:CV350" si="366">IF($CP319="refOK",$BV319,$BU319)*IF($BR319="Emissions positive",-1,1)</f>
        <v>-61.452513966480296</v>
      </c>
      <c r="CW319">
        <f t="shared" si="343"/>
        <v>0</v>
      </c>
      <c r="CX319" t="str">
        <f t="shared" si="354"/>
        <v/>
      </c>
      <c r="CY319" t="str">
        <f t="shared" si="344"/>
        <v/>
      </c>
      <c r="CZ319" t="str">
        <f t="shared" si="355"/>
        <v/>
      </c>
      <c r="DA319" s="2">
        <f t="shared" si="345"/>
        <v>0.88159438542103985</v>
      </c>
      <c r="DB319" s="1" t="s">
        <v>936</v>
      </c>
      <c r="DC319" s="297" t="str">
        <f t="shared" si="363"/>
        <v>loc</v>
      </c>
      <c r="DD319" t="s">
        <v>718</v>
      </c>
      <c r="DG319">
        <v>0</v>
      </c>
      <c r="DH319" t="str">
        <f t="shared" si="346"/>
        <v>0</v>
      </c>
      <c r="DI319">
        <v>0</v>
      </c>
      <c r="DJ319">
        <v>0</v>
      </c>
      <c r="DK319">
        <v>0</v>
      </c>
      <c r="DL319">
        <v>1</v>
      </c>
      <c r="DM319">
        <v>0</v>
      </c>
      <c r="DN319">
        <f t="shared" si="364"/>
        <v>1</v>
      </c>
      <c r="DO319" t="str">
        <f t="shared" si="347"/>
        <v>TimberInput</v>
      </c>
      <c r="DP319">
        <f t="shared" si="348"/>
        <v>0</v>
      </c>
      <c r="DQ319">
        <f t="shared" si="349"/>
        <v>0</v>
      </c>
      <c r="DR319">
        <f t="shared" si="350"/>
        <v>0</v>
      </c>
      <c r="DS319" t="str">
        <f t="shared" si="351"/>
        <v>Timber</v>
      </c>
      <c r="DT319">
        <v>0</v>
      </c>
      <c r="DU319" s="143">
        <v>1</v>
      </c>
      <c r="DV319" s="143" t="s">
        <v>3644</v>
      </c>
      <c r="DW319" t="s">
        <v>3644</v>
      </c>
      <c r="DX319" s="143" t="s">
        <v>3644</v>
      </c>
      <c r="DY319">
        <f t="shared" ref="DY319:DY350" si="367">SUM(DT319:DU319)</f>
        <v>1</v>
      </c>
      <c r="DZ319" s="143" t="str">
        <f t="shared" si="365"/>
        <v>external DF used</v>
      </c>
      <c r="EA319">
        <v>0</v>
      </c>
      <c r="EB319">
        <v>0</v>
      </c>
      <c r="EC319">
        <v>0</v>
      </c>
      <c r="ED319">
        <v>1</v>
      </c>
      <c r="EE319">
        <v>1</v>
      </c>
      <c r="EF319" s="143">
        <v>1</v>
      </c>
      <c r="EG319">
        <v>0</v>
      </c>
      <c r="EH319">
        <v>1</v>
      </c>
      <c r="EI319">
        <v>1</v>
      </c>
      <c r="EJ319">
        <v>1</v>
      </c>
      <c r="EK319">
        <v>0</v>
      </c>
      <c r="EL319">
        <v>0</v>
      </c>
      <c r="EM319">
        <v>0</v>
      </c>
      <c r="EN319" s="2">
        <v>0</v>
      </c>
      <c r="EP319" t="str">
        <f t="shared" si="356"/>
        <v/>
      </c>
      <c r="EQ319" t="str">
        <f t="shared" si="333"/>
        <v/>
      </c>
      <c r="ER319" s="2" t="str">
        <f t="shared" si="357"/>
        <v>Technology approach</v>
      </c>
      <c r="ES319" t="str">
        <f t="shared" si="358"/>
        <v/>
      </c>
      <c r="ET319" t="str">
        <f t="shared" si="359"/>
        <v/>
      </c>
      <c r="EU319" t="str">
        <f t="shared" si="360"/>
        <v/>
      </c>
      <c r="EY319" t="b">
        <f>IF(ISNUMBER(BW319),IF(ABS(BW319-[1]QC_indicators!$B$2)&gt;3*[1]QC_indicators!$C$2,"C ratio",IF(ISNUMBER(CA319),IF(ABS(CA319-[1]QC_indicators!$B$1)&gt;3*[1]QC_indicators!$C$1,"DF","no"))),IF(ISNUMBER(CA319),IF(ABS(CA319-[1]QC_indicators!$B$1)&gt;3*[1]QC_indicators!$C$1,"DF","no")))</f>
        <v>0</v>
      </c>
      <c r="FA319" t="str">
        <f t="shared" si="361"/>
        <v/>
      </c>
    </row>
    <row r="320" spans="1:157" ht="15" hidden="1" customHeight="1">
      <c r="A320" s="1" t="s">
        <v>985</v>
      </c>
      <c r="B320" t="s">
        <v>3645</v>
      </c>
      <c r="C320" t="s">
        <v>3646</v>
      </c>
      <c r="D320" t="s">
        <v>3647</v>
      </c>
      <c r="E320" t="s">
        <v>3648</v>
      </c>
      <c r="F320" t="s">
        <v>3649</v>
      </c>
      <c r="G320" t="s">
        <v>3650</v>
      </c>
      <c r="H320" t="s">
        <v>254</v>
      </c>
      <c r="I320">
        <v>2020</v>
      </c>
      <c r="J320">
        <v>2</v>
      </c>
      <c r="K320" t="s">
        <v>3651</v>
      </c>
      <c r="M320" t="str">
        <f t="shared" si="323"/>
        <v>Pittau_2020</v>
      </c>
      <c r="N320" s="297" t="s">
        <v>4058</v>
      </c>
      <c r="O320" s="171" t="s">
        <v>508</v>
      </c>
      <c r="P320" t="s">
        <v>341</v>
      </c>
      <c r="Q320" s="297" t="s">
        <v>389</v>
      </c>
      <c r="R320" s="298"/>
      <c r="S320" s="1" t="s">
        <v>3652</v>
      </c>
      <c r="T320" t="s">
        <v>3653</v>
      </c>
      <c r="U320" t="s">
        <v>3654</v>
      </c>
      <c r="X320">
        <v>0</v>
      </c>
      <c r="Y320">
        <v>0</v>
      </c>
      <c r="Z320">
        <v>0</v>
      </c>
      <c r="AA320">
        <v>0</v>
      </c>
      <c r="AB320">
        <v>0</v>
      </c>
      <c r="AC320">
        <v>0</v>
      </c>
      <c r="AD320">
        <v>0</v>
      </c>
      <c r="AE320">
        <v>0</v>
      </c>
      <c r="AF320">
        <v>0</v>
      </c>
      <c r="AG320">
        <v>0</v>
      </c>
      <c r="AH320">
        <v>0</v>
      </c>
      <c r="AI320">
        <v>0</v>
      </c>
      <c r="AJ320">
        <v>1</v>
      </c>
      <c r="AK320">
        <v>0</v>
      </c>
      <c r="AL320">
        <v>0</v>
      </c>
      <c r="AM320">
        <v>1</v>
      </c>
      <c r="AN320">
        <v>0</v>
      </c>
      <c r="AO320">
        <v>0</v>
      </c>
      <c r="AP320">
        <v>0</v>
      </c>
      <c r="AQ320">
        <v>0</v>
      </c>
      <c r="AR320">
        <v>0</v>
      </c>
      <c r="AS320">
        <v>0</v>
      </c>
      <c r="AT320">
        <v>0</v>
      </c>
      <c r="AU320">
        <v>0</v>
      </c>
      <c r="AV320">
        <v>0</v>
      </c>
      <c r="AW320">
        <v>0</v>
      </c>
      <c r="AX320">
        <v>0</v>
      </c>
      <c r="AY320">
        <v>0</v>
      </c>
      <c r="AZ320" s="141">
        <f t="shared" si="334"/>
        <v>2</v>
      </c>
      <c r="BA320" s="141">
        <f t="shared" si="335"/>
        <v>2</v>
      </c>
      <c r="BB320">
        <f t="shared" si="336"/>
        <v>0</v>
      </c>
      <c r="BC320">
        <f t="shared" si="337"/>
        <v>1</v>
      </c>
      <c r="BD320">
        <f t="shared" si="338"/>
        <v>1</v>
      </c>
      <c r="BE320">
        <f t="shared" si="339"/>
        <v>0</v>
      </c>
      <c r="BF320">
        <f t="shared" si="340"/>
        <v>0</v>
      </c>
      <c r="BG320" t="str" cm="1">
        <f t="array" ref="BG320">IF(BA320=1,INDEX($X$7:$AN$7,MATCH(TRUE,INDEX($X320:$AY320&lt;&gt;0,),0)),IF(BA320=0,INDEX($AO$7:$AY$7,MATCH(1,$AO320:$AY320,0)),IF(BH320="Multiple strategies","mixed drivers",IF(BH320="Supply chain","multiple supply","multiple silviculture"))))</f>
        <v>mixed drivers</v>
      </c>
      <c r="BH320" s="2" t="str" cm="1">
        <f t="array" ref="BH320">IF(COUNTIF(BB320:BD320,"&lt;&gt;0")=1,INDEX($X$4:$AY$4,MATCH(TRUE,INDEX($X320:$AY320&lt;&gt;0,),0)),IF(COUNTIF(BB320:BD320,"&lt;&gt;0")=0,INDEX($AO$4:$AY$4,MATCH(1,$AO320:$AY320,0)),"Multiple strategies"))</f>
        <v>Multiple strategies</v>
      </c>
      <c r="BO320" t="str">
        <f>IFERROR(BN320/BM320,"")</f>
        <v/>
      </c>
      <c r="BR320" t="s">
        <v>395</v>
      </c>
      <c r="BT320" t="s">
        <v>397</v>
      </c>
      <c r="BU320">
        <v>519</v>
      </c>
      <c r="BV320">
        <v>49.162011173184304</v>
      </c>
      <c r="BW320" s="144"/>
      <c r="BX320">
        <f t="shared" si="362"/>
        <v>-469.83798882681572</v>
      </c>
      <c r="CA320" t="str">
        <f t="shared" si="352"/>
        <v/>
      </c>
      <c r="CB320">
        <v>1</v>
      </c>
      <c r="CC320">
        <v>0</v>
      </c>
      <c r="CD320">
        <v>0</v>
      </c>
      <c r="CE320">
        <v>0</v>
      </c>
      <c r="CF320">
        <v>0</v>
      </c>
      <c r="CG320">
        <v>0</v>
      </c>
      <c r="CH320">
        <v>1</v>
      </c>
      <c r="CI320">
        <v>0</v>
      </c>
      <c r="CJ320">
        <v>0</v>
      </c>
      <c r="CK320">
        <v>0</v>
      </c>
      <c r="CL320">
        <v>1</v>
      </c>
      <c r="CM320">
        <v>0</v>
      </c>
      <c r="CN320">
        <v>0</v>
      </c>
      <c r="CO320">
        <v>0</v>
      </c>
      <c r="CP320" t="str">
        <f t="shared" si="341"/>
        <v>refOK</v>
      </c>
      <c r="CQ320"/>
      <c r="CR320"/>
      <c r="CS320"/>
      <c r="CT320">
        <f t="shared" si="353"/>
        <v>0</v>
      </c>
      <c r="CU320">
        <f t="shared" si="342"/>
        <v>-519</v>
      </c>
      <c r="CV320">
        <f t="shared" si="366"/>
        <v>-49.162011173184304</v>
      </c>
      <c r="CW320">
        <f t="shared" si="343"/>
        <v>0</v>
      </c>
      <c r="CX320" t="str">
        <f t="shared" si="354"/>
        <v/>
      </c>
      <c r="CY320" t="str">
        <f t="shared" si="344"/>
        <v/>
      </c>
      <c r="CZ320" t="str">
        <f t="shared" si="355"/>
        <v/>
      </c>
      <c r="DA320" s="2">
        <f t="shared" si="345"/>
        <v>0.90527550833683179</v>
      </c>
      <c r="DB320" s="1" t="s">
        <v>936</v>
      </c>
      <c r="DC320" s="297" t="str">
        <f t="shared" si="363"/>
        <v>loc</v>
      </c>
      <c r="DD320" t="s">
        <v>718</v>
      </c>
      <c r="DG320">
        <v>0</v>
      </c>
      <c r="DH320" t="str">
        <f t="shared" si="346"/>
        <v>0</v>
      </c>
      <c r="DI320">
        <v>0</v>
      </c>
      <c r="DJ320">
        <v>0</v>
      </c>
      <c r="DK320">
        <v>0</v>
      </c>
      <c r="DL320">
        <v>1</v>
      </c>
      <c r="DM320">
        <v>0</v>
      </c>
      <c r="DN320">
        <f t="shared" si="364"/>
        <v>1</v>
      </c>
      <c r="DO320" t="str">
        <f t="shared" si="347"/>
        <v>TimberInput</v>
      </c>
      <c r="DP320">
        <f t="shared" si="348"/>
        <v>0</v>
      </c>
      <c r="DQ320">
        <f t="shared" si="349"/>
        <v>0</v>
      </c>
      <c r="DR320">
        <f t="shared" si="350"/>
        <v>0</v>
      </c>
      <c r="DS320" t="str">
        <f t="shared" si="351"/>
        <v>Timber</v>
      </c>
      <c r="DT320">
        <v>0</v>
      </c>
      <c r="DU320" s="143">
        <v>1</v>
      </c>
      <c r="DV320" s="143" t="s">
        <v>3644</v>
      </c>
      <c r="DW320" t="s">
        <v>3644</v>
      </c>
      <c r="DX320" s="143" t="s">
        <v>3644</v>
      </c>
      <c r="DY320">
        <f t="shared" si="367"/>
        <v>1</v>
      </c>
      <c r="DZ320" s="143" t="str">
        <f t="shared" si="365"/>
        <v>external DF used</v>
      </c>
      <c r="EA320">
        <v>0</v>
      </c>
      <c r="EB320">
        <v>0</v>
      </c>
      <c r="EC320">
        <v>0</v>
      </c>
      <c r="ED320">
        <v>1</v>
      </c>
      <c r="EE320">
        <v>1</v>
      </c>
      <c r="EF320" s="143">
        <v>1</v>
      </c>
      <c r="EG320">
        <v>0</v>
      </c>
      <c r="EH320">
        <v>1</v>
      </c>
      <c r="EI320">
        <v>1</v>
      </c>
      <c r="EJ320">
        <v>1</v>
      </c>
      <c r="EK320">
        <v>0</v>
      </c>
      <c r="EL320">
        <v>0</v>
      </c>
      <c r="EM320">
        <v>0</v>
      </c>
      <c r="EN320" s="2">
        <v>0</v>
      </c>
      <c r="EP320" t="str">
        <f t="shared" si="356"/>
        <v/>
      </c>
      <c r="EQ320" t="str">
        <f t="shared" si="333"/>
        <v/>
      </c>
      <c r="ER320" s="2" t="str">
        <f t="shared" si="357"/>
        <v>Technology approach</v>
      </c>
      <c r="ES320" t="str">
        <f t="shared" si="358"/>
        <v/>
      </c>
      <c r="ET320" t="str">
        <f t="shared" si="359"/>
        <v/>
      </c>
      <c r="EU320" t="str">
        <f t="shared" si="360"/>
        <v/>
      </c>
      <c r="EY320" t="b">
        <f>IF(ISNUMBER(BW320),IF(ABS(BW320-[1]QC_indicators!$B$2)&gt;3*[1]QC_indicators!$C$2,"C ratio",IF(ISNUMBER(CA320),IF(ABS(CA320-[1]QC_indicators!$B$1)&gt;3*[1]QC_indicators!$C$1,"DF","no"))),IF(ISNUMBER(CA320),IF(ABS(CA320-[1]QC_indicators!$B$1)&gt;3*[1]QC_indicators!$C$1,"DF","no")))</f>
        <v>0</v>
      </c>
      <c r="FA320" t="str">
        <f t="shared" si="361"/>
        <v/>
      </c>
    </row>
    <row r="321" spans="1:158" ht="15" hidden="1" customHeight="1">
      <c r="A321" s="1" t="s">
        <v>985</v>
      </c>
      <c r="B321" t="s">
        <v>3645</v>
      </c>
      <c r="C321" t="s">
        <v>3646</v>
      </c>
      <c r="D321" t="s">
        <v>3647</v>
      </c>
      <c r="E321" t="s">
        <v>3648</v>
      </c>
      <c r="F321" t="s">
        <v>3649</v>
      </c>
      <c r="G321" t="s">
        <v>3650</v>
      </c>
      <c r="H321" t="s">
        <v>254</v>
      </c>
      <c r="I321">
        <v>2020</v>
      </c>
      <c r="J321">
        <v>2</v>
      </c>
      <c r="K321" t="s">
        <v>3651</v>
      </c>
      <c r="M321" t="str">
        <f t="shared" si="323"/>
        <v>Pittau_2020</v>
      </c>
      <c r="N321" s="297" t="s">
        <v>4058</v>
      </c>
      <c r="O321" s="171" t="s">
        <v>508</v>
      </c>
      <c r="P321" t="s">
        <v>341</v>
      </c>
      <c r="Q321" s="297" t="s">
        <v>389</v>
      </c>
      <c r="R321" s="298"/>
      <c r="S321" s="1" t="s">
        <v>3669</v>
      </c>
      <c r="T321" t="s">
        <v>3653</v>
      </c>
      <c r="U321" t="s">
        <v>3670</v>
      </c>
      <c r="X321">
        <v>0</v>
      </c>
      <c r="Y321">
        <v>0</v>
      </c>
      <c r="Z321">
        <v>0</v>
      </c>
      <c r="AA321">
        <v>0</v>
      </c>
      <c r="AB321">
        <v>0</v>
      </c>
      <c r="AC321">
        <v>0</v>
      </c>
      <c r="AD321">
        <v>0</v>
      </c>
      <c r="AE321">
        <v>0</v>
      </c>
      <c r="AF321">
        <v>0</v>
      </c>
      <c r="AG321">
        <v>0</v>
      </c>
      <c r="AH321">
        <v>0</v>
      </c>
      <c r="AI321">
        <v>0</v>
      </c>
      <c r="AJ321">
        <v>1</v>
      </c>
      <c r="AK321">
        <v>0</v>
      </c>
      <c r="AL321">
        <v>0</v>
      </c>
      <c r="AM321">
        <v>1</v>
      </c>
      <c r="AN321">
        <v>0</v>
      </c>
      <c r="AO321">
        <v>0</v>
      </c>
      <c r="AP321">
        <v>0</v>
      </c>
      <c r="AQ321">
        <v>0</v>
      </c>
      <c r="AR321">
        <v>0</v>
      </c>
      <c r="AS321">
        <v>0</v>
      </c>
      <c r="AT321">
        <v>0</v>
      </c>
      <c r="AU321">
        <v>0</v>
      </c>
      <c r="AV321">
        <v>0</v>
      </c>
      <c r="AW321">
        <v>0</v>
      </c>
      <c r="AX321">
        <v>0</v>
      </c>
      <c r="AY321">
        <v>0</v>
      </c>
      <c r="AZ321" s="141">
        <f t="shared" si="334"/>
        <v>2</v>
      </c>
      <c r="BA321" s="141">
        <f t="shared" si="335"/>
        <v>2</v>
      </c>
      <c r="BB321">
        <f t="shared" si="336"/>
        <v>0</v>
      </c>
      <c r="BC321">
        <f t="shared" si="337"/>
        <v>1</v>
      </c>
      <c r="BD321">
        <f t="shared" si="338"/>
        <v>1</v>
      </c>
      <c r="BE321">
        <f t="shared" si="339"/>
        <v>0</v>
      </c>
      <c r="BF321">
        <f t="shared" si="340"/>
        <v>0</v>
      </c>
      <c r="BG321" t="str" cm="1">
        <f t="array" ref="BG321">IF(BA321=1,INDEX($X$7:$AN$7,MATCH(TRUE,INDEX($X321:$AY321&lt;&gt;0,),0)),IF(BA321=0,INDEX($AO$7:$AY$7,MATCH(1,$AO321:$AY321,0)),IF(BH321="Multiple strategies","mixed drivers",IF(BH321="Supply chain","multiple supply","multiple silviculture"))))</f>
        <v>mixed drivers</v>
      </c>
      <c r="BH321" s="2" t="str" cm="1">
        <f t="array" ref="BH321">IF(COUNTIF(BB321:BD321,"&lt;&gt;0")=1,INDEX($X$4:$AY$4,MATCH(TRUE,INDEX($X321:$AY321&lt;&gt;0,),0)),IF(COUNTIF(BB321:BD321,"&lt;&gt;0")=0,INDEX($AO$4:$AY$4,MATCH(1,$AO321:$AY321,0)),"Multiple strategies"))</f>
        <v>Multiple strategies</v>
      </c>
      <c r="BR321" t="s">
        <v>395</v>
      </c>
      <c r="BT321" t="s">
        <v>397</v>
      </c>
      <c r="BU321">
        <v>519</v>
      </c>
      <c r="BV321">
        <v>43.016759776536205</v>
      </c>
      <c r="BW321" s="144"/>
      <c r="BX321">
        <f t="shared" si="362"/>
        <v>-475.98324022346378</v>
      </c>
      <c r="CA321" t="str">
        <f t="shared" si="352"/>
        <v/>
      </c>
      <c r="CB321">
        <v>1</v>
      </c>
      <c r="CC321">
        <v>0</v>
      </c>
      <c r="CD321">
        <v>0</v>
      </c>
      <c r="CE321">
        <v>0</v>
      </c>
      <c r="CF321">
        <v>0</v>
      </c>
      <c r="CG321">
        <v>0</v>
      </c>
      <c r="CH321">
        <v>1</v>
      </c>
      <c r="CI321">
        <v>0</v>
      </c>
      <c r="CJ321">
        <v>0</v>
      </c>
      <c r="CK321">
        <v>0</v>
      </c>
      <c r="CL321">
        <v>1</v>
      </c>
      <c r="CM321">
        <v>0</v>
      </c>
      <c r="CN321">
        <v>0</v>
      </c>
      <c r="CO321">
        <v>0</v>
      </c>
      <c r="CP321" t="str">
        <f t="shared" si="341"/>
        <v>refOK</v>
      </c>
      <c r="CQ321"/>
      <c r="CR321"/>
      <c r="CS321"/>
      <c r="CT321">
        <f t="shared" si="353"/>
        <v>0</v>
      </c>
      <c r="CU321">
        <f t="shared" si="342"/>
        <v>-519</v>
      </c>
      <c r="CV321">
        <f t="shared" si="366"/>
        <v>-43.016759776536205</v>
      </c>
      <c r="CW321">
        <f t="shared" si="343"/>
        <v>0</v>
      </c>
      <c r="CX321" t="str">
        <f t="shared" si="354"/>
        <v/>
      </c>
      <c r="CY321" t="str">
        <f t="shared" si="344"/>
        <v/>
      </c>
      <c r="CZ321" t="str">
        <f t="shared" si="355"/>
        <v/>
      </c>
      <c r="DA321" s="2">
        <f t="shared" si="345"/>
        <v>0.91711606979472793</v>
      </c>
      <c r="DB321" s="1" t="s">
        <v>936</v>
      </c>
      <c r="DC321" s="297" t="str">
        <f t="shared" si="363"/>
        <v>loc</v>
      </c>
      <c r="DD321" t="s">
        <v>718</v>
      </c>
      <c r="DG321">
        <v>0</v>
      </c>
      <c r="DH321" t="str">
        <f t="shared" si="346"/>
        <v>0</v>
      </c>
      <c r="DI321">
        <v>0</v>
      </c>
      <c r="DJ321">
        <v>0</v>
      </c>
      <c r="DK321">
        <v>0</v>
      </c>
      <c r="DL321">
        <v>1</v>
      </c>
      <c r="DM321">
        <v>0</v>
      </c>
      <c r="DN321">
        <f t="shared" si="364"/>
        <v>1</v>
      </c>
      <c r="DO321" t="str">
        <f t="shared" si="347"/>
        <v>TimberInput</v>
      </c>
      <c r="DP321">
        <f t="shared" si="348"/>
        <v>0</v>
      </c>
      <c r="DQ321">
        <f t="shared" si="349"/>
        <v>0</v>
      </c>
      <c r="DR321">
        <f t="shared" si="350"/>
        <v>0</v>
      </c>
      <c r="DS321" t="str">
        <f t="shared" si="351"/>
        <v>Timber</v>
      </c>
      <c r="DT321">
        <v>0</v>
      </c>
      <c r="DU321" s="143">
        <v>1</v>
      </c>
      <c r="DV321" s="143" t="s">
        <v>3644</v>
      </c>
      <c r="DW321" t="s">
        <v>3644</v>
      </c>
      <c r="DX321" s="143" t="s">
        <v>3644</v>
      </c>
      <c r="DY321">
        <f t="shared" si="367"/>
        <v>1</v>
      </c>
      <c r="DZ321" s="143" t="str">
        <f t="shared" si="365"/>
        <v>external DF used</v>
      </c>
      <c r="EA321">
        <v>0</v>
      </c>
      <c r="EB321">
        <v>0</v>
      </c>
      <c r="EC321">
        <v>0</v>
      </c>
      <c r="ED321">
        <v>1</v>
      </c>
      <c r="EE321">
        <v>1</v>
      </c>
      <c r="EF321" s="143">
        <v>1</v>
      </c>
      <c r="EG321">
        <v>0</v>
      </c>
      <c r="EH321">
        <v>1</v>
      </c>
      <c r="EI321">
        <v>1</v>
      </c>
      <c r="EJ321">
        <v>1</v>
      </c>
      <c r="EK321">
        <v>0</v>
      </c>
      <c r="EL321">
        <v>0</v>
      </c>
      <c r="EM321">
        <v>0</v>
      </c>
      <c r="EN321" s="2">
        <v>0</v>
      </c>
      <c r="EP321" t="str">
        <f t="shared" si="356"/>
        <v/>
      </c>
      <c r="EQ321" t="str">
        <f t="shared" ref="EQ321:EQ352" si="368">IF(AND(AND(OR($EC321=1,$EB321=1),AND($EH321=0,$EF321=0)),SUM($EA321:$EE321,$EK321)&gt;=3),"Ecosystem approach","")</f>
        <v/>
      </c>
      <c r="ER321" s="2" t="str">
        <f t="shared" si="357"/>
        <v>Technology approach</v>
      </c>
      <c r="ES321" t="str">
        <f t="shared" si="358"/>
        <v/>
      </c>
      <c r="ET321" t="str">
        <f t="shared" si="359"/>
        <v/>
      </c>
      <c r="EU321" t="str">
        <f t="shared" si="360"/>
        <v/>
      </c>
      <c r="EY321" t="b">
        <f>IF(ISNUMBER(BW321),IF(ABS(BW321-[1]QC_indicators!$B$2)&gt;3*[1]QC_indicators!$C$2,"C ratio",IF(ISNUMBER(CA321),IF(ABS(CA321-[1]QC_indicators!$B$1)&gt;3*[1]QC_indicators!$C$1,"DF","no"))),IF(ISNUMBER(CA321),IF(ABS(CA321-[1]QC_indicators!$B$1)&gt;3*[1]QC_indicators!$C$1,"DF","no")))</f>
        <v>0</v>
      </c>
      <c r="FA321" t="str">
        <f t="shared" si="361"/>
        <v/>
      </c>
    </row>
    <row r="322" spans="1:158" ht="15" hidden="1" customHeight="1">
      <c r="A322" s="1" t="s">
        <v>985</v>
      </c>
      <c r="B322" t="s">
        <v>3645</v>
      </c>
      <c r="C322" t="s">
        <v>3646</v>
      </c>
      <c r="D322" t="s">
        <v>3647</v>
      </c>
      <c r="E322" t="s">
        <v>3648</v>
      </c>
      <c r="F322" t="s">
        <v>3649</v>
      </c>
      <c r="G322" t="s">
        <v>3650</v>
      </c>
      <c r="H322" t="s">
        <v>254</v>
      </c>
      <c r="I322">
        <v>2020</v>
      </c>
      <c r="J322">
        <v>2</v>
      </c>
      <c r="K322" t="s">
        <v>3651</v>
      </c>
      <c r="M322" t="str">
        <f t="shared" si="323"/>
        <v>Pittau_2020</v>
      </c>
      <c r="N322" s="297" t="s">
        <v>4058</v>
      </c>
      <c r="O322" s="171" t="s">
        <v>508</v>
      </c>
      <c r="P322" t="s">
        <v>341</v>
      </c>
      <c r="Q322" s="297" t="s">
        <v>389</v>
      </c>
      <c r="R322" s="298"/>
      <c r="S322" s="1" t="s">
        <v>3667</v>
      </c>
      <c r="T322" t="s">
        <v>3653</v>
      </c>
      <c r="U322" t="s">
        <v>3668</v>
      </c>
      <c r="X322">
        <v>0</v>
      </c>
      <c r="Y322">
        <v>0</v>
      </c>
      <c r="Z322">
        <v>0</v>
      </c>
      <c r="AA322">
        <v>0</v>
      </c>
      <c r="AB322">
        <v>0</v>
      </c>
      <c r="AC322">
        <v>0</v>
      </c>
      <c r="AD322">
        <v>0</v>
      </c>
      <c r="AE322">
        <v>0</v>
      </c>
      <c r="AF322">
        <v>0</v>
      </c>
      <c r="AG322">
        <v>0</v>
      </c>
      <c r="AH322">
        <v>0</v>
      </c>
      <c r="AI322">
        <v>0</v>
      </c>
      <c r="AJ322">
        <v>1</v>
      </c>
      <c r="AK322">
        <v>0</v>
      </c>
      <c r="AL322">
        <v>0</v>
      </c>
      <c r="AM322">
        <v>1</v>
      </c>
      <c r="AN322">
        <v>0</v>
      </c>
      <c r="AO322">
        <v>0</v>
      </c>
      <c r="AP322">
        <v>0</v>
      </c>
      <c r="AQ322">
        <v>0</v>
      </c>
      <c r="AR322">
        <v>0</v>
      </c>
      <c r="AS322">
        <v>0</v>
      </c>
      <c r="AT322">
        <v>0</v>
      </c>
      <c r="AU322">
        <v>0</v>
      </c>
      <c r="AV322">
        <v>0</v>
      </c>
      <c r="AW322">
        <v>0</v>
      </c>
      <c r="AX322">
        <v>0</v>
      </c>
      <c r="AY322">
        <v>0</v>
      </c>
      <c r="AZ322" s="141">
        <f t="shared" si="334"/>
        <v>2</v>
      </c>
      <c r="BA322" s="141">
        <f t="shared" si="335"/>
        <v>2</v>
      </c>
      <c r="BB322">
        <f t="shared" si="336"/>
        <v>0</v>
      </c>
      <c r="BC322">
        <f t="shared" si="337"/>
        <v>1</v>
      </c>
      <c r="BD322">
        <f t="shared" si="338"/>
        <v>1</v>
      </c>
      <c r="BE322">
        <f t="shared" si="339"/>
        <v>0</v>
      </c>
      <c r="BF322">
        <f t="shared" si="340"/>
        <v>0</v>
      </c>
      <c r="BG322" t="str" cm="1">
        <f t="array" ref="BG322">IF(BA322=1,INDEX($X$7:$AN$7,MATCH(TRUE,INDEX($X322:$AY322&lt;&gt;0,),0)),IF(BA322=0,INDEX($AO$7:$AY$7,MATCH(1,$AO322:$AY322,0)),IF(BH322="Multiple strategies","mixed drivers",IF(BH322="Supply chain","multiple supply","multiple silviculture"))))</f>
        <v>mixed drivers</v>
      </c>
      <c r="BH322" s="2" t="str" cm="1">
        <f t="array" ref="BH322">IF(COUNTIF(BB322:BD322,"&lt;&gt;0")=1,INDEX($X$4:$AY$4,MATCH(TRUE,INDEX($X322:$AY322&lt;&gt;0,),0)),IF(COUNTIF(BB322:BD322,"&lt;&gt;0")=0,INDEX($AO$4:$AY$4,MATCH(1,$AO322:$AY322,0)),"Multiple strategies"))</f>
        <v>Multiple strategies</v>
      </c>
      <c r="BR322" t="s">
        <v>395</v>
      </c>
      <c r="BT322" t="s">
        <v>397</v>
      </c>
      <c r="BU322">
        <v>519</v>
      </c>
      <c r="BV322">
        <v>36.871508379888198</v>
      </c>
      <c r="BW322" s="144"/>
      <c r="BX322">
        <f t="shared" si="362"/>
        <v>-482.12849162011179</v>
      </c>
      <c r="CA322" t="str">
        <f t="shared" si="352"/>
        <v/>
      </c>
      <c r="CB322">
        <v>1</v>
      </c>
      <c r="CC322">
        <v>0</v>
      </c>
      <c r="CD322">
        <v>0</v>
      </c>
      <c r="CE322">
        <v>0</v>
      </c>
      <c r="CF322">
        <v>0</v>
      </c>
      <c r="CG322">
        <v>0</v>
      </c>
      <c r="CH322">
        <v>1</v>
      </c>
      <c r="CI322">
        <v>0</v>
      </c>
      <c r="CJ322">
        <v>0</v>
      </c>
      <c r="CK322">
        <v>0</v>
      </c>
      <c r="CL322">
        <v>1</v>
      </c>
      <c r="CM322">
        <v>0</v>
      </c>
      <c r="CN322">
        <v>0</v>
      </c>
      <c r="CO322">
        <v>0</v>
      </c>
      <c r="CP322" t="str">
        <f t="shared" si="341"/>
        <v>refOK</v>
      </c>
      <c r="CQ322"/>
      <c r="CR322"/>
      <c r="CS322"/>
      <c r="CT322">
        <f t="shared" si="353"/>
        <v>0</v>
      </c>
      <c r="CU322">
        <f t="shared" si="342"/>
        <v>-519</v>
      </c>
      <c r="CV322">
        <f t="shared" si="366"/>
        <v>-36.871508379888198</v>
      </c>
      <c r="CW322">
        <f t="shared" si="343"/>
        <v>0</v>
      </c>
      <c r="CX322" t="str">
        <f t="shared" si="354"/>
        <v/>
      </c>
      <c r="CY322" t="str">
        <f t="shared" si="344"/>
        <v/>
      </c>
      <c r="CZ322" t="str">
        <f t="shared" si="355"/>
        <v/>
      </c>
      <c r="DA322" s="2">
        <f t="shared" si="345"/>
        <v>0.92895663125262384</v>
      </c>
      <c r="DB322" s="1" t="s">
        <v>936</v>
      </c>
      <c r="DC322" s="297" t="str">
        <f t="shared" si="363"/>
        <v>loc</v>
      </c>
      <c r="DD322" t="s">
        <v>718</v>
      </c>
      <c r="DG322">
        <v>0</v>
      </c>
      <c r="DH322" t="str">
        <f t="shared" si="346"/>
        <v>0</v>
      </c>
      <c r="DI322">
        <v>0</v>
      </c>
      <c r="DJ322">
        <v>0</v>
      </c>
      <c r="DK322">
        <v>0</v>
      </c>
      <c r="DL322">
        <v>1</v>
      </c>
      <c r="DM322">
        <v>0</v>
      </c>
      <c r="DN322">
        <f t="shared" si="364"/>
        <v>1</v>
      </c>
      <c r="DO322" t="str">
        <f t="shared" si="347"/>
        <v>TimberInput</v>
      </c>
      <c r="DP322">
        <f t="shared" si="348"/>
        <v>0</v>
      </c>
      <c r="DQ322">
        <f t="shared" si="349"/>
        <v>0</v>
      </c>
      <c r="DR322">
        <f t="shared" si="350"/>
        <v>0</v>
      </c>
      <c r="DS322" t="str">
        <f t="shared" si="351"/>
        <v>Timber</v>
      </c>
      <c r="DT322">
        <v>0</v>
      </c>
      <c r="DU322" s="143">
        <v>1</v>
      </c>
      <c r="DV322" s="143" t="s">
        <v>3644</v>
      </c>
      <c r="DW322" t="s">
        <v>3644</v>
      </c>
      <c r="DX322" s="143" t="s">
        <v>3644</v>
      </c>
      <c r="DY322">
        <f t="shared" si="367"/>
        <v>1</v>
      </c>
      <c r="DZ322" s="143" t="str">
        <f t="shared" si="365"/>
        <v>external DF used</v>
      </c>
      <c r="EA322">
        <v>0</v>
      </c>
      <c r="EB322">
        <v>0</v>
      </c>
      <c r="EC322">
        <v>0</v>
      </c>
      <c r="ED322">
        <v>1</v>
      </c>
      <c r="EE322">
        <v>1</v>
      </c>
      <c r="EF322" s="143">
        <v>1</v>
      </c>
      <c r="EG322">
        <v>0</v>
      </c>
      <c r="EH322">
        <v>1</v>
      </c>
      <c r="EI322">
        <v>1</v>
      </c>
      <c r="EJ322">
        <v>1</v>
      </c>
      <c r="EK322">
        <v>0</v>
      </c>
      <c r="EL322">
        <v>0</v>
      </c>
      <c r="EM322">
        <v>0</v>
      </c>
      <c r="EN322" s="2">
        <v>0</v>
      </c>
      <c r="EP322" t="str">
        <f t="shared" si="356"/>
        <v/>
      </c>
      <c r="EQ322" t="str">
        <f t="shared" si="368"/>
        <v/>
      </c>
      <c r="ER322" s="2" t="str">
        <f t="shared" si="357"/>
        <v>Technology approach</v>
      </c>
      <c r="ES322" t="str">
        <f t="shared" si="358"/>
        <v/>
      </c>
      <c r="ET322" t="str">
        <f t="shared" si="359"/>
        <v/>
      </c>
      <c r="EU322" t="str">
        <f t="shared" si="360"/>
        <v/>
      </c>
      <c r="EY322" t="b">
        <f>IF(ISNUMBER(BW322),IF(ABS(BW322-[1]QC_indicators!$B$2)&gt;3*[1]QC_indicators!$C$2,"C ratio",IF(ISNUMBER(CA322),IF(ABS(CA322-[1]QC_indicators!$B$1)&gt;3*[1]QC_indicators!$C$1,"DF","no"))),IF(ISNUMBER(CA322),IF(ABS(CA322-[1]QC_indicators!$B$1)&gt;3*[1]QC_indicators!$C$1,"DF","no")))</f>
        <v>0</v>
      </c>
      <c r="FA322" t="str">
        <f t="shared" si="361"/>
        <v/>
      </c>
    </row>
    <row r="323" spans="1:158" ht="15" hidden="1" customHeight="1">
      <c r="A323" s="1" t="s">
        <v>3671</v>
      </c>
      <c r="B323" t="s">
        <v>531</v>
      </c>
      <c r="C323" t="s">
        <v>3672</v>
      </c>
      <c r="D323" t="s">
        <v>3673</v>
      </c>
      <c r="E323" t="s">
        <v>3674</v>
      </c>
      <c r="F323" t="s">
        <v>3675</v>
      </c>
      <c r="G323" t="s">
        <v>3639</v>
      </c>
      <c r="H323" t="s">
        <v>3640</v>
      </c>
      <c r="I323">
        <v>2016</v>
      </c>
      <c r="J323">
        <v>1</v>
      </c>
      <c r="K323" t="s">
        <v>3676</v>
      </c>
      <c r="M323" t="str">
        <f t="shared" si="323"/>
        <v>Plch_2016</v>
      </c>
      <c r="N323" s="297" t="s">
        <v>4058</v>
      </c>
      <c r="O323" s="171" t="s">
        <v>225</v>
      </c>
      <c r="P323" t="s">
        <v>341</v>
      </c>
      <c r="Q323" s="297" t="s">
        <v>389</v>
      </c>
      <c r="R323" s="298"/>
      <c r="S323" s="1" t="s">
        <v>3677</v>
      </c>
      <c r="T323" t="s">
        <v>3678</v>
      </c>
      <c r="U323" t="s">
        <v>3679</v>
      </c>
      <c r="X323">
        <v>0</v>
      </c>
      <c r="Y323">
        <v>0</v>
      </c>
      <c r="Z323">
        <v>0</v>
      </c>
      <c r="AA323">
        <v>0</v>
      </c>
      <c r="AB323">
        <v>0</v>
      </c>
      <c r="AC323">
        <v>0</v>
      </c>
      <c r="AD323">
        <v>0</v>
      </c>
      <c r="AE323">
        <v>0</v>
      </c>
      <c r="AF323">
        <v>1</v>
      </c>
      <c r="AG323">
        <v>0</v>
      </c>
      <c r="AH323">
        <v>0</v>
      </c>
      <c r="AI323">
        <v>0</v>
      </c>
      <c r="AJ323">
        <v>0</v>
      </c>
      <c r="AK323">
        <v>0</v>
      </c>
      <c r="AL323">
        <v>1</v>
      </c>
      <c r="AM323">
        <v>0</v>
      </c>
      <c r="AN323">
        <v>0</v>
      </c>
      <c r="AO323">
        <v>0</v>
      </c>
      <c r="AP323">
        <v>0</v>
      </c>
      <c r="AQ323">
        <v>0</v>
      </c>
      <c r="AR323">
        <v>0</v>
      </c>
      <c r="AS323">
        <v>0</v>
      </c>
      <c r="AT323">
        <v>0</v>
      </c>
      <c r="AU323">
        <v>0</v>
      </c>
      <c r="AV323">
        <v>0</v>
      </c>
      <c r="AW323">
        <v>1</v>
      </c>
      <c r="AX323">
        <v>0</v>
      </c>
      <c r="AY323">
        <v>0</v>
      </c>
      <c r="AZ323" s="141">
        <f t="shared" si="334"/>
        <v>3</v>
      </c>
      <c r="BA323" s="141">
        <f t="shared" si="335"/>
        <v>2</v>
      </c>
      <c r="BB323">
        <f t="shared" si="336"/>
        <v>0</v>
      </c>
      <c r="BC323">
        <f t="shared" si="337"/>
        <v>1</v>
      </c>
      <c r="BD323">
        <f t="shared" si="338"/>
        <v>1</v>
      </c>
      <c r="BE323">
        <f t="shared" si="339"/>
        <v>1</v>
      </c>
      <c r="BF323">
        <f t="shared" si="340"/>
        <v>0</v>
      </c>
      <c r="BG323" t="str" cm="1">
        <f t="array" ref="BG323">IF(BA323=1,INDEX($X$7:$AN$7,MATCH(TRUE,INDEX($X323:$AY323&lt;&gt;0,),0)),IF(BA323=0,INDEX($AO$7:$AY$7,MATCH(1,$AO323:$AY323,0)),IF(BH323="Multiple strategies","mixed drivers",IF(BH323="Supply chain","multiple supply","multiple silviculture"))))</f>
        <v>mixed drivers</v>
      </c>
      <c r="BH323" s="2" t="str" cm="1">
        <f t="array" ref="BH323">IF(COUNTIF(BB323:BD323,"&lt;&gt;0")=1,INDEX($X$4:$AY$4,MATCH(TRUE,INDEX($X323:$AY323&lt;&gt;0,),0)),IF(COUNTIF(BB323:BD323,"&lt;&gt;0")=0,INDEX($AO$4:$AY$4,MATCH(1,$AO323:$AY323,0)),"Multiple strategies"))</f>
        <v>Multiple strategies</v>
      </c>
      <c r="BO323" t="str">
        <f>IFERROR(BN323/BM323,"")</f>
        <v/>
      </c>
      <c r="BR323" t="s">
        <v>232</v>
      </c>
      <c r="BT323" t="s">
        <v>3680</v>
      </c>
      <c r="BU323">
        <v>16.100000000000001</v>
      </c>
      <c r="BV323">
        <v>9.4</v>
      </c>
      <c r="BW323" s="144"/>
      <c r="BX323">
        <f t="shared" ref="BX323:BX329" si="369">BU323-BV323</f>
        <v>6.7000000000000011</v>
      </c>
      <c r="CA323" t="str">
        <f t="shared" si="352"/>
        <v/>
      </c>
      <c r="CB323">
        <v>0</v>
      </c>
      <c r="CC323">
        <v>0</v>
      </c>
      <c r="CD323">
        <v>0</v>
      </c>
      <c r="CE323">
        <v>0</v>
      </c>
      <c r="CF323">
        <v>0</v>
      </c>
      <c r="CG323">
        <v>0</v>
      </c>
      <c r="CH323">
        <v>0</v>
      </c>
      <c r="CI323">
        <v>0</v>
      </c>
      <c r="CJ323">
        <v>0</v>
      </c>
      <c r="CK323">
        <v>0</v>
      </c>
      <c r="CL323">
        <v>0</v>
      </c>
      <c r="CM323">
        <v>0</v>
      </c>
      <c r="CN323">
        <v>0</v>
      </c>
      <c r="CO323">
        <v>0</v>
      </c>
      <c r="CP323" t="str">
        <f t="shared" si="341"/>
        <v>refOK</v>
      </c>
      <c r="CQ323"/>
      <c r="CR323"/>
      <c r="CS323"/>
      <c r="CT323">
        <f t="shared" si="353"/>
        <v>0</v>
      </c>
      <c r="CU323">
        <f t="shared" si="342"/>
        <v>16.100000000000001</v>
      </c>
      <c r="CV323">
        <f t="shared" si="366"/>
        <v>9.4</v>
      </c>
      <c r="CW323">
        <f t="shared" si="343"/>
        <v>0</v>
      </c>
      <c r="CX323" t="str">
        <f t="shared" si="354"/>
        <v/>
      </c>
      <c r="CY323" t="str">
        <f t="shared" si="344"/>
        <v/>
      </c>
      <c r="CZ323" t="str">
        <f t="shared" si="355"/>
        <v/>
      </c>
      <c r="DA323" s="2">
        <f t="shared" si="345"/>
        <v>-0.41614906832298137</v>
      </c>
      <c r="DB323" s="1" t="s">
        <v>3681</v>
      </c>
      <c r="DC323" s="297" t="str">
        <f t="shared" si="363"/>
        <v>loc</v>
      </c>
      <c r="DD323" t="s">
        <v>3682</v>
      </c>
      <c r="DG323">
        <v>100</v>
      </c>
      <c r="DH323" t="str">
        <f t="shared" si="346"/>
        <v>71-100</v>
      </c>
      <c r="DI323">
        <v>1</v>
      </c>
      <c r="DJ323">
        <v>1</v>
      </c>
      <c r="DK323">
        <v>1</v>
      </c>
      <c r="DL323">
        <v>1</v>
      </c>
      <c r="DM323">
        <v>0</v>
      </c>
      <c r="DN323">
        <f t="shared" si="364"/>
        <v>4</v>
      </c>
      <c r="DO323" t="str">
        <f t="shared" si="347"/>
        <v>mixedProduct</v>
      </c>
      <c r="DP323" t="str">
        <f t="shared" si="348"/>
        <v>Upstream</v>
      </c>
      <c r="DQ323" t="str">
        <f t="shared" si="349"/>
        <v>Energy</v>
      </c>
      <c r="DR323" t="str">
        <f t="shared" si="350"/>
        <v>Pulp/Paper</v>
      </c>
      <c r="DS323" t="str">
        <f t="shared" si="351"/>
        <v>Timber</v>
      </c>
      <c r="DT323">
        <v>0</v>
      </c>
      <c r="DU323" s="143">
        <v>0</v>
      </c>
      <c r="DV323" s="143">
        <v>0</v>
      </c>
      <c r="DW323">
        <v>0</v>
      </c>
      <c r="DX323" s="143">
        <v>0</v>
      </c>
      <c r="DY323">
        <f t="shared" si="367"/>
        <v>0</v>
      </c>
      <c r="DZ323" s="143" t="str">
        <f t="shared" si="365"/>
        <v>explicit C balance</v>
      </c>
      <c r="EA323">
        <v>0</v>
      </c>
      <c r="EB323">
        <v>0</v>
      </c>
      <c r="EC323">
        <v>1</v>
      </c>
      <c r="ED323">
        <v>0</v>
      </c>
      <c r="EE323">
        <v>0</v>
      </c>
      <c r="EF323" s="143">
        <v>0</v>
      </c>
      <c r="EG323">
        <v>1</v>
      </c>
      <c r="EH323">
        <v>1</v>
      </c>
      <c r="EI323">
        <v>0</v>
      </c>
      <c r="EJ323">
        <v>0</v>
      </c>
      <c r="EK323">
        <v>1</v>
      </c>
      <c r="EL323">
        <v>1</v>
      </c>
      <c r="EM323">
        <v>0</v>
      </c>
      <c r="EN323" s="2">
        <v>0</v>
      </c>
      <c r="EP323" t="str">
        <f t="shared" si="356"/>
        <v/>
      </c>
      <c r="EQ323" t="str">
        <f t="shared" si="368"/>
        <v/>
      </c>
      <c r="ER323" s="2" t="str">
        <f t="shared" si="357"/>
        <v/>
      </c>
      <c r="ES323" t="str">
        <f t="shared" si="358"/>
        <v/>
      </c>
      <c r="ET323" t="str">
        <f t="shared" si="359"/>
        <v/>
      </c>
      <c r="EU323" t="str">
        <f t="shared" si="360"/>
        <v/>
      </c>
      <c r="EY323" t="b">
        <f>IF(ISNUMBER(BW323),IF(ABS(BW323-[1]QC_indicators!$B$2)&gt;3*[1]QC_indicators!$C$2,"C ratio",IF(ISNUMBER(CA323),IF(ABS(CA323-[1]QC_indicators!$B$1)&gt;3*[1]QC_indicators!$C$1,"DF","no"))),IF(ISNUMBER(CA323),IF(ABS(CA323-[1]QC_indicators!$B$1)&gt;3*[1]QC_indicators!$C$1,"DF","no")))</f>
        <v>0</v>
      </c>
      <c r="FA323" t="str">
        <f t="shared" si="361"/>
        <v/>
      </c>
    </row>
    <row r="324" spans="1:158" ht="15" hidden="1" customHeight="1">
      <c r="A324" s="1" t="s">
        <v>333</v>
      </c>
      <c r="B324" t="s">
        <v>3683</v>
      </c>
      <c r="C324" t="s">
        <v>3684</v>
      </c>
      <c r="D324" t="s">
        <v>3685</v>
      </c>
      <c r="E324" t="s">
        <v>3686</v>
      </c>
      <c r="F324" t="s">
        <v>3687</v>
      </c>
      <c r="G324" t="s">
        <v>339</v>
      </c>
      <c r="H324" t="s">
        <v>254</v>
      </c>
      <c r="I324">
        <v>2017</v>
      </c>
      <c r="J324">
        <v>8</v>
      </c>
      <c r="K324" t="s">
        <v>3688</v>
      </c>
      <c r="M324" t="str">
        <f t="shared" si="323"/>
        <v>Pomponi_2017</v>
      </c>
      <c r="N324" s="297" t="s">
        <v>4058</v>
      </c>
      <c r="O324" s="171" t="s">
        <v>225</v>
      </c>
      <c r="P324" t="s">
        <v>341</v>
      </c>
      <c r="Q324" s="297" t="s">
        <v>389</v>
      </c>
      <c r="R324" s="298"/>
      <c r="S324" s="1" t="s">
        <v>3695</v>
      </c>
      <c r="T324" t="s">
        <v>986</v>
      </c>
      <c r="U324" t="s">
        <v>3696</v>
      </c>
      <c r="X324">
        <v>0</v>
      </c>
      <c r="Y324">
        <v>0</v>
      </c>
      <c r="Z324">
        <v>0</v>
      </c>
      <c r="AA324">
        <v>0</v>
      </c>
      <c r="AB324">
        <v>0</v>
      </c>
      <c r="AC324">
        <v>0</v>
      </c>
      <c r="AD324">
        <v>0</v>
      </c>
      <c r="AE324">
        <v>0</v>
      </c>
      <c r="AF324">
        <v>0</v>
      </c>
      <c r="AG324">
        <v>0</v>
      </c>
      <c r="AH324">
        <v>0</v>
      </c>
      <c r="AI324">
        <v>0</v>
      </c>
      <c r="AJ324">
        <v>0</v>
      </c>
      <c r="AK324">
        <v>0</v>
      </c>
      <c r="AL324">
        <v>0</v>
      </c>
      <c r="AM324">
        <v>1</v>
      </c>
      <c r="AN324">
        <v>0</v>
      </c>
      <c r="AO324">
        <v>0</v>
      </c>
      <c r="AP324">
        <v>0</v>
      </c>
      <c r="AQ324">
        <v>0</v>
      </c>
      <c r="AR324">
        <v>0</v>
      </c>
      <c r="AS324">
        <v>0</v>
      </c>
      <c r="AT324">
        <v>0</v>
      </c>
      <c r="AU324">
        <v>0</v>
      </c>
      <c r="AV324">
        <v>0</v>
      </c>
      <c r="AW324">
        <v>0</v>
      </c>
      <c r="AX324">
        <v>0</v>
      </c>
      <c r="AY324">
        <v>0</v>
      </c>
      <c r="AZ324" s="141">
        <f t="shared" si="334"/>
        <v>1</v>
      </c>
      <c r="BA324" s="141">
        <f t="shared" si="335"/>
        <v>1</v>
      </c>
      <c r="BB324">
        <f t="shared" si="336"/>
        <v>0</v>
      </c>
      <c r="BC324">
        <f t="shared" si="337"/>
        <v>0</v>
      </c>
      <c r="BD324">
        <f t="shared" si="338"/>
        <v>1</v>
      </c>
      <c r="BE324">
        <f t="shared" si="339"/>
        <v>0</v>
      </c>
      <c r="BF324">
        <f t="shared" si="340"/>
        <v>0</v>
      </c>
      <c r="BG324" t="str" cm="1">
        <f t="array" ref="BG324">IF(BA324=1,INDEX($X$7:$AN$7,MATCH(TRUE,INDEX($X324:$AY324&lt;&gt;0,),0)),IF(BA324=0,INDEX($AO$7:$AY$7,MATCH(1,$AO324:$AY324,0)),IF(BH324="Multiple strategies","mixed drivers",IF(BH324="Supply chain","multiple supply","multiple silviculture"))))</f>
        <v>technologies/design switch</v>
      </c>
      <c r="BH324" s="2" t="str" cm="1">
        <f t="array" ref="BH324">IF(COUNTIF(BB324:BD324,"&lt;&gt;0")=1,INDEX($X$4:$AY$4,MATCH(TRUE,INDEX($X324:$AY324&lt;&gt;0,),0)),IF(COUNTIF(BB324:BD324,"&lt;&gt;0")=0,INDEX($AO$4:$AY$4,MATCH(1,$AO324:$AY324,0)),"Multiple strategies"))</f>
        <v>Technology</v>
      </c>
      <c r="BQ324" s="297"/>
      <c r="BR324" t="s">
        <v>232</v>
      </c>
      <c r="BT324" t="s">
        <v>3692</v>
      </c>
      <c r="BU324">
        <v>1500</v>
      </c>
      <c r="BV324">
        <v>1279</v>
      </c>
      <c r="BW324" s="144"/>
      <c r="BX324">
        <f t="shared" si="369"/>
        <v>221</v>
      </c>
      <c r="CA324" t="str">
        <f t="shared" si="352"/>
        <v/>
      </c>
      <c r="CB324">
        <v>0</v>
      </c>
      <c r="CC324">
        <v>0</v>
      </c>
      <c r="CD324">
        <v>0</v>
      </c>
      <c r="CE324">
        <v>0</v>
      </c>
      <c r="CF324">
        <v>0</v>
      </c>
      <c r="CG324">
        <v>0</v>
      </c>
      <c r="CH324">
        <v>0</v>
      </c>
      <c r="CI324">
        <v>0</v>
      </c>
      <c r="CJ324">
        <v>0</v>
      </c>
      <c r="CK324">
        <v>0</v>
      </c>
      <c r="CL324">
        <v>0</v>
      </c>
      <c r="CM324">
        <v>0</v>
      </c>
      <c r="CN324">
        <v>0</v>
      </c>
      <c r="CO324">
        <v>0</v>
      </c>
      <c r="CP324" t="str">
        <f t="shared" si="341"/>
        <v>refOK</v>
      </c>
      <c r="CQ324"/>
      <c r="CR324"/>
      <c r="CS324"/>
      <c r="CT324">
        <f t="shared" si="353"/>
        <v>0</v>
      </c>
      <c r="CU324">
        <f t="shared" si="342"/>
        <v>1500</v>
      </c>
      <c r="CV324">
        <f t="shared" si="366"/>
        <v>1279</v>
      </c>
      <c r="CW324">
        <f t="shared" si="343"/>
        <v>0</v>
      </c>
      <c r="CX324" t="str">
        <f t="shared" si="354"/>
        <v/>
      </c>
      <c r="CY324" t="str">
        <f t="shared" si="344"/>
        <v/>
      </c>
      <c r="CZ324" t="str">
        <f t="shared" si="355"/>
        <v/>
      </c>
      <c r="DA324" s="2">
        <f t="shared" si="345"/>
        <v>-0.14733333333333334</v>
      </c>
      <c r="DB324" s="1" t="s">
        <v>936</v>
      </c>
      <c r="DC324" s="297" t="str">
        <f t="shared" si="363"/>
        <v>loc</v>
      </c>
      <c r="DD324" s="296" t="s">
        <v>3098</v>
      </c>
      <c r="DG324">
        <v>25</v>
      </c>
      <c r="DH324" t="str">
        <f t="shared" si="346"/>
        <v>1-30</v>
      </c>
      <c r="DI324">
        <v>0</v>
      </c>
      <c r="DJ324">
        <v>0</v>
      </c>
      <c r="DK324">
        <v>0</v>
      </c>
      <c r="DL324">
        <v>1</v>
      </c>
      <c r="DM324">
        <v>0</v>
      </c>
      <c r="DN324">
        <f t="shared" si="364"/>
        <v>1</v>
      </c>
      <c r="DO324" t="str">
        <f t="shared" si="347"/>
        <v>TimberInput</v>
      </c>
      <c r="DP324">
        <f t="shared" si="348"/>
        <v>0</v>
      </c>
      <c r="DQ324">
        <f t="shared" si="349"/>
        <v>0</v>
      </c>
      <c r="DR324">
        <f t="shared" si="350"/>
        <v>0</v>
      </c>
      <c r="DS324" t="str">
        <f t="shared" si="351"/>
        <v>Timber</v>
      </c>
      <c r="DT324">
        <v>0</v>
      </c>
      <c r="DU324">
        <v>1</v>
      </c>
      <c r="DV324" t="s">
        <v>3693</v>
      </c>
      <c r="DW324" t="s">
        <v>3694</v>
      </c>
      <c r="DX324" t="s">
        <v>3694</v>
      </c>
      <c r="DY324">
        <f t="shared" si="367"/>
        <v>1</v>
      </c>
      <c r="DZ324" s="143" t="str">
        <f t="shared" si="365"/>
        <v>external DF used</v>
      </c>
      <c r="EA324">
        <v>0</v>
      </c>
      <c r="EB324">
        <v>0</v>
      </c>
      <c r="EC324">
        <v>0</v>
      </c>
      <c r="ED324">
        <v>1</v>
      </c>
      <c r="EE324">
        <v>1</v>
      </c>
      <c r="EF324">
        <v>0</v>
      </c>
      <c r="EG324">
        <v>0</v>
      </c>
      <c r="EH324">
        <v>1</v>
      </c>
      <c r="EI324">
        <v>0</v>
      </c>
      <c r="EJ324">
        <v>1</v>
      </c>
      <c r="EK324">
        <v>0</v>
      </c>
      <c r="EL324">
        <v>1</v>
      </c>
      <c r="EM324">
        <v>0</v>
      </c>
      <c r="EN324" s="2">
        <v>0</v>
      </c>
      <c r="EP324" t="str">
        <f t="shared" si="356"/>
        <v/>
      </c>
      <c r="EQ324" t="str">
        <f t="shared" si="368"/>
        <v/>
      </c>
      <c r="ER324" s="2" t="str">
        <f t="shared" si="357"/>
        <v>Technology approach</v>
      </c>
      <c r="ES324" t="str">
        <f t="shared" si="358"/>
        <v/>
      </c>
      <c r="ET324" t="str">
        <f t="shared" si="359"/>
        <v/>
      </c>
      <c r="EU324" t="str">
        <f t="shared" si="360"/>
        <v/>
      </c>
      <c r="EY324" t="b">
        <f>IF(ISNUMBER(BW324),IF(ABS(BW324-[1]QC_indicators!$B$2)&gt;3*[1]QC_indicators!$C$2,"C ratio",IF(ISNUMBER(CA324),IF(ABS(CA324-[1]QC_indicators!$B$1)&gt;3*[1]QC_indicators!$C$1,"DF","no"))),IF(ISNUMBER(CA324),IF(ABS(CA324-[1]QC_indicators!$B$1)&gt;3*[1]QC_indicators!$C$1,"DF","no")))</f>
        <v>0</v>
      </c>
      <c r="FA324" t="str">
        <f t="shared" si="361"/>
        <v/>
      </c>
    </row>
    <row r="325" spans="1:158" ht="15" hidden="1" customHeight="1">
      <c r="A325" s="1" t="s">
        <v>333</v>
      </c>
      <c r="B325" t="s">
        <v>3683</v>
      </c>
      <c r="C325" t="s">
        <v>3684</v>
      </c>
      <c r="D325" t="s">
        <v>3685</v>
      </c>
      <c r="E325" t="s">
        <v>3686</v>
      </c>
      <c r="F325" t="s">
        <v>3687</v>
      </c>
      <c r="G325" t="s">
        <v>339</v>
      </c>
      <c r="H325" t="s">
        <v>254</v>
      </c>
      <c r="I325">
        <v>2017</v>
      </c>
      <c r="J325">
        <v>8</v>
      </c>
      <c r="K325" t="s">
        <v>3688</v>
      </c>
      <c r="M325" t="str">
        <f t="shared" si="323"/>
        <v>Pomponi_2017</v>
      </c>
      <c r="N325" s="297" t="s">
        <v>4058</v>
      </c>
      <c r="O325" s="171" t="s">
        <v>225</v>
      </c>
      <c r="P325" t="s">
        <v>341</v>
      </c>
      <c r="Q325" s="297" t="s">
        <v>389</v>
      </c>
      <c r="R325" s="298"/>
      <c r="S325" s="1" t="s">
        <v>3695</v>
      </c>
      <c r="T325" t="s">
        <v>986</v>
      </c>
      <c r="U325" t="s">
        <v>3691</v>
      </c>
      <c r="X325">
        <v>0</v>
      </c>
      <c r="Y325">
        <v>0</v>
      </c>
      <c r="Z325">
        <v>0</v>
      </c>
      <c r="AA325">
        <v>0</v>
      </c>
      <c r="AB325">
        <v>0</v>
      </c>
      <c r="AC325">
        <v>0</v>
      </c>
      <c r="AD325">
        <v>0</v>
      </c>
      <c r="AE325">
        <v>0</v>
      </c>
      <c r="AF325">
        <v>0</v>
      </c>
      <c r="AG325">
        <v>0</v>
      </c>
      <c r="AH325">
        <v>0</v>
      </c>
      <c r="AI325">
        <v>0</v>
      </c>
      <c r="AJ325">
        <v>0</v>
      </c>
      <c r="AK325">
        <v>0</v>
      </c>
      <c r="AL325">
        <v>0</v>
      </c>
      <c r="AM325">
        <v>1</v>
      </c>
      <c r="AN325">
        <v>0</v>
      </c>
      <c r="AO325">
        <v>0</v>
      </c>
      <c r="AP325">
        <v>0</v>
      </c>
      <c r="AQ325">
        <v>0</v>
      </c>
      <c r="AR325">
        <v>0</v>
      </c>
      <c r="AS325">
        <v>0</v>
      </c>
      <c r="AT325">
        <v>0</v>
      </c>
      <c r="AU325">
        <v>0</v>
      </c>
      <c r="AV325">
        <v>0</v>
      </c>
      <c r="AW325">
        <v>0</v>
      </c>
      <c r="AX325">
        <v>0</v>
      </c>
      <c r="AY325">
        <v>0</v>
      </c>
      <c r="AZ325" s="141">
        <f t="shared" si="334"/>
        <v>1</v>
      </c>
      <c r="BA325" s="141">
        <f t="shared" si="335"/>
        <v>1</v>
      </c>
      <c r="BB325">
        <f t="shared" si="336"/>
        <v>0</v>
      </c>
      <c r="BC325">
        <f t="shared" si="337"/>
        <v>0</v>
      </c>
      <c r="BD325">
        <f t="shared" si="338"/>
        <v>1</v>
      </c>
      <c r="BE325">
        <f t="shared" si="339"/>
        <v>0</v>
      </c>
      <c r="BF325">
        <f t="shared" si="340"/>
        <v>0</v>
      </c>
      <c r="BG325" t="str" cm="1">
        <f t="array" ref="BG325">IF(BA325=1,INDEX($X$7:$AN$7,MATCH(TRUE,INDEX($X325:$AY325&lt;&gt;0,),0)),IF(BA325=0,INDEX($AO$7:$AY$7,MATCH(1,$AO325:$AY325,0)),IF(BH325="Multiple strategies","mixed drivers",IF(BH325="Supply chain","multiple supply","multiple silviculture"))))</f>
        <v>technologies/design switch</v>
      </c>
      <c r="BH325" s="2" t="str" cm="1">
        <f t="array" ref="BH325">IF(COUNTIF(BB325:BD325,"&lt;&gt;0")=1,INDEX($X$4:$AY$4,MATCH(TRUE,INDEX($X325:$AY325&lt;&gt;0,),0)),IF(COUNTIF(BB325:BD325,"&lt;&gt;0")=0,INDEX($AO$4:$AY$4,MATCH(1,$AO325:$AY325,0)),"Multiple strategies"))</f>
        <v>Technology</v>
      </c>
      <c r="BO325" t="str">
        <f>IFERROR(BN325/BM325,"")</f>
        <v/>
      </c>
      <c r="BQ325" s="297"/>
      <c r="BR325" t="s">
        <v>232</v>
      </c>
      <c r="BT325" t="s">
        <v>3692</v>
      </c>
      <c r="BU325">
        <v>1500</v>
      </c>
      <c r="BV325">
        <v>1284</v>
      </c>
      <c r="BW325" s="144"/>
      <c r="BX325">
        <f t="shared" si="369"/>
        <v>216</v>
      </c>
      <c r="CA325" t="str">
        <f t="shared" si="352"/>
        <v/>
      </c>
      <c r="CB325">
        <v>0</v>
      </c>
      <c r="CC325">
        <v>0</v>
      </c>
      <c r="CD325">
        <v>0</v>
      </c>
      <c r="CE325">
        <v>0</v>
      </c>
      <c r="CF325">
        <v>0</v>
      </c>
      <c r="CG325">
        <v>0</v>
      </c>
      <c r="CH325">
        <v>0</v>
      </c>
      <c r="CI325">
        <v>0</v>
      </c>
      <c r="CJ325">
        <v>0</v>
      </c>
      <c r="CK325">
        <v>0</v>
      </c>
      <c r="CL325">
        <v>0</v>
      </c>
      <c r="CM325">
        <v>0</v>
      </c>
      <c r="CN325">
        <v>0</v>
      </c>
      <c r="CO325">
        <v>0</v>
      </c>
      <c r="CP325" t="str">
        <f t="shared" si="341"/>
        <v>refOK</v>
      </c>
      <c r="CQ325"/>
      <c r="CR325"/>
      <c r="CS325"/>
      <c r="CT325">
        <f t="shared" si="353"/>
        <v>0</v>
      </c>
      <c r="CU325">
        <f t="shared" si="342"/>
        <v>1500</v>
      </c>
      <c r="CV325">
        <f t="shared" si="366"/>
        <v>1284</v>
      </c>
      <c r="CW325">
        <f t="shared" si="343"/>
        <v>0</v>
      </c>
      <c r="CX325" t="str">
        <f t="shared" si="354"/>
        <v/>
      </c>
      <c r="CY325" t="str">
        <f t="shared" si="344"/>
        <v/>
      </c>
      <c r="CZ325" t="str">
        <f t="shared" si="355"/>
        <v/>
      </c>
      <c r="DA325" s="2">
        <f t="shared" si="345"/>
        <v>-0.14399999999999999</v>
      </c>
      <c r="DB325" s="1" t="s">
        <v>936</v>
      </c>
      <c r="DC325" s="297" t="str">
        <f t="shared" si="363"/>
        <v>loc</v>
      </c>
      <c r="DD325" s="296" t="s">
        <v>3098</v>
      </c>
      <c r="DG325">
        <v>25</v>
      </c>
      <c r="DH325" t="str">
        <f t="shared" si="346"/>
        <v>1-30</v>
      </c>
      <c r="DI325">
        <v>0</v>
      </c>
      <c r="DJ325">
        <v>0</v>
      </c>
      <c r="DK325">
        <v>0</v>
      </c>
      <c r="DL325">
        <v>1</v>
      </c>
      <c r="DM325">
        <v>0</v>
      </c>
      <c r="DN325">
        <f t="shared" si="364"/>
        <v>1</v>
      </c>
      <c r="DO325" t="str">
        <f t="shared" si="347"/>
        <v>TimberInput</v>
      </c>
      <c r="DP325">
        <f t="shared" si="348"/>
        <v>0</v>
      </c>
      <c r="DQ325">
        <f t="shared" si="349"/>
        <v>0</v>
      </c>
      <c r="DR325">
        <f t="shared" si="350"/>
        <v>0</v>
      </c>
      <c r="DS325" t="str">
        <f t="shared" si="351"/>
        <v>Timber</v>
      </c>
      <c r="DT325">
        <v>0</v>
      </c>
      <c r="DU325">
        <v>1</v>
      </c>
      <c r="DV325" t="s">
        <v>3693</v>
      </c>
      <c r="DW325" t="s">
        <v>3694</v>
      </c>
      <c r="DX325" t="s">
        <v>3694</v>
      </c>
      <c r="DY325">
        <f t="shared" si="367"/>
        <v>1</v>
      </c>
      <c r="DZ325" s="143" t="str">
        <f t="shared" si="365"/>
        <v>external DF used</v>
      </c>
      <c r="EA325">
        <v>0</v>
      </c>
      <c r="EB325">
        <v>0</v>
      </c>
      <c r="EC325">
        <v>0</v>
      </c>
      <c r="ED325">
        <v>1</v>
      </c>
      <c r="EE325">
        <v>1</v>
      </c>
      <c r="EF325">
        <v>0</v>
      </c>
      <c r="EG325">
        <v>0</v>
      </c>
      <c r="EH325">
        <v>1</v>
      </c>
      <c r="EI325">
        <v>0</v>
      </c>
      <c r="EJ325">
        <v>1</v>
      </c>
      <c r="EK325">
        <v>0</v>
      </c>
      <c r="EL325">
        <v>1</v>
      </c>
      <c r="EM325">
        <v>0</v>
      </c>
      <c r="EN325" s="2">
        <v>0</v>
      </c>
      <c r="EP325" t="str">
        <f t="shared" si="356"/>
        <v/>
      </c>
      <c r="EQ325" t="str">
        <f t="shared" si="368"/>
        <v/>
      </c>
      <c r="ER325" s="2" t="str">
        <f t="shared" si="357"/>
        <v>Technology approach</v>
      </c>
      <c r="ES325" t="str">
        <f t="shared" si="358"/>
        <v/>
      </c>
      <c r="ET325" t="str">
        <f t="shared" si="359"/>
        <v/>
      </c>
      <c r="EU325" t="str">
        <f t="shared" si="360"/>
        <v/>
      </c>
      <c r="EY325" t="b">
        <f>IF(ISNUMBER(BW325),IF(ABS(BW325-[1]QC_indicators!$B$2)&gt;3*[1]QC_indicators!$C$2,"C ratio",IF(ISNUMBER(CA325),IF(ABS(CA325-[1]QC_indicators!$B$1)&gt;3*[1]QC_indicators!$C$1,"DF","no"))),IF(ISNUMBER(CA325),IF(ABS(CA325-[1]QC_indicators!$B$1)&gt;3*[1]QC_indicators!$C$1,"DF","no")))</f>
        <v>0</v>
      </c>
      <c r="FA325" t="str">
        <f t="shared" si="361"/>
        <v/>
      </c>
    </row>
    <row r="326" spans="1:158" ht="15" hidden="1" customHeight="1">
      <c r="A326" s="1" t="s">
        <v>333</v>
      </c>
      <c r="B326" t="s">
        <v>3683</v>
      </c>
      <c r="C326" t="s">
        <v>3684</v>
      </c>
      <c r="D326" t="s">
        <v>3685</v>
      </c>
      <c r="E326" t="s">
        <v>3686</v>
      </c>
      <c r="F326" t="s">
        <v>3687</v>
      </c>
      <c r="G326" t="s">
        <v>339</v>
      </c>
      <c r="H326" t="s">
        <v>254</v>
      </c>
      <c r="I326">
        <v>2017</v>
      </c>
      <c r="J326">
        <v>8</v>
      </c>
      <c r="K326" t="s">
        <v>3688</v>
      </c>
      <c r="M326" t="str">
        <f t="shared" si="323"/>
        <v>Pomponi_2017</v>
      </c>
      <c r="N326" s="297" t="s">
        <v>4058</v>
      </c>
      <c r="O326" s="171" t="s">
        <v>225</v>
      </c>
      <c r="P326" t="s">
        <v>341</v>
      </c>
      <c r="Q326" s="297" t="s">
        <v>389</v>
      </c>
      <c r="R326" s="298"/>
      <c r="S326" s="1" t="s">
        <v>3695</v>
      </c>
      <c r="T326" t="s">
        <v>986</v>
      </c>
      <c r="U326" t="s">
        <v>3697</v>
      </c>
      <c r="X326">
        <v>0</v>
      </c>
      <c r="Y326">
        <v>0</v>
      </c>
      <c r="Z326">
        <v>0</v>
      </c>
      <c r="AA326">
        <v>0</v>
      </c>
      <c r="AB326">
        <v>0</v>
      </c>
      <c r="AC326">
        <v>0</v>
      </c>
      <c r="AD326">
        <v>0</v>
      </c>
      <c r="AE326">
        <v>0</v>
      </c>
      <c r="AF326">
        <v>0</v>
      </c>
      <c r="AG326">
        <v>0</v>
      </c>
      <c r="AH326">
        <v>0</v>
      </c>
      <c r="AI326">
        <v>0</v>
      </c>
      <c r="AJ326">
        <v>0</v>
      </c>
      <c r="AK326">
        <v>0</v>
      </c>
      <c r="AL326">
        <v>0</v>
      </c>
      <c r="AM326">
        <v>1</v>
      </c>
      <c r="AN326">
        <v>0</v>
      </c>
      <c r="AO326">
        <v>0</v>
      </c>
      <c r="AP326">
        <v>0</v>
      </c>
      <c r="AQ326">
        <v>0</v>
      </c>
      <c r="AR326">
        <v>0</v>
      </c>
      <c r="AS326">
        <v>0</v>
      </c>
      <c r="AT326">
        <v>0</v>
      </c>
      <c r="AU326">
        <v>0</v>
      </c>
      <c r="AV326">
        <v>0</v>
      </c>
      <c r="AW326">
        <v>0</v>
      </c>
      <c r="AX326">
        <v>0</v>
      </c>
      <c r="AY326">
        <v>0</v>
      </c>
      <c r="AZ326" s="141">
        <f t="shared" ref="AZ326:AZ357" si="370">COUNTIF(X326:AY326,"&lt;&gt;0")</f>
        <v>1</v>
      </c>
      <c r="BA326" s="141">
        <f t="shared" ref="BA326:BA357" si="371">COUNTIF(X326:AN326,"&lt;&gt;0")</f>
        <v>1</v>
      </c>
      <c r="BB326">
        <f t="shared" ref="BB326:BB357" si="372">COUNTIF(X326:AE326,"&lt;&gt;0")</f>
        <v>0</v>
      </c>
      <c r="BC326">
        <f t="shared" ref="BC326:BC357" si="373">COUNTIF(AF326:AK326,"&lt;&gt;0")</f>
        <v>0</v>
      </c>
      <c r="BD326">
        <f t="shared" ref="BD326:BD357" si="374">COUNTIF(AL326:AN326,"&lt;&gt;0")</f>
        <v>1</v>
      </c>
      <c r="BE326">
        <f t="shared" ref="BE326:BE357" si="375">COUNTIF(AU326:AY326,"&lt;&gt;0")</f>
        <v>0</v>
      </c>
      <c r="BF326">
        <f t="shared" ref="BF326:BF357" si="376">COUNTIF(AO326:AT326,"&lt;&gt;0")</f>
        <v>0</v>
      </c>
      <c r="BG326" t="str" cm="1">
        <f t="array" ref="BG326">IF(BA326=1,INDEX($X$7:$AN$7,MATCH(TRUE,INDEX($X326:$AY326&lt;&gt;0,),0)),IF(BA326=0,INDEX($AO$7:$AY$7,MATCH(1,$AO326:$AY326,0)),IF(BH326="Multiple strategies","mixed drivers",IF(BH326="Supply chain","multiple supply","multiple silviculture"))))</f>
        <v>technologies/design switch</v>
      </c>
      <c r="BH326" s="2" t="str" cm="1">
        <f t="array" ref="BH326">IF(COUNTIF(BB326:BD326,"&lt;&gt;0")=1,INDEX($X$4:$AY$4,MATCH(TRUE,INDEX($X326:$AY326&lt;&gt;0,),0)),IF(COUNTIF(BB326:BD326,"&lt;&gt;0")=0,INDEX($AO$4:$AY$4,MATCH(1,$AO326:$AY326,0)),"Multiple strategies"))</f>
        <v>Technology</v>
      </c>
      <c r="BQ326" s="297"/>
      <c r="BR326" t="s">
        <v>232</v>
      </c>
      <c r="BT326" t="s">
        <v>3692</v>
      </c>
      <c r="BU326">
        <v>1500</v>
      </c>
      <c r="BV326">
        <v>1285</v>
      </c>
      <c r="BW326" s="144"/>
      <c r="BX326">
        <f t="shared" si="369"/>
        <v>215</v>
      </c>
      <c r="CA326" t="str">
        <f t="shared" si="352"/>
        <v/>
      </c>
      <c r="CB326">
        <v>0</v>
      </c>
      <c r="CC326">
        <v>0</v>
      </c>
      <c r="CD326">
        <v>0</v>
      </c>
      <c r="CE326">
        <v>0</v>
      </c>
      <c r="CF326">
        <v>0</v>
      </c>
      <c r="CG326">
        <v>0</v>
      </c>
      <c r="CH326">
        <v>0</v>
      </c>
      <c r="CI326">
        <v>0</v>
      </c>
      <c r="CJ326">
        <v>0</v>
      </c>
      <c r="CK326">
        <v>0</v>
      </c>
      <c r="CL326">
        <v>0</v>
      </c>
      <c r="CM326">
        <v>0</v>
      </c>
      <c r="CN326">
        <v>0</v>
      </c>
      <c r="CO326">
        <v>0</v>
      </c>
      <c r="CP326" t="str">
        <f t="shared" ref="CP326:CP339" si="377">IF($BN326&lt;$BM326,"refNeedCorrection","refOK")</f>
        <v>refOK</v>
      </c>
      <c r="CQ326"/>
      <c r="CR326"/>
      <c r="CS326"/>
      <c r="CT326">
        <f t="shared" si="353"/>
        <v>0</v>
      </c>
      <c r="CU326">
        <f t="shared" ref="CU326:CU357" si="378">IF($CP326="refOK",$BU326,$BV326)*IF($BR326="Emissions positive",-1,1)</f>
        <v>1500</v>
      </c>
      <c r="CV326">
        <f t="shared" si="366"/>
        <v>1285</v>
      </c>
      <c r="CW326">
        <f t="shared" ref="CW326:CW357" si="379">IF($CP326="refNeedCorrection",-BZ326,BZ326)*IF($BR326="Emissions positive",-1,1)</f>
        <v>0</v>
      </c>
      <c r="CX326" t="str">
        <f t="shared" si="354"/>
        <v/>
      </c>
      <c r="CY326" t="str">
        <f t="shared" ref="CY326:CY357" si="380">IFERROR($CW326/$CS326,"")</f>
        <v/>
      </c>
      <c r="CZ326" t="str">
        <f t="shared" si="355"/>
        <v/>
      </c>
      <c r="DA326" s="2">
        <f t="shared" ref="DA326:DA357" si="381">IFERROR((CV326-CU326)/ABS(CU326),"")</f>
        <v>-0.14333333333333334</v>
      </c>
      <c r="DB326" s="1" t="s">
        <v>936</v>
      </c>
      <c r="DC326" s="297" t="str">
        <f t="shared" si="363"/>
        <v>loc</v>
      </c>
      <c r="DD326" s="296" t="s">
        <v>3098</v>
      </c>
      <c r="DG326">
        <v>25</v>
      </c>
      <c r="DH326" t="str">
        <f t="shared" ref="DH326:DH357" si="382">IF(DG326=0,"0",IF(AND(DG326&gt;=1,DG326&lt;=30),"1-30",IF(AND(DG326&gt;30,DG326&lt;=70),"31-70",IF(AND(DG326&gt;70,DG326&lt;=100),"71-100",IF(DG326&gt;100,"+100")))))</f>
        <v>1-30</v>
      </c>
      <c r="DI326">
        <v>0</v>
      </c>
      <c r="DJ326">
        <v>0</v>
      </c>
      <c r="DK326">
        <v>0</v>
      </c>
      <c r="DL326">
        <v>1</v>
      </c>
      <c r="DM326">
        <v>0</v>
      </c>
      <c r="DN326">
        <f t="shared" si="364"/>
        <v>1</v>
      </c>
      <c r="DO326" t="str">
        <f t="shared" ref="DO326:DO357" si="383">IF(DN326=1,INDEX($DI$7:$DL$7,MATCH(1,$DI326:$DL326,0)),"mixedProduct")</f>
        <v>TimberInput</v>
      </c>
      <c r="DP326">
        <f t="shared" ref="DP326:DP357" si="384">IF(DI326=1,DP$7,0)</f>
        <v>0</v>
      </c>
      <c r="DQ326">
        <f t="shared" ref="DQ326:DQ357" si="385">IF(DJ326=1,DQ$7,0)</f>
        <v>0</v>
      </c>
      <c r="DR326">
        <f t="shared" ref="DR326:DR357" si="386">IF(DK326=1,DR$7,0)</f>
        <v>0</v>
      </c>
      <c r="DS326" t="str">
        <f t="shared" ref="DS326:DS357" si="387">IF(DL326=1,DS$7,0)</f>
        <v>Timber</v>
      </c>
      <c r="DT326">
        <v>0</v>
      </c>
      <c r="DU326">
        <v>1</v>
      </c>
      <c r="DV326" t="s">
        <v>3693</v>
      </c>
      <c r="DW326" t="s">
        <v>3694</v>
      </c>
      <c r="DX326" t="s">
        <v>3694</v>
      </c>
      <c r="DY326">
        <f t="shared" si="367"/>
        <v>1</v>
      </c>
      <c r="DZ326" s="143" t="str">
        <f t="shared" si="365"/>
        <v>external DF used</v>
      </c>
      <c r="EA326">
        <v>0</v>
      </c>
      <c r="EB326">
        <v>0</v>
      </c>
      <c r="EC326">
        <v>0</v>
      </c>
      <c r="ED326">
        <v>1</v>
      </c>
      <c r="EE326">
        <v>1</v>
      </c>
      <c r="EF326">
        <v>0</v>
      </c>
      <c r="EG326">
        <v>0</v>
      </c>
      <c r="EH326">
        <v>1</v>
      </c>
      <c r="EI326">
        <v>0</v>
      </c>
      <c r="EJ326">
        <v>1</v>
      </c>
      <c r="EK326">
        <v>0</v>
      </c>
      <c r="EL326">
        <v>1</v>
      </c>
      <c r="EM326">
        <v>0</v>
      </c>
      <c r="EN326" s="2">
        <v>0</v>
      </c>
      <c r="EP326" t="str">
        <f t="shared" si="356"/>
        <v/>
      </c>
      <c r="EQ326" t="str">
        <f t="shared" si="368"/>
        <v/>
      </c>
      <c r="ER326" s="2" t="str">
        <f t="shared" si="357"/>
        <v>Technology approach</v>
      </c>
      <c r="ES326" t="str">
        <f t="shared" si="358"/>
        <v/>
      </c>
      <c r="ET326" t="str">
        <f t="shared" si="359"/>
        <v/>
      </c>
      <c r="EU326" t="str">
        <f t="shared" si="360"/>
        <v/>
      </c>
      <c r="EY326" t="b">
        <f>IF(ISNUMBER(BW326),IF(ABS(BW326-[1]QC_indicators!$B$2)&gt;3*[1]QC_indicators!$C$2,"C ratio",IF(ISNUMBER(CA326),IF(ABS(CA326-[1]QC_indicators!$B$1)&gt;3*[1]QC_indicators!$C$1,"DF","no"))),IF(ISNUMBER(CA326),IF(ABS(CA326-[1]QC_indicators!$B$1)&gt;3*[1]QC_indicators!$C$1,"DF","no")))</f>
        <v>0</v>
      </c>
      <c r="FA326" t="str">
        <f t="shared" si="361"/>
        <v/>
      </c>
    </row>
    <row r="327" spans="1:158" ht="15" hidden="1" customHeight="1">
      <c r="A327" s="1" t="s">
        <v>333</v>
      </c>
      <c r="B327" t="s">
        <v>3683</v>
      </c>
      <c r="C327" t="s">
        <v>3684</v>
      </c>
      <c r="D327" t="s">
        <v>3685</v>
      </c>
      <c r="E327" t="s">
        <v>3686</v>
      </c>
      <c r="F327" t="s">
        <v>3687</v>
      </c>
      <c r="G327" t="s">
        <v>339</v>
      </c>
      <c r="H327" t="s">
        <v>254</v>
      </c>
      <c r="I327">
        <v>2017</v>
      </c>
      <c r="J327">
        <v>8</v>
      </c>
      <c r="K327" t="s">
        <v>3688</v>
      </c>
      <c r="M327" t="str">
        <f t="shared" si="323"/>
        <v>Pomponi_2017</v>
      </c>
      <c r="N327" s="297" t="s">
        <v>4058</v>
      </c>
      <c r="O327" s="171" t="s">
        <v>225</v>
      </c>
      <c r="P327" t="s">
        <v>341</v>
      </c>
      <c r="Q327" s="297" t="s">
        <v>389</v>
      </c>
      <c r="R327" s="298"/>
      <c r="S327" s="1" t="s">
        <v>3689</v>
      </c>
      <c r="T327" t="s">
        <v>3690</v>
      </c>
      <c r="U327" t="s">
        <v>3696</v>
      </c>
      <c r="X327">
        <v>0</v>
      </c>
      <c r="Y327">
        <v>0</v>
      </c>
      <c r="Z327">
        <v>0</v>
      </c>
      <c r="AA327">
        <v>0</v>
      </c>
      <c r="AB327">
        <v>0</v>
      </c>
      <c r="AC327">
        <v>0</v>
      </c>
      <c r="AD327">
        <v>0</v>
      </c>
      <c r="AE327">
        <v>0</v>
      </c>
      <c r="AF327">
        <v>0</v>
      </c>
      <c r="AG327">
        <v>0</v>
      </c>
      <c r="AH327">
        <v>0</v>
      </c>
      <c r="AI327">
        <v>0</v>
      </c>
      <c r="AJ327">
        <v>0</v>
      </c>
      <c r="AK327">
        <v>0</v>
      </c>
      <c r="AL327">
        <v>0</v>
      </c>
      <c r="AM327">
        <v>1</v>
      </c>
      <c r="AN327">
        <v>0</v>
      </c>
      <c r="AO327">
        <v>0</v>
      </c>
      <c r="AP327">
        <v>0</v>
      </c>
      <c r="AQ327">
        <v>0</v>
      </c>
      <c r="AR327">
        <v>0</v>
      </c>
      <c r="AS327">
        <v>0</v>
      </c>
      <c r="AT327">
        <v>0</v>
      </c>
      <c r="AU327">
        <v>0</v>
      </c>
      <c r="AV327">
        <v>0</v>
      </c>
      <c r="AW327">
        <v>0</v>
      </c>
      <c r="AX327">
        <v>0</v>
      </c>
      <c r="AY327">
        <v>0</v>
      </c>
      <c r="AZ327" s="141">
        <f t="shared" si="370"/>
        <v>1</v>
      </c>
      <c r="BA327" s="141">
        <f t="shared" si="371"/>
        <v>1</v>
      </c>
      <c r="BB327">
        <f t="shared" si="372"/>
        <v>0</v>
      </c>
      <c r="BC327">
        <f t="shared" si="373"/>
        <v>0</v>
      </c>
      <c r="BD327">
        <f t="shared" si="374"/>
        <v>1</v>
      </c>
      <c r="BE327">
        <f t="shared" si="375"/>
        <v>0</v>
      </c>
      <c r="BF327">
        <f t="shared" si="376"/>
        <v>0</v>
      </c>
      <c r="BG327" t="str" cm="1">
        <f t="array" ref="BG327">IF(BA327=1,INDEX($X$7:$AN$7,MATCH(TRUE,INDEX($X327:$AY327&lt;&gt;0,),0)),IF(BA327=0,INDEX($AO$7:$AY$7,MATCH(1,$AO327:$AY327,0)),IF(BH327="Multiple strategies","mixed drivers",IF(BH327="Supply chain","multiple supply","multiple silviculture"))))</f>
        <v>technologies/design switch</v>
      </c>
      <c r="BH327" s="2" t="str" cm="1">
        <f t="array" ref="BH327">IF(COUNTIF(BB327:BD327,"&lt;&gt;0")=1,INDEX($X$4:$AY$4,MATCH(TRUE,INDEX($X327:$AY327&lt;&gt;0,),0)),IF(COUNTIF(BB327:BD327,"&lt;&gt;0")=0,INDEX($AO$4:$AY$4,MATCH(1,$AO327:$AY327,0)),"Multiple strategies"))</f>
        <v>Technology</v>
      </c>
      <c r="BR327" t="s">
        <v>232</v>
      </c>
      <c r="BT327" t="s">
        <v>3692</v>
      </c>
      <c r="BU327">
        <v>1100</v>
      </c>
      <c r="BV327">
        <v>1279</v>
      </c>
      <c r="BW327" s="144"/>
      <c r="BX327">
        <f t="shared" si="369"/>
        <v>-179</v>
      </c>
      <c r="CA327" t="str">
        <f t="shared" si="352"/>
        <v/>
      </c>
      <c r="CB327">
        <v>0</v>
      </c>
      <c r="CC327">
        <v>0</v>
      </c>
      <c r="CD327">
        <v>0</v>
      </c>
      <c r="CE327">
        <v>0</v>
      </c>
      <c r="CF327">
        <v>0</v>
      </c>
      <c r="CG327">
        <v>0</v>
      </c>
      <c r="CH327">
        <v>0</v>
      </c>
      <c r="CI327">
        <v>0</v>
      </c>
      <c r="CJ327">
        <v>0</v>
      </c>
      <c r="CK327">
        <v>0</v>
      </c>
      <c r="CL327">
        <v>0</v>
      </c>
      <c r="CM327">
        <v>0</v>
      </c>
      <c r="CN327">
        <v>0</v>
      </c>
      <c r="CO327">
        <v>0</v>
      </c>
      <c r="CP327" t="str">
        <f t="shared" si="377"/>
        <v>refOK</v>
      </c>
      <c r="CQ327"/>
      <c r="CR327"/>
      <c r="CS327"/>
      <c r="CT327">
        <f t="shared" si="353"/>
        <v>0</v>
      </c>
      <c r="CU327">
        <f t="shared" si="378"/>
        <v>1100</v>
      </c>
      <c r="CV327">
        <f t="shared" si="366"/>
        <v>1279</v>
      </c>
      <c r="CW327">
        <f t="shared" si="379"/>
        <v>0</v>
      </c>
      <c r="CX327" t="str">
        <f t="shared" si="354"/>
        <v/>
      </c>
      <c r="CY327" t="str">
        <f t="shared" si="380"/>
        <v/>
      </c>
      <c r="CZ327" t="str">
        <f t="shared" si="355"/>
        <v/>
      </c>
      <c r="DA327" s="2">
        <f t="shared" si="381"/>
        <v>0.16272727272727272</v>
      </c>
      <c r="DB327" s="1" t="s">
        <v>936</v>
      </c>
      <c r="DC327" s="297" t="str">
        <f t="shared" si="363"/>
        <v>loc</v>
      </c>
      <c r="DD327" s="296" t="s">
        <v>3098</v>
      </c>
      <c r="DG327">
        <v>25</v>
      </c>
      <c r="DH327" t="str">
        <f t="shared" si="382"/>
        <v>1-30</v>
      </c>
      <c r="DI327">
        <v>0</v>
      </c>
      <c r="DJ327">
        <v>0</v>
      </c>
      <c r="DK327">
        <v>0</v>
      </c>
      <c r="DL327">
        <v>1</v>
      </c>
      <c r="DM327">
        <v>0</v>
      </c>
      <c r="DN327">
        <f t="shared" si="364"/>
        <v>1</v>
      </c>
      <c r="DO327" t="str">
        <f t="shared" si="383"/>
        <v>TimberInput</v>
      </c>
      <c r="DP327">
        <f t="shared" si="384"/>
        <v>0</v>
      </c>
      <c r="DQ327">
        <f t="shared" si="385"/>
        <v>0</v>
      </c>
      <c r="DR327">
        <f t="shared" si="386"/>
        <v>0</v>
      </c>
      <c r="DS327" t="str">
        <f t="shared" si="387"/>
        <v>Timber</v>
      </c>
      <c r="DT327">
        <v>0</v>
      </c>
      <c r="DU327">
        <v>1</v>
      </c>
      <c r="DV327" t="s">
        <v>3693</v>
      </c>
      <c r="DW327" t="s">
        <v>3694</v>
      </c>
      <c r="DX327" t="s">
        <v>3694</v>
      </c>
      <c r="DY327">
        <f t="shared" si="367"/>
        <v>1</v>
      </c>
      <c r="DZ327" s="143" t="str">
        <f t="shared" si="365"/>
        <v>external DF used</v>
      </c>
      <c r="EA327">
        <v>0</v>
      </c>
      <c r="EB327">
        <v>0</v>
      </c>
      <c r="EC327">
        <v>0</v>
      </c>
      <c r="ED327">
        <v>1</v>
      </c>
      <c r="EE327">
        <v>1</v>
      </c>
      <c r="EF327">
        <v>0</v>
      </c>
      <c r="EG327">
        <v>0</v>
      </c>
      <c r="EH327">
        <v>1</v>
      </c>
      <c r="EI327">
        <v>0</v>
      </c>
      <c r="EJ327">
        <v>1</v>
      </c>
      <c r="EK327">
        <v>0</v>
      </c>
      <c r="EL327">
        <v>1</v>
      </c>
      <c r="EM327">
        <v>0</v>
      </c>
      <c r="EN327" s="2">
        <v>0</v>
      </c>
      <c r="EP327" t="str">
        <f t="shared" si="356"/>
        <v/>
      </c>
      <c r="EQ327" t="str">
        <f t="shared" si="368"/>
        <v/>
      </c>
      <c r="ER327" s="2" t="str">
        <f t="shared" si="357"/>
        <v>Technology approach</v>
      </c>
      <c r="ES327" t="str">
        <f t="shared" si="358"/>
        <v/>
      </c>
      <c r="ET327" t="str">
        <f t="shared" si="359"/>
        <v/>
      </c>
      <c r="EU327" t="str">
        <f t="shared" si="360"/>
        <v/>
      </c>
      <c r="EY327" t="b">
        <f>IF(ISNUMBER(BW327),IF(ABS(BW327-[1]QC_indicators!$B$2)&gt;3*[1]QC_indicators!$C$2,"C ratio",IF(ISNUMBER(CA327),IF(ABS(CA327-[1]QC_indicators!$B$1)&gt;3*[1]QC_indicators!$C$1,"DF","no"))),IF(ISNUMBER(CA327),IF(ABS(CA327-[1]QC_indicators!$B$1)&gt;3*[1]QC_indicators!$C$1,"DF","no")))</f>
        <v>0</v>
      </c>
      <c r="FA327" t="str">
        <f t="shared" si="361"/>
        <v/>
      </c>
    </row>
    <row r="328" spans="1:158" ht="15" hidden="1" customHeight="1">
      <c r="A328" s="1" t="s">
        <v>333</v>
      </c>
      <c r="B328" t="s">
        <v>3683</v>
      </c>
      <c r="C328" t="s">
        <v>3684</v>
      </c>
      <c r="D328" t="s">
        <v>3685</v>
      </c>
      <c r="E328" t="s">
        <v>3686</v>
      </c>
      <c r="F328" t="s">
        <v>3687</v>
      </c>
      <c r="G328" t="s">
        <v>339</v>
      </c>
      <c r="H328" t="s">
        <v>254</v>
      </c>
      <c r="I328">
        <v>2017</v>
      </c>
      <c r="J328">
        <v>8</v>
      </c>
      <c r="K328" t="s">
        <v>3688</v>
      </c>
      <c r="M328" t="str">
        <f t="shared" ref="M328:M391" si="388">LEFT($D328,FIND(",",$D328)-1)&amp;"_"&amp;I328&amp;L328</f>
        <v>Pomponi_2017</v>
      </c>
      <c r="N328" s="297" t="s">
        <v>4058</v>
      </c>
      <c r="O328" s="171" t="s">
        <v>225</v>
      </c>
      <c r="P328" t="s">
        <v>341</v>
      </c>
      <c r="Q328" s="297" t="s">
        <v>389</v>
      </c>
      <c r="R328" s="298"/>
      <c r="S328" s="1" t="s">
        <v>3689</v>
      </c>
      <c r="T328" t="s">
        <v>3690</v>
      </c>
      <c r="U328" t="s">
        <v>3691</v>
      </c>
      <c r="X328">
        <v>0</v>
      </c>
      <c r="Y328">
        <v>0</v>
      </c>
      <c r="Z328">
        <v>0</v>
      </c>
      <c r="AA328">
        <v>0</v>
      </c>
      <c r="AB328">
        <v>0</v>
      </c>
      <c r="AC328">
        <v>0</v>
      </c>
      <c r="AD328">
        <v>0</v>
      </c>
      <c r="AE328">
        <v>0</v>
      </c>
      <c r="AF328">
        <v>0</v>
      </c>
      <c r="AG328">
        <v>0</v>
      </c>
      <c r="AH328">
        <v>0</v>
      </c>
      <c r="AI328">
        <v>0</v>
      </c>
      <c r="AJ328">
        <v>0</v>
      </c>
      <c r="AK328">
        <v>0</v>
      </c>
      <c r="AL328">
        <v>0</v>
      </c>
      <c r="AM328">
        <v>1</v>
      </c>
      <c r="AN328">
        <v>0</v>
      </c>
      <c r="AO328">
        <v>0</v>
      </c>
      <c r="AP328">
        <v>0</v>
      </c>
      <c r="AQ328">
        <v>0</v>
      </c>
      <c r="AR328">
        <v>0</v>
      </c>
      <c r="AS328">
        <v>0</v>
      </c>
      <c r="AT328">
        <v>0</v>
      </c>
      <c r="AU328">
        <v>0</v>
      </c>
      <c r="AV328">
        <v>0</v>
      </c>
      <c r="AW328">
        <v>0</v>
      </c>
      <c r="AX328">
        <v>0</v>
      </c>
      <c r="AY328">
        <v>0</v>
      </c>
      <c r="AZ328" s="141">
        <f t="shared" si="370"/>
        <v>1</v>
      </c>
      <c r="BA328" s="141">
        <f t="shared" si="371"/>
        <v>1</v>
      </c>
      <c r="BB328">
        <f t="shared" si="372"/>
        <v>0</v>
      </c>
      <c r="BC328">
        <f t="shared" si="373"/>
        <v>0</v>
      </c>
      <c r="BD328">
        <f t="shared" si="374"/>
        <v>1</v>
      </c>
      <c r="BE328">
        <f t="shared" si="375"/>
        <v>0</v>
      </c>
      <c r="BF328">
        <f t="shared" si="376"/>
        <v>0</v>
      </c>
      <c r="BG328" t="str" cm="1">
        <f t="array" ref="BG328">IF(BA328=1,INDEX($X$7:$AN$7,MATCH(TRUE,INDEX($X328:$AY328&lt;&gt;0,),0)),IF(BA328=0,INDEX($AO$7:$AY$7,MATCH(1,$AO328:$AY328,0)),IF(BH328="Multiple strategies","mixed drivers",IF(BH328="Supply chain","multiple supply","multiple silviculture"))))</f>
        <v>technologies/design switch</v>
      </c>
      <c r="BH328" s="2" t="str" cm="1">
        <f t="array" ref="BH328">IF(COUNTIF(BB328:BD328,"&lt;&gt;0")=1,INDEX($X$4:$AY$4,MATCH(TRUE,INDEX($X328:$AY328&lt;&gt;0,),0)),IF(COUNTIF(BB328:BD328,"&lt;&gt;0")=0,INDEX($AO$4:$AY$4,MATCH(1,$AO328:$AY328,0)),"Multiple strategies"))</f>
        <v>Technology</v>
      </c>
      <c r="BO328" t="str">
        <f>IFERROR(BN328/BM328,"")</f>
        <v/>
      </c>
      <c r="BR328" t="s">
        <v>232</v>
      </c>
      <c r="BT328" t="s">
        <v>3692</v>
      </c>
      <c r="BU328">
        <v>1100</v>
      </c>
      <c r="BV328">
        <v>1284</v>
      </c>
      <c r="BW328" s="144"/>
      <c r="BX328">
        <f t="shared" si="369"/>
        <v>-184</v>
      </c>
      <c r="CA328" t="str">
        <f t="shared" si="352"/>
        <v/>
      </c>
      <c r="CB328">
        <v>0</v>
      </c>
      <c r="CC328">
        <v>0</v>
      </c>
      <c r="CD328">
        <v>0</v>
      </c>
      <c r="CE328">
        <v>0</v>
      </c>
      <c r="CF328">
        <v>0</v>
      </c>
      <c r="CG328">
        <v>0</v>
      </c>
      <c r="CH328">
        <v>0</v>
      </c>
      <c r="CI328">
        <v>0</v>
      </c>
      <c r="CJ328">
        <v>0</v>
      </c>
      <c r="CK328">
        <v>0</v>
      </c>
      <c r="CL328">
        <v>0</v>
      </c>
      <c r="CM328">
        <v>0</v>
      </c>
      <c r="CN328">
        <v>0</v>
      </c>
      <c r="CO328">
        <v>0</v>
      </c>
      <c r="CP328" t="str">
        <f t="shared" si="377"/>
        <v>refOK</v>
      </c>
      <c r="CQ328"/>
      <c r="CR328"/>
      <c r="CS328"/>
      <c r="CT328">
        <f t="shared" si="353"/>
        <v>0</v>
      </c>
      <c r="CU328">
        <f t="shared" si="378"/>
        <v>1100</v>
      </c>
      <c r="CV328">
        <f t="shared" si="366"/>
        <v>1284</v>
      </c>
      <c r="CW328">
        <f t="shared" si="379"/>
        <v>0</v>
      </c>
      <c r="CX328" t="str">
        <f t="shared" si="354"/>
        <v/>
      </c>
      <c r="CY328" t="str">
        <f t="shared" si="380"/>
        <v/>
      </c>
      <c r="CZ328" t="str">
        <f t="shared" si="355"/>
        <v/>
      </c>
      <c r="DA328" s="2">
        <f t="shared" si="381"/>
        <v>0.16727272727272727</v>
      </c>
      <c r="DB328" s="1" t="s">
        <v>936</v>
      </c>
      <c r="DC328" s="297" t="str">
        <f t="shared" si="363"/>
        <v>loc</v>
      </c>
      <c r="DD328" s="296" t="s">
        <v>3098</v>
      </c>
      <c r="DG328">
        <v>25</v>
      </c>
      <c r="DH328" t="str">
        <f t="shared" si="382"/>
        <v>1-30</v>
      </c>
      <c r="DI328">
        <v>0</v>
      </c>
      <c r="DJ328">
        <v>0</v>
      </c>
      <c r="DK328">
        <v>0</v>
      </c>
      <c r="DL328">
        <v>1</v>
      </c>
      <c r="DM328">
        <v>0</v>
      </c>
      <c r="DN328">
        <f t="shared" si="364"/>
        <v>1</v>
      </c>
      <c r="DO328" t="str">
        <f t="shared" si="383"/>
        <v>TimberInput</v>
      </c>
      <c r="DP328">
        <f t="shared" si="384"/>
        <v>0</v>
      </c>
      <c r="DQ328">
        <f t="shared" si="385"/>
        <v>0</v>
      </c>
      <c r="DR328">
        <f t="shared" si="386"/>
        <v>0</v>
      </c>
      <c r="DS328" t="str">
        <f t="shared" si="387"/>
        <v>Timber</v>
      </c>
      <c r="DT328">
        <v>0</v>
      </c>
      <c r="DU328">
        <v>1</v>
      </c>
      <c r="DV328" t="s">
        <v>3693</v>
      </c>
      <c r="DW328" t="s">
        <v>3694</v>
      </c>
      <c r="DX328" t="s">
        <v>3694</v>
      </c>
      <c r="DY328">
        <f t="shared" si="367"/>
        <v>1</v>
      </c>
      <c r="DZ328" s="143" t="str">
        <f t="shared" si="365"/>
        <v>external DF used</v>
      </c>
      <c r="EA328">
        <v>0</v>
      </c>
      <c r="EB328">
        <v>0</v>
      </c>
      <c r="EC328">
        <v>0</v>
      </c>
      <c r="ED328">
        <v>1</v>
      </c>
      <c r="EE328">
        <v>1</v>
      </c>
      <c r="EF328">
        <v>0</v>
      </c>
      <c r="EG328">
        <v>0</v>
      </c>
      <c r="EH328">
        <v>1</v>
      </c>
      <c r="EI328">
        <v>0</v>
      </c>
      <c r="EJ328">
        <v>1</v>
      </c>
      <c r="EK328">
        <v>0</v>
      </c>
      <c r="EL328">
        <v>1</v>
      </c>
      <c r="EM328">
        <v>0</v>
      </c>
      <c r="EN328" s="2">
        <v>0</v>
      </c>
      <c r="EP328" t="str">
        <f t="shared" si="356"/>
        <v/>
      </c>
      <c r="EQ328" t="str">
        <f t="shared" si="368"/>
        <v/>
      </c>
      <c r="ER328" s="2" t="str">
        <f t="shared" si="357"/>
        <v>Technology approach</v>
      </c>
      <c r="ES328" t="str">
        <f t="shared" si="358"/>
        <v/>
      </c>
      <c r="ET328" t="str">
        <f t="shared" si="359"/>
        <v/>
      </c>
      <c r="EU328" t="str">
        <f t="shared" si="360"/>
        <v/>
      </c>
      <c r="EY328" t="b">
        <f>IF(ISNUMBER(BW328),IF(ABS(BW328-[1]QC_indicators!$B$2)&gt;3*[1]QC_indicators!$C$2,"C ratio",IF(ISNUMBER(CA328),IF(ABS(CA328-[1]QC_indicators!$B$1)&gt;3*[1]QC_indicators!$C$1,"DF","no"))),IF(ISNUMBER(CA328),IF(ABS(CA328-[1]QC_indicators!$B$1)&gt;3*[1]QC_indicators!$C$1,"DF","no")))</f>
        <v>0</v>
      </c>
      <c r="FA328" t="str">
        <f t="shared" si="361"/>
        <v/>
      </c>
    </row>
    <row r="329" spans="1:158" ht="15" hidden="1" customHeight="1">
      <c r="A329" s="1" t="s">
        <v>333</v>
      </c>
      <c r="B329" t="s">
        <v>3683</v>
      </c>
      <c r="C329" t="s">
        <v>3684</v>
      </c>
      <c r="D329" t="s">
        <v>3685</v>
      </c>
      <c r="E329" t="s">
        <v>3686</v>
      </c>
      <c r="F329" t="s">
        <v>3687</v>
      </c>
      <c r="G329" t="s">
        <v>339</v>
      </c>
      <c r="H329" t="s">
        <v>254</v>
      </c>
      <c r="I329">
        <v>2017</v>
      </c>
      <c r="J329">
        <v>8</v>
      </c>
      <c r="K329" t="s">
        <v>3688</v>
      </c>
      <c r="M329" t="str">
        <f t="shared" si="388"/>
        <v>Pomponi_2017</v>
      </c>
      <c r="N329" s="297" t="s">
        <v>4058</v>
      </c>
      <c r="O329" s="171" t="s">
        <v>225</v>
      </c>
      <c r="P329" t="s">
        <v>341</v>
      </c>
      <c r="Q329" s="297" t="s">
        <v>389</v>
      </c>
      <c r="R329" s="298"/>
      <c r="S329" s="1" t="s">
        <v>3689</v>
      </c>
      <c r="T329" t="s">
        <v>3690</v>
      </c>
      <c r="U329" t="s">
        <v>3697</v>
      </c>
      <c r="X329">
        <v>0</v>
      </c>
      <c r="Y329">
        <v>0</v>
      </c>
      <c r="Z329">
        <v>0</v>
      </c>
      <c r="AA329">
        <v>0</v>
      </c>
      <c r="AB329">
        <v>0</v>
      </c>
      <c r="AC329">
        <v>0</v>
      </c>
      <c r="AD329">
        <v>0</v>
      </c>
      <c r="AE329">
        <v>0</v>
      </c>
      <c r="AF329">
        <v>0</v>
      </c>
      <c r="AG329">
        <v>0</v>
      </c>
      <c r="AH329">
        <v>0</v>
      </c>
      <c r="AI329">
        <v>0</v>
      </c>
      <c r="AJ329">
        <v>0</v>
      </c>
      <c r="AK329">
        <v>0</v>
      </c>
      <c r="AL329">
        <v>0</v>
      </c>
      <c r="AM329">
        <v>1</v>
      </c>
      <c r="AN329">
        <v>0</v>
      </c>
      <c r="AO329">
        <v>0</v>
      </c>
      <c r="AP329">
        <v>0</v>
      </c>
      <c r="AQ329">
        <v>0</v>
      </c>
      <c r="AR329">
        <v>0</v>
      </c>
      <c r="AS329">
        <v>0</v>
      </c>
      <c r="AT329">
        <v>0</v>
      </c>
      <c r="AU329">
        <v>0</v>
      </c>
      <c r="AV329">
        <v>0</v>
      </c>
      <c r="AW329">
        <v>0</v>
      </c>
      <c r="AX329">
        <v>0</v>
      </c>
      <c r="AY329">
        <v>0</v>
      </c>
      <c r="AZ329" s="141">
        <f t="shared" si="370"/>
        <v>1</v>
      </c>
      <c r="BA329" s="141">
        <f t="shared" si="371"/>
        <v>1</v>
      </c>
      <c r="BB329">
        <f t="shared" si="372"/>
        <v>0</v>
      </c>
      <c r="BC329">
        <f t="shared" si="373"/>
        <v>0</v>
      </c>
      <c r="BD329">
        <f t="shared" si="374"/>
        <v>1</v>
      </c>
      <c r="BE329">
        <f t="shared" si="375"/>
        <v>0</v>
      </c>
      <c r="BF329">
        <f t="shared" si="376"/>
        <v>0</v>
      </c>
      <c r="BG329" t="str" cm="1">
        <f t="array" ref="BG329">IF(BA329=1,INDEX($X$7:$AN$7,MATCH(TRUE,INDEX($X329:$AY329&lt;&gt;0,),0)),IF(BA329=0,INDEX($AO$7:$AY$7,MATCH(1,$AO329:$AY329,0)),IF(BH329="Multiple strategies","mixed drivers",IF(BH329="Supply chain","multiple supply","multiple silviculture"))))</f>
        <v>technologies/design switch</v>
      </c>
      <c r="BH329" s="2" t="str" cm="1">
        <f t="array" ref="BH329">IF(COUNTIF(BB329:BD329,"&lt;&gt;0")=1,INDEX($X$4:$AY$4,MATCH(TRUE,INDEX($X329:$AY329&lt;&gt;0,),0)),IF(COUNTIF(BB329:BD329,"&lt;&gt;0")=0,INDEX($AO$4:$AY$4,MATCH(1,$AO329:$AY329,0)),"Multiple strategies"))</f>
        <v>Technology</v>
      </c>
      <c r="BR329" t="s">
        <v>232</v>
      </c>
      <c r="BT329" t="s">
        <v>3692</v>
      </c>
      <c r="BU329">
        <v>1100</v>
      </c>
      <c r="BV329">
        <v>1285</v>
      </c>
      <c r="BW329" s="144"/>
      <c r="BX329">
        <f t="shared" si="369"/>
        <v>-185</v>
      </c>
      <c r="CA329" t="str">
        <f t="shared" si="352"/>
        <v/>
      </c>
      <c r="CB329">
        <v>0</v>
      </c>
      <c r="CC329">
        <v>0</v>
      </c>
      <c r="CD329">
        <v>0</v>
      </c>
      <c r="CE329">
        <v>0</v>
      </c>
      <c r="CF329">
        <v>0</v>
      </c>
      <c r="CG329">
        <v>0</v>
      </c>
      <c r="CH329">
        <v>0</v>
      </c>
      <c r="CI329">
        <v>0</v>
      </c>
      <c r="CJ329">
        <v>0</v>
      </c>
      <c r="CK329">
        <v>0</v>
      </c>
      <c r="CL329">
        <v>0</v>
      </c>
      <c r="CM329">
        <v>0</v>
      </c>
      <c r="CN329">
        <v>0</v>
      </c>
      <c r="CO329">
        <v>0</v>
      </c>
      <c r="CP329" t="str">
        <f t="shared" si="377"/>
        <v>refOK</v>
      </c>
      <c r="CQ329"/>
      <c r="CR329"/>
      <c r="CS329"/>
      <c r="CT329">
        <f t="shared" si="353"/>
        <v>0</v>
      </c>
      <c r="CU329">
        <f t="shared" si="378"/>
        <v>1100</v>
      </c>
      <c r="CV329">
        <f t="shared" si="366"/>
        <v>1285</v>
      </c>
      <c r="CW329">
        <f t="shared" si="379"/>
        <v>0</v>
      </c>
      <c r="CX329" t="str">
        <f t="shared" si="354"/>
        <v/>
      </c>
      <c r="CY329" t="str">
        <f t="shared" si="380"/>
        <v/>
      </c>
      <c r="CZ329" t="str">
        <f t="shared" si="355"/>
        <v/>
      </c>
      <c r="DA329" s="2">
        <f t="shared" si="381"/>
        <v>0.16818181818181818</v>
      </c>
      <c r="DB329" s="1" t="s">
        <v>936</v>
      </c>
      <c r="DC329" s="297" t="str">
        <f t="shared" si="363"/>
        <v>loc</v>
      </c>
      <c r="DD329" s="296" t="s">
        <v>3098</v>
      </c>
      <c r="DG329">
        <v>25</v>
      </c>
      <c r="DH329" t="str">
        <f t="shared" si="382"/>
        <v>1-30</v>
      </c>
      <c r="DI329">
        <v>0</v>
      </c>
      <c r="DJ329">
        <v>0</v>
      </c>
      <c r="DK329">
        <v>0</v>
      </c>
      <c r="DL329">
        <v>1</v>
      </c>
      <c r="DM329">
        <v>0</v>
      </c>
      <c r="DN329">
        <f t="shared" si="364"/>
        <v>1</v>
      </c>
      <c r="DO329" t="str">
        <f t="shared" si="383"/>
        <v>TimberInput</v>
      </c>
      <c r="DP329">
        <f t="shared" si="384"/>
        <v>0</v>
      </c>
      <c r="DQ329">
        <f t="shared" si="385"/>
        <v>0</v>
      </c>
      <c r="DR329">
        <f t="shared" si="386"/>
        <v>0</v>
      </c>
      <c r="DS329" t="str">
        <f t="shared" si="387"/>
        <v>Timber</v>
      </c>
      <c r="DT329">
        <v>0</v>
      </c>
      <c r="DU329">
        <v>1</v>
      </c>
      <c r="DV329" t="s">
        <v>3693</v>
      </c>
      <c r="DW329" t="s">
        <v>3694</v>
      </c>
      <c r="DX329" t="s">
        <v>3694</v>
      </c>
      <c r="DY329">
        <f t="shared" si="367"/>
        <v>1</v>
      </c>
      <c r="DZ329" s="143" t="str">
        <f t="shared" si="365"/>
        <v>external DF used</v>
      </c>
      <c r="EA329">
        <v>0</v>
      </c>
      <c r="EB329">
        <v>0</v>
      </c>
      <c r="EC329">
        <v>0</v>
      </c>
      <c r="ED329">
        <v>1</v>
      </c>
      <c r="EE329">
        <v>1</v>
      </c>
      <c r="EF329">
        <v>0</v>
      </c>
      <c r="EG329">
        <v>0</v>
      </c>
      <c r="EH329">
        <v>1</v>
      </c>
      <c r="EI329">
        <v>0</v>
      </c>
      <c r="EJ329">
        <v>1</v>
      </c>
      <c r="EK329">
        <v>0</v>
      </c>
      <c r="EL329">
        <v>1</v>
      </c>
      <c r="EM329">
        <v>0</v>
      </c>
      <c r="EN329" s="2">
        <v>0</v>
      </c>
      <c r="EP329" t="str">
        <f t="shared" si="356"/>
        <v/>
      </c>
      <c r="EQ329" t="str">
        <f t="shared" si="368"/>
        <v/>
      </c>
      <c r="ER329" s="2" t="str">
        <f t="shared" si="357"/>
        <v>Technology approach</v>
      </c>
      <c r="ES329" t="str">
        <f t="shared" si="358"/>
        <v/>
      </c>
      <c r="ET329" t="str">
        <f t="shared" si="359"/>
        <v/>
      </c>
      <c r="EU329" t="str">
        <f t="shared" si="360"/>
        <v/>
      </c>
      <c r="EY329" t="b">
        <f>IF(ISNUMBER(BW329),IF(ABS(BW329-[1]QC_indicators!$B$2)&gt;3*[1]QC_indicators!$C$2,"C ratio",IF(ISNUMBER(CA329),IF(ABS(CA329-[1]QC_indicators!$B$1)&gt;3*[1]QC_indicators!$C$1,"DF","no"))),IF(ISNUMBER(CA329),IF(ABS(CA329-[1]QC_indicators!$B$1)&gt;3*[1]QC_indicators!$C$1,"DF","no")))</f>
        <v>0</v>
      </c>
      <c r="FA329" t="str">
        <f t="shared" si="361"/>
        <v/>
      </c>
    </row>
    <row r="330" spans="1:158" ht="15" hidden="1" customHeight="1">
      <c r="A330" s="1" t="s">
        <v>3698</v>
      </c>
      <c r="B330" t="s">
        <v>3699</v>
      </c>
      <c r="C330" t="s">
        <v>3700</v>
      </c>
      <c r="D330" t="s">
        <v>3701</v>
      </c>
      <c r="E330" t="s">
        <v>3702</v>
      </c>
      <c r="F330" t="s">
        <v>3703</v>
      </c>
      <c r="G330" t="s">
        <v>3704</v>
      </c>
      <c r="H330" t="s">
        <v>254</v>
      </c>
      <c r="I330">
        <v>2018</v>
      </c>
      <c r="J330">
        <v>0</v>
      </c>
      <c r="K330" s="288" t="s">
        <v>3705</v>
      </c>
      <c r="M330" t="str">
        <f t="shared" si="388"/>
        <v>Portugal_2018</v>
      </c>
      <c r="N330" s="297" t="s">
        <v>4058</v>
      </c>
      <c r="O330" s="145" t="s">
        <v>341</v>
      </c>
      <c r="Q330" s="297" t="s">
        <v>256</v>
      </c>
      <c r="R330" s="298"/>
      <c r="S330" s="1" t="s">
        <v>3706</v>
      </c>
      <c r="T330" t="s">
        <v>3707</v>
      </c>
      <c r="U330" t="s">
        <v>3708</v>
      </c>
      <c r="X330">
        <v>0</v>
      </c>
      <c r="Y330">
        <v>2</v>
      </c>
      <c r="Z330">
        <v>0</v>
      </c>
      <c r="AA330">
        <v>0</v>
      </c>
      <c r="AB330">
        <v>0</v>
      </c>
      <c r="AC330">
        <v>0</v>
      </c>
      <c r="AD330">
        <v>0</v>
      </c>
      <c r="AE330">
        <v>0</v>
      </c>
      <c r="AF330">
        <v>0</v>
      </c>
      <c r="AG330">
        <v>0</v>
      </c>
      <c r="AH330">
        <v>1</v>
      </c>
      <c r="AI330">
        <v>0</v>
      </c>
      <c r="AJ330">
        <v>0</v>
      </c>
      <c r="AK330">
        <v>0</v>
      </c>
      <c r="AL330">
        <v>0</v>
      </c>
      <c r="AM330">
        <v>0</v>
      </c>
      <c r="AN330">
        <v>0</v>
      </c>
      <c r="AO330">
        <v>0</v>
      </c>
      <c r="AP330">
        <v>0</v>
      </c>
      <c r="AQ330">
        <v>0</v>
      </c>
      <c r="AR330">
        <v>0</v>
      </c>
      <c r="AS330">
        <v>0</v>
      </c>
      <c r="AT330">
        <v>0</v>
      </c>
      <c r="AU330">
        <v>2</v>
      </c>
      <c r="AV330">
        <v>0</v>
      </c>
      <c r="AW330">
        <v>0</v>
      </c>
      <c r="AX330">
        <v>0</v>
      </c>
      <c r="AY330">
        <v>0</v>
      </c>
      <c r="AZ330" s="141">
        <f t="shared" si="370"/>
        <v>3</v>
      </c>
      <c r="BA330" s="141">
        <f t="shared" si="371"/>
        <v>2</v>
      </c>
      <c r="BB330">
        <f t="shared" si="372"/>
        <v>1</v>
      </c>
      <c r="BC330">
        <f t="shared" si="373"/>
        <v>1</v>
      </c>
      <c r="BD330">
        <f t="shared" si="374"/>
        <v>0</v>
      </c>
      <c r="BE330">
        <f t="shared" si="375"/>
        <v>1</v>
      </c>
      <c r="BF330">
        <f t="shared" si="376"/>
        <v>0</v>
      </c>
      <c r="BG330" t="str" cm="1">
        <f t="array" ref="BG330">IF(BA330=1,INDEX($X$7:$AN$7,MATCH(TRUE,INDEX($X330:$AY330&lt;&gt;0,),0)),IF(BA330=0,INDEX($AO$7:$AY$7,MATCH(1,$AO330:$AY330,0)),IF(BH330="Multiple strategies","mixed drivers",IF(BH330="Supply chain","multiple supply","multiple silviculture"))))</f>
        <v>mixed drivers</v>
      </c>
      <c r="BH330" s="2" t="str" cm="1">
        <f t="array" ref="BH330">IF(COUNTIF(BB330:BD330,"&lt;&gt;0")=1,INDEX($X$4:$AY$4,MATCH(TRUE,INDEX($X330:$AY330&lt;&gt;0,),0)),IF(COUNTIF(BB330:BD330,"&lt;&gt;0")=0,INDEX($AO$4:$AY$4,MATCH(1,$AO330:$AY330,0)),"Multiple strategies"))</f>
        <v>Multiple strategies</v>
      </c>
      <c r="BI330" s="1" t="s">
        <v>229</v>
      </c>
      <c r="BR330" s="297" t="s">
        <v>232</v>
      </c>
      <c r="BS330" s="297"/>
      <c r="BT330" t="s">
        <v>346</v>
      </c>
      <c r="BU330">
        <v>-785.1</v>
      </c>
      <c r="BV330">
        <v>-584</v>
      </c>
      <c r="BW330" s="144">
        <v>0.74385428607820658</v>
      </c>
      <c r="BX330">
        <v>201.10000000000002</v>
      </c>
      <c r="BZ330">
        <f>BX330*10^3</f>
        <v>201100.00000000003</v>
      </c>
      <c r="CA330" t="str">
        <f t="shared" si="352"/>
        <v/>
      </c>
      <c r="CB330">
        <v>0</v>
      </c>
      <c r="CC330">
        <v>0</v>
      </c>
      <c r="CD330">
        <v>0</v>
      </c>
      <c r="CE330">
        <v>0</v>
      </c>
      <c r="CF330">
        <v>0</v>
      </c>
      <c r="CG330">
        <v>0</v>
      </c>
      <c r="CH330">
        <v>0</v>
      </c>
      <c r="CI330">
        <v>0</v>
      </c>
      <c r="CJ330">
        <v>0</v>
      </c>
      <c r="CK330">
        <v>0</v>
      </c>
      <c r="CL330">
        <v>0</v>
      </c>
      <c r="CM330">
        <v>0</v>
      </c>
      <c r="CN330">
        <v>0</v>
      </c>
      <c r="CO330">
        <v>0</v>
      </c>
      <c r="CP330" t="str">
        <f t="shared" si="377"/>
        <v>refOK</v>
      </c>
      <c r="CQ330">
        <f>IF($CP330="refOK",$BM330,$BN330)</f>
        <v>0</v>
      </c>
      <c r="CR330">
        <f>IF($CP330="refOK",$BN330,$BM330)</f>
        <v>0</v>
      </c>
      <c r="CS330">
        <f>IF($CP330="refOK",$BQ330,-$BQ330)</f>
        <v>0</v>
      </c>
      <c r="CT330">
        <f t="shared" si="353"/>
        <v>0</v>
      </c>
      <c r="CU330">
        <f t="shared" si="378"/>
        <v>-785.1</v>
      </c>
      <c r="CV330">
        <f t="shared" si="366"/>
        <v>-584</v>
      </c>
      <c r="CW330">
        <f t="shared" si="379"/>
        <v>201100.00000000003</v>
      </c>
      <c r="CX330" t="str">
        <f t="shared" si="354"/>
        <v/>
      </c>
      <c r="CY330" t="str">
        <f t="shared" si="380"/>
        <v/>
      </c>
      <c r="CZ330" t="str">
        <f t="shared" si="355"/>
        <v/>
      </c>
      <c r="DA330" s="2">
        <f t="shared" si="381"/>
        <v>0.25614571392179342</v>
      </c>
      <c r="DB330" s="1" t="s">
        <v>347</v>
      </c>
      <c r="DC330" s="297" t="str">
        <f t="shared" si="363"/>
        <v>loc</v>
      </c>
      <c r="DD330" t="s">
        <v>428</v>
      </c>
      <c r="DG330">
        <v>0</v>
      </c>
      <c r="DH330" t="str">
        <f t="shared" si="382"/>
        <v>0</v>
      </c>
      <c r="DI330">
        <v>0</v>
      </c>
      <c r="DJ330">
        <v>0</v>
      </c>
      <c r="DK330">
        <v>0</v>
      </c>
      <c r="DL330">
        <v>1</v>
      </c>
      <c r="DM330">
        <v>1</v>
      </c>
      <c r="DN330">
        <f>SUM(DI330:DL330)</f>
        <v>1</v>
      </c>
      <c r="DO330" t="str">
        <f t="shared" si="383"/>
        <v>TimberInput</v>
      </c>
      <c r="DP330">
        <f t="shared" si="384"/>
        <v>0</v>
      </c>
      <c r="DQ330">
        <f t="shared" si="385"/>
        <v>0</v>
      </c>
      <c r="DR330">
        <f t="shared" si="386"/>
        <v>0</v>
      </c>
      <c r="DS330" t="str">
        <f t="shared" si="387"/>
        <v>Timber</v>
      </c>
      <c r="DT330">
        <v>1</v>
      </c>
      <c r="DU330">
        <v>0</v>
      </c>
      <c r="DV330">
        <v>0</v>
      </c>
      <c r="DW330">
        <v>0</v>
      </c>
      <c r="DX330">
        <v>0</v>
      </c>
      <c r="DY330">
        <f t="shared" si="367"/>
        <v>1</v>
      </c>
      <c r="DZ330" s="143" t="str">
        <f t="shared" si="365"/>
        <v>self-calculated DF</v>
      </c>
      <c r="EA330">
        <v>0</v>
      </c>
      <c r="EB330">
        <v>0</v>
      </c>
      <c r="EC330">
        <v>0</v>
      </c>
      <c r="ED330">
        <v>1</v>
      </c>
      <c r="EE330">
        <v>0</v>
      </c>
      <c r="EF330" s="143">
        <v>0</v>
      </c>
      <c r="EG330">
        <v>1</v>
      </c>
      <c r="EH330">
        <v>1</v>
      </c>
      <c r="EI330">
        <v>1</v>
      </c>
      <c r="EJ330">
        <v>0</v>
      </c>
      <c r="EK330">
        <v>0</v>
      </c>
      <c r="EL330">
        <v>0</v>
      </c>
      <c r="EM330">
        <v>0</v>
      </c>
      <c r="EN330" s="2">
        <v>0</v>
      </c>
      <c r="EP330" t="str">
        <f t="shared" si="356"/>
        <v/>
      </c>
      <c r="EQ330" t="str">
        <f t="shared" si="368"/>
        <v/>
      </c>
      <c r="ER330" s="2" t="str">
        <f t="shared" si="357"/>
        <v>Technology approach</v>
      </c>
      <c r="ES330" t="str">
        <f t="shared" si="358"/>
        <v/>
      </c>
      <c r="ET330" t="str">
        <f t="shared" si="359"/>
        <v/>
      </c>
      <c r="EU330" t="str">
        <f t="shared" si="360"/>
        <v/>
      </c>
      <c r="EW330" t="s">
        <v>3709</v>
      </c>
      <c r="EY330" t="b">
        <f>IF(ISNUMBER(BW330),IF(ABS(BW330-[1]QC_indicators!$B$2)&gt;3*[1]QC_indicators!$C$2,"C ratio",IF(ISNUMBER(CA330),IF(ABS(CA330-[1]QC_indicators!$B$1)&gt;3*[1]QC_indicators!$C$1,"DF","no"))),IF(ISNUMBER(CA330),IF(ABS(CA330-[1]QC_indicators!$B$1)&gt;3*[1]QC_indicators!$C$1,"DF","no")))</f>
        <v>0</v>
      </c>
      <c r="FA330" t="str">
        <f t="shared" si="361"/>
        <v/>
      </c>
      <c r="FB330" s="299" t="s">
        <v>349</v>
      </c>
    </row>
    <row r="331" spans="1:158" ht="15" hidden="1" customHeight="1">
      <c r="A331" s="1" t="s">
        <v>214</v>
      </c>
      <c r="B331" t="s">
        <v>3710</v>
      </c>
      <c r="C331" t="s">
        <v>3711</v>
      </c>
      <c r="D331" t="s">
        <v>3712</v>
      </c>
      <c r="E331" t="s">
        <v>3713</v>
      </c>
      <c r="F331" t="s">
        <v>3714</v>
      </c>
      <c r="G331" t="s">
        <v>220</v>
      </c>
      <c r="H331" t="s">
        <v>254</v>
      </c>
      <c r="I331">
        <v>2009</v>
      </c>
      <c r="J331">
        <v>63</v>
      </c>
      <c r="K331" t="s">
        <v>3715</v>
      </c>
      <c r="M331" t="str">
        <f t="shared" si="388"/>
        <v>Profft_2009</v>
      </c>
      <c r="N331" s="297" t="s">
        <v>4058</v>
      </c>
      <c r="O331" s="171" t="s">
        <v>225</v>
      </c>
      <c r="P331" t="s">
        <v>341</v>
      </c>
      <c r="Q331" s="297" t="s">
        <v>389</v>
      </c>
      <c r="R331" s="298"/>
      <c r="S331" s="1" t="s">
        <v>3716</v>
      </c>
      <c r="T331" t="s">
        <v>3717</v>
      </c>
      <c r="U331" t="s">
        <v>3718</v>
      </c>
      <c r="X331">
        <v>0</v>
      </c>
      <c r="Y331">
        <v>0</v>
      </c>
      <c r="Z331">
        <v>0</v>
      </c>
      <c r="AA331">
        <v>1</v>
      </c>
      <c r="AB331">
        <v>0</v>
      </c>
      <c r="AC331">
        <v>0</v>
      </c>
      <c r="AD331">
        <v>0</v>
      </c>
      <c r="AE331">
        <v>0</v>
      </c>
      <c r="AF331">
        <v>0</v>
      </c>
      <c r="AG331">
        <v>0</v>
      </c>
      <c r="AH331">
        <v>0</v>
      </c>
      <c r="AI331">
        <v>0</v>
      </c>
      <c r="AJ331">
        <v>0</v>
      </c>
      <c r="AK331">
        <v>1</v>
      </c>
      <c r="AL331">
        <v>0</v>
      </c>
      <c r="AM331">
        <v>0</v>
      </c>
      <c r="AN331">
        <v>0</v>
      </c>
      <c r="AO331">
        <v>0</v>
      </c>
      <c r="AP331">
        <v>0</v>
      </c>
      <c r="AQ331">
        <v>0</v>
      </c>
      <c r="AR331">
        <v>0</v>
      </c>
      <c r="AS331">
        <v>0</v>
      </c>
      <c r="AT331">
        <v>0</v>
      </c>
      <c r="AU331">
        <v>0</v>
      </c>
      <c r="AV331">
        <v>0</v>
      </c>
      <c r="AW331">
        <v>0</v>
      </c>
      <c r="AX331">
        <v>0</v>
      </c>
      <c r="AY331">
        <v>0</v>
      </c>
      <c r="AZ331" s="141">
        <f t="shared" si="370"/>
        <v>2</v>
      </c>
      <c r="BA331" s="141">
        <f t="shared" si="371"/>
        <v>2</v>
      </c>
      <c r="BB331">
        <f t="shared" si="372"/>
        <v>1</v>
      </c>
      <c r="BC331">
        <f t="shared" si="373"/>
        <v>1</v>
      </c>
      <c r="BD331">
        <f t="shared" si="374"/>
        <v>0</v>
      </c>
      <c r="BE331">
        <f t="shared" si="375"/>
        <v>0</v>
      </c>
      <c r="BF331">
        <f t="shared" si="376"/>
        <v>0</v>
      </c>
      <c r="BG331" t="str" cm="1">
        <f t="array" ref="BG331">IF(BA331=1,INDEX($X$7:$AN$7,MATCH(TRUE,INDEX($X331:$AY331&lt;&gt;0,),0)),IF(BA331=0,INDEX($AO$7:$AY$7,MATCH(1,$AO331:$AY331,0)),IF(BH331="Multiple strategies","mixed drivers",IF(BH331="Supply chain","multiple supply","multiple silviculture"))))</f>
        <v>mixed drivers</v>
      </c>
      <c r="BH331" s="2" t="str" cm="1">
        <f t="array" ref="BH331">IF(COUNTIF(BB331:BD331,"&lt;&gt;0")=1,INDEX($X$4:$AY$4,MATCH(TRUE,INDEX($X331:$AY331&lt;&gt;0,),0)),IF(COUNTIF(BB331:BD331,"&lt;&gt;0")=0,INDEX($AO$4:$AY$4,MATCH(1,$AO331:$AY331,0)),"Multiple strategies"))</f>
        <v>Multiple strategies</v>
      </c>
      <c r="BO331" t="str">
        <f t="shared" ref="BO331:BO339" si="389">IFERROR(BN331/BM331,"")</f>
        <v/>
      </c>
      <c r="BR331" t="s">
        <v>232</v>
      </c>
      <c r="BT331" t="s">
        <v>3719</v>
      </c>
      <c r="BU331">
        <v>0.6</v>
      </c>
      <c r="BV331">
        <v>0.51</v>
      </c>
      <c r="BW331" s="144"/>
      <c r="BX331">
        <f>BU331-BV331</f>
        <v>8.9999999999999969E-2</v>
      </c>
      <c r="CA331" t="str">
        <f t="shared" si="352"/>
        <v/>
      </c>
      <c r="CB331">
        <v>0</v>
      </c>
      <c r="CC331">
        <v>0</v>
      </c>
      <c r="CD331">
        <v>0</v>
      </c>
      <c r="CE331">
        <v>0</v>
      </c>
      <c r="CF331">
        <v>0</v>
      </c>
      <c r="CG331">
        <v>0</v>
      </c>
      <c r="CH331">
        <v>0</v>
      </c>
      <c r="CI331">
        <v>0</v>
      </c>
      <c r="CJ331">
        <v>0</v>
      </c>
      <c r="CK331">
        <v>0</v>
      </c>
      <c r="CL331">
        <v>0</v>
      </c>
      <c r="CM331">
        <v>0</v>
      </c>
      <c r="CN331">
        <v>0</v>
      </c>
      <c r="CO331">
        <v>0</v>
      </c>
      <c r="CP331" t="str">
        <f t="shared" si="377"/>
        <v>refOK</v>
      </c>
      <c r="CQ331"/>
      <c r="CR331"/>
      <c r="CS331"/>
      <c r="CT331">
        <f t="shared" si="353"/>
        <v>0</v>
      </c>
      <c r="CU331">
        <f t="shared" si="378"/>
        <v>0.6</v>
      </c>
      <c r="CV331">
        <f t="shared" si="366"/>
        <v>0.51</v>
      </c>
      <c r="CW331">
        <f t="shared" si="379"/>
        <v>0</v>
      </c>
      <c r="CX331" t="str">
        <f t="shared" si="354"/>
        <v/>
      </c>
      <c r="CY331" t="str">
        <f t="shared" si="380"/>
        <v/>
      </c>
      <c r="CZ331" t="str">
        <f t="shared" si="355"/>
        <v/>
      </c>
      <c r="DA331" s="2">
        <f t="shared" si="381"/>
        <v>-0.14999999999999997</v>
      </c>
      <c r="DB331" s="1" t="s">
        <v>1843</v>
      </c>
      <c r="DC331" s="297" t="str">
        <f t="shared" si="363"/>
        <v>reg</v>
      </c>
      <c r="DD331" t="s">
        <v>1176</v>
      </c>
      <c r="DE331">
        <v>1999</v>
      </c>
      <c r="DF331">
        <v>2009</v>
      </c>
      <c r="DG331">
        <v>11</v>
      </c>
      <c r="DH331" t="str">
        <f t="shared" si="382"/>
        <v>1-30</v>
      </c>
      <c r="DI331">
        <v>0</v>
      </c>
      <c r="DJ331">
        <v>1</v>
      </c>
      <c r="DK331">
        <v>1</v>
      </c>
      <c r="DL331">
        <v>1</v>
      </c>
      <c r="DM331">
        <v>0</v>
      </c>
      <c r="DN331">
        <f>SUM(DI331:DM331)</f>
        <v>3</v>
      </c>
      <c r="DO331" t="str">
        <f t="shared" si="383"/>
        <v>mixedProduct</v>
      </c>
      <c r="DP331">
        <f t="shared" si="384"/>
        <v>0</v>
      </c>
      <c r="DQ331" t="str">
        <f t="shared" si="385"/>
        <v>Energy</v>
      </c>
      <c r="DR331" t="str">
        <f t="shared" si="386"/>
        <v>Pulp/Paper</v>
      </c>
      <c r="DS331" t="str">
        <f t="shared" si="387"/>
        <v>Timber</v>
      </c>
      <c r="DT331">
        <v>0</v>
      </c>
      <c r="DU331">
        <v>0</v>
      </c>
      <c r="DV331">
        <v>0</v>
      </c>
      <c r="DW331">
        <v>0</v>
      </c>
      <c r="DX331">
        <v>0</v>
      </c>
      <c r="DY331">
        <f t="shared" si="367"/>
        <v>0</v>
      </c>
      <c r="DZ331" s="143" t="str">
        <f t="shared" si="365"/>
        <v>explicit C balance</v>
      </c>
      <c r="EA331">
        <v>0</v>
      </c>
      <c r="EB331">
        <v>0</v>
      </c>
      <c r="EC331">
        <v>0</v>
      </c>
      <c r="ED331">
        <v>1</v>
      </c>
      <c r="EE331">
        <v>1</v>
      </c>
      <c r="EF331">
        <v>0</v>
      </c>
      <c r="EG331">
        <v>0</v>
      </c>
      <c r="EH331">
        <v>0</v>
      </c>
      <c r="EI331">
        <v>0</v>
      </c>
      <c r="EJ331">
        <v>0</v>
      </c>
      <c r="EK331">
        <v>1</v>
      </c>
      <c r="EL331">
        <v>0</v>
      </c>
      <c r="EM331">
        <v>0</v>
      </c>
      <c r="EN331" s="2">
        <v>0</v>
      </c>
      <c r="EP331" t="str">
        <f t="shared" si="356"/>
        <v/>
      </c>
      <c r="EQ331" t="str">
        <f t="shared" si="368"/>
        <v/>
      </c>
      <c r="ER331" s="2" t="str">
        <f t="shared" si="357"/>
        <v/>
      </c>
      <c r="ES331" t="str">
        <f t="shared" si="358"/>
        <v/>
      </c>
      <c r="ET331" t="str">
        <f t="shared" si="359"/>
        <v/>
      </c>
      <c r="EU331" t="str">
        <f t="shared" si="360"/>
        <v/>
      </c>
      <c r="EY331" t="b">
        <f>IF(ISNUMBER(BW331),IF(ABS(BW331-[1]QC_indicators!$B$2)&gt;3*[1]QC_indicators!$C$2,"C ratio",IF(ISNUMBER(CA331),IF(ABS(CA331-[1]QC_indicators!$B$1)&gt;3*[1]QC_indicators!$C$1,"DF","no"))),IF(ISNUMBER(CA331),IF(ABS(CA331-[1]QC_indicators!$B$1)&gt;3*[1]QC_indicators!$C$1,"DF","no")))</f>
        <v>0</v>
      </c>
      <c r="FA331" t="str">
        <f t="shared" si="361"/>
        <v/>
      </c>
    </row>
    <row r="332" spans="1:158" ht="15" hidden="1" customHeight="1">
      <c r="A332" s="1" t="s">
        <v>3720</v>
      </c>
      <c r="B332" t="s">
        <v>3721</v>
      </c>
      <c r="C332" t="s">
        <v>3722</v>
      </c>
      <c r="D332" t="s">
        <v>3723</v>
      </c>
      <c r="E332" t="s">
        <v>3724</v>
      </c>
      <c r="F332" t="s">
        <v>3725</v>
      </c>
      <c r="G332" t="s">
        <v>3726</v>
      </c>
      <c r="H332" t="s">
        <v>254</v>
      </c>
      <c r="I332">
        <v>2020</v>
      </c>
      <c r="J332">
        <v>2</v>
      </c>
      <c r="K332" t="s">
        <v>3727</v>
      </c>
      <c r="M332" t="str">
        <f t="shared" si="388"/>
        <v>Rempelos_2020</v>
      </c>
      <c r="N332" s="297" t="s">
        <v>4058</v>
      </c>
      <c r="O332" s="171" t="s">
        <v>341</v>
      </c>
      <c r="P332" t="s">
        <v>225</v>
      </c>
      <c r="Q332" s="297" t="s">
        <v>389</v>
      </c>
      <c r="R332" s="298"/>
      <c r="S332" s="1" t="s">
        <v>3733</v>
      </c>
      <c r="T332" t="s">
        <v>258</v>
      </c>
      <c r="U332" t="s">
        <v>3734</v>
      </c>
      <c r="X332">
        <v>0</v>
      </c>
      <c r="Y332">
        <v>0</v>
      </c>
      <c r="Z332">
        <v>0</v>
      </c>
      <c r="AA332">
        <v>0</v>
      </c>
      <c r="AB332">
        <v>0</v>
      </c>
      <c r="AC332">
        <v>0</v>
      </c>
      <c r="AD332">
        <v>0</v>
      </c>
      <c r="AE332">
        <v>0</v>
      </c>
      <c r="AF332">
        <v>0</v>
      </c>
      <c r="AG332">
        <v>0</v>
      </c>
      <c r="AH332">
        <v>0</v>
      </c>
      <c r="AI332">
        <v>0</v>
      </c>
      <c r="AJ332">
        <v>0</v>
      </c>
      <c r="AK332">
        <v>0</v>
      </c>
      <c r="AL332">
        <v>0</v>
      </c>
      <c r="AM332">
        <v>1</v>
      </c>
      <c r="AN332">
        <v>0</v>
      </c>
      <c r="AO332">
        <v>0</v>
      </c>
      <c r="AP332">
        <v>0</v>
      </c>
      <c r="AQ332">
        <v>0</v>
      </c>
      <c r="AR332">
        <v>0</v>
      </c>
      <c r="AS332">
        <v>0</v>
      </c>
      <c r="AT332">
        <v>0</v>
      </c>
      <c r="AU332">
        <v>0</v>
      </c>
      <c r="AV332">
        <v>0</v>
      </c>
      <c r="AW332">
        <v>0</v>
      </c>
      <c r="AX332">
        <v>0</v>
      </c>
      <c r="AY332">
        <v>0</v>
      </c>
      <c r="AZ332" s="141">
        <f t="shared" si="370"/>
        <v>1</v>
      </c>
      <c r="BA332" s="141">
        <f t="shared" si="371"/>
        <v>1</v>
      </c>
      <c r="BB332">
        <f t="shared" si="372"/>
        <v>0</v>
      </c>
      <c r="BC332">
        <f t="shared" si="373"/>
        <v>0</v>
      </c>
      <c r="BD332">
        <f t="shared" si="374"/>
        <v>1</v>
      </c>
      <c r="BE332">
        <f t="shared" si="375"/>
        <v>0</v>
      </c>
      <c r="BF332">
        <f t="shared" si="376"/>
        <v>0</v>
      </c>
      <c r="BG332" t="str" cm="1">
        <f t="array" ref="BG332">IF(BA332=1,INDEX($X$7:$AN$7,MATCH(TRUE,INDEX($X332:$AY332&lt;&gt;0,),0)),IF(BA332=0,INDEX($AO$7:$AY$7,MATCH(1,$AO332:$AY332,0)),IF(BH332="Multiple strategies","mixed drivers",IF(BH332="Supply chain","multiple supply","multiple silviculture"))))</f>
        <v>technologies/design switch</v>
      </c>
      <c r="BH332" s="2" t="str" cm="1">
        <f t="array" ref="BH332">IF(COUNTIF(BB332:BD332,"&lt;&gt;0")=1,INDEX($X$4:$AY$4,MATCH(TRUE,INDEX($X332:$AY332&lt;&gt;0,),0)),IF(COUNTIF(BB332:BD332,"&lt;&gt;0")=0,INDEX($AO$4:$AY$4,MATCH(1,$AO332:$AY332,0)),"Multiple strategies"))</f>
        <v>Technology</v>
      </c>
      <c r="BO332" t="str">
        <f t="shared" si="389"/>
        <v/>
      </c>
      <c r="BR332" t="s">
        <v>395</v>
      </c>
      <c r="BS332" t="s">
        <v>3731</v>
      </c>
      <c r="BT332" t="s">
        <v>3732</v>
      </c>
      <c r="BU332">
        <v>362.1</v>
      </c>
      <c r="BV332">
        <v>582.1</v>
      </c>
      <c r="BW332" s="144">
        <f t="shared" ref="BW332:BW339" si="390">BV332/BU332</f>
        <v>1.6075669704501518</v>
      </c>
      <c r="BX332">
        <f t="shared" ref="BX332:BX339" si="391">BV332-BU332</f>
        <v>220</v>
      </c>
      <c r="CA332" t="str">
        <f t="shared" si="352"/>
        <v/>
      </c>
      <c r="CB332">
        <v>0</v>
      </c>
      <c r="CC332">
        <v>0</v>
      </c>
      <c r="CD332">
        <v>0</v>
      </c>
      <c r="CE332">
        <v>0</v>
      </c>
      <c r="CF332">
        <v>0</v>
      </c>
      <c r="CG332">
        <v>0</v>
      </c>
      <c r="CH332">
        <v>0</v>
      </c>
      <c r="CI332">
        <v>0</v>
      </c>
      <c r="CJ332">
        <v>0</v>
      </c>
      <c r="CK332">
        <v>0</v>
      </c>
      <c r="CL332">
        <v>0</v>
      </c>
      <c r="CM332">
        <v>0</v>
      </c>
      <c r="CN332">
        <v>0</v>
      </c>
      <c r="CO332">
        <v>0</v>
      </c>
      <c r="CP332" t="str">
        <f t="shared" si="377"/>
        <v>refOK</v>
      </c>
      <c r="CQ332"/>
      <c r="CR332"/>
      <c r="CS332"/>
      <c r="CT332">
        <f t="shared" si="353"/>
        <v>0</v>
      </c>
      <c r="CU332">
        <f t="shared" si="378"/>
        <v>-362.1</v>
      </c>
      <c r="CV332">
        <f t="shared" si="366"/>
        <v>-582.1</v>
      </c>
      <c r="CW332">
        <f t="shared" si="379"/>
        <v>0</v>
      </c>
      <c r="CX332" t="str">
        <f t="shared" si="354"/>
        <v/>
      </c>
      <c r="CY332" t="str">
        <f t="shared" si="380"/>
        <v/>
      </c>
      <c r="CZ332" t="str">
        <f t="shared" si="355"/>
        <v/>
      </c>
      <c r="DA332" s="2">
        <f t="shared" si="381"/>
        <v>-0.60756697045015184</v>
      </c>
      <c r="DB332" s="1" t="s">
        <v>263</v>
      </c>
      <c r="DC332" s="297" t="str">
        <f t="shared" si="363"/>
        <v>loc</v>
      </c>
      <c r="DD332" s="296" t="s">
        <v>3098</v>
      </c>
      <c r="DG332">
        <v>60</v>
      </c>
      <c r="DH332" t="str">
        <f t="shared" si="382"/>
        <v>31-70</v>
      </c>
      <c r="DI332">
        <v>0</v>
      </c>
      <c r="DJ332">
        <v>0</v>
      </c>
      <c r="DK332">
        <v>0</v>
      </c>
      <c r="DL332">
        <v>1</v>
      </c>
      <c r="DM332">
        <v>1</v>
      </c>
      <c r="DN332">
        <f t="shared" ref="DN332:DN363" si="392">SUM(DI332:DL332)</f>
        <v>1</v>
      </c>
      <c r="DO332" t="str">
        <f t="shared" si="383"/>
        <v>TimberInput</v>
      </c>
      <c r="DP332">
        <f t="shared" si="384"/>
        <v>0</v>
      </c>
      <c r="DQ332">
        <f t="shared" si="385"/>
        <v>0</v>
      </c>
      <c r="DR332">
        <f t="shared" si="386"/>
        <v>0</v>
      </c>
      <c r="DS332" t="str">
        <f t="shared" si="387"/>
        <v>Timber</v>
      </c>
      <c r="DT332">
        <v>1</v>
      </c>
      <c r="DU332">
        <v>0</v>
      </c>
      <c r="DV332">
        <v>0</v>
      </c>
      <c r="DW332">
        <v>0</v>
      </c>
      <c r="DX332">
        <v>0</v>
      </c>
      <c r="DY332">
        <f t="shared" si="367"/>
        <v>1</v>
      </c>
      <c r="DZ332" s="143" t="str">
        <f t="shared" si="365"/>
        <v>self-calculated DF</v>
      </c>
      <c r="EA332">
        <v>0</v>
      </c>
      <c r="EB332">
        <v>0</v>
      </c>
      <c r="EC332">
        <v>0</v>
      </c>
      <c r="ED332">
        <v>0</v>
      </c>
      <c r="EE332">
        <v>0</v>
      </c>
      <c r="EF332" s="143">
        <v>0</v>
      </c>
      <c r="EG332">
        <v>0</v>
      </c>
      <c r="EH332">
        <v>1</v>
      </c>
      <c r="EI332">
        <v>1</v>
      </c>
      <c r="EJ332">
        <v>1</v>
      </c>
      <c r="EK332">
        <v>0</v>
      </c>
      <c r="EL332">
        <v>0</v>
      </c>
      <c r="EM332">
        <v>0</v>
      </c>
      <c r="EN332" s="2">
        <v>0</v>
      </c>
      <c r="EP332" t="str">
        <f t="shared" si="356"/>
        <v/>
      </c>
      <c r="EQ332" t="str">
        <f t="shared" si="368"/>
        <v/>
      </c>
      <c r="ER332" s="2" t="str">
        <f t="shared" si="357"/>
        <v>Technology approach</v>
      </c>
      <c r="ES332" t="str">
        <f t="shared" si="358"/>
        <v/>
      </c>
      <c r="ET332" t="str">
        <f t="shared" si="359"/>
        <v/>
      </c>
      <c r="EU332" t="str">
        <f t="shared" si="360"/>
        <v/>
      </c>
      <c r="EY332" t="b">
        <f>IF(ISNUMBER(BW332),IF(ABS(BW332-[1]QC_indicators!$B$2)&gt;3*[1]QC_indicators!$C$2,"C ratio",IF(ISNUMBER(CA332),IF(ABS(CA332-[1]QC_indicators!$B$1)&gt;3*[1]QC_indicators!$C$1,"DF","no"))),IF(ISNUMBER(CA332),IF(ABS(CA332-[1]QC_indicators!$B$1)&gt;3*[1]QC_indicators!$C$1,"DF","no")))</f>
        <v>0</v>
      </c>
      <c r="FA332" t="str">
        <f t="shared" si="361"/>
        <v/>
      </c>
    </row>
    <row r="333" spans="1:158" ht="15" hidden="1" customHeight="1">
      <c r="A333" s="1" t="s">
        <v>3720</v>
      </c>
      <c r="B333" t="s">
        <v>3721</v>
      </c>
      <c r="C333" t="s">
        <v>3722</v>
      </c>
      <c r="D333" t="s">
        <v>3723</v>
      </c>
      <c r="E333" t="s">
        <v>3724</v>
      </c>
      <c r="F333" t="s">
        <v>3725</v>
      </c>
      <c r="G333" t="s">
        <v>3726</v>
      </c>
      <c r="H333" t="s">
        <v>254</v>
      </c>
      <c r="I333">
        <v>2020</v>
      </c>
      <c r="J333">
        <v>2</v>
      </c>
      <c r="K333" t="s">
        <v>3727</v>
      </c>
      <c r="M333" t="str">
        <f t="shared" si="388"/>
        <v>Rempelos_2020</v>
      </c>
      <c r="N333" s="297" t="s">
        <v>4058</v>
      </c>
      <c r="O333" s="171" t="s">
        <v>341</v>
      </c>
      <c r="P333" t="s">
        <v>225</v>
      </c>
      <c r="Q333" s="297" t="s">
        <v>389</v>
      </c>
      <c r="R333" s="298"/>
      <c r="S333" s="1" t="s">
        <v>3733</v>
      </c>
      <c r="T333" t="s">
        <v>258</v>
      </c>
      <c r="U333" t="s">
        <v>3730</v>
      </c>
      <c r="X333">
        <v>0</v>
      </c>
      <c r="Y333">
        <v>0</v>
      </c>
      <c r="Z333">
        <v>0</v>
      </c>
      <c r="AA333">
        <v>0</v>
      </c>
      <c r="AB333">
        <v>0</v>
      </c>
      <c r="AC333">
        <v>0</v>
      </c>
      <c r="AD333">
        <v>0</v>
      </c>
      <c r="AE333">
        <v>0</v>
      </c>
      <c r="AF333">
        <v>0</v>
      </c>
      <c r="AG333">
        <v>0</v>
      </c>
      <c r="AH333">
        <v>0</v>
      </c>
      <c r="AI333">
        <v>0</v>
      </c>
      <c r="AJ333">
        <v>0</v>
      </c>
      <c r="AK333">
        <v>0</v>
      </c>
      <c r="AL333">
        <v>0</v>
      </c>
      <c r="AM333">
        <v>1</v>
      </c>
      <c r="AN333">
        <v>0</v>
      </c>
      <c r="AO333">
        <v>0</v>
      </c>
      <c r="AP333">
        <v>0</v>
      </c>
      <c r="AQ333">
        <v>0</v>
      </c>
      <c r="AR333">
        <v>0</v>
      </c>
      <c r="AS333">
        <v>0</v>
      </c>
      <c r="AT333">
        <v>0</v>
      </c>
      <c r="AU333">
        <v>0</v>
      </c>
      <c r="AV333">
        <v>0</v>
      </c>
      <c r="AW333">
        <v>0</v>
      </c>
      <c r="AX333">
        <v>0</v>
      </c>
      <c r="AY333">
        <v>0</v>
      </c>
      <c r="AZ333" s="141">
        <f t="shared" si="370"/>
        <v>1</v>
      </c>
      <c r="BA333" s="141">
        <f t="shared" si="371"/>
        <v>1</v>
      </c>
      <c r="BB333">
        <f t="shared" si="372"/>
        <v>0</v>
      </c>
      <c r="BC333">
        <f t="shared" si="373"/>
        <v>0</v>
      </c>
      <c r="BD333">
        <f t="shared" si="374"/>
        <v>1</v>
      </c>
      <c r="BE333">
        <f t="shared" si="375"/>
        <v>0</v>
      </c>
      <c r="BF333">
        <f t="shared" si="376"/>
        <v>0</v>
      </c>
      <c r="BG333" t="str" cm="1">
        <f t="array" ref="BG333">IF(BA333=1,INDEX($X$7:$AN$7,MATCH(TRUE,INDEX($X333:$AY333&lt;&gt;0,),0)),IF(BA333=0,INDEX($AO$7:$AY$7,MATCH(1,$AO333:$AY333,0)),IF(BH333="Multiple strategies","mixed drivers",IF(BH333="Supply chain","multiple supply","multiple silviculture"))))</f>
        <v>technologies/design switch</v>
      </c>
      <c r="BH333" s="2" t="str" cm="1">
        <f t="array" ref="BH333">IF(COUNTIF(BB333:BD333,"&lt;&gt;0")=1,INDEX($X$4:$AY$4,MATCH(TRUE,INDEX($X333:$AY333&lt;&gt;0,),0)),IF(COUNTIF(BB333:BD333,"&lt;&gt;0")=0,INDEX($AO$4:$AY$4,MATCH(1,$AO333:$AY333,0)),"Multiple strategies"))</f>
        <v>Technology</v>
      </c>
      <c r="BO333" t="str">
        <f t="shared" si="389"/>
        <v/>
      </c>
      <c r="BR333" t="s">
        <v>395</v>
      </c>
      <c r="BS333" t="s">
        <v>3731</v>
      </c>
      <c r="BT333" t="s">
        <v>3732</v>
      </c>
      <c r="BU333">
        <v>362.1</v>
      </c>
      <c r="BV333">
        <v>490.9</v>
      </c>
      <c r="BW333" s="144">
        <f t="shared" si="390"/>
        <v>1.3557028445180888</v>
      </c>
      <c r="BX333">
        <f t="shared" si="391"/>
        <v>128.79999999999995</v>
      </c>
      <c r="CA333" t="str">
        <f t="shared" si="352"/>
        <v/>
      </c>
      <c r="CB333">
        <v>0</v>
      </c>
      <c r="CC333">
        <v>0</v>
      </c>
      <c r="CD333">
        <v>0</v>
      </c>
      <c r="CE333">
        <v>0</v>
      </c>
      <c r="CF333">
        <v>0</v>
      </c>
      <c r="CG333">
        <v>0</v>
      </c>
      <c r="CH333">
        <v>0</v>
      </c>
      <c r="CI333">
        <v>0</v>
      </c>
      <c r="CJ333">
        <v>0</v>
      </c>
      <c r="CK333">
        <v>0</v>
      </c>
      <c r="CL333">
        <v>0</v>
      </c>
      <c r="CM333">
        <v>0</v>
      </c>
      <c r="CN333">
        <v>0</v>
      </c>
      <c r="CO333">
        <v>0</v>
      </c>
      <c r="CP333" t="str">
        <f t="shared" si="377"/>
        <v>refOK</v>
      </c>
      <c r="CQ333"/>
      <c r="CR333"/>
      <c r="CS333"/>
      <c r="CT333">
        <f t="shared" si="353"/>
        <v>0</v>
      </c>
      <c r="CU333">
        <f t="shared" si="378"/>
        <v>-362.1</v>
      </c>
      <c r="CV333">
        <f t="shared" si="366"/>
        <v>-490.9</v>
      </c>
      <c r="CW333">
        <f t="shared" si="379"/>
        <v>0</v>
      </c>
      <c r="CX333" t="str">
        <f t="shared" si="354"/>
        <v/>
      </c>
      <c r="CY333" t="str">
        <f t="shared" si="380"/>
        <v/>
      </c>
      <c r="CZ333" t="str">
        <f t="shared" si="355"/>
        <v/>
      </c>
      <c r="DA333" s="2">
        <f t="shared" si="381"/>
        <v>-0.35570284451808876</v>
      </c>
      <c r="DB333" s="1" t="s">
        <v>263</v>
      </c>
      <c r="DC333" s="297" t="str">
        <f t="shared" si="363"/>
        <v>loc</v>
      </c>
      <c r="DD333" s="296" t="s">
        <v>3098</v>
      </c>
      <c r="DG333">
        <v>60</v>
      </c>
      <c r="DH333" t="str">
        <f t="shared" si="382"/>
        <v>31-70</v>
      </c>
      <c r="DI333">
        <v>0</v>
      </c>
      <c r="DJ333">
        <v>0</v>
      </c>
      <c r="DK333">
        <v>0</v>
      </c>
      <c r="DL333">
        <v>1</v>
      </c>
      <c r="DM333">
        <v>1</v>
      </c>
      <c r="DN333">
        <f t="shared" si="392"/>
        <v>1</v>
      </c>
      <c r="DO333" t="str">
        <f t="shared" si="383"/>
        <v>TimberInput</v>
      </c>
      <c r="DP333">
        <f t="shared" si="384"/>
        <v>0</v>
      </c>
      <c r="DQ333">
        <f t="shared" si="385"/>
        <v>0</v>
      </c>
      <c r="DR333">
        <f t="shared" si="386"/>
        <v>0</v>
      </c>
      <c r="DS333" t="str">
        <f t="shared" si="387"/>
        <v>Timber</v>
      </c>
      <c r="DT333">
        <v>1</v>
      </c>
      <c r="DU333">
        <v>0</v>
      </c>
      <c r="DV333">
        <v>0</v>
      </c>
      <c r="DW333">
        <v>0</v>
      </c>
      <c r="DX333">
        <v>0</v>
      </c>
      <c r="DY333">
        <f t="shared" si="367"/>
        <v>1</v>
      </c>
      <c r="DZ333" s="143" t="str">
        <f t="shared" si="365"/>
        <v>self-calculated DF</v>
      </c>
      <c r="EA333">
        <v>0</v>
      </c>
      <c r="EB333">
        <v>0</v>
      </c>
      <c r="EC333">
        <v>0</v>
      </c>
      <c r="ED333">
        <v>0</v>
      </c>
      <c r="EE333">
        <v>0</v>
      </c>
      <c r="EF333" s="143">
        <v>0</v>
      </c>
      <c r="EG333">
        <v>0</v>
      </c>
      <c r="EH333">
        <v>1</v>
      </c>
      <c r="EI333">
        <v>1</v>
      </c>
      <c r="EJ333">
        <v>1</v>
      </c>
      <c r="EK333">
        <v>0</v>
      </c>
      <c r="EL333">
        <v>0</v>
      </c>
      <c r="EM333">
        <v>0</v>
      </c>
      <c r="EN333" s="2">
        <v>0</v>
      </c>
      <c r="EP333" t="str">
        <f t="shared" si="356"/>
        <v/>
      </c>
      <c r="EQ333" t="str">
        <f t="shared" si="368"/>
        <v/>
      </c>
      <c r="ER333" s="2" t="str">
        <f t="shared" si="357"/>
        <v>Technology approach</v>
      </c>
      <c r="ES333" t="str">
        <f t="shared" si="358"/>
        <v/>
      </c>
      <c r="ET333" t="str">
        <f t="shared" si="359"/>
        <v/>
      </c>
      <c r="EU333" t="str">
        <f t="shared" si="360"/>
        <v/>
      </c>
      <c r="EY333" t="b">
        <f>IF(ISNUMBER(BW333),IF(ABS(BW333-[1]QC_indicators!$B$2)&gt;3*[1]QC_indicators!$C$2,"C ratio",IF(ISNUMBER(CA333),IF(ABS(CA333-[1]QC_indicators!$B$1)&gt;3*[1]QC_indicators!$C$1,"DF","no"))),IF(ISNUMBER(CA333),IF(ABS(CA333-[1]QC_indicators!$B$1)&gt;3*[1]QC_indicators!$C$1,"DF","no")))</f>
        <v>0</v>
      </c>
      <c r="FA333" t="str">
        <f t="shared" si="361"/>
        <v/>
      </c>
    </row>
    <row r="334" spans="1:158" ht="15" hidden="1" customHeight="1">
      <c r="A334" s="1" t="s">
        <v>3720</v>
      </c>
      <c r="B334" t="s">
        <v>3721</v>
      </c>
      <c r="C334" t="s">
        <v>3722</v>
      </c>
      <c r="D334" t="s">
        <v>3723</v>
      </c>
      <c r="E334" t="s">
        <v>3724</v>
      </c>
      <c r="F334" t="s">
        <v>3725</v>
      </c>
      <c r="G334" t="s">
        <v>3726</v>
      </c>
      <c r="H334" t="s">
        <v>254</v>
      </c>
      <c r="I334">
        <v>2020</v>
      </c>
      <c r="J334">
        <v>2</v>
      </c>
      <c r="K334" t="s">
        <v>3727</v>
      </c>
      <c r="M334" t="str">
        <f t="shared" si="388"/>
        <v>Rempelos_2020</v>
      </c>
      <c r="N334" s="297" t="s">
        <v>4058</v>
      </c>
      <c r="O334" s="171" t="s">
        <v>341</v>
      </c>
      <c r="P334" t="s">
        <v>225</v>
      </c>
      <c r="Q334" s="297" t="s">
        <v>389</v>
      </c>
      <c r="R334" s="298"/>
      <c r="S334" s="1" t="s">
        <v>3728</v>
      </c>
      <c r="T334" t="s">
        <v>258</v>
      </c>
      <c r="U334" t="s">
        <v>3730</v>
      </c>
      <c r="X334">
        <v>0</v>
      </c>
      <c r="Y334">
        <v>0</v>
      </c>
      <c r="Z334">
        <v>0</v>
      </c>
      <c r="AA334">
        <v>0</v>
      </c>
      <c r="AB334">
        <v>0</v>
      </c>
      <c r="AC334">
        <v>0</v>
      </c>
      <c r="AD334">
        <v>0</v>
      </c>
      <c r="AE334">
        <v>0</v>
      </c>
      <c r="AF334">
        <v>0</v>
      </c>
      <c r="AG334">
        <v>0</v>
      </c>
      <c r="AH334">
        <v>0</v>
      </c>
      <c r="AI334">
        <v>0</v>
      </c>
      <c r="AJ334">
        <v>0</v>
      </c>
      <c r="AK334">
        <v>0</v>
      </c>
      <c r="AL334">
        <v>0</v>
      </c>
      <c r="AM334">
        <v>1</v>
      </c>
      <c r="AN334">
        <v>0</v>
      </c>
      <c r="AO334">
        <v>0</v>
      </c>
      <c r="AP334">
        <v>0</v>
      </c>
      <c r="AQ334">
        <v>0</v>
      </c>
      <c r="AR334">
        <v>0</v>
      </c>
      <c r="AS334">
        <v>0</v>
      </c>
      <c r="AT334">
        <v>0</v>
      </c>
      <c r="AU334">
        <v>0</v>
      </c>
      <c r="AV334">
        <v>0</v>
      </c>
      <c r="AW334">
        <v>0</v>
      </c>
      <c r="AX334">
        <v>0</v>
      </c>
      <c r="AY334">
        <v>0</v>
      </c>
      <c r="AZ334" s="141">
        <f t="shared" si="370"/>
        <v>1</v>
      </c>
      <c r="BA334" s="141">
        <f t="shared" si="371"/>
        <v>1</v>
      </c>
      <c r="BB334">
        <f t="shared" si="372"/>
        <v>0</v>
      </c>
      <c r="BC334">
        <f t="shared" si="373"/>
        <v>0</v>
      </c>
      <c r="BD334">
        <f t="shared" si="374"/>
        <v>1</v>
      </c>
      <c r="BE334">
        <f t="shared" si="375"/>
        <v>0</v>
      </c>
      <c r="BF334">
        <f t="shared" si="376"/>
        <v>0</v>
      </c>
      <c r="BG334" t="str" cm="1">
        <f t="array" ref="BG334">IF(BA334=1,INDEX($X$7:$AN$7,MATCH(TRUE,INDEX($X334:$AY334&lt;&gt;0,),0)),IF(BA334=0,INDEX($AO$7:$AY$7,MATCH(1,$AO334:$AY334,0)),IF(BH334="Multiple strategies","mixed drivers",IF(BH334="Supply chain","multiple supply","multiple silviculture"))))</f>
        <v>technologies/design switch</v>
      </c>
      <c r="BH334" s="2" t="str" cm="1">
        <f t="array" ref="BH334">IF(COUNTIF(BB334:BD334,"&lt;&gt;0")=1,INDEX($X$4:$AY$4,MATCH(TRUE,INDEX($X334:$AY334&lt;&gt;0,),0)),IF(COUNTIF(BB334:BD334,"&lt;&gt;0")=0,INDEX($AO$4:$AY$4,MATCH(1,$AO334:$AY334,0)),"Multiple strategies"))</f>
        <v>Technology</v>
      </c>
      <c r="BO334" t="str">
        <f t="shared" si="389"/>
        <v/>
      </c>
      <c r="BR334" t="s">
        <v>395</v>
      </c>
      <c r="BS334" t="s">
        <v>3731</v>
      </c>
      <c r="BT334" t="s">
        <v>3732</v>
      </c>
      <c r="BU334">
        <v>239.6</v>
      </c>
      <c r="BV334">
        <v>226.4</v>
      </c>
      <c r="BW334" s="144">
        <f t="shared" si="390"/>
        <v>0.94490818030050083</v>
      </c>
      <c r="BX334">
        <f t="shared" si="391"/>
        <v>-13.199999999999989</v>
      </c>
      <c r="CA334" t="str">
        <f t="shared" si="352"/>
        <v/>
      </c>
      <c r="CB334">
        <v>0</v>
      </c>
      <c r="CC334">
        <v>0</v>
      </c>
      <c r="CD334">
        <v>0</v>
      </c>
      <c r="CE334">
        <v>0</v>
      </c>
      <c r="CF334">
        <v>0</v>
      </c>
      <c r="CG334">
        <v>0</v>
      </c>
      <c r="CH334">
        <v>0</v>
      </c>
      <c r="CI334">
        <v>0</v>
      </c>
      <c r="CJ334">
        <v>0</v>
      </c>
      <c r="CK334">
        <v>0</v>
      </c>
      <c r="CL334">
        <v>0</v>
      </c>
      <c r="CM334">
        <v>0</v>
      </c>
      <c r="CN334">
        <v>0</v>
      </c>
      <c r="CO334">
        <v>0</v>
      </c>
      <c r="CP334" t="str">
        <f t="shared" si="377"/>
        <v>refOK</v>
      </c>
      <c r="CQ334"/>
      <c r="CR334"/>
      <c r="CS334"/>
      <c r="CT334">
        <f t="shared" si="353"/>
        <v>0</v>
      </c>
      <c r="CU334">
        <f t="shared" si="378"/>
        <v>-239.6</v>
      </c>
      <c r="CV334">
        <f t="shared" si="366"/>
        <v>-226.4</v>
      </c>
      <c r="CW334">
        <f t="shared" si="379"/>
        <v>0</v>
      </c>
      <c r="CX334" t="str">
        <f t="shared" si="354"/>
        <v/>
      </c>
      <c r="CY334" t="str">
        <f t="shared" si="380"/>
        <v/>
      </c>
      <c r="CZ334" t="str">
        <f t="shared" si="355"/>
        <v/>
      </c>
      <c r="DA334" s="2">
        <f t="shared" si="381"/>
        <v>5.5091819699499119E-2</v>
      </c>
      <c r="DB334" s="1" t="s">
        <v>263</v>
      </c>
      <c r="DC334" s="297" t="str">
        <f t="shared" si="363"/>
        <v>loc</v>
      </c>
      <c r="DD334" s="296" t="s">
        <v>3098</v>
      </c>
      <c r="DG334">
        <v>60</v>
      </c>
      <c r="DH334" t="str">
        <f t="shared" si="382"/>
        <v>31-70</v>
      </c>
      <c r="DI334">
        <v>0</v>
      </c>
      <c r="DJ334">
        <v>0</v>
      </c>
      <c r="DK334">
        <v>0</v>
      </c>
      <c r="DL334">
        <v>1</v>
      </c>
      <c r="DM334">
        <v>1</v>
      </c>
      <c r="DN334">
        <f t="shared" si="392"/>
        <v>1</v>
      </c>
      <c r="DO334" t="str">
        <f t="shared" si="383"/>
        <v>TimberInput</v>
      </c>
      <c r="DP334">
        <f t="shared" si="384"/>
        <v>0</v>
      </c>
      <c r="DQ334">
        <f t="shared" si="385"/>
        <v>0</v>
      </c>
      <c r="DR334">
        <f t="shared" si="386"/>
        <v>0</v>
      </c>
      <c r="DS334" t="str">
        <f t="shared" si="387"/>
        <v>Timber</v>
      </c>
      <c r="DT334">
        <v>1</v>
      </c>
      <c r="DU334">
        <v>0</v>
      </c>
      <c r="DV334">
        <v>0</v>
      </c>
      <c r="DW334">
        <v>0</v>
      </c>
      <c r="DX334">
        <v>0</v>
      </c>
      <c r="DY334">
        <f t="shared" si="367"/>
        <v>1</v>
      </c>
      <c r="DZ334" s="143" t="str">
        <f t="shared" si="365"/>
        <v>self-calculated DF</v>
      </c>
      <c r="EA334">
        <v>0</v>
      </c>
      <c r="EB334">
        <v>0</v>
      </c>
      <c r="EC334">
        <v>0</v>
      </c>
      <c r="ED334">
        <v>0</v>
      </c>
      <c r="EE334">
        <v>0</v>
      </c>
      <c r="EF334" s="143">
        <v>0</v>
      </c>
      <c r="EG334">
        <v>0</v>
      </c>
      <c r="EH334">
        <v>1</v>
      </c>
      <c r="EI334">
        <v>1</v>
      </c>
      <c r="EJ334">
        <v>1</v>
      </c>
      <c r="EK334">
        <v>0</v>
      </c>
      <c r="EL334">
        <v>0</v>
      </c>
      <c r="EM334">
        <v>0</v>
      </c>
      <c r="EN334" s="2">
        <v>0</v>
      </c>
      <c r="EP334" t="str">
        <f t="shared" si="356"/>
        <v/>
      </c>
      <c r="EQ334" t="str">
        <f t="shared" si="368"/>
        <v/>
      </c>
      <c r="ER334" s="2" t="str">
        <f t="shared" si="357"/>
        <v>Technology approach</v>
      </c>
      <c r="ES334" t="str">
        <f t="shared" si="358"/>
        <v/>
      </c>
      <c r="ET334" t="str">
        <f t="shared" si="359"/>
        <v/>
      </c>
      <c r="EU334" t="str">
        <f t="shared" si="360"/>
        <v/>
      </c>
      <c r="EY334" t="b">
        <f>IF(ISNUMBER(BW334),IF(ABS(BW334-[1]QC_indicators!$B$2)&gt;3*[1]QC_indicators!$C$2,"C ratio",IF(ISNUMBER(CA334),IF(ABS(CA334-[1]QC_indicators!$B$1)&gt;3*[1]QC_indicators!$C$1,"DF","no"))),IF(ISNUMBER(CA334),IF(ABS(CA334-[1]QC_indicators!$B$1)&gt;3*[1]QC_indicators!$C$1,"DF","no")))</f>
        <v>0</v>
      </c>
      <c r="FA334" t="str">
        <f t="shared" si="361"/>
        <v/>
      </c>
    </row>
    <row r="335" spans="1:158" ht="15" hidden="1" customHeight="1">
      <c r="A335" s="1" t="s">
        <v>3720</v>
      </c>
      <c r="B335" t="s">
        <v>3721</v>
      </c>
      <c r="C335" t="s">
        <v>3722</v>
      </c>
      <c r="D335" t="s">
        <v>3723</v>
      </c>
      <c r="E335" t="s">
        <v>3724</v>
      </c>
      <c r="F335" t="s">
        <v>3725</v>
      </c>
      <c r="G335" t="s">
        <v>3726</v>
      </c>
      <c r="H335" t="s">
        <v>254</v>
      </c>
      <c r="I335">
        <v>2020</v>
      </c>
      <c r="J335">
        <v>2</v>
      </c>
      <c r="K335" t="s">
        <v>3727</v>
      </c>
      <c r="M335" t="str">
        <f t="shared" si="388"/>
        <v>Rempelos_2020</v>
      </c>
      <c r="N335" s="297" t="s">
        <v>4058</v>
      </c>
      <c r="O335" s="171" t="s">
        <v>341</v>
      </c>
      <c r="P335" t="s">
        <v>225</v>
      </c>
      <c r="Q335" s="297" t="s">
        <v>389</v>
      </c>
      <c r="R335" s="298"/>
      <c r="S335" s="1" t="s">
        <v>3733</v>
      </c>
      <c r="T335" t="s">
        <v>775</v>
      </c>
      <c r="U335" t="s">
        <v>3734</v>
      </c>
      <c r="X335">
        <v>0</v>
      </c>
      <c r="Y335">
        <v>0</v>
      </c>
      <c r="Z335">
        <v>0</v>
      </c>
      <c r="AA335">
        <v>0</v>
      </c>
      <c r="AB335">
        <v>0</v>
      </c>
      <c r="AC335">
        <v>0</v>
      </c>
      <c r="AD335">
        <v>0</v>
      </c>
      <c r="AE335">
        <v>0</v>
      </c>
      <c r="AF335">
        <v>0</v>
      </c>
      <c r="AG335">
        <v>0</v>
      </c>
      <c r="AH335">
        <v>0</v>
      </c>
      <c r="AI335">
        <v>0</v>
      </c>
      <c r="AJ335">
        <v>0</v>
      </c>
      <c r="AK335">
        <v>0</v>
      </c>
      <c r="AL335">
        <v>0</v>
      </c>
      <c r="AM335">
        <v>1</v>
      </c>
      <c r="AN335">
        <v>0</v>
      </c>
      <c r="AO335">
        <v>0</v>
      </c>
      <c r="AP335">
        <v>0</v>
      </c>
      <c r="AQ335">
        <v>0</v>
      </c>
      <c r="AR335">
        <v>0</v>
      </c>
      <c r="AS335">
        <v>0</v>
      </c>
      <c r="AT335">
        <v>0</v>
      </c>
      <c r="AU335">
        <v>0</v>
      </c>
      <c r="AV335">
        <v>0</v>
      </c>
      <c r="AW335">
        <v>0</v>
      </c>
      <c r="AX335">
        <v>0</v>
      </c>
      <c r="AY335">
        <v>0</v>
      </c>
      <c r="AZ335" s="141">
        <f t="shared" si="370"/>
        <v>1</v>
      </c>
      <c r="BA335" s="141">
        <f t="shared" si="371"/>
        <v>1</v>
      </c>
      <c r="BB335">
        <f t="shared" si="372"/>
        <v>0</v>
      </c>
      <c r="BC335">
        <f t="shared" si="373"/>
        <v>0</v>
      </c>
      <c r="BD335">
        <f t="shared" si="374"/>
        <v>1</v>
      </c>
      <c r="BE335">
        <f t="shared" si="375"/>
        <v>0</v>
      </c>
      <c r="BF335">
        <f t="shared" si="376"/>
        <v>0</v>
      </c>
      <c r="BG335" t="str" cm="1">
        <f t="array" ref="BG335">IF(BA335=1,INDEX($X$7:$AN$7,MATCH(TRUE,INDEX($X335:$AY335&lt;&gt;0,),0)),IF(BA335=0,INDEX($AO$7:$AY$7,MATCH(1,$AO335:$AY335,0)),IF(BH335="Multiple strategies","mixed drivers",IF(BH335="Supply chain","multiple supply","multiple silviculture"))))</f>
        <v>technologies/design switch</v>
      </c>
      <c r="BH335" s="2" t="str" cm="1">
        <f t="array" ref="BH335">IF(COUNTIF(BB335:BD335,"&lt;&gt;0")=1,INDEX($X$4:$AY$4,MATCH(TRUE,INDEX($X335:$AY335&lt;&gt;0,),0)),IF(COUNTIF(BB335:BD335,"&lt;&gt;0")=0,INDEX($AO$4:$AY$4,MATCH(1,$AO335:$AY335,0)),"Multiple strategies"))</f>
        <v>Technology</v>
      </c>
      <c r="BO335" t="str">
        <f t="shared" si="389"/>
        <v/>
      </c>
      <c r="BR335" t="s">
        <v>395</v>
      </c>
      <c r="BS335" t="s">
        <v>3731</v>
      </c>
      <c r="BT335" t="s">
        <v>3732</v>
      </c>
      <c r="BU335">
        <v>671.9</v>
      </c>
      <c r="BV335">
        <v>582.1</v>
      </c>
      <c r="BW335" s="144">
        <f t="shared" si="390"/>
        <v>0.86634915910105681</v>
      </c>
      <c r="BX335">
        <f t="shared" si="391"/>
        <v>-89.799999999999955</v>
      </c>
      <c r="CA335" t="str">
        <f t="shared" si="352"/>
        <v/>
      </c>
      <c r="CB335">
        <v>0</v>
      </c>
      <c r="CC335">
        <v>0</v>
      </c>
      <c r="CD335">
        <v>0</v>
      </c>
      <c r="CE335">
        <v>0</v>
      </c>
      <c r="CF335">
        <v>0</v>
      </c>
      <c r="CG335">
        <v>0</v>
      </c>
      <c r="CH335">
        <v>0</v>
      </c>
      <c r="CI335">
        <v>0</v>
      </c>
      <c r="CJ335">
        <v>0</v>
      </c>
      <c r="CK335">
        <v>0</v>
      </c>
      <c r="CL335">
        <v>0</v>
      </c>
      <c r="CM335">
        <v>0</v>
      </c>
      <c r="CN335">
        <v>0</v>
      </c>
      <c r="CO335">
        <v>0</v>
      </c>
      <c r="CP335" t="str">
        <f t="shared" si="377"/>
        <v>refOK</v>
      </c>
      <c r="CQ335"/>
      <c r="CR335"/>
      <c r="CS335"/>
      <c r="CT335">
        <f t="shared" si="353"/>
        <v>0</v>
      </c>
      <c r="CU335">
        <f t="shared" si="378"/>
        <v>-671.9</v>
      </c>
      <c r="CV335">
        <f t="shared" si="366"/>
        <v>-582.1</v>
      </c>
      <c r="CW335">
        <f t="shared" si="379"/>
        <v>0</v>
      </c>
      <c r="CX335" t="str">
        <f t="shared" si="354"/>
        <v/>
      </c>
      <c r="CY335" t="str">
        <f t="shared" si="380"/>
        <v/>
      </c>
      <c r="CZ335" t="str">
        <f t="shared" si="355"/>
        <v/>
      </c>
      <c r="DA335" s="2">
        <f t="shared" si="381"/>
        <v>0.13365084089894322</v>
      </c>
      <c r="DB335" s="1" t="s">
        <v>263</v>
      </c>
      <c r="DC335" s="297" t="str">
        <f t="shared" ref="DC335:DC366" si="393">IF(OR($DB335="prd",$DB335="std",$DB335="cit"),"loc",IF(OR($DB335="eur",$DB335="reg",$DB335="coy"),"reg",$DB335))</f>
        <v>loc</v>
      </c>
      <c r="DD335" s="296" t="s">
        <v>3098</v>
      </c>
      <c r="DG335">
        <v>60</v>
      </c>
      <c r="DH335" t="str">
        <f t="shared" si="382"/>
        <v>31-70</v>
      </c>
      <c r="DI335">
        <v>0</v>
      </c>
      <c r="DJ335">
        <v>0</v>
      </c>
      <c r="DK335">
        <v>0</v>
      </c>
      <c r="DL335">
        <v>1</v>
      </c>
      <c r="DM335">
        <v>1</v>
      </c>
      <c r="DN335">
        <f t="shared" si="392"/>
        <v>1</v>
      </c>
      <c r="DO335" t="str">
        <f t="shared" si="383"/>
        <v>TimberInput</v>
      </c>
      <c r="DP335">
        <f t="shared" si="384"/>
        <v>0</v>
      </c>
      <c r="DQ335">
        <f t="shared" si="385"/>
        <v>0</v>
      </c>
      <c r="DR335">
        <f t="shared" si="386"/>
        <v>0</v>
      </c>
      <c r="DS335" t="str">
        <f t="shared" si="387"/>
        <v>Timber</v>
      </c>
      <c r="DT335">
        <v>1</v>
      </c>
      <c r="DU335">
        <v>0</v>
      </c>
      <c r="DV335">
        <v>0</v>
      </c>
      <c r="DW335">
        <v>0</v>
      </c>
      <c r="DX335">
        <v>0</v>
      </c>
      <c r="DY335">
        <f t="shared" si="367"/>
        <v>1</v>
      </c>
      <c r="DZ335" s="143" t="str">
        <f t="shared" ref="DZ335:DZ366" si="394">IF(DT335=1,"self-calculated DF",IF(DU335=1,"external DF used","explicit C balance"))</f>
        <v>self-calculated DF</v>
      </c>
      <c r="EA335">
        <v>0</v>
      </c>
      <c r="EB335">
        <v>0</v>
      </c>
      <c r="EC335">
        <v>0</v>
      </c>
      <c r="ED335">
        <v>0</v>
      </c>
      <c r="EE335">
        <v>0</v>
      </c>
      <c r="EF335" s="143">
        <v>0</v>
      </c>
      <c r="EG335">
        <v>0</v>
      </c>
      <c r="EH335">
        <v>1</v>
      </c>
      <c r="EI335">
        <v>1</v>
      </c>
      <c r="EJ335">
        <v>1</v>
      </c>
      <c r="EK335">
        <v>0</v>
      </c>
      <c r="EL335">
        <v>0</v>
      </c>
      <c r="EM335">
        <v>0</v>
      </c>
      <c r="EN335" s="2">
        <v>0</v>
      </c>
      <c r="EP335" t="str">
        <f t="shared" si="356"/>
        <v/>
      </c>
      <c r="EQ335" t="str">
        <f t="shared" si="368"/>
        <v/>
      </c>
      <c r="ER335" s="2" t="str">
        <f t="shared" si="357"/>
        <v>Technology approach</v>
      </c>
      <c r="ES335" t="str">
        <f t="shared" si="358"/>
        <v/>
      </c>
      <c r="ET335" t="str">
        <f t="shared" si="359"/>
        <v/>
      </c>
      <c r="EU335" t="str">
        <f t="shared" si="360"/>
        <v/>
      </c>
      <c r="EY335" t="b">
        <f>IF(ISNUMBER(BW335),IF(ABS(BW335-[1]QC_indicators!$B$2)&gt;3*[1]QC_indicators!$C$2,"C ratio",IF(ISNUMBER(CA335),IF(ABS(CA335-[1]QC_indicators!$B$1)&gt;3*[1]QC_indicators!$C$1,"DF","no"))),IF(ISNUMBER(CA335),IF(ABS(CA335-[1]QC_indicators!$B$1)&gt;3*[1]QC_indicators!$C$1,"DF","no")))</f>
        <v>0</v>
      </c>
      <c r="FA335" t="str">
        <f t="shared" si="361"/>
        <v/>
      </c>
    </row>
    <row r="336" spans="1:158" ht="15" hidden="1" customHeight="1">
      <c r="A336" s="1" t="s">
        <v>3720</v>
      </c>
      <c r="B336" t="s">
        <v>3721</v>
      </c>
      <c r="C336" t="s">
        <v>3722</v>
      </c>
      <c r="D336" t="s">
        <v>3723</v>
      </c>
      <c r="E336" t="s">
        <v>3724</v>
      </c>
      <c r="F336" t="s">
        <v>3725</v>
      </c>
      <c r="G336" t="s">
        <v>3726</v>
      </c>
      <c r="H336" t="s">
        <v>254</v>
      </c>
      <c r="I336">
        <v>2020</v>
      </c>
      <c r="J336">
        <v>2</v>
      </c>
      <c r="K336" t="s">
        <v>3727</v>
      </c>
      <c r="M336" t="str">
        <f t="shared" si="388"/>
        <v>Rempelos_2020</v>
      </c>
      <c r="N336" s="297" t="s">
        <v>4058</v>
      </c>
      <c r="O336" s="171" t="s">
        <v>341</v>
      </c>
      <c r="P336" t="s">
        <v>225</v>
      </c>
      <c r="Q336" s="297" t="s">
        <v>389</v>
      </c>
      <c r="R336" s="298"/>
      <c r="S336" s="1" t="s">
        <v>3733</v>
      </c>
      <c r="T336" t="s">
        <v>3729</v>
      </c>
      <c r="U336" t="s">
        <v>3730</v>
      </c>
      <c r="X336">
        <v>0</v>
      </c>
      <c r="Y336">
        <v>0</v>
      </c>
      <c r="Z336">
        <v>0</v>
      </c>
      <c r="AA336">
        <v>0</v>
      </c>
      <c r="AB336">
        <v>0</v>
      </c>
      <c r="AC336">
        <v>0</v>
      </c>
      <c r="AD336">
        <v>0</v>
      </c>
      <c r="AE336">
        <v>0</v>
      </c>
      <c r="AF336">
        <v>0</v>
      </c>
      <c r="AG336">
        <v>0</v>
      </c>
      <c r="AH336">
        <v>0</v>
      </c>
      <c r="AI336">
        <v>0</v>
      </c>
      <c r="AJ336">
        <v>0</v>
      </c>
      <c r="AK336">
        <v>0</v>
      </c>
      <c r="AL336">
        <v>0</v>
      </c>
      <c r="AM336">
        <v>1</v>
      </c>
      <c r="AN336">
        <v>0</v>
      </c>
      <c r="AO336">
        <v>0</v>
      </c>
      <c r="AP336">
        <v>0</v>
      </c>
      <c r="AQ336">
        <v>0</v>
      </c>
      <c r="AR336">
        <v>0</v>
      </c>
      <c r="AS336">
        <v>0</v>
      </c>
      <c r="AT336">
        <v>0</v>
      </c>
      <c r="AU336">
        <v>0</v>
      </c>
      <c r="AV336">
        <v>0</v>
      </c>
      <c r="AW336">
        <v>0</v>
      </c>
      <c r="AX336">
        <v>0</v>
      </c>
      <c r="AY336">
        <v>0</v>
      </c>
      <c r="AZ336" s="141">
        <f t="shared" si="370"/>
        <v>1</v>
      </c>
      <c r="BA336" s="141">
        <f t="shared" si="371"/>
        <v>1</v>
      </c>
      <c r="BB336">
        <f t="shared" si="372"/>
        <v>0</v>
      </c>
      <c r="BC336">
        <f t="shared" si="373"/>
        <v>0</v>
      </c>
      <c r="BD336">
        <f t="shared" si="374"/>
        <v>1</v>
      </c>
      <c r="BE336">
        <f t="shared" si="375"/>
        <v>0</v>
      </c>
      <c r="BF336">
        <f t="shared" si="376"/>
        <v>0</v>
      </c>
      <c r="BG336" t="str" cm="1">
        <f t="array" ref="BG336">IF(BA336=1,INDEX($X$7:$AN$7,MATCH(TRUE,INDEX($X336:$AY336&lt;&gt;0,),0)),IF(BA336=0,INDEX($AO$7:$AY$7,MATCH(1,$AO336:$AY336,0)),IF(BH336="Multiple strategies","mixed drivers",IF(BH336="Supply chain","multiple supply","multiple silviculture"))))</f>
        <v>technologies/design switch</v>
      </c>
      <c r="BH336" s="2" t="str" cm="1">
        <f t="array" ref="BH336">IF(COUNTIF(BB336:BD336,"&lt;&gt;0")=1,INDEX($X$4:$AY$4,MATCH(TRUE,INDEX($X336:$AY336&lt;&gt;0,),0)),IF(COUNTIF(BB336:BD336,"&lt;&gt;0")=0,INDEX($AO$4:$AY$4,MATCH(1,$AO336:$AY336,0)),"Multiple strategies"))</f>
        <v>Technology</v>
      </c>
      <c r="BO336" t="str">
        <f t="shared" si="389"/>
        <v/>
      </c>
      <c r="BR336" t="s">
        <v>395</v>
      </c>
      <c r="BS336" t="s">
        <v>3731</v>
      </c>
      <c r="BT336" t="s">
        <v>3732</v>
      </c>
      <c r="BU336">
        <v>671.9</v>
      </c>
      <c r="BV336">
        <v>490.9</v>
      </c>
      <c r="BW336" s="144">
        <f t="shared" si="390"/>
        <v>0.73061467480279807</v>
      </c>
      <c r="BX336">
        <f t="shared" si="391"/>
        <v>-181</v>
      </c>
      <c r="CA336" t="str">
        <f t="shared" si="352"/>
        <v/>
      </c>
      <c r="CB336">
        <v>0</v>
      </c>
      <c r="CC336">
        <v>0</v>
      </c>
      <c r="CD336">
        <v>0</v>
      </c>
      <c r="CE336">
        <v>0</v>
      </c>
      <c r="CF336">
        <v>0</v>
      </c>
      <c r="CG336">
        <v>0</v>
      </c>
      <c r="CH336">
        <v>0</v>
      </c>
      <c r="CI336">
        <v>0</v>
      </c>
      <c r="CJ336">
        <v>0</v>
      </c>
      <c r="CK336">
        <v>0</v>
      </c>
      <c r="CL336">
        <v>0</v>
      </c>
      <c r="CM336">
        <v>0</v>
      </c>
      <c r="CN336">
        <v>0</v>
      </c>
      <c r="CO336">
        <v>0</v>
      </c>
      <c r="CP336" t="str">
        <f t="shared" si="377"/>
        <v>refOK</v>
      </c>
      <c r="CQ336"/>
      <c r="CR336"/>
      <c r="CS336"/>
      <c r="CT336">
        <f t="shared" si="353"/>
        <v>0</v>
      </c>
      <c r="CU336">
        <f t="shared" si="378"/>
        <v>-671.9</v>
      </c>
      <c r="CV336">
        <f t="shared" si="366"/>
        <v>-490.9</v>
      </c>
      <c r="CW336">
        <f t="shared" si="379"/>
        <v>0</v>
      </c>
      <c r="CX336" t="str">
        <f t="shared" si="354"/>
        <v/>
      </c>
      <c r="CY336" t="str">
        <f t="shared" si="380"/>
        <v/>
      </c>
      <c r="CZ336" t="str">
        <f t="shared" si="355"/>
        <v/>
      </c>
      <c r="DA336" s="2">
        <f t="shared" si="381"/>
        <v>0.26938532519720199</v>
      </c>
      <c r="DB336" s="1" t="s">
        <v>263</v>
      </c>
      <c r="DC336" s="297" t="str">
        <f t="shared" si="393"/>
        <v>loc</v>
      </c>
      <c r="DD336" s="296" t="s">
        <v>3098</v>
      </c>
      <c r="DG336">
        <v>60</v>
      </c>
      <c r="DH336" t="str">
        <f t="shared" si="382"/>
        <v>31-70</v>
      </c>
      <c r="DI336">
        <v>0</v>
      </c>
      <c r="DJ336">
        <v>0</v>
      </c>
      <c r="DK336">
        <v>0</v>
      </c>
      <c r="DL336">
        <v>1</v>
      </c>
      <c r="DM336">
        <v>1</v>
      </c>
      <c r="DN336">
        <f t="shared" si="392"/>
        <v>1</v>
      </c>
      <c r="DO336" t="str">
        <f t="shared" si="383"/>
        <v>TimberInput</v>
      </c>
      <c r="DP336">
        <f t="shared" si="384"/>
        <v>0</v>
      </c>
      <c r="DQ336">
        <f t="shared" si="385"/>
        <v>0</v>
      </c>
      <c r="DR336">
        <f t="shared" si="386"/>
        <v>0</v>
      </c>
      <c r="DS336" t="str">
        <f t="shared" si="387"/>
        <v>Timber</v>
      </c>
      <c r="DT336">
        <v>1</v>
      </c>
      <c r="DU336">
        <v>0</v>
      </c>
      <c r="DV336">
        <v>0</v>
      </c>
      <c r="DW336">
        <v>0</v>
      </c>
      <c r="DX336">
        <v>0</v>
      </c>
      <c r="DY336">
        <f t="shared" si="367"/>
        <v>1</v>
      </c>
      <c r="DZ336" s="143" t="str">
        <f t="shared" si="394"/>
        <v>self-calculated DF</v>
      </c>
      <c r="EA336">
        <v>0</v>
      </c>
      <c r="EB336">
        <v>0</v>
      </c>
      <c r="EC336">
        <v>0</v>
      </c>
      <c r="ED336">
        <v>0</v>
      </c>
      <c r="EE336">
        <v>0</v>
      </c>
      <c r="EF336" s="143">
        <v>0</v>
      </c>
      <c r="EG336">
        <v>0</v>
      </c>
      <c r="EH336">
        <v>1</v>
      </c>
      <c r="EI336">
        <v>1</v>
      </c>
      <c r="EJ336">
        <v>1</v>
      </c>
      <c r="EK336">
        <v>0</v>
      </c>
      <c r="EL336">
        <v>0</v>
      </c>
      <c r="EM336">
        <v>0</v>
      </c>
      <c r="EN336" s="2">
        <v>0</v>
      </c>
      <c r="EP336" t="str">
        <f t="shared" si="356"/>
        <v/>
      </c>
      <c r="EQ336" t="str">
        <f t="shared" si="368"/>
        <v/>
      </c>
      <c r="ER336" s="2" t="str">
        <f t="shared" si="357"/>
        <v>Technology approach</v>
      </c>
      <c r="ES336" t="str">
        <f t="shared" si="358"/>
        <v/>
      </c>
      <c r="ET336" t="str">
        <f t="shared" si="359"/>
        <v/>
      </c>
      <c r="EU336" t="str">
        <f t="shared" si="360"/>
        <v/>
      </c>
      <c r="EY336" t="b">
        <f>IF(ISNUMBER(BW336),IF(ABS(BW336-[1]QC_indicators!$B$2)&gt;3*[1]QC_indicators!$C$2,"C ratio",IF(ISNUMBER(CA336),IF(ABS(CA336-[1]QC_indicators!$B$1)&gt;3*[1]QC_indicators!$C$1,"DF","no"))),IF(ISNUMBER(CA336),IF(ABS(CA336-[1]QC_indicators!$B$1)&gt;3*[1]QC_indicators!$C$1,"DF","no")))</f>
        <v>0</v>
      </c>
      <c r="FA336" t="str">
        <f t="shared" si="361"/>
        <v/>
      </c>
    </row>
    <row r="337" spans="1:161" ht="15" hidden="1" customHeight="1">
      <c r="A337" s="1" t="s">
        <v>3720</v>
      </c>
      <c r="B337" t="s">
        <v>3721</v>
      </c>
      <c r="C337" t="s">
        <v>3722</v>
      </c>
      <c r="D337" t="s">
        <v>3723</v>
      </c>
      <c r="E337" t="s">
        <v>3724</v>
      </c>
      <c r="F337" t="s">
        <v>3725</v>
      </c>
      <c r="G337" t="s">
        <v>3726</v>
      </c>
      <c r="H337" t="s">
        <v>254</v>
      </c>
      <c r="I337">
        <v>2020</v>
      </c>
      <c r="J337">
        <v>2</v>
      </c>
      <c r="K337" t="s">
        <v>3727</v>
      </c>
      <c r="M337" t="str">
        <f t="shared" si="388"/>
        <v>Rempelos_2020</v>
      </c>
      <c r="N337" s="297" t="s">
        <v>4058</v>
      </c>
      <c r="O337" s="171" t="s">
        <v>341</v>
      </c>
      <c r="P337" t="s">
        <v>225</v>
      </c>
      <c r="Q337" s="297" t="s">
        <v>389</v>
      </c>
      <c r="R337" s="298"/>
      <c r="S337" s="1" t="s">
        <v>3728</v>
      </c>
      <c r="T337" t="s">
        <v>3729</v>
      </c>
      <c r="U337" t="s">
        <v>3730</v>
      </c>
      <c r="X337">
        <v>0</v>
      </c>
      <c r="Y337">
        <v>0</v>
      </c>
      <c r="Z337">
        <v>0</v>
      </c>
      <c r="AA337">
        <v>0</v>
      </c>
      <c r="AB337">
        <v>0</v>
      </c>
      <c r="AC337">
        <v>0</v>
      </c>
      <c r="AD337">
        <v>0</v>
      </c>
      <c r="AE337">
        <v>0</v>
      </c>
      <c r="AF337">
        <v>0</v>
      </c>
      <c r="AG337">
        <v>0</v>
      </c>
      <c r="AH337">
        <v>0</v>
      </c>
      <c r="AI337">
        <v>0</v>
      </c>
      <c r="AJ337">
        <v>0</v>
      </c>
      <c r="AK337">
        <v>0</v>
      </c>
      <c r="AL337">
        <v>0</v>
      </c>
      <c r="AM337">
        <v>1</v>
      </c>
      <c r="AN337">
        <v>0</v>
      </c>
      <c r="AO337">
        <v>0</v>
      </c>
      <c r="AP337">
        <v>0</v>
      </c>
      <c r="AQ337">
        <v>0</v>
      </c>
      <c r="AR337">
        <v>0</v>
      </c>
      <c r="AS337">
        <v>0</v>
      </c>
      <c r="AT337">
        <v>0</v>
      </c>
      <c r="AU337">
        <v>0</v>
      </c>
      <c r="AV337">
        <v>0</v>
      </c>
      <c r="AW337">
        <v>0</v>
      </c>
      <c r="AX337">
        <v>0</v>
      </c>
      <c r="AY337">
        <v>0</v>
      </c>
      <c r="AZ337" s="141">
        <f t="shared" si="370"/>
        <v>1</v>
      </c>
      <c r="BA337" s="141">
        <f t="shared" si="371"/>
        <v>1</v>
      </c>
      <c r="BB337">
        <f t="shared" si="372"/>
        <v>0</v>
      </c>
      <c r="BC337">
        <f t="shared" si="373"/>
        <v>0</v>
      </c>
      <c r="BD337">
        <f t="shared" si="374"/>
        <v>1</v>
      </c>
      <c r="BE337">
        <f t="shared" si="375"/>
        <v>0</v>
      </c>
      <c r="BF337">
        <f t="shared" si="376"/>
        <v>0</v>
      </c>
      <c r="BG337" t="str" cm="1">
        <f t="array" ref="BG337">IF(BA337=1,INDEX($X$7:$AN$7,MATCH(TRUE,INDEX($X337:$AY337&lt;&gt;0,),0)),IF(BA337=0,INDEX($AO$7:$AY$7,MATCH(1,$AO337:$AY337,0)),IF(BH337="Multiple strategies","mixed drivers",IF(BH337="Supply chain","multiple supply","multiple silviculture"))))</f>
        <v>technologies/design switch</v>
      </c>
      <c r="BH337" s="2" t="str" cm="1">
        <f t="array" ref="BH337">IF(COUNTIF(BB337:BD337,"&lt;&gt;0")=1,INDEX($X$4:$AY$4,MATCH(TRUE,INDEX($X337:$AY337&lt;&gt;0,),0)),IF(COUNTIF(BB337:BD337,"&lt;&gt;0")=0,INDEX($AO$4:$AY$4,MATCH(1,$AO337:$AY337,0)),"Multiple strategies"))</f>
        <v>Technology</v>
      </c>
      <c r="BO337" t="str">
        <f t="shared" si="389"/>
        <v/>
      </c>
      <c r="BR337" t="s">
        <v>395</v>
      </c>
      <c r="BS337" t="s">
        <v>3731</v>
      </c>
      <c r="BT337" t="s">
        <v>3732</v>
      </c>
      <c r="BU337">
        <v>335.9</v>
      </c>
      <c r="BV337">
        <v>226.4</v>
      </c>
      <c r="BW337" s="144">
        <f t="shared" si="390"/>
        <v>0.674010122060137</v>
      </c>
      <c r="BX337">
        <f t="shared" si="391"/>
        <v>-109.49999999999997</v>
      </c>
      <c r="CA337" t="str">
        <f t="shared" si="352"/>
        <v/>
      </c>
      <c r="CB337">
        <v>0</v>
      </c>
      <c r="CC337">
        <v>0</v>
      </c>
      <c r="CD337">
        <v>0</v>
      </c>
      <c r="CE337">
        <v>0</v>
      </c>
      <c r="CF337">
        <v>0</v>
      </c>
      <c r="CG337">
        <v>0</v>
      </c>
      <c r="CH337">
        <v>0</v>
      </c>
      <c r="CI337">
        <v>0</v>
      </c>
      <c r="CJ337">
        <v>0</v>
      </c>
      <c r="CK337">
        <v>0</v>
      </c>
      <c r="CL337">
        <v>0</v>
      </c>
      <c r="CM337">
        <v>0</v>
      </c>
      <c r="CN337">
        <v>0</v>
      </c>
      <c r="CO337">
        <v>0</v>
      </c>
      <c r="CP337" t="str">
        <f t="shared" si="377"/>
        <v>refOK</v>
      </c>
      <c r="CQ337"/>
      <c r="CR337"/>
      <c r="CS337"/>
      <c r="CT337">
        <f t="shared" si="353"/>
        <v>0</v>
      </c>
      <c r="CU337">
        <f t="shared" si="378"/>
        <v>-335.9</v>
      </c>
      <c r="CV337">
        <f t="shared" si="366"/>
        <v>-226.4</v>
      </c>
      <c r="CW337">
        <f t="shared" si="379"/>
        <v>0</v>
      </c>
      <c r="CX337" t="str">
        <f t="shared" si="354"/>
        <v/>
      </c>
      <c r="CY337" t="str">
        <f t="shared" si="380"/>
        <v/>
      </c>
      <c r="CZ337" t="str">
        <f t="shared" si="355"/>
        <v/>
      </c>
      <c r="DA337" s="2">
        <f t="shared" si="381"/>
        <v>0.325989877939863</v>
      </c>
      <c r="DB337" s="1" t="s">
        <v>263</v>
      </c>
      <c r="DC337" s="297" t="str">
        <f t="shared" si="393"/>
        <v>loc</v>
      </c>
      <c r="DD337" s="296" t="s">
        <v>3098</v>
      </c>
      <c r="DG337">
        <v>60</v>
      </c>
      <c r="DH337" t="str">
        <f t="shared" si="382"/>
        <v>31-70</v>
      </c>
      <c r="DI337">
        <v>0</v>
      </c>
      <c r="DJ337">
        <v>0</v>
      </c>
      <c r="DK337">
        <v>0</v>
      </c>
      <c r="DL337">
        <v>1</v>
      </c>
      <c r="DM337">
        <v>1</v>
      </c>
      <c r="DN337">
        <f t="shared" si="392"/>
        <v>1</v>
      </c>
      <c r="DO337" t="str">
        <f t="shared" si="383"/>
        <v>TimberInput</v>
      </c>
      <c r="DP337">
        <f t="shared" si="384"/>
        <v>0</v>
      </c>
      <c r="DQ337">
        <f t="shared" si="385"/>
        <v>0</v>
      </c>
      <c r="DR337">
        <f t="shared" si="386"/>
        <v>0</v>
      </c>
      <c r="DS337" t="str">
        <f t="shared" si="387"/>
        <v>Timber</v>
      </c>
      <c r="DT337">
        <v>1</v>
      </c>
      <c r="DU337">
        <v>0</v>
      </c>
      <c r="DV337">
        <v>0</v>
      </c>
      <c r="DW337">
        <v>0</v>
      </c>
      <c r="DX337">
        <v>0</v>
      </c>
      <c r="DY337">
        <f t="shared" si="367"/>
        <v>1</v>
      </c>
      <c r="DZ337" s="143" t="str">
        <f t="shared" si="394"/>
        <v>self-calculated DF</v>
      </c>
      <c r="EA337">
        <v>0</v>
      </c>
      <c r="EB337">
        <v>0</v>
      </c>
      <c r="EC337">
        <v>0</v>
      </c>
      <c r="ED337">
        <v>0</v>
      </c>
      <c r="EE337">
        <v>0</v>
      </c>
      <c r="EF337" s="143">
        <v>0</v>
      </c>
      <c r="EG337">
        <v>0</v>
      </c>
      <c r="EH337">
        <v>1</v>
      </c>
      <c r="EI337">
        <v>1</v>
      </c>
      <c r="EJ337">
        <v>1</v>
      </c>
      <c r="EK337">
        <v>0</v>
      </c>
      <c r="EL337">
        <v>0</v>
      </c>
      <c r="EM337">
        <v>0</v>
      </c>
      <c r="EN337" s="2">
        <v>0</v>
      </c>
      <c r="EP337" t="str">
        <f t="shared" si="356"/>
        <v/>
      </c>
      <c r="EQ337" t="str">
        <f t="shared" si="368"/>
        <v/>
      </c>
      <c r="ER337" s="2" t="str">
        <f t="shared" si="357"/>
        <v>Technology approach</v>
      </c>
      <c r="ES337" t="str">
        <f t="shared" si="358"/>
        <v/>
      </c>
      <c r="ET337" t="str">
        <f t="shared" si="359"/>
        <v/>
      </c>
      <c r="EU337" t="str">
        <f t="shared" si="360"/>
        <v/>
      </c>
      <c r="EY337" t="b">
        <f>IF(ISNUMBER(BW337),IF(ABS(BW337-[1]QC_indicators!$B$2)&gt;3*[1]QC_indicators!$C$2,"C ratio",IF(ISNUMBER(CA337),IF(ABS(CA337-[1]QC_indicators!$B$1)&gt;3*[1]QC_indicators!$C$1,"DF","no"))),IF(ISNUMBER(CA337),IF(ABS(CA337-[1]QC_indicators!$B$1)&gt;3*[1]QC_indicators!$C$1,"DF","no")))</f>
        <v>0</v>
      </c>
      <c r="FA337" t="str">
        <f t="shared" si="361"/>
        <v/>
      </c>
    </row>
    <row r="338" spans="1:161" hidden="1">
      <c r="A338" s="1" t="s">
        <v>3720</v>
      </c>
      <c r="B338" t="s">
        <v>3721</v>
      </c>
      <c r="C338" t="s">
        <v>3722</v>
      </c>
      <c r="D338" t="s">
        <v>3723</v>
      </c>
      <c r="E338" t="s">
        <v>3724</v>
      </c>
      <c r="F338" t="s">
        <v>3725</v>
      </c>
      <c r="G338" t="s">
        <v>3726</v>
      </c>
      <c r="H338" t="s">
        <v>254</v>
      </c>
      <c r="I338">
        <v>2020</v>
      </c>
      <c r="J338">
        <v>2</v>
      </c>
      <c r="K338" t="s">
        <v>3727</v>
      </c>
      <c r="M338" t="str">
        <f t="shared" si="388"/>
        <v>Rempelos_2020</v>
      </c>
      <c r="N338" s="297" t="s">
        <v>4058</v>
      </c>
      <c r="O338" s="171" t="s">
        <v>341</v>
      </c>
      <c r="P338" t="s">
        <v>225</v>
      </c>
      <c r="Q338" s="297" t="s">
        <v>389</v>
      </c>
      <c r="R338" s="298"/>
      <c r="S338" s="1" t="s">
        <v>3728</v>
      </c>
      <c r="T338" t="s">
        <v>258</v>
      </c>
      <c r="U338" t="s">
        <v>3734</v>
      </c>
      <c r="X338">
        <v>0</v>
      </c>
      <c r="Y338">
        <v>0</v>
      </c>
      <c r="Z338">
        <v>0</v>
      </c>
      <c r="AA338">
        <v>0</v>
      </c>
      <c r="AB338">
        <v>0</v>
      </c>
      <c r="AC338">
        <v>0</v>
      </c>
      <c r="AD338">
        <v>0</v>
      </c>
      <c r="AE338">
        <v>0</v>
      </c>
      <c r="AF338">
        <v>0</v>
      </c>
      <c r="AG338">
        <v>0</v>
      </c>
      <c r="AH338">
        <v>0</v>
      </c>
      <c r="AI338">
        <v>0</v>
      </c>
      <c r="AJ338">
        <v>0</v>
      </c>
      <c r="AK338">
        <v>0</v>
      </c>
      <c r="AL338">
        <v>0</v>
      </c>
      <c r="AM338">
        <v>1</v>
      </c>
      <c r="AN338">
        <v>0</v>
      </c>
      <c r="AO338">
        <v>0</v>
      </c>
      <c r="AP338">
        <v>0</v>
      </c>
      <c r="AQ338">
        <v>0</v>
      </c>
      <c r="AR338">
        <v>0</v>
      </c>
      <c r="AS338">
        <v>0</v>
      </c>
      <c r="AT338">
        <v>0</v>
      </c>
      <c r="AU338">
        <v>0</v>
      </c>
      <c r="AV338">
        <v>0</v>
      </c>
      <c r="AW338">
        <v>0</v>
      </c>
      <c r="AX338">
        <v>0</v>
      </c>
      <c r="AY338">
        <v>0</v>
      </c>
      <c r="AZ338" s="141">
        <f t="shared" si="370"/>
        <v>1</v>
      </c>
      <c r="BA338" s="141">
        <f t="shared" si="371"/>
        <v>1</v>
      </c>
      <c r="BB338">
        <f t="shared" si="372"/>
        <v>0</v>
      </c>
      <c r="BC338">
        <f t="shared" si="373"/>
        <v>0</v>
      </c>
      <c r="BD338">
        <f t="shared" si="374"/>
        <v>1</v>
      </c>
      <c r="BE338">
        <f t="shared" si="375"/>
        <v>0</v>
      </c>
      <c r="BF338">
        <f t="shared" si="376"/>
        <v>0</v>
      </c>
      <c r="BG338" t="str" cm="1">
        <f t="array" ref="BG338">IF(BA338=1,INDEX($X$7:$AN$7,MATCH(TRUE,INDEX($X338:$AY338&lt;&gt;0,),0)),IF(BA338=0,INDEX($AO$7:$AY$7,MATCH(1,$AO338:$AY338,0)),IF(BH338="Multiple strategies","mixed drivers",IF(BH338="Supply chain","multiple supply","multiple silviculture"))))</f>
        <v>technologies/design switch</v>
      </c>
      <c r="BH338" s="2" t="str" cm="1">
        <f t="array" ref="BH338">IF(COUNTIF(BB338:BD338,"&lt;&gt;0")=1,INDEX($X$4:$AY$4,MATCH(TRUE,INDEX($X338:$AY338&lt;&gt;0,),0)),IF(COUNTIF(BB338:BD338,"&lt;&gt;0")=0,INDEX($AO$4:$AY$4,MATCH(1,$AO338:$AY338,0)),"Multiple strategies"))</f>
        <v>Technology</v>
      </c>
      <c r="BO338" t="str">
        <f t="shared" si="389"/>
        <v/>
      </c>
      <c r="BR338" t="s">
        <v>395</v>
      </c>
      <c r="BS338" t="s">
        <v>3731</v>
      </c>
      <c r="BT338" t="s">
        <v>3732</v>
      </c>
      <c r="BU338">
        <v>239.6</v>
      </c>
      <c r="BV338">
        <v>143</v>
      </c>
      <c r="BW338" s="144">
        <f t="shared" si="390"/>
        <v>0.59682804674457435</v>
      </c>
      <c r="BX338">
        <f t="shared" si="391"/>
        <v>-96.6</v>
      </c>
      <c r="CA338" t="str">
        <f t="shared" si="352"/>
        <v/>
      </c>
      <c r="CB338">
        <v>0</v>
      </c>
      <c r="CC338">
        <v>0</v>
      </c>
      <c r="CD338">
        <v>0</v>
      </c>
      <c r="CE338">
        <v>0</v>
      </c>
      <c r="CF338">
        <v>0</v>
      </c>
      <c r="CG338">
        <v>0</v>
      </c>
      <c r="CH338">
        <v>0</v>
      </c>
      <c r="CI338">
        <v>0</v>
      </c>
      <c r="CJ338">
        <v>0</v>
      </c>
      <c r="CK338">
        <v>0</v>
      </c>
      <c r="CL338">
        <v>0</v>
      </c>
      <c r="CM338">
        <v>0</v>
      </c>
      <c r="CN338">
        <v>0</v>
      </c>
      <c r="CO338">
        <v>0</v>
      </c>
      <c r="CP338" t="str">
        <f t="shared" si="377"/>
        <v>refOK</v>
      </c>
      <c r="CQ338"/>
      <c r="CR338"/>
      <c r="CS338"/>
      <c r="CT338">
        <f t="shared" si="353"/>
        <v>0</v>
      </c>
      <c r="CU338">
        <f t="shared" si="378"/>
        <v>-239.6</v>
      </c>
      <c r="CV338">
        <f t="shared" si="366"/>
        <v>-143</v>
      </c>
      <c r="CW338">
        <f t="shared" si="379"/>
        <v>0</v>
      </c>
      <c r="CX338" t="str">
        <f t="shared" si="354"/>
        <v/>
      </c>
      <c r="CY338" t="str">
        <f t="shared" si="380"/>
        <v/>
      </c>
      <c r="CZ338" t="str">
        <f t="shared" si="355"/>
        <v/>
      </c>
      <c r="DA338" s="2">
        <f t="shared" si="381"/>
        <v>0.40317195325542571</v>
      </c>
      <c r="DB338" s="1" t="s">
        <v>263</v>
      </c>
      <c r="DC338" s="297" t="str">
        <f t="shared" si="393"/>
        <v>loc</v>
      </c>
      <c r="DD338" s="296" t="s">
        <v>3098</v>
      </c>
      <c r="DG338">
        <v>60</v>
      </c>
      <c r="DH338" t="str">
        <f t="shared" si="382"/>
        <v>31-70</v>
      </c>
      <c r="DI338">
        <v>0</v>
      </c>
      <c r="DJ338">
        <v>0</v>
      </c>
      <c r="DK338">
        <v>0</v>
      </c>
      <c r="DL338">
        <v>1</v>
      </c>
      <c r="DM338">
        <v>1</v>
      </c>
      <c r="DN338">
        <f t="shared" si="392"/>
        <v>1</v>
      </c>
      <c r="DO338" t="str">
        <f t="shared" si="383"/>
        <v>TimberInput</v>
      </c>
      <c r="DP338">
        <f t="shared" si="384"/>
        <v>0</v>
      </c>
      <c r="DQ338">
        <f t="shared" si="385"/>
        <v>0</v>
      </c>
      <c r="DR338">
        <f t="shared" si="386"/>
        <v>0</v>
      </c>
      <c r="DS338" t="str">
        <f t="shared" si="387"/>
        <v>Timber</v>
      </c>
      <c r="DT338">
        <v>1</v>
      </c>
      <c r="DU338">
        <v>0</v>
      </c>
      <c r="DV338">
        <v>0</v>
      </c>
      <c r="DW338">
        <v>0</v>
      </c>
      <c r="DX338">
        <v>0</v>
      </c>
      <c r="DY338">
        <f t="shared" si="367"/>
        <v>1</v>
      </c>
      <c r="DZ338" s="143" t="str">
        <f t="shared" si="394"/>
        <v>self-calculated DF</v>
      </c>
      <c r="EA338">
        <v>0</v>
      </c>
      <c r="EB338">
        <v>0</v>
      </c>
      <c r="EC338">
        <v>0</v>
      </c>
      <c r="ED338">
        <v>0</v>
      </c>
      <c r="EE338">
        <v>0</v>
      </c>
      <c r="EF338" s="143">
        <v>0</v>
      </c>
      <c r="EG338">
        <v>0</v>
      </c>
      <c r="EH338">
        <v>1</v>
      </c>
      <c r="EI338">
        <v>1</v>
      </c>
      <c r="EJ338">
        <v>1</v>
      </c>
      <c r="EK338">
        <v>0</v>
      </c>
      <c r="EL338">
        <v>0</v>
      </c>
      <c r="EM338">
        <v>0</v>
      </c>
      <c r="EN338" s="2">
        <v>0</v>
      </c>
      <c r="EP338" t="str">
        <f t="shared" si="356"/>
        <v/>
      </c>
      <c r="EQ338" t="str">
        <f t="shared" si="368"/>
        <v/>
      </c>
      <c r="ER338" s="2" t="str">
        <f t="shared" si="357"/>
        <v>Technology approach</v>
      </c>
      <c r="ES338" t="str">
        <f t="shared" si="358"/>
        <v/>
      </c>
      <c r="ET338" t="str">
        <f t="shared" si="359"/>
        <v/>
      </c>
      <c r="EU338" t="str">
        <f t="shared" si="360"/>
        <v/>
      </c>
      <c r="EY338" t="b">
        <f>IF(ISNUMBER(BW338),IF(ABS(BW338-[1]QC_indicators!$B$2)&gt;3*[1]QC_indicators!$C$2,"C ratio",IF(ISNUMBER(CA338),IF(ABS(CA338-[1]QC_indicators!$B$1)&gt;3*[1]QC_indicators!$C$1,"DF","no"))),IF(ISNUMBER(CA338),IF(ABS(CA338-[1]QC_indicators!$B$1)&gt;3*[1]QC_indicators!$C$1,"DF","no")))</f>
        <v>0</v>
      </c>
      <c r="FA338" t="str">
        <f t="shared" si="361"/>
        <v/>
      </c>
    </row>
    <row r="339" spans="1:161" ht="15" hidden="1" customHeight="1">
      <c r="A339" s="1" t="s">
        <v>3720</v>
      </c>
      <c r="B339" t="s">
        <v>3721</v>
      </c>
      <c r="C339" t="s">
        <v>3722</v>
      </c>
      <c r="D339" t="s">
        <v>3723</v>
      </c>
      <c r="E339" t="s">
        <v>3724</v>
      </c>
      <c r="F339" t="s">
        <v>3725</v>
      </c>
      <c r="G339" t="s">
        <v>3726</v>
      </c>
      <c r="H339" t="s">
        <v>254</v>
      </c>
      <c r="I339">
        <v>2020</v>
      </c>
      <c r="J339">
        <v>2</v>
      </c>
      <c r="K339" t="s">
        <v>3727</v>
      </c>
      <c r="M339" t="str">
        <f t="shared" si="388"/>
        <v>Rempelos_2020</v>
      </c>
      <c r="N339" s="297" t="s">
        <v>4058</v>
      </c>
      <c r="O339" s="171" t="s">
        <v>341</v>
      </c>
      <c r="P339" t="s">
        <v>225</v>
      </c>
      <c r="Q339" s="297" t="s">
        <v>389</v>
      </c>
      <c r="R339" s="298"/>
      <c r="S339" s="1" t="s">
        <v>3728</v>
      </c>
      <c r="T339" t="s">
        <v>775</v>
      </c>
      <c r="U339" t="s">
        <v>3734</v>
      </c>
      <c r="X339">
        <v>0</v>
      </c>
      <c r="Y339">
        <v>0</v>
      </c>
      <c r="Z339">
        <v>0</v>
      </c>
      <c r="AA339">
        <v>0</v>
      </c>
      <c r="AB339">
        <v>0</v>
      </c>
      <c r="AC339">
        <v>0</v>
      </c>
      <c r="AD339">
        <v>0</v>
      </c>
      <c r="AE339">
        <v>0</v>
      </c>
      <c r="AF339">
        <v>0</v>
      </c>
      <c r="AG339">
        <v>0</v>
      </c>
      <c r="AH339">
        <v>0</v>
      </c>
      <c r="AI339">
        <v>0</v>
      </c>
      <c r="AJ339">
        <v>0</v>
      </c>
      <c r="AK339">
        <v>0</v>
      </c>
      <c r="AL339">
        <v>0</v>
      </c>
      <c r="AM339">
        <v>1</v>
      </c>
      <c r="AN339">
        <v>0</v>
      </c>
      <c r="AO339">
        <v>0</v>
      </c>
      <c r="AP339">
        <v>0</v>
      </c>
      <c r="AQ339">
        <v>0</v>
      </c>
      <c r="AR339">
        <v>0</v>
      </c>
      <c r="AS339">
        <v>0</v>
      </c>
      <c r="AT339">
        <v>0</v>
      </c>
      <c r="AU339">
        <v>0</v>
      </c>
      <c r="AV339">
        <v>0</v>
      </c>
      <c r="AW339">
        <v>0</v>
      </c>
      <c r="AX339">
        <v>0</v>
      </c>
      <c r="AY339">
        <v>0</v>
      </c>
      <c r="AZ339" s="141">
        <f t="shared" si="370"/>
        <v>1</v>
      </c>
      <c r="BA339" s="141">
        <f t="shared" si="371"/>
        <v>1</v>
      </c>
      <c r="BB339">
        <f t="shared" si="372"/>
        <v>0</v>
      </c>
      <c r="BC339">
        <f t="shared" si="373"/>
        <v>0</v>
      </c>
      <c r="BD339">
        <f t="shared" si="374"/>
        <v>1</v>
      </c>
      <c r="BE339">
        <f t="shared" si="375"/>
        <v>0</v>
      </c>
      <c r="BF339">
        <f t="shared" si="376"/>
        <v>0</v>
      </c>
      <c r="BG339" t="str" cm="1">
        <f t="array" ref="BG339">IF(BA339=1,INDEX($X$7:$AN$7,MATCH(TRUE,INDEX($X339:$AY339&lt;&gt;0,),0)),IF(BA339=0,INDEX($AO$7:$AY$7,MATCH(1,$AO339:$AY339,0)),IF(BH339="Multiple strategies","mixed drivers",IF(BH339="Supply chain","multiple supply","multiple silviculture"))))</f>
        <v>technologies/design switch</v>
      </c>
      <c r="BH339" s="2" t="str" cm="1">
        <f t="array" ref="BH339">IF(COUNTIF(BB339:BD339,"&lt;&gt;0")=1,INDEX($X$4:$AY$4,MATCH(TRUE,INDEX($X339:$AY339&lt;&gt;0,),0)),IF(COUNTIF(BB339:BD339,"&lt;&gt;0")=0,INDEX($AO$4:$AY$4,MATCH(1,$AO339:$AY339,0)),"Multiple strategies"))</f>
        <v>Technology</v>
      </c>
      <c r="BO339" t="str">
        <f t="shared" si="389"/>
        <v/>
      </c>
      <c r="BR339" t="s">
        <v>395</v>
      </c>
      <c r="BS339" t="s">
        <v>3731</v>
      </c>
      <c r="BT339" t="s">
        <v>3732</v>
      </c>
      <c r="BU339">
        <v>335.9</v>
      </c>
      <c r="BV339">
        <v>143</v>
      </c>
      <c r="BW339" s="144">
        <f t="shared" si="390"/>
        <v>0.42572194105388511</v>
      </c>
      <c r="BX339">
        <f t="shared" si="391"/>
        <v>-192.89999999999998</v>
      </c>
      <c r="CA339" t="str">
        <f t="shared" si="352"/>
        <v/>
      </c>
      <c r="CB339">
        <v>0</v>
      </c>
      <c r="CC339">
        <v>0</v>
      </c>
      <c r="CD339">
        <v>0</v>
      </c>
      <c r="CE339">
        <v>0</v>
      </c>
      <c r="CF339">
        <v>0</v>
      </c>
      <c r="CG339">
        <v>0</v>
      </c>
      <c r="CH339">
        <v>0</v>
      </c>
      <c r="CI339">
        <v>0</v>
      </c>
      <c r="CJ339">
        <v>0</v>
      </c>
      <c r="CK339">
        <v>0</v>
      </c>
      <c r="CL339">
        <v>0</v>
      </c>
      <c r="CM339">
        <v>0</v>
      </c>
      <c r="CN339">
        <v>0</v>
      </c>
      <c r="CO339">
        <v>0</v>
      </c>
      <c r="CP339" t="str">
        <f t="shared" si="377"/>
        <v>refOK</v>
      </c>
      <c r="CQ339"/>
      <c r="CR339"/>
      <c r="CS339"/>
      <c r="CT339">
        <f t="shared" si="353"/>
        <v>0</v>
      </c>
      <c r="CU339">
        <f t="shared" si="378"/>
        <v>-335.9</v>
      </c>
      <c r="CV339">
        <f t="shared" si="366"/>
        <v>-143</v>
      </c>
      <c r="CW339">
        <f t="shared" si="379"/>
        <v>0</v>
      </c>
      <c r="CX339" t="str">
        <f t="shared" si="354"/>
        <v/>
      </c>
      <c r="CY339" t="str">
        <f t="shared" si="380"/>
        <v/>
      </c>
      <c r="CZ339" t="str">
        <f t="shared" si="355"/>
        <v/>
      </c>
      <c r="DA339" s="2">
        <f t="shared" si="381"/>
        <v>0.57427805894611483</v>
      </c>
      <c r="DB339" s="1" t="s">
        <v>263</v>
      </c>
      <c r="DC339" s="297" t="str">
        <f t="shared" si="393"/>
        <v>loc</v>
      </c>
      <c r="DD339" s="296" t="s">
        <v>3098</v>
      </c>
      <c r="DG339">
        <v>60</v>
      </c>
      <c r="DH339" t="str">
        <f t="shared" si="382"/>
        <v>31-70</v>
      </c>
      <c r="DI339">
        <v>0</v>
      </c>
      <c r="DJ339">
        <v>0</v>
      </c>
      <c r="DK339">
        <v>0</v>
      </c>
      <c r="DL339">
        <v>1</v>
      </c>
      <c r="DM339">
        <v>1</v>
      </c>
      <c r="DN339">
        <f t="shared" si="392"/>
        <v>1</v>
      </c>
      <c r="DO339" t="str">
        <f t="shared" si="383"/>
        <v>TimberInput</v>
      </c>
      <c r="DP339">
        <f t="shared" si="384"/>
        <v>0</v>
      </c>
      <c r="DQ339">
        <f t="shared" si="385"/>
        <v>0</v>
      </c>
      <c r="DR339">
        <f t="shared" si="386"/>
        <v>0</v>
      </c>
      <c r="DS339" t="str">
        <f t="shared" si="387"/>
        <v>Timber</v>
      </c>
      <c r="DT339">
        <v>1</v>
      </c>
      <c r="DU339">
        <v>0</v>
      </c>
      <c r="DV339">
        <v>0</v>
      </c>
      <c r="DW339">
        <v>0</v>
      </c>
      <c r="DX339">
        <v>0</v>
      </c>
      <c r="DY339">
        <f t="shared" si="367"/>
        <v>1</v>
      </c>
      <c r="DZ339" s="143" t="str">
        <f t="shared" si="394"/>
        <v>self-calculated DF</v>
      </c>
      <c r="EA339">
        <v>0</v>
      </c>
      <c r="EB339">
        <v>0</v>
      </c>
      <c r="EC339">
        <v>0</v>
      </c>
      <c r="ED339">
        <v>0</v>
      </c>
      <c r="EE339">
        <v>0</v>
      </c>
      <c r="EF339" s="143">
        <v>0</v>
      </c>
      <c r="EG339">
        <v>0</v>
      </c>
      <c r="EH339">
        <v>1</v>
      </c>
      <c r="EI339">
        <v>1</v>
      </c>
      <c r="EJ339">
        <v>1</v>
      </c>
      <c r="EK339">
        <v>0</v>
      </c>
      <c r="EL339">
        <v>0</v>
      </c>
      <c r="EM339">
        <v>0</v>
      </c>
      <c r="EN339" s="2">
        <v>0</v>
      </c>
      <c r="EP339" t="str">
        <f t="shared" si="356"/>
        <v/>
      </c>
      <c r="EQ339" t="str">
        <f t="shared" si="368"/>
        <v/>
      </c>
      <c r="ER339" s="2" t="str">
        <f t="shared" si="357"/>
        <v>Technology approach</v>
      </c>
      <c r="ES339" t="str">
        <f t="shared" si="358"/>
        <v/>
      </c>
      <c r="ET339" t="str">
        <f t="shared" si="359"/>
        <v/>
      </c>
      <c r="EU339" t="str">
        <f t="shared" si="360"/>
        <v/>
      </c>
      <c r="EY339" t="b">
        <f>IF(ISNUMBER(BW339),IF(ABS(BW339-[1]QC_indicators!$B$2)&gt;3*[1]QC_indicators!$C$2,"C ratio",IF(ISNUMBER(CA339),IF(ABS(CA339-[1]QC_indicators!$B$1)&gt;3*[1]QC_indicators!$C$1,"DF","no"))),IF(ISNUMBER(CA339),IF(ABS(CA339-[1]QC_indicators!$B$1)&gt;3*[1]QC_indicators!$C$1,"DF","no")))</f>
        <v>0</v>
      </c>
      <c r="FA339" t="str">
        <f t="shared" si="361"/>
        <v/>
      </c>
    </row>
    <row r="340" spans="1:161" ht="15" hidden="1" customHeight="1">
      <c r="D340" t="s">
        <v>3735</v>
      </c>
      <c r="E340" t="s">
        <v>3736</v>
      </c>
      <c r="G340" t="s">
        <v>807</v>
      </c>
      <c r="I340">
        <v>2012</v>
      </c>
      <c r="K340" t="s">
        <v>3737</v>
      </c>
      <c r="M340" t="str">
        <f t="shared" si="388"/>
        <v>Repo_2012</v>
      </c>
      <c r="N340" s="297" t="s">
        <v>4058</v>
      </c>
      <c r="O340" s="145" t="s">
        <v>225</v>
      </c>
      <c r="Q340" s="297" t="s">
        <v>256</v>
      </c>
      <c r="R340" s="298"/>
      <c r="S340" s="1" t="s">
        <v>1975</v>
      </c>
      <c r="T340" t="s">
        <v>3738</v>
      </c>
      <c r="U340" t="s">
        <v>3741</v>
      </c>
      <c r="X340" s="143">
        <v>0</v>
      </c>
      <c r="Y340" s="143">
        <v>0</v>
      </c>
      <c r="Z340" s="143">
        <v>0</v>
      </c>
      <c r="AA340" s="143">
        <v>1</v>
      </c>
      <c r="AB340" s="143">
        <v>0</v>
      </c>
      <c r="AC340" s="143">
        <v>0</v>
      </c>
      <c r="AD340" s="143">
        <v>0</v>
      </c>
      <c r="AE340" s="143">
        <v>0</v>
      </c>
      <c r="AF340" s="143">
        <v>0</v>
      </c>
      <c r="AG340" s="143">
        <v>0</v>
      </c>
      <c r="AH340" s="143">
        <v>0</v>
      </c>
      <c r="AI340" s="143">
        <v>0</v>
      </c>
      <c r="AJ340" s="143">
        <v>0</v>
      </c>
      <c r="AK340" s="143">
        <v>0</v>
      </c>
      <c r="AL340" s="143">
        <v>0</v>
      </c>
      <c r="AM340" s="143">
        <v>0</v>
      </c>
      <c r="AN340" s="143">
        <v>0</v>
      </c>
      <c r="AO340" s="143">
        <v>0</v>
      </c>
      <c r="AP340" s="143">
        <v>0</v>
      </c>
      <c r="AQ340" s="143">
        <v>0</v>
      </c>
      <c r="AR340" s="143">
        <v>0</v>
      </c>
      <c r="AS340" s="143">
        <v>0</v>
      </c>
      <c r="AT340" s="143">
        <v>0</v>
      </c>
      <c r="AU340" s="143">
        <v>0</v>
      </c>
      <c r="AV340" s="143">
        <v>0</v>
      </c>
      <c r="AW340" s="143">
        <v>0</v>
      </c>
      <c r="AX340" s="143">
        <v>0</v>
      </c>
      <c r="AY340" s="143">
        <v>0</v>
      </c>
      <c r="AZ340" s="141">
        <f t="shared" si="370"/>
        <v>1</v>
      </c>
      <c r="BA340" s="141">
        <f t="shared" si="371"/>
        <v>1</v>
      </c>
      <c r="BB340">
        <f t="shared" si="372"/>
        <v>1</v>
      </c>
      <c r="BC340">
        <f t="shared" si="373"/>
        <v>0</v>
      </c>
      <c r="BD340">
        <f t="shared" si="374"/>
        <v>0</v>
      </c>
      <c r="BE340">
        <f t="shared" si="375"/>
        <v>0</v>
      </c>
      <c r="BF340">
        <f t="shared" si="376"/>
        <v>0</v>
      </c>
      <c r="BG340" t="str" cm="1">
        <f t="array" ref="BG340">IF(BA340=1,INDEX($X$7:$AN$7,MATCH(TRUE,INDEX($X340:$AY340&lt;&gt;0,),0)),IF(BA340=0,INDEX($AO$7:$AY$7,MATCH(1,$AO340:$AY340,0)),IF(BH340="Multiple strategies","mixed drivers",IF(BH340="Supply chain","multiple supply","multiple silviculture"))))</f>
        <v xml:space="preserve">cutting intensity </v>
      </c>
      <c r="BH340" s="2" t="str" cm="1">
        <f t="array" ref="BH340">IF(COUNTIF(BB340:BD340,"&lt;&gt;0")=1,INDEX($X$4:$AY$4,MATCH(TRUE,INDEX($X340:$AY340&lt;&gt;0,),0)),IF(COUNTIF(BB340:BD340,"&lt;&gt;0")=0,INDEX($AO$4:$AY$4,MATCH(1,$AO340:$AY340,0)),"Multiple strategies"))</f>
        <v>Silviculture for removals</v>
      </c>
      <c r="BR340" s="297" t="s">
        <v>232</v>
      </c>
      <c r="BS340" s="297"/>
      <c r="BT340" t="s">
        <v>3740</v>
      </c>
      <c r="BU340">
        <v>-46.669542900000003</v>
      </c>
      <c r="BV340" s="141">
        <v>-59.701633200000003</v>
      </c>
      <c r="BW340" s="144">
        <v>1.2792418671835759</v>
      </c>
      <c r="BX340">
        <v>-13.0320903</v>
      </c>
      <c r="BZ340">
        <f t="shared" ref="BZ340:BZ351" si="395">BX340/10^6</f>
        <v>-1.3032090300000001E-5</v>
      </c>
      <c r="CA340" t="str">
        <f t="shared" si="352"/>
        <v/>
      </c>
      <c r="CB340" s="143">
        <v>0</v>
      </c>
      <c r="CC340" s="143">
        <v>1</v>
      </c>
      <c r="CD340" s="143">
        <v>0</v>
      </c>
      <c r="CE340" s="143">
        <v>1</v>
      </c>
      <c r="CF340" s="143">
        <v>0</v>
      </c>
      <c r="CG340" s="143">
        <v>0</v>
      </c>
      <c r="CH340" s="143">
        <v>0</v>
      </c>
      <c r="CI340" s="143">
        <v>0</v>
      </c>
      <c r="CJ340" s="143">
        <v>0</v>
      </c>
      <c r="CK340" s="143">
        <v>0</v>
      </c>
      <c r="CL340" s="143">
        <v>0</v>
      </c>
      <c r="CM340" s="143">
        <v>0</v>
      </c>
      <c r="CN340" s="143">
        <v>0</v>
      </c>
      <c r="CO340" s="143">
        <v>0</v>
      </c>
      <c r="CP340" t="str">
        <f t="shared" ref="CP340:CP371" si="396">IF(BN340&lt;BM340,"refNeedCorrection","refOK")</f>
        <v>refOK</v>
      </c>
      <c r="CQ340"/>
      <c r="CR340"/>
      <c r="CS340"/>
      <c r="CT340">
        <f t="shared" si="353"/>
        <v>0</v>
      </c>
      <c r="CU340">
        <f t="shared" si="378"/>
        <v>-46.669542900000003</v>
      </c>
      <c r="CV340">
        <f t="shared" si="366"/>
        <v>-59.701633200000003</v>
      </c>
      <c r="CW340">
        <f t="shared" si="379"/>
        <v>-1.3032090300000001E-5</v>
      </c>
      <c r="CX340" t="str">
        <f t="shared" si="354"/>
        <v/>
      </c>
      <c r="CY340" t="str">
        <f t="shared" si="380"/>
        <v/>
      </c>
      <c r="CZ340" t="str">
        <f t="shared" si="355"/>
        <v/>
      </c>
      <c r="DA340" s="2">
        <f t="shared" si="381"/>
        <v>-0.27924186718357591</v>
      </c>
      <c r="DB340" s="1" t="s">
        <v>1078</v>
      </c>
      <c r="DC340" s="297" t="str">
        <f t="shared" si="393"/>
        <v>reg</v>
      </c>
      <c r="DD340" t="s">
        <v>235</v>
      </c>
      <c r="DE340">
        <v>2010</v>
      </c>
      <c r="DF340">
        <v>2110</v>
      </c>
      <c r="DG340" s="143">
        <f>DF340-DE340</f>
        <v>100</v>
      </c>
      <c r="DH340" t="str">
        <f t="shared" si="382"/>
        <v>71-100</v>
      </c>
      <c r="DI340">
        <v>1</v>
      </c>
      <c r="DJ340">
        <v>1</v>
      </c>
      <c r="DK340">
        <v>0</v>
      </c>
      <c r="DL340">
        <v>0</v>
      </c>
      <c r="DN340">
        <f t="shared" si="392"/>
        <v>2</v>
      </c>
      <c r="DO340" t="str">
        <f t="shared" si="383"/>
        <v>mixedProduct</v>
      </c>
      <c r="DP340" t="str">
        <f t="shared" si="384"/>
        <v>Upstream</v>
      </c>
      <c r="DQ340" t="str">
        <f t="shared" si="385"/>
        <v>Energy</v>
      </c>
      <c r="DR340">
        <f t="shared" si="386"/>
        <v>0</v>
      </c>
      <c r="DS340">
        <f t="shared" si="387"/>
        <v>0</v>
      </c>
      <c r="DT340">
        <v>0</v>
      </c>
      <c r="DU340" s="143">
        <v>0</v>
      </c>
      <c r="DV340" t="s">
        <v>1976</v>
      </c>
      <c r="DW340">
        <v>0</v>
      </c>
      <c r="DX340">
        <v>0</v>
      </c>
      <c r="DY340">
        <f t="shared" si="367"/>
        <v>0</v>
      </c>
      <c r="DZ340" s="143" t="str">
        <f t="shared" si="394"/>
        <v>explicit C balance</v>
      </c>
      <c r="EA340" s="143">
        <v>1</v>
      </c>
      <c r="EB340" s="143">
        <v>1</v>
      </c>
      <c r="EC340" s="143">
        <v>1</v>
      </c>
      <c r="ED340" s="143">
        <v>0</v>
      </c>
      <c r="EE340" s="143">
        <v>1</v>
      </c>
      <c r="EF340" s="143">
        <v>0</v>
      </c>
      <c r="EG340" s="143">
        <v>1</v>
      </c>
      <c r="EH340" s="143">
        <v>1</v>
      </c>
      <c r="EI340" s="143">
        <v>0</v>
      </c>
      <c r="EJ340" s="143">
        <v>0</v>
      </c>
      <c r="EK340" s="143">
        <v>1</v>
      </c>
      <c r="EL340" s="143">
        <v>0</v>
      </c>
      <c r="EM340" s="143">
        <v>0</v>
      </c>
      <c r="EN340" s="192">
        <v>0</v>
      </c>
      <c r="EP340" t="str">
        <f t="shared" si="356"/>
        <v>Whole sector approach</v>
      </c>
      <c r="EQ340" t="str">
        <f t="shared" si="368"/>
        <v/>
      </c>
      <c r="ER340" s="2" t="str">
        <f t="shared" si="357"/>
        <v/>
      </c>
      <c r="ES340" t="str">
        <f t="shared" si="358"/>
        <v/>
      </c>
      <c r="ET340" t="str">
        <f t="shared" si="359"/>
        <v/>
      </c>
      <c r="EU340" t="str">
        <f t="shared" si="360"/>
        <v/>
      </c>
      <c r="EY340" t="b">
        <f>IF(ISNUMBER(BW340),IF(ABS(BW340-[1]QC_indicators!$B$2)&gt;3*[1]QC_indicators!$C$2,"C ratio",IF(ISNUMBER(CA340),IF(ABS(CA340-[1]QC_indicators!$B$1)&gt;3*[1]QC_indicators!$C$1,"DF","no"))),IF(ISNUMBER(CA340),IF(ABS(CA340-[1]QC_indicators!$B$1)&gt;3*[1]QC_indicators!$C$1,"DF","no")))</f>
        <v>0</v>
      </c>
      <c r="FA340" t="str">
        <f t="shared" si="361"/>
        <v/>
      </c>
      <c r="FB340" s="299" t="s">
        <v>349</v>
      </c>
    </row>
    <row r="341" spans="1:161" ht="15" hidden="1" customHeight="1">
      <c r="D341" t="s">
        <v>3735</v>
      </c>
      <c r="E341" t="s">
        <v>3736</v>
      </c>
      <c r="G341" t="s">
        <v>807</v>
      </c>
      <c r="I341">
        <v>2012</v>
      </c>
      <c r="K341" t="s">
        <v>3737</v>
      </c>
      <c r="M341" t="str">
        <f t="shared" si="388"/>
        <v>Repo_2012</v>
      </c>
      <c r="N341" s="297" t="s">
        <v>4058</v>
      </c>
      <c r="O341" s="145" t="s">
        <v>225</v>
      </c>
      <c r="Q341" s="297" t="s">
        <v>256</v>
      </c>
      <c r="R341" s="298"/>
      <c r="S341" s="1" t="s">
        <v>1975</v>
      </c>
      <c r="T341" t="s">
        <v>3738</v>
      </c>
      <c r="U341" t="s">
        <v>3741</v>
      </c>
      <c r="X341" s="143">
        <v>0</v>
      </c>
      <c r="Y341" s="143">
        <v>0</v>
      </c>
      <c r="Z341" s="143">
        <v>0</v>
      </c>
      <c r="AA341" s="143">
        <v>1</v>
      </c>
      <c r="AB341" s="143">
        <v>0</v>
      </c>
      <c r="AC341" s="143">
        <v>0</v>
      </c>
      <c r="AD341" s="143">
        <v>0</v>
      </c>
      <c r="AE341" s="143">
        <v>0</v>
      </c>
      <c r="AF341" s="143">
        <v>0</v>
      </c>
      <c r="AG341" s="143">
        <v>0</v>
      </c>
      <c r="AH341" s="143">
        <v>0</v>
      </c>
      <c r="AI341" s="143">
        <v>0</v>
      </c>
      <c r="AJ341" s="143">
        <v>0</v>
      </c>
      <c r="AK341" s="143">
        <v>0</v>
      </c>
      <c r="AL341" s="143">
        <v>0</v>
      </c>
      <c r="AM341" s="143">
        <v>0</v>
      </c>
      <c r="AN341" s="143">
        <v>0</v>
      </c>
      <c r="AO341" s="143">
        <v>0</v>
      </c>
      <c r="AP341" s="143">
        <v>0</v>
      </c>
      <c r="AQ341" s="143">
        <v>0</v>
      </c>
      <c r="AR341" s="143">
        <v>0</v>
      </c>
      <c r="AS341" s="143">
        <v>0</v>
      </c>
      <c r="AT341" s="143">
        <v>0</v>
      </c>
      <c r="AU341" s="143">
        <v>0</v>
      </c>
      <c r="AV341" s="143">
        <v>0</v>
      </c>
      <c r="AW341" s="143">
        <v>0</v>
      </c>
      <c r="AX341" s="143">
        <v>0</v>
      </c>
      <c r="AY341" s="143">
        <v>0</v>
      </c>
      <c r="AZ341" s="141">
        <f t="shared" si="370"/>
        <v>1</v>
      </c>
      <c r="BA341" s="141">
        <f t="shared" si="371"/>
        <v>1</v>
      </c>
      <c r="BB341">
        <f t="shared" si="372"/>
        <v>1</v>
      </c>
      <c r="BC341">
        <f t="shared" si="373"/>
        <v>0</v>
      </c>
      <c r="BD341">
        <f t="shared" si="374"/>
        <v>0</v>
      </c>
      <c r="BE341">
        <f t="shared" si="375"/>
        <v>0</v>
      </c>
      <c r="BF341">
        <f t="shared" si="376"/>
        <v>0</v>
      </c>
      <c r="BG341" t="str" cm="1">
        <f t="array" ref="BG341">IF(BA341=1,INDEX($X$7:$AN$7,MATCH(TRUE,INDEX($X341:$AY341&lt;&gt;0,),0)),IF(BA341=0,INDEX($AO$7:$AY$7,MATCH(1,$AO341:$AY341,0)),IF(BH341="Multiple strategies","mixed drivers",IF(BH341="Supply chain","multiple supply","multiple silviculture"))))</f>
        <v xml:space="preserve">cutting intensity </v>
      </c>
      <c r="BH341" s="2" t="str" cm="1">
        <f t="array" ref="BH341">IF(COUNTIF(BB341:BD341,"&lt;&gt;0")=1,INDEX($X$4:$AY$4,MATCH(TRUE,INDEX($X341:$AY341&lt;&gt;0,),0)),IF(COUNTIF(BB341:BD341,"&lt;&gt;0")=0,INDEX($AO$4:$AY$4,MATCH(1,$AO341:$AY341,0)),"Multiple strategies"))</f>
        <v>Silviculture for removals</v>
      </c>
      <c r="BR341" s="297" t="s">
        <v>232</v>
      </c>
      <c r="BS341" s="297"/>
      <c r="BT341" t="s">
        <v>3740</v>
      </c>
      <c r="BU341" s="141">
        <v>-81.193580800000007</v>
      </c>
      <c r="BV341" s="141">
        <v>-91.619616399999998</v>
      </c>
      <c r="BW341" s="144">
        <v>1.1284096045188832</v>
      </c>
      <c r="BX341">
        <v>-10.426035599999992</v>
      </c>
      <c r="BZ341">
        <f t="shared" si="395"/>
        <v>-1.0426035599999992E-5</v>
      </c>
      <c r="CA341" t="str">
        <f t="shared" si="352"/>
        <v/>
      </c>
      <c r="CB341" s="143">
        <v>0</v>
      </c>
      <c r="CC341" s="143">
        <v>1</v>
      </c>
      <c r="CD341" s="143">
        <v>0</v>
      </c>
      <c r="CE341" s="143">
        <v>1</v>
      </c>
      <c r="CF341" s="143">
        <v>0</v>
      </c>
      <c r="CG341" s="143">
        <v>0</v>
      </c>
      <c r="CH341" s="143">
        <v>0</v>
      </c>
      <c r="CI341" s="143">
        <v>0</v>
      </c>
      <c r="CJ341" s="143">
        <v>0</v>
      </c>
      <c r="CK341" s="143">
        <v>0</v>
      </c>
      <c r="CL341" s="143">
        <v>0</v>
      </c>
      <c r="CM341" s="143">
        <v>0</v>
      </c>
      <c r="CN341" s="143">
        <v>0</v>
      </c>
      <c r="CO341" s="143">
        <v>0</v>
      </c>
      <c r="CP341" t="str">
        <f t="shared" si="396"/>
        <v>refOK</v>
      </c>
      <c r="CQ341"/>
      <c r="CR341"/>
      <c r="CS341"/>
      <c r="CT341">
        <f t="shared" si="353"/>
        <v>0</v>
      </c>
      <c r="CU341">
        <f t="shared" si="378"/>
        <v>-81.193580800000007</v>
      </c>
      <c r="CV341">
        <f t="shared" si="366"/>
        <v>-91.619616399999998</v>
      </c>
      <c r="CW341">
        <f t="shared" si="379"/>
        <v>-1.0426035599999992E-5</v>
      </c>
      <c r="CX341" t="str">
        <f t="shared" si="354"/>
        <v/>
      </c>
      <c r="CY341" t="str">
        <f t="shared" si="380"/>
        <v/>
      </c>
      <c r="CZ341" t="str">
        <f t="shared" si="355"/>
        <v/>
      </c>
      <c r="DA341" s="2">
        <f t="shared" si="381"/>
        <v>-0.12840960451888322</v>
      </c>
      <c r="DB341" s="1" t="s">
        <v>1078</v>
      </c>
      <c r="DC341" s="297" t="str">
        <f t="shared" si="393"/>
        <v>reg</v>
      </c>
      <c r="DD341" t="s">
        <v>235</v>
      </c>
      <c r="DE341">
        <v>2010</v>
      </c>
      <c r="DF341">
        <v>2030</v>
      </c>
      <c r="DG341" s="143">
        <f>DF341-DE341</f>
        <v>20</v>
      </c>
      <c r="DH341" t="str">
        <f t="shared" si="382"/>
        <v>1-30</v>
      </c>
      <c r="DI341">
        <v>1</v>
      </c>
      <c r="DJ341">
        <v>1</v>
      </c>
      <c r="DK341">
        <v>0</v>
      </c>
      <c r="DL341">
        <v>0</v>
      </c>
      <c r="DN341">
        <f t="shared" si="392"/>
        <v>2</v>
      </c>
      <c r="DO341" t="str">
        <f t="shared" si="383"/>
        <v>mixedProduct</v>
      </c>
      <c r="DP341" t="str">
        <f t="shared" si="384"/>
        <v>Upstream</v>
      </c>
      <c r="DQ341" t="str">
        <f t="shared" si="385"/>
        <v>Energy</v>
      </c>
      <c r="DR341">
        <f t="shared" si="386"/>
        <v>0</v>
      </c>
      <c r="DS341">
        <f t="shared" si="387"/>
        <v>0</v>
      </c>
      <c r="DT341">
        <v>0</v>
      </c>
      <c r="DU341" s="143">
        <v>0</v>
      </c>
      <c r="DV341" t="s">
        <v>1976</v>
      </c>
      <c r="DW341">
        <v>0</v>
      </c>
      <c r="DX341">
        <v>0</v>
      </c>
      <c r="DY341">
        <f t="shared" si="367"/>
        <v>0</v>
      </c>
      <c r="DZ341" s="143" t="str">
        <f t="shared" si="394"/>
        <v>explicit C balance</v>
      </c>
      <c r="EA341" s="143">
        <v>1</v>
      </c>
      <c r="EB341" s="143">
        <v>1</v>
      </c>
      <c r="EC341" s="143">
        <v>1</v>
      </c>
      <c r="ED341" s="143">
        <v>0</v>
      </c>
      <c r="EE341" s="143">
        <v>1</v>
      </c>
      <c r="EF341" s="143">
        <v>0</v>
      </c>
      <c r="EG341" s="143">
        <v>1</v>
      </c>
      <c r="EH341" s="143">
        <v>1</v>
      </c>
      <c r="EI341" s="143">
        <v>0</v>
      </c>
      <c r="EJ341" s="143">
        <v>0</v>
      </c>
      <c r="EK341" s="143">
        <v>1</v>
      </c>
      <c r="EL341" s="143">
        <v>0</v>
      </c>
      <c r="EM341" s="143">
        <v>0</v>
      </c>
      <c r="EN341" s="192">
        <v>0</v>
      </c>
      <c r="EP341" t="str">
        <f t="shared" si="356"/>
        <v>Whole sector approach</v>
      </c>
      <c r="EQ341" t="str">
        <f t="shared" si="368"/>
        <v/>
      </c>
      <c r="ER341" s="2" t="str">
        <f t="shared" si="357"/>
        <v/>
      </c>
      <c r="ES341" t="str">
        <f t="shared" si="358"/>
        <v/>
      </c>
      <c r="ET341" t="str">
        <f t="shared" si="359"/>
        <v/>
      </c>
      <c r="EU341" t="str">
        <f t="shared" si="360"/>
        <v/>
      </c>
      <c r="EY341" t="b">
        <f>IF(ISNUMBER(BW341),IF(ABS(BW341-[1]QC_indicators!$B$2)&gt;3*[1]QC_indicators!$C$2,"C ratio",IF(ISNUMBER(CA341),IF(ABS(CA341-[1]QC_indicators!$B$1)&gt;3*[1]QC_indicators!$C$1,"DF","no"))),IF(ISNUMBER(CA341),IF(ABS(CA341-[1]QC_indicators!$B$1)&gt;3*[1]QC_indicators!$C$1,"DF","no")))</f>
        <v>0</v>
      </c>
      <c r="FA341" t="str">
        <f t="shared" si="361"/>
        <v/>
      </c>
      <c r="FB341" s="299" t="s">
        <v>349</v>
      </c>
    </row>
    <row r="342" spans="1:161" ht="15" hidden="1" customHeight="1">
      <c r="D342" t="s">
        <v>3735</v>
      </c>
      <c r="E342" t="s">
        <v>3736</v>
      </c>
      <c r="G342" t="s">
        <v>807</v>
      </c>
      <c r="I342">
        <v>2012</v>
      </c>
      <c r="K342" t="s">
        <v>3737</v>
      </c>
      <c r="M342" t="str">
        <f t="shared" si="388"/>
        <v>Repo_2012</v>
      </c>
      <c r="N342" s="297" t="s">
        <v>4058</v>
      </c>
      <c r="O342" s="145" t="s">
        <v>225</v>
      </c>
      <c r="Q342" s="297" t="s">
        <v>256</v>
      </c>
      <c r="R342" s="298"/>
      <c r="S342" s="1" t="s">
        <v>1975</v>
      </c>
      <c r="T342" t="s">
        <v>3738</v>
      </c>
      <c r="U342" t="s">
        <v>3739</v>
      </c>
      <c r="X342" s="143">
        <v>0</v>
      </c>
      <c r="Y342" s="143">
        <v>0</v>
      </c>
      <c r="Z342" s="143">
        <v>0</v>
      </c>
      <c r="AA342" s="143">
        <v>1</v>
      </c>
      <c r="AB342" s="143">
        <v>0</v>
      </c>
      <c r="AC342" s="143">
        <v>0</v>
      </c>
      <c r="AD342" s="143">
        <v>0</v>
      </c>
      <c r="AE342" s="143">
        <v>0</v>
      </c>
      <c r="AF342" s="143">
        <v>0</v>
      </c>
      <c r="AG342" s="143">
        <v>0</v>
      </c>
      <c r="AH342" s="143">
        <v>0</v>
      </c>
      <c r="AI342" s="143">
        <v>0</v>
      </c>
      <c r="AJ342" s="143">
        <v>0</v>
      </c>
      <c r="AK342" s="143">
        <v>0</v>
      </c>
      <c r="AL342" s="143">
        <v>0</v>
      </c>
      <c r="AM342" s="143">
        <v>0</v>
      </c>
      <c r="AN342" s="143">
        <v>0</v>
      </c>
      <c r="AO342" s="143">
        <v>0</v>
      </c>
      <c r="AP342" s="143">
        <v>0</v>
      </c>
      <c r="AQ342" s="143">
        <v>0</v>
      </c>
      <c r="AR342" s="143">
        <v>0</v>
      </c>
      <c r="AS342" s="143">
        <v>0</v>
      </c>
      <c r="AT342" s="143">
        <v>0</v>
      </c>
      <c r="AU342" s="143">
        <v>0</v>
      </c>
      <c r="AV342" s="143">
        <v>0</v>
      </c>
      <c r="AW342" s="143">
        <v>0</v>
      </c>
      <c r="AX342" s="143">
        <v>0</v>
      </c>
      <c r="AY342" s="143">
        <v>0</v>
      </c>
      <c r="AZ342" s="141">
        <f t="shared" si="370"/>
        <v>1</v>
      </c>
      <c r="BA342" s="141">
        <f t="shared" si="371"/>
        <v>1</v>
      </c>
      <c r="BB342">
        <f t="shared" si="372"/>
        <v>1</v>
      </c>
      <c r="BC342">
        <f t="shared" si="373"/>
        <v>0</v>
      </c>
      <c r="BD342">
        <f t="shared" si="374"/>
        <v>0</v>
      </c>
      <c r="BE342">
        <f t="shared" si="375"/>
        <v>0</v>
      </c>
      <c r="BF342">
        <f t="shared" si="376"/>
        <v>0</v>
      </c>
      <c r="BG342" t="str" cm="1">
        <f t="array" ref="BG342">IF(BA342=1,INDEX($X$7:$AN$7,MATCH(TRUE,INDEX($X342:$AY342&lt;&gt;0,),0)),IF(BA342=0,INDEX($AO$7:$AY$7,MATCH(1,$AO342:$AY342,0)),IF(BH342="Multiple strategies","mixed drivers",IF(BH342="Supply chain","multiple supply","multiple silviculture"))))</f>
        <v xml:space="preserve">cutting intensity </v>
      </c>
      <c r="BH342" s="2" t="str" cm="1">
        <f t="array" ref="BH342">IF(COUNTIF(BB342:BD342,"&lt;&gt;0")=1,INDEX($X$4:$AY$4,MATCH(TRUE,INDEX($X342:$AY342&lt;&gt;0,),0)),IF(COUNTIF(BB342:BD342,"&lt;&gt;0")=0,INDEX($AO$4:$AY$4,MATCH(1,$AO342:$AY342,0)),"Multiple strategies"))</f>
        <v>Silviculture for removals</v>
      </c>
      <c r="BR342" s="297" t="s">
        <v>232</v>
      </c>
      <c r="BS342" s="297"/>
      <c r="BT342" t="s">
        <v>3740</v>
      </c>
      <c r="BU342" s="141">
        <v>-81.193580800000007</v>
      </c>
      <c r="BV342" s="141">
        <v>-52.1209816</v>
      </c>
      <c r="BW342" s="144">
        <v>0.6419347574826999</v>
      </c>
      <c r="BX342">
        <v>29.072599200000006</v>
      </c>
      <c r="BZ342">
        <f t="shared" si="395"/>
        <v>2.9072599200000007E-5</v>
      </c>
      <c r="CA342" t="str">
        <f t="shared" si="352"/>
        <v/>
      </c>
      <c r="CB342" s="143">
        <v>0</v>
      </c>
      <c r="CC342" s="143">
        <v>1</v>
      </c>
      <c r="CD342" s="143">
        <v>0</v>
      </c>
      <c r="CE342" s="143">
        <v>1</v>
      </c>
      <c r="CF342" s="143">
        <v>0</v>
      </c>
      <c r="CG342" s="143">
        <v>0</v>
      </c>
      <c r="CH342" s="143">
        <v>0</v>
      </c>
      <c r="CI342" s="143">
        <v>0</v>
      </c>
      <c r="CJ342" s="143">
        <v>0</v>
      </c>
      <c r="CK342" s="143">
        <v>0</v>
      </c>
      <c r="CL342" s="143">
        <v>0</v>
      </c>
      <c r="CM342" s="143">
        <v>0</v>
      </c>
      <c r="CN342" s="143">
        <v>0</v>
      </c>
      <c r="CO342" s="143">
        <v>0</v>
      </c>
      <c r="CP342" t="str">
        <f t="shared" si="396"/>
        <v>refOK</v>
      </c>
      <c r="CQ342"/>
      <c r="CR342"/>
      <c r="CS342"/>
      <c r="CT342">
        <f t="shared" si="353"/>
        <v>0</v>
      </c>
      <c r="CU342">
        <f t="shared" si="378"/>
        <v>-81.193580800000007</v>
      </c>
      <c r="CV342">
        <f t="shared" si="366"/>
        <v>-52.1209816</v>
      </c>
      <c r="CW342">
        <f t="shared" si="379"/>
        <v>2.9072599200000007E-5</v>
      </c>
      <c r="CX342" t="str">
        <f t="shared" si="354"/>
        <v/>
      </c>
      <c r="CY342" t="str">
        <f t="shared" si="380"/>
        <v/>
      </c>
      <c r="CZ342" t="str">
        <f t="shared" si="355"/>
        <v/>
      </c>
      <c r="DA342" s="2">
        <f t="shared" si="381"/>
        <v>0.35806524251730015</v>
      </c>
      <c r="DB342" s="1" t="s">
        <v>1078</v>
      </c>
      <c r="DC342" s="297" t="str">
        <f t="shared" si="393"/>
        <v>reg</v>
      </c>
      <c r="DD342" t="s">
        <v>235</v>
      </c>
      <c r="DE342">
        <v>2010</v>
      </c>
      <c r="DF342">
        <v>2030</v>
      </c>
      <c r="DG342" s="143">
        <f>DF342-DE342</f>
        <v>20</v>
      </c>
      <c r="DH342" t="str">
        <f t="shared" si="382"/>
        <v>1-30</v>
      </c>
      <c r="DI342">
        <v>1</v>
      </c>
      <c r="DJ342">
        <v>1</v>
      </c>
      <c r="DK342">
        <v>0</v>
      </c>
      <c r="DL342">
        <v>0</v>
      </c>
      <c r="DN342">
        <f t="shared" si="392"/>
        <v>2</v>
      </c>
      <c r="DO342" t="str">
        <f t="shared" si="383"/>
        <v>mixedProduct</v>
      </c>
      <c r="DP342" t="str">
        <f t="shared" si="384"/>
        <v>Upstream</v>
      </c>
      <c r="DQ342" t="str">
        <f t="shared" si="385"/>
        <v>Energy</v>
      </c>
      <c r="DR342">
        <f t="shared" si="386"/>
        <v>0</v>
      </c>
      <c r="DS342">
        <f t="shared" si="387"/>
        <v>0</v>
      </c>
      <c r="DT342">
        <v>0</v>
      </c>
      <c r="DU342" s="143">
        <v>0</v>
      </c>
      <c r="DV342" t="s">
        <v>1976</v>
      </c>
      <c r="DW342">
        <v>0</v>
      </c>
      <c r="DX342">
        <v>0</v>
      </c>
      <c r="DY342">
        <f t="shared" si="367"/>
        <v>0</v>
      </c>
      <c r="DZ342" s="143" t="str">
        <f t="shared" si="394"/>
        <v>explicit C balance</v>
      </c>
      <c r="EA342" s="143">
        <v>1</v>
      </c>
      <c r="EB342" s="143">
        <v>1</v>
      </c>
      <c r="EC342" s="143">
        <v>1</v>
      </c>
      <c r="ED342" s="143">
        <v>0</v>
      </c>
      <c r="EE342" s="143">
        <v>1</v>
      </c>
      <c r="EF342" s="143">
        <v>0</v>
      </c>
      <c r="EG342" s="143">
        <v>1</v>
      </c>
      <c r="EH342" s="143">
        <v>1</v>
      </c>
      <c r="EI342" s="143">
        <v>0</v>
      </c>
      <c r="EJ342" s="143">
        <v>0</v>
      </c>
      <c r="EK342" s="143">
        <v>1</v>
      </c>
      <c r="EL342" s="143">
        <v>0</v>
      </c>
      <c r="EM342" s="143">
        <v>0</v>
      </c>
      <c r="EN342" s="192">
        <v>0</v>
      </c>
      <c r="EP342" t="str">
        <f t="shared" si="356"/>
        <v>Whole sector approach</v>
      </c>
      <c r="EQ342" t="str">
        <f t="shared" si="368"/>
        <v/>
      </c>
      <c r="ER342" s="2" t="str">
        <f t="shared" si="357"/>
        <v/>
      </c>
      <c r="ES342" t="str">
        <f t="shared" si="358"/>
        <v/>
      </c>
      <c r="ET342" t="str">
        <f t="shared" si="359"/>
        <v/>
      </c>
      <c r="EU342" t="str">
        <f t="shared" si="360"/>
        <v/>
      </c>
      <c r="EY342" t="b">
        <f>IF(ISNUMBER(BW342),IF(ABS(BW342-[1]QC_indicators!$B$2)&gt;3*[1]QC_indicators!$C$2,"C ratio",IF(ISNUMBER(CA342),IF(ABS(CA342-[1]QC_indicators!$B$1)&gt;3*[1]QC_indicators!$C$1,"DF","no"))),IF(ISNUMBER(CA342),IF(ABS(CA342-[1]QC_indicators!$B$1)&gt;3*[1]QC_indicators!$C$1,"DF","no")))</f>
        <v>0</v>
      </c>
      <c r="FA342" t="str">
        <f t="shared" si="361"/>
        <v/>
      </c>
      <c r="FB342" s="299" t="s">
        <v>349</v>
      </c>
    </row>
    <row r="343" spans="1:161" s="139" customFormat="1" ht="15" hidden="1" customHeight="1">
      <c r="A343" s="1"/>
      <c r="B343"/>
      <c r="C343"/>
      <c r="D343" t="s">
        <v>3735</v>
      </c>
      <c r="E343" t="s">
        <v>3736</v>
      </c>
      <c r="F343"/>
      <c r="G343" t="s">
        <v>807</v>
      </c>
      <c r="H343"/>
      <c r="I343">
        <v>2012</v>
      </c>
      <c r="J343"/>
      <c r="K343" t="s">
        <v>3737</v>
      </c>
      <c r="L343"/>
      <c r="M343" t="str">
        <f t="shared" si="388"/>
        <v>Repo_2012</v>
      </c>
      <c r="N343" s="297" t="s">
        <v>4058</v>
      </c>
      <c r="O343" s="145" t="s">
        <v>225</v>
      </c>
      <c r="P343"/>
      <c r="Q343" s="297" t="s">
        <v>256</v>
      </c>
      <c r="R343" s="298"/>
      <c r="S343" s="1" t="s">
        <v>1975</v>
      </c>
      <c r="T343" t="s">
        <v>3738</v>
      </c>
      <c r="U343" t="s">
        <v>3739</v>
      </c>
      <c r="V343"/>
      <c r="W343"/>
      <c r="X343" s="143">
        <v>0</v>
      </c>
      <c r="Y343" s="143">
        <v>0</v>
      </c>
      <c r="Z343" s="143">
        <v>0</v>
      </c>
      <c r="AA343" s="143">
        <v>1</v>
      </c>
      <c r="AB343" s="143">
        <v>0</v>
      </c>
      <c r="AC343" s="143">
        <v>0</v>
      </c>
      <c r="AD343" s="143">
        <v>0</v>
      </c>
      <c r="AE343" s="143">
        <v>0</v>
      </c>
      <c r="AF343" s="143">
        <v>0</v>
      </c>
      <c r="AG343" s="143">
        <v>0</v>
      </c>
      <c r="AH343" s="143">
        <v>0</v>
      </c>
      <c r="AI343" s="143">
        <v>0</v>
      </c>
      <c r="AJ343" s="143">
        <v>0</v>
      </c>
      <c r="AK343" s="143">
        <v>0</v>
      </c>
      <c r="AL343" s="143">
        <v>0</v>
      </c>
      <c r="AM343" s="143">
        <v>0</v>
      </c>
      <c r="AN343" s="143">
        <v>0</v>
      </c>
      <c r="AO343" s="143">
        <v>0</v>
      </c>
      <c r="AP343" s="143">
        <v>0</v>
      </c>
      <c r="AQ343" s="143">
        <v>0</v>
      </c>
      <c r="AR343" s="143">
        <v>0</v>
      </c>
      <c r="AS343" s="143">
        <v>0</v>
      </c>
      <c r="AT343" s="143">
        <v>0</v>
      </c>
      <c r="AU343" s="143">
        <v>0</v>
      </c>
      <c r="AV343" s="143">
        <v>0</v>
      </c>
      <c r="AW343" s="143">
        <v>0</v>
      </c>
      <c r="AX343" s="143">
        <v>0</v>
      </c>
      <c r="AY343" s="143">
        <v>0</v>
      </c>
      <c r="AZ343" s="141">
        <f t="shared" si="370"/>
        <v>1</v>
      </c>
      <c r="BA343" s="141">
        <f t="shared" si="371"/>
        <v>1</v>
      </c>
      <c r="BB343">
        <f t="shared" si="372"/>
        <v>1</v>
      </c>
      <c r="BC343">
        <f t="shared" si="373"/>
        <v>0</v>
      </c>
      <c r="BD343">
        <f t="shared" si="374"/>
        <v>0</v>
      </c>
      <c r="BE343">
        <f t="shared" si="375"/>
        <v>0</v>
      </c>
      <c r="BF343">
        <f t="shared" si="376"/>
        <v>0</v>
      </c>
      <c r="BG343" t="str" cm="1">
        <f t="array" ref="BG343">IF(BA343=1,INDEX($X$7:$AN$7,MATCH(TRUE,INDEX($X343:$AY343&lt;&gt;0,),0)),IF(BA343=0,INDEX($AO$7:$AY$7,MATCH(1,$AO343:$AY343,0)),IF(BH343="Multiple strategies","mixed drivers",IF(BH343="Supply chain","multiple supply","multiple silviculture"))))</f>
        <v xml:space="preserve">cutting intensity </v>
      </c>
      <c r="BH343" s="2" t="str" cm="1">
        <f t="array" ref="BH343">IF(COUNTIF(BB343:BD343,"&lt;&gt;0")=1,INDEX($X$4:$AY$4,MATCH(TRUE,INDEX($X343:$AY343&lt;&gt;0,),0)),IF(COUNTIF(BB343:BD343,"&lt;&gt;0")=0,INDEX($AO$4:$AY$4,MATCH(1,$AO343:$AY343,0)),"Multiple strategies"))</f>
        <v>Silviculture for removals</v>
      </c>
      <c r="BI343" s="1"/>
      <c r="BJ343"/>
      <c r="BK343"/>
      <c r="BL343"/>
      <c r="BM343"/>
      <c r="BN343"/>
      <c r="BO343"/>
      <c r="BP343"/>
      <c r="BQ343"/>
      <c r="BR343" s="297" t="s">
        <v>232</v>
      </c>
      <c r="BS343" s="297"/>
      <c r="BT343" t="s">
        <v>3740</v>
      </c>
      <c r="BU343">
        <v>-46.669542900000003</v>
      </c>
      <c r="BV343" s="141">
        <v>-25.616516900000001</v>
      </c>
      <c r="BW343" s="144">
        <v>0.54889153199741325</v>
      </c>
      <c r="BX343">
        <v>21.053026000000003</v>
      </c>
      <c r="BY343"/>
      <c r="BZ343">
        <f t="shared" si="395"/>
        <v>2.1053026000000001E-5</v>
      </c>
      <c r="CA343" t="str">
        <f t="shared" si="352"/>
        <v/>
      </c>
      <c r="CB343" s="143">
        <v>0</v>
      </c>
      <c r="CC343" s="143">
        <v>1</v>
      </c>
      <c r="CD343" s="143">
        <v>0</v>
      </c>
      <c r="CE343" s="143">
        <v>1</v>
      </c>
      <c r="CF343" s="143">
        <v>0</v>
      </c>
      <c r="CG343" s="143">
        <v>0</v>
      </c>
      <c r="CH343" s="143">
        <v>0</v>
      </c>
      <c r="CI343" s="143">
        <v>0</v>
      </c>
      <c r="CJ343" s="143">
        <v>0</v>
      </c>
      <c r="CK343" s="143">
        <v>0</v>
      </c>
      <c r="CL343" s="143">
        <v>0</v>
      </c>
      <c r="CM343" s="143">
        <v>0</v>
      </c>
      <c r="CN343" s="143">
        <v>0</v>
      </c>
      <c r="CO343" s="143">
        <v>0</v>
      </c>
      <c r="CP343" t="str">
        <f t="shared" si="396"/>
        <v>refOK</v>
      </c>
      <c r="CQ343"/>
      <c r="CR343"/>
      <c r="CS343"/>
      <c r="CT343">
        <f t="shared" si="353"/>
        <v>0</v>
      </c>
      <c r="CU343">
        <f t="shared" si="378"/>
        <v>-46.669542900000003</v>
      </c>
      <c r="CV343">
        <f t="shared" si="366"/>
        <v>-25.616516900000001</v>
      </c>
      <c r="CW343">
        <f t="shared" si="379"/>
        <v>2.1053026000000001E-5</v>
      </c>
      <c r="CX343" t="str">
        <f t="shared" si="354"/>
        <v/>
      </c>
      <c r="CY343" t="str">
        <f t="shared" si="380"/>
        <v/>
      </c>
      <c r="CZ343" t="str">
        <f t="shared" si="355"/>
        <v/>
      </c>
      <c r="DA343" s="2">
        <f t="shared" si="381"/>
        <v>0.4511084680025868</v>
      </c>
      <c r="DB343" s="1" t="s">
        <v>1078</v>
      </c>
      <c r="DC343" s="297" t="str">
        <f t="shared" si="393"/>
        <v>reg</v>
      </c>
      <c r="DD343" t="s">
        <v>235</v>
      </c>
      <c r="DE343">
        <v>2010</v>
      </c>
      <c r="DF343">
        <v>2110</v>
      </c>
      <c r="DG343" s="143">
        <f>DF343-DE343</f>
        <v>100</v>
      </c>
      <c r="DH343" t="str">
        <f t="shared" si="382"/>
        <v>71-100</v>
      </c>
      <c r="DI343">
        <v>1</v>
      </c>
      <c r="DJ343">
        <v>1</v>
      </c>
      <c r="DK343">
        <v>0</v>
      </c>
      <c r="DL343">
        <v>0</v>
      </c>
      <c r="DM343"/>
      <c r="DN343">
        <f t="shared" si="392"/>
        <v>2</v>
      </c>
      <c r="DO343" t="str">
        <f t="shared" si="383"/>
        <v>mixedProduct</v>
      </c>
      <c r="DP343" t="str">
        <f t="shared" si="384"/>
        <v>Upstream</v>
      </c>
      <c r="DQ343" t="str">
        <f t="shared" si="385"/>
        <v>Energy</v>
      </c>
      <c r="DR343">
        <f t="shared" si="386"/>
        <v>0</v>
      </c>
      <c r="DS343">
        <f t="shared" si="387"/>
        <v>0</v>
      </c>
      <c r="DT343">
        <v>0</v>
      </c>
      <c r="DU343" s="143">
        <v>0</v>
      </c>
      <c r="DV343" t="s">
        <v>1976</v>
      </c>
      <c r="DW343">
        <v>0</v>
      </c>
      <c r="DX343">
        <v>0</v>
      </c>
      <c r="DY343">
        <f t="shared" si="367"/>
        <v>0</v>
      </c>
      <c r="DZ343" s="143" t="str">
        <f t="shared" si="394"/>
        <v>explicit C balance</v>
      </c>
      <c r="EA343" s="143">
        <v>1</v>
      </c>
      <c r="EB343" s="143">
        <v>1</v>
      </c>
      <c r="EC343" s="143">
        <v>1</v>
      </c>
      <c r="ED343" s="143">
        <v>0</v>
      </c>
      <c r="EE343" s="143">
        <v>1</v>
      </c>
      <c r="EF343" s="143">
        <v>0</v>
      </c>
      <c r="EG343" s="143">
        <v>1</v>
      </c>
      <c r="EH343" s="143">
        <v>1</v>
      </c>
      <c r="EI343" s="143">
        <v>0</v>
      </c>
      <c r="EJ343" s="143">
        <v>0</v>
      </c>
      <c r="EK343" s="143">
        <v>1</v>
      </c>
      <c r="EL343" s="143">
        <v>0</v>
      </c>
      <c r="EM343" s="143">
        <v>0</v>
      </c>
      <c r="EN343" s="192">
        <v>0</v>
      </c>
      <c r="EO343" s="1"/>
      <c r="EP343" t="str">
        <f t="shared" si="356"/>
        <v>Whole sector approach</v>
      </c>
      <c r="EQ343" t="str">
        <f t="shared" si="368"/>
        <v/>
      </c>
      <c r="ER343" s="2" t="str">
        <f t="shared" si="357"/>
        <v/>
      </c>
      <c r="ES343" t="str">
        <f t="shared" si="358"/>
        <v/>
      </c>
      <c r="ET343" t="str">
        <f t="shared" si="359"/>
        <v/>
      </c>
      <c r="EU343" t="str">
        <f t="shared" si="360"/>
        <v/>
      </c>
      <c r="EV343"/>
      <c r="EW343"/>
      <c r="EX343"/>
      <c r="EY343" t="b">
        <f>IF(ISNUMBER(BW343),IF(ABS(BW343-[1]QC_indicators!$B$2)&gt;3*[1]QC_indicators!$C$2,"C ratio",IF(ISNUMBER(CA343),IF(ABS(CA343-[1]QC_indicators!$B$1)&gt;3*[1]QC_indicators!$C$1,"DF","no"))),IF(ISNUMBER(CA343),IF(ABS(CA343-[1]QC_indicators!$B$1)&gt;3*[1]QC_indicators!$C$1,"DF","no")))</f>
        <v>0</v>
      </c>
      <c r="EZ343"/>
      <c r="FA343" t="str">
        <f t="shared" si="361"/>
        <v/>
      </c>
      <c r="FB343" s="299" t="s">
        <v>349</v>
      </c>
      <c r="FC343"/>
      <c r="FD343"/>
      <c r="FE343"/>
    </row>
    <row r="344" spans="1:161" ht="15" hidden="1" customHeight="1">
      <c r="D344" t="s">
        <v>3735</v>
      </c>
      <c r="E344" t="s">
        <v>3736</v>
      </c>
      <c r="G344" t="s">
        <v>807</v>
      </c>
      <c r="I344">
        <v>2012</v>
      </c>
      <c r="K344" t="s">
        <v>3737</v>
      </c>
      <c r="M344" t="str">
        <f t="shared" si="388"/>
        <v>Repo_2012</v>
      </c>
      <c r="N344" s="297" t="s">
        <v>4058</v>
      </c>
      <c r="O344" s="145" t="s">
        <v>225</v>
      </c>
      <c r="Q344" s="297" t="s">
        <v>256</v>
      </c>
      <c r="R344" s="298"/>
      <c r="S344" s="1" t="s">
        <v>3742</v>
      </c>
      <c r="T344" t="s">
        <v>3738</v>
      </c>
      <c r="U344" t="s">
        <v>3741</v>
      </c>
      <c r="X344" s="143">
        <v>0</v>
      </c>
      <c r="Y344" s="143">
        <v>0</v>
      </c>
      <c r="Z344" s="143">
        <v>0</v>
      </c>
      <c r="AA344" s="143">
        <v>0</v>
      </c>
      <c r="AB344" s="143">
        <v>0</v>
      </c>
      <c r="AC344" s="143">
        <v>0</v>
      </c>
      <c r="AD344" s="143">
        <v>0</v>
      </c>
      <c r="AE344" s="143">
        <v>0</v>
      </c>
      <c r="AF344" s="143">
        <v>0</v>
      </c>
      <c r="AG344" s="143">
        <v>0</v>
      </c>
      <c r="AH344" s="143">
        <v>0</v>
      </c>
      <c r="AI344" s="143">
        <v>0</v>
      </c>
      <c r="AJ344" s="143">
        <v>0</v>
      </c>
      <c r="AK344" s="143">
        <v>0</v>
      </c>
      <c r="AL344" s="143">
        <v>1</v>
      </c>
      <c r="AM344" s="143">
        <v>0</v>
      </c>
      <c r="AN344" s="143">
        <v>0</v>
      </c>
      <c r="AO344" s="143">
        <v>0</v>
      </c>
      <c r="AP344" s="143">
        <v>0</v>
      </c>
      <c r="AQ344" s="143">
        <v>0</v>
      </c>
      <c r="AR344" s="143">
        <v>0</v>
      </c>
      <c r="AS344" s="143">
        <v>0</v>
      </c>
      <c r="AT344" s="143">
        <v>0</v>
      </c>
      <c r="AU344" s="143">
        <v>0</v>
      </c>
      <c r="AV344" s="143">
        <v>0</v>
      </c>
      <c r="AW344" s="143">
        <v>0</v>
      </c>
      <c r="AX344" s="143">
        <v>0</v>
      </c>
      <c r="AY344" s="143">
        <v>0</v>
      </c>
      <c r="AZ344" s="141">
        <f t="shared" si="370"/>
        <v>1</v>
      </c>
      <c r="BA344" s="141">
        <f t="shared" si="371"/>
        <v>1</v>
      </c>
      <c r="BB344">
        <f t="shared" si="372"/>
        <v>0</v>
      </c>
      <c r="BC344">
        <f t="shared" si="373"/>
        <v>0</v>
      </c>
      <c r="BD344">
        <f t="shared" si="374"/>
        <v>1</v>
      </c>
      <c r="BE344">
        <f t="shared" si="375"/>
        <v>0</v>
      </c>
      <c r="BF344">
        <f t="shared" si="376"/>
        <v>0</v>
      </c>
      <c r="BG344" t="str" cm="1">
        <f t="array" ref="BG344">IF(BA344=1,INDEX($X$7:$AN$7,MATCH(TRUE,INDEX($X344:$AY344&lt;&gt;0,),0)),IF(BA344=0,INDEX($AO$7:$AY$7,MATCH(1,$AO344:$AY344,0)),IF(BH344="Multiple strategies","mixed drivers",IF(BH344="Supply chain","multiple supply","multiple silviculture"))))</f>
        <v>efficiency improvement</v>
      </c>
      <c r="BH344" s="2" t="str" cm="1">
        <f t="array" ref="BH344">IF(COUNTIF(BB344:BD344,"&lt;&gt;0")=1,INDEX($X$4:$AY$4,MATCH(TRUE,INDEX($X344:$AY344&lt;&gt;0,),0)),IF(COUNTIF(BB344:BD344,"&lt;&gt;0")=0,INDEX($AO$4:$AY$4,MATCH(1,$AO344:$AY344,0)),"Multiple strategies"))</f>
        <v>Technology</v>
      </c>
      <c r="BR344" s="297" t="s">
        <v>232</v>
      </c>
      <c r="BS344" s="297"/>
      <c r="BT344" t="s">
        <v>3740</v>
      </c>
      <c r="BU344" s="141">
        <v>-78</v>
      </c>
      <c r="BV344" s="141">
        <v>-107.01820499999999</v>
      </c>
      <c r="BW344" s="144">
        <v>1.3720282692307693</v>
      </c>
      <c r="BX344">
        <v>-29.018204999999995</v>
      </c>
      <c r="BZ344">
        <f t="shared" si="395"/>
        <v>-2.9018204999999996E-5</v>
      </c>
      <c r="CA344" t="str">
        <f t="shared" si="352"/>
        <v/>
      </c>
      <c r="CB344" s="143">
        <v>0</v>
      </c>
      <c r="CC344" s="143">
        <v>1</v>
      </c>
      <c r="CD344" s="143">
        <v>0</v>
      </c>
      <c r="CE344" s="143">
        <v>1</v>
      </c>
      <c r="CF344" s="143">
        <v>0</v>
      </c>
      <c r="CG344" s="143">
        <v>0</v>
      </c>
      <c r="CH344" s="143">
        <v>0</v>
      </c>
      <c r="CI344" s="143">
        <v>0</v>
      </c>
      <c r="CJ344" s="143">
        <v>0</v>
      </c>
      <c r="CK344" s="143">
        <v>0</v>
      </c>
      <c r="CL344" s="143">
        <v>0</v>
      </c>
      <c r="CM344" s="143">
        <v>0</v>
      </c>
      <c r="CN344" s="143">
        <v>0</v>
      </c>
      <c r="CO344" s="143">
        <v>0</v>
      </c>
      <c r="CP344" t="str">
        <f t="shared" si="396"/>
        <v>refOK</v>
      </c>
      <c r="CQ344"/>
      <c r="CR344"/>
      <c r="CS344"/>
      <c r="CT344">
        <f t="shared" si="353"/>
        <v>0</v>
      </c>
      <c r="CU344">
        <f t="shared" si="378"/>
        <v>-78</v>
      </c>
      <c r="CV344">
        <f t="shared" si="366"/>
        <v>-107.01820499999999</v>
      </c>
      <c r="CW344">
        <f t="shared" si="379"/>
        <v>-2.9018204999999996E-5</v>
      </c>
      <c r="CX344" t="str">
        <f t="shared" si="354"/>
        <v/>
      </c>
      <c r="CY344" t="str">
        <f t="shared" si="380"/>
        <v/>
      </c>
      <c r="CZ344" t="str">
        <f t="shared" si="355"/>
        <v/>
      </c>
      <c r="DA344" s="2">
        <f t="shared" si="381"/>
        <v>-0.37202826923076915</v>
      </c>
      <c r="DB344" s="1" t="s">
        <v>1078</v>
      </c>
      <c r="DC344" s="297" t="str">
        <f t="shared" si="393"/>
        <v>reg</v>
      </c>
      <c r="DD344" t="s">
        <v>235</v>
      </c>
      <c r="DE344">
        <v>2010</v>
      </c>
      <c r="DF344">
        <v>2010</v>
      </c>
      <c r="DG344" s="143">
        <v>0</v>
      </c>
      <c r="DH344" t="str">
        <f t="shared" si="382"/>
        <v>0</v>
      </c>
      <c r="DI344">
        <v>1</v>
      </c>
      <c r="DJ344">
        <v>1</v>
      </c>
      <c r="DK344">
        <v>0</v>
      </c>
      <c r="DL344">
        <v>0</v>
      </c>
      <c r="DN344">
        <f t="shared" si="392"/>
        <v>2</v>
      </c>
      <c r="DO344" t="str">
        <f t="shared" si="383"/>
        <v>mixedProduct</v>
      </c>
      <c r="DP344" t="str">
        <f t="shared" si="384"/>
        <v>Upstream</v>
      </c>
      <c r="DQ344" t="str">
        <f t="shared" si="385"/>
        <v>Energy</v>
      </c>
      <c r="DR344">
        <f t="shared" si="386"/>
        <v>0</v>
      </c>
      <c r="DS344">
        <f t="shared" si="387"/>
        <v>0</v>
      </c>
      <c r="DT344">
        <v>0</v>
      </c>
      <c r="DU344" s="143">
        <v>0</v>
      </c>
      <c r="DV344" t="s">
        <v>1976</v>
      </c>
      <c r="DW344">
        <v>0</v>
      </c>
      <c r="DX344">
        <v>0</v>
      </c>
      <c r="DY344">
        <f t="shared" si="367"/>
        <v>0</v>
      </c>
      <c r="DZ344" s="143" t="str">
        <f t="shared" si="394"/>
        <v>explicit C balance</v>
      </c>
      <c r="EA344" s="143">
        <v>1</v>
      </c>
      <c r="EB344" s="143">
        <v>1</v>
      </c>
      <c r="EC344" s="143">
        <v>1</v>
      </c>
      <c r="ED344" s="143">
        <v>0</v>
      </c>
      <c r="EE344" s="143">
        <v>1</v>
      </c>
      <c r="EF344" s="143">
        <v>0</v>
      </c>
      <c r="EG344" s="143">
        <v>1</v>
      </c>
      <c r="EH344" s="143">
        <v>1</v>
      </c>
      <c r="EI344" s="143">
        <v>0</v>
      </c>
      <c r="EJ344" s="143">
        <v>0</v>
      </c>
      <c r="EK344" s="143">
        <v>1</v>
      </c>
      <c r="EL344" s="143">
        <v>0</v>
      </c>
      <c r="EM344" s="143">
        <v>0</v>
      </c>
      <c r="EN344" s="192">
        <v>0</v>
      </c>
      <c r="EP344" t="str">
        <f t="shared" si="356"/>
        <v>Whole sector approach</v>
      </c>
      <c r="EQ344" t="str">
        <f t="shared" si="368"/>
        <v/>
      </c>
      <c r="ER344" s="2" t="str">
        <f t="shared" si="357"/>
        <v/>
      </c>
      <c r="ES344" t="str">
        <f t="shared" si="358"/>
        <v/>
      </c>
      <c r="ET344" t="str">
        <f t="shared" si="359"/>
        <v/>
      </c>
      <c r="EU344" t="str">
        <f t="shared" si="360"/>
        <v/>
      </c>
      <c r="EY344" t="b">
        <f>IF(ISNUMBER(BW344),IF(ABS(BW344-[1]QC_indicators!$B$2)&gt;3*[1]QC_indicators!$C$2,"C ratio",IF(ISNUMBER(CA344),IF(ABS(CA344-[1]QC_indicators!$B$1)&gt;3*[1]QC_indicators!$C$1,"DF","no"))),IF(ISNUMBER(CA344),IF(ABS(CA344-[1]QC_indicators!$B$1)&gt;3*[1]QC_indicators!$C$1,"DF","no")))</f>
        <v>0</v>
      </c>
      <c r="FA344" t="str">
        <f t="shared" si="361"/>
        <v/>
      </c>
      <c r="FB344" s="299" t="s">
        <v>349</v>
      </c>
    </row>
    <row r="345" spans="1:161" ht="15" hidden="1" customHeight="1">
      <c r="D345" t="s">
        <v>3735</v>
      </c>
      <c r="E345" t="s">
        <v>3736</v>
      </c>
      <c r="G345" t="s">
        <v>807</v>
      </c>
      <c r="I345">
        <v>2012</v>
      </c>
      <c r="K345" t="s">
        <v>3737</v>
      </c>
      <c r="M345" t="str">
        <f t="shared" si="388"/>
        <v>Repo_2012</v>
      </c>
      <c r="N345" s="297" t="s">
        <v>4058</v>
      </c>
      <c r="O345" s="145" t="s">
        <v>225</v>
      </c>
      <c r="Q345" s="297" t="s">
        <v>256</v>
      </c>
      <c r="R345" s="298"/>
      <c r="S345" s="1" t="s">
        <v>509</v>
      </c>
      <c r="T345" t="s">
        <v>3738</v>
      </c>
      <c r="U345" t="s">
        <v>3741</v>
      </c>
      <c r="X345" s="143">
        <v>0</v>
      </c>
      <c r="Y345" s="143">
        <v>0</v>
      </c>
      <c r="Z345" s="143">
        <v>0</v>
      </c>
      <c r="AA345" s="143">
        <v>0</v>
      </c>
      <c r="AB345" s="143">
        <v>0</v>
      </c>
      <c r="AC345" s="143">
        <v>0</v>
      </c>
      <c r="AD345" s="143">
        <v>0</v>
      </c>
      <c r="AE345" s="143">
        <v>0</v>
      </c>
      <c r="AF345" s="143">
        <v>0</v>
      </c>
      <c r="AG345" s="143">
        <v>0</v>
      </c>
      <c r="AH345" s="143">
        <v>0</v>
      </c>
      <c r="AI345" s="143">
        <v>0</v>
      </c>
      <c r="AJ345" s="143">
        <v>0</v>
      </c>
      <c r="AK345" s="143">
        <v>0</v>
      </c>
      <c r="AL345" s="143">
        <v>1</v>
      </c>
      <c r="AM345" s="143">
        <v>0</v>
      </c>
      <c r="AN345" s="143">
        <v>0</v>
      </c>
      <c r="AO345" s="143">
        <v>0</v>
      </c>
      <c r="AP345" s="143">
        <v>0</v>
      </c>
      <c r="AQ345" s="143">
        <v>0</v>
      </c>
      <c r="AR345" s="143">
        <v>0</v>
      </c>
      <c r="AS345" s="143">
        <v>0</v>
      </c>
      <c r="AT345" s="143">
        <v>0</v>
      </c>
      <c r="AU345" s="143">
        <v>0</v>
      </c>
      <c r="AV345" s="143">
        <v>0</v>
      </c>
      <c r="AW345" s="143">
        <v>0</v>
      </c>
      <c r="AX345" s="143">
        <v>0</v>
      </c>
      <c r="AY345" s="143">
        <v>0</v>
      </c>
      <c r="AZ345" s="141">
        <f t="shared" si="370"/>
        <v>1</v>
      </c>
      <c r="BA345" s="141">
        <f t="shared" si="371"/>
        <v>1</v>
      </c>
      <c r="BB345">
        <f t="shared" si="372"/>
        <v>0</v>
      </c>
      <c r="BC345">
        <f t="shared" si="373"/>
        <v>0</v>
      </c>
      <c r="BD345">
        <f t="shared" si="374"/>
        <v>1</v>
      </c>
      <c r="BE345">
        <f t="shared" si="375"/>
        <v>0</v>
      </c>
      <c r="BF345">
        <f t="shared" si="376"/>
        <v>0</v>
      </c>
      <c r="BG345" t="str" cm="1">
        <f t="array" ref="BG345">IF(BA345=1,INDEX($X$7:$AN$7,MATCH(TRUE,INDEX($X345:$AY345&lt;&gt;0,),0)),IF(BA345=0,INDEX($AO$7:$AY$7,MATCH(1,$AO345:$AY345,0)),IF(BH345="Multiple strategies","mixed drivers",IF(BH345="Supply chain","multiple supply","multiple silviculture"))))</f>
        <v>efficiency improvement</v>
      </c>
      <c r="BH345" s="2" t="str" cm="1">
        <f t="array" ref="BH345">IF(COUNTIF(BB345:BD345,"&lt;&gt;0")=1,INDEX($X$4:$AY$4,MATCH(TRUE,INDEX($X345:$AY345&lt;&gt;0,),0)),IF(COUNTIF(BB345:BD345,"&lt;&gt;0")=0,INDEX($AO$4:$AY$4,MATCH(1,$AO345:$AY345,0)),"Multiple strategies"))</f>
        <v>Technology</v>
      </c>
      <c r="BR345" s="297" t="s">
        <v>232</v>
      </c>
      <c r="BS345" s="297"/>
      <c r="BT345" t="s">
        <v>3740</v>
      </c>
      <c r="BU345" s="141">
        <v>-40.2526127</v>
      </c>
      <c r="BV345" s="141">
        <v>-46.669542900000003</v>
      </c>
      <c r="BW345" s="144">
        <v>1.1594164892556156</v>
      </c>
      <c r="BX345">
        <v>-6.416930200000003</v>
      </c>
      <c r="BZ345">
        <f t="shared" si="395"/>
        <v>-6.4169302000000032E-6</v>
      </c>
      <c r="CA345" t="str">
        <f t="shared" si="352"/>
        <v/>
      </c>
      <c r="CB345" s="143">
        <v>0</v>
      </c>
      <c r="CC345" s="143">
        <v>1</v>
      </c>
      <c r="CD345" s="143">
        <v>0</v>
      </c>
      <c r="CE345" s="143">
        <v>1</v>
      </c>
      <c r="CF345" s="143">
        <v>0</v>
      </c>
      <c r="CG345" s="143">
        <v>0</v>
      </c>
      <c r="CH345" s="143">
        <v>0</v>
      </c>
      <c r="CI345" s="143">
        <v>0</v>
      </c>
      <c r="CJ345" s="143">
        <v>0</v>
      </c>
      <c r="CK345" s="143">
        <v>0</v>
      </c>
      <c r="CL345" s="143">
        <v>0</v>
      </c>
      <c r="CM345" s="143">
        <v>0</v>
      </c>
      <c r="CN345" s="143">
        <v>0</v>
      </c>
      <c r="CO345" s="143">
        <v>0</v>
      </c>
      <c r="CP345" t="str">
        <f t="shared" si="396"/>
        <v>refOK</v>
      </c>
      <c r="CQ345"/>
      <c r="CR345"/>
      <c r="CS345"/>
      <c r="CT345">
        <f t="shared" si="353"/>
        <v>0</v>
      </c>
      <c r="CU345">
        <f t="shared" si="378"/>
        <v>-40.2526127</v>
      </c>
      <c r="CV345">
        <f t="shared" si="366"/>
        <v>-46.669542900000003</v>
      </c>
      <c r="CW345">
        <f t="shared" si="379"/>
        <v>-6.4169302000000032E-6</v>
      </c>
      <c r="CX345" t="str">
        <f t="shared" si="354"/>
        <v/>
      </c>
      <c r="CY345" t="str">
        <f t="shared" si="380"/>
        <v/>
      </c>
      <c r="CZ345" t="str">
        <f t="shared" si="355"/>
        <v/>
      </c>
      <c r="DA345" s="2">
        <f t="shared" si="381"/>
        <v>-0.15941648925561552</v>
      </c>
      <c r="DB345" s="1" t="s">
        <v>1078</v>
      </c>
      <c r="DC345" s="297" t="str">
        <f t="shared" si="393"/>
        <v>reg</v>
      </c>
      <c r="DD345" t="s">
        <v>235</v>
      </c>
      <c r="DE345">
        <v>2010</v>
      </c>
      <c r="DF345">
        <v>2030</v>
      </c>
      <c r="DG345" s="143">
        <f t="shared" ref="DG345:DG351" si="397">DF345-DE345</f>
        <v>20</v>
      </c>
      <c r="DH345" t="str">
        <f t="shared" si="382"/>
        <v>1-30</v>
      </c>
      <c r="DI345">
        <v>1</v>
      </c>
      <c r="DJ345">
        <v>1</v>
      </c>
      <c r="DK345">
        <v>0</v>
      </c>
      <c r="DL345">
        <v>0</v>
      </c>
      <c r="DN345">
        <f t="shared" si="392"/>
        <v>2</v>
      </c>
      <c r="DO345" t="str">
        <f t="shared" si="383"/>
        <v>mixedProduct</v>
      </c>
      <c r="DP345" t="str">
        <f t="shared" si="384"/>
        <v>Upstream</v>
      </c>
      <c r="DQ345" t="str">
        <f t="shared" si="385"/>
        <v>Energy</v>
      </c>
      <c r="DR345">
        <f t="shared" si="386"/>
        <v>0</v>
      </c>
      <c r="DS345">
        <f t="shared" si="387"/>
        <v>0</v>
      </c>
      <c r="DT345">
        <v>0</v>
      </c>
      <c r="DU345" s="143">
        <v>0</v>
      </c>
      <c r="DV345" t="s">
        <v>1976</v>
      </c>
      <c r="DW345">
        <v>0</v>
      </c>
      <c r="DX345">
        <v>0</v>
      </c>
      <c r="DY345">
        <f t="shared" si="367"/>
        <v>0</v>
      </c>
      <c r="DZ345" s="143" t="str">
        <f t="shared" si="394"/>
        <v>explicit C balance</v>
      </c>
      <c r="EA345" s="143">
        <v>1</v>
      </c>
      <c r="EB345" s="143">
        <v>1</v>
      </c>
      <c r="EC345" s="143">
        <v>1</v>
      </c>
      <c r="ED345" s="143">
        <v>0</v>
      </c>
      <c r="EE345" s="143">
        <v>1</v>
      </c>
      <c r="EF345" s="143">
        <v>0</v>
      </c>
      <c r="EG345" s="143">
        <v>1</v>
      </c>
      <c r="EH345" s="143">
        <v>1</v>
      </c>
      <c r="EI345" s="143">
        <v>0</v>
      </c>
      <c r="EJ345" s="143">
        <v>0</v>
      </c>
      <c r="EK345" s="143">
        <v>1</v>
      </c>
      <c r="EL345" s="143">
        <v>0</v>
      </c>
      <c r="EM345" s="143">
        <v>0</v>
      </c>
      <c r="EN345" s="192">
        <v>0</v>
      </c>
      <c r="EP345" t="str">
        <f t="shared" si="356"/>
        <v>Whole sector approach</v>
      </c>
      <c r="EQ345" t="str">
        <f t="shared" si="368"/>
        <v/>
      </c>
      <c r="ER345" s="2" t="str">
        <f t="shared" si="357"/>
        <v/>
      </c>
      <c r="ES345" t="str">
        <f t="shared" si="358"/>
        <v/>
      </c>
      <c r="ET345" t="str">
        <f t="shared" si="359"/>
        <v/>
      </c>
      <c r="EU345" t="str">
        <f t="shared" si="360"/>
        <v/>
      </c>
      <c r="EY345" t="b">
        <f>IF(ISNUMBER(BW345),IF(ABS(BW345-[1]QC_indicators!$B$2)&gt;3*[1]QC_indicators!$C$2,"C ratio",IF(ISNUMBER(CA345),IF(ABS(CA345-[1]QC_indicators!$B$1)&gt;3*[1]QC_indicators!$C$1,"DF","no"))),IF(ISNUMBER(CA345),IF(ABS(CA345-[1]QC_indicators!$B$1)&gt;3*[1]QC_indicators!$C$1,"DF","no")))</f>
        <v>0</v>
      </c>
      <c r="FA345" t="str">
        <f t="shared" si="361"/>
        <v/>
      </c>
      <c r="FB345" s="299" t="s">
        <v>349</v>
      </c>
    </row>
    <row r="346" spans="1:161" ht="15" hidden="1" customHeight="1">
      <c r="D346" t="s">
        <v>3735</v>
      </c>
      <c r="E346" t="s">
        <v>3736</v>
      </c>
      <c r="G346" t="s">
        <v>807</v>
      </c>
      <c r="I346">
        <v>2012</v>
      </c>
      <c r="K346" t="s">
        <v>3737</v>
      </c>
      <c r="M346" t="str">
        <f t="shared" si="388"/>
        <v>Repo_2012</v>
      </c>
      <c r="N346" s="297" t="s">
        <v>4058</v>
      </c>
      <c r="O346" s="145" t="s">
        <v>225</v>
      </c>
      <c r="Q346" s="297" t="s">
        <v>256</v>
      </c>
      <c r="R346" s="298"/>
      <c r="S346" s="1" t="s">
        <v>509</v>
      </c>
      <c r="T346" t="s">
        <v>3738</v>
      </c>
      <c r="U346" t="s">
        <v>3739</v>
      </c>
      <c r="X346" s="143">
        <v>0</v>
      </c>
      <c r="Y346" s="143">
        <v>0</v>
      </c>
      <c r="Z346" s="143">
        <v>0</v>
      </c>
      <c r="AA346" s="143">
        <v>0</v>
      </c>
      <c r="AB346" s="143">
        <v>0</v>
      </c>
      <c r="AC346" s="143">
        <v>0</v>
      </c>
      <c r="AD346" s="143">
        <v>0</v>
      </c>
      <c r="AE346" s="143">
        <v>0</v>
      </c>
      <c r="AF346" s="143">
        <v>0</v>
      </c>
      <c r="AG346" s="143">
        <v>0</v>
      </c>
      <c r="AH346" s="143">
        <v>0</v>
      </c>
      <c r="AI346" s="143">
        <v>0</v>
      </c>
      <c r="AJ346" s="143">
        <v>0</v>
      </c>
      <c r="AK346" s="143">
        <v>0</v>
      </c>
      <c r="AL346" s="143">
        <v>1</v>
      </c>
      <c r="AM346" s="143">
        <v>0</v>
      </c>
      <c r="AN346" s="143">
        <v>0</v>
      </c>
      <c r="AO346" s="143">
        <v>0</v>
      </c>
      <c r="AP346" s="143">
        <v>0</v>
      </c>
      <c r="AQ346" s="143">
        <v>0</v>
      </c>
      <c r="AR346" s="143">
        <v>0</v>
      </c>
      <c r="AS346" s="143">
        <v>0</v>
      </c>
      <c r="AT346" s="143">
        <v>0</v>
      </c>
      <c r="AU346" s="143">
        <v>0</v>
      </c>
      <c r="AV346" s="143">
        <v>0</v>
      </c>
      <c r="AW346" s="143">
        <v>0</v>
      </c>
      <c r="AX346" s="143">
        <v>0</v>
      </c>
      <c r="AY346" s="143">
        <v>0</v>
      </c>
      <c r="AZ346" s="141">
        <f t="shared" si="370"/>
        <v>1</v>
      </c>
      <c r="BA346" s="141">
        <f t="shared" si="371"/>
        <v>1</v>
      </c>
      <c r="BB346">
        <f t="shared" si="372"/>
        <v>0</v>
      </c>
      <c r="BC346">
        <f t="shared" si="373"/>
        <v>0</v>
      </c>
      <c r="BD346">
        <f t="shared" si="374"/>
        <v>1</v>
      </c>
      <c r="BE346">
        <f t="shared" si="375"/>
        <v>0</v>
      </c>
      <c r="BF346">
        <f t="shared" si="376"/>
        <v>0</v>
      </c>
      <c r="BG346" t="str" cm="1">
        <f t="array" ref="BG346">IF(BA346=1,INDEX($X$7:$AN$7,MATCH(TRUE,INDEX($X346:$AY346&lt;&gt;0,),0)),IF(BA346=0,INDEX($AO$7:$AY$7,MATCH(1,$AO346:$AY346,0)),IF(BH346="Multiple strategies","mixed drivers",IF(BH346="Supply chain","multiple supply","multiple silviculture"))))</f>
        <v>efficiency improvement</v>
      </c>
      <c r="BH346" s="2" t="str" cm="1">
        <f t="array" ref="BH346">IF(COUNTIF(BB346:BD346,"&lt;&gt;0")=1,INDEX($X$4:$AY$4,MATCH(TRUE,INDEX($X346:$AY346&lt;&gt;0,),0)),IF(COUNTIF(BB346:BD346,"&lt;&gt;0")=0,INDEX($AO$4:$AY$4,MATCH(1,$AO346:$AY346,0)),"Multiple strategies"))</f>
        <v>Technology</v>
      </c>
      <c r="BR346" s="297" t="s">
        <v>232</v>
      </c>
      <c r="BS346" s="297"/>
      <c r="BT346" t="s">
        <v>3740</v>
      </c>
      <c r="BU346" s="141">
        <v>-72.973052800000005</v>
      </c>
      <c r="BV346" s="141">
        <v>-81.193580800000007</v>
      </c>
      <c r="BW346" s="144">
        <v>1.1126515567675415</v>
      </c>
      <c r="BX346">
        <v>-8.2205280000000016</v>
      </c>
      <c r="BZ346">
        <f t="shared" si="395"/>
        <v>-8.2205280000000019E-6</v>
      </c>
      <c r="CA346" t="str">
        <f t="shared" si="352"/>
        <v/>
      </c>
      <c r="CB346" s="143">
        <v>0</v>
      </c>
      <c r="CC346" s="143">
        <v>1</v>
      </c>
      <c r="CD346" s="143">
        <v>0</v>
      </c>
      <c r="CE346" s="143">
        <v>1</v>
      </c>
      <c r="CF346" s="143">
        <v>0</v>
      </c>
      <c r="CG346" s="143">
        <v>0</v>
      </c>
      <c r="CH346" s="143">
        <v>0</v>
      </c>
      <c r="CI346" s="143">
        <v>0</v>
      </c>
      <c r="CJ346" s="143">
        <v>0</v>
      </c>
      <c r="CK346" s="143">
        <v>0</v>
      </c>
      <c r="CL346" s="143">
        <v>0</v>
      </c>
      <c r="CM346" s="143">
        <v>0</v>
      </c>
      <c r="CN346" s="143">
        <v>0</v>
      </c>
      <c r="CO346" s="143">
        <v>0</v>
      </c>
      <c r="CP346" t="str">
        <f t="shared" si="396"/>
        <v>refOK</v>
      </c>
      <c r="CQ346"/>
      <c r="CR346"/>
      <c r="CS346"/>
      <c r="CT346">
        <f t="shared" si="353"/>
        <v>0</v>
      </c>
      <c r="CU346">
        <f t="shared" si="378"/>
        <v>-72.973052800000005</v>
      </c>
      <c r="CV346">
        <f t="shared" si="366"/>
        <v>-81.193580800000007</v>
      </c>
      <c r="CW346">
        <f t="shared" si="379"/>
        <v>-8.2205280000000019E-6</v>
      </c>
      <c r="CX346" t="str">
        <f t="shared" si="354"/>
        <v/>
      </c>
      <c r="CY346" t="str">
        <f t="shared" si="380"/>
        <v/>
      </c>
      <c r="CZ346" t="str">
        <f t="shared" si="355"/>
        <v/>
      </c>
      <c r="DA346" s="2">
        <f t="shared" si="381"/>
        <v>-0.11265155676754147</v>
      </c>
      <c r="DB346" s="1" t="s">
        <v>1078</v>
      </c>
      <c r="DC346" s="297" t="str">
        <f t="shared" si="393"/>
        <v>reg</v>
      </c>
      <c r="DD346" t="s">
        <v>235</v>
      </c>
      <c r="DE346">
        <v>2010</v>
      </c>
      <c r="DF346">
        <v>2030</v>
      </c>
      <c r="DG346" s="143">
        <f t="shared" si="397"/>
        <v>20</v>
      </c>
      <c r="DH346" t="str">
        <f t="shared" si="382"/>
        <v>1-30</v>
      </c>
      <c r="DI346">
        <v>1</v>
      </c>
      <c r="DJ346">
        <v>1</v>
      </c>
      <c r="DK346">
        <v>0</v>
      </c>
      <c r="DL346">
        <v>0</v>
      </c>
      <c r="DN346">
        <f t="shared" si="392"/>
        <v>2</v>
      </c>
      <c r="DO346" t="str">
        <f t="shared" si="383"/>
        <v>mixedProduct</v>
      </c>
      <c r="DP346" t="str">
        <f t="shared" si="384"/>
        <v>Upstream</v>
      </c>
      <c r="DQ346" t="str">
        <f t="shared" si="385"/>
        <v>Energy</v>
      </c>
      <c r="DR346">
        <f t="shared" si="386"/>
        <v>0</v>
      </c>
      <c r="DS346">
        <f t="shared" si="387"/>
        <v>0</v>
      </c>
      <c r="DT346">
        <v>0</v>
      </c>
      <c r="DU346" s="143">
        <v>0</v>
      </c>
      <c r="DV346" t="s">
        <v>1976</v>
      </c>
      <c r="DW346">
        <v>0</v>
      </c>
      <c r="DX346">
        <v>0</v>
      </c>
      <c r="DY346">
        <f t="shared" si="367"/>
        <v>0</v>
      </c>
      <c r="DZ346" s="143" t="str">
        <f t="shared" si="394"/>
        <v>explicit C balance</v>
      </c>
      <c r="EA346" s="143">
        <v>1</v>
      </c>
      <c r="EB346" s="143">
        <v>1</v>
      </c>
      <c r="EC346" s="143">
        <v>1</v>
      </c>
      <c r="ED346" s="143">
        <v>0</v>
      </c>
      <c r="EE346" s="143">
        <v>1</v>
      </c>
      <c r="EF346" s="143">
        <v>0</v>
      </c>
      <c r="EG346" s="143">
        <v>1</v>
      </c>
      <c r="EH346" s="143">
        <v>1</v>
      </c>
      <c r="EI346" s="143">
        <v>0</v>
      </c>
      <c r="EJ346" s="143">
        <v>0</v>
      </c>
      <c r="EK346" s="143">
        <v>1</v>
      </c>
      <c r="EL346" s="143">
        <v>0</v>
      </c>
      <c r="EM346" s="143">
        <v>0</v>
      </c>
      <c r="EN346" s="192">
        <v>0</v>
      </c>
      <c r="EP346" t="str">
        <f t="shared" si="356"/>
        <v>Whole sector approach</v>
      </c>
      <c r="EQ346" t="str">
        <f t="shared" si="368"/>
        <v/>
      </c>
      <c r="ER346" s="2" t="str">
        <f t="shared" si="357"/>
        <v/>
      </c>
      <c r="ES346" t="str">
        <f t="shared" si="358"/>
        <v/>
      </c>
      <c r="ET346" t="str">
        <f t="shared" si="359"/>
        <v/>
      </c>
      <c r="EU346" t="str">
        <f t="shared" si="360"/>
        <v/>
      </c>
      <c r="EY346" t="b">
        <f>IF(ISNUMBER(BW346),IF(ABS(BW346-[1]QC_indicators!$B$2)&gt;3*[1]QC_indicators!$C$2,"C ratio",IF(ISNUMBER(CA346),IF(ABS(CA346-[1]QC_indicators!$B$1)&gt;3*[1]QC_indicators!$C$1,"DF","no"))),IF(ISNUMBER(CA346),IF(ABS(CA346-[1]QC_indicators!$B$1)&gt;3*[1]QC_indicators!$C$1,"DF","no")))</f>
        <v>0</v>
      </c>
      <c r="FA346" t="str">
        <f t="shared" si="361"/>
        <v/>
      </c>
      <c r="FB346" s="299" t="s">
        <v>349</v>
      </c>
    </row>
    <row r="347" spans="1:161" ht="15" hidden="1" customHeight="1">
      <c r="D347" t="s">
        <v>3735</v>
      </c>
      <c r="E347" t="s">
        <v>3736</v>
      </c>
      <c r="G347" t="s">
        <v>807</v>
      </c>
      <c r="I347">
        <v>2012</v>
      </c>
      <c r="K347" t="s">
        <v>3737</v>
      </c>
      <c r="M347" t="str">
        <f t="shared" si="388"/>
        <v>Repo_2012</v>
      </c>
      <c r="N347" s="297" t="s">
        <v>4058</v>
      </c>
      <c r="O347" s="145" t="s">
        <v>225</v>
      </c>
      <c r="Q347" s="297" t="s">
        <v>256</v>
      </c>
      <c r="R347" s="298"/>
      <c r="S347" s="1" t="s">
        <v>3742</v>
      </c>
      <c r="T347" t="s">
        <v>3738</v>
      </c>
      <c r="U347" t="s">
        <v>3741</v>
      </c>
      <c r="X347" s="143">
        <v>0</v>
      </c>
      <c r="Y347" s="143">
        <v>0</v>
      </c>
      <c r="Z347" s="143">
        <v>0</v>
      </c>
      <c r="AA347" s="143">
        <v>0</v>
      </c>
      <c r="AB347" s="143">
        <v>0</v>
      </c>
      <c r="AC347" s="143">
        <v>0</v>
      </c>
      <c r="AD347" s="143">
        <v>0</v>
      </c>
      <c r="AE347" s="143">
        <v>0</v>
      </c>
      <c r="AF347" s="143">
        <v>0</v>
      </c>
      <c r="AG347" s="143">
        <v>0</v>
      </c>
      <c r="AH347" s="143">
        <v>0</v>
      </c>
      <c r="AI347" s="143">
        <v>0</v>
      </c>
      <c r="AJ347" s="143">
        <v>0</v>
      </c>
      <c r="AK347" s="143">
        <v>0</v>
      </c>
      <c r="AL347" s="143">
        <v>1</v>
      </c>
      <c r="AM347" s="143">
        <v>0</v>
      </c>
      <c r="AN347" s="143">
        <v>0</v>
      </c>
      <c r="AO347" s="143">
        <v>0</v>
      </c>
      <c r="AP347" s="143">
        <v>0</v>
      </c>
      <c r="AQ347" s="143">
        <v>0</v>
      </c>
      <c r="AR347" s="143">
        <v>0</v>
      </c>
      <c r="AS347" s="143">
        <v>0</v>
      </c>
      <c r="AT347" s="143">
        <v>0</v>
      </c>
      <c r="AU347" s="143">
        <v>0</v>
      </c>
      <c r="AV347" s="143">
        <v>0</v>
      </c>
      <c r="AW347" s="143">
        <v>0</v>
      </c>
      <c r="AX347" s="143">
        <v>0</v>
      </c>
      <c r="AY347" s="143">
        <v>0</v>
      </c>
      <c r="AZ347" s="141">
        <f t="shared" si="370"/>
        <v>1</v>
      </c>
      <c r="BA347" s="141">
        <f t="shared" si="371"/>
        <v>1</v>
      </c>
      <c r="BB347">
        <f t="shared" si="372"/>
        <v>0</v>
      </c>
      <c r="BC347">
        <f t="shared" si="373"/>
        <v>0</v>
      </c>
      <c r="BD347">
        <f t="shared" si="374"/>
        <v>1</v>
      </c>
      <c r="BE347">
        <f t="shared" si="375"/>
        <v>0</v>
      </c>
      <c r="BF347">
        <f t="shared" si="376"/>
        <v>0</v>
      </c>
      <c r="BG347" t="str" cm="1">
        <f t="array" ref="BG347">IF(BA347=1,INDEX($X$7:$AN$7,MATCH(TRUE,INDEX($X347:$AY347&lt;&gt;0,),0)),IF(BA347=0,INDEX($AO$7:$AY$7,MATCH(1,$AO347:$AY347,0)),IF(BH347="Multiple strategies","mixed drivers",IF(BH347="Supply chain","multiple supply","multiple silviculture"))))</f>
        <v>efficiency improvement</v>
      </c>
      <c r="BH347" s="2" t="str" cm="1">
        <f t="array" ref="BH347">IF(COUNTIF(BB347:BD347,"&lt;&gt;0")=1,INDEX($X$4:$AY$4,MATCH(TRUE,INDEX($X347:$AY347&lt;&gt;0,),0)),IF(COUNTIF(BB347:BD347,"&lt;&gt;0")=0,INDEX($AO$4:$AY$4,MATCH(1,$AO347:$AY347,0)),"Multiple strategies"))</f>
        <v>Technology</v>
      </c>
      <c r="BR347" s="297" t="s">
        <v>232</v>
      </c>
      <c r="BS347" s="297"/>
      <c r="BT347" t="s">
        <v>3740</v>
      </c>
      <c r="BU347" s="141">
        <v>-78</v>
      </c>
      <c r="BV347" s="141">
        <v>-81.193580800000007</v>
      </c>
      <c r="BW347" s="144">
        <v>1.0409433435897437</v>
      </c>
      <c r="BX347">
        <v>-3.1935808000000065</v>
      </c>
      <c r="BZ347">
        <f t="shared" si="395"/>
        <v>-3.1935808000000064E-6</v>
      </c>
      <c r="CA347" t="str">
        <f t="shared" si="352"/>
        <v/>
      </c>
      <c r="CB347" s="143">
        <v>0</v>
      </c>
      <c r="CC347" s="143">
        <v>1</v>
      </c>
      <c r="CD347" s="143">
        <v>0</v>
      </c>
      <c r="CE347" s="143">
        <v>1</v>
      </c>
      <c r="CF347" s="143">
        <v>0</v>
      </c>
      <c r="CG347" s="143">
        <v>0</v>
      </c>
      <c r="CH347" s="143">
        <v>0</v>
      </c>
      <c r="CI347" s="143">
        <v>0</v>
      </c>
      <c r="CJ347" s="143">
        <v>0</v>
      </c>
      <c r="CK347" s="143">
        <v>0</v>
      </c>
      <c r="CL347" s="143">
        <v>0</v>
      </c>
      <c r="CM347" s="143">
        <v>0</v>
      </c>
      <c r="CN347" s="143">
        <v>0</v>
      </c>
      <c r="CO347" s="143">
        <v>0</v>
      </c>
      <c r="CP347" t="str">
        <f t="shared" si="396"/>
        <v>refOK</v>
      </c>
      <c r="CQ347"/>
      <c r="CR347"/>
      <c r="CS347"/>
      <c r="CT347">
        <f t="shared" si="353"/>
        <v>0</v>
      </c>
      <c r="CU347">
        <f t="shared" si="378"/>
        <v>-78</v>
      </c>
      <c r="CV347">
        <f t="shared" si="366"/>
        <v>-81.193580800000007</v>
      </c>
      <c r="CW347">
        <f t="shared" si="379"/>
        <v>-3.1935808000000064E-6</v>
      </c>
      <c r="CX347" t="str">
        <f t="shared" si="354"/>
        <v/>
      </c>
      <c r="CY347" t="str">
        <f t="shared" si="380"/>
        <v/>
      </c>
      <c r="CZ347" t="str">
        <f t="shared" si="355"/>
        <v/>
      </c>
      <c r="DA347" s="2">
        <f t="shared" si="381"/>
        <v>-4.0943343589743671E-2</v>
      </c>
      <c r="DB347" s="1" t="s">
        <v>1078</v>
      </c>
      <c r="DC347" s="297" t="str">
        <f t="shared" si="393"/>
        <v>reg</v>
      </c>
      <c r="DD347" t="s">
        <v>235</v>
      </c>
      <c r="DE347">
        <v>2010</v>
      </c>
      <c r="DF347">
        <v>2030</v>
      </c>
      <c r="DG347" s="143">
        <f t="shared" si="397"/>
        <v>20</v>
      </c>
      <c r="DH347" t="str">
        <f t="shared" si="382"/>
        <v>1-30</v>
      </c>
      <c r="DI347">
        <v>1</v>
      </c>
      <c r="DJ347">
        <v>1</v>
      </c>
      <c r="DK347">
        <v>0</v>
      </c>
      <c r="DL347">
        <v>0</v>
      </c>
      <c r="DN347">
        <f t="shared" si="392"/>
        <v>2</v>
      </c>
      <c r="DO347" t="str">
        <f t="shared" si="383"/>
        <v>mixedProduct</v>
      </c>
      <c r="DP347" t="str">
        <f t="shared" si="384"/>
        <v>Upstream</v>
      </c>
      <c r="DQ347" t="str">
        <f t="shared" si="385"/>
        <v>Energy</v>
      </c>
      <c r="DR347">
        <f t="shared" si="386"/>
        <v>0</v>
      </c>
      <c r="DS347">
        <f t="shared" si="387"/>
        <v>0</v>
      </c>
      <c r="DT347">
        <v>0</v>
      </c>
      <c r="DU347" s="143">
        <v>0</v>
      </c>
      <c r="DV347" t="s">
        <v>1976</v>
      </c>
      <c r="DW347">
        <v>0</v>
      </c>
      <c r="DX347">
        <v>0</v>
      </c>
      <c r="DY347">
        <f t="shared" si="367"/>
        <v>0</v>
      </c>
      <c r="DZ347" s="143" t="str">
        <f t="shared" si="394"/>
        <v>explicit C balance</v>
      </c>
      <c r="EA347" s="143">
        <v>1</v>
      </c>
      <c r="EB347" s="143">
        <v>1</v>
      </c>
      <c r="EC347" s="143">
        <v>1</v>
      </c>
      <c r="ED347" s="143">
        <v>0</v>
      </c>
      <c r="EE347" s="143">
        <v>1</v>
      </c>
      <c r="EF347" s="143">
        <v>0</v>
      </c>
      <c r="EG347" s="143">
        <v>1</v>
      </c>
      <c r="EH347" s="143">
        <v>1</v>
      </c>
      <c r="EI347" s="143">
        <v>0</v>
      </c>
      <c r="EJ347" s="143">
        <v>0</v>
      </c>
      <c r="EK347" s="143">
        <v>1</v>
      </c>
      <c r="EL347" s="143">
        <v>0</v>
      </c>
      <c r="EM347" s="143">
        <v>0</v>
      </c>
      <c r="EN347" s="192">
        <v>0</v>
      </c>
      <c r="EP347" t="str">
        <f t="shared" si="356"/>
        <v>Whole sector approach</v>
      </c>
      <c r="EQ347" t="str">
        <f t="shared" si="368"/>
        <v/>
      </c>
      <c r="ER347" s="2" t="str">
        <f t="shared" si="357"/>
        <v/>
      </c>
      <c r="ES347" t="str">
        <f t="shared" si="358"/>
        <v/>
      </c>
      <c r="ET347" t="str">
        <f t="shared" si="359"/>
        <v/>
      </c>
      <c r="EU347" t="str">
        <f t="shared" si="360"/>
        <v/>
      </c>
      <c r="EY347" t="b">
        <f>IF(ISNUMBER(BW347),IF(ABS(BW347-[1]QC_indicators!$B$2)&gt;3*[1]QC_indicators!$C$2,"C ratio",IF(ISNUMBER(CA347),IF(ABS(CA347-[1]QC_indicators!$B$1)&gt;3*[1]QC_indicators!$C$1,"DF","no"))),IF(ISNUMBER(CA347),IF(ABS(CA347-[1]QC_indicators!$B$1)&gt;3*[1]QC_indicators!$C$1,"DF","no")))</f>
        <v>0</v>
      </c>
      <c r="FA347" t="str">
        <f t="shared" si="361"/>
        <v/>
      </c>
      <c r="FB347" s="299" t="s">
        <v>349</v>
      </c>
    </row>
    <row r="348" spans="1:161" ht="15" hidden="1" customHeight="1">
      <c r="D348" t="s">
        <v>3735</v>
      </c>
      <c r="E348" t="s">
        <v>3736</v>
      </c>
      <c r="G348" t="s">
        <v>807</v>
      </c>
      <c r="I348">
        <v>2012</v>
      </c>
      <c r="K348" t="s">
        <v>3737</v>
      </c>
      <c r="M348" t="str">
        <f t="shared" si="388"/>
        <v>Repo_2012</v>
      </c>
      <c r="N348" s="297" t="s">
        <v>4058</v>
      </c>
      <c r="O348" s="145" t="s">
        <v>225</v>
      </c>
      <c r="Q348" s="297" t="s">
        <v>256</v>
      </c>
      <c r="R348" s="298"/>
      <c r="S348" s="1" t="s">
        <v>3742</v>
      </c>
      <c r="T348" t="s">
        <v>3738</v>
      </c>
      <c r="U348" t="s">
        <v>3739</v>
      </c>
      <c r="X348" s="143">
        <v>0</v>
      </c>
      <c r="Y348" s="143">
        <v>0</v>
      </c>
      <c r="Z348" s="143">
        <v>0</v>
      </c>
      <c r="AA348" s="143">
        <v>0</v>
      </c>
      <c r="AB348" s="143">
        <v>0</v>
      </c>
      <c r="AC348" s="143">
        <v>0</v>
      </c>
      <c r="AD348" s="143">
        <v>0</v>
      </c>
      <c r="AE348" s="143">
        <v>0</v>
      </c>
      <c r="AF348" s="143">
        <v>0</v>
      </c>
      <c r="AG348" s="143">
        <v>0</v>
      </c>
      <c r="AH348" s="143">
        <v>0</v>
      </c>
      <c r="AI348" s="143">
        <v>0</v>
      </c>
      <c r="AJ348" s="143">
        <v>0</v>
      </c>
      <c r="AK348" s="143">
        <v>0</v>
      </c>
      <c r="AL348" s="143">
        <v>1</v>
      </c>
      <c r="AM348" s="143">
        <v>0</v>
      </c>
      <c r="AN348" s="143">
        <v>0</v>
      </c>
      <c r="AO348" s="143">
        <v>0</v>
      </c>
      <c r="AP348" s="143">
        <v>0</v>
      </c>
      <c r="AQ348" s="143">
        <v>0</v>
      </c>
      <c r="AR348" s="143">
        <v>0</v>
      </c>
      <c r="AS348" s="143">
        <v>0</v>
      </c>
      <c r="AT348" s="143">
        <v>0</v>
      </c>
      <c r="AU348" s="143">
        <v>0</v>
      </c>
      <c r="AV348" s="143">
        <v>0</v>
      </c>
      <c r="AW348" s="143">
        <v>0</v>
      </c>
      <c r="AX348" s="143">
        <v>0</v>
      </c>
      <c r="AY348" s="143">
        <v>0</v>
      </c>
      <c r="AZ348" s="141">
        <f t="shared" si="370"/>
        <v>1</v>
      </c>
      <c r="BA348" s="141">
        <f t="shared" si="371"/>
        <v>1</v>
      </c>
      <c r="BB348">
        <f t="shared" si="372"/>
        <v>0</v>
      </c>
      <c r="BC348">
        <f t="shared" si="373"/>
        <v>0</v>
      </c>
      <c r="BD348">
        <f t="shared" si="374"/>
        <v>1</v>
      </c>
      <c r="BE348">
        <f t="shared" si="375"/>
        <v>0</v>
      </c>
      <c r="BF348">
        <f t="shared" si="376"/>
        <v>0</v>
      </c>
      <c r="BG348" t="str" cm="1">
        <f t="array" ref="BG348">IF(BA348=1,INDEX($X$7:$AN$7,MATCH(TRUE,INDEX($X348:$AY348&lt;&gt;0,),0)),IF(BA348=0,INDEX($AO$7:$AY$7,MATCH(1,$AO348:$AY348,0)),IF(BH348="Multiple strategies","mixed drivers",IF(BH348="Supply chain","multiple supply","multiple silviculture"))))</f>
        <v>efficiency improvement</v>
      </c>
      <c r="BH348" s="2" t="str" cm="1">
        <f t="array" ref="BH348">IF(COUNTIF(BB348:BD348,"&lt;&gt;0")=1,INDEX($X$4:$AY$4,MATCH(TRUE,INDEX($X348:$AY348&lt;&gt;0,),0)),IF(COUNTIF(BB348:BD348,"&lt;&gt;0")=0,INDEX($AO$4:$AY$4,MATCH(1,$AO348:$AY348,0)),"Multiple strategies"))</f>
        <v>Technology</v>
      </c>
      <c r="BR348" s="297" t="s">
        <v>232</v>
      </c>
      <c r="BS348" s="297"/>
      <c r="BT348" t="s">
        <v>3740</v>
      </c>
      <c r="BU348" s="141">
        <v>-110</v>
      </c>
      <c r="BV348" s="141">
        <v>-107.01820499999999</v>
      </c>
      <c r="BW348" s="144">
        <v>0.9728927727272727</v>
      </c>
      <c r="BX348">
        <v>2.9817950000000053</v>
      </c>
      <c r="BZ348">
        <f t="shared" si="395"/>
        <v>2.9817950000000051E-6</v>
      </c>
      <c r="CA348" t="str">
        <f t="shared" si="352"/>
        <v/>
      </c>
      <c r="CB348" s="143">
        <v>0</v>
      </c>
      <c r="CC348" s="143">
        <v>1</v>
      </c>
      <c r="CD348" s="143">
        <v>0</v>
      </c>
      <c r="CE348" s="143">
        <v>1</v>
      </c>
      <c r="CF348" s="143">
        <v>0</v>
      </c>
      <c r="CG348" s="143">
        <v>0</v>
      </c>
      <c r="CH348" s="143">
        <v>0</v>
      </c>
      <c r="CI348" s="143">
        <v>0</v>
      </c>
      <c r="CJ348" s="143">
        <v>0</v>
      </c>
      <c r="CK348" s="143">
        <v>0</v>
      </c>
      <c r="CL348" s="143">
        <v>0</v>
      </c>
      <c r="CM348" s="143">
        <v>0</v>
      </c>
      <c r="CN348" s="143">
        <v>0</v>
      </c>
      <c r="CO348" s="143">
        <v>0</v>
      </c>
      <c r="CP348" t="str">
        <f t="shared" si="396"/>
        <v>refOK</v>
      </c>
      <c r="CQ348"/>
      <c r="CR348"/>
      <c r="CS348"/>
      <c r="CT348">
        <f t="shared" si="353"/>
        <v>0</v>
      </c>
      <c r="CU348">
        <f t="shared" si="378"/>
        <v>-110</v>
      </c>
      <c r="CV348">
        <f t="shared" si="366"/>
        <v>-107.01820499999999</v>
      </c>
      <c r="CW348">
        <f t="shared" si="379"/>
        <v>2.9817950000000051E-6</v>
      </c>
      <c r="CX348" t="str">
        <f t="shared" si="354"/>
        <v/>
      </c>
      <c r="CY348" t="str">
        <f t="shared" si="380"/>
        <v/>
      </c>
      <c r="CZ348" t="str">
        <f t="shared" si="355"/>
        <v/>
      </c>
      <c r="DA348" s="2">
        <f t="shared" si="381"/>
        <v>2.7107227272727321E-2</v>
      </c>
      <c r="DB348" s="1" t="s">
        <v>1078</v>
      </c>
      <c r="DC348" s="297" t="str">
        <f t="shared" si="393"/>
        <v>reg</v>
      </c>
      <c r="DD348" t="s">
        <v>235</v>
      </c>
      <c r="DE348">
        <v>2010</v>
      </c>
      <c r="DF348">
        <v>2010</v>
      </c>
      <c r="DG348" s="143">
        <f t="shared" si="397"/>
        <v>0</v>
      </c>
      <c r="DH348" t="str">
        <f t="shared" si="382"/>
        <v>0</v>
      </c>
      <c r="DI348">
        <v>1</v>
      </c>
      <c r="DJ348">
        <v>1</v>
      </c>
      <c r="DK348">
        <v>0</v>
      </c>
      <c r="DL348">
        <v>0</v>
      </c>
      <c r="DN348">
        <f t="shared" si="392"/>
        <v>2</v>
      </c>
      <c r="DO348" t="str">
        <f t="shared" si="383"/>
        <v>mixedProduct</v>
      </c>
      <c r="DP348" t="str">
        <f t="shared" si="384"/>
        <v>Upstream</v>
      </c>
      <c r="DQ348" t="str">
        <f t="shared" si="385"/>
        <v>Energy</v>
      </c>
      <c r="DR348">
        <f t="shared" si="386"/>
        <v>0</v>
      </c>
      <c r="DS348">
        <f t="shared" si="387"/>
        <v>0</v>
      </c>
      <c r="DT348">
        <v>0</v>
      </c>
      <c r="DU348" s="143">
        <v>0</v>
      </c>
      <c r="DV348" t="s">
        <v>1976</v>
      </c>
      <c r="DW348">
        <v>0</v>
      </c>
      <c r="DX348">
        <v>0</v>
      </c>
      <c r="DY348">
        <f t="shared" si="367"/>
        <v>0</v>
      </c>
      <c r="DZ348" s="143" t="str">
        <f t="shared" si="394"/>
        <v>explicit C balance</v>
      </c>
      <c r="EA348" s="143">
        <v>1</v>
      </c>
      <c r="EB348" s="143">
        <v>1</v>
      </c>
      <c r="EC348" s="143">
        <v>1</v>
      </c>
      <c r="ED348" s="143">
        <v>0</v>
      </c>
      <c r="EE348" s="143">
        <v>1</v>
      </c>
      <c r="EF348" s="143">
        <v>0</v>
      </c>
      <c r="EG348" s="143">
        <v>1</v>
      </c>
      <c r="EH348" s="143">
        <v>1</v>
      </c>
      <c r="EI348" s="143">
        <v>0</v>
      </c>
      <c r="EJ348" s="143">
        <v>0</v>
      </c>
      <c r="EK348" s="143">
        <v>1</v>
      </c>
      <c r="EL348" s="143">
        <v>0</v>
      </c>
      <c r="EM348" s="143">
        <v>0</v>
      </c>
      <c r="EN348" s="192">
        <v>0</v>
      </c>
      <c r="EP348" t="str">
        <f t="shared" si="356"/>
        <v>Whole sector approach</v>
      </c>
      <c r="EQ348" t="str">
        <f t="shared" si="368"/>
        <v/>
      </c>
      <c r="ER348" s="2" t="str">
        <f t="shared" si="357"/>
        <v/>
      </c>
      <c r="ES348" t="str">
        <f t="shared" si="358"/>
        <v/>
      </c>
      <c r="ET348" t="str">
        <f t="shared" si="359"/>
        <v/>
      </c>
      <c r="EU348" t="str">
        <f t="shared" si="360"/>
        <v/>
      </c>
      <c r="EY348" t="b">
        <f>IF(ISNUMBER(BW348),IF(ABS(BW348-[1]QC_indicators!$B$2)&gt;3*[1]QC_indicators!$C$2,"C ratio",IF(ISNUMBER(CA348),IF(ABS(CA348-[1]QC_indicators!$B$1)&gt;3*[1]QC_indicators!$C$1,"DF","no"))),IF(ISNUMBER(CA348),IF(ABS(CA348-[1]QC_indicators!$B$1)&gt;3*[1]QC_indicators!$C$1,"DF","no")))</f>
        <v>0</v>
      </c>
      <c r="FA348" t="str">
        <f t="shared" si="361"/>
        <v/>
      </c>
      <c r="FB348" s="299" t="s">
        <v>349</v>
      </c>
    </row>
    <row r="349" spans="1:161" ht="15" hidden="1" customHeight="1">
      <c r="D349" t="s">
        <v>3735</v>
      </c>
      <c r="E349" t="s">
        <v>3736</v>
      </c>
      <c r="G349" t="s">
        <v>807</v>
      </c>
      <c r="I349">
        <v>2012</v>
      </c>
      <c r="K349" t="s">
        <v>3737</v>
      </c>
      <c r="M349" t="str">
        <f t="shared" si="388"/>
        <v>Repo_2012</v>
      </c>
      <c r="N349" s="297" t="s">
        <v>4058</v>
      </c>
      <c r="O349" s="145" t="s">
        <v>225</v>
      </c>
      <c r="Q349" s="297" t="s">
        <v>256</v>
      </c>
      <c r="R349" s="298"/>
      <c r="S349" s="1" t="s">
        <v>3742</v>
      </c>
      <c r="T349" t="s">
        <v>3738</v>
      </c>
      <c r="U349" t="s">
        <v>3739</v>
      </c>
      <c r="X349" s="143">
        <v>0</v>
      </c>
      <c r="Y349" s="143">
        <v>0</v>
      </c>
      <c r="Z349" s="143">
        <v>0</v>
      </c>
      <c r="AA349" s="143">
        <v>0</v>
      </c>
      <c r="AB349" s="143">
        <v>0</v>
      </c>
      <c r="AC349" s="143">
        <v>0</v>
      </c>
      <c r="AD349" s="143">
        <v>0</v>
      </c>
      <c r="AE349" s="143">
        <v>0</v>
      </c>
      <c r="AF349" s="143">
        <v>0</v>
      </c>
      <c r="AG349" s="143">
        <v>0</v>
      </c>
      <c r="AH349" s="143">
        <v>0</v>
      </c>
      <c r="AI349" s="143">
        <v>0</v>
      </c>
      <c r="AJ349" s="143">
        <v>0</v>
      </c>
      <c r="AK349" s="143">
        <v>0</v>
      </c>
      <c r="AL349" s="143">
        <v>1</v>
      </c>
      <c r="AM349" s="143">
        <v>0</v>
      </c>
      <c r="AN349" s="143">
        <v>0</v>
      </c>
      <c r="AO349" s="143">
        <v>0</v>
      </c>
      <c r="AP349" s="143">
        <v>0</v>
      </c>
      <c r="AQ349" s="143">
        <v>0</v>
      </c>
      <c r="AR349" s="143">
        <v>0</v>
      </c>
      <c r="AS349" s="143">
        <v>0</v>
      </c>
      <c r="AT349" s="143">
        <v>0</v>
      </c>
      <c r="AU349" s="143">
        <v>0</v>
      </c>
      <c r="AV349" s="143">
        <v>0</v>
      </c>
      <c r="AW349" s="143">
        <v>0</v>
      </c>
      <c r="AX349" s="143">
        <v>0</v>
      </c>
      <c r="AY349" s="143">
        <v>0</v>
      </c>
      <c r="AZ349" s="141">
        <f t="shared" si="370"/>
        <v>1</v>
      </c>
      <c r="BA349" s="141">
        <f t="shared" si="371"/>
        <v>1</v>
      </c>
      <c r="BB349">
        <f t="shared" si="372"/>
        <v>0</v>
      </c>
      <c r="BC349">
        <f t="shared" si="373"/>
        <v>0</v>
      </c>
      <c r="BD349">
        <f t="shared" si="374"/>
        <v>1</v>
      </c>
      <c r="BE349">
        <f t="shared" si="375"/>
        <v>0</v>
      </c>
      <c r="BF349">
        <f t="shared" si="376"/>
        <v>0</v>
      </c>
      <c r="BG349" t="str" cm="1">
        <f t="array" ref="BG349">IF(BA349=1,INDEX($X$7:$AN$7,MATCH(TRUE,INDEX($X349:$AY349&lt;&gt;0,),0)),IF(BA349=0,INDEX($AO$7:$AY$7,MATCH(1,$AO349:$AY349,0)),IF(BH349="Multiple strategies","mixed drivers",IF(BH349="Supply chain","multiple supply","multiple silviculture"))))</f>
        <v>efficiency improvement</v>
      </c>
      <c r="BH349" s="2" t="str" cm="1">
        <f t="array" ref="BH349">IF(COUNTIF(BB349:BD349,"&lt;&gt;0")=1,INDEX($X$4:$AY$4,MATCH(TRUE,INDEX($X349:$AY349&lt;&gt;0,),0)),IF(COUNTIF(BB349:BD349,"&lt;&gt;0")=0,INDEX($AO$4:$AY$4,MATCH(1,$AO349:$AY349,0)),"Multiple strategies"))</f>
        <v>Technology</v>
      </c>
      <c r="BR349" s="297" t="s">
        <v>232</v>
      </c>
      <c r="BS349" s="297"/>
      <c r="BT349" t="s">
        <v>3740</v>
      </c>
      <c r="BU349" s="141">
        <v>-110</v>
      </c>
      <c r="BV349" s="141">
        <v>-81.193580800000007</v>
      </c>
      <c r="BW349" s="144">
        <v>0.73812346181818189</v>
      </c>
      <c r="BX349">
        <v>28.806419199999993</v>
      </c>
      <c r="BZ349">
        <f t="shared" si="395"/>
        <v>2.8806419199999994E-5</v>
      </c>
      <c r="CA349" t="str">
        <f t="shared" si="352"/>
        <v/>
      </c>
      <c r="CB349" s="143">
        <v>0</v>
      </c>
      <c r="CC349" s="143">
        <v>1</v>
      </c>
      <c r="CD349" s="143">
        <v>0</v>
      </c>
      <c r="CE349" s="143">
        <v>1</v>
      </c>
      <c r="CF349" s="143">
        <v>0</v>
      </c>
      <c r="CG349" s="143">
        <v>0</v>
      </c>
      <c r="CH349" s="143">
        <v>0</v>
      </c>
      <c r="CI349" s="143">
        <v>0</v>
      </c>
      <c r="CJ349" s="143">
        <v>0</v>
      </c>
      <c r="CK349" s="143">
        <v>0</v>
      </c>
      <c r="CL349" s="143">
        <v>0</v>
      </c>
      <c r="CM349" s="143">
        <v>0</v>
      </c>
      <c r="CN349" s="143">
        <v>0</v>
      </c>
      <c r="CO349" s="143">
        <v>0</v>
      </c>
      <c r="CP349" t="str">
        <f t="shared" si="396"/>
        <v>refOK</v>
      </c>
      <c r="CQ349"/>
      <c r="CR349"/>
      <c r="CS349"/>
      <c r="CT349">
        <f t="shared" si="353"/>
        <v>0</v>
      </c>
      <c r="CU349">
        <f t="shared" si="378"/>
        <v>-110</v>
      </c>
      <c r="CV349">
        <f t="shared" si="366"/>
        <v>-81.193580800000007</v>
      </c>
      <c r="CW349">
        <f t="shared" si="379"/>
        <v>2.8806419199999994E-5</v>
      </c>
      <c r="CX349" t="str">
        <f t="shared" si="354"/>
        <v/>
      </c>
      <c r="CY349" t="str">
        <f t="shared" si="380"/>
        <v/>
      </c>
      <c r="CZ349" t="str">
        <f t="shared" si="355"/>
        <v/>
      </c>
      <c r="DA349" s="2">
        <f t="shared" si="381"/>
        <v>0.26187653818181811</v>
      </c>
      <c r="DB349" s="1" t="s">
        <v>1078</v>
      </c>
      <c r="DC349" s="297" t="str">
        <f t="shared" si="393"/>
        <v>reg</v>
      </c>
      <c r="DD349" t="s">
        <v>235</v>
      </c>
      <c r="DE349">
        <v>2010</v>
      </c>
      <c r="DF349">
        <v>2030</v>
      </c>
      <c r="DG349" s="143">
        <f t="shared" si="397"/>
        <v>20</v>
      </c>
      <c r="DH349" t="str">
        <f t="shared" si="382"/>
        <v>1-30</v>
      </c>
      <c r="DI349">
        <v>1</v>
      </c>
      <c r="DJ349">
        <v>1</v>
      </c>
      <c r="DK349">
        <v>0</v>
      </c>
      <c r="DL349">
        <v>0</v>
      </c>
      <c r="DN349">
        <f t="shared" si="392"/>
        <v>2</v>
      </c>
      <c r="DO349" t="str">
        <f t="shared" si="383"/>
        <v>mixedProduct</v>
      </c>
      <c r="DP349" t="str">
        <f t="shared" si="384"/>
        <v>Upstream</v>
      </c>
      <c r="DQ349" t="str">
        <f t="shared" si="385"/>
        <v>Energy</v>
      </c>
      <c r="DR349">
        <f t="shared" si="386"/>
        <v>0</v>
      </c>
      <c r="DS349">
        <f t="shared" si="387"/>
        <v>0</v>
      </c>
      <c r="DT349">
        <v>0</v>
      </c>
      <c r="DU349" s="143">
        <v>0</v>
      </c>
      <c r="DV349" t="s">
        <v>1976</v>
      </c>
      <c r="DW349">
        <v>0</v>
      </c>
      <c r="DX349">
        <v>0</v>
      </c>
      <c r="DY349">
        <f t="shared" si="367"/>
        <v>0</v>
      </c>
      <c r="DZ349" s="143" t="str">
        <f t="shared" si="394"/>
        <v>explicit C balance</v>
      </c>
      <c r="EA349" s="143">
        <v>1</v>
      </c>
      <c r="EB349" s="143">
        <v>1</v>
      </c>
      <c r="EC349" s="143">
        <v>1</v>
      </c>
      <c r="ED349" s="143">
        <v>0</v>
      </c>
      <c r="EE349" s="143">
        <v>1</v>
      </c>
      <c r="EF349" s="143">
        <v>0</v>
      </c>
      <c r="EG349" s="143">
        <v>1</v>
      </c>
      <c r="EH349" s="143">
        <v>1</v>
      </c>
      <c r="EI349" s="143">
        <v>0</v>
      </c>
      <c r="EJ349" s="143">
        <v>0</v>
      </c>
      <c r="EK349" s="143">
        <v>1</v>
      </c>
      <c r="EL349" s="143">
        <v>0</v>
      </c>
      <c r="EM349" s="143">
        <v>0</v>
      </c>
      <c r="EN349" s="192">
        <v>0</v>
      </c>
      <c r="EP349" t="str">
        <f t="shared" si="356"/>
        <v>Whole sector approach</v>
      </c>
      <c r="EQ349" t="str">
        <f t="shared" si="368"/>
        <v/>
      </c>
      <c r="ER349" s="2" t="str">
        <f t="shared" si="357"/>
        <v/>
      </c>
      <c r="ES349" t="str">
        <f t="shared" si="358"/>
        <v/>
      </c>
      <c r="ET349" t="str">
        <f t="shared" si="359"/>
        <v/>
      </c>
      <c r="EU349" t="str">
        <f t="shared" si="360"/>
        <v/>
      </c>
      <c r="EY349" t="b">
        <f>IF(ISNUMBER(BW349),IF(ABS(BW349-[1]QC_indicators!$B$2)&gt;3*[1]QC_indicators!$C$2,"C ratio",IF(ISNUMBER(CA349),IF(ABS(CA349-[1]QC_indicators!$B$1)&gt;3*[1]QC_indicators!$C$1,"DF","no"))),IF(ISNUMBER(CA349),IF(ABS(CA349-[1]QC_indicators!$B$1)&gt;3*[1]QC_indicators!$C$1,"DF","no")))</f>
        <v>0</v>
      </c>
      <c r="FA349" t="str">
        <f t="shared" si="361"/>
        <v/>
      </c>
      <c r="FB349" s="299" t="s">
        <v>349</v>
      </c>
    </row>
    <row r="350" spans="1:161" ht="18" hidden="1" customHeight="1">
      <c r="D350" t="s">
        <v>3735</v>
      </c>
      <c r="E350" t="s">
        <v>3736</v>
      </c>
      <c r="G350" t="s">
        <v>807</v>
      </c>
      <c r="I350">
        <v>2012</v>
      </c>
      <c r="K350" t="s">
        <v>3737</v>
      </c>
      <c r="M350" t="str">
        <f t="shared" si="388"/>
        <v>Repo_2012</v>
      </c>
      <c r="N350" s="297" t="s">
        <v>4058</v>
      </c>
      <c r="O350" s="145" t="s">
        <v>225</v>
      </c>
      <c r="Q350" s="297" t="s">
        <v>256</v>
      </c>
      <c r="R350" s="298"/>
      <c r="S350" s="1" t="s">
        <v>3742</v>
      </c>
      <c r="T350" t="s">
        <v>3738</v>
      </c>
      <c r="U350" t="s">
        <v>3741</v>
      </c>
      <c r="X350" s="143">
        <v>0</v>
      </c>
      <c r="Y350" s="143">
        <v>0</v>
      </c>
      <c r="Z350" s="143">
        <v>0</v>
      </c>
      <c r="AA350" s="143">
        <v>0</v>
      </c>
      <c r="AB350" s="143">
        <v>0</v>
      </c>
      <c r="AC350" s="143">
        <v>0</v>
      </c>
      <c r="AD350" s="143">
        <v>0</v>
      </c>
      <c r="AE350" s="143">
        <v>0</v>
      </c>
      <c r="AF350" s="143">
        <v>0</v>
      </c>
      <c r="AG350" s="143">
        <v>0</v>
      </c>
      <c r="AH350" s="143">
        <v>0</v>
      </c>
      <c r="AI350" s="143">
        <v>0</v>
      </c>
      <c r="AJ350" s="143">
        <v>0</v>
      </c>
      <c r="AK350" s="143">
        <v>0</v>
      </c>
      <c r="AL350" s="143">
        <v>1</v>
      </c>
      <c r="AM350" s="143">
        <v>0</v>
      </c>
      <c r="AN350" s="143">
        <v>0</v>
      </c>
      <c r="AO350" s="143">
        <v>0</v>
      </c>
      <c r="AP350" s="143">
        <v>0</v>
      </c>
      <c r="AQ350" s="143">
        <v>0</v>
      </c>
      <c r="AR350" s="143">
        <v>0</v>
      </c>
      <c r="AS350" s="143">
        <v>0</v>
      </c>
      <c r="AT350" s="143">
        <v>0</v>
      </c>
      <c r="AU350" s="143">
        <v>0</v>
      </c>
      <c r="AV350" s="143">
        <v>0</v>
      </c>
      <c r="AW350" s="143">
        <v>0</v>
      </c>
      <c r="AX350" s="143">
        <v>0</v>
      </c>
      <c r="AY350" s="143">
        <v>0</v>
      </c>
      <c r="AZ350" s="141">
        <f t="shared" si="370"/>
        <v>1</v>
      </c>
      <c r="BA350" s="141">
        <f t="shared" si="371"/>
        <v>1</v>
      </c>
      <c r="BB350">
        <f t="shared" si="372"/>
        <v>0</v>
      </c>
      <c r="BC350">
        <f t="shared" si="373"/>
        <v>0</v>
      </c>
      <c r="BD350">
        <f t="shared" si="374"/>
        <v>1</v>
      </c>
      <c r="BE350">
        <f t="shared" si="375"/>
        <v>0</v>
      </c>
      <c r="BF350">
        <f t="shared" si="376"/>
        <v>0</v>
      </c>
      <c r="BG350" t="str" cm="1">
        <f t="array" ref="BG350">IF(BA350=1,INDEX($X$7:$AN$7,MATCH(TRUE,INDEX($X350:$AY350&lt;&gt;0,),0)),IF(BA350=0,INDEX($AO$7:$AY$7,MATCH(1,$AO350:$AY350,0)),IF(BH350="Multiple strategies","mixed drivers",IF(BH350="Supply chain","multiple supply","multiple silviculture"))))</f>
        <v>efficiency improvement</v>
      </c>
      <c r="BH350" s="2" t="str" cm="1">
        <f t="array" ref="BH350">IF(COUNTIF(BB350:BD350,"&lt;&gt;0")=1,INDEX($X$4:$AY$4,MATCH(TRUE,INDEX($X350:$AY350&lt;&gt;0,),0)),IF(COUNTIF(BB350:BD350,"&lt;&gt;0")=0,INDEX($AO$4:$AY$4,MATCH(1,$AO350:$AY350,0)),"Multiple strategies"))</f>
        <v>Technology</v>
      </c>
      <c r="BR350" s="297" t="s">
        <v>232</v>
      </c>
      <c r="BS350" s="297"/>
      <c r="BT350" t="s">
        <v>3740</v>
      </c>
      <c r="BU350" s="141">
        <v>-78</v>
      </c>
      <c r="BV350" s="141">
        <v>-56.411650799999997</v>
      </c>
      <c r="BW350" s="144">
        <v>0.72322629230769231</v>
      </c>
      <c r="BX350">
        <v>21.588349200000003</v>
      </c>
      <c r="BZ350">
        <f t="shared" si="395"/>
        <v>2.1588349200000002E-5</v>
      </c>
      <c r="CA350" t="str">
        <f t="shared" si="352"/>
        <v/>
      </c>
      <c r="CB350" s="143">
        <v>0</v>
      </c>
      <c r="CC350" s="143">
        <v>1</v>
      </c>
      <c r="CD350" s="143">
        <v>0</v>
      </c>
      <c r="CE350" s="143">
        <v>1</v>
      </c>
      <c r="CF350" s="143">
        <v>0</v>
      </c>
      <c r="CG350" s="143">
        <v>0</v>
      </c>
      <c r="CH350" s="143">
        <v>0</v>
      </c>
      <c r="CI350" s="143">
        <v>0</v>
      </c>
      <c r="CJ350" s="143">
        <v>0</v>
      </c>
      <c r="CK350" s="143">
        <v>0</v>
      </c>
      <c r="CL350" s="143">
        <v>0</v>
      </c>
      <c r="CM350" s="143">
        <v>0</v>
      </c>
      <c r="CN350" s="143">
        <v>0</v>
      </c>
      <c r="CO350" s="143">
        <v>0</v>
      </c>
      <c r="CP350" t="str">
        <f t="shared" si="396"/>
        <v>refOK</v>
      </c>
      <c r="CQ350"/>
      <c r="CR350"/>
      <c r="CS350"/>
      <c r="CT350">
        <f t="shared" si="353"/>
        <v>0</v>
      </c>
      <c r="CU350">
        <f t="shared" si="378"/>
        <v>-78</v>
      </c>
      <c r="CV350">
        <f t="shared" si="366"/>
        <v>-56.411650799999997</v>
      </c>
      <c r="CW350">
        <f t="shared" si="379"/>
        <v>2.1588349200000002E-5</v>
      </c>
      <c r="CX350" t="str">
        <f t="shared" si="354"/>
        <v/>
      </c>
      <c r="CY350" t="str">
        <f t="shared" si="380"/>
        <v/>
      </c>
      <c r="CZ350" t="str">
        <f t="shared" si="355"/>
        <v/>
      </c>
      <c r="DA350" s="2">
        <f t="shared" si="381"/>
        <v>0.27677370769230775</v>
      </c>
      <c r="DB350" s="1" t="s">
        <v>1078</v>
      </c>
      <c r="DC350" s="297" t="str">
        <f t="shared" si="393"/>
        <v>reg</v>
      </c>
      <c r="DD350" t="s">
        <v>235</v>
      </c>
      <c r="DE350">
        <v>2010</v>
      </c>
      <c r="DF350">
        <v>2070</v>
      </c>
      <c r="DG350" s="143">
        <f t="shared" si="397"/>
        <v>60</v>
      </c>
      <c r="DH350" t="str">
        <f t="shared" si="382"/>
        <v>31-70</v>
      </c>
      <c r="DI350">
        <v>1</v>
      </c>
      <c r="DJ350">
        <v>1</v>
      </c>
      <c r="DK350">
        <v>0</v>
      </c>
      <c r="DL350">
        <v>0</v>
      </c>
      <c r="DN350">
        <f t="shared" si="392"/>
        <v>2</v>
      </c>
      <c r="DO350" t="str">
        <f t="shared" si="383"/>
        <v>mixedProduct</v>
      </c>
      <c r="DP350" t="str">
        <f t="shared" si="384"/>
        <v>Upstream</v>
      </c>
      <c r="DQ350" t="str">
        <f t="shared" si="385"/>
        <v>Energy</v>
      </c>
      <c r="DR350">
        <f t="shared" si="386"/>
        <v>0</v>
      </c>
      <c r="DS350">
        <f t="shared" si="387"/>
        <v>0</v>
      </c>
      <c r="DT350">
        <v>0</v>
      </c>
      <c r="DU350" s="143">
        <v>0</v>
      </c>
      <c r="DV350" t="s">
        <v>1976</v>
      </c>
      <c r="DW350">
        <v>0</v>
      </c>
      <c r="DX350">
        <v>0</v>
      </c>
      <c r="DY350">
        <f t="shared" si="367"/>
        <v>0</v>
      </c>
      <c r="DZ350" s="143" t="str">
        <f t="shared" si="394"/>
        <v>explicit C balance</v>
      </c>
      <c r="EA350" s="143">
        <v>1</v>
      </c>
      <c r="EB350" s="143">
        <v>1</v>
      </c>
      <c r="EC350" s="143">
        <v>1</v>
      </c>
      <c r="ED350" s="143">
        <v>0</v>
      </c>
      <c r="EE350" s="143">
        <v>1</v>
      </c>
      <c r="EF350" s="143">
        <v>0</v>
      </c>
      <c r="EG350" s="143">
        <v>1</v>
      </c>
      <c r="EH350" s="143">
        <v>1</v>
      </c>
      <c r="EI350" s="143">
        <v>0</v>
      </c>
      <c r="EJ350" s="143">
        <v>0</v>
      </c>
      <c r="EK350" s="143">
        <v>1</v>
      </c>
      <c r="EL350" s="143">
        <v>0</v>
      </c>
      <c r="EM350" s="143">
        <v>0</v>
      </c>
      <c r="EN350" s="192">
        <v>0</v>
      </c>
      <c r="EP350" t="str">
        <f t="shared" si="356"/>
        <v>Whole sector approach</v>
      </c>
      <c r="EQ350" t="str">
        <f t="shared" si="368"/>
        <v/>
      </c>
      <c r="ER350" s="2" t="str">
        <f t="shared" si="357"/>
        <v/>
      </c>
      <c r="ES350" t="str">
        <f t="shared" si="358"/>
        <v/>
      </c>
      <c r="ET350" t="str">
        <f t="shared" si="359"/>
        <v/>
      </c>
      <c r="EU350" t="str">
        <f t="shared" si="360"/>
        <v/>
      </c>
      <c r="EY350" t="b">
        <f>IF(ISNUMBER(BW350),IF(ABS(BW350-[1]QC_indicators!$B$2)&gt;3*[1]QC_indicators!$C$2,"C ratio",IF(ISNUMBER(CA350),IF(ABS(CA350-[1]QC_indicators!$B$1)&gt;3*[1]QC_indicators!$C$1,"DF","no"))),IF(ISNUMBER(CA350),IF(ABS(CA350-[1]QC_indicators!$B$1)&gt;3*[1]QC_indicators!$C$1,"DF","no")))</f>
        <v>0</v>
      </c>
      <c r="FA350" t="str">
        <f t="shared" si="361"/>
        <v/>
      </c>
      <c r="FB350" s="299" t="s">
        <v>349</v>
      </c>
    </row>
    <row r="351" spans="1:161" ht="15" hidden="1" customHeight="1">
      <c r="D351" t="s">
        <v>3735</v>
      </c>
      <c r="E351" t="s">
        <v>3736</v>
      </c>
      <c r="G351" t="s">
        <v>807</v>
      </c>
      <c r="I351">
        <v>2012</v>
      </c>
      <c r="K351" t="s">
        <v>3737</v>
      </c>
      <c r="M351" t="str">
        <f t="shared" si="388"/>
        <v>Repo_2012</v>
      </c>
      <c r="N351" s="297" t="s">
        <v>4058</v>
      </c>
      <c r="O351" s="145" t="s">
        <v>225</v>
      </c>
      <c r="Q351" s="297" t="s">
        <v>256</v>
      </c>
      <c r="R351" s="298"/>
      <c r="S351" s="1" t="s">
        <v>3742</v>
      </c>
      <c r="T351" t="s">
        <v>3738</v>
      </c>
      <c r="U351" t="s">
        <v>3739</v>
      </c>
      <c r="X351" s="143">
        <v>0</v>
      </c>
      <c r="Y351" s="143">
        <v>0</v>
      </c>
      <c r="Z351" s="143">
        <v>0</v>
      </c>
      <c r="AA351" s="143">
        <v>0</v>
      </c>
      <c r="AB351" s="143">
        <v>0</v>
      </c>
      <c r="AC351" s="143">
        <v>0</v>
      </c>
      <c r="AD351" s="143">
        <v>0</v>
      </c>
      <c r="AE351" s="143">
        <v>0</v>
      </c>
      <c r="AF351" s="143">
        <v>0</v>
      </c>
      <c r="AG351" s="143">
        <v>0</v>
      </c>
      <c r="AH351" s="143">
        <v>0</v>
      </c>
      <c r="AI351" s="143">
        <v>0</v>
      </c>
      <c r="AJ351" s="143">
        <v>0</v>
      </c>
      <c r="AK351" s="143">
        <v>0</v>
      </c>
      <c r="AL351" s="143">
        <v>1</v>
      </c>
      <c r="AM351" s="143">
        <v>0</v>
      </c>
      <c r="AN351" s="143">
        <v>0</v>
      </c>
      <c r="AO351" s="143">
        <v>0</v>
      </c>
      <c r="AP351" s="143">
        <v>0</v>
      </c>
      <c r="AQ351" s="143">
        <v>0</v>
      </c>
      <c r="AR351" s="143">
        <v>0</v>
      </c>
      <c r="AS351" s="143">
        <v>0</v>
      </c>
      <c r="AT351" s="143">
        <v>0</v>
      </c>
      <c r="AU351" s="143">
        <v>0</v>
      </c>
      <c r="AV351" s="143">
        <v>0</v>
      </c>
      <c r="AW351" s="143">
        <v>0</v>
      </c>
      <c r="AX351" s="143">
        <v>0</v>
      </c>
      <c r="AY351" s="143">
        <v>0</v>
      </c>
      <c r="AZ351" s="141">
        <f t="shared" si="370"/>
        <v>1</v>
      </c>
      <c r="BA351" s="141">
        <f t="shared" si="371"/>
        <v>1</v>
      </c>
      <c r="BB351">
        <f t="shared" si="372"/>
        <v>0</v>
      </c>
      <c r="BC351">
        <f t="shared" si="373"/>
        <v>0</v>
      </c>
      <c r="BD351">
        <f t="shared" si="374"/>
        <v>1</v>
      </c>
      <c r="BE351">
        <f t="shared" si="375"/>
        <v>0</v>
      </c>
      <c r="BF351">
        <f t="shared" si="376"/>
        <v>0</v>
      </c>
      <c r="BG351" t="str" cm="1">
        <f t="array" ref="BG351">IF(BA351=1,INDEX($X$7:$AN$7,MATCH(TRUE,INDEX($X351:$AY351&lt;&gt;0,),0)),IF(BA351=0,INDEX($AO$7:$AY$7,MATCH(1,$AO351:$AY351,0)),IF(BH351="Multiple strategies","mixed drivers",IF(BH351="Supply chain","multiple supply","multiple silviculture"))))</f>
        <v>efficiency improvement</v>
      </c>
      <c r="BH351" s="2" t="str" cm="1">
        <f t="array" ref="BH351">IF(COUNTIF(BB351:BD351,"&lt;&gt;0")=1,INDEX($X$4:$AY$4,MATCH(TRUE,INDEX($X351:$AY351&lt;&gt;0,),0)),IF(COUNTIF(BB351:BD351,"&lt;&gt;0")=0,INDEX($AO$4:$AY$4,MATCH(1,$AO351:$AY351,0)),"Multiple strategies"))</f>
        <v>Technology</v>
      </c>
      <c r="BR351" s="297" t="s">
        <v>232</v>
      </c>
      <c r="BS351" s="297"/>
      <c r="BT351" t="s">
        <v>3740</v>
      </c>
      <c r="BU351" s="141">
        <v>-110</v>
      </c>
      <c r="BV351" s="141">
        <v>-56.411650799999997</v>
      </c>
      <c r="BW351" s="144">
        <v>0.51283318909090903</v>
      </c>
      <c r="BX351">
        <v>53.588349200000003</v>
      </c>
      <c r="BZ351">
        <f t="shared" si="395"/>
        <v>5.35883492E-5</v>
      </c>
      <c r="CA351" t="str">
        <f t="shared" si="352"/>
        <v/>
      </c>
      <c r="CB351" s="143">
        <v>0</v>
      </c>
      <c r="CC351" s="143">
        <v>1</v>
      </c>
      <c r="CD351" s="143">
        <v>0</v>
      </c>
      <c r="CE351" s="143">
        <v>1</v>
      </c>
      <c r="CF351" s="143">
        <v>0</v>
      </c>
      <c r="CG351" s="143">
        <v>0</v>
      </c>
      <c r="CH351" s="143">
        <v>0</v>
      </c>
      <c r="CI351" s="143">
        <v>0</v>
      </c>
      <c r="CJ351" s="143">
        <v>0</v>
      </c>
      <c r="CK351" s="143">
        <v>0</v>
      </c>
      <c r="CL351" s="143">
        <v>0</v>
      </c>
      <c r="CM351" s="143">
        <v>0</v>
      </c>
      <c r="CN351" s="143">
        <v>0</v>
      </c>
      <c r="CO351" s="143">
        <v>0</v>
      </c>
      <c r="CP351" t="str">
        <f t="shared" si="396"/>
        <v>refOK</v>
      </c>
      <c r="CQ351"/>
      <c r="CR351"/>
      <c r="CS351"/>
      <c r="CT351">
        <f t="shared" si="353"/>
        <v>0</v>
      </c>
      <c r="CU351">
        <f t="shared" si="378"/>
        <v>-110</v>
      </c>
      <c r="CV351">
        <f t="shared" ref="CV351:CV382" si="398">IF($CP351="refOK",$BV351,$BU351)*IF($BR351="Emissions positive",-1,1)</f>
        <v>-56.411650799999997</v>
      </c>
      <c r="CW351">
        <f t="shared" si="379"/>
        <v>5.35883492E-5</v>
      </c>
      <c r="CX351" t="str">
        <f t="shared" si="354"/>
        <v/>
      </c>
      <c r="CY351" t="str">
        <f t="shared" si="380"/>
        <v/>
      </c>
      <c r="CZ351" t="str">
        <f t="shared" si="355"/>
        <v/>
      </c>
      <c r="DA351" s="2">
        <f t="shared" si="381"/>
        <v>0.48716681090909092</v>
      </c>
      <c r="DB351" s="1" t="s">
        <v>1078</v>
      </c>
      <c r="DC351" s="297" t="str">
        <f t="shared" si="393"/>
        <v>reg</v>
      </c>
      <c r="DD351" t="s">
        <v>235</v>
      </c>
      <c r="DE351">
        <v>2010</v>
      </c>
      <c r="DF351">
        <v>2070</v>
      </c>
      <c r="DG351" s="143">
        <f t="shared" si="397"/>
        <v>60</v>
      </c>
      <c r="DH351" t="str">
        <f t="shared" si="382"/>
        <v>31-70</v>
      </c>
      <c r="DI351">
        <v>1</v>
      </c>
      <c r="DJ351">
        <v>1</v>
      </c>
      <c r="DK351">
        <v>0</v>
      </c>
      <c r="DL351">
        <v>0</v>
      </c>
      <c r="DN351">
        <f t="shared" si="392"/>
        <v>2</v>
      </c>
      <c r="DO351" t="str">
        <f t="shared" si="383"/>
        <v>mixedProduct</v>
      </c>
      <c r="DP351" t="str">
        <f t="shared" si="384"/>
        <v>Upstream</v>
      </c>
      <c r="DQ351" t="str">
        <f t="shared" si="385"/>
        <v>Energy</v>
      </c>
      <c r="DR351">
        <f t="shared" si="386"/>
        <v>0</v>
      </c>
      <c r="DS351">
        <f t="shared" si="387"/>
        <v>0</v>
      </c>
      <c r="DT351">
        <v>0</v>
      </c>
      <c r="DU351" s="143">
        <v>0</v>
      </c>
      <c r="DV351" t="s">
        <v>1976</v>
      </c>
      <c r="DW351">
        <v>0</v>
      </c>
      <c r="DX351">
        <v>0</v>
      </c>
      <c r="DY351">
        <f t="shared" ref="DY351:DY382" si="399">SUM(DT351:DU351)</f>
        <v>0</v>
      </c>
      <c r="DZ351" s="143" t="str">
        <f t="shared" si="394"/>
        <v>explicit C balance</v>
      </c>
      <c r="EA351" s="143">
        <v>1</v>
      </c>
      <c r="EB351" s="143">
        <v>1</v>
      </c>
      <c r="EC351" s="143">
        <v>1</v>
      </c>
      <c r="ED351" s="143">
        <v>0</v>
      </c>
      <c r="EE351" s="143">
        <v>1</v>
      </c>
      <c r="EF351" s="143">
        <v>0</v>
      </c>
      <c r="EG351" s="143">
        <v>1</v>
      </c>
      <c r="EH351" s="143">
        <v>1</v>
      </c>
      <c r="EI351" s="143">
        <v>0</v>
      </c>
      <c r="EJ351" s="143">
        <v>0</v>
      </c>
      <c r="EK351" s="143">
        <v>1</v>
      </c>
      <c r="EL351" s="143">
        <v>0</v>
      </c>
      <c r="EM351" s="143">
        <v>0</v>
      </c>
      <c r="EN351" s="192">
        <v>0</v>
      </c>
      <c r="EP351" t="str">
        <f t="shared" si="356"/>
        <v>Whole sector approach</v>
      </c>
      <c r="EQ351" t="str">
        <f t="shared" si="368"/>
        <v/>
      </c>
      <c r="ER351" s="2" t="str">
        <f t="shared" si="357"/>
        <v/>
      </c>
      <c r="ES351" t="str">
        <f t="shared" si="358"/>
        <v/>
      </c>
      <c r="ET351" t="str">
        <f t="shared" si="359"/>
        <v/>
      </c>
      <c r="EU351" t="str">
        <f t="shared" si="360"/>
        <v/>
      </c>
      <c r="EY351" t="b">
        <f>IF(ISNUMBER(BW351),IF(ABS(BW351-[1]QC_indicators!$B$2)&gt;3*[1]QC_indicators!$C$2,"C ratio",IF(ISNUMBER(CA351),IF(ABS(CA351-[1]QC_indicators!$B$1)&gt;3*[1]QC_indicators!$C$1,"DF","no"))),IF(ISNUMBER(CA351),IF(ABS(CA351-[1]QC_indicators!$B$1)&gt;3*[1]QC_indicators!$C$1,"DF","no")))</f>
        <v>0</v>
      </c>
      <c r="FA351" t="str">
        <f t="shared" si="361"/>
        <v/>
      </c>
      <c r="FB351" s="299" t="s">
        <v>349</v>
      </c>
    </row>
    <row r="352" spans="1:161" ht="15" hidden="1" customHeight="1">
      <c r="A352" s="1" t="s">
        <v>3743</v>
      </c>
      <c r="B352" t="s">
        <v>3744</v>
      </c>
      <c r="C352" t="s">
        <v>3745</v>
      </c>
      <c r="D352" t="s">
        <v>3746</v>
      </c>
      <c r="E352" t="s">
        <v>3747</v>
      </c>
      <c r="F352" t="s">
        <v>3748</v>
      </c>
      <c r="G352" t="s">
        <v>3749</v>
      </c>
      <c r="H352" t="s">
        <v>254</v>
      </c>
      <c r="I352">
        <v>2021</v>
      </c>
      <c r="J352">
        <v>0</v>
      </c>
      <c r="K352" t="s">
        <v>3750</v>
      </c>
      <c r="M352" t="str">
        <f t="shared" si="388"/>
        <v>Robertson_2021</v>
      </c>
      <c r="N352" s="297" t="s">
        <v>4058</v>
      </c>
      <c r="O352" s="145" t="s">
        <v>341</v>
      </c>
      <c r="Q352" s="297" t="s">
        <v>256</v>
      </c>
      <c r="R352" s="298"/>
      <c r="S352" s="1" t="s">
        <v>3751</v>
      </c>
      <c r="T352" t="s">
        <v>1003</v>
      </c>
      <c r="U352" s="297" t="s">
        <v>3752</v>
      </c>
      <c r="V352" s="297"/>
      <c r="W352" s="297"/>
      <c r="X352">
        <v>1</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2</v>
      </c>
      <c r="AZ352" s="141">
        <f t="shared" si="370"/>
        <v>2</v>
      </c>
      <c r="BA352" s="141">
        <f t="shared" si="371"/>
        <v>1</v>
      </c>
      <c r="BB352">
        <f t="shared" si="372"/>
        <v>1</v>
      </c>
      <c r="BC352">
        <f t="shared" si="373"/>
        <v>0</v>
      </c>
      <c r="BD352">
        <f t="shared" si="374"/>
        <v>0</v>
      </c>
      <c r="BE352">
        <f t="shared" si="375"/>
        <v>1</v>
      </c>
      <c r="BF352">
        <f t="shared" si="376"/>
        <v>0</v>
      </c>
      <c r="BG352" t="str" cm="1">
        <f t="array" ref="BG352">IF(BA352=1,INDEX($X$7:$AN$7,MATCH(TRUE,INDEX($X352:$AY352&lt;&gt;0,),0)),IF(BA352=0,INDEX($AO$7:$AY$7,MATCH(1,$AO352:$AY352,0)),IF(BH352="Multiple strategies","mixed drivers",IF(BH352="Supply chain","multiple supply","multiple silviculture"))))</f>
        <v>area subject to harvest</v>
      </c>
      <c r="BH352" s="2" t="str" cm="1">
        <f t="array" ref="BH352">IF(COUNTIF(BB352:BD352,"&lt;&gt;0")=1,INDEX($X$4:$AY$4,MATCH(TRUE,INDEX($X352:$AY352&lt;&gt;0,),0)),IF(COUNTIF(BB352:BD352,"&lt;&gt;0")=0,INDEX($AO$4:$AY$4,MATCH(1,$AO352:$AY352,0)),"Multiple strategies"))</f>
        <v>Silviculture for removals</v>
      </c>
      <c r="BR352" t="s">
        <v>232</v>
      </c>
      <c r="BT352" t="s">
        <v>1018</v>
      </c>
      <c r="BU352">
        <v>0</v>
      </c>
      <c r="BV352">
        <v>0.04</v>
      </c>
      <c r="BW352" s="144" t="str">
        <f t="shared" ref="BW352:BW363" si="400">IFERROR(BV352/BU352,"")</f>
        <v/>
      </c>
      <c r="BX352">
        <f t="shared" ref="BX352:BX363" si="401">BV352-BU352</f>
        <v>0.04</v>
      </c>
      <c r="BZ352">
        <f t="shared" ref="BZ352:BZ363" si="402">BX352*10^6</f>
        <v>40000</v>
      </c>
      <c r="CA352" t="str">
        <f t="shared" si="352"/>
        <v/>
      </c>
      <c r="CB352">
        <v>0</v>
      </c>
      <c r="CC352">
        <v>0</v>
      </c>
      <c r="CD352">
        <v>0</v>
      </c>
      <c r="CE352">
        <v>0</v>
      </c>
      <c r="CF352">
        <v>0</v>
      </c>
      <c r="CG352">
        <v>0</v>
      </c>
      <c r="CH352">
        <v>0</v>
      </c>
      <c r="CI352">
        <v>0</v>
      </c>
      <c r="CJ352">
        <v>0</v>
      </c>
      <c r="CK352">
        <v>0</v>
      </c>
      <c r="CL352">
        <v>0</v>
      </c>
      <c r="CM352">
        <v>0</v>
      </c>
      <c r="CN352">
        <v>0</v>
      </c>
      <c r="CO352">
        <v>0</v>
      </c>
      <c r="CP352" t="str">
        <f t="shared" si="396"/>
        <v>refOK</v>
      </c>
      <c r="CQ352"/>
      <c r="CR352"/>
      <c r="CS352"/>
      <c r="CT352">
        <f t="shared" si="353"/>
        <v>0</v>
      </c>
      <c r="CU352">
        <f t="shared" si="378"/>
        <v>0</v>
      </c>
      <c r="CV352">
        <f t="shared" si="398"/>
        <v>0.04</v>
      </c>
      <c r="CW352">
        <f t="shared" si="379"/>
        <v>40000</v>
      </c>
      <c r="CX352" t="str">
        <f t="shared" si="354"/>
        <v/>
      </c>
      <c r="CY352" t="str">
        <f t="shared" si="380"/>
        <v/>
      </c>
      <c r="CZ352" t="str">
        <f t="shared" si="355"/>
        <v/>
      </c>
      <c r="DA352" s="2" t="str">
        <f t="shared" si="381"/>
        <v/>
      </c>
      <c r="DB352" s="1" t="s">
        <v>1074</v>
      </c>
      <c r="DC352" s="297" t="str">
        <f t="shared" si="393"/>
        <v>reg</v>
      </c>
      <c r="DD352" t="s">
        <v>428</v>
      </c>
      <c r="DE352">
        <v>2020</v>
      </c>
      <c r="DF352">
        <v>2050</v>
      </c>
      <c r="DG352">
        <v>31</v>
      </c>
      <c r="DH352" t="str">
        <f t="shared" si="382"/>
        <v>31-70</v>
      </c>
      <c r="DI352">
        <v>0</v>
      </c>
      <c r="DJ352">
        <v>1</v>
      </c>
      <c r="DK352">
        <v>1</v>
      </c>
      <c r="DL352">
        <v>1</v>
      </c>
      <c r="DN352">
        <f t="shared" si="392"/>
        <v>3</v>
      </c>
      <c r="DO352" t="str">
        <f t="shared" si="383"/>
        <v>mixedProduct</v>
      </c>
      <c r="DP352">
        <f t="shared" si="384"/>
        <v>0</v>
      </c>
      <c r="DQ352" t="str">
        <f t="shared" si="385"/>
        <v>Energy</v>
      </c>
      <c r="DR352" t="str">
        <f t="shared" si="386"/>
        <v>Pulp/Paper</v>
      </c>
      <c r="DS352" t="str">
        <f t="shared" si="387"/>
        <v>Timber</v>
      </c>
      <c r="DT352">
        <v>0</v>
      </c>
      <c r="DU352">
        <v>0</v>
      </c>
      <c r="DV352">
        <v>0</v>
      </c>
      <c r="DW352">
        <v>0</v>
      </c>
      <c r="DX352">
        <v>0</v>
      </c>
      <c r="DY352">
        <f t="shared" si="399"/>
        <v>0</v>
      </c>
      <c r="DZ352" s="143" t="str">
        <f t="shared" si="394"/>
        <v>explicit C balance</v>
      </c>
      <c r="EA352">
        <v>1</v>
      </c>
      <c r="EB352">
        <v>1</v>
      </c>
      <c r="EC352">
        <v>1</v>
      </c>
      <c r="ED352">
        <v>1</v>
      </c>
      <c r="EE352">
        <v>0</v>
      </c>
      <c r="EF352" s="143">
        <v>0</v>
      </c>
      <c r="EG352">
        <v>1</v>
      </c>
      <c r="EH352">
        <v>0</v>
      </c>
      <c r="EI352">
        <v>0</v>
      </c>
      <c r="EJ352">
        <v>0</v>
      </c>
      <c r="EK352">
        <v>1</v>
      </c>
      <c r="EL352">
        <v>0</v>
      </c>
      <c r="EM352">
        <v>0</v>
      </c>
      <c r="EN352" s="2">
        <v>0</v>
      </c>
      <c r="EP352" t="str">
        <f t="shared" si="356"/>
        <v/>
      </c>
      <c r="EQ352" t="str">
        <f t="shared" si="368"/>
        <v>Ecosystem approach</v>
      </c>
      <c r="ER352" s="2" t="str">
        <f t="shared" si="357"/>
        <v/>
      </c>
      <c r="ES352" t="str">
        <f t="shared" si="358"/>
        <v/>
      </c>
      <c r="ET352" t="str">
        <f t="shared" si="359"/>
        <v/>
      </c>
      <c r="EU352" t="str">
        <f t="shared" si="360"/>
        <v/>
      </c>
      <c r="EY352" t="b">
        <f>IF(ISNUMBER(BW352),IF(ABS(BW352-[1]QC_indicators!$B$2)&gt;3*[1]QC_indicators!$C$2,"C ratio",IF(ISNUMBER(CA352),IF(ABS(CA352-[1]QC_indicators!$B$1)&gt;3*[1]QC_indicators!$C$1,"DF","no"))),IF(ISNUMBER(CA352),IF(ABS(CA352-[1]QC_indicators!$B$1)&gt;3*[1]QC_indicators!$C$1,"DF","no")))</f>
        <v>0</v>
      </c>
      <c r="FA352" t="str">
        <f t="shared" si="361"/>
        <v/>
      </c>
    </row>
    <row r="353" spans="1:158" ht="15" hidden="1" customHeight="1">
      <c r="A353" s="1" t="s">
        <v>3743</v>
      </c>
      <c r="B353" t="s">
        <v>3744</v>
      </c>
      <c r="C353" t="s">
        <v>3745</v>
      </c>
      <c r="D353" t="s">
        <v>3746</v>
      </c>
      <c r="E353" t="s">
        <v>3747</v>
      </c>
      <c r="F353" t="s">
        <v>3748</v>
      </c>
      <c r="G353" t="s">
        <v>3749</v>
      </c>
      <c r="H353" t="s">
        <v>254</v>
      </c>
      <c r="I353">
        <v>2021</v>
      </c>
      <c r="J353">
        <v>0</v>
      </c>
      <c r="K353" t="s">
        <v>3750</v>
      </c>
      <c r="M353" t="str">
        <f t="shared" si="388"/>
        <v>Robertson_2021</v>
      </c>
      <c r="N353" s="297" t="s">
        <v>4058</v>
      </c>
      <c r="O353" s="145" t="s">
        <v>341</v>
      </c>
      <c r="Q353" s="297" t="s">
        <v>256</v>
      </c>
      <c r="R353" s="298"/>
      <c r="S353" s="1" t="s">
        <v>3753</v>
      </c>
      <c r="T353" t="s">
        <v>1003</v>
      </c>
      <c r="U353" s="297" t="s">
        <v>3752</v>
      </c>
      <c r="V353" s="297"/>
      <c r="W353" s="297"/>
      <c r="X353">
        <v>1</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2</v>
      </c>
      <c r="AZ353" s="141">
        <f t="shared" si="370"/>
        <v>2</v>
      </c>
      <c r="BA353" s="141">
        <f t="shared" si="371"/>
        <v>1</v>
      </c>
      <c r="BB353">
        <f t="shared" si="372"/>
        <v>1</v>
      </c>
      <c r="BC353">
        <f t="shared" si="373"/>
        <v>0</v>
      </c>
      <c r="BD353">
        <f t="shared" si="374"/>
        <v>0</v>
      </c>
      <c r="BE353">
        <f t="shared" si="375"/>
        <v>1</v>
      </c>
      <c r="BF353">
        <f t="shared" si="376"/>
        <v>0</v>
      </c>
      <c r="BG353" t="str" cm="1">
        <f t="array" ref="BG353">IF(BA353=1,INDEX($X$7:$AN$7,MATCH(TRUE,INDEX($X353:$AY353&lt;&gt;0,),0)),IF(BA353=0,INDEX($AO$7:$AY$7,MATCH(1,$AO353:$AY353,0)),IF(BH353="Multiple strategies","mixed drivers",IF(BH353="Supply chain","multiple supply","multiple silviculture"))))</f>
        <v>area subject to harvest</v>
      </c>
      <c r="BH353" s="2" t="str" cm="1">
        <f t="array" ref="BH353">IF(COUNTIF(BB353:BD353,"&lt;&gt;0")=1,INDEX($X$4:$AY$4,MATCH(TRUE,INDEX($X353:$AY353&lt;&gt;0,),0)),IF(COUNTIF(BB353:BD353,"&lt;&gt;0")=0,INDEX($AO$4:$AY$4,MATCH(1,$AO353:$AY353,0)),"Multiple strategies"))</f>
        <v>Silviculture for removals</v>
      </c>
      <c r="BR353" t="s">
        <v>232</v>
      </c>
      <c r="BT353" t="s">
        <v>1018</v>
      </c>
      <c r="BU353">
        <v>0</v>
      </c>
      <c r="BV353">
        <v>0.13</v>
      </c>
      <c r="BW353" s="144" t="str">
        <f t="shared" si="400"/>
        <v/>
      </c>
      <c r="BX353">
        <f t="shared" si="401"/>
        <v>0.13</v>
      </c>
      <c r="BZ353">
        <f t="shared" si="402"/>
        <v>130000</v>
      </c>
      <c r="CA353" t="str">
        <f t="shared" si="352"/>
        <v/>
      </c>
      <c r="CB353">
        <v>0</v>
      </c>
      <c r="CC353">
        <v>0</v>
      </c>
      <c r="CD353">
        <v>0</v>
      </c>
      <c r="CE353">
        <v>0</v>
      </c>
      <c r="CF353">
        <v>0</v>
      </c>
      <c r="CG353">
        <v>0</v>
      </c>
      <c r="CH353">
        <v>0</v>
      </c>
      <c r="CI353">
        <v>0</v>
      </c>
      <c r="CJ353">
        <v>0</v>
      </c>
      <c r="CK353">
        <v>0</v>
      </c>
      <c r="CL353">
        <v>0</v>
      </c>
      <c r="CM353">
        <v>0</v>
      </c>
      <c r="CN353">
        <v>0</v>
      </c>
      <c r="CO353">
        <v>0</v>
      </c>
      <c r="CP353" t="str">
        <f t="shared" si="396"/>
        <v>refOK</v>
      </c>
      <c r="CQ353"/>
      <c r="CR353"/>
      <c r="CS353"/>
      <c r="CT353">
        <f t="shared" si="353"/>
        <v>0</v>
      </c>
      <c r="CU353">
        <f t="shared" si="378"/>
        <v>0</v>
      </c>
      <c r="CV353">
        <f t="shared" si="398"/>
        <v>0.13</v>
      </c>
      <c r="CW353">
        <f t="shared" si="379"/>
        <v>130000</v>
      </c>
      <c r="CX353" t="str">
        <f t="shared" si="354"/>
        <v/>
      </c>
      <c r="CY353" t="str">
        <f t="shared" si="380"/>
        <v/>
      </c>
      <c r="CZ353" t="str">
        <f t="shared" si="355"/>
        <v/>
      </c>
      <c r="DA353" s="2" t="str">
        <f t="shared" si="381"/>
        <v/>
      </c>
      <c r="DB353" s="1" t="s">
        <v>1074</v>
      </c>
      <c r="DC353" s="297" t="str">
        <f t="shared" si="393"/>
        <v>reg</v>
      </c>
      <c r="DD353" t="s">
        <v>428</v>
      </c>
      <c r="DE353">
        <v>2020</v>
      </c>
      <c r="DF353">
        <v>2050</v>
      </c>
      <c r="DG353">
        <v>31</v>
      </c>
      <c r="DH353" t="str">
        <f t="shared" si="382"/>
        <v>31-70</v>
      </c>
      <c r="DI353">
        <v>0</v>
      </c>
      <c r="DJ353">
        <v>1</v>
      </c>
      <c r="DK353">
        <v>1</v>
      </c>
      <c r="DL353">
        <v>1</v>
      </c>
      <c r="DN353">
        <f t="shared" si="392"/>
        <v>3</v>
      </c>
      <c r="DO353" t="str">
        <f t="shared" si="383"/>
        <v>mixedProduct</v>
      </c>
      <c r="DP353">
        <f t="shared" si="384"/>
        <v>0</v>
      </c>
      <c r="DQ353" t="str">
        <f t="shared" si="385"/>
        <v>Energy</v>
      </c>
      <c r="DR353" t="str">
        <f t="shared" si="386"/>
        <v>Pulp/Paper</v>
      </c>
      <c r="DS353" t="str">
        <f t="shared" si="387"/>
        <v>Timber</v>
      </c>
      <c r="DT353">
        <v>0</v>
      </c>
      <c r="DU353">
        <v>0</v>
      </c>
      <c r="DV353">
        <v>0</v>
      </c>
      <c r="DW353">
        <v>0</v>
      </c>
      <c r="DX353">
        <v>0</v>
      </c>
      <c r="DY353">
        <f t="shared" si="399"/>
        <v>0</v>
      </c>
      <c r="DZ353" s="143" t="str">
        <f t="shared" si="394"/>
        <v>explicit C balance</v>
      </c>
      <c r="EA353">
        <v>1</v>
      </c>
      <c r="EB353">
        <v>1</v>
      </c>
      <c r="EC353">
        <v>1</v>
      </c>
      <c r="ED353">
        <v>1</v>
      </c>
      <c r="EE353">
        <v>0</v>
      </c>
      <c r="EF353" s="143">
        <v>0</v>
      </c>
      <c r="EG353">
        <v>1</v>
      </c>
      <c r="EH353">
        <v>0</v>
      </c>
      <c r="EI353">
        <v>0</v>
      </c>
      <c r="EJ353">
        <v>0</v>
      </c>
      <c r="EK353">
        <v>1</v>
      </c>
      <c r="EL353">
        <v>0</v>
      </c>
      <c r="EM353">
        <v>0</v>
      </c>
      <c r="EN353" s="2">
        <v>0</v>
      </c>
      <c r="EP353" t="str">
        <f t="shared" si="356"/>
        <v/>
      </c>
      <c r="EQ353" t="str">
        <f t="shared" ref="EQ353:EQ384" si="403">IF(AND(AND(OR($EC353=1,$EB353=1),AND($EH353=0,$EF353=0)),SUM($EA353:$EE353,$EK353)&gt;=3),"Ecosystem approach","")</f>
        <v>Ecosystem approach</v>
      </c>
      <c r="ER353" s="2" t="str">
        <f t="shared" si="357"/>
        <v/>
      </c>
      <c r="ES353" t="str">
        <f t="shared" si="358"/>
        <v/>
      </c>
      <c r="ET353" t="str">
        <f t="shared" si="359"/>
        <v/>
      </c>
      <c r="EU353" t="str">
        <f t="shared" si="360"/>
        <v/>
      </c>
      <c r="EY353" t="b">
        <f>IF(ISNUMBER(BW353),IF(ABS(BW353-[1]QC_indicators!$B$2)&gt;3*[1]QC_indicators!$C$2,"C ratio",IF(ISNUMBER(CA353),IF(ABS(CA353-[1]QC_indicators!$B$1)&gt;3*[1]QC_indicators!$C$1,"DF","no"))),IF(ISNUMBER(CA353),IF(ABS(CA353-[1]QC_indicators!$B$1)&gt;3*[1]QC_indicators!$C$1,"DF","no")))</f>
        <v>0</v>
      </c>
      <c r="FA353" t="str">
        <f t="shared" si="361"/>
        <v/>
      </c>
    </row>
    <row r="354" spans="1:158" ht="15" hidden="1" customHeight="1">
      <c r="A354" s="1" t="s">
        <v>3743</v>
      </c>
      <c r="B354" t="s">
        <v>3744</v>
      </c>
      <c r="C354" t="s">
        <v>3745</v>
      </c>
      <c r="D354" t="s">
        <v>3746</v>
      </c>
      <c r="E354" t="s">
        <v>3747</v>
      </c>
      <c r="F354" t="s">
        <v>3748</v>
      </c>
      <c r="G354" t="s">
        <v>3749</v>
      </c>
      <c r="H354" t="s">
        <v>254</v>
      </c>
      <c r="I354">
        <v>2021</v>
      </c>
      <c r="J354">
        <v>0</v>
      </c>
      <c r="K354" t="s">
        <v>3750</v>
      </c>
      <c r="M354" t="str">
        <f t="shared" si="388"/>
        <v>Robertson_2021</v>
      </c>
      <c r="N354" s="297" t="s">
        <v>4058</v>
      </c>
      <c r="O354" s="145" t="s">
        <v>341</v>
      </c>
      <c r="Q354" s="297" t="s">
        <v>256</v>
      </c>
      <c r="R354" s="298"/>
      <c r="S354" s="1" t="s">
        <v>3754</v>
      </c>
      <c r="T354" t="s">
        <v>1003</v>
      </c>
      <c r="U354" s="297" t="s">
        <v>3752</v>
      </c>
      <c r="V354" s="297"/>
      <c r="W354" s="297"/>
      <c r="X354">
        <v>1</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2</v>
      </c>
      <c r="AZ354" s="141">
        <f t="shared" si="370"/>
        <v>2</v>
      </c>
      <c r="BA354" s="141">
        <f t="shared" si="371"/>
        <v>1</v>
      </c>
      <c r="BB354">
        <f t="shared" si="372"/>
        <v>1</v>
      </c>
      <c r="BC354">
        <f t="shared" si="373"/>
        <v>0</v>
      </c>
      <c r="BD354">
        <f t="shared" si="374"/>
        <v>0</v>
      </c>
      <c r="BE354">
        <f t="shared" si="375"/>
        <v>1</v>
      </c>
      <c r="BF354">
        <f t="shared" si="376"/>
        <v>0</v>
      </c>
      <c r="BG354" t="str" cm="1">
        <f t="array" ref="BG354">IF(BA354=1,INDEX($X$7:$AN$7,MATCH(TRUE,INDEX($X354:$AY354&lt;&gt;0,),0)),IF(BA354=0,INDEX($AO$7:$AY$7,MATCH(1,$AO354:$AY354,0)),IF(BH354="Multiple strategies","mixed drivers",IF(BH354="Supply chain","multiple supply","multiple silviculture"))))</f>
        <v>area subject to harvest</v>
      </c>
      <c r="BH354" s="2" t="str" cm="1">
        <f t="array" ref="BH354">IF(COUNTIF(BB354:BD354,"&lt;&gt;0")=1,INDEX($X$4:$AY$4,MATCH(TRUE,INDEX($X354:$AY354&lt;&gt;0,),0)),IF(COUNTIF(BB354:BD354,"&lt;&gt;0")=0,INDEX($AO$4:$AY$4,MATCH(1,$AO354:$AY354,0)),"Multiple strategies"))</f>
        <v>Silviculture for removals</v>
      </c>
      <c r="BR354" t="s">
        <v>232</v>
      </c>
      <c r="BT354" t="s">
        <v>1018</v>
      </c>
      <c r="BU354">
        <v>0</v>
      </c>
      <c r="BV354">
        <v>0.4</v>
      </c>
      <c r="BW354" s="144" t="str">
        <f t="shared" si="400"/>
        <v/>
      </c>
      <c r="BX354">
        <f t="shared" si="401"/>
        <v>0.4</v>
      </c>
      <c r="BZ354">
        <f t="shared" si="402"/>
        <v>400000</v>
      </c>
      <c r="CA354" t="str">
        <f t="shared" si="352"/>
        <v/>
      </c>
      <c r="CB354">
        <v>0</v>
      </c>
      <c r="CC354">
        <v>0</v>
      </c>
      <c r="CD354">
        <v>0</v>
      </c>
      <c r="CE354">
        <v>0</v>
      </c>
      <c r="CF354">
        <v>0</v>
      </c>
      <c r="CG354">
        <v>0</v>
      </c>
      <c r="CH354">
        <v>0</v>
      </c>
      <c r="CI354">
        <v>0</v>
      </c>
      <c r="CJ354">
        <v>0</v>
      </c>
      <c r="CK354">
        <v>0</v>
      </c>
      <c r="CL354">
        <v>0</v>
      </c>
      <c r="CM354">
        <v>0</v>
      </c>
      <c r="CN354">
        <v>0</v>
      </c>
      <c r="CO354">
        <v>0</v>
      </c>
      <c r="CP354" t="str">
        <f t="shared" si="396"/>
        <v>refOK</v>
      </c>
      <c r="CQ354"/>
      <c r="CR354"/>
      <c r="CS354"/>
      <c r="CT354">
        <f t="shared" si="353"/>
        <v>0</v>
      </c>
      <c r="CU354">
        <f t="shared" si="378"/>
        <v>0</v>
      </c>
      <c r="CV354">
        <f t="shared" si="398"/>
        <v>0.4</v>
      </c>
      <c r="CW354">
        <f t="shared" si="379"/>
        <v>400000</v>
      </c>
      <c r="CX354" t="str">
        <f t="shared" si="354"/>
        <v/>
      </c>
      <c r="CY354" t="str">
        <f t="shared" si="380"/>
        <v/>
      </c>
      <c r="CZ354" t="str">
        <f t="shared" si="355"/>
        <v/>
      </c>
      <c r="DA354" s="2" t="str">
        <f t="shared" si="381"/>
        <v/>
      </c>
      <c r="DB354" s="1" t="s">
        <v>1074</v>
      </c>
      <c r="DC354" s="297" t="str">
        <f t="shared" si="393"/>
        <v>reg</v>
      </c>
      <c r="DD354" t="s">
        <v>428</v>
      </c>
      <c r="DE354">
        <v>2020</v>
      </c>
      <c r="DF354">
        <v>2050</v>
      </c>
      <c r="DG354">
        <v>31</v>
      </c>
      <c r="DH354" t="str">
        <f t="shared" si="382"/>
        <v>31-70</v>
      </c>
      <c r="DI354">
        <v>0</v>
      </c>
      <c r="DJ354">
        <v>1</v>
      </c>
      <c r="DK354">
        <v>1</v>
      </c>
      <c r="DL354">
        <v>1</v>
      </c>
      <c r="DN354">
        <f t="shared" si="392"/>
        <v>3</v>
      </c>
      <c r="DO354" t="str">
        <f t="shared" si="383"/>
        <v>mixedProduct</v>
      </c>
      <c r="DP354">
        <f t="shared" si="384"/>
        <v>0</v>
      </c>
      <c r="DQ354" t="str">
        <f t="shared" si="385"/>
        <v>Energy</v>
      </c>
      <c r="DR354" t="str">
        <f t="shared" si="386"/>
        <v>Pulp/Paper</v>
      </c>
      <c r="DS354" t="str">
        <f t="shared" si="387"/>
        <v>Timber</v>
      </c>
      <c r="DT354">
        <v>0</v>
      </c>
      <c r="DU354">
        <v>0</v>
      </c>
      <c r="DV354">
        <v>0</v>
      </c>
      <c r="DW354">
        <v>0</v>
      </c>
      <c r="DX354">
        <v>0</v>
      </c>
      <c r="DY354">
        <f t="shared" si="399"/>
        <v>0</v>
      </c>
      <c r="DZ354" s="143" t="str">
        <f t="shared" si="394"/>
        <v>explicit C balance</v>
      </c>
      <c r="EA354">
        <v>1</v>
      </c>
      <c r="EB354">
        <v>1</v>
      </c>
      <c r="EC354">
        <v>1</v>
      </c>
      <c r="ED354">
        <v>1</v>
      </c>
      <c r="EE354">
        <v>0</v>
      </c>
      <c r="EF354" s="143">
        <v>0</v>
      </c>
      <c r="EG354">
        <v>1</v>
      </c>
      <c r="EH354">
        <v>0</v>
      </c>
      <c r="EI354">
        <v>0</v>
      </c>
      <c r="EJ354">
        <v>0</v>
      </c>
      <c r="EK354">
        <v>1</v>
      </c>
      <c r="EL354">
        <v>0</v>
      </c>
      <c r="EM354">
        <v>0</v>
      </c>
      <c r="EN354" s="2">
        <v>0</v>
      </c>
      <c r="EP354" t="str">
        <f t="shared" si="356"/>
        <v/>
      </c>
      <c r="EQ354" t="str">
        <f t="shared" si="403"/>
        <v>Ecosystem approach</v>
      </c>
      <c r="ER354" s="2" t="str">
        <f t="shared" si="357"/>
        <v/>
      </c>
      <c r="ES354" t="str">
        <f t="shared" si="358"/>
        <v/>
      </c>
      <c r="ET354" t="str">
        <f t="shared" si="359"/>
        <v/>
      </c>
      <c r="EU354" t="str">
        <f t="shared" si="360"/>
        <v/>
      </c>
      <c r="EY354" t="b">
        <f>IF(ISNUMBER(BW354),IF(ABS(BW354-[1]QC_indicators!$B$2)&gt;3*[1]QC_indicators!$C$2,"C ratio",IF(ISNUMBER(CA354),IF(ABS(CA354-[1]QC_indicators!$B$1)&gt;3*[1]QC_indicators!$C$1,"DF","no"))),IF(ISNUMBER(CA354),IF(ABS(CA354-[1]QC_indicators!$B$1)&gt;3*[1]QC_indicators!$C$1,"DF","no")))</f>
        <v>0</v>
      </c>
      <c r="FA354" t="str">
        <f t="shared" si="361"/>
        <v/>
      </c>
    </row>
    <row r="355" spans="1:158" ht="15" hidden="1" customHeight="1">
      <c r="A355" s="1" t="s">
        <v>3743</v>
      </c>
      <c r="B355" t="s">
        <v>3744</v>
      </c>
      <c r="C355" t="s">
        <v>3745</v>
      </c>
      <c r="D355" t="s">
        <v>3746</v>
      </c>
      <c r="E355" t="s">
        <v>3747</v>
      </c>
      <c r="F355" t="s">
        <v>3748</v>
      </c>
      <c r="G355" t="s">
        <v>3749</v>
      </c>
      <c r="H355" t="s">
        <v>254</v>
      </c>
      <c r="I355">
        <v>2021</v>
      </c>
      <c r="J355">
        <v>0</v>
      </c>
      <c r="K355" t="s">
        <v>3750</v>
      </c>
      <c r="M355" t="str">
        <f t="shared" si="388"/>
        <v>Robertson_2021</v>
      </c>
      <c r="N355" s="297" t="s">
        <v>4058</v>
      </c>
      <c r="O355" s="145" t="s">
        <v>341</v>
      </c>
      <c r="Q355" s="297" t="s">
        <v>256</v>
      </c>
      <c r="R355" s="298"/>
      <c r="S355" s="1" t="s">
        <v>3755</v>
      </c>
      <c r="T355" t="s">
        <v>1003</v>
      </c>
      <c r="U355" t="e">
        <f>#REF!</f>
        <v>#REF!</v>
      </c>
      <c r="X355">
        <v>1</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2</v>
      </c>
      <c r="AZ355" s="141">
        <f t="shared" si="370"/>
        <v>2</v>
      </c>
      <c r="BA355" s="141">
        <f t="shared" si="371"/>
        <v>1</v>
      </c>
      <c r="BB355">
        <f t="shared" si="372"/>
        <v>1</v>
      </c>
      <c r="BC355">
        <f t="shared" si="373"/>
        <v>0</v>
      </c>
      <c r="BD355">
        <f t="shared" si="374"/>
        <v>0</v>
      </c>
      <c r="BE355">
        <f t="shared" si="375"/>
        <v>1</v>
      </c>
      <c r="BF355">
        <f t="shared" si="376"/>
        <v>0</v>
      </c>
      <c r="BG355" t="str" cm="1">
        <f t="array" ref="BG355">IF(BA355=1,INDEX($X$7:$AN$7,MATCH(TRUE,INDEX($X355:$AY355&lt;&gt;0,),0)),IF(BA355=0,INDEX($AO$7:$AY$7,MATCH(1,$AO355:$AY355,0)),IF(BH355="Multiple strategies","mixed drivers",IF(BH355="Supply chain","multiple supply","multiple silviculture"))))</f>
        <v>area subject to harvest</v>
      </c>
      <c r="BH355" s="2" t="str" cm="1">
        <f t="array" ref="BH355">IF(COUNTIF(BB355:BD355,"&lt;&gt;0")=1,INDEX($X$4:$AY$4,MATCH(TRUE,INDEX($X355:$AY355&lt;&gt;0,),0)),IF(COUNTIF(BB355:BD355,"&lt;&gt;0")=0,INDEX($AO$4:$AY$4,MATCH(1,$AO355:$AY355,0)),"Multiple strategies"))</f>
        <v>Silviculture for removals</v>
      </c>
      <c r="BR355" t="s">
        <v>232</v>
      </c>
      <c r="BT355" t="s">
        <v>1018</v>
      </c>
      <c r="BU355">
        <v>0</v>
      </c>
      <c r="BV355">
        <v>0.12</v>
      </c>
      <c r="BW355" s="144" t="str">
        <f t="shared" si="400"/>
        <v/>
      </c>
      <c r="BX355">
        <f t="shared" si="401"/>
        <v>0.12</v>
      </c>
      <c r="BZ355">
        <f t="shared" si="402"/>
        <v>120000</v>
      </c>
      <c r="CA355" t="str">
        <f t="shared" si="352"/>
        <v/>
      </c>
      <c r="CB355">
        <v>0</v>
      </c>
      <c r="CC355">
        <v>0</v>
      </c>
      <c r="CD355">
        <v>0</v>
      </c>
      <c r="CE355">
        <v>0</v>
      </c>
      <c r="CF355">
        <v>0</v>
      </c>
      <c r="CG355">
        <v>0</v>
      </c>
      <c r="CH355">
        <v>0</v>
      </c>
      <c r="CI355">
        <v>0</v>
      </c>
      <c r="CJ355">
        <v>0</v>
      </c>
      <c r="CK355">
        <v>0</v>
      </c>
      <c r="CL355">
        <v>0</v>
      </c>
      <c r="CM355">
        <v>0</v>
      </c>
      <c r="CN355">
        <v>0</v>
      </c>
      <c r="CO355">
        <v>0</v>
      </c>
      <c r="CP355" t="str">
        <f t="shared" si="396"/>
        <v>refOK</v>
      </c>
      <c r="CQ355"/>
      <c r="CR355"/>
      <c r="CS355"/>
      <c r="CT355">
        <f t="shared" si="353"/>
        <v>0</v>
      </c>
      <c r="CU355">
        <f t="shared" si="378"/>
        <v>0</v>
      </c>
      <c r="CV355">
        <f t="shared" si="398"/>
        <v>0.12</v>
      </c>
      <c r="CW355">
        <f t="shared" si="379"/>
        <v>120000</v>
      </c>
      <c r="CX355" t="str">
        <f t="shared" si="354"/>
        <v/>
      </c>
      <c r="CY355" t="str">
        <f t="shared" si="380"/>
        <v/>
      </c>
      <c r="CZ355" t="str">
        <f t="shared" si="355"/>
        <v/>
      </c>
      <c r="DA355" s="2" t="str">
        <f t="shared" si="381"/>
        <v/>
      </c>
      <c r="DB355" s="1" t="s">
        <v>1074</v>
      </c>
      <c r="DC355" s="297" t="str">
        <f t="shared" si="393"/>
        <v>reg</v>
      </c>
      <c r="DD355" t="s">
        <v>428</v>
      </c>
      <c r="DE355">
        <v>2020</v>
      </c>
      <c r="DF355">
        <v>2050</v>
      </c>
      <c r="DG355">
        <v>31</v>
      </c>
      <c r="DH355" t="str">
        <f t="shared" si="382"/>
        <v>31-70</v>
      </c>
      <c r="DI355">
        <v>0</v>
      </c>
      <c r="DJ355">
        <v>1</v>
      </c>
      <c r="DK355">
        <v>1</v>
      </c>
      <c r="DL355">
        <v>1</v>
      </c>
      <c r="DN355">
        <f t="shared" si="392"/>
        <v>3</v>
      </c>
      <c r="DO355" t="str">
        <f t="shared" si="383"/>
        <v>mixedProduct</v>
      </c>
      <c r="DP355">
        <f t="shared" si="384"/>
        <v>0</v>
      </c>
      <c r="DQ355" t="str">
        <f t="shared" si="385"/>
        <v>Energy</v>
      </c>
      <c r="DR355" t="str">
        <f t="shared" si="386"/>
        <v>Pulp/Paper</v>
      </c>
      <c r="DS355" t="str">
        <f t="shared" si="387"/>
        <v>Timber</v>
      </c>
      <c r="DT355">
        <v>0</v>
      </c>
      <c r="DU355">
        <v>0</v>
      </c>
      <c r="DV355">
        <v>0</v>
      </c>
      <c r="DW355">
        <v>0</v>
      </c>
      <c r="DX355">
        <v>0</v>
      </c>
      <c r="DY355">
        <f t="shared" si="399"/>
        <v>0</v>
      </c>
      <c r="DZ355" s="143" t="str">
        <f t="shared" si="394"/>
        <v>explicit C balance</v>
      </c>
      <c r="EA355">
        <v>1</v>
      </c>
      <c r="EB355">
        <v>1</v>
      </c>
      <c r="EC355">
        <v>1</v>
      </c>
      <c r="ED355">
        <v>1</v>
      </c>
      <c r="EE355">
        <v>0</v>
      </c>
      <c r="EF355" s="143">
        <v>0</v>
      </c>
      <c r="EG355">
        <v>1</v>
      </c>
      <c r="EH355">
        <v>0</v>
      </c>
      <c r="EI355">
        <v>0</v>
      </c>
      <c r="EJ355">
        <v>0</v>
      </c>
      <c r="EK355">
        <v>1</v>
      </c>
      <c r="EL355">
        <v>0</v>
      </c>
      <c r="EM355">
        <v>0</v>
      </c>
      <c r="EN355" s="2">
        <v>0</v>
      </c>
      <c r="EP355" t="str">
        <f t="shared" si="356"/>
        <v/>
      </c>
      <c r="EQ355" t="str">
        <f t="shared" si="403"/>
        <v>Ecosystem approach</v>
      </c>
      <c r="ER355" s="2" t="str">
        <f t="shared" si="357"/>
        <v/>
      </c>
      <c r="ES355" t="str">
        <f t="shared" si="358"/>
        <v/>
      </c>
      <c r="ET355" t="str">
        <f t="shared" si="359"/>
        <v/>
      </c>
      <c r="EU355" t="str">
        <f t="shared" si="360"/>
        <v/>
      </c>
      <c r="EY355" t="b">
        <f>IF(ISNUMBER(BW355),IF(ABS(BW355-[1]QC_indicators!$B$2)&gt;3*[1]QC_indicators!$C$2,"C ratio",IF(ISNUMBER(CA355),IF(ABS(CA355-[1]QC_indicators!$B$1)&gt;3*[1]QC_indicators!$C$1,"DF","no"))),IF(ISNUMBER(CA355),IF(ABS(CA355-[1]QC_indicators!$B$1)&gt;3*[1]QC_indicators!$C$1,"DF","no")))</f>
        <v>0</v>
      </c>
      <c r="FA355" t="str">
        <f t="shared" si="361"/>
        <v/>
      </c>
    </row>
    <row r="356" spans="1:158" ht="15" hidden="1" customHeight="1">
      <c r="A356" s="1" t="s">
        <v>3743</v>
      </c>
      <c r="B356" t="s">
        <v>3744</v>
      </c>
      <c r="C356" t="s">
        <v>3745</v>
      </c>
      <c r="D356" t="s">
        <v>3746</v>
      </c>
      <c r="E356" t="s">
        <v>3747</v>
      </c>
      <c r="F356" t="s">
        <v>3748</v>
      </c>
      <c r="G356" t="s">
        <v>3749</v>
      </c>
      <c r="H356" t="s">
        <v>254</v>
      </c>
      <c r="I356">
        <v>2021</v>
      </c>
      <c r="J356">
        <v>0</v>
      </c>
      <c r="K356" t="s">
        <v>3750</v>
      </c>
      <c r="M356" t="str">
        <f t="shared" si="388"/>
        <v>Robertson_2021</v>
      </c>
      <c r="N356" s="297" t="s">
        <v>4058</v>
      </c>
      <c r="O356" s="145" t="s">
        <v>341</v>
      </c>
      <c r="Q356" s="297" t="s">
        <v>256</v>
      </c>
      <c r="R356" s="298"/>
      <c r="S356" s="1" t="s">
        <v>3756</v>
      </c>
      <c r="T356" t="s">
        <v>1003</v>
      </c>
      <c r="U356" t="e">
        <f>#REF!</f>
        <v>#REF!</v>
      </c>
      <c r="X356">
        <v>1</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2</v>
      </c>
      <c r="AZ356" s="141">
        <f t="shared" si="370"/>
        <v>2</v>
      </c>
      <c r="BA356" s="141">
        <f t="shared" si="371"/>
        <v>1</v>
      </c>
      <c r="BB356">
        <f t="shared" si="372"/>
        <v>1</v>
      </c>
      <c r="BC356">
        <f t="shared" si="373"/>
        <v>0</v>
      </c>
      <c r="BD356">
        <f t="shared" si="374"/>
        <v>0</v>
      </c>
      <c r="BE356">
        <f t="shared" si="375"/>
        <v>1</v>
      </c>
      <c r="BF356">
        <f t="shared" si="376"/>
        <v>0</v>
      </c>
      <c r="BG356" t="str" cm="1">
        <f t="array" ref="BG356">IF(BA356=1,INDEX($X$7:$AN$7,MATCH(TRUE,INDEX($X356:$AY356&lt;&gt;0,),0)),IF(BA356=0,INDEX($AO$7:$AY$7,MATCH(1,$AO356:$AY356,0)),IF(BH356="Multiple strategies","mixed drivers",IF(BH356="Supply chain","multiple supply","multiple silviculture"))))</f>
        <v>area subject to harvest</v>
      </c>
      <c r="BH356" s="2" t="str" cm="1">
        <f t="array" ref="BH356">IF(COUNTIF(BB356:BD356,"&lt;&gt;0")=1,INDEX($X$4:$AY$4,MATCH(TRUE,INDEX($X356:$AY356&lt;&gt;0,),0)),IF(COUNTIF(BB356:BD356,"&lt;&gt;0")=0,INDEX($AO$4:$AY$4,MATCH(1,$AO356:$AY356,0)),"Multiple strategies"))</f>
        <v>Silviculture for removals</v>
      </c>
      <c r="BR356" t="s">
        <v>232</v>
      </c>
      <c r="BT356" t="s">
        <v>1018</v>
      </c>
      <c r="BU356">
        <v>0</v>
      </c>
      <c r="BV356">
        <v>0.57999999999999996</v>
      </c>
      <c r="BW356" s="144" t="str">
        <f t="shared" si="400"/>
        <v/>
      </c>
      <c r="BX356">
        <f t="shared" si="401"/>
        <v>0.57999999999999996</v>
      </c>
      <c r="BZ356">
        <f t="shared" si="402"/>
        <v>580000</v>
      </c>
      <c r="CA356" t="str">
        <f t="shared" si="352"/>
        <v/>
      </c>
      <c r="CB356">
        <v>0</v>
      </c>
      <c r="CC356">
        <v>0</v>
      </c>
      <c r="CD356">
        <v>0</v>
      </c>
      <c r="CE356">
        <v>0</v>
      </c>
      <c r="CF356">
        <v>0</v>
      </c>
      <c r="CG356">
        <v>0</v>
      </c>
      <c r="CH356">
        <v>0</v>
      </c>
      <c r="CI356">
        <v>0</v>
      </c>
      <c r="CJ356">
        <v>0</v>
      </c>
      <c r="CK356">
        <v>0</v>
      </c>
      <c r="CL356">
        <v>0</v>
      </c>
      <c r="CM356">
        <v>0</v>
      </c>
      <c r="CN356">
        <v>0</v>
      </c>
      <c r="CO356">
        <v>0</v>
      </c>
      <c r="CP356" t="str">
        <f t="shared" si="396"/>
        <v>refOK</v>
      </c>
      <c r="CQ356"/>
      <c r="CR356"/>
      <c r="CS356"/>
      <c r="CT356">
        <f t="shared" si="353"/>
        <v>0</v>
      </c>
      <c r="CU356">
        <f t="shared" si="378"/>
        <v>0</v>
      </c>
      <c r="CV356">
        <f t="shared" si="398"/>
        <v>0.57999999999999996</v>
      </c>
      <c r="CW356">
        <f t="shared" si="379"/>
        <v>580000</v>
      </c>
      <c r="CX356" t="str">
        <f t="shared" si="354"/>
        <v/>
      </c>
      <c r="CY356" t="str">
        <f t="shared" si="380"/>
        <v/>
      </c>
      <c r="CZ356" t="str">
        <f t="shared" si="355"/>
        <v/>
      </c>
      <c r="DA356" s="2" t="str">
        <f t="shared" si="381"/>
        <v/>
      </c>
      <c r="DB356" s="1" t="s">
        <v>1074</v>
      </c>
      <c r="DC356" s="297" t="str">
        <f t="shared" si="393"/>
        <v>reg</v>
      </c>
      <c r="DD356" t="s">
        <v>428</v>
      </c>
      <c r="DE356">
        <v>2020</v>
      </c>
      <c r="DF356">
        <v>2050</v>
      </c>
      <c r="DG356">
        <v>31</v>
      </c>
      <c r="DH356" t="str">
        <f t="shared" si="382"/>
        <v>31-70</v>
      </c>
      <c r="DI356">
        <v>0</v>
      </c>
      <c r="DJ356">
        <v>1</v>
      </c>
      <c r="DK356">
        <v>1</v>
      </c>
      <c r="DL356">
        <v>1</v>
      </c>
      <c r="DN356">
        <f t="shared" si="392"/>
        <v>3</v>
      </c>
      <c r="DO356" t="str">
        <f t="shared" si="383"/>
        <v>mixedProduct</v>
      </c>
      <c r="DP356">
        <f t="shared" si="384"/>
        <v>0</v>
      </c>
      <c r="DQ356" t="str">
        <f t="shared" si="385"/>
        <v>Energy</v>
      </c>
      <c r="DR356" t="str">
        <f t="shared" si="386"/>
        <v>Pulp/Paper</v>
      </c>
      <c r="DS356" t="str">
        <f t="shared" si="387"/>
        <v>Timber</v>
      </c>
      <c r="DT356">
        <v>0</v>
      </c>
      <c r="DU356">
        <v>0</v>
      </c>
      <c r="DV356">
        <v>0</v>
      </c>
      <c r="DW356">
        <v>0</v>
      </c>
      <c r="DX356">
        <v>0</v>
      </c>
      <c r="DY356">
        <f t="shared" si="399"/>
        <v>0</v>
      </c>
      <c r="DZ356" s="143" t="str">
        <f t="shared" si="394"/>
        <v>explicit C balance</v>
      </c>
      <c r="EA356">
        <v>1</v>
      </c>
      <c r="EB356">
        <v>1</v>
      </c>
      <c r="EC356">
        <v>1</v>
      </c>
      <c r="ED356">
        <v>1</v>
      </c>
      <c r="EE356">
        <v>0</v>
      </c>
      <c r="EF356" s="143">
        <v>0</v>
      </c>
      <c r="EG356">
        <v>1</v>
      </c>
      <c r="EH356">
        <v>0</v>
      </c>
      <c r="EI356">
        <v>0</v>
      </c>
      <c r="EJ356">
        <v>0</v>
      </c>
      <c r="EK356">
        <v>1</v>
      </c>
      <c r="EL356">
        <v>0</v>
      </c>
      <c r="EM356">
        <v>0</v>
      </c>
      <c r="EN356" s="2">
        <v>0</v>
      </c>
      <c r="EP356" t="str">
        <f t="shared" si="356"/>
        <v/>
      </c>
      <c r="EQ356" t="str">
        <f t="shared" si="403"/>
        <v>Ecosystem approach</v>
      </c>
      <c r="ER356" s="2" t="str">
        <f t="shared" si="357"/>
        <v/>
      </c>
      <c r="ES356" t="str">
        <f t="shared" si="358"/>
        <v/>
      </c>
      <c r="ET356" t="str">
        <f t="shared" si="359"/>
        <v/>
      </c>
      <c r="EU356" t="str">
        <f t="shared" si="360"/>
        <v/>
      </c>
      <c r="EY356" t="b">
        <f>IF(ISNUMBER(BW356),IF(ABS(BW356-[1]QC_indicators!$B$2)&gt;3*[1]QC_indicators!$C$2,"C ratio",IF(ISNUMBER(CA356),IF(ABS(CA356-[1]QC_indicators!$B$1)&gt;3*[1]QC_indicators!$C$1,"DF","no"))),IF(ISNUMBER(CA356),IF(ABS(CA356-[1]QC_indicators!$B$1)&gt;3*[1]QC_indicators!$C$1,"DF","no")))</f>
        <v>0</v>
      </c>
      <c r="FA356" t="str">
        <f t="shared" si="361"/>
        <v/>
      </c>
    </row>
    <row r="357" spans="1:158" ht="15" hidden="1" customHeight="1">
      <c r="A357" s="1" t="s">
        <v>3743</v>
      </c>
      <c r="B357" t="s">
        <v>3744</v>
      </c>
      <c r="C357" t="s">
        <v>3745</v>
      </c>
      <c r="D357" t="s">
        <v>3746</v>
      </c>
      <c r="E357" t="s">
        <v>3747</v>
      </c>
      <c r="F357" t="s">
        <v>3748</v>
      </c>
      <c r="G357" t="s">
        <v>3749</v>
      </c>
      <c r="H357" t="s">
        <v>254</v>
      </c>
      <c r="I357">
        <v>2021</v>
      </c>
      <c r="J357">
        <v>0</v>
      </c>
      <c r="K357" t="s">
        <v>3750</v>
      </c>
      <c r="M357" t="str">
        <f t="shared" si="388"/>
        <v>Robertson_2021</v>
      </c>
      <c r="N357" s="297" t="s">
        <v>4058</v>
      </c>
      <c r="O357" s="145" t="s">
        <v>341</v>
      </c>
      <c r="Q357" s="297" t="s">
        <v>256</v>
      </c>
      <c r="R357" s="298"/>
      <c r="S357" s="1" t="s">
        <v>3757</v>
      </c>
      <c r="T357" t="s">
        <v>1003</v>
      </c>
      <c r="U357" t="e">
        <f>#REF!</f>
        <v>#REF!</v>
      </c>
      <c r="X357">
        <v>1</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2</v>
      </c>
      <c r="AZ357" s="141">
        <f t="shared" si="370"/>
        <v>2</v>
      </c>
      <c r="BA357" s="141">
        <f t="shared" si="371"/>
        <v>1</v>
      </c>
      <c r="BB357">
        <f t="shared" si="372"/>
        <v>1</v>
      </c>
      <c r="BC357">
        <f t="shared" si="373"/>
        <v>0</v>
      </c>
      <c r="BD357">
        <f t="shared" si="374"/>
        <v>0</v>
      </c>
      <c r="BE357">
        <f t="shared" si="375"/>
        <v>1</v>
      </c>
      <c r="BF357">
        <f t="shared" si="376"/>
        <v>0</v>
      </c>
      <c r="BG357" t="str" cm="1">
        <f t="array" ref="BG357">IF(BA357=1,INDEX($X$7:$AN$7,MATCH(TRUE,INDEX($X357:$AY357&lt;&gt;0,),0)),IF(BA357=0,INDEX($AO$7:$AY$7,MATCH(1,$AO357:$AY357,0)),IF(BH357="Multiple strategies","mixed drivers",IF(BH357="Supply chain","multiple supply","multiple silviculture"))))</f>
        <v>area subject to harvest</v>
      </c>
      <c r="BH357" s="2" t="str" cm="1">
        <f t="array" ref="BH357">IF(COUNTIF(BB357:BD357,"&lt;&gt;0")=1,INDEX($X$4:$AY$4,MATCH(TRUE,INDEX($X357:$AY357&lt;&gt;0,),0)),IF(COUNTIF(BB357:BD357,"&lt;&gt;0")=0,INDEX($AO$4:$AY$4,MATCH(1,$AO357:$AY357,0)),"Multiple strategies"))</f>
        <v>Silviculture for removals</v>
      </c>
      <c r="BR357" t="s">
        <v>232</v>
      </c>
      <c r="BT357" t="s">
        <v>1018</v>
      </c>
      <c r="BU357">
        <v>0</v>
      </c>
      <c r="BV357">
        <v>1.1599999999999999</v>
      </c>
      <c r="BW357" s="144" t="str">
        <f t="shared" si="400"/>
        <v/>
      </c>
      <c r="BX357">
        <f t="shared" si="401"/>
        <v>1.1599999999999999</v>
      </c>
      <c r="BZ357">
        <f t="shared" si="402"/>
        <v>1160000</v>
      </c>
      <c r="CA357" t="str">
        <f t="shared" si="352"/>
        <v/>
      </c>
      <c r="CB357">
        <v>0</v>
      </c>
      <c r="CC357">
        <v>0</v>
      </c>
      <c r="CD357">
        <v>0</v>
      </c>
      <c r="CE357">
        <v>0</v>
      </c>
      <c r="CF357">
        <v>0</v>
      </c>
      <c r="CG357">
        <v>0</v>
      </c>
      <c r="CH357">
        <v>0</v>
      </c>
      <c r="CI357">
        <v>0</v>
      </c>
      <c r="CJ357">
        <v>0</v>
      </c>
      <c r="CK357">
        <v>0</v>
      </c>
      <c r="CL357">
        <v>0</v>
      </c>
      <c r="CM357">
        <v>0</v>
      </c>
      <c r="CN357">
        <v>0</v>
      </c>
      <c r="CO357">
        <v>0</v>
      </c>
      <c r="CP357" t="str">
        <f t="shared" si="396"/>
        <v>refOK</v>
      </c>
      <c r="CQ357"/>
      <c r="CR357"/>
      <c r="CS357"/>
      <c r="CT357">
        <f t="shared" si="353"/>
        <v>0</v>
      </c>
      <c r="CU357">
        <f t="shared" si="378"/>
        <v>0</v>
      </c>
      <c r="CV357">
        <f t="shared" si="398"/>
        <v>1.1599999999999999</v>
      </c>
      <c r="CW357">
        <f t="shared" si="379"/>
        <v>1160000</v>
      </c>
      <c r="CX357" t="str">
        <f t="shared" si="354"/>
        <v/>
      </c>
      <c r="CY357" t="str">
        <f t="shared" si="380"/>
        <v/>
      </c>
      <c r="CZ357" t="str">
        <f t="shared" si="355"/>
        <v/>
      </c>
      <c r="DA357" s="2" t="str">
        <f t="shared" si="381"/>
        <v/>
      </c>
      <c r="DB357" s="1" t="s">
        <v>1074</v>
      </c>
      <c r="DC357" s="297" t="str">
        <f t="shared" si="393"/>
        <v>reg</v>
      </c>
      <c r="DD357" t="s">
        <v>428</v>
      </c>
      <c r="DE357">
        <v>2020</v>
      </c>
      <c r="DF357">
        <v>2050</v>
      </c>
      <c r="DG357">
        <v>31</v>
      </c>
      <c r="DH357" t="str">
        <f t="shared" si="382"/>
        <v>31-70</v>
      </c>
      <c r="DI357">
        <v>0</v>
      </c>
      <c r="DJ357">
        <v>1</v>
      </c>
      <c r="DK357">
        <v>1</v>
      </c>
      <c r="DL357">
        <v>1</v>
      </c>
      <c r="DN357">
        <f t="shared" si="392"/>
        <v>3</v>
      </c>
      <c r="DO357" t="str">
        <f t="shared" si="383"/>
        <v>mixedProduct</v>
      </c>
      <c r="DP357">
        <f t="shared" si="384"/>
        <v>0</v>
      </c>
      <c r="DQ357" t="str">
        <f t="shared" si="385"/>
        <v>Energy</v>
      </c>
      <c r="DR357" t="str">
        <f t="shared" si="386"/>
        <v>Pulp/Paper</v>
      </c>
      <c r="DS357" t="str">
        <f t="shared" si="387"/>
        <v>Timber</v>
      </c>
      <c r="DT357">
        <v>0</v>
      </c>
      <c r="DU357">
        <v>0</v>
      </c>
      <c r="DV357">
        <v>0</v>
      </c>
      <c r="DW357">
        <v>0</v>
      </c>
      <c r="DX357">
        <v>0</v>
      </c>
      <c r="DY357">
        <f t="shared" si="399"/>
        <v>0</v>
      </c>
      <c r="DZ357" s="143" t="str">
        <f t="shared" si="394"/>
        <v>explicit C balance</v>
      </c>
      <c r="EA357">
        <v>1</v>
      </c>
      <c r="EB357">
        <v>1</v>
      </c>
      <c r="EC357">
        <v>1</v>
      </c>
      <c r="ED357">
        <v>1</v>
      </c>
      <c r="EE357">
        <v>0</v>
      </c>
      <c r="EF357" s="143">
        <v>0</v>
      </c>
      <c r="EG357">
        <v>1</v>
      </c>
      <c r="EH357">
        <v>0</v>
      </c>
      <c r="EI357">
        <v>0</v>
      </c>
      <c r="EJ357">
        <v>0</v>
      </c>
      <c r="EK357">
        <v>1</v>
      </c>
      <c r="EL357">
        <v>0</v>
      </c>
      <c r="EM357">
        <v>0</v>
      </c>
      <c r="EN357" s="2">
        <v>0</v>
      </c>
      <c r="EP357" t="str">
        <f t="shared" si="356"/>
        <v/>
      </c>
      <c r="EQ357" t="str">
        <f t="shared" si="403"/>
        <v>Ecosystem approach</v>
      </c>
      <c r="ER357" s="2" t="str">
        <f t="shared" si="357"/>
        <v/>
      </c>
      <c r="ES357" t="str">
        <f t="shared" si="358"/>
        <v/>
      </c>
      <c r="ET357" t="str">
        <f t="shared" si="359"/>
        <v/>
      </c>
      <c r="EU357" t="str">
        <f t="shared" si="360"/>
        <v/>
      </c>
      <c r="EY357" t="b">
        <f>IF(ISNUMBER(BW357),IF(ABS(BW357-[1]QC_indicators!$B$2)&gt;3*[1]QC_indicators!$C$2,"C ratio",IF(ISNUMBER(CA357),IF(ABS(CA357-[1]QC_indicators!$B$1)&gt;3*[1]QC_indicators!$C$1,"DF","no"))),IF(ISNUMBER(CA357),IF(ABS(CA357-[1]QC_indicators!$B$1)&gt;3*[1]QC_indicators!$C$1,"DF","no")))</f>
        <v>0</v>
      </c>
      <c r="FA357" t="str">
        <f t="shared" si="361"/>
        <v/>
      </c>
    </row>
    <row r="358" spans="1:158" ht="15" hidden="1" customHeight="1">
      <c r="A358" s="1" t="s">
        <v>3743</v>
      </c>
      <c r="B358" t="s">
        <v>3744</v>
      </c>
      <c r="C358" t="s">
        <v>3745</v>
      </c>
      <c r="D358" t="s">
        <v>3746</v>
      </c>
      <c r="E358" t="s">
        <v>3747</v>
      </c>
      <c r="F358" t="s">
        <v>3748</v>
      </c>
      <c r="G358" t="s">
        <v>3749</v>
      </c>
      <c r="H358" t="s">
        <v>254</v>
      </c>
      <c r="I358">
        <v>2021</v>
      </c>
      <c r="J358">
        <v>0</v>
      </c>
      <c r="K358" t="s">
        <v>3750</v>
      </c>
      <c r="M358" t="str">
        <f t="shared" si="388"/>
        <v>Robertson_2021</v>
      </c>
      <c r="N358" s="297" t="s">
        <v>4058</v>
      </c>
      <c r="O358" s="145" t="s">
        <v>341</v>
      </c>
      <c r="Q358" s="297" t="s">
        <v>256</v>
      </c>
      <c r="R358" s="298"/>
      <c r="S358" s="1" t="s">
        <v>3761</v>
      </c>
      <c r="T358" t="s">
        <v>1003</v>
      </c>
      <c r="U358" t="e">
        <f>#REF!</f>
        <v>#REF!</v>
      </c>
      <c r="X358">
        <v>0</v>
      </c>
      <c r="Y358">
        <v>0</v>
      </c>
      <c r="Z358">
        <v>1</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s="141">
        <f t="shared" ref="AZ358:AZ389" si="404">COUNTIF(X358:AY358,"&lt;&gt;0")</f>
        <v>1</v>
      </c>
      <c r="BA358" s="141">
        <f t="shared" ref="BA358:BA389" si="405">COUNTIF(X358:AN358,"&lt;&gt;0")</f>
        <v>1</v>
      </c>
      <c r="BB358">
        <f t="shared" ref="BB358:BB389" si="406">COUNTIF(X358:AE358,"&lt;&gt;0")</f>
        <v>1</v>
      </c>
      <c r="BC358">
        <f t="shared" ref="BC358:BC389" si="407">COUNTIF(AF358:AK358,"&lt;&gt;0")</f>
        <v>0</v>
      </c>
      <c r="BD358">
        <f t="shared" ref="BD358:BD389" si="408">COUNTIF(AL358:AN358,"&lt;&gt;0")</f>
        <v>0</v>
      </c>
      <c r="BE358">
        <f t="shared" ref="BE358:BE389" si="409">COUNTIF(AU358:AY358,"&lt;&gt;0")</f>
        <v>0</v>
      </c>
      <c r="BF358">
        <f t="shared" ref="BF358:BF389" si="410">COUNTIF(AO358:AT358,"&lt;&gt;0")</f>
        <v>0</v>
      </c>
      <c r="BG358" t="str" cm="1">
        <f t="array" ref="BG358">IF(BA358=1,INDEX($X$7:$AN$7,MATCH(TRUE,INDEX($X358:$AY358&lt;&gt;0,),0)),IF(BA358=0,INDEX($AO$7:$AY$7,MATCH(1,$AO358:$AY358,0)),IF(BH358="Multiple strategies","mixed drivers",IF(BH358="Supply chain","multiple supply","multiple silviculture"))))</f>
        <v>rotation length</v>
      </c>
      <c r="BH358" s="2" t="str" cm="1">
        <f t="array" ref="BH358">IF(COUNTIF(BB358:BD358,"&lt;&gt;0")=1,INDEX($X$4:$AY$4,MATCH(TRUE,INDEX($X358:$AY358&lt;&gt;0,),0)),IF(COUNTIF(BB358:BD358,"&lt;&gt;0")=0,INDEX($AO$4:$AY$4,MATCH(1,$AO358:$AY358,0)),"Multiple strategies"))</f>
        <v>Silviculture for removals</v>
      </c>
      <c r="BR358" t="s">
        <v>232</v>
      </c>
      <c r="BT358" t="s">
        <v>1018</v>
      </c>
      <c r="BU358">
        <v>0</v>
      </c>
      <c r="BV358">
        <v>3.46</v>
      </c>
      <c r="BW358" s="144" t="str">
        <f t="shared" si="400"/>
        <v/>
      </c>
      <c r="BX358">
        <f t="shared" si="401"/>
        <v>3.46</v>
      </c>
      <c r="BZ358">
        <f t="shared" si="402"/>
        <v>3460000</v>
      </c>
      <c r="CA358" t="str">
        <f t="shared" si="352"/>
        <v/>
      </c>
      <c r="CB358">
        <v>0</v>
      </c>
      <c r="CC358">
        <v>0</v>
      </c>
      <c r="CD358">
        <v>0</v>
      </c>
      <c r="CE358">
        <v>0</v>
      </c>
      <c r="CF358">
        <v>0</v>
      </c>
      <c r="CG358">
        <v>0</v>
      </c>
      <c r="CH358">
        <v>0</v>
      </c>
      <c r="CI358">
        <v>0</v>
      </c>
      <c r="CJ358">
        <v>0</v>
      </c>
      <c r="CK358">
        <v>0</v>
      </c>
      <c r="CL358">
        <v>0</v>
      </c>
      <c r="CM358">
        <v>0</v>
      </c>
      <c r="CN358">
        <v>0</v>
      </c>
      <c r="CO358">
        <v>0</v>
      </c>
      <c r="CP358" t="str">
        <f t="shared" si="396"/>
        <v>refOK</v>
      </c>
      <c r="CQ358"/>
      <c r="CR358"/>
      <c r="CS358"/>
      <c r="CT358">
        <f t="shared" si="353"/>
        <v>0</v>
      </c>
      <c r="CU358">
        <f t="shared" ref="CU358:CU389" si="411">IF($CP358="refOK",$BU358,$BV358)*IF($BR358="Emissions positive",-1,1)</f>
        <v>0</v>
      </c>
      <c r="CV358">
        <f t="shared" si="398"/>
        <v>3.46</v>
      </c>
      <c r="CW358">
        <f t="shared" ref="CW358:CW389" si="412">IF($CP358="refNeedCorrection",-BZ358,BZ358)*IF($BR358="Emissions positive",-1,1)</f>
        <v>3460000</v>
      </c>
      <c r="CX358" t="str">
        <f t="shared" si="354"/>
        <v/>
      </c>
      <c r="CY358" t="str">
        <f t="shared" ref="CY358:CY389" si="413">IFERROR($CW358/$CS358,"")</f>
        <v/>
      </c>
      <c r="CZ358" t="str">
        <f t="shared" si="355"/>
        <v/>
      </c>
      <c r="DA358" s="2" t="str">
        <f t="shared" ref="DA358:DA389" si="414">IFERROR((CV358-CU358)/ABS(CU358),"")</f>
        <v/>
      </c>
      <c r="DB358" s="1" t="s">
        <v>1074</v>
      </c>
      <c r="DC358" s="297" t="str">
        <f t="shared" si="393"/>
        <v>reg</v>
      </c>
      <c r="DD358" t="s">
        <v>428</v>
      </c>
      <c r="DE358">
        <v>2020</v>
      </c>
      <c r="DF358">
        <v>2050</v>
      </c>
      <c r="DG358">
        <v>31</v>
      </c>
      <c r="DH358" t="str">
        <f t="shared" ref="DH358:DH389" si="415">IF(DG358=0,"0",IF(AND(DG358&gt;=1,DG358&lt;=30),"1-30",IF(AND(DG358&gt;30,DG358&lt;=70),"31-70",IF(AND(DG358&gt;70,DG358&lt;=100),"71-100",IF(DG358&gt;100,"+100")))))</f>
        <v>31-70</v>
      </c>
      <c r="DI358">
        <v>0</v>
      </c>
      <c r="DJ358">
        <v>1</v>
      </c>
      <c r="DK358">
        <v>1</v>
      </c>
      <c r="DL358">
        <v>1</v>
      </c>
      <c r="DN358">
        <f t="shared" si="392"/>
        <v>3</v>
      </c>
      <c r="DO358" t="str">
        <f t="shared" ref="DO358:DO389" si="416">IF(DN358=1,INDEX($DI$7:$DL$7,MATCH(1,$DI358:$DL358,0)),"mixedProduct")</f>
        <v>mixedProduct</v>
      </c>
      <c r="DP358">
        <f t="shared" ref="DP358:DP389" si="417">IF(DI358=1,DP$7,0)</f>
        <v>0</v>
      </c>
      <c r="DQ358" t="str">
        <f t="shared" ref="DQ358:DQ389" si="418">IF(DJ358=1,DQ$7,0)</f>
        <v>Energy</v>
      </c>
      <c r="DR358" t="str">
        <f t="shared" ref="DR358:DR389" si="419">IF(DK358=1,DR$7,0)</f>
        <v>Pulp/Paper</v>
      </c>
      <c r="DS358" t="str">
        <f t="shared" ref="DS358:DS389" si="420">IF(DL358=1,DS$7,0)</f>
        <v>Timber</v>
      </c>
      <c r="DT358">
        <v>0</v>
      </c>
      <c r="DU358">
        <v>0</v>
      </c>
      <c r="DV358">
        <v>0</v>
      </c>
      <c r="DW358">
        <v>0</v>
      </c>
      <c r="DX358">
        <v>0</v>
      </c>
      <c r="DY358">
        <f t="shared" si="399"/>
        <v>0</v>
      </c>
      <c r="DZ358" s="143" t="str">
        <f t="shared" si="394"/>
        <v>explicit C balance</v>
      </c>
      <c r="EA358">
        <v>1</v>
      </c>
      <c r="EB358">
        <v>1</v>
      </c>
      <c r="EC358">
        <v>1</v>
      </c>
      <c r="ED358">
        <v>1</v>
      </c>
      <c r="EE358">
        <v>0</v>
      </c>
      <c r="EF358" s="143">
        <v>0</v>
      </c>
      <c r="EG358">
        <v>1</v>
      </c>
      <c r="EH358">
        <v>0</v>
      </c>
      <c r="EI358">
        <v>0</v>
      </c>
      <c r="EJ358">
        <v>0</v>
      </c>
      <c r="EK358">
        <v>1</v>
      </c>
      <c r="EL358">
        <v>0</v>
      </c>
      <c r="EM358">
        <v>0</v>
      </c>
      <c r="EN358" s="2">
        <v>0</v>
      </c>
      <c r="EP358" t="str">
        <f t="shared" si="356"/>
        <v/>
      </c>
      <c r="EQ358" t="str">
        <f t="shared" si="403"/>
        <v>Ecosystem approach</v>
      </c>
      <c r="ER358" s="2" t="str">
        <f t="shared" si="357"/>
        <v/>
      </c>
      <c r="ES358" t="str">
        <f t="shared" si="358"/>
        <v/>
      </c>
      <c r="ET358" t="str">
        <f t="shared" si="359"/>
        <v/>
      </c>
      <c r="EU358" t="str">
        <f t="shared" si="360"/>
        <v/>
      </c>
      <c r="EY358" t="b">
        <f>IF(ISNUMBER(BW358),IF(ABS(BW358-[1]QC_indicators!$B$2)&gt;3*[1]QC_indicators!$C$2,"C ratio",IF(ISNUMBER(CA358),IF(ABS(CA358-[1]QC_indicators!$B$1)&gt;3*[1]QC_indicators!$C$1,"DF","no"))),IF(ISNUMBER(CA358),IF(ABS(CA358-[1]QC_indicators!$B$1)&gt;3*[1]QC_indicators!$C$1,"DF","no")))</f>
        <v>0</v>
      </c>
      <c r="FA358" t="str">
        <f t="shared" si="361"/>
        <v/>
      </c>
    </row>
    <row r="359" spans="1:158" ht="15" hidden="1" customHeight="1">
      <c r="A359" s="1" t="s">
        <v>3743</v>
      </c>
      <c r="B359" t="s">
        <v>3744</v>
      </c>
      <c r="C359" t="s">
        <v>3745</v>
      </c>
      <c r="D359" t="s">
        <v>3746</v>
      </c>
      <c r="E359" t="s">
        <v>3747</v>
      </c>
      <c r="F359" t="s">
        <v>3748</v>
      </c>
      <c r="G359" t="s">
        <v>3749</v>
      </c>
      <c r="H359" t="s">
        <v>254</v>
      </c>
      <c r="I359">
        <v>2021</v>
      </c>
      <c r="J359">
        <v>0</v>
      </c>
      <c r="K359" t="s">
        <v>3750</v>
      </c>
      <c r="M359" t="str">
        <f t="shared" si="388"/>
        <v>Robertson_2021</v>
      </c>
      <c r="N359" s="297" t="s">
        <v>4058</v>
      </c>
      <c r="O359" s="145" t="s">
        <v>341</v>
      </c>
      <c r="Q359" s="297" t="s">
        <v>256</v>
      </c>
      <c r="R359" s="298"/>
      <c r="S359" s="1" t="s">
        <v>3762</v>
      </c>
      <c r="T359" t="s">
        <v>1003</v>
      </c>
      <c r="U359" t="e">
        <f>#REF!</f>
        <v>#REF!</v>
      </c>
      <c r="X359">
        <v>0</v>
      </c>
      <c r="Y359">
        <v>0</v>
      </c>
      <c r="Z359">
        <v>1</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s="141">
        <f t="shared" si="404"/>
        <v>1</v>
      </c>
      <c r="BA359" s="141">
        <f t="shared" si="405"/>
        <v>1</v>
      </c>
      <c r="BB359">
        <f t="shared" si="406"/>
        <v>1</v>
      </c>
      <c r="BC359">
        <f t="shared" si="407"/>
        <v>0</v>
      </c>
      <c r="BD359">
        <f t="shared" si="408"/>
        <v>0</v>
      </c>
      <c r="BE359">
        <f t="shared" si="409"/>
        <v>0</v>
      </c>
      <c r="BF359">
        <f t="shared" si="410"/>
        <v>0</v>
      </c>
      <c r="BG359" t="str" cm="1">
        <f t="array" ref="BG359">IF(BA359=1,INDEX($X$7:$AN$7,MATCH(TRUE,INDEX($X359:$AY359&lt;&gt;0,),0)),IF(BA359=0,INDEX($AO$7:$AY$7,MATCH(1,$AO359:$AY359,0)),IF(BH359="Multiple strategies","mixed drivers",IF(BH359="Supply chain","multiple supply","multiple silviculture"))))</f>
        <v>rotation length</v>
      </c>
      <c r="BH359" s="2" t="str" cm="1">
        <f t="array" ref="BH359">IF(COUNTIF(BB359:BD359,"&lt;&gt;0")=1,INDEX($X$4:$AY$4,MATCH(TRUE,INDEX($X359:$AY359&lt;&gt;0,),0)),IF(COUNTIF(BB359:BD359,"&lt;&gt;0")=0,INDEX($AO$4:$AY$4,MATCH(1,$AO359:$AY359,0)),"Multiple strategies"))</f>
        <v>Silviculture for removals</v>
      </c>
      <c r="BR359" t="s">
        <v>232</v>
      </c>
      <c r="BT359" t="s">
        <v>1018</v>
      </c>
      <c r="BU359">
        <v>0</v>
      </c>
      <c r="BV359">
        <v>4.0199999999999996</v>
      </c>
      <c r="BW359" s="144" t="str">
        <f t="shared" si="400"/>
        <v/>
      </c>
      <c r="BX359">
        <f t="shared" si="401"/>
        <v>4.0199999999999996</v>
      </c>
      <c r="BZ359">
        <f t="shared" si="402"/>
        <v>4019999.9999999995</v>
      </c>
      <c r="CA359" t="str">
        <f t="shared" si="352"/>
        <v/>
      </c>
      <c r="CB359">
        <v>0</v>
      </c>
      <c r="CC359">
        <v>0</v>
      </c>
      <c r="CD359">
        <v>0</v>
      </c>
      <c r="CE359">
        <v>0</v>
      </c>
      <c r="CF359">
        <v>0</v>
      </c>
      <c r="CG359">
        <v>0</v>
      </c>
      <c r="CH359">
        <v>0</v>
      </c>
      <c r="CI359">
        <v>0</v>
      </c>
      <c r="CJ359">
        <v>0</v>
      </c>
      <c r="CK359">
        <v>0</v>
      </c>
      <c r="CL359">
        <v>0</v>
      </c>
      <c r="CM359">
        <v>0</v>
      </c>
      <c r="CN359">
        <v>0</v>
      </c>
      <c r="CO359">
        <v>0</v>
      </c>
      <c r="CP359" t="str">
        <f t="shared" si="396"/>
        <v>refOK</v>
      </c>
      <c r="CQ359"/>
      <c r="CR359"/>
      <c r="CS359"/>
      <c r="CT359">
        <f t="shared" si="353"/>
        <v>0</v>
      </c>
      <c r="CU359">
        <f t="shared" si="411"/>
        <v>0</v>
      </c>
      <c r="CV359">
        <f t="shared" si="398"/>
        <v>4.0199999999999996</v>
      </c>
      <c r="CW359">
        <f t="shared" si="412"/>
        <v>4019999.9999999995</v>
      </c>
      <c r="CX359" t="str">
        <f t="shared" si="354"/>
        <v/>
      </c>
      <c r="CY359" t="str">
        <f t="shared" si="413"/>
        <v/>
      </c>
      <c r="CZ359" t="str">
        <f t="shared" si="355"/>
        <v/>
      </c>
      <c r="DA359" s="2" t="str">
        <f t="shared" si="414"/>
        <v/>
      </c>
      <c r="DB359" s="1" t="s">
        <v>1074</v>
      </c>
      <c r="DC359" s="297" t="str">
        <f t="shared" si="393"/>
        <v>reg</v>
      </c>
      <c r="DD359" t="s">
        <v>428</v>
      </c>
      <c r="DE359">
        <v>2020</v>
      </c>
      <c r="DF359">
        <v>2050</v>
      </c>
      <c r="DG359">
        <v>31</v>
      </c>
      <c r="DH359" t="str">
        <f t="shared" si="415"/>
        <v>31-70</v>
      </c>
      <c r="DI359">
        <v>0</v>
      </c>
      <c r="DJ359">
        <v>1</v>
      </c>
      <c r="DK359">
        <v>1</v>
      </c>
      <c r="DL359">
        <v>1</v>
      </c>
      <c r="DN359">
        <f t="shared" si="392"/>
        <v>3</v>
      </c>
      <c r="DO359" t="str">
        <f t="shared" si="416"/>
        <v>mixedProduct</v>
      </c>
      <c r="DP359">
        <f t="shared" si="417"/>
        <v>0</v>
      </c>
      <c r="DQ359" t="str">
        <f t="shared" si="418"/>
        <v>Energy</v>
      </c>
      <c r="DR359" t="str">
        <f t="shared" si="419"/>
        <v>Pulp/Paper</v>
      </c>
      <c r="DS359" t="str">
        <f t="shared" si="420"/>
        <v>Timber</v>
      </c>
      <c r="DT359">
        <v>0</v>
      </c>
      <c r="DU359">
        <v>0</v>
      </c>
      <c r="DV359">
        <v>0</v>
      </c>
      <c r="DW359">
        <v>0</v>
      </c>
      <c r="DX359">
        <v>0</v>
      </c>
      <c r="DY359">
        <f t="shared" si="399"/>
        <v>0</v>
      </c>
      <c r="DZ359" s="143" t="str">
        <f t="shared" si="394"/>
        <v>explicit C balance</v>
      </c>
      <c r="EA359">
        <v>1</v>
      </c>
      <c r="EB359">
        <v>1</v>
      </c>
      <c r="EC359">
        <v>1</v>
      </c>
      <c r="ED359">
        <v>1</v>
      </c>
      <c r="EE359">
        <v>0</v>
      </c>
      <c r="EF359" s="143">
        <v>0</v>
      </c>
      <c r="EG359">
        <v>1</v>
      </c>
      <c r="EH359">
        <v>0</v>
      </c>
      <c r="EI359">
        <v>0</v>
      </c>
      <c r="EJ359">
        <v>0</v>
      </c>
      <c r="EK359">
        <v>1</v>
      </c>
      <c r="EL359">
        <v>0</v>
      </c>
      <c r="EM359">
        <v>0</v>
      </c>
      <c r="EN359" s="2">
        <v>0</v>
      </c>
      <c r="EP359" t="str">
        <f t="shared" si="356"/>
        <v/>
      </c>
      <c r="EQ359" t="str">
        <f t="shared" si="403"/>
        <v>Ecosystem approach</v>
      </c>
      <c r="ER359" s="2" t="str">
        <f t="shared" si="357"/>
        <v/>
      </c>
      <c r="ES359" t="str">
        <f t="shared" si="358"/>
        <v/>
      </c>
      <c r="ET359" t="str">
        <f t="shared" si="359"/>
        <v/>
      </c>
      <c r="EU359" t="str">
        <f t="shared" si="360"/>
        <v/>
      </c>
      <c r="EY359" t="b">
        <f>IF(ISNUMBER(BW359),IF(ABS(BW359-[1]QC_indicators!$B$2)&gt;3*[1]QC_indicators!$C$2,"C ratio",IF(ISNUMBER(CA359),IF(ABS(CA359-[1]QC_indicators!$B$1)&gt;3*[1]QC_indicators!$C$1,"DF","no"))),IF(ISNUMBER(CA359),IF(ABS(CA359-[1]QC_indicators!$B$1)&gt;3*[1]QC_indicators!$C$1,"DF","no")))</f>
        <v>0</v>
      </c>
      <c r="FA359" t="str">
        <f t="shared" si="361"/>
        <v/>
      </c>
    </row>
    <row r="360" spans="1:158" ht="15" hidden="1" customHeight="1">
      <c r="A360" s="1" t="s">
        <v>3743</v>
      </c>
      <c r="B360" t="s">
        <v>3744</v>
      </c>
      <c r="C360" t="s">
        <v>3745</v>
      </c>
      <c r="D360" t="s">
        <v>3746</v>
      </c>
      <c r="E360" t="s">
        <v>3747</v>
      </c>
      <c r="F360" t="s">
        <v>3748</v>
      </c>
      <c r="G360" t="s">
        <v>3749</v>
      </c>
      <c r="H360" t="s">
        <v>254</v>
      </c>
      <c r="I360">
        <v>2021</v>
      </c>
      <c r="J360">
        <v>0</v>
      </c>
      <c r="K360" t="s">
        <v>3750</v>
      </c>
      <c r="M360" t="str">
        <f t="shared" si="388"/>
        <v>Robertson_2021</v>
      </c>
      <c r="N360" s="297" t="s">
        <v>4058</v>
      </c>
      <c r="O360" s="145" t="s">
        <v>341</v>
      </c>
      <c r="Q360" s="297" t="s">
        <v>256</v>
      </c>
      <c r="R360" s="298"/>
      <c r="S360" s="1" t="s">
        <v>3763</v>
      </c>
      <c r="T360" t="s">
        <v>1003</v>
      </c>
      <c r="U360" t="e">
        <f>#REF!</f>
        <v>#REF!</v>
      </c>
      <c r="X360">
        <v>0</v>
      </c>
      <c r="Y360">
        <v>0</v>
      </c>
      <c r="Z360">
        <v>1</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s="141">
        <f t="shared" si="404"/>
        <v>1</v>
      </c>
      <c r="BA360" s="141">
        <f t="shared" si="405"/>
        <v>1</v>
      </c>
      <c r="BB360">
        <f t="shared" si="406"/>
        <v>1</v>
      </c>
      <c r="BC360">
        <f t="shared" si="407"/>
        <v>0</v>
      </c>
      <c r="BD360">
        <f t="shared" si="408"/>
        <v>0</v>
      </c>
      <c r="BE360">
        <f t="shared" si="409"/>
        <v>0</v>
      </c>
      <c r="BF360">
        <f t="shared" si="410"/>
        <v>0</v>
      </c>
      <c r="BG360" t="str" cm="1">
        <f t="array" ref="BG360">IF(BA360=1,INDEX($X$7:$AN$7,MATCH(TRUE,INDEX($X360:$AY360&lt;&gt;0,),0)),IF(BA360=0,INDEX($AO$7:$AY$7,MATCH(1,$AO360:$AY360,0)),IF(BH360="Multiple strategies","mixed drivers",IF(BH360="Supply chain","multiple supply","multiple silviculture"))))</f>
        <v>rotation length</v>
      </c>
      <c r="BH360" s="2" t="str" cm="1">
        <f t="array" ref="BH360">IF(COUNTIF(BB360:BD360,"&lt;&gt;0")=1,INDEX($X$4:$AY$4,MATCH(TRUE,INDEX($X360:$AY360&lt;&gt;0,),0)),IF(COUNTIF(BB360:BD360,"&lt;&gt;0")=0,INDEX($AO$4:$AY$4,MATCH(1,$AO360:$AY360,0)),"Multiple strategies"))</f>
        <v>Silviculture for removals</v>
      </c>
      <c r="BR360" t="s">
        <v>232</v>
      </c>
      <c r="BT360" t="s">
        <v>1018</v>
      </c>
      <c r="BU360">
        <v>0</v>
      </c>
      <c r="BV360">
        <v>5.63</v>
      </c>
      <c r="BW360" s="144" t="str">
        <f t="shared" si="400"/>
        <v/>
      </c>
      <c r="BX360">
        <f t="shared" si="401"/>
        <v>5.63</v>
      </c>
      <c r="BZ360">
        <f t="shared" si="402"/>
        <v>5630000</v>
      </c>
      <c r="CA360" t="str">
        <f t="shared" si="352"/>
        <v/>
      </c>
      <c r="CB360">
        <v>0</v>
      </c>
      <c r="CC360">
        <v>0</v>
      </c>
      <c r="CD360">
        <v>0</v>
      </c>
      <c r="CE360">
        <v>0</v>
      </c>
      <c r="CF360">
        <v>0</v>
      </c>
      <c r="CG360">
        <v>0</v>
      </c>
      <c r="CH360">
        <v>0</v>
      </c>
      <c r="CI360">
        <v>0</v>
      </c>
      <c r="CJ360">
        <v>0</v>
      </c>
      <c r="CK360">
        <v>0</v>
      </c>
      <c r="CL360">
        <v>0</v>
      </c>
      <c r="CM360">
        <v>0</v>
      </c>
      <c r="CN360">
        <v>0</v>
      </c>
      <c r="CO360">
        <v>0</v>
      </c>
      <c r="CP360" t="str">
        <f t="shared" si="396"/>
        <v>refOK</v>
      </c>
      <c r="CQ360"/>
      <c r="CR360"/>
      <c r="CS360"/>
      <c r="CT360">
        <f t="shared" si="353"/>
        <v>0</v>
      </c>
      <c r="CU360">
        <f t="shared" si="411"/>
        <v>0</v>
      </c>
      <c r="CV360">
        <f t="shared" si="398"/>
        <v>5.63</v>
      </c>
      <c r="CW360">
        <f t="shared" si="412"/>
        <v>5630000</v>
      </c>
      <c r="CX360" t="str">
        <f t="shared" si="354"/>
        <v/>
      </c>
      <c r="CY360" t="str">
        <f t="shared" si="413"/>
        <v/>
      </c>
      <c r="CZ360" t="str">
        <f t="shared" si="355"/>
        <v/>
      </c>
      <c r="DA360" s="2" t="str">
        <f t="shared" si="414"/>
        <v/>
      </c>
      <c r="DB360" s="1" t="s">
        <v>1074</v>
      </c>
      <c r="DC360" s="297" t="str">
        <f t="shared" si="393"/>
        <v>reg</v>
      </c>
      <c r="DD360" t="s">
        <v>428</v>
      </c>
      <c r="DE360">
        <v>2020</v>
      </c>
      <c r="DF360">
        <v>2050</v>
      </c>
      <c r="DG360">
        <v>31</v>
      </c>
      <c r="DH360" t="str">
        <f t="shared" si="415"/>
        <v>31-70</v>
      </c>
      <c r="DI360">
        <v>0</v>
      </c>
      <c r="DJ360">
        <v>1</v>
      </c>
      <c r="DK360">
        <v>1</v>
      </c>
      <c r="DL360">
        <v>1</v>
      </c>
      <c r="DN360">
        <f t="shared" si="392"/>
        <v>3</v>
      </c>
      <c r="DO360" t="str">
        <f t="shared" si="416"/>
        <v>mixedProduct</v>
      </c>
      <c r="DP360">
        <f t="shared" si="417"/>
        <v>0</v>
      </c>
      <c r="DQ360" t="str">
        <f t="shared" si="418"/>
        <v>Energy</v>
      </c>
      <c r="DR360" t="str">
        <f t="shared" si="419"/>
        <v>Pulp/Paper</v>
      </c>
      <c r="DS360" t="str">
        <f t="shared" si="420"/>
        <v>Timber</v>
      </c>
      <c r="DT360">
        <v>0</v>
      </c>
      <c r="DU360">
        <v>0</v>
      </c>
      <c r="DV360">
        <v>0</v>
      </c>
      <c r="DW360">
        <v>0</v>
      </c>
      <c r="DX360">
        <v>0</v>
      </c>
      <c r="DY360">
        <f t="shared" si="399"/>
        <v>0</v>
      </c>
      <c r="DZ360" s="143" t="str">
        <f t="shared" si="394"/>
        <v>explicit C balance</v>
      </c>
      <c r="EA360">
        <v>1</v>
      </c>
      <c r="EB360">
        <v>1</v>
      </c>
      <c r="EC360">
        <v>1</v>
      </c>
      <c r="ED360">
        <v>1</v>
      </c>
      <c r="EE360">
        <v>0</v>
      </c>
      <c r="EF360" s="143">
        <v>0</v>
      </c>
      <c r="EG360">
        <v>1</v>
      </c>
      <c r="EH360">
        <v>0</v>
      </c>
      <c r="EI360">
        <v>0</v>
      </c>
      <c r="EJ360">
        <v>0</v>
      </c>
      <c r="EK360">
        <v>1</v>
      </c>
      <c r="EL360">
        <v>0</v>
      </c>
      <c r="EM360">
        <v>0</v>
      </c>
      <c r="EN360" s="2">
        <v>0</v>
      </c>
      <c r="EP360" t="str">
        <f t="shared" si="356"/>
        <v/>
      </c>
      <c r="EQ360" t="str">
        <f t="shared" si="403"/>
        <v>Ecosystem approach</v>
      </c>
      <c r="ER360" s="2" t="str">
        <f t="shared" si="357"/>
        <v/>
      </c>
      <c r="ES360" t="str">
        <f t="shared" si="358"/>
        <v/>
      </c>
      <c r="ET360" t="str">
        <f t="shared" si="359"/>
        <v/>
      </c>
      <c r="EU360" t="str">
        <f t="shared" si="360"/>
        <v/>
      </c>
      <c r="EY360" t="b">
        <f>IF(ISNUMBER(BW360),IF(ABS(BW360-[1]QC_indicators!$B$2)&gt;3*[1]QC_indicators!$C$2,"C ratio",IF(ISNUMBER(CA360),IF(ABS(CA360-[1]QC_indicators!$B$1)&gt;3*[1]QC_indicators!$C$1,"DF","no"))),IF(ISNUMBER(CA360),IF(ABS(CA360-[1]QC_indicators!$B$1)&gt;3*[1]QC_indicators!$C$1,"DF","no")))</f>
        <v>0</v>
      </c>
      <c r="FA360" t="str">
        <f t="shared" si="361"/>
        <v/>
      </c>
    </row>
    <row r="361" spans="1:158" ht="15" hidden="1" customHeight="1">
      <c r="A361" s="1" t="s">
        <v>3743</v>
      </c>
      <c r="B361" t="s">
        <v>3744</v>
      </c>
      <c r="C361" t="s">
        <v>3745</v>
      </c>
      <c r="D361" t="s">
        <v>3746</v>
      </c>
      <c r="E361" t="s">
        <v>3747</v>
      </c>
      <c r="F361" t="s">
        <v>3748</v>
      </c>
      <c r="G361" t="s">
        <v>3749</v>
      </c>
      <c r="H361" t="s">
        <v>254</v>
      </c>
      <c r="I361">
        <v>2021</v>
      </c>
      <c r="J361">
        <v>0</v>
      </c>
      <c r="K361" t="s">
        <v>3750</v>
      </c>
      <c r="M361" t="str">
        <f t="shared" si="388"/>
        <v>Robertson_2021</v>
      </c>
      <c r="N361" s="297" t="s">
        <v>4058</v>
      </c>
      <c r="O361" s="145" t="s">
        <v>341</v>
      </c>
      <c r="Q361" s="297" t="s">
        <v>256</v>
      </c>
      <c r="R361" s="298"/>
      <c r="S361" s="1" t="s">
        <v>3758</v>
      </c>
      <c r="T361" t="s">
        <v>1003</v>
      </c>
      <c r="U361" t="e">
        <f>#REF!</f>
        <v>#REF!</v>
      </c>
      <c r="X361">
        <v>0</v>
      </c>
      <c r="Y361">
        <v>0</v>
      </c>
      <c r="Z361">
        <v>0</v>
      </c>
      <c r="AA361">
        <v>0</v>
      </c>
      <c r="AB361">
        <v>0</v>
      </c>
      <c r="AC361">
        <v>1</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s="141">
        <f t="shared" si="404"/>
        <v>1</v>
      </c>
      <c r="BA361" s="141">
        <f t="shared" si="405"/>
        <v>1</v>
      </c>
      <c r="BB361">
        <f t="shared" si="406"/>
        <v>1</v>
      </c>
      <c r="BC361">
        <f t="shared" si="407"/>
        <v>0</v>
      </c>
      <c r="BD361">
        <f t="shared" si="408"/>
        <v>0</v>
      </c>
      <c r="BE361">
        <f t="shared" si="409"/>
        <v>0</v>
      </c>
      <c r="BF361">
        <f t="shared" si="410"/>
        <v>0</v>
      </c>
      <c r="BG361" t="str" cm="1">
        <f t="array" ref="BG361">IF(BA361=1,INDEX($X$7:$AN$7,MATCH(TRUE,INDEX($X361:$AY361&lt;&gt;0,),0)),IF(BA361=0,INDEX($AO$7:$AY$7,MATCH(1,$AO361:$AY361,0)),IF(BH361="Multiple strategies","mixed drivers",IF(BH361="Supply chain","multiple supply","multiple silviculture"))))</f>
        <v>plantation density</v>
      </c>
      <c r="BH361" s="2" t="str" cm="1">
        <f t="array" ref="BH361">IF(COUNTIF(BB361:BD361,"&lt;&gt;0")=1,INDEX($X$4:$AY$4,MATCH(TRUE,INDEX($X361:$AY361&lt;&gt;0,),0)),IF(COUNTIF(BB361:BD361,"&lt;&gt;0")=0,INDEX($AO$4:$AY$4,MATCH(1,$AO361:$AY361,0)),"Multiple strategies"))</f>
        <v>Silviculture for productivity</v>
      </c>
      <c r="BR361" t="s">
        <v>232</v>
      </c>
      <c r="BT361" t="s">
        <v>1018</v>
      </c>
      <c r="BU361">
        <v>0</v>
      </c>
      <c r="BV361">
        <v>0.03</v>
      </c>
      <c r="BW361" s="144" t="str">
        <f t="shared" si="400"/>
        <v/>
      </c>
      <c r="BX361">
        <f t="shared" si="401"/>
        <v>0.03</v>
      </c>
      <c r="BZ361">
        <f t="shared" si="402"/>
        <v>30000</v>
      </c>
      <c r="CA361" t="str">
        <f t="shared" si="352"/>
        <v/>
      </c>
      <c r="CB361">
        <v>0</v>
      </c>
      <c r="CC361">
        <v>0</v>
      </c>
      <c r="CD361">
        <v>0</v>
      </c>
      <c r="CE361">
        <v>0</v>
      </c>
      <c r="CF361">
        <v>0</v>
      </c>
      <c r="CG361">
        <v>0</v>
      </c>
      <c r="CH361">
        <v>0</v>
      </c>
      <c r="CI361">
        <v>0</v>
      </c>
      <c r="CJ361">
        <v>0</v>
      </c>
      <c r="CK361">
        <v>0</v>
      </c>
      <c r="CL361">
        <v>0</v>
      </c>
      <c r="CM361">
        <v>0</v>
      </c>
      <c r="CN361">
        <v>0</v>
      </c>
      <c r="CO361">
        <v>0</v>
      </c>
      <c r="CP361" t="str">
        <f t="shared" si="396"/>
        <v>refOK</v>
      </c>
      <c r="CQ361"/>
      <c r="CR361"/>
      <c r="CS361"/>
      <c r="CT361">
        <f t="shared" si="353"/>
        <v>0</v>
      </c>
      <c r="CU361">
        <f t="shared" si="411"/>
        <v>0</v>
      </c>
      <c r="CV361">
        <f t="shared" si="398"/>
        <v>0.03</v>
      </c>
      <c r="CW361">
        <f t="shared" si="412"/>
        <v>30000</v>
      </c>
      <c r="CX361" t="str">
        <f t="shared" si="354"/>
        <v/>
      </c>
      <c r="CY361" t="str">
        <f t="shared" si="413"/>
        <v/>
      </c>
      <c r="CZ361" t="str">
        <f t="shared" si="355"/>
        <v/>
      </c>
      <c r="DA361" s="2" t="str">
        <f t="shared" si="414"/>
        <v/>
      </c>
      <c r="DB361" s="1" t="s">
        <v>1074</v>
      </c>
      <c r="DC361" s="297" t="str">
        <f t="shared" si="393"/>
        <v>reg</v>
      </c>
      <c r="DD361" t="s">
        <v>428</v>
      </c>
      <c r="DE361">
        <v>2020</v>
      </c>
      <c r="DF361">
        <v>2050</v>
      </c>
      <c r="DG361">
        <v>31</v>
      </c>
      <c r="DH361" t="str">
        <f t="shared" si="415"/>
        <v>31-70</v>
      </c>
      <c r="DI361">
        <v>0</v>
      </c>
      <c r="DJ361">
        <v>1</v>
      </c>
      <c r="DK361">
        <v>1</v>
      </c>
      <c r="DL361">
        <v>1</v>
      </c>
      <c r="DN361">
        <f t="shared" si="392"/>
        <v>3</v>
      </c>
      <c r="DO361" t="str">
        <f t="shared" si="416"/>
        <v>mixedProduct</v>
      </c>
      <c r="DP361">
        <f t="shared" si="417"/>
        <v>0</v>
      </c>
      <c r="DQ361" t="str">
        <f t="shared" si="418"/>
        <v>Energy</v>
      </c>
      <c r="DR361" t="str">
        <f t="shared" si="419"/>
        <v>Pulp/Paper</v>
      </c>
      <c r="DS361" t="str">
        <f t="shared" si="420"/>
        <v>Timber</v>
      </c>
      <c r="DT361">
        <v>0</v>
      </c>
      <c r="DU361">
        <v>0</v>
      </c>
      <c r="DV361">
        <v>0</v>
      </c>
      <c r="DW361">
        <v>0</v>
      </c>
      <c r="DX361">
        <v>0</v>
      </c>
      <c r="DY361">
        <f t="shared" si="399"/>
        <v>0</v>
      </c>
      <c r="DZ361" s="143" t="str">
        <f t="shared" si="394"/>
        <v>explicit C balance</v>
      </c>
      <c r="EA361">
        <v>1</v>
      </c>
      <c r="EB361">
        <v>1</v>
      </c>
      <c r="EC361">
        <v>1</v>
      </c>
      <c r="ED361">
        <v>1</v>
      </c>
      <c r="EE361">
        <v>0</v>
      </c>
      <c r="EF361" s="143">
        <v>0</v>
      </c>
      <c r="EG361">
        <v>1</v>
      </c>
      <c r="EH361">
        <v>0</v>
      </c>
      <c r="EI361">
        <v>0</v>
      </c>
      <c r="EJ361">
        <v>0</v>
      </c>
      <c r="EK361">
        <v>1</v>
      </c>
      <c r="EL361">
        <v>0</v>
      </c>
      <c r="EM361">
        <v>0</v>
      </c>
      <c r="EN361" s="2">
        <v>0</v>
      </c>
      <c r="EP361" t="str">
        <f t="shared" si="356"/>
        <v/>
      </c>
      <c r="EQ361" t="str">
        <f t="shared" si="403"/>
        <v>Ecosystem approach</v>
      </c>
      <c r="ER361" s="2" t="str">
        <f t="shared" si="357"/>
        <v/>
      </c>
      <c r="ES361" t="str">
        <f t="shared" si="358"/>
        <v/>
      </c>
      <c r="ET361" t="str">
        <f t="shared" si="359"/>
        <v/>
      </c>
      <c r="EU361" t="str">
        <f t="shared" si="360"/>
        <v/>
      </c>
      <c r="EY361" t="b">
        <f>IF(ISNUMBER(BW361),IF(ABS(BW361-[1]QC_indicators!$B$2)&gt;3*[1]QC_indicators!$C$2,"C ratio",IF(ISNUMBER(CA361),IF(ABS(CA361-[1]QC_indicators!$B$1)&gt;3*[1]QC_indicators!$C$1,"DF","no"))),IF(ISNUMBER(CA361),IF(ABS(CA361-[1]QC_indicators!$B$1)&gt;3*[1]QC_indicators!$C$1,"DF","no")))</f>
        <v>0</v>
      </c>
      <c r="FA361" t="str">
        <f t="shared" si="361"/>
        <v/>
      </c>
    </row>
    <row r="362" spans="1:158" ht="15" hidden="1" customHeight="1">
      <c r="A362" s="1" t="s">
        <v>3743</v>
      </c>
      <c r="B362" t="s">
        <v>3744</v>
      </c>
      <c r="C362" t="s">
        <v>3745</v>
      </c>
      <c r="D362" t="s">
        <v>3746</v>
      </c>
      <c r="E362" t="s">
        <v>3747</v>
      </c>
      <c r="F362" t="s">
        <v>3748</v>
      </c>
      <c r="G362" t="s">
        <v>3749</v>
      </c>
      <c r="H362" t="s">
        <v>254</v>
      </c>
      <c r="I362">
        <v>2021</v>
      </c>
      <c r="J362">
        <v>0</v>
      </c>
      <c r="K362" t="s">
        <v>3750</v>
      </c>
      <c r="M362" t="str">
        <f t="shared" si="388"/>
        <v>Robertson_2021</v>
      </c>
      <c r="N362" s="297" t="s">
        <v>4058</v>
      </c>
      <c r="O362" s="145" t="s">
        <v>341</v>
      </c>
      <c r="Q362" s="297" t="s">
        <v>256</v>
      </c>
      <c r="R362" s="298"/>
      <c r="S362" s="1" t="s">
        <v>3759</v>
      </c>
      <c r="T362" t="s">
        <v>1003</v>
      </c>
      <c r="U362" t="e">
        <f>#REF!</f>
        <v>#REF!</v>
      </c>
      <c r="X362">
        <v>0</v>
      </c>
      <c r="Y362">
        <v>0</v>
      </c>
      <c r="Z362">
        <v>0</v>
      </c>
      <c r="AA362">
        <v>0</v>
      </c>
      <c r="AB362">
        <v>0</v>
      </c>
      <c r="AC362">
        <v>1</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s="141">
        <f t="shared" si="404"/>
        <v>1</v>
      </c>
      <c r="BA362" s="141">
        <f t="shared" si="405"/>
        <v>1</v>
      </c>
      <c r="BB362">
        <f t="shared" si="406"/>
        <v>1</v>
      </c>
      <c r="BC362">
        <f t="shared" si="407"/>
        <v>0</v>
      </c>
      <c r="BD362">
        <f t="shared" si="408"/>
        <v>0</v>
      </c>
      <c r="BE362">
        <f t="shared" si="409"/>
        <v>0</v>
      </c>
      <c r="BF362">
        <f t="shared" si="410"/>
        <v>0</v>
      </c>
      <c r="BG362" t="str" cm="1">
        <f t="array" ref="BG362">IF(BA362=1,INDEX($X$7:$AN$7,MATCH(TRUE,INDEX($X362:$AY362&lt;&gt;0,),0)),IF(BA362=0,INDEX($AO$7:$AY$7,MATCH(1,$AO362:$AY362,0)),IF(BH362="Multiple strategies","mixed drivers",IF(BH362="Supply chain","multiple supply","multiple silviculture"))))</f>
        <v>plantation density</v>
      </c>
      <c r="BH362" s="2" t="str" cm="1">
        <f t="array" ref="BH362">IF(COUNTIF(BB362:BD362,"&lt;&gt;0")=1,INDEX($X$4:$AY$4,MATCH(TRUE,INDEX($X362:$AY362&lt;&gt;0,),0)),IF(COUNTIF(BB362:BD362,"&lt;&gt;0")=0,INDEX($AO$4:$AY$4,MATCH(1,$AO362:$AY362,0)),"Multiple strategies"))</f>
        <v>Silviculture for productivity</v>
      </c>
      <c r="BR362" t="s">
        <v>232</v>
      </c>
      <c r="BT362" t="s">
        <v>1018</v>
      </c>
      <c r="BU362">
        <v>0</v>
      </c>
      <c r="BV362">
        <v>0.06</v>
      </c>
      <c r="BW362" s="144" t="str">
        <f t="shared" si="400"/>
        <v/>
      </c>
      <c r="BX362">
        <f t="shared" si="401"/>
        <v>0.06</v>
      </c>
      <c r="BZ362">
        <f t="shared" si="402"/>
        <v>60000</v>
      </c>
      <c r="CA362" t="str">
        <f t="shared" ref="CA362:CA425" si="421">IFERROR(BZ362/BQ362,"")</f>
        <v/>
      </c>
      <c r="CB362">
        <v>0</v>
      </c>
      <c r="CC362">
        <v>0</v>
      </c>
      <c r="CD362">
        <v>0</v>
      </c>
      <c r="CE362">
        <v>0</v>
      </c>
      <c r="CF362">
        <v>0</v>
      </c>
      <c r="CG362">
        <v>0</v>
      </c>
      <c r="CH362">
        <v>0</v>
      </c>
      <c r="CI362">
        <v>0</v>
      </c>
      <c r="CJ362">
        <v>0</v>
      </c>
      <c r="CK362">
        <v>0</v>
      </c>
      <c r="CL362">
        <v>0</v>
      </c>
      <c r="CM362">
        <v>0</v>
      </c>
      <c r="CN362">
        <v>0</v>
      </c>
      <c r="CO362">
        <v>0</v>
      </c>
      <c r="CP362" t="str">
        <f t="shared" si="396"/>
        <v>refOK</v>
      </c>
      <c r="CQ362"/>
      <c r="CR362"/>
      <c r="CS362"/>
      <c r="CT362">
        <f t="shared" ref="CT362:CT395" si="422">IF(BI362="Roundwood",$CS362/2,$CS362)</f>
        <v>0</v>
      </c>
      <c r="CU362">
        <f t="shared" si="411"/>
        <v>0</v>
      </c>
      <c r="CV362">
        <f t="shared" si="398"/>
        <v>0.06</v>
      </c>
      <c r="CW362">
        <f t="shared" si="412"/>
        <v>60000</v>
      </c>
      <c r="CX362" t="str">
        <f t="shared" ref="CX362:CX395" si="423">IFERROR($CW362/$CS362,"")</f>
        <v/>
      </c>
      <c r="CY362" t="str">
        <f t="shared" si="413"/>
        <v/>
      </c>
      <c r="CZ362" t="str">
        <f t="shared" ref="CZ362:CZ395" si="424">IFERROR($CW362/$CT362,"")</f>
        <v/>
      </c>
      <c r="DA362" s="2" t="str">
        <f t="shared" si="414"/>
        <v/>
      </c>
      <c r="DB362" s="1" t="s">
        <v>1074</v>
      </c>
      <c r="DC362" s="297" t="str">
        <f t="shared" si="393"/>
        <v>reg</v>
      </c>
      <c r="DD362" t="s">
        <v>428</v>
      </c>
      <c r="DE362">
        <v>2020</v>
      </c>
      <c r="DF362">
        <v>2050</v>
      </c>
      <c r="DG362">
        <v>31</v>
      </c>
      <c r="DH362" t="str">
        <f t="shared" si="415"/>
        <v>31-70</v>
      </c>
      <c r="DI362">
        <v>0</v>
      </c>
      <c r="DJ362">
        <v>1</v>
      </c>
      <c r="DK362">
        <v>1</v>
      </c>
      <c r="DL362">
        <v>1</v>
      </c>
      <c r="DN362">
        <f t="shared" si="392"/>
        <v>3</v>
      </c>
      <c r="DO362" t="str">
        <f t="shared" si="416"/>
        <v>mixedProduct</v>
      </c>
      <c r="DP362">
        <f t="shared" si="417"/>
        <v>0</v>
      </c>
      <c r="DQ362" t="str">
        <f t="shared" si="418"/>
        <v>Energy</v>
      </c>
      <c r="DR362" t="str">
        <f t="shared" si="419"/>
        <v>Pulp/Paper</v>
      </c>
      <c r="DS362" t="str">
        <f t="shared" si="420"/>
        <v>Timber</v>
      </c>
      <c r="DT362">
        <v>0</v>
      </c>
      <c r="DU362">
        <v>0</v>
      </c>
      <c r="DV362">
        <v>0</v>
      </c>
      <c r="DW362">
        <v>0</v>
      </c>
      <c r="DX362">
        <v>0</v>
      </c>
      <c r="DY362">
        <f t="shared" si="399"/>
        <v>0</v>
      </c>
      <c r="DZ362" s="143" t="str">
        <f t="shared" si="394"/>
        <v>explicit C balance</v>
      </c>
      <c r="EA362">
        <v>1</v>
      </c>
      <c r="EB362">
        <v>1</v>
      </c>
      <c r="EC362">
        <v>1</v>
      </c>
      <c r="ED362">
        <v>1</v>
      </c>
      <c r="EE362">
        <v>0</v>
      </c>
      <c r="EF362" s="143">
        <v>0</v>
      </c>
      <c r="EG362">
        <v>1</v>
      </c>
      <c r="EH362">
        <v>0</v>
      </c>
      <c r="EI362">
        <v>0</v>
      </c>
      <c r="EJ362">
        <v>0</v>
      </c>
      <c r="EK362">
        <v>1</v>
      </c>
      <c r="EL362">
        <v>0</v>
      </c>
      <c r="EM362">
        <v>0</v>
      </c>
      <c r="EN362" s="2">
        <v>0</v>
      </c>
      <c r="EP362" t="str">
        <f t="shared" ref="EP362:EP395" si="425">IF(AND(AND(AND(OR($EC362=1,$EB362=1),OR($EH362=1,$EF362=1)),SUM($EA362:$EE362,$EK362)&gt;=3),SUM($EF362:$EJ362)&gt;=2),"Whole sector approach","")</f>
        <v/>
      </c>
      <c r="EQ362" t="str">
        <f t="shared" si="403"/>
        <v>Ecosystem approach</v>
      </c>
      <c r="ER362" s="2" t="str">
        <f t="shared" ref="ER362:ER395" si="426">IF(AND(AND(AND($EC362=0,$EB362=0),OR($EH362=1,$EF362=1)),SUM($EG362:$EJ362)&gt;=2),"Technology approach","")</f>
        <v/>
      </c>
      <c r="ES362" t="str">
        <f t="shared" ref="ES362:ES395" si="427">IF(AND($EC362+$EB362+$EE362+$EA362+$EF362+$EG362=0,$N362="included"),"C neutral forest and HWP assumption","")</f>
        <v/>
      </c>
      <c r="ET362" t="str">
        <f t="shared" ref="ET362:ET395" si="428">IF(AND(AND(AND($EC362+$EB362+$EA362+$EG362&gt;=2,$EF362+$EH362+$EI362&gt;=1),$ED362+$EE362&gt;=1),$N362="included"),"All C pools assumption","")</f>
        <v/>
      </c>
      <c r="EU362" t="str">
        <f t="shared" ref="EU362:EU395" si="429">IF(AND($ED362+$EE362+$EI362+$EH362+$EF362=0,$N362="included"),"In-situ only assumption","")</f>
        <v/>
      </c>
      <c r="EY362" t="b">
        <f>IF(ISNUMBER(BW362),IF(ABS(BW362-[1]QC_indicators!$B$2)&gt;3*[1]QC_indicators!$C$2,"C ratio",IF(ISNUMBER(CA362),IF(ABS(CA362-[1]QC_indicators!$B$1)&gt;3*[1]QC_indicators!$C$1,"DF","no"))),IF(ISNUMBER(CA362),IF(ABS(CA362-[1]QC_indicators!$B$1)&gt;3*[1]QC_indicators!$C$1,"DF","no")))</f>
        <v>0</v>
      </c>
      <c r="FA362" t="str">
        <f t="shared" ref="FA362:FA395" si="430">IF(LEN($CY362)=0,"",IF(AND($CY362&lt;(-0.05),$ES362="C neutral forest and HWP assumption"),"Cneutral paradox",IF(AND($CY362&gt;0.05,$EU362="In-situ only assumption"),"In-situ only paradox","")))</f>
        <v/>
      </c>
    </row>
    <row r="363" spans="1:158" ht="15" hidden="1" customHeight="1">
      <c r="A363" s="1" t="s">
        <v>3743</v>
      </c>
      <c r="B363" t="s">
        <v>3744</v>
      </c>
      <c r="C363" t="s">
        <v>3745</v>
      </c>
      <c r="D363" t="s">
        <v>3746</v>
      </c>
      <c r="E363" t="s">
        <v>3747</v>
      </c>
      <c r="F363" t="s">
        <v>3748</v>
      </c>
      <c r="G363" t="s">
        <v>3749</v>
      </c>
      <c r="H363" t="s">
        <v>254</v>
      </c>
      <c r="I363">
        <v>2021</v>
      </c>
      <c r="J363">
        <v>0</v>
      </c>
      <c r="K363" t="s">
        <v>3750</v>
      </c>
      <c r="M363" t="str">
        <f t="shared" si="388"/>
        <v>Robertson_2021</v>
      </c>
      <c r="N363" s="297" t="s">
        <v>4058</v>
      </c>
      <c r="O363" s="145" t="s">
        <v>341</v>
      </c>
      <c r="Q363" s="297" t="s">
        <v>256</v>
      </c>
      <c r="R363" s="298"/>
      <c r="S363" s="1" t="s">
        <v>3760</v>
      </c>
      <c r="T363" t="s">
        <v>1003</v>
      </c>
      <c r="U363" t="e">
        <f>#REF!</f>
        <v>#REF!</v>
      </c>
      <c r="X363">
        <v>0</v>
      </c>
      <c r="Y363">
        <v>0</v>
      </c>
      <c r="Z363">
        <v>0</v>
      </c>
      <c r="AA363">
        <v>0</v>
      </c>
      <c r="AB363">
        <v>0</v>
      </c>
      <c r="AC363">
        <v>1</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s="141">
        <f t="shared" si="404"/>
        <v>1</v>
      </c>
      <c r="BA363" s="141">
        <f t="shared" si="405"/>
        <v>1</v>
      </c>
      <c r="BB363">
        <f t="shared" si="406"/>
        <v>1</v>
      </c>
      <c r="BC363">
        <f t="shared" si="407"/>
        <v>0</v>
      </c>
      <c r="BD363">
        <f t="shared" si="408"/>
        <v>0</v>
      </c>
      <c r="BE363">
        <f t="shared" si="409"/>
        <v>0</v>
      </c>
      <c r="BF363">
        <f t="shared" si="410"/>
        <v>0</v>
      </c>
      <c r="BG363" t="str" cm="1">
        <f t="array" ref="BG363">IF(BA363=1,INDEX($X$7:$AN$7,MATCH(TRUE,INDEX($X363:$AY363&lt;&gt;0,),0)),IF(BA363=0,INDEX($AO$7:$AY$7,MATCH(1,$AO363:$AY363,0)),IF(BH363="Multiple strategies","mixed drivers",IF(BH363="Supply chain","multiple supply","multiple silviculture"))))</f>
        <v>plantation density</v>
      </c>
      <c r="BH363" s="2" t="str" cm="1">
        <f t="array" ref="BH363">IF(COUNTIF(BB363:BD363,"&lt;&gt;0")=1,INDEX($X$4:$AY$4,MATCH(TRUE,INDEX($X363:$AY363&lt;&gt;0,),0)),IF(COUNTIF(BB363:BD363,"&lt;&gt;0")=0,INDEX($AO$4:$AY$4,MATCH(1,$AO363:$AY363,0)),"Multiple strategies"))</f>
        <v>Silviculture for productivity</v>
      </c>
      <c r="BR363" t="s">
        <v>232</v>
      </c>
      <c r="BT363" t="s">
        <v>1018</v>
      </c>
      <c r="BU363">
        <v>0</v>
      </c>
      <c r="BV363">
        <v>0.11</v>
      </c>
      <c r="BW363" s="144" t="str">
        <f t="shared" si="400"/>
        <v/>
      </c>
      <c r="BX363">
        <f t="shared" si="401"/>
        <v>0.11</v>
      </c>
      <c r="BZ363">
        <f t="shared" si="402"/>
        <v>110000</v>
      </c>
      <c r="CA363" t="str">
        <f t="shared" si="421"/>
        <v/>
      </c>
      <c r="CB363">
        <v>0</v>
      </c>
      <c r="CC363">
        <v>0</v>
      </c>
      <c r="CD363">
        <v>0</v>
      </c>
      <c r="CE363">
        <v>0</v>
      </c>
      <c r="CF363">
        <v>0</v>
      </c>
      <c r="CG363">
        <v>0</v>
      </c>
      <c r="CH363">
        <v>0</v>
      </c>
      <c r="CI363">
        <v>0</v>
      </c>
      <c r="CJ363">
        <v>0</v>
      </c>
      <c r="CK363">
        <v>0</v>
      </c>
      <c r="CL363">
        <v>0</v>
      </c>
      <c r="CM363">
        <v>0</v>
      </c>
      <c r="CN363">
        <v>0</v>
      </c>
      <c r="CO363">
        <v>0</v>
      </c>
      <c r="CP363" t="str">
        <f t="shared" si="396"/>
        <v>refOK</v>
      </c>
      <c r="CQ363"/>
      <c r="CR363"/>
      <c r="CS363"/>
      <c r="CT363">
        <f t="shared" si="422"/>
        <v>0</v>
      </c>
      <c r="CU363">
        <f t="shared" si="411"/>
        <v>0</v>
      </c>
      <c r="CV363">
        <f t="shared" si="398"/>
        <v>0.11</v>
      </c>
      <c r="CW363">
        <f t="shared" si="412"/>
        <v>110000</v>
      </c>
      <c r="CX363" t="str">
        <f t="shared" si="423"/>
        <v/>
      </c>
      <c r="CY363" t="str">
        <f t="shared" si="413"/>
        <v/>
      </c>
      <c r="CZ363" t="str">
        <f t="shared" si="424"/>
        <v/>
      </c>
      <c r="DA363" s="2" t="str">
        <f t="shared" si="414"/>
        <v/>
      </c>
      <c r="DB363" s="1" t="s">
        <v>1074</v>
      </c>
      <c r="DC363" s="297" t="str">
        <f t="shared" si="393"/>
        <v>reg</v>
      </c>
      <c r="DD363" t="s">
        <v>428</v>
      </c>
      <c r="DE363">
        <v>2020</v>
      </c>
      <c r="DF363">
        <v>2050</v>
      </c>
      <c r="DG363">
        <v>31</v>
      </c>
      <c r="DH363" t="str">
        <f t="shared" si="415"/>
        <v>31-70</v>
      </c>
      <c r="DI363">
        <v>0</v>
      </c>
      <c r="DJ363">
        <v>1</v>
      </c>
      <c r="DK363">
        <v>1</v>
      </c>
      <c r="DL363">
        <v>1</v>
      </c>
      <c r="DN363">
        <f t="shared" si="392"/>
        <v>3</v>
      </c>
      <c r="DO363" t="str">
        <f t="shared" si="416"/>
        <v>mixedProduct</v>
      </c>
      <c r="DP363">
        <f t="shared" si="417"/>
        <v>0</v>
      </c>
      <c r="DQ363" t="str">
        <f t="shared" si="418"/>
        <v>Energy</v>
      </c>
      <c r="DR363" t="str">
        <f t="shared" si="419"/>
        <v>Pulp/Paper</v>
      </c>
      <c r="DS363" t="str">
        <f t="shared" si="420"/>
        <v>Timber</v>
      </c>
      <c r="DT363">
        <v>0</v>
      </c>
      <c r="DU363">
        <v>0</v>
      </c>
      <c r="DV363">
        <v>0</v>
      </c>
      <c r="DW363">
        <v>0</v>
      </c>
      <c r="DX363">
        <v>0</v>
      </c>
      <c r="DY363">
        <f t="shared" si="399"/>
        <v>0</v>
      </c>
      <c r="DZ363" s="143" t="str">
        <f t="shared" si="394"/>
        <v>explicit C balance</v>
      </c>
      <c r="EA363">
        <v>1</v>
      </c>
      <c r="EB363">
        <v>1</v>
      </c>
      <c r="EC363">
        <v>1</v>
      </c>
      <c r="ED363">
        <v>1</v>
      </c>
      <c r="EE363">
        <v>0</v>
      </c>
      <c r="EF363" s="143">
        <v>0</v>
      </c>
      <c r="EG363">
        <v>1</v>
      </c>
      <c r="EH363">
        <v>0</v>
      </c>
      <c r="EI363">
        <v>0</v>
      </c>
      <c r="EJ363">
        <v>0</v>
      </c>
      <c r="EK363">
        <v>1</v>
      </c>
      <c r="EL363">
        <v>0</v>
      </c>
      <c r="EM363">
        <v>0</v>
      </c>
      <c r="EN363" s="2">
        <v>0</v>
      </c>
      <c r="EP363" t="str">
        <f t="shared" si="425"/>
        <v/>
      </c>
      <c r="EQ363" t="str">
        <f t="shared" si="403"/>
        <v>Ecosystem approach</v>
      </c>
      <c r="ER363" s="2" t="str">
        <f t="shared" si="426"/>
        <v/>
      </c>
      <c r="ES363" t="str">
        <f t="shared" si="427"/>
        <v/>
      </c>
      <c r="ET363" t="str">
        <f t="shared" si="428"/>
        <v/>
      </c>
      <c r="EU363" t="str">
        <f t="shared" si="429"/>
        <v/>
      </c>
      <c r="EY363" t="b">
        <f>IF(ISNUMBER(BW363),IF(ABS(BW363-[1]QC_indicators!$B$2)&gt;3*[1]QC_indicators!$C$2,"C ratio",IF(ISNUMBER(CA363),IF(ABS(CA363-[1]QC_indicators!$B$1)&gt;3*[1]QC_indicators!$C$1,"DF","no"))),IF(ISNUMBER(CA363),IF(ABS(CA363-[1]QC_indicators!$B$1)&gt;3*[1]QC_indicators!$C$1,"DF","no")))</f>
        <v>0</v>
      </c>
      <c r="FA363" t="str">
        <f t="shared" si="430"/>
        <v/>
      </c>
    </row>
    <row r="364" spans="1:158" ht="15" hidden="1" customHeight="1">
      <c r="A364" s="1" t="s">
        <v>1001</v>
      </c>
      <c r="B364" t="s">
        <v>3764</v>
      </c>
      <c r="C364" t="s">
        <v>3765</v>
      </c>
      <c r="D364" t="s">
        <v>3766</v>
      </c>
      <c r="E364" t="s">
        <v>3767</v>
      </c>
      <c r="F364" t="s">
        <v>3768</v>
      </c>
      <c r="G364" t="s">
        <v>1002</v>
      </c>
      <c r="H364" t="s">
        <v>254</v>
      </c>
      <c r="I364">
        <v>2011</v>
      </c>
      <c r="J364">
        <v>57</v>
      </c>
      <c r="K364" t="s">
        <v>3769</v>
      </c>
      <c r="M364" t="str">
        <f t="shared" si="388"/>
        <v>Routa_2011</v>
      </c>
      <c r="N364" s="297" t="s">
        <v>4058</v>
      </c>
      <c r="O364" s="145" t="s">
        <v>341</v>
      </c>
      <c r="Q364" s="297" t="s">
        <v>256</v>
      </c>
      <c r="R364" s="298"/>
      <c r="S364" s="1" t="s">
        <v>3801</v>
      </c>
      <c r="T364" t="s">
        <v>1003</v>
      </c>
      <c r="U364" t="e">
        <f>#REF!</f>
        <v>#REF!</v>
      </c>
      <c r="X364">
        <v>0</v>
      </c>
      <c r="Y364">
        <v>0</v>
      </c>
      <c r="Z364">
        <v>0</v>
      </c>
      <c r="AA364">
        <v>0</v>
      </c>
      <c r="AB364">
        <v>0</v>
      </c>
      <c r="AC364">
        <v>2</v>
      </c>
      <c r="AD364">
        <v>1</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s="141">
        <f t="shared" si="404"/>
        <v>2</v>
      </c>
      <c r="BA364" s="141">
        <f t="shared" si="405"/>
        <v>2</v>
      </c>
      <c r="BB364">
        <f t="shared" si="406"/>
        <v>2</v>
      </c>
      <c r="BC364">
        <f t="shared" si="407"/>
        <v>0</v>
      </c>
      <c r="BD364">
        <f t="shared" si="408"/>
        <v>0</v>
      </c>
      <c r="BE364">
        <f t="shared" si="409"/>
        <v>0</v>
      </c>
      <c r="BF364">
        <f t="shared" si="410"/>
        <v>0</v>
      </c>
      <c r="BG364" t="str" cm="1">
        <f t="array" ref="BG364">IF(BA364=1,INDEX($X$7:$AN$7,MATCH(TRUE,INDEX($X364:$AY364&lt;&gt;0,),0)),IF(BA364=0,INDEX($AO$7:$AY$7,MATCH(1,$AO364:$AY364,0)),IF(BH364="Multiple strategies","mixed drivers",IF(BH364="Supply chain","multiple supply","multiple silviculture"))))</f>
        <v>multiple silviculture</v>
      </c>
      <c r="BH364" s="2" t="str" cm="1">
        <f t="array" ref="BH364">IF(COUNTIF(BB364:BD364,"&lt;&gt;0")=1,INDEX($X$4:$AY$4,MATCH(TRUE,INDEX($X364:$AY364&lt;&gt;0,),0)),IF(COUNTIF(BB364:BD364,"&lt;&gt;0")=0,INDEX($AO$4:$AY$4,MATCH(1,$AO364:$AY364,0)),"Multiple strategies"))</f>
        <v>Silviculture for productivity</v>
      </c>
      <c r="BR364" s="297" t="s">
        <v>232</v>
      </c>
      <c r="BS364" s="297"/>
      <c r="BT364" t="s">
        <v>1953</v>
      </c>
      <c r="BU364">
        <v>-200</v>
      </c>
      <c r="BV364">
        <v>-195</v>
      </c>
      <c r="BW364" s="144">
        <v>0.97499999999999998</v>
      </c>
      <c r="BX364">
        <v>5</v>
      </c>
      <c r="BZ364">
        <f t="shared" ref="BZ364:BZ395" si="431">BX364*10^3</f>
        <v>5000</v>
      </c>
      <c r="CA364" t="str">
        <f t="shared" si="421"/>
        <v/>
      </c>
      <c r="CB364">
        <v>0</v>
      </c>
      <c r="CC364">
        <v>0</v>
      </c>
      <c r="CD364">
        <v>0</v>
      </c>
      <c r="CE364">
        <v>1</v>
      </c>
      <c r="CF364">
        <v>0</v>
      </c>
      <c r="CG364">
        <v>0</v>
      </c>
      <c r="CH364">
        <v>0</v>
      </c>
      <c r="CI364">
        <v>0</v>
      </c>
      <c r="CJ364">
        <v>0</v>
      </c>
      <c r="CK364">
        <v>0</v>
      </c>
      <c r="CL364">
        <v>0</v>
      </c>
      <c r="CM364">
        <v>0</v>
      </c>
      <c r="CN364">
        <v>0</v>
      </c>
      <c r="CO364">
        <v>0</v>
      </c>
      <c r="CP364" t="str">
        <f t="shared" si="396"/>
        <v>refOK</v>
      </c>
      <c r="CQ364"/>
      <c r="CR364"/>
      <c r="CS364"/>
      <c r="CT364">
        <f t="shared" si="422"/>
        <v>0</v>
      </c>
      <c r="CU364">
        <f t="shared" si="411"/>
        <v>-200</v>
      </c>
      <c r="CV364">
        <f t="shared" si="398"/>
        <v>-195</v>
      </c>
      <c r="CW364">
        <f t="shared" si="412"/>
        <v>5000</v>
      </c>
      <c r="CX364" t="str">
        <f t="shared" si="423"/>
        <v/>
      </c>
      <c r="CY364" t="str">
        <f t="shared" si="413"/>
        <v/>
      </c>
      <c r="CZ364" t="str">
        <f t="shared" si="424"/>
        <v/>
      </c>
      <c r="DA364" s="2">
        <f t="shared" si="414"/>
        <v>2.5000000000000001E-2</v>
      </c>
      <c r="DB364" s="1" t="s">
        <v>1074</v>
      </c>
      <c r="DC364" s="297" t="str">
        <f t="shared" si="393"/>
        <v>reg</v>
      </c>
      <c r="DD364" t="s">
        <v>235</v>
      </c>
      <c r="DE364">
        <v>2011</v>
      </c>
      <c r="DF364">
        <v>2090</v>
      </c>
      <c r="DG364">
        <v>80</v>
      </c>
      <c r="DH364" t="str">
        <f t="shared" si="415"/>
        <v>71-100</v>
      </c>
      <c r="DI364">
        <v>0</v>
      </c>
      <c r="DJ364">
        <v>1</v>
      </c>
      <c r="DK364">
        <v>1</v>
      </c>
      <c r="DL364">
        <v>1</v>
      </c>
      <c r="DN364">
        <f t="shared" ref="DN364:DN395" si="432">SUM(DI364:DL364)</f>
        <v>3</v>
      </c>
      <c r="DO364" t="str">
        <f t="shared" si="416"/>
        <v>mixedProduct</v>
      </c>
      <c r="DP364">
        <f t="shared" si="417"/>
        <v>0</v>
      </c>
      <c r="DQ364" t="str">
        <f t="shared" si="418"/>
        <v>Energy</v>
      </c>
      <c r="DR364" t="str">
        <f t="shared" si="419"/>
        <v>Pulp/Paper</v>
      </c>
      <c r="DS364" t="str">
        <f t="shared" si="420"/>
        <v>Timber</v>
      </c>
      <c r="DT364">
        <v>1</v>
      </c>
      <c r="DU364">
        <v>0</v>
      </c>
      <c r="DV364">
        <v>0</v>
      </c>
      <c r="DW364">
        <v>0</v>
      </c>
      <c r="DX364">
        <v>0</v>
      </c>
      <c r="DY364">
        <f t="shared" si="399"/>
        <v>1</v>
      </c>
      <c r="DZ364" s="143" t="str">
        <f t="shared" si="394"/>
        <v>self-calculated DF</v>
      </c>
      <c r="EA364">
        <v>1</v>
      </c>
      <c r="EB364">
        <v>1</v>
      </c>
      <c r="EC364">
        <v>1</v>
      </c>
      <c r="ED364">
        <v>0</v>
      </c>
      <c r="EE364">
        <v>0</v>
      </c>
      <c r="EF364" s="143">
        <v>0</v>
      </c>
      <c r="EG364">
        <v>1</v>
      </c>
      <c r="EH364">
        <v>1</v>
      </c>
      <c r="EI364">
        <v>0</v>
      </c>
      <c r="EJ364">
        <v>1</v>
      </c>
      <c r="EK364">
        <v>1</v>
      </c>
      <c r="EL364">
        <v>1</v>
      </c>
      <c r="EM364">
        <v>0</v>
      </c>
      <c r="EN364" s="2">
        <v>0</v>
      </c>
      <c r="EP364" t="str">
        <f t="shared" si="425"/>
        <v>Whole sector approach</v>
      </c>
      <c r="EQ364" t="str">
        <f t="shared" si="403"/>
        <v/>
      </c>
      <c r="ER364" s="2" t="str">
        <f t="shared" si="426"/>
        <v/>
      </c>
      <c r="ES364" t="str">
        <f t="shared" si="427"/>
        <v/>
      </c>
      <c r="ET364" t="str">
        <f t="shared" si="428"/>
        <v/>
      </c>
      <c r="EU364" t="str">
        <f t="shared" si="429"/>
        <v/>
      </c>
      <c r="EY364" t="b">
        <f>IF(ISNUMBER(BW364),IF(ABS(BW364-[1]QC_indicators!$B$2)&gt;3*[1]QC_indicators!$C$2,"C ratio",IF(ISNUMBER(CA364),IF(ABS(CA364-[1]QC_indicators!$B$1)&gt;3*[1]QC_indicators!$C$1,"DF","no"))),IF(ISNUMBER(CA364),IF(ABS(CA364-[1]QC_indicators!$B$1)&gt;3*[1]QC_indicators!$C$1,"DF","no")))</f>
        <v>0</v>
      </c>
      <c r="FA364" t="str">
        <f t="shared" si="430"/>
        <v/>
      </c>
      <c r="FB364" s="299" t="s">
        <v>349</v>
      </c>
    </row>
    <row r="365" spans="1:158" ht="15" hidden="1" customHeight="1">
      <c r="A365" s="1" t="s">
        <v>1001</v>
      </c>
      <c r="B365" t="s">
        <v>3764</v>
      </c>
      <c r="C365" t="s">
        <v>3765</v>
      </c>
      <c r="D365" t="s">
        <v>3766</v>
      </c>
      <c r="E365" t="s">
        <v>3767</v>
      </c>
      <c r="F365" t="s">
        <v>3768</v>
      </c>
      <c r="G365" t="s">
        <v>1002</v>
      </c>
      <c r="H365" t="s">
        <v>254</v>
      </c>
      <c r="I365">
        <v>2011</v>
      </c>
      <c r="J365">
        <v>57</v>
      </c>
      <c r="K365" t="s">
        <v>3769</v>
      </c>
      <c r="M365" t="str">
        <f t="shared" si="388"/>
        <v>Routa_2011</v>
      </c>
      <c r="N365" s="297" t="s">
        <v>4058</v>
      </c>
      <c r="O365" s="145" t="s">
        <v>341</v>
      </c>
      <c r="Q365" s="297" t="s">
        <v>256</v>
      </c>
      <c r="R365" s="298"/>
      <c r="S365" s="1" t="s">
        <v>3800</v>
      </c>
      <c r="T365" t="s">
        <v>1003</v>
      </c>
      <c r="U365" t="e">
        <f>#REF!</f>
        <v>#REF!</v>
      </c>
      <c r="X365">
        <v>0</v>
      </c>
      <c r="Y365">
        <v>0</v>
      </c>
      <c r="Z365">
        <v>0</v>
      </c>
      <c r="AA365">
        <v>0</v>
      </c>
      <c r="AB365">
        <v>0</v>
      </c>
      <c r="AC365">
        <v>2</v>
      </c>
      <c r="AD365">
        <v>1</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s="141">
        <f t="shared" si="404"/>
        <v>2</v>
      </c>
      <c r="BA365" s="141">
        <f t="shared" si="405"/>
        <v>2</v>
      </c>
      <c r="BB365">
        <f t="shared" si="406"/>
        <v>2</v>
      </c>
      <c r="BC365">
        <f t="shared" si="407"/>
        <v>0</v>
      </c>
      <c r="BD365">
        <f t="shared" si="408"/>
        <v>0</v>
      </c>
      <c r="BE365">
        <f t="shared" si="409"/>
        <v>0</v>
      </c>
      <c r="BF365">
        <f t="shared" si="410"/>
        <v>0</v>
      </c>
      <c r="BG365" t="str" cm="1">
        <f t="array" ref="BG365">IF(BA365=1,INDEX($X$7:$AN$7,MATCH(TRUE,INDEX($X365:$AY365&lt;&gt;0,),0)),IF(BA365=0,INDEX($AO$7:$AY$7,MATCH(1,$AO365:$AY365,0)),IF(BH365="Multiple strategies","mixed drivers",IF(BH365="Supply chain","multiple supply","multiple silviculture"))))</f>
        <v>multiple silviculture</v>
      </c>
      <c r="BH365" s="2" t="str" cm="1">
        <f t="array" ref="BH365">IF(COUNTIF(BB365:BD365,"&lt;&gt;0")=1,INDEX($X$4:$AY$4,MATCH(TRUE,INDEX($X365:$AY365&lt;&gt;0,),0)),IF(COUNTIF(BB365:BD365,"&lt;&gt;0")=0,INDEX($AO$4:$AY$4,MATCH(1,$AO365:$AY365,0)),"Multiple strategies"))</f>
        <v>Silviculture for productivity</v>
      </c>
      <c r="BR365" s="297" t="s">
        <v>232</v>
      </c>
      <c r="BS365" s="297"/>
      <c r="BT365" t="s">
        <v>1953</v>
      </c>
      <c r="BU365">
        <v>-200</v>
      </c>
      <c r="BV365">
        <v>-188</v>
      </c>
      <c r="BW365" s="144">
        <v>0.94</v>
      </c>
      <c r="BX365">
        <v>12</v>
      </c>
      <c r="BZ365">
        <f t="shared" si="431"/>
        <v>12000</v>
      </c>
      <c r="CA365" t="str">
        <f t="shared" si="421"/>
        <v/>
      </c>
      <c r="CB365">
        <v>0</v>
      </c>
      <c r="CC365">
        <v>0</v>
      </c>
      <c r="CD365">
        <v>0</v>
      </c>
      <c r="CE365">
        <v>1</v>
      </c>
      <c r="CF365">
        <v>0</v>
      </c>
      <c r="CG365">
        <v>0</v>
      </c>
      <c r="CH365">
        <v>0</v>
      </c>
      <c r="CI365">
        <v>0</v>
      </c>
      <c r="CJ365">
        <v>0</v>
      </c>
      <c r="CK365">
        <v>0</v>
      </c>
      <c r="CL365">
        <v>0</v>
      </c>
      <c r="CM365">
        <v>0</v>
      </c>
      <c r="CN365">
        <v>0</v>
      </c>
      <c r="CO365">
        <v>0</v>
      </c>
      <c r="CP365" t="str">
        <f t="shared" si="396"/>
        <v>refOK</v>
      </c>
      <c r="CQ365"/>
      <c r="CR365"/>
      <c r="CS365"/>
      <c r="CT365">
        <f t="shared" si="422"/>
        <v>0</v>
      </c>
      <c r="CU365">
        <f t="shared" si="411"/>
        <v>-200</v>
      </c>
      <c r="CV365">
        <f t="shared" si="398"/>
        <v>-188</v>
      </c>
      <c r="CW365">
        <f t="shared" si="412"/>
        <v>12000</v>
      </c>
      <c r="CX365" t="str">
        <f t="shared" si="423"/>
        <v/>
      </c>
      <c r="CY365" t="str">
        <f t="shared" si="413"/>
        <v/>
      </c>
      <c r="CZ365" t="str">
        <f t="shared" si="424"/>
        <v/>
      </c>
      <c r="DA365" s="2">
        <f t="shared" si="414"/>
        <v>0.06</v>
      </c>
      <c r="DB365" s="1" t="s">
        <v>1074</v>
      </c>
      <c r="DC365" s="297" t="str">
        <f t="shared" si="393"/>
        <v>reg</v>
      </c>
      <c r="DD365" t="s">
        <v>235</v>
      </c>
      <c r="DE365">
        <v>2011</v>
      </c>
      <c r="DF365">
        <v>2090</v>
      </c>
      <c r="DG365">
        <v>80</v>
      </c>
      <c r="DH365" t="str">
        <f t="shared" si="415"/>
        <v>71-100</v>
      </c>
      <c r="DI365">
        <v>0</v>
      </c>
      <c r="DJ365">
        <v>1</v>
      </c>
      <c r="DK365">
        <v>1</v>
      </c>
      <c r="DL365">
        <v>1</v>
      </c>
      <c r="DN365">
        <f t="shared" si="432"/>
        <v>3</v>
      </c>
      <c r="DO365" t="str">
        <f t="shared" si="416"/>
        <v>mixedProduct</v>
      </c>
      <c r="DP365">
        <f t="shared" si="417"/>
        <v>0</v>
      </c>
      <c r="DQ365" t="str">
        <f t="shared" si="418"/>
        <v>Energy</v>
      </c>
      <c r="DR365" t="str">
        <f t="shared" si="419"/>
        <v>Pulp/Paper</v>
      </c>
      <c r="DS365" t="str">
        <f t="shared" si="420"/>
        <v>Timber</v>
      </c>
      <c r="DT365">
        <v>1</v>
      </c>
      <c r="DU365">
        <v>0</v>
      </c>
      <c r="DV365">
        <v>0</v>
      </c>
      <c r="DW365">
        <v>0</v>
      </c>
      <c r="DX365">
        <v>0</v>
      </c>
      <c r="DY365">
        <f t="shared" si="399"/>
        <v>1</v>
      </c>
      <c r="DZ365" s="143" t="str">
        <f t="shared" si="394"/>
        <v>self-calculated DF</v>
      </c>
      <c r="EA365">
        <v>1</v>
      </c>
      <c r="EB365">
        <v>1</v>
      </c>
      <c r="EC365">
        <v>1</v>
      </c>
      <c r="ED365">
        <v>0</v>
      </c>
      <c r="EE365">
        <v>0</v>
      </c>
      <c r="EF365" s="143">
        <v>0</v>
      </c>
      <c r="EG365">
        <v>1</v>
      </c>
      <c r="EH365">
        <v>1</v>
      </c>
      <c r="EI365">
        <v>0</v>
      </c>
      <c r="EJ365">
        <v>1</v>
      </c>
      <c r="EK365">
        <v>1</v>
      </c>
      <c r="EL365">
        <v>1</v>
      </c>
      <c r="EM365">
        <v>0</v>
      </c>
      <c r="EN365" s="2">
        <v>0</v>
      </c>
      <c r="EP365" t="str">
        <f t="shared" si="425"/>
        <v>Whole sector approach</v>
      </c>
      <c r="EQ365" t="str">
        <f t="shared" si="403"/>
        <v/>
      </c>
      <c r="ER365" s="2" t="str">
        <f t="shared" si="426"/>
        <v/>
      </c>
      <c r="ES365" t="str">
        <f t="shared" si="427"/>
        <v/>
      </c>
      <c r="ET365" t="str">
        <f t="shared" si="428"/>
        <v/>
      </c>
      <c r="EU365" t="str">
        <f t="shared" si="429"/>
        <v/>
      </c>
      <c r="EY365" t="b">
        <f>IF(ISNUMBER(BW365),IF(ABS(BW365-[1]QC_indicators!$B$2)&gt;3*[1]QC_indicators!$C$2,"C ratio",IF(ISNUMBER(CA365),IF(ABS(CA365-[1]QC_indicators!$B$1)&gt;3*[1]QC_indicators!$C$1,"DF","no"))),IF(ISNUMBER(CA365),IF(ABS(CA365-[1]QC_indicators!$B$1)&gt;3*[1]QC_indicators!$C$1,"DF","no")))</f>
        <v>0</v>
      </c>
      <c r="FA365" t="str">
        <f t="shared" si="430"/>
        <v/>
      </c>
      <c r="FB365" s="299" t="s">
        <v>349</v>
      </c>
    </row>
    <row r="366" spans="1:158" ht="15" hidden="1" customHeight="1">
      <c r="A366" s="1" t="s">
        <v>1001</v>
      </c>
      <c r="B366" t="s">
        <v>3764</v>
      </c>
      <c r="C366" t="s">
        <v>3765</v>
      </c>
      <c r="D366" t="s">
        <v>3766</v>
      </c>
      <c r="E366" t="s">
        <v>3767</v>
      </c>
      <c r="F366" t="s">
        <v>3768</v>
      </c>
      <c r="G366" t="s">
        <v>1002</v>
      </c>
      <c r="H366" t="s">
        <v>254</v>
      </c>
      <c r="I366">
        <v>2011</v>
      </c>
      <c r="J366">
        <v>57</v>
      </c>
      <c r="K366" t="s">
        <v>3769</v>
      </c>
      <c r="M366" t="str">
        <f t="shared" si="388"/>
        <v>Routa_2011</v>
      </c>
      <c r="N366" s="297" t="s">
        <v>4058</v>
      </c>
      <c r="O366" s="145" t="s">
        <v>341</v>
      </c>
      <c r="Q366" s="297" t="s">
        <v>256</v>
      </c>
      <c r="R366" s="298"/>
      <c r="S366" s="1" t="s">
        <v>3799</v>
      </c>
      <c r="T366" t="s">
        <v>1003</v>
      </c>
      <c r="U366" t="e">
        <f>#REF!</f>
        <v>#REF!</v>
      </c>
      <c r="X366">
        <v>0</v>
      </c>
      <c r="Y366">
        <v>0</v>
      </c>
      <c r="Z366">
        <v>0</v>
      </c>
      <c r="AA366">
        <v>0</v>
      </c>
      <c r="AB366">
        <v>0</v>
      </c>
      <c r="AC366">
        <v>2</v>
      </c>
      <c r="AD366">
        <v>1</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s="141">
        <f t="shared" si="404"/>
        <v>2</v>
      </c>
      <c r="BA366" s="141">
        <f t="shared" si="405"/>
        <v>2</v>
      </c>
      <c r="BB366">
        <f t="shared" si="406"/>
        <v>2</v>
      </c>
      <c r="BC366">
        <f t="shared" si="407"/>
        <v>0</v>
      </c>
      <c r="BD366">
        <f t="shared" si="408"/>
        <v>0</v>
      </c>
      <c r="BE366">
        <f t="shared" si="409"/>
        <v>0</v>
      </c>
      <c r="BF366">
        <f t="shared" si="410"/>
        <v>0</v>
      </c>
      <c r="BG366" t="str" cm="1">
        <f t="array" ref="BG366">IF(BA366=1,INDEX($X$7:$AN$7,MATCH(TRUE,INDEX($X366:$AY366&lt;&gt;0,),0)),IF(BA366=0,INDEX($AO$7:$AY$7,MATCH(1,$AO366:$AY366,0)),IF(BH366="Multiple strategies","mixed drivers",IF(BH366="Supply chain","multiple supply","multiple silviculture"))))</f>
        <v>multiple silviculture</v>
      </c>
      <c r="BH366" s="2" t="str" cm="1">
        <f t="array" ref="BH366">IF(COUNTIF(BB366:BD366,"&lt;&gt;0")=1,INDEX($X$4:$AY$4,MATCH(TRUE,INDEX($X366:$AY366&lt;&gt;0,),0)),IF(COUNTIF(BB366:BD366,"&lt;&gt;0")=0,INDEX($AO$4:$AY$4,MATCH(1,$AO366:$AY366,0)),"Multiple strategies"))</f>
        <v>Silviculture for productivity</v>
      </c>
      <c r="BR366" s="297" t="s">
        <v>232</v>
      </c>
      <c r="BS366" s="297"/>
      <c r="BT366" t="s">
        <v>1953</v>
      </c>
      <c r="BU366">
        <v>-200</v>
      </c>
      <c r="BV366">
        <v>-187</v>
      </c>
      <c r="BW366" s="144">
        <v>0.93500000000000005</v>
      </c>
      <c r="BX366">
        <v>13</v>
      </c>
      <c r="BZ366">
        <f t="shared" si="431"/>
        <v>13000</v>
      </c>
      <c r="CA366" t="str">
        <f t="shared" si="421"/>
        <v/>
      </c>
      <c r="CB366">
        <v>0</v>
      </c>
      <c r="CC366">
        <v>0</v>
      </c>
      <c r="CD366">
        <v>0</v>
      </c>
      <c r="CE366">
        <v>1</v>
      </c>
      <c r="CF366">
        <v>0</v>
      </c>
      <c r="CG366">
        <v>0</v>
      </c>
      <c r="CH366">
        <v>0</v>
      </c>
      <c r="CI366">
        <v>0</v>
      </c>
      <c r="CJ366">
        <v>0</v>
      </c>
      <c r="CK366">
        <v>0</v>
      </c>
      <c r="CL366">
        <v>0</v>
      </c>
      <c r="CM366">
        <v>0</v>
      </c>
      <c r="CN366">
        <v>0</v>
      </c>
      <c r="CO366">
        <v>0</v>
      </c>
      <c r="CP366" t="str">
        <f t="shared" si="396"/>
        <v>refOK</v>
      </c>
      <c r="CQ366"/>
      <c r="CR366"/>
      <c r="CS366"/>
      <c r="CT366">
        <f t="shared" si="422"/>
        <v>0</v>
      </c>
      <c r="CU366">
        <f t="shared" si="411"/>
        <v>-200</v>
      </c>
      <c r="CV366">
        <f t="shared" si="398"/>
        <v>-187</v>
      </c>
      <c r="CW366">
        <f t="shared" si="412"/>
        <v>13000</v>
      </c>
      <c r="CX366" t="str">
        <f t="shared" si="423"/>
        <v/>
      </c>
      <c r="CY366" t="str">
        <f t="shared" si="413"/>
        <v/>
      </c>
      <c r="CZ366" t="str">
        <f t="shared" si="424"/>
        <v/>
      </c>
      <c r="DA366" s="2">
        <f t="shared" si="414"/>
        <v>6.5000000000000002E-2</v>
      </c>
      <c r="DB366" s="1" t="s">
        <v>1074</v>
      </c>
      <c r="DC366" s="297" t="str">
        <f t="shared" si="393"/>
        <v>reg</v>
      </c>
      <c r="DD366" t="s">
        <v>235</v>
      </c>
      <c r="DE366">
        <v>2011</v>
      </c>
      <c r="DF366">
        <v>2090</v>
      </c>
      <c r="DG366">
        <v>80</v>
      </c>
      <c r="DH366" t="str">
        <f t="shared" si="415"/>
        <v>71-100</v>
      </c>
      <c r="DI366">
        <v>0</v>
      </c>
      <c r="DJ366">
        <v>1</v>
      </c>
      <c r="DK366">
        <v>1</v>
      </c>
      <c r="DL366">
        <v>1</v>
      </c>
      <c r="DN366">
        <f t="shared" si="432"/>
        <v>3</v>
      </c>
      <c r="DO366" t="str">
        <f t="shared" si="416"/>
        <v>mixedProduct</v>
      </c>
      <c r="DP366">
        <f t="shared" si="417"/>
        <v>0</v>
      </c>
      <c r="DQ366" t="str">
        <f t="shared" si="418"/>
        <v>Energy</v>
      </c>
      <c r="DR366" t="str">
        <f t="shared" si="419"/>
        <v>Pulp/Paper</v>
      </c>
      <c r="DS366" t="str">
        <f t="shared" si="420"/>
        <v>Timber</v>
      </c>
      <c r="DT366">
        <v>1</v>
      </c>
      <c r="DU366">
        <v>0</v>
      </c>
      <c r="DV366">
        <v>0</v>
      </c>
      <c r="DW366">
        <v>0</v>
      </c>
      <c r="DX366">
        <v>0</v>
      </c>
      <c r="DY366">
        <f t="shared" si="399"/>
        <v>1</v>
      </c>
      <c r="DZ366" s="143" t="str">
        <f t="shared" si="394"/>
        <v>self-calculated DF</v>
      </c>
      <c r="EA366">
        <v>1</v>
      </c>
      <c r="EB366">
        <v>1</v>
      </c>
      <c r="EC366">
        <v>1</v>
      </c>
      <c r="ED366">
        <v>0</v>
      </c>
      <c r="EE366">
        <v>0</v>
      </c>
      <c r="EF366" s="143">
        <v>0</v>
      </c>
      <c r="EG366">
        <v>1</v>
      </c>
      <c r="EH366">
        <v>1</v>
      </c>
      <c r="EI366">
        <v>0</v>
      </c>
      <c r="EJ366">
        <v>1</v>
      </c>
      <c r="EK366">
        <v>1</v>
      </c>
      <c r="EL366">
        <v>1</v>
      </c>
      <c r="EM366">
        <v>0</v>
      </c>
      <c r="EN366" s="2">
        <v>0</v>
      </c>
      <c r="EP366" t="str">
        <f t="shared" si="425"/>
        <v>Whole sector approach</v>
      </c>
      <c r="EQ366" t="str">
        <f t="shared" si="403"/>
        <v/>
      </c>
      <c r="ER366" s="2" t="str">
        <f t="shared" si="426"/>
        <v/>
      </c>
      <c r="ES366" t="str">
        <f t="shared" si="427"/>
        <v/>
      </c>
      <c r="ET366" t="str">
        <f t="shared" si="428"/>
        <v/>
      </c>
      <c r="EU366" t="str">
        <f t="shared" si="429"/>
        <v/>
      </c>
      <c r="EY366" t="b">
        <f>IF(ISNUMBER(BW366),IF(ABS(BW366-[1]QC_indicators!$B$2)&gt;3*[1]QC_indicators!$C$2,"C ratio",IF(ISNUMBER(CA366),IF(ABS(CA366-[1]QC_indicators!$B$1)&gt;3*[1]QC_indicators!$C$1,"DF","no"))),IF(ISNUMBER(CA366),IF(ABS(CA366-[1]QC_indicators!$B$1)&gt;3*[1]QC_indicators!$C$1,"DF","no")))</f>
        <v>0</v>
      </c>
      <c r="FA366" t="str">
        <f t="shared" si="430"/>
        <v/>
      </c>
      <c r="FB366" s="299" t="s">
        <v>349</v>
      </c>
    </row>
    <row r="367" spans="1:158" ht="15" hidden="1" customHeight="1">
      <c r="A367" s="1" t="s">
        <v>1001</v>
      </c>
      <c r="B367" t="s">
        <v>3764</v>
      </c>
      <c r="C367" t="s">
        <v>3765</v>
      </c>
      <c r="D367" t="s">
        <v>3766</v>
      </c>
      <c r="E367" t="s">
        <v>3767</v>
      </c>
      <c r="F367" t="s">
        <v>3768</v>
      </c>
      <c r="G367" t="s">
        <v>1002</v>
      </c>
      <c r="H367" t="s">
        <v>254</v>
      </c>
      <c r="I367">
        <v>2011</v>
      </c>
      <c r="J367">
        <v>57</v>
      </c>
      <c r="K367" t="s">
        <v>3769</v>
      </c>
      <c r="M367" t="str">
        <f t="shared" si="388"/>
        <v>Routa_2011</v>
      </c>
      <c r="N367" s="297" t="s">
        <v>4058</v>
      </c>
      <c r="O367" s="145" t="s">
        <v>341</v>
      </c>
      <c r="Q367" s="297" t="s">
        <v>256</v>
      </c>
      <c r="R367" s="298"/>
      <c r="S367" s="1" t="s">
        <v>3798</v>
      </c>
      <c r="T367" t="s">
        <v>1003</v>
      </c>
      <c r="U367" t="e">
        <f>#REF!</f>
        <v>#REF!</v>
      </c>
      <c r="X367">
        <v>0</v>
      </c>
      <c r="Y367">
        <v>0</v>
      </c>
      <c r="Z367">
        <v>0</v>
      </c>
      <c r="AA367">
        <v>0</v>
      </c>
      <c r="AB367">
        <v>0</v>
      </c>
      <c r="AC367">
        <v>2</v>
      </c>
      <c r="AD367">
        <v>1</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s="141">
        <f t="shared" si="404"/>
        <v>2</v>
      </c>
      <c r="BA367" s="141">
        <f t="shared" si="405"/>
        <v>2</v>
      </c>
      <c r="BB367">
        <f t="shared" si="406"/>
        <v>2</v>
      </c>
      <c r="BC367">
        <f t="shared" si="407"/>
        <v>0</v>
      </c>
      <c r="BD367">
        <f t="shared" si="408"/>
        <v>0</v>
      </c>
      <c r="BE367">
        <f t="shared" si="409"/>
        <v>0</v>
      </c>
      <c r="BF367">
        <f t="shared" si="410"/>
        <v>0</v>
      </c>
      <c r="BG367" t="str" cm="1">
        <f t="array" ref="BG367">IF(BA367=1,INDEX($X$7:$AN$7,MATCH(TRUE,INDEX($X367:$AY367&lt;&gt;0,),0)),IF(BA367=0,INDEX($AO$7:$AY$7,MATCH(1,$AO367:$AY367,0)),IF(BH367="Multiple strategies","mixed drivers",IF(BH367="Supply chain","multiple supply","multiple silviculture"))))</f>
        <v>multiple silviculture</v>
      </c>
      <c r="BH367" s="2" t="str" cm="1">
        <f t="array" ref="BH367">IF(COUNTIF(BB367:BD367,"&lt;&gt;0")=1,INDEX($X$4:$AY$4,MATCH(TRUE,INDEX($X367:$AY367&lt;&gt;0,),0)),IF(COUNTIF(BB367:BD367,"&lt;&gt;0")=0,INDEX($AO$4:$AY$4,MATCH(1,$AO367:$AY367,0)),"Multiple strategies"))</f>
        <v>Silviculture for productivity</v>
      </c>
      <c r="BR367" s="297" t="s">
        <v>232</v>
      </c>
      <c r="BS367" s="297"/>
      <c r="BT367" t="s">
        <v>1953</v>
      </c>
      <c r="BU367">
        <v>-200</v>
      </c>
      <c r="BV367">
        <v>-186</v>
      </c>
      <c r="BW367" s="144">
        <v>0.93</v>
      </c>
      <c r="BX367">
        <v>14</v>
      </c>
      <c r="BZ367">
        <f t="shared" si="431"/>
        <v>14000</v>
      </c>
      <c r="CA367" t="str">
        <f t="shared" si="421"/>
        <v/>
      </c>
      <c r="CB367">
        <v>0</v>
      </c>
      <c r="CC367">
        <v>0</v>
      </c>
      <c r="CD367">
        <v>0</v>
      </c>
      <c r="CE367">
        <v>1</v>
      </c>
      <c r="CF367">
        <v>0</v>
      </c>
      <c r="CG367">
        <v>0</v>
      </c>
      <c r="CH367">
        <v>0</v>
      </c>
      <c r="CI367">
        <v>0</v>
      </c>
      <c r="CJ367">
        <v>0</v>
      </c>
      <c r="CK367">
        <v>0</v>
      </c>
      <c r="CL367">
        <v>0</v>
      </c>
      <c r="CM367">
        <v>0</v>
      </c>
      <c r="CN367">
        <v>0</v>
      </c>
      <c r="CO367">
        <v>0</v>
      </c>
      <c r="CP367" t="str">
        <f t="shared" si="396"/>
        <v>refOK</v>
      </c>
      <c r="CQ367"/>
      <c r="CR367"/>
      <c r="CS367"/>
      <c r="CT367">
        <f t="shared" si="422"/>
        <v>0</v>
      </c>
      <c r="CU367">
        <f t="shared" si="411"/>
        <v>-200</v>
      </c>
      <c r="CV367">
        <f t="shared" si="398"/>
        <v>-186</v>
      </c>
      <c r="CW367">
        <f t="shared" si="412"/>
        <v>14000</v>
      </c>
      <c r="CX367" t="str">
        <f t="shared" si="423"/>
        <v/>
      </c>
      <c r="CY367" t="str">
        <f t="shared" si="413"/>
        <v/>
      </c>
      <c r="CZ367" t="str">
        <f t="shared" si="424"/>
        <v/>
      </c>
      <c r="DA367" s="2">
        <f t="shared" si="414"/>
        <v>7.0000000000000007E-2</v>
      </c>
      <c r="DB367" s="1" t="s">
        <v>1074</v>
      </c>
      <c r="DC367" s="297" t="str">
        <f t="shared" ref="DC367:DC395" si="433">IF(OR($DB367="prd",$DB367="std",$DB367="cit"),"loc",IF(OR($DB367="eur",$DB367="reg",$DB367="coy"),"reg",$DB367))</f>
        <v>reg</v>
      </c>
      <c r="DD367" t="s">
        <v>235</v>
      </c>
      <c r="DE367">
        <v>2011</v>
      </c>
      <c r="DF367">
        <v>2090</v>
      </c>
      <c r="DG367">
        <v>80</v>
      </c>
      <c r="DH367" t="str">
        <f t="shared" si="415"/>
        <v>71-100</v>
      </c>
      <c r="DI367">
        <v>0</v>
      </c>
      <c r="DJ367">
        <v>1</v>
      </c>
      <c r="DK367">
        <v>1</v>
      </c>
      <c r="DL367">
        <v>1</v>
      </c>
      <c r="DN367">
        <f t="shared" si="432"/>
        <v>3</v>
      </c>
      <c r="DO367" t="str">
        <f t="shared" si="416"/>
        <v>mixedProduct</v>
      </c>
      <c r="DP367">
        <f t="shared" si="417"/>
        <v>0</v>
      </c>
      <c r="DQ367" t="str">
        <f t="shared" si="418"/>
        <v>Energy</v>
      </c>
      <c r="DR367" t="str">
        <f t="shared" si="419"/>
        <v>Pulp/Paper</v>
      </c>
      <c r="DS367" t="str">
        <f t="shared" si="420"/>
        <v>Timber</v>
      </c>
      <c r="DT367">
        <v>1</v>
      </c>
      <c r="DU367">
        <v>0</v>
      </c>
      <c r="DV367">
        <v>0</v>
      </c>
      <c r="DW367">
        <v>0</v>
      </c>
      <c r="DX367">
        <v>0</v>
      </c>
      <c r="DY367">
        <f t="shared" si="399"/>
        <v>1</v>
      </c>
      <c r="DZ367" s="143" t="str">
        <f t="shared" ref="DZ367:DZ395" si="434">IF(DT367=1,"self-calculated DF",IF(DU367=1,"external DF used","explicit C balance"))</f>
        <v>self-calculated DF</v>
      </c>
      <c r="EA367">
        <v>1</v>
      </c>
      <c r="EB367">
        <v>1</v>
      </c>
      <c r="EC367">
        <v>1</v>
      </c>
      <c r="ED367">
        <v>0</v>
      </c>
      <c r="EE367">
        <v>0</v>
      </c>
      <c r="EF367" s="143">
        <v>0</v>
      </c>
      <c r="EG367">
        <v>1</v>
      </c>
      <c r="EH367">
        <v>1</v>
      </c>
      <c r="EI367">
        <v>0</v>
      </c>
      <c r="EJ367">
        <v>1</v>
      </c>
      <c r="EK367">
        <v>1</v>
      </c>
      <c r="EL367">
        <v>1</v>
      </c>
      <c r="EM367">
        <v>0</v>
      </c>
      <c r="EN367" s="2">
        <v>0</v>
      </c>
      <c r="EP367" t="str">
        <f t="shared" si="425"/>
        <v>Whole sector approach</v>
      </c>
      <c r="EQ367" t="str">
        <f t="shared" si="403"/>
        <v/>
      </c>
      <c r="ER367" s="2" t="str">
        <f t="shared" si="426"/>
        <v/>
      </c>
      <c r="ES367" t="str">
        <f t="shared" si="427"/>
        <v/>
      </c>
      <c r="ET367" t="str">
        <f t="shared" si="428"/>
        <v/>
      </c>
      <c r="EU367" t="str">
        <f t="shared" si="429"/>
        <v/>
      </c>
      <c r="EY367" t="b">
        <f>IF(ISNUMBER(BW367),IF(ABS(BW367-[1]QC_indicators!$B$2)&gt;3*[1]QC_indicators!$C$2,"C ratio",IF(ISNUMBER(CA367),IF(ABS(CA367-[1]QC_indicators!$B$1)&gt;3*[1]QC_indicators!$C$1,"DF","no"))),IF(ISNUMBER(CA367),IF(ABS(CA367-[1]QC_indicators!$B$1)&gt;3*[1]QC_indicators!$C$1,"DF","no")))</f>
        <v>0</v>
      </c>
      <c r="FA367" t="str">
        <f t="shared" si="430"/>
        <v/>
      </c>
      <c r="FB367" s="299" t="s">
        <v>349</v>
      </c>
    </row>
    <row r="368" spans="1:158" ht="15" hidden="1" customHeight="1">
      <c r="A368" s="1" t="s">
        <v>1001</v>
      </c>
      <c r="B368" t="s">
        <v>3764</v>
      </c>
      <c r="C368" t="s">
        <v>3765</v>
      </c>
      <c r="D368" t="s">
        <v>3766</v>
      </c>
      <c r="E368" t="s">
        <v>3767</v>
      </c>
      <c r="F368" t="s">
        <v>3768</v>
      </c>
      <c r="G368" t="s">
        <v>1002</v>
      </c>
      <c r="H368" t="s">
        <v>254</v>
      </c>
      <c r="I368">
        <v>2011</v>
      </c>
      <c r="J368">
        <v>57</v>
      </c>
      <c r="K368" t="s">
        <v>3769</v>
      </c>
      <c r="M368" t="str">
        <f t="shared" si="388"/>
        <v>Routa_2011</v>
      </c>
      <c r="N368" s="297" t="s">
        <v>4058</v>
      </c>
      <c r="O368" s="145" t="s">
        <v>341</v>
      </c>
      <c r="Q368" s="297" t="s">
        <v>256</v>
      </c>
      <c r="R368" s="298"/>
      <c r="S368" s="1" t="s">
        <v>3797</v>
      </c>
      <c r="T368" t="s">
        <v>1003</v>
      </c>
      <c r="U368" t="e">
        <f>#REF!</f>
        <v>#REF!</v>
      </c>
      <c r="X368">
        <v>0</v>
      </c>
      <c r="Y368">
        <v>0</v>
      </c>
      <c r="Z368">
        <v>0</v>
      </c>
      <c r="AA368">
        <v>0</v>
      </c>
      <c r="AB368">
        <v>0</v>
      </c>
      <c r="AC368">
        <v>2</v>
      </c>
      <c r="AD368">
        <v>1</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s="141">
        <f t="shared" si="404"/>
        <v>2</v>
      </c>
      <c r="BA368" s="141">
        <f t="shared" si="405"/>
        <v>2</v>
      </c>
      <c r="BB368">
        <f t="shared" si="406"/>
        <v>2</v>
      </c>
      <c r="BC368">
        <f t="shared" si="407"/>
        <v>0</v>
      </c>
      <c r="BD368">
        <f t="shared" si="408"/>
        <v>0</v>
      </c>
      <c r="BE368">
        <f t="shared" si="409"/>
        <v>0</v>
      </c>
      <c r="BF368">
        <f t="shared" si="410"/>
        <v>0</v>
      </c>
      <c r="BG368" t="str" cm="1">
        <f t="array" ref="BG368">IF(BA368=1,INDEX($X$7:$AN$7,MATCH(TRUE,INDEX($X368:$AY368&lt;&gt;0,),0)),IF(BA368=0,INDEX($AO$7:$AY$7,MATCH(1,$AO368:$AY368,0)),IF(BH368="Multiple strategies","mixed drivers",IF(BH368="Supply chain","multiple supply","multiple silviculture"))))</f>
        <v>multiple silviculture</v>
      </c>
      <c r="BH368" s="2" t="str" cm="1">
        <f t="array" ref="BH368">IF(COUNTIF(BB368:BD368,"&lt;&gt;0")=1,INDEX($X$4:$AY$4,MATCH(TRUE,INDEX($X368:$AY368&lt;&gt;0,),0)),IF(COUNTIF(BB368:BD368,"&lt;&gt;0")=0,INDEX($AO$4:$AY$4,MATCH(1,$AO368:$AY368,0)),"Multiple strategies"))</f>
        <v>Silviculture for productivity</v>
      </c>
      <c r="BR368" s="297" t="s">
        <v>232</v>
      </c>
      <c r="BS368" s="297"/>
      <c r="BT368" t="s">
        <v>1953</v>
      </c>
      <c r="BU368">
        <v>-200</v>
      </c>
      <c r="BV368">
        <v>-178</v>
      </c>
      <c r="BW368" s="144">
        <v>0.89</v>
      </c>
      <c r="BX368">
        <v>22</v>
      </c>
      <c r="BZ368">
        <f t="shared" si="431"/>
        <v>22000</v>
      </c>
      <c r="CA368" t="str">
        <f t="shared" si="421"/>
        <v/>
      </c>
      <c r="CB368">
        <v>0</v>
      </c>
      <c r="CC368">
        <v>0</v>
      </c>
      <c r="CD368">
        <v>0</v>
      </c>
      <c r="CE368">
        <v>1</v>
      </c>
      <c r="CF368">
        <v>0</v>
      </c>
      <c r="CG368">
        <v>0</v>
      </c>
      <c r="CH368">
        <v>0</v>
      </c>
      <c r="CI368">
        <v>0</v>
      </c>
      <c r="CJ368">
        <v>0</v>
      </c>
      <c r="CK368">
        <v>0</v>
      </c>
      <c r="CL368">
        <v>0</v>
      </c>
      <c r="CM368">
        <v>0</v>
      </c>
      <c r="CN368">
        <v>0</v>
      </c>
      <c r="CO368">
        <v>0</v>
      </c>
      <c r="CP368" t="str">
        <f t="shared" si="396"/>
        <v>refOK</v>
      </c>
      <c r="CQ368"/>
      <c r="CR368"/>
      <c r="CS368"/>
      <c r="CT368">
        <f t="shared" si="422"/>
        <v>0</v>
      </c>
      <c r="CU368">
        <f t="shared" si="411"/>
        <v>-200</v>
      </c>
      <c r="CV368">
        <f t="shared" si="398"/>
        <v>-178</v>
      </c>
      <c r="CW368">
        <f t="shared" si="412"/>
        <v>22000</v>
      </c>
      <c r="CX368" t="str">
        <f t="shared" si="423"/>
        <v/>
      </c>
      <c r="CY368" t="str">
        <f t="shared" si="413"/>
        <v/>
      </c>
      <c r="CZ368" t="str">
        <f t="shared" si="424"/>
        <v/>
      </c>
      <c r="DA368" s="2">
        <f t="shared" si="414"/>
        <v>0.11</v>
      </c>
      <c r="DB368" s="1" t="s">
        <v>1074</v>
      </c>
      <c r="DC368" s="297" t="str">
        <f t="shared" si="433"/>
        <v>reg</v>
      </c>
      <c r="DD368" t="s">
        <v>235</v>
      </c>
      <c r="DE368">
        <v>2011</v>
      </c>
      <c r="DF368">
        <v>2090</v>
      </c>
      <c r="DG368">
        <v>80</v>
      </c>
      <c r="DH368" t="str">
        <f t="shared" si="415"/>
        <v>71-100</v>
      </c>
      <c r="DI368">
        <v>0</v>
      </c>
      <c r="DJ368">
        <v>1</v>
      </c>
      <c r="DK368">
        <v>1</v>
      </c>
      <c r="DL368">
        <v>1</v>
      </c>
      <c r="DN368">
        <f t="shared" si="432"/>
        <v>3</v>
      </c>
      <c r="DO368" t="str">
        <f t="shared" si="416"/>
        <v>mixedProduct</v>
      </c>
      <c r="DP368">
        <f t="shared" si="417"/>
        <v>0</v>
      </c>
      <c r="DQ368" t="str">
        <f t="shared" si="418"/>
        <v>Energy</v>
      </c>
      <c r="DR368" t="str">
        <f t="shared" si="419"/>
        <v>Pulp/Paper</v>
      </c>
      <c r="DS368" t="str">
        <f t="shared" si="420"/>
        <v>Timber</v>
      </c>
      <c r="DT368">
        <v>1</v>
      </c>
      <c r="DU368">
        <v>0</v>
      </c>
      <c r="DV368">
        <v>0</v>
      </c>
      <c r="DW368">
        <v>0</v>
      </c>
      <c r="DX368">
        <v>0</v>
      </c>
      <c r="DY368">
        <f t="shared" si="399"/>
        <v>1</v>
      </c>
      <c r="DZ368" s="143" t="str">
        <f t="shared" si="434"/>
        <v>self-calculated DF</v>
      </c>
      <c r="EA368">
        <v>1</v>
      </c>
      <c r="EB368">
        <v>1</v>
      </c>
      <c r="EC368">
        <v>1</v>
      </c>
      <c r="ED368">
        <v>0</v>
      </c>
      <c r="EE368">
        <v>0</v>
      </c>
      <c r="EF368" s="143">
        <v>0</v>
      </c>
      <c r="EG368">
        <v>1</v>
      </c>
      <c r="EH368">
        <v>1</v>
      </c>
      <c r="EI368">
        <v>0</v>
      </c>
      <c r="EJ368">
        <v>1</v>
      </c>
      <c r="EK368">
        <v>1</v>
      </c>
      <c r="EL368">
        <v>1</v>
      </c>
      <c r="EM368">
        <v>0</v>
      </c>
      <c r="EN368" s="2">
        <v>0</v>
      </c>
      <c r="EP368" t="str">
        <f t="shared" si="425"/>
        <v>Whole sector approach</v>
      </c>
      <c r="EQ368" t="str">
        <f t="shared" si="403"/>
        <v/>
      </c>
      <c r="ER368" s="2" t="str">
        <f t="shared" si="426"/>
        <v/>
      </c>
      <c r="ES368" t="str">
        <f t="shared" si="427"/>
        <v/>
      </c>
      <c r="ET368" t="str">
        <f t="shared" si="428"/>
        <v/>
      </c>
      <c r="EU368" t="str">
        <f t="shared" si="429"/>
        <v/>
      </c>
      <c r="EY368" t="b">
        <f>IF(ISNUMBER(BW368),IF(ABS(BW368-[1]QC_indicators!$B$2)&gt;3*[1]QC_indicators!$C$2,"C ratio",IF(ISNUMBER(CA368),IF(ABS(CA368-[1]QC_indicators!$B$1)&gt;3*[1]QC_indicators!$C$1,"DF","no"))),IF(ISNUMBER(CA368),IF(ABS(CA368-[1]QC_indicators!$B$1)&gt;3*[1]QC_indicators!$C$1,"DF","no")))</f>
        <v>0</v>
      </c>
      <c r="FA368" t="str">
        <f t="shared" si="430"/>
        <v/>
      </c>
      <c r="FB368" s="299" t="s">
        <v>349</v>
      </c>
    </row>
    <row r="369" spans="1:158" ht="15" hidden="1" customHeight="1">
      <c r="A369" s="1" t="s">
        <v>1001</v>
      </c>
      <c r="B369" t="s">
        <v>3764</v>
      </c>
      <c r="C369" t="s">
        <v>3765</v>
      </c>
      <c r="D369" t="s">
        <v>3766</v>
      </c>
      <c r="E369" t="s">
        <v>3767</v>
      </c>
      <c r="F369" t="s">
        <v>3768</v>
      </c>
      <c r="G369" t="s">
        <v>1002</v>
      </c>
      <c r="H369" t="s">
        <v>254</v>
      </c>
      <c r="I369">
        <v>2011</v>
      </c>
      <c r="J369">
        <v>57</v>
      </c>
      <c r="K369" t="s">
        <v>3769</v>
      </c>
      <c r="M369" t="str">
        <f t="shared" si="388"/>
        <v>Routa_2011</v>
      </c>
      <c r="N369" s="297" t="s">
        <v>4058</v>
      </c>
      <c r="O369" s="145" t="s">
        <v>341</v>
      </c>
      <c r="Q369" s="297" t="s">
        <v>256</v>
      </c>
      <c r="R369" s="298"/>
      <c r="S369" s="1" t="s">
        <v>3796</v>
      </c>
      <c r="T369" t="s">
        <v>1003</v>
      </c>
      <c r="U369" t="e">
        <f>#REF!</f>
        <v>#REF!</v>
      </c>
      <c r="X369">
        <v>0</v>
      </c>
      <c r="Y369">
        <v>0</v>
      </c>
      <c r="Z369">
        <v>0</v>
      </c>
      <c r="AA369">
        <v>0</v>
      </c>
      <c r="AB369">
        <v>0</v>
      </c>
      <c r="AC369">
        <v>2</v>
      </c>
      <c r="AD369">
        <v>1</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s="141">
        <f t="shared" si="404"/>
        <v>2</v>
      </c>
      <c r="BA369" s="141">
        <f t="shared" si="405"/>
        <v>2</v>
      </c>
      <c r="BB369">
        <f t="shared" si="406"/>
        <v>2</v>
      </c>
      <c r="BC369">
        <f t="shared" si="407"/>
        <v>0</v>
      </c>
      <c r="BD369">
        <f t="shared" si="408"/>
        <v>0</v>
      </c>
      <c r="BE369">
        <f t="shared" si="409"/>
        <v>0</v>
      </c>
      <c r="BF369">
        <f t="shared" si="410"/>
        <v>0</v>
      </c>
      <c r="BG369" t="str" cm="1">
        <f t="array" ref="BG369">IF(BA369=1,INDEX($X$7:$AN$7,MATCH(TRUE,INDEX($X369:$AY369&lt;&gt;0,),0)),IF(BA369=0,INDEX($AO$7:$AY$7,MATCH(1,$AO369:$AY369,0)),IF(BH369="Multiple strategies","mixed drivers",IF(BH369="Supply chain","multiple supply","multiple silviculture"))))</f>
        <v>multiple silviculture</v>
      </c>
      <c r="BH369" s="2" t="str" cm="1">
        <f t="array" ref="BH369">IF(COUNTIF(BB369:BD369,"&lt;&gt;0")=1,INDEX($X$4:$AY$4,MATCH(TRUE,INDEX($X369:$AY369&lt;&gt;0,),0)),IF(COUNTIF(BB369:BD369,"&lt;&gt;0")=0,INDEX($AO$4:$AY$4,MATCH(1,$AO369:$AY369,0)),"Multiple strategies"))</f>
        <v>Silviculture for productivity</v>
      </c>
      <c r="BR369" s="297" t="s">
        <v>232</v>
      </c>
      <c r="BS369" s="297"/>
      <c r="BT369" t="s">
        <v>1953</v>
      </c>
      <c r="BU369">
        <v>-200</v>
      </c>
      <c r="BV369">
        <v>-175</v>
      </c>
      <c r="BW369" s="144">
        <v>0.875</v>
      </c>
      <c r="BX369">
        <v>25</v>
      </c>
      <c r="BZ369">
        <f t="shared" si="431"/>
        <v>25000</v>
      </c>
      <c r="CA369" t="str">
        <f t="shared" si="421"/>
        <v/>
      </c>
      <c r="CB369">
        <v>0</v>
      </c>
      <c r="CC369">
        <v>0</v>
      </c>
      <c r="CD369">
        <v>0</v>
      </c>
      <c r="CE369">
        <v>1</v>
      </c>
      <c r="CF369">
        <v>0</v>
      </c>
      <c r="CG369">
        <v>0</v>
      </c>
      <c r="CH369">
        <v>0</v>
      </c>
      <c r="CI369">
        <v>0</v>
      </c>
      <c r="CJ369">
        <v>0</v>
      </c>
      <c r="CK369">
        <v>0</v>
      </c>
      <c r="CL369">
        <v>0</v>
      </c>
      <c r="CM369">
        <v>0</v>
      </c>
      <c r="CN369">
        <v>0</v>
      </c>
      <c r="CO369">
        <v>0</v>
      </c>
      <c r="CP369" t="str">
        <f t="shared" si="396"/>
        <v>refOK</v>
      </c>
      <c r="CQ369"/>
      <c r="CR369"/>
      <c r="CS369"/>
      <c r="CT369">
        <f t="shared" si="422"/>
        <v>0</v>
      </c>
      <c r="CU369">
        <f t="shared" si="411"/>
        <v>-200</v>
      </c>
      <c r="CV369">
        <f t="shared" si="398"/>
        <v>-175</v>
      </c>
      <c r="CW369">
        <f t="shared" si="412"/>
        <v>25000</v>
      </c>
      <c r="CX369" t="str">
        <f t="shared" si="423"/>
        <v/>
      </c>
      <c r="CY369" t="str">
        <f t="shared" si="413"/>
        <v/>
      </c>
      <c r="CZ369" t="str">
        <f t="shared" si="424"/>
        <v/>
      </c>
      <c r="DA369" s="2">
        <f t="shared" si="414"/>
        <v>0.125</v>
      </c>
      <c r="DB369" s="1" t="s">
        <v>1074</v>
      </c>
      <c r="DC369" s="297" t="str">
        <f t="shared" si="433"/>
        <v>reg</v>
      </c>
      <c r="DD369" t="s">
        <v>235</v>
      </c>
      <c r="DE369">
        <v>2011</v>
      </c>
      <c r="DF369">
        <v>2090</v>
      </c>
      <c r="DG369">
        <v>80</v>
      </c>
      <c r="DH369" t="str">
        <f t="shared" si="415"/>
        <v>71-100</v>
      </c>
      <c r="DI369">
        <v>0</v>
      </c>
      <c r="DJ369">
        <v>1</v>
      </c>
      <c r="DK369">
        <v>1</v>
      </c>
      <c r="DL369">
        <v>1</v>
      </c>
      <c r="DN369">
        <f t="shared" si="432"/>
        <v>3</v>
      </c>
      <c r="DO369" t="str">
        <f t="shared" si="416"/>
        <v>mixedProduct</v>
      </c>
      <c r="DP369">
        <f t="shared" si="417"/>
        <v>0</v>
      </c>
      <c r="DQ369" t="str">
        <f t="shared" si="418"/>
        <v>Energy</v>
      </c>
      <c r="DR369" t="str">
        <f t="shared" si="419"/>
        <v>Pulp/Paper</v>
      </c>
      <c r="DS369" t="str">
        <f t="shared" si="420"/>
        <v>Timber</v>
      </c>
      <c r="DT369">
        <v>1</v>
      </c>
      <c r="DU369">
        <v>0</v>
      </c>
      <c r="DV369">
        <v>0</v>
      </c>
      <c r="DW369">
        <v>0</v>
      </c>
      <c r="DX369">
        <v>0</v>
      </c>
      <c r="DY369">
        <f t="shared" si="399"/>
        <v>1</v>
      </c>
      <c r="DZ369" s="143" t="str">
        <f t="shared" si="434"/>
        <v>self-calculated DF</v>
      </c>
      <c r="EA369">
        <v>1</v>
      </c>
      <c r="EB369">
        <v>1</v>
      </c>
      <c r="EC369">
        <v>1</v>
      </c>
      <c r="ED369">
        <v>0</v>
      </c>
      <c r="EE369">
        <v>0</v>
      </c>
      <c r="EF369" s="143">
        <v>0</v>
      </c>
      <c r="EG369">
        <v>1</v>
      </c>
      <c r="EH369">
        <v>1</v>
      </c>
      <c r="EI369">
        <v>0</v>
      </c>
      <c r="EJ369">
        <v>1</v>
      </c>
      <c r="EK369">
        <v>1</v>
      </c>
      <c r="EL369">
        <v>1</v>
      </c>
      <c r="EM369">
        <v>0</v>
      </c>
      <c r="EN369" s="2">
        <v>0</v>
      </c>
      <c r="EP369" t="str">
        <f t="shared" si="425"/>
        <v>Whole sector approach</v>
      </c>
      <c r="EQ369" t="str">
        <f t="shared" si="403"/>
        <v/>
      </c>
      <c r="ER369" s="2" t="str">
        <f t="shared" si="426"/>
        <v/>
      </c>
      <c r="ES369" t="str">
        <f t="shared" si="427"/>
        <v/>
      </c>
      <c r="ET369" t="str">
        <f t="shared" si="428"/>
        <v/>
      </c>
      <c r="EU369" t="str">
        <f t="shared" si="429"/>
        <v/>
      </c>
      <c r="EY369" t="b">
        <f>IF(ISNUMBER(BW369),IF(ABS(BW369-[1]QC_indicators!$B$2)&gt;3*[1]QC_indicators!$C$2,"C ratio",IF(ISNUMBER(CA369),IF(ABS(CA369-[1]QC_indicators!$B$1)&gt;3*[1]QC_indicators!$C$1,"DF","no"))),IF(ISNUMBER(CA369),IF(ABS(CA369-[1]QC_indicators!$B$1)&gt;3*[1]QC_indicators!$C$1,"DF","no")))</f>
        <v>0</v>
      </c>
      <c r="FA369" t="str">
        <f t="shared" si="430"/>
        <v/>
      </c>
      <c r="FB369" s="299" t="s">
        <v>349</v>
      </c>
    </row>
    <row r="370" spans="1:158" ht="15" hidden="1" customHeight="1">
      <c r="A370" s="1" t="s">
        <v>1001</v>
      </c>
      <c r="B370" t="s">
        <v>3764</v>
      </c>
      <c r="C370" t="s">
        <v>3765</v>
      </c>
      <c r="D370" t="s">
        <v>3766</v>
      </c>
      <c r="E370" t="s">
        <v>3767</v>
      </c>
      <c r="F370" t="s">
        <v>3768</v>
      </c>
      <c r="G370" t="s">
        <v>1002</v>
      </c>
      <c r="H370" t="s">
        <v>254</v>
      </c>
      <c r="I370">
        <v>2011</v>
      </c>
      <c r="J370">
        <v>57</v>
      </c>
      <c r="K370" t="s">
        <v>3769</v>
      </c>
      <c r="M370" t="str">
        <f t="shared" si="388"/>
        <v>Routa_2011</v>
      </c>
      <c r="N370" s="297" t="s">
        <v>4058</v>
      </c>
      <c r="O370" s="145" t="s">
        <v>341</v>
      </c>
      <c r="Q370" s="297" t="s">
        <v>256</v>
      </c>
      <c r="R370" s="298"/>
      <c r="S370" s="1" t="s">
        <v>3795</v>
      </c>
      <c r="T370" t="s">
        <v>1003</v>
      </c>
      <c r="U370" t="e">
        <f>#REF!</f>
        <v>#REF!</v>
      </c>
      <c r="X370">
        <v>0</v>
      </c>
      <c r="Y370">
        <v>0</v>
      </c>
      <c r="Z370">
        <v>0</v>
      </c>
      <c r="AA370">
        <v>0</v>
      </c>
      <c r="AB370">
        <v>0</v>
      </c>
      <c r="AC370">
        <v>2</v>
      </c>
      <c r="AD370">
        <v>1</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s="141">
        <f t="shared" si="404"/>
        <v>2</v>
      </c>
      <c r="BA370" s="141">
        <f t="shared" si="405"/>
        <v>2</v>
      </c>
      <c r="BB370">
        <f t="shared" si="406"/>
        <v>2</v>
      </c>
      <c r="BC370">
        <f t="shared" si="407"/>
        <v>0</v>
      </c>
      <c r="BD370">
        <f t="shared" si="408"/>
        <v>0</v>
      </c>
      <c r="BE370">
        <f t="shared" si="409"/>
        <v>0</v>
      </c>
      <c r="BF370">
        <f t="shared" si="410"/>
        <v>0</v>
      </c>
      <c r="BG370" t="str" cm="1">
        <f t="array" ref="BG370">IF(BA370=1,INDEX($X$7:$AN$7,MATCH(TRUE,INDEX($X370:$AY370&lt;&gt;0,),0)),IF(BA370=0,INDEX($AO$7:$AY$7,MATCH(1,$AO370:$AY370,0)),IF(BH370="Multiple strategies","mixed drivers",IF(BH370="Supply chain","multiple supply","multiple silviculture"))))</f>
        <v>multiple silviculture</v>
      </c>
      <c r="BH370" s="2" t="str" cm="1">
        <f t="array" ref="BH370">IF(COUNTIF(BB370:BD370,"&lt;&gt;0")=1,INDEX($X$4:$AY$4,MATCH(TRUE,INDEX($X370:$AY370&lt;&gt;0,),0)),IF(COUNTIF(BB370:BD370,"&lt;&gt;0")=0,INDEX($AO$4:$AY$4,MATCH(1,$AO370:$AY370,0)),"Multiple strategies"))</f>
        <v>Silviculture for productivity</v>
      </c>
      <c r="BR370" s="297" t="s">
        <v>232</v>
      </c>
      <c r="BS370" s="297"/>
      <c r="BT370" t="s">
        <v>1953</v>
      </c>
      <c r="BU370">
        <v>-200</v>
      </c>
      <c r="BV370">
        <v>-174</v>
      </c>
      <c r="BW370" s="144">
        <v>0.87</v>
      </c>
      <c r="BX370">
        <v>26</v>
      </c>
      <c r="BZ370">
        <f t="shared" si="431"/>
        <v>26000</v>
      </c>
      <c r="CA370" t="str">
        <f t="shared" si="421"/>
        <v/>
      </c>
      <c r="CB370">
        <v>0</v>
      </c>
      <c r="CC370">
        <v>0</v>
      </c>
      <c r="CD370">
        <v>0</v>
      </c>
      <c r="CE370">
        <v>1</v>
      </c>
      <c r="CF370">
        <v>0</v>
      </c>
      <c r="CG370">
        <v>0</v>
      </c>
      <c r="CH370">
        <v>0</v>
      </c>
      <c r="CI370">
        <v>0</v>
      </c>
      <c r="CJ370">
        <v>0</v>
      </c>
      <c r="CK370">
        <v>0</v>
      </c>
      <c r="CL370">
        <v>0</v>
      </c>
      <c r="CM370">
        <v>0</v>
      </c>
      <c r="CN370">
        <v>0</v>
      </c>
      <c r="CO370">
        <v>0</v>
      </c>
      <c r="CP370" t="str">
        <f t="shared" si="396"/>
        <v>refOK</v>
      </c>
      <c r="CQ370"/>
      <c r="CR370"/>
      <c r="CS370"/>
      <c r="CT370">
        <f t="shared" si="422"/>
        <v>0</v>
      </c>
      <c r="CU370">
        <f t="shared" si="411"/>
        <v>-200</v>
      </c>
      <c r="CV370">
        <f t="shared" si="398"/>
        <v>-174</v>
      </c>
      <c r="CW370">
        <f t="shared" si="412"/>
        <v>26000</v>
      </c>
      <c r="CX370" t="str">
        <f t="shared" si="423"/>
        <v/>
      </c>
      <c r="CY370" t="str">
        <f t="shared" si="413"/>
        <v/>
      </c>
      <c r="CZ370" t="str">
        <f t="shared" si="424"/>
        <v/>
      </c>
      <c r="DA370" s="2">
        <f t="shared" si="414"/>
        <v>0.13</v>
      </c>
      <c r="DB370" s="1" t="s">
        <v>1074</v>
      </c>
      <c r="DC370" s="297" t="str">
        <f t="shared" si="433"/>
        <v>reg</v>
      </c>
      <c r="DD370" t="s">
        <v>235</v>
      </c>
      <c r="DE370">
        <v>2011</v>
      </c>
      <c r="DF370">
        <v>2090</v>
      </c>
      <c r="DG370">
        <v>80</v>
      </c>
      <c r="DH370" t="str">
        <f t="shared" si="415"/>
        <v>71-100</v>
      </c>
      <c r="DI370">
        <v>0</v>
      </c>
      <c r="DJ370">
        <v>1</v>
      </c>
      <c r="DK370">
        <v>1</v>
      </c>
      <c r="DL370">
        <v>1</v>
      </c>
      <c r="DN370">
        <f t="shared" si="432"/>
        <v>3</v>
      </c>
      <c r="DO370" t="str">
        <f t="shared" si="416"/>
        <v>mixedProduct</v>
      </c>
      <c r="DP370">
        <f t="shared" si="417"/>
        <v>0</v>
      </c>
      <c r="DQ370" t="str">
        <f t="shared" si="418"/>
        <v>Energy</v>
      </c>
      <c r="DR370" t="str">
        <f t="shared" si="419"/>
        <v>Pulp/Paper</v>
      </c>
      <c r="DS370" t="str">
        <f t="shared" si="420"/>
        <v>Timber</v>
      </c>
      <c r="DT370">
        <v>1</v>
      </c>
      <c r="DU370">
        <v>0</v>
      </c>
      <c r="DV370">
        <v>0</v>
      </c>
      <c r="DW370">
        <v>0</v>
      </c>
      <c r="DX370">
        <v>0</v>
      </c>
      <c r="DY370">
        <f t="shared" si="399"/>
        <v>1</v>
      </c>
      <c r="DZ370" s="143" t="str">
        <f t="shared" si="434"/>
        <v>self-calculated DF</v>
      </c>
      <c r="EA370">
        <v>1</v>
      </c>
      <c r="EB370">
        <v>1</v>
      </c>
      <c r="EC370">
        <v>1</v>
      </c>
      <c r="ED370">
        <v>0</v>
      </c>
      <c r="EE370">
        <v>0</v>
      </c>
      <c r="EF370" s="143">
        <v>0</v>
      </c>
      <c r="EG370">
        <v>1</v>
      </c>
      <c r="EH370">
        <v>1</v>
      </c>
      <c r="EI370">
        <v>0</v>
      </c>
      <c r="EJ370">
        <v>1</v>
      </c>
      <c r="EK370">
        <v>1</v>
      </c>
      <c r="EL370">
        <v>1</v>
      </c>
      <c r="EM370">
        <v>0</v>
      </c>
      <c r="EN370" s="2">
        <v>0</v>
      </c>
      <c r="EP370" t="str">
        <f t="shared" si="425"/>
        <v>Whole sector approach</v>
      </c>
      <c r="EQ370" t="str">
        <f t="shared" si="403"/>
        <v/>
      </c>
      <c r="ER370" s="2" t="str">
        <f t="shared" si="426"/>
        <v/>
      </c>
      <c r="ES370" t="str">
        <f t="shared" si="427"/>
        <v/>
      </c>
      <c r="ET370" t="str">
        <f t="shared" si="428"/>
        <v/>
      </c>
      <c r="EU370" t="str">
        <f t="shared" si="429"/>
        <v/>
      </c>
      <c r="EY370" t="b">
        <f>IF(ISNUMBER(BW370),IF(ABS(BW370-[1]QC_indicators!$B$2)&gt;3*[1]QC_indicators!$C$2,"C ratio",IF(ISNUMBER(CA370),IF(ABS(CA370-[1]QC_indicators!$B$1)&gt;3*[1]QC_indicators!$C$1,"DF","no"))),IF(ISNUMBER(CA370),IF(ABS(CA370-[1]QC_indicators!$B$1)&gt;3*[1]QC_indicators!$C$1,"DF","no")))</f>
        <v>0</v>
      </c>
      <c r="FA370" t="str">
        <f t="shared" si="430"/>
        <v/>
      </c>
      <c r="FB370" s="299" t="s">
        <v>349</v>
      </c>
    </row>
    <row r="371" spans="1:158" ht="15" hidden="1" customHeight="1">
      <c r="A371" s="1" t="s">
        <v>1001</v>
      </c>
      <c r="B371" t="s">
        <v>3764</v>
      </c>
      <c r="C371" t="s">
        <v>3765</v>
      </c>
      <c r="D371" t="s">
        <v>3766</v>
      </c>
      <c r="E371" t="s">
        <v>3767</v>
      </c>
      <c r="F371" t="s">
        <v>3768</v>
      </c>
      <c r="G371" t="s">
        <v>1002</v>
      </c>
      <c r="H371" t="s">
        <v>254</v>
      </c>
      <c r="I371">
        <v>2011</v>
      </c>
      <c r="J371">
        <v>57</v>
      </c>
      <c r="K371" t="s">
        <v>3769</v>
      </c>
      <c r="M371" t="str">
        <f t="shared" si="388"/>
        <v>Routa_2011</v>
      </c>
      <c r="N371" s="297" t="s">
        <v>4058</v>
      </c>
      <c r="O371" s="145" t="s">
        <v>341</v>
      </c>
      <c r="Q371" s="297" t="s">
        <v>256</v>
      </c>
      <c r="R371" s="298"/>
      <c r="S371" s="1" t="s">
        <v>3794</v>
      </c>
      <c r="T371" t="s">
        <v>1003</v>
      </c>
      <c r="U371" t="e">
        <f>#REF!</f>
        <v>#REF!</v>
      </c>
      <c r="X371">
        <v>0</v>
      </c>
      <c r="Y371">
        <v>0</v>
      </c>
      <c r="Z371">
        <v>0</v>
      </c>
      <c r="AA371">
        <v>0</v>
      </c>
      <c r="AB371">
        <v>0</v>
      </c>
      <c r="AC371">
        <v>2</v>
      </c>
      <c r="AD371">
        <v>1</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s="141">
        <f t="shared" si="404"/>
        <v>2</v>
      </c>
      <c r="BA371" s="141">
        <f t="shared" si="405"/>
        <v>2</v>
      </c>
      <c r="BB371">
        <f t="shared" si="406"/>
        <v>2</v>
      </c>
      <c r="BC371">
        <f t="shared" si="407"/>
        <v>0</v>
      </c>
      <c r="BD371">
        <f t="shared" si="408"/>
        <v>0</v>
      </c>
      <c r="BE371">
        <f t="shared" si="409"/>
        <v>0</v>
      </c>
      <c r="BF371">
        <f t="shared" si="410"/>
        <v>0</v>
      </c>
      <c r="BG371" t="str" cm="1">
        <f t="array" ref="BG371">IF(BA371=1,INDEX($X$7:$AN$7,MATCH(TRUE,INDEX($X371:$AY371&lt;&gt;0,),0)),IF(BA371=0,INDEX($AO$7:$AY$7,MATCH(1,$AO371:$AY371,0)),IF(BH371="Multiple strategies","mixed drivers",IF(BH371="Supply chain","multiple supply","multiple silviculture"))))</f>
        <v>multiple silviculture</v>
      </c>
      <c r="BH371" s="2" t="str" cm="1">
        <f t="array" ref="BH371">IF(COUNTIF(BB371:BD371,"&lt;&gt;0")=1,INDEX($X$4:$AY$4,MATCH(TRUE,INDEX($X371:$AY371&lt;&gt;0,),0)),IF(COUNTIF(BB371:BD371,"&lt;&gt;0")=0,INDEX($AO$4:$AY$4,MATCH(1,$AO371:$AY371,0)),"Multiple strategies"))</f>
        <v>Silviculture for productivity</v>
      </c>
      <c r="BR371" s="297" t="s">
        <v>232</v>
      </c>
      <c r="BS371" s="297"/>
      <c r="BT371" t="s">
        <v>1953</v>
      </c>
      <c r="BU371">
        <v>-150</v>
      </c>
      <c r="BV371">
        <v>-117</v>
      </c>
      <c r="BW371" s="144">
        <v>0.78</v>
      </c>
      <c r="BX371">
        <v>33</v>
      </c>
      <c r="BZ371">
        <f t="shared" si="431"/>
        <v>33000</v>
      </c>
      <c r="CA371" t="str">
        <f t="shared" si="421"/>
        <v/>
      </c>
      <c r="CB371">
        <v>0</v>
      </c>
      <c r="CC371">
        <v>0</v>
      </c>
      <c r="CD371">
        <v>0</v>
      </c>
      <c r="CE371">
        <v>1</v>
      </c>
      <c r="CF371">
        <v>0</v>
      </c>
      <c r="CG371">
        <v>0</v>
      </c>
      <c r="CH371">
        <v>0</v>
      </c>
      <c r="CI371">
        <v>0</v>
      </c>
      <c r="CJ371">
        <v>0</v>
      </c>
      <c r="CK371">
        <v>0</v>
      </c>
      <c r="CL371">
        <v>0</v>
      </c>
      <c r="CM371">
        <v>0</v>
      </c>
      <c r="CN371">
        <v>0</v>
      </c>
      <c r="CO371">
        <v>0</v>
      </c>
      <c r="CP371" t="str">
        <f t="shared" si="396"/>
        <v>refOK</v>
      </c>
      <c r="CQ371"/>
      <c r="CR371"/>
      <c r="CS371"/>
      <c r="CT371">
        <f t="shared" si="422"/>
        <v>0</v>
      </c>
      <c r="CU371">
        <f t="shared" si="411"/>
        <v>-150</v>
      </c>
      <c r="CV371">
        <f t="shared" si="398"/>
        <v>-117</v>
      </c>
      <c r="CW371">
        <f t="shared" si="412"/>
        <v>33000</v>
      </c>
      <c r="CX371" t="str">
        <f t="shared" si="423"/>
        <v/>
      </c>
      <c r="CY371" t="str">
        <f t="shared" si="413"/>
        <v/>
      </c>
      <c r="CZ371" t="str">
        <f t="shared" si="424"/>
        <v/>
      </c>
      <c r="DA371" s="2">
        <f t="shared" si="414"/>
        <v>0.22</v>
      </c>
      <c r="DB371" s="1" t="s">
        <v>1074</v>
      </c>
      <c r="DC371" s="297" t="str">
        <f t="shared" si="433"/>
        <v>reg</v>
      </c>
      <c r="DD371" t="s">
        <v>235</v>
      </c>
      <c r="DE371">
        <v>2011</v>
      </c>
      <c r="DF371">
        <v>2090</v>
      </c>
      <c r="DG371">
        <v>80</v>
      </c>
      <c r="DH371" t="str">
        <f t="shared" si="415"/>
        <v>71-100</v>
      </c>
      <c r="DI371">
        <v>0</v>
      </c>
      <c r="DJ371">
        <v>1</v>
      </c>
      <c r="DK371">
        <v>1</v>
      </c>
      <c r="DL371">
        <v>1</v>
      </c>
      <c r="DN371">
        <f t="shared" si="432"/>
        <v>3</v>
      </c>
      <c r="DO371" t="str">
        <f t="shared" si="416"/>
        <v>mixedProduct</v>
      </c>
      <c r="DP371">
        <f t="shared" si="417"/>
        <v>0</v>
      </c>
      <c r="DQ371" t="str">
        <f t="shared" si="418"/>
        <v>Energy</v>
      </c>
      <c r="DR371" t="str">
        <f t="shared" si="419"/>
        <v>Pulp/Paper</v>
      </c>
      <c r="DS371" t="str">
        <f t="shared" si="420"/>
        <v>Timber</v>
      </c>
      <c r="DT371">
        <v>1</v>
      </c>
      <c r="DU371">
        <v>0</v>
      </c>
      <c r="DV371">
        <v>0</v>
      </c>
      <c r="DW371">
        <v>0</v>
      </c>
      <c r="DX371">
        <v>0</v>
      </c>
      <c r="DY371">
        <f t="shared" si="399"/>
        <v>1</v>
      </c>
      <c r="DZ371" s="143" t="str">
        <f t="shared" si="434"/>
        <v>self-calculated DF</v>
      </c>
      <c r="EA371">
        <v>1</v>
      </c>
      <c r="EB371">
        <v>1</v>
      </c>
      <c r="EC371">
        <v>1</v>
      </c>
      <c r="ED371">
        <v>0</v>
      </c>
      <c r="EE371">
        <v>0</v>
      </c>
      <c r="EF371" s="143">
        <v>0</v>
      </c>
      <c r="EG371">
        <v>1</v>
      </c>
      <c r="EH371">
        <v>1</v>
      </c>
      <c r="EI371">
        <v>0</v>
      </c>
      <c r="EJ371">
        <v>1</v>
      </c>
      <c r="EK371">
        <v>1</v>
      </c>
      <c r="EL371">
        <v>1</v>
      </c>
      <c r="EM371">
        <v>0</v>
      </c>
      <c r="EN371" s="2">
        <v>0</v>
      </c>
      <c r="EP371" t="str">
        <f t="shared" si="425"/>
        <v>Whole sector approach</v>
      </c>
      <c r="EQ371" t="str">
        <f t="shared" si="403"/>
        <v/>
      </c>
      <c r="ER371" s="2" t="str">
        <f t="shared" si="426"/>
        <v/>
      </c>
      <c r="ES371" t="str">
        <f t="shared" si="427"/>
        <v/>
      </c>
      <c r="ET371" t="str">
        <f t="shared" si="428"/>
        <v/>
      </c>
      <c r="EU371" t="str">
        <f t="shared" si="429"/>
        <v/>
      </c>
      <c r="EY371" t="b">
        <f>IF(ISNUMBER(BW371),IF(ABS(BW371-[1]QC_indicators!$B$2)&gt;3*[1]QC_indicators!$C$2,"C ratio",IF(ISNUMBER(CA371),IF(ABS(CA371-[1]QC_indicators!$B$1)&gt;3*[1]QC_indicators!$C$1,"DF","no"))),IF(ISNUMBER(CA371),IF(ABS(CA371-[1]QC_indicators!$B$1)&gt;3*[1]QC_indicators!$C$1,"DF","no")))</f>
        <v>0</v>
      </c>
      <c r="FA371" t="str">
        <f t="shared" si="430"/>
        <v/>
      </c>
      <c r="FB371" s="299" t="s">
        <v>349</v>
      </c>
    </row>
    <row r="372" spans="1:158" ht="15" hidden="1" customHeight="1">
      <c r="A372" s="1" t="s">
        <v>1001</v>
      </c>
      <c r="B372" t="s">
        <v>3764</v>
      </c>
      <c r="C372" t="s">
        <v>3765</v>
      </c>
      <c r="D372" t="s">
        <v>3766</v>
      </c>
      <c r="E372" t="s">
        <v>3767</v>
      </c>
      <c r="F372" t="s">
        <v>3768</v>
      </c>
      <c r="G372" t="s">
        <v>1002</v>
      </c>
      <c r="H372" t="s">
        <v>254</v>
      </c>
      <c r="I372">
        <v>2011</v>
      </c>
      <c r="J372">
        <v>57</v>
      </c>
      <c r="K372" t="s">
        <v>3769</v>
      </c>
      <c r="M372" t="str">
        <f t="shared" si="388"/>
        <v>Routa_2011</v>
      </c>
      <c r="N372" s="297" t="s">
        <v>4058</v>
      </c>
      <c r="O372" s="145" t="s">
        <v>341</v>
      </c>
      <c r="Q372" s="297" t="s">
        <v>256</v>
      </c>
      <c r="R372" s="298"/>
      <c r="S372" s="1" t="s">
        <v>3793</v>
      </c>
      <c r="T372" t="s">
        <v>1003</v>
      </c>
      <c r="U372" t="e">
        <f>#REF!</f>
        <v>#REF!</v>
      </c>
      <c r="X372">
        <v>0</v>
      </c>
      <c r="Y372">
        <v>0</v>
      </c>
      <c r="Z372">
        <v>0</v>
      </c>
      <c r="AA372">
        <v>0</v>
      </c>
      <c r="AB372">
        <v>0</v>
      </c>
      <c r="AC372">
        <v>2</v>
      </c>
      <c r="AD372">
        <v>1</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s="141">
        <f t="shared" si="404"/>
        <v>2</v>
      </c>
      <c r="BA372" s="141">
        <f t="shared" si="405"/>
        <v>2</v>
      </c>
      <c r="BB372">
        <f t="shared" si="406"/>
        <v>2</v>
      </c>
      <c r="BC372">
        <f t="shared" si="407"/>
        <v>0</v>
      </c>
      <c r="BD372">
        <f t="shared" si="408"/>
        <v>0</v>
      </c>
      <c r="BE372">
        <f t="shared" si="409"/>
        <v>0</v>
      </c>
      <c r="BF372">
        <f t="shared" si="410"/>
        <v>0</v>
      </c>
      <c r="BG372" t="str" cm="1">
        <f t="array" ref="BG372">IF(BA372=1,INDEX($X$7:$AN$7,MATCH(TRUE,INDEX($X372:$AY372&lt;&gt;0,),0)),IF(BA372=0,INDEX($AO$7:$AY$7,MATCH(1,$AO372:$AY372,0)),IF(BH372="Multiple strategies","mixed drivers",IF(BH372="Supply chain","multiple supply","multiple silviculture"))))</f>
        <v>multiple silviculture</v>
      </c>
      <c r="BH372" s="2" t="str" cm="1">
        <f t="array" ref="BH372">IF(COUNTIF(BB372:BD372,"&lt;&gt;0")=1,INDEX($X$4:$AY$4,MATCH(TRUE,INDEX($X372:$AY372&lt;&gt;0,),0)),IF(COUNTIF(BB372:BD372,"&lt;&gt;0")=0,INDEX($AO$4:$AY$4,MATCH(1,$AO372:$AY372,0)),"Multiple strategies"))</f>
        <v>Silviculture for productivity</v>
      </c>
      <c r="BR372" s="297" t="s">
        <v>232</v>
      </c>
      <c r="BS372" s="297"/>
      <c r="BT372" t="s">
        <v>1953</v>
      </c>
      <c r="BU372">
        <v>-200</v>
      </c>
      <c r="BV372">
        <v>-155</v>
      </c>
      <c r="BW372" s="144">
        <v>0.77500000000000002</v>
      </c>
      <c r="BX372">
        <v>45</v>
      </c>
      <c r="BZ372">
        <f t="shared" si="431"/>
        <v>45000</v>
      </c>
      <c r="CA372" t="str">
        <f t="shared" si="421"/>
        <v/>
      </c>
      <c r="CB372">
        <v>0</v>
      </c>
      <c r="CC372">
        <v>0</v>
      </c>
      <c r="CD372">
        <v>0</v>
      </c>
      <c r="CE372">
        <v>1</v>
      </c>
      <c r="CF372">
        <v>0</v>
      </c>
      <c r="CG372">
        <v>0</v>
      </c>
      <c r="CH372">
        <v>0</v>
      </c>
      <c r="CI372">
        <v>0</v>
      </c>
      <c r="CJ372">
        <v>0</v>
      </c>
      <c r="CK372">
        <v>0</v>
      </c>
      <c r="CL372">
        <v>0</v>
      </c>
      <c r="CM372">
        <v>0</v>
      </c>
      <c r="CN372">
        <v>0</v>
      </c>
      <c r="CO372">
        <v>0</v>
      </c>
      <c r="CP372" t="str">
        <f t="shared" ref="CP372:CP395" si="435">IF(BN372&lt;BM372,"refNeedCorrection","refOK")</f>
        <v>refOK</v>
      </c>
      <c r="CQ372"/>
      <c r="CR372"/>
      <c r="CS372"/>
      <c r="CT372">
        <f t="shared" si="422"/>
        <v>0</v>
      </c>
      <c r="CU372">
        <f t="shared" si="411"/>
        <v>-200</v>
      </c>
      <c r="CV372">
        <f t="shared" si="398"/>
        <v>-155</v>
      </c>
      <c r="CW372">
        <f t="shared" si="412"/>
        <v>45000</v>
      </c>
      <c r="CX372" t="str">
        <f t="shared" si="423"/>
        <v/>
      </c>
      <c r="CY372" t="str">
        <f t="shared" si="413"/>
        <v/>
      </c>
      <c r="CZ372" t="str">
        <f t="shared" si="424"/>
        <v/>
      </c>
      <c r="DA372" s="2">
        <f t="shared" si="414"/>
        <v>0.22500000000000001</v>
      </c>
      <c r="DB372" s="1" t="s">
        <v>1074</v>
      </c>
      <c r="DC372" s="297" t="str">
        <f t="shared" si="433"/>
        <v>reg</v>
      </c>
      <c r="DD372" t="s">
        <v>235</v>
      </c>
      <c r="DE372">
        <v>2011</v>
      </c>
      <c r="DF372">
        <v>2090</v>
      </c>
      <c r="DG372">
        <v>80</v>
      </c>
      <c r="DH372" t="str">
        <f t="shared" si="415"/>
        <v>71-100</v>
      </c>
      <c r="DI372">
        <v>0</v>
      </c>
      <c r="DJ372">
        <v>1</v>
      </c>
      <c r="DK372">
        <v>1</v>
      </c>
      <c r="DL372">
        <v>1</v>
      </c>
      <c r="DN372">
        <f t="shared" si="432"/>
        <v>3</v>
      </c>
      <c r="DO372" t="str">
        <f t="shared" si="416"/>
        <v>mixedProduct</v>
      </c>
      <c r="DP372">
        <f t="shared" si="417"/>
        <v>0</v>
      </c>
      <c r="DQ372" t="str">
        <f t="shared" si="418"/>
        <v>Energy</v>
      </c>
      <c r="DR372" t="str">
        <f t="shared" si="419"/>
        <v>Pulp/Paper</v>
      </c>
      <c r="DS372" t="str">
        <f t="shared" si="420"/>
        <v>Timber</v>
      </c>
      <c r="DT372">
        <v>1</v>
      </c>
      <c r="DU372">
        <v>0</v>
      </c>
      <c r="DV372">
        <v>0</v>
      </c>
      <c r="DW372">
        <v>0</v>
      </c>
      <c r="DX372">
        <v>0</v>
      </c>
      <c r="DY372">
        <f t="shared" si="399"/>
        <v>1</v>
      </c>
      <c r="DZ372" s="143" t="str">
        <f t="shared" si="434"/>
        <v>self-calculated DF</v>
      </c>
      <c r="EA372">
        <v>1</v>
      </c>
      <c r="EB372">
        <v>1</v>
      </c>
      <c r="EC372">
        <v>1</v>
      </c>
      <c r="ED372">
        <v>0</v>
      </c>
      <c r="EE372">
        <v>0</v>
      </c>
      <c r="EF372" s="143">
        <v>0</v>
      </c>
      <c r="EG372">
        <v>1</v>
      </c>
      <c r="EH372">
        <v>1</v>
      </c>
      <c r="EI372">
        <v>0</v>
      </c>
      <c r="EJ372">
        <v>1</v>
      </c>
      <c r="EK372">
        <v>1</v>
      </c>
      <c r="EL372">
        <v>1</v>
      </c>
      <c r="EM372">
        <v>0</v>
      </c>
      <c r="EN372" s="2">
        <v>0</v>
      </c>
      <c r="EP372" t="str">
        <f t="shared" si="425"/>
        <v>Whole sector approach</v>
      </c>
      <c r="EQ372" t="str">
        <f t="shared" si="403"/>
        <v/>
      </c>
      <c r="ER372" s="2" t="str">
        <f t="shared" si="426"/>
        <v/>
      </c>
      <c r="ES372" t="str">
        <f t="shared" si="427"/>
        <v/>
      </c>
      <c r="ET372" t="str">
        <f t="shared" si="428"/>
        <v/>
      </c>
      <c r="EU372" t="str">
        <f t="shared" si="429"/>
        <v/>
      </c>
      <c r="EY372" t="b">
        <f>IF(ISNUMBER(BW372),IF(ABS(BW372-[1]QC_indicators!$B$2)&gt;3*[1]QC_indicators!$C$2,"C ratio",IF(ISNUMBER(CA372),IF(ABS(CA372-[1]QC_indicators!$B$1)&gt;3*[1]QC_indicators!$C$1,"DF","no"))),IF(ISNUMBER(CA372),IF(ABS(CA372-[1]QC_indicators!$B$1)&gt;3*[1]QC_indicators!$C$1,"DF","no")))</f>
        <v>0</v>
      </c>
      <c r="FA372" t="str">
        <f t="shared" si="430"/>
        <v/>
      </c>
      <c r="FB372" s="299" t="s">
        <v>349</v>
      </c>
    </row>
    <row r="373" spans="1:158" ht="15" hidden="1" customHeight="1">
      <c r="A373" s="1" t="s">
        <v>1001</v>
      </c>
      <c r="B373" t="s">
        <v>3764</v>
      </c>
      <c r="C373" t="s">
        <v>3765</v>
      </c>
      <c r="D373" t="s">
        <v>3766</v>
      </c>
      <c r="E373" t="s">
        <v>3767</v>
      </c>
      <c r="F373" t="s">
        <v>3768</v>
      </c>
      <c r="G373" t="s">
        <v>1002</v>
      </c>
      <c r="H373" t="s">
        <v>254</v>
      </c>
      <c r="I373">
        <v>2011</v>
      </c>
      <c r="J373">
        <v>57</v>
      </c>
      <c r="K373" t="s">
        <v>3769</v>
      </c>
      <c r="M373" t="str">
        <f t="shared" si="388"/>
        <v>Routa_2011</v>
      </c>
      <c r="N373" s="297" t="s">
        <v>4058</v>
      </c>
      <c r="O373" s="145" t="s">
        <v>341</v>
      </c>
      <c r="Q373" s="297" t="s">
        <v>256</v>
      </c>
      <c r="R373" s="298"/>
      <c r="S373" s="1" t="s">
        <v>3792</v>
      </c>
      <c r="T373" t="s">
        <v>1003</v>
      </c>
      <c r="U373" t="e">
        <f>#REF!</f>
        <v>#REF!</v>
      </c>
      <c r="X373">
        <v>0</v>
      </c>
      <c r="Y373">
        <v>0</v>
      </c>
      <c r="Z373">
        <v>0</v>
      </c>
      <c r="AA373">
        <v>0</v>
      </c>
      <c r="AB373">
        <v>0</v>
      </c>
      <c r="AC373">
        <v>2</v>
      </c>
      <c r="AD373">
        <v>1</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s="141">
        <f t="shared" si="404"/>
        <v>2</v>
      </c>
      <c r="BA373" s="141">
        <f t="shared" si="405"/>
        <v>2</v>
      </c>
      <c r="BB373">
        <f t="shared" si="406"/>
        <v>2</v>
      </c>
      <c r="BC373">
        <f t="shared" si="407"/>
        <v>0</v>
      </c>
      <c r="BD373">
        <f t="shared" si="408"/>
        <v>0</v>
      </c>
      <c r="BE373">
        <f t="shared" si="409"/>
        <v>0</v>
      </c>
      <c r="BF373">
        <f t="shared" si="410"/>
        <v>0</v>
      </c>
      <c r="BG373" t="str" cm="1">
        <f t="array" ref="BG373">IF(BA373=1,INDEX($X$7:$AN$7,MATCH(TRUE,INDEX($X373:$AY373&lt;&gt;0,),0)),IF(BA373=0,INDEX($AO$7:$AY$7,MATCH(1,$AO373:$AY373,0)),IF(BH373="Multiple strategies","mixed drivers",IF(BH373="Supply chain","multiple supply","multiple silviculture"))))</f>
        <v>multiple silviculture</v>
      </c>
      <c r="BH373" s="2" t="str" cm="1">
        <f t="array" ref="BH373">IF(COUNTIF(BB373:BD373,"&lt;&gt;0")=1,INDEX($X$4:$AY$4,MATCH(TRUE,INDEX($X373:$AY373&lt;&gt;0,),0)),IF(COUNTIF(BB373:BD373,"&lt;&gt;0")=0,INDEX($AO$4:$AY$4,MATCH(1,$AO373:$AY373,0)),"Multiple strategies"))</f>
        <v>Silviculture for productivity</v>
      </c>
      <c r="BR373" s="297" t="s">
        <v>232</v>
      </c>
      <c r="BS373" s="297"/>
      <c r="BT373" t="s">
        <v>1953</v>
      </c>
      <c r="BU373">
        <v>-200</v>
      </c>
      <c r="BV373">
        <v>-152</v>
      </c>
      <c r="BW373" s="144">
        <v>0.76</v>
      </c>
      <c r="BX373">
        <v>48</v>
      </c>
      <c r="BZ373">
        <f t="shared" si="431"/>
        <v>48000</v>
      </c>
      <c r="CA373" t="str">
        <f t="shared" si="421"/>
        <v/>
      </c>
      <c r="CB373">
        <v>0</v>
      </c>
      <c r="CC373">
        <v>0</v>
      </c>
      <c r="CD373">
        <v>0</v>
      </c>
      <c r="CE373">
        <v>1</v>
      </c>
      <c r="CF373">
        <v>0</v>
      </c>
      <c r="CG373">
        <v>0</v>
      </c>
      <c r="CH373">
        <v>0</v>
      </c>
      <c r="CI373">
        <v>0</v>
      </c>
      <c r="CJ373">
        <v>0</v>
      </c>
      <c r="CK373">
        <v>0</v>
      </c>
      <c r="CL373">
        <v>0</v>
      </c>
      <c r="CM373">
        <v>0</v>
      </c>
      <c r="CN373">
        <v>0</v>
      </c>
      <c r="CO373">
        <v>0</v>
      </c>
      <c r="CP373" t="str">
        <f t="shared" si="435"/>
        <v>refOK</v>
      </c>
      <c r="CQ373"/>
      <c r="CR373"/>
      <c r="CS373"/>
      <c r="CT373">
        <f t="shared" si="422"/>
        <v>0</v>
      </c>
      <c r="CU373">
        <f t="shared" si="411"/>
        <v>-200</v>
      </c>
      <c r="CV373">
        <f t="shared" si="398"/>
        <v>-152</v>
      </c>
      <c r="CW373">
        <f t="shared" si="412"/>
        <v>48000</v>
      </c>
      <c r="CX373" t="str">
        <f t="shared" si="423"/>
        <v/>
      </c>
      <c r="CY373" t="str">
        <f t="shared" si="413"/>
        <v/>
      </c>
      <c r="CZ373" t="str">
        <f t="shared" si="424"/>
        <v/>
      </c>
      <c r="DA373" s="2">
        <f t="shared" si="414"/>
        <v>0.24</v>
      </c>
      <c r="DB373" s="1" t="s">
        <v>1074</v>
      </c>
      <c r="DC373" s="297" t="str">
        <f t="shared" si="433"/>
        <v>reg</v>
      </c>
      <c r="DD373" t="s">
        <v>235</v>
      </c>
      <c r="DE373">
        <v>2011</v>
      </c>
      <c r="DF373">
        <v>2090</v>
      </c>
      <c r="DG373">
        <v>80</v>
      </c>
      <c r="DH373" t="str">
        <f t="shared" si="415"/>
        <v>71-100</v>
      </c>
      <c r="DI373">
        <v>0</v>
      </c>
      <c r="DJ373">
        <v>1</v>
      </c>
      <c r="DK373">
        <v>1</v>
      </c>
      <c r="DL373">
        <v>1</v>
      </c>
      <c r="DN373">
        <f t="shared" si="432"/>
        <v>3</v>
      </c>
      <c r="DO373" t="str">
        <f t="shared" si="416"/>
        <v>mixedProduct</v>
      </c>
      <c r="DP373">
        <f t="shared" si="417"/>
        <v>0</v>
      </c>
      <c r="DQ373" t="str">
        <f t="shared" si="418"/>
        <v>Energy</v>
      </c>
      <c r="DR373" t="str">
        <f t="shared" si="419"/>
        <v>Pulp/Paper</v>
      </c>
      <c r="DS373" t="str">
        <f t="shared" si="420"/>
        <v>Timber</v>
      </c>
      <c r="DT373">
        <v>1</v>
      </c>
      <c r="DU373">
        <v>0</v>
      </c>
      <c r="DV373">
        <v>0</v>
      </c>
      <c r="DW373">
        <v>0</v>
      </c>
      <c r="DX373">
        <v>0</v>
      </c>
      <c r="DY373">
        <f t="shared" si="399"/>
        <v>1</v>
      </c>
      <c r="DZ373" s="143" t="str">
        <f t="shared" si="434"/>
        <v>self-calculated DF</v>
      </c>
      <c r="EA373">
        <v>1</v>
      </c>
      <c r="EB373">
        <v>1</v>
      </c>
      <c r="EC373">
        <v>1</v>
      </c>
      <c r="ED373">
        <v>0</v>
      </c>
      <c r="EE373">
        <v>0</v>
      </c>
      <c r="EF373" s="143">
        <v>0</v>
      </c>
      <c r="EG373">
        <v>1</v>
      </c>
      <c r="EH373">
        <v>1</v>
      </c>
      <c r="EI373">
        <v>0</v>
      </c>
      <c r="EJ373">
        <v>1</v>
      </c>
      <c r="EK373">
        <v>1</v>
      </c>
      <c r="EL373">
        <v>1</v>
      </c>
      <c r="EM373">
        <v>0</v>
      </c>
      <c r="EN373" s="2">
        <v>0</v>
      </c>
      <c r="EP373" t="str">
        <f t="shared" si="425"/>
        <v>Whole sector approach</v>
      </c>
      <c r="EQ373" t="str">
        <f t="shared" si="403"/>
        <v/>
      </c>
      <c r="ER373" s="2" t="str">
        <f t="shared" si="426"/>
        <v/>
      </c>
      <c r="ES373" t="str">
        <f t="shared" si="427"/>
        <v/>
      </c>
      <c r="ET373" t="str">
        <f t="shared" si="428"/>
        <v/>
      </c>
      <c r="EU373" t="str">
        <f t="shared" si="429"/>
        <v/>
      </c>
      <c r="EY373" t="b">
        <f>IF(ISNUMBER(BW373),IF(ABS(BW373-[1]QC_indicators!$B$2)&gt;3*[1]QC_indicators!$C$2,"C ratio",IF(ISNUMBER(CA373),IF(ABS(CA373-[1]QC_indicators!$B$1)&gt;3*[1]QC_indicators!$C$1,"DF","no"))),IF(ISNUMBER(CA373),IF(ABS(CA373-[1]QC_indicators!$B$1)&gt;3*[1]QC_indicators!$C$1,"DF","no")))</f>
        <v>0</v>
      </c>
      <c r="FA373" t="str">
        <f t="shared" si="430"/>
        <v/>
      </c>
      <c r="FB373" s="299" t="s">
        <v>349</v>
      </c>
    </row>
    <row r="374" spans="1:158" ht="15" hidden="1" customHeight="1">
      <c r="A374" s="1" t="s">
        <v>1001</v>
      </c>
      <c r="B374" t="s">
        <v>3764</v>
      </c>
      <c r="C374" t="s">
        <v>3765</v>
      </c>
      <c r="D374" t="s">
        <v>3766</v>
      </c>
      <c r="E374" t="s">
        <v>3767</v>
      </c>
      <c r="F374" t="s">
        <v>3768</v>
      </c>
      <c r="G374" t="s">
        <v>1002</v>
      </c>
      <c r="H374" t="s">
        <v>254</v>
      </c>
      <c r="I374">
        <v>2011</v>
      </c>
      <c r="J374">
        <v>57</v>
      </c>
      <c r="K374" t="s">
        <v>3769</v>
      </c>
      <c r="M374" t="str">
        <f t="shared" si="388"/>
        <v>Routa_2011</v>
      </c>
      <c r="N374" s="297" t="s">
        <v>4058</v>
      </c>
      <c r="O374" s="145" t="s">
        <v>341</v>
      </c>
      <c r="Q374" s="297" t="s">
        <v>256</v>
      </c>
      <c r="R374" s="298"/>
      <c r="S374" s="1" t="s">
        <v>3790</v>
      </c>
      <c r="T374" t="s">
        <v>1003</v>
      </c>
      <c r="U374" t="e">
        <f>#REF!</f>
        <v>#REF!</v>
      </c>
      <c r="X374">
        <v>0</v>
      </c>
      <c r="Y374">
        <v>0</v>
      </c>
      <c r="Z374">
        <v>0</v>
      </c>
      <c r="AA374">
        <v>0</v>
      </c>
      <c r="AB374">
        <v>0</v>
      </c>
      <c r="AC374">
        <v>2</v>
      </c>
      <c r="AD374">
        <v>1</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s="141">
        <f t="shared" si="404"/>
        <v>2</v>
      </c>
      <c r="BA374" s="141">
        <f t="shared" si="405"/>
        <v>2</v>
      </c>
      <c r="BB374">
        <f t="shared" si="406"/>
        <v>2</v>
      </c>
      <c r="BC374">
        <f t="shared" si="407"/>
        <v>0</v>
      </c>
      <c r="BD374">
        <f t="shared" si="408"/>
        <v>0</v>
      </c>
      <c r="BE374">
        <f t="shared" si="409"/>
        <v>0</v>
      </c>
      <c r="BF374">
        <f t="shared" si="410"/>
        <v>0</v>
      </c>
      <c r="BG374" t="str" cm="1">
        <f t="array" ref="BG374">IF(BA374=1,INDEX($X$7:$AN$7,MATCH(TRUE,INDEX($X374:$AY374&lt;&gt;0,),0)),IF(BA374=0,INDEX($AO$7:$AY$7,MATCH(1,$AO374:$AY374,0)),IF(BH374="Multiple strategies","mixed drivers",IF(BH374="Supply chain","multiple supply","multiple silviculture"))))</f>
        <v>multiple silviculture</v>
      </c>
      <c r="BH374" s="2" t="str" cm="1">
        <f t="array" ref="BH374">IF(COUNTIF(BB374:BD374,"&lt;&gt;0")=1,INDEX($X$4:$AY$4,MATCH(TRUE,INDEX($X374:$AY374&lt;&gt;0,),0)),IF(COUNTIF(BB374:BD374,"&lt;&gt;0")=0,INDEX($AO$4:$AY$4,MATCH(1,$AO374:$AY374,0)),"Multiple strategies"))</f>
        <v>Silviculture for productivity</v>
      </c>
      <c r="BR374" s="297" t="s">
        <v>232</v>
      </c>
      <c r="BS374" s="297"/>
      <c r="BT374" t="s">
        <v>1953</v>
      </c>
      <c r="BU374">
        <v>-150</v>
      </c>
      <c r="BV374">
        <v>-112</v>
      </c>
      <c r="BW374" s="144">
        <v>0.7466666666666667</v>
      </c>
      <c r="BX374">
        <v>38</v>
      </c>
      <c r="BZ374">
        <f t="shared" si="431"/>
        <v>38000</v>
      </c>
      <c r="CA374" t="str">
        <f t="shared" si="421"/>
        <v/>
      </c>
      <c r="CB374">
        <v>0</v>
      </c>
      <c r="CC374">
        <v>0</v>
      </c>
      <c r="CD374">
        <v>0</v>
      </c>
      <c r="CE374">
        <v>1</v>
      </c>
      <c r="CF374">
        <v>0</v>
      </c>
      <c r="CG374">
        <v>0</v>
      </c>
      <c r="CH374">
        <v>0</v>
      </c>
      <c r="CI374">
        <v>0</v>
      </c>
      <c r="CJ374">
        <v>0</v>
      </c>
      <c r="CK374">
        <v>0</v>
      </c>
      <c r="CL374">
        <v>0</v>
      </c>
      <c r="CM374">
        <v>0</v>
      </c>
      <c r="CN374">
        <v>0</v>
      </c>
      <c r="CO374">
        <v>0</v>
      </c>
      <c r="CP374" t="str">
        <f t="shared" si="435"/>
        <v>refOK</v>
      </c>
      <c r="CQ374"/>
      <c r="CR374"/>
      <c r="CS374"/>
      <c r="CT374">
        <f t="shared" si="422"/>
        <v>0</v>
      </c>
      <c r="CU374">
        <f t="shared" si="411"/>
        <v>-150</v>
      </c>
      <c r="CV374">
        <f t="shared" si="398"/>
        <v>-112</v>
      </c>
      <c r="CW374">
        <f t="shared" si="412"/>
        <v>38000</v>
      </c>
      <c r="CX374" t="str">
        <f t="shared" si="423"/>
        <v/>
      </c>
      <c r="CY374" t="str">
        <f t="shared" si="413"/>
        <v/>
      </c>
      <c r="CZ374" t="str">
        <f t="shared" si="424"/>
        <v/>
      </c>
      <c r="DA374" s="2">
        <f t="shared" si="414"/>
        <v>0.25333333333333335</v>
      </c>
      <c r="DB374" s="1" t="s">
        <v>1074</v>
      </c>
      <c r="DC374" s="297" t="str">
        <f t="shared" si="433"/>
        <v>reg</v>
      </c>
      <c r="DD374" t="s">
        <v>235</v>
      </c>
      <c r="DE374">
        <v>2011</v>
      </c>
      <c r="DF374">
        <v>2090</v>
      </c>
      <c r="DG374">
        <v>80</v>
      </c>
      <c r="DH374" t="str">
        <f t="shared" si="415"/>
        <v>71-100</v>
      </c>
      <c r="DI374">
        <v>0</v>
      </c>
      <c r="DJ374">
        <v>1</v>
      </c>
      <c r="DK374">
        <v>1</v>
      </c>
      <c r="DL374">
        <v>1</v>
      </c>
      <c r="DN374">
        <f t="shared" si="432"/>
        <v>3</v>
      </c>
      <c r="DO374" t="str">
        <f t="shared" si="416"/>
        <v>mixedProduct</v>
      </c>
      <c r="DP374">
        <f t="shared" si="417"/>
        <v>0</v>
      </c>
      <c r="DQ374" t="str">
        <f t="shared" si="418"/>
        <v>Energy</v>
      </c>
      <c r="DR374" t="str">
        <f t="shared" si="419"/>
        <v>Pulp/Paper</v>
      </c>
      <c r="DS374" t="str">
        <f t="shared" si="420"/>
        <v>Timber</v>
      </c>
      <c r="DT374">
        <v>1</v>
      </c>
      <c r="DU374">
        <v>0</v>
      </c>
      <c r="DV374">
        <v>0</v>
      </c>
      <c r="DW374">
        <v>0</v>
      </c>
      <c r="DX374">
        <v>0</v>
      </c>
      <c r="DY374">
        <f t="shared" si="399"/>
        <v>1</v>
      </c>
      <c r="DZ374" s="143" t="str">
        <f t="shared" si="434"/>
        <v>self-calculated DF</v>
      </c>
      <c r="EA374">
        <v>1</v>
      </c>
      <c r="EB374">
        <v>1</v>
      </c>
      <c r="EC374">
        <v>1</v>
      </c>
      <c r="ED374">
        <v>0</v>
      </c>
      <c r="EE374">
        <v>0</v>
      </c>
      <c r="EF374" s="143">
        <v>0</v>
      </c>
      <c r="EG374">
        <v>1</v>
      </c>
      <c r="EH374">
        <v>1</v>
      </c>
      <c r="EI374">
        <v>0</v>
      </c>
      <c r="EJ374">
        <v>1</v>
      </c>
      <c r="EK374">
        <v>1</v>
      </c>
      <c r="EL374">
        <v>1</v>
      </c>
      <c r="EM374">
        <v>0</v>
      </c>
      <c r="EN374" s="2">
        <v>0</v>
      </c>
      <c r="EP374" t="str">
        <f t="shared" si="425"/>
        <v>Whole sector approach</v>
      </c>
      <c r="EQ374" t="str">
        <f t="shared" si="403"/>
        <v/>
      </c>
      <c r="ER374" s="2" t="str">
        <f t="shared" si="426"/>
        <v/>
      </c>
      <c r="ES374" t="str">
        <f t="shared" si="427"/>
        <v/>
      </c>
      <c r="ET374" t="str">
        <f t="shared" si="428"/>
        <v/>
      </c>
      <c r="EU374" t="str">
        <f t="shared" si="429"/>
        <v/>
      </c>
      <c r="EY374" t="b">
        <f>IF(ISNUMBER(BW374),IF(ABS(BW374-[1]QC_indicators!$B$2)&gt;3*[1]QC_indicators!$C$2,"C ratio",IF(ISNUMBER(CA374),IF(ABS(CA374-[1]QC_indicators!$B$1)&gt;3*[1]QC_indicators!$C$1,"DF","no"))),IF(ISNUMBER(CA374),IF(ABS(CA374-[1]QC_indicators!$B$1)&gt;3*[1]QC_indicators!$C$1,"DF","no")))</f>
        <v>0</v>
      </c>
      <c r="FA374" t="str">
        <f t="shared" si="430"/>
        <v/>
      </c>
      <c r="FB374" s="299" t="s">
        <v>349</v>
      </c>
    </row>
    <row r="375" spans="1:158" ht="15" hidden="1" customHeight="1">
      <c r="A375" s="1" t="s">
        <v>1001</v>
      </c>
      <c r="B375" t="s">
        <v>3764</v>
      </c>
      <c r="C375" t="s">
        <v>3765</v>
      </c>
      <c r="D375" t="s">
        <v>3766</v>
      </c>
      <c r="E375" t="s">
        <v>3767</v>
      </c>
      <c r="F375" t="s">
        <v>3768</v>
      </c>
      <c r="G375" t="s">
        <v>1002</v>
      </c>
      <c r="H375" t="s">
        <v>254</v>
      </c>
      <c r="I375">
        <v>2011</v>
      </c>
      <c r="J375">
        <v>57</v>
      </c>
      <c r="K375" t="s">
        <v>3769</v>
      </c>
      <c r="M375" t="str">
        <f t="shared" si="388"/>
        <v>Routa_2011</v>
      </c>
      <c r="N375" s="297" t="s">
        <v>4058</v>
      </c>
      <c r="O375" s="145" t="s">
        <v>341</v>
      </c>
      <c r="Q375" s="297" t="s">
        <v>256</v>
      </c>
      <c r="R375" s="298"/>
      <c r="S375" s="1" t="s">
        <v>3791</v>
      </c>
      <c r="T375" t="s">
        <v>1003</v>
      </c>
      <c r="U375" t="e">
        <f>#REF!</f>
        <v>#REF!</v>
      </c>
      <c r="X375">
        <v>0</v>
      </c>
      <c r="Y375">
        <v>0</v>
      </c>
      <c r="Z375">
        <v>0</v>
      </c>
      <c r="AA375">
        <v>0</v>
      </c>
      <c r="AB375">
        <v>0</v>
      </c>
      <c r="AC375">
        <v>2</v>
      </c>
      <c r="AD375">
        <v>1</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s="141">
        <f t="shared" si="404"/>
        <v>2</v>
      </c>
      <c r="BA375" s="141">
        <f t="shared" si="405"/>
        <v>2</v>
      </c>
      <c r="BB375">
        <f t="shared" si="406"/>
        <v>2</v>
      </c>
      <c r="BC375">
        <f t="shared" si="407"/>
        <v>0</v>
      </c>
      <c r="BD375">
        <f t="shared" si="408"/>
        <v>0</v>
      </c>
      <c r="BE375">
        <f t="shared" si="409"/>
        <v>0</v>
      </c>
      <c r="BF375">
        <f t="shared" si="410"/>
        <v>0</v>
      </c>
      <c r="BG375" t="str" cm="1">
        <f t="array" ref="BG375">IF(BA375=1,INDEX($X$7:$AN$7,MATCH(TRUE,INDEX($X375:$AY375&lt;&gt;0,),0)),IF(BA375=0,INDEX($AO$7:$AY$7,MATCH(1,$AO375:$AY375,0)),IF(BH375="Multiple strategies","mixed drivers",IF(BH375="Supply chain","multiple supply","multiple silviculture"))))</f>
        <v>multiple silviculture</v>
      </c>
      <c r="BH375" s="2" t="str" cm="1">
        <f t="array" ref="BH375">IF(COUNTIF(BB375:BD375,"&lt;&gt;0")=1,INDEX($X$4:$AY$4,MATCH(TRUE,INDEX($X375:$AY375&lt;&gt;0,),0)),IF(COUNTIF(BB375:BD375,"&lt;&gt;0")=0,INDEX($AO$4:$AY$4,MATCH(1,$AO375:$AY375,0)),"Multiple strategies"))</f>
        <v>Silviculture for productivity</v>
      </c>
      <c r="BR375" s="297" t="s">
        <v>232</v>
      </c>
      <c r="BS375" s="297"/>
      <c r="BT375" t="s">
        <v>1953</v>
      </c>
      <c r="BU375">
        <v>-150</v>
      </c>
      <c r="BV375">
        <v>-112</v>
      </c>
      <c r="BW375" s="144">
        <v>0.7466666666666667</v>
      </c>
      <c r="BX375">
        <v>38</v>
      </c>
      <c r="BZ375">
        <f t="shared" si="431"/>
        <v>38000</v>
      </c>
      <c r="CA375" t="str">
        <f t="shared" si="421"/>
        <v/>
      </c>
      <c r="CB375">
        <v>0</v>
      </c>
      <c r="CC375">
        <v>0</v>
      </c>
      <c r="CD375">
        <v>0</v>
      </c>
      <c r="CE375">
        <v>1</v>
      </c>
      <c r="CF375">
        <v>0</v>
      </c>
      <c r="CG375">
        <v>0</v>
      </c>
      <c r="CH375">
        <v>0</v>
      </c>
      <c r="CI375">
        <v>0</v>
      </c>
      <c r="CJ375">
        <v>0</v>
      </c>
      <c r="CK375">
        <v>0</v>
      </c>
      <c r="CL375">
        <v>0</v>
      </c>
      <c r="CM375">
        <v>0</v>
      </c>
      <c r="CN375">
        <v>0</v>
      </c>
      <c r="CO375">
        <v>0</v>
      </c>
      <c r="CP375" t="str">
        <f t="shared" si="435"/>
        <v>refOK</v>
      </c>
      <c r="CQ375"/>
      <c r="CR375"/>
      <c r="CS375"/>
      <c r="CT375">
        <f t="shared" si="422"/>
        <v>0</v>
      </c>
      <c r="CU375">
        <f t="shared" si="411"/>
        <v>-150</v>
      </c>
      <c r="CV375">
        <f t="shared" si="398"/>
        <v>-112</v>
      </c>
      <c r="CW375">
        <f t="shared" si="412"/>
        <v>38000</v>
      </c>
      <c r="CX375" t="str">
        <f t="shared" si="423"/>
        <v/>
      </c>
      <c r="CY375" t="str">
        <f t="shared" si="413"/>
        <v/>
      </c>
      <c r="CZ375" t="str">
        <f t="shared" si="424"/>
        <v/>
      </c>
      <c r="DA375" s="2">
        <f t="shared" si="414"/>
        <v>0.25333333333333335</v>
      </c>
      <c r="DB375" s="1" t="s">
        <v>1074</v>
      </c>
      <c r="DC375" s="297" t="str">
        <f t="shared" si="433"/>
        <v>reg</v>
      </c>
      <c r="DD375" t="s">
        <v>235</v>
      </c>
      <c r="DE375">
        <v>2011</v>
      </c>
      <c r="DF375">
        <v>2090</v>
      </c>
      <c r="DG375">
        <v>80</v>
      </c>
      <c r="DH375" t="str">
        <f t="shared" si="415"/>
        <v>71-100</v>
      </c>
      <c r="DI375">
        <v>0</v>
      </c>
      <c r="DJ375">
        <v>1</v>
      </c>
      <c r="DK375">
        <v>1</v>
      </c>
      <c r="DL375">
        <v>1</v>
      </c>
      <c r="DN375">
        <f t="shared" si="432"/>
        <v>3</v>
      </c>
      <c r="DO375" t="str">
        <f t="shared" si="416"/>
        <v>mixedProduct</v>
      </c>
      <c r="DP375">
        <f t="shared" si="417"/>
        <v>0</v>
      </c>
      <c r="DQ375" t="str">
        <f t="shared" si="418"/>
        <v>Energy</v>
      </c>
      <c r="DR375" t="str">
        <f t="shared" si="419"/>
        <v>Pulp/Paper</v>
      </c>
      <c r="DS375" t="str">
        <f t="shared" si="420"/>
        <v>Timber</v>
      </c>
      <c r="DT375">
        <v>1</v>
      </c>
      <c r="DU375">
        <v>0</v>
      </c>
      <c r="DV375">
        <v>0</v>
      </c>
      <c r="DW375">
        <v>0</v>
      </c>
      <c r="DX375">
        <v>0</v>
      </c>
      <c r="DY375">
        <f t="shared" si="399"/>
        <v>1</v>
      </c>
      <c r="DZ375" s="143" t="str">
        <f t="shared" si="434"/>
        <v>self-calculated DF</v>
      </c>
      <c r="EA375">
        <v>1</v>
      </c>
      <c r="EB375">
        <v>1</v>
      </c>
      <c r="EC375">
        <v>1</v>
      </c>
      <c r="ED375">
        <v>0</v>
      </c>
      <c r="EE375">
        <v>0</v>
      </c>
      <c r="EF375" s="143">
        <v>0</v>
      </c>
      <c r="EG375">
        <v>1</v>
      </c>
      <c r="EH375">
        <v>1</v>
      </c>
      <c r="EI375">
        <v>0</v>
      </c>
      <c r="EJ375">
        <v>1</v>
      </c>
      <c r="EK375">
        <v>1</v>
      </c>
      <c r="EL375">
        <v>1</v>
      </c>
      <c r="EM375">
        <v>0</v>
      </c>
      <c r="EN375" s="2">
        <v>0</v>
      </c>
      <c r="EP375" t="str">
        <f t="shared" si="425"/>
        <v>Whole sector approach</v>
      </c>
      <c r="EQ375" t="str">
        <f t="shared" si="403"/>
        <v/>
      </c>
      <c r="ER375" s="2" t="str">
        <f t="shared" si="426"/>
        <v/>
      </c>
      <c r="ES375" t="str">
        <f t="shared" si="427"/>
        <v/>
      </c>
      <c r="ET375" t="str">
        <f t="shared" si="428"/>
        <v/>
      </c>
      <c r="EU375" t="str">
        <f t="shared" si="429"/>
        <v/>
      </c>
      <c r="EY375" t="b">
        <f>IF(ISNUMBER(BW375),IF(ABS(BW375-[1]QC_indicators!$B$2)&gt;3*[1]QC_indicators!$C$2,"C ratio",IF(ISNUMBER(CA375),IF(ABS(CA375-[1]QC_indicators!$B$1)&gt;3*[1]QC_indicators!$C$1,"DF","no"))),IF(ISNUMBER(CA375),IF(ABS(CA375-[1]QC_indicators!$B$1)&gt;3*[1]QC_indicators!$C$1,"DF","no")))</f>
        <v>0</v>
      </c>
      <c r="FA375" t="str">
        <f t="shared" si="430"/>
        <v/>
      </c>
      <c r="FB375" s="299" t="s">
        <v>349</v>
      </c>
    </row>
    <row r="376" spans="1:158" ht="15" hidden="1" customHeight="1">
      <c r="A376" s="1" t="s">
        <v>1001</v>
      </c>
      <c r="B376" t="s">
        <v>3764</v>
      </c>
      <c r="C376" t="s">
        <v>3765</v>
      </c>
      <c r="D376" t="s">
        <v>3766</v>
      </c>
      <c r="E376" t="s">
        <v>3767</v>
      </c>
      <c r="F376" t="s">
        <v>3768</v>
      </c>
      <c r="G376" t="s">
        <v>1002</v>
      </c>
      <c r="H376" t="s">
        <v>254</v>
      </c>
      <c r="I376">
        <v>2011</v>
      </c>
      <c r="J376">
        <v>57</v>
      </c>
      <c r="K376" t="s">
        <v>3769</v>
      </c>
      <c r="M376" t="str">
        <f t="shared" si="388"/>
        <v>Routa_2011</v>
      </c>
      <c r="N376" s="297" t="s">
        <v>4058</v>
      </c>
      <c r="O376" s="145" t="s">
        <v>341</v>
      </c>
      <c r="Q376" s="297" t="s">
        <v>256</v>
      </c>
      <c r="R376" s="298"/>
      <c r="S376" s="1" t="s">
        <v>3788</v>
      </c>
      <c r="T376" t="s">
        <v>1003</v>
      </c>
      <c r="U376" t="e">
        <f>#REF!</f>
        <v>#REF!</v>
      </c>
      <c r="X376">
        <v>0</v>
      </c>
      <c r="Y376">
        <v>0</v>
      </c>
      <c r="Z376">
        <v>0</v>
      </c>
      <c r="AA376">
        <v>0</v>
      </c>
      <c r="AB376">
        <v>0</v>
      </c>
      <c r="AC376">
        <v>2</v>
      </c>
      <c r="AD376">
        <v>1</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s="141">
        <f t="shared" si="404"/>
        <v>2</v>
      </c>
      <c r="BA376" s="141">
        <f t="shared" si="405"/>
        <v>2</v>
      </c>
      <c r="BB376">
        <f t="shared" si="406"/>
        <v>2</v>
      </c>
      <c r="BC376">
        <f t="shared" si="407"/>
        <v>0</v>
      </c>
      <c r="BD376">
        <f t="shared" si="408"/>
        <v>0</v>
      </c>
      <c r="BE376">
        <f t="shared" si="409"/>
        <v>0</v>
      </c>
      <c r="BF376">
        <f t="shared" si="410"/>
        <v>0</v>
      </c>
      <c r="BG376" t="str" cm="1">
        <f t="array" ref="BG376">IF(BA376=1,INDEX($X$7:$AN$7,MATCH(TRUE,INDEX($X376:$AY376&lt;&gt;0,),0)),IF(BA376=0,INDEX($AO$7:$AY$7,MATCH(1,$AO376:$AY376,0)),IF(BH376="Multiple strategies","mixed drivers",IF(BH376="Supply chain","multiple supply","multiple silviculture"))))</f>
        <v>multiple silviculture</v>
      </c>
      <c r="BH376" s="2" t="str" cm="1">
        <f t="array" ref="BH376">IF(COUNTIF(BB376:BD376,"&lt;&gt;0")=1,INDEX($X$4:$AY$4,MATCH(TRUE,INDEX($X376:$AY376&lt;&gt;0,),0)),IF(COUNTIF(BB376:BD376,"&lt;&gt;0")=0,INDEX($AO$4:$AY$4,MATCH(1,$AO376:$AY376,0)),"Multiple strategies"))</f>
        <v>Silviculture for productivity</v>
      </c>
      <c r="BR376" s="297" t="s">
        <v>232</v>
      </c>
      <c r="BS376" s="297"/>
      <c r="BT376" t="s">
        <v>1953</v>
      </c>
      <c r="BU376">
        <v>-150</v>
      </c>
      <c r="BV376">
        <v>-110</v>
      </c>
      <c r="BW376" s="144">
        <v>0.73333333333333328</v>
      </c>
      <c r="BX376">
        <v>40</v>
      </c>
      <c r="BZ376">
        <f t="shared" si="431"/>
        <v>40000</v>
      </c>
      <c r="CA376" t="str">
        <f t="shared" si="421"/>
        <v/>
      </c>
      <c r="CB376">
        <v>0</v>
      </c>
      <c r="CC376">
        <v>0</v>
      </c>
      <c r="CD376">
        <v>0</v>
      </c>
      <c r="CE376">
        <v>1</v>
      </c>
      <c r="CF376">
        <v>0</v>
      </c>
      <c r="CG376">
        <v>0</v>
      </c>
      <c r="CH376">
        <v>0</v>
      </c>
      <c r="CI376">
        <v>0</v>
      </c>
      <c r="CJ376">
        <v>0</v>
      </c>
      <c r="CK376">
        <v>0</v>
      </c>
      <c r="CL376">
        <v>0</v>
      </c>
      <c r="CM376">
        <v>0</v>
      </c>
      <c r="CN376">
        <v>0</v>
      </c>
      <c r="CO376">
        <v>0</v>
      </c>
      <c r="CP376" t="str">
        <f t="shared" si="435"/>
        <v>refOK</v>
      </c>
      <c r="CQ376"/>
      <c r="CR376"/>
      <c r="CS376"/>
      <c r="CT376">
        <f t="shared" si="422"/>
        <v>0</v>
      </c>
      <c r="CU376">
        <f t="shared" si="411"/>
        <v>-150</v>
      </c>
      <c r="CV376">
        <f t="shared" si="398"/>
        <v>-110</v>
      </c>
      <c r="CW376">
        <f t="shared" si="412"/>
        <v>40000</v>
      </c>
      <c r="CX376" t="str">
        <f t="shared" si="423"/>
        <v/>
      </c>
      <c r="CY376" t="str">
        <f t="shared" si="413"/>
        <v/>
      </c>
      <c r="CZ376" t="str">
        <f t="shared" si="424"/>
        <v/>
      </c>
      <c r="DA376" s="2">
        <f t="shared" si="414"/>
        <v>0.26666666666666666</v>
      </c>
      <c r="DB376" s="1" t="s">
        <v>1074</v>
      </c>
      <c r="DC376" s="297" t="str">
        <f t="shared" si="433"/>
        <v>reg</v>
      </c>
      <c r="DD376" t="s">
        <v>235</v>
      </c>
      <c r="DE376">
        <v>2011</v>
      </c>
      <c r="DF376">
        <v>2090</v>
      </c>
      <c r="DG376">
        <v>80</v>
      </c>
      <c r="DH376" t="str">
        <f t="shared" si="415"/>
        <v>71-100</v>
      </c>
      <c r="DI376">
        <v>0</v>
      </c>
      <c r="DJ376">
        <v>1</v>
      </c>
      <c r="DK376">
        <v>1</v>
      </c>
      <c r="DL376">
        <v>1</v>
      </c>
      <c r="DN376">
        <f t="shared" si="432"/>
        <v>3</v>
      </c>
      <c r="DO376" t="str">
        <f t="shared" si="416"/>
        <v>mixedProduct</v>
      </c>
      <c r="DP376">
        <f t="shared" si="417"/>
        <v>0</v>
      </c>
      <c r="DQ376" t="str">
        <f t="shared" si="418"/>
        <v>Energy</v>
      </c>
      <c r="DR376" t="str">
        <f t="shared" si="419"/>
        <v>Pulp/Paper</v>
      </c>
      <c r="DS376" t="str">
        <f t="shared" si="420"/>
        <v>Timber</v>
      </c>
      <c r="DT376">
        <v>1</v>
      </c>
      <c r="DU376">
        <v>0</v>
      </c>
      <c r="DV376">
        <v>0</v>
      </c>
      <c r="DW376">
        <v>0</v>
      </c>
      <c r="DX376">
        <v>0</v>
      </c>
      <c r="DY376">
        <f t="shared" si="399"/>
        <v>1</v>
      </c>
      <c r="DZ376" s="143" t="str">
        <f t="shared" si="434"/>
        <v>self-calculated DF</v>
      </c>
      <c r="EA376">
        <v>1</v>
      </c>
      <c r="EB376">
        <v>1</v>
      </c>
      <c r="EC376">
        <v>1</v>
      </c>
      <c r="ED376">
        <v>0</v>
      </c>
      <c r="EE376">
        <v>0</v>
      </c>
      <c r="EF376" s="143">
        <v>0</v>
      </c>
      <c r="EG376">
        <v>1</v>
      </c>
      <c r="EH376">
        <v>1</v>
      </c>
      <c r="EI376">
        <v>0</v>
      </c>
      <c r="EJ376">
        <v>1</v>
      </c>
      <c r="EK376">
        <v>1</v>
      </c>
      <c r="EL376">
        <v>1</v>
      </c>
      <c r="EM376">
        <v>0</v>
      </c>
      <c r="EN376" s="2">
        <v>0</v>
      </c>
      <c r="EP376" t="str">
        <f t="shared" si="425"/>
        <v>Whole sector approach</v>
      </c>
      <c r="EQ376" t="str">
        <f t="shared" si="403"/>
        <v/>
      </c>
      <c r="ER376" s="2" t="str">
        <f t="shared" si="426"/>
        <v/>
      </c>
      <c r="ES376" t="str">
        <f t="shared" si="427"/>
        <v/>
      </c>
      <c r="ET376" t="str">
        <f t="shared" si="428"/>
        <v/>
      </c>
      <c r="EU376" t="str">
        <f t="shared" si="429"/>
        <v/>
      </c>
      <c r="EY376" t="b">
        <f>IF(ISNUMBER(BW376),IF(ABS(BW376-[1]QC_indicators!$B$2)&gt;3*[1]QC_indicators!$C$2,"C ratio",IF(ISNUMBER(CA376),IF(ABS(CA376-[1]QC_indicators!$B$1)&gt;3*[1]QC_indicators!$C$1,"DF","no"))),IF(ISNUMBER(CA376),IF(ABS(CA376-[1]QC_indicators!$B$1)&gt;3*[1]QC_indicators!$C$1,"DF","no")))</f>
        <v>0</v>
      </c>
      <c r="FA376" t="str">
        <f t="shared" si="430"/>
        <v/>
      </c>
      <c r="FB376" s="299" t="s">
        <v>349</v>
      </c>
    </row>
    <row r="377" spans="1:158" ht="15" hidden="1" customHeight="1">
      <c r="A377" s="1" t="s">
        <v>1001</v>
      </c>
      <c r="B377" t="s">
        <v>3764</v>
      </c>
      <c r="C377" t="s">
        <v>3765</v>
      </c>
      <c r="D377" t="s">
        <v>3766</v>
      </c>
      <c r="E377" t="s">
        <v>3767</v>
      </c>
      <c r="F377" t="s">
        <v>3768</v>
      </c>
      <c r="G377" t="s">
        <v>1002</v>
      </c>
      <c r="H377" t="s">
        <v>254</v>
      </c>
      <c r="I377">
        <v>2011</v>
      </c>
      <c r="J377">
        <v>57</v>
      </c>
      <c r="K377" t="s">
        <v>3769</v>
      </c>
      <c r="M377" t="str">
        <f t="shared" si="388"/>
        <v>Routa_2011</v>
      </c>
      <c r="N377" s="297" t="s">
        <v>4058</v>
      </c>
      <c r="O377" s="145" t="s">
        <v>341</v>
      </c>
      <c r="Q377" s="297" t="s">
        <v>256</v>
      </c>
      <c r="R377" s="298"/>
      <c r="S377" s="1" t="s">
        <v>3789</v>
      </c>
      <c r="T377" t="s">
        <v>1003</v>
      </c>
      <c r="U377" t="e">
        <f>#REF!</f>
        <v>#REF!</v>
      </c>
      <c r="X377">
        <v>0</v>
      </c>
      <c r="Y377">
        <v>0</v>
      </c>
      <c r="Z377">
        <v>0</v>
      </c>
      <c r="AA377">
        <v>0</v>
      </c>
      <c r="AB377">
        <v>0</v>
      </c>
      <c r="AC377">
        <v>2</v>
      </c>
      <c r="AD377">
        <v>1</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s="141">
        <f t="shared" si="404"/>
        <v>2</v>
      </c>
      <c r="BA377" s="141">
        <f t="shared" si="405"/>
        <v>2</v>
      </c>
      <c r="BB377">
        <f t="shared" si="406"/>
        <v>2</v>
      </c>
      <c r="BC377">
        <f t="shared" si="407"/>
        <v>0</v>
      </c>
      <c r="BD377">
        <f t="shared" si="408"/>
        <v>0</v>
      </c>
      <c r="BE377">
        <f t="shared" si="409"/>
        <v>0</v>
      </c>
      <c r="BF377">
        <f t="shared" si="410"/>
        <v>0</v>
      </c>
      <c r="BG377" t="str" cm="1">
        <f t="array" ref="BG377">IF(BA377=1,INDEX($X$7:$AN$7,MATCH(TRUE,INDEX($X377:$AY377&lt;&gt;0,),0)),IF(BA377=0,INDEX($AO$7:$AY$7,MATCH(1,$AO377:$AY377,0)),IF(BH377="Multiple strategies","mixed drivers",IF(BH377="Supply chain","multiple supply","multiple silviculture"))))</f>
        <v>multiple silviculture</v>
      </c>
      <c r="BH377" s="2" t="str" cm="1">
        <f t="array" ref="BH377">IF(COUNTIF(BB377:BD377,"&lt;&gt;0")=1,INDEX($X$4:$AY$4,MATCH(TRUE,INDEX($X377:$AY377&lt;&gt;0,),0)),IF(COUNTIF(BB377:BD377,"&lt;&gt;0")=0,INDEX($AO$4:$AY$4,MATCH(1,$AO377:$AY377,0)),"Multiple strategies"))</f>
        <v>Silviculture for productivity</v>
      </c>
      <c r="BR377" s="297" t="s">
        <v>232</v>
      </c>
      <c r="BS377" s="297"/>
      <c r="BT377" t="s">
        <v>1953</v>
      </c>
      <c r="BU377">
        <v>-150</v>
      </c>
      <c r="BV377">
        <v>-110</v>
      </c>
      <c r="BW377" s="144">
        <v>0.73333333333333328</v>
      </c>
      <c r="BX377">
        <v>40</v>
      </c>
      <c r="BZ377">
        <f t="shared" si="431"/>
        <v>40000</v>
      </c>
      <c r="CA377" t="str">
        <f t="shared" si="421"/>
        <v/>
      </c>
      <c r="CB377">
        <v>0</v>
      </c>
      <c r="CC377">
        <v>0</v>
      </c>
      <c r="CD377">
        <v>0</v>
      </c>
      <c r="CE377">
        <v>1</v>
      </c>
      <c r="CF377">
        <v>0</v>
      </c>
      <c r="CG377">
        <v>0</v>
      </c>
      <c r="CH377">
        <v>0</v>
      </c>
      <c r="CI377">
        <v>0</v>
      </c>
      <c r="CJ377">
        <v>0</v>
      </c>
      <c r="CK377">
        <v>0</v>
      </c>
      <c r="CL377">
        <v>0</v>
      </c>
      <c r="CM377">
        <v>0</v>
      </c>
      <c r="CN377">
        <v>0</v>
      </c>
      <c r="CO377">
        <v>0</v>
      </c>
      <c r="CP377" t="str">
        <f t="shared" si="435"/>
        <v>refOK</v>
      </c>
      <c r="CQ377"/>
      <c r="CR377"/>
      <c r="CS377"/>
      <c r="CT377">
        <f t="shared" si="422"/>
        <v>0</v>
      </c>
      <c r="CU377">
        <f t="shared" si="411"/>
        <v>-150</v>
      </c>
      <c r="CV377">
        <f t="shared" si="398"/>
        <v>-110</v>
      </c>
      <c r="CW377">
        <f t="shared" si="412"/>
        <v>40000</v>
      </c>
      <c r="CX377" t="str">
        <f t="shared" si="423"/>
        <v/>
      </c>
      <c r="CY377" t="str">
        <f t="shared" si="413"/>
        <v/>
      </c>
      <c r="CZ377" t="str">
        <f t="shared" si="424"/>
        <v/>
      </c>
      <c r="DA377" s="2">
        <f t="shared" si="414"/>
        <v>0.26666666666666666</v>
      </c>
      <c r="DB377" s="1" t="s">
        <v>1074</v>
      </c>
      <c r="DC377" s="297" t="str">
        <f t="shared" si="433"/>
        <v>reg</v>
      </c>
      <c r="DD377" t="s">
        <v>235</v>
      </c>
      <c r="DE377">
        <v>2011</v>
      </c>
      <c r="DF377">
        <v>2090</v>
      </c>
      <c r="DG377">
        <v>80</v>
      </c>
      <c r="DH377" t="str">
        <f t="shared" si="415"/>
        <v>71-100</v>
      </c>
      <c r="DI377">
        <v>0</v>
      </c>
      <c r="DJ377">
        <v>1</v>
      </c>
      <c r="DK377">
        <v>1</v>
      </c>
      <c r="DL377">
        <v>1</v>
      </c>
      <c r="DN377">
        <f t="shared" si="432"/>
        <v>3</v>
      </c>
      <c r="DO377" t="str">
        <f t="shared" si="416"/>
        <v>mixedProduct</v>
      </c>
      <c r="DP377">
        <f t="shared" si="417"/>
        <v>0</v>
      </c>
      <c r="DQ377" t="str">
        <f t="shared" si="418"/>
        <v>Energy</v>
      </c>
      <c r="DR377" t="str">
        <f t="shared" si="419"/>
        <v>Pulp/Paper</v>
      </c>
      <c r="DS377" t="str">
        <f t="shared" si="420"/>
        <v>Timber</v>
      </c>
      <c r="DT377">
        <v>1</v>
      </c>
      <c r="DU377">
        <v>0</v>
      </c>
      <c r="DV377">
        <v>0</v>
      </c>
      <c r="DW377">
        <v>0</v>
      </c>
      <c r="DX377">
        <v>0</v>
      </c>
      <c r="DY377">
        <f t="shared" si="399"/>
        <v>1</v>
      </c>
      <c r="DZ377" s="143" t="str">
        <f t="shared" si="434"/>
        <v>self-calculated DF</v>
      </c>
      <c r="EA377">
        <v>1</v>
      </c>
      <c r="EB377">
        <v>1</v>
      </c>
      <c r="EC377">
        <v>1</v>
      </c>
      <c r="ED377">
        <v>0</v>
      </c>
      <c r="EE377">
        <v>0</v>
      </c>
      <c r="EF377" s="143">
        <v>0</v>
      </c>
      <c r="EG377">
        <v>1</v>
      </c>
      <c r="EH377">
        <v>1</v>
      </c>
      <c r="EI377">
        <v>0</v>
      </c>
      <c r="EJ377">
        <v>1</v>
      </c>
      <c r="EK377">
        <v>1</v>
      </c>
      <c r="EL377">
        <v>1</v>
      </c>
      <c r="EM377">
        <v>0</v>
      </c>
      <c r="EN377" s="2">
        <v>0</v>
      </c>
      <c r="EP377" t="str">
        <f t="shared" si="425"/>
        <v>Whole sector approach</v>
      </c>
      <c r="EQ377" t="str">
        <f t="shared" si="403"/>
        <v/>
      </c>
      <c r="ER377" s="2" t="str">
        <f t="shared" si="426"/>
        <v/>
      </c>
      <c r="ES377" t="str">
        <f t="shared" si="427"/>
        <v/>
      </c>
      <c r="ET377" t="str">
        <f t="shared" si="428"/>
        <v/>
      </c>
      <c r="EU377" t="str">
        <f t="shared" si="429"/>
        <v/>
      </c>
      <c r="EY377" t="b">
        <f>IF(ISNUMBER(BW377),IF(ABS(BW377-[1]QC_indicators!$B$2)&gt;3*[1]QC_indicators!$C$2,"C ratio",IF(ISNUMBER(CA377),IF(ABS(CA377-[1]QC_indicators!$B$1)&gt;3*[1]QC_indicators!$C$1,"DF","no"))),IF(ISNUMBER(CA377),IF(ABS(CA377-[1]QC_indicators!$B$1)&gt;3*[1]QC_indicators!$C$1,"DF","no")))</f>
        <v>0</v>
      </c>
      <c r="FA377" t="str">
        <f t="shared" si="430"/>
        <v/>
      </c>
      <c r="FB377" s="299" t="s">
        <v>349</v>
      </c>
    </row>
    <row r="378" spans="1:158" ht="15" hidden="1" customHeight="1">
      <c r="A378" s="1" t="s">
        <v>1001</v>
      </c>
      <c r="B378" t="s">
        <v>3764</v>
      </c>
      <c r="C378" t="s">
        <v>3765</v>
      </c>
      <c r="D378" t="s">
        <v>3766</v>
      </c>
      <c r="E378" t="s">
        <v>3767</v>
      </c>
      <c r="F378" t="s">
        <v>3768</v>
      </c>
      <c r="G378" t="s">
        <v>1002</v>
      </c>
      <c r="H378" t="s">
        <v>254</v>
      </c>
      <c r="I378">
        <v>2011</v>
      </c>
      <c r="J378">
        <v>57</v>
      </c>
      <c r="K378" t="s">
        <v>3769</v>
      </c>
      <c r="M378" t="str">
        <f t="shared" si="388"/>
        <v>Routa_2011</v>
      </c>
      <c r="N378" s="297" t="s">
        <v>4058</v>
      </c>
      <c r="O378" s="145" t="s">
        <v>341</v>
      </c>
      <c r="Q378" s="297" t="s">
        <v>256</v>
      </c>
      <c r="R378" s="298"/>
      <c r="S378" s="1" t="s">
        <v>3787</v>
      </c>
      <c r="T378" t="s">
        <v>1003</v>
      </c>
      <c r="U378" t="e">
        <f>#REF!</f>
        <v>#REF!</v>
      </c>
      <c r="X378">
        <v>0</v>
      </c>
      <c r="Y378">
        <v>0</v>
      </c>
      <c r="Z378">
        <v>0</v>
      </c>
      <c r="AA378">
        <v>0</v>
      </c>
      <c r="AB378">
        <v>0</v>
      </c>
      <c r="AC378">
        <v>2</v>
      </c>
      <c r="AD378">
        <v>1</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s="141">
        <f t="shared" si="404"/>
        <v>2</v>
      </c>
      <c r="BA378" s="141">
        <f t="shared" si="405"/>
        <v>2</v>
      </c>
      <c r="BB378">
        <f t="shared" si="406"/>
        <v>2</v>
      </c>
      <c r="BC378">
        <f t="shared" si="407"/>
        <v>0</v>
      </c>
      <c r="BD378">
        <f t="shared" si="408"/>
        <v>0</v>
      </c>
      <c r="BE378">
        <f t="shared" si="409"/>
        <v>0</v>
      </c>
      <c r="BF378">
        <f t="shared" si="410"/>
        <v>0</v>
      </c>
      <c r="BG378" t="str" cm="1">
        <f t="array" ref="BG378">IF(BA378=1,INDEX($X$7:$AN$7,MATCH(TRUE,INDEX($X378:$AY378&lt;&gt;0,),0)),IF(BA378=0,INDEX($AO$7:$AY$7,MATCH(1,$AO378:$AY378,0)),IF(BH378="Multiple strategies","mixed drivers",IF(BH378="Supply chain","multiple supply","multiple silviculture"))))</f>
        <v>multiple silviculture</v>
      </c>
      <c r="BH378" s="2" t="str" cm="1">
        <f t="array" ref="BH378">IF(COUNTIF(BB378:BD378,"&lt;&gt;0")=1,INDEX($X$4:$AY$4,MATCH(TRUE,INDEX($X378:$AY378&lt;&gt;0,),0)),IF(COUNTIF(BB378:BD378,"&lt;&gt;0")=0,INDEX($AO$4:$AY$4,MATCH(1,$AO378:$AY378,0)),"Multiple strategies"))</f>
        <v>Silviculture for productivity</v>
      </c>
      <c r="BR378" s="297" t="s">
        <v>232</v>
      </c>
      <c r="BS378" s="297"/>
      <c r="BT378" t="s">
        <v>1953</v>
      </c>
      <c r="BU378">
        <v>-150</v>
      </c>
      <c r="BV378">
        <v>-109</v>
      </c>
      <c r="BW378" s="144">
        <v>0.72666666666666668</v>
      </c>
      <c r="BX378">
        <v>41</v>
      </c>
      <c r="BZ378">
        <f t="shared" si="431"/>
        <v>41000</v>
      </c>
      <c r="CA378" t="str">
        <f t="shared" si="421"/>
        <v/>
      </c>
      <c r="CB378">
        <v>0</v>
      </c>
      <c r="CC378">
        <v>0</v>
      </c>
      <c r="CD378">
        <v>0</v>
      </c>
      <c r="CE378">
        <v>1</v>
      </c>
      <c r="CF378">
        <v>0</v>
      </c>
      <c r="CG378">
        <v>0</v>
      </c>
      <c r="CH378">
        <v>0</v>
      </c>
      <c r="CI378">
        <v>0</v>
      </c>
      <c r="CJ378">
        <v>0</v>
      </c>
      <c r="CK378">
        <v>0</v>
      </c>
      <c r="CL378">
        <v>0</v>
      </c>
      <c r="CM378">
        <v>0</v>
      </c>
      <c r="CN378">
        <v>0</v>
      </c>
      <c r="CO378">
        <v>0</v>
      </c>
      <c r="CP378" t="str">
        <f t="shared" si="435"/>
        <v>refOK</v>
      </c>
      <c r="CQ378"/>
      <c r="CR378"/>
      <c r="CS378"/>
      <c r="CT378">
        <f t="shared" si="422"/>
        <v>0</v>
      </c>
      <c r="CU378">
        <f t="shared" si="411"/>
        <v>-150</v>
      </c>
      <c r="CV378">
        <f t="shared" si="398"/>
        <v>-109</v>
      </c>
      <c r="CW378">
        <f t="shared" si="412"/>
        <v>41000</v>
      </c>
      <c r="CX378" t="str">
        <f t="shared" si="423"/>
        <v/>
      </c>
      <c r="CY378" t="str">
        <f t="shared" si="413"/>
        <v/>
      </c>
      <c r="CZ378" t="str">
        <f t="shared" si="424"/>
        <v/>
      </c>
      <c r="DA378" s="2">
        <f t="shared" si="414"/>
        <v>0.27333333333333332</v>
      </c>
      <c r="DB378" s="1" t="s">
        <v>1074</v>
      </c>
      <c r="DC378" s="297" t="str">
        <f t="shared" si="433"/>
        <v>reg</v>
      </c>
      <c r="DD378" t="s">
        <v>235</v>
      </c>
      <c r="DE378">
        <v>2011</v>
      </c>
      <c r="DF378">
        <v>2090</v>
      </c>
      <c r="DG378">
        <v>80</v>
      </c>
      <c r="DH378" t="str">
        <f t="shared" si="415"/>
        <v>71-100</v>
      </c>
      <c r="DI378">
        <v>0</v>
      </c>
      <c r="DJ378">
        <v>1</v>
      </c>
      <c r="DK378">
        <v>1</v>
      </c>
      <c r="DL378">
        <v>1</v>
      </c>
      <c r="DN378">
        <f t="shared" si="432"/>
        <v>3</v>
      </c>
      <c r="DO378" t="str">
        <f t="shared" si="416"/>
        <v>mixedProduct</v>
      </c>
      <c r="DP378">
        <f t="shared" si="417"/>
        <v>0</v>
      </c>
      <c r="DQ378" t="str">
        <f t="shared" si="418"/>
        <v>Energy</v>
      </c>
      <c r="DR378" t="str">
        <f t="shared" si="419"/>
        <v>Pulp/Paper</v>
      </c>
      <c r="DS378" t="str">
        <f t="shared" si="420"/>
        <v>Timber</v>
      </c>
      <c r="DT378">
        <v>1</v>
      </c>
      <c r="DU378">
        <v>0</v>
      </c>
      <c r="DV378">
        <v>0</v>
      </c>
      <c r="DW378">
        <v>0</v>
      </c>
      <c r="DX378">
        <v>0</v>
      </c>
      <c r="DY378">
        <f t="shared" si="399"/>
        <v>1</v>
      </c>
      <c r="DZ378" s="143" t="str">
        <f t="shared" si="434"/>
        <v>self-calculated DF</v>
      </c>
      <c r="EA378">
        <v>1</v>
      </c>
      <c r="EB378">
        <v>1</v>
      </c>
      <c r="EC378">
        <v>1</v>
      </c>
      <c r="ED378">
        <v>0</v>
      </c>
      <c r="EE378">
        <v>0</v>
      </c>
      <c r="EF378" s="143">
        <v>0</v>
      </c>
      <c r="EG378">
        <v>1</v>
      </c>
      <c r="EH378">
        <v>1</v>
      </c>
      <c r="EI378">
        <v>0</v>
      </c>
      <c r="EJ378">
        <v>1</v>
      </c>
      <c r="EK378">
        <v>1</v>
      </c>
      <c r="EL378">
        <v>1</v>
      </c>
      <c r="EM378">
        <v>0</v>
      </c>
      <c r="EN378" s="2">
        <v>0</v>
      </c>
      <c r="EP378" t="str">
        <f t="shared" si="425"/>
        <v>Whole sector approach</v>
      </c>
      <c r="EQ378" t="str">
        <f t="shared" si="403"/>
        <v/>
      </c>
      <c r="ER378" s="2" t="str">
        <f t="shared" si="426"/>
        <v/>
      </c>
      <c r="ES378" t="str">
        <f t="shared" si="427"/>
        <v/>
      </c>
      <c r="ET378" t="str">
        <f t="shared" si="428"/>
        <v/>
      </c>
      <c r="EU378" t="str">
        <f t="shared" si="429"/>
        <v/>
      </c>
      <c r="EY378" t="b">
        <f>IF(ISNUMBER(BW378),IF(ABS(BW378-[1]QC_indicators!$B$2)&gt;3*[1]QC_indicators!$C$2,"C ratio",IF(ISNUMBER(CA378),IF(ABS(CA378-[1]QC_indicators!$B$1)&gt;3*[1]QC_indicators!$C$1,"DF","no"))),IF(ISNUMBER(CA378),IF(ABS(CA378-[1]QC_indicators!$B$1)&gt;3*[1]QC_indicators!$C$1,"DF","no")))</f>
        <v>0</v>
      </c>
      <c r="FA378" t="str">
        <f t="shared" si="430"/>
        <v/>
      </c>
      <c r="FB378" s="299" t="s">
        <v>349</v>
      </c>
    </row>
    <row r="379" spans="1:158" ht="15" hidden="1" customHeight="1">
      <c r="A379" s="1" t="s">
        <v>1001</v>
      </c>
      <c r="B379" t="s">
        <v>3764</v>
      </c>
      <c r="C379" t="s">
        <v>3765</v>
      </c>
      <c r="D379" t="s">
        <v>3766</v>
      </c>
      <c r="E379" t="s">
        <v>3767</v>
      </c>
      <c r="F379" t="s">
        <v>3768</v>
      </c>
      <c r="G379" t="s">
        <v>1002</v>
      </c>
      <c r="H379" t="s">
        <v>254</v>
      </c>
      <c r="I379">
        <v>2011</v>
      </c>
      <c r="J379">
        <v>57</v>
      </c>
      <c r="K379" t="s">
        <v>3769</v>
      </c>
      <c r="M379" t="str">
        <f t="shared" si="388"/>
        <v>Routa_2011</v>
      </c>
      <c r="N379" s="297" t="s">
        <v>4058</v>
      </c>
      <c r="O379" s="145" t="s">
        <v>341</v>
      </c>
      <c r="Q379" s="297" t="s">
        <v>256</v>
      </c>
      <c r="R379" s="298"/>
      <c r="S379" s="1" t="s">
        <v>3786</v>
      </c>
      <c r="T379" t="s">
        <v>1003</v>
      </c>
      <c r="U379" t="e">
        <f>#REF!</f>
        <v>#REF!</v>
      </c>
      <c r="X379">
        <v>0</v>
      </c>
      <c r="Y379">
        <v>0</v>
      </c>
      <c r="Z379">
        <v>0</v>
      </c>
      <c r="AA379">
        <v>0</v>
      </c>
      <c r="AB379">
        <v>0</v>
      </c>
      <c r="AC379">
        <v>2</v>
      </c>
      <c r="AD379">
        <v>1</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s="141">
        <f t="shared" si="404"/>
        <v>2</v>
      </c>
      <c r="BA379" s="141">
        <f t="shared" si="405"/>
        <v>2</v>
      </c>
      <c r="BB379">
        <f t="shared" si="406"/>
        <v>2</v>
      </c>
      <c r="BC379">
        <f t="shared" si="407"/>
        <v>0</v>
      </c>
      <c r="BD379">
        <f t="shared" si="408"/>
        <v>0</v>
      </c>
      <c r="BE379">
        <f t="shared" si="409"/>
        <v>0</v>
      </c>
      <c r="BF379">
        <f t="shared" si="410"/>
        <v>0</v>
      </c>
      <c r="BG379" t="str" cm="1">
        <f t="array" ref="BG379">IF(BA379=1,INDEX($X$7:$AN$7,MATCH(TRUE,INDEX($X379:$AY379&lt;&gt;0,),0)),IF(BA379=0,INDEX($AO$7:$AY$7,MATCH(1,$AO379:$AY379,0)),IF(BH379="Multiple strategies","mixed drivers",IF(BH379="Supply chain","multiple supply","multiple silviculture"))))</f>
        <v>multiple silviculture</v>
      </c>
      <c r="BH379" s="2" t="str" cm="1">
        <f t="array" ref="BH379">IF(COUNTIF(BB379:BD379,"&lt;&gt;0")=1,INDEX($X$4:$AY$4,MATCH(TRUE,INDEX($X379:$AY379&lt;&gt;0,),0)),IF(COUNTIF(BB379:BD379,"&lt;&gt;0")=0,INDEX($AO$4:$AY$4,MATCH(1,$AO379:$AY379,0)),"Multiple strategies"))</f>
        <v>Silviculture for productivity</v>
      </c>
      <c r="BR379" s="297" t="s">
        <v>232</v>
      </c>
      <c r="BS379" s="297"/>
      <c r="BT379" t="s">
        <v>1953</v>
      </c>
      <c r="BU379">
        <v>-150</v>
      </c>
      <c r="BV379">
        <v>-108</v>
      </c>
      <c r="BW379" s="144">
        <v>0.72</v>
      </c>
      <c r="BX379">
        <v>42</v>
      </c>
      <c r="BZ379">
        <f t="shared" si="431"/>
        <v>42000</v>
      </c>
      <c r="CA379" t="str">
        <f t="shared" si="421"/>
        <v/>
      </c>
      <c r="CB379">
        <v>0</v>
      </c>
      <c r="CC379">
        <v>0</v>
      </c>
      <c r="CD379">
        <v>0</v>
      </c>
      <c r="CE379">
        <v>1</v>
      </c>
      <c r="CF379">
        <v>0</v>
      </c>
      <c r="CG379">
        <v>0</v>
      </c>
      <c r="CH379">
        <v>0</v>
      </c>
      <c r="CI379">
        <v>0</v>
      </c>
      <c r="CJ379">
        <v>0</v>
      </c>
      <c r="CK379">
        <v>0</v>
      </c>
      <c r="CL379">
        <v>0</v>
      </c>
      <c r="CM379">
        <v>0</v>
      </c>
      <c r="CN379">
        <v>0</v>
      </c>
      <c r="CO379">
        <v>0</v>
      </c>
      <c r="CP379" t="str">
        <f t="shared" si="435"/>
        <v>refOK</v>
      </c>
      <c r="CQ379"/>
      <c r="CR379"/>
      <c r="CS379"/>
      <c r="CT379">
        <f t="shared" si="422"/>
        <v>0</v>
      </c>
      <c r="CU379">
        <f t="shared" si="411"/>
        <v>-150</v>
      </c>
      <c r="CV379">
        <f t="shared" si="398"/>
        <v>-108</v>
      </c>
      <c r="CW379">
        <f t="shared" si="412"/>
        <v>42000</v>
      </c>
      <c r="CX379" t="str">
        <f t="shared" si="423"/>
        <v/>
      </c>
      <c r="CY379" t="str">
        <f t="shared" si="413"/>
        <v/>
      </c>
      <c r="CZ379" t="str">
        <f t="shared" si="424"/>
        <v/>
      </c>
      <c r="DA379" s="2">
        <f t="shared" si="414"/>
        <v>0.28000000000000003</v>
      </c>
      <c r="DB379" s="1" t="s">
        <v>1074</v>
      </c>
      <c r="DC379" s="297" t="str">
        <f t="shared" si="433"/>
        <v>reg</v>
      </c>
      <c r="DD379" t="s">
        <v>235</v>
      </c>
      <c r="DE379">
        <v>2011</v>
      </c>
      <c r="DF379">
        <v>2090</v>
      </c>
      <c r="DG379">
        <v>80</v>
      </c>
      <c r="DH379" t="str">
        <f t="shared" si="415"/>
        <v>71-100</v>
      </c>
      <c r="DI379">
        <v>0</v>
      </c>
      <c r="DJ379">
        <v>1</v>
      </c>
      <c r="DK379">
        <v>1</v>
      </c>
      <c r="DL379">
        <v>1</v>
      </c>
      <c r="DN379">
        <f t="shared" si="432"/>
        <v>3</v>
      </c>
      <c r="DO379" t="str">
        <f t="shared" si="416"/>
        <v>mixedProduct</v>
      </c>
      <c r="DP379">
        <f t="shared" si="417"/>
        <v>0</v>
      </c>
      <c r="DQ379" t="str">
        <f t="shared" si="418"/>
        <v>Energy</v>
      </c>
      <c r="DR379" t="str">
        <f t="shared" si="419"/>
        <v>Pulp/Paper</v>
      </c>
      <c r="DS379" t="str">
        <f t="shared" si="420"/>
        <v>Timber</v>
      </c>
      <c r="DT379">
        <v>1</v>
      </c>
      <c r="DU379">
        <v>0</v>
      </c>
      <c r="DV379">
        <v>0</v>
      </c>
      <c r="DW379">
        <v>0</v>
      </c>
      <c r="DX379">
        <v>0</v>
      </c>
      <c r="DY379">
        <f t="shared" si="399"/>
        <v>1</v>
      </c>
      <c r="DZ379" s="143" t="str">
        <f t="shared" si="434"/>
        <v>self-calculated DF</v>
      </c>
      <c r="EA379">
        <v>1</v>
      </c>
      <c r="EB379">
        <v>1</v>
      </c>
      <c r="EC379">
        <v>1</v>
      </c>
      <c r="ED379">
        <v>0</v>
      </c>
      <c r="EE379">
        <v>0</v>
      </c>
      <c r="EF379" s="143">
        <v>0</v>
      </c>
      <c r="EG379">
        <v>1</v>
      </c>
      <c r="EH379">
        <v>1</v>
      </c>
      <c r="EI379">
        <v>0</v>
      </c>
      <c r="EJ379">
        <v>1</v>
      </c>
      <c r="EK379">
        <v>1</v>
      </c>
      <c r="EL379">
        <v>1</v>
      </c>
      <c r="EM379">
        <v>0</v>
      </c>
      <c r="EN379" s="2">
        <v>0</v>
      </c>
      <c r="EP379" t="str">
        <f t="shared" si="425"/>
        <v>Whole sector approach</v>
      </c>
      <c r="EQ379" t="str">
        <f t="shared" si="403"/>
        <v/>
      </c>
      <c r="ER379" s="2" t="str">
        <f t="shared" si="426"/>
        <v/>
      </c>
      <c r="ES379" t="str">
        <f t="shared" si="427"/>
        <v/>
      </c>
      <c r="ET379" t="str">
        <f t="shared" si="428"/>
        <v/>
      </c>
      <c r="EU379" t="str">
        <f t="shared" si="429"/>
        <v/>
      </c>
      <c r="EY379" t="b">
        <f>IF(ISNUMBER(BW379),IF(ABS(BW379-[1]QC_indicators!$B$2)&gt;3*[1]QC_indicators!$C$2,"C ratio",IF(ISNUMBER(CA379),IF(ABS(CA379-[1]QC_indicators!$B$1)&gt;3*[1]QC_indicators!$C$1,"DF","no"))),IF(ISNUMBER(CA379),IF(ABS(CA379-[1]QC_indicators!$B$1)&gt;3*[1]QC_indicators!$C$1,"DF","no")))</f>
        <v>0</v>
      </c>
      <c r="FA379" t="str">
        <f t="shared" si="430"/>
        <v/>
      </c>
      <c r="FB379" s="299" t="s">
        <v>349</v>
      </c>
    </row>
    <row r="380" spans="1:158" ht="15" hidden="1" customHeight="1">
      <c r="A380" s="1" t="s">
        <v>1001</v>
      </c>
      <c r="B380" t="s">
        <v>3764</v>
      </c>
      <c r="C380" t="s">
        <v>3765</v>
      </c>
      <c r="D380" t="s">
        <v>3766</v>
      </c>
      <c r="E380" t="s">
        <v>3767</v>
      </c>
      <c r="F380" t="s">
        <v>3768</v>
      </c>
      <c r="G380" t="s">
        <v>1002</v>
      </c>
      <c r="H380" t="s">
        <v>254</v>
      </c>
      <c r="I380">
        <v>2011</v>
      </c>
      <c r="J380">
        <v>57</v>
      </c>
      <c r="K380" t="s">
        <v>3769</v>
      </c>
      <c r="M380" t="str">
        <f t="shared" si="388"/>
        <v>Routa_2011</v>
      </c>
      <c r="N380" s="297" t="s">
        <v>4058</v>
      </c>
      <c r="O380" s="145" t="s">
        <v>341</v>
      </c>
      <c r="Q380" s="297" t="s">
        <v>256</v>
      </c>
      <c r="R380" s="298"/>
      <c r="S380" s="1" t="s">
        <v>3785</v>
      </c>
      <c r="T380" t="s">
        <v>1003</v>
      </c>
      <c r="U380" t="e">
        <f>#REF!</f>
        <v>#REF!</v>
      </c>
      <c r="X380">
        <v>0</v>
      </c>
      <c r="Y380">
        <v>0</v>
      </c>
      <c r="Z380">
        <v>0</v>
      </c>
      <c r="AA380">
        <v>0</v>
      </c>
      <c r="AB380">
        <v>0</v>
      </c>
      <c r="AC380">
        <v>2</v>
      </c>
      <c r="AD380">
        <v>1</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s="141">
        <f t="shared" si="404"/>
        <v>2</v>
      </c>
      <c r="BA380" s="141">
        <f t="shared" si="405"/>
        <v>2</v>
      </c>
      <c r="BB380">
        <f t="shared" si="406"/>
        <v>2</v>
      </c>
      <c r="BC380">
        <f t="shared" si="407"/>
        <v>0</v>
      </c>
      <c r="BD380">
        <f t="shared" si="408"/>
        <v>0</v>
      </c>
      <c r="BE380">
        <f t="shared" si="409"/>
        <v>0</v>
      </c>
      <c r="BF380">
        <f t="shared" si="410"/>
        <v>0</v>
      </c>
      <c r="BG380" t="str" cm="1">
        <f t="array" ref="BG380">IF(BA380=1,INDEX($X$7:$AN$7,MATCH(TRUE,INDEX($X380:$AY380&lt;&gt;0,),0)),IF(BA380=0,INDEX($AO$7:$AY$7,MATCH(1,$AO380:$AY380,0)),IF(BH380="Multiple strategies","mixed drivers",IF(BH380="Supply chain","multiple supply","multiple silviculture"))))</f>
        <v>multiple silviculture</v>
      </c>
      <c r="BH380" s="2" t="str" cm="1">
        <f t="array" ref="BH380">IF(COUNTIF(BB380:BD380,"&lt;&gt;0")=1,INDEX($X$4:$AY$4,MATCH(TRUE,INDEX($X380:$AY380&lt;&gt;0,),0)),IF(COUNTIF(BB380:BD380,"&lt;&gt;0")=0,INDEX($AO$4:$AY$4,MATCH(1,$AO380:$AY380,0)),"Multiple strategies"))</f>
        <v>Silviculture for productivity</v>
      </c>
      <c r="BR380" s="297" t="s">
        <v>232</v>
      </c>
      <c r="BS380" s="297"/>
      <c r="BT380" t="s">
        <v>1953</v>
      </c>
      <c r="BU380">
        <v>-200</v>
      </c>
      <c r="BV380">
        <v>-137</v>
      </c>
      <c r="BW380" s="144">
        <v>0.68500000000000005</v>
      </c>
      <c r="BX380">
        <v>63</v>
      </c>
      <c r="BZ380">
        <f t="shared" si="431"/>
        <v>63000</v>
      </c>
      <c r="CA380" t="str">
        <f t="shared" si="421"/>
        <v/>
      </c>
      <c r="CB380">
        <v>0</v>
      </c>
      <c r="CC380">
        <v>0</v>
      </c>
      <c r="CD380">
        <v>0</v>
      </c>
      <c r="CE380">
        <v>1</v>
      </c>
      <c r="CF380">
        <v>0</v>
      </c>
      <c r="CG380">
        <v>0</v>
      </c>
      <c r="CH380">
        <v>0</v>
      </c>
      <c r="CI380">
        <v>0</v>
      </c>
      <c r="CJ380">
        <v>0</v>
      </c>
      <c r="CK380">
        <v>0</v>
      </c>
      <c r="CL380">
        <v>0</v>
      </c>
      <c r="CM380">
        <v>0</v>
      </c>
      <c r="CN380">
        <v>0</v>
      </c>
      <c r="CO380">
        <v>0</v>
      </c>
      <c r="CP380" t="str">
        <f t="shared" si="435"/>
        <v>refOK</v>
      </c>
      <c r="CQ380"/>
      <c r="CR380"/>
      <c r="CS380"/>
      <c r="CT380">
        <f t="shared" si="422"/>
        <v>0</v>
      </c>
      <c r="CU380">
        <f t="shared" si="411"/>
        <v>-200</v>
      </c>
      <c r="CV380">
        <f t="shared" si="398"/>
        <v>-137</v>
      </c>
      <c r="CW380">
        <f t="shared" si="412"/>
        <v>63000</v>
      </c>
      <c r="CX380" t="str">
        <f t="shared" si="423"/>
        <v/>
      </c>
      <c r="CY380" t="str">
        <f t="shared" si="413"/>
        <v/>
      </c>
      <c r="CZ380" t="str">
        <f t="shared" si="424"/>
        <v/>
      </c>
      <c r="DA380" s="2">
        <f t="shared" si="414"/>
        <v>0.315</v>
      </c>
      <c r="DB380" s="1" t="s">
        <v>1074</v>
      </c>
      <c r="DC380" s="297" t="str">
        <f t="shared" si="433"/>
        <v>reg</v>
      </c>
      <c r="DD380" t="s">
        <v>235</v>
      </c>
      <c r="DE380">
        <v>2011</v>
      </c>
      <c r="DF380">
        <v>2090</v>
      </c>
      <c r="DG380">
        <v>80</v>
      </c>
      <c r="DH380" t="str">
        <f t="shared" si="415"/>
        <v>71-100</v>
      </c>
      <c r="DI380">
        <v>0</v>
      </c>
      <c r="DJ380">
        <v>1</v>
      </c>
      <c r="DK380">
        <v>1</v>
      </c>
      <c r="DL380">
        <v>1</v>
      </c>
      <c r="DN380">
        <f t="shared" si="432"/>
        <v>3</v>
      </c>
      <c r="DO380" t="str">
        <f t="shared" si="416"/>
        <v>mixedProduct</v>
      </c>
      <c r="DP380">
        <f t="shared" si="417"/>
        <v>0</v>
      </c>
      <c r="DQ380" t="str">
        <f t="shared" si="418"/>
        <v>Energy</v>
      </c>
      <c r="DR380" t="str">
        <f t="shared" si="419"/>
        <v>Pulp/Paper</v>
      </c>
      <c r="DS380" t="str">
        <f t="shared" si="420"/>
        <v>Timber</v>
      </c>
      <c r="DT380">
        <v>1</v>
      </c>
      <c r="DU380">
        <v>0</v>
      </c>
      <c r="DV380">
        <v>0</v>
      </c>
      <c r="DW380">
        <v>0</v>
      </c>
      <c r="DX380">
        <v>0</v>
      </c>
      <c r="DY380">
        <f t="shared" si="399"/>
        <v>1</v>
      </c>
      <c r="DZ380" s="143" t="str">
        <f t="shared" si="434"/>
        <v>self-calculated DF</v>
      </c>
      <c r="EA380">
        <v>1</v>
      </c>
      <c r="EB380">
        <v>1</v>
      </c>
      <c r="EC380">
        <v>1</v>
      </c>
      <c r="ED380">
        <v>0</v>
      </c>
      <c r="EE380">
        <v>0</v>
      </c>
      <c r="EF380" s="143">
        <v>0</v>
      </c>
      <c r="EG380">
        <v>1</v>
      </c>
      <c r="EH380">
        <v>1</v>
      </c>
      <c r="EI380">
        <v>0</v>
      </c>
      <c r="EJ380">
        <v>1</v>
      </c>
      <c r="EK380">
        <v>1</v>
      </c>
      <c r="EL380">
        <v>1</v>
      </c>
      <c r="EM380">
        <v>0</v>
      </c>
      <c r="EN380" s="2">
        <v>0</v>
      </c>
      <c r="EP380" t="str">
        <f t="shared" si="425"/>
        <v>Whole sector approach</v>
      </c>
      <c r="EQ380" t="str">
        <f t="shared" si="403"/>
        <v/>
      </c>
      <c r="ER380" s="2" t="str">
        <f t="shared" si="426"/>
        <v/>
      </c>
      <c r="ES380" t="str">
        <f t="shared" si="427"/>
        <v/>
      </c>
      <c r="ET380" t="str">
        <f t="shared" si="428"/>
        <v/>
      </c>
      <c r="EU380" t="str">
        <f t="shared" si="429"/>
        <v/>
      </c>
      <c r="EY380" t="b">
        <f>IF(ISNUMBER(BW380),IF(ABS(BW380-[1]QC_indicators!$B$2)&gt;3*[1]QC_indicators!$C$2,"C ratio",IF(ISNUMBER(CA380),IF(ABS(CA380-[1]QC_indicators!$B$1)&gt;3*[1]QC_indicators!$C$1,"DF","no"))),IF(ISNUMBER(CA380),IF(ABS(CA380-[1]QC_indicators!$B$1)&gt;3*[1]QC_indicators!$C$1,"DF","no")))</f>
        <v>0</v>
      </c>
      <c r="FA380" t="str">
        <f t="shared" si="430"/>
        <v/>
      </c>
      <c r="FB380" s="299" t="s">
        <v>349</v>
      </c>
    </row>
    <row r="381" spans="1:158" ht="15" hidden="1" customHeight="1">
      <c r="A381" s="1" t="s">
        <v>1001</v>
      </c>
      <c r="B381" t="s">
        <v>3764</v>
      </c>
      <c r="C381" t="s">
        <v>3765</v>
      </c>
      <c r="D381" t="s">
        <v>3766</v>
      </c>
      <c r="E381" t="s">
        <v>3767</v>
      </c>
      <c r="F381" t="s">
        <v>3768</v>
      </c>
      <c r="G381" t="s">
        <v>1002</v>
      </c>
      <c r="H381" t="s">
        <v>254</v>
      </c>
      <c r="I381">
        <v>2011</v>
      </c>
      <c r="J381">
        <v>57</v>
      </c>
      <c r="K381" t="s">
        <v>3769</v>
      </c>
      <c r="M381" t="str">
        <f t="shared" si="388"/>
        <v>Routa_2011</v>
      </c>
      <c r="N381" s="297" t="s">
        <v>4058</v>
      </c>
      <c r="O381" s="145" t="s">
        <v>341</v>
      </c>
      <c r="Q381" s="297" t="s">
        <v>256</v>
      </c>
      <c r="R381" s="298"/>
      <c r="S381" s="1" t="s">
        <v>3784</v>
      </c>
      <c r="T381" t="s">
        <v>1003</v>
      </c>
      <c r="U381" t="e">
        <f>#REF!</f>
        <v>#REF!</v>
      </c>
      <c r="X381">
        <v>0</v>
      </c>
      <c r="Y381">
        <v>0</v>
      </c>
      <c r="Z381">
        <v>0</v>
      </c>
      <c r="AA381">
        <v>0</v>
      </c>
      <c r="AB381">
        <v>0</v>
      </c>
      <c r="AC381">
        <v>2</v>
      </c>
      <c r="AD381">
        <v>1</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s="141">
        <f t="shared" si="404"/>
        <v>2</v>
      </c>
      <c r="BA381" s="141">
        <f t="shared" si="405"/>
        <v>2</v>
      </c>
      <c r="BB381">
        <f t="shared" si="406"/>
        <v>2</v>
      </c>
      <c r="BC381">
        <f t="shared" si="407"/>
        <v>0</v>
      </c>
      <c r="BD381">
        <f t="shared" si="408"/>
        <v>0</v>
      </c>
      <c r="BE381">
        <f t="shared" si="409"/>
        <v>0</v>
      </c>
      <c r="BF381">
        <f t="shared" si="410"/>
        <v>0</v>
      </c>
      <c r="BG381" t="str" cm="1">
        <f t="array" ref="BG381">IF(BA381=1,INDEX($X$7:$AN$7,MATCH(TRUE,INDEX($X381:$AY381&lt;&gt;0,),0)),IF(BA381=0,INDEX($AO$7:$AY$7,MATCH(1,$AO381:$AY381,0)),IF(BH381="Multiple strategies","mixed drivers",IF(BH381="Supply chain","multiple supply","multiple silviculture"))))</f>
        <v>multiple silviculture</v>
      </c>
      <c r="BH381" s="2" t="str" cm="1">
        <f t="array" ref="BH381">IF(COUNTIF(BB381:BD381,"&lt;&gt;0")=1,INDEX($X$4:$AY$4,MATCH(TRUE,INDEX($X381:$AY381&lt;&gt;0,),0)),IF(COUNTIF(BB381:BD381,"&lt;&gt;0")=0,INDEX($AO$4:$AY$4,MATCH(1,$AO381:$AY381,0)),"Multiple strategies"))</f>
        <v>Silviculture for productivity</v>
      </c>
      <c r="BR381" s="297" t="s">
        <v>232</v>
      </c>
      <c r="BS381" s="297"/>
      <c r="BT381" t="s">
        <v>1953</v>
      </c>
      <c r="BU381">
        <v>-200</v>
      </c>
      <c r="BV381">
        <v>-135</v>
      </c>
      <c r="BW381" s="144">
        <v>0.67500000000000004</v>
      </c>
      <c r="BX381">
        <v>65</v>
      </c>
      <c r="BZ381">
        <f t="shared" si="431"/>
        <v>65000</v>
      </c>
      <c r="CA381" t="str">
        <f t="shared" si="421"/>
        <v/>
      </c>
      <c r="CB381">
        <v>0</v>
      </c>
      <c r="CC381">
        <v>0</v>
      </c>
      <c r="CD381">
        <v>0</v>
      </c>
      <c r="CE381">
        <v>1</v>
      </c>
      <c r="CF381">
        <v>0</v>
      </c>
      <c r="CG381">
        <v>0</v>
      </c>
      <c r="CH381">
        <v>0</v>
      </c>
      <c r="CI381">
        <v>0</v>
      </c>
      <c r="CJ381">
        <v>0</v>
      </c>
      <c r="CK381">
        <v>0</v>
      </c>
      <c r="CL381">
        <v>0</v>
      </c>
      <c r="CM381">
        <v>0</v>
      </c>
      <c r="CN381">
        <v>0</v>
      </c>
      <c r="CO381">
        <v>0</v>
      </c>
      <c r="CP381" t="str">
        <f t="shared" si="435"/>
        <v>refOK</v>
      </c>
      <c r="CQ381"/>
      <c r="CR381"/>
      <c r="CS381"/>
      <c r="CT381">
        <f t="shared" si="422"/>
        <v>0</v>
      </c>
      <c r="CU381">
        <f t="shared" si="411"/>
        <v>-200</v>
      </c>
      <c r="CV381">
        <f t="shared" si="398"/>
        <v>-135</v>
      </c>
      <c r="CW381">
        <f t="shared" si="412"/>
        <v>65000</v>
      </c>
      <c r="CX381" t="str">
        <f t="shared" si="423"/>
        <v/>
      </c>
      <c r="CY381" t="str">
        <f t="shared" si="413"/>
        <v/>
      </c>
      <c r="CZ381" t="str">
        <f t="shared" si="424"/>
        <v/>
      </c>
      <c r="DA381" s="2">
        <f t="shared" si="414"/>
        <v>0.32500000000000001</v>
      </c>
      <c r="DB381" s="1" t="s">
        <v>1074</v>
      </c>
      <c r="DC381" s="297" t="str">
        <f t="shared" si="433"/>
        <v>reg</v>
      </c>
      <c r="DD381" t="s">
        <v>235</v>
      </c>
      <c r="DE381">
        <v>2011</v>
      </c>
      <c r="DF381">
        <v>2090</v>
      </c>
      <c r="DG381">
        <v>80</v>
      </c>
      <c r="DH381" t="str">
        <f t="shared" si="415"/>
        <v>71-100</v>
      </c>
      <c r="DI381">
        <v>0</v>
      </c>
      <c r="DJ381">
        <v>1</v>
      </c>
      <c r="DK381">
        <v>1</v>
      </c>
      <c r="DL381">
        <v>1</v>
      </c>
      <c r="DN381">
        <f t="shared" si="432"/>
        <v>3</v>
      </c>
      <c r="DO381" t="str">
        <f t="shared" si="416"/>
        <v>mixedProduct</v>
      </c>
      <c r="DP381">
        <f t="shared" si="417"/>
        <v>0</v>
      </c>
      <c r="DQ381" t="str">
        <f t="shared" si="418"/>
        <v>Energy</v>
      </c>
      <c r="DR381" t="str">
        <f t="shared" si="419"/>
        <v>Pulp/Paper</v>
      </c>
      <c r="DS381" t="str">
        <f t="shared" si="420"/>
        <v>Timber</v>
      </c>
      <c r="DT381">
        <v>1</v>
      </c>
      <c r="DU381">
        <v>0</v>
      </c>
      <c r="DV381">
        <v>0</v>
      </c>
      <c r="DW381">
        <v>0</v>
      </c>
      <c r="DX381">
        <v>0</v>
      </c>
      <c r="DY381">
        <f t="shared" si="399"/>
        <v>1</v>
      </c>
      <c r="DZ381" s="143" t="str">
        <f t="shared" si="434"/>
        <v>self-calculated DF</v>
      </c>
      <c r="EA381">
        <v>1</v>
      </c>
      <c r="EB381">
        <v>1</v>
      </c>
      <c r="EC381">
        <v>1</v>
      </c>
      <c r="ED381">
        <v>0</v>
      </c>
      <c r="EE381">
        <v>0</v>
      </c>
      <c r="EF381" s="143">
        <v>0</v>
      </c>
      <c r="EG381">
        <v>1</v>
      </c>
      <c r="EH381">
        <v>1</v>
      </c>
      <c r="EI381">
        <v>0</v>
      </c>
      <c r="EJ381">
        <v>1</v>
      </c>
      <c r="EK381">
        <v>1</v>
      </c>
      <c r="EL381">
        <v>1</v>
      </c>
      <c r="EM381">
        <v>0</v>
      </c>
      <c r="EN381" s="2">
        <v>0</v>
      </c>
      <c r="EP381" t="str">
        <f t="shared" si="425"/>
        <v>Whole sector approach</v>
      </c>
      <c r="EQ381" t="str">
        <f t="shared" si="403"/>
        <v/>
      </c>
      <c r="ER381" s="2" t="str">
        <f t="shared" si="426"/>
        <v/>
      </c>
      <c r="ES381" t="str">
        <f t="shared" si="427"/>
        <v/>
      </c>
      <c r="ET381" t="str">
        <f t="shared" si="428"/>
        <v/>
      </c>
      <c r="EU381" t="str">
        <f t="shared" si="429"/>
        <v/>
      </c>
      <c r="EY381" t="b">
        <f>IF(ISNUMBER(BW381),IF(ABS(BW381-[1]QC_indicators!$B$2)&gt;3*[1]QC_indicators!$C$2,"C ratio",IF(ISNUMBER(CA381),IF(ABS(CA381-[1]QC_indicators!$B$1)&gt;3*[1]QC_indicators!$C$1,"DF","no"))),IF(ISNUMBER(CA381),IF(ABS(CA381-[1]QC_indicators!$B$1)&gt;3*[1]QC_indicators!$C$1,"DF","no")))</f>
        <v>0</v>
      </c>
      <c r="FA381" t="str">
        <f t="shared" si="430"/>
        <v/>
      </c>
      <c r="FB381" s="299" t="s">
        <v>349</v>
      </c>
    </row>
    <row r="382" spans="1:158" ht="15" hidden="1" customHeight="1">
      <c r="A382" s="1" t="s">
        <v>1001</v>
      </c>
      <c r="B382" t="s">
        <v>3764</v>
      </c>
      <c r="C382" t="s">
        <v>3765</v>
      </c>
      <c r="D382" t="s">
        <v>3766</v>
      </c>
      <c r="E382" t="s">
        <v>3767</v>
      </c>
      <c r="F382" t="s">
        <v>3768</v>
      </c>
      <c r="G382" t="s">
        <v>1002</v>
      </c>
      <c r="H382" t="s">
        <v>254</v>
      </c>
      <c r="I382">
        <v>2011</v>
      </c>
      <c r="J382">
        <v>57</v>
      </c>
      <c r="K382" t="s">
        <v>3769</v>
      </c>
      <c r="M382" t="str">
        <f t="shared" si="388"/>
        <v>Routa_2011</v>
      </c>
      <c r="N382" s="297" t="s">
        <v>4058</v>
      </c>
      <c r="O382" s="145" t="s">
        <v>341</v>
      </c>
      <c r="Q382" s="297" t="s">
        <v>256</v>
      </c>
      <c r="R382" s="298"/>
      <c r="S382" s="1" t="s">
        <v>3783</v>
      </c>
      <c r="T382" t="s">
        <v>1003</v>
      </c>
      <c r="U382" t="e">
        <f>#REF!</f>
        <v>#REF!</v>
      </c>
      <c r="X382">
        <v>0</v>
      </c>
      <c r="Y382">
        <v>0</v>
      </c>
      <c r="Z382">
        <v>0</v>
      </c>
      <c r="AA382">
        <v>0</v>
      </c>
      <c r="AB382">
        <v>0</v>
      </c>
      <c r="AC382">
        <v>2</v>
      </c>
      <c r="AD382">
        <v>1</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s="141">
        <f t="shared" si="404"/>
        <v>2</v>
      </c>
      <c r="BA382" s="141">
        <f t="shared" si="405"/>
        <v>2</v>
      </c>
      <c r="BB382">
        <f t="shared" si="406"/>
        <v>2</v>
      </c>
      <c r="BC382">
        <f t="shared" si="407"/>
        <v>0</v>
      </c>
      <c r="BD382">
        <f t="shared" si="408"/>
        <v>0</v>
      </c>
      <c r="BE382">
        <f t="shared" si="409"/>
        <v>0</v>
      </c>
      <c r="BF382">
        <f t="shared" si="410"/>
        <v>0</v>
      </c>
      <c r="BG382" t="str" cm="1">
        <f t="array" ref="BG382">IF(BA382=1,INDEX($X$7:$AN$7,MATCH(TRUE,INDEX($X382:$AY382&lt;&gt;0,),0)),IF(BA382=0,INDEX($AO$7:$AY$7,MATCH(1,$AO382:$AY382,0)),IF(BH382="Multiple strategies","mixed drivers",IF(BH382="Supply chain","multiple supply","multiple silviculture"))))</f>
        <v>multiple silviculture</v>
      </c>
      <c r="BH382" s="2" t="str" cm="1">
        <f t="array" ref="BH382">IF(COUNTIF(BB382:BD382,"&lt;&gt;0")=1,INDEX($X$4:$AY$4,MATCH(TRUE,INDEX($X382:$AY382&lt;&gt;0,),0)),IF(COUNTIF(BB382:BD382,"&lt;&gt;0")=0,INDEX($AO$4:$AY$4,MATCH(1,$AO382:$AY382,0)),"Multiple strategies"))</f>
        <v>Silviculture for productivity</v>
      </c>
      <c r="BR382" s="297" t="s">
        <v>232</v>
      </c>
      <c r="BS382" s="297"/>
      <c r="BT382" t="s">
        <v>1953</v>
      </c>
      <c r="BU382">
        <v>-150</v>
      </c>
      <c r="BV382">
        <v>-100</v>
      </c>
      <c r="BW382" s="144">
        <v>0.66666666666666663</v>
      </c>
      <c r="BX382">
        <v>50</v>
      </c>
      <c r="BZ382">
        <f t="shared" si="431"/>
        <v>50000</v>
      </c>
      <c r="CA382" t="str">
        <f t="shared" si="421"/>
        <v/>
      </c>
      <c r="CB382">
        <v>0</v>
      </c>
      <c r="CC382">
        <v>0</v>
      </c>
      <c r="CD382">
        <v>0</v>
      </c>
      <c r="CE382">
        <v>1</v>
      </c>
      <c r="CF382">
        <v>0</v>
      </c>
      <c r="CG382">
        <v>0</v>
      </c>
      <c r="CH382">
        <v>0</v>
      </c>
      <c r="CI382">
        <v>0</v>
      </c>
      <c r="CJ382">
        <v>0</v>
      </c>
      <c r="CK382">
        <v>0</v>
      </c>
      <c r="CL382">
        <v>0</v>
      </c>
      <c r="CM382">
        <v>0</v>
      </c>
      <c r="CN382">
        <v>0</v>
      </c>
      <c r="CO382">
        <v>0</v>
      </c>
      <c r="CP382" t="str">
        <f t="shared" si="435"/>
        <v>refOK</v>
      </c>
      <c r="CQ382"/>
      <c r="CR382"/>
      <c r="CS382"/>
      <c r="CT382">
        <f t="shared" si="422"/>
        <v>0</v>
      </c>
      <c r="CU382">
        <f t="shared" si="411"/>
        <v>-150</v>
      </c>
      <c r="CV382">
        <f t="shared" si="398"/>
        <v>-100</v>
      </c>
      <c r="CW382">
        <f t="shared" si="412"/>
        <v>50000</v>
      </c>
      <c r="CX382" t="str">
        <f t="shared" si="423"/>
        <v/>
      </c>
      <c r="CY382" t="str">
        <f t="shared" si="413"/>
        <v/>
      </c>
      <c r="CZ382" t="str">
        <f t="shared" si="424"/>
        <v/>
      </c>
      <c r="DA382" s="2">
        <f t="shared" si="414"/>
        <v>0.33333333333333331</v>
      </c>
      <c r="DB382" s="1" t="s">
        <v>1074</v>
      </c>
      <c r="DC382" s="297" t="str">
        <f t="shared" si="433"/>
        <v>reg</v>
      </c>
      <c r="DD382" t="s">
        <v>235</v>
      </c>
      <c r="DE382">
        <v>2011</v>
      </c>
      <c r="DF382">
        <v>2090</v>
      </c>
      <c r="DG382">
        <v>80</v>
      </c>
      <c r="DH382" t="str">
        <f t="shared" si="415"/>
        <v>71-100</v>
      </c>
      <c r="DI382">
        <v>0</v>
      </c>
      <c r="DJ382">
        <v>1</v>
      </c>
      <c r="DK382">
        <v>1</v>
      </c>
      <c r="DL382">
        <v>1</v>
      </c>
      <c r="DN382">
        <f t="shared" si="432"/>
        <v>3</v>
      </c>
      <c r="DO382" t="str">
        <f t="shared" si="416"/>
        <v>mixedProduct</v>
      </c>
      <c r="DP382">
        <f t="shared" si="417"/>
        <v>0</v>
      </c>
      <c r="DQ382" t="str">
        <f t="shared" si="418"/>
        <v>Energy</v>
      </c>
      <c r="DR382" t="str">
        <f t="shared" si="419"/>
        <v>Pulp/Paper</v>
      </c>
      <c r="DS382" t="str">
        <f t="shared" si="420"/>
        <v>Timber</v>
      </c>
      <c r="DT382">
        <v>1</v>
      </c>
      <c r="DU382">
        <v>0</v>
      </c>
      <c r="DV382">
        <v>0</v>
      </c>
      <c r="DW382">
        <v>0</v>
      </c>
      <c r="DX382">
        <v>0</v>
      </c>
      <c r="DY382">
        <f t="shared" si="399"/>
        <v>1</v>
      </c>
      <c r="DZ382" s="143" t="str">
        <f t="shared" si="434"/>
        <v>self-calculated DF</v>
      </c>
      <c r="EA382">
        <v>1</v>
      </c>
      <c r="EB382">
        <v>1</v>
      </c>
      <c r="EC382">
        <v>1</v>
      </c>
      <c r="ED382">
        <v>0</v>
      </c>
      <c r="EE382">
        <v>0</v>
      </c>
      <c r="EF382" s="143">
        <v>0</v>
      </c>
      <c r="EG382">
        <v>1</v>
      </c>
      <c r="EH382">
        <v>1</v>
      </c>
      <c r="EI382">
        <v>0</v>
      </c>
      <c r="EJ382">
        <v>1</v>
      </c>
      <c r="EK382">
        <v>1</v>
      </c>
      <c r="EL382">
        <v>1</v>
      </c>
      <c r="EM382">
        <v>0</v>
      </c>
      <c r="EN382" s="2">
        <v>0</v>
      </c>
      <c r="EP382" t="str">
        <f t="shared" si="425"/>
        <v>Whole sector approach</v>
      </c>
      <c r="EQ382" t="str">
        <f t="shared" si="403"/>
        <v/>
      </c>
      <c r="ER382" s="2" t="str">
        <f t="shared" si="426"/>
        <v/>
      </c>
      <c r="ES382" t="str">
        <f t="shared" si="427"/>
        <v/>
      </c>
      <c r="ET382" t="str">
        <f t="shared" si="428"/>
        <v/>
      </c>
      <c r="EU382" t="str">
        <f t="shared" si="429"/>
        <v/>
      </c>
      <c r="EY382" t="b">
        <f>IF(ISNUMBER(BW382),IF(ABS(BW382-[1]QC_indicators!$B$2)&gt;3*[1]QC_indicators!$C$2,"C ratio",IF(ISNUMBER(CA382),IF(ABS(CA382-[1]QC_indicators!$B$1)&gt;3*[1]QC_indicators!$C$1,"DF","no"))),IF(ISNUMBER(CA382),IF(ABS(CA382-[1]QC_indicators!$B$1)&gt;3*[1]QC_indicators!$C$1,"DF","no")))</f>
        <v>0</v>
      </c>
      <c r="FA382" t="str">
        <f t="shared" si="430"/>
        <v/>
      </c>
      <c r="FB382" s="299" t="s">
        <v>349</v>
      </c>
    </row>
    <row r="383" spans="1:158" ht="15" hidden="1" customHeight="1">
      <c r="A383" s="1" t="s">
        <v>1001</v>
      </c>
      <c r="B383" t="s">
        <v>3764</v>
      </c>
      <c r="C383" t="s">
        <v>3765</v>
      </c>
      <c r="D383" t="s">
        <v>3766</v>
      </c>
      <c r="E383" t="s">
        <v>3767</v>
      </c>
      <c r="F383" t="s">
        <v>3768</v>
      </c>
      <c r="G383" t="s">
        <v>1002</v>
      </c>
      <c r="H383" t="s">
        <v>254</v>
      </c>
      <c r="I383">
        <v>2011</v>
      </c>
      <c r="J383">
        <v>57</v>
      </c>
      <c r="K383" t="s">
        <v>3769</v>
      </c>
      <c r="M383" t="str">
        <f t="shared" si="388"/>
        <v>Routa_2011</v>
      </c>
      <c r="N383" s="297" t="s">
        <v>4058</v>
      </c>
      <c r="O383" s="145" t="s">
        <v>341</v>
      </c>
      <c r="Q383" s="297" t="s">
        <v>256</v>
      </c>
      <c r="R383" s="298"/>
      <c r="S383" s="1" t="s">
        <v>3782</v>
      </c>
      <c r="T383" t="s">
        <v>1003</v>
      </c>
      <c r="U383" t="e">
        <f>#REF!</f>
        <v>#REF!</v>
      </c>
      <c r="X383">
        <v>0</v>
      </c>
      <c r="Y383">
        <v>0</v>
      </c>
      <c r="Z383">
        <v>0</v>
      </c>
      <c r="AA383">
        <v>0</v>
      </c>
      <c r="AB383">
        <v>0</v>
      </c>
      <c r="AC383">
        <v>2</v>
      </c>
      <c r="AD383">
        <v>1</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s="141">
        <f t="shared" si="404"/>
        <v>2</v>
      </c>
      <c r="BA383" s="141">
        <f t="shared" si="405"/>
        <v>2</v>
      </c>
      <c r="BB383">
        <f t="shared" si="406"/>
        <v>2</v>
      </c>
      <c r="BC383">
        <f t="shared" si="407"/>
        <v>0</v>
      </c>
      <c r="BD383">
        <f t="shared" si="408"/>
        <v>0</v>
      </c>
      <c r="BE383">
        <f t="shared" si="409"/>
        <v>0</v>
      </c>
      <c r="BF383">
        <f t="shared" si="410"/>
        <v>0</v>
      </c>
      <c r="BG383" t="str" cm="1">
        <f t="array" ref="BG383">IF(BA383=1,INDEX($X$7:$AN$7,MATCH(TRUE,INDEX($X383:$AY383&lt;&gt;0,),0)),IF(BA383=0,INDEX($AO$7:$AY$7,MATCH(1,$AO383:$AY383,0)),IF(BH383="Multiple strategies","mixed drivers",IF(BH383="Supply chain","multiple supply","multiple silviculture"))))</f>
        <v>multiple silviculture</v>
      </c>
      <c r="BH383" s="2" t="str" cm="1">
        <f t="array" ref="BH383">IF(COUNTIF(BB383:BD383,"&lt;&gt;0")=1,INDEX($X$4:$AY$4,MATCH(TRUE,INDEX($X383:$AY383&lt;&gt;0,),0)),IF(COUNTIF(BB383:BD383,"&lt;&gt;0")=0,INDEX($AO$4:$AY$4,MATCH(1,$AO383:$AY383,0)),"Multiple strategies"))</f>
        <v>Silviculture for productivity</v>
      </c>
      <c r="BR383" s="297" t="s">
        <v>232</v>
      </c>
      <c r="BS383" s="297"/>
      <c r="BT383" t="s">
        <v>1953</v>
      </c>
      <c r="BU383">
        <v>-200</v>
      </c>
      <c r="BV383">
        <v>-126</v>
      </c>
      <c r="BW383" s="144">
        <v>0.63</v>
      </c>
      <c r="BX383">
        <v>74</v>
      </c>
      <c r="BZ383">
        <f t="shared" si="431"/>
        <v>74000</v>
      </c>
      <c r="CA383" t="str">
        <f t="shared" si="421"/>
        <v/>
      </c>
      <c r="CB383">
        <v>0</v>
      </c>
      <c r="CC383">
        <v>0</v>
      </c>
      <c r="CD383">
        <v>0</v>
      </c>
      <c r="CE383">
        <v>1</v>
      </c>
      <c r="CF383">
        <v>0</v>
      </c>
      <c r="CG383">
        <v>0</v>
      </c>
      <c r="CH383">
        <v>0</v>
      </c>
      <c r="CI383">
        <v>0</v>
      </c>
      <c r="CJ383">
        <v>0</v>
      </c>
      <c r="CK383">
        <v>0</v>
      </c>
      <c r="CL383">
        <v>0</v>
      </c>
      <c r="CM383">
        <v>0</v>
      </c>
      <c r="CN383">
        <v>0</v>
      </c>
      <c r="CO383">
        <v>0</v>
      </c>
      <c r="CP383" t="str">
        <f t="shared" si="435"/>
        <v>refOK</v>
      </c>
      <c r="CQ383"/>
      <c r="CR383"/>
      <c r="CS383"/>
      <c r="CT383">
        <f t="shared" si="422"/>
        <v>0</v>
      </c>
      <c r="CU383">
        <f t="shared" si="411"/>
        <v>-200</v>
      </c>
      <c r="CV383">
        <f t="shared" ref="CV383:CV395" si="436">IF($CP383="refOK",$BV383,$BU383)*IF($BR383="Emissions positive",-1,1)</f>
        <v>-126</v>
      </c>
      <c r="CW383">
        <f t="shared" si="412"/>
        <v>74000</v>
      </c>
      <c r="CX383" t="str">
        <f t="shared" si="423"/>
        <v/>
      </c>
      <c r="CY383" t="str">
        <f t="shared" si="413"/>
        <v/>
      </c>
      <c r="CZ383" t="str">
        <f t="shared" si="424"/>
        <v/>
      </c>
      <c r="DA383" s="2">
        <f t="shared" si="414"/>
        <v>0.37</v>
      </c>
      <c r="DB383" s="1" t="s">
        <v>1074</v>
      </c>
      <c r="DC383" s="297" t="str">
        <f t="shared" si="433"/>
        <v>reg</v>
      </c>
      <c r="DD383" t="s">
        <v>235</v>
      </c>
      <c r="DE383">
        <v>2011</v>
      </c>
      <c r="DF383">
        <v>2090</v>
      </c>
      <c r="DG383">
        <v>80</v>
      </c>
      <c r="DH383" t="str">
        <f t="shared" si="415"/>
        <v>71-100</v>
      </c>
      <c r="DI383">
        <v>0</v>
      </c>
      <c r="DJ383">
        <v>1</v>
      </c>
      <c r="DK383">
        <v>1</v>
      </c>
      <c r="DL383">
        <v>1</v>
      </c>
      <c r="DN383">
        <f t="shared" si="432"/>
        <v>3</v>
      </c>
      <c r="DO383" t="str">
        <f t="shared" si="416"/>
        <v>mixedProduct</v>
      </c>
      <c r="DP383">
        <f t="shared" si="417"/>
        <v>0</v>
      </c>
      <c r="DQ383" t="str">
        <f t="shared" si="418"/>
        <v>Energy</v>
      </c>
      <c r="DR383" t="str">
        <f t="shared" si="419"/>
        <v>Pulp/Paper</v>
      </c>
      <c r="DS383" t="str">
        <f t="shared" si="420"/>
        <v>Timber</v>
      </c>
      <c r="DT383">
        <v>1</v>
      </c>
      <c r="DU383">
        <v>0</v>
      </c>
      <c r="DV383">
        <v>0</v>
      </c>
      <c r="DW383">
        <v>0</v>
      </c>
      <c r="DX383">
        <v>0</v>
      </c>
      <c r="DY383">
        <f t="shared" ref="DY383:DY395" si="437">SUM(DT383:DU383)</f>
        <v>1</v>
      </c>
      <c r="DZ383" s="143" t="str">
        <f t="shared" si="434"/>
        <v>self-calculated DF</v>
      </c>
      <c r="EA383">
        <v>1</v>
      </c>
      <c r="EB383">
        <v>1</v>
      </c>
      <c r="EC383">
        <v>1</v>
      </c>
      <c r="ED383">
        <v>0</v>
      </c>
      <c r="EE383">
        <v>0</v>
      </c>
      <c r="EF383" s="143">
        <v>0</v>
      </c>
      <c r="EG383">
        <v>1</v>
      </c>
      <c r="EH383">
        <v>1</v>
      </c>
      <c r="EI383">
        <v>0</v>
      </c>
      <c r="EJ383">
        <v>1</v>
      </c>
      <c r="EK383">
        <v>1</v>
      </c>
      <c r="EL383">
        <v>1</v>
      </c>
      <c r="EM383">
        <v>0</v>
      </c>
      <c r="EN383" s="2">
        <v>0</v>
      </c>
      <c r="EP383" t="str">
        <f t="shared" si="425"/>
        <v>Whole sector approach</v>
      </c>
      <c r="EQ383" t="str">
        <f t="shared" si="403"/>
        <v/>
      </c>
      <c r="ER383" s="2" t="str">
        <f t="shared" si="426"/>
        <v/>
      </c>
      <c r="ES383" t="str">
        <f t="shared" si="427"/>
        <v/>
      </c>
      <c r="ET383" t="str">
        <f t="shared" si="428"/>
        <v/>
      </c>
      <c r="EU383" t="str">
        <f t="shared" si="429"/>
        <v/>
      </c>
      <c r="EY383" t="b">
        <f>IF(ISNUMBER(BW383),IF(ABS(BW383-[1]QC_indicators!$B$2)&gt;3*[1]QC_indicators!$C$2,"C ratio",IF(ISNUMBER(CA383),IF(ABS(CA383-[1]QC_indicators!$B$1)&gt;3*[1]QC_indicators!$C$1,"DF","no"))),IF(ISNUMBER(CA383),IF(ABS(CA383-[1]QC_indicators!$B$1)&gt;3*[1]QC_indicators!$C$1,"DF","no")))</f>
        <v>0</v>
      </c>
      <c r="FA383" t="str">
        <f t="shared" si="430"/>
        <v/>
      </c>
      <c r="FB383" s="299" t="s">
        <v>349</v>
      </c>
    </row>
    <row r="384" spans="1:158" ht="15" hidden="1" customHeight="1">
      <c r="A384" s="1" t="s">
        <v>1001</v>
      </c>
      <c r="B384" t="s">
        <v>3764</v>
      </c>
      <c r="C384" t="s">
        <v>3765</v>
      </c>
      <c r="D384" t="s">
        <v>3766</v>
      </c>
      <c r="E384" t="s">
        <v>3767</v>
      </c>
      <c r="F384" t="s">
        <v>3768</v>
      </c>
      <c r="G384" t="s">
        <v>1002</v>
      </c>
      <c r="H384" t="s">
        <v>254</v>
      </c>
      <c r="I384">
        <v>2011</v>
      </c>
      <c r="J384">
        <v>57</v>
      </c>
      <c r="K384" t="s">
        <v>3769</v>
      </c>
      <c r="M384" t="str">
        <f t="shared" si="388"/>
        <v>Routa_2011</v>
      </c>
      <c r="N384" s="297" t="s">
        <v>4058</v>
      </c>
      <c r="O384" s="145" t="s">
        <v>341</v>
      </c>
      <c r="Q384" s="297" t="s">
        <v>256</v>
      </c>
      <c r="R384" s="298"/>
      <c r="S384" s="1" t="s">
        <v>3781</v>
      </c>
      <c r="T384" t="s">
        <v>1003</v>
      </c>
      <c r="U384" t="e">
        <f>#REF!</f>
        <v>#REF!</v>
      </c>
      <c r="X384">
        <v>0</v>
      </c>
      <c r="Y384">
        <v>0</v>
      </c>
      <c r="Z384">
        <v>0</v>
      </c>
      <c r="AA384">
        <v>0</v>
      </c>
      <c r="AB384">
        <v>0</v>
      </c>
      <c r="AC384">
        <v>2</v>
      </c>
      <c r="AD384">
        <v>1</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s="141">
        <f t="shared" si="404"/>
        <v>2</v>
      </c>
      <c r="BA384" s="141">
        <f t="shared" si="405"/>
        <v>2</v>
      </c>
      <c r="BB384">
        <f t="shared" si="406"/>
        <v>2</v>
      </c>
      <c r="BC384">
        <f t="shared" si="407"/>
        <v>0</v>
      </c>
      <c r="BD384">
        <f t="shared" si="408"/>
        <v>0</v>
      </c>
      <c r="BE384">
        <f t="shared" si="409"/>
        <v>0</v>
      </c>
      <c r="BF384">
        <f t="shared" si="410"/>
        <v>0</v>
      </c>
      <c r="BG384" t="str" cm="1">
        <f t="array" ref="BG384">IF(BA384=1,INDEX($X$7:$AN$7,MATCH(TRUE,INDEX($X384:$AY384&lt;&gt;0,),0)),IF(BA384=0,INDEX($AO$7:$AY$7,MATCH(1,$AO384:$AY384,0)),IF(BH384="Multiple strategies","mixed drivers",IF(BH384="Supply chain","multiple supply","multiple silviculture"))))</f>
        <v>multiple silviculture</v>
      </c>
      <c r="BH384" s="2" t="str" cm="1">
        <f t="array" ref="BH384">IF(COUNTIF(BB384:BD384,"&lt;&gt;0")=1,INDEX($X$4:$AY$4,MATCH(TRUE,INDEX($X384:$AY384&lt;&gt;0,),0)),IF(COUNTIF(BB384:BD384,"&lt;&gt;0")=0,INDEX($AO$4:$AY$4,MATCH(1,$AO384:$AY384,0)),"Multiple strategies"))</f>
        <v>Silviculture for productivity</v>
      </c>
      <c r="BR384" s="297" t="s">
        <v>232</v>
      </c>
      <c r="BS384" s="297"/>
      <c r="BT384" t="s">
        <v>1953</v>
      </c>
      <c r="BU384">
        <v>-200</v>
      </c>
      <c r="BV384">
        <v>-124</v>
      </c>
      <c r="BW384" s="144">
        <v>0.62</v>
      </c>
      <c r="BX384">
        <v>76</v>
      </c>
      <c r="BZ384">
        <f t="shared" si="431"/>
        <v>76000</v>
      </c>
      <c r="CA384" t="str">
        <f t="shared" si="421"/>
        <v/>
      </c>
      <c r="CB384">
        <v>0</v>
      </c>
      <c r="CC384">
        <v>0</v>
      </c>
      <c r="CD384">
        <v>0</v>
      </c>
      <c r="CE384">
        <v>1</v>
      </c>
      <c r="CF384">
        <v>0</v>
      </c>
      <c r="CG384">
        <v>0</v>
      </c>
      <c r="CH384">
        <v>0</v>
      </c>
      <c r="CI384">
        <v>0</v>
      </c>
      <c r="CJ384">
        <v>0</v>
      </c>
      <c r="CK384">
        <v>0</v>
      </c>
      <c r="CL384">
        <v>0</v>
      </c>
      <c r="CM384">
        <v>0</v>
      </c>
      <c r="CN384">
        <v>0</v>
      </c>
      <c r="CO384">
        <v>0</v>
      </c>
      <c r="CP384" t="str">
        <f t="shared" si="435"/>
        <v>refOK</v>
      </c>
      <c r="CQ384"/>
      <c r="CR384"/>
      <c r="CS384"/>
      <c r="CT384">
        <f t="shared" si="422"/>
        <v>0</v>
      </c>
      <c r="CU384">
        <f t="shared" si="411"/>
        <v>-200</v>
      </c>
      <c r="CV384">
        <f t="shared" si="436"/>
        <v>-124</v>
      </c>
      <c r="CW384">
        <f t="shared" si="412"/>
        <v>76000</v>
      </c>
      <c r="CX384" t="str">
        <f t="shared" si="423"/>
        <v/>
      </c>
      <c r="CY384" t="str">
        <f t="shared" si="413"/>
        <v/>
      </c>
      <c r="CZ384" t="str">
        <f t="shared" si="424"/>
        <v/>
      </c>
      <c r="DA384" s="2">
        <f t="shared" si="414"/>
        <v>0.38</v>
      </c>
      <c r="DB384" s="1" t="s">
        <v>1074</v>
      </c>
      <c r="DC384" s="297" t="str">
        <f t="shared" si="433"/>
        <v>reg</v>
      </c>
      <c r="DD384" t="s">
        <v>235</v>
      </c>
      <c r="DE384">
        <v>2011</v>
      </c>
      <c r="DF384">
        <v>2090</v>
      </c>
      <c r="DG384">
        <v>80</v>
      </c>
      <c r="DH384" t="str">
        <f t="shared" si="415"/>
        <v>71-100</v>
      </c>
      <c r="DI384">
        <v>0</v>
      </c>
      <c r="DJ384">
        <v>1</v>
      </c>
      <c r="DK384">
        <v>1</v>
      </c>
      <c r="DL384">
        <v>1</v>
      </c>
      <c r="DN384">
        <f t="shared" si="432"/>
        <v>3</v>
      </c>
      <c r="DO384" t="str">
        <f t="shared" si="416"/>
        <v>mixedProduct</v>
      </c>
      <c r="DP384">
        <f t="shared" si="417"/>
        <v>0</v>
      </c>
      <c r="DQ384" t="str">
        <f t="shared" si="418"/>
        <v>Energy</v>
      </c>
      <c r="DR384" t="str">
        <f t="shared" si="419"/>
        <v>Pulp/Paper</v>
      </c>
      <c r="DS384" t="str">
        <f t="shared" si="420"/>
        <v>Timber</v>
      </c>
      <c r="DT384">
        <v>1</v>
      </c>
      <c r="DU384">
        <v>0</v>
      </c>
      <c r="DV384">
        <v>0</v>
      </c>
      <c r="DW384">
        <v>0</v>
      </c>
      <c r="DX384">
        <v>0</v>
      </c>
      <c r="DY384">
        <f t="shared" si="437"/>
        <v>1</v>
      </c>
      <c r="DZ384" s="143" t="str">
        <f t="shared" si="434"/>
        <v>self-calculated DF</v>
      </c>
      <c r="EA384">
        <v>1</v>
      </c>
      <c r="EB384">
        <v>1</v>
      </c>
      <c r="EC384">
        <v>1</v>
      </c>
      <c r="ED384">
        <v>0</v>
      </c>
      <c r="EE384">
        <v>0</v>
      </c>
      <c r="EF384" s="143">
        <v>0</v>
      </c>
      <c r="EG384">
        <v>1</v>
      </c>
      <c r="EH384">
        <v>1</v>
      </c>
      <c r="EI384">
        <v>0</v>
      </c>
      <c r="EJ384">
        <v>1</v>
      </c>
      <c r="EK384">
        <v>1</v>
      </c>
      <c r="EL384">
        <v>1</v>
      </c>
      <c r="EM384">
        <v>0</v>
      </c>
      <c r="EN384" s="2">
        <v>0</v>
      </c>
      <c r="EP384" t="str">
        <f t="shared" si="425"/>
        <v>Whole sector approach</v>
      </c>
      <c r="EQ384" t="str">
        <f t="shared" si="403"/>
        <v/>
      </c>
      <c r="ER384" s="2" t="str">
        <f t="shared" si="426"/>
        <v/>
      </c>
      <c r="ES384" t="str">
        <f t="shared" si="427"/>
        <v/>
      </c>
      <c r="ET384" t="str">
        <f t="shared" si="428"/>
        <v/>
      </c>
      <c r="EU384" t="str">
        <f t="shared" si="429"/>
        <v/>
      </c>
      <c r="EY384" t="b">
        <f>IF(ISNUMBER(BW384),IF(ABS(BW384-[1]QC_indicators!$B$2)&gt;3*[1]QC_indicators!$C$2,"C ratio",IF(ISNUMBER(CA384),IF(ABS(CA384-[1]QC_indicators!$B$1)&gt;3*[1]QC_indicators!$C$1,"DF","no"))),IF(ISNUMBER(CA384),IF(ABS(CA384-[1]QC_indicators!$B$1)&gt;3*[1]QC_indicators!$C$1,"DF","no")))</f>
        <v>0</v>
      </c>
      <c r="FA384" t="str">
        <f t="shared" si="430"/>
        <v/>
      </c>
      <c r="FB384" s="299" t="s">
        <v>349</v>
      </c>
    </row>
    <row r="385" spans="1:158" ht="15" hidden="1" customHeight="1">
      <c r="A385" s="1" t="s">
        <v>1001</v>
      </c>
      <c r="B385" t="s">
        <v>3764</v>
      </c>
      <c r="C385" t="s">
        <v>3765</v>
      </c>
      <c r="D385" t="s">
        <v>3766</v>
      </c>
      <c r="E385" t="s">
        <v>3767</v>
      </c>
      <c r="F385" t="s">
        <v>3768</v>
      </c>
      <c r="G385" t="s">
        <v>1002</v>
      </c>
      <c r="H385" t="s">
        <v>254</v>
      </c>
      <c r="I385">
        <v>2011</v>
      </c>
      <c r="J385">
        <v>57</v>
      </c>
      <c r="K385" t="s">
        <v>3769</v>
      </c>
      <c r="M385" t="str">
        <f t="shared" si="388"/>
        <v>Routa_2011</v>
      </c>
      <c r="N385" s="297" t="s">
        <v>4058</v>
      </c>
      <c r="O385" s="145" t="s">
        <v>341</v>
      </c>
      <c r="Q385" s="297" t="s">
        <v>256</v>
      </c>
      <c r="R385" s="298"/>
      <c r="S385" s="1" t="s">
        <v>3780</v>
      </c>
      <c r="T385" t="s">
        <v>1003</v>
      </c>
      <c r="U385" t="e">
        <f>#REF!</f>
        <v>#REF!</v>
      </c>
      <c r="X385">
        <v>0</v>
      </c>
      <c r="Y385">
        <v>0</v>
      </c>
      <c r="Z385">
        <v>0</v>
      </c>
      <c r="AA385">
        <v>0</v>
      </c>
      <c r="AB385">
        <v>0</v>
      </c>
      <c r="AC385">
        <v>2</v>
      </c>
      <c r="AD385">
        <v>1</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s="141">
        <f t="shared" si="404"/>
        <v>2</v>
      </c>
      <c r="BA385" s="141">
        <f t="shared" si="405"/>
        <v>2</v>
      </c>
      <c r="BB385">
        <f t="shared" si="406"/>
        <v>2</v>
      </c>
      <c r="BC385">
        <f t="shared" si="407"/>
        <v>0</v>
      </c>
      <c r="BD385">
        <f t="shared" si="408"/>
        <v>0</v>
      </c>
      <c r="BE385">
        <f t="shared" si="409"/>
        <v>0</v>
      </c>
      <c r="BF385">
        <f t="shared" si="410"/>
        <v>0</v>
      </c>
      <c r="BG385" t="str" cm="1">
        <f t="array" ref="BG385">IF(BA385=1,INDEX($X$7:$AN$7,MATCH(TRUE,INDEX($X385:$AY385&lt;&gt;0,),0)),IF(BA385=0,INDEX($AO$7:$AY$7,MATCH(1,$AO385:$AY385,0)),IF(BH385="Multiple strategies","mixed drivers",IF(BH385="Supply chain","multiple supply","multiple silviculture"))))</f>
        <v>multiple silviculture</v>
      </c>
      <c r="BH385" s="2" t="str" cm="1">
        <f t="array" ref="BH385">IF(COUNTIF(BB385:BD385,"&lt;&gt;0")=1,INDEX($X$4:$AY$4,MATCH(TRUE,INDEX($X385:$AY385&lt;&gt;0,),0)),IF(COUNTIF(BB385:BD385,"&lt;&gt;0")=0,INDEX($AO$4:$AY$4,MATCH(1,$AO385:$AY385,0)),"Multiple strategies"))</f>
        <v>Silviculture for productivity</v>
      </c>
      <c r="BR385" s="297" t="s">
        <v>232</v>
      </c>
      <c r="BS385" s="297"/>
      <c r="BT385" t="s">
        <v>1953</v>
      </c>
      <c r="BU385">
        <v>-200</v>
      </c>
      <c r="BV385">
        <v>-121</v>
      </c>
      <c r="BW385" s="144">
        <v>0.60499999999999998</v>
      </c>
      <c r="BX385">
        <v>79</v>
      </c>
      <c r="BZ385">
        <f t="shared" si="431"/>
        <v>79000</v>
      </c>
      <c r="CA385" t="str">
        <f t="shared" si="421"/>
        <v/>
      </c>
      <c r="CB385">
        <v>0</v>
      </c>
      <c r="CC385">
        <v>0</v>
      </c>
      <c r="CD385">
        <v>0</v>
      </c>
      <c r="CE385">
        <v>1</v>
      </c>
      <c r="CF385">
        <v>0</v>
      </c>
      <c r="CG385">
        <v>0</v>
      </c>
      <c r="CH385">
        <v>0</v>
      </c>
      <c r="CI385">
        <v>0</v>
      </c>
      <c r="CJ385">
        <v>0</v>
      </c>
      <c r="CK385">
        <v>0</v>
      </c>
      <c r="CL385">
        <v>0</v>
      </c>
      <c r="CM385">
        <v>0</v>
      </c>
      <c r="CN385">
        <v>0</v>
      </c>
      <c r="CO385">
        <v>0</v>
      </c>
      <c r="CP385" t="str">
        <f t="shared" si="435"/>
        <v>refOK</v>
      </c>
      <c r="CQ385"/>
      <c r="CR385"/>
      <c r="CS385"/>
      <c r="CT385">
        <f t="shared" si="422"/>
        <v>0</v>
      </c>
      <c r="CU385">
        <f t="shared" si="411"/>
        <v>-200</v>
      </c>
      <c r="CV385">
        <f t="shared" si="436"/>
        <v>-121</v>
      </c>
      <c r="CW385">
        <f t="shared" si="412"/>
        <v>79000</v>
      </c>
      <c r="CX385" t="str">
        <f t="shared" si="423"/>
        <v/>
      </c>
      <c r="CY385" t="str">
        <f t="shared" si="413"/>
        <v/>
      </c>
      <c r="CZ385" t="str">
        <f t="shared" si="424"/>
        <v/>
      </c>
      <c r="DA385" s="2">
        <f t="shared" si="414"/>
        <v>0.39500000000000002</v>
      </c>
      <c r="DB385" s="1" t="s">
        <v>1074</v>
      </c>
      <c r="DC385" s="297" t="str">
        <f t="shared" si="433"/>
        <v>reg</v>
      </c>
      <c r="DD385" t="s">
        <v>235</v>
      </c>
      <c r="DE385">
        <v>2011</v>
      </c>
      <c r="DF385">
        <v>2090</v>
      </c>
      <c r="DG385">
        <v>80</v>
      </c>
      <c r="DH385" t="str">
        <f t="shared" si="415"/>
        <v>71-100</v>
      </c>
      <c r="DI385">
        <v>0</v>
      </c>
      <c r="DJ385">
        <v>1</v>
      </c>
      <c r="DK385">
        <v>1</v>
      </c>
      <c r="DL385">
        <v>1</v>
      </c>
      <c r="DN385">
        <f t="shared" si="432"/>
        <v>3</v>
      </c>
      <c r="DO385" t="str">
        <f t="shared" si="416"/>
        <v>mixedProduct</v>
      </c>
      <c r="DP385">
        <f t="shared" si="417"/>
        <v>0</v>
      </c>
      <c r="DQ385" t="str">
        <f t="shared" si="418"/>
        <v>Energy</v>
      </c>
      <c r="DR385" t="str">
        <f t="shared" si="419"/>
        <v>Pulp/Paper</v>
      </c>
      <c r="DS385" t="str">
        <f t="shared" si="420"/>
        <v>Timber</v>
      </c>
      <c r="DT385">
        <v>1</v>
      </c>
      <c r="DU385">
        <v>0</v>
      </c>
      <c r="DV385">
        <v>0</v>
      </c>
      <c r="DW385">
        <v>0</v>
      </c>
      <c r="DX385">
        <v>0</v>
      </c>
      <c r="DY385">
        <f t="shared" si="437"/>
        <v>1</v>
      </c>
      <c r="DZ385" s="143" t="str">
        <f t="shared" si="434"/>
        <v>self-calculated DF</v>
      </c>
      <c r="EA385">
        <v>1</v>
      </c>
      <c r="EB385">
        <v>1</v>
      </c>
      <c r="EC385">
        <v>1</v>
      </c>
      <c r="ED385">
        <v>0</v>
      </c>
      <c r="EE385">
        <v>0</v>
      </c>
      <c r="EF385" s="143">
        <v>0</v>
      </c>
      <c r="EG385">
        <v>1</v>
      </c>
      <c r="EH385">
        <v>1</v>
      </c>
      <c r="EI385">
        <v>0</v>
      </c>
      <c r="EJ385">
        <v>1</v>
      </c>
      <c r="EK385">
        <v>1</v>
      </c>
      <c r="EL385">
        <v>1</v>
      </c>
      <c r="EM385">
        <v>0</v>
      </c>
      <c r="EN385" s="2">
        <v>0</v>
      </c>
      <c r="EP385" t="str">
        <f t="shared" si="425"/>
        <v>Whole sector approach</v>
      </c>
      <c r="EQ385" t="str">
        <f t="shared" ref="EQ385:EQ395" si="438">IF(AND(AND(OR($EC385=1,$EB385=1),AND($EH385=0,$EF385=0)),SUM($EA385:$EE385,$EK385)&gt;=3),"Ecosystem approach","")</f>
        <v/>
      </c>
      <c r="ER385" s="2" t="str">
        <f t="shared" si="426"/>
        <v/>
      </c>
      <c r="ES385" t="str">
        <f t="shared" si="427"/>
        <v/>
      </c>
      <c r="ET385" t="str">
        <f t="shared" si="428"/>
        <v/>
      </c>
      <c r="EU385" t="str">
        <f t="shared" si="429"/>
        <v/>
      </c>
      <c r="EY385" t="b">
        <f>IF(ISNUMBER(BW385),IF(ABS(BW385-[1]QC_indicators!$B$2)&gt;3*[1]QC_indicators!$C$2,"C ratio",IF(ISNUMBER(CA385),IF(ABS(CA385-[1]QC_indicators!$B$1)&gt;3*[1]QC_indicators!$C$1,"DF","no"))),IF(ISNUMBER(CA385),IF(ABS(CA385-[1]QC_indicators!$B$1)&gt;3*[1]QC_indicators!$C$1,"DF","no")))</f>
        <v>0</v>
      </c>
      <c r="FA385" t="str">
        <f t="shared" si="430"/>
        <v/>
      </c>
      <c r="FB385" s="299" t="s">
        <v>349</v>
      </c>
    </row>
    <row r="386" spans="1:158" ht="15" hidden="1" customHeight="1">
      <c r="A386" s="1" t="s">
        <v>1001</v>
      </c>
      <c r="B386" t="s">
        <v>3764</v>
      </c>
      <c r="C386" t="s">
        <v>3765</v>
      </c>
      <c r="D386" t="s">
        <v>3766</v>
      </c>
      <c r="E386" t="s">
        <v>3767</v>
      </c>
      <c r="F386" t="s">
        <v>3768</v>
      </c>
      <c r="G386" t="s">
        <v>1002</v>
      </c>
      <c r="H386" t="s">
        <v>254</v>
      </c>
      <c r="I386">
        <v>2011</v>
      </c>
      <c r="J386">
        <v>57</v>
      </c>
      <c r="K386" t="s">
        <v>3769</v>
      </c>
      <c r="M386" t="str">
        <f t="shared" si="388"/>
        <v>Routa_2011</v>
      </c>
      <c r="N386" s="297" t="s">
        <v>4058</v>
      </c>
      <c r="O386" s="145" t="s">
        <v>341</v>
      </c>
      <c r="Q386" s="297" t="s">
        <v>256</v>
      </c>
      <c r="R386" s="298"/>
      <c r="S386" s="1" t="s">
        <v>3778</v>
      </c>
      <c r="T386" t="s">
        <v>1003</v>
      </c>
      <c r="U386" t="e">
        <f>#REF!</f>
        <v>#REF!</v>
      </c>
      <c r="X386">
        <v>0</v>
      </c>
      <c r="Y386">
        <v>0</v>
      </c>
      <c r="Z386">
        <v>0</v>
      </c>
      <c r="AA386">
        <v>0</v>
      </c>
      <c r="AB386">
        <v>0</v>
      </c>
      <c r="AC386">
        <v>2</v>
      </c>
      <c r="AD386">
        <v>1</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s="141">
        <f t="shared" si="404"/>
        <v>2</v>
      </c>
      <c r="BA386" s="141">
        <f t="shared" si="405"/>
        <v>2</v>
      </c>
      <c r="BB386">
        <f t="shared" si="406"/>
        <v>2</v>
      </c>
      <c r="BC386">
        <f t="shared" si="407"/>
        <v>0</v>
      </c>
      <c r="BD386">
        <f t="shared" si="408"/>
        <v>0</v>
      </c>
      <c r="BE386">
        <f t="shared" si="409"/>
        <v>0</v>
      </c>
      <c r="BF386">
        <f t="shared" si="410"/>
        <v>0</v>
      </c>
      <c r="BG386" t="str" cm="1">
        <f t="array" ref="BG386">IF(BA386=1,INDEX($X$7:$AN$7,MATCH(TRUE,INDEX($X386:$AY386&lt;&gt;0,),0)),IF(BA386=0,INDEX($AO$7:$AY$7,MATCH(1,$AO386:$AY386,0)),IF(BH386="Multiple strategies","mixed drivers",IF(BH386="Supply chain","multiple supply","multiple silviculture"))))</f>
        <v>multiple silviculture</v>
      </c>
      <c r="BH386" s="2" t="str" cm="1">
        <f t="array" ref="BH386">IF(COUNTIF(BB386:BD386,"&lt;&gt;0")=1,INDEX($X$4:$AY$4,MATCH(TRUE,INDEX($X386:$AY386&lt;&gt;0,),0)),IF(COUNTIF(BB386:BD386,"&lt;&gt;0")=0,INDEX($AO$4:$AY$4,MATCH(1,$AO386:$AY386,0)),"Multiple strategies"))</f>
        <v>Silviculture for productivity</v>
      </c>
      <c r="BR386" s="297" t="s">
        <v>232</v>
      </c>
      <c r="BS386" s="297"/>
      <c r="BT386" t="s">
        <v>1953</v>
      </c>
      <c r="BU386">
        <v>-200</v>
      </c>
      <c r="BV386">
        <v>-120</v>
      </c>
      <c r="BW386" s="144">
        <v>0.6</v>
      </c>
      <c r="BX386">
        <v>80</v>
      </c>
      <c r="BZ386">
        <f t="shared" si="431"/>
        <v>80000</v>
      </c>
      <c r="CA386" t="str">
        <f t="shared" si="421"/>
        <v/>
      </c>
      <c r="CB386">
        <v>0</v>
      </c>
      <c r="CC386">
        <v>0</v>
      </c>
      <c r="CD386">
        <v>0</v>
      </c>
      <c r="CE386">
        <v>1</v>
      </c>
      <c r="CF386">
        <v>0</v>
      </c>
      <c r="CG386">
        <v>0</v>
      </c>
      <c r="CH386">
        <v>0</v>
      </c>
      <c r="CI386">
        <v>0</v>
      </c>
      <c r="CJ386">
        <v>0</v>
      </c>
      <c r="CK386">
        <v>0</v>
      </c>
      <c r="CL386">
        <v>0</v>
      </c>
      <c r="CM386">
        <v>0</v>
      </c>
      <c r="CN386">
        <v>0</v>
      </c>
      <c r="CO386">
        <v>0</v>
      </c>
      <c r="CP386" t="str">
        <f t="shared" si="435"/>
        <v>refOK</v>
      </c>
      <c r="CQ386"/>
      <c r="CR386"/>
      <c r="CS386"/>
      <c r="CT386">
        <f t="shared" si="422"/>
        <v>0</v>
      </c>
      <c r="CU386">
        <f t="shared" si="411"/>
        <v>-200</v>
      </c>
      <c r="CV386">
        <f t="shared" si="436"/>
        <v>-120</v>
      </c>
      <c r="CW386">
        <f t="shared" si="412"/>
        <v>80000</v>
      </c>
      <c r="CX386" t="str">
        <f t="shared" si="423"/>
        <v/>
      </c>
      <c r="CY386" t="str">
        <f t="shared" si="413"/>
        <v/>
      </c>
      <c r="CZ386" t="str">
        <f t="shared" si="424"/>
        <v/>
      </c>
      <c r="DA386" s="2">
        <f t="shared" si="414"/>
        <v>0.4</v>
      </c>
      <c r="DB386" s="1" t="s">
        <v>1074</v>
      </c>
      <c r="DC386" s="297" t="str">
        <f t="shared" si="433"/>
        <v>reg</v>
      </c>
      <c r="DD386" t="s">
        <v>235</v>
      </c>
      <c r="DE386">
        <v>2011</v>
      </c>
      <c r="DF386">
        <v>2090</v>
      </c>
      <c r="DG386">
        <v>80</v>
      </c>
      <c r="DH386" t="str">
        <f t="shared" si="415"/>
        <v>71-100</v>
      </c>
      <c r="DI386">
        <v>0</v>
      </c>
      <c r="DJ386">
        <v>1</v>
      </c>
      <c r="DK386">
        <v>1</v>
      </c>
      <c r="DL386">
        <v>1</v>
      </c>
      <c r="DN386">
        <f t="shared" si="432"/>
        <v>3</v>
      </c>
      <c r="DO386" t="str">
        <f t="shared" si="416"/>
        <v>mixedProduct</v>
      </c>
      <c r="DP386">
        <f t="shared" si="417"/>
        <v>0</v>
      </c>
      <c r="DQ386" t="str">
        <f t="shared" si="418"/>
        <v>Energy</v>
      </c>
      <c r="DR386" t="str">
        <f t="shared" si="419"/>
        <v>Pulp/Paper</v>
      </c>
      <c r="DS386" t="str">
        <f t="shared" si="420"/>
        <v>Timber</v>
      </c>
      <c r="DT386">
        <v>1</v>
      </c>
      <c r="DU386">
        <v>0</v>
      </c>
      <c r="DV386">
        <v>0</v>
      </c>
      <c r="DW386">
        <v>0</v>
      </c>
      <c r="DX386">
        <v>0</v>
      </c>
      <c r="DY386">
        <f t="shared" si="437"/>
        <v>1</v>
      </c>
      <c r="DZ386" s="143" t="str">
        <f t="shared" si="434"/>
        <v>self-calculated DF</v>
      </c>
      <c r="EA386">
        <v>1</v>
      </c>
      <c r="EB386">
        <v>1</v>
      </c>
      <c r="EC386">
        <v>1</v>
      </c>
      <c r="ED386">
        <v>0</v>
      </c>
      <c r="EE386">
        <v>0</v>
      </c>
      <c r="EF386" s="143">
        <v>0</v>
      </c>
      <c r="EG386">
        <v>1</v>
      </c>
      <c r="EH386">
        <v>1</v>
      </c>
      <c r="EI386">
        <v>0</v>
      </c>
      <c r="EJ386">
        <v>1</v>
      </c>
      <c r="EK386">
        <v>1</v>
      </c>
      <c r="EL386">
        <v>1</v>
      </c>
      <c r="EM386">
        <v>0</v>
      </c>
      <c r="EN386" s="2">
        <v>0</v>
      </c>
      <c r="EP386" t="str">
        <f t="shared" si="425"/>
        <v>Whole sector approach</v>
      </c>
      <c r="EQ386" t="str">
        <f t="shared" si="438"/>
        <v/>
      </c>
      <c r="ER386" s="2" t="str">
        <f t="shared" si="426"/>
        <v/>
      </c>
      <c r="ES386" t="str">
        <f t="shared" si="427"/>
        <v/>
      </c>
      <c r="ET386" t="str">
        <f t="shared" si="428"/>
        <v/>
      </c>
      <c r="EU386" t="str">
        <f t="shared" si="429"/>
        <v/>
      </c>
      <c r="EY386" t="b">
        <f>IF(ISNUMBER(BW386),IF(ABS(BW386-[1]QC_indicators!$B$2)&gt;3*[1]QC_indicators!$C$2,"C ratio",IF(ISNUMBER(CA386),IF(ABS(CA386-[1]QC_indicators!$B$1)&gt;3*[1]QC_indicators!$C$1,"DF","no"))),IF(ISNUMBER(CA386),IF(ABS(CA386-[1]QC_indicators!$B$1)&gt;3*[1]QC_indicators!$C$1,"DF","no")))</f>
        <v>0</v>
      </c>
      <c r="FA386" t="str">
        <f t="shared" si="430"/>
        <v/>
      </c>
      <c r="FB386" s="299" t="s">
        <v>349</v>
      </c>
    </row>
    <row r="387" spans="1:158" ht="15" hidden="1" customHeight="1">
      <c r="A387" s="1" t="s">
        <v>1001</v>
      </c>
      <c r="B387" t="s">
        <v>3764</v>
      </c>
      <c r="C387" t="s">
        <v>3765</v>
      </c>
      <c r="D387" t="s">
        <v>3766</v>
      </c>
      <c r="E387" t="s">
        <v>3767</v>
      </c>
      <c r="F387" t="s">
        <v>3768</v>
      </c>
      <c r="G387" t="s">
        <v>1002</v>
      </c>
      <c r="H387" t="s">
        <v>254</v>
      </c>
      <c r="I387">
        <v>2011</v>
      </c>
      <c r="J387">
        <v>57</v>
      </c>
      <c r="K387" t="s">
        <v>3769</v>
      </c>
      <c r="M387" t="str">
        <f t="shared" si="388"/>
        <v>Routa_2011</v>
      </c>
      <c r="N387" s="297" t="s">
        <v>4058</v>
      </c>
      <c r="O387" s="145" t="s">
        <v>341</v>
      </c>
      <c r="Q387" s="297" t="s">
        <v>256</v>
      </c>
      <c r="R387" s="298"/>
      <c r="S387" s="1" t="s">
        <v>3779</v>
      </c>
      <c r="T387" t="s">
        <v>1003</v>
      </c>
      <c r="U387" t="e">
        <f>#REF!</f>
        <v>#REF!</v>
      </c>
      <c r="X387">
        <v>0</v>
      </c>
      <c r="Y387">
        <v>0</v>
      </c>
      <c r="Z387">
        <v>0</v>
      </c>
      <c r="AA387">
        <v>0</v>
      </c>
      <c r="AB387">
        <v>0</v>
      </c>
      <c r="AC387">
        <v>2</v>
      </c>
      <c r="AD387">
        <v>1</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s="141">
        <f t="shared" si="404"/>
        <v>2</v>
      </c>
      <c r="BA387" s="141">
        <f t="shared" si="405"/>
        <v>2</v>
      </c>
      <c r="BB387">
        <f t="shared" si="406"/>
        <v>2</v>
      </c>
      <c r="BC387">
        <f t="shared" si="407"/>
        <v>0</v>
      </c>
      <c r="BD387">
        <f t="shared" si="408"/>
        <v>0</v>
      </c>
      <c r="BE387">
        <f t="shared" si="409"/>
        <v>0</v>
      </c>
      <c r="BF387">
        <f t="shared" si="410"/>
        <v>0</v>
      </c>
      <c r="BG387" t="str" cm="1">
        <f t="array" ref="BG387">IF(BA387=1,INDEX($X$7:$AN$7,MATCH(TRUE,INDEX($X387:$AY387&lt;&gt;0,),0)),IF(BA387=0,INDEX($AO$7:$AY$7,MATCH(1,$AO387:$AY387,0)),IF(BH387="Multiple strategies","mixed drivers",IF(BH387="Supply chain","multiple supply","multiple silviculture"))))</f>
        <v>multiple silviculture</v>
      </c>
      <c r="BH387" s="2" t="str" cm="1">
        <f t="array" ref="BH387">IF(COUNTIF(BB387:BD387,"&lt;&gt;0")=1,INDEX($X$4:$AY$4,MATCH(TRUE,INDEX($X387:$AY387&lt;&gt;0,),0)),IF(COUNTIF(BB387:BD387,"&lt;&gt;0")=0,INDEX($AO$4:$AY$4,MATCH(1,$AO387:$AY387,0)),"Multiple strategies"))</f>
        <v>Silviculture for productivity</v>
      </c>
      <c r="BR387" s="297" t="s">
        <v>232</v>
      </c>
      <c r="BS387" s="297"/>
      <c r="BT387" t="s">
        <v>1953</v>
      </c>
      <c r="BU387">
        <v>-200</v>
      </c>
      <c r="BV387">
        <v>-120</v>
      </c>
      <c r="BW387" s="144">
        <v>0.6</v>
      </c>
      <c r="BX387">
        <v>80</v>
      </c>
      <c r="BZ387">
        <f t="shared" si="431"/>
        <v>80000</v>
      </c>
      <c r="CA387" t="str">
        <f t="shared" si="421"/>
        <v/>
      </c>
      <c r="CB387">
        <v>0</v>
      </c>
      <c r="CC387">
        <v>0</v>
      </c>
      <c r="CD387">
        <v>0</v>
      </c>
      <c r="CE387">
        <v>1</v>
      </c>
      <c r="CF387">
        <v>0</v>
      </c>
      <c r="CG387">
        <v>0</v>
      </c>
      <c r="CH387">
        <v>0</v>
      </c>
      <c r="CI387">
        <v>0</v>
      </c>
      <c r="CJ387">
        <v>0</v>
      </c>
      <c r="CK387">
        <v>0</v>
      </c>
      <c r="CL387">
        <v>0</v>
      </c>
      <c r="CM387">
        <v>0</v>
      </c>
      <c r="CN387">
        <v>0</v>
      </c>
      <c r="CO387">
        <v>0</v>
      </c>
      <c r="CP387" t="str">
        <f t="shared" si="435"/>
        <v>refOK</v>
      </c>
      <c r="CQ387"/>
      <c r="CR387"/>
      <c r="CS387"/>
      <c r="CT387">
        <f t="shared" si="422"/>
        <v>0</v>
      </c>
      <c r="CU387">
        <f t="shared" si="411"/>
        <v>-200</v>
      </c>
      <c r="CV387">
        <f t="shared" si="436"/>
        <v>-120</v>
      </c>
      <c r="CW387">
        <f t="shared" si="412"/>
        <v>80000</v>
      </c>
      <c r="CX387" t="str">
        <f t="shared" si="423"/>
        <v/>
      </c>
      <c r="CY387" t="str">
        <f t="shared" si="413"/>
        <v/>
      </c>
      <c r="CZ387" t="str">
        <f t="shared" si="424"/>
        <v/>
      </c>
      <c r="DA387" s="2">
        <f t="shared" si="414"/>
        <v>0.4</v>
      </c>
      <c r="DB387" s="1" t="s">
        <v>1074</v>
      </c>
      <c r="DC387" s="297" t="str">
        <f t="shared" si="433"/>
        <v>reg</v>
      </c>
      <c r="DD387" t="s">
        <v>235</v>
      </c>
      <c r="DE387">
        <v>2011</v>
      </c>
      <c r="DF387">
        <v>2090</v>
      </c>
      <c r="DG387">
        <v>80</v>
      </c>
      <c r="DH387" t="str">
        <f t="shared" si="415"/>
        <v>71-100</v>
      </c>
      <c r="DI387">
        <v>0</v>
      </c>
      <c r="DJ387">
        <v>1</v>
      </c>
      <c r="DK387">
        <v>1</v>
      </c>
      <c r="DL387">
        <v>1</v>
      </c>
      <c r="DN387">
        <f t="shared" si="432"/>
        <v>3</v>
      </c>
      <c r="DO387" t="str">
        <f t="shared" si="416"/>
        <v>mixedProduct</v>
      </c>
      <c r="DP387">
        <f t="shared" si="417"/>
        <v>0</v>
      </c>
      <c r="DQ387" t="str">
        <f t="shared" si="418"/>
        <v>Energy</v>
      </c>
      <c r="DR387" t="str">
        <f t="shared" si="419"/>
        <v>Pulp/Paper</v>
      </c>
      <c r="DS387" t="str">
        <f t="shared" si="420"/>
        <v>Timber</v>
      </c>
      <c r="DT387">
        <v>1</v>
      </c>
      <c r="DU387">
        <v>0</v>
      </c>
      <c r="DV387">
        <v>0</v>
      </c>
      <c r="DW387">
        <v>0</v>
      </c>
      <c r="DX387">
        <v>0</v>
      </c>
      <c r="DY387">
        <f t="shared" si="437"/>
        <v>1</v>
      </c>
      <c r="DZ387" s="143" t="str">
        <f t="shared" si="434"/>
        <v>self-calculated DF</v>
      </c>
      <c r="EA387">
        <v>1</v>
      </c>
      <c r="EB387">
        <v>1</v>
      </c>
      <c r="EC387">
        <v>1</v>
      </c>
      <c r="ED387">
        <v>0</v>
      </c>
      <c r="EE387">
        <v>0</v>
      </c>
      <c r="EF387" s="143">
        <v>0</v>
      </c>
      <c r="EG387">
        <v>1</v>
      </c>
      <c r="EH387">
        <v>1</v>
      </c>
      <c r="EI387">
        <v>0</v>
      </c>
      <c r="EJ387">
        <v>1</v>
      </c>
      <c r="EK387">
        <v>1</v>
      </c>
      <c r="EL387">
        <v>1</v>
      </c>
      <c r="EM387">
        <v>0</v>
      </c>
      <c r="EN387" s="2">
        <v>0</v>
      </c>
      <c r="EP387" t="str">
        <f t="shared" si="425"/>
        <v>Whole sector approach</v>
      </c>
      <c r="EQ387" t="str">
        <f t="shared" si="438"/>
        <v/>
      </c>
      <c r="ER387" s="2" t="str">
        <f t="shared" si="426"/>
        <v/>
      </c>
      <c r="ES387" t="str">
        <f t="shared" si="427"/>
        <v/>
      </c>
      <c r="ET387" t="str">
        <f t="shared" si="428"/>
        <v/>
      </c>
      <c r="EU387" t="str">
        <f t="shared" si="429"/>
        <v/>
      </c>
      <c r="EY387" t="b">
        <f>IF(ISNUMBER(BW387),IF(ABS(BW387-[1]QC_indicators!$B$2)&gt;3*[1]QC_indicators!$C$2,"C ratio",IF(ISNUMBER(CA387),IF(ABS(CA387-[1]QC_indicators!$B$1)&gt;3*[1]QC_indicators!$C$1,"DF","no"))),IF(ISNUMBER(CA387),IF(ABS(CA387-[1]QC_indicators!$B$1)&gt;3*[1]QC_indicators!$C$1,"DF","no")))</f>
        <v>0</v>
      </c>
      <c r="FA387" t="str">
        <f t="shared" si="430"/>
        <v/>
      </c>
      <c r="FB387" s="299" t="s">
        <v>349</v>
      </c>
    </row>
    <row r="388" spans="1:158" ht="15" hidden="1" customHeight="1">
      <c r="A388" s="1" t="s">
        <v>1001</v>
      </c>
      <c r="B388" t="s">
        <v>3764</v>
      </c>
      <c r="C388" t="s">
        <v>3765</v>
      </c>
      <c r="D388" t="s">
        <v>3766</v>
      </c>
      <c r="E388" t="s">
        <v>3767</v>
      </c>
      <c r="F388" t="s">
        <v>3768</v>
      </c>
      <c r="G388" t="s">
        <v>1002</v>
      </c>
      <c r="H388" t="s">
        <v>254</v>
      </c>
      <c r="I388">
        <v>2011</v>
      </c>
      <c r="J388">
        <v>57</v>
      </c>
      <c r="K388" t="s">
        <v>3769</v>
      </c>
      <c r="M388" t="str">
        <f t="shared" si="388"/>
        <v>Routa_2011</v>
      </c>
      <c r="N388" s="297" t="s">
        <v>4058</v>
      </c>
      <c r="O388" s="145" t="s">
        <v>341</v>
      </c>
      <c r="Q388" s="297" t="s">
        <v>256</v>
      </c>
      <c r="R388" s="298"/>
      <c r="S388" s="1" t="s">
        <v>3776</v>
      </c>
      <c r="T388" t="s">
        <v>1003</v>
      </c>
      <c r="U388" t="e">
        <f>#REF!</f>
        <v>#REF!</v>
      </c>
      <c r="X388">
        <v>0</v>
      </c>
      <c r="Y388">
        <v>0</v>
      </c>
      <c r="Z388">
        <v>0</v>
      </c>
      <c r="AA388">
        <v>0</v>
      </c>
      <c r="AB388">
        <v>0</v>
      </c>
      <c r="AC388">
        <v>2</v>
      </c>
      <c r="AD388">
        <v>1</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s="141">
        <f t="shared" si="404"/>
        <v>2</v>
      </c>
      <c r="BA388" s="141">
        <f t="shared" si="405"/>
        <v>2</v>
      </c>
      <c r="BB388">
        <f t="shared" si="406"/>
        <v>2</v>
      </c>
      <c r="BC388">
        <f t="shared" si="407"/>
        <v>0</v>
      </c>
      <c r="BD388">
        <f t="shared" si="408"/>
        <v>0</v>
      </c>
      <c r="BE388">
        <f t="shared" si="409"/>
        <v>0</v>
      </c>
      <c r="BF388">
        <f t="shared" si="410"/>
        <v>0</v>
      </c>
      <c r="BG388" t="str" cm="1">
        <f t="array" ref="BG388">IF(BA388=1,INDEX($X$7:$AN$7,MATCH(TRUE,INDEX($X388:$AY388&lt;&gt;0,),0)),IF(BA388=0,INDEX($AO$7:$AY$7,MATCH(1,$AO388:$AY388,0)),IF(BH388="Multiple strategies","mixed drivers",IF(BH388="Supply chain","multiple supply","multiple silviculture"))))</f>
        <v>multiple silviculture</v>
      </c>
      <c r="BH388" s="2" t="str" cm="1">
        <f t="array" ref="BH388">IF(COUNTIF(BB388:BD388,"&lt;&gt;0")=1,INDEX($X$4:$AY$4,MATCH(TRUE,INDEX($X388:$AY388&lt;&gt;0,),0)),IF(COUNTIF(BB388:BD388,"&lt;&gt;0")=0,INDEX($AO$4:$AY$4,MATCH(1,$AO388:$AY388,0)),"Multiple strategies"))</f>
        <v>Silviculture for productivity</v>
      </c>
      <c r="BR388" s="297" t="s">
        <v>232</v>
      </c>
      <c r="BS388" s="297"/>
      <c r="BT388" t="s">
        <v>1953</v>
      </c>
      <c r="BU388">
        <v>-150</v>
      </c>
      <c r="BV388">
        <v>-88</v>
      </c>
      <c r="BW388" s="144">
        <v>0.58666666666666667</v>
      </c>
      <c r="BX388">
        <v>62</v>
      </c>
      <c r="BZ388">
        <f t="shared" si="431"/>
        <v>62000</v>
      </c>
      <c r="CA388" t="str">
        <f t="shared" si="421"/>
        <v/>
      </c>
      <c r="CB388">
        <v>0</v>
      </c>
      <c r="CC388">
        <v>0</v>
      </c>
      <c r="CD388">
        <v>0</v>
      </c>
      <c r="CE388">
        <v>1</v>
      </c>
      <c r="CF388">
        <v>0</v>
      </c>
      <c r="CG388">
        <v>0</v>
      </c>
      <c r="CH388">
        <v>0</v>
      </c>
      <c r="CI388">
        <v>0</v>
      </c>
      <c r="CJ388">
        <v>0</v>
      </c>
      <c r="CK388">
        <v>0</v>
      </c>
      <c r="CL388">
        <v>0</v>
      </c>
      <c r="CM388">
        <v>0</v>
      </c>
      <c r="CN388">
        <v>0</v>
      </c>
      <c r="CO388">
        <v>0</v>
      </c>
      <c r="CP388" t="str">
        <f t="shared" si="435"/>
        <v>refOK</v>
      </c>
      <c r="CQ388"/>
      <c r="CR388"/>
      <c r="CS388"/>
      <c r="CT388">
        <f t="shared" si="422"/>
        <v>0</v>
      </c>
      <c r="CU388">
        <f t="shared" si="411"/>
        <v>-150</v>
      </c>
      <c r="CV388">
        <f t="shared" si="436"/>
        <v>-88</v>
      </c>
      <c r="CW388">
        <f t="shared" si="412"/>
        <v>62000</v>
      </c>
      <c r="CX388" t="str">
        <f t="shared" si="423"/>
        <v/>
      </c>
      <c r="CY388" t="str">
        <f t="shared" si="413"/>
        <v/>
      </c>
      <c r="CZ388" t="str">
        <f t="shared" si="424"/>
        <v/>
      </c>
      <c r="DA388" s="2">
        <f t="shared" si="414"/>
        <v>0.41333333333333333</v>
      </c>
      <c r="DB388" s="1" t="s">
        <v>1074</v>
      </c>
      <c r="DC388" s="297" t="str">
        <f t="shared" si="433"/>
        <v>reg</v>
      </c>
      <c r="DD388" t="s">
        <v>235</v>
      </c>
      <c r="DE388">
        <v>2011</v>
      </c>
      <c r="DF388">
        <v>2090</v>
      </c>
      <c r="DG388">
        <v>80</v>
      </c>
      <c r="DH388" t="str">
        <f t="shared" si="415"/>
        <v>71-100</v>
      </c>
      <c r="DI388">
        <v>0</v>
      </c>
      <c r="DJ388">
        <v>1</v>
      </c>
      <c r="DK388">
        <v>1</v>
      </c>
      <c r="DL388">
        <v>1</v>
      </c>
      <c r="DN388">
        <f t="shared" si="432"/>
        <v>3</v>
      </c>
      <c r="DO388" t="str">
        <f t="shared" si="416"/>
        <v>mixedProduct</v>
      </c>
      <c r="DP388">
        <f t="shared" si="417"/>
        <v>0</v>
      </c>
      <c r="DQ388" t="str">
        <f t="shared" si="418"/>
        <v>Energy</v>
      </c>
      <c r="DR388" t="str">
        <f t="shared" si="419"/>
        <v>Pulp/Paper</v>
      </c>
      <c r="DS388" t="str">
        <f t="shared" si="420"/>
        <v>Timber</v>
      </c>
      <c r="DT388">
        <v>1</v>
      </c>
      <c r="DU388">
        <v>0</v>
      </c>
      <c r="DV388">
        <v>0</v>
      </c>
      <c r="DW388">
        <v>0</v>
      </c>
      <c r="DX388">
        <v>0</v>
      </c>
      <c r="DY388">
        <f t="shared" si="437"/>
        <v>1</v>
      </c>
      <c r="DZ388" s="143" t="str">
        <f t="shared" si="434"/>
        <v>self-calculated DF</v>
      </c>
      <c r="EA388">
        <v>1</v>
      </c>
      <c r="EB388">
        <v>1</v>
      </c>
      <c r="EC388">
        <v>1</v>
      </c>
      <c r="ED388">
        <v>0</v>
      </c>
      <c r="EE388">
        <v>0</v>
      </c>
      <c r="EF388" s="143">
        <v>0</v>
      </c>
      <c r="EG388">
        <v>1</v>
      </c>
      <c r="EH388">
        <v>1</v>
      </c>
      <c r="EI388">
        <v>0</v>
      </c>
      <c r="EJ388">
        <v>1</v>
      </c>
      <c r="EK388">
        <v>1</v>
      </c>
      <c r="EL388">
        <v>1</v>
      </c>
      <c r="EM388">
        <v>0</v>
      </c>
      <c r="EN388" s="2">
        <v>0</v>
      </c>
      <c r="EP388" t="str">
        <f t="shared" si="425"/>
        <v>Whole sector approach</v>
      </c>
      <c r="EQ388" t="str">
        <f t="shared" si="438"/>
        <v/>
      </c>
      <c r="ER388" s="2" t="str">
        <f t="shared" si="426"/>
        <v/>
      </c>
      <c r="ES388" t="str">
        <f t="shared" si="427"/>
        <v/>
      </c>
      <c r="ET388" t="str">
        <f t="shared" si="428"/>
        <v/>
      </c>
      <c r="EU388" t="str">
        <f t="shared" si="429"/>
        <v/>
      </c>
      <c r="EY388" t="b">
        <f>IF(ISNUMBER(BW388),IF(ABS(BW388-[1]QC_indicators!$B$2)&gt;3*[1]QC_indicators!$C$2,"C ratio",IF(ISNUMBER(CA388),IF(ABS(CA388-[1]QC_indicators!$B$1)&gt;3*[1]QC_indicators!$C$1,"DF","no"))),IF(ISNUMBER(CA388),IF(ABS(CA388-[1]QC_indicators!$B$1)&gt;3*[1]QC_indicators!$C$1,"DF","no")))</f>
        <v>0</v>
      </c>
      <c r="FA388" t="str">
        <f t="shared" si="430"/>
        <v/>
      </c>
      <c r="FB388" s="299" t="s">
        <v>349</v>
      </c>
    </row>
    <row r="389" spans="1:158" ht="15" hidden="1" customHeight="1">
      <c r="A389" s="1" t="s">
        <v>1001</v>
      </c>
      <c r="B389" t="s">
        <v>3764</v>
      </c>
      <c r="C389" t="s">
        <v>3765</v>
      </c>
      <c r="D389" t="s">
        <v>3766</v>
      </c>
      <c r="E389" t="s">
        <v>3767</v>
      </c>
      <c r="F389" t="s">
        <v>3768</v>
      </c>
      <c r="G389" t="s">
        <v>1002</v>
      </c>
      <c r="H389" t="s">
        <v>254</v>
      </c>
      <c r="I389">
        <v>2011</v>
      </c>
      <c r="J389">
        <v>57</v>
      </c>
      <c r="K389" t="s">
        <v>3769</v>
      </c>
      <c r="M389" t="str">
        <f t="shared" si="388"/>
        <v>Routa_2011</v>
      </c>
      <c r="N389" s="297" t="s">
        <v>4058</v>
      </c>
      <c r="O389" s="145" t="s">
        <v>341</v>
      </c>
      <c r="Q389" s="297" t="s">
        <v>256</v>
      </c>
      <c r="R389" s="298"/>
      <c r="S389" s="1" t="s">
        <v>3777</v>
      </c>
      <c r="T389" t="s">
        <v>1003</v>
      </c>
      <c r="U389" t="e">
        <f>#REF!</f>
        <v>#REF!</v>
      </c>
      <c r="X389">
        <v>0</v>
      </c>
      <c r="Y389">
        <v>0</v>
      </c>
      <c r="Z389">
        <v>0</v>
      </c>
      <c r="AA389">
        <v>0</v>
      </c>
      <c r="AB389">
        <v>0</v>
      </c>
      <c r="AC389">
        <v>2</v>
      </c>
      <c r="AD389">
        <v>1</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s="141">
        <f t="shared" si="404"/>
        <v>2</v>
      </c>
      <c r="BA389" s="141">
        <f t="shared" si="405"/>
        <v>2</v>
      </c>
      <c r="BB389">
        <f t="shared" si="406"/>
        <v>2</v>
      </c>
      <c r="BC389">
        <f t="shared" si="407"/>
        <v>0</v>
      </c>
      <c r="BD389">
        <f t="shared" si="408"/>
        <v>0</v>
      </c>
      <c r="BE389">
        <f t="shared" si="409"/>
        <v>0</v>
      </c>
      <c r="BF389">
        <f t="shared" si="410"/>
        <v>0</v>
      </c>
      <c r="BG389" t="str" cm="1">
        <f t="array" ref="BG389">IF(BA389=1,INDEX($X$7:$AN$7,MATCH(TRUE,INDEX($X389:$AY389&lt;&gt;0,),0)),IF(BA389=0,INDEX($AO$7:$AY$7,MATCH(1,$AO389:$AY389,0)),IF(BH389="Multiple strategies","mixed drivers",IF(BH389="Supply chain","multiple supply","multiple silviculture"))))</f>
        <v>multiple silviculture</v>
      </c>
      <c r="BH389" s="2" t="str" cm="1">
        <f t="array" ref="BH389">IF(COUNTIF(BB389:BD389,"&lt;&gt;0")=1,INDEX($X$4:$AY$4,MATCH(TRUE,INDEX($X389:$AY389&lt;&gt;0,),0)),IF(COUNTIF(BB389:BD389,"&lt;&gt;0")=0,INDEX($AO$4:$AY$4,MATCH(1,$AO389:$AY389,0)),"Multiple strategies"))</f>
        <v>Silviculture for productivity</v>
      </c>
      <c r="BR389" s="297" t="s">
        <v>232</v>
      </c>
      <c r="BS389" s="297"/>
      <c r="BT389" t="s">
        <v>1953</v>
      </c>
      <c r="BU389">
        <v>-150</v>
      </c>
      <c r="BV389">
        <v>-88</v>
      </c>
      <c r="BW389" s="144">
        <v>0.58666666666666667</v>
      </c>
      <c r="BX389">
        <v>62</v>
      </c>
      <c r="BZ389">
        <f t="shared" si="431"/>
        <v>62000</v>
      </c>
      <c r="CA389" t="str">
        <f t="shared" si="421"/>
        <v/>
      </c>
      <c r="CB389">
        <v>0</v>
      </c>
      <c r="CC389">
        <v>0</v>
      </c>
      <c r="CD389">
        <v>0</v>
      </c>
      <c r="CE389">
        <v>1</v>
      </c>
      <c r="CF389">
        <v>0</v>
      </c>
      <c r="CG389">
        <v>0</v>
      </c>
      <c r="CH389">
        <v>0</v>
      </c>
      <c r="CI389">
        <v>0</v>
      </c>
      <c r="CJ389">
        <v>0</v>
      </c>
      <c r="CK389">
        <v>0</v>
      </c>
      <c r="CL389">
        <v>0</v>
      </c>
      <c r="CM389">
        <v>0</v>
      </c>
      <c r="CN389">
        <v>0</v>
      </c>
      <c r="CO389">
        <v>0</v>
      </c>
      <c r="CP389" t="str">
        <f t="shared" si="435"/>
        <v>refOK</v>
      </c>
      <c r="CQ389"/>
      <c r="CR389"/>
      <c r="CS389"/>
      <c r="CT389">
        <f t="shared" si="422"/>
        <v>0</v>
      </c>
      <c r="CU389">
        <f t="shared" si="411"/>
        <v>-150</v>
      </c>
      <c r="CV389">
        <f t="shared" si="436"/>
        <v>-88</v>
      </c>
      <c r="CW389">
        <f t="shared" si="412"/>
        <v>62000</v>
      </c>
      <c r="CX389" t="str">
        <f t="shared" si="423"/>
        <v/>
      </c>
      <c r="CY389" t="str">
        <f t="shared" si="413"/>
        <v/>
      </c>
      <c r="CZ389" t="str">
        <f t="shared" si="424"/>
        <v/>
      </c>
      <c r="DA389" s="2">
        <f t="shared" si="414"/>
        <v>0.41333333333333333</v>
      </c>
      <c r="DB389" s="1" t="s">
        <v>1074</v>
      </c>
      <c r="DC389" s="297" t="str">
        <f t="shared" si="433"/>
        <v>reg</v>
      </c>
      <c r="DD389" t="s">
        <v>235</v>
      </c>
      <c r="DE389">
        <v>2011</v>
      </c>
      <c r="DF389">
        <v>2090</v>
      </c>
      <c r="DG389">
        <v>80</v>
      </c>
      <c r="DH389" t="str">
        <f t="shared" si="415"/>
        <v>71-100</v>
      </c>
      <c r="DI389">
        <v>0</v>
      </c>
      <c r="DJ389">
        <v>1</v>
      </c>
      <c r="DK389">
        <v>1</v>
      </c>
      <c r="DL389">
        <v>1</v>
      </c>
      <c r="DN389">
        <f t="shared" si="432"/>
        <v>3</v>
      </c>
      <c r="DO389" t="str">
        <f t="shared" si="416"/>
        <v>mixedProduct</v>
      </c>
      <c r="DP389">
        <f t="shared" si="417"/>
        <v>0</v>
      </c>
      <c r="DQ389" t="str">
        <f t="shared" si="418"/>
        <v>Energy</v>
      </c>
      <c r="DR389" t="str">
        <f t="shared" si="419"/>
        <v>Pulp/Paper</v>
      </c>
      <c r="DS389" t="str">
        <f t="shared" si="420"/>
        <v>Timber</v>
      </c>
      <c r="DT389">
        <v>1</v>
      </c>
      <c r="DU389">
        <v>0</v>
      </c>
      <c r="DV389">
        <v>0</v>
      </c>
      <c r="DW389">
        <v>0</v>
      </c>
      <c r="DX389">
        <v>0</v>
      </c>
      <c r="DY389">
        <f t="shared" si="437"/>
        <v>1</v>
      </c>
      <c r="DZ389" s="143" t="str">
        <f t="shared" si="434"/>
        <v>self-calculated DF</v>
      </c>
      <c r="EA389">
        <v>1</v>
      </c>
      <c r="EB389">
        <v>1</v>
      </c>
      <c r="EC389">
        <v>1</v>
      </c>
      <c r="ED389">
        <v>0</v>
      </c>
      <c r="EE389">
        <v>0</v>
      </c>
      <c r="EF389" s="143">
        <v>0</v>
      </c>
      <c r="EG389">
        <v>1</v>
      </c>
      <c r="EH389">
        <v>1</v>
      </c>
      <c r="EI389">
        <v>0</v>
      </c>
      <c r="EJ389">
        <v>1</v>
      </c>
      <c r="EK389">
        <v>1</v>
      </c>
      <c r="EL389">
        <v>1</v>
      </c>
      <c r="EM389">
        <v>0</v>
      </c>
      <c r="EN389" s="2">
        <v>0</v>
      </c>
      <c r="EP389" t="str">
        <f t="shared" si="425"/>
        <v>Whole sector approach</v>
      </c>
      <c r="EQ389" t="str">
        <f t="shared" si="438"/>
        <v/>
      </c>
      <c r="ER389" s="2" t="str">
        <f t="shared" si="426"/>
        <v/>
      </c>
      <c r="ES389" t="str">
        <f t="shared" si="427"/>
        <v/>
      </c>
      <c r="ET389" t="str">
        <f t="shared" si="428"/>
        <v/>
      </c>
      <c r="EU389" t="str">
        <f t="shared" si="429"/>
        <v/>
      </c>
      <c r="EY389" t="b">
        <f>IF(ISNUMBER(BW389),IF(ABS(BW389-[1]QC_indicators!$B$2)&gt;3*[1]QC_indicators!$C$2,"C ratio",IF(ISNUMBER(CA389),IF(ABS(CA389-[1]QC_indicators!$B$1)&gt;3*[1]QC_indicators!$C$1,"DF","no"))),IF(ISNUMBER(CA389),IF(ABS(CA389-[1]QC_indicators!$B$1)&gt;3*[1]QC_indicators!$C$1,"DF","no")))</f>
        <v>0</v>
      </c>
      <c r="FA389" t="str">
        <f t="shared" si="430"/>
        <v/>
      </c>
      <c r="FB389" s="299" t="s">
        <v>349</v>
      </c>
    </row>
    <row r="390" spans="1:158" ht="15" hidden="1" customHeight="1">
      <c r="A390" s="1" t="s">
        <v>1001</v>
      </c>
      <c r="B390" t="s">
        <v>3764</v>
      </c>
      <c r="C390" t="s">
        <v>3765</v>
      </c>
      <c r="D390" t="s">
        <v>3766</v>
      </c>
      <c r="E390" t="s">
        <v>3767</v>
      </c>
      <c r="F390" t="s">
        <v>3768</v>
      </c>
      <c r="G390" t="s">
        <v>1002</v>
      </c>
      <c r="H390" t="s">
        <v>254</v>
      </c>
      <c r="I390">
        <v>2011</v>
      </c>
      <c r="J390">
        <v>57</v>
      </c>
      <c r="K390" t="s">
        <v>3769</v>
      </c>
      <c r="M390" t="str">
        <f t="shared" si="388"/>
        <v>Routa_2011</v>
      </c>
      <c r="N390" s="297" t="s">
        <v>4058</v>
      </c>
      <c r="O390" s="145" t="s">
        <v>341</v>
      </c>
      <c r="Q390" s="297" t="s">
        <v>256</v>
      </c>
      <c r="R390" s="298"/>
      <c r="S390" s="1" t="s">
        <v>3774</v>
      </c>
      <c r="T390" t="s">
        <v>1003</v>
      </c>
      <c r="U390" t="e">
        <f>#REF!</f>
        <v>#REF!</v>
      </c>
      <c r="X390">
        <v>0</v>
      </c>
      <c r="Y390">
        <v>0</v>
      </c>
      <c r="Z390">
        <v>0</v>
      </c>
      <c r="AA390">
        <v>0</v>
      </c>
      <c r="AB390">
        <v>0</v>
      </c>
      <c r="AC390">
        <v>2</v>
      </c>
      <c r="AD390">
        <v>1</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s="141">
        <f t="shared" ref="AZ390:AZ421" si="439">COUNTIF(X390:AY390,"&lt;&gt;0")</f>
        <v>2</v>
      </c>
      <c r="BA390" s="141">
        <f t="shared" ref="BA390:BA395" si="440">COUNTIF(X390:AN390,"&lt;&gt;0")</f>
        <v>2</v>
      </c>
      <c r="BB390">
        <f t="shared" ref="BB390:BB395" si="441">COUNTIF(X390:AE390,"&lt;&gt;0")</f>
        <v>2</v>
      </c>
      <c r="BC390">
        <f t="shared" ref="BC390:BC395" si="442">COUNTIF(AF390:AK390,"&lt;&gt;0")</f>
        <v>0</v>
      </c>
      <c r="BD390">
        <f t="shared" ref="BD390:BD395" si="443">COUNTIF(AL390:AN390,"&lt;&gt;0")</f>
        <v>0</v>
      </c>
      <c r="BE390">
        <f t="shared" ref="BE390:BE395" si="444">COUNTIF(AU390:AY390,"&lt;&gt;0")</f>
        <v>0</v>
      </c>
      <c r="BF390">
        <f t="shared" ref="BF390:BF395" si="445">COUNTIF(AO390:AT390,"&lt;&gt;0")</f>
        <v>0</v>
      </c>
      <c r="BG390" t="str" cm="1">
        <f t="array" ref="BG390">IF(BA390=1,INDEX($X$7:$AN$7,MATCH(TRUE,INDEX($X390:$AY390&lt;&gt;0,),0)),IF(BA390=0,INDEX($AO$7:$AY$7,MATCH(1,$AO390:$AY390,0)),IF(BH390="Multiple strategies","mixed drivers",IF(BH390="Supply chain","multiple supply","multiple silviculture"))))</f>
        <v>multiple silviculture</v>
      </c>
      <c r="BH390" s="2" t="str" cm="1">
        <f t="array" ref="BH390">IF(COUNTIF(BB390:BD390,"&lt;&gt;0")=1,INDEX($X$4:$AY$4,MATCH(TRUE,INDEX($X390:$AY390&lt;&gt;0,),0)),IF(COUNTIF(BB390:BD390,"&lt;&gt;0")=0,INDEX($AO$4:$AY$4,MATCH(1,$AO390:$AY390,0)),"Multiple strategies"))</f>
        <v>Silviculture for productivity</v>
      </c>
      <c r="BR390" s="297" t="s">
        <v>232</v>
      </c>
      <c r="BS390" s="297"/>
      <c r="BT390" t="s">
        <v>1953</v>
      </c>
      <c r="BU390">
        <v>-150</v>
      </c>
      <c r="BV390">
        <v>-87</v>
      </c>
      <c r="BW390" s="144">
        <v>0.57999999999999996</v>
      </c>
      <c r="BX390">
        <v>63</v>
      </c>
      <c r="BZ390">
        <f t="shared" si="431"/>
        <v>63000</v>
      </c>
      <c r="CA390" t="str">
        <f t="shared" si="421"/>
        <v/>
      </c>
      <c r="CB390">
        <v>0</v>
      </c>
      <c r="CC390">
        <v>0</v>
      </c>
      <c r="CD390">
        <v>0</v>
      </c>
      <c r="CE390">
        <v>1</v>
      </c>
      <c r="CF390">
        <v>0</v>
      </c>
      <c r="CG390">
        <v>0</v>
      </c>
      <c r="CH390">
        <v>0</v>
      </c>
      <c r="CI390">
        <v>0</v>
      </c>
      <c r="CJ390">
        <v>0</v>
      </c>
      <c r="CK390">
        <v>0</v>
      </c>
      <c r="CL390">
        <v>0</v>
      </c>
      <c r="CM390">
        <v>0</v>
      </c>
      <c r="CN390">
        <v>0</v>
      </c>
      <c r="CO390">
        <v>0</v>
      </c>
      <c r="CP390" t="str">
        <f t="shared" si="435"/>
        <v>refOK</v>
      </c>
      <c r="CQ390"/>
      <c r="CR390"/>
      <c r="CS390"/>
      <c r="CT390">
        <f t="shared" si="422"/>
        <v>0</v>
      </c>
      <c r="CU390">
        <f t="shared" ref="CU390:CU395" si="446">IF($CP390="refOK",$BU390,$BV390)*IF($BR390="Emissions positive",-1,1)</f>
        <v>-150</v>
      </c>
      <c r="CV390">
        <f t="shared" si="436"/>
        <v>-87</v>
      </c>
      <c r="CW390">
        <f t="shared" ref="CW390:CW395" si="447">IF($CP390="refNeedCorrection",-BZ390,BZ390)*IF($BR390="Emissions positive",-1,1)</f>
        <v>63000</v>
      </c>
      <c r="CX390" t="str">
        <f t="shared" si="423"/>
        <v/>
      </c>
      <c r="CY390" t="str">
        <f t="shared" ref="CY390:CY395" si="448">IFERROR($CW390/$CS390,"")</f>
        <v/>
      </c>
      <c r="CZ390" t="str">
        <f t="shared" si="424"/>
        <v/>
      </c>
      <c r="DA390" s="2">
        <f t="shared" ref="DA390:DA395" si="449">IFERROR((CV390-CU390)/ABS(CU390),"")</f>
        <v>0.42</v>
      </c>
      <c r="DB390" s="1" t="s">
        <v>1074</v>
      </c>
      <c r="DC390" s="297" t="str">
        <f t="shared" si="433"/>
        <v>reg</v>
      </c>
      <c r="DD390" t="s">
        <v>235</v>
      </c>
      <c r="DE390">
        <v>2011</v>
      </c>
      <c r="DF390">
        <v>2090</v>
      </c>
      <c r="DG390">
        <v>80</v>
      </c>
      <c r="DH390" t="str">
        <f t="shared" ref="DH390:DH421" si="450">IF(DG390=0,"0",IF(AND(DG390&gt;=1,DG390&lt;=30),"1-30",IF(AND(DG390&gt;30,DG390&lt;=70),"31-70",IF(AND(DG390&gt;70,DG390&lt;=100),"71-100",IF(DG390&gt;100,"+100")))))</f>
        <v>71-100</v>
      </c>
      <c r="DI390">
        <v>0</v>
      </c>
      <c r="DJ390">
        <v>1</v>
      </c>
      <c r="DK390">
        <v>1</v>
      </c>
      <c r="DL390">
        <v>1</v>
      </c>
      <c r="DN390">
        <f t="shared" si="432"/>
        <v>3</v>
      </c>
      <c r="DO390" t="str">
        <f t="shared" ref="DO390:DO421" si="451">IF(DN390=1,INDEX($DI$7:$DL$7,MATCH(1,$DI390:$DL390,0)),"mixedProduct")</f>
        <v>mixedProduct</v>
      </c>
      <c r="DP390">
        <f t="shared" ref="DP390:DP395" si="452">IF(DI390=1,DP$7,0)</f>
        <v>0</v>
      </c>
      <c r="DQ390" t="str">
        <f t="shared" ref="DQ390:DQ395" si="453">IF(DJ390=1,DQ$7,0)</f>
        <v>Energy</v>
      </c>
      <c r="DR390" t="str">
        <f t="shared" ref="DR390:DR395" si="454">IF(DK390=1,DR$7,0)</f>
        <v>Pulp/Paper</v>
      </c>
      <c r="DS390" t="str">
        <f t="shared" ref="DS390:DS395" si="455">IF(DL390=1,DS$7,0)</f>
        <v>Timber</v>
      </c>
      <c r="DT390">
        <v>1</v>
      </c>
      <c r="DU390">
        <v>0</v>
      </c>
      <c r="DV390">
        <v>0</v>
      </c>
      <c r="DW390">
        <v>0</v>
      </c>
      <c r="DX390">
        <v>0</v>
      </c>
      <c r="DY390">
        <f t="shared" si="437"/>
        <v>1</v>
      </c>
      <c r="DZ390" s="143" t="str">
        <f t="shared" si="434"/>
        <v>self-calculated DF</v>
      </c>
      <c r="EA390">
        <v>1</v>
      </c>
      <c r="EB390">
        <v>1</v>
      </c>
      <c r="EC390">
        <v>1</v>
      </c>
      <c r="ED390">
        <v>0</v>
      </c>
      <c r="EE390">
        <v>0</v>
      </c>
      <c r="EF390" s="143">
        <v>0</v>
      </c>
      <c r="EG390">
        <v>1</v>
      </c>
      <c r="EH390">
        <v>1</v>
      </c>
      <c r="EI390">
        <v>0</v>
      </c>
      <c r="EJ390">
        <v>1</v>
      </c>
      <c r="EK390">
        <v>1</v>
      </c>
      <c r="EL390">
        <v>1</v>
      </c>
      <c r="EM390">
        <v>0</v>
      </c>
      <c r="EN390" s="2">
        <v>0</v>
      </c>
      <c r="EP390" t="str">
        <f t="shared" si="425"/>
        <v>Whole sector approach</v>
      </c>
      <c r="EQ390" t="str">
        <f t="shared" si="438"/>
        <v/>
      </c>
      <c r="ER390" s="2" t="str">
        <f t="shared" si="426"/>
        <v/>
      </c>
      <c r="ES390" t="str">
        <f t="shared" si="427"/>
        <v/>
      </c>
      <c r="ET390" t="str">
        <f t="shared" si="428"/>
        <v/>
      </c>
      <c r="EU390" t="str">
        <f t="shared" si="429"/>
        <v/>
      </c>
      <c r="EY390" t="b">
        <f>IF(ISNUMBER(BW390),IF(ABS(BW390-[1]QC_indicators!$B$2)&gt;3*[1]QC_indicators!$C$2,"C ratio",IF(ISNUMBER(CA390),IF(ABS(CA390-[1]QC_indicators!$B$1)&gt;3*[1]QC_indicators!$C$1,"DF","no"))),IF(ISNUMBER(CA390),IF(ABS(CA390-[1]QC_indicators!$B$1)&gt;3*[1]QC_indicators!$C$1,"DF","no")))</f>
        <v>0</v>
      </c>
      <c r="FA390" t="str">
        <f t="shared" si="430"/>
        <v/>
      </c>
      <c r="FB390" s="299" t="s">
        <v>349</v>
      </c>
    </row>
    <row r="391" spans="1:158" ht="15" hidden="1" customHeight="1">
      <c r="A391" s="1" t="s">
        <v>1001</v>
      </c>
      <c r="B391" t="s">
        <v>3764</v>
      </c>
      <c r="C391" t="s">
        <v>3765</v>
      </c>
      <c r="D391" t="s">
        <v>3766</v>
      </c>
      <c r="E391" t="s">
        <v>3767</v>
      </c>
      <c r="F391" t="s">
        <v>3768</v>
      </c>
      <c r="G391" t="s">
        <v>1002</v>
      </c>
      <c r="H391" t="s">
        <v>254</v>
      </c>
      <c r="I391">
        <v>2011</v>
      </c>
      <c r="J391">
        <v>57</v>
      </c>
      <c r="K391" t="s">
        <v>3769</v>
      </c>
      <c r="M391" t="str">
        <f t="shared" si="388"/>
        <v>Routa_2011</v>
      </c>
      <c r="N391" s="297" t="s">
        <v>4058</v>
      </c>
      <c r="O391" s="145" t="s">
        <v>341</v>
      </c>
      <c r="Q391" s="297" t="s">
        <v>256</v>
      </c>
      <c r="R391" s="298"/>
      <c r="S391" s="1" t="s">
        <v>3775</v>
      </c>
      <c r="T391" t="s">
        <v>1003</v>
      </c>
      <c r="U391" t="e">
        <f>#REF!</f>
        <v>#REF!</v>
      </c>
      <c r="X391">
        <v>0</v>
      </c>
      <c r="Y391">
        <v>0</v>
      </c>
      <c r="Z391">
        <v>0</v>
      </c>
      <c r="AA391">
        <v>0</v>
      </c>
      <c r="AB391">
        <v>0</v>
      </c>
      <c r="AC391">
        <v>2</v>
      </c>
      <c r="AD391">
        <v>1</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s="141">
        <f t="shared" si="439"/>
        <v>2</v>
      </c>
      <c r="BA391" s="141">
        <f t="shared" si="440"/>
        <v>2</v>
      </c>
      <c r="BB391">
        <f t="shared" si="441"/>
        <v>2</v>
      </c>
      <c r="BC391">
        <f t="shared" si="442"/>
        <v>0</v>
      </c>
      <c r="BD391">
        <f t="shared" si="443"/>
        <v>0</v>
      </c>
      <c r="BE391">
        <f t="shared" si="444"/>
        <v>0</v>
      </c>
      <c r="BF391">
        <f t="shared" si="445"/>
        <v>0</v>
      </c>
      <c r="BG391" t="str" cm="1">
        <f t="array" ref="BG391">IF(BA391=1,INDEX($X$7:$AN$7,MATCH(TRUE,INDEX($X391:$AY391&lt;&gt;0,),0)),IF(BA391=0,INDEX($AO$7:$AY$7,MATCH(1,$AO391:$AY391,0)),IF(BH391="Multiple strategies","mixed drivers",IF(BH391="Supply chain","multiple supply","multiple silviculture"))))</f>
        <v>multiple silviculture</v>
      </c>
      <c r="BH391" s="2" t="str" cm="1">
        <f t="array" ref="BH391">IF(COUNTIF(BB391:BD391,"&lt;&gt;0")=1,INDEX($X$4:$AY$4,MATCH(TRUE,INDEX($X391:$AY391&lt;&gt;0,),0)),IF(COUNTIF(BB391:BD391,"&lt;&gt;0")=0,INDEX($AO$4:$AY$4,MATCH(1,$AO391:$AY391,0)),"Multiple strategies"))</f>
        <v>Silviculture for productivity</v>
      </c>
      <c r="BR391" s="297" t="s">
        <v>232</v>
      </c>
      <c r="BS391" s="297"/>
      <c r="BT391" t="s">
        <v>1953</v>
      </c>
      <c r="BU391">
        <v>-150</v>
      </c>
      <c r="BV391">
        <v>-87</v>
      </c>
      <c r="BW391" s="144">
        <v>0.57999999999999996</v>
      </c>
      <c r="BX391">
        <v>63</v>
      </c>
      <c r="BZ391">
        <f t="shared" si="431"/>
        <v>63000</v>
      </c>
      <c r="CA391" t="str">
        <f t="shared" si="421"/>
        <v/>
      </c>
      <c r="CB391">
        <v>0</v>
      </c>
      <c r="CC391">
        <v>0</v>
      </c>
      <c r="CD391">
        <v>0</v>
      </c>
      <c r="CE391">
        <v>1</v>
      </c>
      <c r="CF391">
        <v>0</v>
      </c>
      <c r="CG391">
        <v>0</v>
      </c>
      <c r="CH391">
        <v>0</v>
      </c>
      <c r="CI391">
        <v>0</v>
      </c>
      <c r="CJ391">
        <v>0</v>
      </c>
      <c r="CK391">
        <v>0</v>
      </c>
      <c r="CL391">
        <v>0</v>
      </c>
      <c r="CM391">
        <v>0</v>
      </c>
      <c r="CN391">
        <v>0</v>
      </c>
      <c r="CO391">
        <v>0</v>
      </c>
      <c r="CP391" t="str">
        <f t="shared" si="435"/>
        <v>refOK</v>
      </c>
      <c r="CQ391"/>
      <c r="CR391"/>
      <c r="CS391"/>
      <c r="CT391">
        <f t="shared" si="422"/>
        <v>0</v>
      </c>
      <c r="CU391">
        <f t="shared" si="446"/>
        <v>-150</v>
      </c>
      <c r="CV391">
        <f t="shared" si="436"/>
        <v>-87</v>
      </c>
      <c r="CW391">
        <f t="shared" si="447"/>
        <v>63000</v>
      </c>
      <c r="CX391" t="str">
        <f t="shared" si="423"/>
        <v/>
      </c>
      <c r="CY391" t="str">
        <f t="shared" si="448"/>
        <v/>
      </c>
      <c r="CZ391" t="str">
        <f t="shared" si="424"/>
        <v/>
      </c>
      <c r="DA391" s="2">
        <f t="shared" si="449"/>
        <v>0.42</v>
      </c>
      <c r="DB391" s="1" t="s">
        <v>1074</v>
      </c>
      <c r="DC391" s="297" t="str">
        <f t="shared" si="433"/>
        <v>reg</v>
      </c>
      <c r="DD391" t="s">
        <v>235</v>
      </c>
      <c r="DE391">
        <v>2011</v>
      </c>
      <c r="DF391">
        <v>2090</v>
      </c>
      <c r="DG391">
        <v>80</v>
      </c>
      <c r="DH391" t="str">
        <f t="shared" si="450"/>
        <v>71-100</v>
      </c>
      <c r="DI391">
        <v>0</v>
      </c>
      <c r="DJ391">
        <v>1</v>
      </c>
      <c r="DK391">
        <v>1</v>
      </c>
      <c r="DL391">
        <v>1</v>
      </c>
      <c r="DN391">
        <f t="shared" si="432"/>
        <v>3</v>
      </c>
      <c r="DO391" t="str">
        <f t="shared" si="451"/>
        <v>mixedProduct</v>
      </c>
      <c r="DP391">
        <f t="shared" si="452"/>
        <v>0</v>
      </c>
      <c r="DQ391" t="str">
        <f t="shared" si="453"/>
        <v>Energy</v>
      </c>
      <c r="DR391" t="str">
        <f t="shared" si="454"/>
        <v>Pulp/Paper</v>
      </c>
      <c r="DS391" t="str">
        <f t="shared" si="455"/>
        <v>Timber</v>
      </c>
      <c r="DT391">
        <v>1</v>
      </c>
      <c r="DU391">
        <v>0</v>
      </c>
      <c r="DV391">
        <v>0</v>
      </c>
      <c r="DW391">
        <v>0</v>
      </c>
      <c r="DX391">
        <v>0</v>
      </c>
      <c r="DY391">
        <f t="shared" si="437"/>
        <v>1</v>
      </c>
      <c r="DZ391" s="143" t="str">
        <f t="shared" si="434"/>
        <v>self-calculated DF</v>
      </c>
      <c r="EA391">
        <v>1</v>
      </c>
      <c r="EB391">
        <v>1</v>
      </c>
      <c r="EC391">
        <v>1</v>
      </c>
      <c r="ED391">
        <v>0</v>
      </c>
      <c r="EE391">
        <v>0</v>
      </c>
      <c r="EF391" s="143">
        <v>0</v>
      </c>
      <c r="EG391">
        <v>1</v>
      </c>
      <c r="EH391">
        <v>1</v>
      </c>
      <c r="EI391">
        <v>0</v>
      </c>
      <c r="EJ391">
        <v>1</v>
      </c>
      <c r="EK391">
        <v>1</v>
      </c>
      <c r="EL391">
        <v>1</v>
      </c>
      <c r="EM391">
        <v>0</v>
      </c>
      <c r="EN391" s="2">
        <v>0</v>
      </c>
      <c r="EP391" t="str">
        <f t="shared" si="425"/>
        <v>Whole sector approach</v>
      </c>
      <c r="EQ391" t="str">
        <f t="shared" si="438"/>
        <v/>
      </c>
      <c r="ER391" s="2" t="str">
        <f t="shared" si="426"/>
        <v/>
      </c>
      <c r="ES391" t="str">
        <f t="shared" si="427"/>
        <v/>
      </c>
      <c r="ET391" t="str">
        <f t="shared" si="428"/>
        <v/>
      </c>
      <c r="EU391" t="str">
        <f t="shared" si="429"/>
        <v/>
      </c>
      <c r="EY391" t="b">
        <f>IF(ISNUMBER(BW391),IF(ABS(BW391-[1]QC_indicators!$B$2)&gt;3*[1]QC_indicators!$C$2,"C ratio",IF(ISNUMBER(CA391),IF(ABS(CA391-[1]QC_indicators!$B$1)&gt;3*[1]QC_indicators!$C$1,"DF","no"))),IF(ISNUMBER(CA391),IF(ABS(CA391-[1]QC_indicators!$B$1)&gt;3*[1]QC_indicators!$C$1,"DF","no")))</f>
        <v>0</v>
      </c>
      <c r="FA391" t="str">
        <f t="shared" si="430"/>
        <v/>
      </c>
      <c r="FB391" s="299" t="s">
        <v>349</v>
      </c>
    </row>
    <row r="392" spans="1:158" ht="15" hidden="1" customHeight="1">
      <c r="A392" s="1" t="s">
        <v>1001</v>
      </c>
      <c r="B392" t="s">
        <v>3764</v>
      </c>
      <c r="C392" t="s">
        <v>3765</v>
      </c>
      <c r="D392" t="s">
        <v>3766</v>
      </c>
      <c r="E392" t="s">
        <v>3767</v>
      </c>
      <c r="F392" t="s">
        <v>3768</v>
      </c>
      <c r="G392" t="s">
        <v>1002</v>
      </c>
      <c r="H392" t="s">
        <v>254</v>
      </c>
      <c r="I392">
        <v>2011</v>
      </c>
      <c r="J392">
        <v>57</v>
      </c>
      <c r="K392" t="s">
        <v>3769</v>
      </c>
      <c r="M392" t="str">
        <f t="shared" ref="M392:M455" si="456">LEFT($D392,FIND(",",$D392)-1)&amp;"_"&amp;I392&amp;L392</f>
        <v>Routa_2011</v>
      </c>
      <c r="N392" s="297" t="s">
        <v>4058</v>
      </c>
      <c r="O392" s="145" t="s">
        <v>341</v>
      </c>
      <c r="Q392" s="297" t="s">
        <v>256</v>
      </c>
      <c r="R392" s="298"/>
      <c r="S392" s="1" t="s">
        <v>3773</v>
      </c>
      <c r="T392" t="s">
        <v>1003</v>
      </c>
      <c r="U392" t="e">
        <f>#REF!</f>
        <v>#REF!</v>
      </c>
      <c r="X392">
        <v>0</v>
      </c>
      <c r="Y392">
        <v>0</v>
      </c>
      <c r="Z392">
        <v>0</v>
      </c>
      <c r="AA392">
        <v>0</v>
      </c>
      <c r="AB392">
        <v>0</v>
      </c>
      <c r="AC392">
        <v>2</v>
      </c>
      <c r="AD392">
        <v>1</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s="141">
        <f t="shared" si="439"/>
        <v>2</v>
      </c>
      <c r="BA392" s="141">
        <f t="shared" si="440"/>
        <v>2</v>
      </c>
      <c r="BB392">
        <f t="shared" si="441"/>
        <v>2</v>
      </c>
      <c r="BC392">
        <f t="shared" si="442"/>
        <v>0</v>
      </c>
      <c r="BD392">
        <f t="shared" si="443"/>
        <v>0</v>
      </c>
      <c r="BE392">
        <f t="shared" si="444"/>
        <v>0</v>
      </c>
      <c r="BF392">
        <f t="shared" si="445"/>
        <v>0</v>
      </c>
      <c r="BG392" t="str" cm="1">
        <f t="array" ref="BG392">IF(BA392=1,INDEX($X$7:$AN$7,MATCH(TRUE,INDEX($X392:$AY392&lt;&gt;0,),0)),IF(BA392=0,INDEX($AO$7:$AY$7,MATCH(1,$AO392:$AY392,0)),IF(BH392="Multiple strategies","mixed drivers",IF(BH392="Supply chain","multiple supply","multiple silviculture"))))</f>
        <v>multiple silviculture</v>
      </c>
      <c r="BH392" s="2" t="str" cm="1">
        <f t="array" ref="BH392">IF(COUNTIF(BB392:BD392,"&lt;&gt;0")=1,INDEX($X$4:$AY$4,MATCH(TRUE,INDEX($X392:$AY392&lt;&gt;0,),0)),IF(COUNTIF(BB392:BD392,"&lt;&gt;0")=0,INDEX($AO$4:$AY$4,MATCH(1,$AO392:$AY392,0)),"Multiple strategies"))</f>
        <v>Silviculture for productivity</v>
      </c>
      <c r="BR392" s="297" t="s">
        <v>232</v>
      </c>
      <c r="BS392" s="297"/>
      <c r="BT392" t="s">
        <v>1953</v>
      </c>
      <c r="BU392">
        <v>-150</v>
      </c>
      <c r="BV392">
        <v>-85</v>
      </c>
      <c r="BW392" s="144">
        <v>0.56666666666666665</v>
      </c>
      <c r="BX392">
        <v>65</v>
      </c>
      <c r="BZ392">
        <f t="shared" si="431"/>
        <v>65000</v>
      </c>
      <c r="CA392" t="str">
        <f t="shared" si="421"/>
        <v/>
      </c>
      <c r="CB392">
        <v>0</v>
      </c>
      <c r="CC392">
        <v>0</v>
      </c>
      <c r="CD392">
        <v>0</v>
      </c>
      <c r="CE392">
        <v>1</v>
      </c>
      <c r="CF392">
        <v>0</v>
      </c>
      <c r="CG392">
        <v>0</v>
      </c>
      <c r="CH392">
        <v>0</v>
      </c>
      <c r="CI392">
        <v>0</v>
      </c>
      <c r="CJ392">
        <v>0</v>
      </c>
      <c r="CK392">
        <v>0</v>
      </c>
      <c r="CL392">
        <v>0</v>
      </c>
      <c r="CM392">
        <v>0</v>
      </c>
      <c r="CN392">
        <v>0</v>
      </c>
      <c r="CO392">
        <v>0</v>
      </c>
      <c r="CP392" t="str">
        <f t="shared" si="435"/>
        <v>refOK</v>
      </c>
      <c r="CQ392"/>
      <c r="CR392"/>
      <c r="CS392"/>
      <c r="CT392">
        <f t="shared" si="422"/>
        <v>0</v>
      </c>
      <c r="CU392">
        <f t="shared" si="446"/>
        <v>-150</v>
      </c>
      <c r="CV392">
        <f t="shared" si="436"/>
        <v>-85</v>
      </c>
      <c r="CW392">
        <f t="shared" si="447"/>
        <v>65000</v>
      </c>
      <c r="CX392" t="str">
        <f t="shared" si="423"/>
        <v/>
      </c>
      <c r="CY392" t="str">
        <f t="shared" si="448"/>
        <v/>
      </c>
      <c r="CZ392" t="str">
        <f t="shared" si="424"/>
        <v/>
      </c>
      <c r="DA392" s="2">
        <f t="shared" si="449"/>
        <v>0.43333333333333335</v>
      </c>
      <c r="DB392" s="1" t="s">
        <v>1074</v>
      </c>
      <c r="DC392" s="297" t="str">
        <f t="shared" si="433"/>
        <v>reg</v>
      </c>
      <c r="DD392" t="s">
        <v>235</v>
      </c>
      <c r="DE392">
        <v>2011</v>
      </c>
      <c r="DF392">
        <v>2090</v>
      </c>
      <c r="DG392">
        <v>80</v>
      </c>
      <c r="DH392" t="str">
        <f t="shared" si="450"/>
        <v>71-100</v>
      </c>
      <c r="DI392">
        <v>0</v>
      </c>
      <c r="DJ392">
        <v>1</v>
      </c>
      <c r="DK392">
        <v>1</v>
      </c>
      <c r="DL392">
        <v>1</v>
      </c>
      <c r="DN392">
        <f t="shared" si="432"/>
        <v>3</v>
      </c>
      <c r="DO392" t="str">
        <f t="shared" si="451"/>
        <v>mixedProduct</v>
      </c>
      <c r="DP392">
        <f t="shared" si="452"/>
        <v>0</v>
      </c>
      <c r="DQ392" t="str">
        <f t="shared" si="453"/>
        <v>Energy</v>
      </c>
      <c r="DR392" t="str">
        <f t="shared" si="454"/>
        <v>Pulp/Paper</v>
      </c>
      <c r="DS392" t="str">
        <f t="shared" si="455"/>
        <v>Timber</v>
      </c>
      <c r="DT392">
        <v>1</v>
      </c>
      <c r="DU392">
        <v>0</v>
      </c>
      <c r="DV392">
        <v>0</v>
      </c>
      <c r="DW392">
        <v>0</v>
      </c>
      <c r="DX392">
        <v>0</v>
      </c>
      <c r="DY392">
        <f t="shared" si="437"/>
        <v>1</v>
      </c>
      <c r="DZ392" s="143" t="str">
        <f t="shared" si="434"/>
        <v>self-calculated DF</v>
      </c>
      <c r="EA392">
        <v>1</v>
      </c>
      <c r="EB392">
        <v>1</v>
      </c>
      <c r="EC392">
        <v>1</v>
      </c>
      <c r="ED392">
        <v>0</v>
      </c>
      <c r="EE392">
        <v>0</v>
      </c>
      <c r="EF392" s="143">
        <v>0</v>
      </c>
      <c r="EG392">
        <v>1</v>
      </c>
      <c r="EH392">
        <v>1</v>
      </c>
      <c r="EI392">
        <v>0</v>
      </c>
      <c r="EJ392">
        <v>1</v>
      </c>
      <c r="EK392">
        <v>1</v>
      </c>
      <c r="EL392">
        <v>1</v>
      </c>
      <c r="EM392">
        <v>0</v>
      </c>
      <c r="EN392" s="2">
        <v>0</v>
      </c>
      <c r="EP392" t="str">
        <f t="shared" si="425"/>
        <v>Whole sector approach</v>
      </c>
      <c r="EQ392" t="str">
        <f t="shared" si="438"/>
        <v/>
      </c>
      <c r="ER392" s="2" t="str">
        <f t="shared" si="426"/>
        <v/>
      </c>
      <c r="ES392" t="str">
        <f t="shared" si="427"/>
        <v/>
      </c>
      <c r="ET392" t="str">
        <f t="shared" si="428"/>
        <v/>
      </c>
      <c r="EU392" t="str">
        <f t="shared" si="429"/>
        <v/>
      </c>
      <c r="EY392" t="b">
        <f>IF(ISNUMBER(BW392),IF(ABS(BW392-[1]QC_indicators!$B$2)&gt;3*[1]QC_indicators!$C$2,"C ratio",IF(ISNUMBER(CA392),IF(ABS(CA392-[1]QC_indicators!$B$1)&gt;3*[1]QC_indicators!$C$1,"DF","no"))),IF(ISNUMBER(CA392),IF(ABS(CA392-[1]QC_indicators!$B$1)&gt;3*[1]QC_indicators!$C$1,"DF","no")))</f>
        <v>0</v>
      </c>
      <c r="FA392" t="str">
        <f t="shared" si="430"/>
        <v/>
      </c>
      <c r="FB392" s="299" t="s">
        <v>349</v>
      </c>
    </row>
    <row r="393" spans="1:158" ht="15" hidden="1" customHeight="1">
      <c r="A393" s="1" t="s">
        <v>1001</v>
      </c>
      <c r="B393" t="s">
        <v>3764</v>
      </c>
      <c r="C393" t="s">
        <v>3765</v>
      </c>
      <c r="D393" t="s">
        <v>3766</v>
      </c>
      <c r="E393" t="s">
        <v>3767</v>
      </c>
      <c r="F393" t="s">
        <v>3768</v>
      </c>
      <c r="G393" t="s">
        <v>1002</v>
      </c>
      <c r="H393" t="s">
        <v>254</v>
      </c>
      <c r="I393">
        <v>2011</v>
      </c>
      <c r="J393">
        <v>57</v>
      </c>
      <c r="K393" t="s">
        <v>3769</v>
      </c>
      <c r="M393" t="str">
        <f t="shared" si="456"/>
        <v>Routa_2011</v>
      </c>
      <c r="N393" s="297" t="s">
        <v>4058</v>
      </c>
      <c r="O393" s="145" t="s">
        <v>341</v>
      </c>
      <c r="Q393" s="297" t="s">
        <v>256</v>
      </c>
      <c r="R393" s="298"/>
      <c r="S393" s="1" t="s">
        <v>3772</v>
      </c>
      <c r="T393" t="s">
        <v>1003</v>
      </c>
      <c r="U393" t="e">
        <f>#REF!</f>
        <v>#REF!</v>
      </c>
      <c r="X393">
        <v>0</v>
      </c>
      <c r="Y393">
        <v>0</v>
      </c>
      <c r="Z393">
        <v>0</v>
      </c>
      <c r="AA393">
        <v>0</v>
      </c>
      <c r="AB393">
        <v>0</v>
      </c>
      <c r="AC393">
        <v>2</v>
      </c>
      <c r="AD393">
        <v>1</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s="141">
        <f t="shared" si="439"/>
        <v>2</v>
      </c>
      <c r="BA393" s="141">
        <f t="shared" si="440"/>
        <v>2</v>
      </c>
      <c r="BB393">
        <f t="shared" si="441"/>
        <v>2</v>
      </c>
      <c r="BC393">
        <f t="shared" si="442"/>
        <v>0</v>
      </c>
      <c r="BD393">
        <f t="shared" si="443"/>
        <v>0</v>
      </c>
      <c r="BE393">
        <f t="shared" si="444"/>
        <v>0</v>
      </c>
      <c r="BF393">
        <f t="shared" si="445"/>
        <v>0</v>
      </c>
      <c r="BG393" t="str" cm="1">
        <f t="array" ref="BG393">IF(BA393=1,INDEX($X$7:$AN$7,MATCH(TRUE,INDEX($X393:$AY393&lt;&gt;0,),0)),IF(BA393=0,INDEX($AO$7:$AY$7,MATCH(1,$AO393:$AY393,0)),IF(BH393="Multiple strategies","mixed drivers",IF(BH393="Supply chain","multiple supply","multiple silviculture"))))</f>
        <v>multiple silviculture</v>
      </c>
      <c r="BH393" s="2" t="str" cm="1">
        <f t="array" ref="BH393">IF(COUNTIF(BB393:BD393,"&lt;&gt;0")=1,INDEX($X$4:$AY$4,MATCH(TRUE,INDEX($X393:$AY393&lt;&gt;0,),0)),IF(COUNTIF(BB393:BD393,"&lt;&gt;0")=0,INDEX($AO$4:$AY$4,MATCH(1,$AO393:$AY393,0)),"Multiple strategies"))</f>
        <v>Silviculture for productivity</v>
      </c>
      <c r="BR393" s="297" t="s">
        <v>232</v>
      </c>
      <c r="BS393" s="297"/>
      <c r="BT393" t="s">
        <v>1953</v>
      </c>
      <c r="BU393">
        <v>-150</v>
      </c>
      <c r="BV393">
        <v>-82</v>
      </c>
      <c r="BW393" s="144">
        <v>0.54666666666666663</v>
      </c>
      <c r="BX393">
        <v>68</v>
      </c>
      <c r="BZ393">
        <f t="shared" si="431"/>
        <v>68000</v>
      </c>
      <c r="CA393" t="str">
        <f t="shared" si="421"/>
        <v/>
      </c>
      <c r="CB393">
        <v>0</v>
      </c>
      <c r="CC393">
        <v>0</v>
      </c>
      <c r="CD393">
        <v>0</v>
      </c>
      <c r="CE393">
        <v>1</v>
      </c>
      <c r="CF393">
        <v>0</v>
      </c>
      <c r="CG393">
        <v>0</v>
      </c>
      <c r="CH393">
        <v>0</v>
      </c>
      <c r="CI393">
        <v>0</v>
      </c>
      <c r="CJ393">
        <v>0</v>
      </c>
      <c r="CK393">
        <v>0</v>
      </c>
      <c r="CL393">
        <v>0</v>
      </c>
      <c r="CM393">
        <v>0</v>
      </c>
      <c r="CN393">
        <v>0</v>
      </c>
      <c r="CO393">
        <v>0</v>
      </c>
      <c r="CP393" t="str">
        <f t="shared" si="435"/>
        <v>refOK</v>
      </c>
      <c r="CQ393"/>
      <c r="CR393"/>
      <c r="CS393"/>
      <c r="CT393">
        <f t="shared" si="422"/>
        <v>0</v>
      </c>
      <c r="CU393">
        <f t="shared" si="446"/>
        <v>-150</v>
      </c>
      <c r="CV393">
        <f t="shared" si="436"/>
        <v>-82</v>
      </c>
      <c r="CW393">
        <f t="shared" si="447"/>
        <v>68000</v>
      </c>
      <c r="CX393" t="str">
        <f t="shared" si="423"/>
        <v/>
      </c>
      <c r="CY393" t="str">
        <f t="shared" si="448"/>
        <v/>
      </c>
      <c r="CZ393" t="str">
        <f t="shared" si="424"/>
        <v/>
      </c>
      <c r="DA393" s="2">
        <f t="shared" si="449"/>
        <v>0.45333333333333331</v>
      </c>
      <c r="DB393" s="1" t="s">
        <v>1074</v>
      </c>
      <c r="DC393" s="297" t="str">
        <f t="shared" si="433"/>
        <v>reg</v>
      </c>
      <c r="DD393" t="s">
        <v>235</v>
      </c>
      <c r="DE393">
        <v>2011</v>
      </c>
      <c r="DF393">
        <v>2090</v>
      </c>
      <c r="DG393">
        <v>80</v>
      </c>
      <c r="DH393" t="str">
        <f t="shared" si="450"/>
        <v>71-100</v>
      </c>
      <c r="DI393">
        <v>0</v>
      </c>
      <c r="DJ393">
        <v>1</v>
      </c>
      <c r="DK393">
        <v>1</v>
      </c>
      <c r="DL393">
        <v>1</v>
      </c>
      <c r="DN393">
        <f t="shared" si="432"/>
        <v>3</v>
      </c>
      <c r="DO393" t="str">
        <f t="shared" si="451"/>
        <v>mixedProduct</v>
      </c>
      <c r="DP393">
        <f t="shared" si="452"/>
        <v>0</v>
      </c>
      <c r="DQ393" t="str">
        <f t="shared" si="453"/>
        <v>Energy</v>
      </c>
      <c r="DR393" t="str">
        <f t="shared" si="454"/>
        <v>Pulp/Paper</v>
      </c>
      <c r="DS393" t="str">
        <f t="shared" si="455"/>
        <v>Timber</v>
      </c>
      <c r="DT393">
        <v>1</v>
      </c>
      <c r="DU393">
        <v>0</v>
      </c>
      <c r="DV393">
        <v>0</v>
      </c>
      <c r="DW393">
        <v>0</v>
      </c>
      <c r="DX393">
        <v>0</v>
      </c>
      <c r="DY393">
        <f t="shared" si="437"/>
        <v>1</v>
      </c>
      <c r="DZ393" s="143" t="str">
        <f t="shared" si="434"/>
        <v>self-calculated DF</v>
      </c>
      <c r="EA393">
        <v>1</v>
      </c>
      <c r="EB393">
        <v>1</v>
      </c>
      <c r="EC393">
        <v>1</v>
      </c>
      <c r="ED393">
        <v>0</v>
      </c>
      <c r="EE393">
        <v>0</v>
      </c>
      <c r="EF393" s="143">
        <v>0</v>
      </c>
      <c r="EG393">
        <v>1</v>
      </c>
      <c r="EH393">
        <v>1</v>
      </c>
      <c r="EI393">
        <v>0</v>
      </c>
      <c r="EJ393">
        <v>1</v>
      </c>
      <c r="EK393">
        <v>1</v>
      </c>
      <c r="EL393">
        <v>1</v>
      </c>
      <c r="EM393">
        <v>0</v>
      </c>
      <c r="EN393" s="2">
        <v>0</v>
      </c>
      <c r="EP393" t="str">
        <f t="shared" si="425"/>
        <v>Whole sector approach</v>
      </c>
      <c r="EQ393" t="str">
        <f t="shared" si="438"/>
        <v/>
      </c>
      <c r="ER393" s="2" t="str">
        <f t="shared" si="426"/>
        <v/>
      </c>
      <c r="ES393" t="str">
        <f t="shared" si="427"/>
        <v/>
      </c>
      <c r="ET393" t="str">
        <f t="shared" si="428"/>
        <v/>
      </c>
      <c r="EU393" t="str">
        <f t="shared" si="429"/>
        <v/>
      </c>
      <c r="EY393" t="b">
        <f>IF(ISNUMBER(BW393),IF(ABS(BW393-[1]QC_indicators!$B$2)&gt;3*[1]QC_indicators!$C$2,"C ratio",IF(ISNUMBER(CA393),IF(ABS(CA393-[1]QC_indicators!$B$1)&gt;3*[1]QC_indicators!$C$1,"DF","no"))),IF(ISNUMBER(CA393),IF(ABS(CA393-[1]QC_indicators!$B$1)&gt;3*[1]QC_indicators!$C$1,"DF","no")))</f>
        <v>0</v>
      </c>
      <c r="FA393" t="str">
        <f t="shared" si="430"/>
        <v/>
      </c>
      <c r="FB393" s="299" t="s">
        <v>349</v>
      </c>
    </row>
    <row r="394" spans="1:158" ht="15" hidden="1" customHeight="1">
      <c r="A394" s="1" t="s">
        <v>1001</v>
      </c>
      <c r="B394" t="s">
        <v>3764</v>
      </c>
      <c r="C394" t="s">
        <v>3765</v>
      </c>
      <c r="D394" t="s">
        <v>3766</v>
      </c>
      <c r="E394" t="s">
        <v>3767</v>
      </c>
      <c r="F394" t="s">
        <v>3768</v>
      </c>
      <c r="G394" t="s">
        <v>1002</v>
      </c>
      <c r="H394" t="s">
        <v>254</v>
      </c>
      <c r="I394">
        <v>2011</v>
      </c>
      <c r="J394">
        <v>57</v>
      </c>
      <c r="K394" t="s">
        <v>3769</v>
      </c>
      <c r="M394" t="str">
        <f t="shared" si="456"/>
        <v>Routa_2011</v>
      </c>
      <c r="N394" s="297" t="s">
        <v>4058</v>
      </c>
      <c r="O394" s="145" t="s">
        <v>341</v>
      </c>
      <c r="Q394" s="297" t="s">
        <v>256</v>
      </c>
      <c r="R394" s="298"/>
      <c r="S394" s="1" t="s">
        <v>3771</v>
      </c>
      <c r="T394" t="s">
        <v>1003</v>
      </c>
      <c r="U394" t="e">
        <f>#REF!</f>
        <v>#REF!</v>
      </c>
      <c r="X394">
        <v>0</v>
      </c>
      <c r="Y394">
        <v>0</v>
      </c>
      <c r="Z394">
        <v>0</v>
      </c>
      <c r="AA394">
        <v>0</v>
      </c>
      <c r="AB394">
        <v>0</v>
      </c>
      <c r="AC394">
        <v>2</v>
      </c>
      <c r="AD394">
        <v>1</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s="141">
        <f t="shared" si="439"/>
        <v>2</v>
      </c>
      <c r="BA394" s="141">
        <f t="shared" si="440"/>
        <v>2</v>
      </c>
      <c r="BB394">
        <f t="shared" si="441"/>
        <v>2</v>
      </c>
      <c r="BC394">
        <f t="shared" si="442"/>
        <v>0</v>
      </c>
      <c r="BD394">
        <f t="shared" si="443"/>
        <v>0</v>
      </c>
      <c r="BE394">
        <f t="shared" si="444"/>
        <v>0</v>
      </c>
      <c r="BF394">
        <f t="shared" si="445"/>
        <v>0</v>
      </c>
      <c r="BG394" t="str" cm="1">
        <f t="array" ref="BG394">IF(BA394=1,INDEX($X$7:$AN$7,MATCH(TRUE,INDEX($X394:$AY394&lt;&gt;0,),0)),IF(BA394=0,INDEX($AO$7:$AY$7,MATCH(1,$AO394:$AY394,0)),IF(BH394="Multiple strategies","mixed drivers",IF(BH394="Supply chain","multiple supply","multiple silviculture"))))</f>
        <v>multiple silviculture</v>
      </c>
      <c r="BH394" s="2" t="str" cm="1">
        <f t="array" ref="BH394">IF(COUNTIF(BB394:BD394,"&lt;&gt;0")=1,INDEX($X$4:$AY$4,MATCH(TRUE,INDEX($X394:$AY394&lt;&gt;0,),0)),IF(COUNTIF(BB394:BD394,"&lt;&gt;0")=0,INDEX($AO$4:$AY$4,MATCH(1,$AO394:$AY394,0)),"Multiple strategies"))</f>
        <v>Silviculture for productivity</v>
      </c>
      <c r="BR394" s="297" t="s">
        <v>232</v>
      </c>
      <c r="BS394" s="297"/>
      <c r="BT394" t="s">
        <v>1953</v>
      </c>
      <c r="BU394">
        <v>-150</v>
      </c>
      <c r="BV394">
        <v>-76</v>
      </c>
      <c r="BW394" s="144">
        <v>0.50666666666666671</v>
      </c>
      <c r="BX394">
        <v>74</v>
      </c>
      <c r="BZ394">
        <f t="shared" si="431"/>
        <v>74000</v>
      </c>
      <c r="CA394" t="str">
        <f t="shared" si="421"/>
        <v/>
      </c>
      <c r="CB394">
        <v>0</v>
      </c>
      <c r="CC394">
        <v>0</v>
      </c>
      <c r="CD394">
        <v>0</v>
      </c>
      <c r="CE394">
        <v>1</v>
      </c>
      <c r="CF394">
        <v>0</v>
      </c>
      <c r="CG394">
        <v>0</v>
      </c>
      <c r="CH394">
        <v>0</v>
      </c>
      <c r="CI394">
        <v>0</v>
      </c>
      <c r="CJ394">
        <v>0</v>
      </c>
      <c r="CK394">
        <v>0</v>
      </c>
      <c r="CL394">
        <v>0</v>
      </c>
      <c r="CM394">
        <v>0</v>
      </c>
      <c r="CN394">
        <v>0</v>
      </c>
      <c r="CO394">
        <v>0</v>
      </c>
      <c r="CP394" t="str">
        <f t="shared" si="435"/>
        <v>refOK</v>
      </c>
      <c r="CQ394"/>
      <c r="CR394"/>
      <c r="CS394"/>
      <c r="CT394">
        <f t="shared" si="422"/>
        <v>0</v>
      </c>
      <c r="CU394">
        <f t="shared" si="446"/>
        <v>-150</v>
      </c>
      <c r="CV394">
        <f t="shared" si="436"/>
        <v>-76</v>
      </c>
      <c r="CW394">
        <f t="shared" si="447"/>
        <v>74000</v>
      </c>
      <c r="CX394" t="str">
        <f t="shared" si="423"/>
        <v/>
      </c>
      <c r="CY394" t="str">
        <f t="shared" si="448"/>
        <v/>
      </c>
      <c r="CZ394" t="str">
        <f t="shared" si="424"/>
        <v/>
      </c>
      <c r="DA394" s="2">
        <f t="shared" si="449"/>
        <v>0.49333333333333335</v>
      </c>
      <c r="DB394" s="1" t="s">
        <v>1074</v>
      </c>
      <c r="DC394" s="297" t="str">
        <f t="shared" si="433"/>
        <v>reg</v>
      </c>
      <c r="DD394" t="s">
        <v>235</v>
      </c>
      <c r="DE394">
        <v>2011</v>
      </c>
      <c r="DF394">
        <v>2090</v>
      </c>
      <c r="DG394">
        <v>80</v>
      </c>
      <c r="DH394" t="str">
        <f t="shared" si="450"/>
        <v>71-100</v>
      </c>
      <c r="DI394">
        <v>0</v>
      </c>
      <c r="DJ394">
        <v>1</v>
      </c>
      <c r="DK394">
        <v>1</v>
      </c>
      <c r="DL394">
        <v>1</v>
      </c>
      <c r="DN394">
        <f t="shared" si="432"/>
        <v>3</v>
      </c>
      <c r="DO394" t="str">
        <f t="shared" si="451"/>
        <v>mixedProduct</v>
      </c>
      <c r="DP394">
        <f t="shared" si="452"/>
        <v>0</v>
      </c>
      <c r="DQ394" t="str">
        <f t="shared" si="453"/>
        <v>Energy</v>
      </c>
      <c r="DR394" t="str">
        <f t="shared" si="454"/>
        <v>Pulp/Paper</v>
      </c>
      <c r="DS394" t="str">
        <f t="shared" si="455"/>
        <v>Timber</v>
      </c>
      <c r="DT394">
        <v>1</v>
      </c>
      <c r="DU394">
        <v>0</v>
      </c>
      <c r="DV394">
        <v>0</v>
      </c>
      <c r="DW394">
        <v>0</v>
      </c>
      <c r="DX394">
        <v>0</v>
      </c>
      <c r="DY394">
        <f t="shared" si="437"/>
        <v>1</v>
      </c>
      <c r="DZ394" s="143" t="str">
        <f t="shared" si="434"/>
        <v>self-calculated DF</v>
      </c>
      <c r="EA394">
        <v>1</v>
      </c>
      <c r="EB394">
        <v>1</v>
      </c>
      <c r="EC394">
        <v>1</v>
      </c>
      <c r="ED394">
        <v>0</v>
      </c>
      <c r="EE394">
        <v>0</v>
      </c>
      <c r="EF394" s="143">
        <v>0</v>
      </c>
      <c r="EG394">
        <v>1</v>
      </c>
      <c r="EH394">
        <v>1</v>
      </c>
      <c r="EI394">
        <v>0</v>
      </c>
      <c r="EJ394">
        <v>1</v>
      </c>
      <c r="EK394">
        <v>1</v>
      </c>
      <c r="EL394">
        <v>1</v>
      </c>
      <c r="EM394">
        <v>0</v>
      </c>
      <c r="EN394" s="2">
        <v>0</v>
      </c>
      <c r="EP394" t="str">
        <f t="shared" si="425"/>
        <v>Whole sector approach</v>
      </c>
      <c r="EQ394" t="str">
        <f t="shared" si="438"/>
        <v/>
      </c>
      <c r="ER394" s="2" t="str">
        <f t="shared" si="426"/>
        <v/>
      </c>
      <c r="ES394" t="str">
        <f t="shared" si="427"/>
        <v/>
      </c>
      <c r="ET394" t="str">
        <f t="shared" si="428"/>
        <v/>
      </c>
      <c r="EU394" t="str">
        <f t="shared" si="429"/>
        <v/>
      </c>
      <c r="EY394" t="b">
        <f>IF(ISNUMBER(BW394),IF(ABS(BW394-[1]QC_indicators!$B$2)&gt;3*[1]QC_indicators!$C$2,"C ratio",IF(ISNUMBER(CA394),IF(ABS(CA394-[1]QC_indicators!$B$1)&gt;3*[1]QC_indicators!$C$1,"DF","no"))),IF(ISNUMBER(CA394),IF(ABS(CA394-[1]QC_indicators!$B$1)&gt;3*[1]QC_indicators!$C$1,"DF","no")))</f>
        <v>0</v>
      </c>
      <c r="FA394" t="str">
        <f t="shared" si="430"/>
        <v/>
      </c>
      <c r="FB394" s="299" t="s">
        <v>349</v>
      </c>
    </row>
    <row r="395" spans="1:158" ht="15" hidden="1" customHeight="1">
      <c r="A395" s="1" t="s">
        <v>1001</v>
      </c>
      <c r="B395" t="s">
        <v>3764</v>
      </c>
      <c r="C395" t="s">
        <v>3765</v>
      </c>
      <c r="D395" t="s">
        <v>3766</v>
      </c>
      <c r="E395" t="s">
        <v>3767</v>
      </c>
      <c r="F395" t="s">
        <v>3768</v>
      </c>
      <c r="G395" t="s">
        <v>1002</v>
      </c>
      <c r="H395" t="s">
        <v>254</v>
      </c>
      <c r="I395">
        <v>2011</v>
      </c>
      <c r="J395">
        <v>57</v>
      </c>
      <c r="K395" t="s">
        <v>3769</v>
      </c>
      <c r="M395" t="str">
        <f t="shared" si="456"/>
        <v>Routa_2011</v>
      </c>
      <c r="N395" s="297" t="s">
        <v>4058</v>
      </c>
      <c r="O395" s="145" t="s">
        <v>341</v>
      </c>
      <c r="Q395" s="297" t="s">
        <v>256</v>
      </c>
      <c r="R395" s="298"/>
      <c r="S395" s="1" t="s">
        <v>3770</v>
      </c>
      <c r="T395" t="s">
        <v>1003</v>
      </c>
      <c r="U395" t="e">
        <f>#REF!</f>
        <v>#REF!</v>
      </c>
      <c r="X395">
        <v>0</v>
      </c>
      <c r="Y395">
        <v>0</v>
      </c>
      <c r="Z395">
        <v>0</v>
      </c>
      <c r="AA395">
        <v>0</v>
      </c>
      <c r="AB395">
        <v>0</v>
      </c>
      <c r="AC395">
        <v>2</v>
      </c>
      <c r="AD395">
        <v>1</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s="141">
        <f t="shared" si="439"/>
        <v>2</v>
      </c>
      <c r="BA395" s="141">
        <f t="shared" si="440"/>
        <v>2</v>
      </c>
      <c r="BB395">
        <f t="shared" si="441"/>
        <v>2</v>
      </c>
      <c r="BC395">
        <f t="shared" si="442"/>
        <v>0</v>
      </c>
      <c r="BD395">
        <f t="shared" si="443"/>
        <v>0</v>
      </c>
      <c r="BE395">
        <f t="shared" si="444"/>
        <v>0</v>
      </c>
      <c r="BF395">
        <f t="shared" si="445"/>
        <v>0</v>
      </c>
      <c r="BG395" t="str" cm="1">
        <f t="array" ref="BG395">IF(BA395=1,INDEX($X$7:$AN$7,MATCH(TRUE,INDEX($X395:$AY395&lt;&gt;0,),0)),IF(BA395=0,INDEX($AO$7:$AY$7,MATCH(1,$AO395:$AY395,0)),IF(BH395="Multiple strategies","mixed drivers",IF(BH395="Supply chain","multiple supply","multiple silviculture"))))</f>
        <v>multiple silviculture</v>
      </c>
      <c r="BH395" s="2" t="str" cm="1">
        <f t="array" ref="BH395">IF(COUNTIF(BB395:BD395,"&lt;&gt;0")=1,INDEX($X$4:$AY$4,MATCH(TRUE,INDEX($X395:$AY395&lt;&gt;0,),0)),IF(COUNTIF(BB395:BD395,"&lt;&gt;0")=0,INDEX($AO$4:$AY$4,MATCH(1,$AO395:$AY395,0)),"Multiple strategies"))</f>
        <v>Silviculture for productivity</v>
      </c>
      <c r="BR395" s="297" t="s">
        <v>232</v>
      </c>
      <c r="BS395" s="297"/>
      <c r="BT395" t="s">
        <v>1953</v>
      </c>
      <c r="BU395">
        <v>-150</v>
      </c>
      <c r="BV395">
        <v>-74</v>
      </c>
      <c r="BW395" s="144">
        <v>0.49333333333333335</v>
      </c>
      <c r="BX395">
        <v>76</v>
      </c>
      <c r="BZ395">
        <f t="shared" si="431"/>
        <v>76000</v>
      </c>
      <c r="CA395" t="str">
        <f t="shared" si="421"/>
        <v/>
      </c>
      <c r="CB395">
        <v>0</v>
      </c>
      <c r="CC395">
        <v>0</v>
      </c>
      <c r="CD395">
        <v>0</v>
      </c>
      <c r="CE395">
        <v>1</v>
      </c>
      <c r="CF395">
        <v>0</v>
      </c>
      <c r="CG395">
        <v>0</v>
      </c>
      <c r="CH395">
        <v>0</v>
      </c>
      <c r="CI395">
        <v>0</v>
      </c>
      <c r="CJ395">
        <v>0</v>
      </c>
      <c r="CK395">
        <v>0</v>
      </c>
      <c r="CL395">
        <v>0</v>
      </c>
      <c r="CM395">
        <v>0</v>
      </c>
      <c r="CN395">
        <v>0</v>
      </c>
      <c r="CO395">
        <v>0</v>
      </c>
      <c r="CP395" t="str">
        <f t="shared" si="435"/>
        <v>refOK</v>
      </c>
      <c r="CQ395"/>
      <c r="CR395"/>
      <c r="CS395"/>
      <c r="CT395">
        <f t="shared" si="422"/>
        <v>0</v>
      </c>
      <c r="CU395">
        <f t="shared" si="446"/>
        <v>-150</v>
      </c>
      <c r="CV395">
        <f t="shared" si="436"/>
        <v>-74</v>
      </c>
      <c r="CW395">
        <f t="shared" si="447"/>
        <v>76000</v>
      </c>
      <c r="CX395" t="str">
        <f t="shared" si="423"/>
        <v/>
      </c>
      <c r="CY395" t="str">
        <f t="shared" si="448"/>
        <v/>
      </c>
      <c r="CZ395" t="str">
        <f t="shared" si="424"/>
        <v/>
      </c>
      <c r="DA395" s="2">
        <f t="shared" si="449"/>
        <v>0.50666666666666671</v>
      </c>
      <c r="DB395" s="1" t="s">
        <v>1074</v>
      </c>
      <c r="DC395" s="297" t="str">
        <f t="shared" si="433"/>
        <v>reg</v>
      </c>
      <c r="DD395" t="s">
        <v>235</v>
      </c>
      <c r="DE395">
        <v>2011</v>
      </c>
      <c r="DF395">
        <v>2090</v>
      </c>
      <c r="DG395">
        <v>80</v>
      </c>
      <c r="DH395" t="str">
        <f t="shared" si="450"/>
        <v>71-100</v>
      </c>
      <c r="DI395">
        <v>0</v>
      </c>
      <c r="DJ395">
        <v>1</v>
      </c>
      <c r="DK395">
        <v>1</v>
      </c>
      <c r="DL395">
        <v>1</v>
      </c>
      <c r="DN395">
        <f t="shared" si="432"/>
        <v>3</v>
      </c>
      <c r="DO395" t="str">
        <f t="shared" si="451"/>
        <v>mixedProduct</v>
      </c>
      <c r="DP395">
        <f t="shared" si="452"/>
        <v>0</v>
      </c>
      <c r="DQ395" t="str">
        <f t="shared" si="453"/>
        <v>Energy</v>
      </c>
      <c r="DR395" t="str">
        <f t="shared" si="454"/>
        <v>Pulp/Paper</v>
      </c>
      <c r="DS395" t="str">
        <f t="shared" si="455"/>
        <v>Timber</v>
      </c>
      <c r="DT395">
        <v>1</v>
      </c>
      <c r="DU395">
        <v>0</v>
      </c>
      <c r="DV395">
        <v>0</v>
      </c>
      <c r="DW395">
        <v>0</v>
      </c>
      <c r="DX395">
        <v>0</v>
      </c>
      <c r="DY395">
        <f t="shared" si="437"/>
        <v>1</v>
      </c>
      <c r="DZ395" s="143" t="str">
        <f t="shared" si="434"/>
        <v>self-calculated DF</v>
      </c>
      <c r="EA395">
        <v>1</v>
      </c>
      <c r="EB395">
        <v>1</v>
      </c>
      <c r="EC395">
        <v>1</v>
      </c>
      <c r="ED395">
        <v>0</v>
      </c>
      <c r="EE395">
        <v>0</v>
      </c>
      <c r="EF395" s="143">
        <v>0</v>
      </c>
      <c r="EG395">
        <v>1</v>
      </c>
      <c r="EH395">
        <v>1</v>
      </c>
      <c r="EI395">
        <v>0</v>
      </c>
      <c r="EJ395">
        <v>1</v>
      </c>
      <c r="EK395">
        <v>1</v>
      </c>
      <c r="EL395">
        <v>1</v>
      </c>
      <c r="EM395">
        <v>0</v>
      </c>
      <c r="EN395" s="2">
        <v>0</v>
      </c>
      <c r="EP395" t="str">
        <f t="shared" si="425"/>
        <v>Whole sector approach</v>
      </c>
      <c r="EQ395" t="str">
        <f t="shared" si="438"/>
        <v/>
      </c>
      <c r="ER395" s="2" t="str">
        <f t="shared" si="426"/>
        <v/>
      </c>
      <c r="ES395" t="str">
        <f t="shared" si="427"/>
        <v/>
      </c>
      <c r="ET395" t="str">
        <f t="shared" si="428"/>
        <v/>
      </c>
      <c r="EU395" t="str">
        <f t="shared" si="429"/>
        <v/>
      </c>
      <c r="EY395" t="b">
        <f>IF(ISNUMBER(BW395),IF(ABS(BW395-[1]QC_indicators!$B$2)&gt;3*[1]QC_indicators!$C$2,"C ratio",IF(ISNUMBER(CA395),IF(ABS(CA395-[1]QC_indicators!$B$1)&gt;3*[1]QC_indicators!$C$1,"DF","no"))),IF(ISNUMBER(CA395),IF(ABS(CA395-[1]QC_indicators!$B$1)&gt;3*[1]QC_indicators!$C$1,"DF","no")))</f>
        <v>0</v>
      </c>
      <c r="FA395" t="str">
        <f t="shared" si="430"/>
        <v/>
      </c>
      <c r="FB395" s="299" t="s">
        <v>349</v>
      </c>
    </row>
    <row r="396" spans="1:158" ht="15" hidden="1" customHeight="1">
      <c r="A396" s="1" t="s">
        <v>1001</v>
      </c>
      <c r="B396" t="s">
        <v>5119</v>
      </c>
      <c r="C396" t="s">
        <v>5120</v>
      </c>
      <c r="D396" t="s">
        <v>5121</v>
      </c>
      <c r="E396" t="s">
        <v>5122</v>
      </c>
      <c r="F396" t="s">
        <v>5123</v>
      </c>
      <c r="G396" t="s">
        <v>1002</v>
      </c>
      <c r="H396" t="s">
        <v>254</v>
      </c>
      <c r="I396">
        <v>2013</v>
      </c>
      <c r="J396">
        <v>11</v>
      </c>
      <c r="K396" t="s">
        <v>5124</v>
      </c>
      <c r="M396" t="str">
        <f t="shared" si="456"/>
        <v>Routa_2013</v>
      </c>
      <c r="N396" s="349" t="s">
        <v>4058</v>
      </c>
      <c r="O396" s="145" t="s">
        <v>341</v>
      </c>
      <c r="Q396" s="349" t="s">
        <v>256</v>
      </c>
      <c r="R396" s="350" t="s">
        <v>1029</v>
      </c>
    </row>
    <row r="397" spans="1:158" ht="15" hidden="1" customHeight="1">
      <c r="A397" s="1" t="s">
        <v>3802</v>
      </c>
      <c r="B397" t="s">
        <v>3803</v>
      </c>
      <c r="C397" t="s">
        <v>3804</v>
      </c>
      <c r="D397" t="s">
        <v>3805</v>
      </c>
      <c r="E397" t="s">
        <v>3806</v>
      </c>
      <c r="F397" t="s">
        <v>3807</v>
      </c>
      <c r="G397" t="s">
        <v>3808</v>
      </c>
      <c r="H397" t="s">
        <v>254</v>
      </c>
      <c r="I397">
        <v>2014</v>
      </c>
      <c r="J397">
        <v>4</v>
      </c>
      <c r="K397" t="s">
        <v>3809</v>
      </c>
      <c r="M397" t="str">
        <f t="shared" si="456"/>
        <v>Saah_2014</v>
      </c>
      <c r="N397" s="297" t="s">
        <v>4058</v>
      </c>
      <c r="O397" s="145" t="s">
        <v>341</v>
      </c>
      <c r="Q397" s="297" t="s">
        <v>256</v>
      </c>
      <c r="R397" s="298"/>
      <c r="S397" s="1" t="s">
        <v>3819</v>
      </c>
      <c r="T397" t="s">
        <v>1003</v>
      </c>
      <c r="U397" t="e">
        <f>#REF!</f>
        <v>#REF!</v>
      </c>
      <c r="V397" s="317">
        <v>2</v>
      </c>
      <c r="W397">
        <v>0</v>
      </c>
      <c r="X397">
        <v>2</v>
      </c>
      <c r="Y397">
        <v>1</v>
      </c>
      <c r="Z397">
        <v>0</v>
      </c>
      <c r="AA397">
        <v>2</v>
      </c>
      <c r="AB397">
        <v>0</v>
      </c>
      <c r="AC397">
        <v>0</v>
      </c>
      <c r="AD397">
        <v>0</v>
      </c>
      <c r="AE397">
        <v>0</v>
      </c>
      <c r="AF397">
        <v>0</v>
      </c>
      <c r="AG397">
        <v>0</v>
      </c>
      <c r="AH397">
        <v>2</v>
      </c>
      <c r="AI397">
        <v>0</v>
      </c>
      <c r="AJ397">
        <v>0</v>
      </c>
      <c r="AK397">
        <v>0</v>
      </c>
      <c r="AL397">
        <v>0</v>
      </c>
      <c r="AM397">
        <v>0</v>
      </c>
      <c r="AN397">
        <v>0</v>
      </c>
      <c r="AO397">
        <v>0</v>
      </c>
      <c r="AP397">
        <v>0</v>
      </c>
      <c r="AQ397">
        <v>0</v>
      </c>
      <c r="AR397">
        <v>0</v>
      </c>
      <c r="AS397">
        <v>0</v>
      </c>
      <c r="AT397">
        <v>0</v>
      </c>
      <c r="AU397">
        <v>0</v>
      </c>
      <c r="AV397">
        <v>0</v>
      </c>
      <c r="AW397">
        <v>0</v>
      </c>
      <c r="AX397">
        <v>0</v>
      </c>
      <c r="AY397">
        <v>0</v>
      </c>
      <c r="AZ397" s="141">
        <f t="shared" ref="AZ397:AZ428" si="457">COUNTIF(X397:AY397,"&lt;&gt;0")</f>
        <v>4</v>
      </c>
      <c r="BA397" s="141">
        <f t="shared" ref="BA397:BA428" si="458">COUNTIF(X397:AN397,"&lt;&gt;0")</f>
        <v>4</v>
      </c>
      <c r="BB397">
        <f t="shared" ref="BB397:BB428" si="459">COUNTIF(X397:AE397,"&lt;&gt;0")</f>
        <v>3</v>
      </c>
      <c r="BC397">
        <f t="shared" ref="BC397:BC428" si="460">COUNTIF(AF397:AK397,"&lt;&gt;0")</f>
        <v>1</v>
      </c>
      <c r="BD397">
        <f t="shared" ref="BD397:BD428" si="461">COUNTIF(AL397:AN397,"&lt;&gt;0")</f>
        <v>0</v>
      </c>
      <c r="BE397">
        <f t="shared" ref="BE397:BE428" si="462">COUNTIF(AU397:AY397,"&lt;&gt;0")</f>
        <v>0</v>
      </c>
      <c r="BF397">
        <f t="shared" ref="BF397:BF428" si="463">COUNTIF(AO397:AT397,"&lt;&gt;0")</f>
        <v>0</v>
      </c>
      <c r="BG397" t="str" cm="1">
        <f t="array" ref="BG397">IF(BA397=1,INDEX($X$7:$AN$7,MATCH(TRUE,INDEX($X397:$AY397&lt;&gt;0,),0)),IF(BA397=0,INDEX($AO$7:$AY$7,MATCH(1,$AO397:$AY397,0)),IF(BH397="Multiple strategies","mixed drivers",IF(BH397="Supply chain","multiple supply","multiple silviculture"))))</f>
        <v>mixed drivers</v>
      </c>
      <c r="BH397" s="2" t="str" cm="1">
        <f t="array" ref="BH397">IF(COUNTIF(BB397:BD397,"&lt;&gt;0")=1,INDEX($X$4:$AY$4,MATCH(TRUE,INDEX($X397:$AY397&lt;&gt;0,),0)),IF(COUNTIF(BB397:BD397,"&lt;&gt;0")=0,INDEX($AO$4:$AY$4,MATCH(1,$AO397:$AY397,0)),"Multiple strategies"))</f>
        <v>Multiple strategies</v>
      </c>
      <c r="BR397" s="297" t="s">
        <v>232</v>
      </c>
      <c r="BS397" s="297"/>
      <c r="BT397" s="297" t="s">
        <v>3811</v>
      </c>
      <c r="BU397">
        <v>-56406</v>
      </c>
      <c r="BV397">
        <v>-19178.04</v>
      </c>
      <c r="BW397" s="144">
        <v>0.34</v>
      </c>
      <c r="BX397">
        <v>37227.96</v>
      </c>
      <c r="BZ397">
        <f t="shared" ref="BZ397:BZ405" si="464">BX397</f>
        <v>37227.96</v>
      </c>
      <c r="CA397" t="str">
        <f t="shared" ref="CA397:CA428" si="465">IFERROR(BZ397/BQ397,"")</f>
        <v/>
      </c>
      <c r="CB397">
        <v>0</v>
      </c>
      <c r="CC397">
        <v>1</v>
      </c>
      <c r="CD397">
        <v>0</v>
      </c>
      <c r="CE397">
        <v>1</v>
      </c>
      <c r="CF397">
        <v>0</v>
      </c>
      <c r="CG397">
        <v>0</v>
      </c>
      <c r="CH397">
        <v>0</v>
      </c>
      <c r="CI397">
        <v>0</v>
      </c>
      <c r="CJ397">
        <v>0</v>
      </c>
      <c r="CK397">
        <v>0</v>
      </c>
      <c r="CL397">
        <v>0</v>
      </c>
      <c r="CM397">
        <v>0</v>
      </c>
      <c r="CN397">
        <v>1</v>
      </c>
      <c r="CO397">
        <v>0</v>
      </c>
      <c r="CP397" t="str">
        <f t="shared" ref="CP397:CP420" si="466">IF(BN397&lt;BM397,"refNeedCorrection","refOK")</f>
        <v>refOK</v>
      </c>
      <c r="CQ397"/>
      <c r="CR397"/>
      <c r="CS397"/>
      <c r="CT397">
        <f t="shared" ref="CT397:CT460" si="467">IF(BI397="Roundwood",$CS397/2,$CS397)</f>
        <v>0</v>
      </c>
      <c r="CU397">
        <f t="shared" ref="CU397:CU411" si="468">IF($CP397="refOK",$BU397,$BV397)*IF($BR397="Emissions positive",-1,1)</f>
        <v>-56406</v>
      </c>
      <c r="CV397">
        <f t="shared" ref="CV397:CV411" si="469">IF($CP397="refOK",$BV397,$BU397)*IF($BR397="Emissions positive",-1,1)</f>
        <v>-19178.04</v>
      </c>
      <c r="CW397">
        <f t="shared" ref="CW397:CW428" si="470">IF($CP397="refNeedCorrection",-BZ397,BZ397)*IF($BR397="Emissions positive",-1,1)</f>
        <v>37227.96</v>
      </c>
      <c r="CX397" t="str">
        <f t="shared" ref="CX397:CY416" si="471">IFERROR($CW397/$CS397,"")</f>
        <v/>
      </c>
      <c r="CY397" t="str">
        <f t="shared" si="471"/>
        <v/>
      </c>
      <c r="CZ397" t="str">
        <f t="shared" ref="CZ397:CZ460" si="472">IFERROR($CW397/$CT397,"")</f>
        <v/>
      </c>
      <c r="DA397" s="2">
        <f t="shared" ref="DA397:DA428" si="473">IFERROR((CV397-CU397)/ABS(CU397),"")</f>
        <v>0.66</v>
      </c>
      <c r="DB397" s="1" t="s">
        <v>1074</v>
      </c>
      <c r="DC397" s="297" t="str">
        <f t="shared" ref="DC397:DC428" si="474">IF(OR($DB397="prd",$DB397="std",$DB397="cit"),"loc",IF(OR($DB397="eur",$DB397="reg",$DB397="coy"),"reg",$DB397))</f>
        <v>reg</v>
      </c>
      <c r="DD397" t="s">
        <v>428</v>
      </c>
      <c r="DG397">
        <v>0</v>
      </c>
      <c r="DH397" t="str">
        <f t="shared" ref="DH397:DH428" si="475">IF(DG397=0,"0",IF(AND(DG397&gt;=1,DG397&lt;=30),"1-30",IF(AND(DG397&gt;30,DG397&lt;=70),"31-70",IF(AND(DG397&gt;70,DG397&lt;=100),"71-100",IF(DG397&gt;100,"+100")))))</f>
        <v>0</v>
      </c>
      <c r="DI397">
        <v>0</v>
      </c>
      <c r="DJ397">
        <v>1</v>
      </c>
      <c r="DK397">
        <v>0</v>
      </c>
      <c r="DL397">
        <v>0</v>
      </c>
      <c r="DN397">
        <f t="shared" ref="DN397:DN420" si="476">SUM(DI397:DL397)</f>
        <v>1</v>
      </c>
      <c r="DO397" t="str">
        <f t="shared" ref="DO397:DO428" si="477">IF(DN397=1,INDEX($DI$7:$DL$7,MATCH(1,$DI397:$DL397,0)),"mixedProduct")</f>
        <v>EnergyInput</v>
      </c>
      <c r="DP397">
        <f t="shared" ref="DP397:DP428" si="478">IF(DI397=1,DP$7,0)</f>
        <v>0</v>
      </c>
      <c r="DQ397" t="str">
        <f t="shared" ref="DQ397:DQ428" si="479">IF(DJ397=1,DQ$7,0)</f>
        <v>Energy</v>
      </c>
      <c r="DR397">
        <f t="shared" ref="DR397:DR428" si="480">IF(DK397=1,DR$7,0)</f>
        <v>0</v>
      </c>
      <c r="DS397">
        <f t="shared" ref="DS397:DS428" si="481">IF(DL397=1,DS$7,0)</f>
        <v>0</v>
      </c>
      <c r="DT397">
        <v>1</v>
      </c>
      <c r="DU397">
        <v>0</v>
      </c>
      <c r="DV397">
        <v>0</v>
      </c>
      <c r="DW397">
        <v>0</v>
      </c>
      <c r="DX397">
        <v>0</v>
      </c>
      <c r="DY397">
        <f t="shared" ref="DY397:DY420" si="482">SUM(DT397:DU397)</f>
        <v>1</v>
      </c>
      <c r="DZ397" s="143" t="str">
        <f t="shared" ref="DZ397:DZ428" si="483">IF(DT397=1,"self-calculated DF",IF(DU397=1,"external DF used","explicit C balance"))</f>
        <v>self-calculated DF</v>
      </c>
      <c r="EA397">
        <v>0</v>
      </c>
      <c r="EB397">
        <v>0</v>
      </c>
      <c r="EC397">
        <v>0</v>
      </c>
      <c r="ED397">
        <v>0</v>
      </c>
      <c r="EE397">
        <v>0</v>
      </c>
      <c r="EF397" s="143">
        <v>0</v>
      </c>
      <c r="EG397">
        <v>1</v>
      </c>
      <c r="EH397">
        <v>1</v>
      </c>
      <c r="EI397">
        <v>0</v>
      </c>
      <c r="EJ397">
        <v>1</v>
      </c>
      <c r="EK397">
        <v>0</v>
      </c>
      <c r="EL397">
        <v>0</v>
      </c>
      <c r="EM397">
        <v>0</v>
      </c>
      <c r="EN397" s="2">
        <v>0</v>
      </c>
      <c r="EP397" t="str">
        <f t="shared" ref="EP397:EP460" si="484">IF(AND(AND(AND(OR($EC397=1,$EB397=1),OR($EH397=1,$EF397=1)),SUM($EA397:$EE397,$EK397)&gt;=3),SUM($EF397:$EJ397)&gt;=2),"Whole sector approach","")</f>
        <v/>
      </c>
      <c r="EQ397" t="str">
        <f t="shared" ref="EQ397:EQ428" si="485">IF(AND(AND(OR($EC397=1,$EB397=1),AND($EH397=0,$EF397=0)),SUM($EA397:$EE397,$EK397)&gt;=3),"Ecosystem approach","")</f>
        <v/>
      </c>
      <c r="ER397" s="2" t="str">
        <f t="shared" ref="ER397:ER428" si="486">IF(AND(AND(AND($EC397=0,$EB397=0),OR($EH397=1,$EF397=1)),SUM($EG397:$EJ397)&gt;=2),"Technology approach","")</f>
        <v>Technology approach</v>
      </c>
      <c r="ES397" t="str">
        <f t="shared" ref="ES397:ES428" si="487">IF(AND($EC397+$EB397+$EE397+$EA397+$EF397+$EG397=0,$N397="included"),"C neutral forest and HWP assumption","")</f>
        <v/>
      </c>
      <c r="ET397" t="str">
        <f t="shared" ref="ET397:ET428" si="488">IF(AND(AND(AND($EC397+$EB397+$EA397+$EG397&gt;=2,$EF397+$EH397+$EI397&gt;=1),$ED397+$EE397&gt;=1),$N397="included"),"All C pools assumption","")</f>
        <v/>
      </c>
      <c r="EU397" t="str">
        <f t="shared" ref="EU397:EU460" si="489">IF(AND($ED397+$EE397+$EI397+$EH397+$EF397=0,$N397="included"),"In-situ only assumption","")</f>
        <v/>
      </c>
      <c r="EY397" t="b">
        <f>IF(ISNUMBER(BW397),IF(ABS(BW397-[1]QC_indicators!$B$2)&gt;3*[1]QC_indicators!$C$2,"C ratio",IF(ISNUMBER(CA397),IF(ABS(CA397-[1]QC_indicators!$B$1)&gt;3*[1]QC_indicators!$C$1,"DF","no"))),IF(ISNUMBER(CA397),IF(ABS(CA397-[1]QC_indicators!$B$1)&gt;3*[1]QC_indicators!$C$1,"DF","no")))</f>
        <v>0</v>
      </c>
      <c r="FA397" t="str">
        <f t="shared" ref="FA397:FA460" si="490">IF(LEN($CY397)=0,"",IF(AND($CY397&lt;(-0.05),$ES397="C neutral forest and HWP assumption"),"Cneutral paradox",IF(AND($CY397&gt;0.05,$EU397="In-situ only assumption"),"In-situ only paradox","")))</f>
        <v/>
      </c>
      <c r="FB397" s="299" t="s">
        <v>349</v>
      </c>
    </row>
    <row r="398" spans="1:158" ht="15" hidden="1" customHeight="1">
      <c r="A398" s="1" t="s">
        <v>3802</v>
      </c>
      <c r="B398" t="s">
        <v>3803</v>
      </c>
      <c r="C398" t="s">
        <v>3804</v>
      </c>
      <c r="D398" t="s">
        <v>3805</v>
      </c>
      <c r="E398" t="s">
        <v>3806</v>
      </c>
      <c r="F398" t="s">
        <v>3807</v>
      </c>
      <c r="G398" t="s">
        <v>3808</v>
      </c>
      <c r="H398" t="s">
        <v>254</v>
      </c>
      <c r="I398">
        <v>2014</v>
      </c>
      <c r="J398">
        <v>4</v>
      </c>
      <c r="K398" t="s">
        <v>3809</v>
      </c>
      <c r="M398" t="str">
        <f t="shared" si="456"/>
        <v>Saah_2014</v>
      </c>
      <c r="N398" s="297" t="s">
        <v>4058</v>
      </c>
      <c r="O398" s="145" t="s">
        <v>341</v>
      </c>
      <c r="Q398" s="297" t="s">
        <v>256</v>
      </c>
      <c r="R398" s="298"/>
      <c r="S398" s="1" t="s">
        <v>3818</v>
      </c>
      <c r="T398" t="s">
        <v>1003</v>
      </c>
      <c r="U398" t="e">
        <f>#REF!</f>
        <v>#REF!</v>
      </c>
      <c r="V398" s="317">
        <v>2</v>
      </c>
      <c r="W398">
        <v>0</v>
      </c>
      <c r="X398">
        <v>2</v>
      </c>
      <c r="Y398">
        <v>1</v>
      </c>
      <c r="Z398">
        <v>0</v>
      </c>
      <c r="AA398">
        <v>2</v>
      </c>
      <c r="AB398">
        <v>0</v>
      </c>
      <c r="AC398">
        <v>0</v>
      </c>
      <c r="AD398">
        <v>0</v>
      </c>
      <c r="AE398">
        <v>0</v>
      </c>
      <c r="AF398">
        <v>0</v>
      </c>
      <c r="AG398">
        <v>0</v>
      </c>
      <c r="AH398">
        <v>2</v>
      </c>
      <c r="AI398">
        <v>0</v>
      </c>
      <c r="AJ398">
        <v>0</v>
      </c>
      <c r="AK398">
        <v>0</v>
      </c>
      <c r="AL398">
        <v>0</v>
      </c>
      <c r="AM398">
        <v>0</v>
      </c>
      <c r="AN398">
        <v>0</v>
      </c>
      <c r="AO398">
        <v>0</v>
      </c>
      <c r="AP398">
        <v>0</v>
      </c>
      <c r="AQ398">
        <v>0</v>
      </c>
      <c r="AR398">
        <v>0</v>
      </c>
      <c r="AS398">
        <v>0</v>
      </c>
      <c r="AT398">
        <v>0</v>
      </c>
      <c r="AU398">
        <v>0</v>
      </c>
      <c r="AV398">
        <v>0</v>
      </c>
      <c r="AW398">
        <v>0</v>
      </c>
      <c r="AX398">
        <v>0</v>
      </c>
      <c r="AY398">
        <v>0</v>
      </c>
      <c r="AZ398" s="141">
        <f t="shared" si="457"/>
        <v>4</v>
      </c>
      <c r="BA398" s="141">
        <f t="shared" si="458"/>
        <v>4</v>
      </c>
      <c r="BB398">
        <f t="shared" si="459"/>
        <v>3</v>
      </c>
      <c r="BC398">
        <f t="shared" si="460"/>
        <v>1</v>
      </c>
      <c r="BD398">
        <f t="shared" si="461"/>
        <v>0</v>
      </c>
      <c r="BE398">
        <f t="shared" si="462"/>
        <v>0</v>
      </c>
      <c r="BF398">
        <f t="shared" si="463"/>
        <v>0</v>
      </c>
      <c r="BG398" t="str" cm="1">
        <f t="array" ref="BG398">IF(BA398=1,INDEX($X$7:$AN$7,MATCH(TRUE,INDEX($X398:$AY398&lt;&gt;0,),0)),IF(BA398=0,INDEX($AO$7:$AY$7,MATCH(1,$AO398:$AY398,0)),IF(BH398="Multiple strategies","mixed drivers",IF(BH398="Supply chain","multiple supply","multiple silviculture"))))</f>
        <v>mixed drivers</v>
      </c>
      <c r="BH398" s="2" t="str" cm="1">
        <f t="array" ref="BH398">IF(COUNTIF(BB398:BD398,"&lt;&gt;0")=1,INDEX($X$4:$AY$4,MATCH(TRUE,INDEX($X398:$AY398&lt;&gt;0,),0)),IF(COUNTIF(BB398:BD398,"&lt;&gt;0")=0,INDEX($AO$4:$AY$4,MATCH(1,$AO398:$AY398,0)),"Multiple strategies"))</f>
        <v>Multiple strategies</v>
      </c>
      <c r="BR398" s="297" t="s">
        <v>232</v>
      </c>
      <c r="BS398" s="297"/>
      <c r="BT398" s="297" t="s">
        <v>3811</v>
      </c>
      <c r="BU398">
        <v>-56406</v>
      </c>
      <c r="BV398">
        <v>-18613.98</v>
      </c>
      <c r="BW398" s="144">
        <v>0.33</v>
      </c>
      <c r="BX398">
        <v>37792.020000000004</v>
      </c>
      <c r="BZ398">
        <f t="shared" si="464"/>
        <v>37792.020000000004</v>
      </c>
      <c r="CA398" t="str">
        <f t="shared" si="465"/>
        <v/>
      </c>
      <c r="CB398">
        <v>0</v>
      </c>
      <c r="CC398">
        <v>1</v>
      </c>
      <c r="CD398">
        <v>0</v>
      </c>
      <c r="CE398">
        <v>1</v>
      </c>
      <c r="CF398">
        <v>0</v>
      </c>
      <c r="CG398">
        <v>0</v>
      </c>
      <c r="CH398">
        <v>0</v>
      </c>
      <c r="CI398">
        <v>0</v>
      </c>
      <c r="CJ398">
        <v>0</v>
      </c>
      <c r="CK398">
        <v>0</v>
      </c>
      <c r="CL398">
        <v>0</v>
      </c>
      <c r="CM398">
        <v>0</v>
      </c>
      <c r="CN398">
        <v>1</v>
      </c>
      <c r="CO398">
        <v>0</v>
      </c>
      <c r="CP398" t="str">
        <f t="shared" si="466"/>
        <v>refOK</v>
      </c>
      <c r="CQ398"/>
      <c r="CR398"/>
      <c r="CS398"/>
      <c r="CT398">
        <f t="shared" si="467"/>
        <v>0</v>
      </c>
      <c r="CU398">
        <f t="shared" si="468"/>
        <v>-56406</v>
      </c>
      <c r="CV398">
        <f t="shared" si="469"/>
        <v>-18613.98</v>
      </c>
      <c r="CW398">
        <f t="shared" si="470"/>
        <v>37792.020000000004</v>
      </c>
      <c r="CX398" t="str">
        <f t="shared" si="471"/>
        <v/>
      </c>
      <c r="CY398" t="str">
        <f t="shared" si="471"/>
        <v/>
      </c>
      <c r="CZ398" t="str">
        <f t="shared" si="472"/>
        <v/>
      </c>
      <c r="DA398" s="2">
        <f t="shared" si="473"/>
        <v>0.67</v>
      </c>
      <c r="DB398" s="1" t="s">
        <v>1074</v>
      </c>
      <c r="DC398" s="297" t="str">
        <f t="shared" si="474"/>
        <v>reg</v>
      </c>
      <c r="DD398" t="s">
        <v>428</v>
      </c>
      <c r="DG398">
        <v>0</v>
      </c>
      <c r="DH398" t="str">
        <f t="shared" si="475"/>
        <v>0</v>
      </c>
      <c r="DI398">
        <v>0</v>
      </c>
      <c r="DJ398">
        <v>1</v>
      </c>
      <c r="DK398">
        <v>0</v>
      </c>
      <c r="DL398">
        <v>0</v>
      </c>
      <c r="DN398">
        <f t="shared" si="476"/>
        <v>1</v>
      </c>
      <c r="DO398" t="str">
        <f t="shared" si="477"/>
        <v>EnergyInput</v>
      </c>
      <c r="DP398">
        <f t="shared" si="478"/>
        <v>0</v>
      </c>
      <c r="DQ398" t="str">
        <f t="shared" si="479"/>
        <v>Energy</v>
      </c>
      <c r="DR398">
        <f t="shared" si="480"/>
        <v>0</v>
      </c>
      <c r="DS398">
        <f t="shared" si="481"/>
        <v>0</v>
      </c>
      <c r="DT398">
        <v>1</v>
      </c>
      <c r="DU398">
        <v>0</v>
      </c>
      <c r="DV398">
        <v>0</v>
      </c>
      <c r="DW398">
        <v>0</v>
      </c>
      <c r="DX398">
        <v>0</v>
      </c>
      <c r="DY398">
        <f t="shared" si="482"/>
        <v>1</v>
      </c>
      <c r="DZ398" s="143" t="str">
        <f t="shared" si="483"/>
        <v>self-calculated DF</v>
      </c>
      <c r="EA398">
        <v>0</v>
      </c>
      <c r="EB398">
        <v>0</v>
      </c>
      <c r="EC398">
        <v>0</v>
      </c>
      <c r="ED398">
        <v>0</v>
      </c>
      <c r="EE398">
        <v>0</v>
      </c>
      <c r="EF398" s="143">
        <v>0</v>
      </c>
      <c r="EG398">
        <v>1</v>
      </c>
      <c r="EH398">
        <v>1</v>
      </c>
      <c r="EI398">
        <v>0</v>
      </c>
      <c r="EJ398">
        <v>1</v>
      </c>
      <c r="EK398">
        <v>0</v>
      </c>
      <c r="EL398">
        <v>0</v>
      </c>
      <c r="EM398">
        <v>0</v>
      </c>
      <c r="EN398" s="2">
        <v>0</v>
      </c>
      <c r="EP398" t="str">
        <f t="shared" si="484"/>
        <v/>
      </c>
      <c r="EQ398" t="str">
        <f t="shared" si="485"/>
        <v/>
      </c>
      <c r="ER398" s="2" t="str">
        <f t="shared" si="486"/>
        <v>Technology approach</v>
      </c>
      <c r="ES398" t="str">
        <f t="shared" si="487"/>
        <v/>
      </c>
      <c r="ET398" t="str">
        <f t="shared" si="488"/>
        <v/>
      </c>
      <c r="EU398" t="str">
        <f t="shared" si="489"/>
        <v/>
      </c>
      <c r="EY398" t="b">
        <f>IF(ISNUMBER(BW398),IF(ABS(BW398-[1]QC_indicators!$B$2)&gt;3*[1]QC_indicators!$C$2,"C ratio",IF(ISNUMBER(CA398),IF(ABS(CA398-[1]QC_indicators!$B$1)&gt;3*[1]QC_indicators!$C$1,"DF","no"))),IF(ISNUMBER(CA398),IF(ABS(CA398-[1]QC_indicators!$B$1)&gt;3*[1]QC_indicators!$C$1,"DF","no")))</f>
        <v>0</v>
      </c>
      <c r="FA398" t="str">
        <f t="shared" si="490"/>
        <v/>
      </c>
      <c r="FB398" s="299" t="s">
        <v>349</v>
      </c>
    </row>
    <row r="399" spans="1:158" ht="15" hidden="1" customHeight="1">
      <c r="A399" s="1" t="s">
        <v>3802</v>
      </c>
      <c r="B399" t="s">
        <v>3803</v>
      </c>
      <c r="C399" t="s">
        <v>3804</v>
      </c>
      <c r="D399" t="s">
        <v>3805</v>
      </c>
      <c r="E399" t="s">
        <v>3806</v>
      </c>
      <c r="F399" t="s">
        <v>3807</v>
      </c>
      <c r="G399" t="s">
        <v>3808</v>
      </c>
      <c r="H399" t="s">
        <v>254</v>
      </c>
      <c r="I399">
        <v>2014</v>
      </c>
      <c r="J399">
        <v>4</v>
      </c>
      <c r="K399" t="s">
        <v>3809</v>
      </c>
      <c r="M399" t="str">
        <f t="shared" si="456"/>
        <v>Saah_2014</v>
      </c>
      <c r="N399" s="297" t="s">
        <v>4058</v>
      </c>
      <c r="O399" s="145" t="s">
        <v>341</v>
      </c>
      <c r="Q399" s="297" t="s">
        <v>256</v>
      </c>
      <c r="R399" s="298"/>
      <c r="S399" s="1" t="s">
        <v>3816</v>
      </c>
      <c r="T399" t="s">
        <v>1003</v>
      </c>
      <c r="U399" t="e">
        <f>#REF!</f>
        <v>#REF!</v>
      </c>
      <c r="V399" s="317">
        <v>2</v>
      </c>
      <c r="W399">
        <v>0</v>
      </c>
      <c r="X399">
        <v>2</v>
      </c>
      <c r="Y399">
        <v>1</v>
      </c>
      <c r="Z399">
        <v>0</v>
      </c>
      <c r="AA399">
        <v>2</v>
      </c>
      <c r="AB399">
        <v>0</v>
      </c>
      <c r="AC399">
        <v>0</v>
      </c>
      <c r="AD399">
        <v>0</v>
      </c>
      <c r="AE399">
        <v>0</v>
      </c>
      <c r="AF399">
        <v>0</v>
      </c>
      <c r="AG399">
        <v>0</v>
      </c>
      <c r="AH399">
        <v>2</v>
      </c>
      <c r="AI399">
        <v>0</v>
      </c>
      <c r="AJ399">
        <v>0</v>
      </c>
      <c r="AK399">
        <v>0</v>
      </c>
      <c r="AL399">
        <v>0</v>
      </c>
      <c r="AM399">
        <v>0</v>
      </c>
      <c r="AN399">
        <v>0</v>
      </c>
      <c r="AO399">
        <v>0</v>
      </c>
      <c r="AP399">
        <v>0</v>
      </c>
      <c r="AQ399">
        <v>0</v>
      </c>
      <c r="AR399">
        <v>0</v>
      </c>
      <c r="AS399">
        <v>0</v>
      </c>
      <c r="AT399">
        <v>0</v>
      </c>
      <c r="AU399">
        <v>0</v>
      </c>
      <c r="AV399">
        <v>0</v>
      </c>
      <c r="AW399">
        <v>0</v>
      </c>
      <c r="AX399">
        <v>0</v>
      </c>
      <c r="AY399">
        <v>0</v>
      </c>
      <c r="AZ399" s="141">
        <f t="shared" si="457"/>
        <v>4</v>
      </c>
      <c r="BA399" s="141">
        <f t="shared" si="458"/>
        <v>4</v>
      </c>
      <c r="BB399">
        <f t="shared" si="459"/>
        <v>3</v>
      </c>
      <c r="BC399">
        <f t="shared" si="460"/>
        <v>1</v>
      </c>
      <c r="BD399">
        <f t="shared" si="461"/>
        <v>0</v>
      </c>
      <c r="BE399">
        <f t="shared" si="462"/>
        <v>0</v>
      </c>
      <c r="BF399">
        <f t="shared" si="463"/>
        <v>0</v>
      </c>
      <c r="BG399" t="str" cm="1">
        <f t="array" ref="BG399">IF(BA399=1,INDEX($X$7:$AN$7,MATCH(TRUE,INDEX($X399:$AY399&lt;&gt;0,),0)),IF(BA399=0,INDEX($AO$7:$AY$7,MATCH(1,$AO399:$AY399,0)),IF(BH399="Multiple strategies","mixed drivers",IF(BH399="Supply chain","multiple supply","multiple silviculture"))))</f>
        <v>mixed drivers</v>
      </c>
      <c r="BH399" s="2" t="str" cm="1">
        <f t="array" ref="BH399">IF(COUNTIF(BB399:BD399,"&lt;&gt;0")=1,INDEX($X$4:$AY$4,MATCH(TRUE,INDEX($X399:$AY399&lt;&gt;0,),0)),IF(COUNTIF(BB399:BD399,"&lt;&gt;0")=0,INDEX($AO$4:$AY$4,MATCH(1,$AO399:$AY399,0)),"Multiple strategies"))</f>
        <v>Multiple strategies</v>
      </c>
      <c r="BR399" s="297" t="s">
        <v>232</v>
      </c>
      <c r="BS399" s="297"/>
      <c r="BT399" s="297" t="s">
        <v>3811</v>
      </c>
      <c r="BU399">
        <v>-56406</v>
      </c>
      <c r="BV399">
        <v>-18049.920000000002</v>
      </c>
      <c r="BW399" s="144">
        <v>0.32</v>
      </c>
      <c r="BX399">
        <v>38356.080000000002</v>
      </c>
      <c r="BZ399">
        <f t="shared" si="464"/>
        <v>38356.080000000002</v>
      </c>
      <c r="CA399" t="str">
        <f t="shared" si="465"/>
        <v/>
      </c>
      <c r="CB399">
        <v>0</v>
      </c>
      <c r="CC399">
        <v>1</v>
      </c>
      <c r="CD399">
        <v>0</v>
      </c>
      <c r="CE399">
        <v>1</v>
      </c>
      <c r="CF399">
        <v>0</v>
      </c>
      <c r="CG399">
        <v>0</v>
      </c>
      <c r="CH399">
        <v>0</v>
      </c>
      <c r="CI399">
        <v>0</v>
      </c>
      <c r="CJ399">
        <v>0</v>
      </c>
      <c r="CK399">
        <v>0</v>
      </c>
      <c r="CL399">
        <v>0</v>
      </c>
      <c r="CM399">
        <v>0</v>
      </c>
      <c r="CN399">
        <v>1</v>
      </c>
      <c r="CO399">
        <v>0</v>
      </c>
      <c r="CP399" t="str">
        <f t="shared" si="466"/>
        <v>refOK</v>
      </c>
      <c r="CQ399"/>
      <c r="CR399"/>
      <c r="CS399"/>
      <c r="CT399">
        <f t="shared" si="467"/>
        <v>0</v>
      </c>
      <c r="CU399">
        <f t="shared" si="468"/>
        <v>-56406</v>
      </c>
      <c r="CV399">
        <f t="shared" si="469"/>
        <v>-18049.920000000002</v>
      </c>
      <c r="CW399">
        <f t="shared" si="470"/>
        <v>38356.080000000002</v>
      </c>
      <c r="CX399" t="str">
        <f t="shared" si="471"/>
        <v/>
      </c>
      <c r="CY399" t="str">
        <f t="shared" si="471"/>
        <v/>
      </c>
      <c r="CZ399" t="str">
        <f t="shared" si="472"/>
        <v/>
      </c>
      <c r="DA399" s="2">
        <f t="shared" si="473"/>
        <v>0.68</v>
      </c>
      <c r="DB399" s="1" t="s">
        <v>1074</v>
      </c>
      <c r="DC399" s="297" t="str">
        <f t="shared" si="474"/>
        <v>reg</v>
      </c>
      <c r="DD399" t="s">
        <v>428</v>
      </c>
      <c r="DG399">
        <v>0</v>
      </c>
      <c r="DH399" t="str">
        <f t="shared" si="475"/>
        <v>0</v>
      </c>
      <c r="DI399">
        <v>0</v>
      </c>
      <c r="DJ399">
        <v>1</v>
      </c>
      <c r="DK399">
        <v>0</v>
      </c>
      <c r="DL399">
        <v>0</v>
      </c>
      <c r="DN399">
        <f t="shared" si="476"/>
        <v>1</v>
      </c>
      <c r="DO399" t="str">
        <f t="shared" si="477"/>
        <v>EnergyInput</v>
      </c>
      <c r="DP399">
        <f t="shared" si="478"/>
        <v>0</v>
      </c>
      <c r="DQ399" t="str">
        <f t="shared" si="479"/>
        <v>Energy</v>
      </c>
      <c r="DR399">
        <f t="shared" si="480"/>
        <v>0</v>
      </c>
      <c r="DS399">
        <f t="shared" si="481"/>
        <v>0</v>
      </c>
      <c r="DT399">
        <v>1</v>
      </c>
      <c r="DU399">
        <v>0</v>
      </c>
      <c r="DV399">
        <v>0</v>
      </c>
      <c r="DW399">
        <v>0</v>
      </c>
      <c r="DX399">
        <v>0</v>
      </c>
      <c r="DY399">
        <f t="shared" si="482"/>
        <v>1</v>
      </c>
      <c r="DZ399" s="143" t="str">
        <f t="shared" si="483"/>
        <v>self-calculated DF</v>
      </c>
      <c r="EA399">
        <v>0</v>
      </c>
      <c r="EB399">
        <v>0</v>
      </c>
      <c r="EC399">
        <v>0</v>
      </c>
      <c r="ED399">
        <v>0</v>
      </c>
      <c r="EE399">
        <v>0</v>
      </c>
      <c r="EF399" s="143">
        <v>0</v>
      </c>
      <c r="EG399">
        <v>1</v>
      </c>
      <c r="EH399">
        <v>1</v>
      </c>
      <c r="EI399">
        <v>0</v>
      </c>
      <c r="EJ399">
        <v>1</v>
      </c>
      <c r="EK399">
        <v>0</v>
      </c>
      <c r="EL399">
        <v>0</v>
      </c>
      <c r="EM399">
        <v>0</v>
      </c>
      <c r="EN399" s="2">
        <v>0</v>
      </c>
      <c r="EP399" t="str">
        <f t="shared" si="484"/>
        <v/>
      </c>
      <c r="EQ399" t="str">
        <f t="shared" si="485"/>
        <v/>
      </c>
      <c r="ER399" s="2" t="str">
        <f t="shared" si="486"/>
        <v>Technology approach</v>
      </c>
      <c r="ES399" t="str">
        <f t="shared" si="487"/>
        <v/>
      </c>
      <c r="ET399" t="str">
        <f t="shared" si="488"/>
        <v/>
      </c>
      <c r="EU399" t="str">
        <f t="shared" si="489"/>
        <v/>
      </c>
      <c r="EY399" t="b">
        <f>IF(ISNUMBER(BW399),IF(ABS(BW399-[1]QC_indicators!$B$2)&gt;3*[1]QC_indicators!$C$2,"C ratio",IF(ISNUMBER(CA399),IF(ABS(CA399-[1]QC_indicators!$B$1)&gt;3*[1]QC_indicators!$C$1,"DF","no"))),IF(ISNUMBER(CA399),IF(ABS(CA399-[1]QC_indicators!$B$1)&gt;3*[1]QC_indicators!$C$1,"DF","no")))</f>
        <v>0</v>
      </c>
      <c r="FA399" t="str">
        <f t="shared" si="490"/>
        <v/>
      </c>
      <c r="FB399" s="299" t="s">
        <v>349</v>
      </c>
    </row>
    <row r="400" spans="1:158" ht="15" hidden="1" customHeight="1">
      <c r="A400" s="1" t="s">
        <v>3802</v>
      </c>
      <c r="B400" t="s">
        <v>3803</v>
      </c>
      <c r="C400" t="s">
        <v>3804</v>
      </c>
      <c r="D400" t="s">
        <v>3805</v>
      </c>
      <c r="E400" t="s">
        <v>3806</v>
      </c>
      <c r="F400" t="s">
        <v>3807</v>
      </c>
      <c r="G400" t="s">
        <v>3808</v>
      </c>
      <c r="H400" t="s">
        <v>254</v>
      </c>
      <c r="I400">
        <v>2014</v>
      </c>
      <c r="J400">
        <v>4</v>
      </c>
      <c r="K400" t="s">
        <v>3809</v>
      </c>
      <c r="M400" t="str">
        <f t="shared" si="456"/>
        <v>Saah_2014</v>
      </c>
      <c r="N400" s="297" t="s">
        <v>4058</v>
      </c>
      <c r="O400" s="145" t="s">
        <v>341</v>
      </c>
      <c r="Q400" s="297" t="s">
        <v>256</v>
      </c>
      <c r="R400" s="298"/>
      <c r="S400" s="1" t="s">
        <v>3817</v>
      </c>
      <c r="T400" t="s">
        <v>1003</v>
      </c>
      <c r="U400" t="e">
        <f>#REF!</f>
        <v>#REF!</v>
      </c>
      <c r="V400" s="317">
        <v>2</v>
      </c>
      <c r="W400">
        <v>0</v>
      </c>
      <c r="X400">
        <v>2</v>
      </c>
      <c r="Y400">
        <v>1</v>
      </c>
      <c r="Z400">
        <v>0</v>
      </c>
      <c r="AA400">
        <v>2</v>
      </c>
      <c r="AB400">
        <v>0</v>
      </c>
      <c r="AC400">
        <v>0</v>
      </c>
      <c r="AD400">
        <v>0</v>
      </c>
      <c r="AE400">
        <v>0</v>
      </c>
      <c r="AF400">
        <v>0</v>
      </c>
      <c r="AG400">
        <v>0</v>
      </c>
      <c r="AH400">
        <v>2</v>
      </c>
      <c r="AI400">
        <v>0</v>
      </c>
      <c r="AJ400">
        <v>0</v>
      </c>
      <c r="AK400">
        <v>0</v>
      </c>
      <c r="AL400">
        <v>0</v>
      </c>
      <c r="AM400">
        <v>0</v>
      </c>
      <c r="AN400">
        <v>0</v>
      </c>
      <c r="AO400">
        <v>0</v>
      </c>
      <c r="AP400">
        <v>0</v>
      </c>
      <c r="AQ400">
        <v>0</v>
      </c>
      <c r="AR400">
        <v>0</v>
      </c>
      <c r="AS400">
        <v>0</v>
      </c>
      <c r="AT400">
        <v>0</v>
      </c>
      <c r="AU400">
        <v>0</v>
      </c>
      <c r="AV400">
        <v>0</v>
      </c>
      <c r="AW400">
        <v>0</v>
      </c>
      <c r="AX400">
        <v>0</v>
      </c>
      <c r="AY400">
        <v>0</v>
      </c>
      <c r="AZ400" s="141">
        <f t="shared" si="457"/>
        <v>4</v>
      </c>
      <c r="BA400" s="141">
        <f t="shared" si="458"/>
        <v>4</v>
      </c>
      <c r="BB400">
        <f t="shared" si="459"/>
        <v>3</v>
      </c>
      <c r="BC400">
        <f t="shared" si="460"/>
        <v>1</v>
      </c>
      <c r="BD400">
        <f t="shared" si="461"/>
        <v>0</v>
      </c>
      <c r="BE400">
        <f t="shared" si="462"/>
        <v>0</v>
      </c>
      <c r="BF400">
        <f t="shared" si="463"/>
        <v>0</v>
      </c>
      <c r="BG400" t="str" cm="1">
        <f t="array" ref="BG400">IF(BA400=1,INDEX($X$7:$AN$7,MATCH(TRUE,INDEX($X400:$AY400&lt;&gt;0,),0)),IF(BA400=0,INDEX($AO$7:$AY$7,MATCH(1,$AO400:$AY400,0)),IF(BH400="Multiple strategies","mixed drivers",IF(BH400="Supply chain","multiple supply","multiple silviculture"))))</f>
        <v>mixed drivers</v>
      </c>
      <c r="BH400" s="2" t="str" cm="1">
        <f t="array" ref="BH400">IF(COUNTIF(BB400:BD400,"&lt;&gt;0")=1,INDEX($X$4:$AY$4,MATCH(TRUE,INDEX($X400:$AY400&lt;&gt;0,),0)),IF(COUNTIF(BB400:BD400,"&lt;&gt;0")=0,INDEX($AO$4:$AY$4,MATCH(1,$AO400:$AY400,0)),"Multiple strategies"))</f>
        <v>Multiple strategies</v>
      </c>
      <c r="BR400" s="297" t="s">
        <v>232</v>
      </c>
      <c r="BS400" s="297"/>
      <c r="BT400" s="297" t="s">
        <v>3811</v>
      </c>
      <c r="BU400">
        <v>-56406</v>
      </c>
      <c r="BV400">
        <v>-18049.920000000002</v>
      </c>
      <c r="BW400" s="144">
        <v>0.32</v>
      </c>
      <c r="BX400">
        <v>38356.080000000002</v>
      </c>
      <c r="BZ400">
        <f t="shared" si="464"/>
        <v>38356.080000000002</v>
      </c>
      <c r="CA400" t="str">
        <f t="shared" si="465"/>
        <v/>
      </c>
      <c r="CB400">
        <v>0</v>
      </c>
      <c r="CC400">
        <v>1</v>
      </c>
      <c r="CD400">
        <v>0</v>
      </c>
      <c r="CE400">
        <v>1</v>
      </c>
      <c r="CF400">
        <v>0</v>
      </c>
      <c r="CG400">
        <v>0</v>
      </c>
      <c r="CH400">
        <v>0</v>
      </c>
      <c r="CI400">
        <v>0</v>
      </c>
      <c r="CJ400">
        <v>0</v>
      </c>
      <c r="CK400">
        <v>0</v>
      </c>
      <c r="CL400">
        <v>0</v>
      </c>
      <c r="CM400">
        <v>0</v>
      </c>
      <c r="CN400">
        <v>1</v>
      </c>
      <c r="CO400">
        <v>0</v>
      </c>
      <c r="CP400" t="str">
        <f t="shared" si="466"/>
        <v>refOK</v>
      </c>
      <c r="CQ400"/>
      <c r="CR400"/>
      <c r="CS400"/>
      <c r="CT400">
        <f t="shared" si="467"/>
        <v>0</v>
      </c>
      <c r="CU400">
        <f t="shared" si="468"/>
        <v>-56406</v>
      </c>
      <c r="CV400">
        <f t="shared" si="469"/>
        <v>-18049.920000000002</v>
      </c>
      <c r="CW400">
        <f t="shared" si="470"/>
        <v>38356.080000000002</v>
      </c>
      <c r="CX400" t="str">
        <f t="shared" si="471"/>
        <v/>
      </c>
      <c r="CY400" t="str">
        <f t="shared" si="471"/>
        <v/>
      </c>
      <c r="CZ400" t="str">
        <f t="shared" si="472"/>
        <v/>
      </c>
      <c r="DA400" s="2">
        <f t="shared" si="473"/>
        <v>0.68</v>
      </c>
      <c r="DB400" s="1" t="s">
        <v>1074</v>
      </c>
      <c r="DC400" s="297" t="str">
        <f t="shared" si="474"/>
        <v>reg</v>
      </c>
      <c r="DD400" t="s">
        <v>428</v>
      </c>
      <c r="DG400">
        <v>0</v>
      </c>
      <c r="DH400" t="str">
        <f t="shared" si="475"/>
        <v>0</v>
      </c>
      <c r="DI400">
        <v>0</v>
      </c>
      <c r="DJ400">
        <v>1</v>
      </c>
      <c r="DK400">
        <v>0</v>
      </c>
      <c r="DL400">
        <v>0</v>
      </c>
      <c r="DN400">
        <f t="shared" si="476"/>
        <v>1</v>
      </c>
      <c r="DO400" t="str">
        <f t="shared" si="477"/>
        <v>EnergyInput</v>
      </c>
      <c r="DP400">
        <f t="shared" si="478"/>
        <v>0</v>
      </c>
      <c r="DQ400" t="str">
        <f t="shared" si="479"/>
        <v>Energy</v>
      </c>
      <c r="DR400">
        <f t="shared" si="480"/>
        <v>0</v>
      </c>
      <c r="DS400">
        <f t="shared" si="481"/>
        <v>0</v>
      </c>
      <c r="DT400">
        <v>1</v>
      </c>
      <c r="DU400">
        <v>0</v>
      </c>
      <c r="DV400">
        <v>0</v>
      </c>
      <c r="DW400">
        <v>0</v>
      </c>
      <c r="DX400">
        <v>0</v>
      </c>
      <c r="DY400">
        <f t="shared" si="482"/>
        <v>1</v>
      </c>
      <c r="DZ400" s="143" t="str">
        <f t="shared" si="483"/>
        <v>self-calculated DF</v>
      </c>
      <c r="EA400">
        <v>0</v>
      </c>
      <c r="EB400">
        <v>0</v>
      </c>
      <c r="EC400">
        <v>0</v>
      </c>
      <c r="ED400">
        <v>0</v>
      </c>
      <c r="EE400">
        <v>0</v>
      </c>
      <c r="EF400" s="143">
        <v>0</v>
      </c>
      <c r="EG400">
        <v>1</v>
      </c>
      <c r="EH400">
        <v>1</v>
      </c>
      <c r="EI400">
        <v>0</v>
      </c>
      <c r="EJ400">
        <v>1</v>
      </c>
      <c r="EK400">
        <v>0</v>
      </c>
      <c r="EL400">
        <v>0</v>
      </c>
      <c r="EM400">
        <v>0</v>
      </c>
      <c r="EN400" s="2">
        <v>0</v>
      </c>
      <c r="EP400" t="str">
        <f t="shared" si="484"/>
        <v/>
      </c>
      <c r="EQ400" t="str">
        <f t="shared" si="485"/>
        <v/>
      </c>
      <c r="ER400" s="2" t="str">
        <f t="shared" si="486"/>
        <v>Technology approach</v>
      </c>
      <c r="ES400" t="str">
        <f t="shared" si="487"/>
        <v/>
      </c>
      <c r="ET400" t="str">
        <f t="shared" si="488"/>
        <v/>
      </c>
      <c r="EU400" t="str">
        <f t="shared" si="489"/>
        <v/>
      </c>
      <c r="EY400" t="b">
        <f>IF(ISNUMBER(BW400),IF(ABS(BW400-[1]QC_indicators!$B$2)&gt;3*[1]QC_indicators!$C$2,"C ratio",IF(ISNUMBER(CA400),IF(ABS(CA400-[1]QC_indicators!$B$1)&gt;3*[1]QC_indicators!$C$1,"DF","no"))),IF(ISNUMBER(CA400),IF(ABS(CA400-[1]QC_indicators!$B$1)&gt;3*[1]QC_indicators!$C$1,"DF","no")))</f>
        <v>0</v>
      </c>
      <c r="FA400" t="str">
        <f t="shared" si="490"/>
        <v/>
      </c>
      <c r="FB400" s="299" t="s">
        <v>349</v>
      </c>
    </row>
    <row r="401" spans="1:158" ht="15" hidden="1" customHeight="1">
      <c r="A401" s="1" t="s">
        <v>3802</v>
      </c>
      <c r="B401" t="s">
        <v>3803</v>
      </c>
      <c r="C401" t="s">
        <v>3804</v>
      </c>
      <c r="D401" t="s">
        <v>3805</v>
      </c>
      <c r="E401" t="s">
        <v>3806</v>
      </c>
      <c r="F401" t="s">
        <v>3807</v>
      </c>
      <c r="G401" t="s">
        <v>3808</v>
      </c>
      <c r="H401" t="s">
        <v>254</v>
      </c>
      <c r="I401">
        <v>2014</v>
      </c>
      <c r="J401">
        <v>4</v>
      </c>
      <c r="K401" t="s">
        <v>3809</v>
      </c>
      <c r="M401" t="str">
        <f t="shared" si="456"/>
        <v>Saah_2014</v>
      </c>
      <c r="N401" s="297" t="s">
        <v>4058</v>
      </c>
      <c r="O401" s="145" t="s">
        <v>341</v>
      </c>
      <c r="Q401" s="297" t="s">
        <v>256</v>
      </c>
      <c r="R401" s="298"/>
      <c r="S401" s="1" t="s">
        <v>3815</v>
      </c>
      <c r="T401" t="s">
        <v>1003</v>
      </c>
      <c r="U401" t="e">
        <f>#REF!</f>
        <v>#REF!</v>
      </c>
      <c r="V401" s="317">
        <v>2</v>
      </c>
      <c r="W401">
        <v>0</v>
      </c>
      <c r="X401">
        <v>2</v>
      </c>
      <c r="Y401">
        <v>1</v>
      </c>
      <c r="Z401">
        <v>0</v>
      </c>
      <c r="AA401">
        <v>2</v>
      </c>
      <c r="AB401">
        <v>0</v>
      </c>
      <c r="AC401">
        <v>0</v>
      </c>
      <c r="AD401">
        <v>0</v>
      </c>
      <c r="AE401">
        <v>0</v>
      </c>
      <c r="AF401">
        <v>0</v>
      </c>
      <c r="AG401">
        <v>0</v>
      </c>
      <c r="AH401">
        <v>2</v>
      </c>
      <c r="AI401">
        <v>0</v>
      </c>
      <c r="AJ401">
        <v>0</v>
      </c>
      <c r="AK401">
        <v>0</v>
      </c>
      <c r="AL401">
        <v>0</v>
      </c>
      <c r="AM401">
        <v>0</v>
      </c>
      <c r="AN401">
        <v>0</v>
      </c>
      <c r="AO401">
        <v>0</v>
      </c>
      <c r="AP401">
        <v>0</v>
      </c>
      <c r="AQ401">
        <v>0</v>
      </c>
      <c r="AR401">
        <v>0</v>
      </c>
      <c r="AS401">
        <v>0</v>
      </c>
      <c r="AT401">
        <v>0</v>
      </c>
      <c r="AU401">
        <v>0</v>
      </c>
      <c r="AV401">
        <v>0</v>
      </c>
      <c r="AW401">
        <v>0</v>
      </c>
      <c r="AX401">
        <v>0</v>
      </c>
      <c r="AY401">
        <v>0</v>
      </c>
      <c r="AZ401" s="141">
        <f t="shared" si="457"/>
        <v>4</v>
      </c>
      <c r="BA401" s="141">
        <f t="shared" si="458"/>
        <v>4</v>
      </c>
      <c r="BB401">
        <f t="shared" si="459"/>
        <v>3</v>
      </c>
      <c r="BC401">
        <f t="shared" si="460"/>
        <v>1</v>
      </c>
      <c r="BD401">
        <f t="shared" si="461"/>
        <v>0</v>
      </c>
      <c r="BE401">
        <f t="shared" si="462"/>
        <v>0</v>
      </c>
      <c r="BF401">
        <f t="shared" si="463"/>
        <v>0</v>
      </c>
      <c r="BG401" t="str" cm="1">
        <f t="array" ref="BG401">IF(BA401=1,INDEX($X$7:$AN$7,MATCH(TRUE,INDEX($X401:$AY401&lt;&gt;0,),0)),IF(BA401=0,INDEX($AO$7:$AY$7,MATCH(1,$AO401:$AY401,0)),IF(BH401="Multiple strategies","mixed drivers",IF(BH401="Supply chain","multiple supply","multiple silviculture"))))</f>
        <v>mixed drivers</v>
      </c>
      <c r="BH401" s="2" t="str" cm="1">
        <f t="array" ref="BH401">IF(COUNTIF(BB401:BD401,"&lt;&gt;0")=1,INDEX($X$4:$AY$4,MATCH(TRUE,INDEX($X401:$AY401&lt;&gt;0,),0)),IF(COUNTIF(BB401:BD401,"&lt;&gt;0")=0,INDEX($AO$4:$AY$4,MATCH(1,$AO401:$AY401,0)),"Multiple strategies"))</f>
        <v>Multiple strategies</v>
      </c>
      <c r="BR401" s="297" t="s">
        <v>232</v>
      </c>
      <c r="BS401" s="297"/>
      <c r="BT401" s="297" t="s">
        <v>3811</v>
      </c>
      <c r="BU401">
        <v>-56406</v>
      </c>
      <c r="BV401">
        <v>-15229.62</v>
      </c>
      <c r="BW401" s="144">
        <v>0.27</v>
      </c>
      <c r="BX401">
        <v>41176.379999999997</v>
      </c>
      <c r="BZ401">
        <f t="shared" si="464"/>
        <v>41176.379999999997</v>
      </c>
      <c r="CA401" t="str">
        <f t="shared" si="465"/>
        <v/>
      </c>
      <c r="CB401">
        <v>0</v>
      </c>
      <c r="CC401">
        <v>1</v>
      </c>
      <c r="CD401">
        <v>0</v>
      </c>
      <c r="CE401">
        <v>1</v>
      </c>
      <c r="CF401">
        <v>0</v>
      </c>
      <c r="CG401">
        <v>0</v>
      </c>
      <c r="CH401">
        <v>0</v>
      </c>
      <c r="CI401">
        <v>0</v>
      </c>
      <c r="CJ401">
        <v>0</v>
      </c>
      <c r="CK401">
        <v>0</v>
      </c>
      <c r="CL401">
        <v>0</v>
      </c>
      <c r="CM401">
        <v>0</v>
      </c>
      <c r="CN401">
        <v>1</v>
      </c>
      <c r="CO401">
        <v>0</v>
      </c>
      <c r="CP401" t="str">
        <f t="shared" si="466"/>
        <v>refOK</v>
      </c>
      <c r="CQ401"/>
      <c r="CR401"/>
      <c r="CS401"/>
      <c r="CT401">
        <f t="shared" si="467"/>
        <v>0</v>
      </c>
      <c r="CU401">
        <f t="shared" si="468"/>
        <v>-56406</v>
      </c>
      <c r="CV401">
        <f t="shared" si="469"/>
        <v>-15229.62</v>
      </c>
      <c r="CW401">
        <f t="shared" si="470"/>
        <v>41176.379999999997</v>
      </c>
      <c r="CX401" t="str">
        <f t="shared" si="471"/>
        <v/>
      </c>
      <c r="CY401" t="str">
        <f t="shared" si="471"/>
        <v/>
      </c>
      <c r="CZ401" t="str">
        <f t="shared" si="472"/>
        <v/>
      </c>
      <c r="DA401" s="2">
        <f t="shared" si="473"/>
        <v>0.73</v>
      </c>
      <c r="DB401" s="1" t="s">
        <v>1074</v>
      </c>
      <c r="DC401" s="297" t="str">
        <f t="shared" si="474"/>
        <v>reg</v>
      </c>
      <c r="DD401" t="s">
        <v>428</v>
      </c>
      <c r="DG401">
        <v>0</v>
      </c>
      <c r="DH401" t="str">
        <f t="shared" si="475"/>
        <v>0</v>
      </c>
      <c r="DI401">
        <v>0</v>
      </c>
      <c r="DJ401">
        <v>1</v>
      </c>
      <c r="DK401">
        <v>0</v>
      </c>
      <c r="DL401">
        <v>0</v>
      </c>
      <c r="DN401">
        <f t="shared" si="476"/>
        <v>1</v>
      </c>
      <c r="DO401" t="str">
        <f t="shared" si="477"/>
        <v>EnergyInput</v>
      </c>
      <c r="DP401">
        <f t="shared" si="478"/>
        <v>0</v>
      </c>
      <c r="DQ401" t="str">
        <f t="shared" si="479"/>
        <v>Energy</v>
      </c>
      <c r="DR401">
        <f t="shared" si="480"/>
        <v>0</v>
      </c>
      <c r="DS401">
        <f t="shared" si="481"/>
        <v>0</v>
      </c>
      <c r="DT401">
        <v>1</v>
      </c>
      <c r="DU401">
        <v>0</v>
      </c>
      <c r="DV401">
        <v>0</v>
      </c>
      <c r="DW401">
        <v>0</v>
      </c>
      <c r="DX401">
        <v>0</v>
      </c>
      <c r="DY401">
        <f t="shared" si="482"/>
        <v>1</v>
      </c>
      <c r="DZ401" s="143" t="str">
        <f t="shared" si="483"/>
        <v>self-calculated DF</v>
      </c>
      <c r="EA401">
        <v>0</v>
      </c>
      <c r="EB401">
        <v>0</v>
      </c>
      <c r="EC401">
        <v>0</v>
      </c>
      <c r="ED401">
        <v>0</v>
      </c>
      <c r="EE401">
        <v>0</v>
      </c>
      <c r="EF401" s="143">
        <v>0</v>
      </c>
      <c r="EG401">
        <v>1</v>
      </c>
      <c r="EH401">
        <v>1</v>
      </c>
      <c r="EI401">
        <v>0</v>
      </c>
      <c r="EJ401">
        <v>1</v>
      </c>
      <c r="EK401">
        <v>0</v>
      </c>
      <c r="EL401">
        <v>0</v>
      </c>
      <c r="EM401">
        <v>0</v>
      </c>
      <c r="EN401" s="2">
        <v>0</v>
      </c>
      <c r="EP401" t="str">
        <f t="shared" si="484"/>
        <v/>
      </c>
      <c r="EQ401" t="str">
        <f t="shared" si="485"/>
        <v/>
      </c>
      <c r="ER401" s="2" t="str">
        <f t="shared" si="486"/>
        <v>Technology approach</v>
      </c>
      <c r="ES401" t="str">
        <f t="shared" si="487"/>
        <v/>
      </c>
      <c r="ET401" t="str">
        <f t="shared" si="488"/>
        <v/>
      </c>
      <c r="EU401" t="str">
        <f t="shared" si="489"/>
        <v/>
      </c>
      <c r="EY401" t="b">
        <f>IF(ISNUMBER(BW401),IF(ABS(BW401-[1]QC_indicators!$B$2)&gt;3*[1]QC_indicators!$C$2,"C ratio",IF(ISNUMBER(CA401),IF(ABS(CA401-[1]QC_indicators!$B$1)&gt;3*[1]QC_indicators!$C$1,"DF","no"))),IF(ISNUMBER(CA401),IF(ABS(CA401-[1]QC_indicators!$B$1)&gt;3*[1]QC_indicators!$C$1,"DF","no")))</f>
        <v>0</v>
      </c>
      <c r="FA401" t="str">
        <f t="shared" si="490"/>
        <v/>
      </c>
      <c r="FB401" s="299" t="s">
        <v>349</v>
      </c>
    </row>
    <row r="402" spans="1:158" ht="15" hidden="1" customHeight="1">
      <c r="A402" s="1" t="s">
        <v>3802</v>
      </c>
      <c r="B402" t="s">
        <v>3803</v>
      </c>
      <c r="C402" t="s">
        <v>3804</v>
      </c>
      <c r="D402" t="s">
        <v>3805</v>
      </c>
      <c r="E402" t="s">
        <v>3806</v>
      </c>
      <c r="F402" t="s">
        <v>3807</v>
      </c>
      <c r="G402" t="s">
        <v>3808</v>
      </c>
      <c r="H402" t="s">
        <v>254</v>
      </c>
      <c r="I402">
        <v>2014</v>
      </c>
      <c r="J402">
        <v>4</v>
      </c>
      <c r="K402" t="s">
        <v>3809</v>
      </c>
      <c r="M402" t="str">
        <f t="shared" si="456"/>
        <v>Saah_2014</v>
      </c>
      <c r="N402" s="297" t="s">
        <v>4058</v>
      </c>
      <c r="O402" s="145" t="s">
        <v>341</v>
      </c>
      <c r="Q402" s="297" t="s">
        <v>256</v>
      </c>
      <c r="R402" s="298"/>
      <c r="S402" s="1" t="s">
        <v>3814</v>
      </c>
      <c r="T402" t="s">
        <v>1003</v>
      </c>
      <c r="U402" t="e">
        <f>#REF!</f>
        <v>#REF!</v>
      </c>
      <c r="V402" s="317">
        <v>2</v>
      </c>
      <c r="W402">
        <v>0</v>
      </c>
      <c r="X402">
        <v>2</v>
      </c>
      <c r="Y402">
        <v>1</v>
      </c>
      <c r="Z402">
        <v>0</v>
      </c>
      <c r="AA402">
        <v>2</v>
      </c>
      <c r="AB402">
        <v>0</v>
      </c>
      <c r="AC402">
        <v>0</v>
      </c>
      <c r="AD402">
        <v>0</v>
      </c>
      <c r="AE402">
        <v>0</v>
      </c>
      <c r="AF402">
        <v>0</v>
      </c>
      <c r="AG402">
        <v>0</v>
      </c>
      <c r="AH402">
        <v>2</v>
      </c>
      <c r="AI402">
        <v>0</v>
      </c>
      <c r="AJ402">
        <v>0</v>
      </c>
      <c r="AK402">
        <v>0</v>
      </c>
      <c r="AL402">
        <v>0</v>
      </c>
      <c r="AM402">
        <v>0</v>
      </c>
      <c r="AN402">
        <v>0</v>
      </c>
      <c r="AO402">
        <v>0</v>
      </c>
      <c r="AP402">
        <v>0</v>
      </c>
      <c r="AQ402">
        <v>0</v>
      </c>
      <c r="AR402">
        <v>0</v>
      </c>
      <c r="AS402">
        <v>0</v>
      </c>
      <c r="AT402">
        <v>0</v>
      </c>
      <c r="AU402">
        <v>0</v>
      </c>
      <c r="AV402">
        <v>0</v>
      </c>
      <c r="AW402">
        <v>0</v>
      </c>
      <c r="AX402">
        <v>0</v>
      </c>
      <c r="AY402">
        <v>0</v>
      </c>
      <c r="AZ402" s="141">
        <f t="shared" si="457"/>
        <v>4</v>
      </c>
      <c r="BA402" s="141">
        <f t="shared" si="458"/>
        <v>4</v>
      </c>
      <c r="BB402">
        <f t="shared" si="459"/>
        <v>3</v>
      </c>
      <c r="BC402">
        <f t="shared" si="460"/>
        <v>1</v>
      </c>
      <c r="BD402">
        <f t="shared" si="461"/>
        <v>0</v>
      </c>
      <c r="BE402">
        <f t="shared" si="462"/>
        <v>0</v>
      </c>
      <c r="BF402">
        <f t="shared" si="463"/>
        <v>0</v>
      </c>
      <c r="BG402" t="str" cm="1">
        <f t="array" ref="BG402">IF(BA402=1,INDEX($X$7:$AN$7,MATCH(TRUE,INDEX($X402:$AY402&lt;&gt;0,),0)),IF(BA402=0,INDEX($AO$7:$AY$7,MATCH(1,$AO402:$AY402,0)),IF(BH402="Multiple strategies","mixed drivers",IF(BH402="Supply chain","multiple supply","multiple silviculture"))))</f>
        <v>mixed drivers</v>
      </c>
      <c r="BH402" s="2" t="str" cm="1">
        <f t="array" ref="BH402">IF(COUNTIF(BB402:BD402,"&lt;&gt;0")=1,INDEX($X$4:$AY$4,MATCH(TRUE,INDEX($X402:$AY402&lt;&gt;0,),0)),IF(COUNTIF(BB402:BD402,"&lt;&gt;0")=0,INDEX($AO$4:$AY$4,MATCH(1,$AO402:$AY402,0)),"Multiple strategies"))</f>
        <v>Multiple strategies</v>
      </c>
      <c r="BR402" s="297" t="s">
        <v>232</v>
      </c>
      <c r="BS402" s="297"/>
      <c r="BT402" s="297" t="s">
        <v>3811</v>
      </c>
      <c r="BU402">
        <v>-56406</v>
      </c>
      <c r="BV402">
        <v>-14665.560000000001</v>
      </c>
      <c r="BW402" s="144">
        <v>0.26</v>
      </c>
      <c r="BX402">
        <v>41740.44</v>
      </c>
      <c r="BZ402">
        <f t="shared" si="464"/>
        <v>41740.44</v>
      </c>
      <c r="CA402" t="str">
        <f t="shared" si="465"/>
        <v/>
      </c>
      <c r="CB402">
        <v>0</v>
      </c>
      <c r="CC402">
        <v>1</v>
      </c>
      <c r="CD402">
        <v>0</v>
      </c>
      <c r="CE402">
        <v>1</v>
      </c>
      <c r="CF402">
        <v>0</v>
      </c>
      <c r="CG402">
        <v>0</v>
      </c>
      <c r="CH402">
        <v>0</v>
      </c>
      <c r="CI402">
        <v>0</v>
      </c>
      <c r="CJ402">
        <v>0</v>
      </c>
      <c r="CK402">
        <v>0</v>
      </c>
      <c r="CL402">
        <v>0</v>
      </c>
      <c r="CM402">
        <v>0</v>
      </c>
      <c r="CN402">
        <v>1</v>
      </c>
      <c r="CO402">
        <v>0</v>
      </c>
      <c r="CP402" t="str">
        <f t="shared" si="466"/>
        <v>refOK</v>
      </c>
      <c r="CQ402"/>
      <c r="CR402"/>
      <c r="CS402"/>
      <c r="CT402">
        <f t="shared" si="467"/>
        <v>0</v>
      </c>
      <c r="CU402">
        <f t="shared" si="468"/>
        <v>-56406</v>
      </c>
      <c r="CV402">
        <f t="shared" si="469"/>
        <v>-14665.560000000001</v>
      </c>
      <c r="CW402">
        <f t="shared" si="470"/>
        <v>41740.44</v>
      </c>
      <c r="CX402" t="str">
        <f t="shared" si="471"/>
        <v/>
      </c>
      <c r="CY402" t="str">
        <f t="shared" si="471"/>
        <v/>
      </c>
      <c r="CZ402" t="str">
        <f t="shared" si="472"/>
        <v/>
      </c>
      <c r="DA402" s="2">
        <f t="shared" si="473"/>
        <v>0.74</v>
      </c>
      <c r="DB402" s="1" t="s">
        <v>1074</v>
      </c>
      <c r="DC402" s="297" t="str">
        <f t="shared" si="474"/>
        <v>reg</v>
      </c>
      <c r="DD402" t="s">
        <v>428</v>
      </c>
      <c r="DG402">
        <v>0</v>
      </c>
      <c r="DH402" t="str">
        <f t="shared" si="475"/>
        <v>0</v>
      </c>
      <c r="DI402">
        <v>0</v>
      </c>
      <c r="DJ402">
        <v>1</v>
      </c>
      <c r="DK402">
        <v>0</v>
      </c>
      <c r="DL402">
        <v>0</v>
      </c>
      <c r="DN402">
        <f t="shared" si="476"/>
        <v>1</v>
      </c>
      <c r="DO402" t="str">
        <f t="shared" si="477"/>
        <v>EnergyInput</v>
      </c>
      <c r="DP402">
        <f t="shared" si="478"/>
        <v>0</v>
      </c>
      <c r="DQ402" t="str">
        <f t="shared" si="479"/>
        <v>Energy</v>
      </c>
      <c r="DR402">
        <f t="shared" si="480"/>
        <v>0</v>
      </c>
      <c r="DS402">
        <f t="shared" si="481"/>
        <v>0</v>
      </c>
      <c r="DT402">
        <v>1</v>
      </c>
      <c r="DU402">
        <v>0</v>
      </c>
      <c r="DV402">
        <v>0</v>
      </c>
      <c r="DW402">
        <v>0</v>
      </c>
      <c r="DX402">
        <v>0</v>
      </c>
      <c r="DY402">
        <f t="shared" si="482"/>
        <v>1</v>
      </c>
      <c r="DZ402" s="143" t="str">
        <f t="shared" si="483"/>
        <v>self-calculated DF</v>
      </c>
      <c r="EA402">
        <v>0</v>
      </c>
      <c r="EB402">
        <v>0</v>
      </c>
      <c r="EC402">
        <v>0</v>
      </c>
      <c r="ED402">
        <v>0</v>
      </c>
      <c r="EE402">
        <v>0</v>
      </c>
      <c r="EF402" s="143">
        <v>0</v>
      </c>
      <c r="EG402">
        <v>1</v>
      </c>
      <c r="EH402">
        <v>1</v>
      </c>
      <c r="EI402">
        <v>0</v>
      </c>
      <c r="EJ402">
        <v>1</v>
      </c>
      <c r="EK402">
        <v>0</v>
      </c>
      <c r="EL402">
        <v>0</v>
      </c>
      <c r="EM402">
        <v>0</v>
      </c>
      <c r="EN402" s="2">
        <v>0</v>
      </c>
      <c r="EP402" t="str">
        <f t="shared" si="484"/>
        <v/>
      </c>
      <c r="EQ402" t="str">
        <f t="shared" si="485"/>
        <v/>
      </c>
      <c r="ER402" s="2" t="str">
        <f t="shared" si="486"/>
        <v>Technology approach</v>
      </c>
      <c r="ES402" t="str">
        <f t="shared" si="487"/>
        <v/>
      </c>
      <c r="ET402" t="str">
        <f t="shared" si="488"/>
        <v/>
      </c>
      <c r="EU402" t="str">
        <f t="shared" si="489"/>
        <v/>
      </c>
      <c r="EY402" t="b">
        <f>IF(ISNUMBER(BW402),IF(ABS(BW402-[1]QC_indicators!$B$2)&gt;3*[1]QC_indicators!$C$2,"C ratio",IF(ISNUMBER(CA402),IF(ABS(CA402-[1]QC_indicators!$B$1)&gt;3*[1]QC_indicators!$C$1,"DF","no"))),IF(ISNUMBER(CA402),IF(ABS(CA402-[1]QC_indicators!$B$1)&gt;3*[1]QC_indicators!$C$1,"DF","no")))</f>
        <v>0</v>
      </c>
      <c r="FA402" t="str">
        <f t="shared" si="490"/>
        <v/>
      </c>
      <c r="FB402" s="299" t="s">
        <v>349</v>
      </c>
    </row>
    <row r="403" spans="1:158" ht="15" hidden="1" customHeight="1">
      <c r="A403" s="1" t="s">
        <v>3802</v>
      </c>
      <c r="B403" t="s">
        <v>3803</v>
      </c>
      <c r="C403" t="s">
        <v>3804</v>
      </c>
      <c r="D403" t="s">
        <v>3805</v>
      </c>
      <c r="E403" t="s">
        <v>3806</v>
      </c>
      <c r="F403" t="s">
        <v>3807</v>
      </c>
      <c r="G403" t="s">
        <v>3808</v>
      </c>
      <c r="H403" t="s">
        <v>254</v>
      </c>
      <c r="I403">
        <v>2014</v>
      </c>
      <c r="J403">
        <v>4</v>
      </c>
      <c r="K403" t="s">
        <v>3809</v>
      </c>
      <c r="M403" t="str">
        <f t="shared" si="456"/>
        <v>Saah_2014</v>
      </c>
      <c r="N403" s="297" t="s">
        <v>4058</v>
      </c>
      <c r="O403" s="145" t="s">
        <v>341</v>
      </c>
      <c r="Q403" s="297" t="s">
        <v>256</v>
      </c>
      <c r="R403" s="298"/>
      <c r="S403" s="1" t="s">
        <v>3813</v>
      </c>
      <c r="T403" t="s">
        <v>1003</v>
      </c>
      <c r="U403" t="e">
        <f>#REF!</f>
        <v>#REF!</v>
      </c>
      <c r="V403" s="317">
        <v>2</v>
      </c>
      <c r="W403">
        <v>0</v>
      </c>
      <c r="X403">
        <v>2</v>
      </c>
      <c r="Y403">
        <v>1</v>
      </c>
      <c r="Z403">
        <v>0</v>
      </c>
      <c r="AA403">
        <v>2</v>
      </c>
      <c r="AB403">
        <v>0</v>
      </c>
      <c r="AC403">
        <v>0</v>
      </c>
      <c r="AD403">
        <v>0</v>
      </c>
      <c r="AE403">
        <v>0</v>
      </c>
      <c r="AF403">
        <v>0</v>
      </c>
      <c r="AG403">
        <v>0</v>
      </c>
      <c r="AH403">
        <v>2</v>
      </c>
      <c r="AI403">
        <v>0</v>
      </c>
      <c r="AJ403">
        <v>0</v>
      </c>
      <c r="AK403">
        <v>0</v>
      </c>
      <c r="AL403">
        <v>0</v>
      </c>
      <c r="AM403">
        <v>0</v>
      </c>
      <c r="AN403">
        <v>0</v>
      </c>
      <c r="AO403">
        <v>0</v>
      </c>
      <c r="AP403">
        <v>0</v>
      </c>
      <c r="AQ403">
        <v>0</v>
      </c>
      <c r="AR403">
        <v>0</v>
      </c>
      <c r="AS403">
        <v>0</v>
      </c>
      <c r="AT403">
        <v>0</v>
      </c>
      <c r="AU403">
        <v>0</v>
      </c>
      <c r="AV403">
        <v>0</v>
      </c>
      <c r="AW403">
        <v>0</v>
      </c>
      <c r="AX403">
        <v>0</v>
      </c>
      <c r="AY403">
        <v>0</v>
      </c>
      <c r="AZ403" s="141">
        <f t="shared" si="457"/>
        <v>4</v>
      </c>
      <c r="BA403" s="141">
        <f t="shared" si="458"/>
        <v>4</v>
      </c>
      <c r="BB403">
        <f t="shared" si="459"/>
        <v>3</v>
      </c>
      <c r="BC403">
        <f t="shared" si="460"/>
        <v>1</v>
      </c>
      <c r="BD403">
        <f t="shared" si="461"/>
        <v>0</v>
      </c>
      <c r="BE403">
        <f t="shared" si="462"/>
        <v>0</v>
      </c>
      <c r="BF403">
        <f t="shared" si="463"/>
        <v>0</v>
      </c>
      <c r="BG403" t="str" cm="1">
        <f t="array" ref="BG403">IF(BA403=1,INDEX($X$7:$AN$7,MATCH(TRUE,INDEX($X403:$AY403&lt;&gt;0,),0)),IF(BA403=0,INDEX($AO$7:$AY$7,MATCH(1,$AO403:$AY403,0)),IF(BH403="Multiple strategies","mixed drivers",IF(BH403="Supply chain","multiple supply","multiple silviculture"))))</f>
        <v>mixed drivers</v>
      </c>
      <c r="BH403" s="2" t="str" cm="1">
        <f t="array" ref="BH403">IF(COUNTIF(BB403:BD403,"&lt;&gt;0")=1,INDEX($X$4:$AY$4,MATCH(TRUE,INDEX($X403:$AY403&lt;&gt;0,),0)),IF(COUNTIF(BB403:BD403,"&lt;&gt;0")=0,INDEX($AO$4:$AY$4,MATCH(1,$AO403:$AY403,0)),"Multiple strategies"))</f>
        <v>Multiple strategies</v>
      </c>
      <c r="BR403" s="297" t="s">
        <v>232</v>
      </c>
      <c r="BS403" s="297"/>
      <c r="BT403" s="297" t="s">
        <v>3811</v>
      </c>
      <c r="BU403">
        <v>-56406</v>
      </c>
      <c r="BV403">
        <v>-12409.32</v>
      </c>
      <c r="BW403" s="144">
        <v>0.22</v>
      </c>
      <c r="BX403">
        <v>43996.68</v>
      </c>
      <c r="BZ403">
        <f t="shared" si="464"/>
        <v>43996.68</v>
      </c>
      <c r="CA403" t="str">
        <f t="shared" si="465"/>
        <v/>
      </c>
      <c r="CB403">
        <v>0</v>
      </c>
      <c r="CC403">
        <v>1</v>
      </c>
      <c r="CD403">
        <v>0</v>
      </c>
      <c r="CE403">
        <v>1</v>
      </c>
      <c r="CF403">
        <v>0</v>
      </c>
      <c r="CG403">
        <v>0</v>
      </c>
      <c r="CH403">
        <v>0</v>
      </c>
      <c r="CI403">
        <v>0</v>
      </c>
      <c r="CJ403">
        <v>0</v>
      </c>
      <c r="CK403">
        <v>0</v>
      </c>
      <c r="CL403">
        <v>0</v>
      </c>
      <c r="CM403">
        <v>0</v>
      </c>
      <c r="CN403">
        <v>1</v>
      </c>
      <c r="CO403">
        <v>0</v>
      </c>
      <c r="CP403" t="str">
        <f t="shared" si="466"/>
        <v>refOK</v>
      </c>
      <c r="CQ403"/>
      <c r="CR403"/>
      <c r="CS403"/>
      <c r="CT403">
        <f t="shared" si="467"/>
        <v>0</v>
      </c>
      <c r="CU403">
        <f t="shared" si="468"/>
        <v>-56406</v>
      </c>
      <c r="CV403">
        <f t="shared" si="469"/>
        <v>-12409.32</v>
      </c>
      <c r="CW403">
        <f t="shared" si="470"/>
        <v>43996.68</v>
      </c>
      <c r="CX403" t="str">
        <f t="shared" si="471"/>
        <v/>
      </c>
      <c r="CY403" t="str">
        <f t="shared" si="471"/>
        <v/>
      </c>
      <c r="CZ403" t="str">
        <f t="shared" si="472"/>
        <v/>
      </c>
      <c r="DA403" s="2">
        <f t="shared" si="473"/>
        <v>0.78</v>
      </c>
      <c r="DB403" s="1" t="s">
        <v>1074</v>
      </c>
      <c r="DC403" s="297" t="str">
        <f t="shared" si="474"/>
        <v>reg</v>
      </c>
      <c r="DD403" t="s">
        <v>428</v>
      </c>
      <c r="DG403">
        <v>0</v>
      </c>
      <c r="DH403" t="str">
        <f t="shared" si="475"/>
        <v>0</v>
      </c>
      <c r="DI403">
        <v>0</v>
      </c>
      <c r="DJ403">
        <v>1</v>
      </c>
      <c r="DK403">
        <v>0</v>
      </c>
      <c r="DL403">
        <v>0</v>
      </c>
      <c r="DN403">
        <f t="shared" si="476"/>
        <v>1</v>
      </c>
      <c r="DO403" t="str">
        <f t="shared" si="477"/>
        <v>EnergyInput</v>
      </c>
      <c r="DP403">
        <f t="shared" si="478"/>
        <v>0</v>
      </c>
      <c r="DQ403" t="str">
        <f t="shared" si="479"/>
        <v>Energy</v>
      </c>
      <c r="DR403">
        <f t="shared" si="480"/>
        <v>0</v>
      </c>
      <c r="DS403">
        <f t="shared" si="481"/>
        <v>0</v>
      </c>
      <c r="DT403">
        <v>1</v>
      </c>
      <c r="DU403">
        <v>0</v>
      </c>
      <c r="DV403">
        <v>0</v>
      </c>
      <c r="DW403">
        <v>0</v>
      </c>
      <c r="DX403">
        <v>0</v>
      </c>
      <c r="DY403">
        <f t="shared" si="482"/>
        <v>1</v>
      </c>
      <c r="DZ403" s="143" t="str">
        <f t="shared" si="483"/>
        <v>self-calculated DF</v>
      </c>
      <c r="EA403">
        <v>0</v>
      </c>
      <c r="EB403">
        <v>0</v>
      </c>
      <c r="EC403">
        <v>0</v>
      </c>
      <c r="ED403">
        <v>0</v>
      </c>
      <c r="EE403">
        <v>0</v>
      </c>
      <c r="EF403" s="143">
        <v>0</v>
      </c>
      <c r="EG403">
        <v>1</v>
      </c>
      <c r="EH403">
        <v>1</v>
      </c>
      <c r="EI403">
        <v>0</v>
      </c>
      <c r="EJ403">
        <v>1</v>
      </c>
      <c r="EK403">
        <v>0</v>
      </c>
      <c r="EL403">
        <v>0</v>
      </c>
      <c r="EM403">
        <v>0</v>
      </c>
      <c r="EN403" s="2">
        <v>0</v>
      </c>
      <c r="EP403" t="str">
        <f t="shared" si="484"/>
        <v/>
      </c>
      <c r="EQ403" t="str">
        <f t="shared" si="485"/>
        <v/>
      </c>
      <c r="ER403" s="2" t="str">
        <f t="shared" si="486"/>
        <v>Technology approach</v>
      </c>
      <c r="ES403" t="str">
        <f t="shared" si="487"/>
        <v/>
      </c>
      <c r="ET403" t="str">
        <f t="shared" si="488"/>
        <v/>
      </c>
      <c r="EU403" t="str">
        <f t="shared" si="489"/>
        <v/>
      </c>
      <c r="EY403" t="b">
        <f>IF(ISNUMBER(BW403),IF(ABS(BW403-[1]QC_indicators!$B$2)&gt;3*[1]QC_indicators!$C$2,"C ratio",IF(ISNUMBER(CA403),IF(ABS(CA403-[1]QC_indicators!$B$1)&gt;3*[1]QC_indicators!$C$1,"DF","no"))),IF(ISNUMBER(CA403),IF(ABS(CA403-[1]QC_indicators!$B$1)&gt;3*[1]QC_indicators!$C$1,"DF","no")))</f>
        <v>0</v>
      </c>
      <c r="FA403" t="str">
        <f t="shared" si="490"/>
        <v/>
      </c>
      <c r="FB403" s="299" t="s">
        <v>349</v>
      </c>
    </row>
    <row r="404" spans="1:158" ht="15" hidden="1" customHeight="1">
      <c r="A404" s="1" t="s">
        <v>3802</v>
      </c>
      <c r="B404" t="s">
        <v>3803</v>
      </c>
      <c r="C404" t="s">
        <v>3804</v>
      </c>
      <c r="D404" t="s">
        <v>3805</v>
      </c>
      <c r="E404" t="s">
        <v>3806</v>
      </c>
      <c r="F404" t="s">
        <v>3807</v>
      </c>
      <c r="G404" t="s">
        <v>3808</v>
      </c>
      <c r="H404" t="s">
        <v>254</v>
      </c>
      <c r="I404">
        <v>2014</v>
      </c>
      <c r="J404">
        <v>4</v>
      </c>
      <c r="K404" t="s">
        <v>3809</v>
      </c>
      <c r="M404" t="str">
        <f t="shared" si="456"/>
        <v>Saah_2014</v>
      </c>
      <c r="N404" s="297" t="s">
        <v>4058</v>
      </c>
      <c r="O404" s="145" t="s">
        <v>341</v>
      </c>
      <c r="Q404" s="297" t="s">
        <v>256</v>
      </c>
      <c r="R404" s="298"/>
      <c r="S404" s="1" t="s">
        <v>3812</v>
      </c>
      <c r="T404" t="s">
        <v>1003</v>
      </c>
      <c r="U404" t="e">
        <f>#REF!</f>
        <v>#REF!</v>
      </c>
      <c r="V404" s="317">
        <v>2</v>
      </c>
      <c r="W404">
        <v>0</v>
      </c>
      <c r="X404">
        <v>2</v>
      </c>
      <c r="Y404">
        <v>1</v>
      </c>
      <c r="Z404">
        <v>0</v>
      </c>
      <c r="AA404">
        <v>2</v>
      </c>
      <c r="AB404">
        <v>0</v>
      </c>
      <c r="AC404">
        <v>0</v>
      </c>
      <c r="AD404">
        <v>0</v>
      </c>
      <c r="AE404">
        <v>0</v>
      </c>
      <c r="AF404">
        <v>0</v>
      </c>
      <c r="AG404">
        <v>0</v>
      </c>
      <c r="AH404">
        <v>2</v>
      </c>
      <c r="AI404">
        <v>0</v>
      </c>
      <c r="AJ404">
        <v>0</v>
      </c>
      <c r="AK404">
        <v>0</v>
      </c>
      <c r="AL404">
        <v>0</v>
      </c>
      <c r="AM404">
        <v>0</v>
      </c>
      <c r="AN404">
        <v>0</v>
      </c>
      <c r="AO404">
        <v>0</v>
      </c>
      <c r="AP404">
        <v>0</v>
      </c>
      <c r="AQ404">
        <v>0</v>
      </c>
      <c r="AR404">
        <v>0</v>
      </c>
      <c r="AS404">
        <v>0</v>
      </c>
      <c r="AT404">
        <v>0</v>
      </c>
      <c r="AU404">
        <v>0</v>
      </c>
      <c r="AV404">
        <v>0</v>
      </c>
      <c r="AW404">
        <v>0</v>
      </c>
      <c r="AX404">
        <v>0</v>
      </c>
      <c r="AY404">
        <v>0</v>
      </c>
      <c r="AZ404" s="141">
        <f t="shared" si="457"/>
        <v>4</v>
      </c>
      <c r="BA404" s="141">
        <f t="shared" si="458"/>
        <v>4</v>
      </c>
      <c r="BB404">
        <f t="shared" si="459"/>
        <v>3</v>
      </c>
      <c r="BC404">
        <f t="shared" si="460"/>
        <v>1</v>
      </c>
      <c r="BD404">
        <f t="shared" si="461"/>
        <v>0</v>
      </c>
      <c r="BE404">
        <f t="shared" si="462"/>
        <v>0</v>
      </c>
      <c r="BF404">
        <f t="shared" si="463"/>
        <v>0</v>
      </c>
      <c r="BG404" t="str" cm="1">
        <f t="array" ref="BG404">IF(BA404=1,INDEX($X$7:$AN$7,MATCH(TRUE,INDEX($X404:$AY404&lt;&gt;0,),0)),IF(BA404=0,INDEX($AO$7:$AY$7,MATCH(1,$AO404:$AY404,0)),IF(BH404="Multiple strategies","mixed drivers",IF(BH404="Supply chain","multiple supply","multiple silviculture"))))</f>
        <v>mixed drivers</v>
      </c>
      <c r="BH404" s="2" t="str" cm="1">
        <f t="array" ref="BH404">IF(COUNTIF(BB404:BD404,"&lt;&gt;0")=1,INDEX($X$4:$AY$4,MATCH(TRUE,INDEX($X404:$AY404&lt;&gt;0,),0)),IF(COUNTIF(BB404:BD404,"&lt;&gt;0")=0,INDEX($AO$4:$AY$4,MATCH(1,$AO404:$AY404,0)),"Multiple strategies"))</f>
        <v>Multiple strategies</v>
      </c>
      <c r="BR404" s="297" t="s">
        <v>232</v>
      </c>
      <c r="BS404" s="297"/>
      <c r="BT404" s="297" t="s">
        <v>3811</v>
      </c>
      <c r="BU404">
        <v>-56406</v>
      </c>
      <c r="BV404">
        <v>-11845.26</v>
      </c>
      <c r="BW404" s="144">
        <v>0.21</v>
      </c>
      <c r="BX404">
        <v>44560.74</v>
      </c>
      <c r="BZ404">
        <f t="shared" si="464"/>
        <v>44560.74</v>
      </c>
      <c r="CA404" t="str">
        <f t="shared" si="465"/>
        <v/>
      </c>
      <c r="CB404">
        <v>0</v>
      </c>
      <c r="CC404">
        <v>1</v>
      </c>
      <c r="CD404">
        <v>0</v>
      </c>
      <c r="CE404">
        <v>1</v>
      </c>
      <c r="CF404">
        <v>0</v>
      </c>
      <c r="CG404">
        <v>0</v>
      </c>
      <c r="CH404">
        <v>0</v>
      </c>
      <c r="CI404">
        <v>0</v>
      </c>
      <c r="CJ404">
        <v>0</v>
      </c>
      <c r="CK404">
        <v>0</v>
      </c>
      <c r="CL404">
        <v>0</v>
      </c>
      <c r="CM404">
        <v>0</v>
      </c>
      <c r="CN404">
        <v>1</v>
      </c>
      <c r="CO404">
        <v>0</v>
      </c>
      <c r="CP404" t="str">
        <f t="shared" si="466"/>
        <v>refOK</v>
      </c>
      <c r="CQ404"/>
      <c r="CR404"/>
      <c r="CS404"/>
      <c r="CT404">
        <f t="shared" si="467"/>
        <v>0</v>
      </c>
      <c r="CU404">
        <f t="shared" si="468"/>
        <v>-56406</v>
      </c>
      <c r="CV404">
        <f t="shared" si="469"/>
        <v>-11845.26</v>
      </c>
      <c r="CW404">
        <f t="shared" si="470"/>
        <v>44560.74</v>
      </c>
      <c r="CX404" t="str">
        <f t="shared" si="471"/>
        <v/>
      </c>
      <c r="CY404" t="str">
        <f t="shared" si="471"/>
        <v/>
      </c>
      <c r="CZ404" t="str">
        <f t="shared" si="472"/>
        <v/>
      </c>
      <c r="DA404" s="2">
        <f t="shared" si="473"/>
        <v>0.78999999999999992</v>
      </c>
      <c r="DB404" s="1" t="s">
        <v>1074</v>
      </c>
      <c r="DC404" s="297" t="str">
        <f t="shared" si="474"/>
        <v>reg</v>
      </c>
      <c r="DD404" t="s">
        <v>428</v>
      </c>
      <c r="DG404">
        <v>0</v>
      </c>
      <c r="DH404" t="str">
        <f t="shared" si="475"/>
        <v>0</v>
      </c>
      <c r="DI404">
        <v>0</v>
      </c>
      <c r="DJ404">
        <v>1</v>
      </c>
      <c r="DK404">
        <v>0</v>
      </c>
      <c r="DL404">
        <v>0</v>
      </c>
      <c r="DN404">
        <f t="shared" si="476"/>
        <v>1</v>
      </c>
      <c r="DO404" t="str">
        <f t="shared" si="477"/>
        <v>EnergyInput</v>
      </c>
      <c r="DP404">
        <f t="shared" si="478"/>
        <v>0</v>
      </c>
      <c r="DQ404" t="str">
        <f t="shared" si="479"/>
        <v>Energy</v>
      </c>
      <c r="DR404">
        <f t="shared" si="480"/>
        <v>0</v>
      </c>
      <c r="DS404">
        <f t="shared" si="481"/>
        <v>0</v>
      </c>
      <c r="DT404">
        <v>1</v>
      </c>
      <c r="DU404">
        <v>0</v>
      </c>
      <c r="DV404">
        <v>0</v>
      </c>
      <c r="DW404">
        <v>0</v>
      </c>
      <c r="DX404">
        <v>0</v>
      </c>
      <c r="DY404">
        <f t="shared" si="482"/>
        <v>1</v>
      </c>
      <c r="DZ404" s="143" t="str">
        <f t="shared" si="483"/>
        <v>self-calculated DF</v>
      </c>
      <c r="EA404">
        <v>0</v>
      </c>
      <c r="EB404">
        <v>0</v>
      </c>
      <c r="EC404">
        <v>0</v>
      </c>
      <c r="ED404">
        <v>0</v>
      </c>
      <c r="EE404">
        <v>0</v>
      </c>
      <c r="EF404" s="143">
        <v>0</v>
      </c>
      <c r="EG404">
        <v>1</v>
      </c>
      <c r="EH404">
        <v>1</v>
      </c>
      <c r="EI404">
        <v>0</v>
      </c>
      <c r="EJ404">
        <v>1</v>
      </c>
      <c r="EK404">
        <v>0</v>
      </c>
      <c r="EL404">
        <v>0</v>
      </c>
      <c r="EM404">
        <v>0</v>
      </c>
      <c r="EN404" s="2">
        <v>0</v>
      </c>
      <c r="EP404" t="str">
        <f t="shared" si="484"/>
        <v/>
      </c>
      <c r="EQ404" t="str">
        <f t="shared" si="485"/>
        <v/>
      </c>
      <c r="ER404" s="2" t="str">
        <f t="shared" si="486"/>
        <v>Technology approach</v>
      </c>
      <c r="ES404" t="str">
        <f t="shared" si="487"/>
        <v/>
      </c>
      <c r="ET404" t="str">
        <f t="shared" si="488"/>
        <v/>
      </c>
      <c r="EU404" t="str">
        <f t="shared" si="489"/>
        <v/>
      </c>
      <c r="EY404" t="b">
        <f>IF(ISNUMBER(BW404),IF(ABS(BW404-[1]QC_indicators!$B$2)&gt;3*[1]QC_indicators!$C$2,"C ratio",IF(ISNUMBER(CA404),IF(ABS(CA404-[1]QC_indicators!$B$1)&gt;3*[1]QC_indicators!$C$1,"DF","no"))),IF(ISNUMBER(CA404),IF(ABS(CA404-[1]QC_indicators!$B$1)&gt;3*[1]QC_indicators!$C$1,"DF","no")))</f>
        <v>0</v>
      </c>
      <c r="FA404" t="str">
        <f t="shared" si="490"/>
        <v/>
      </c>
      <c r="FB404" s="299" t="s">
        <v>349</v>
      </c>
    </row>
    <row r="405" spans="1:158" ht="15" hidden="1" customHeight="1">
      <c r="A405" s="1" t="s">
        <v>3802</v>
      </c>
      <c r="B405" t="s">
        <v>3803</v>
      </c>
      <c r="C405" t="s">
        <v>3804</v>
      </c>
      <c r="D405" t="s">
        <v>3805</v>
      </c>
      <c r="E405" t="s">
        <v>3806</v>
      </c>
      <c r="F405" t="s">
        <v>3807</v>
      </c>
      <c r="G405" t="s">
        <v>3808</v>
      </c>
      <c r="H405" t="s">
        <v>254</v>
      </c>
      <c r="I405">
        <v>2014</v>
      </c>
      <c r="J405">
        <v>4</v>
      </c>
      <c r="K405" t="s">
        <v>3809</v>
      </c>
      <c r="M405" t="str">
        <f t="shared" si="456"/>
        <v>Saah_2014</v>
      </c>
      <c r="N405" s="297" t="s">
        <v>4058</v>
      </c>
      <c r="O405" s="145" t="s">
        <v>341</v>
      </c>
      <c r="Q405" s="297" t="s">
        <v>256</v>
      </c>
      <c r="R405" s="298"/>
      <c r="S405" s="1" t="s">
        <v>3810</v>
      </c>
      <c r="T405" t="s">
        <v>1003</v>
      </c>
      <c r="U405" t="e">
        <f>#REF!</f>
        <v>#REF!</v>
      </c>
      <c r="V405" s="317">
        <v>2</v>
      </c>
      <c r="W405">
        <v>0</v>
      </c>
      <c r="X405">
        <v>2</v>
      </c>
      <c r="Y405">
        <v>1</v>
      </c>
      <c r="Z405">
        <v>0</v>
      </c>
      <c r="AA405">
        <v>2</v>
      </c>
      <c r="AB405">
        <v>0</v>
      </c>
      <c r="AC405">
        <v>0</v>
      </c>
      <c r="AD405">
        <v>0</v>
      </c>
      <c r="AE405">
        <v>0</v>
      </c>
      <c r="AF405">
        <v>0</v>
      </c>
      <c r="AG405">
        <v>0</v>
      </c>
      <c r="AH405">
        <v>2</v>
      </c>
      <c r="AI405">
        <v>0</v>
      </c>
      <c r="AJ405">
        <v>0</v>
      </c>
      <c r="AK405">
        <v>0</v>
      </c>
      <c r="AL405">
        <v>0</v>
      </c>
      <c r="AM405">
        <v>0</v>
      </c>
      <c r="AN405">
        <v>0</v>
      </c>
      <c r="AO405">
        <v>0</v>
      </c>
      <c r="AP405">
        <v>0</v>
      </c>
      <c r="AQ405">
        <v>0</v>
      </c>
      <c r="AR405">
        <v>0</v>
      </c>
      <c r="AS405">
        <v>0</v>
      </c>
      <c r="AT405">
        <v>0</v>
      </c>
      <c r="AU405">
        <v>0</v>
      </c>
      <c r="AV405">
        <v>0</v>
      </c>
      <c r="AW405">
        <v>0</v>
      </c>
      <c r="AX405">
        <v>0</v>
      </c>
      <c r="AY405">
        <v>0</v>
      </c>
      <c r="AZ405" s="141">
        <f t="shared" si="457"/>
        <v>4</v>
      </c>
      <c r="BA405" s="141">
        <f t="shared" si="458"/>
        <v>4</v>
      </c>
      <c r="BB405">
        <f t="shared" si="459"/>
        <v>3</v>
      </c>
      <c r="BC405">
        <f t="shared" si="460"/>
        <v>1</v>
      </c>
      <c r="BD405">
        <f t="shared" si="461"/>
        <v>0</v>
      </c>
      <c r="BE405">
        <f t="shared" si="462"/>
        <v>0</v>
      </c>
      <c r="BF405">
        <f t="shared" si="463"/>
        <v>0</v>
      </c>
      <c r="BG405" t="str" cm="1">
        <f t="array" ref="BG405">IF(BA405=1,INDEX($X$7:$AN$7,MATCH(TRUE,INDEX($X405:$AY405&lt;&gt;0,),0)),IF(BA405=0,INDEX($AO$7:$AY$7,MATCH(1,$AO405:$AY405,0)),IF(BH405="Multiple strategies","mixed drivers",IF(BH405="Supply chain","multiple supply","multiple silviculture"))))</f>
        <v>mixed drivers</v>
      </c>
      <c r="BH405" s="2" t="str" cm="1">
        <f t="array" ref="BH405">IF(COUNTIF(BB405:BD405,"&lt;&gt;0")=1,INDEX($X$4:$AY$4,MATCH(TRUE,INDEX($X405:$AY405&lt;&gt;0,),0)),IF(COUNTIF(BB405:BD405,"&lt;&gt;0")=0,INDEX($AO$4:$AY$4,MATCH(1,$AO405:$AY405,0)),"Multiple strategies"))</f>
        <v>Multiple strategies</v>
      </c>
      <c r="BR405" s="297" t="s">
        <v>232</v>
      </c>
      <c r="BS405" s="297"/>
      <c r="BT405" s="297" t="s">
        <v>3811</v>
      </c>
      <c r="BU405">
        <v>-56406</v>
      </c>
      <c r="BV405">
        <v>-6204.66</v>
      </c>
      <c r="BW405" s="144">
        <v>0.11</v>
      </c>
      <c r="BX405">
        <v>50201.34</v>
      </c>
      <c r="BZ405">
        <f t="shared" si="464"/>
        <v>50201.34</v>
      </c>
      <c r="CA405" t="str">
        <f t="shared" si="465"/>
        <v/>
      </c>
      <c r="CB405">
        <v>0</v>
      </c>
      <c r="CC405">
        <v>1</v>
      </c>
      <c r="CD405">
        <v>0</v>
      </c>
      <c r="CE405">
        <v>1</v>
      </c>
      <c r="CF405">
        <v>0</v>
      </c>
      <c r="CG405">
        <v>0</v>
      </c>
      <c r="CH405">
        <v>0</v>
      </c>
      <c r="CI405">
        <v>0</v>
      </c>
      <c r="CJ405">
        <v>0</v>
      </c>
      <c r="CK405">
        <v>0</v>
      </c>
      <c r="CL405">
        <v>0</v>
      </c>
      <c r="CM405">
        <v>0</v>
      </c>
      <c r="CN405">
        <v>1</v>
      </c>
      <c r="CO405">
        <v>0</v>
      </c>
      <c r="CP405" t="str">
        <f t="shared" si="466"/>
        <v>refOK</v>
      </c>
      <c r="CQ405"/>
      <c r="CR405"/>
      <c r="CS405"/>
      <c r="CT405">
        <f t="shared" si="467"/>
        <v>0</v>
      </c>
      <c r="CU405">
        <f t="shared" si="468"/>
        <v>-56406</v>
      </c>
      <c r="CV405">
        <f t="shared" si="469"/>
        <v>-6204.66</v>
      </c>
      <c r="CW405">
        <f t="shared" si="470"/>
        <v>50201.34</v>
      </c>
      <c r="CX405" t="str">
        <f t="shared" si="471"/>
        <v/>
      </c>
      <c r="CY405" t="str">
        <f t="shared" si="471"/>
        <v/>
      </c>
      <c r="CZ405" t="str">
        <f t="shared" si="472"/>
        <v/>
      </c>
      <c r="DA405" s="2">
        <f t="shared" si="473"/>
        <v>0.8899999999999999</v>
      </c>
      <c r="DB405" s="1" t="s">
        <v>1074</v>
      </c>
      <c r="DC405" s="297" t="str">
        <f t="shared" si="474"/>
        <v>reg</v>
      </c>
      <c r="DD405" t="s">
        <v>428</v>
      </c>
      <c r="DG405">
        <v>0</v>
      </c>
      <c r="DH405" t="str">
        <f t="shared" si="475"/>
        <v>0</v>
      </c>
      <c r="DI405">
        <v>0</v>
      </c>
      <c r="DJ405">
        <v>1</v>
      </c>
      <c r="DK405">
        <v>0</v>
      </c>
      <c r="DL405">
        <v>0</v>
      </c>
      <c r="DN405">
        <f t="shared" si="476"/>
        <v>1</v>
      </c>
      <c r="DO405" t="str">
        <f t="shared" si="477"/>
        <v>EnergyInput</v>
      </c>
      <c r="DP405">
        <f t="shared" si="478"/>
        <v>0</v>
      </c>
      <c r="DQ405" t="str">
        <f t="shared" si="479"/>
        <v>Energy</v>
      </c>
      <c r="DR405">
        <f t="shared" si="480"/>
        <v>0</v>
      </c>
      <c r="DS405">
        <f t="shared" si="481"/>
        <v>0</v>
      </c>
      <c r="DT405">
        <v>1</v>
      </c>
      <c r="DU405">
        <v>0</v>
      </c>
      <c r="DV405">
        <v>0</v>
      </c>
      <c r="DW405">
        <v>0</v>
      </c>
      <c r="DX405">
        <v>0</v>
      </c>
      <c r="DY405">
        <f t="shared" si="482"/>
        <v>1</v>
      </c>
      <c r="DZ405" s="143" t="str">
        <f t="shared" si="483"/>
        <v>self-calculated DF</v>
      </c>
      <c r="EA405">
        <v>0</v>
      </c>
      <c r="EB405">
        <v>0</v>
      </c>
      <c r="EC405">
        <v>0</v>
      </c>
      <c r="ED405">
        <v>0</v>
      </c>
      <c r="EE405">
        <v>0</v>
      </c>
      <c r="EF405" s="143">
        <v>0</v>
      </c>
      <c r="EG405">
        <v>1</v>
      </c>
      <c r="EH405">
        <v>1</v>
      </c>
      <c r="EI405">
        <v>0</v>
      </c>
      <c r="EJ405">
        <v>1</v>
      </c>
      <c r="EK405">
        <v>0</v>
      </c>
      <c r="EL405">
        <v>0</v>
      </c>
      <c r="EM405">
        <v>0</v>
      </c>
      <c r="EN405" s="2">
        <v>0</v>
      </c>
      <c r="EP405" t="str">
        <f t="shared" si="484"/>
        <v/>
      </c>
      <c r="EQ405" t="str">
        <f t="shared" si="485"/>
        <v/>
      </c>
      <c r="ER405" s="2" t="str">
        <f t="shared" si="486"/>
        <v>Technology approach</v>
      </c>
      <c r="ES405" t="str">
        <f t="shared" si="487"/>
        <v/>
      </c>
      <c r="ET405" t="str">
        <f t="shared" si="488"/>
        <v/>
      </c>
      <c r="EU405" t="str">
        <f t="shared" si="489"/>
        <v/>
      </c>
      <c r="EY405" t="b">
        <f>IF(ISNUMBER(BW405),IF(ABS(BW405-[1]QC_indicators!$B$2)&gt;3*[1]QC_indicators!$C$2,"C ratio",IF(ISNUMBER(CA405),IF(ABS(CA405-[1]QC_indicators!$B$1)&gt;3*[1]QC_indicators!$C$1,"DF","no"))),IF(ISNUMBER(CA405),IF(ABS(CA405-[1]QC_indicators!$B$1)&gt;3*[1]QC_indicators!$C$1,"DF","no")))</f>
        <v>0</v>
      </c>
      <c r="FA405" t="str">
        <f t="shared" si="490"/>
        <v/>
      </c>
      <c r="FB405" s="299" t="s">
        <v>349</v>
      </c>
    </row>
    <row r="406" spans="1:158" ht="15" hidden="1" customHeight="1">
      <c r="A406" s="1" t="s">
        <v>3820</v>
      </c>
      <c r="B406" t="s">
        <v>3821</v>
      </c>
      <c r="C406" t="s">
        <v>3822</v>
      </c>
      <c r="D406" t="s">
        <v>3823</v>
      </c>
      <c r="E406" t="s">
        <v>3824</v>
      </c>
      <c r="F406" t="s">
        <v>3825</v>
      </c>
      <c r="G406" t="s">
        <v>3826</v>
      </c>
      <c r="H406" t="s">
        <v>254</v>
      </c>
      <c r="I406">
        <v>2009</v>
      </c>
      <c r="J406">
        <v>68</v>
      </c>
      <c r="K406" t="s">
        <v>3827</v>
      </c>
      <c r="M406" t="str">
        <f t="shared" si="456"/>
        <v>Sathre_2009</v>
      </c>
      <c r="N406" s="297" t="s">
        <v>4058</v>
      </c>
      <c r="O406" s="145" t="s">
        <v>341</v>
      </c>
      <c r="Q406" s="297" t="s">
        <v>256</v>
      </c>
      <c r="R406" s="298"/>
      <c r="S406" s="1" t="s">
        <v>3828</v>
      </c>
      <c r="T406" t="s">
        <v>652</v>
      </c>
      <c r="U406" t="e">
        <f>#REF!</f>
        <v>#REF!</v>
      </c>
      <c r="V406" s="253">
        <v>0</v>
      </c>
      <c r="W406" s="253">
        <v>0</v>
      </c>
      <c r="X406">
        <v>0</v>
      </c>
      <c r="Y406">
        <v>0</v>
      </c>
      <c r="Z406">
        <v>0</v>
      </c>
      <c r="AA406">
        <v>0</v>
      </c>
      <c r="AB406">
        <v>0</v>
      </c>
      <c r="AC406">
        <v>0</v>
      </c>
      <c r="AD406">
        <v>0</v>
      </c>
      <c r="AE406">
        <v>0</v>
      </c>
      <c r="AF406">
        <v>0</v>
      </c>
      <c r="AG406">
        <v>0</v>
      </c>
      <c r="AH406">
        <v>1</v>
      </c>
      <c r="AI406">
        <v>0</v>
      </c>
      <c r="AJ406">
        <v>0</v>
      </c>
      <c r="AK406">
        <v>0</v>
      </c>
      <c r="AL406">
        <v>0</v>
      </c>
      <c r="AM406">
        <v>0</v>
      </c>
      <c r="AN406">
        <v>0</v>
      </c>
      <c r="AO406">
        <v>0</v>
      </c>
      <c r="AP406">
        <v>0</v>
      </c>
      <c r="AQ406">
        <v>0</v>
      </c>
      <c r="AR406">
        <v>0</v>
      </c>
      <c r="AS406">
        <v>0</v>
      </c>
      <c r="AT406">
        <v>0</v>
      </c>
      <c r="AU406">
        <v>0</v>
      </c>
      <c r="AV406">
        <v>0</v>
      </c>
      <c r="AW406">
        <v>0</v>
      </c>
      <c r="AX406">
        <v>0</v>
      </c>
      <c r="AY406">
        <v>0</v>
      </c>
      <c r="AZ406" s="141">
        <f t="shared" si="457"/>
        <v>1</v>
      </c>
      <c r="BA406" s="141">
        <f t="shared" si="458"/>
        <v>1</v>
      </c>
      <c r="BB406">
        <f t="shared" si="459"/>
        <v>0</v>
      </c>
      <c r="BC406">
        <f t="shared" si="460"/>
        <v>1</v>
      </c>
      <c r="BD406">
        <f t="shared" si="461"/>
        <v>0</v>
      </c>
      <c r="BE406">
        <f t="shared" si="462"/>
        <v>0</v>
      </c>
      <c r="BF406">
        <f t="shared" si="463"/>
        <v>0</v>
      </c>
      <c r="BG406" t="str" cm="1">
        <f t="array" ref="BG406">IF(BA406=1,INDEX($X$7:$AN$7,MATCH(TRUE,INDEX($X406:$AY406&lt;&gt;0,),0)),IF(BA406=0,INDEX($AO$7:$AY$7,MATCH(1,$AO406:$AY406,0)),IF(BH406="Multiple strategies","mixed drivers",IF(BH406="Supply chain","multiple supply","multiple silviculture"))))</f>
        <v>supply chain organization</v>
      </c>
      <c r="BH406" s="2" t="str" cm="1">
        <f t="array" ref="BH406">IF(COUNTIF(BB406:BD406,"&lt;&gt;0")=1,INDEX($X$4:$AY$4,MATCH(TRUE,INDEX($X406:$AY406&lt;&gt;0,),0)),IF(COUNTIF(BB406:BD406,"&lt;&gt;0")=0,INDEX($AO$4:$AY$4,MATCH(1,$AO406:$AY406,0)),"Multiple strategies"))</f>
        <v>Supply chain</v>
      </c>
      <c r="BR406" s="297" t="s">
        <v>232</v>
      </c>
      <c r="BS406" s="297"/>
      <c r="BT406" t="s">
        <v>907</v>
      </c>
      <c r="BU406">
        <v>-76</v>
      </c>
      <c r="BV406">
        <v>-42</v>
      </c>
      <c r="BW406" s="144">
        <v>0.55263157894736847</v>
      </c>
      <c r="BX406">
        <v>34</v>
      </c>
      <c r="BZ406">
        <f>BX406*C_to_CO2</f>
        <v>124.78</v>
      </c>
      <c r="CA406" t="str">
        <f t="shared" si="465"/>
        <v/>
      </c>
      <c r="CB406">
        <v>0</v>
      </c>
      <c r="CC406">
        <v>0</v>
      </c>
      <c r="CD406">
        <v>0</v>
      </c>
      <c r="CE406">
        <v>0</v>
      </c>
      <c r="CF406">
        <v>0</v>
      </c>
      <c r="CG406">
        <v>0</v>
      </c>
      <c r="CH406">
        <v>0</v>
      </c>
      <c r="CI406">
        <v>0</v>
      </c>
      <c r="CJ406">
        <v>0</v>
      </c>
      <c r="CK406">
        <v>0</v>
      </c>
      <c r="CL406">
        <v>0</v>
      </c>
      <c r="CM406">
        <v>0</v>
      </c>
      <c r="CN406">
        <v>0</v>
      </c>
      <c r="CO406">
        <v>0</v>
      </c>
      <c r="CP406" t="str">
        <f t="shared" si="466"/>
        <v>refOK</v>
      </c>
      <c r="CQ406"/>
      <c r="CR406"/>
      <c r="CS406"/>
      <c r="CT406">
        <f t="shared" si="467"/>
        <v>0</v>
      </c>
      <c r="CU406">
        <f t="shared" si="468"/>
        <v>-76</v>
      </c>
      <c r="CV406">
        <f t="shared" si="469"/>
        <v>-42</v>
      </c>
      <c r="CW406">
        <f t="shared" si="470"/>
        <v>124.78</v>
      </c>
      <c r="CX406" t="str">
        <f t="shared" si="471"/>
        <v/>
      </c>
      <c r="CY406" t="str">
        <f t="shared" si="471"/>
        <v/>
      </c>
      <c r="CZ406" t="str">
        <f t="shared" si="472"/>
        <v/>
      </c>
      <c r="DA406" s="2">
        <f t="shared" si="473"/>
        <v>0.44736842105263158</v>
      </c>
      <c r="DB406" s="1" t="s">
        <v>263</v>
      </c>
      <c r="DC406" s="297" t="str">
        <f t="shared" si="474"/>
        <v>loc</v>
      </c>
      <c r="DD406" t="s">
        <v>444</v>
      </c>
      <c r="DG406">
        <v>0</v>
      </c>
      <c r="DH406" t="str">
        <f t="shared" si="475"/>
        <v>0</v>
      </c>
      <c r="DI406">
        <v>0</v>
      </c>
      <c r="DJ406">
        <v>0</v>
      </c>
      <c r="DK406">
        <v>0</v>
      </c>
      <c r="DL406">
        <v>1</v>
      </c>
      <c r="DN406">
        <f t="shared" si="476"/>
        <v>1</v>
      </c>
      <c r="DO406" t="str">
        <f t="shared" si="477"/>
        <v>TimberInput</v>
      </c>
      <c r="DP406">
        <f t="shared" si="478"/>
        <v>0</v>
      </c>
      <c r="DQ406">
        <f t="shared" si="479"/>
        <v>0</v>
      </c>
      <c r="DR406">
        <f t="shared" si="480"/>
        <v>0</v>
      </c>
      <c r="DS406" t="str">
        <f t="shared" si="481"/>
        <v>Timber</v>
      </c>
      <c r="DT406">
        <v>1</v>
      </c>
      <c r="DU406">
        <v>0</v>
      </c>
      <c r="DV406">
        <v>0</v>
      </c>
      <c r="DW406">
        <v>0</v>
      </c>
      <c r="DX406">
        <v>0</v>
      </c>
      <c r="DY406">
        <f t="shared" si="482"/>
        <v>1</v>
      </c>
      <c r="DZ406" s="143" t="str">
        <f t="shared" si="483"/>
        <v>self-calculated DF</v>
      </c>
      <c r="EA406">
        <v>0</v>
      </c>
      <c r="EB406">
        <v>0</v>
      </c>
      <c r="EC406">
        <v>0</v>
      </c>
      <c r="ED406">
        <v>1</v>
      </c>
      <c r="EE406">
        <v>0</v>
      </c>
      <c r="EF406" s="143">
        <v>0</v>
      </c>
      <c r="EG406">
        <v>1</v>
      </c>
      <c r="EH406">
        <v>1</v>
      </c>
      <c r="EI406">
        <v>0</v>
      </c>
      <c r="EJ406">
        <v>0</v>
      </c>
      <c r="EK406">
        <v>0</v>
      </c>
      <c r="EL406">
        <v>0</v>
      </c>
      <c r="EM406">
        <v>0</v>
      </c>
      <c r="EN406" s="2">
        <v>0</v>
      </c>
      <c r="EP406" t="str">
        <f t="shared" si="484"/>
        <v/>
      </c>
      <c r="EQ406" t="str">
        <f t="shared" si="485"/>
        <v/>
      </c>
      <c r="ER406" s="2" t="str">
        <f t="shared" si="486"/>
        <v>Technology approach</v>
      </c>
      <c r="ES406" t="str">
        <f t="shared" si="487"/>
        <v/>
      </c>
      <c r="ET406" t="str">
        <f t="shared" si="488"/>
        <v/>
      </c>
      <c r="EU406" t="str">
        <f t="shared" si="489"/>
        <v/>
      </c>
      <c r="EY406" t="b">
        <f>IF(ISNUMBER(BW406),IF(ABS(BW406-[1]QC_indicators!$B$2)&gt;3*[1]QC_indicators!$C$2,"C ratio",IF(ISNUMBER(CA406),IF(ABS(CA406-[1]QC_indicators!$B$1)&gt;3*[1]QC_indicators!$C$1,"DF","no"))),IF(ISNUMBER(CA406),IF(ABS(CA406-[1]QC_indicators!$B$1)&gt;3*[1]QC_indicators!$C$1,"DF","no")))</f>
        <v>0</v>
      </c>
      <c r="FA406" t="str">
        <f t="shared" si="490"/>
        <v/>
      </c>
      <c r="FB406" s="299" t="s">
        <v>349</v>
      </c>
    </row>
    <row r="407" spans="1:158" ht="15" hidden="1" customHeight="1">
      <c r="A407" s="1" t="s">
        <v>1016</v>
      </c>
      <c r="B407" t="s">
        <v>3829</v>
      </c>
      <c r="C407" t="s">
        <v>3830</v>
      </c>
      <c r="D407" t="s">
        <v>3831</v>
      </c>
      <c r="E407" t="s">
        <v>3832</v>
      </c>
      <c r="F407" t="s">
        <v>3833</v>
      </c>
      <c r="G407" t="s">
        <v>1017</v>
      </c>
      <c r="H407" t="s">
        <v>254</v>
      </c>
      <c r="I407">
        <v>2019</v>
      </c>
      <c r="J407">
        <v>6</v>
      </c>
      <c r="K407" t="s">
        <v>3834</v>
      </c>
      <c r="M407" t="str">
        <f t="shared" si="456"/>
        <v>She_2019</v>
      </c>
      <c r="N407" s="297" t="s">
        <v>4058</v>
      </c>
      <c r="O407" s="145" t="s">
        <v>341</v>
      </c>
      <c r="Q407" s="297" t="s">
        <v>256</v>
      </c>
      <c r="R407" s="298"/>
      <c r="S407" s="1" t="s">
        <v>3843</v>
      </c>
      <c r="T407" t="s">
        <v>3836</v>
      </c>
      <c r="U407" t="e">
        <f>#REF!</f>
        <v>#REF!</v>
      </c>
      <c r="V407" s="317">
        <v>2</v>
      </c>
      <c r="W407">
        <v>0</v>
      </c>
      <c r="X407">
        <v>2</v>
      </c>
      <c r="Y407">
        <v>1</v>
      </c>
      <c r="Z407">
        <v>0</v>
      </c>
      <c r="AA407">
        <v>0</v>
      </c>
      <c r="AB407">
        <v>0</v>
      </c>
      <c r="AC407">
        <v>0</v>
      </c>
      <c r="AD407">
        <v>0</v>
      </c>
      <c r="AE407">
        <v>0</v>
      </c>
      <c r="AF407">
        <v>0</v>
      </c>
      <c r="AG407">
        <v>0</v>
      </c>
      <c r="AH407">
        <v>2</v>
      </c>
      <c r="AI407">
        <v>0</v>
      </c>
      <c r="AJ407">
        <v>0</v>
      </c>
      <c r="AK407">
        <v>0</v>
      </c>
      <c r="AL407">
        <v>2</v>
      </c>
      <c r="AM407">
        <v>0</v>
      </c>
      <c r="AN407">
        <v>0</v>
      </c>
      <c r="AO407">
        <v>0</v>
      </c>
      <c r="AP407">
        <v>0</v>
      </c>
      <c r="AQ407">
        <v>0</v>
      </c>
      <c r="AR407">
        <v>0</v>
      </c>
      <c r="AS407">
        <v>0</v>
      </c>
      <c r="AT407">
        <v>0</v>
      </c>
      <c r="AU407">
        <v>0</v>
      </c>
      <c r="AV407">
        <v>0</v>
      </c>
      <c r="AW407">
        <v>0</v>
      </c>
      <c r="AX407">
        <v>0</v>
      </c>
      <c r="AY407">
        <v>0</v>
      </c>
      <c r="AZ407" s="141">
        <f t="shared" si="457"/>
        <v>4</v>
      </c>
      <c r="BA407" s="141">
        <f t="shared" si="458"/>
        <v>4</v>
      </c>
      <c r="BB407">
        <f t="shared" si="459"/>
        <v>2</v>
      </c>
      <c r="BC407">
        <f t="shared" si="460"/>
        <v>1</v>
      </c>
      <c r="BD407">
        <f t="shared" si="461"/>
        <v>1</v>
      </c>
      <c r="BE407">
        <f t="shared" si="462"/>
        <v>0</v>
      </c>
      <c r="BF407">
        <f t="shared" si="463"/>
        <v>0</v>
      </c>
      <c r="BG407" t="str" cm="1">
        <f t="array" ref="BG407">IF(BA407=1,INDEX($X$7:$AN$7,MATCH(TRUE,INDEX($X407:$AY407&lt;&gt;0,),0)),IF(BA407=0,INDEX($AO$7:$AY$7,MATCH(1,$AO407:$AY407,0)),IF(BH407="Multiple strategies","mixed drivers",IF(BH407="Supply chain","multiple supply","multiple silviculture"))))</f>
        <v>mixed drivers</v>
      </c>
      <c r="BH407" s="2" t="str" cm="1">
        <f t="array" ref="BH407">IF(COUNTIF(BB407:BD407,"&lt;&gt;0")=1,INDEX($X$4:$AY$4,MATCH(TRUE,INDEX($X407:$AY407&lt;&gt;0,),0)),IF(COUNTIF(BB407:BD407,"&lt;&gt;0")=0,INDEX($AO$4:$AY$4,MATCH(1,$AO407:$AY407,0)),"Multiple strategies"))</f>
        <v>Multiple strategies</v>
      </c>
      <c r="BR407" t="s">
        <v>232</v>
      </c>
      <c r="BT407" t="s">
        <v>1018</v>
      </c>
      <c r="BU407">
        <v>73.36</v>
      </c>
      <c r="BV407">
        <v>75.069999999999993</v>
      </c>
      <c r="BW407" s="144">
        <f>IFERROR(BV407/BU407,"")</f>
        <v>1.0233097055616138</v>
      </c>
      <c r="BX407">
        <f>BV407-BU407</f>
        <v>1.7099999999999937</v>
      </c>
      <c r="BZ407">
        <f>BX407*10^6</f>
        <v>1709999.9999999937</v>
      </c>
      <c r="CA407" t="str">
        <f t="shared" si="465"/>
        <v/>
      </c>
      <c r="CB407">
        <v>0</v>
      </c>
      <c r="CC407">
        <v>0</v>
      </c>
      <c r="CD407">
        <v>0</v>
      </c>
      <c r="CE407">
        <v>0</v>
      </c>
      <c r="CF407">
        <v>0</v>
      </c>
      <c r="CG407">
        <v>0</v>
      </c>
      <c r="CH407">
        <v>0</v>
      </c>
      <c r="CI407">
        <v>0</v>
      </c>
      <c r="CJ407">
        <v>0</v>
      </c>
      <c r="CK407">
        <v>0</v>
      </c>
      <c r="CL407">
        <v>0</v>
      </c>
      <c r="CM407">
        <v>0</v>
      </c>
      <c r="CN407">
        <v>0</v>
      </c>
      <c r="CO407">
        <v>0</v>
      </c>
      <c r="CP407" t="str">
        <f t="shared" si="466"/>
        <v>refOK</v>
      </c>
      <c r="CQ407"/>
      <c r="CR407"/>
      <c r="CS407"/>
      <c r="CT407">
        <f t="shared" si="467"/>
        <v>0</v>
      </c>
      <c r="CU407">
        <f t="shared" si="468"/>
        <v>73.36</v>
      </c>
      <c r="CV407">
        <f t="shared" si="469"/>
        <v>75.069999999999993</v>
      </c>
      <c r="CW407">
        <f t="shared" si="470"/>
        <v>1709999.9999999937</v>
      </c>
      <c r="CX407" t="str">
        <f t="shared" si="471"/>
        <v/>
      </c>
      <c r="CY407" t="str">
        <f t="shared" si="471"/>
        <v/>
      </c>
      <c r="CZ407" t="str">
        <f t="shared" si="472"/>
        <v/>
      </c>
      <c r="DA407" s="2">
        <f t="shared" si="473"/>
        <v>2.3309705561613873E-2</v>
      </c>
      <c r="DB407" s="1" t="s">
        <v>234</v>
      </c>
      <c r="DC407" s="297" t="str">
        <f t="shared" si="474"/>
        <v>loc</v>
      </c>
      <c r="DD407" t="s">
        <v>428</v>
      </c>
      <c r="DE407">
        <v>2008</v>
      </c>
      <c r="DG407">
        <v>0</v>
      </c>
      <c r="DH407" t="str">
        <f t="shared" si="475"/>
        <v>0</v>
      </c>
      <c r="DI407">
        <v>0</v>
      </c>
      <c r="DJ407">
        <v>1</v>
      </c>
      <c r="DK407">
        <v>0</v>
      </c>
      <c r="DL407">
        <v>1</v>
      </c>
      <c r="DN407">
        <f t="shared" si="476"/>
        <v>2</v>
      </c>
      <c r="DO407" t="str">
        <f t="shared" si="477"/>
        <v>mixedProduct</v>
      </c>
      <c r="DP407">
        <f t="shared" si="478"/>
        <v>0</v>
      </c>
      <c r="DQ407" t="str">
        <f t="shared" si="479"/>
        <v>Energy</v>
      </c>
      <c r="DR407">
        <f t="shared" si="480"/>
        <v>0</v>
      </c>
      <c r="DS407" t="str">
        <f t="shared" si="481"/>
        <v>Timber</v>
      </c>
      <c r="DT407">
        <v>0</v>
      </c>
      <c r="DU407">
        <v>1</v>
      </c>
      <c r="DV407" s="288" t="s">
        <v>3837</v>
      </c>
      <c r="DW407">
        <v>0</v>
      </c>
      <c r="DX407" t="s">
        <v>3838</v>
      </c>
      <c r="DY407">
        <f t="shared" si="482"/>
        <v>1</v>
      </c>
      <c r="DZ407" s="143" t="str">
        <f t="shared" si="483"/>
        <v>external DF used</v>
      </c>
      <c r="EA407">
        <v>0</v>
      </c>
      <c r="EB407">
        <v>1</v>
      </c>
      <c r="EC407">
        <v>0</v>
      </c>
      <c r="ED407">
        <v>1</v>
      </c>
      <c r="EE407">
        <v>0</v>
      </c>
      <c r="EF407" s="143">
        <v>0</v>
      </c>
      <c r="EG407">
        <v>1</v>
      </c>
      <c r="EH407">
        <v>1</v>
      </c>
      <c r="EI407">
        <v>0</v>
      </c>
      <c r="EJ407">
        <v>0</v>
      </c>
      <c r="EK407">
        <v>1</v>
      </c>
      <c r="EL407">
        <v>1</v>
      </c>
      <c r="EM407">
        <v>1</v>
      </c>
      <c r="EN407" s="2">
        <v>0</v>
      </c>
      <c r="EP407" t="str">
        <f t="shared" si="484"/>
        <v>Whole sector approach</v>
      </c>
      <c r="EQ407" t="str">
        <f t="shared" si="485"/>
        <v/>
      </c>
      <c r="ER407" s="2" t="str">
        <f t="shared" si="486"/>
        <v/>
      </c>
      <c r="ES407" t="str">
        <f t="shared" si="487"/>
        <v/>
      </c>
      <c r="ET407" t="str">
        <f t="shared" si="488"/>
        <v/>
      </c>
      <c r="EU407" t="str">
        <f t="shared" si="489"/>
        <v/>
      </c>
      <c r="EW407" t="s">
        <v>3844</v>
      </c>
      <c r="EY407" t="b">
        <f>IF(ISNUMBER(BW407),IF(ABS(BW407-[1]QC_indicators!$B$2)&gt;3*[1]QC_indicators!$C$2,"C ratio",IF(ISNUMBER(CA407),IF(ABS(CA407-[1]QC_indicators!$B$1)&gt;3*[1]QC_indicators!$C$1,"DF","no"))),IF(ISNUMBER(CA407),IF(ABS(CA407-[1]QC_indicators!$B$1)&gt;3*[1]QC_indicators!$C$1,"DF","no")))</f>
        <v>0</v>
      </c>
      <c r="FA407" t="str">
        <f t="shared" si="490"/>
        <v/>
      </c>
    </row>
    <row r="408" spans="1:158" ht="15" hidden="1" customHeight="1">
      <c r="A408" s="1" t="s">
        <v>1016</v>
      </c>
      <c r="B408" t="s">
        <v>3829</v>
      </c>
      <c r="C408" t="s">
        <v>3830</v>
      </c>
      <c r="D408" t="s">
        <v>3831</v>
      </c>
      <c r="E408" t="s">
        <v>3832</v>
      </c>
      <c r="F408" t="s">
        <v>3833</v>
      </c>
      <c r="G408" t="s">
        <v>1017</v>
      </c>
      <c r="H408" t="s">
        <v>254</v>
      </c>
      <c r="I408">
        <v>2019</v>
      </c>
      <c r="J408">
        <v>6</v>
      </c>
      <c r="K408" t="s">
        <v>3834</v>
      </c>
      <c r="M408" t="str">
        <f t="shared" si="456"/>
        <v>She_2019</v>
      </c>
      <c r="N408" s="297" t="s">
        <v>4058</v>
      </c>
      <c r="O408" s="145" t="s">
        <v>341</v>
      </c>
      <c r="Q408" s="297" t="s">
        <v>256</v>
      </c>
      <c r="R408" s="298"/>
      <c r="S408" s="1" t="s">
        <v>3842</v>
      </c>
      <c r="T408" t="s">
        <v>3836</v>
      </c>
      <c r="U408" t="e">
        <f>#REF!</f>
        <v>#REF!</v>
      </c>
      <c r="V408" s="317">
        <v>2</v>
      </c>
      <c r="W408">
        <v>0</v>
      </c>
      <c r="X408">
        <v>2</v>
      </c>
      <c r="Y408">
        <v>1</v>
      </c>
      <c r="Z408">
        <v>0</v>
      </c>
      <c r="AA408">
        <v>0</v>
      </c>
      <c r="AB408">
        <v>0</v>
      </c>
      <c r="AC408">
        <v>0</v>
      </c>
      <c r="AD408">
        <v>0</v>
      </c>
      <c r="AE408">
        <v>0</v>
      </c>
      <c r="AF408">
        <v>0</v>
      </c>
      <c r="AG408">
        <v>0</v>
      </c>
      <c r="AH408">
        <v>2</v>
      </c>
      <c r="AI408">
        <v>0</v>
      </c>
      <c r="AJ408">
        <v>0</v>
      </c>
      <c r="AK408">
        <v>0</v>
      </c>
      <c r="AL408">
        <v>2</v>
      </c>
      <c r="AM408">
        <v>0</v>
      </c>
      <c r="AN408">
        <v>0</v>
      </c>
      <c r="AO408">
        <v>0</v>
      </c>
      <c r="AP408">
        <v>0</v>
      </c>
      <c r="AQ408">
        <v>0</v>
      </c>
      <c r="AR408">
        <v>0</v>
      </c>
      <c r="AS408">
        <v>0</v>
      </c>
      <c r="AT408">
        <v>0</v>
      </c>
      <c r="AU408">
        <v>0</v>
      </c>
      <c r="AV408">
        <v>0</v>
      </c>
      <c r="AW408">
        <v>0</v>
      </c>
      <c r="AX408">
        <v>0</v>
      </c>
      <c r="AY408">
        <v>0</v>
      </c>
      <c r="AZ408" s="141">
        <f t="shared" si="457"/>
        <v>4</v>
      </c>
      <c r="BA408" s="141">
        <f t="shared" si="458"/>
        <v>4</v>
      </c>
      <c r="BB408">
        <f t="shared" si="459"/>
        <v>2</v>
      </c>
      <c r="BC408">
        <f t="shared" si="460"/>
        <v>1</v>
      </c>
      <c r="BD408">
        <f t="shared" si="461"/>
        <v>1</v>
      </c>
      <c r="BE408">
        <f t="shared" si="462"/>
        <v>0</v>
      </c>
      <c r="BF408">
        <f t="shared" si="463"/>
        <v>0</v>
      </c>
      <c r="BG408" t="str" cm="1">
        <f t="array" ref="BG408">IF(BA408=1,INDEX($X$7:$AN$7,MATCH(TRUE,INDEX($X408:$AY408&lt;&gt;0,),0)),IF(BA408=0,INDEX($AO$7:$AY$7,MATCH(1,$AO408:$AY408,0)),IF(BH408="Multiple strategies","mixed drivers",IF(BH408="Supply chain","multiple supply","multiple silviculture"))))</f>
        <v>mixed drivers</v>
      </c>
      <c r="BH408" s="2" t="str" cm="1">
        <f t="array" ref="BH408">IF(COUNTIF(BB408:BD408,"&lt;&gt;0")=1,INDEX($X$4:$AY$4,MATCH(TRUE,INDEX($X408:$AY408&lt;&gt;0,),0)),IF(COUNTIF(BB408:BD408,"&lt;&gt;0")=0,INDEX($AO$4:$AY$4,MATCH(1,$AO408:$AY408,0)),"Multiple strategies"))</f>
        <v>Multiple strategies</v>
      </c>
      <c r="BR408" t="s">
        <v>232</v>
      </c>
      <c r="BT408" t="s">
        <v>1018</v>
      </c>
      <c r="BU408">
        <v>73.36</v>
      </c>
      <c r="BV408">
        <v>110.42</v>
      </c>
      <c r="BW408" s="144">
        <f>IFERROR(BV408/BU408,"")</f>
        <v>1.5051799345692476</v>
      </c>
      <c r="BX408">
        <f>BV408-BU408</f>
        <v>37.06</v>
      </c>
      <c r="BZ408">
        <f>BX408*10^6</f>
        <v>37060000</v>
      </c>
      <c r="CA408" t="str">
        <f t="shared" si="465"/>
        <v/>
      </c>
      <c r="CB408">
        <v>0</v>
      </c>
      <c r="CC408">
        <v>0</v>
      </c>
      <c r="CD408">
        <v>0</v>
      </c>
      <c r="CE408">
        <v>0</v>
      </c>
      <c r="CF408">
        <v>0</v>
      </c>
      <c r="CG408">
        <v>0</v>
      </c>
      <c r="CH408">
        <v>0</v>
      </c>
      <c r="CI408">
        <v>0</v>
      </c>
      <c r="CJ408">
        <v>0</v>
      </c>
      <c r="CK408">
        <v>0</v>
      </c>
      <c r="CL408">
        <v>0</v>
      </c>
      <c r="CM408">
        <v>0</v>
      </c>
      <c r="CN408">
        <v>0</v>
      </c>
      <c r="CO408">
        <v>0</v>
      </c>
      <c r="CP408" t="str">
        <f t="shared" si="466"/>
        <v>refOK</v>
      </c>
      <c r="CQ408"/>
      <c r="CR408"/>
      <c r="CS408"/>
      <c r="CT408">
        <f t="shared" si="467"/>
        <v>0</v>
      </c>
      <c r="CU408">
        <f t="shared" si="468"/>
        <v>73.36</v>
      </c>
      <c r="CV408">
        <f t="shared" si="469"/>
        <v>110.42</v>
      </c>
      <c r="CW408">
        <f t="shared" si="470"/>
        <v>37060000</v>
      </c>
      <c r="CX408" t="str">
        <f t="shared" si="471"/>
        <v/>
      </c>
      <c r="CY408" t="str">
        <f t="shared" si="471"/>
        <v/>
      </c>
      <c r="CZ408" t="str">
        <f t="shared" si="472"/>
        <v/>
      </c>
      <c r="DA408" s="2">
        <f t="shared" si="473"/>
        <v>0.50517993456924759</v>
      </c>
      <c r="DB408" s="1" t="s">
        <v>234</v>
      </c>
      <c r="DC408" s="297" t="str">
        <f t="shared" si="474"/>
        <v>loc</v>
      </c>
      <c r="DD408" t="s">
        <v>428</v>
      </c>
      <c r="DE408">
        <v>2008</v>
      </c>
      <c r="DG408">
        <v>0</v>
      </c>
      <c r="DH408" t="str">
        <f t="shared" si="475"/>
        <v>0</v>
      </c>
      <c r="DI408">
        <v>0</v>
      </c>
      <c r="DJ408">
        <v>1</v>
      </c>
      <c r="DK408">
        <v>0</v>
      </c>
      <c r="DL408">
        <v>1</v>
      </c>
      <c r="DN408">
        <f t="shared" si="476"/>
        <v>2</v>
      </c>
      <c r="DO408" t="str">
        <f t="shared" si="477"/>
        <v>mixedProduct</v>
      </c>
      <c r="DP408">
        <f t="shared" si="478"/>
        <v>0</v>
      </c>
      <c r="DQ408" t="str">
        <f t="shared" si="479"/>
        <v>Energy</v>
      </c>
      <c r="DR408">
        <f t="shared" si="480"/>
        <v>0</v>
      </c>
      <c r="DS408" t="str">
        <f t="shared" si="481"/>
        <v>Timber</v>
      </c>
      <c r="DT408">
        <v>0</v>
      </c>
      <c r="DU408">
        <v>1</v>
      </c>
      <c r="DV408" s="288" t="s">
        <v>3837</v>
      </c>
      <c r="DW408">
        <v>0</v>
      </c>
      <c r="DX408" t="s">
        <v>3838</v>
      </c>
      <c r="DY408">
        <f t="shared" si="482"/>
        <v>1</v>
      </c>
      <c r="DZ408" s="143" t="str">
        <f t="shared" si="483"/>
        <v>external DF used</v>
      </c>
      <c r="EA408">
        <v>0</v>
      </c>
      <c r="EB408">
        <v>1</v>
      </c>
      <c r="EC408">
        <v>0</v>
      </c>
      <c r="ED408">
        <v>1</v>
      </c>
      <c r="EE408">
        <v>0</v>
      </c>
      <c r="EF408" s="143">
        <v>0</v>
      </c>
      <c r="EG408">
        <v>1</v>
      </c>
      <c r="EH408">
        <v>1</v>
      </c>
      <c r="EI408">
        <v>0</v>
      </c>
      <c r="EJ408">
        <v>0</v>
      </c>
      <c r="EK408">
        <v>1</v>
      </c>
      <c r="EL408">
        <v>1</v>
      </c>
      <c r="EM408">
        <v>1</v>
      </c>
      <c r="EN408" s="2">
        <v>0</v>
      </c>
      <c r="EP408" t="str">
        <f t="shared" si="484"/>
        <v>Whole sector approach</v>
      </c>
      <c r="EQ408" t="str">
        <f t="shared" si="485"/>
        <v/>
      </c>
      <c r="ER408" s="2" t="str">
        <f t="shared" si="486"/>
        <v/>
      </c>
      <c r="ES408" t="str">
        <f t="shared" si="487"/>
        <v/>
      </c>
      <c r="ET408" t="str">
        <f t="shared" si="488"/>
        <v/>
      </c>
      <c r="EU408" t="str">
        <f t="shared" si="489"/>
        <v/>
      </c>
      <c r="EY408" t="b">
        <f>IF(ISNUMBER(BW408),IF(ABS(BW408-[1]QC_indicators!$B$2)&gt;3*[1]QC_indicators!$C$2,"C ratio",IF(ISNUMBER(CA408),IF(ABS(CA408-[1]QC_indicators!$B$1)&gt;3*[1]QC_indicators!$C$1,"DF","no"))),IF(ISNUMBER(CA408),IF(ABS(CA408-[1]QC_indicators!$B$1)&gt;3*[1]QC_indicators!$C$1,"DF","no")))</f>
        <v>0</v>
      </c>
      <c r="FA408" t="str">
        <f t="shared" si="490"/>
        <v/>
      </c>
    </row>
    <row r="409" spans="1:158" hidden="1">
      <c r="A409" s="1" t="s">
        <v>1016</v>
      </c>
      <c r="B409" t="s">
        <v>3829</v>
      </c>
      <c r="C409" t="s">
        <v>3830</v>
      </c>
      <c r="D409" t="s">
        <v>3831</v>
      </c>
      <c r="E409" t="s">
        <v>3832</v>
      </c>
      <c r="F409" t="s">
        <v>3833</v>
      </c>
      <c r="G409" t="s">
        <v>1017</v>
      </c>
      <c r="H409" t="s">
        <v>254</v>
      </c>
      <c r="I409">
        <v>2019</v>
      </c>
      <c r="J409">
        <v>6</v>
      </c>
      <c r="K409" t="s">
        <v>3834</v>
      </c>
      <c r="M409" t="str">
        <f t="shared" si="456"/>
        <v>She_2019</v>
      </c>
      <c r="N409" s="297" t="s">
        <v>4058</v>
      </c>
      <c r="O409" s="145" t="s">
        <v>341</v>
      </c>
      <c r="Q409" s="297" t="s">
        <v>256</v>
      </c>
      <c r="R409" s="298"/>
      <c r="S409" s="1" t="s">
        <v>3839</v>
      </c>
      <c r="T409" t="s">
        <v>3836</v>
      </c>
      <c r="U409" t="e">
        <f>#REF!</f>
        <v>#REF!</v>
      </c>
      <c r="V409" s="317">
        <v>2</v>
      </c>
      <c r="W409">
        <v>0</v>
      </c>
      <c r="X409">
        <v>2</v>
      </c>
      <c r="Y409">
        <v>1</v>
      </c>
      <c r="Z409">
        <v>0</v>
      </c>
      <c r="AA409">
        <v>0</v>
      </c>
      <c r="AB409">
        <v>0</v>
      </c>
      <c r="AC409">
        <v>0</v>
      </c>
      <c r="AD409">
        <v>0</v>
      </c>
      <c r="AE409">
        <v>0</v>
      </c>
      <c r="AF409">
        <v>0</v>
      </c>
      <c r="AG409">
        <v>0</v>
      </c>
      <c r="AH409">
        <v>2</v>
      </c>
      <c r="AI409">
        <v>0</v>
      </c>
      <c r="AJ409">
        <v>0</v>
      </c>
      <c r="AK409">
        <v>0</v>
      </c>
      <c r="AL409">
        <v>2</v>
      </c>
      <c r="AM409">
        <v>0</v>
      </c>
      <c r="AN409">
        <v>0</v>
      </c>
      <c r="AO409">
        <v>0</v>
      </c>
      <c r="AP409">
        <v>0</v>
      </c>
      <c r="AQ409">
        <v>0</v>
      </c>
      <c r="AR409">
        <v>0</v>
      </c>
      <c r="AS409">
        <v>0</v>
      </c>
      <c r="AT409">
        <v>0</v>
      </c>
      <c r="AU409">
        <v>0</v>
      </c>
      <c r="AV409">
        <v>0</v>
      </c>
      <c r="AW409">
        <v>0</v>
      </c>
      <c r="AX409">
        <v>0</v>
      </c>
      <c r="AY409">
        <v>0</v>
      </c>
      <c r="AZ409" s="141">
        <f t="shared" si="457"/>
        <v>4</v>
      </c>
      <c r="BA409" s="141">
        <f t="shared" si="458"/>
        <v>4</v>
      </c>
      <c r="BB409">
        <f t="shared" si="459"/>
        <v>2</v>
      </c>
      <c r="BC409">
        <f t="shared" si="460"/>
        <v>1</v>
      </c>
      <c r="BD409">
        <f t="shared" si="461"/>
        <v>1</v>
      </c>
      <c r="BE409">
        <f t="shared" si="462"/>
        <v>0</v>
      </c>
      <c r="BF409">
        <f t="shared" si="463"/>
        <v>0</v>
      </c>
      <c r="BG409" t="str" cm="1">
        <f t="array" ref="BG409">IF(BA409=1,INDEX($X$7:$AN$7,MATCH(TRUE,INDEX($X409:$AY409&lt;&gt;0,),0)),IF(BA409=0,INDEX($AO$7:$AY$7,MATCH(1,$AO409:$AY409,0)),IF(BH409="Multiple strategies","mixed drivers",IF(BH409="Supply chain","multiple supply","multiple silviculture"))))</f>
        <v>mixed drivers</v>
      </c>
      <c r="BH409" s="2" t="str" cm="1">
        <f t="array" ref="BH409">IF(COUNTIF(BB409:BD409,"&lt;&gt;0")=1,INDEX($X$4:$AY$4,MATCH(TRUE,INDEX($X409:$AY409&lt;&gt;0,),0)),IF(COUNTIF(BB409:BD409,"&lt;&gt;0")=0,INDEX($AO$4:$AY$4,MATCH(1,$AO409:$AY409,0)),"Multiple strategies"))</f>
        <v>Multiple strategies</v>
      </c>
      <c r="BR409" t="s">
        <v>232</v>
      </c>
      <c r="BT409" t="s">
        <v>1018</v>
      </c>
      <c r="BU409">
        <v>73.36</v>
      </c>
      <c r="BV409">
        <v>224.76</v>
      </c>
      <c r="BW409" s="144">
        <f>IFERROR(BV409/BU409,"")</f>
        <v>3.0637949836423117</v>
      </c>
      <c r="BX409">
        <f>BV409-BU409</f>
        <v>151.39999999999998</v>
      </c>
      <c r="BZ409">
        <f>BX409*10^6</f>
        <v>151399999.99999997</v>
      </c>
      <c r="CA409" t="str">
        <f t="shared" si="465"/>
        <v/>
      </c>
      <c r="CB409">
        <v>0</v>
      </c>
      <c r="CC409">
        <v>0</v>
      </c>
      <c r="CD409">
        <v>0</v>
      </c>
      <c r="CE409">
        <v>0</v>
      </c>
      <c r="CF409">
        <v>0</v>
      </c>
      <c r="CG409">
        <v>0</v>
      </c>
      <c r="CH409">
        <v>0</v>
      </c>
      <c r="CI409">
        <v>0</v>
      </c>
      <c r="CJ409">
        <v>0</v>
      </c>
      <c r="CK409">
        <v>0</v>
      </c>
      <c r="CL409">
        <v>0</v>
      </c>
      <c r="CM409">
        <v>0</v>
      </c>
      <c r="CN409">
        <v>0</v>
      </c>
      <c r="CO409">
        <v>0</v>
      </c>
      <c r="CP409" t="str">
        <f t="shared" si="466"/>
        <v>refOK</v>
      </c>
      <c r="CQ409"/>
      <c r="CR409"/>
      <c r="CS409"/>
      <c r="CT409">
        <f t="shared" si="467"/>
        <v>0</v>
      </c>
      <c r="CU409">
        <f t="shared" si="468"/>
        <v>73.36</v>
      </c>
      <c r="CV409">
        <f t="shared" si="469"/>
        <v>224.76</v>
      </c>
      <c r="CW409">
        <f t="shared" si="470"/>
        <v>151399999.99999997</v>
      </c>
      <c r="CX409" t="str">
        <f t="shared" si="471"/>
        <v/>
      </c>
      <c r="CY409" t="str">
        <f t="shared" si="471"/>
        <v/>
      </c>
      <c r="CZ409" t="str">
        <f t="shared" si="472"/>
        <v/>
      </c>
      <c r="DA409" s="2">
        <f t="shared" si="473"/>
        <v>2.0637949836423117</v>
      </c>
      <c r="DB409" s="1" t="s">
        <v>234</v>
      </c>
      <c r="DC409" s="297" t="str">
        <f t="shared" si="474"/>
        <v>loc</v>
      </c>
      <c r="DD409" t="s">
        <v>428</v>
      </c>
      <c r="DE409">
        <v>2008</v>
      </c>
      <c r="DG409">
        <v>0</v>
      </c>
      <c r="DH409" t="str">
        <f t="shared" si="475"/>
        <v>0</v>
      </c>
      <c r="DI409">
        <v>0</v>
      </c>
      <c r="DJ409">
        <v>1</v>
      </c>
      <c r="DK409">
        <v>0</v>
      </c>
      <c r="DL409">
        <v>1</v>
      </c>
      <c r="DN409">
        <f t="shared" si="476"/>
        <v>2</v>
      </c>
      <c r="DO409" t="str">
        <f t="shared" si="477"/>
        <v>mixedProduct</v>
      </c>
      <c r="DP409">
        <f t="shared" si="478"/>
        <v>0</v>
      </c>
      <c r="DQ409" t="str">
        <f t="shared" si="479"/>
        <v>Energy</v>
      </c>
      <c r="DR409">
        <f t="shared" si="480"/>
        <v>0</v>
      </c>
      <c r="DS409" t="str">
        <f t="shared" si="481"/>
        <v>Timber</v>
      </c>
      <c r="DT409">
        <v>0</v>
      </c>
      <c r="DU409">
        <v>1</v>
      </c>
      <c r="DV409" s="288" t="s">
        <v>3837</v>
      </c>
      <c r="DW409">
        <v>0</v>
      </c>
      <c r="DX409" t="s">
        <v>3838</v>
      </c>
      <c r="DY409">
        <f t="shared" si="482"/>
        <v>1</v>
      </c>
      <c r="DZ409" s="143" t="str">
        <f t="shared" si="483"/>
        <v>external DF used</v>
      </c>
      <c r="EA409">
        <v>0</v>
      </c>
      <c r="EB409">
        <v>1</v>
      </c>
      <c r="EC409">
        <v>0</v>
      </c>
      <c r="ED409">
        <v>1</v>
      </c>
      <c r="EE409">
        <v>0</v>
      </c>
      <c r="EF409" s="143">
        <v>0</v>
      </c>
      <c r="EG409">
        <v>1</v>
      </c>
      <c r="EH409">
        <v>1</v>
      </c>
      <c r="EI409">
        <v>0</v>
      </c>
      <c r="EJ409">
        <v>0</v>
      </c>
      <c r="EK409">
        <v>1</v>
      </c>
      <c r="EL409">
        <v>1</v>
      </c>
      <c r="EM409">
        <v>1</v>
      </c>
      <c r="EN409" s="2">
        <v>0</v>
      </c>
      <c r="EP409" t="str">
        <f t="shared" si="484"/>
        <v>Whole sector approach</v>
      </c>
      <c r="EQ409" t="str">
        <f t="shared" si="485"/>
        <v/>
      </c>
      <c r="ER409" s="2" t="str">
        <f t="shared" si="486"/>
        <v/>
      </c>
      <c r="ES409" t="str">
        <f t="shared" si="487"/>
        <v/>
      </c>
      <c r="ET409" t="str">
        <f t="shared" si="488"/>
        <v/>
      </c>
      <c r="EU409" t="str">
        <f t="shared" si="489"/>
        <v/>
      </c>
      <c r="EY409" t="b">
        <f>IF(ISNUMBER(BW409),IF(ABS(BW409-[1]QC_indicators!$B$2)&gt;3*[1]QC_indicators!$C$2,"C ratio",IF(ISNUMBER(CA409),IF(ABS(CA409-[1]QC_indicators!$B$1)&gt;3*[1]QC_indicators!$C$1,"DF","no"))),IF(ISNUMBER(CA409),IF(ABS(CA409-[1]QC_indicators!$B$1)&gt;3*[1]QC_indicators!$C$1,"DF","no")))</f>
        <v>0</v>
      </c>
      <c r="FA409" t="str">
        <f t="shared" si="490"/>
        <v/>
      </c>
    </row>
    <row r="410" spans="1:158" ht="15" hidden="1" customHeight="1">
      <c r="A410" s="1" t="s">
        <v>1016</v>
      </c>
      <c r="B410" t="s">
        <v>3829</v>
      </c>
      <c r="C410" t="s">
        <v>3830</v>
      </c>
      <c r="D410" t="s">
        <v>3831</v>
      </c>
      <c r="E410" t="s">
        <v>3832</v>
      </c>
      <c r="F410" t="s">
        <v>3833</v>
      </c>
      <c r="G410" t="s">
        <v>1017</v>
      </c>
      <c r="H410" t="s">
        <v>254</v>
      </c>
      <c r="I410">
        <v>2019</v>
      </c>
      <c r="J410">
        <v>6</v>
      </c>
      <c r="K410" t="s">
        <v>3834</v>
      </c>
      <c r="M410" t="str">
        <f t="shared" si="456"/>
        <v>She_2019</v>
      </c>
      <c r="N410" s="297" t="s">
        <v>4058</v>
      </c>
      <c r="O410" s="145" t="s">
        <v>341</v>
      </c>
      <c r="Q410" s="297" t="s">
        <v>256</v>
      </c>
      <c r="R410" s="298"/>
      <c r="S410" s="1" t="s">
        <v>3840</v>
      </c>
      <c r="T410" t="s">
        <v>3836</v>
      </c>
      <c r="U410" t="e">
        <f>#REF!</f>
        <v>#REF!</v>
      </c>
      <c r="V410" s="317">
        <v>2</v>
      </c>
      <c r="W410">
        <v>0</v>
      </c>
      <c r="X410">
        <v>2</v>
      </c>
      <c r="Y410">
        <v>1</v>
      </c>
      <c r="Z410">
        <v>0</v>
      </c>
      <c r="AA410">
        <v>0</v>
      </c>
      <c r="AB410">
        <v>0</v>
      </c>
      <c r="AC410">
        <v>0</v>
      </c>
      <c r="AD410">
        <v>0</v>
      </c>
      <c r="AE410">
        <v>0</v>
      </c>
      <c r="AF410">
        <v>0</v>
      </c>
      <c r="AG410">
        <v>0</v>
      </c>
      <c r="AH410">
        <v>2</v>
      </c>
      <c r="AI410">
        <v>0</v>
      </c>
      <c r="AJ410">
        <v>0</v>
      </c>
      <c r="AK410">
        <v>0</v>
      </c>
      <c r="AL410">
        <v>2</v>
      </c>
      <c r="AM410">
        <v>0</v>
      </c>
      <c r="AN410">
        <v>0</v>
      </c>
      <c r="AO410">
        <v>0</v>
      </c>
      <c r="AP410">
        <v>0</v>
      </c>
      <c r="AQ410">
        <v>0</v>
      </c>
      <c r="AR410">
        <v>0</v>
      </c>
      <c r="AS410">
        <v>0</v>
      </c>
      <c r="AT410">
        <v>0</v>
      </c>
      <c r="AU410">
        <v>0</v>
      </c>
      <c r="AV410">
        <v>0</v>
      </c>
      <c r="AW410">
        <v>0</v>
      </c>
      <c r="AX410">
        <v>0</v>
      </c>
      <c r="AY410">
        <v>0</v>
      </c>
      <c r="AZ410" s="141">
        <f t="shared" si="457"/>
        <v>4</v>
      </c>
      <c r="BA410" s="141">
        <f t="shared" si="458"/>
        <v>4</v>
      </c>
      <c r="BB410">
        <f t="shared" si="459"/>
        <v>2</v>
      </c>
      <c r="BC410">
        <f t="shared" si="460"/>
        <v>1</v>
      </c>
      <c r="BD410">
        <f t="shared" si="461"/>
        <v>1</v>
      </c>
      <c r="BE410">
        <f t="shared" si="462"/>
        <v>0</v>
      </c>
      <c r="BF410">
        <f t="shared" si="463"/>
        <v>0</v>
      </c>
      <c r="BG410" t="str" cm="1">
        <f t="array" ref="BG410">IF(BA410=1,INDEX($X$7:$AN$7,MATCH(TRUE,INDEX($X410:$AY410&lt;&gt;0,),0)),IF(BA410=0,INDEX($AO$7:$AY$7,MATCH(1,$AO410:$AY410,0)),IF(BH410="Multiple strategies","mixed drivers",IF(BH410="Supply chain","multiple supply","multiple silviculture"))))</f>
        <v>mixed drivers</v>
      </c>
      <c r="BH410" s="2" t="str" cm="1">
        <f t="array" ref="BH410">IF(COUNTIF(BB410:BD410,"&lt;&gt;0")=1,INDEX($X$4:$AY$4,MATCH(TRUE,INDEX($X410:$AY410&lt;&gt;0,),0)),IF(COUNTIF(BB410:BD410,"&lt;&gt;0")=0,INDEX($AO$4:$AY$4,MATCH(1,$AO410:$AY410,0)),"Multiple strategies"))</f>
        <v>Multiple strategies</v>
      </c>
      <c r="BR410" t="s">
        <v>232</v>
      </c>
      <c r="BT410" t="s">
        <v>1018</v>
      </c>
      <c r="BU410">
        <v>73.36</v>
      </c>
      <c r="BV410">
        <v>224.76</v>
      </c>
      <c r="BW410" s="144">
        <f>IFERROR(BV410/BU410,"")</f>
        <v>3.0637949836423117</v>
      </c>
      <c r="BX410">
        <f>BV410-BU410</f>
        <v>151.39999999999998</v>
      </c>
      <c r="BZ410">
        <f>BX410*10^6</f>
        <v>151399999.99999997</v>
      </c>
      <c r="CA410" t="str">
        <f t="shared" si="465"/>
        <v/>
      </c>
      <c r="CB410">
        <v>0</v>
      </c>
      <c r="CC410">
        <v>0</v>
      </c>
      <c r="CD410">
        <v>0</v>
      </c>
      <c r="CE410">
        <v>0</v>
      </c>
      <c r="CF410">
        <v>0</v>
      </c>
      <c r="CG410">
        <v>0</v>
      </c>
      <c r="CH410">
        <v>0</v>
      </c>
      <c r="CI410">
        <v>0</v>
      </c>
      <c r="CJ410">
        <v>0</v>
      </c>
      <c r="CK410">
        <v>0</v>
      </c>
      <c r="CL410">
        <v>0</v>
      </c>
      <c r="CM410">
        <v>0</v>
      </c>
      <c r="CN410">
        <v>0</v>
      </c>
      <c r="CO410">
        <v>0</v>
      </c>
      <c r="CP410" t="str">
        <f t="shared" si="466"/>
        <v>refOK</v>
      </c>
      <c r="CQ410"/>
      <c r="CR410"/>
      <c r="CS410"/>
      <c r="CT410">
        <f t="shared" si="467"/>
        <v>0</v>
      </c>
      <c r="CU410">
        <f t="shared" si="468"/>
        <v>73.36</v>
      </c>
      <c r="CV410">
        <f t="shared" si="469"/>
        <v>224.76</v>
      </c>
      <c r="CW410">
        <f t="shared" si="470"/>
        <v>151399999.99999997</v>
      </c>
      <c r="CX410" t="str">
        <f t="shared" si="471"/>
        <v/>
      </c>
      <c r="CY410" t="str">
        <f t="shared" si="471"/>
        <v/>
      </c>
      <c r="CZ410" t="str">
        <f t="shared" si="472"/>
        <v/>
      </c>
      <c r="DA410" s="2">
        <f t="shared" si="473"/>
        <v>2.0637949836423117</v>
      </c>
      <c r="DB410" s="1" t="s">
        <v>234</v>
      </c>
      <c r="DC410" s="297" t="str">
        <f t="shared" si="474"/>
        <v>loc</v>
      </c>
      <c r="DD410" t="s">
        <v>428</v>
      </c>
      <c r="DE410">
        <v>2008</v>
      </c>
      <c r="DG410">
        <v>0</v>
      </c>
      <c r="DH410" t="str">
        <f t="shared" si="475"/>
        <v>0</v>
      </c>
      <c r="DI410">
        <v>0</v>
      </c>
      <c r="DJ410">
        <v>1</v>
      </c>
      <c r="DK410">
        <v>0</v>
      </c>
      <c r="DL410">
        <v>1</v>
      </c>
      <c r="DN410">
        <f t="shared" si="476"/>
        <v>2</v>
      </c>
      <c r="DO410" t="str">
        <f t="shared" si="477"/>
        <v>mixedProduct</v>
      </c>
      <c r="DP410">
        <f t="shared" si="478"/>
        <v>0</v>
      </c>
      <c r="DQ410" t="str">
        <f t="shared" si="479"/>
        <v>Energy</v>
      </c>
      <c r="DR410">
        <f t="shared" si="480"/>
        <v>0</v>
      </c>
      <c r="DS410" t="str">
        <f t="shared" si="481"/>
        <v>Timber</v>
      </c>
      <c r="DT410">
        <v>0</v>
      </c>
      <c r="DU410">
        <v>1</v>
      </c>
      <c r="DV410" s="288" t="s">
        <v>3837</v>
      </c>
      <c r="DW410">
        <v>0</v>
      </c>
      <c r="DX410" t="s">
        <v>3838</v>
      </c>
      <c r="DY410">
        <f t="shared" si="482"/>
        <v>1</v>
      </c>
      <c r="DZ410" s="143" t="str">
        <f t="shared" si="483"/>
        <v>external DF used</v>
      </c>
      <c r="EA410">
        <v>0</v>
      </c>
      <c r="EB410">
        <v>1</v>
      </c>
      <c r="EC410">
        <v>0</v>
      </c>
      <c r="ED410">
        <v>1</v>
      </c>
      <c r="EE410">
        <v>0</v>
      </c>
      <c r="EF410" s="143">
        <v>0</v>
      </c>
      <c r="EG410">
        <v>1</v>
      </c>
      <c r="EH410">
        <v>1</v>
      </c>
      <c r="EI410">
        <v>0</v>
      </c>
      <c r="EJ410">
        <v>0</v>
      </c>
      <c r="EK410">
        <v>1</v>
      </c>
      <c r="EL410">
        <v>1</v>
      </c>
      <c r="EM410">
        <v>1</v>
      </c>
      <c r="EN410" s="2">
        <v>0</v>
      </c>
      <c r="EP410" t="str">
        <f t="shared" si="484"/>
        <v>Whole sector approach</v>
      </c>
      <c r="EQ410" t="str">
        <f t="shared" si="485"/>
        <v/>
      </c>
      <c r="ER410" s="2" t="str">
        <f t="shared" si="486"/>
        <v/>
      </c>
      <c r="ES410" t="str">
        <f t="shared" si="487"/>
        <v/>
      </c>
      <c r="ET410" t="str">
        <f t="shared" si="488"/>
        <v/>
      </c>
      <c r="EU410" t="str">
        <f t="shared" si="489"/>
        <v/>
      </c>
      <c r="EY410" t="b">
        <f>IF(ISNUMBER(BW410),IF(ABS(BW410-[1]QC_indicators!$B$2)&gt;3*[1]QC_indicators!$C$2,"C ratio",IF(ISNUMBER(CA410),IF(ABS(CA410-[1]QC_indicators!$B$1)&gt;3*[1]QC_indicators!$C$1,"DF","no"))),IF(ISNUMBER(CA410),IF(ABS(CA410-[1]QC_indicators!$B$1)&gt;3*[1]QC_indicators!$C$1,"DF","no")))</f>
        <v>0</v>
      </c>
      <c r="FA410" t="str">
        <f t="shared" si="490"/>
        <v/>
      </c>
      <c r="FB410" t="s">
        <v>3841</v>
      </c>
    </row>
    <row r="411" spans="1:158" ht="15" hidden="1" customHeight="1">
      <c r="A411" s="1" t="s">
        <v>1016</v>
      </c>
      <c r="B411" t="s">
        <v>3829</v>
      </c>
      <c r="C411" t="s">
        <v>3830</v>
      </c>
      <c r="D411" t="s">
        <v>3831</v>
      </c>
      <c r="E411" t="s">
        <v>3832</v>
      </c>
      <c r="F411" t="s">
        <v>3833</v>
      </c>
      <c r="G411" t="s">
        <v>1017</v>
      </c>
      <c r="H411" t="s">
        <v>254</v>
      </c>
      <c r="I411">
        <v>2019</v>
      </c>
      <c r="J411">
        <v>6</v>
      </c>
      <c r="K411" t="s">
        <v>3834</v>
      </c>
      <c r="M411" t="str">
        <f t="shared" si="456"/>
        <v>She_2019</v>
      </c>
      <c r="N411" s="297" t="s">
        <v>4058</v>
      </c>
      <c r="O411" s="145" t="s">
        <v>341</v>
      </c>
      <c r="Q411" s="297" t="s">
        <v>256</v>
      </c>
      <c r="R411" s="298"/>
      <c r="S411" s="1" t="s">
        <v>3835</v>
      </c>
      <c r="T411" t="s">
        <v>3836</v>
      </c>
      <c r="U411" t="e">
        <f>#REF!</f>
        <v>#REF!</v>
      </c>
      <c r="V411" s="317">
        <v>2</v>
      </c>
      <c r="W411">
        <v>0</v>
      </c>
      <c r="X411">
        <v>2</v>
      </c>
      <c r="Y411">
        <v>1</v>
      </c>
      <c r="Z411">
        <v>0</v>
      </c>
      <c r="AA411">
        <v>0</v>
      </c>
      <c r="AB411">
        <v>0</v>
      </c>
      <c r="AC411">
        <v>0</v>
      </c>
      <c r="AD411">
        <v>0</v>
      </c>
      <c r="AE411">
        <v>0</v>
      </c>
      <c r="AF411">
        <v>0</v>
      </c>
      <c r="AG411">
        <v>0</v>
      </c>
      <c r="AH411">
        <v>2</v>
      </c>
      <c r="AI411">
        <v>0</v>
      </c>
      <c r="AJ411">
        <v>0</v>
      </c>
      <c r="AK411">
        <v>0</v>
      </c>
      <c r="AL411">
        <v>2</v>
      </c>
      <c r="AM411">
        <v>0</v>
      </c>
      <c r="AN411">
        <v>0</v>
      </c>
      <c r="AO411">
        <v>0</v>
      </c>
      <c r="AP411">
        <v>0</v>
      </c>
      <c r="AQ411">
        <v>0</v>
      </c>
      <c r="AR411">
        <v>0</v>
      </c>
      <c r="AS411">
        <v>0</v>
      </c>
      <c r="AT411">
        <v>0</v>
      </c>
      <c r="AU411">
        <v>0</v>
      </c>
      <c r="AV411">
        <v>0</v>
      </c>
      <c r="AW411">
        <v>0</v>
      </c>
      <c r="AX411">
        <v>0</v>
      </c>
      <c r="AY411">
        <v>0</v>
      </c>
      <c r="AZ411" s="141">
        <f t="shared" si="457"/>
        <v>4</v>
      </c>
      <c r="BA411" s="141">
        <f t="shared" si="458"/>
        <v>4</v>
      </c>
      <c r="BB411">
        <f t="shared" si="459"/>
        <v>2</v>
      </c>
      <c r="BC411">
        <f t="shared" si="460"/>
        <v>1</v>
      </c>
      <c r="BD411">
        <f t="shared" si="461"/>
        <v>1</v>
      </c>
      <c r="BE411">
        <f t="shared" si="462"/>
        <v>0</v>
      </c>
      <c r="BF411">
        <f t="shared" si="463"/>
        <v>0</v>
      </c>
      <c r="BG411" t="str" cm="1">
        <f t="array" ref="BG411">IF(BA411=1,INDEX($X$7:$AN$7,MATCH(TRUE,INDEX($X411:$AY411&lt;&gt;0,),0)),IF(BA411=0,INDEX($AO$7:$AY$7,MATCH(1,$AO411:$AY411,0)),IF(BH411="Multiple strategies","mixed drivers",IF(BH411="Supply chain","multiple supply","multiple silviculture"))))</f>
        <v>mixed drivers</v>
      </c>
      <c r="BH411" s="2" t="str" cm="1">
        <f t="array" ref="BH411">IF(COUNTIF(BB411:BD411,"&lt;&gt;0")=1,INDEX($X$4:$AY$4,MATCH(TRUE,INDEX($X411:$AY411&lt;&gt;0,),0)),IF(COUNTIF(BB411:BD411,"&lt;&gt;0")=0,INDEX($AO$4:$AY$4,MATCH(1,$AO411:$AY411,0)),"Multiple strategies"))</f>
        <v>Multiple strategies</v>
      </c>
      <c r="BR411" t="s">
        <v>232</v>
      </c>
      <c r="BT411" t="s">
        <v>1018</v>
      </c>
      <c r="BU411">
        <v>73.36</v>
      </c>
      <c r="BV411">
        <v>266.5</v>
      </c>
      <c r="BW411" s="144">
        <f>IFERROR(BV411/BU411,"")</f>
        <v>3.6327699018538713</v>
      </c>
      <c r="BX411">
        <f>BV411-BU411</f>
        <v>193.14</v>
      </c>
      <c r="BZ411">
        <f>BX411*10^6</f>
        <v>193140000</v>
      </c>
      <c r="CA411" t="str">
        <f t="shared" si="465"/>
        <v/>
      </c>
      <c r="CB411">
        <v>0</v>
      </c>
      <c r="CC411">
        <v>0</v>
      </c>
      <c r="CD411">
        <v>0</v>
      </c>
      <c r="CE411">
        <v>0</v>
      </c>
      <c r="CF411">
        <v>0</v>
      </c>
      <c r="CG411">
        <v>0</v>
      </c>
      <c r="CH411">
        <v>0</v>
      </c>
      <c r="CI411">
        <v>0</v>
      </c>
      <c r="CJ411">
        <v>0</v>
      </c>
      <c r="CK411">
        <v>0</v>
      </c>
      <c r="CL411">
        <v>0</v>
      </c>
      <c r="CM411">
        <v>0</v>
      </c>
      <c r="CN411">
        <v>0</v>
      </c>
      <c r="CO411">
        <v>0</v>
      </c>
      <c r="CP411" t="str">
        <f t="shared" si="466"/>
        <v>refOK</v>
      </c>
      <c r="CQ411"/>
      <c r="CR411"/>
      <c r="CS411"/>
      <c r="CT411">
        <f t="shared" si="467"/>
        <v>0</v>
      </c>
      <c r="CU411">
        <f t="shared" si="468"/>
        <v>73.36</v>
      </c>
      <c r="CV411">
        <f t="shared" si="469"/>
        <v>266.5</v>
      </c>
      <c r="CW411">
        <f t="shared" si="470"/>
        <v>193140000</v>
      </c>
      <c r="CX411" t="str">
        <f t="shared" si="471"/>
        <v/>
      </c>
      <c r="CY411" t="str">
        <f t="shared" si="471"/>
        <v/>
      </c>
      <c r="CZ411" t="str">
        <f t="shared" si="472"/>
        <v/>
      </c>
      <c r="DA411" s="2">
        <f t="shared" si="473"/>
        <v>2.6327699018538713</v>
      </c>
      <c r="DB411" s="1" t="s">
        <v>234</v>
      </c>
      <c r="DC411" s="297" t="str">
        <f t="shared" si="474"/>
        <v>loc</v>
      </c>
      <c r="DD411" t="s">
        <v>428</v>
      </c>
      <c r="DE411">
        <v>2008</v>
      </c>
      <c r="DG411">
        <v>0</v>
      </c>
      <c r="DH411" t="str">
        <f t="shared" si="475"/>
        <v>0</v>
      </c>
      <c r="DI411">
        <v>0</v>
      </c>
      <c r="DJ411">
        <v>1</v>
      </c>
      <c r="DK411">
        <v>0</v>
      </c>
      <c r="DL411">
        <v>1</v>
      </c>
      <c r="DN411">
        <f t="shared" si="476"/>
        <v>2</v>
      </c>
      <c r="DO411" t="str">
        <f t="shared" si="477"/>
        <v>mixedProduct</v>
      </c>
      <c r="DP411">
        <f t="shared" si="478"/>
        <v>0</v>
      </c>
      <c r="DQ411" t="str">
        <f t="shared" si="479"/>
        <v>Energy</v>
      </c>
      <c r="DR411">
        <f t="shared" si="480"/>
        <v>0</v>
      </c>
      <c r="DS411" t="str">
        <f t="shared" si="481"/>
        <v>Timber</v>
      </c>
      <c r="DT411">
        <v>0</v>
      </c>
      <c r="DU411">
        <v>1</v>
      </c>
      <c r="DV411" s="288" t="s">
        <v>3837</v>
      </c>
      <c r="DW411">
        <v>0</v>
      </c>
      <c r="DX411" t="s">
        <v>3838</v>
      </c>
      <c r="DY411">
        <f t="shared" si="482"/>
        <v>1</v>
      </c>
      <c r="DZ411" s="143" t="str">
        <f t="shared" si="483"/>
        <v>external DF used</v>
      </c>
      <c r="EA411">
        <v>0</v>
      </c>
      <c r="EB411">
        <v>1</v>
      </c>
      <c r="EC411">
        <v>0</v>
      </c>
      <c r="ED411">
        <v>1</v>
      </c>
      <c r="EE411">
        <v>0</v>
      </c>
      <c r="EF411" s="143">
        <v>0</v>
      </c>
      <c r="EG411">
        <v>1</v>
      </c>
      <c r="EH411">
        <v>1</v>
      </c>
      <c r="EI411">
        <v>0</v>
      </c>
      <c r="EJ411">
        <v>0</v>
      </c>
      <c r="EK411">
        <v>1</v>
      </c>
      <c r="EL411">
        <v>1</v>
      </c>
      <c r="EM411">
        <v>1</v>
      </c>
      <c r="EN411" s="2">
        <v>0</v>
      </c>
      <c r="EP411" t="str">
        <f t="shared" si="484"/>
        <v>Whole sector approach</v>
      </c>
      <c r="EQ411" t="str">
        <f t="shared" si="485"/>
        <v/>
      </c>
      <c r="ER411" s="2" t="str">
        <f t="shared" si="486"/>
        <v/>
      </c>
      <c r="ES411" t="str">
        <f t="shared" si="487"/>
        <v/>
      </c>
      <c r="ET411" t="str">
        <f t="shared" si="488"/>
        <v/>
      </c>
      <c r="EU411" t="str">
        <f t="shared" si="489"/>
        <v/>
      </c>
      <c r="EY411" t="b">
        <f>IF(ISNUMBER(BW411),IF(ABS(BW411-[1]QC_indicators!$B$2)&gt;3*[1]QC_indicators!$C$2,"C ratio",IF(ISNUMBER(CA411),IF(ABS(CA411-[1]QC_indicators!$B$1)&gt;3*[1]QC_indicators!$C$1,"DF","no"))),IF(ISNUMBER(CA411),IF(ABS(CA411-[1]QC_indicators!$B$1)&gt;3*[1]QC_indicators!$C$1,"DF","no")))</f>
        <v>0</v>
      </c>
      <c r="FA411" t="str">
        <f t="shared" si="490"/>
        <v/>
      </c>
    </row>
    <row r="412" spans="1:158" ht="15" hidden="1" customHeight="1">
      <c r="D412" t="s">
        <v>3845</v>
      </c>
      <c r="E412" t="s">
        <v>3846</v>
      </c>
      <c r="G412" t="s">
        <v>3239</v>
      </c>
      <c r="I412">
        <v>2018</v>
      </c>
      <c r="K412" t="s">
        <v>3847</v>
      </c>
      <c r="M412" t="str">
        <f t="shared" si="456"/>
        <v>Smyth_2018</v>
      </c>
      <c r="N412" s="297" t="s">
        <v>4058</v>
      </c>
      <c r="O412" s="145" t="s">
        <v>225</v>
      </c>
      <c r="Q412" s="297" t="s">
        <v>256</v>
      </c>
      <c r="R412" s="298"/>
      <c r="S412" s="1" t="s">
        <v>2040</v>
      </c>
      <c r="X412" s="143">
        <v>1</v>
      </c>
      <c r="Y412" s="143">
        <v>0</v>
      </c>
      <c r="Z412" s="143">
        <v>0</v>
      </c>
      <c r="AA412" s="143">
        <v>0</v>
      </c>
      <c r="AB412" s="143">
        <v>0</v>
      </c>
      <c r="AC412" s="143">
        <v>0</v>
      </c>
      <c r="AD412" s="143">
        <v>0</v>
      </c>
      <c r="AE412" s="143">
        <v>0</v>
      </c>
      <c r="AF412" s="143">
        <v>0</v>
      </c>
      <c r="AG412" s="143">
        <v>0</v>
      </c>
      <c r="AH412" s="143">
        <v>0</v>
      </c>
      <c r="AI412" s="143">
        <v>0</v>
      </c>
      <c r="AJ412" s="143">
        <v>0</v>
      </c>
      <c r="AK412" s="143">
        <v>0</v>
      </c>
      <c r="AL412" s="143">
        <v>0</v>
      </c>
      <c r="AM412" s="143">
        <v>0</v>
      </c>
      <c r="AN412" s="143">
        <v>0</v>
      </c>
      <c r="AO412" s="143">
        <v>0</v>
      </c>
      <c r="AP412" s="143">
        <v>0</v>
      </c>
      <c r="AQ412" s="143">
        <v>0</v>
      </c>
      <c r="AR412" s="143">
        <v>0</v>
      </c>
      <c r="AS412" s="143">
        <v>0</v>
      </c>
      <c r="AT412" s="143">
        <v>0</v>
      </c>
      <c r="AU412" s="143">
        <v>0</v>
      </c>
      <c r="AV412" s="143">
        <v>0</v>
      </c>
      <c r="AW412" s="143">
        <v>0</v>
      </c>
      <c r="AX412" s="143">
        <v>0</v>
      </c>
      <c r="AY412" s="143">
        <v>0</v>
      </c>
      <c r="AZ412" s="141">
        <f t="shared" si="457"/>
        <v>1</v>
      </c>
      <c r="BA412" s="141">
        <f t="shared" si="458"/>
        <v>1</v>
      </c>
      <c r="BB412">
        <f t="shared" si="459"/>
        <v>1</v>
      </c>
      <c r="BC412">
        <f t="shared" si="460"/>
        <v>0</v>
      </c>
      <c r="BD412">
        <f t="shared" si="461"/>
        <v>0</v>
      </c>
      <c r="BE412">
        <f t="shared" si="462"/>
        <v>0</v>
      </c>
      <c r="BF412">
        <f t="shared" si="463"/>
        <v>0</v>
      </c>
      <c r="BG412" t="str" cm="1">
        <f t="array" ref="BG412">IF(BA412=1,INDEX($X$7:$AN$7,MATCH(TRUE,INDEX($X412:$AY412&lt;&gt;0,),0)),IF(BA412=0,INDEX($AO$7:$AY$7,MATCH(1,$AO412:$AY412,0)),IF(BH412="Multiple strategies","mixed drivers",IF(BH412="Supply chain","multiple supply","multiple silviculture"))))</f>
        <v>area subject to harvest</v>
      </c>
      <c r="BH412" s="2" t="str" cm="1">
        <f t="array" ref="BH412">IF(COUNTIF(BB412:BD412,"&lt;&gt;0")=1,INDEX($X$4:$AY$4,MATCH(TRUE,INDEX($X412:$AY412&lt;&gt;0,),0)),IF(COUNTIF(BB412:BD412,"&lt;&gt;0")=0,INDEX($AO$4:$AY$4,MATCH(1,$AO412:$AY412,0)),"Multiple strategies"))</f>
        <v>Silviculture for removals</v>
      </c>
      <c r="BI412" s="1" t="s">
        <v>321</v>
      </c>
      <c r="BR412" s="297" t="s">
        <v>232</v>
      </c>
      <c r="BS412" s="297"/>
      <c r="BT412" t="s">
        <v>3848</v>
      </c>
      <c r="BW412" s="144"/>
      <c r="BX412">
        <v>42</v>
      </c>
      <c r="CA412" t="str">
        <f t="shared" si="465"/>
        <v/>
      </c>
      <c r="CB412" s="143">
        <v>0</v>
      </c>
      <c r="CC412" s="143">
        <v>0</v>
      </c>
      <c r="CD412" s="143">
        <v>0</v>
      </c>
      <c r="CE412" s="143">
        <v>0</v>
      </c>
      <c r="CF412" s="143">
        <v>0</v>
      </c>
      <c r="CG412" s="143">
        <v>0</v>
      </c>
      <c r="CH412" s="143">
        <v>0</v>
      </c>
      <c r="CI412" s="143">
        <v>0</v>
      </c>
      <c r="CJ412" s="143">
        <v>0</v>
      </c>
      <c r="CK412" s="143">
        <v>0</v>
      </c>
      <c r="CL412" s="143">
        <v>0</v>
      </c>
      <c r="CM412" s="143">
        <v>0</v>
      </c>
      <c r="CN412" s="143">
        <v>0</v>
      </c>
      <c r="CO412" s="143">
        <v>0</v>
      </c>
      <c r="CP412" t="str">
        <f t="shared" si="466"/>
        <v>refOK</v>
      </c>
      <c r="CQ412"/>
      <c r="CR412"/>
      <c r="CS412"/>
      <c r="CT412">
        <f t="shared" si="467"/>
        <v>0</v>
      </c>
      <c r="CU412"/>
      <c r="CV412"/>
      <c r="CW412">
        <f t="shared" si="470"/>
        <v>0</v>
      </c>
      <c r="CX412" t="str">
        <f t="shared" si="471"/>
        <v/>
      </c>
      <c r="CY412" t="str">
        <f t="shared" si="471"/>
        <v/>
      </c>
      <c r="CZ412" t="str">
        <f t="shared" si="472"/>
        <v/>
      </c>
      <c r="DA412" s="2" t="str">
        <f t="shared" si="473"/>
        <v/>
      </c>
      <c r="DB412" s="1" t="s">
        <v>1074</v>
      </c>
      <c r="DC412" s="297" t="str">
        <f t="shared" si="474"/>
        <v>reg</v>
      </c>
      <c r="DD412" t="s">
        <v>527</v>
      </c>
      <c r="DE412">
        <v>2018</v>
      </c>
      <c r="DF412">
        <v>2050</v>
      </c>
      <c r="DG412">
        <f t="shared" ref="DG412:DG420" si="491">DF412-DE412</f>
        <v>32</v>
      </c>
      <c r="DH412" t="str">
        <f t="shared" si="475"/>
        <v>31-70</v>
      </c>
      <c r="DI412">
        <v>1</v>
      </c>
      <c r="DJ412">
        <v>1</v>
      </c>
      <c r="DK412">
        <v>1</v>
      </c>
      <c r="DL412">
        <v>1</v>
      </c>
      <c r="DN412">
        <f t="shared" si="476"/>
        <v>4</v>
      </c>
      <c r="DO412" t="str">
        <f t="shared" si="477"/>
        <v>mixedProduct</v>
      </c>
      <c r="DP412" t="str">
        <f t="shared" si="478"/>
        <v>Upstream</v>
      </c>
      <c r="DQ412" t="str">
        <f t="shared" si="479"/>
        <v>Energy</v>
      </c>
      <c r="DR412" t="str">
        <f t="shared" si="480"/>
        <v>Pulp/Paper</v>
      </c>
      <c r="DS412" t="str">
        <f t="shared" si="481"/>
        <v>Timber</v>
      </c>
      <c r="DT412">
        <v>1</v>
      </c>
      <c r="DU412" s="143">
        <v>0</v>
      </c>
      <c r="DV412">
        <v>0</v>
      </c>
      <c r="DW412">
        <v>0</v>
      </c>
      <c r="DX412">
        <v>0</v>
      </c>
      <c r="DY412">
        <f t="shared" si="482"/>
        <v>1</v>
      </c>
      <c r="DZ412" s="143" t="str">
        <f t="shared" si="483"/>
        <v>self-calculated DF</v>
      </c>
      <c r="EA412" s="143">
        <v>1</v>
      </c>
      <c r="EB412" s="143">
        <v>1</v>
      </c>
      <c r="EC412" s="143">
        <v>1</v>
      </c>
      <c r="ED412" s="143">
        <v>1</v>
      </c>
      <c r="EE412" s="143">
        <v>1</v>
      </c>
      <c r="EF412" s="143">
        <v>1</v>
      </c>
      <c r="EG412" s="143">
        <v>0</v>
      </c>
      <c r="EH412" s="143">
        <v>0</v>
      </c>
      <c r="EI412" s="143">
        <v>0</v>
      </c>
      <c r="EJ412" s="143">
        <v>0</v>
      </c>
      <c r="EK412" s="143">
        <v>0</v>
      </c>
      <c r="EL412" s="143">
        <v>0</v>
      </c>
      <c r="EM412" s="143">
        <v>0</v>
      </c>
      <c r="EN412" s="192">
        <v>0</v>
      </c>
      <c r="EP412" t="str">
        <f t="shared" si="484"/>
        <v/>
      </c>
      <c r="EQ412" t="str">
        <f t="shared" si="485"/>
        <v/>
      </c>
      <c r="ER412" s="2" t="str">
        <f t="shared" si="486"/>
        <v/>
      </c>
      <c r="ES412" t="str">
        <f t="shared" si="487"/>
        <v/>
      </c>
      <c r="ET412" t="str">
        <f t="shared" si="488"/>
        <v/>
      </c>
      <c r="EU412" t="str">
        <f t="shared" si="489"/>
        <v/>
      </c>
      <c r="EY412" t="b">
        <f>IF(ISNUMBER(BW412),IF(ABS(BW412-[1]QC_indicators!$B$2)&gt;3*[1]QC_indicators!$C$2,"C ratio",IF(ISNUMBER(CA412),IF(ABS(CA412-[1]QC_indicators!$B$1)&gt;3*[1]QC_indicators!$C$1,"DF","no"))),IF(ISNUMBER(CA412),IF(ABS(CA412-[1]QC_indicators!$B$1)&gt;3*[1]QC_indicators!$C$1,"DF","no")))</f>
        <v>0</v>
      </c>
      <c r="FA412" t="str">
        <f t="shared" si="490"/>
        <v/>
      </c>
      <c r="FB412" s="299" t="s">
        <v>349</v>
      </c>
    </row>
    <row r="413" spans="1:158" ht="15" hidden="1" customHeight="1">
      <c r="D413" t="s">
        <v>3845</v>
      </c>
      <c r="E413" t="s">
        <v>3846</v>
      </c>
      <c r="G413" t="s">
        <v>3239</v>
      </c>
      <c r="I413">
        <v>2018</v>
      </c>
      <c r="K413" t="s">
        <v>3847</v>
      </c>
      <c r="M413" t="str">
        <f t="shared" si="456"/>
        <v>Smyth_2018</v>
      </c>
      <c r="N413" s="297" t="s">
        <v>4058</v>
      </c>
      <c r="O413" s="145" t="s">
        <v>225</v>
      </c>
      <c r="Q413" s="297" t="s">
        <v>256</v>
      </c>
      <c r="R413" s="298"/>
      <c r="S413" s="1" t="s">
        <v>2040</v>
      </c>
      <c r="X413" s="143">
        <v>1</v>
      </c>
      <c r="Y413" s="143">
        <v>0</v>
      </c>
      <c r="Z413" s="143">
        <v>0</v>
      </c>
      <c r="AA413" s="143">
        <v>0</v>
      </c>
      <c r="AB413" s="143">
        <v>0</v>
      </c>
      <c r="AC413" s="143">
        <v>0</v>
      </c>
      <c r="AD413" s="143">
        <v>0</v>
      </c>
      <c r="AE413" s="143">
        <v>0</v>
      </c>
      <c r="AF413" s="143">
        <v>0</v>
      </c>
      <c r="AG413" s="143">
        <v>0</v>
      </c>
      <c r="AH413" s="143">
        <v>0</v>
      </c>
      <c r="AI413" s="143">
        <v>0</v>
      </c>
      <c r="AJ413" s="143">
        <v>0</v>
      </c>
      <c r="AK413" s="143">
        <v>0</v>
      </c>
      <c r="AL413" s="143">
        <v>0</v>
      </c>
      <c r="AM413" s="143">
        <v>0</v>
      </c>
      <c r="AN413" s="143">
        <v>0</v>
      </c>
      <c r="AO413" s="143">
        <v>0</v>
      </c>
      <c r="AP413" s="143">
        <v>0</v>
      </c>
      <c r="AQ413" s="143">
        <v>0</v>
      </c>
      <c r="AR413" s="143">
        <v>0</v>
      </c>
      <c r="AS413" s="143">
        <v>0</v>
      </c>
      <c r="AT413" s="143">
        <v>0</v>
      </c>
      <c r="AU413" s="143">
        <v>0</v>
      </c>
      <c r="AV413" s="143">
        <v>0</v>
      </c>
      <c r="AW413" s="143">
        <v>0</v>
      </c>
      <c r="AX413" s="143">
        <v>0</v>
      </c>
      <c r="AY413" s="143">
        <v>0</v>
      </c>
      <c r="AZ413" s="141">
        <f t="shared" si="457"/>
        <v>1</v>
      </c>
      <c r="BA413" s="141">
        <f t="shared" si="458"/>
        <v>1</v>
      </c>
      <c r="BB413">
        <f t="shared" si="459"/>
        <v>1</v>
      </c>
      <c r="BC413">
        <f t="shared" si="460"/>
        <v>0</v>
      </c>
      <c r="BD413">
        <f t="shared" si="461"/>
        <v>0</v>
      </c>
      <c r="BE413">
        <f t="shared" si="462"/>
        <v>0</v>
      </c>
      <c r="BF413">
        <f t="shared" si="463"/>
        <v>0</v>
      </c>
      <c r="BG413" t="str" cm="1">
        <f t="array" ref="BG413">IF(BA413=1,INDEX($X$7:$AN$7,MATCH(TRUE,INDEX($X413:$AY413&lt;&gt;0,),0)),IF(BA413=0,INDEX($AO$7:$AY$7,MATCH(1,$AO413:$AY413,0)),IF(BH413="Multiple strategies","mixed drivers",IF(BH413="Supply chain","multiple supply","multiple silviculture"))))</f>
        <v>area subject to harvest</v>
      </c>
      <c r="BH413" s="2" t="str" cm="1">
        <f t="array" ref="BH413">IF(COUNTIF(BB413:BD413,"&lt;&gt;0")=1,INDEX($X$4:$AY$4,MATCH(TRUE,INDEX($X413:$AY413&lt;&gt;0,),0)),IF(COUNTIF(BB413:BD413,"&lt;&gt;0")=0,INDEX($AO$4:$AY$4,MATCH(1,$AO413:$AY413,0)),"Multiple strategies"))</f>
        <v>Silviculture for removals</v>
      </c>
      <c r="BI413" s="1" t="s">
        <v>321</v>
      </c>
      <c r="BR413" s="297" t="s">
        <v>232</v>
      </c>
      <c r="BS413" s="297"/>
      <c r="BT413" t="s">
        <v>3848</v>
      </c>
      <c r="BW413" s="144"/>
      <c r="BX413">
        <v>5</v>
      </c>
      <c r="CA413" t="str">
        <f t="shared" si="465"/>
        <v/>
      </c>
      <c r="CB413" s="143">
        <v>0</v>
      </c>
      <c r="CC413" s="143">
        <v>0</v>
      </c>
      <c r="CD413" s="143">
        <v>0</v>
      </c>
      <c r="CE413" s="143">
        <v>0</v>
      </c>
      <c r="CF413" s="143">
        <v>0</v>
      </c>
      <c r="CG413" s="143">
        <v>0</v>
      </c>
      <c r="CH413" s="143">
        <v>0</v>
      </c>
      <c r="CI413" s="143">
        <v>0</v>
      </c>
      <c r="CJ413" s="143">
        <v>0</v>
      </c>
      <c r="CK413" s="143">
        <v>0</v>
      </c>
      <c r="CL413" s="143">
        <v>0</v>
      </c>
      <c r="CM413" s="143">
        <v>0</v>
      </c>
      <c r="CN413" s="143">
        <v>0</v>
      </c>
      <c r="CO413" s="143">
        <v>0</v>
      </c>
      <c r="CP413" t="str">
        <f t="shared" si="466"/>
        <v>refOK</v>
      </c>
      <c r="CQ413"/>
      <c r="CR413"/>
      <c r="CS413"/>
      <c r="CT413">
        <f t="shared" si="467"/>
        <v>0</v>
      </c>
      <c r="CU413"/>
      <c r="CV413"/>
      <c r="CW413">
        <f t="shared" si="470"/>
        <v>0</v>
      </c>
      <c r="CX413" t="str">
        <f t="shared" si="471"/>
        <v/>
      </c>
      <c r="CY413" t="str">
        <f t="shared" si="471"/>
        <v/>
      </c>
      <c r="CZ413" t="str">
        <f t="shared" si="472"/>
        <v/>
      </c>
      <c r="DA413" s="2" t="str">
        <f t="shared" si="473"/>
        <v/>
      </c>
      <c r="DB413" s="1" t="s">
        <v>1074</v>
      </c>
      <c r="DC413" s="297" t="str">
        <f t="shared" si="474"/>
        <v>reg</v>
      </c>
      <c r="DD413" t="s">
        <v>527</v>
      </c>
      <c r="DE413">
        <v>2018</v>
      </c>
      <c r="DF413">
        <v>2050</v>
      </c>
      <c r="DG413">
        <f t="shared" si="491"/>
        <v>32</v>
      </c>
      <c r="DH413" t="str">
        <f t="shared" si="475"/>
        <v>31-70</v>
      </c>
      <c r="DI413">
        <v>1</v>
      </c>
      <c r="DJ413">
        <v>1</v>
      </c>
      <c r="DK413">
        <v>1</v>
      </c>
      <c r="DL413">
        <v>1</v>
      </c>
      <c r="DN413">
        <f t="shared" si="476"/>
        <v>4</v>
      </c>
      <c r="DO413" t="str">
        <f t="shared" si="477"/>
        <v>mixedProduct</v>
      </c>
      <c r="DP413" t="str">
        <f t="shared" si="478"/>
        <v>Upstream</v>
      </c>
      <c r="DQ413" t="str">
        <f t="shared" si="479"/>
        <v>Energy</v>
      </c>
      <c r="DR413" t="str">
        <f t="shared" si="480"/>
        <v>Pulp/Paper</v>
      </c>
      <c r="DS413" t="str">
        <f t="shared" si="481"/>
        <v>Timber</v>
      </c>
      <c r="DT413">
        <v>1</v>
      </c>
      <c r="DU413" s="143">
        <v>0</v>
      </c>
      <c r="DV413">
        <v>0</v>
      </c>
      <c r="DW413">
        <v>0</v>
      </c>
      <c r="DX413">
        <v>0</v>
      </c>
      <c r="DY413">
        <f t="shared" si="482"/>
        <v>1</v>
      </c>
      <c r="DZ413" s="143" t="str">
        <f t="shared" si="483"/>
        <v>self-calculated DF</v>
      </c>
      <c r="EA413" s="143">
        <v>1</v>
      </c>
      <c r="EB413" s="143">
        <v>1</v>
      </c>
      <c r="EC413" s="143">
        <v>1</v>
      </c>
      <c r="ED413" s="143">
        <v>1</v>
      </c>
      <c r="EE413" s="143">
        <v>1</v>
      </c>
      <c r="EF413" s="143">
        <v>1</v>
      </c>
      <c r="EG413" s="143">
        <v>0</v>
      </c>
      <c r="EH413" s="143">
        <v>0</v>
      </c>
      <c r="EI413" s="143">
        <v>0</v>
      </c>
      <c r="EJ413" s="143">
        <v>0</v>
      </c>
      <c r="EK413" s="143">
        <v>0</v>
      </c>
      <c r="EL413" s="143">
        <v>0</v>
      </c>
      <c r="EM413" s="143">
        <v>0</v>
      </c>
      <c r="EN413" s="192">
        <v>0</v>
      </c>
      <c r="EP413" t="str">
        <f t="shared" si="484"/>
        <v/>
      </c>
      <c r="EQ413" t="str">
        <f t="shared" si="485"/>
        <v/>
      </c>
      <c r="ER413" s="2" t="str">
        <f t="shared" si="486"/>
        <v/>
      </c>
      <c r="ES413" t="str">
        <f t="shared" si="487"/>
        <v/>
      </c>
      <c r="ET413" t="str">
        <f t="shared" si="488"/>
        <v/>
      </c>
      <c r="EU413" t="str">
        <f t="shared" si="489"/>
        <v/>
      </c>
      <c r="EY413" t="b">
        <f>IF(ISNUMBER(BW413),IF(ABS(BW413-[1]QC_indicators!$B$2)&gt;3*[1]QC_indicators!$C$2,"C ratio",IF(ISNUMBER(CA413),IF(ABS(CA413-[1]QC_indicators!$B$1)&gt;3*[1]QC_indicators!$C$1,"DF","no"))),IF(ISNUMBER(CA413),IF(ABS(CA413-[1]QC_indicators!$B$1)&gt;3*[1]QC_indicators!$C$1,"DF","no")))</f>
        <v>0</v>
      </c>
      <c r="FA413" t="str">
        <f t="shared" si="490"/>
        <v/>
      </c>
      <c r="FB413" s="299" t="s">
        <v>349</v>
      </c>
    </row>
    <row r="414" spans="1:158" ht="15" hidden="1" customHeight="1">
      <c r="D414" t="s">
        <v>3845</v>
      </c>
      <c r="E414" t="s">
        <v>3846</v>
      </c>
      <c r="G414" t="s">
        <v>3239</v>
      </c>
      <c r="I414">
        <v>2018</v>
      </c>
      <c r="K414" t="s">
        <v>3847</v>
      </c>
      <c r="M414" t="str">
        <f t="shared" si="456"/>
        <v>Smyth_2018</v>
      </c>
      <c r="N414" s="297" t="s">
        <v>4058</v>
      </c>
      <c r="O414" s="145" t="s">
        <v>225</v>
      </c>
      <c r="Q414" s="297" t="s">
        <v>256</v>
      </c>
      <c r="R414" s="298"/>
      <c r="S414" s="1" t="s">
        <v>3849</v>
      </c>
      <c r="X414" s="143">
        <v>0</v>
      </c>
      <c r="Y414" s="143">
        <v>0</v>
      </c>
      <c r="Z414" s="143">
        <v>0</v>
      </c>
      <c r="AA414" s="143">
        <v>1</v>
      </c>
      <c r="AB414" s="143">
        <v>0</v>
      </c>
      <c r="AC414" s="143">
        <v>0</v>
      </c>
      <c r="AD414" s="143">
        <v>0</v>
      </c>
      <c r="AE414" s="143">
        <v>0</v>
      </c>
      <c r="AF414" s="143">
        <v>0</v>
      </c>
      <c r="AG414" s="143">
        <v>0</v>
      </c>
      <c r="AH414" s="143">
        <v>0</v>
      </c>
      <c r="AI414" s="143">
        <v>0</v>
      </c>
      <c r="AJ414" s="143">
        <v>0</v>
      </c>
      <c r="AK414" s="143">
        <v>0</v>
      </c>
      <c r="AL414" s="143">
        <v>0</v>
      </c>
      <c r="AM414" s="143">
        <v>0</v>
      </c>
      <c r="AN414" s="143">
        <v>0</v>
      </c>
      <c r="AO414" s="143">
        <v>0</v>
      </c>
      <c r="AP414" s="143">
        <v>0</v>
      </c>
      <c r="AQ414" s="143">
        <v>0</v>
      </c>
      <c r="AR414" s="143">
        <v>0</v>
      </c>
      <c r="AS414" s="143">
        <v>0</v>
      </c>
      <c r="AT414" s="143">
        <v>0</v>
      </c>
      <c r="AU414" s="143">
        <v>0</v>
      </c>
      <c r="AV414" s="143">
        <v>0</v>
      </c>
      <c r="AW414" s="143">
        <v>0</v>
      </c>
      <c r="AX414" s="143">
        <v>0</v>
      </c>
      <c r="AY414" s="143">
        <v>0</v>
      </c>
      <c r="AZ414" s="141">
        <f t="shared" si="457"/>
        <v>1</v>
      </c>
      <c r="BA414" s="141">
        <f t="shared" si="458"/>
        <v>1</v>
      </c>
      <c r="BB414">
        <f t="shared" si="459"/>
        <v>1</v>
      </c>
      <c r="BC414">
        <f t="shared" si="460"/>
        <v>0</v>
      </c>
      <c r="BD414">
        <f t="shared" si="461"/>
        <v>0</v>
      </c>
      <c r="BE414">
        <f t="shared" si="462"/>
        <v>0</v>
      </c>
      <c r="BF414">
        <f t="shared" si="463"/>
        <v>0</v>
      </c>
      <c r="BG414" t="str" cm="1">
        <f t="array" ref="BG414">IF(BA414=1,INDEX($X$7:$AN$7,MATCH(TRUE,INDEX($X414:$AY414&lt;&gt;0,),0)),IF(BA414=0,INDEX($AO$7:$AY$7,MATCH(1,$AO414:$AY414,0)),IF(BH414="Multiple strategies","mixed drivers",IF(BH414="Supply chain","multiple supply","multiple silviculture"))))</f>
        <v xml:space="preserve">cutting intensity </v>
      </c>
      <c r="BH414" s="2" t="str" cm="1">
        <f t="array" ref="BH414">IF(COUNTIF(BB414:BD414,"&lt;&gt;0")=1,INDEX($X$4:$AY$4,MATCH(TRUE,INDEX($X414:$AY414&lt;&gt;0,),0)),IF(COUNTIF(BB414:BD414,"&lt;&gt;0")=0,INDEX($AO$4:$AY$4,MATCH(1,$AO414:$AY414,0)),"Multiple strategies"))</f>
        <v>Silviculture for removals</v>
      </c>
      <c r="BI414" s="1" t="s">
        <v>321</v>
      </c>
      <c r="BR414" s="297" t="s">
        <v>232</v>
      </c>
      <c r="BS414" s="297"/>
      <c r="BT414" t="s">
        <v>3848</v>
      </c>
      <c r="BW414" s="144"/>
      <c r="BX414">
        <v>114</v>
      </c>
      <c r="CA414" t="str">
        <f t="shared" si="465"/>
        <v/>
      </c>
      <c r="CB414" s="143">
        <v>0</v>
      </c>
      <c r="CC414" s="143">
        <v>0</v>
      </c>
      <c r="CD414" s="143">
        <v>0</v>
      </c>
      <c r="CE414" s="143">
        <v>0</v>
      </c>
      <c r="CF414" s="143">
        <v>0</v>
      </c>
      <c r="CG414" s="143">
        <v>0</v>
      </c>
      <c r="CH414" s="143">
        <v>0</v>
      </c>
      <c r="CI414" s="143">
        <v>0</v>
      </c>
      <c r="CJ414" s="143">
        <v>0</v>
      </c>
      <c r="CK414" s="143">
        <v>0</v>
      </c>
      <c r="CL414" s="143">
        <v>0</v>
      </c>
      <c r="CM414" s="143">
        <v>0</v>
      </c>
      <c r="CN414" s="143">
        <v>0</v>
      </c>
      <c r="CO414" s="143">
        <v>0</v>
      </c>
      <c r="CP414" t="str">
        <f t="shared" si="466"/>
        <v>refOK</v>
      </c>
      <c r="CQ414"/>
      <c r="CR414"/>
      <c r="CS414"/>
      <c r="CT414">
        <f t="shared" si="467"/>
        <v>0</v>
      </c>
      <c r="CU414"/>
      <c r="CV414"/>
      <c r="CW414">
        <f t="shared" si="470"/>
        <v>0</v>
      </c>
      <c r="CX414" t="str">
        <f t="shared" si="471"/>
        <v/>
      </c>
      <c r="CY414" t="str">
        <f t="shared" si="471"/>
        <v/>
      </c>
      <c r="CZ414" t="str">
        <f t="shared" si="472"/>
        <v/>
      </c>
      <c r="DA414" s="2" t="str">
        <f t="shared" si="473"/>
        <v/>
      </c>
      <c r="DB414" s="1" t="s">
        <v>1074</v>
      </c>
      <c r="DC414" s="297" t="str">
        <f t="shared" si="474"/>
        <v>reg</v>
      </c>
      <c r="DD414" t="s">
        <v>527</v>
      </c>
      <c r="DE414">
        <v>2018</v>
      </c>
      <c r="DF414">
        <v>2050</v>
      </c>
      <c r="DG414">
        <f t="shared" si="491"/>
        <v>32</v>
      </c>
      <c r="DH414" t="str">
        <f t="shared" si="475"/>
        <v>31-70</v>
      </c>
      <c r="DI414">
        <v>1</v>
      </c>
      <c r="DJ414">
        <v>1</v>
      </c>
      <c r="DK414">
        <v>1</v>
      </c>
      <c r="DL414">
        <v>1</v>
      </c>
      <c r="DN414">
        <f t="shared" si="476"/>
        <v>4</v>
      </c>
      <c r="DO414" t="str">
        <f t="shared" si="477"/>
        <v>mixedProduct</v>
      </c>
      <c r="DP414" t="str">
        <f t="shared" si="478"/>
        <v>Upstream</v>
      </c>
      <c r="DQ414" t="str">
        <f t="shared" si="479"/>
        <v>Energy</v>
      </c>
      <c r="DR414" t="str">
        <f t="shared" si="480"/>
        <v>Pulp/Paper</v>
      </c>
      <c r="DS414" t="str">
        <f t="shared" si="481"/>
        <v>Timber</v>
      </c>
      <c r="DT414">
        <v>1</v>
      </c>
      <c r="DU414" s="143">
        <v>0</v>
      </c>
      <c r="DV414">
        <v>0</v>
      </c>
      <c r="DW414">
        <v>0</v>
      </c>
      <c r="DX414">
        <v>0</v>
      </c>
      <c r="DY414">
        <f t="shared" si="482"/>
        <v>1</v>
      </c>
      <c r="DZ414" s="143" t="str">
        <f t="shared" si="483"/>
        <v>self-calculated DF</v>
      </c>
      <c r="EA414" s="143">
        <v>1</v>
      </c>
      <c r="EB414" s="143">
        <v>1</v>
      </c>
      <c r="EC414" s="143">
        <v>1</v>
      </c>
      <c r="ED414" s="143">
        <v>1</v>
      </c>
      <c r="EE414" s="143">
        <v>1</v>
      </c>
      <c r="EF414" s="143">
        <v>1</v>
      </c>
      <c r="EG414" s="143">
        <v>0</v>
      </c>
      <c r="EH414" s="143">
        <v>0</v>
      </c>
      <c r="EI414" s="143">
        <v>0</v>
      </c>
      <c r="EJ414" s="143">
        <v>0</v>
      </c>
      <c r="EK414" s="143">
        <v>0</v>
      </c>
      <c r="EL414" s="143">
        <v>0</v>
      </c>
      <c r="EM414" s="143">
        <v>0</v>
      </c>
      <c r="EN414" s="192">
        <v>0</v>
      </c>
      <c r="EP414" t="str">
        <f t="shared" si="484"/>
        <v/>
      </c>
      <c r="EQ414" t="str">
        <f t="shared" si="485"/>
        <v/>
      </c>
      <c r="ER414" s="2" t="str">
        <f t="shared" si="486"/>
        <v/>
      </c>
      <c r="ES414" t="str">
        <f t="shared" si="487"/>
        <v/>
      </c>
      <c r="ET414" t="str">
        <f t="shared" si="488"/>
        <v/>
      </c>
      <c r="EU414" t="str">
        <f t="shared" si="489"/>
        <v/>
      </c>
      <c r="EY414" t="b">
        <f>IF(ISNUMBER(BW414),IF(ABS(BW414-[1]QC_indicators!$B$2)&gt;3*[1]QC_indicators!$C$2,"C ratio",IF(ISNUMBER(CA414),IF(ABS(CA414-[1]QC_indicators!$B$1)&gt;3*[1]QC_indicators!$C$1,"DF","no"))),IF(ISNUMBER(CA414),IF(ABS(CA414-[1]QC_indicators!$B$1)&gt;3*[1]QC_indicators!$C$1,"DF","no")))</f>
        <v>0</v>
      </c>
      <c r="FA414" t="str">
        <f t="shared" si="490"/>
        <v/>
      </c>
      <c r="FB414" s="299" t="s">
        <v>349</v>
      </c>
    </row>
    <row r="415" spans="1:158" ht="15" hidden="1" customHeight="1">
      <c r="D415" t="s">
        <v>3845</v>
      </c>
      <c r="E415" t="s">
        <v>3846</v>
      </c>
      <c r="G415" t="s">
        <v>3239</v>
      </c>
      <c r="I415">
        <v>2018</v>
      </c>
      <c r="K415" t="s">
        <v>3847</v>
      </c>
      <c r="M415" t="str">
        <f t="shared" si="456"/>
        <v>Smyth_2018</v>
      </c>
      <c r="N415" s="297" t="s">
        <v>4058</v>
      </c>
      <c r="O415" s="145" t="s">
        <v>225</v>
      </c>
      <c r="Q415" s="297" t="s">
        <v>256</v>
      </c>
      <c r="R415" s="298"/>
      <c r="S415" s="1" t="s">
        <v>3849</v>
      </c>
      <c r="X415" s="143">
        <v>0</v>
      </c>
      <c r="Y415" s="143">
        <v>0</v>
      </c>
      <c r="Z415" s="143">
        <v>0</v>
      </c>
      <c r="AA415" s="143">
        <v>1</v>
      </c>
      <c r="AB415" s="143">
        <v>0</v>
      </c>
      <c r="AC415" s="143">
        <v>0</v>
      </c>
      <c r="AD415" s="143">
        <v>0</v>
      </c>
      <c r="AE415" s="143">
        <v>0</v>
      </c>
      <c r="AF415" s="143">
        <v>0</v>
      </c>
      <c r="AG415" s="143">
        <v>0</v>
      </c>
      <c r="AH415" s="143">
        <v>0</v>
      </c>
      <c r="AI415" s="143">
        <v>0</v>
      </c>
      <c r="AJ415" s="143">
        <v>0</v>
      </c>
      <c r="AK415" s="143">
        <v>0</v>
      </c>
      <c r="AL415" s="143">
        <v>0</v>
      </c>
      <c r="AM415" s="143">
        <v>0</v>
      </c>
      <c r="AN415" s="143">
        <v>0</v>
      </c>
      <c r="AO415" s="143">
        <v>0</v>
      </c>
      <c r="AP415" s="143">
        <v>0</v>
      </c>
      <c r="AQ415" s="143">
        <v>0</v>
      </c>
      <c r="AR415" s="143">
        <v>0</v>
      </c>
      <c r="AS415" s="143">
        <v>0</v>
      </c>
      <c r="AT415" s="143">
        <v>0</v>
      </c>
      <c r="AU415" s="143">
        <v>0</v>
      </c>
      <c r="AV415" s="143">
        <v>0</v>
      </c>
      <c r="AW415" s="143">
        <v>0</v>
      </c>
      <c r="AX415" s="143">
        <v>0</v>
      </c>
      <c r="AY415" s="143">
        <v>0</v>
      </c>
      <c r="AZ415" s="141">
        <f t="shared" si="457"/>
        <v>1</v>
      </c>
      <c r="BA415" s="141">
        <f t="shared" si="458"/>
        <v>1</v>
      </c>
      <c r="BB415">
        <f t="shared" si="459"/>
        <v>1</v>
      </c>
      <c r="BC415">
        <f t="shared" si="460"/>
        <v>0</v>
      </c>
      <c r="BD415">
        <f t="shared" si="461"/>
        <v>0</v>
      </c>
      <c r="BE415">
        <f t="shared" si="462"/>
        <v>0</v>
      </c>
      <c r="BF415">
        <f t="shared" si="463"/>
        <v>0</v>
      </c>
      <c r="BG415" t="str" cm="1">
        <f t="array" ref="BG415">IF(BA415=1,INDEX($X$7:$AN$7,MATCH(TRUE,INDEX($X415:$AY415&lt;&gt;0,),0)),IF(BA415=0,INDEX($AO$7:$AY$7,MATCH(1,$AO415:$AY415,0)),IF(BH415="Multiple strategies","mixed drivers",IF(BH415="Supply chain","multiple supply","multiple silviculture"))))</f>
        <v xml:space="preserve">cutting intensity </v>
      </c>
      <c r="BH415" s="2" t="str" cm="1">
        <f t="array" ref="BH415">IF(COUNTIF(BB415:BD415,"&lt;&gt;0")=1,INDEX($X$4:$AY$4,MATCH(TRUE,INDEX($X415:$AY415&lt;&gt;0,),0)),IF(COUNTIF(BB415:BD415,"&lt;&gt;0")=0,INDEX($AO$4:$AY$4,MATCH(1,$AO415:$AY415,0)),"Multiple strategies"))</f>
        <v>Silviculture for removals</v>
      </c>
      <c r="BI415" s="1" t="s">
        <v>321</v>
      </c>
      <c r="BR415" s="297" t="s">
        <v>232</v>
      </c>
      <c r="BS415" s="297"/>
      <c r="BT415" t="s">
        <v>3848</v>
      </c>
      <c r="BW415" s="144"/>
      <c r="BX415">
        <v>35</v>
      </c>
      <c r="CA415" t="str">
        <f t="shared" si="465"/>
        <v/>
      </c>
      <c r="CB415" s="143">
        <v>0</v>
      </c>
      <c r="CC415" s="143">
        <v>0</v>
      </c>
      <c r="CD415" s="143">
        <v>0</v>
      </c>
      <c r="CE415" s="143">
        <v>0</v>
      </c>
      <c r="CF415" s="143">
        <v>0</v>
      </c>
      <c r="CG415" s="143">
        <v>0</v>
      </c>
      <c r="CH415" s="143">
        <v>0</v>
      </c>
      <c r="CI415" s="143">
        <v>0</v>
      </c>
      <c r="CJ415" s="143">
        <v>0</v>
      </c>
      <c r="CK415" s="143">
        <v>0</v>
      </c>
      <c r="CL415" s="143">
        <v>0</v>
      </c>
      <c r="CM415" s="143">
        <v>0</v>
      </c>
      <c r="CN415" s="143">
        <v>0</v>
      </c>
      <c r="CO415" s="143">
        <v>0</v>
      </c>
      <c r="CP415" t="str">
        <f t="shared" si="466"/>
        <v>refOK</v>
      </c>
      <c r="CQ415"/>
      <c r="CR415"/>
      <c r="CS415"/>
      <c r="CT415">
        <f t="shared" si="467"/>
        <v>0</v>
      </c>
      <c r="CU415"/>
      <c r="CV415"/>
      <c r="CW415">
        <f t="shared" si="470"/>
        <v>0</v>
      </c>
      <c r="CX415" t="str">
        <f t="shared" si="471"/>
        <v/>
      </c>
      <c r="CY415" t="str">
        <f t="shared" si="471"/>
        <v/>
      </c>
      <c r="CZ415" t="str">
        <f t="shared" si="472"/>
        <v/>
      </c>
      <c r="DA415" s="2" t="str">
        <f t="shared" si="473"/>
        <v/>
      </c>
      <c r="DB415" s="1" t="s">
        <v>1074</v>
      </c>
      <c r="DC415" s="297" t="str">
        <f t="shared" si="474"/>
        <v>reg</v>
      </c>
      <c r="DD415" t="s">
        <v>527</v>
      </c>
      <c r="DE415">
        <v>2018</v>
      </c>
      <c r="DF415">
        <v>2050</v>
      </c>
      <c r="DG415">
        <f t="shared" si="491"/>
        <v>32</v>
      </c>
      <c r="DH415" t="str">
        <f t="shared" si="475"/>
        <v>31-70</v>
      </c>
      <c r="DI415">
        <v>1</v>
      </c>
      <c r="DJ415">
        <v>1</v>
      </c>
      <c r="DK415">
        <v>1</v>
      </c>
      <c r="DL415">
        <v>1</v>
      </c>
      <c r="DN415">
        <f t="shared" si="476"/>
        <v>4</v>
      </c>
      <c r="DO415" t="str">
        <f t="shared" si="477"/>
        <v>mixedProduct</v>
      </c>
      <c r="DP415" t="str">
        <f t="shared" si="478"/>
        <v>Upstream</v>
      </c>
      <c r="DQ415" t="str">
        <f t="shared" si="479"/>
        <v>Energy</v>
      </c>
      <c r="DR415" t="str">
        <f t="shared" si="480"/>
        <v>Pulp/Paper</v>
      </c>
      <c r="DS415" t="str">
        <f t="shared" si="481"/>
        <v>Timber</v>
      </c>
      <c r="DT415">
        <v>1</v>
      </c>
      <c r="DU415" s="143">
        <v>0</v>
      </c>
      <c r="DV415">
        <v>0</v>
      </c>
      <c r="DW415">
        <v>0</v>
      </c>
      <c r="DX415">
        <v>0</v>
      </c>
      <c r="DY415">
        <f t="shared" si="482"/>
        <v>1</v>
      </c>
      <c r="DZ415" s="143" t="str">
        <f t="shared" si="483"/>
        <v>self-calculated DF</v>
      </c>
      <c r="EA415" s="143">
        <v>1</v>
      </c>
      <c r="EB415" s="143">
        <v>1</v>
      </c>
      <c r="EC415" s="143">
        <v>1</v>
      </c>
      <c r="ED415" s="143">
        <v>1</v>
      </c>
      <c r="EE415" s="143">
        <v>1</v>
      </c>
      <c r="EF415" s="143">
        <v>1</v>
      </c>
      <c r="EG415" s="143">
        <v>0</v>
      </c>
      <c r="EH415" s="143">
        <v>0</v>
      </c>
      <c r="EI415" s="143">
        <v>0</v>
      </c>
      <c r="EJ415" s="143">
        <v>0</v>
      </c>
      <c r="EK415" s="143">
        <v>0</v>
      </c>
      <c r="EL415" s="143">
        <v>0</v>
      </c>
      <c r="EM415" s="143">
        <v>0</v>
      </c>
      <c r="EN415" s="192">
        <v>0</v>
      </c>
      <c r="EP415" t="str">
        <f t="shared" si="484"/>
        <v/>
      </c>
      <c r="EQ415" t="str">
        <f t="shared" si="485"/>
        <v/>
      </c>
      <c r="ER415" s="2" t="str">
        <f t="shared" si="486"/>
        <v/>
      </c>
      <c r="ES415" t="str">
        <f t="shared" si="487"/>
        <v/>
      </c>
      <c r="ET415" t="str">
        <f t="shared" si="488"/>
        <v/>
      </c>
      <c r="EU415" t="str">
        <f t="shared" si="489"/>
        <v/>
      </c>
      <c r="EY415" t="b">
        <f>IF(ISNUMBER(BW415),IF(ABS(BW415-[1]QC_indicators!$B$2)&gt;3*[1]QC_indicators!$C$2,"C ratio",IF(ISNUMBER(CA415),IF(ABS(CA415-[1]QC_indicators!$B$1)&gt;3*[1]QC_indicators!$C$1,"DF","no"))),IF(ISNUMBER(CA415),IF(ABS(CA415-[1]QC_indicators!$B$1)&gt;3*[1]QC_indicators!$C$1,"DF","no")))</f>
        <v>0</v>
      </c>
      <c r="FA415" t="str">
        <f t="shared" si="490"/>
        <v/>
      </c>
      <c r="FB415" s="299" t="s">
        <v>349</v>
      </c>
    </row>
    <row r="416" spans="1:158" ht="15" hidden="1" customHeight="1">
      <c r="D416" t="s">
        <v>3845</v>
      </c>
      <c r="E416" t="s">
        <v>3846</v>
      </c>
      <c r="G416" t="s">
        <v>3239</v>
      </c>
      <c r="I416">
        <v>2018</v>
      </c>
      <c r="K416" t="s">
        <v>3847</v>
      </c>
      <c r="M416" t="str">
        <f t="shared" si="456"/>
        <v>Smyth_2018</v>
      </c>
      <c r="N416" s="297" t="s">
        <v>4058</v>
      </c>
      <c r="O416" s="145" t="s">
        <v>225</v>
      </c>
      <c r="Q416" s="297" t="s">
        <v>256</v>
      </c>
      <c r="R416" s="298"/>
      <c r="S416" s="1" t="s">
        <v>3850</v>
      </c>
      <c r="X416" s="143">
        <v>0</v>
      </c>
      <c r="Y416" s="143">
        <v>0</v>
      </c>
      <c r="Z416" s="143">
        <v>0</v>
      </c>
      <c r="AA416" s="143">
        <v>1</v>
      </c>
      <c r="AB416" s="143">
        <v>0</v>
      </c>
      <c r="AC416" s="143">
        <v>0</v>
      </c>
      <c r="AD416" s="143">
        <v>0</v>
      </c>
      <c r="AE416" s="143">
        <v>0</v>
      </c>
      <c r="AF416" s="143">
        <v>0</v>
      </c>
      <c r="AG416" s="143">
        <v>0</v>
      </c>
      <c r="AH416" s="143">
        <v>0</v>
      </c>
      <c r="AI416" s="143">
        <v>0</v>
      </c>
      <c r="AJ416" s="143">
        <v>0</v>
      </c>
      <c r="AK416" s="143">
        <v>0</v>
      </c>
      <c r="AL416" s="143">
        <v>0</v>
      </c>
      <c r="AM416" s="143">
        <v>0</v>
      </c>
      <c r="AN416" s="143">
        <v>0</v>
      </c>
      <c r="AO416" s="143">
        <v>0</v>
      </c>
      <c r="AP416" s="143">
        <v>0</v>
      </c>
      <c r="AQ416" s="143">
        <v>0</v>
      </c>
      <c r="AR416" s="143">
        <v>0</v>
      </c>
      <c r="AS416" s="143">
        <v>0</v>
      </c>
      <c r="AT416" s="143">
        <v>0</v>
      </c>
      <c r="AU416" s="143">
        <v>0</v>
      </c>
      <c r="AV416" s="143">
        <v>0</v>
      </c>
      <c r="AW416" s="143">
        <v>0</v>
      </c>
      <c r="AX416" s="143">
        <v>0</v>
      </c>
      <c r="AY416" s="143">
        <v>0</v>
      </c>
      <c r="AZ416" s="141">
        <f t="shared" si="457"/>
        <v>1</v>
      </c>
      <c r="BA416" s="141">
        <f t="shared" si="458"/>
        <v>1</v>
      </c>
      <c r="BB416">
        <f t="shared" si="459"/>
        <v>1</v>
      </c>
      <c r="BC416">
        <f t="shared" si="460"/>
        <v>0</v>
      </c>
      <c r="BD416">
        <f t="shared" si="461"/>
        <v>0</v>
      </c>
      <c r="BE416">
        <f t="shared" si="462"/>
        <v>0</v>
      </c>
      <c r="BF416">
        <f t="shared" si="463"/>
        <v>0</v>
      </c>
      <c r="BG416" t="str" cm="1">
        <f t="array" ref="BG416">IF(BA416=1,INDEX($X$7:$AN$7,MATCH(TRUE,INDEX($X416:$AY416&lt;&gt;0,),0)),IF(BA416=0,INDEX($AO$7:$AY$7,MATCH(1,$AO416:$AY416,0)),IF(BH416="Multiple strategies","mixed drivers",IF(BH416="Supply chain","multiple supply","multiple silviculture"))))</f>
        <v xml:space="preserve">cutting intensity </v>
      </c>
      <c r="BH416" s="2" t="str" cm="1">
        <f t="array" ref="BH416">IF(COUNTIF(BB416:BD416,"&lt;&gt;0")=1,INDEX($X$4:$AY$4,MATCH(TRUE,INDEX($X416:$AY416&lt;&gt;0,),0)),IF(COUNTIF(BB416:BD416,"&lt;&gt;0")=0,INDEX($AO$4:$AY$4,MATCH(1,$AO416:$AY416,0)),"Multiple strategies"))</f>
        <v>Silviculture for removals</v>
      </c>
      <c r="BI416" s="1" t="s">
        <v>321</v>
      </c>
      <c r="BR416" s="297" t="s">
        <v>232</v>
      </c>
      <c r="BS416" s="297"/>
      <c r="BT416" t="s">
        <v>3848</v>
      </c>
      <c r="BW416" s="144"/>
      <c r="BX416">
        <v>7</v>
      </c>
      <c r="CA416" t="str">
        <f t="shared" si="465"/>
        <v/>
      </c>
      <c r="CB416" s="143">
        <v>0</v>
      </c>
      <c r="CC416" s="143">
        <v>0</v>
      </c>
      <c r="CD416" s="143">
        <v>0</v>
      </c>
      <c r="CE416" s="143">
        <v>0</v>
      </c>
      <c r="CF416" s="143">
        <v>0</v>
      </c>
      <c r="CG416" s="143">
        <v>0</v>
      </c>
      <c r="CH416" s="143">
        <v>0</v>
      </c>
      <c r="CI416" s="143">
        <v>0</v>
      </c>
      <c r="CJ416" s="143">
        <v>0</v>
      </c>
      <c r="CK416" s="143">
        <v>0</v>
      </c>
      <c r="CL416" s="143">
        <v>0</v>
      </c>
      <c r="CM416" s="143">
        <v>0</v>
      </c>
      <c r="CN416" s="143">
        <v>0</v>
      </c>
      <c r="CO416" s="143">
        <v>0</v>
      </c>
      <c r="CP416" t="str">
        <f t="shared" si="466"/>
        <v>refOK</v>
      </c>
      <c r="CQ416"/>
      <c r="CR416"/>
      <c r="CS416"/>
      <c r="CT416">
        <f t="shared" si="467"/>
        <v>0</v>
      </c>
      <c r="CU416"/>
      <c r="CV416"/>
      <c r="CW416">
        <f t="shared" si="470"/>
        <v>0</v>
      </c>
      <c r="CX416" t="str">
        <f t="shared" si="471"/>
        <v/>
      </c>
      <c r="CY416" t="str">
        <f t="shared" si="471"/>
        <v/>
      </c>
      <c r="CZ416" t="str">
        <f t="shared" si="472"/>
        <v/>
      </c>
      <c r="DA416" s="2" t="str">
        <f t="shared" si="473"/>
        <v/>
      </c>
      <c r="DB416" s="1" t="s">
        <v>1074</v>
      </c>
      <c r="DC416" s="297" t="str">
        <f t="shared" si="474"/>
        <v>reg</v>
      </c>
      <c r="DD416" t="s">
        <v>527</v>
      </c>
      <c r="DE416">
        <v>2018</v>
      </c>
      <c r="DF416">
        <v>2050</v>
      </c>
      <c r="DG416">
        <f t="shared" si="491"/>
        <v>32</v>
      </c>
      <c r="DH416" t="str">
        <f t="shared" si="475"/>
        <v>31-70</v>
      </c>
      <c r="DI416">
        <v>1</v>
      </c>
      <c r="DJ416">
        <v>1</v>
      </c>
      <c r="DK416">
        <v>1</v>
      </c>
      <c r="DL416">
        <v>1</v>
      </c>
      <c r="DN416">
        <f t="shared" si="476"/>
        <v>4</v>
      </c>
      <c r="DO416" t="str">
        <f t="shared" si="477"/>
        <v>mixedProduct</v>
      </c>
      <c r="DP416" t="str">
        <f t="shared" si="478"/>
        <v>Upstream</v>
      </c>
      <c r="DQ416" t="str">
        <f t="shared" si="479"/>
        <v>Energy</v>
      </c>
      <c r="DR416" t="str">
        <f t="shared" si="480"/>
        <v>Pulp/Paper</v>
      </c>
      <c r="DS416" t="str">
        <f t="shared" si="481"/>
        <v>Timber</v>
      </c>
      <c r="DT416">
        <v>1</v>
      </c>
      <c r="DU416" s="143">
        <v>0</v>
      </c>
      <c r="DV416">
        <v>0</v>
      </c>
      <c r="DW416">
        <v>0</v>
      </c>
      <c r="DX416">
        <v>0</v>
      </c>
      <c r="DY416">
        <f t="shared" si="482"/>
        <v>1</v>
      </c>
      <c r="DZ416" s="143" t="str">
        <f t="shared" si="483"/>
        <v>self-calculated DF</v>
      </c>
      <c r="EA416" s="143">
        <v>1</v>
      </c>
      <c r="EB416" s="143">
        <v>1</v>
      </c>
      <c r="EC416" s="143">
        <v>1</v>
      </c>
      <c r="ED416" s="143">
        <v>1</v>
      </c>
      <c r="EE416" s="143">
        <v>1</v>
      </c>
      <c r="EF416" s="143">
        <v>1</v>
      </c>
      <c r="EG416" s="143">
        <v>0</v>
      </c>
      <c r="EH416" s="143">
        <v>0</v>
      </c>
      <c r="EI416" s="143">
        <v>0</v>
      </c>
      <c r="EJ416" s="143">
        <v>0</v>
      </c>
      <c r="EK416" s="143">
        <v>0</v>
      </c>
      <c r="EL416" s="143">
        <v>0</v>
      </c>
      <c r="EM416" s="143">
        <v>0</v>
      </c>
      <c r="EN416" s="192">
        <v>0</v>
      </c>
      <c r="EP416" t="str">
        <f t="shared" si="484"/>
        <v/>
      </c>
      <c r="EQ416" t="str">
        <f t="shared" si="485"/>
        <v/>
      </c>
      <c r="ER416" s="2" t="str">
        <f t="shared" si="486"/>
        <v/>
      </c>
      <c r="ES416" t="str">
        <f t="shared" si="487"/>
        <v/>
      </c>
      <c r="ET416" t="str">
        <f t="shared" si="488"/>
        <v/>
      </c>
      <c r="EU416" t="str">
        <f t="shared" si="489"/>
        <v/>
      </c>
      <c r="EY416" t="b">
        <f>IF(ISNUMBER(BW416),IF(ABS(BW416-[1]QC_indicators!$B$2)&gt;3*[1]QC_indicators!$C$2,"C ratio",IF(ISNUMBER(CA416),IF(ABS(CA416-[1]QC_indicators!$B$1)&gt;3*[1]QC_indicators!$C$1,"DF","no"))),IF(ISNUMBER(CA416),IF(ABS(CA416-[1]QC_indicators!$B$1)&gt;3*[1]QC_indicators!$C$1,"DF","no")))</f>
        <v>0</v>
      </c>
      <c r="FA416" t="str">
        <f t="shared" si="490"/>
        <v/>
      </c>
      <c r="FB416" s="299" t="s">
        <v>349</v>
      </c>
    </row>
    <row r="417" spans="1:158" ht="15" hidden="1" customHeight="1">
      <c r="D417" t="s">
        <v>3845</v>
      </c>
      <c r="E417" t="s">
        <v>3846</v>
      </c>
      <c r="G417" t="s">
        <v>3239</v>
      </c>
      <c r="I417">
        <v>2018</v>
      </c>
      <c r="K417" t="s">
        <v>3847</v>
      </c>
      <c r="M417" t="str">
        <f t="shared" si="456"/>
        <v>Smyth_2018</v>
      </c>
      <c r="N417" s="297" t="s">
        <v>4058</v>
      </c>
      <c r="O417" s="145" t="s">
        <v>225</v>
      </c>
      <c r="Q417" s="297" t="s">
        <v>256</v>
      </c>
      <c r="R417" s="298"/>
      <c r="S417" s="1" t="s">
        <v>3852</v>
      </c>
      <c r="X417" s="143">
        <v>0</v>
      </c>
      <c r="Y417" s="143">
        <v>0</v>
      </c>
      <c r="Z417" s="143">
        <v>0</v>
      </c>
      <c r="AA417" s="143">
        <v>0</v>
      </c>
      <c r="AB417" s="143">
        <v>0</v>
      </c>
      <c r="AC417" s="143">
        <v>0</v>
      </c>
      <c r="AD417" s="143">
        <v>0</v>
      </c>
      <c r="AE417" s="143">
        <v>0</v>
      </c>
      <c r="AF417" s="143">
        <v>0</v>
      </c>
      <c r="AG417" s="143">
        <v>0</v>
      </c>
      <c r="AH417" s="143">
        <v>0</v>
      </c>
      <c r="AI417" s="143">
        <v>0</v>
      </c>
      <c r="AJ417" s="143">
        <v>0</v>
      </c>
      <c r="AK417" s="143">
        <v>1</v>
      </c>
      <c r="AL417" s="143">
        <v>0</v>
      </c>
      <c r="AM417" s="143">
        <v>0</v>
      </c>
      <c r="AN417" s="143">
        <v>0</v>
      </c>
      <c r="AO417" s="143">
        <v>0</v>
      </c>
      <c r="AP417" s="143">
        <v>0</v>
      </c>
      <c r="AQ417" s="143">
        <v>0</v>
      </c>
      <c r="AR417" s="143">
        <v>0</v>
      </c>
      <c r="AS417" s="143">
        <v>0</v>
      </c>
      <c r="AT417" s="143">
        <v>0</v>
      </c>
      <c r="AU417" s="143">
        <v>0</v>
      </c>
      <c r="AV417" s="143">
        <v>0</v>
      </c>
      <c r="AW417" s="143">
        <v>0</v>
      </c>
      <c r="AX417" s="143">
        <v>0</v>
      </c>
      <c r="AY417" s="143">
        <v>0</v>
      </c>
      <c r="AZ417" s="141">
        <f t="shared" si="457"/>
        <v>1</v>
      </c>
      <c r="BA417" s="141">
        <f t="shared" si="458"/>
        <v>1</v>
      </c>
      <c r="BB417">
        <f t="shared" si="459"/>
        <v>0</v>
      </c>
      <c r="BC417">
        <f t="shared" si="460"/>
        <v>1</v>
      </c>
      <c r="BD417">
        <f t="shared" si="461"/>
        <v>0</v>
      </c>
      <c r="BE417">
        <f t="shared" si="462"/>
        <v>0</v>
      </c>
      <c r="BF417">
        <f t="shared" si="463"/>
        <v>0</v>
      </c>
      <c r="BG417" t="str" cm="1">
        <f t="array" ref="BG417">IF(BA417=1,INDEX($X$7:$AN$7,MATCH(TRUE,INDEX($X417:$AY417&lt;&gt;0,),0)),IF(BA417=0,INDEX($AO$7:$AY$7,MATCH(1,$AO417:$AY417,0)),IF(BH417="Multiple strategies","mixed drivers",IF(BH417="Supply chain","multiple supply","multiple silviculture"))))</f>
        <v>products lifespan</v>
      </c>
      <c r="BH417" s="2" t="str" cm="1">
        <f t="array" ref="BH417">IF(COUNTIF(BB417:BD417,"&lt;&gt;0")=1,INDEX($X$4:$AY$4,MATCH(TRUE,INDEX($X417:$AY417&lt;&gt;0,),0)),IF(COUNTIF(BB417:BD417,"&lt;&gt;0")=0,INDEX($AO$4:$AY$4,MATCH(1,$AO417:$AY417,0)),"Multiple strategies"))</f>
        <v>Supply chain</v>
      </c>
      <c r="BI417" s="1" t="s">
        <v>321</v>
      </c>
      <c r="BR417" s="297" t="s">
        <v>232</v>
      </c>
      <c r="BS417" s="297"/>
      <c r="BT417" t="s">
        <v>3848</v>
      </c>
      <c r="BW417" s="144"/>
      <c r="BX417">
        <v>104</v>
      </c>
      <c r="CA417" t="str">
        <f t="shared" si="465"/>
        <v/>
      </c>
      <c r="CB417" s="143">
        <v>0</v>
      </c>
      <c r="CC417" s="143">
        <v>0</v>
      </c>
      <c r="CD417" s="143">
        <v>0</v>
      </c>
      <c r="CE417" s="143">
        <v>0</v>
      </c>
      <c r="CF417" s="143">
        <v>0</v>
      </c>
      <c r="CG417" s="143">
        <v>0</v>
      </c>
      <c r="CH417" s="143">
        <v>0</v>
      </c>
      <c r="CI417" s="143">
        <v>0</v>
      </c>
      <c r="CJ417" s="143">
        <v>0</v>
      </c>
      <c r="CK417" s="143">
        <v>0</v>
      </c>
      <c r="CL417" s="143">
        <v>0</v>
      </c>
      <c r="CM417" s="143">
        <v>0</v>
      </c>
      <c r="CN417" s="143">
        <v>0</v>
      </c>
      <c r="CO417" s="143">
        <v>0</v>
      </c>
      <c r="CP417" t="str">
        <f t="shared" si="466"/>
        <v>refOK</v>
      </c>
      <c r="CQ417"/>
      <c r="CR417"/>
      <c r="CS417"/>
      <c r="CT417">
        <f t="shared" si="467"/>
        <v>0</v>
      </c>
      <c r="CU417"/>
      <c r="CV417"/>
      <c r="CW417">
        <f t="shared" si="470"/>
        <v>0</v>
      </c>
      <c r="CX417" t="str">
        <f t="shared" ref="CX417:CY436" si="492">IFERROR($CW417/$CS417,"")</f>
        <v/>
      </c>
      <c r="CY417" t="str">
        <f t="shared" si="492"/>
        <v/>
      </c>
      <c r="CZ417" t="str">
        <f t="shared" si="472"/>
        <v/>
      </c>
      <c r="DA417" s="2" t="str">
        <f t="shared" si="473"/>
        <v/>
      </c>
      <c r="DB417" s="1" t="s">
        <v>1074</v>
      </c>
      <c r="DC417" s="297" t="str">
        <f t="shared" si="474"/>
        <v>reg</v>
      </c>
      <c r="DD417" t="s">
        <v>527</v>
      </c>
      <c r="DE417">
        <v>2018</v>
      </c>
      <c r="DF417">
        <v>2050</v>
      </c>
      <c r="DG417">
        <f t="shared" si="491"/>
        <v>32</v>
      </c>
      <c r="DH417" t="str">
        <f t="shared" si="475"/>
        <v>31-70</v>
      </c>
      <c r="DI417">
        <v>1</v>
      </c>
      <c r="DJ417">
        <v>1</v>
      </c>
      <c r="DK417">
        <v>1</v>
      </c>
      <c r="DL417">
        <v>1</v>
      </c>
      <c r="DN417">
        <f t="shared" si="476"/>
        <v>4</v>
      </c>
      <c r="DO417" t="str">
        <f t="shared" si="477"/>
        <v>mixedProduct</v>
      </c>
      <c r="DP417" t="str">
        <f t="shared" si="478"/>
        <v>Upstream</v>
      </c>
      <c r="DQ417" t="str">
        <f t="shared" si="479"/>
        <v>Energy</v>
      </c>
      <c r="DR417" t="str">
        <f t="shared" si="480"/>
        <v>Pulp/Paper</v>
      </c>
      <c r="DS417" t="str">
        <f t="shared" si="481"/>
        <v>Timber</v>
      </c>
      <c r="DT417">
        <v>1</v>
      </c>
      <c r="DU417" s="143">
        <v>0</v>
      </c>
      <c r="DV417">
        <v>0</v>
      </c>
      <c r="DW417">
        <v>0</v>
      </c>
      <c r="DX417">
        <v>0</v>
      </c>
      <c r="DY417">
        <f t="shared" si="482"/>
        <v>1</v>
      </c>
      <c r="DZ417" s="143" t="str">
        <f t="shared" si="483"/>
        <v>self-calculated DF</v>
      </c>
      <c r="EA417" s="143">
        <v>1</v>
      </c>
      <c r="EB417" s="143">
        <v>1</v>
      </c>
      <c r="EC417" s="143">
        <v>1</v>
      </c>
      <c r="ED417" s="143">
        <v>1</v>
      </c>
      <c r="EE417" s="143">
        <v>1</v>
      </c>
      <c r="EF417" s="143">
        <v>1</v>
      </c>
      <c r="EG417" s="143">
        <v>0</v>
      </c>
      <c r="EH417" s="143">
        <v>0</v>
      </c>
      <c r="EI417" s="143">
        <v>0</v>
      </c>
      <c r="EJ417" s="143">
        <v>0</v>
      </c>
      <c r="EK417" s="143">
        <v>0</v>
      </c>
      <c r="EL417" s="143">
        <v>0</v>
      </c>
      <c r="EM417" s="143">
        <v>0</v>
      </c>
      <c r="EN417" s="192">
        <v>0</v>
      </c>
      <c r="EP417" t="str">
        <f t="shared" si="484"/>
        <v/>
      </c>
      <c r="EQ417" t="str">
        <f t="shared" si="485"/>
        <v/>
      </c>
      <c r="ER417" s="2" t="str">
        <f t="shared" si="486"/>
        <v/>
      </c>
      <c r="ES417" t="str">
        <f t="shared" si="487"/>
        <v/>
      </c>
      <c r="ET417" t="str">
        <f t="shared" si="488"/>
        <v/>
      </c>
      <c r="EU417" t="str">
        <f t="shared" si="489"/>
        <v/>
      </c>
      <c r="EY417" t="b">
        <f>IF(ISNUMBER(BW417),IF(ABS(BW417-[1]QC_indicators!$B$2)&gt;3*[1]QC_indicators!$C$2,"C ratio",IF(ISNUMBER(CA417),IF(ABS(CA417-[1]QC_indicators!$B$1)&gt;3*[1]QC_indicators!$C$1,"DF","no"))),IF(ISNUMBER(CA417),IF(ABS(CA417-[1]QC_indicators!$B$1)&gt;3*[1]QC_indicators!$C$1,"DF","no")))</f>
        <v>0</v>
      </c>
      <c r="FA417" t="str">
        <f t="shared" si="490"/>
        <v/>
      </c>
      <c r="FB417" s="299" t="s">
        <v>349</v>
      </c>
    </row>
    <row r="418" spans="1:158" ht="15" hidden="1" customHeight="1">
      <c r="D418" t="s">
        <v>3845</v>
      </c>
      <c r="E418" t="s">
        <v>3846</v>
      </c>
      <c r="G418" t="s">
        <v>3239</v>
      </c>
      <c r="I418">
        <v>2018</v>
      </c>
      <c r="K418" t="s">
        <v>3847</v>
      </c>
      <c r="M418" t="str">
        <f t="shared" si="456"/>
        <v>Smyth_2018</v>
      </c>
      <c r="N418" s="297" t="s">
        <v>4058</v>
      </c>
      <c r="O418" s="145" t="s">
        <v>225</v>
      </c>
      <c r="Q418" s="297" t="s">
        <v>256</v>
      </c>
      <c r="R418" s="298"/>
      <c r="S418" s="1" t="s">
        <v>3852</v>
      </c>
      <c r="X418" s="143">
        <v>0</v>
      </c>
      <c r="Y418" s="143">
        <v>0</v>
      </c>
      <c r="Z418" s="143">
        <v>0</v>
      </c>
      <c r="AA418" s="143">
        <v>0</v>
      </c>
      <c r="AB418" s="143">
        <v>0</v>
      </c>
      <c r="AC418" s="143">
        <v>0</v>
      </c>
      <c r="AD418" s="143">
        <v>0</v>
      </c>
      <c r="AE418" s="143">
        <v>0</v>
      </c>
      <c r="AF418" s="143">
        <v>0</v>
      </c>
      <c r="AG418" s="143">
        <v>0</v>
      </c>
      <c r="AH418" s="143">
        <v>0</v>
      </c>
      <c r="AI418" s="143">
        <v>0</v>
      </c>
      <c r="AJ418" s="143">
        <v>0</v>
      </c>
      <c r="AK418" s="143">
        <v>1</v>
      </c>
      <c r="AL418" s="143">
        <v>0</v>
      </c>
      <c r="AM418" s="143">
        <v>0</v>
      </c>
      <c r="AN418" s="143">
        <v>0</v>
      </c>
      <c r="AO418" s="143">
        <v>0</v>
      </c>
      <c r="AP418" s="143">
        <v>0</v>
      </c>
      <c r="AQ418" s="143">
        <v>0</v>
      </c>
      <c r="AR418" s="143">
        <v>0</v>
      </c>
      <c r="AS418" s="143">
        <v>0</v>
      </c>
      <c r="AT418" s="143">
        <v>0</v>
      </c>
      <c r="AU418" s="143">
        <v>0</v>
      </c>
      <c r="AV418" s="143">
        <v>0</v>
      </c>
      <c r="AW418" s="143">
        <v>0</v>
      </c>
      <c r="AX418" s="143">
        <v>0</v>
      </c>
      <c r="AY418" s="143">
        <v>0</v>
      </c>
      <c r="AZ418" s="141">
        <f t="shared" si="457"/>
        <v>1</v>
      </c>
      <c r="BA418" s="141">
        <f t="shared" si="458"/>
        <v>1</v>
      </c>
      <c r="BB418">
        <f t="shared" si="459"/>
        <v>0</v>
      </c>
      <c r="BC418">
        <f t="shared" si="460"/>
        <v>1</v>
      </c>
      <c r="BD418">
        <f t="shared" si="461"/>
        <v>0</v>
      </c>
      <c r="BE418">
        <f t="shared" si="462"/>
        <v>0</v>
      </c>
      <c r="BF418">
        <f t="shared" si="463"/>
        <v>0</v>
      </c>
      <c r="BG418" t="str" cm="1">
        <f t="array" ref="BG418">IF(BA418=1,INDEX($X$7:$AN$7,MATCH(TRUE,INDEX($X418:$AY418&lt;&gt;0,),0)),IF(BA418=0,INDEX($AO$7:$AY$7,MATCH(1,$AO418:$AY418,0)),IF(BH418="Multiple strategies","mixed drivers",IF(BH418="Supply chain","multiple supply","multiple silviculture"))))</f>
        <v>products lifespan</v>
      </c>
      <c r="BH418" s="2" t="str" cm="1">
        <f t="array" ref="BH418">IF(COUNTIF(BB418:BD418,"&lt;&gt;0")=1,INDEX($X$4:$AY$4,MATCH(TRUE,INDEX($X418:$AY418&lt;&gt;0,),0)),IF(COUNTIF(BB418:BD418,"&lt;&gt;0")=0,INDEX($AO$4:$AY$4,MATCH(1,$AO418:$AY418,0)),"Multiple strategies"))</f>
        <v>Supply chain</v>
      </c>
      <c r="BI418" s="1" t="s">
        <v>321</v>
      </c>
      <c r="BR418" s="297" t="s">
        <v>232</v>
      </c>
      <c r="BS418" s="297"/>
      <c r="BT418" t="s">
        <v>3848</v>
      </c>
      <c r="BW418" s="144"/>
      <c r="BX418">
        <v>42</v>
      </c>
      <c r="CA418" t="str">
        <f t="shared" si="465"/>
        <v/>
      </c>
      <c r="CB418" s="143">
        <v>0</v>
      </c>
      <c r="CC418" s="143">
        <v>0</v>
      </c>
      <c r="CD418" s="143">
        <v>0</v>
      </c>
      <c r="CE418" s="143">
        <v>0</v>
      </c>
      <c r="CF418" s="143">
        <v>0</v>
      </c>
      <c r="CG418" s="143">
        <v>0</v>
      </c>
      <c r="CH418" s="143">
        <v>0</v>
      </c>
      <c r="CI418" s="143">
        <v>0</v>
      </c>
      <c r="CJ418" s="143">
        <v>0</v>
      </c>
      <c r="CK418" s="143">
        <v>0</v>
      </c>
      <c r="CL418" s="143">
        <v>0</v>
      </c>
      <c r="CM418" s="143">
        <v>0</v>
      </c>
      <c r="CN418" s="143">
        <v>0</v>
      </c>
      <c r="CO418" s="143">
        <v>0</v>
      </c>
      <c r="CP418" t="str">
        <f t="shared" si="466"/>
        <v>refOK</v>
      </c>
      <c r="CQ418"/>
      <c r="CR418"/>
      <c r="CS418"/>
      <c r="CT418">
        <f t="shared" si="467"/>
        <v>0</v>
      </c>
      <c r="CU418"/>
      <c r="CV418"/>
      <c r="CW418">
        <f t="shared" si="470"/>
        <v>0</v>
      </c>
      <c r="CX418" t="str">
        <f t="shared" si="492"/>
        <v/>
      </c>
      <c r="CY418" t="str">
        <f t="shared" si="492"/>
        <v/>
      </c>
      <c r="CZ418" t="str">
        <f t="shared" si="472"/>
        <v/>
      </c>
      <c r="DA418" s="2" t="str">
        <f t="shared" si="473"/>
        <v/>
      </c>
      <c r="DB418" s="1" t="s">
        <v>1074</v>
      </c>
      <c r="DC418" s="297" t="str">
        <f t="shared" si="474"/>
        <v>reg</v>
      </c>
      <c r="DD418" t="s">
        <v>527</v>
      </c>
      <c r="DE418">
        <v>2018</v>
      </c>
      <c r="DF418">
        <v>2050</v>
      </c>
      <c r="DG418">
        <f t="shared" si="491"/>
        <v>32</v>
      </c>
      <c r="DH418" t="str">
        <f t="shared" si="475"/>
        <v>31-70</v>
      </c>
      <c r="DI418">
        <v>1</v>
      </c>
      <c r="DJ418">
        <v>1</v>
      </c>
      <c r="DK418">
        <v>1</v>
      </c>
      <c r="DL418">
        <v>1</v>
      </c>
      <c r="DN418">
        <f t="shared" si="476"/>
        <v>4</v>
      </c>
      <c r="DO418" t="str">
        <f t="shared" si="477"/>
        <v>mixedProduct</v>
      </c>
      <c r="DP418" t="str">
        <f t="shared" si="478"/>
        <v>Upstream</v>
      </c>
      <c r="DQ418" t="str">
        <f t="shared" si="479"/>
        <v>Energy</v>
      </c>
      <c r="DR418" t="str">
        <f t="shared" si="480"/>
        <v>Pulp/Paper</v>
      </c>
      <c r="DS418" t="str">
        <f t="shared" si="481"/>
        <v>Timber</v>
      </c>
      <c r="DT418">
        <v>1</v>
      </c>
      <c r="DU418" s="143">
        <v>0</v>
      </c>
      <c r="DV418">
        <v>0</v>
      </c>
      <c r="DW418">
        <v>0</v>
      </c>
      <c r="DX418">
        <v>0</v>
      </c>
      <c r="DY418">
        <f t="shared" si="482"/>
        <v>1</v>
      </c>
      <c r="DZ418" s="143" t="str">
        <f t="shared" si="483"/>
        <v>self-calculated DF</v>
      </c>
      <c r="EA418" s="143">
        <v>1</v>
      </c>
      <c r="EB418" s="143">
        <v>1</v>
      </c>
      <c r="EC418" s="143">
        <v>1</v>
      </c>
      <c r="ED418" s="143">
        <v>1</v>
      </c>
      <c r="EE418" s="143">
        <v>1</v>
      </c>
      <c r="EF418" s="143">
        <v>1</v>
      </c>
      <c r="EG418" s="143">
        <v>0</v>
      </c>
      <c r="EH418" s="143">
        <v>0</v>
      </c>
      <c r="EI418" s="143">
        <v>0</v>
      </c>
      <c r="EJ418" s="143">
        <v>0</v>
      </c>
      <c r="EK418" s="143">
        <v>0</v>
      </c>
      <c r="EL418" s="143">
        <v>0</v>
      </c>
      <c r="EM418" s="143">
        <v>0</v>
      </c>
      <c r="EN418" s="192">
        <v>0</v>
      </c>
      <c r="EP418" t="str">
        <f t="shared" si="484"/>
        <v/>
      </c>
      <c r="EQ418" t="str">
        <f t="shared" si="485"/>
        <v/>
      </c>
      <c r="ER418" s="2" t="str">
        <f t="shared" si="486"/>
        <v/>
      </c>
      <c r="ES418" t="str">
        <f t="shared" si="487"/>
        <v/>
      </c>
      <c r="ET418" t="str">
        <f t="shared" si="488"/>
        <v/>
      </c>
      <c r="EU418" t="str">
        <f t="shared" si="489"/>
        <v/>
      </c>
      <c r="EY418" t="b">
        <f>IF(ISNUMBER(BW418),IF(ABS(BW418-[1]QC_indicators!$B$2)&gt;3*[1]QC_indicators!$C$2,"C ratio",IF(ISNUMBER(CA418),IF(ABS(CA418-[1]QC_indicators!$B$1)&gt;3*[1]QC_indicators!$C$1,"DF","no"))),IF(ISNUMBER(CA418),IF(ABS(CA418-[1]QC_indicators!$B$1)&gt;3*[1]QC_indicators!$C$1,"DF","no")))</f>
        <v>0</v>
      </c>
      <c r="FA418" t="str">
        <f t="shared" si="490"/>
        <v/>
      </c>
      <c r="FB418" s="299" t="s">
        <v>349</v>
      </c>
    </row>
    <row r="419" spans="1:158" ht="15" hidden="1" customHeight="1">
      <c r="D419" t="s">
        <v>3845</v>
      </c>
      <c r="E419" t="s">
        <v>3846</v>
      </c>
      <c r="G419" t="s">
        <v>3239</v>
      </c>
      <c r="I419">
        <v>2018</v>
      </c>
      <c r="K419" t="s">
        <v>3847</v>
      </c>
      <c r="M419" t="str">
        <f t="shared" si="456"/>
        <v>Smyth_2018</v>
      </c>
      <c r="N419" s="297" t="s">
        <v>4058</v>
      </c>
      <c r="O419" s="145" t="s">
        <v>225</v>
      </c>
      <c r="Q419" s="297" t="s">
        <v>256</v>
      </c>
      <c r="R419" s="298"/>
      <c r="S419" s="1" t="s">
        <v>3851</v>
      </c>
      <c r="X419" s="143">
        <v>0</v>
      </c>
      <c r="Y419" s="143">
        <v>0</v>
      </c>
      <c r="Z419" s="143">
        <v>0</v>
      </c>
      <c r="AA419" s="143">
        <v>0</v>
      </c>
      <c r="AB419" s="143">
        <v>0</v>
      </c>
      <c r="AC419" s="143">
        <v>0</v>
      </c>
      <c r="AD419" s="143">
        <v>0</v>
      </c>
      <c r="AE419" s="143">
        <v>0</v>
      </c>
      <c r="AF419" s="143">
        <v>0</v>
      </c>
      <c r="AG419" s="143">
        <v>0</v>
      </c>
      <c r="AH419" s="143">
        <v>0</v>
      </c>
      <c r="AI419" s="143">
        <v>0</v>
      </c>
      <c r="AJ419" s="143">
        <v>0</v>
      </c>
      <c r="AK419" s="143">
        <v>0</v>
      </c>
      <c r="AL419" s="143">
        <v>1</v>
      </c>
      <c r="AM419" s="143">
        <v>0</v>
      </c>
      <c r="AN419" s="143">
        <v>0</v>
      </c>
      <c r="AO419" s="143">
        <v>0</v>
      </c>
      <c r="AP419" s="143">
        <v>0</v>
      </c>
      <c r="AQ419" s="143">
        <v>0</v>
      </c>
      <c r="AR419" s="143">
        <v>0</v>
      </c>
      <c r="AS419" s="143">
        <v>0</v>
      </c>
      <c r="AT419" s="143">
        <v>0</v>
      </c>
      <c r="AU419" s="143">
        <v>0</v>
      </c>
      <c r="AV419" s="143">
        <v>0</v>
      </c>
      <c r="AW419" s="143">
        <v>0</v>
      </c>
      <c r="AX419" s="143">
        <v>0</v>
      </c>
      <c r="AY419" s="143">
        <v>0</v>
      </c>
      <c r="AZ419" s="141">
        <f t="shared" si="457"/>
        <v>1</v>
      </c>
      <c r="BA419" s="141">
        <f t="shared" si="458"/>
        <v>1</v>
      </c>
      <c r="BB419">
        <f t="shared" si="459"/>
        <v>0</v>
      </c>
      <c r="BC419">
        <f t="shared" si="460"/>
        <v>0</v>
      </c>
      <c r="BD419">
        <f t="shared" si="461"/>
        <v>1</v>
      </c>
      <c r="BE419">
        <f t="shared" si="462"/>
        <v>0</v>
      </c>
      <c r="BF419">
        <f t="shared" si="463"/>
        <v>0</v>
      </c>
      <c r="BG419" t="str" cm="1">
        <f t="array" ref="BG419">IF(BA419=1,INDEX($X$7:$AN$7,MATCH(TRUE,INDEX($X419:$AY419&lt;&gt;0,),0)),IF(BA419=0,INDEX($AO$7:$AY$7,MATCH(1,$AO419:$AY419,0)),IF(BH419="Multiple strategies","mixed drivers",IF(BH419="Supply chain","multiple supply","multiple silviculture"))))</f>
        <v>efficiency improvement</v>
      </c>
      <c r="BH419" s="2" t="str" cm="1">
        <f t="array" ref="BH419">IF(COUNTIF(BB419:BD419,"&lt;&gt;0")=1,INDEX($X$4:$AY$4,MATCH(TRUE,INDEX($X419:$AY419&lt;&gt;0,),0)),IF(COUNTIF(BB419:BD419,"&lt;&gt;0")=0,INDEX($AO$4:$AY$4,MATCH(1,$AO419:$AY419,0)),"Multiple strategies"))</f>
        <v>Technology</v>
      </c>
      <c r="BI419" s="1" t="s">
        <v>321</v>
      </c>
      <c r="BR419" s="297" t="s">
        <v>232</v>
      </c>
      <c r="BS419" s="297"/>
      <c r="BT419" t="s">
        <v>3848</v>
      </c>
      <c r="BW419" s="144"/>
      <c r="BX419">
        <v>46</v>
      </c>
      <c r="CA419" t="str">
        <f t="shared" si="465"/>
        <v/>
      </c>
      <c r="CB419" s="143">
        <v>0</v>
      </c>
      <c r="CC419" s="143">
        <v>0</v>
      </c>
      <c r="CD419" s="143">
        <v>0</v>
      </c>
      <c r="CE419" s="143">
        <v>0</v>
      </c>
      <c r="CF419" s="143">
        <v>0</v>
      </c>
      <c r="CG419" s="143">
        <v>0</v>
      </c>
      <c r="CH419" s="143">
        <v>0</v>
      </c>
      <c r="CI419" s="143">
        <v>0</v>
      </c>
      <c r="CJ419" s="143">
        <v>0</v>
      </c>
      <c r="CK419" s="143">
        <v>0</v>
      </c>
      <c r="CL419" s="143">
        <v>0</v>
      </c>
      <c r="CM419" s="143">
        <v>0</v>
      </c>
      <c r="CN419" s="143">
        <v>0</v>
      </c>
      <c r="CO419" s="143">
        <v>0</v>
      </c>
      <c r="CP419" t="str">
        <f t="shared" si="466"/>
        <v>refOK</v>
      </c>
      <c r="CQ419"/>
      <c r="CR419"/>
      <c r="CS419"/>
      <c r="CT419">
        <f t="shared" si="467"/>
        <v>0</v>
      </c>
      <c r="CU419"/>
      <c r="CV419"/>
      <c r="CW419">
        <f t="shared" si="470"/>
        <v>0</v>
      </c>
      <c r="CX419" t="str">
        <f t="shared" si="492"/>
        <v/>
      </c>
      <c r="CY419" t="str">
        <f t="shared" si="492"/>
        <v/>
      </c>
      <c r="CZ419" t="str">
        <f t="shared" si="472"/>
        <v/>
      </c>
      <c r="DA419" s="2" t="str">
        <f t="shared" si="473"/>
        <v/>
      </c>
      <c r="DB419" s="1" t="s">
        <v>1074</v>
      </c>
      <c r="DC419" s="297" t="str">
        <f t="shared" si="474"/>
        <v>reg</v>
      </c>
      <c r="DD419" t="s">
        <v>527</v>
      </c>
      <c r="DE419">
        <v>2018</v>
      </c>
      <c r="DF419">
        <v>2050</v>
      </c>
      <c r="DG419">
        <f t="shared" si="491"/>
        <v>32</v>
      </c>
      <c r="DH419" t="str">
        <f t="shared" si="475"/>
        <v>31-70</v>
      </c>
      <c r="DI419">
        <v>1</v>
      </c>
      <c r="DJ419">
        <v>1</v>
      </c>
      <c r="DK419">
        <v>1</v>
      </c>
      <c r="DL419">
        <v>1</v>
      </c>
      <c r="DN419">
        <f t="shared" si="476"/>
        <v>4</v>
      </c>
      <c r="DO419" t="str">
        <f t="shared" si="477"/>
        <v>mixedProduct</v>
      </c>
      <c r="DP419" t="str">
        <f t="shared" si="478"/>
        <v>Upstream</v>
      </c>
      <c r="DQ419" t="str">
        <f t="shared" si="479"/>
        <v>Energy</v>
      </c>
      <c r="DR419" t="str">
        <f t="shared" si="480"/>
        <v>Pulp/Paper</v>
      </c>
      <c r="DS419" t="str">
        <f t="shared" si="481"/>
        <v>Timber</v>
      </c>
      <c r="DT419">
        <v>1</v>
      </c>
      <c r="DU419" s="143">
        <v>0</v>
      </c>
      <c r="DV419">
        <v>0</v>
      </c>
      <c r="DW419">
        <v>0</v>
      </c>
      <c r="DX419">
        <v>0</v>
      </c>
      <c r="DY419">
        <f t="shared" si="482"/>
        <v>1</v>
      </c>
      <c r="DZ419" s="143" t="str">
        <f t="shared" si="483"/>
        <v>self-calculated DF</v>
      </c>
      <c r="EA419" s="143">
        <v>1</v>
      </c>
      <c r="EB419" s="143">
        <v>1</v>
      </c>
      <c r="EC419" s="143">
        <v>1</v>
      </c>
      <c r="ED419" s="143">
        <v>1</v>
      </c>
      <c r="EE419" s="143">
        <v>1</v>
      </c>
      <c r="EF419" s="143">
        <v>1</v>
      </c>
      <c r="EG419" s="143">
        <v>0</v>
      </c>
      <c r="EH419" s="143">
        <v>0</v>
      </c>
      <c r="EI419" s="143">
        <v>0</v>
      </c>
      <c r="EJ419" s="143">
        <v>0</v>
      </c>
      <c r="EK419" s="143">
        <v>0</v>
      </c>
      <c r="EL419" s="143">
        <v>0</v>
      </c>
      <c r="EM419" s="143">
        <v>0</v>
      </c>
      <c r="EN419" s="192">
        <v>0</v>
      </c>
      <c r="EP419" t="str">
        <f t="shared" si="484"/>
        <v/>
      </c>
      <c r="EQ419" t="str">
        <f t="shared" si="485"/>
        <v/>
      </c>
      <c r="ER419" s="2" t="str">
        <f t="shared" si="486"/>
        <v/>
      </c>
      <c r="ES419" t="str">
        <f t="shared" si="487"/>
        <v/>
      </c>
      <c r="ET419" t="str">
        <f t="shared" si="488"/>
        <v/>
      </c>
      <c r="EU419" t="str">
        <f t="shared" si="489"/>
        <v/>
      </c>
      <c r="EY419" t="b">
        <f>IF(ISNUMBER(BW419),IF(ABS(BW419-[1]QC_indicators!$B$2)&gt;3*[1]QC_indicators!$C$2,"C ratio",IF(ISNUMBER(CA419),IF(ABS(CA419-[1]QC_indicators!$B$1)&gt;3*[1]QC_indicators!$C$1,"DF","no"))),IF(ISNUMBER(CA419),IF(ABS(CA419-[1]QC_indicators!$B$1)&gt;3*[1]QC_indicators!$C$1,"DF","no")))</f>
        <v>0</v>
      </c>
      <c r="FA419" t="str">
        <f t="shared" si="490"/>
        <v/>
      </c>
      <c r="FB419" s="299" t="s">
        <v>349</v>
      </c>
    </row>
    <row r="420" spans="1:158" ht="15" hidden="1" customHeight="1">
      <c r="D420" t="s">
        <v>3845</v>
      </c>
      <c r="E420" t="s">
        <v>3846</v>
      </c>
      <c r="G420" t="s">
        <v>3239</v>
      </c>
      <c r="I420">
        <v>2018</v>
      </c>
      <c r="K420" t="s">
        <v>3847</v>
      </c>
      <c r="M420" t="str">
        <f t="shared" si="456"/>
        <v>Smyth_2018</v>
      </c>
      <c r="N420" s="297" t="s">
        <v>4058</v>
      </c>
      <c r="O420" s="145" t="s">
        <v>225</v>
      </c>
      <c r="Q420" s="297" t="s">
        <v>256</v>
      </c>
      <c r="R420" s="298"/>
      <c r="S420" s="1" t="s">
        <v>3851</v>
      </c>
      <c r="X420" s="143">
        <v>0</v>
      </c>
      <c r="Y420" s="143">
        <v>0</v>
      </c>
      <c r="Z420" s="143">
        <v>0</v>
      </c>
      <c r="AA420" s="143">
        <v>0</v>
      </c>
      <c r="AB420" s="143">
        <v>0</v>
      </c>
      <c r="AC420" s="143">
        <v>0</v>
      </c>
      <c r="AD420" s="143">
        <v>0</v>
      </c>
      <c r="AE420" s="143">
        <v>0</v>
      </c>
      <c r="AF420" s="143">
        <v>0</v>
      </c>
      <c r="AG420" s="143">
        <v>0</v>
      </c>
      <c r="AH420" s="143">
        <v>0</v>
      </c>
      <c r="AI420" s="143">
        <v>0</v>
      </c>
      <c r="AJ420" s="143">
        <v>0</v>
      </c>
      <c r="AK420" s="143">
        <v>0</v>
      </c>
      <c r="AL420" s="143">
        <v>1</v>
      </c>
      <c r="AM420" s="143">
        <v>0</v>
      </c>
      <c r="AN420" s="143">
        <v>0</v>
      </c>
      <c r="AO420" s="143">
        <v>0</v>
      </c>
      <c r="AP420" s="143">
        <v>0</v>
      </c>
      <c r="AQ420" s="143">
        <v>0</v>
      </c>
      <c r="AR420" s="143">
        <v>0</v>
      </c>
      <c r="AS420" s="143">
        <v>0</v>
      </c>
      <c r="AT420" s="143">
        <v>0</v>
      </c>
      <c r="AU420" s="143">
        <v>0</v>
      </c>
      <c r="AV420" s="143">
        <v>0</v>
      </c>
      <c r="AW420" s="143">
        <v>0</v>
      </c>
      <c r="AX420" s="143">
        <v>0</v>
      </c>
      <c r="AY420" s="143">
        <v>0</v>
      </c>
      <c r="AZ420" s="141">
        <f t="shared" si="457"/>
        <v>1</v>
      </c>
      <c r="BA420" s="141">
        <f t="shared" si="458"/>
        <v>1</v>
      </c>
      <c r="BB420">
        <f t="shared" si="459"/>
        <v>0</v>
      </c>
      <c r="BC420">
        <f t="shared" si="460"/>
        <v>0</v>
      </c>
      <c r="BD420">
        <f t="shared" si="461"/>
        <v>1</v>
      </c>
      <c r="BE420">
        <f t="shared" si="462"/>
        <v>0</v>
      </c>
      <c r="BF420">
        <f t="shared" si="463"/>
        <v>0</v>
      </c>
      <c r="BG420" t="str" cm="1">
        <f t="array" ref="BG420">IF(BA420=1,INDEX($X$7:$AN$7,MATCH(TRUE,INDEX($X420:$AY420&lt;&gt;0,),0)),IF(BA420=0,INDEX($AO$7:$AY$7,MATCH(1,$AO420:$AY420,0)),IF(BH420="Multiple strategies","mixed drivers",IF(BH420="Supply chain","multiple supply","multiple silviculture"))))</f>
        <v>efficiency improvement</v>
      </c>
      <c r="BH420" s="2" t="str" cm="1">
        <f t="array" ref="BH420">IF(COUNTIF(BB420:BD420,"&lt;&gt;0")=1,INDEX($X$4:$AY$4,MATCH(TRUE,INDEX($X420:$AY420&lt;&gt;0,),0)),IF(COUNTIF(BB420:BD420,"&lt;&gt;0")=0,INDEX($AO$4:$AY$4,MATCH(1,$AO420:$AY420,0)),"Multiple strategies"))</f>
        <v>Technology</v>
      </c>
      <c r="BI420" s="1" t="s">
        <v>321</v>
      </c>
      <c r="BR420" s="297" t="s">
        <v>232</v>
      </c>
      <c r="BS420" s="297"/>
      <c r="BT420" t="s">
        <v>3848</v>
      </c>
      <c r="BW420" s="144"/>
      <c r="BX420">
        <v>16</v>
      </c>
      <c r="CA420" t="str">
        <f t="shared" si="465"/>
        <v/>
      </c>
      <c r="CB420" s="143">
        <v>0</v>
      </c>
      <c r="CC420" s="143">
        <v>0</v>
      </c>
      <c r="CD420" s="143">
        <v>0</v>
      </c>
      <c r="CE420" s="143">
        <v>0</v>
      </c>
      <c r="CF420" s="143">
        <v>0</v>
      </c>
      <c r="CG420" s="143">
        <v>0</v>
      </c>
      <c r="CH420" s="143">
        <v>0</v>
      </c>
      <c r="CI420" s="143">
        <v>0</v>
      </c>
      <c r="CJ420" s="143">
        <v>0</v>
      </c>
      <c r="CK420" s="143">
        <v>0</v>
      </c>
      <c r="CL420" s="143">
        <v>0</v>
      </c>
      <c r="CM420" s="143">
        <v>0</v>
      </c>
      <c r="CN420" s="143">
        <v>0</v>
      </c>
      <c r="CO420" s="143">
        <v>0</v>
      </c>
      <c r="CP420" t="str">
        <f t="shared" si="466"/>
        <v>refOK</v>
      </c>
      <c r="CQ420"/>
      <c r="CR420"/>
      <c r="CS420"/>
      <c r="CT420">
        <f t="shared" si="467"/>
        <v>0</v>
      </c>
      <c r="CU420"/>
      <c r="CV420"/>
      <c r="CW420">
        <f t="shared" si="470"/>
        <v>0</v>
      </c>
      <c r="CX420" t="str">
        <f t="shared" si="492"/>
        <v/>
      </c>
      <c r="CY420" t="str">
        <f t="shared" si="492"/>
        <v/>
      </c>
      <c r="CZ420" t="str">
        <f t="shared" si="472"/>
        <v/>
      </c>
      <c r="DA420" s="2" t="str">
        <f t="shared" si="473"/>
        <v/>
      </c>
      <c r="DB420" s="1" t="s">
        <v>1074</v>
      </c>
      <c r="DC420" s="297" t="str">
        <f t="shared" si="474"/>
        <v>reg</v>
      </c>
      <c r="DD420" t="s">
        <v>527</v>
      </c>
      <c r="DE420">
        <v>2018</v>
      </c>
      <c r="DF420">
        <v>2050</v>
      </c>
      <c r="DG420">
        <f t="shared" si="491"/>
        <v>32</v>
      </c>
      <c r="DH420" t="str">
        <f t="shared" si="475"/>
        <v>31-70</v>
      </c>
      <c r="DI420">
        <v>1</v>
      </c>
      <c r="DJ420">
        <v>1</v>
      </c>
      <c r="DK420">
        <v>1</v>
      </c>
      <c r="DL420">
        <v>1</v>
      </c>
      <c r="DN420">
        <f t="shared" si="476"/>
        <v>4</v>
      </c>
      <c r="DO420" t="str">
        <f t="shared" si="477"/>
        <v>mixedProduct</v>
      </c>
      <c r="DP420" t="str">
        <f t="shared" si="478"/>
        <v>Upstream</v>
      </c>
      <c r="DQ420" t="str">
        <f t="shared" si="479"/>
        <v>Energy</v>
      </c>
      <c r="DR420" t="str">
        <f t="shared" si="480"/>
        <v>Pulp/Paper</v>
      </c>
      <c r="DS420" t="str">
        <f t="shared" si="481"/>
        <v>Timber</v>
      </c>
      <c r="DT420">
        <v>1</v>
      </c>
      <c r="DU420" s="143">
        <v>0</v>
      </c>
      <c r="DV420">
        <v>0</v>
      </c>
      <c r="DW420">
        <v>0</v>
      </c>
      <c r="DX420">
        <v>0</v>
      </c>
      <c r="DY420">
        <f t="shared" si="482"/>
        <v>1</v>
      </c>
      <c r="DZ420" s="143" t="str">
        <f t="shared" si="483"/>
        <v>self-calculated DF</v>
      </c>
      <c r="EA420" s="143">
        <v>1</v>
      </c>
      <c r="EB420" s="143">
        <v>1</v>
      </c>
      <c r="EC420" s="143">
        <v>1</v>
      </c>
      <c r="ED420" s="143">
        <v>1</v>
      </c>
      <c r="EE420" s="143">
        <v>1</v>
      </c>
      <c r="EF420" s="143">
        <v>1</v>
      </c>
      <c r="EG420" s="143">
        <v>0</v>
      </c>
      <c r="EH420" s="143">
        <v>0</v>
      </c>
      <c r="EI420" s="143">
        <v>0</v>
      </c>
      <c r="EJ420" s="143">
        <v>0</v>
      </c>
      <c r="EK420" s="143">
        <v>0</v>
      </c>
      <c r="EL420" s="143">
        <v>0</v>
      </c>
      <c r="EM420" s="143">
        <v>0</v>
      </c>
      <c r="EN420" s="192">
        <v>0</v>
      </c>
      <c r="EP420" t="str">
        <f t="shared" si="484"/>
        <v/>
      </c>
      <c r="EQ420" t="str">
        <f t="shared" si="485"/>
        <v/>
      </c>
      <c r="ER420" s="2" t="str">
        <f t="shared" si="486"/>
        <v/>
      </c>
      <c r="ES420" t="str">
        <f t="shared" si="487"/>
        <v/>
      </c>
      <c r="ET420" t="str">
        <f t="shared" si="488"/>
        <v/>
      </c>
      <c r="EU420" t="str">
        <f t="shared" si="489"/>
        <v/>
      </c>
      <c r="EY420" t="b">
        <f>IF(ISNUMBER(BW420),IF(ABS(BW420-[1]QC_indicators!$B$2)&gt;3*[1]QC_indicators!$C$2,"C ratio",IF(ISNUMBER(CA420),IF(ABS(CA420-[1]QC_indicators!$B$1)&gt;3*[1]QC_indicators!$C$1,"DF","no"))),IF(ISNUMBER(CA420),IF(ABS(CA420-[1]QC_indicators!$B$1)&gt;3*[1]QC_indicators!$C$1,"DF","no")))</f>
        <v>0</v>
      </c>
      <c r="FA420" t="str">
        <f t="shared" si="490"/>
        <v/>
      </c>
      <c r="FB420" s="299" t="s">
        <v>349</v>
      </c>
    </row>
    <row r="421" spans="1:158" ht="15" hidden="1" customHeight="1">
      <c r="A421" s="1" t="s">
        <v>3853</v>
      </c>
      <c r="B421" t="s">
        <v>531</v>
      </c>
      <c r="C421" t="s">
        <v>3854</v>
      </c>
      <c r="D421" t="s">
        <v>3855</v>
      </c>
      <c r="E421" t="s">
        <v>3856</v>
      </c>
      <c r="F421" t="s">
        <v>3857</v>
      </c>
      <c r="G421" t="s">
        <v>3858</v>
      </c>
      <c r="H421" t="s">
        <v>1484</v>
      </c>
      <c r="I421">
        <v>2006</v>
      </c>
      <c r="J421">
        <v>50</v>
      </c>
      <c r="K421" t="s">
        <v>3859</v>
      </c>
      <c r="M421" t="str">
        <f t="shared" si="456"/>
        <v>Sonne_2006</v>
      </c>
      <c r="N421" s="297" t="s">
        <v>4058</v>
      </c>
      <c r="O421" s="171" t="s">
        <v>341</v>
      </c>
      <c r="P421" t="s">
        <v>508</v>
      </c>
      <c r="Q421" s="297" t="s">
        <v>389</v>
      </c>
      <c r="R421" s="298"/>
      <c r="S421" s="1" t="s">
        <v>3860</v>
      </c>
      <c r="T421" t="s">
        <v>3861</v>
      </c>
      <c r="U421" t="s">
        <v>3862</v>
      </c>
      <c r="X421">
        <v>0</v>
      </c>
      <c r="Y421">
        <v>0</v>
      </c>
      <c r="Z421">
        <v>0</v>
      </c>
      <c r="AA421">
        <v>1</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s="141">
        <f t="shared" si="457"/>
        <v>1</v>
      </c>
      <c r="BA421" s="141">
        <f t="shared" si="458"/>
        <v>1</v>
      </c>
      <c r="BB421">
        <f t="shared" si="459"/>
        <v>1</v>
      </c>
      <c r="BC421">
        <f t="shared" si="460"/>
        <v>0</v>
      </c>
      <c r="BD421">
        <f t="shared" si="461"/>
        <v>0</v>
      </c>
      <c r="BE421">
        <f t="shared" si="462"/>
        <v>0</v>
      </c>
      <c r="BF421">
        <f t="shared" si="463"/>
        <v>0</v>
      </c>
      <c r="BG421" t="str" cm="1">
        <f t="array" ref="BG421">IF(BA421=1,INDEX($X$7:$AN$7,MATCH(TRUE,INDEX($X421:$AY421&lt;&gt;0,),0)),IF(BA421=0,INDEX($AO$7:$AY$7,MATCH(1,$AO421:$AY421,0)),IF(BH421="Multiple strategies","mixed drivers",IF(BH421="Supply chain","multiple supply","multiple silviculture"))))</f>
        <v xml:space="preserve">cutting intensity </v>
      </c>
      <c r="BH421" s="2" t="str" cm="1">
        <f t="array" ref="BH421">IF(COUNTIF(BB421:BD421,"&lt;&gt;0")=1,INDEX($X$4:$AY$4,MATCH(TRUE,INDEX($X421:$AY421&lt;&gt;0,),0)),IF(COUNTIF(BB421:BD421,"&lt;&gt;0")=0,INDEX($AO$4:$AY$4,MATCH(1,$AO421:$AY421,0)),"Multiple strategies"))</f>
        <v>Silviculture for removals</v>
      </c>
      <c r="BI421" s="1" t="s">
        <v>229</v>
      </c>
      <c r="BO421" t="str">
        <f t="shared" ref="BO421:BO427" si="493">IFERROR(BN421/BM421,"")</f>
        <v/>
      </c>
      <c r="BT421" t="s">
        <v>3863</v>
      </c>
      <c r="BU421">
        <v>1.4500000000000001E-2</v>
      </c>
      <c r="BV421">
        <v>1.8700000000000001E-2</v>
      </c>
      <c r="BW421" s="144">
        <f t="shared" ref="BW421:BW427" si="494">BV421/BU421</f>
        <v>1.2896551724137932</v>
      </c>
      <c r="BX421">
        <f t="shared" ref="BX421:BX427" si="495">BV421-BU421</f>
        <v>4.2000000000000006E-3</v>
      </c>
      <c r="BZ421">
        <f t="shared" ref="BZ421:BZ427" si="496">BX421</f>
        <v>4.2000000000000006E-3</v>
      </c>
      <c r="CA421" t="str">
        <f t="shared" si="465"/>
        <v/>
      </c>
      <c r="CB421">
        <v>0</v>
      </c>
      <c r="CC421">
        <v>1</v>
      </c>
      <c r="CD421">
        <v>0</v>
      </c>
      <c r="CE421">
        <v>1</v>
      </c>
      <c r="CF421">
        <v>0</v>
      </c>
      <c r="CG421">
        <v>0</v>
      </c>
      <c r="CH421">
        <v>0</v>
      </c>
      <c r="CI421">
        <v>0</v>
      </c>
      <c r="CJ421">
        <v>0</v>
      </c>
      <c r="CK421">
        <v>0</v>
      </c>
      <c r="CL421">
        <v>0</v>
      </c>
      <c r="CM421">
        <v>0</v>
      </c>
      <c r="CN421">
        <v>0</v>
      </c>
      <c r="CO421">
        <v>0</v>
      </c>
      <c r="CP421" t="str">
        <f t="shared" ref="CP421:CP427" si="497">IF($BN421&lt;$BM421,"refNeedCorrection","refOK")</f>
        <v>refOK</v>
      </c>
      <c r="CQ421"/>
      <c r="CR421"/>
      <c r="CS421"/>
      <c r="CT421">
        <f t="shared" si="467"/>
        <v>0</v>
      </c>
      <c r="CU421">
        <f t="shared" ref="CU421:CU452" si="498">IF($CP421="refOK",$BU421,$BV421)*IF($BR421="Emissions positive",-1,1)</f>
        <v>1.4500000000000001E-2</v>
      </c>
      <c r="CV421">
        <f t="shared" ref="CV421:CV452" si="499">IF($CP421="refOK",$BV421,$BU421)*IF($BR421="Emissions positive",-1,1)</f>
        <v>1.8700000000000001E-2</v>
      </c>
      <c r="CW421">
        <f t="shared" si="470"/>
        <v>4.2000000000000006E-3</v>
      </c>
      <c r="CX421" t="str">
        <f t="shared" si="492"/>
        <v/>
      </c>
      <c r="CY421" t="str">
        <f t="shared" si="492"/>
        <v/>
      </c>
      <c r="CZ421" t="str">
        <f t="shared" si="472"/>
        <v/>
      </c>
      <c r="DA421" s="2">
        <f t="shared" si="473"/>
        <v>0.28965517241379313</v>
      </c>
      <c r="DB421" s="1" t="s">
        <v>1843</v>
      </c>
      <c r="DC421" s="297" t="str">
        <f t="shared" si="474"/>
        <v>reg</v>
      </c>
      <c r="DD421" s="297" t="s">
        <v>428</v>
      </c>
      <c r="DG421">
        <v>30</v>
      </c>
      <c r="DH421" t="str">
        <f t="shared" si="475"/>
        <v>1-30</v>
      </c>
      <c r="DI421">
        <v>1</v>
      </c>
      <c r="DJ421">
        <v>0</v>
      </c>
      <c r="DK421">
        <v>0</v>
      </c>
      <c r="DL421">
        <v>0</v>
      </c>
      <c r="DM421">
        <v>0</v>
      </c>
      <c r="DN421">
        <f t="shared" ref="DN421:DN427" si="500">SUM(DI421:DM421)</f>
        <v>1</v>
      </c>
      <c r="DO421" t="str">
        <f t="shared" si="477"/>
        <v>UpstreamInput</v>
      </c>
      <c r="DP421" t="str">
        <f t="shared" si="478"/>
        <v>Upstream</v>
      </c>
      <c r="DQ421">
        <f t="shared" si="479"/>
        <v>0</v>
      </c>
      <c r="DR421">
        <f t="shared" si="480"/>
        <v>0</v>
      </c>
      <c r="DS421">
        <f t="shared" si="481"/>
        <v>0</v>
      </c>
      <c r="DT421">
        <v>0</v>
      </c>
      <c r="DU421">
        <v>0</v>
      </c>
      <c r="DV421">
        <v>0</v>
      </c>
      <c r="DW421">
        <v>0</v>
      </c>
      <c r="DX421">
        <v>0</v>
      </c>
      <c r="DY421"/>
      <c r="DZ421" s="143" t="str">
        <f t="shared" si="483"/>
        <v>explicit C balance</v>
      </c>
      <c r="EA421">
        <v>0</v>
      </c>
      <c r="EB421">
        <v>0</v>
      </c>
      <c r="EC421">
        <v>0</v>
      </c>
      <c r="ED421">
        <v>0</v>
      </c>
      <c r="EE421">
        <v>0</v>
      </c>
      <c r="EF421" s="143">
        <v>0</v>
      </c>
      <c r="EG421">
        <v>1</v>
      </c>
      <c r="EH421">
        <v>0</v>
      </c>
      <c r="EI421">
        <v>0</v>
      </c>
      <c r="EJ421">
        <v>0</v>
      </c>
      <c r="EK421">
        <v>0</v>
      </c>
      <c r="EL421">
        <v>0</v>
      </c>
      <c r="EM421">
        <v>0</v>
      </c>
      <c r="EN421" s="2">
        <v>0</v>
      </c>
      <c r="EP421" t="str">
        <f t="shared" si="484"/>
        <v/>
      </c>
      <c r="EQ421" t="str">
        <f t="shared" si="485"/>
        <v/>
      </c>
      <c r="ER421" s="2" t="str">
        <f t="shared" si="486"/>
        <v/>
      </c>
      <c r="ES421" t="str">
        <f t="shared" si="487"/>
        <v/>
      </c>
      <c r="ET421" t="str">
        <f t="shared" si="488"/>
        <v/>
      </c>
      <c r="EU421" t="str">
        <f t="shared" si="489"/>
        <v/>
      </c>
      <c r="EY421" t="b">
        <f>IF(ISNUMBER(BW421),IF(ABS(BW421-[1]QC_indicators!$B$2)&gt;3*[1]QC_indicators!$C$2,"C ratio",IF(ISNUMBER(CA421),IF(ABS(CA421-[1]QC_indicators!$B$1)&gt;3*[1]QC_indicators!$C$1,"DF","no"))),IF(ISNUMBER(CA421),IF(ABS(CA421-[1]QC_indicators!$B$1)&gt;3*[1]QC_indicators!$C$1,"DF","no")))</f>
        <v>0</v>
      </c>
      <c r="FA421" t="str">
        <f t="shared" si="490"/>
        <v/>
      </c>
    </row>
    <row r="422" spans="1:158" ht="15" hidden="1" customHeight="1">
      <c r="A422" s="1" t="s">
        <v>3853</v>
      </c>
      <c r="B422" t="s">
        <v>531</v>
      </c>
      <c r="C422" t="s">
        <v>3854</v>
      </c>
      <c r="D422" t="s">
        <v>3855</v>
      </c>
      <c r="E422" t="s">
        <v>3856</v>
      </c>
      <c r="F422" t="s">
        <v>3857</v>
      </c>
      <c r="G422" t="s">
        <v>3858</v>
      </c>
      <c r="H422" t="s">
        <v>1484</v>
      </c>
      <c r="I422">
        <v>2006</v>
      </c>
      <c r="J422">
        <v>50</v>
      </c>
      <c r="K422" t="s">
        <v>3859</v>
      </c>
      <c r="M422" t="str">
        <f t="shared" si="456"/>
        <v>Sonne_2006</v>
      </c>
      <c r="N422" s="297" t="s">
        <v>4058</v>
      </c>
      <c r="O422" s="171" t="s">
        <v>341</v>
      </c>
      <c r="P422" t="s">
        <v>508</v>
      </c>
      <c r="Q422" s="297" t="s">
        <v>389</v>
      </c>
      <c r="R422" s="298"/>
      <c r="S422" s="1" t="s">
        <v>3860</v>
      </c>
      <c r="T422" t="s">
        <v>3861</v>
      </c>
      <c r="U422" t="s">
        <v>3864</v>
      </c>
      <c r="X422">
        <v>0</v>
      </c>
      <c r="Y422">
        <v>0</v>
      </c>
      <c r="Z422">
        <v>0</v>
      </c>
      <c r="AA422">
        <v>1</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s="141">
        <f t="shared" si="457"/>
        <v>1</v>
      </c>
      <c r="BA422" s="141">
        <f t="shared" si="458"/>
        <v>1</v>
      </c>
      <c r="BB422">
        <f t="shared" si="459"/>
        <v>1</v>
      </c>
      <c r="BC422">
        <f t="shared" si="460"/>
        <v>0</v>
      </c>
      <c r="BD422">
        <f t="shared" si="461"/>
        <v>0</v>
      </c>
      <c r="BE422">
        <f t="shared" si="462"/>
        <v>0</v>
      </c>
      <c r="BF422">
        <f t="shared" si="463"/>
        <v>0</v>
      </c>
      <c r="BG422" t="str" cm="1">
        <f t="array" ref="BG422">IF(BA422=1,INDEX($X$7:$AN$7,MATCH(TRUE,INDEX($X422:$AY422&lt;&gt;0,),0)),IF(BA422=0,INDEX($AO$7:$AY$7,MATCH(1,$AO422:$AY422,0)),IF(BH422="Multiple strategies","mixed drivers",IF(BH422="Supply chain","multiple supply","multiple silviculture"))))</f>
        <v xml:space="preserve">cutting intensity </v>
      </c>
      <c r="BH422" s="2" t="str" cm="1">
        <f t="array" ref="BH422">IF(COUNTIF(BB422:BD422,"&lt;&gt;0")=1,INDEX($X$4:$AY$4,MATCH(TRUE,INDEX($X422:$AY422&lt;&gt;0,),0)),IF(COUNTIF(BB422:BD422,"&lt;&gt;0")=0,INDEX($AO$4:$AY$4,MATCH(1,$AO422:$AY422,0)),"Multiple strategies"))</f>
        <v>Silviculture for removals</v>
      </c>
      <c r="BI422" s="1" t="s">
        <v>229</v>
      </c>
      <c r="BO422" t="str">
        <f t="shared" si="493"/>
        <v/>
      </c>
      <c r="BT422" t="s">
        <v>3863</v>
      </c>
      <c r="BU422">
        <v>1.4500000000000001E-2</v>
      </c>
      <c r="BV422">
        <v>1.9400000000000001E-2</v>
      </c>
      <c r="BW422" s="144">
        <f t="shared" si="494"/>
        <v>1.3379310344827586</v>
      </c>
      <c r="BX422">
        <f t="shared" si="495"/>
        <v>4.8999999999999998E-3</v>
      </c>
      <c r="BZ422">
        <f t="shared" si="496"/>
        <v>4.8999999999999998E-3</v>
      </c>
      <c r="CA422" t="str">
        <f t="shared" si="465"/>
        <v/>
      </c>
      <c r="CB422">
        <v>0</v>
      </c>
      <c r="CC422">
        <v>1</v>
      </c>
      <c r="CD422">
        <v>0</v>
      </c>
      <c r="CE422">
        <v>1</v>
      </c>
      <c r="CF422">
        <v>0</v>
      </c>
      <c r="CG422">
        <v>0</v>
      </c>
      <c r="CH422">
        <v>0</v>
      </c>
      <c r="CI422">
        <v>0</v>
      </c>
      <c r="CJ422">
        <v>0</v>
      </c>
      <c r="CK422">
        <v>0</v>
      </c>
      <c r="CL422">
        <v>0</v>
      </c>
      <c r="CM422">
        <v>0</v>
      </c>
      <c r="CN422">
        <v>0</v>
      </c>
      <c r="CO422">
        <v>0</v>
      </c>
      <c r="CP422" t="str">
        <f t="shared" si="497"/>
        <v>refOK</v>
      </c>
      <c r="CQ422"/>
      <c r="CR422"/>
      <c r="CS422"/>
      <c r="CT422">
        <f t="shared" si="467"/>
        <v>0</v>
      </c>
      <c r="CU422">
        <f t="shared" si="498"/>
        <v>1.4500000000000001E-2</v>
      </c>
      <c r="CV422">
        <f t="shared" si="499"/>
        <v>1.9400000000000001E-2</v>
      </c>
      <c r="CW422">
        <f t="shared" si="470"/>
        <v>4.8999999999999998E-3</v>
      </c>
      <c r="CX422" t="str">
        <f t="shared" si="492"/>
        <v/>
      </c>
      <c r="CY422" t="str">
        <f t="shared" si="492"/>
        <v/>
      </c>
      <c r="CZ422" t="str">
        <f t="shared" si="472"/>
        <v/>
      </c>
      <c r="DA422" s="2">
        <f t="shared" si="473"/>
        <v>0.33793103448275857</v>
      </c>
      <c r="DB422" s="1" t="s">
        <v>1843</v>
      </c>
      <c r="DC422" s="297" t="str">
        <f t="shared" si="474"/>
        <v>reg</v>
      </c>
      <c r="DD422" s="297" t="s">
        <v>428</v>
      </c>
      <c r="DG422">
        <v>30</v>
      </c>
      <c r="DH422" t="str">
        <f t="shared" si="475"/>
        <v>1-30</v>
      </c>
      <c r="DI422">
        <v>1</v>
      </c>
      <c r="DJ422">
        <v>0</v>
      </c>
      <c r="DK422">
        <v>0</v>
      </c>
      <c r="DL422">
        <v>0</v>
      </c>
      <c r="DM422">
        <v>0</v>
      </c>
      <c r="DN422">
        <f t="shared" si="500"/>
        <v>1</v>
      </c>
      <c r="DO422" t="str">
        <f t="shared" si="477"/>
        <v>UpstreamInput</v>
      </c>
      <c r="DP422" t="str">
        <f t="shared" si="478"/>
        <v>Upstream</v>
      </c>
      <c r="DQ422">
        <f t="shared" si="479"/>
        <v>0</v>
      </c>
      <c r="DR422">
        <f t="shared" si="480"/>
        <v>0</v>
      </c>
      <c r="DS422">
        <f t="shared" si="481"/>
        <v>0</v>
      </c>
      <c r="DT422">
        <v>0</v>
      </c>
      <c r="DU422">
        <v>0</v>
      </c>
      <c r="DV422">
        <v>0</v>
      </c>
      <c r="DW422">
        <v>0</v>
      </c>
      <c r="DX422">
        <v>0</v>
      </c>
      <c r="DY422"/>
      <c r="DZ422" s="143" t="str">
        <f t="shared" si="483"/>
        <v>explicit C balance</v>
      </c>
      <c r="EA422">
        <v>0</v>
      </c>
      <c r="EB422">
        <v>0</v>
      </c>
      <c r="EC422">
        <v>0</v>
      </c>
      <c r="ED422">
        <v>0</v>
      </c>
      <c r="EE422">
        <v>0</v>
      </c>
      <c r="EF422" s="143">
        <v>0</v>
      </c>
      <c r="EG422">
        <v>1</v>
      </c>
      <c r="EH422">
        <v>0</v>
      </c>
      <c r="EI422">
        <v>0</v>
      </c>
      <c r="EJ422">
        <v>0</v>
      </c>
      <c r="EK422">
        <v>0</v>
      </c>
      <c r="EL422">
        <v>0</v>
      </c>
      <c r="EM422">
        <v>0</v>
      </c>
      <c r="EN422" s="2">
        <v>0</v>
      </c>
      <c r="EP422" t="str">
        <f t="shared" si="484"/>
        <v/>
      </c>
      <c r="EQ422" t="str">
        <f t="shared" si="485"/>
        <v/>
      </c>
      <c r="ER422" s="2" t="str">
        <f t="shared" si="486"/>
        <v/>
      </c>
      <c r="ES422" t="str">
        <f t="shared" si="487"/>
        <v/>
      </c>
      <c r="ET422" t="str">
        <f t="shared" si="488"/>
        <v/>
      </c>
      <c r="EU422" t="str">
        <f t="shared" si="489"/>
        <v/>
      </c>
      <c r="EY422" t="b">
        <f>IF(ISNUMBER(BW422),IF(ABS(BW422-[1]QC_indicators!$B$2)&gt;3*[1]QC_indicators!$C$2,"C ratio",IF(ISNUMBER(CA422),IF(ABS(CA422-[1]QC_indicators!$B$1)&gt;3*[1]QC_indicators!$C$1,"DF","no"))),IF(ISNUMBER(CA422),IF(ABS(CA422-[1]QC_indicators!$B$1)&gt;3*[1]QC_indicators!$C$1,"DF","no")))</f>
        <v>0</v>
      </c>
      <c r="FA422" t="str">
        <f t="shared" si="490"/>
        <v/>
      </c>
    </row>
    <row r="423" spans="1:158" ht="15" hidden="1" customHeight="1">
      <c r="A423" s="1" t="s">
        <v>3853</v>
      </c>
      <c r="B423" t="s">
        <v>531</v>
      </c>
      <c r="C423" t="s">
        <v>3854</v>
      </c>
      <c r="D423" t="s">
        <v>3855</v>
      </c>
      <c r="E423" t="s">
        <v>3856</v>
      </c>
      <c r="F423" t="s">
        <v>3857</v>
      </c>
      <c r="G423" t="s">
        <v>3858</v>
      </c>
      <c r="H423" t="s">
        <v>1484</v>
      </c>
      <c r="I423">
        <v>2006</v>
      </c>
      <c r="J423">
        <v>50</v>
      </c>
      <c r="K423" t="s">
        <v>3859</v>
      </c>
      <c r="M423" t="str">
        <f t="shared" si="456"/>
        <v>Sonne_2006</v>
      </c>
      <c r="N423" s="297" t="s">
        <v>4058</v>
      </c>
      <c r="O423" s="171" t="s">
        <v>341</v>
      </c>
      <c r="P423" t="s">
        <v>508</v>
      </c>
      <c r="Q423" s="297" t="s">
        <v>389</v>
      </c>
      <c r="R423" s="298"/>
      <c r="S423" s="1" t="s">
        <v>314</v>
      </c>
      <c r="T423" t="s">
        <v>3870</v>
      </c>
      <c r="U423" t="s">
        <v>3871</v>
      </c>
      <c r="X423">
        <v>0</v>
      </c>
      <c r="Y423">
        <v>0</v>
      </c>
      <c r="Z423">
        <v>1</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s="141">
        <f t="shared" si="457"/>
        <v>1</v>
      </c>
      <c r="BA423" s="141">
        <f t="shared" si="458"/>
        <v>1</v>
      </c>
      <c r="BB423">
        <f t="shared" si="459"/>
        <v>1</v>
      </c>
      <c r="BC423">
        <f t="shared" si="460"/>
        <v>0</v>
      </c>
      <c r="BD423">
        <f t="shared" si="461"/>
        <v>0</v>
      </c>
      <c r="BE423">
        <f t="shared" si="462"/>
        <v>0</v>
      </c>
      <c r="BF423">
        <f t="shared" si="463"/>
        <v>0</v>
      </c>
      <c r="BG423" t="str" cm="1">
        <f t="array" ref="BG423">IF(BA423=1,INDEX($X$7:$AN$7,MATCH(TRUE,INDEX($X423:$AY423&lt;&gt;0,),0)),IF(BA423=0,INDEX($AO$7:$AY$7,MATCH(1,$AO423:$AY423,0)),IF(BH423="Multiple strategies","mixed drivers",IF(BH423="Supply chain","multiple supply","multiple silviculture"))))</f>
        <v>rotation length</v>
      </c>
      <c r="BH423" s="2" t="str" cm="1">
        <f t="array" ref="BH423">IF(COUNTIF(BB423:BD423,"&lt;&gt;0")=1,INDEX($X$4:$AY$4,MATCH(TRUE,INDEX($X423:$AY423&lt;&gt;0,),0)),IF(COUNTIF(BB423:BD423,"&lt;&gt;0")=0,INDEX($AO$4:$AY$4,MATCH(1,$AO423:$AY423,0)),"Multiple strategies"))</f>
        <v>Silviculture for removals</v>
      </c>
      <c r="BI423" s="1" t="s">
        <v>229</v>
      </c>
      <c r="BO423" t="str">
        <f t="shared" si="493"/>
        <v/>
      </c>
      <c r="BT423" t="s">
        <v>3863</v>
      </c>
      <c r="BU423">
        <v>1.24E-2</v>
      </c>
      <c r="BV423">
        <v>1.24E-2</v>
      </c>
      <c r="BW423" s="144">
        <f t="shared" si="494"/>
        <v>1</v>
      </c>
      <c r="BX423">
        <f t="shared" si="495"/>
        <v>0</v>
      </c>
      <c r="BZ423">
        <f t="shared" si="496"/>
        <v>0</v>
      </c>
      <c r="CA423" t="str">
        <f t="shared" si="465"/>
        <v/>
      </c>
      <c r="CB423">
        <v>0</v>
      </c>
      <c r="CC423">
        <v>1</v>
      </c>
      <c r="CD423">
        <v>0</v>
      </c>
      <c r="CE423">
        <v>1</v>
      </c>
      <c r="CF423">
        <v>0</v>
      </c>
      <c r="CG423">
        <v>0</v>
      </c>
      <c r="CH423">
        <v>0</v>
      </c>
      <c r="CI423">
        <v>0</v>
      </c>
      <c r="CJ423">
        <v>0</v>
      </c>
      <c r="CK423">
        <v>0</v>
      </c>
      <c r="CL423">
        <v>0</v>
      </c>
      <c r="CM423">
        <v>0</v>
      </c>
      <c r="CN423">
        <v>0</v>
      </c>
      <c r="CO423">
        <v>0</v>
      </c>
      <c r="CP423" t="str">
        <f t="shared" si="497"/>
        <v>refOK</v>
      </c>
      <c r="CQ423"/>
      <c r="CR423"/>
      <c r="CS423"/>
      <c r="CT423">
        <f t="shared" si="467"/>
        <v>0</v>
      </c>
      <c r="CU423">
        <f t="shared" si="498"/>
        <v>1.24E-2</v>
      </c>
      <c r="CV423">
        <f t="shared" si="499"/>
        <v>1.24E-2</v>
      </c>
      <c r="CW423">
        <f t="shared" si="470"/>
        <v>0</v>
      </c>
      <c r="CX423" t="str">
        <f t="shared" si="492"/>
        <v/>
      </c>
      <c r="CY423" t="str">
        <f t="shared" si="492"/>
        <v/>
      </c>
      <c r="CZ423" t="str">
        <f t="shared" si="472"/>
        <v/>
      </c>
      <c r="DA423" s="2">
        <f t="shared" si="473"/>
        <v>0</v>
      </c>
      <c r="DB423" s="1" t="s">
        <v>1843</v>
      </c>
      <c r="DC423" s="297" t="str">
        <f t="shared" si="474"/>
        <v>reg</v>
      </c>
      <c r="DD423" s="297" t="s">
        <v>428</v>
      </c>
      <c r="DG423">
        <v>40</v>
      </c>
      <c r="DH423" t="str">
        <f t="shared" si="475"/>
        <v>31-70</v>
      </c>
      <c r="DI423">
        <v>1</v>
      </c>
      <c r="DJ423">
        <v>0</v>
      </c>
      <c r="DK423">
        <v>0</v>
      </c>
      <c r="DL423">
        <v>0</v>
      </c>
      <c r="DM423">
        <v>0</v>
      </c>
      <c r="DN423">
        <f t="shared" si="500"/>
        <v>1</v>
      </c>
      <c r="DO423" t="str">
        <f t="shared" si="477"/>
        <v>UpstreamInput</v>
      </c>
      <c r="DP423" t="str">
        <f t="shared" si="478"/>
        <v>Upstream</v>
      </c>
      <c r="DQ423">
        <f t="shared" si="479"/>
        <v>0</v>
      </c>
      <c r="DR423">
        <f t="shared" si="480"/>
        <v>0</v>
      </c>
      <c r="DS423">
        <f t="shared" si="481"/>
        <v>0</v>
      </c>
      <c r="DT423">
        <v>0</v>
      </c>
      <c r="DU423">
        <v>0</v>
      </c>
      <c r="DV423">
        <v>0</v>
      </c>
      <c r="DW423">
        <v>0</v>
      </c>
      <c r="DX423">
        <v>0</v>
      </c>
      <c r="DY423"/>
      <c r="DZ423" s="143" t="str">
        <f t="shared" si="483"/>
        <v>explicit C balance</v>
      </c>
      <c r="EA423">
        <v>0</v>
      </c>
      <c r="EB423">
        <v>0</v>
      </c>
      <c r="EC423">
        <v>0</v>
      </c>
      <c r="ED423">
        <v>0</v>
      </c>
      <c r="EE423">
        <v>0</v>
      </c>
      <c r="EF423" s="143">
        <v>0</v>
      </c>
      <c r="EG423">
        <v>1</v>
      </c>
      <c r="EH423">
        <v>0</v>
      </c>
      <c r="EI423">
        <v>0</v>
      </c>
      <c r="EJ423">
        <v>0</v>
      </c>
      <c r="EK423">
        <v>0</v>
      </c>
      <c r="EL423">
        <v>0</v>
      </c>
      <c r="EM423">
        <v>0</v>
      </c>
      <c r="EN423" s="2">
        <v>0</v>
      </c>
      <c r="EP423" t="str">
        <f t="shared" si="484"/>
        <v/>
      </c>
      <c r="EQ423" t="str">
        <f t="shared" si="485"/>
        <v/>
      </c>
      <c r="ER423" s="2" t="str">
        <f t="shared" si="486"/>
        <v/>
      </c>
      <c r="ES423" t="str">
        <f t="shared" si="487"/>
        <v/>
      </c>
      <c r="ET423" t="str">
        <f t="shared" si="488"/>
        <v/>
      </c>
      <c r="EU423" t="str">
        <f t="shared" si="489"/>
        <v/>
      </c>
      <c r="EY423" t="b">
        <f>IF(ISNUMBER(BW423),IF(ABS(BW423-[1]QC_indicators!$B$2)&gt;3*[1]QC_indicators!$C$2,"C ratio",IF(ISNUMBER(CA423),IF(ABS(CA423-[1]QC_indicators!$B$1)&gt;3*[1]QC_indicators!$C$1,"DF","no"))),IF(ISNUMBER(CA423),IF(ABS(CA423-[1]QC_indicators!$B$1)&gt;3*[1]QC_indicators!$C$1,"DF","no")))</f>
        <v>0</v>
      </c>
      <c r="FA423" t="str">
        <f t="shared" si="490"/>
        <v/>
      </c>
    </row>
    <row r="424" spans="1:158" ht="15" hidden="1" customHeight="1">
      <c r="A424" s="1" t="s">
        <v>3853</v>
      </c>
      <c r="B424" t="s">
        <v>531</v>
      </c>
      <c r="C424" t="s">
        <v>3854</v>
      </c>
      <c r="D424" t="s">
        <v>3855</v>
      </c>
      <c r="E424" t="s">
        <v>3856</v>
      </c>
      <c r="F424" t="s">
        <v>3857</v>
      </c>
      <c r="G424" t="s">
        <v>3858</v>
      </c>
      <c r="H424" t="s">
        <v>1484</v>
      </c>
      <c r="I424">
        <v>2006</v>
      </c>
      <c r="J424">
        <v>50</v>
      </c>
      <c r="K424" t="s">
        <v>3859</v>
      </c>
      <c r="M424" t="str">
        <f t="shared" si="456"/>
        <v>Sonne_2006</v>
      </c>
      <c r="N424" s="297" t="s">
        <v>4058</v>
      </c>
      <c r="O424" s="171" t="s">
        <v>341</v>
      </c>
      <c r="P424" t="s">
        <v>508</v>
      </c>
      <c r="Q424" s="297" t="s">
        <v>389</v>
      </c>
      <c r="R424" s="298"/>
      <c r="S424" s="1" t="s">
        <v>314</v>
      </c>
      <c r="T424" t="s">
        <v>3870</v>
      </c>
      <c r="U424" t="s">
        <v>3872</v>
      </c>
      <c r="X424">
        <v>0</v>
      </c>
      <c r="Y424">
        <v>0</v>
      </c>
      <c r="Z424">
        <v>1</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s="141">
        <f t="shared" si="457"/>
        <v>1</v>
      </c>
      <c r="BA424" s="141">
        <f t="shared" si="458"/>
        <v>1</v>
      </c>
      <c r="BB424">
        <f t="shared" si="459"/>
        <v>1</v>
      </c>
      <c r="BC424">
        <f t="shared" si="460"/>
        <v>0</v>
      </c>
      <c r="BD424">
        <f t="shared" si="461"/>
        <v>0</v>
      </c>
      <c r="BE424">
        <f t="shared" si="462"/>
        <v>0</v>
      </c>
      <c r="BF424">
        <f t="shared" si="463"/>
        <v>0</v>
      </c>
      <c r="BG424" t="str" cm="1">
        <f t="array" ref="BG424">IF(BA424=1,INDEX($X$7:$AN$7,MATCH(TRUE,INDEX($X424:$AY424&lt;&gt;0,),0)),IF(BA424=0,INDEX($AO$7:$AY$7,MATCH(1,$AO424:$AY424,0)),IF(BH424="Multiple strategies","mixed drivers",IF(BH424="Supply chain","multiple supply","multiple silviculture"))))</f>
        <v>rotation length</v>
      </c>
      <c r="BH424" s="2" t="str" cm="1">
        <f t="array" ref="BH424">IF(COUNTIF(BB424:BD424,"&lt;&gt;0")=1,INDEX($X$4:$AY$4,MATCH(TRUE,INDEX($X424:$AY424&lt;&gt;0,),0)),IF(COUNTIF(BB424:BD424,"&lt;&gt;0")=0,INDEX($AO$4:$AY$4,MATCH(1,$AO424:$AY424,0)),"Multiple strategies"))</f>
        <v>Silviculture for removals</v>
      </c>
      <c r="BI424" s="1" t="s">
        <v>229</v>
      </c>
      <c r="BO424" t="str">
        <f t="shared" si="493"/>
        <v/>
      </c>
      <c r="BT424" t="s">
        <v>3863</v>
      </c>
      <c r="BU424">
        <v>1.24E-2</v>
      </c>
      <c r="BV424">
        <v>1.3100000000000001E-2</v>
      </c>
      <c r="BW424" s="144">
        <f t="shared" si="494"/>
        <v>1.056451612903226</v>
      </c>
      <c r="BX424">
        <f t="shared" si="495"/>
        <v>7.0000000000000097E-4</v>
      </c>
      <c r="BZ424">
        <f t="shared" si="496"/>
        <v>7.0000000000000097E-4</v>
      </c>
      <c r="CA424" t="str">
        <f t="shared" si="465"/>
        <v/>
      </c>
      <c r="CB424">
        <v>0</v>
      </c>
      <c r="CC424">
        <v>1</v>
      </c>
      <c r="CD424">
        <v>0</v>
      </c>
      <c r="CE424">
        <v>1</v>
      </c>
      <c r="CF424">
        <v>0</v>
      </c>
      <c r="CG424">
        <v>0</v>
      </c>
      <c r="CH424">
        <v>0</v>
      </c>
      <c r="CI424">
        <v>0</v>
      </c>
      <c r="CJ424">
        <v>0</v>
      </c>
      <c r="CK424">
        <v>0</v>
      </c>
      <c r="CL424">
        <v>0</v>
      </c>
      <c r="CM424">
        <v>0</v>
      </c>
      <c r="CN424">
        <v>0</v>
      </c>
      <c r="CO424">
        <v>0</v>
      </c>
      <c r="CP424" t="str">
        <f t="shared" si="497"/>
        <v>refOK</v>
      </c>
      <c r="CQ424"/>
      <c r="CR424"/>
      <c r="CS424"/>
      <c r="CT424">
        <f t="shared" si="467"/>
        <v>0</v>
      </c>
      <c r="CU424">
        <f t="shared" si="498"/>
        <v>1.24E-2</v>
      </c>
      <c r="CV424">
        <f t="shared" si="499"/>
        <v>1.3100000000000001E-2</v>
      </c>
      <c r="CW424">
        <f t="shared" si="470"/>
        <v>7.0000000000000097E-4</v>
      </c>
      <c r="CX424" t="str">
        <f t="shared" si="492"/>
        <v/>
      </c>
      <c r="CY424" t="str">
        <f t="shared" si="492"/>
        <v/>
      </c>
      <c r="CZ424" t="str">
        <f t="shared" si="472"/>
        <v/>
      </c>
      <c r="DA424" s="2">
        <f t="shared" si="473"/>
        <v>5.6451612903225888E-2</v>
      </c>
      <c r="DB424" s="1" t="s">
        <v>1843</v>
      </c>
      <c r="DC424" s="297" t="str">
        <f t="shared" si="474"/>
        <v>reg</v>
      </c>
      <c r="DD424" s="297" t="s">
        <v>428</v>
      </c>
      <c r="DG424">
        <v>50</v>
      </c>
      <c r="DH424" t="str">
        <f t="shared" si="475"/>
        <v>31-70</v>
      </c>
      <c r="DI424">
        <v>1</v>
      </c>
      <c r="DJ424">
        <v>0</v>
      </c>
      <c r="DK424">
        <v>0</v>
      </c>
      <c r="DL424">
        <v>0</v>
      </c>
      <c r="DM424">
        <v>0</v>
      </c>
      <c r="DN424">
        <f t="shared" si="500"/>
        <v>1</v>
      </c>
      <c r="DO424" t="str">
        <f t="shared" si="477"/>
        <v>UpstreamInput</v>
      </c>
      <c r="DP424" t="str">
        <f t="shared" si="478"/>
        <v>Upstream</v>
      </c>
      <c r="DQ424">
        <f t="shared" si="479"/>
        <v>0</v>
      </c>
      <c r="DR424">
        <f t="shared" si="480"/>
        <v>0</v>
      </c>
      <c r="DS424">
        <f t="shared" si="481"/>
        <v>0</v>
      </c>
      <c r="DT424">
        <v>0</v>
      </c>
      <c r="DU424">
        <v>0</v>
      </c>
      <c r="DV424">
        <v>0</v>
      </c>
      <c r="DW424">
        <v>0</v>
      </c>
      <c r="DX424">
        <v>0</v>
      </c>
      <c r="DY424"/>
      <c r="DZ424" s="143" t="str">
        <f t="shared" si="483"/>
        <v>explicit C balance</v>
      </c>
      <c r="EA424">
        <v>0</v>
      </c>
      <c r="EB424">
        <v>0</v>
      </c>
      <c r="EC424">
        <v>0</v>
      </c>
      <c r="ED424">
        <v>0</v>
      </c>
      <c r="EE424">
        <v>0</v>
      </c>
      <c r="EF424" s="143">
        <v>0</v>
      </c>
      <c r="EG424">
        <v>1</v>
      </c>
      <c r="EH424">
        <v>0</v>
      </c>
      <c r="EI424">
        <v>0</v>
      </c>
      <c r="EJ424">
        <v>0</v>
      </c>
      <c r="EK424">
        <v>0</v>
      </c>
      <c r="EL424">
        <v>0</v>
      </c>
      <c r="EM424">
        <v>0</v>
      </c>
      <c r="EN424" s="2">
        <v>0</v>
      </c>
      <c r="EP424" t="str">
        <f t="shared" si="484"/>
        <v/>
      </c>
      <c r="EQ424" t="str">
        <f t="shared" si="485"/>
        <v/>
      </c>
      <c r="ER424" s="2" t="str">
        <f t="shared" si="486"/>
        <v/>
      </c>
      <c r="ES424" t="str">
        <f t="shared" si="487"/>
        <v/>
      </c>
      <c r="ET424" t="str">
        <f t="shared" si="488"/>
        <v/>
      </c>
      <c r="EU424" t="str">
        <f t="shared" si="489"/>
        <v/>
      </c>
      <c r="EY424" t="b">
        <f>IF(ISNUMBER(BW424),IF(ABS(BW424-[1]QC_indicators!$B$2)&gt;3*[1]QC_indicators!$C$2,"C ratio",IF(ISNUMBER(CA424),IF(ABS(CA424-[1]QC_indicators!$B$1)&gt;3*[1]QC_indicators!$C$1,"DF","no"))),IF(ISNUMBER(CA424),IF(ABS(CA424-[1]QC_indicators!$B$1)&gt;3*[1]QC_indicators!$C$1,"DF","no")))</f>
        <v>0</v>
      </c>
      <c r="FA424" t="str">
        <f t="shared" si="490"/>
        <v/>
      </c>
    </row>
    <row r="425" spans="1:158" ht="15" hidden="1" customHeight="1">
      <c r="A425" s="1" t="s">
        <v>3853</v>
      </c>
      <c r="B425" t="s">
        <v>531</v>
      </c>
      <c r="C425" t="s">
        <v>3854</v>
      </c>
      <c r="D425" t="s">
        <v>3855</v>
      </c>
      <c r="E425" t="s">
        <v>3856</v>
      </c>
      <c r="F425" t="s">
        <v>3857</v>
      </c>
      <c r="G425" t="s">
        <v>3858</v>
      </c>
      <c r="H425" t="s">
        <v>1484</v>
      </c>
      <c r="I425">
        <v>2006</v>
      </c>
      <c r="J425">
        <v>50</v>
      </c>
      <c r="K425" t="s">
        <v>3859</v>
      </c>
      <c r="M425" t="str">
        <f t="shared" si="456"/>
        <v>Sonne_2006</v>
      </c>
      <c r="N425" s="297" t="s">
        <v>4058</v>
      </c>
      <c r="O425" s="171" t="s">
        <v>341</v>
      </c>
      <c r="P425" t="s">
        <v>508</v>
      </c>
      <c r="Q425" s="297" t="s">
        <v>389</v>
      </c>
      <c r="R425" s="298"/>
      <c r="S425" s="1" t="s">
        <v>314</v>
      </c>
      <c r="T425" t="s">
        <v>3870</v>
      </c>
      <c r="U425" t="s">
        <v>3873</v>
      </c>
      <c r="X425">
        <v>0</v>
      </c>
      <c r="Y425">
        <v>0</v>
      </c>
      <c r="Z425">
        <v>1</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s="141">
        <f t="shared" si="457"/>
        <v>1</v>
      </c>
      <c r="BA425" s="141">
        <f t="shared" si="458"/>
        <v>1</v>
      </c>
      <c r="BB425">
        <f t="shared" si="459"/>
        <v>1</v>
      </c>
      <c r="BC425">
        <f t="shared" si="460"/>
        <v>0</v>
      </c>
      <c r="BD425">
        <f t="shared" si="461"/>
        <v>0</v>
      </c>
      <c r="BE425">
        <f t="shared" si="462"/>
        <v>0</v>
      </c>
      <c r="BF425">
        <f t="shared" si="463"/>
        <v>0</v>
      </c>
      <c r="BG425" t="str" cm="1">
        <f t="array" ref="BG425">IF(BA425=1,INDEX($X$7:$AN$7,MATCH(TRUE,INDEX($X425:$AY425&lt;&gt;0,),0)),IF(BA425=0,INDEX($AO$7:$AY$7,MATCH(1,$AO425:$AY425,0)),IF(BH425="Multiple strategies","mixed drivers",IF(BH425="Supply chain","multiple supply","multiple silviculture"))))</f>
        <v>rotation length</v>
      </c>
      <c r="BH425" s="2" t="str" cm="1">
        <f t="array" ref="BH425">IF(COUNTIF(BB425:BD425,"&lt;&gt;0")=1,INDEX($X$4:$AY$4,MATCH(TRUE,INDEX($X425:$AY425&lt;&gt;0,),0)),IF(COUNTIF(BB425:BD425,"&lt;&gt;0")=0,INDEX($AO$4:$AY$4,MATCH(1,$AO425:$AY425,0)),"Multiple strategies"))</f>
        <v>Silviculture for removals</v>
      </c>
      <c r="BI425" s="1" t="s">
        <v>229</v>
      </c>
      <c r="BO425" t="str">
        <f t="shared" si="493"/>
        <v/>
      </c>
      <c r="BT425" t="s">
        <v>3863</v>
      </c>
      <c r="BU425">
        <v>1.24E-2</v>
      </c>
      <c r="BV425">
        <v>1.5900000000000001E-2</v>
      </c>
      <c r="BW425" s="144">
        <f t="shared" si="494"/>
        <v>1.2822580645161292</v>
      </c>
      <c r="BX425">
        <f t="shared" si="495"/>
        <v>3.5000000000000014E-3</v>
      </c>
      <c r="BZ425">
        <f t="shared" si="496"/>
        <v>3.5000000000000014E-3</v>
      </c>
      <c r="CA425" t="str">
        <f t="shared" si="465"/>
        <v/>
      </c>
      <c r="CB425">
        <v>0</v>
      </c>
      <c r="CC425">
        <v>1</v>
      </c>
      <c r="CD425">
        <v>0</v>
      </c>
      <c r="CE425">
        <v>1</v>
      </c>
      <c r="CF425">
        <v>0</v>
      </c>
      <c r="CG425">
        <v>0</v>
      </c>
      <c r="CH425">
        <v>0</v>
      </c>
      <c r="CI425">
        <v>0</v>
      </c>
      <c r="CJ425">
        <v>0</v>
      </c>
      <c r="CK425">
        <v>0</v>
      </c>
      <c r="CL425">
        <v>0</v>
      </c>
      <c r="CM425">
        <v>0</v>
      </c>
      <c r="CN425">
        <v>0</v>
      </c>
      <c r="CO425">
        <v>0</v>
      </c>
      <c r="CP425" t="str">
        <f t="shared" si="497"/>
        <v>refOK</v>
      </c>
      <c r="CQ425"/>
      <c r="CR425"/>
      <c r="CS425"/>
      <c r="CT425">
        <f t="shared" si="467"/>
        <v>0</v>
      </c>
      <c r="CU425">
        <f t="shared" si="498"/>
        <v>1.24E-2</v>
      </c>
      <c r="CV425">
        <f t="shared" si="499"/>
        <v>1.5900000000000001E-2</v>
      </c>
      <c r="CW425">
        <f t="shared" si="470"/>
        <v>3.5000000000000014E-3</v>
      </c>
      <c r="CX425" t="str">
        <f t="shared" si="492"/>
        <v/>
      </c>
      <c r="CY425" t="str">
        <f t="shared" si="492"/>
        <v/>
      </c>
      <c r="CZ425" t="str">
        <f t="shared" si="472"/>
        <v/>
      </c>
      <c r="DA425" s="2">
        <f t="shared" si="473"/>
        <v>0.28225806451612917</v>
      </c>
      <c r="DB425" s="1" t="s">
        <v>1843</v>
      </c>
      <c r="DC425" s="297" t="str">
        <f t="shared" si="474"/>
        <v>reg</v>
      </c>
      <c r="DD425" s="297" t="s">
        <v>428</v>
      </c>
      <c r="DG425">
        <v>30</v>
      </c>
      <c r="DH425" t="str">
        <f t="shared" si="475"/>
        <v>1-30</v>
      </c>
      <c r="DI425">
        <v>1</v>
      </c>
      <c r="DJ425">
        <v>0</v>
      </c>
      <c r="DK425">
        <v>0</v>
      </c>
      <c r="DL425">
        <v>0</v>
      </c>
      <c r="DM425">
        <v>0</v>
      </c>
      <c r="DN425">
        <f t="shared" si="500"/>
        <v>1</v>
      </c>
      <c r="DO425" t="str">
        <f t="shared" si="477"/>
        <v>UpstreamInput</v>
      </c>
      <c r="DP425" t="str">
        <f t="shared" si="478"/>
        <v>Upstream</v>
      </c>
      <c r="DQ425">
        <f t="shared" si="479"/>
        <v>0</v>
      </c>
      <c r="DR425">
        <f t="shared" si="480"/>
        <v>0</v>
      </c>
      <c r="DS425">
        <f t="shared" si="481"/>
        <v>0</v>
      </c>
      <c r="DT425">
        <v>0</v>
      </c>
      <c r="DU425">
        <v>0</v>
      </c>
      <c r="DV425">
        <v>0</v>
      </c>
      <c r="DW425">
        <v>0</v>
      </c>
      <c r="DX425">
        <v>0</v>
      </c>
      <c r="DY425"/>
      <c r="DZ425" s="143" t="str">
        <f t="shared" si="483"/>
        <v>explicit C balance</v>
      </c>
      <c r="EA425">
        <v>0</v>
      </c>
      <c r="EB425">
        <v>0</v>
      </c>
      <c r="EC425">
        <v>0</v>
      </c>
      <c r="ED425">
        <v>0</v>
      </c>
      <c r="EE425">
        <v>0</v>
      </c>
      <c r="EF425" s="143">
        <v>0</v>
      </c>
      <c r="EG425">
        <v>1</v>
      </c>
      <c r="EH425">
        <v>0</v>
      </c>
      <c r="EI425">
        <v>0</v>
      </c>
      <c r="EJ425">
        <v>0</v>
      </c>
      <c r="EK425">
        <v>0</v>
      </c>
      <c r="EL425">
        <v>0</v>
      </c>
      <c r="EM425">
        <v>0</v>
      </c>
      <c r="EN425" s="2">
        <v>0</v>
      </c>
      <c r="EP425" t="str">
        <f t="shared" si="484"/>
        <v/>
      </c>
      <c r="EQ425" t="str">
        <f t="shared" si="485"/>
        <v/>
      </c>
      <c r="ER425" s="2" t="str">
        <f t="shared" si="486"/>
        <v/>
      </c>
      <c r="ES425" t="str">
        <f t="shared" si="487"/>
        <v/>
      </c>
      <c r="ET425" t="str">
        <f t="shared" si="488"/>
        <v/>
      </c>
      <c r="EU425" t="str">
        <f t="shared" si="489"/>
        <v/>
      </c>
      <c r="EY425" t="b">
        <f>IF(ISNUMBER(BW425),IF(ABS(BW425-[1]QC_indicators!$B$2)&gt;3*[1]QC_indicators!$C$2,"C ratio",IF(ISNUMBER(CA425),IF(ABS(CA425-[1]QC_indicators!$B$1)&gt;3*[1]QC_indicators!$C$1,"DF","no"))),IF(ISNUMBER(CA425),IF(ABS(CA425-[1]QC_indicators!$B$1)&gt;3*[1]QC_indicators!$C$1,"DF","no")))</f>
        <v>0</v>
      </c>
      <c r="FA425" t="str">
        <f t="shared" si="490"/>
        <v/>
      </c>
    </row>
    <row r="426" spans="1:158" ht="15" hidden="1" customHeight="1">
      <c r="A426" s="1" t="s">
        <v>3853</v>
      </c>
      <c r="B426" t="s">
        <v>531</v>
      </c>
      <c r="C426" t="s">
        <v>3854</v>
      </c>
      <c r="D426" t="s">
        <v>3855</v>
      </c>
      <c r="E426" t="s">
        <v>3856</v>
      </c>
      <c r="F426" t="s">
        <v>3857</v>
      </c>
      <c r="G426" t="s">
        <v>3858</v>
      </c>
      <c r="H426" t="s">
        <v>1484</v>
      </c>
      <c r="I426">
        <v>2006</v>
      </c>
      <c r="J426">
        <v>50</v>
      </c>
      <c r="K426" t="s">
        <v>3859</v>
      </c>
      <c r="M426" t="str">
        <f t="shared" si="456"/>
        <v>Sonne_2006</v>
      </c>
      <c r="N426" s="297" t="s">
        <v>4058</v>
      </c>
      <c r="O426" s="171" t="s">
        <v>341</v>
      </c>
      <c r="P426" t="s">
        <v>508</v>
      </c>
      <c r="Q426" s="297" t="s">
        <v>389</v>
      </c>
      <c r="R426" s="298"/>
      <c r="S426" s="1" t="s">
        <v>3867</v>
      </c>
      <c r="T426" t="s">
        <v>3868</v>
      </c>
      <c r="U426" t="s">
        <v>3869</v>
      </c>
      <c r="X426">
        <v>0</v>
      </c>
      <c r="Y426">
        <v>0</v>
      </c>
      <c r="Z426">
        <v>0</v>
      </c>
      <c r="AA426">
        <v>0</v>
      </c>
      <c r="AB426">
        <v>0</v>
      </c>
      <c r="AC426">
        <v>1</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s="141">
        <f t="shared" si="457"/>
        <v>1</v>
      </c>
      <c r="BA426" s="141">
        <f t="shared" si="458"/>
        <v>1</v>
      </c>
      <c r="BB426">
        <f t="shared" si="459"/>
        <v>1</v>
      </c>
      <c r="BC426">
        <f t="shared" si="460"/>
        <v>0</v>
      </c>
      <c r="BD426">
        <f t="shared" si="461"/>
        <v>0</v>
      </c>
      <c r="BE426">
        <f t="shared" si="462"/>
        <v>0</v>
      </c>
      <c r="BF426">
        <f t="shared" si="463"/>
        <v>0</v>
      </c>
      <c r="BG426" t="str" cm="1">
        <f t="array" ref="BG426">IF(BA426=1,INDEX($X$7:$AN$7,MATCH(TRUE,INDEX($X426:$AY426&lt;&gt;0,),0)),IF(BA426=0,INDEX($AO$7:$AY$7,MATCH(1,$AO426:$AY426,0)),IF(BH426="Multiple strategies","mixed drivers",IF(BH426="Supply chain","multiple supply","multiple silviculture"))))</f>
        <v>plantation density</v>
      </c>
      <c r="BH426" s="2" t="str" cm="1">
        <f t="array" ref="BH426">IF(COUNTIF(BB426:BD426,"&lt;&gt;0")=1,INDEX($X$4:$AY$4,MATCH(TRUE,INDEX($X426:$AY426&lt;&gt;0,),0)),IF(COUNTIF(BB426:BD426,"&lt;&gt;0")=0,INDEX($AO$4:$AY$4,MATCH(1,$AO426:$AY426,0)),"Multiple strategies"))</f>
        <v>Silviculture for productivity</v>
      </c>
      <c r="BI426" s="1" t="s">
        <v>229</v>
      </c>
      <c r="BO426" t="str">
        <f t="shared" si="493"/>
        <v/>
      </c>
      <c r="BT426" t="s">
        <v>3863</v>
      </c>
      <c r="BU426">
        <v>1.5900000000000001E-2</v>
      </c>
      <c r="BV426">
        <v>1.4500000000000001E-2</v>
      </c>
      <c r="BW426" s="144">
        <f t="shared" si="494"/>
        <v>0.91194968553459121</v>
      </c>
      <c r="BX426">
        <f t="shared" si="495"/>
        <v>-1.4000000000000002E-3</v>
      </c>
      <c r="BZ426">
        <f t="shared" si="496"/>
        <v>-1.4000000000000002E-3</v>
      </c>
      <c r="CA426" t="str">
        <f t="shared" si="465"/>
        <v/>
      </c>
      <c r="CB426">
        <v>0</v>
      </c>
      <c r="CC426">
        <v>1</v>
      </c>
      <c r="CD426">
        <v>0</v>
      </c>
      <c r="CE426">
        <v>1</v>
      </c>
      <c r="CF426">
        <v>0</v>
      </c>
      <c r="CG426">
        <v>0</v>
      </c>
      <c r="CH426">
        <v>0</v>
      </c>
      <c r="CI426">
        <v>0</v>
      </c>
      <c r="CJ426">
        <v>0</v>
      </c>
      <c r="CK426">
        <v>0</v>
      </c>
      <c r="CL426">
        <v>0</v>
      </c>
      <c r="CM426">
        <v>0</v>
      </c>
      <c r="CN426">
        <v>0</v>
      </c>
      <c r="CO426">
        <v>0</v>
      </c>
      <c r="CP426" t="str">
        <f t="shared" si="497"/>
        <v>refOK</v>
      </c>
      <c r="CQ426"/>
      <c r="CR426"/>
      <c r="CS426"/>
      <c r="CT426">
        <f t="shared" si="467"/>
        <v>0</v>
      </c>
      <c r="CU426">
        <f t="shared" si="498"/>
        <v>1.5900000000000001E-2</v>
      </c>
      <c r="CV426">
        <f t="shared" si="499"/>
        <v>1.4500000000000001E-2</v>
      </c>
      <c r="CW426">
        <f t="shared" si="470"/>
        <v>-1.4000000000000002E-3</v>
      </c>
      <c r="CX426" t="str">
        <f t="shared" si="492"/>
        <v/>
      </c>
      <c r="CY426" t="str">
        <f t="shared" si="492"/>
        <v/>
      </c>
      <c r="CZ426" t="str">
        <f t="shared" si="472"/>
        <v/>
      </c>
      <c r="DA426" s="2">
        <f t="shared" si="473"/>
        <v>-8.8050314465408813E-2</v>
      </c>
      <c r="DB426" s="1" t="s">
        <v>1843</v>
      </c>
      <c r="DC426" s="297" t="str">
        <f t="shared" si="474"/>
        <v>reg</v>
      </c>
      <c r="DD426" s="297" t="s">
        <v>428</v>
      </c>
      <c r="DG426">
        <v>30</v>
      </c>
      <c r="DH426" t="str">
        <f t="shared" si="475"/>
        <v>1-30</v>
      </c>
      <c r="DI426">
        <v>1</v>
      </c>
      <c r="DJ426">
        <v>0</v>
      </c>
      <c r="DK426">
        <v>0</v>
      </c>
      <c r="DL426">
        <v>0</v>
      </c>
      <c r="DM426">
        <v>0</v>
      </c>
      <c r="DN426">
        <f t="shared" si="500"/>
        <v>1</v>
      </c>
      <c r="DO426" t="str">
        <f t="shared" si="477"/>
        <v>UpstreamInput</v>
      </c>
      <c r="DP426" t="str">
        <f t="shared" si="478"/>
        <v>Upstream</v>
      </c>
      <c r="DQ426">
        <f t="shared" si="479"/>
        <v>0</v>
      </c>
      <c r="DR426">
        <f t="shared" si="480"/>
        <v>0</v>
      </c>
      <c r="DS426">
        <f t="shared" si="481"/>
        <v>0</v>
      </c>
      <c r="DT426">
        <v>0</v>
      </c>
      <c r="DU426">
        <v>0</v>
      </c>
      <c r="DV426">
        <v>0</v>
      </c>
      <c r="DW426">
        <v>0</v>
      </c>
      <c r="DX426">
        <v>0</v>
      </c>
      <c r="DY426"/>
      <c r="DZ426" s="143" t="str">
        <f t="shared" si="483"/>
        <v>explicit C balance</v>
      </c>
      <c r="EA426">
        <v>0</v>
      </c>
      <c r="EB426">
        <v>0</v>
      </c>
      <c r="EC426">
        <v>0</v>
      </c>
      <c r="ED426">
        <v>0</v>
      </c>
      <c r="EE426">
        <v>0</v>
      </c>
      <c r="EF426" s="143">
        <v>0</v>
      </c>
      <c r="EG426">
        <v>1</v>
      </c>
      <c r="EH426">
        <v>0</v>
      </c>
      <c r="EI426">
        <v>0</v>
      </c>
      <c r="EJ426">
        <v>0</v>
      </c>
      <c r="EK426">
        <v>0</v>
      </c>
      <c r="EL426">
        <v>0</v>
      </c>
      <c r="EM426">
        <v>0</v>
      </c>
      <c r="EN426" s="2">
        <v>0</v>
      </c>
      <c r="EP426" t="str">
        <f t="shared" si="484"/>
        <v/>
      </c>
      <c r="EQ426" t="str">
        <f t="shared" si="485"/>
        <v/>
      </c>
      <c r="ER426" s="2" t="str">
        <f t="shared" si="486"/>
        <v/>
      </c>
      <c r="ES426" t="str">
        <f t="shared" si="487"/>
        <v/>
      </c>
      <c r="ET426" t="str">
        <f t="shared" si="488"/>
        <v/>
      </c>
      <c r="EU426" t="str">
        <f t="shared" si="489"/>
        <v/>
      </c>
      <c r="EY426" t="b">
        <f>IF(ISNUMBER(BW426),IF(ABS(BW426-[1]QC_indicators!$B$2)&gt;3*[1]QC_indicators!$C$2,"C ratio",IF(ISNUMBER(CA426),IF(ABS(CA426-[1]QC_indicators!$B$1)&gt;3*[1]QC_indicators!$C$1,"DF","no"))),IF(ISNUMBER(CA426),IF(ABS(CA426-[1]QC_indicators!$B$1)&gt;3*[1]QC_indicators!$C$1,"DF","no")))</f>
        <v>0</v>
      </c>
      <c r="FA426" t="str">
        <f t="shared" si="490"/>
        <v/>
      </c>
    </row>
    <row r="427" spans="1:158" ht="15" hidden="1" customHeight="1">
      <c r="A427" s="1" t="s">
        <v>3853</v>
      </c>
      <c r="B427" t="s">
        <v>531</v>
      </c>
      <c r="C427" t="s">
        <v>3854</v>
      </c>
      <c r="D427" t="s">
        <v>3855</v>
      </c>
      <c r="E427" t="s">
        <v>3856</v>
      </c>
      <c r="F427" t="s">
        <v>3857</v>
      </c>
      <c r="G427" t="s">
        <v>3858</v>
      </c>
      <c r="H427" t="s">
        <v>1484</v>
      </c>
      <c r="I427">
        <v>2006</v>
      </c>
      <c r="J427">
        <v>50</v>
      </c>
      <c r="K427" t="s">
        <v>3859</v>
      </c>
      <c r="M427" t="str">
        <f t="shared" si="456"/>
        <v>Sonne_2006</v>
      </c>
      <c r="N427" s="297" t="s">
        <v>4058</v>
      </c>
      <c r="O427" s="171" t="s">
        <v>341</v>
      </c>
      <c r="P427" t="s">
        <v>508</v>
      </c>
      <c r="Q427" s="297" t="s">
        <v>389</v>
      </c>
      <c r="R427" s="298"/>
      <c r="S427" s="1" t="s">
        <v>3095</v>
      </c>
      <c r="T427" t="s">
        <v>3865</v>
      </c>
      <c r="U427" t="s">
        <v>3866</v>
      </c>
      <c r="X427">
        <v>0</v>
      </c>
      <c r="Y427">
        <v>0</v>
      </c>
      <c r="Z427">
        <v>0</v>
      </c>
      <c r="AA427">
        <v>0</v>
      </c>
      <c r="AB427">
        <v>0</v>
      </c>
      <c r="AC427">
        <v>0</v>
      </c>
      <c r="AD427">
        <v>1</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s="141">
        <f t="shared" si="457"/>
        <v>1</v>
      </c>
      <c r="BA427" s="141">
        <f t="shared" si="458"/>
        <v>1</v>
      </c>
      <c r="BB427">
        <f t="shared" si="459"/>
        <v>1</v>
      </c>
      <c r="BC427">
        <f t="shared" si="460"/>
        <v>0</v>
      </c>
      <c r="BD427">
        <f t="shared" si="461"/>
        <v>0</v>
      </c>
      <c r="BE427">
        <f t="shared" si="462"/>
        <v>0</v>
      </c>
      <c r="BF427">
        <f t="shared" si="463"/>
        <v>0</v>
      </c>
      <c r="BG427" t="str" cm="1">
        <f t="array" ref="BG427">IF(BA427=1,INDEX($X$7:$AN$7,MATCH(TRUE,INDEX($X427:$AY427&lt;&gt;0,),0)),IF(BA427=0,INDEX($AO$7:$AY$7,MATCH(1,$AO427:$AY427,0)),IF(BH427="Multiple strategies","mixed drivers",IF(BH427="Supply chain","multiple supply","multiple silviculture"))))</f>
        <v>fertilisation</v>
      </c>
      <c r="BH427" s="2" t="str" cm="1">
        <f t="array" ref="BH427">IF(COUNTIF(BB427:BD427,"&lt;&gt;0")=1,INDEX($X$4:$AY$4,MATCH(TRUE,INDEX($X427:$AY427&lt;&gt;0,),0)),IF(COUNTIF(BB427:BD427,"&lt;&gt;0")=0,INDEX($AO$4:$AY$4,MATCH(1,$AO427:$AY427,0)),"Multiple strategies"))</f>
        <v>Silviculture for productivity</v>
      </c>
      <c r="BI427" s="1" t="s">
        <v>229</v>
      </c>
      <c r="BO427" t="str">
        <f t="shared" si="493"/>
        <v/>
      </c>
      <c r="BT427" t="s">
        <v>3863</v>
      </c>
      <c r="BU427">
        <v>1.9400000000000001E-2</v>
      </c>
      <c r="BV427">
        <v>2.6100000000000002E-2</v>
      </c>
      <c r="BW427" s="144">
        <f t="shared" si="494"/>
        <v>1.3453608247422681</v>
      </c>
      <c r="BX427">
        <f t="shared" si="495"/>
        <v>6.7000000000000011E-3</v>
      </c>
      <c r="BZ427">
        <f t="shared" si="496"/>
        <v>6.7000000000000011E-3</v>
      </c>
      <c r="CA427" t="str">
        <f t="shared" si="465"/>
        <v/>
      </c>
      <c r="CB427">
        <v>0</v>
      </c>
      <c r="CC427">
        <v>1</v>
      </c>
      <c r="CD427">
        <v>0</v>
      </c>
      <c r="CE427">
        <v>1</v>
      </c>
      <c r="CF427">
        <v>0</v>
      </c>
      <c r="CG427">
        <v>0</v>
      </c>
      <c r="CH427">
        <v>0</v>
      </c>
      <c r="CI427">
        <v>0</v>
      </c>
      <c r="CJ427">
        <v>0</v>
      </c>
      <c r="CK427">
        <v>0</v>
      </c>
      <c r="CL427">
        <v>0</v>
      </c>
      <c r="CM427">
        <v>0</v>
      </c>
      <c r="CN427">
        <v>0</v>
      </c>
      <c r="CO427">
        <v>0</v>
      </c>
      <c r="CP427" t="str">
        <f t="shared" si="497"/>
        <v>refOK</v>
      </c>
      <c r="CQ427"/>
      <c r="CR427"/>
      <c r="CS427"/>
      <c r="CT427">
        <f t="shared" si="467"/>
        <v>0</v>
      </c>
      <c r="CU427">
        <f t="shared" si="498"/>
        <v>1.9400000000000001E-2</v>
      </c>
      <c r="CV427">
        <f t="shared" si="499"/>
        <v>2.6100000000000002E-2</v>
      </c>
      <c r="CW427">
        <f t="shared" si="470"/>
        <v>6.7000000000000011E-3</v>
      </c>
      <c r="CX427" t="str">
        <f t="shared" si="492"/>
        <v/>
      </c>
      <c r="CY427" t="str">
        <f t="shared" si="492"/>
        <v/>
      </c>
      <c r="CZ427" t="str">
        <f t="shared" si="472"/>
        <v/>
      </c>
      <c r="DA427" s="2">
        <f t="shared" si="473"/>
        <v>0.34536082474226809</v>
      </c>
      <c r="DB427" s="1" t="s">
        <v>1843</v>
      </c>
      <c r="DC427" s="297" t="str">
        <f t="shared" si="474"/>
        <v>reg</v>
      </c>
      <c r="DD427" s="297" t="s">
        <v>428</v>
      </c>
      <c r="DG427">
        <v>30</v>
      </c>
      <c r="DH427" t="str">
        <f t="shared" si="475"/>
        <v>1-30</v>
      </c>
      <c r="DI427">
        <v>1</v>
      </c>
      <c r="DJ427">
        <v>0</v>
      </c>
      <c r="DK427">
        <v>0</v>
      </c>
      <c r="DL427">
        <v>0</v>
      </c>
      <c r="DM427">
        <v>0</v>
      </c>
      <c r="DN427">
        <f t="shared" si="500"/>
        <v>1</v>
      </c>
      <c r="DO427" t="str">
        <f t="shared" si="477"/>
        <v>UpstreamInput</v>
      </c>
      <c r="DP427" t="str">
        <f t="shared" si="478"/>
        <v>Upstream</v>
      </c>
      <c r="DQ427">
        <f t="shared" si="479"/>
        <v>0</v>
      </c>
      <c r="DR427">
        <f t="shared" si="480"/>
        <v>0</v>
      </c>
      <c r="DS427">
        <f t="shared" si="481"/>
        <v>0</v>
      </c>
      <c r="DT427">
        <v>0</v>
      </c>
      <c r="DU427">
        <v>0</v>
      </c>
      <c r="DV427">
        <v>0</v>
      </c>
      <c r="DW427">
        <v>0</v>
      </c>
      <c r="DX427">
        <v>0</v>
      </c>
      <c r="DY427"/>
      <c r="DZ427" s="143" t="str">
        <f t="shared" si="483"/>
        <v>explicit C balance</v>
      </c>
      <c r="EA427">
        <v>0</v>
      </c>
      <c r="EB427">
        <v>0</v>
      </c>
      <c r="EC427">
        <v>0</v>
      </c>
      <c r="ED427">
        <v>0</v>
      </c>
      <c r="EE427">
        <v>0</v>
      </c>
      <c r="EF427" s="143">
        <v>0</v>
      </c>
      <c r="EG427">
        <v>1</v>
      </c>
      <c r="EH427">
        <v>0</v>
      </c>
      <c r="EI427">
        <v>0</v>
      </c>
      <c r="EJ427">
        <v>0</v>
      </c>
      <c r="EK427">
        <v>0</v>
      </c>
      <c r="EL427">
        <v>0</v>
      </c>
      <c r="EM427">
        <v>0</v>
      </c>
      <c r="EN427" s="2">
        <v>0</v>
      </c>
      <c r="EP427" t="str">
        <f t="shared" si="484"/>
        <v/>
      </c>
      <c r="EQ427" t="str">
        <f t="shared" si="485"/>
        <v/>
      </c>
      <c r="ER427" s="2" t="str">
        <f t="shared" si="486"/>
        <v/>
      </c>
      <c r="ES427" t="str">
        <f t="shared" si="487"/>
        <v/>
      </c>
      <c r="ET427" t="str">
        <f t="shared" si="488"/>
        <v/>
      </c>
      <c r="EU427" t="str">
        <f t="shared" si="489"/>
        <v/>
      </c>
      <c r="EY427" t="b">
        <f>IF(ISNUMBER(BW427),IF(ABS(BW427-[1]QC_indicators!$B$2)&gt;3*[1]QC_indicators!$C$2,"C ratio",IF(ISNUMBER(CA427),IF(ABS(CA427-[1]QC_indicators!$B$1)&gt;3*[1]QC_indicators!$C$1,"DF","no"))),IF(ISNUMBER(CA427),IF(ABS(CA427-[1]QC_indicators!$B$1)&gt;3*[1]QC_indicators!$C$1,"DF","no")))</f>
        <v>0</v>
      </c>
      <c r="FA427" t="str">
        <f t="shared" si="490"/>
        <v/>
      </c>
    </row>
    <row r="428" spans="1:158" ht="15" hidden="1" customHeight="1">
      <c r="A428" s="1" t="s">
        <v>819</v>
      </c>
      <c r="B428" t="s">
        <v>3874</v>
      </c>
      <c r="C428" t="s">
        <v>3875</v>
      </c>
      <c r="D428" t="s">
        <v>3876</v>
      </c>
      <c r="E428" t="s">
        <v>3877</v>
      </c>
      <c r="F428" t="s">
        <v>3878</v>
      </c>
      <c r="G428" t="s">
        <v>825</v>
      </c>
      <c r="H428" t="s">
        <v>254</v>
      </c>
      <c r="I428">
        <v>2018</v>
      </c>
      <c r="J428">
        <v>58</v>
      </c>
      <c r="K428" t="s">
        <v>3879</v>
      </c>
      <c r="M428" t="str">
        <f t="shared" si="456"/>
        <v>Sterman_2018</v>
      </c>
      <c r="N428" s="297" t="s">
        <v>4058</v>
      </c>
      <c r="O428" s="145" t="s">
        <v>341</v>
      </c>
      <c r="Q428" s="297" t="s">
        <v>256</v>
      </c>
      <c r="R428" s="298"/>
      <c r="S428" s="1" t="s">
        <v>3880</v>
      </c>
      <c r="T428" t="s">
        <v>3881</v>
      </c>
      <c r="U428" t="s">
        <v>3882</v>
      </c>
      <c r="V428" s="317">
        <v>0</v>
      </c>
      <c r="W428">
        <v>0</v>
      </c>
      <c r="X428">
        <v>2</v>
      </c>
      <c r="Y428">
        <v>2</v>
      </c>
      <c r="Z428">
        <v>0</v>
      </c>
      <c r="AA428">
        <v>2</v>
      </c>
      <c r="AB428">
        <v>2</v>
      </c>
      <c r="AC428">
        <v>0</v>
      </c>
      <c r="AD428">
        <v>0</v>
      </c>
      <c r="AE428">
        <v>0</v>
      </c>
      <c r="AF428">
        <v>0</v>
      </c>
      <c r="AG428">
        <v>0</v>
      </c>
      <c r="AH428">
        <v>1</v>
      </c>
      <c r="AI428">
        <v>0</v>
      </c>
      <c r="AJ428">
        <v>0</v>
      </c>
      <c r="AK428">
        <v>0</v>
      </c>
      <c r="AL428">
        <v>0</v>
      </c>
      <c r="AM428">
        <v>0</v>
      </c>
      <c r="AN428">
        <v>0</v>
      </c>
      <c r="AO428">
        <v>0</v>
      </c>
      <c r="AP428">
        <v>0</v>
      </c>
      <c r="AQ428">
        <v>0</v>
      </c>
      <c r="AR428">
        <v>0</v>
      </c>
      <c r="AS428">
        <v>0</v>
      </c>
      <c r="AT428">
        <v>0</v>
      </c>
      <c r="AU428">
        <v>0</v>
      </c>
      <c r="AV428">
        <v>0</v>
      </c>
      <c r="AW428">
        <v>0</v>
      </c>
      <c r="AX428">
        <v>0</v>
      </c>
      <c r="AY428">
        <v>0</v>
      </c>
      <c r="AZ428" s="141">
        <f t="shared" si="457"/>
        <v>5</v>
      </c>
      <c r="BA428" s="141">
        <f t="shared" si="458"/>
        <v>5</v>
      </c>
      <c r="BB428">
        <f t="shared" si="459"/>
        <v>4</v>
      </c>
      <c r="BC428">
        <f t="shared" si="460"/>
        <v>1</v>
      </c>
      <c r="BD428">
        <f t="shared" si="461"/>
        <v>0</v>
      </c>
      <c r="BE428">
        <f t="shared" si="462"/>
        <v>0</v>
      </c>
      <c r="BF428">
        <f t="shared" si="463"/>
        <v>0</v>
      </c>
      <c r="BG428" t="str" cm="1">
        <f t="array" ref="BG428">IF(BA428=1,INDEX($X$7:$AN$7,MATCH(TRUE,INDEX($X428:$AY428&lt;&gt;0,),0)),IF(BA428=0,INDEX($AO$7:$AY$7,MATCH(1,$AO428:$AY428,0)),IF(BH428="Multiple strategies","mixed drivers",IF(BH428="Supply chain","multiple supply","multiple silviculture"))))</f>
        <v>mixed drivers</v>
      </c>
      <c r="BH428" s="2" t="str" cm="1">
        <f t="array" ref="BH428">IF(COUNTIF(BB428:BD428,"&lt;&gt;0")=1,INDEX($X$4:$AY$4,MATCH(TRUE,INDEX($X428:$AY428&lt;&gt;0,),0)),IF(COUNTIF(BB428:BD428,"&lt;&gt;0")=0,INDEX($AO$4:$AY$4,MATCH(1,$AO428:$AY428,0)),"Multiple strategies"))</f>
        <v>Multiple strategies</v>
      </c>
      <c r="BR428" s="297" t="s">
        <v>232</v>
      </c>
      <c r="BS428" s="297"/>
      <c r="BT428" s="297" t="s">
        <v>3883</v>
      </c>
      <c r="BW428" s="144"/>
      <c r="BX428">
        <v>0.04</v>
      </c>
      <c r="BZ428">
        <f t="shared" ref="BZ428:BZ438" si="501">BX428*1.75*10^9*C_to_CO2</f>
        <v>256900000</v>
      </c>
      <c r="CA428" t="str">
        <f t="shared" si="465"/>
        <v/>
      </c>
      <c r="CB428">
        <v>0</v>
      </c>
      <c r="CC428">
        <v>0</v>
      </c>
      <c r="CD428">
        <v>0</v>
      </c>
      <c r="CE428">
        <v>0</v>
      </c>
      <c r="CF428">
        <v>0</v>
      </c>
      <c r="CG428">
        <v>0</v>
      </c>
      <c r="CH428">
        <v>0</v>
      </c>
      <c r="CI428">
        <v>0</v>
      </c>
      <c r="CJ428">
        <v>0</v>
      </c>
      <c r="CK428">
        <v>0</v>
      </c>
      <c r="CL428">
        <v>0</v>
      </c>
      <c r="CM428">
        <v>0</v>
      </c>
      <c r="CN428">
        <v>0</v>
      </c>
      <c r="CO428">
        <v>0</v>
      </c>
      <c r="CP428" t="str">
        <f t="shared" ref="CP428:CP438" si="502">IF(BN428&lt;BM428,"refNeedCorrection","refOK")</f>
        <v>refOK</v>
      </c>
      <c r="CQ428"/>
      <c r="CR428"/>
      <c r="CS428"/>
      <c r="CT428">
        <f t="shared" si="467"/>
        <v>0</v>
      </c>
      <c r="CU428">
        <f t="shared" si="498"/>
        <v>0</v>
      </c>
      <c r="CV428">
        <f t="shared" si="499"/>
        <v>0</v>
      </c>
      <c r="CW428">
        <f t="shared" si="470"/>
        <v>256900000</v>
      </c>
      <c r="CX428" t="str">
        <f t="shared" si="492"/>
        <v/>
      </c>
      <c r="CY428" t="str">
        <f t="shared" si="492"/>
        <v/>
      </c>
      <c r="CZ428" t="str">
        <f t="shared" si="472"/>
        <v/>
      </c>
      <c r="DA428" s="2" t="str">
        <f t="shared" si="473"/>
        <v/>
      </c>
      <c r="DB428" s="1" t="s">
        <v>1074</v>
      </c>
      <c r="DC428" s="297" t="str">
        <f t="shared" si="474"/>
        <v>reg</v>
      </c>
      <c r="DD428" t="s">
        <v>428</v>
      </c>
      <c r="DE428">
        <v>2020</v>
      </c>
      <c r="DF428">
        <v>2100</v>
      </c>
      <c r="DG428">
        <v>80</v>
      </c>
      <c r="DH428" t="str">
        <f t="shared" si="475"/>
        <v>71-100</v>
      </c>
      <c r="DI428">
        <v>0</v>
      </c>
      <c r="DJ428">
        <v>1</v>
      </c>
      <c r="DK428">
        <v>0</v>
      </c>
      <c r="DL428">
        <v>0</v>
      </c>
      <c r="DN428">
        <f t="shared" ref="DN428:DN459" si="503">SUM(DI428:DL428)</f>
        <v>1</v>
      </c>
      <c r="DO428" t="str">
        <f t="shared" si="477"/>
        <v>EnergyInput</v>
      </c>
      <c r="DP428">
        <f t="shared" si="478"/>
        <v>0</v>
      </c>
      <c r="DQ428" t="str">
        <f t="shared" si="479"/>
        <v>Energy</v>
      </c>
      <c r="DR428">
        <f t="shared" si="480"/>
        <v>0</v>
      </c>
      <c r="DS428">
        <f t="shared" si="481"/>
        <v>0</v>
      </c>
      <c r="DT428">
        <v>1</v>
      </c>
      <c r="DU428">
        <v>1</v>
      </c>
      <c r="DV428" t="s">
        <v>3884</v>
      </c>
      <c r="DW428">
        <v>0</v>
      </c>
      <c r="DX428" t="s">
        <v>3885</v>
      </c>
      <c r="DY428">
        <f t="shared" ref="DY428:DY459" si="504">SUM(DT428:DU428)</f>
        <v>2</v>
      </c>
      <c r="DZ428" s="143" t="str">
        <f t="shared" si="483"/>
        <v>self-calculated DF</v>
      </c>
      <c r="EA428">
        <v>1</v>
      </c>
      <c r="EB428">
        <v>1</v>
      </c>
      <c r="EC428">
        <v>1</v>
      </c>
      <c r="ED428">
        <v>0</v>
      </c>
      <c r="EE428">
        <v>1</v>
      </c>
      <c r="EF428">
        <v>0</v>
      </c>
      <c r="EG428">
        <v>1</v>
      </c>
      <c r="EH428">
        <v>1</v>
      </c>
      <c r="EI428">
        <v>0</v>
      </c>
      <c r="EJ428">
        <v>1</v>
      </c>
      <c r="EK428">
        <v>1</v>
      </c>
      <c r="EL428">
        <v>1</v>
      </c>
      <c r="EM428">
        <v>0</v>
      </c>
      <c r="EN428" s="2">
        <v>0</v>
      </c>
      <c r="EP428" t="str">
        <f t="shared" si="484"/>
        <v>Whole sector approach</v>
      </c>
      <c r="EQ428" t="str">
        <f t="shared" si="485"/>
        <v/>
      </c>
      <c r="ER428" s="2" t="str">
        <f t="shared" si="486"/>
        <v/>
      </c>
      <c r="ES428" t="str">
        <f t="shared" si="487"/>
        <v/>
      </c>
      <c r="ET428" t="str">
        <f t="shared" si="488"/>
        <v/>
      </c>
      <c r="EU428" t="str">
        <f t="shared" si="489"/>
        <v/>
      </c>
      <c r="EY428" t="b">
        <f>IF(ISNUMBER(BW428),IF(ABS(BW428-[1]QC_indicators!$B$2)&gt;3*[1]QC_indicators!$C$2,"C ratio",IF(ISNUMBER(CA428),IF(ABS(CA428-[1]QC_indicators!$B$1)&gt;3*[1]QC_indicators!$C$1,"DF","no"))),IF(ISNUMBER(CA428),IF(ABS(CA428-[1]QC_indicators!$B$1)&gt;3*[1]QC_indicators!$C$1,"DF","no")))</f>
        <v>0</v>
      </c>
      <c r="FA428" t="str">
        <f t="shared" si="490"/>
        <v/>
      </c>
      <c r="FB428" s="299" t="s">
        <v>349</v>
      </c>
    </row>
    <row r="429" spans="1:158" ht="15" hidden="1" customHeight="1">
      <c r="A429" s="1" t="s">
        <v>819</v>
      </c>
      <c r="B429" t="s">
        <v>3874</v>
      </c>
      <c r="C429" t="s">
        <v>3875</v>
      </c>
      <c r="D429" t="s">
        <v>3876</v>
      </c>
      <c r="E429" t="s">
        <v>3877</v>
      </c>
      <c r="F429" t="s">
        <v>3878</v>
      </c>
      <c r="G429" t="s">
        <v>825</v>
      </c>
      <c r="H429" t="s">
        <v>254</v>
      </c>
      <c r="I429">
        <v>2018</v>
      </c>
      <c r="J429">
        <v>58</v>
      </c>
      <c r="K429" t="s">
        <v>3879</v>
      </c>
      <c r="M429" t="str">
        <f t="shared" si="456"/>
        <v>Sterman_2018</v>
      </c>
      <c r="N429" s="297" t="s">
        <v>4058</v>
      </c>
      <c r="O429" s="145" t="s">
        <v>341</v>
      </c>
      <c r="Q429" s="297" t="s">
        <v>256</v>
      </c>
      <c r="R429" s="298"/>
      <c r="S429" s="1" t="s">
        <v>3886</v>
      </c>
      <c r="T429" t="s">
        <v>3881</v>
      </c>
      <c r="U429" t="s">
        <v>1572</v>
      </c>
      <c r="X429">
        <v>0</v>
      </c>
      <c r="Y429">
        <v>0</v>
      </c>
      <c r="Z429">
        <v>0</v>
      </c>
      <c r="AA429">
        <v>0</v>
      </c>
      <c r="AB429">
        <v>0</v>
      </c>
      <c r="AC429">
        <v>0</v>
      </c>
      <c r="AD429">
        <v>0</v>
      </c>
      <c r="AE429">
        <v>0</v>
      </c>
      <c r="AF429">
        <v>0</v>
      </c>
      <c r="AG429">
        <v>0</v>
      </c>
      <c r="AH429">
        <v>0</v>
      </c>
      <c r="AI429">
        <v>0</v>
      </c>
      <c r="AJ429">
        <v>0</v>
      </c>
      <c r="AK429">
        <v>0</v>
      </c>
      <c r="AL429">
        <v>0</v>
      </c>
      <c r="AM429">
        <v>1</v>
      </c>
      <c r="AN429">
        <v>0</v>
      </c>
      <c r="AO429">
        <v>0</v>
      </c>
      <c r="AP429">
        <v>0</v>
      </c>
      <c r="AQ429">
        <v>0</v>
      </c>
      <c r="AR429">
        <v>0</v>
      </c>
      <c r="AS429">
        <v>0</v>
      </c>
      <c r="AT429">
        <v>0</v>
      </c>
      <c r="AU429">
        <v>0</v>
      </c>
      <c r="AV429">
        <v>0</v>
      </c>
      <c r="AW429">
        <v>0</v>
      </c>
      <c r="AX429">
        <v>0</v>
      </c>
      <c r="AY429">
        <v>0</v>
      </c>
      <c r="AZ429" s="141">
        <f t="shared" ref="AZ429:AZ460" si="505">COUNTIF(X429:AY429,"&lt;&gt;0")</f>
        <v>1</v>
      </c>
      <c r="BA429" s="141">
        <f t="shared" ref="BA429:BA460" si="506">COUNTIF(X429:AN429,"&lt;&gt;0")</f>
        <v>1</v>
      </c>
      <c r="BB429">
        <f t="shared" ref="BB429:BB460" si="507">COUNTIF(X429:AE429,"&lt;&gt;0")</f>
        <v>0</v>
      </c>
      <c r="BC429">
        <f t="shared" ref="BC429:BC460" si="508">COUNTIF(AF429:AK429,"&lt;&gt;0")</f>
        <v>0</v>
      </c>
      <c r="BD429">
        <f t="shared" ref="BD429:BD460" si="509">COUNTIF(AL429:AN429,"&lt;&gt;0")</f>
        <v>1</v>
      </c>
      <c r="BE429">
        <f t="shared" ref="BE429:BE460" si="510">COUNTIF(AU429:AY429,"&lt;&gt;0")</f>
        <v>0</v>
      </c>
      <c r="BF429">
        <f t="shared" ref="BF429:BF460" si="511">COUNTIF(AO429:AT429,"&lt;&gt;0")</f>
        <v>0</v>
      </c>
      <c r="BG429" t="str" cm="1">
        <f t="array" ref="BG429">IF(BA429=1,INDEX($X$7:$AN$7,MATCH(TRUE,INDEX($X429:$AY429&lt;&gt;0,),0)),IF(BA429=0,INDEX($AO$7:$AY$7,MATCH(1,$AO429:$AY429,0)),IF(BH429="Multiple strategies","mixed drivers",IF(BH429="Supply chain","multiple supply","multiple silviculture"))))</f>
        <v>technologies/design switch</v>
      </c>
      <c r="BH429" s="2" t="str" cm="1">
        <f t="array" ref="BH429">IF(COUNTIF(BB429:BD429,"&lt;&gt;0")=1,INDEX($X$4:$AY$4,MATCH(TRUE,INDEX($X429:$AY429&lt;&gt;0,),0)),IF(COUNTIF(BB429:BD429,"&lt;&gt;0")=0,INDEX($AO$4:$AY$4,MATCH(1,$AO429:$AY429,0)),"Multiple strategies"))</f>
        <v>Technology</v>
      </c>
      <c r="BI429" s="142"/>
      <c r="BL429" s="143"/>
      <c r="BN429" s="143"/>
      <c r="BO429" s="143"/>
      <c r="BP429" s="143"/>
      <c r="BQ429" s="143"/>
      <c r="BR429" s="297" t="s">
        <v>232</v>
      </c>
      <c r="BS429" s="297"/>
      <c r="BT429" t="s">
        <v>3883</v>
      </c>
      <c r="BU429" s="143"/>
      <c r="BW429" s="144"/>
      <c r="BX429">
        <v>-6.2E-2</v>
      </c>
      <c r="BZ429">
        <f t="shared" si="501"/>
        <v>-398195000</v>
      </c>
      <c r="CA429" t="str">
        <f t="shared" ref="CA429:CA460" si="512">IFERROR(BZ429/BQ429,"")</f>
        <v/>
      </c>
      <c r="CB429">
        <v>0</v>
      </c>
      <c r="CC429">
        <v>0</v>
      </c>
      <c r="CD429">
        <v>0</v>
      </c>
      <c r="CE429">
        <v>0</v>
      </c>
      <c r="CF429">
        <v>0</v>
      </c>
      <c r="CG429">
        <v>0</v>
      </c>
      <c r="CH429">
        <v>0</v>
      </c>
      <c r="CI429">
        <v>0</v>
      </c>
      <c r="CJ429">
        <v>0</v>
      </c>
      <c r="CK429">
        <v>0</v>
      </c>
      <c r="CL429">
        <v>0</v>
      </c>
      <c r="CM429">
        <v>0</v>
      </c>
      <c r="CN429">
        <v>0</v>
      </c>
      <c r="CO429">
        <v>0</v>
      </c>
      <c r="CP429" t="str">
        <f t="shared" si="502"/>
        <v>refOK</v>
      </c>
      <c r="CQ429"/>
      <c r="CR429"/>
      <c r="CS429"/>
      <c r="CT429">
        <f t="shared" si="467"/>
        <v>0</v>
      </c>
      <c r="CU429">
        <f t="shared" si="498"/>
        <v>0</v>
      </c>
      <c r="CV429">
        <f t="shared" si="499"/>
        <v>0</v>
      </c>
      <c r="CW429">
        <f t="shared" ref="CW429:CW460" si="513">IF($CP429="refNeedCorrection",-BZ429,BZ429)*IF($BR429="Emissions positive",-1,1)</f>
        <v>-398195000</v>
      </c>
      <c r="CX429" t="str">
        <f t="shared" si="492"/>
        <v/>
      </c>
      <c r="CY429" t="str">
        <f t="shared" si="492"/>
        <v/>
      </c>
      <c r="CZ429" t="str">
        <f t="shared" si="472"/>
        <v/>
      </c>
      <c r="DA429" s="2" t="str">
        <f t="shared" ref="DA429:DA460" si="514">IFERROR((CV429-CU429)/ABS(CU429),"")</f>
        <v/>
      </c>
      <c r="DB429" s="1" t="s">
        <v>1074</v>
      </c>
      <c r="DC429" s="297" t="str">
        <f t="shared" ref="DC429:DC460" si="515">IF(OR($DB429="prd",$DB429="std",$DB429="cit"),"loc",IF(OR($DB429="eur",$DB429="reg",$DB429="coy"),"reg",$DB429))</f>
        <v>reg</v>
      </c>
      <c r="DD429" t="s">
        <v>428</v>
      </c>
      <c r="DE429">
        <v>2020</v>
      </c>
      <c r="DF429">
        <v>2100</v>
      </c>
      <c r="DG429">
        <v>80</v>
      </c>
      <c r="DH429" t="str">
        <f t="shared" ref="DH429:DH460" si="516">IF(DG429=0,"0",IF(AND(DG429&gt;=1,DG429&lt;=30),"1-30",IF(AND(DG429&gt;30,DG429&lt;=70),"31-70",IF(AND(DG429&gt;70,DG429&lt;=100),"71-100",IF(DG429&gt;100,"+100")))))</f>
        <v>71-100</v>
      </c>
      <c r="DI429">
        <v>0</v>
      </c>
      <c r="DJ429">
        <v>1</v>
      </c>
      <c r="DK429">
        <v>0</v>
      </c>
      <c r="DL429">
        <v>0</v>
      </c>
      <c r="DN429">
        <f t="shared" si="503"/>
        <v>1</v>
      </c>
      <c r="DO429" t="str">
        <f t="shared" ref="DO429:DO460" si="517">IF(DN429=1,INDEX($DI$7:$DL$7,MATCH(1,$DI429:$DL429,0)),"mixedProduct")</f>
        <v>EnergyInput</v>
      </c>
      <c r="DP429">
        <f t="shared" ref="DP429:DP460" si="518">IF(DI429=1,DP$7,0)</f>
        <v>0</v>
      </c>
      <c r="DQ429" t="str">
        <f t="shared" ref="DQ429:DQ460" si="519">IF(DJ429=1,DQ$7,0)</f>
        <v>Energy</v>
      </c>
      <c r="DR429">
        <f t="shared" ref="DR429:DR460" si="520">IF(DK429=1,DR$7,0)</f>
        <v>0</v>
      </c>
      <c r="DS429">
        <f t="shared" ref="DS429:DS460" si="521">IF(DL429=1,DS$7,0)</f>
        <v>0</v>
      </c>
      <c r="DT429">
        <v>1</v>
      </c>
      <c r="DU429">
        <v>1</v>
      </c>
      <c r="DV429" t="s">
        <v>3884</v>
      </c>
      <c r="DW429">
        <v>0</v>
      </c>
      <c r="DX429" t="s">
        <v>3885</v>
      </c>
      <c r="DY429">
        <f t="shared" si="504"/>
        <v>2</v>
      </c>
      <c r="DZ429" s="143" t="str">
        <f t="shared" ref="DZ429:DZ460" si="522">IF(DT429=1,"self-calculated DF",IF(DU429=1,"external DF used","explicit C balance"))</f>
        <v>self-calculated DF</v>
      </c>
      <c r="EA429">
        <v>1</v>
      </c>
      <c r="EB429">
        <v>1</v>
      </c>
      <c r="EC429">
        <v>1</v>
      </c>
      <c r="ED429">
        <v>0</v>
      </c>
      <c r="EE429">
        <v>1</v>
      </c>
      <c r="EF429">
        <v>0</v>
      </c>
      <c r="EG429">
        <v>1</v>
      </c>
      <c r="EH429">
        <v>1</v>
      </c>
      <c r="EI429">
        <v>0</v>
      </c>
      <c r="EJ429">
        <v>1</v>
      </c>
      <c r="EK429">
        <v>1</v>
      </c>
      <c r="EL429">
        <v>1</v>
      </c>
      <c r="EM429">
        <v>0</v>
      </c>
      <c r="EN429" s="2">
        <v>0</v>
      </c>
      <c r="EP429" t="str">
        <f t="shared" si="484"/>
        <v>Whole sector approach</v>
      </c>
      <c r="EQ429" t="str">
        <f t="shared" ref="EQ429:EQ460" si="523">IF(AND(AND(OR($EC429=1,$EB429=1),AND($EH429=0,$EF429=0)),SUM($EA429:$EE429,$EK429)&gt;=3),"Ecosystem approach","")</f>
        <v/>
      </c>
      <c r="ER429" s="2" t="str">
        <f t="shared" ref="ER429:ER460" si="524">IF(AND(AND(AND($EC429=0,$EB429=0),OR($EH429=1,$EF429=1)),SUM($EG429:$EJ429)&gt;=2),"Technology approach","")</f>
        <v/>
      </c>
      <c r="ES429" t="str">
        <f t="shared" ref="ES429:ES460" si="525">IF(AND($EC429+$EB429+$EE429+$EA429+$EF429+$EG429=0,$N429="included"),"C neutral forest and HWP assumption","")</f>
        <v/>
      </c>
      <c r="ET429" t="str">
        <f t="shared" ref="ET429:ET460" si="526">IF(AND(AND(AND($EC429+$EB429+$EA429+$EG429&gt;=2,$EF429+$EH429+$EI429&gt;=1),$ED429+$EE429&gt;=1),$N429="included"),"All C pools assumption","")</f>
        <v/>
      </c>
      <c r="EU429" t="str">
        <f t="shared" si="489"/>
        <v/>
      </c>
      <c r="EY429" t="b">
        <f>IF(ISNUMBER(BW429),IF(ABS(BW429-[1]QC_indicators!$B$2)&gt;3*[1]QC_indicators!$C$2,"C ratio",IF(ISNUMBER(CA429),IF(ABS(CA429-[1]QC_indicators!$B$1)&gt;3*[1]QC_indicators!$C$1,"DF","no"))),IF(ISNUMBER(CA429),IF(ABS(CA429-[1]QC_indicators!$B$1)&gt;3*[1]QC_indicators!$C$1,"DF","no")))</f>
        <v>0</v>
      </c>
      <c r="FA429" t="str">
        <f t="shared" si="490"/>
        <v/>
      </c>
      <c r="FB429" s="299" t="s">
        <v>349</v>
      </c>
    </row>
    <row r="430" spans="1:158" ht="15" hidden="1" customHeight="1">
      <c r="A430" s="1" t="s">
        <v>819</v>
      </c>
      <c r="B430" t="s">
        <v>3874</v>
      </c>
      <c r="C430" t="s">
        <v>3875</v>
      </c>
      <c r="D430" t="s">
        <v>3876</v>
      </c>
      <c r="E430" t="s">
        <v>3877</v>
      </c>
      <c r="F430" t="s">
        <v>3878</v>
      </c>
      <c r="G430" t="s">
        <v>825</v>
      </c>
      <c r="H430" t="s">
        <v>254</v>
      </c>
      <c r="I430">
        <v>2018</v>
      </c>
      <c r="J430">
        <v>58</v>
      </c>
      <c r="K430" t="s">
        <v>3879</v>
      </c>
      <c r="M430" t="str">
        <f t="shared" si="456"/>
        <v>Sterman_2018</v>
      </c>
      <c r="N430" s="297" t="s">
        <v>4058</v>
      </c>
      <c r="O430" s="145" t="s">
        <v>341</v>
      </c>
      <c r="Q430" s="297" t="s">
        <v>256</v>
      </c>
      <c r="R430" s="298"/>
      <c r="S430" s="1" t="s">
        <v>3887</v>
      </c>
      <c r="T430" t="s">
        <v>3881</v>
      </c>
      <c r="U430" t="s">
        <v>1572</v>
      </c>
      <c r="X430">
        <v>0</v>
      </c>
      <c r="Y430">
        <v>0</v>
      </c>
      <c r="Z430">
        <v>0</v>
      </c>
      <c r="AA430">
        <v>0</v>
      </c>
      <c r="AB430">
        <v>0</v>
      </c>
      <c r="AC430">
        <v>0</v>
      </c>
      <c r="AD430">
        <v>0</v>
      </c>
      <c r="AE430">
        <v>0</v>
      </c>
      <c r="AF430">
        <v>0</v>
      </c>
      <c r="AG430">
        <v>0</v>
      </c>
      <c r="AH430">
        <v>0</v>
      </c>
      <c r="AI430">
        <v>0</v>
      </c>
      <c r="AJ430">
        <v>0</v>
      </c>
      <c r="AK430">
        <v>0</v>
      </c>
      <c r="AL430">
        <v>0</v>
      </c>
      <c r="AM430">
        <v>1</v>
      </c>
      <c r="AN430">
        <v>0</v>
      </c>
      <c r="AO430">
        <v>0</v>
      </c>
      <c r="AP430">
        <v>0</v>
      </c>
      <c r="AQ430">
        <v>0</v>
      </c>
      <c r="AR430">
        <v>0</v>
      </c>
      <c r="AS430">
        <v>0</v>
      </c>
      <c r="AT430">
        <v>0</v>
      </c>
      <c r="AU430">
        <v>0</v>
      </c>
      <c r="AV430">
        <v>0</v>
      </c>
      <c r="AW430">
        <v>0</v>
      </c>
      <c r="AX430">
        <v>0</v>
      </c>
      <c r="AY430">
        <v>0</v>
      </c>
      <c r="AZ430" s="141">
        <f t="shared" si="505"/>
        <v>1</v>
      </c>
      <c r="BA430" s="141">
        <f t="shared" si="506"/>
        <v>1</v>
      </c>
      <c r="BB430">
        <f t="shared" si="507"/>
        <v>0</v>
      </c>
      <c r="BC430">
        <f t="shared" si="508"/>
        <v>0</v>
      </c>
      <c r="BD430">
        <f t="shared" si="509"/>
        <v>1</v>
      </c>
      <c r="BE430">
        <f t="shared" si="510"/>
        <v>0</v>
      </c>
      <c r="BF430">
        <f t="shared" si="511"/>
        <v>0</v>
      </c>
      <c r="BG430" t="str" cm="1">
        <f t="array" ref="BG430">IF(BA430=1,INDEX($X$7:$AN$7,MATCH(TRUE,INDEX($X430:$AY430&lt;&gt;0,),0)),IF(BA430=0,INDEX($AO$7:$AY$7,MATCH(1,$AO430:$AY430,0)),IF(BH430="Multiple strategies","mixed drivers",IF(BH430="Supply chain","multiple supply","multiple silviculture"))))</f>
        <v>technologies/design switch</v>
      </c>
      <c r="BH430" s="2" t="str" cm="1">
        <f t="array" ref="BH430">IF(COUNTIF(BB430:BD430,"&lt;&gt;0")=1,INDEX($X$4:$AY$4,MATCH(TRUE,INDEX($X430:$AY430&lt;&gt;0,),0)),IF(COUNTIF(BB430:BD430,"&lt;&gt;0")=0,INDEX($AO$4:$AY$4,MATCH(1,$AO430:$AY430,0)),"Multiple strategies"))</f>
        <v>Technology</v>
      </c>
      <c r="BI430" s="142"/>
      <c r="BL430" s="143"/>
      <c r="BN430" s="143"/>
      <c r="BO430" s="143"/>
      <c r="BP430" s="143"/>
      <c r="BQ430" s="143"/>
      <c r="BR430" s="297" t="s">
        <v>232</v>
      </c>
      <c r="BS430" s="297"/>
      <c r="BT430" t="s">
        <v>3883</v>
      </c>
      <c r="BU430" s="143"/>
      <c r="BW430" s="144"/>
      <c r="BX430">
        <v>-6.0999999999999999E-2</v>
      </c>
      <c r="BZ430">
        <f t="shared" si="501"/>
        <v>-391772500</v>
      </c>
      <c r="CA430" t="str">
        <f t="shared" si="512"/>
        <v/>
      </c>
      <c r="CB430">
        <v>0</v>
      </c>
      <c r="CC430">
        <v>0</v>
      </c>
      <c r="CD430">
        <v>0</v>
      </c>
      <c r="CE430">
        <v>0</v>
      </c>
      <c r="CF430">
        <v>0</v>
      </c>
      <c r="CG430">
        <v>0</v>
      </c>
      <c r="CH430">
        <v>0</v>
      </c>
      <c r="CI430">
        <v>0</v>
      </c>
      <c r="CJ430">
        <v>0</v>
      </c>
      <c r="CK430">
        <v>0</v>
      </c>
      <c r="CL430">
        <v>0</v>
      </c>
      <c r="CM430">
        <v>0</v>
      </c>
      <c r="CN430">
        <v>0</v>
      </c>
      <c r="CO430">
        <v>0</v>
      </c>
      <c r="CP430" t="str">
        <f t="shared" si="502"/>
        <v>refOK</v>
      </c>
      <c r="CQ430"/>
      <c r="CR430"/>
      <c r="CS430"/>
      <c r="CT430">
        <f t="shared" si="467"/>
        <v>0</v>
      </c>
      <c r="CU430">
        <f t="shared" si="498"/>
        <v>0</v>
      </c>
      <c r="CV430">
        <f t="shared" si="499"/>
        <v>0</v>
      </c>
      <c r="CW430">
        <f t="shared" si="513"/>
        <v>-391772500</v>
      </c>
      <c r="CX430" t="str">
        <f t="shared" si="492"/>
        <v/>
      </c>
      <c r="CY430" t="str">
        <f t="shared" si="492"/>
        <v/>
      </c>
      <c r="CZ430" t="str">
        <f t="shared" si="472"/>
        <v/>
      </c>
      <c r="DA430" s="2" t="str">
        <f t="shared" si="514"/>
        <v/>
      </c>
      <c r="DB430" s="1" t="s">
        <v>1074</v>
      </c>
      <c r="DC430" s="297" t="str">
        <f t="shared" si="515"/>
        <v>reg</v>
      </c>
      <c r="DD430" t="s">
        <v>428</v>
      </c>
      <c r="DE430">
        <v>2020</v>
      </c>
      <c r="DF430">
        <v>2100</v>
      </c>
      <c r="DG430">
        <v>80</v>
      </c>
      <c r="DH430" t="str">
        <f t="shared" si="516"/>
        <v>71-100</v>
      </c>
      <c r="DI430">
        <v>0</v>
      </c>
      <c r="DJ430">
        <v>1</v>
      </c>
      <c r="DK430">
        <v>0</v>
      </c>
      <c r="DL430">
        <v>0</v>
      </c>
      <c r="DN430">
        <f t="shared" si="503"/>
        <v>1</v>
      </c>
      <c r="DO430" t="str">
        <f t="shared" si="517"/>
        <v>EnergyInput</v>
      </c>
      <c r="DP430">
        <f t="shared" si="518"/>
        <v>0</v>
      </c>
      <c r="DQ430" t="str">
        <f t="shared" si="519"/>
        <v>Energy</v>
      </c>
      <c r="DR430">
        <f t="shared" si="520"/>
        <v>0</v>
      </c>
      <c r="DS430">
        <f t="shared" si="521"/>
        <v>0</v>
      </c>
      <c r="DT430">
        <v>1</v>
      </c>
      <c r="DU430">
        <v>1</v>
      </c>
      <c r="DV430" t="s">
        <v>3884</v>
      </c>
      <c r="DW430">
        <v>0</v>
      </c>
      <c r="DX430" t="s">
        <v>3885</v>
      </c>
      <c r="DY430">
        <f t="shared" si="504"/>
        <v>2</v>
      </c>
      <c r="DZ430" s="143" t="str">
        <f t="shared" si="522"/>
        <v>self-calculated DF</v>
      </c>
      <c r="EA430">
        <v>1</v>
      </c>
      <c r="EB430">
        <v>1</v>
      </c>
      <c r="EC430">
        <v>1</v>
      </c>
      <c r="ED430">
        <v>0</v>
      </c>
      <c r="EE430">
        <v>1</v>
      </c>
      <c r="EF430">
        <v>0</v>
      </c>
      <c r="EG430">
        <v>1</v>
      </c>
      <c r="EH430">
        <v>1</v>
      </c>
      <c r="EI430">
        <v>0</v>
      </c>
      <c r="EJ430">
        <v>1</v>
      </c>
      <c r="EK430">
        <v>1</v>
      </c>
      <c r="EL430">
        <v>1</v>
      </c>
      <c r="EM430">
        <v>0</v>
      </c>
      <c r="EN430" s="2">
        <v>0</v>
      </c>
      <c r="EP430" t="str">
        <f t="shared" si="484"/>
        <v>Whole sector approach</v>
      </c>
      <c r="EQ430" t="str">
        <f t="shared" si="523"/>
        <v/>
      </c>
      <c r="ER430" s="2" t="str">
        <f t="shared" si="524"/>
        <v/>
      </c>
      <c r="ES430" t="str">
        <f t="shared" si="525"/>
        <v/>
      </c>
      <c r="ET430" t="str">
        <f t="shared" si="526"/>
        <v/>
      </c>
      <c r="EU430" t="str">
        <f t="shared" si="489"/>
        <v/>
      </c>
      <c r="EY430" t="b">
        <f>IF(ISNUMBER(BW430),IF(ABS(BW430-[1]QC_indicators!$B$2)&gt;3*[1]QC_indicators!$C$2,"C ratio",IF(ISNUMBER(CA430),IF(ABS(CA430-[1]QC_indicators!$B$1)&gt;3*[1]QC_indicators!$C$1,"DF","no"))),IF(ISNUMBER(CA430),IF(ABS(CA430-[1]QC_indicators!$B$1)&gt;3*[1]QC_indicators!$C$1,"DF","no")))</f>
        <v>0</v>
      </c>
      <c r="FA430" t="str">
        <f t="shared" si="490"/>
        <v/>
      </c>
      <c r="FB430" s="299" t="s">
        <v>349</v>
      </c>
    </row>
    <row r="431" spans="1:158" ht="15" hidden="1" customHeight="1">
      <c r="A431" s="1" t="s">
        <v>819</v>
      </c>
      <c r="B431" t="s">
        <v>3874</v>
      </c>
      <c r="C431" t="s">
        <v>3875</v>
      </c>
      <c r="D431" t="s">
        <v>3876</v>
      </c>
      <c r="E431" t="s">
        <v>3877</v>
      </c>
      <c r="F431" t="s">
        <v>3878</v>
      </c>
      <c r="G431" t="s">
        <v>825</v>
      </c>
      <c r="H431" t="s">
        <v>254</v>
      </c>
      <c r="I431">
        <v>2018</v>
      </c>
      <c r="J431">
        <v>58</v>
      </c>
      <c r="K431" t="s">
        <v>3879</v>
      </c>
      <c r="M431" t="str">
        <f t="shared" si="456"/>
        <v>Sterman_2018</v>
      </c>
      <c r="N431" s="297" t="s">
        <v>4058</v>
      </c>
      <c r="O431" s="145" t="s">
        <v>341</v>
      </c>
      <c r="Q431" s="297" t="s">
        <v>256</v>
      </c>
      <c r="R431" s="298"/>
      <c r="S431" s="1" t="s">
        <v>3888</v>
      </c>
      <c r="T431" t="s">
        <v>3881</v>
      </c>
      <c r="U431" t="s">
        <v>1572</v>
      </c>
      <c r="X431">
        <v>0</v>
      </c>
      <c r="Y431">
        <v>0</v>
      </c>
      <c r="Z431">
        <v>0</v>
      </c>
      <c r="AA431">
        <v>0</v>
      </c>
      <c r="AB431">
        <v>0</v>
      </c>
      <c r="AC431">
        <v>0</v>
      </c>
      <c r="AD431">
        <v>0</v>
      </c>
      <c r="AE431">
        <v>0</v>
      </c>
      <c r="AF431">
        <v>0</v>
      </c>
      <c r="AG431">
        <v>0</v>
      </c>
      <c r="AH431">
        <v>0</v>
      </c>
      <c r="AI431">
        <v>0</v>
      </c>
      <c r="AJ431">
        <v>0</v>
      </c>
      <c r="AK431">
        <v>0</v>
      </c>
      <c r="AL431">
        <v>0</v>
      </c>
      <c r="AM431">
        <v>1</v>
      </c>
      <c r="AN431">
        <v>0</v>
      </c>
      <c r="AO431">
        <v>0</v>
      </c>
      <c r="AP431">
        <v>0</v>
      </c>
      <c r="AQ431">
        <v>0</v>
      </c>
      <c r="AR431">
        <v>0</v>
      </c>
      <c r="AS431">
        <v>0</v>
      </c>
      <c r="AT431">
        <v>0</v>
      </c>
      <c r="AU431">
        <v>0</v>
      </c>
      <c r="AV431">
        <v>0</v>
      </c>
      <c r="AW431">
        <v>0</v>
      </c>
      <c r="AX431">
        <v>0</v>
      </c>
      <c r="AY431">
        <v>0</v>
      </c>
      <c r="AZ431" s="141">
        <f t="shared" si="505"/>
        <v>1</v>
      </c>
      <c r="BA431" s="141">
        <f t="shared" si="506"/>
        <v>1</v>
      </c>
      <c r="BB431">
        <f t="shared" si="507"/>
        <v>0</v>
      </c>
      <c r="BC431">
        <f t="shared" si="508"/>
        <v>0</v>
      </c>
      <c r="BD431">
        <f t="shared" si="509"/>
        <v>1</v>
      </c>
      <c r="BE431">
        <f t="shared" si="510"/>
        <v>0</v>
      </c>
      <c r="BF431">
        <f t="shared" si="511"/>
        <v>0</v>
      </c>
      <c r="BG431" t="str" cm="1">
        <f t="array" ref="BG431">IF(BA431=1,INDEX($X$7:$AN$7,MATCH(TRUE,INDEX($X431:$AY431&lt;&gt;0,),0)),IF(BA431=0,INDEX($AO$7:$AY$7,MATCH(1,$AO431:$AY431,0)),IF(BH431="Multiple strategies","mixed drivers",IF(BH431="Supply chain","multiple supply","multiple silviculture"))))</f>
        <v>technologies/design switch</v>
      </c>
      <c r="BH431" s="2" t="str" cm="1">
        <f t="array" ref="BH431">IF(COUNTIF(BB431:BD431,"&lt;&gt;0")=1,INDEX($X$4:$AY$4,MATCH(TRUE,INDEX($X431:$AY431&lt;&gt;0,),0)),IF(COUNTIF(BB431:BD431,"&lt;&gt;0")=0,INDEX($AO$4:$AY$4,MATCH(1,$AO431:$AY431,0)),"Multiple strategies"))</f>
        <v>Technology</v>
      </c>
      <c r="BI431" s="142"/>
      <c r="BL431" s="143"/>
      <c r="BN431" s="143"/>
      <c r="BO431" s="143"/>
      <c r="BP431" s="143"/>
      <c r="BQ431" s="143"/>
      <c r="BR431" s="297" t="s">
        <v>232</v>
      </c>
      <c r="BS431" s="297"/>
      <c r="BT431" t="s">
        <v>3883</v>
      </c>
      <c r="BU431" s="143"/>
      <c r="BW431" s="144"/>
      <c r="BX431">
        <v>-3.5000000000000003E-2</v>
      </c>
      <c r="BZ431">
        <f t="shared" si="501"/>
        <v>-224787500.00000003</v>
      </c>
      <c r="CA431" t="str">
        <f t="shared" si="512"/>
        <v/>
      </c>
      <c r="CB431">
        <v>0</v>
      </c>
      <c r="CC431">
        <v>0</v>
      </c>
      <c r="CD431">
        <v>0</v>
      </c>
      <c r="CE431">
        <v>0</v>
      </c>
      <c r="CF431">
        <v>0</v>
      </c>
      <c r="CG431">
        <v>0</v>
      </c>
      <c r="CH431">
        <v>0</v>
      </c>
      <c r="CI431">
        <v>0</v>
      </c>
      <c r="CJ431">
        <v>0</v>
      </c>
      <c r="CK431">
        <v>0</v>
      </c>
      <c r="CL431">
        <v>0</v>
      </c>
      <c r="CM431">
        <v>0</v>
      </c>
      <c r="CN431">
        <v>0</v>
      </c>
      <c r="CO431">
        <v>0</v>
      </c>
      <c r="CP431" t="str">
        <f t="shared" si="502"/>
        <v>refOK</v>
      </c>
      <c r="CQ431"/>
      <c r="CR431"/>
      <c r="CS431"/>
      <c r="CT431">
        <f t="shared" si="467"/>
        <v>0</v>
      </c>
      <c r="CU431">
        <f t="shared" si="498"/>
        <v>0</v>
      </c>
      <c r="CV431">
        <f t="shared" si="499"/>
        <v>0</v>
      </c>
      <c r="CW431">
        <f t="shared" si="513"/>
        <v>-224787500.00000003</v>
      </c>
      <c r="CX431" t="str">
        <f t="shared" si="492"/>
        <v/>
      </c>
      <c r="CY431" t="str">
        <f t="shared" si="492"/>
        <v/>
      </c>
      <c r="CZ431" t="str">
        <f t="shared" si="472"/>
        <v/>
      </c>
      <c r="DA431" s="2" t="str">
        <f t="shared" si="514"/>
        <v/>
      </c>
      <c r="DB431" s="1" t="s">
        <v>1074</v>
      </c>
      <c r="DC431" s="297" t="str">
        <f t="shared" si="515"/>
        <v>reg</v>
      </c>
      <c r="DD431" t="s">
        <v>428</v>
      </c>
      <c r="DE431">
        <v>2020</v>
      </c>
      <c r="DF431">
        <v>2100</v>
      </c>
      <c r="DG431">
        <v>80</v>
      </c>
      <c r="DH431" t="str">
        <f t="shared" si="516"/>
        <v>71-100</v>
      </c>
      <c r="DI431">
        <v>0</v>
      </c>
      <c r="DJ431">
        <v>1</v>
      </c>
      <c r="DK431">
        <v>0</v>
      </c>
      <c r="DL431">
        <v>0</v>
      </c>
      <c r="DN431">
        <f t="shared" si="503"/>
        <v>1</v>
      </c>
      <c r="DO431" t="str">
        <f t="shared" si="517"/>
        <v>EnergyInput</v>
      </c>
      <c r="DP431">
        <f t="shared" si="518"/>
        <v>0</v>
      </c>
      <c r="DQ431" t="str">
        <f t="shared" si="519"/>
        <v>Energy</v>
      </c>
      <c r="DR431">
        <f t="shared" si="520"/>
        <v>0</v>
      </c>
      <c r="DS431">
        <f t="shared" si="521"/>
        <v>0</v>
      </c>
      <c r="DT431">
        <v>1</v>
      </c>
      <c r="DU431">
        <v>1</v>
      </c>
      <c r="DV431" t="s">
        <v>3884</v>
      </c>
      <c r="DW431">
        <v>0</v>
      </c>
      <c r="DX431" t="s">
        <v>3885</v>
      </c>
      <c r="DY431">
        <f t="shared" si="504"/>
        <v>2</v>
      </c>
      <c r="DZ431" s="143" t="str">
        <f t="shared" si="522"/>
        <v>self-calculated DF</v>
      </c>
      <c r="EA431">
        <v>1</v>
      </c>
      <c r="EB431">
        <v>1</v>
      </c>
      <c r="EC431">
        <v>1</v>
      </c>
      <c r="ED431">
        <v>0</v>
      </c>
      <c r="EE431">
        <v>1</v>
      </c>
      <c r="EF431">
        <v>0</v>
      </c>
      <c r="EG431">
        <v>1</v>
      </c>
      <c r="EH431">
        <v>1</v>
      </c>
      <c r="EI431">
        <v>0</v>
      </c>
      <c r="EJ431">
        <v>1</v>
      </c>
      <c r="EK431">
        <v>1</v>
      </c>
      <c r="EL431">
        <v>1</v>
      </c>
      <c r="EM431">
        <v>0</v>
      </c>
      <c r="EN431" s="2">
        <v>0</v>
      </c>
      <c r="EP431" t="str">
        <f t="shared" si="484"/>
        <v>Whole sector approach</v>
      </c>
      <c r="EQ431" t="str">
        <f t="shared" si="523"/>
        <v/>
      </c>
      <c r="ER431" s="2" t="str">
        <f t="shared" si="524"/>
        <v/>
      </c>
      <c r="ES431" t="str">
        <f t="shared" si="525"/>
        <v/>
      </c>
      <c r="ET431" t="str">
        <f t="shared" si="526"/>
        <v/>
      </c>
      <c r="EU431" t="str">
        <f t="shared" si="489"/>
        <v/>
      </c>
      <c r="EY431" t="b">
        <f>IF(ISNUMBER(BW431),IF(ABS(BW431-[1]QC_indicators!$B$2)&gt;3*[1]QC_indicators!$C$2,"C ratio",IF(ISNUMBER(CA431),IF(ABS(CA431-[1]QC_indicators!$B$1)&gt;3*[1]QC_indicators!$C$1,"DF","no"))),IF(ISNUMBER(CA431),IF(ABS(CA431-[1]QC_indicators!$B$1)&gt;3*[1]QC_indicators!$C$1,"DF","no")))</f>
        <v>0</v>
      </c>
      <c r="FA431" t="str">
        <f t="shared" si="490"/>
        <v/>
      </c>
      <c r="FB431" s="299" t="s">
        <v>349</v>
      </c>
    </row>
    <row r="432" spans="1:158" ht="15" hidden="1" customHeight="1">
      <c r="A432" s="1" t="s">
        <v>819</v>
      </c>
      <c r="B432" t="s">
        <v>3874</v>
      </c>
      <c r="C432" t="s">
        <v>3875</v>
      </c>
      <c r="D432" t="s">
        <v>3876</v>
      </c>
      <c r="E432" t="s">
        <v>3877</v>
      </c>
      <c r="F432" t="s">
        <v>3878</v>
      </c>
      <c r="G432" t="s">
        <v>825</v>
      </c>
      <c r="H432" t="s">
        <v>254</v>
      </c>
      <c r="I432">
        <v>2018</v>
      </c>
      <c r="J432">
        <v>58</v>
      </c>
      <c r="K432" t="s">
        <v>3879</v>
      </c>
      <c r="M432" t="str">
        <f t="shared" si="456"/>
        <v>Sterman_2018</v>
      </c>
      <c r="N432" s="297" t="s">
        <v>4058</v>
      </c>
      <c r="O432" s="145" t="s">
        <v>341</v>
      </c>
      <c r="Q432" s="297" t="s">
        <v>256</v>
      </c>
      <c r="R432" s="298"/>
      <c r="S432" s="1" t="s">
        <v>3889</v>
      </c>
      <c r="T432" t="s">
        <v>3881</v>
      </c>
      <c r="U432" t="s">
        <v>1572</v>
      </c>
      <c r="X432">
        <v>0</v>
      </c>
      <c r="Y432">
        <v>0</v>
      </c>
      <c r="Z432">
        <v>0</v>
      </c>
      <c r="AA432">
        <v>0</v>
      </c>
      <c r="AB432">
        <v>0</v>
      </c>
      <c r="AC432">
        <v>0</v>
      </c>
      <c r="AD432">
        <v>0</v>
      </c>
      <c r="AE432">
        <v>0</v>
      </c>
      <c r="AF432">
        <v>0</v>
      </c>
      <c r="AG432">
        <v>0</v>
      </c>
      <c r="AH432">
        <v>0</v>
      </c>
      <c r="AI432">
        <v>0</v>
      </c>
      <c r="AJ432">
        <v>0</v>
      </c>
      <c r="AK432">
        <v>0</v>
      </c>
      <c r="AL432">
        <v>0</v>
      </c>
      <c r="AM432">
        <v>1</v>
      </c>
      <c r="AN432">
        <v>0</v>
      </c>
      <c r="AO432">
        <v>0</v>
      </c>
      <c r="AP432">
        <v>0</v>
      </c>
      <c r="AQ432">
        <v>0</v>
      </c>
      <c r="AR432">
        <v>0</v>
      </c>
      <c r="AS432">
        <v>0</v>
      </c>
      <c r="AT432">
        <v>0</v>
      </c>
      <c r="AU432">
        <v>0</v>
      </c>
      <c r="AV432">
        <v>0</v>
      </c>
      <c r="AW432">
        <v>0</v>
      </c>
      <c r="AX432">
        <v>0</v>
      </c>
      <c r="AY432">
        <v>0</v>
      </c>
      <c r="AZ432" s="141">
        <f t="shared" si="505"/>
        <v>1</v>
      </c>
      <c r="BA432" s="141">
        <f t="shared" si="506"/>
        <v>1</v>
      </c>
      <c r="BB432">
        <f t="shared" si="507"/>
        <v>0</v>
      </c>
      <c r="BC432">
        <f t="shared" si="508"/>
        <v>0</v>
      </c>
      <c r="BD432">
        <f t="shared" si="509"/>
        <v>1</v>
      </c>
      <c r="BE432">
        <f t="shared" si="510"/>
        <v>0</v>
      </c>
      <c r="BF432">
        <f t="shared" si="511"/>
        <v>0</v>
      </c>
      <c r="BG432" t="str" cm="1">
        <f t="array" ref="BG432">IF(BA432=1,INDEX($X$7:$AN$7,MATCH(TRUE,INDEX($X432:$AY432&lt;&gt;0,),0)),IF(BA432=0,INDEX($AO$7:$AY$7,MATCH(1,$AO432:$AY432,0)),IF(BH432="Multiple strategies","mixed drivers",IF(BH432="Supply chain","multiple supply","multiple silviculture"))))</f>
        <v>technologies/design switch</v>
      </c>
      <c r="BH432" s="2" t="str" cm="1">
        <f t="array" ref="BH432">IF(COUNTIF(BB432:BD432,"&lt;&gt;0")=1,INDEX($X$4:$AY$4,MATCH(TRUE,INDEX($X432:$AY432&lt;&gt;0,),0)),IF(COUNTIF(BB432:BD432,"&lt;&gt;0")=0,INDEX($AO$4:$AY$4,MATCH(1,$AO432:$AY432,0)),"Multiple strategies"))</f>
        <v>Technology</v>
      </c>
      <c r="BI432" s="142"/>
      <c r="BL432" s="143"/>
      <c r="BN432" s="143"/>
      <c r="BO432" s="143"/>
      <c r="BP432" s="143"/>
      <c r="BQ432" s="143"/>
      <c r="BR432" s="297" t="s">
        <v>232</v>
      </c>
      <c r="BS432" s="297"/>
      <c r="BT432" t="s">
        <v>3883</v>
      </c>
      <c r="BU432" s="143"/>
      <c r="BW432" s="144"/>
      <c r="BX432">
        <v>-3.5000000000000003E-2</v>
      </c>
      <c r="BZ432">
        <f t="shared" si="501"/>
        <v>-224787500.00000003</v>
      </c>
      <c r="CA432" t="str">
        <f t="shared" si="512"/>
        <v/>
      </c>
      <c r="CB432">
        <v>0</v>
      </c>
      <c r="CC432">
        <v>0</v>
      </c>
      <c r="CD432">
        <v>0</v>
      </c>
      <c r="CE432">
        <v>0</v>
      </c>
      <c r="CF432">
        <v>0</v>
      </c>
      <c r="CG432">
        <v>0</v>
      </c>
      <c r="CH432">
        <v>0</v>
      </c>
      <c r="CI432">
        <v>0</v>
      </c>
      <c r="CJ432">
        <v>0</v>
      </c>
      <c r="CK432">
        <v>0</v>
      </c>
      <c r="CL432">
        <v>0</v>
      </c>
      <c r="CM432">
        <v>0</v>
      </c>
      <c r="CN432">
        <v>0</v>
      </c>
      <c r="CO432">
        <v>0</v>
      </c>
      <c r="CP432" t="str">
        <f t="shared" si="502"/>
        <v>refOK</v>
      </c>
      <c r="CQ432"/>
      <c r="CR432"/>
      <c r="CS432"/>
      <c r="CT432">
        <f t="shared" si="467"/>
        <v>0</v>
      </c>
      <c r="CU432">
        <f t="shared" si="498"/>
        <v>0</v>
      </c>
      <c r="CV432">
        <f t="shared" si="499"/>
        <v>0</v>
      </c>
      <c r="CW432">
        <f t="shared" si="513"/>
        <v>-224787500.00000003</v>
      </c>
      <c r="CX432" t="str">
        <f t="shared" si="492"/>
        <v/>
      </c>
      <c r="CY432" t="str">
        <f t="shared" si="492"/>
        <v/>
      </c>
      <c r="CZ432" t="str">
        <f t="shared" si="472"/>
        <v/>
      </c>
      <c r="DA432" s="2" t="str">
        <f t="shared" si="514"/>
        <v/>
      </c>
      <c r="DB432" s="1" t="s">
        <v>1074</v>
      </c>
      <c r="DC432" s="297" t="str">
        <f t="shared" si="515"/>
        <v>reg</v>
      </c>
      <c r="DD432" t="s">
        <v>428</v>
      </c>
      <c r="DE432">
        <v>2020</v>
      </c>
      <c r="DF432">
        <v>2100</v>
      </c>
      <c r="DG432">
        <v>80</v>
      </c>
      <c r="DH432" t="str">
        <f t="shared" si="516"/>
        <v>71-100</v>
      </c>
      <c r="DI432">
        <v>0</v>
      </c>
      <c r="DJ432">
        <v>1</v>
      </c>
      <c r="DK432">
        <v>0</v>
      </c>
      <c r="DL432">
        <v>0</v>
      </c>
      <c r="DN432">
        <f t="shared" si="503"/>
        <v>1</v>
      </c>
      <c r="DO432" t="str">
        <f t="shared" si="517"/>
        <v>EnergyInput</v>
      </c>
      <c r="DP432">
        <f t="shared" si="518"/>
        <v>0</v>
      </c>
      <c r="DQ432" t="str">
        <f t="shared" si="519"/>
        <v>Energy</v>
      </c>
      <c r="DR432">
        <f t="shared" si="520"/>
        <v>0</v>
      </c>
      <c r="DS432">
        <f t="shared" si="521"/>
        <v>0</v>
      </c>
      <c r="DT432">
        <v>1</v>
      </c>
      <c r="DU432">
        <v>1</v>
      </c>
      <c r="DV432" t="s">
        <v>3884</v>
      </c>
      <c r="DW432">
        <v>0</v>
      </c>
      <c r="DX432" t="s">
        <v>3885</v>
      </c>
      <c r="DY432">
        <f t="shared" si="504"/>
        <v>2</v>
      </c>
      <c r="DZ432" s="143" t="str">
        <f t="shared" si="522"/>
        <v>self-calculated DF</v>
      </c>
      <c r="EA432">
        <v>1</v>
      </c>
      <c r="EB432">
        <v>1</v>
      </c>
      <c r="EC432">
        <v>1</v>
      </c>
      <c r="ED432">
        <v>0</v>
      </c>
      <c r="EE432">
        <v>1</v>
      </c>
      <c r="EF432">
        <v>0</v>
      </c>
      <c r="EG432">
        <v>1</v>
      </c>
      <c r="EH432">
        <v>1</v>
      </c>
      <c r="EI432">
        <v>0</v>
      </c>
      <c r="EJ432">
        <v>1</v>
      </c>
      <c r="EK432">
        <v>1</v>
      </c>
      <c r="EL432">
        <v>1</v>
      </c>
      <c r="EM432">
        <v>0</v>
      </c>
      <c r="EN432" s="2">
        <v>0</v>
      </c>
      <c r="EP432" t="str">
        <f t="shared" si="484"/>
        <v>Whole sector approach</v>
      </c>
      <c r="EQ432" t="str">
        <f t="shared" si="523"/>
        <v/>
      </c>
      <c r="ER432" s="2" t="str">
        <f t="shared" si="524"/>
        <v/>
      </c>
      <c r="ES432" t="str">
        <f t="shared" si="525"/>
        <v/>
      </c>
      <c r="ET432" t="str">
        <f t="shared" si="526"/>
        <v/>
      </c>
      <c r="EU432" t="str">
        <f t="shared" si="489"/>
        <v/>
      </c>
      <c r="EY432" t="b">
        <f>IF(ISNUMBER(BW432),IF(ABS(BW432-[1]QC_indicators!$B$2)&gt;3*[1]QC_indicators!$C$2,"C ratio",IF(ISNUMBER(CA432),IF(ABS(CA432-[1]QC_indicators!$B$1)&gt;3*[1]QC_indicators!$C$1,"DF","no"))),IF(ISNUMBER(CA432),IF(ABS(CA432-[1]QC_indicators!$B$1)&gt;3*[1]QC_indicators!$C$1,"DF","no")))</f>
        <v>0</v>
      </c>
      <c r="FA432" t="str">
        <f t="shared" si="490"/>
        <v/>
      </c>
      <c r="FB432" s="299" t="s">
        <v>349</v>
      </c>
    </row>
    <row r="433" spans="1:158" ht="15" hidden="1" customHeight="1">
      <c r="A433" s="1" t="s">
        <v>819</v>
      </c>
      <c r="B433" t="s">
        <v>3874</v>
      </c>
      <c r="C433" t="s">
        <v>3875</v>
      </c>
      <c r="D433" t="s">
        <v>3876</v>
      </c>
      <c r="E433" t="s">
        <v>3877</v>
      </c>
      <c r="F433" t="s">
        <v>3878</v>
      </c>
      <c r="G433" t="s">
        <v>825</v>
      </c>
      <c r="H433" t="s">
        <v>254</v>
      </c>
      <c r="I433">
        <v>2018</v>
      </c>
      <c r="J433">
        <v>58</v>
      </c>
      <c r="K433" t="s">
        <v>3879</v>
      </c>
      <c r="M433" t="str">
        <f t="shared" si="456"/>
        <v>Sterman_2018</v>
      </c>
      <c r="N433" s="297" t="s">
        <v>4058</v>
      </c>
      <c r="O433" s="145" t="s">
        <v>341</v>
      </c>
      <c r="Q433" s="297" t="s">
        <v>256</v>
      </c>
      <c r="R433" s="298"/>
      <c r="S433" s="1" t="s">
        <v>3890</v>
      </c>
      <c r="T433" t="s">
        <v>3881</v>
      </c>
      <c r="U433" t="s">
        <v>1572</v>
      </c>
      <c r="X433">
        <v>0</v>
      </c>
      <c r="Y433">
        <v>0</v>
      </c>
      <c r="Z433">
        <v>0</v>
      </c>
      <c r="AA433">
        <v>0</v>
      </c>
      <c r="AB433">
        <v>0</v>
      </c>
      <c r="AC433">
        <v>0</v>
      </c>
      <c r="AD433">
        <v>0</v>
      </c>
      <c r="AE433">
        <v>0</v>
      </c>
      <c r="AF433">
        <v>0</v>
      </c>
      <c r="AG433">
        <v>0</v>
      </c>
      <c r="AH433">
        <v>0</v>
      </c>
      <c r="AI433">
        <v>0</v>
      </c>
      <c r="AJ433">
        <v>0</v>
      </c>
      <c r="AK433">
        <v>0</v>
      </c>
      <c r="AL433">
        <v>0</v>
      </c>
      <c r="AM433">
        <v>1</v>
      </c>
      <c r="AN433">
        <v>0</v>
      </c>
      <c r="AO433">
        <v>0</v>
      </c>
      <c r="AP433">
        <v>0</v>
      </c>
      <c r="AQ433">
        <v>0</v>
      </c>
      <c r="AR433">
        <v>0</v>
      </c>
      <c r="AS433">
        <v>0</v>
      </c>
      <c r="AT433">
        <v>0</v>
      </c>
      <c r="AU433">
        <v>0</v>
      </c>
      <c r="AV433">
        <v>0</v>
      </c>
      <c r="AW433">
        <v>0</v>
      </c>
      <c r="AX433">
        <v>0</v>
      </c>
      <c r="AY433">
        <v>0</v>
      </c>
      <c r="AZ433" s="141">
        <f t="shared" si="505"/>
        <v>1</v>
      </c>
      <c r="BA433" s="141">
        <f t="shared" si="506"/>
        <v>1</v>
      </c>
      <c r="BB433">
        <f t="shared" si="507"/>
        <v>0</v>
      </c>
      <c r="BC433">
        <f t="shared" si="508"/>
        <v>0</v>
      </c>
      <c r="BD433">
        <f t="shared" si="509"/>
        <v>1</v>
      </c>
      <c r="BE433">
        <f t="shared" si="510"/>
        <v>0</v>
      </c>
      <c r="BF433">
        <f t="shared" si="511"/>
        <v>0</v>
      </c>
      <c r="BG433" t="str" cm="1">
        <f t="array" ref="BG433">IF(BA433=1,INDEX($X$7:$AN$7,MATCH(TRUE,INDEX($X433:$AY433&lt;&gt;0,),0)),IF(BA433=0,INDEX($AO$7:$AY$7,MATCH(1,$AO433:$AY433,0)),IF(BH433="Multiple strategies","mixed drivers",IF(BH433="Supply chain","multiple supply","multiple silviculture"))))</f>
        <v>technologies/design switch</v>
      </c>
      <c r="BH433" s="2" t="str" cm="1">
        <f t="array" ref="BH433">IF(COUNTIF(BB433:BD433,"&lt;&gt;0")=1,INDEX($X$4:$AY$4,MATCH(TRUE,INDEX($X433:$AY433&lt;&gt;0,),0)),IF(COUNTIF(BB433:BD433,"&lt;&gt;0")=0,INDEX($AO$4:$AY$4,MATCH(1,$AO433:$AY433,0)),"Multiple strategies"))</f>
        <v>Technology</v>
      </c>
      <c r="BI433" s="142"/>
      <c r="BL433" s="143"/>
      <c r="BN433" s="143"/>
      <c r="BO433" s="143"/>
      <c r="BP433" s="143"/>
      <c r="BQ433" s="143"/>
      <c r="BR433" s="297" t="s">
        <v>232</v>
      </c>
      <c r="BS433" s="297"/>
      <c r="BT433" t="s">
        <v>3883</v>
      </c>
      <c r="BU433" s="143"/>
      <c r="BW433" s="144"/>
      <c r="BX433">
        <v>0.01</v>
      </c>
      <c r="BZ433">
        <f t="shared" si="501"/>
        <v>64225000</v>
      </c>
      <c r="CA433" t="str">
        <f t="shared" si="512"/>
        <v/>
      </c>
      <c r="CB433">
        <v>0</v>
      </c>
      <c r="CC433">
        <v>0</v>
      </c>
      <c r="CD433">
        <v>0</v>
      </c>
      <c r="CE433">
        <v>0</v>
      </c>
      <c r="CF433">
        <v>0</v>
      </c>
      <c r="CG433">
        <v>0</v>
      </c>
      <c r="CH433">
        <v>0</v>
      </c>
      <c r="CI433">
        <v>0</v>
      </c>
      <c r="CJ433">
        <v>0</v>
      </c>
      <c r="CK433">
        <v>0</v>
      </c>
      <c r="CL433">
        <v>0</v>
      </c>
      <c r="CM433">
        <v>0</v>
      </c>
      <c r="CN433">
        <v>0</v>
      </c>
      <c r="CO433">
        <v>0</v>
      </c>
      <c r="CP433" t="str">
        <f t="shared" si="502"/>
        <v>refOK</v>
      </c>
      <c r="CQ433"/>
      <c r="CR433"/>
      <c r="CS433"/>
      <c r="CT433">
        <f t="shared" si="467"/>
        <v>0</v>
      </c>
      <c r="CU433">
        <f t="shared" si="498"/>
        <v>0</v>
      </c>
      <c r="CV433">
        <f t="shared" si="499"/>
        <v>0</v>
      </c>
      <c r="CW433">
        <f t="shared" si="513"/>
        <v>64225000</v>
      </c>
      <c r="CX433" t="str">
        <f t="shared" si="492"/>
        <v/>
      </c>
      <c r="CY433" t="str">
        <f t="shared" si="492"/>
        <v/>
      </c>
      <c r="CZ433" t="str">
        <f t="shared" si="472"/>
        <v/>
      </c>
      <c r="DA433" s="2" t="str">
        <f t="shared" si="514"/>
        <v/>
      </c>
      <c r="DB433" s="1" t="s">
        <v>1074</v>
      </c>
      <c r="DC433" s="297" t="str">
        <f t="shared" si="515"/>
        <v>reg</v>
      </c>
      <c r="DD433" t="s">
        <v>428</v>
      </c>
      <c r="DE433">
        <v>2020</v>
      </c>
      <c r="DF433">
        <v>2100</v>
      </c>
      <c r="DG433">
        <v>80</v>
      </c>
      <c r="DH433" t="str">
        <f t="shared" si="516"/>
        <v>71-100</v>
      </c>
      <c r="DI433">
        <v>0</v>
      </c>
      <c r="DJ433">
        <v>1</v>
      </c>
      <c r="DK433">
        <v>0</v>
      </c>
      <c r="DL433">
        <v>0</v>
      </c>
      <c r="DN433">
        <f t="shared" si="503"/>
        <v>1</v>
      </c>
      <c r="DO433" t="str">
        <f t="shared" si="517"/>
        <v>EnergyInput</v>
      </c>
      <c r="DP433">
        <f t="shared" si="518"/>
        <v>0</v>
      </c>
      <c r="DQ433" t="str">
        <f t="shared" si="519"/>
        <v>Energy</v>
      </c>
      <c r="DR433">
        <f t="shared" si="520"/>
        <v>0</v>
      </c>
      <c r="DS433">
        <f t="shared" si="521"/>
        <v>0</v>
      </c>
      <c r="DT433">
        <v>1</v>
      </c>
      <c r="DU433">
        <v>1</v>
      </c>
      <c r="DV433" t="s">
        <v>3884</v>
      </c>
      <c r="DW433">
        <v>0</v>
      </c>
      <c r="DX433" t="s">
        <v>3885</v>
      </c>
      <c r="DY433">
        <f t="shared" si="504"/>
        <v>2</v>
      </c>
      <c r="DZ433" s="143" t="str">
        <f t="shared" si="522"/>
        <v>self-calculated DF</v>
      </c>
      <c r="EA433">
        <v>1</v>
      </c>
      <c r="EB433">
        <v>1</v>
      </c>
      <c r="EC433">
        <v>1</v>
      </c>
      <c r="ED433">
        <v>0</v>
      </c>
      <c r="EE433">
        <v>1</v>
      </c>
      <c r="EF433">
        <v>0</v>
      </c>
      <c r="EG433">
        <v>1</v>
      </c>
      <c r="EH433">
        <v>1</v>
      </c>
      <c r="EI433">
        <v>0</v>
      </c>
      <c r="EJ433">
        <v>1</v>
      </c>
      <c r="EK433">
        <v>1</v>
      </c>
      <c r="EL433">
        <v>1</v>
      </c>
      <c r="EM433">
        <v>0</v>
      </c>
      <c r="EN433" s="2">
        <v>0</v>
      </c>
      <c r="EP433" t="str">
        <f t="shared" si="484"/>
        <v>Whole sector approach</v>
      </c>
      <c r="EQ433" t="str">
        <f t="shared" si="523"/>
        <v/>
      </c>
      <c r="ER433" s="2" t="str">
        <f t="shared" si="524"/>
        <v/>
      </c>
      <c r="ES433" t="str">
        <f t="shared" si="525"/>
        <v/>
      </c>
      <c r="ET433" t="str">
        <f t="shared" si="526"/>
        <v/>
      </c>
      <c r="EU433" t="str">
        <f t="shared" si="489"/>
        <v/>
      </c>
      <c r="EY433" t="b">
        <f>IF(ISNUMBER(BW433),IF(ABS(BW433-[1]QC_indicators!$B$2)&gt;3*[1]QC_indicators!$C$2,"C ratio",IF(ISNUMBER(CA433),IF(ABS(CA433-[1]QC_indicators!$B$1)&gt;3*[1]QC_indicators!$C$1,"DF","no"))),IF(ISNUMBER(CA433),IF(ABS(CA433-[1]QC_indicators!$B$1)&gt;3*[1]QC_indicators!$C$1,"DF","no")))</f>
        <v>0</v>
      </c>
      <c r="FA433" t="str">
        <f t="shared" si="490"/>
        <v/>
      </c>
      <c r="FB433" s="299" t="s">
        <v>349</v>
      </c>
    </row>
    <row r="434" spans="1:158" ht="15" hidden="1" customHeight="1">
      <c r="A434" s="1" t="s">
        <v>819</v>
      </c>
      <c r="B434" t="s">
        <v>3874</v>
      </c>
      <c r="C434" t="s">
        <v>3875</v>
      </c>
      <c r="D434" t="s">
        <v>3876</v>
      </c>
      <c r="E434" t="s">
        <v>3877</v>
      </c>
      <c r="F434" t="s">
        <v>3878</v>
      </c>
      <c r="G434" t="s">
        <v>825</v>
      </c>
      <c r="H434" t="s">
        <v>254</v>
      </c>
      <c r="I434">
        <v>2018</v>
      </c>
      <c r="J434">
        <v>58</v>
      </c>
      <c r="K434" t="s">
        <v>3879</v>
      </c>
      <c r="M434" t="str">
        <f t="shared" si="456"/>
        <v>Sterman_2018</v>
      </c>
      <c r="N434" s="297" t="s">
        <v>4058</v>
      </c>
      <c r="O434" s="145" t="s">
        <v>341</v>
      </c>
      <c r="Q434" s="297" t="s">
        <v>256</v>
      </c>
      <c r="R434" s="298"/>
      <c r="S434" s="1" t="s">
        <v>3891</v>
      </c>
      <c r="T434" t="s">
        <v>3881</v>
      </c>
      <c r="U434" t="s">
        <v>1572</v>
      </c>
      <c r="X434">
        <v>0</v>
      </c>
      <c r="Y434">
        <v>0</v>
      </c>
      <c r="Z434">
        <v>0</v>
      </c>
      <c r="AA434">
        <v>0</v>
      </c>
      <c r="AB434">
        <v>0</v>
      </c>
      <c r="AC434">
        <v>0</v>
      </c>
      <c r="AD434">
        <v>0</v>
      </c>
      <c r="AE434">
        <v>0</v>
      </c>
      <c r="AF434">
        <v>0</v>
      </c>
      <c r="AG434">
        <v>0</v>
      </c>
      <c r="AH434">
        <v>0</v>
      </c>
      <c r="AI434">
        <v>0</v>
      </c>
      <c r="AJ434">
        <v>0</v>
      </c>
      <c r="AK434">
        <v>0</v>
      </c>
      <c r="AL434">
        <v>0</v>
      </c>
      <c r="AM434">
        <v>1</v>
      </c>
      <c r="AN434">
        <v>0</v>
      </c>
      <c r="AO434">
        <v>0</v>
      </c>
      <c r="AP434">
        <v>0</v>
      </c>
      <c r="AQ434">
        <v>0</v>
      </c>
      <c r="AR434">
        <v>0</v>
      </c>
      <c r="AS434">
        <v>0</v>
      </c>
      <c r="AT434">
        <v>0</v>
      </c>
      <c r="AU434">
        <v>0</v>
      </c>
      <c r="AV434">
        <v>0</v>
      </c>
      <c r="AW434">
        <v>0</v>
      </c>
      <c r="AX434">
        <v>0</v>
      </c>
      <c r="AY434">
        <v>0</v>
      </c>
      <c r="AZ434" s="141">
        <f t="shared" si="505"/>
        <v>1</v>
      </c>
      <c r="BA434" s="141">
        <f t="shared" si="506"/>
        <v>1</v>
      </c>
      <c r="BB434">
        <f t="shared" si="507"/>
        <v>0</v>
      </c>
      <c r="BC434">
        <f t="shared" si="508"/>
        <v>0</v>
      </c>
      <c r="BD434">
        <f t="shared" si="509"/>
        <v>1</v>
      </c>
      <c r="BE434">
        <f t="shared" si="510"/>
        <v>0</v>
      </c>
      <c r="BF434">
        <f t="shared" si="511"/>
        <v>0</v>
      </c>
      <c r="BG434" t="str" cm="1">
        <f t="array" ref="BG434">IF(BA434=1,INDEX($X$7:$AN$7,MATCH(TRUE,INDEX($X434:$AY434&lt;&gt;0,),0)),IF(BA434=0,INDEX($AO$7:$AY$7,MATCH(1,$AO434:$AY434,0)),IF(BH434="Multiple strategies","mixed drivers",IF(BH434="Supply chain","multiple supply","multiple silviculture"))))</f>
        <v>technologies/design switch</v>
      </c>
      <c r="BH434" s="2" t="str" cm="1">
        <f t="array" ref="BH434">IF(COUNTIF(BB434:BD434,"&lt;&gt;0")=1,INDEX($X$4:$AY$4,MATCH(TRUE,INDEX($X434:$AY434&lt;&gt;0,),0)),IF(COUNTIF(BB434:BD434,"&lt;&gt;0")=0,INDEX($AO$4:$AY$4,MATCH(1,$AO434:$AY434,0)),"Multiple strategies"))</f>
        <v>Technology</v>
      </c>
      <c r="BI434" s="142"/>
      <c r="BL434" s="143"/>
      <c r="BN434" s="143"/>
      <c r="BO434" s="143"/>
      <c r="BP434" s="143"/>
      <c r="BQ434" s="143"/>
      <c r="BR434" s="297" t="s">
        <v>232</v>
      </c>
      <c r="BS434" s="297"/>
      <c r="BT434" t="s">
        <v>3883</v>
      </c>
      <c r="BU434" s="143"/>
      <c r="BW434" s="144"/>
      <c r="BX434">
        <v>1.9E-2</v>
      </c>
      <c r="BZ434">
        <f t="shared" si="501"/>
        <v>122027500</v>
      </c>
      <c r="CA434" t="str">
        <f t="shared" si="512"/>
        <v/>
      </c>
      <c r="CB434">
        <v>0</v>
      </c>
      <c r="CC434">
        <v>0</v>
      </c>
      <c r="CD434">
        <v>0</v>
      </c>
      <c r="CE434">
        <v>0</v>
      </c>
      <c r="CF434">
        <v>0</v>
      </c>
      <c r="CG434">
        <v>0</v>
      </c>
      <c r="CH434">
        <v>0</v>
      </c>
      <c r="CI434">
        <v>0</v>
      </c>
      <c r="CJ434">
        <v>0</v>
      </c>
      <c r="CK434">
        <v>0</v>
      </c>
      <c r="CL434">
        <v>0</v>
      </c>
      <c r="CM434">
        <v>0</v>
      </c>
      <c r="CN434">
        <v>0</v>
      </c>
      <c r="CO434">
        <v>0</v>
      </c>
      <c r="CP434" t="str">
        <f t="shared" si="502"/>
        <v>refOK</v>
      </c>
      <c r="CQ434"/>
      <c r="CR434"/>
      <c r="CS434"/>
      <c r="CT434">
        <f t="shared" si="467"/>
        <v>0</v>
      </c>
      <c r="CU434">
        <f t="shared" si="498"/>
        <v>0</v>
      </c>
      <c r="CV434">
        <f t="shared" si="499"/>
        <v>0</v>
      </c>
      <c r="CW434">
        <f t="shared" si="513"/>
        <v>122027500</v>
      </c>
      <c r="CX434" t="str">
        <f t="shared" si="492"/>
        <v/>
      </c>
      <c r="CY434" t="str">
        <f t="shared" si="492"/>
        <v/>
      </c>
      <c r="CZ434" t="str">
        <f t="shared" si="472"/>
        <v/>
      </c>
      <c r="DA434" s="2" t="str">
        <f t="shared" si="514"/>
        <v/>
      </c>
      <c r="DB434" s="1" t="s">
        <v>1074</v>
      </c>
      <c r="DC434" s="297" t="str">
        <f t="shared" si="515"/>
        <v>reg</v>
      </c>
      <c r="DD434" t="s">
        <v>428</v>
      </c>
      <c r="DE434">
        <v>2020</v>
      </c>
      <c r="DF434">
        <v>2100</v>
      </c>
      <c r="DG434">
        <v>80</v>
      </c>
      <c r="DH434" t="str">
        <f t="shared" si="516"/>
        <v>71-100</v>
      </c>
      <c r="DI434">
        <v>0</v>
      </c>
      <c r="DJ434">
        <v>1</v>
      </c>
      <c r="DK434">
        <v>0</v>
      </c>
      <c r="DL434">
        <v>0</v>
      </c>
      <c r="DN434">
        <f t="shared" si="503"/>
        <v>1</v>
      </c>
      <c r="DO434" t="str">
        <f t="shared" si="517"/>
        <v>EnergyInput</v>
      </c>
      <c r="DP434">
        <f t="shared" si="518"/>
        <v>0</v>
      </c>
      <c r="DQ434" t="str">
        <f t="shared" si="519"/>
        <v>Energy</v>
      </c>
      <c r="DR434">
        <f t="shared" si="520"/>
        <v>0</v>
      </c>
      <c r="DS434">
        <f t="shared" si="521"/>
        <v>0</v>
      </c>
      <c r="DT434">
        <v>1</v>
      </c>
      <c r="DU434">
        <v>1</v>
      </c>
      <c r="DV434" t="s">
        <v>3884</v>
      </c>
      <c r="DW434">
        <v>0</v>
      </c>
      <c r="DX434" t="s">
        <v>3885</v>
      </c>
      <c r="DY434">
        <f t="shared" si="504"/>
        <v>2</v>
      </c>
      <c r="DZ434" s="143" t="str">
        <f t="shared" si="522"/>
        <v>self-calculated DF</v>
      </c>
      <c r="EA434">
        <v>1</v>
      </c>
      <c r="EB434">
        <v>1</v>
      </c>
      <c r="EC434">
        <v>1</v>
      </c>
      <c r="ED434">
        <v>0</v>
      </c>
      <c r="EE434">
        <v>1</v>
      </c>
      <c r="EF434">
        <v>0</v>
      </c>
      <c r="EG434">
        <v>1</v>
      </c>
      <c r="EH434">
        <v>1</v>
      </c>
      <c r="EI434">
        <v>0</v>
      </c>
      <c r="EJ434">
        <v>1</v>
      </c>
      <c r="EK434">
        <v>1</v>
      </c>
      <c r="EL434">
        <v>1</v>
      </c>
      <c r="EM434">
        <v>0</v>
      </c>
      <c r="EN434" s="2">
        <v>0</v>
      </c>
      <c r="EP434" t="str">
        <f t="shared" si="484"/>
        <v>Whole sector approach</v>
      </c>
      <c r="EQ434" t="str">
        <f t="shared" si="523"/>
        <v/>
      </c>
      <c r="ER434" s="2" t="str">
        <f t="shared" si="524"/>
        <v/>
      </c>
      <c r="ES434" t="str">
        <f t="shared" si="525"/>
        <v/>
      </c>
      <c r="ET434" t="str">
        <f t="shared" si="526"/>
        <v/>
      </c>
      <c r="EU434" t="str">
        <f t="shared" si="489"/>
        <v/>
      </c>
      <c r="EY434" t="b">
        <f>IF(ISNUMBER(BW434),IF(ABS(BW434-[1]QC_indicators!$B$2)&gt;3*[1]QC_indicators!$C$2,"C ratio",IF(ISNUMBER(CA434),IF(ABS(CA434-[1]QC_indicators!$B$1)&gt;3*[1]QC_indicators!$C$1,"DF","no"))),IF(ISNUMBER(CA434),IF(ABS(CA434-[1]QC_indicators!$B$1)&gt;3*[1]QC_indicators!$C$1,"DF","no")))</f>
        <v>0</v>
      </c>
      <c r="FA434" t="str">
        <f t="shared" si="490"/>
        <v/>
      </c>
      <c r="FB434" s="299" t="s">
        <v>349</v>
      </c>
    </row>
    <row r="435" spans="1:158" ht="15" hidden="1" customHeight="1">
      <c r="A435" s="1" t="s">
        <v>819</v>
      </c>
      <c r="B435" t="s">
        <v>3874</v>
      </c>
      <c r="C435" t="s">
        <v>3875</v>
      </c>
      <c r="D435" t="s">
        <v>3876</v>
      </c>
      <c r="E435" t="s">
        <v>3877</v>
      </c>
      <c r="F435" t="s">
        <v>3878</v>
      </c>
      <c r="G435" t="s">
        <v>825</v>
      </c>
      <c r="H435" t="s">
        <v>254</v>
      </c>
      <c r="I435">
        <v>2018</v>
      </c>
      <c r="J435">
        <v>58</v>
      </c>
      <c r="K435" t="s">
        <v>3879</v>
      </c>
      <c r="M435" t="str">
        <f t="shared" si="456"/>
        <v>Sterman_2018</v>
      </c>
      <c r="N435" s="297" t="s">
        <v>4058</v>
      </c>
      <c r="O435" s="145" t="s">
        <v>341</v>
      </c>
      <c r="Q435" s="297" t="s">
        <v>256</v>
      </c>
      <c r="R435" s="298"/>
      <c r="S435" s="1" t="s">
        <v>3892</v>
      </c>
      <c r="T435" t="s">
        <v>3881</v>
      </c>
      <c r="U435" t="s">
        <v>1572</v>
      </c>
      <c r="X435">
        <v>0</v>
      </c>
      <c r="Y435">
        <v>0</v>
      </c>
      <c r="Z435">
        <v>0</v>
      </c>
      <c r="AA435">
        <v>0</v>
      </c>
      <c r="AB435">
        <v>0</v>
      </c>
      <c r="AC435">
        <v>0</v>
      </c>
      <c r="AD435">
        <v>0</v>
      </c>
      <c r="AE435">
        <v>0</v>
      </c>
      <c r="AF435">
        <v>0</v>
      </c>
      <c r="AG435">
        <v>0</v>
      </c>
      <c r="AH435">
        <v>0</v>
      </c>
      <c r="AI435">
        <v>0</v>
      </c>
      <c r="AJ435">
        <v>0</v>
      </c>
      <c r="AK435">
        <v>0</v>
      </c>
      <c r="AL435">
        <v>0</v>
      </c>
      <c r="AM435">
        <v>1</v>
      </c>
      <c r="AN435">
        <v>0</v>
      </c>
      <c r="AO435">
        <v>0</v>
      </c>
      <c r="AP435">
        <v>0</v>
      </c>
      <c r="AQ435">
        <v>0</v>
      </c>
      <c r="AR435">
        <v>0</v>
      </c>
      <c r="AS435">
        <v>0</v>
      </c>
      <c r="AT435">
        <v>0</v>
      </c>
      <c r="AU435">
        <v>0</v>
      </c>
      <c r="AV435">
        <v>0</v>
      </c>
      <c r="AW435">
        <v>0</v>
      </c>
      <c r="AX435">
        <v>0</v>
      </c>
      <c r="AY435">
        <v>0</v>
      </c>
      <c r="AZ435" s="141">
        <f t="shared" si="505"/>
        <v>1</v>
      </c>
      <c r="BA435" s="141">
        <f t="shared" si="506"/>
        <v>1</v>
      </c>
      <c r="BB435">
        <f t="shared" si="507"/>
        <v>0</v>
      </c>
      <c r="BC435">
        <f t="shared" si="508"/>
        <v>0</v>
      </c>
      <c r="BD435">
        <f t="shared" si="509"/>
        <v>1</v>
      </c>
      <c r="BE435">
        <f t="shared" si="510"/>
        <v>0</v>
      </c>
      <c r="BF435">
        <f t="shared" si="511"/>
        <v>0</v>
      </c>
      <c r="BG435" t="str" cm="1">
        <f t="array" ref="BG435">IF(BA435=1,INDEX($X$7:$AN$7,MATCH(TRUE,INDEX($X435:$AY435&lt;&gt;0,),0)),IF(BA435=0,INDEX($AO$7:$AY$7,MATCH(1,$AO435:$AY435,0)),IF(BH435="Multiple strategies","mixed drivers",IF(BH435="Supply chain","multiple supply","multiple silviculture"))))</f>
        <v>technologies/design switch</v>
      </c>
      <c r="BH435" s="2" t="str" cm="1">
        <f t="array" ref="BH435">IF(COUNTIF(BB435:BD435,"&lt;&gt;0")=1,INDEX($X$4:$AY$4,MATCH(TRUE,INDEX($X435:$AY435&lt;&gt;0,),0)),IF(COUNTIF(BB435:BD435,"&lt;&gt;0")=0,INDEX($AO$4:$AY$4,MATCH(1,$AO435:$AY435,0)),"Multiple strategies"))</f>
        <v>Technology</v>
      </c>
      <c r="BI435" s="142"/>
      <c r="BL435" s="143"/>
      <c r="BN435" s="143"/>
      <c r="BO435" s="143"/>
      <c r="BP435" s="143"/>
      <c r="BQ435" s="143"/>
      <c r="BR435" s="297" t="s">
        <v>232</v>
      </c>
      <c r="BS435" s="297"/>
      <c r="BT435" t="s">
        <v>3883</v>
      </c>
      <c r="BU435" s="143"/>
      <c r="BW435" s="144"/>
      <c r="BX435">
        <v>2.5999999999999999E-2</v>
      </c>
      <c r="BZ435">
        <f t="shared" si="501"/>
        <v>166985000</v>
      </c>
      <c r="CA435" t="str">
        <f t="shared" si="512"/>
        <v/>
      </c>
      <c r="CB435">
        <v>0</v>
      </c>
      <c r="CC435">
        <v>0</v>
      </c>
      <c r="CD435">
        <v>0</v>
      </c>
      <c r="CE435">
        <v>0</v>
      </c>
      <c r="CF435">
        <v>0</v>
      </c>
      <c r="CG435">
        <v>0</v>
      </c>
      <c r="CH435">
        <v>0</v>
      </c>
      <c r="CI435">
        <v>0</v>
      </c>
      <c r="CJ435">
        <v>0</v>
      </c>
      <c r="CK435">
        <v>0</v>
      </c>
      <c r="CL435">
        <v>0</v>
      </c>
      <c r="CM435">
        <v>0</v>
      </c>
      <c r="CN435">
        <v>0</v>
      </c>
      <c r="CO435">
        <v>0</v>
      </c>
      <c r="CP435" t="str">
        <f t="shared" si="502"/>
        <v>refOK</v>
      </c>
      <c r="CQ435"/>
      <c r="CR435"/>
      <c r="CS435"/>
      <c r="CT435">
        <f t="shared" si="467"/>
        <v>0</v>
      </c>
      <c r="CU435">
        <f t="shared" si="498"/>
        <v>0</v>
      </c>
      <c r="CV435">
        <f t="shared" si="499"/>
        <v>0</v>
      </c>
      <c r="CW435">
        <f t="shared" si="513"/>
        <v>166985000</v>
      </c>
      <c r="CX435" t="str">
        <f t="shared" si="492"/>
        <v/>
      </c>
      <c r="CY435" t="str">
        <f t="shared" si="492"/>
        <v/>
      </c>
      <c r="CZ435" t="str">
        <f t="shared" si="472"/>
        <v/>
      </c>
      <c r="DA435" s="2" t="str">
        <f t="shared" si="514"/>
        <v/>
      </c>
      <c r="DB435" s="1" t="s">
        <v>1074</v>
      </c>
      <c r="DC435" s="297" t="str">
        <f t="shared" si="515"/>
        <v>reg</v>
      </c>
      <c r="DD435" t="s">
        <v>428</v>
      </c>
      <c r="DE435">
        <v>2020</v>
      </c>
      <c r="DF435">
        <v>2100</v>
      </c>
      <c r="DG435">
        <v>80</v>
      </c>
      <c r="DH435" t="str">
        <f t="shared" si="516"/>
        <v>71-100</v>
      </c>
      <c r="DI435">
        <v>0</v>
      </c>
      <c r="DJ435">
        <v>1</v>
      </c>
      <c r="DK435">
        <v>0</v>
      </c>
      <c r="DL435">
        <v>0</v>
      </c>
      <c r="DN435">
        <f t="shared" si="503"/>
        <v>1</v>
      </c>
      <c r="DO435" t="str">
        <f t="shared" si="517"/>
        <v>EnergyInput</v>
      </c>
      <c r="DP435">
        <f t="shared" si="518"/>
        <v>0</v>
      </c>
      <c r="DQ435" t="str">
        <f t="shared" si="519"/>
        <v>Energy</v>
      </c>
      <c r="DR435">
        <f t="shared" si="520"/>
        <v>0</v>
      </c>
      <c r="DS435">
        <f t="shared" si="521"/>
        <v>0</v>
      </c>
      <c r="DT435">
        <v>1</v>
      </c>
      <c r="DU435">
        <v>1</v>
      </c>
      <c r="DV435" t="s">
        <v>3884</v>
      </c>
      <c r="DW435">
        <v>0</v>
      </c>
      <c r="DX435" t="s">
        <v>3885</v>
      </c>
      <c r="DY435">
        <f t="shared" si="504"/>
        <v>2</v>
      </c>
      <c r="DZ435" s="143" t="str">
        <f t="shared" si="522"/>
        <v>self-calculated DF</v>
      </c>
      <c r="EA435">
        <v>1</v>
      </c>
      <c r="EB435">
        <v>1</v>
      </c>
      <c r="EC435">
        <v>1</v>
      </c>
      <c r="ED435">
        <v>0</v>
      </c>
      <c r="EE435">
        <v>1</v>
      </c>
      <c r="EF435">
        <v>0</v>
      </c>
      <c r="EG435">
        <v>1</v>
      </c>
      <c r="EH435">
        <v>1</v>
      </c>
      <c r="EI435">
        <v>0</v>
      </c>
      <c r="EJ435">
        <v>1</v>
      </c>
      <c r="EK435">
        <v>1</v>
      </c>
      <c r="EL435">
        <v>1</v>
      </c>
      <c r="EM435">
        <v>0</v>
      </c>
      <c r="EN435" s="2">
        <v>0</v>
      </c>
      <c r="EP435" t="str">
        <f t="shared" si="484"/>
        <v>Whole sector approach</v>
      </c>
      <c r="EQ435" t="str">
        <f t="shared" si="523"/>
        <v/>
      </c>
      <c r="ER435" s="2" t="str">
        <f t="shared" si="524"/>
        <v/>
      </c>
      <c r="ES435" t="str">
        <f t="shared" si="525"/>
        <v/>
      </c>
      <c r="ET435" t="str">
        <f t="shared" si="526"/>
        <v/>
      </c>
      <c r="EU435" t="str">
        <f t="shared" si="489"/>
        <v/>
      </c>
      <c r="EY435" t="b">
        <f>IF(ISNUMBER(BW435),IF(ABS(BW435-[1]QC_indicators!$B$2)&gt;3*[1]QC_indicators!$C$2,"C ratio",IF(ISNUMBER(CA435),IF(ABS(CA435-[1]QC_indicators!$B$1)&gt;3*[1]QC_indicators!$C$1,"DF","no"))),IF(ISNUMBER(CA435),IF(ABS(CA435-[1]QC_indicators!$B$1)&gt;3*[1]QC_indicators!$C$1,"DF","no")))</f>
        <v>0</v>
      </c>
      <c r="FA435" t="str">
        <f t="shared" si="490"/>
        <v/>
      </c>
      <c r="FB435" s="299" t="s">
        <v>349</v>
      </c>
    </row>
    <row r="436" spans="1:158" ht="15" hidden="1" customHeight="1">
      <c r="A436" s="1" t="s">
        <v>819</v>
      </c>
      <c r="B436" t="s">
        <v>3874</v>
      </c>
      <c r="C436" t="s">
        <v>3875</v>
      </c>
      <c r="D436" t="s">
        <v>3876</v>
      </c>
      <c r="E436" t="s">
        <v>3877</v>
      </c>
      <c r="F436" t="s">
        <v>3878</v>
      </c>
      <c r="G436" t="s">
        <v>825</v>
      </c>
      <c r="H436" t="s">
        <v>254</v>
      </c>
      <c r="I436">
        <v>2018</v>
      </c>
      <c r="J436">
        <v>58</v>
      </c>
      <c r="K436" t="s">
        <v>3879</v>
      </c>
      <c r="M436" t="str">
        <f t="shared" si="456"/>
        <v>Sterman_2018</v>
      </c>
      <c r="N436" s="297" t="s">
        <v>4058</v>
      </c>
      <c r="O436" s="145" t="s">
        <v>341</v>
      </c>
      <c r="Q436" s="297" t="s">
        <v>256</v>
      </c>
      <c r="R436" s="298"/>
      <c r="S436" s="1" t="s">
        <v>3893</v>
      </c>
      <c r="T436" t="s">
        <v>3881</v>
      </c>
      <c r="U436" t="s">
        <v>1572</v>
      </c>
      <c r="X436">
        <v>0</v>
      </c>
      <c r="Y436">
        <v>0</v>
      </c>
      <c r="Z436">
        <v>0</v>
      </c>
      <c r="AA436">
        <v>0</v>
      </c>
      <c r="AB436">
        <v>0</v>
      </c>
      <c r="AC436">
        <v>0</v>
      </c>
      <c r="AD436">
        <v>0</v>
      </c>
      <c r="AE436">
        <v>0</v>
      </c>
      <c r="AF436">
        <v>0</v>
      </c>
      <c r="AG436">
        <v>0</v>
      </c>
      <c r="AH436">
        <v>0</v>
      </c>
      <c r="AI436">
        <v>0</v>
      </c>
      <c r="AJ436">
        <v>0</v>
      </c>
      <c r="AK436">
        <v>0</v>
      </c>
      <c r="AL436">
        <v>0</v>
      </c>
      <c r="AM436">
        <v>1</v>
      </c>
      <c r="AN436">
        <v>0</v>
      </c>
      <c r="AO436">
        <v>0</v>
      </c>
      <c r="AP436">
        <v>0</v>
      </c>
      <c r="AQ436">
        <v>0</v>
      </c>
      <c r="AR436">
        <v>0</v>
      </c>
      <c r="AS436">
        <v>0</v>
      </c>
      <c r="AT436">
        <v>0</v>
      </c>
      <c r="AU436">
        <v>0</v>
      </c>
      <c r="AV436">
        <v>0</v>
      </c>
      <c r="AW436">
        <v>0</v>
      </c>
      <c r="AX436">
        <v>0</v>
      </c>
      <c r="AY436">
        <v>0</v>
      </c>
      <c r="AZ436" s="141">
        <f t="shared" si="505"/>
        <v>1</v>
      </c>
      <c r="BA436" s="141">
        <f t="shared" si="506"/>
        <v>1</v>
      </c>
      <c r="BB436">
        <f t="shared" si="507"/>
        <v>0</v>
      </c>
      <c r="BC436">
        <f t="shared" si="508"/>
        <v>0</v>
      </c>
      <c r="BD436">
        <f t="shared" si="509"/>
        <v>1</v>
      </c>
      <c r="BE436">
        <f t="shared" si="510"/>
        <v>0</v>
      </c>
      <c r="BF436">
        <f t="shared" si="511"/>
        <v>0</v>
      </c>
      <c r="BG436" t="str" cm="1">
        <f t="array" ref="BG436">IF(BA436=1,INDEX($X$7:$AN$7,MATCH(TRUE,INDEX($X436:$AY436&lt;&gt;0,),0)),IF(BA436=0,INDEX($AO$7:$AY$7,MATCH(1,$AO436:$AY436,0)),IF(BH436="Multiple strategies","mixed drivers",IF(BH436="Supply chain","multiple supply","multiple silviculture"))))</f>
        <v>technologies/design switch</v>
      </c>
      <c r="BH436" s="2" t="str" cm="1">
        <f t="array" ref="BH436">IF(COUNTIF(BB436:BD436,"&lt;&gt;0")=1,INDEX($X$4:$AY$4,MATCH(TRUE,INDEX($X436:$AY436&lt;&gt;0,),0)),IF(COUNTIF(BB436:BD436,"&lt;&gt;0")=0,INDEX($AO$4:$AY$4,MATCH(1,$AO436:$AY436,0)),"Multiple strategies"))</f>
        <v>Technology</v>
      </c>
      <c r="BI436" s="142"/>
      <c r="BL436" s="143"/>
      <c r="BN436" s="143"/>
      <c r="BO436" s="143"/>
      <c r="BP436" s="143"/>
      <c r="BQ436" s="143"/>
      <c r="BR436" s="297" t="s">
        <v>232</v>
      </c>
      <c r="BS436" s="297"/>
      <c r="BT436" t="s">
        <v>3883</v>
      </c>
      <c r="BU436" s="143"/>
      <c r="BW436" s="144"/>
      <c r="BX436">
        <v>3.7999999999999999E-2</v>
      </c>
      <c r="BZ436">
        <f t="shared" si="501"/>
        <v>244055000</v>
      </c>
      <c r="CA436" t="str">
        <f t="shared" si="512"/>
        <v/>
      </c>
      <c r="CB436">
        <v>0</v>
      </c>
      <c r="CC436">
        <v>0</v>
      </c>
      <c r="CD436">
        <v>0</v>
      </c>
      <c r="CE436">
        <v>0</v>
      </c>
      <c r="CF436">
        <v>0</v>
      </c>
      <c r="CG436">
        <v>0</v>
      </c>
      <c r="CH436">
        <v>0</v>
      </c>
      <c r="CI436">
        <v>0</v>
      </c>
      <c r="CJ436">
        <v>0</v>
      </c>
      <c r="CK436">
        <v>0</v>
      </c>
      <c r="CL436">
        <v>0</v>
      </c>
      <c r="CM436">
        <v>0</v>
      </c>
      <c r="CN436">
        <v>0</v>
      </c>
      <c r="CO436">
        <v>0</v>
      </c>
      <c r="CP436" t="str">
        <f t="shared" si="502"/>
        <v>refOK</v>
      </c>
      <c r="CQ436"/>
      <c r="CR436"/>
      <c r="CS436"/>
      <c r="CT436">
        <f t="shared" si="467"/>
        <v>0</v>
      </c>
      <c r="CU436">
        <f t="shared" si="498"/>
        <v>0</v>
      </c>
      <c r="CV436">
        <f t="shared" si="499"/>
        <v>0</v>
      </c>
      <c r="CW436">
        <f t="shared" si="513"/>
        <v>244055000</v>
      </c>
      <c r="CX436" t="str">
        <f t="shared" si="492"/>
        <v/>
      </c>
      <c r="CY436" t="str">
        <f t="shared" si="492"/>
        <v/>
      </c>
      <c r="CZ436" t="str">
        <f t="shared" si="472"/>
        <v/>
      </c>
      <c r="DA436" s="2" t="str">
        <f t="shared" si="514"/>
        <v/>
      </c>
      <c r="DB436" s="1" t="s">
        <v>1074</v>
      </c>
      <c r="DC436" s="297" t="str">
        <f t="shared" si="515"/>
        <v>reg</v>
      </c>
      <c r="DD436" t="s">
        <v>428</v>
      </c>
      <c r="DE436">
        <v>2020</v>
      </c>
      <c r="DF436">
        <v>2100</v>
      </c>
      <c r="DG436">
        <v>80</v>
      </c>
      <c r="DH436" t="str">
        <f t="shared" si="516"/>
        <v>71-100</v>
      </c>
      <c r="DI436">
        <v>0</v>
      </c>
      <c r="DJ436">
        <v>1</v>
      </c>
      <c r="DK436">
        <v>0</v>
      </c>
      <c r="DL436">
        <v>0</v>
      </c>
      <c r="DN436">
        <f t="shared" si="503"/>
        <v>1</v>
      </c>
      <c r="DO436" t="str">
        <f t="shared" si="517"/>
        <v>EnergyInput</v>
      </c>
      <c r="DP436">
        <f t="shared" si="518"/>
        <v>0</v>
      </c>
      <c r="DQ436" t="str">
        <f t="shared" si="519"/>
        <v>Energy</v>
      </c>
      <c r="DR436">
        <f t="shared" si="520"/>
        <v>0</v>
      </c>
      <c r="DS436">
        <f t="shared" si="521"/>
        <v>0</v>
      </c>
      <c r="DT436">
        <v>1</v>
      </c>
      <c r="DU436">
        <v>1</v>
      </c>
      <c r="DV436" t="s">
        <v>3884</v>
      </c>
      <c r="DW436">
        <v>0</v>
      </c>
      <c r="DX436" t="s">
        <v>3885</v>
      </c>
      <c r="DY436">
        <f t="shared" si="504"/>
        <v>2</v>
      </c>
      <c r="DZ436" s="143" t="str">
        <f t="shared" si="522"/>
        <v>self-calculated DF</v>
      </c>
      <c r="EA436">
        <v>1</v>
      </c>
      <c r="EB436">
        <v>1</v>
      </c>
      <c r="EC436">
        <v>1</v>
      </c>
      <c r="ED436">
        <v>0</v>
      </c>
      <c r="EE436">
        <v>1</v>
      </c>
      <c r="EF436">
        <v>0</v>
      </c>
      <c r="EG436">
        <v>1</v>
      </c>
      <c r="EH436">
        <v>1</v>
      </c>
      <c r="EI436">
        <v>0</v>
      </c>
      <c r="EJ436">
        <v>1</v>
      </c>
      <c r="EK436">
        <v>1</v>
      </c>
      <c r="EL436">
        <v>1</v>
      </c>
      <c r="EM436">
        <v>0</v>
      </c>
      <c r="EN436" s="2">
        <v>0</v>
      </c>
      <c r="EP436" t="str">
        <f t="shared" si="484"/>
        <v>Whole sector approach</v>
      </c>
      <c r="EQ436" t="str">
        <f t="shared" si="523"/>
        <v/>
      </c>
      <c r="ER436" s="2" t="str">
        <f t="shared" si="524"/>
        <v/>
      </c>
      <c r="ES436" t="str">
        <f t="shared" si="525"/>
        <v/>
      </c>
      <c r="ET436" t="str">
        <f t="shared" si="526"/>
        <v/>
      </c>
      <c r="EU436" t="str">
        <f t="shared" si="489"/>
        <v/>
      </c>
      <c r="EY436" t="b">
        <f>IF(ISNUMBER(BW436),IF(ABS(BW436-[1]QC_indicators!$B$2)&gt;3*[1]QC_indicators!$C$2,"C ratio",IF(ISNUMBER(CA436),IF(ABS(CA436-[1]QC_indicators!$B$1)&gt;3*[1]QC_indicators!$C$1,"DF","no"))),IF(ISNUMBER(CA436),IF(ABS(CA436-[1]QC_indicators!$B$1)&gt;3*[1]QC_indicators!$C$1,"DF","no")))</f>
        <v>0</v>
      </c>
      <c r="FA436" t="str">
        <f t="shared" si="490"/>
        <v/>
      </c>
      <c r="FB436" s="299" t="s">
        <v>349</v>
      </c>
    </row>
    <row r="437" spans="1:158" ht="15" hidden="1" customHeight="1">
      <c r="A437" s="1" t="s">
        <v>819</v>
      </c>
      <c r="B437" t="s">
        <v>3874</v>
      </c>
      <c r="C437" t="s">
        <v>3875</v>
      </c>
      <c r="D437" t="s">
        <v>3876</v>
      </c>
      <c r="E437" t="s">
        <v>3877</v>
      </c>
      <c r="F437" t="s">
        <v>3878</v>
      </c>
      <c r="G437" t="s">
        <v>825</v>
      </c>
      <c r="H437" t="s">
        <v>254</v>
      </c>
      <c r="I437">
        <v>2018</v>
      </c>
      <c r="J437">
        <v>58</v>
      </c>
      <c r="K437" t="s">
        <v>3879</v>
      </c>
      <c r="M437" t="str">
        <f t="shared" si="456"/>
        <v>Sterman_2018</v>
      </c>
      <c r="N437" s="297" t="s">
        <v>4058</v>
      </c>
      <c r="O437" s="145" t="s">
        <v>341</v>
      </c>
      <c r="Q437" s="297" t="s">
        <v>256</v>
      </c>
      <c r="R437" s="298"/>
      <c r="S437" s="1" t="s">
        <v>3894</v>
      </c>
      <c r="T437" t="s">
        <v>3881</v>
      </c>
      <c r="U437" t="s">
        <v>1572</v>
      </c>
      <c r="X437">
        <v>0</v>
      </c>
      <c r="Y437">
        <v>0</v>
      </c>
      <c r="Z437">
        <v>0</v>
      </c>
      <c r="AA437">
        <v>0</v>
      </c>
      <c r="AB437">
        <v>0</v>
      </c>
      <c r="AC437">
        <v>0</v>
      </c>
      <c r="AD437">
        <v>0</v>
      </c>
      <c r="AE437">
        <v>0</v>
      </c>
      <c r="AF437">
        <v>0</v>
      </c>
      <c r="AG437">
        <v>0</v>
      </c>
      <c r="AH437">
        <v>0</v>
      </c>
      <c r="AI437">
        <v>0</v>
      </c>
      <c r="AJ437">
        <v>0</v>
      </c>
      <c r="AK437">
        <v>0</v>
      </c>
      <c r="AL437">
        <v>0</v>
      </c>
      <c r="AM437">
        <v>1</v>
      </c>
      <c r="AN437">
        <v>0</v>
      </c>
      <c r="AO437">
        <v>0</v>
      </c>
      <c r="AP437">
        <v>0</v>
      </c>
      <c r="AQ437">
        <v>0</v>
      </c>
      <c r="AR437">
        <v>0</v>
      </c>
      <c r="AS437">
        <v>0</v>
      </c>
      <c r="AT437">
        <v>0</v>
      </c>
      <c r="AU437">
        <v>0</v>
      </c>
      <c r="AV437">
        <v>0</v>
      </c>
      <c r="AW437">
        <v>0</v>
      </c>
      <c r="AX437">
        <v>0</v>
      </c>
      <c r="AY437">
        <v>0</v>
      </c>
      <c r="AZ437" s="141">
        <f t="shared" si="505"/>
        <v>1</v>
      </c>
      <c r="BA437" s="141">
        <f t="shared" si="506"/>
        <v>1</v>
      </c>
      <c r="BB437">
        <f t="shared" si="507"/>
        <v>0</v>
      </c>
      <c r="BC437">
        <f t="shared" si="508"/>
        <v>0</v>
      </c>
      <c r="BD437">
        <f t="shared" si="509"/>
        <v>1</v>
      </c>
      <c r="BE437">
        <f t="shared" si="510"/>
        <v>0</v>
      </c>
      <c r="BF437">
        <f t="shared" si="511"/>
        <v>0</v>
      </c>
      <c r="BG437" t="str" cm="1">
        <f t="array" ref="BG437">IF(BA437=1,INDEX($X$7:$AN$7,MATCH(TRUE,INDEX($X437:$AY437&lt;&gt;0,),0)),IF(BA437=0,INDEX($AO$7:$AY$7,MATCH(1,$AO437:$AY437,0)),IF(BH437="Multiple strategies","mixed drivers",IF(BH437="Supply chain","multiple supply","multiple silviculture"))))</f>
        <v>technologies/design switch</v>
      </c>
      <c r="BH437" s="2" t="str" cm="1">
        <f t="array" ref="BH437">IF(COUNTIF(BB437:BD437,"&lt;&gt;0")=1,INDEX($X$4:$AY$4,MATCH(TRUE,INDEX($X437:$AY437&lt;&gt;0,),0)),IF(COUNTIF(BB437:BD437,"&lt;&gt;0")=0,INDEX($AO$4:$AY$4,MATCH(1,$AO437:$AY437,0)),"Multiple strategies"))</f>
        <v>Technology</v>
      </c>
      <c r="BI437" s="142"/>
      <c r="BL437" s="143"/>
      <c r="BN437" s="143"/>
      <c r="BO437" s="143"/>
      <c r="BP437" s="143"/>
      <c r="BQ437" s="143"/>
      <c r="BR437" s="297" t="s">
        <v>232</v>
      </c>
      <c r="BS437" s="297"/>
      <c r="BT437" t="s">
        <v>3883</v>
      </c>
      <c r="BU437" s="143"/>
      <c r="BW437" s="144"/>
      <c r="BX437">
        <v>3.7999999999999999E-2</v>
      </c>
      <c r="BZ437">
        <f t="shared" si="501"/>
        <v>244055000</v>
      </c>
      <c r="CA437" t="str">
        <f t="shared" si="512"/>
        <v/>
      </c>
      <c r="CB437">
        <v>0</v>
      </c>
      <c r="CC437">
        <v>0</v>
      </c>
      <c r="CD437">
        <v>0</v>
      </c>
      <c r="CE437">
        <v>0</v>
      </c>
      <c r="CF437">
        <v>0</v>
      </c>
      <c r="CG437">
        <v>0</v>
      </c>
      <c r="CH437">
        <v>0</v>
      </c>
      <c r="CI437">
        <v>0</v>
      </c>
      <c r="CJ437">
        <v>0</v>
      </c>
      <c r="CK437">
        <v>0</v>
      </c>
      <c r="CL437">
        <v>0</v>
      </c>
      <c r="CM437">
        <v>0</v>
      </c>
      <c r="CN437">
        <v>0</v>
      </c>
      <c r="CO437">
        <v>0</v>
      </c>
      <c r="CP437" t="str">
        <f t="shared" si="502"/>
        <v>refOK</v>
      </c>
      <c r="CQ437"/>
      <c r="CR437"/>
      <c r="CS437"/>
      <c r="CT437">
        <f t="shared" si="467"/>
        <v>0</v>
      </c>
      <c r="CU437">
        <f t="shared" si="498"/>
        <v>0</v>
      </c>
      <c r="CV437">
        <f t="shared" si="499"/>
        <v>0</v>
      </c>
      <c r="CW437">
        <f t="shared" si="513"/>
        <v>244055000</v>
      </c>
      <c r="CX437" t="str">
        <f t="shared" ref="CX437:CY456" si="527">IFERROR($CW437/$CS437,"")</f>
        <v/>
      </c>
      <c r="CY437" t="str">
        <f t="shared" si="527"/>
        <v/>
      </c>
      <c r="CZ437" t="str">
        <f t="shared" si="472"/>
        <v/>
      </c>
      <c r="DA437" s="2" t="str">
        <f t="shared" si="514"/>
        <v/>
      </c>
      <c r="DB437" s="1" t="s">
        <v>1074</v>
      </c>
      <c r="DC437" s="297" t="str">
        <f t="shared" si="515"/>
        <v>reg</v>
      </c>
      <c r="DD437" t="s">
        <v>428</v>
      </c>
      <c r="DE437">
        <v>2020</v>
      </c>
      <c r="DF437">
        <v>2100</v>
      </c>
      <c r="DG437">
        <v>80</v>
      </c>
      <c r="DH437" t="str">
        <f t="shared" si="516"/>
        <v>71-100</v>
      </c>
      <c r="DI437">
        <v>0</v>
      </c>
      <c r="DJ437">
        <v>1</v>
      </c>
      <c r="DK437">
        <v>0</v>
      </c>
      <c r="DL437">
        <v>0</v>
      </c>
      <c r="DN437">
        <f t="shared" si="503"/>
        <v>1</v>
      </c>
      <c r="DO437" t="str">
        <f t="shared" si="517"/>
        <v>EnergyInput</v>
      </c>
      <c r="DP437">
        <f t="shared" si="518"/>
        <v>0</v>
      </c>
      <c r="DQ437" t="str">
        <f t="shared" si="519"/>
        <v>Energy</v>
      </c>
      <c r="DR437">
        <f t="shared" si="520"/>
        <v>0</v>
      </c>
      <c r="DS437">
        <f t="shared" si="521"/>
        <v>0</v>
      </c>
      <c r="DT437">
        <v>1</v>
      </c>
      <c r="DU437">
        <v>1</v>
      </c>
      <c r="DV437" t="s">
        <v>3884</v>
      </c>
      <c r="DW437">
        <v>0</v>
      </c>
      <c r="DX437" t="s">
        <v>3885</v>
      </c>
      <c r="DY437">
        <f t="shared" si="504"/>
        <v>2</v>
      </c>
      <c r="DZ437" s="143" t="str">
        <f t="shared" si="522"/>
        <v>self-calculated DF</v>
      </c>
      <c r="EA437">
        <v>1</v>
      </c>
      <c r="EB437">
        <v>1</v>
      </c>
      <c r="EC437">
        <v>1</v>
      </c>
      <c r="ED437">
        <v>0</v>
      </c>
      <c r="EE437">
        <v>1</v>
      </c>
      <c r="EF437">
        <v>0</v>
      </c>
      <c r="EG437">
        <v>1</v>
      </c>
      <c r="EH437">
        <v>1</v>
      </c>
      <c r="EI437">
        <v>0</v>
      </c>
      <c r="EJ437">
        <v>1</v>
      </c>
      <c r="EK437">
        <v>1</v>
      </c>
      <c r="EL437">
        <v>1</v>
      </c>
      <c r="EM437">
        <v>0</v>
      </c>
      <c r="EN437" s="2">
        <v>0</v>
      </c>
      <c r="EP437" t="str">
        <f t="shared" si="484"/>
        <v>Whole sector approach</v>
      </c>
      <c r="EQ437" t="str">
        <f t="shared" si="523"/>
        <v/>
      </c>
      <c r="ER437" s="2" t="str">
        <f t="shared" si="524"/>
        <v/>
      </c>
      <c r="ES437" t="str">
        <f t="shared" si="525"/>
        <v/>
      </c>
      <c r="ET437" t="str">
        <f t="shared" si="526"/>
        <v/>
      </c>
      <c r="EU437" t="str">
        <f t="shared" si="489"/>
        <v/>
      </c>
      <c r="EY437" t="b">
        <f>IF(ISNUMBER(BW437),IF(ABS(BW437-[1]QC_indicators!$B$2)&gt;3*[1]QC_indicators!$C$2,"C ratio",IF(ISNUMBER(CA437),IF(ABS(CA437-[1]QC_indicators!$B$1)&gt;3*[1]QC_indicators!$C$1,"DF","no"))),IF(ISNUMBER(CA437),IF(ABS(CA437-[1]QC_indicators!$B$1)&gt;3*[1]QC_indicators!$C$1,"DF","no")))</f>
        <v>0</v>
      </c>
      <c r="FA437" t="str">
        <f t="shared" si="490"/>
        <v/>
      </c>
      <c r="FB437" s="299" t="s">
        <v>349</v>
      </c>
    </row>
    <row r="438" spans="1:158" ht="15" hidden="1" customHeight="1">
      <c r="A438" s="1" t="s">
        <v>819</v>
      </c>
      <c r="B438" t="s">
        <v>3874</v>
      </c>
      <c r="C438" t="s">
        <v>3875</v>
      </c>
      <c r="D438" t="s">
        <v>3876</v>
      </c>
      <c r="E438" t="s">
        <v>3877</v>
      </c>
      <c r="F438" t="s">
        <v>3878</v>
      </c>
      <c r="G438" t="s">
        <v>825</v>
      </c>
      <c r="H438" t="s">
        <v>254</v>
      </c>
      <c r="I438">
        <v>2018</v>
      </c>
      <c r="J438">
        <v>58</v>
      </c>
      <c r="K438" t="s">
        <v>3879</v>
      </c>
      <c r="M438" t="str">
        <f t="shared" si="456"/>
        <v>Sterman_2018</v>
      </c>
      <c r="N438" s="297" t="s">
        <v>4058</v>
      </c>
      <c r="O438" s="145" t="s">
        <v>341</v>
      </c>
      <c r="Q438" s="297" t="s">
        <v>256</v>
      </c>
      <c r="R438" s="298"/>
      <c r="S438" s="1" t="s">
        <v>3895</v>
      </c>
      <c r="T438" t="s">
        <v>3881</v>
      </c>
      <c r="U438" t="s">
        <v>1572</v>
      </c>
      <c r="X438">
        <v>0</v>
      </c>
      <c r="Y438">
        <v>0</v>
      </c>
      <c r="Z438">
        <v>0</v>
      </c>
      <c r="AA438">
        <v>0</v>
      </c>
      <c r="AB438">
        <v>0</v>
      </c>
      <c r="AC438">
        <v>0</v>
      </c>
      <c r="AD438">
        <v>0</v>
      </c>
      <c r="AE438">
        <v>0</v>
      </c>
      <c r="AF438">
        <v>0</v>
      </c>
      <c r="AG438">
        <v>0</v>
      </c>
      <c r="AH438">
        <v>0</v>
      </c>
      <c r="AI438">
        <v>0</v>
      </c>
      <c r="AJ438">
        <v>0</v>
      </c>
      <c r="AK438">
        <v>0</v>
      </c>
      <c r="AL438">
        <v>0</v>
      </c>
      <c r="AM438">
        <v>1</v>
      </c>
      <c r="AN438">
        <v>0</v>
      </c>
      <c r="AO438">
        <v>0</v>
      </c>
      <c r="AP438">
        <v>0</v>
      </c>
      <c r="AQ438">
        <v>0</v>
      </c>
      <c r="AR438">
        <v>0</v>
      </c>
      <c r="AS438">
        <v>0</v>
      </c>
      <c r="AT438">
        <v>0</v>
      </c>
      <c r="AU438">
        <v>0</v>
      </c>
      <c r="AV438">
        <v>0</v>
      </c>
      <c r="AW438">
        <v>0</v>
      </c>
      <c r="AX438">
        <v>0</v>
      </c>
      <c r="AY438">
        <v>0</v>
      </c>
      <c r="AZ438" s="141">
        <f t="shared" si="505"/>
        <v>1</v>
      </c>
      <c r="BA438" s="141">
        <f t="shared" si="506"/>
        <v>1</v>
      </c>
      <c r="BB438">
        <f t="shared" si="507"/>
        <v>0</v>
      </c>
      <c r="BC438">
        <f t="shared" si="508"/>
        <v>0</v>
      </c>
      <c r="BD438">
        <f t="shared" si="509"/>
        <v>1</v>
      </c>
      <c r="BE438">
        <f t="shared" si="510"/>
        <v>0</v>
      </c>
      <c r="BF438">
        <f t="shared" si="511"/>
        <v>0</v>
      </c>
      <c r="BG438" t="str" cm="1">
        <f t="array" ref="BG438">IF(BA438=1,INDEX($X$7:$AN$7,MATCH(TRUE,INDEX($X438:$AY438&lt;&gt;0,),0)),IF(BA438=0,INDEX($AO$7:$AY$7,MATCH(1,$AO438:$AY438,0)),IF(BH438="Multiple strategies","mixed drivers",IF(BH438="Supply chain","multiple supply","multiple silviculture"))))</f>
        <v>technologies/design switch</v>
      </c>
      <c r="BH438" s="2" t="str" cm="1">
        <f t="array" ref="BH438">IF(COUNTIF(BB438:BD438,"&lt;&gt;0")=1,INDEX($X$4:$AY$4,MATCH(TRUE,INDEX($X438:$AY438&lt;&gt;0,),0)),IF(COUNTIF(BB438:BD438,"&lt;&gt;0")=0,INDEX($AO$4:$AY$4,MATCH(1,$AO438:$AY438,0)),"Multiple strategies"))</f>
        <v>Technology</v>
      </c>
      <c r="BI438" s="142"/>
      <c r="BL438" s="143"/>
      <c r="BN438" s="143"/>
      <c r="BO438" s="143"/>
      <c r="BP438" s="143"/>
      <c r="BQ438" s="143"/>
      <c r="BR438" s="297" t="s">
        <v>232</v>
      </c>
      <c r="BS438" s="297"/>
      <c r="BT438" t="s">
        <v>3883</v>
      </c>
      <c r="BU438" s="143"/>
      <c r="BW438" s="144"/>
      <c r="BX438">
        <v>3.9E-2</v>
      </c>
      <c r="BZ438">
        <f t="shared" si="501"/>
        <v>250477500</v>
      </c>
      <c r="CA438" t="str">
        <f t="shared" si="512"/>
        <v/>
      </c>
      <c r="CB438">
        <v>0</v>
      </c>
      <c r="CC438">
        <v>0</v>
      </c>
      <c r="CD438">
        <v>0</v>
      </c>
      <c r="CE438">
        <v>0</v>
      </c>
      <c r="CF438">
        <v>0</v>
      </c>
      <c r="CG438">
        <v>0</v>
      </c>
      <c r="CH438">
        <v>0</v>
      </c>
      <c r="CI438">
        <v>0</v>
      </c>
      <c r="CJ438">
        <v>0</v>
      </c>
      <c r="CK438">
        <v>0</v>
      </c>
      <c r="CL438">
        <v>0</v>
      </c>
      <c r="CM438">
        <v>0</v>
      </c>
      <c r="CN438">
        <v>0</v>
      </c>
      <c r="CO438">
        <v>0</v>
      </c>
      <c r="CP438" t="str">
        <f t="shared" si="502"/>
        <v>refOK</v>
      </c>
      <c r="CQ438"/>
      <c r="CR438"/>
      <c r="CS438"/>
      <c r="CT438">
        <f t="shared" si="467"/>
        <v>0</v>
      </c>
      <c r="CU438">
        <f t="shared" si="498"/>
        <v>0</v>
      </c>
      <c r="CV438">
        <f t="shared" si="499"/>
        <v>0</v>
      </c>
      <c r="CW438">
        <f t="shared" si="513"/>
        <v>250477500</v>
      </c>
      <c r="CX438" t="str">
        <f t="shared" si="527"/>
        <v/>
      </c>
      <c r="CY438" t="str">
        <f t="shared" si="527"/>
        <v/>
      </c>
      <c r="CZ438" t="str">
        <f t="shared" si="472"/>
        <v/>
      </c>
      <c r="DA438" s="2" t="str">
        <f t="shared" si="514"/>
        <v/>
      </c>
      <c r="DB438" s="1" t="s">
        <v>1074</v>
      </c>
      <c r="DC438" s="297" t="str">
        <f t="shared" si="515"/>
        <v>reg</v>
      </c>
      <c r="DD438" t="s">
        <v>428</v>
      </c>
      <c r="DE438">
        <v>2020</v>
      </c>
      <c r="DF438">
        <v>2100</v>
      </c>
      <c r="DG438">
        <v>80</v>
      </c>
      <c r="DH438" t="str">
        <f t="shared" si="516"/>
        <v>71-100</v>
      </c>
      <c r="DI438">
        <v>0</v>
      </c>
      <c r="DJ438">
        <v>1</v>
      </c>
      <c r="DK438">
        <v>0</v>
      </c>
      <c r="DL438">
        <v>0</v>
      </c>
      <c r="DN438">
        <f t="shared" si="503"/>
        <v>1</v>
      </c>
      <c r="DO438" t="str">
        <f t="shared" si="517"/>
        <v>EnergyInput</v>
      </c>
      <c r="DP438">
        <f t="shared" si="518"/>
        <v>0</v>
      </c>
      <c r="DQ438" t="str">
        <f t="shared" si="519"/>
        <v>Energy</v>
      </c>
      <c r="DR438">
        <f t="shared" si="520"/>
        <v>0</v>
      </c>
      <c r="DS438">
        <f t="shared" si="521"/>
        <v>0</v>
      </c>
      <c r="DT438">
        <v>1</v>
      </c>
      <c r="DU438">
        <v>1</v>
      </c>
      <c r="DV438" t="s">
        <v>3884</v>
      </c>
      <c r="DW438">
        <v>0</v>
      </c>
      <c r="DX438" t="s">
        <v>3885</v>
      </c>
      <c r="DY438">
        <f t="shared" si="504"/>
        <v>2</v>
      </c>
      <c r="DZ438" s="143" t="str">
        <f t="shared" si="522"/>
        <v>self-calculated DF</v>
      </c>
      <c r="EA438">
        <v>1</v>
      </c>
      <c r="EB438">
        <v>1</v>
      </c>
      <c r="EC438">
        <v>1</v>
      </c>
      <c r="ED438">
        <v>0</v>
      </c>
      <c r="EE438">
        <v>1</v>
      </c>
      <c r="EF438">
        <v>0</v>
      </c>
      <c r="EG438">
        <v>1</v>
      </c>
      <c r="EH438">
        <v>1</v>
      </c>
      <c r="EI438">
        <v>0</v>
      </c>
      <c r="EJ438">
        <v>1</v>
      </c>
      <c r="EK438">
        <v>1</v>
      </c>
      <c r="EL438">
        <v>1</v>
      </c>
      <c r="EM438">
        <v>0</v>
      </c>
      <c r="EN438" s="2">
        <v>0</v>
      </c>
      <c r="EP438" t="str">
        <f t="shared" si="484"/>
        <v>Whole sector approach</v>
      </c>
      <c r="EQ438" t="str">
        <f t="shared" si="523"/>
        <v/>
      </c>
      <c r="ER438" s="2" t="str">
        <f t="shared" si="524"/>
        <v/>
      </c>
      <c r="ES438" t="str">
        <f t="shared" si="525"/>
        <v/>
      </c>
      <c r="ET438" t="str">
        <f t="shared" si="526"/>
        <v/>
      </c>
      <c r="EU438" t="str">
        <f t="shared" si="489"/>
        <v/>
      </c>
      <c r="EY438" t="b">
        <f>IF(ISNUMBER(BW438),IF(ABS(BW438-[1]QC_indicators!$B$2)&gt;3*[1]QC_indicators!$C$2,"C ratio",IF(ISNUMBER(CA438),IF(ABS(CA438-[1]QC_indicators!$B$1)&gt;3*[1]QC_indicators!$C$1,"DF","no"))),IF(ISNUMBER(CA438),IF(ABS(CA438-[1]QC_indicators!$B$1)&gt;3*[1]QC_indicators!$C$1,"DF","no")))</f>
        <v>0</v>
      </c>
      <c r="FA438" t="str">
        <f t="shared" si="490"/>
        <v/>
      </c>
      <c r="FB438" s="299" t="s">
        <v>349</v>
      </c>
    </row>
    <row r="439" spans="1:158" ht="15" hidden="1" customHeight="1">
      <c r="A439" s="1" t="s">
        <v>3896</v>
      </c>
      <c r="B439" t="s">
        <v>3897</v>
      </c>
      <c r="C439" t="s">
        <v>3898</v>
      </c>
      <c r="D439" t="s">
        <v>3899</v>
      </c>
      <c r="E439" t="s">
        <v>3900</v>
      </c>
      <c r="F439" t="s">
        <v>3901</v>
      </c>
      <c r="G439" t="s">
        <v>3902</v>
      </c>
      <c r="H439" t="s">
        <v>254</v>
      </c>
      <c r="I439">
        <v>2022</v>
      </c>
      <c r="J439">
        <v>0</v>
      </c>
      <c r="K439" t="s">
        <v>3903</v>
      </c>
      <c r="M439" t="str">
        <f t="shared" si="456"/>
        <v>Szalay_2022</v>
      </c>
      <c r="N439" s="297" t="s">
        <v>4058</v>
      </c>
      <c r="O439" s="161" t="s">
        <v>223</v>
      </c>
      <c r="Q439" s="297" t="s">
        <v>389</v>
      </c>
      <c r="R439" s="298"/>
      <c r="S439" s="304" t="s">
        <v>257</v>
      </c>
      <c r="T439" s="297" t="s">
        <v>3904</v>
      </c>
      <c r="U439" s="297" t="s">
        <v>3905</v>
      </c>
      <c r="V439" s="297"/>
      <c r="W439" s="297"/>
      <c r="X439">
        <v>0</v>
      </c>
      <c r="Y439">
        <v>0</v>
      </c>
      <c r="Z439">
        <v>0</v>
      </c>
      <c r="AA439">
        <v>0</v>
      </c>
      <c r="AB439">
        <v>0</v>
      </c>
      <c r="AC439">
        <v>0</v>
      </c>
      <c r="AD439">
        <v>0</v>
      </c>
      <c r="AE439">
        <v>0</v>
      </c>
      <c r="AF439">
        <v>0</v>
      </c>
      <c r="AG439">
        <v>0</v>
      </c>
      <c r="AH439">
        <v>0</v>
      </c>
      <c r="AI439">
        <v>0</v>
      </c>
      <c r="AJ439">
        <v>0</v>
      </c>
      <c r="AK439">
        <v>0</v>
      </c>
      <c r="AL439">
        <v>0</v>
      </c>
      <c r="AM439">
        <v>1</v>
      </c>
      <c r="AN439">
        <v>0</v>
      </c>
      <c r="AO439">
        <v>0</v>
      </c>
      <c r="AP439">
        <v>0</v>
      </c>
      <c r="AQ439">
        <v>0</v>
      </c>
      <c r="AR439">
        <v>0</v>
      </c>
      <c r="AS439">
        <v>0</v>
      </c>
      <c r="AT439">
        <v>0</v>
      </c>
      <c r="AU439">
        <v>0</v>
      </c>
      <c r="AV439">
        <v>0</v>
      </c>
      <c r="AW439">
        <v>0</v>
      </c>
      <c r="AX439">
        <v>0</v>
      </c>
      <c r="AY439">
        <v>0</v>
      </c>
      <c r="AZ439" s="141">
        <f t="shared" si="505"/>
        <v>1</v>
      </c>
      <c r="BA439" s="141">
        <f t="shared" si="506"/>
        <v>1</v>
      </c>
      <c r="BB439">
        <f t="shared" si="507"/>
        <v>0</v>
      </c>
      <c r="BC439">
        <f t="shared" si="508"/>
        <v>0</v>
      </c>
      <c r="BD439">
        <f t="shared" si="509"/>
        <v>1</v>
      </c>
      <c r="BE439">
        <f t="shared" si="510"/>
        <v>0</v>
      </c>
      <c r="BF439">
        <f t="shared" si="511"/>
        <v>0</v>
      </c>
      <c r="BG439" t="str" cm="1">
        <f t="array" ref="BG439">IF(BA439=1,INDEX($X$7:$AN$7,MATCH(TRUE,INDEX($X439:$AY439&lt;&gt;0,),0)),IF(BA439=0,INDEX($AO$7:$AY$7,MATCH(1,$AO439:$AY439,0)),IF(BH439="Multiple strategies","mixed drivers",IF(BH439="Supply chain","multiple supply","multiple silviculture"))))</f>
        <v>technologies/design switch</v>
      </c>
      <c r="BH439" s="2" t="str" cm="1">
        <f t="array" ref="BH439">IF(COUNTIF(BB439:BD439,"&lt;&gt;0")=1,INDEX($X$4:$AY$4,MATCH(TRUE,INDEX($X439:$AY439&lt;&gt;0,),0)),IF(COUNTIF(BB439:BD439,"&lt;&gt;0")=0,INDEX($AO$4:$AY$4,MATCH(1,$AO439:$AY439,0)),"Multiple strategies"))</f>
        <v>Technology</v>
      </c>
      <c r="BR439" s="297" t="s">
        <v>395</v>
      </c>
      <c r="BS439" s="297" t="s">
        <v>3359</v>
      </c>
      <c r="BT439" s="297" t="s">
        <v>397</v>
      </c>
      <c r="BU439">
        <v>11941</v>
      </c>
      <c r="BV439">
        <v>-14882</v>
      </c>
      <c r="CA439" t="str">
        <f t="shared" si="512"/>
        <v/>
      </c>
      <c r="CB439">
        <v>0</v>
      </c>
      <c r="CC439">
        <v>0</v>
      </c>
      <c r="CD439">
        <v>0</v>
      </c>
      <c r="CE439">
        <v>0</v>
      </c>
      <c r="CF439">
        <v>0</v>
      </c>
      <c r="CG439">
        <v>0</v>
      </c>
      <c r="CH439">
        <v>0</v>
      </c>
      <c r="CI439">
        <v>0</v>
      </c>
      <c r="CJ439">
        <v>0</v>
      </c>
      <c r="CK439">
        <v>0</v>
      </c>
      <c r="CL439">
        <v>0</v>
      </c>
      <c r="CM439">
        <v>0</v>
      </c>
      <c r="CN439">
        <v>0</v>
      </c>
      <c r="CO439">
        <v>0</v>
      </c>
      <c r="CP439" t="str">
        <f>IF($BN439&lt;$BM439,"refNeedCorrection","refOK")</f>
        <v>refOK</v>
      </c>
      <c r="CQ439">
        <f>IF($CP439="refOK",$BM439,$BN439)</f>
        <v>0</v>
      </c>
      <c r="CR439">
        <f>IF($CP439="refOK",$BN439,$BM439)</f>
        <v>0</v>
      </c>
      <c r="CS439">
        <f>IF($CP439="refOK",$BQ439,-$BQ439)</f>
        <v>0</v>
      </c>
      <c r="CT439">
        <f t="shared" si="467"/>
        <v>0</v>
      </c>
      <c r="CU439">
        <f t="shared" si="498"/>
        <v>-11941</v>
      </c>
      <c r="CV439">
        <f t="shared" si="499"/>
        <v>14882</v>
      </c>
      <c r="CW439">
        <f t="shared" si="513"/>
        <v>0</v>
      </c>
      <c r="CX439" t="str">
        <f t="shared" si="527"/>
        <v/>
      </c>
      <c r="CY439" t="str">
        <f t="shared" si="527"/>
        <v/>
      </c>
      <c r="CZ439" t="str">
        <f t="shared" si="472"/>
        <v/>
      </c>
      <c r="DA439" s="2">
        <f t="shared" si="514"/>
        <v>2.2462942802110377</v>
      </c>
      <c r="DB439" s="304" t="s">
        <v>263</v>
      </c>
      <c r="DC439" s="297" t="str">
        <f t="shared" si="515"/>
        <v>loc</v>
      </c>
      <c r="DD439" s="297" t="s">
        <v>3906</v>
      </c>
      <c r="DG439">
        <v>0</v>
      </c>
      <c r="DH439" t="str">
        <f t="shared" si="516"/>
        <v>0</v>
      </c>
      <c r="DI439">
        <v>0</v>
      </c>
      <c r="DJ439">
        <v>0</v>
      </c>
      <c r="DK439">
        <v>0</v>
      </c>
      <c r="DL439">
        <v>1</v>
      </c>
      <c r="DM439">
        <v>0</v>
      </c>
      <c r="DN439">
        <f t="shared" si="503"/>
        <v>1</v>
      </c>
      <c r="DO439" t="str">
        <f t="shared" si="517"/>
        <v>TimberInput</v>
      </c>
      <c r="DP439">
        <f t="shared" si="518"/>
        <v>0</v>
      </c>
      <c r="DQ439">
        <f t="shared" si="519"/>
        <v>0</v>
      </c>
      <c r="DR439">
        <f t="shared" si="520"/>
        <v>0</v>
      </c>
      <c r="DS439" t="str">
        <f t="shared" si="521"/>
        <v>Timber</v>
      </c>
      <c r="DT439">
        <v>0</v>
      </c>
      <c r="DU439">
        <v>0</v>
      </c>
      <c r="DV439">
        <v>0</v>
      </c>
      <c r="DW439">
        <v>0</v>
      </c>
      <c r="DX439">
        <v>0</v>
      </c>
      <c r="DY439">
        <f t="shared" si="504"/>
        <v>0</v>
      </c>
      <c r="DZ439" s="143" t="str">
        <f t="shared" si="522"/>
        <v>explicit C balance</v>
      </c>
      <c r="EA439">
        <v>0</v>
      </c>
      <c r="EB439">
        <v>0</v>
      </c>
      <c r="EC439">
        <v>0</v>
      </c>
      <c r="ED439">
        <v>0</v>
      </c>
      <c r="EE439">
        <v>0</v>
      </c>
      <c r="EF439">
        <v>1</v>
      </c>
      <c r="EG439">
        <v>1</v>
      </c>
      <c r="EH439">
        <v>1</v>
      </c>
      <c r="EI439">
        <v>1</v>
      </c>
      <c r="EJ439">
        <v>1</v>
      </c>
      <c r="EK439">
        <v>0</v>
      </c>
      <c r="EL439">
        <v>0</v>
      </c>
      <c r="EM439">
        <v>0</v>
      </c>
      <c r="EN439" s="2">
        <v>0</v>
      </c>
      <c r="EP439" t="str">
        <f t="shared" si="484"/>
        <v/>
      </c>
      <c r="EQ439" t="str">
        <f t="shared" si="523"/>
        <v/>
      </c>
      <c r="ER439" s="2" t="str">
        <f t="shared" si="524"/>
        <v>Technology approach</v>
      </c>
      <c r="ES439" t="str">
        <f t="shared" si="525"/>
        <v/>
      </c>
      <c r="ET439" t="str">
        <f t="shared" si="526"/>
        <v/>
      </c>
      <c r="EU439" t="str">
        <f t="shared" si="489"/>
        <v/>
      </c>
      <c r="EY439" t="b">
        <f>IF(ISNUMBER(BW439),IF(ABS(BW439-[1]QC_indicators!$B$2)&gt;3*[1]QC_indicators!$C$2,"C ratio",IF(ISNUMBER(CA439),IF(ABS(CA439-[1]QC_indicators!$B$1)&gt;3*[1]QC_indicators!$C$1,"DF","no"))),IF(ISNUMBER(CA439),IF(ABS(CA439-[1]QC_indicators!$B$1)&gt;3*[1]QC_indicators!$C$1,"DF","no")))</f>
        <v>0</v>
      </c>
      <c r="FA439" t="str">
        <f t="shared" si="490"/>
        <v/>
      </c>
    </row>
    <row r="440" spans="1:158" ht="15" hidden="1" customHeight="1">
      <c r="A440" s="1" t="s">
        <v>3907</v>
      </c>
      <c r="B440" t="s">
        <v>3908</v>
      </c>
      <c r="C440" t="s">
        <v>3909</v>
      </c>
      <c r="D440" t="s">
        <v>3910</v>
      </c>
      <c r="E440" t="s">
        <v>3911</v>
      </c>
      <c r="F440" t="s">
        <v>3912</v>
      </c>
      <c r="G440" t="s">
        <v>531</v>
      </c>
      <c r="H440" t="s">
        <v>3640</v>
      </c>
      <c r="I440">
        <v>2017</v>
      </c>
      <c r="J440">
        <v>12</v>
      </c>
      <c r="K440" t="s">
        <v>3913</v>
      </c>
      <c r="M440" t="str">
        <f t="shared" si="456"/>
        <v>Teh_2017</v>
      </c>
      <c r="N440" s="297" t="s">
        <v>4058</v>
      </c>
      <c r="O440" s="145" t="s">
        <v>1029</v>
      </c>
      <c r="Q440" s="297" t="s">
        <v>256</v>
      </c>
      <c r="R440" s="298"/>
      <c r="S440" s="1" t="s">
        <v>3918</v>
      </c>
      <c r="T440" t="s">
        <v>1003</v>
      </c>
      <c r="U440" t="s">
        <v>3920</v>
      </c>
      <c r="X440">
        <v>0</v>
      </c>
      <c r="Y440">
        <v>0</v>
      </c>
      <c r="Z440">
        <v>0</v>
      </c>
      <c r="AA440">
        <v>0</v>
      </c>
      <c r="AB440">
        <v>0</v>
      </c>
      <c r="AC440">
        <v>0</v>
      </c>
      <c r="AD440">
        <v>0</v>
      </c>
      <c r="AE440">
        <v>0</v>
      </c>
      <c r="AF440">
        <v>0</v>
      </c>
      <c r="AG440">
        <v>0</v>
      </c>
      <c r="AH440">
        <v>0</v>
      </c>
      <c r="AI440">
        <v>0</v>
      </c>
      <c r="AJ440">
        <v>0</v>
      </c>
      <c r="AK440">
        <v>0</v>
      </c>
      <c r="AL440">
        <v>0</v>
      </c>
      <c r="AM440">
        <v>1</v>
      </c>
      <c r="AN440">
        <v>0</v>
      </c>
      <c r="AO440">
        <v>0</v>
      </c>
      <c r="AP440">
        <v>0</v>
      </c>
      <c r="AQ440">
        <v>0</v>
      </c>
      <c r="AR440">
        <v>0</v>
      </c>
      <c r="AS440">
        <v>0</v>
      </c>
      <c r="AT440">
        <v>0</v>
      </c>
      <c r="AU440">
        <v>0</v>
      </c>
      <c r="AV440">
        <v>0</v>
      </c>
      <c r="AW440">
        <v>0</v>
      </c>
      <c r="AX440">
        <v>0</v>
      </c>
      <c r="AY440">
        <v>0</v>
      </c>
      <c r="AZ440" s="141">
        <f t="shared" si="505"/>
        <v>1</v>
      </c>
      <c r="BA440" s="141">
        <f t="shared" si="506"/>
        <v>1</v>
      </c>
      <c r="BB440">
        <f t="shared" si="507"/>
        <v>0</v>
      </c>
      <c r="BC440">
        <f t="shared" si="508"/>
        <v>0</v>
      </c>
      <c r="BD440">
        <f t="shared" si="509"/>
        <v>1</v>
      </c>
      <c r="BE440">
        <f t="shared" si="510"/>
        <v>0</v>
      </c>
      <c r="BF440">
        <f t="shared" si="511"/>
        <v>0</v>
      </c>
      <c r="BG440" t="str" cm="1">
        <f t="array" ref="BG440">IF(BA440=1,INDEX($X$7:$AN$7,MATCH(TRUE,INDEX($X440:$AY440&lt;&gt;0,),0)),IF(BA440=0,INDEX($AO$7:$AY$7,MATCH(1,$AO440:$AY440,0)),IF(BH440="Multiple strategies","mixed drivers",IF(BH440="Supply chain","multiple supply","multiple silviculture"))))</f>
        <v>technologies/design switch</v>
      </c>
      <c r="BH440" s="2" t="str" cm="1">
        <f t="array" ref="BH440">IF(COUNTIF(BB440:BD440,"&lt;&gt;0")=1,INDEX($X$4:$AY$4,MATCH(TRUE,INDEX($X440:$AY440&lt;&gt;0,),0)),IF(COUNTIF(BB440:BD440,"&lt;&gt;0")=0,INDEX($AO$4:$AY$4,MATCH(1,$AO440:$AY440,0)),"Multiple strategies"))</f>
        <v>Technology</v>
      </c>
      <c r="BJ440" t="s">
        <v>3916</v>
      </c>
      <c r="BR440" t="s">
        <v>232</v>
      </c>
      <c r="BT440" t="s">
        <v>2069</v>
      </c>
      <c r="BU440">
        <v>-803.28358208955206</v>
      </c>
      <c r="BV440">
        <v>-588.35820895522397</v>
      </c>
      <c r="BW440" s="144">
        <f t="shared" ref="BW440:BW458" si="528">IFERROR(BV440/BU440,"")</f>
        <v>0.73244147157190664</v>
      </c>
      <c r="BX440" s="144">
        <f t="shared" ref="BX440:BX471" si="529">BV440-BU440</f>
        <v>214.92537313432808</v>
      </c>
      <c r="BY440" s="144"/>
      <c r="BZ440">
        <f t="shared" ref="BZ440:BZ445" si="530">BX440*10^6</f>
        <v>214925373.1343281</v>
      </c>
      <c r="CA440" t="str">
        <f t="shared" si="512"/>
        <v/>
      </c>
      <c r="CB440">
        <v>0</v>
      </c>
      <c r="CC440">
        <v>0</v>
      </c>
      <c r="CD440">
        <v>0</v>
      </c>
      <c r="CE440">
        <v>0</v>
      </c>
      <c r="CF440">
        <v>0</v>
      </c>
      <c r="CG440">
        <v>0</v>
      </c>
      <c r="CH440">
        <v>0</v>
      </c>
      <c r="CI440">
        <v>0</v>
      </c>
      <c r="CJ440">
        <v>0</v>
      </c>
      <c r="CK440">
        <v>0</v>
      </c>
      <c r="CL440">
        <v>0</v>
      </c>
      <c r="CM440">
        <v>0</v>
      </c>
      <c r="CN440">
        <v>0</v>
      </c>
      <c r="CO440">
        <v>0</v>
      </c>
      <c r="CP440" t="str">
        <f t="shared" ref="CP440:CP458" si="531">IF(BN440&lt;BM440,"refNeedCorrection","refOK")</f>
        <v>refOK</v>
      </c>
      <c r="CQ440"/>
      <c r="CR440"/>
      <c r="CS440"/>
      <c r="CT440">
        <f t="shared" si="467"/>
        <v>0</v>
      </c>
      <c r="CU440">
        <f t="shared" si="498"/>
        <v>-803.28358208955206</v>
      </c>
      <c r="CV440">
        <f t="shared" si="499"/>
        <v>-588.35820895522397</v>
      </c>
      <c r="CW440">
        <f t="shared" si="513"/>
        <v>214925373.1343281</v>
      </c>
      <c r="CX440" t="str">
        <f t="shared" si="527"/>
        <v/>
      </c>
      <c r="CY440" t="str">
        <f t="shared" si="527"/>
        <v/>
      </c>
      <c r="CZ440" t="str">
        <f t="shared" si="472"/>
        <v/>
      </c>
      <c r="DA440" s="2">
        <f t="shared" si="514"/>
        <v>0.26755852842809336</v>
      </c>
      <c r="DB440" s="1" t="s">
        <v>1078</v>
      </c>
      <c r="DC440" s="297" t="str">
        <f t="shared" si="515"/>
        <v>reg</v>
      </c>
      <c r="DD440" t="s">
        <v>561</v>
      </c>
      <c r="DE440">
        <v>2050</v>
      </c>
      <c r="DF440">
        <v>2050</v>
      </c>
      <c r="DG440">
        <f t="shared" ref="DG440:DG458" si="532">DF440-DE440</f>
        <v>0</v>
      </c>
      <c r="DH440" t="str">
        <f t="shared" si="516"/>
        <v>0</v>
      </c>
      <c r="DI440">
        <v>0</v>
      </c>
      <c r="DJ440">
        <v>0</v>
      </c>
      <c r="DK440">
        <v>0</v>
      </c>
      <c r="DL440">
        <v>1</v>
      </c>
      <c r="DN440">
        <f t="shared" si="503"/>
        <v>1</v>
      </c>
      <c r="DO440" t="str">
        <f t="shared" si="517"/>
        <v>TimberInput</v>
      </c>
      <c r="DP440">
        <f t="shared" si="518"/>
        <v>0</v>
      </c>
      <c r="DQ440">
        <f t="shared" si="519"/>
        <v>0</v>
      </c>
      <c r="DR440">
        <f t="shared" si="520"/>
        <v>0</v>
      </c>
      <c r="DS440" t="str">
        <f t="shared" si="521"/>
        <v>Timber</v>
      </c>
      <c r="DT440">
        <v>0</v>
      </c>
      <c r="DU440">
        <v>0</v>
      </c>
      <c r="DV440">
        <v>0</v>
      </c>
      <c r="DW440">
        <v>0</v>
      </c>
      <c r="DX440">
        <v>0</v>
      </c>
      <c r="DY440">
        <f t="shared" si="504"/>
        <v>0</v>
      </c>
      <c r="DZ440" s="143" t="str">
        <f t="shared" si="522"/>
        <v>explicit C balance</v>
      </c>
      <c r="EA440">
        <v>0</v>
      </c>
      <c r="EB440">
        <v>0</v>
      </c>
      <c r="EC440">
        <v>0</v>
      </c>
      <c r="ED440">
        <v>0</v>
      </c>
      <c r="EE440">
        <v>0</v>
      </c>
      <c r="EF440" s="143">
        <v>0</v>
      </c>
      <c r="EG440">
        <v>1</v>
      </c>
      <c r="EH440">
        <v>1</v>
      </c>
      <c r="EI440">
        <v>0</v>
      </c>
      <c r="EJ440">
        <v>0</v>
      </c>
      <c r="EK440">
        <v>0</v>
      </c>
      <c r="EL440">
        <v>1</v>
      </c>
      <c r="EM440">
        <v>0</v>
      </c>
      <c r="EN440" s="2">
        <v>0</v>
      </c>
      <c r="EP440" t="str">
        <f t="shared" si="484"/>
        <v/>
      </c>
      <c r="EQ440" t="str">
        <f t="shared" si="523"/>
        <v/>
      </c>
      <c r="ER440" s="2" t="str">
        <f t="shared" si="524"/>
        <v>Technology approach</v>
      </c>
      <c r="ES440" t="str">
        <f t="shared" si="525"/>
        <v/>
      </c>
      <c r="ET440" t="str">
        <f t="shared" si="526"/>
        <v/>
      </c>
      <c r="EU440" t="str">
        <f t="shared" si="489"/>
        <v/>
      </c>
      <c r="EW440" t="s">
        <v>3917</v>
      </c>
      <c r="EY440" t="b">
        <f>IF(ISNUMBER(BW440),IF(ABS(BW440-[1]QC_indicators!$B$2)&gt;3*[1]QC_indicators!$C$2,"C ratio",IF(ISNUMBER(CA440),IF(ABS(CA440-[1]QC_indicators!$B$1)&gt;3*[1]QC_indicators!$C$1,"DF","no"))),IF(ISNUMBER(CA440),IF(ABS(CA440-[1]QC_indicators!$B$1)&gt;3*[1]QC_indicators!$C$1,"DF","no")))</f>
        <v>0</v>
      </c>
      <c r="FA440" t="str">
        <f t="shared" si="490"/>
        <v/>
      </c>
    </row>
    <row r="441" spans="1:158" ht="15" hidden="1" customHeight="1">
      <c r="A441" s="1" t="s">
        <v>3907</v>
      </c>
      <c r="B441" t="s">
        <v>3908</v>
      </c>
      <c r="C441" t="s">
        <v>3909</v>
      </c>
      <c r="D441" t="s">
        <v>3910</v>
      </c>
      <c r="E441" t="s">
        <v>3911</v>
      </c>
      <c r="F441" t="s">
        <v>3912</v>
      </c>
      <c r="G441" t="s">
        <v>531</v>
      </c>
      <c r="H441" t="s">
        <v>3640</v>
      </c>
      <c r="I441">
        <v>2017</v>
      </c>
      <c r="J441">
        <v>12</v>
      </c>
      <c r="K441" t="s">
        <v>3913</v>
      </c>
      <c r="M441" t="str">
        <f t="shared" si="456"/>
        <v>Teh_2017</v>
      </c>
      <c r="N441" s="297" t="s">
        <v>4058</v>
      </c>
      <c r="O441" s="145" t="s">
        <v>1029</v>
      </c>
      <c r="Q441" s="297" t="s">
        <v>256</v>
      </c>
      <c r="R441" s="298"/>
      <c r="S441" s="1" t="s">
        <v>3919</v>
      </c>
      <c r="T441" t="s">
        <v>1003</v>
      </c>
      <c r="U441" t="s">
        <v>3920</v>
      </c>
      <c r="X441">
        <v>0</v>
      </c>
      <c r="Y441">
        <v>0</v>
      </c>
      <c r="Z441">
        <v>0</v>
      </c>
      <c r="AA441">
        <v>0</v>
      </c>
      <c r="AB441">
        <v>0</v>
      </c>
      <c r="AC441">
        <v>0</v>
      </c>
      <c r="AD441">
        <v>0</v>
      </c>
      <c r="AE441">
        <v>0</v>
      </c>
      <c r="AF441">
        <v>0</v>
      </c>
      <c r="AG441">
        <v>0</v>
      </c>
      <c r="AH441">
        <v>0</v>
      </c>
      <c r="AI441">
        <v>0</v>
      </c>
      <c r="AJ441">
        <v>0</v>
      </c>
      <c r="AK441">
        <v>0</v>
      </c>
      <c r="AL441">
        <v>0</v>
      </c>
      <c r="AM441">
        <v>1</v>
      </c>
      <c r="AN441">
        <v>0</v>
      </c>
      <c r="AO441">
        <v>0</v>
      </c>
      <c r="AP441">
        <v>0</v>
      </c>
      <c r="AQ441">
        <v>0</v>
      </c>
      <c r="AR441">
        <v>0</v>
      </c>
      <c r="AS441">
        <v>0</v>
      </c>
      <c r="AT441">
        <v>0</v>
      </c>
      <c r="AU441">
        <v>0</v>
      </c>
      <c r="AV441">
        <v>0</v>
      </c>
      <c r="AW441">
        <v>0</v>
      </c>
      <c r="AX441">
        <v>0</v>
      </c>
      <c r="AY441">
        <v>0</v>
      </c>
      <c r="AZ441" s="141">
        <f t="shared" si="505"/>
        <v>1</v>
      </c>
      <c r="BA441" s="141">
        <f t="shared" si="506"/>
        <v>1</v>
      </c>
      <c r="BB441">
        <f t="shared" si="507"/>
        <v>0</v>
      </c>
      <c r="BC441">
        <f t="shared" si="508"/>
        <v>0</v>
      </c>
      <c r="BD441">
        <f t="shared" si="509"/>
        <v>1</v>
      </c>
      <c r="BE441">
        <f t="shared" si="510"/>
        <v>0</v>
      </c>
      <c r="BF441">
        <f t="shared" si="511"/>
        <v>0</v>
      </c>
      <c r="BG441" t="str" cm="1">
        <f t="array" ref="BG441">IF(BA441=1,INDEX($X$7:$AN$7,MATCH(TRUE,INDEX($X441:$AY441&lt;&gt;0,),0)),IF(BA441=0,INDEX($AO$7:$AY$7,MATCH(1,$AO441:$AY441,0)),IF(BH441="Multiple strategies","mixed drivers",IF(BH441="Supply chain","multiple supply","multiple silviculture"))))</f>
        <v>technologies/design switch</v>
      </c>
      <c r="BH441" s="2" t="str" cm="1">
        <f t="array" ref="BH441">IF(COUNTIF(BB441:BD441,"&lt;&gt;0")=1,INDEX($X$4:$AY$4,MATCH(TRUE,INDEX($X441:$AY441&lt;&gt;0,),0)),IF(COUNTIF(BB441:BD441,"&lt;&gt;0")=0,INDEX($AO$4:$AY$4,MATCH(1,$AO441:$AY441,0)),"Multiple strategies"))</f>
        <v>Technology</v>
      </c>
      <c r="BJ441" t="s">
        <v>3916</v>
      </c>
      <c r="BR441" t="s">
        <v>232</v>
      </c>
      <c r="BT441" t="s">
        <v>2069</v>
      </c>
      <c r="BU441">
        <v>-45.232815964523198</v>
      </c>
      <c r="BV441">
        <v>-31.929046563192902</v>
      </c>
      <c r="BW441" s="144">
        <f t="shared" si="528"/>
        <v>0.70588235294117774</v>
      </c>
      <c r="BX441" s="144">
        <f t="shared" si="529"/>
        <v>13.303769401330296</v>
      </c>
      <c r="BY441" s="144"/>
      <c r="BZ441">
        <f t="shared" si="530"/>
        <v>13303769.401330296</v>
      </c>
      <c r="CA441" t="str">
        <f t="shared" si="512"/>
        <v/>
      </c>
      <c r="CB441">
        <v>0</v>
      </c>
      <c r="CC441">
        <v>0</v>
      </c>
      <c r="CD441">
        <v>0</v>
      </c>
      <c r="CE441">
        <v>0</v>
      </c>
      <c r="CF441">
        <v>0</v>
      </c>
      <c r="CG441">
        <v>0</v>
      </c>
      <c r="CH441">
        <v>0</v>
      </c>
      <c r="CI441">
        <v>0</v>
      </c>
      <c r="CJ441">
        <v>0</v>
      </c>
      <c r="CK441">
        <v>0</v>
      </c>
      <c r="CL441">
        <v>0</v>
      </c>
      <c r="CM441">
        <v>0</v>
      </c>
      <c r="CN441">
        <v>0</v>
      </c>
      <c r="CO441">
        <v>0</v>
      </c>
      <c r="CP441" t="str">
        <f t="shared" si="531"/>
        <v>refOK</v>
      </c>
      <c r="CQ441"/>
      <c r="CR441"/>
      <c r="CS441"/>
      <c r="CT441">
        <f t="shared" si="467"/>
        <v>0</v>
      </c>
      <c r="CU441">
        <f t="shared" si="498"/>
        <v>-45.232815964523198</v>
      </c>
      <c r="CV441">
        <f t="shared" si="499"/>
        <v>-31.929046563192902</v>
      </c>
      <c r="CW441">
        <f t="shared" si="513"/>
        <v>13303769.401330296</v>
      </c>
      <c r="CX441" t="str">
        <f t="shared" si="527"/>
        <v/>
      </c>
      <c r="CY441" t="str">
        <f t="shared" si="527"/>
        <v/>
      </c>
      <c r="CZ441" t="str">
        <f t="shared" si="472"/>
        <v/>
      </c>
      <c r="DA441" s="2">
        <f t="shared" si="514"/>
        <v>0.29411764705882226</v>
      </c>
      <c r="DB441" s="1" t="s">
        <v>1078</v>
      </c>
      <c r="DC441" s="297" t="str">
        <f t="shared" si="515"/>
        <v>reg</v>
      </c>
      <c r="DD441" t="s">
        <v>561</v>
      </c>
      <c r="DE441">
        <v>2050</v>
      </c>
      <c r="DF441">
        <v>2050</v>
      </c>
      <c r="DG441">
        <f t="shared" si="532"/>
        <v>0</v>
      </c>
      <c r="DH441" t="str">
        <f t="shared" si="516"/>
        <v>0</v>
      </c>
      <c r="DI441">
        <v>0</v>
      </c>
      <c r="DJ441">
        <v>0</v>
      </c>
      <c r="DK441">
        <v>0</v>
      </c>
      <c r="DL441">
        <v>1</v>
      </c>
      <c r="DN441">
        <f t="shared" si="503"/>
        <v>1</v>
      </c>
      <c r="DO441" t="str">
        <f t="shared" si="517"/>
        <v>TimberInput</v>
      </c>
      <c r="DP441">
        <f t="shared" si="518"/>
        <v>0</v>
      </c>
      <c r="DQ441">
        <f t="shared" si="519"/>
        <v>0</v>
      </c>
      <c r="DR441">
        <f t="shared" si="520"/>
        <v>0</v>
      </c>
      <c r="DS441" t="str">
        <f t="shared" si="521"/>
        <v>Timber</v>
      </c>
      <c r="DT441">
        <v>0</v>
      </c>
      <c r="DU441">
        <v>0</v>
      </c>
      <c r="DV441">
        <v>0</v>
      </c>
      <c r="DW441">
        <v>0</v>
      </c>
      <c r="DX441">
        <v>0</v>
      </c>
      <c r="DY441">
        <f t="shared" si="504"/>
        <v>0</v>
      </c>
      <c r="DZ441" s="143" t="str">
        <f t="shared" si="522"/>
        <v>explicit C balance</v>
      </c>
      <c r="EA441">
        <v>0</v>
      </c>
      <c r="EB441">
        <v>0</v>
      </c>
      <c r="EC441">
        <v>0</v>
      </c>
      <c r="ED441">
        <v>0</v>
      </c>
      <c r="EE441">
        <v>0</v>
      </c>
      <c r="EF441" s="143">
        <v>0</v>
      </c>
      <c r="EG441">
        <v>1</v>
      </c>
      <c r="EH441">
        <v>1</v>
      </c>
      <c r="EI441">
        <v>0</v>
      </c>
      <c r="EJ441">
        <v>0</v>
      </c>
      <c r="EK441">
        <v>0</v>
      </c>
      <c r="EL441">
        <v>1</v>
      </c>
      <c r="EM441">
        <v>0</v>
      </c>
      <c r="EN441" s="2">
        <v>0</v>
      </c>
      <c r="EP441" t="str">
        <f t="shared" si="484"/>
        <v/>
      </c>
      <c r="EQ441" t="str">
        <f t="shared" si="523"/>
        <v/>
      </c>
      <c r="ER441" s="2" t="str">
        <f t="shared" si="524"/>
        <v>Technology approach</v>
      </c>
      <c r="ES441" t="str">
        <f t="shared" si="525"/>
        <v/>
      </c>
      <c r="ET441" t="str">
        <f t="shared" si="526"/>
        <v/>
      </c>
      <c r="EU441" t="str">
        <f t="shared" si="489"/>
        <v/>
      </c>
      <c r="EW441" t="s">
        <v>3917</v>
      </c>
      <c r="EY441" t="b">
        <f>IF(ISNUMBER(BW441),IF(ABS(BW441-[1]QC_indicators!$B$2)&gt;3*[1]QC_indicators!$C$2,"C ratio",IF(ISNUMBER(CA441),IF(ABS(CA441-[1]QC_indicators!$B$1)&gt;3*[1]QC_indicators!$C$1,"DF","no"))),IF(ISNUMBER(CA441),IF(ABS(CA441-[1]QC_indicators!$B$1)&gt;3*[1]QC_indicators!$C$1,"DF","no")))</f>
        <v>0</v>
      </c>
      <c r="FA441" t="str">
        <f t="shared" si="490"/>
        <v/>
      </c>
    </row>
    <row r="442" spans="1:158" ht="15" hidden="1" customHeight="1">
      <c r="A442" s="1" t="s">
        <v>3907</v>
      </c>
      <c r="B442" t="s">
        <v>3908</v>
      </c>
      <c r="C442" t="s">
        <v>3909</v>
      </c>
      <c r="D442" t="s">
        <v>3910</v>
      </c>
      <c r="E442" t="s">
        <v>3911</v>
      </c>
      <c r="F442" t="s">
        <v>3912</v>
      </c>
      <c r="G442" t="s">
        <v>531</v>
      </c>
      <c r="H442" t="s">
        <v>3640</v>
      </c>
      <c r="I442">
        <v>2017</v>
      </c>
      <c r="J442">
        <v>12</v>
      </c>
      <c r="K442" t="s">
        <v>3913</v>
      </c>
      <c r="M442" t="str">
        <f t="shared" si="456"/>
        <v>Teh_2017</v>
      </c>
      <c r="N442" s="297" t="s">
        <v>4058</v>
      </c>
      <c r="O442" s="145" t="s">
        <v>1029</v>
      </c>
      <c r="Q442" s="297" t="s">
        <v>256</v>
      </c>
      <c r="R442" s="298"/>
      <c r="S442" s="1" t="s">
        <v>3914</v>
      </c>
      <c r="T442" t="s">
        <v>1003</v>
      </c>
      <c r="U442" t="s">
        <v>3920</v>
      </c>
      <c r="X442">
        <v>0</v>
      </c>
      <c r="Y442">
        <v>0</v>
      </c>
      <c r="Z442">
        <v>0</v>
      </c>
      <c r="AA442">
        <v>0</v>
      </c>
      <c r="AB442">
        <v>0</v>
      </c>
      <c r="AC442">
        <v>0</v>
      </c>
      <c r="AD442">
        <v>0</v>
      </c>
      <c r="AE442">
        <v>0</v>
      </c>
      <c r="AF442">
        <v>0</v>
      </c>
      <c r="AG442">
        <v>0</v>
      </c>
      <c r="AH442">
        <v>0</v>
      </c>
      <c r="AI442">
        <v>0</v>
      </c>
      <c r="AJ442">
        <v>0</v>
      </c>
      <c r="AK442">
        <v>0</v>
      </c>
      <c r="AL442">
        <v>0</v>
      </c>
      <c r="AM442">
        <v>1</v>
      </c>
      <c r="AN442">
        <v>0</v>
      </c>
      <c r="AO442">
        <v>0</v>
      </c>
      <c r="AP442">
        <v>0</v>
      </c>
      <c r="AQ442">
        <v>0</v>
      </c>
      <c r="AR442">
        <v>0</v>
      </c>
      <c r="AS442">
        <v>0</v>
      </c>
      <c r="AT442">
        <v>0</v>
      </c>
      <c r="AU442">
        <v>0</v>
      </c>
      <c r="AV442">
        <v>0</v>
      </c>
      <c r="AW442">
        <v>0</v>
      </c>
      <c r="AX442">
        <v>0</v>
      </c>
      <c r="AY442">
        <v>0</v>
      </c>
      <c r="AZ442" s="141">
        <f t="shared" si="505"/>
        <v>1</v>
      </c>
      <c r="BA442" s="141">
        <f t="shared" si="506"/>
        <v>1</v>
      </c>
      <c r="BB442">
        <f t="shared" si="507"/>
        <v>0</v>
      </c>
      <c r="BC442">
        <f t="shared" si="508"/>
        <v>0</v>
      </c>
      <c r="BD442">
        <f t="shared" si="509"/>
        <v>1</v>
      </c>
      <c r="BE442">
        <f t="shared" si="510"/>
        <v>0</v>
      </c>
      <c r="BF442">
        <f t="shared" si="511"/>
        <v>0</v>
      </c>
      <c r="BG442" t="str" cm="1">
        <f t="array" ref="BG442">IF(BA442=1,INDEX($X$7:$AN$7,MATCH(TRUE,INDEX($X442:$AY442&lt;&gt;0,),0)),IF(BA442=0,INDEX($AO$7:$AY$7,MATCH(1,$AO442:$AY442,0)),IF(BH442="Multiple strategies","mixed drivers",IF(BH442="Supply chain","multiple supply","multiple silviculture"))))</f>
        <v>technologies/design switch</v>
      </c>
      <c r="BH442" s="2" t="str" cm="1">
        <f t="array" ref="BH442">IF(COUNTIF(BB442:BD442,"&lt;&gt;0")=1,INDEX($X$4:$AY$4,MATCH(TRUE,INDEX($X442:$AY442&lt;&gt;0,),0)),IF(COUNTIF(BB442:BD442,"&lt;&gt;0")=0,INDEX($AO$4:$AY$4,MATCH(1,$AO442:$AY442,0)),"Multiple strategies"))</f>
        <v>Technology</v>
      </c>
      <c r="BJ442" t="s">
        <v>3916</v>
      </c>
      <c r="BR442" t="s">
        <v>232</v>
      </c>
      <c r="BT442" t="s">
        <v>2069</v>
      </c>
      <c r="BU442">
        <v>-65.3101736972704</v>
      </c>
      <c r="BV442">
        <v>-40.297766749379598</v>
      </c>
      <c r="BW442" s="144">
        <f t="shared" si="528"/>
        <v>0.61702127659574446</v>
      </c>
      <c r="BX442" s="144">
        <f t="shared" si="529"/>
        <v>25.012406947890803</v>
      </c>
      <c r="BY442" s="144"/>
      <c r="BZ442">
        <f t="shared" si="530"/>
        <v>25012406.947890803</v>
      </c>
      <c r="CA442" t="str">
        <f t="shared" si="512"/>
        <v/>
      </c>
      <c r="CB442">
        <v>0</v>
      </c>
      <c r="CC442">
        <v>0</v>
      </c>
      <c r="CD442">
        <v>0</v>
      </c>
      <c r="CE442">
        <v>0</v>
      </c>
      <c r="CF442">
        <v>0</v>
      </c>
      <c r="CG442">
        <v>0</v>
      </c>
      <c r="CH442">
        <v>0</v>
      </c>
      <c r="CI442">
        <v>0</v>
      </c>
      <c r="CJ442">
        <v>0</v>
      </c>
      <c r="CK442">
        <v>0</v>
      </c>
      <c r="CL442">
        <v>0</v>
      </c>
      <c r="CM442">
        <v>0</v>
      </c>
      <c r="CN442">
        <v>0</v>
      </c>
      <c r="CO442">
        <v>0</v>
      </c>
      <c r="CP442" t="str">
        <f t="shared" si="531"/>
        <v>refOK</v>
      </c>
      <c r="CQ442"/>
      <c r="CR442"/>
      <c r="CS442"/>
      <c r="CT442">
        <f t="shared" si="467"/>
        <v>0</v>
      </c>
      <c r="CU442">
        <f t="shared" si="498"/>
        <v>-65.3101736972704</v>
      </c>
      <c r="CV442">
        <f t="shared" si="499"/>
        <v>-40.297766749379598</v>
      </c>
      <c r="CW442">
        <f t="shared" si="513"/>
        <v>25012406.947890803</v>
      </c>
      <c r="CX442" t="str">
        <f t="shared" si="527"/>
        <v/>
      </c>
      <c r="CY442" t="str">
        <f t="shared" si="527"/>
        <v/>
      </c>
      <c r="CZ442" t="str">
        <f t="shared" si="472"/>
        <v/>
      </c>
      <c r="DA442" s="2">
        <f t="shared" si="514"/>
        <v>0.38297872340425548</v>
      </c>
      <c r="DB442" s="1" t="s">
        <v>1078</v>
      </c>
      <c r="DC442" s="297" t="str">
        <f t="shared" si="515"/>
        <v>reg</v>
      </c>
      <c r="DD442" t="s">
        <v>561</v>
      </c>
      <c r="DE442">
        <v>2050</v>
      </c>
      <c r="DF442">
        <v>2050</v>
      </c>
      <c r="DG442">
        <f t="shared" si="532"/>
        <v>0</v>
      </c>
      <c r="DH442" t="str">
        <f t="shared" si="516"/>
        <v>0</v>
      </c>
      <c r="DI442">
        <v>0</v>
      </c>
      <c r="DJ442">
        <v>0</v>
      </c>
      <c r="DK442">
        <v>0</v>
      </c>
      <c r="DL442">
        <v>1</v>
      </c>
      <c r="DN442">
        <f t="shared" si="503"/>
        <v>1</v>
      </c>
      <c r="DO442" t="str">
        <f t="shared" si="517"/>
        <v>TimberInput</v>
      </c>
      <c r="DP442">
        <f t="shared" si="518"/>
        <v>0</v>
      </c>
      <c r="DQ442">
        <f t="shared" si="519"/>
        <v>0</v>
      </c>
      <c r="DR442">
        <f t="shared" si="520"/>
        <v>0</v>
      </c>
      <c r="DS442" t="str">
        <f t="shared" si="521"/>
        <v>Timber</v>
      </c>
      <c r="DT442">
        <v>0</v>
      </c>
      <c r="DU442">
        <v>0</v>
      </c>
      <c r="DV442">
        <v>0</v>
      </c>
      <c r="DW442">
        <v>0</v>
      </c>
      <c r="DX442">
        <v>0</v>
      </c>
      <c r="DY442">
        <f t="shared" si="504"/>
        <v>0</v>
      </c>
      <c r="DZ442" s="143" t="str">
        <f t="shared" si="522"/>
        <v>explicit C balance</v>
      </c>
      <c r="EA442">
        <v>0</v>
      </c>
      <c r="EB442">
        <v>0</v>
      </c>
      <c r="EC442">
        <v>0</v>
      </c>
      <c r="ED442">
        <v>0</v>
      </c>
      <c r="EE442">
        <v>0</v>
      </c>
      <c r="EF442" s="143">
        <v>0</v>
      </c>
      <c r="EG442">
        <v>1</v>
      </c>
      <c r="EH442">
        <v>1</v>
      </c>
      <c r="EI442">
        <v>0</v>
      </c>
      <c r="EJ442">
        <v>0</v>
      </c>
      <c r="EK442">
        <v>0</v>
      </c>
      <c r="EL442">
        <v>1</v>
      </c>
      <c r="EM442">
        <v>0</v>
      </c>
      <c r="EN442" s="2">
        <v>0</v>
      </c>
      <c r="EP442" t="str">
        <f t="shared" si="484"/>
        <v/>
      </c>
      <c r="EQ442" t="str">
        <f t="shared" si="523"/>
        <v/>
      </c>
      <c r="ER442" s="2" t="str">
        <f t="shared" si="524"/>
        <v>Technology approach</v>
      </c>
      <c r="ES442" t="str">
        <f t="shared" si="525"/>
        <v/>
      </c>
      <c r="ET442" t="str">
        <f t="shared" si="526"/>
        <v/>
      </c>
      <c r="EU442" t="str">
        <f t="shared" si="489"/>
        <v/>
      </c>
      <c r="EW442" t="s">
        <v>3917</v>
      </c>
      <c r="EY442" t="b">
        <f>IF(ISNUMBER(BW442),IF(ABS(BW442-[1]QC_indicators!$B$2)&gt;3*[1]QC_indicators!$C$2,"C ratio",IF(ISNUMBER(CA442),IF(ABS(CA442-[1]QC_indicators!$B$1)&gt;3*[1]QC_indicators!$C$1,"DF","no"))),IF(ISNUMBER(CA442),IF(ABS(CA442-[1]QC_indicators!$B$1)&gt;3*[1]QC_indicators!$C$1,"DF","no")))</f>
        <v>0</v>
      </c>
      <c r="FA442" t="str">
        <f t="shared" si="490"/>
        <v/>
      </c>
    </row>
    <row r="443" spans="1:158" ht="15" hidden="1" customHeight="1">
      <c r="A443" s="1" t="s">
        <v>3907</v>
      </c>
      <c r="B443" t="s">
        <v>3908</v>
      </c>
      <c r="C443" t="s">
        <v>3909</v>
      </c>
      <c r="D443" t="s">
        <v>3910</v>
      </c>
      <c r="E443" t="s">
        <v>3911</v>
      </c>
      <c r="F443" t="s">
        <v>3912</v>
      </c>
      <c r="G443" t="s">
        <v>531</v>
      </c>
      <c r="H443" t="s">
        <v>3640</v>
      </c>
      <c r="I443">
        <v>2017</v>
      </c>
      <c r="J443">
        <v>12</v>
      </c>
      <c r="K443" t="s">
        <v>3913</v>
      </c>
      <c r="M443" t="str">
        <f t="shared" si="456"/>
        <v>Teh_2017</v>
      </c>
      <c r="N443" s="297" t="s">
        <v>4058</v>
      </c>
      <c r="O443" s="145" t="s">
        <v>1029</v>
      </c>
      <c r="Q443" s="297" t="s">
        <v>256</v>
      </c>
      <c r="R443" s="298"/>
      <c r="S443" s="1" t="s">
        <v>3919</v>
      </c>
      <c r="T443" t="s">
        <v>1003</v>
      </c>
      <c r="U443" t="s">
        <v>3915</v>
      </c>
      <c r="X443">
        <v>0</v>
      </c>
      <c r="Y443">
        <v>0</v>
      </c>
      <c r="Z443">
        <v>0</v>
      </c>
      <c r="AA443">
        <v>0</v>
      </c>
      <c r="AB443">
        <v>0</v>
      </c>
      <c r="AC443">
        <v>0</v>
      </c>
      <c r="AD443">
        <v>0</v>
      </c>
      <c r="AE443">
        <v>0</v>
      </c>
      <c r="AF443">
        <v>0</v>
      </c>
      <c r="AG443">
        <v>0</v>
      </c>
      <c r="AH443">
        <v>0</v>
      </c>
      <c r="AI443">
        <v>0</v>
      </c>
      <c r="AJ443">
        <v>0</v>
      </c>
      <c r="AK443">
        <v>0</v>
      </c>
      <c r="AL443">
        <v>0</v>
      </c>
      <c r="AM443">
        <v>1</v>
      </c>
      <c r="AN443">
        <v>0</v>
      </c>
      <c r="AO443">
        <v>0</v>
      </c>
      <c r="AP443">
        <v>0</v>
      </c>
      <c r="AQ443">
        <v>0</v>
      </c>
      <c r="AR443">
        <v>0</v>
      </c>
      <c r="AS443">
        <v>0</v>
      </c>
      <c r="AT443">
        <v>0</v>
      </c>
      <c r="AU443">
        <v>0</v>
      </c>
      <c r="AV443">
        <v>0</v>
      </c>
      <c r="AW443">
        <v>0</v>
      </c>
      <c r="AX443">
        <v>0</v>
      </c>
      <c r="AY443">
        <v>0</v>
      </c>
      <c r="AZ443" s="141">
        <f t="shared" si="505"/>
        <v>1</v>
      </c>
      <c r="BA443" s="141">
        <f t="shared" si="506"/>
        <v>1</v>
      </c>
      <c r="BB443">
        <f t="shared" si="507"/>
        <v>0</v>
      </c>
      <c r="BC443">
        <f t="shared" si="508"/>
        <v>0</v>
      </c>
      <c r="BD443">
        <f t="shared" si="509"/>
        <v>1</v>
      </c>
      <c r="BE443">
        <f t="shared" si="510"/>
        <v>0</v>
      </c>
      <c r="BF443">
        <f t="shared" si="511"/>
        <v>0</v>
      </c>
      <c r="BG443" t="str" cm="1">
        <f t="array" ref="BG443">IF(BA443=1,INDEX($X$7:$AN$7,MATCH(TRUE,INDEX($X443:$AY443&lt;&gt;0,),0)),IF(BA443=0,INDEX($AO$7:$AY$7,MATCH(1,$AO443:$AY443,0)),IF(BH443="Multiple strategies","mixed drivers",IF(BH443="Supply chain","multiple supply","multiple silviculture"))))</f>
        <v>technologies/design switch</v>
      </c>
      <c r="BH443" s="2" t="str" cm="1">
        <f t="array" ref="BH443">IF(COUNTIF(BB443:BD443,"&lt;&gt;0")=1,INDEX($X$4:$AY$4,MATCH(TRUE,INDEX($X443:$AY443&lt;&gt;0,),0)),IF(COUNTIF(BB443:BD443,"&lt;&gt;0")=0,INDEX($AO$4:$AY$4,MATCH(1,$AO443:$AY443,0)),"Multiple strategies"))</f>
        <v>Technology</v>
      </c>
      <c r="BJ443" t="s">
        <v>3916</v>
      </c>
      <c r="BR443" t="s">
        <v>232</v>
      </c>
      <c r="BT443" t="s">
        <v>2069</v>
      </c>
      <c r="BU443">
        <v>-45.232815964523198</v>
      </c>
      <c r="BV443">
        <v>-17.1840354767184</v>
      </c>
      <c r="BW443" s="144">
        <f t="shared" si="528"/>
        <v>0.37990196078431432</v>
      </c>
      <c r="BX443" s="144">
        <f t="shared" si="529"/>
        <v>28.048780487804798</v>
      </c>
      <c r="BY443" s="144"/>
      <c r="BZ443">
        <f t="shared" si="530"/>
        <v>28048780.487804797</v>
      </c>
      <c r="CA443" t="str">
        <f t="shared" si="512"/>
        <v/>
      </c>
      <c r="CB443">
        <v>0</v>
      </c>
      <c r="CC443">
        <v>0</v>
      </c>
      <c r="CD443">
        <v>0</v>
      </c>
      <c r="CE443">
        <v>0</v>
      </c>
      <c r="CF443">
        <v>0</v>
      </c>
      <c r="CG443">
        <v>0</v>
      </c>
      <c r="CH443">
        <v>0</v>
      </c>
      <c r="CI443">
        <v>0</v>
      </c>
      <c r="CJ443">
        <v>0</v>
      </c>
      <c r="CK443">
        <v>0</v>
      </c>
      <c r="CL443">
        <v>0</v>
      </c>
      <c r="CM443">
        <v>0</v>
      </c>
      <c r="CN443">
        <v>0</v>
      </c>
      <c r="CO443">
        <v>0</v>
      </c>
      <c r="CP443" t="str">
        <f t="shared" si="531"/>
        <v>refOK</v>
      </c>
      <c r="CQ443"/>
      <c r="CR443"/>
      <c r="CS443"/>
      <c r="CT443">
        <f t="shared" si="467"/>
        <v>0</v>
      </c>
      <c r="CU443">
        <f t="shared" si="498"/>
        <v>-45.232815964523198</v>
      </c>
      <c r="CV443">
        <f t="shared" si="499"/>
        <v>-17.1840354767184</v>
      </c>
      <c r="CW443">
        <f t="shared" si="513"/>
        <v>28048780.487804797</v>
      </c>
      <c r="CX443" t="str">
        <f t="shared" si="527"/>
        <v/>
      </c>
      <c r="CY443" t="str">
        <f t="shared" si="527"/>
        <v/>
      </c>
      <c r="CZ443" t="str">
        <f t="shared" si="472"/>
        <v/>
      </c>
      <c r="DA443" s="2">
        <f t="shared" si="514"/>
        <v>0.62009803921568563</v>
      </c>
      <c r="DB443" s="1" t="s">
        <v>1078</v>
      </c>
      <c r="DC443" s="297" t="str">
        <f t="shared" si="515"/>
        <v>reg</v>
      </c>
      <c r="DD443" t="s">
        <v>561</v>
      </c>
      <c r="DE443">
        <v>2050</v>
      </c>
      <c r="DF443">
        <v>2050</v>
      </c>
      <c r="DG443">
        <f t="shared" si="532"/>
        <v>0</v>
      </c>
      <c r="DH443" t="str">
        <f t="shared" si="516"/>
        <v>0</v>
      </c>
      <c r="DI443">
        <v>0</v>
      </c>
      <c r="DJ443">
        <v>0</v>
      </c>
      <c r="DK443">
        <v>0</v>
      </c>
      <c r="DL443">
        <v>1</v>
      </c>
      <c r="DN443">
        <f t="shared" si="503"/>
        <v>1</v>
      </c>
      <c r="DO443" t="str">
        <f t="shared" si="517"/>
        <v>TimberInput</v>
      </c>
      <c r="DP443">
        <f t="shared" si="518"/>
        <v>0</v>
      </c>
      <c r="DQ443">
        <f t="shared" si="519"/>
        <v>0</v>
      </c>
      <c r="DR443">
        <f t="shared" si="520"/>
        <v>0</v>
      </c>
      <c r="DS443" t="str">
        <f t="shared" si="521"/>
        <v>Timber</v>
      </c>
      <c r="DT443">
        <v>0</v>
      </c>
      <c r="DU443">
        <v>0</v>
      </c>
      <c r="DV443">
        <v>0</v>
      </c>
      <c r="DW443">
        <v>0</v>
      </c>
      <c r="DX443">
        <v>0</v>
      </c>
      <c r="DY443">
        <f t="shared" si="504"/>
        <v>0</v>
      </c>
      <c r="DZ443" s="143" t="str">
        <f t="shared" si="522"/>
        <v>explicit C balance</v>
      </c>
      <c r="EA443">
        <v>0</v>
      </c>
      <c r="EB443">
        <v>0</v>
      </c>
      <c r="EC443">
        <v>0</v>
      </c>
      <c r="ED443">
        <v>1</v>
      </c>
      <c r="EE443">
        <v>0</v>
      </c>
      <c r="EF443" s="143">
        <v>0</v>
      </c>
      <c r="EG443">
        <v>1</v>
      </c>
      <c r="EH443">
        <v>1</v>
      </c>
      <c r="EI443">
        <v>0</v>
      </c>
      <c r="EJ443">
        <v>0</v>
      </c>
      <c r="EK443">
        <v>0</v>
      </c>
      <c r="EL443">
        <v>1</v>
      </c>
      <c r="EM443">
        <v>0</v>
      </c>
      <c r="EN443" s="2">
        <v>0</v>
      </c>
      <c r="EP443" t="str">
        <f t="shared" si="484"/>
        <v/>
      </c>
      <c r="EQ443" t="str">
        <f t="shared" si="523"/>
        <v/>
      </c>
      <c r="ER443" s="2" t="str">
        <f t="shared" si="524"/>
        <v>Technology approach</v>
      </c>
      <c r="ES443" t="str">
        <f t="shared" si="525"/>
        <v/>
      </c>
      <c r="ET443" t="str">
        <f t="shared" si="526"/>
        <v/>
      </c>
      <c r="EU443" t="str">
        <f t="shared" si="489"/>
        <v/>
      </c>
      <c r="EW443" t="s">
        <v>3917</v>
      </c>
      <c r="EY443" t="b">
        <f>IF(ISNUMBER(BW443),IF(ABS(BW443-[1]QC_indicators!$B$2)&gt;3*[1]QC_indicators!$C$2,"C ratio",IF(ISNUMBER(CA443),IF(ABS(CA443-[1]QC_indicators!$B$1)&gt;3*[1]QC_indicators!$C$1,"DF","no"))),IF(ISNUMBER(CA443),IF(ABS(CA443-[1]QC_indicators!$B$1)&gt;3*[1]QC_indicators!$C$1,"DF","no")))</f>
        <v>0</v>
      </c>
      <c r="FA443" t="str">
        <f t="shared" si="490"/>
        <v/>
      </c>
    </row>
    <row r="444" spans="1:158" ht="15" hidden="1" customHeight="1">
      <c r="A444" s="1" t="s">
        <v>3907</v>
      </c>
      <c r="B444" t="s">
        <v>3908</v>
      </c>
      <c r="C444" t="s">
        <v>3909</v>
      </c>
      <c r="D444" t="s">
        <v>3910</v>
      </c>
      <c r="E444" t="s">
        <v>3911</v>
      </c>
      <c r="F444" t="s">
        <v>3912</v>
      </c>
      <c r="G444" t="s">
        <v>531</v>
      </c>
      <c r="H444" t="s">
        <v>3640</v>
      </c>
      <c r="I444">
        <v>2017</v>
      </c>
      <c r="J444">
        <v>12</v>
      </c>
      <c r="K444" t="s">
        <v>3913</v>
      </c>
      <c r="M444" t="str">
        <f t="shared" si="456"/>
        <v>Teh_2017</v>
      </c>
      <c r="N444" s="297" t="s">
        <v>4058</v>
      </c>
      <c r="O444" s="145" t="s">
        <v>1029</v>
      </c>
      <c r="Q444" s="297" t="s">
        <v>256</v>
      </c>
      <c r="R444" s="298"/>
      <c r="S444" s="1" t="s">
        <v>3918</v>
      </c>
      <c r="T444" t="s">
        <v>1003</v>
      </c>
      <c r="U444" t="s">
        <v>3915</v>
      </c>
      <c r="X444">
        <v>0</v>
      </c>
      <c r="Y444">
        <v>0</v>
      </c>
      <c r="Z444">
        <v>0</v>
      </c>
      <c r="AA444">
        <v>0</v>
      </c>
      <c r="AB444">
        <v>0</v>
      </c>
      <c r="AC444">
        <v>0</v>
      </c>
      <c r="AD444">
        <v>0</v>
      </c>
      <c r="AE444">
        <v>0</v>
      </c>
      <c r="AF444">
        <v>0</v>
      </c>
      <c r="AG444">
        <v>0</v>
      </c>
      <c r="AH444">
        <v>0</v>
      </c>
      <c r="AI444">
        <v>0</v>
      </c>
      <c r="AJ444">
        <v>0</v>
      </c>
      <c r="AK444">
        <v>0</v>
      </c>
      <c r="AL444">
        <v>0</v>
      </c>
      <c r="AM444">
        <v>1</v>
      </c>
      <c r="AN444">
        <v>0</v>
      </c>
      <c r="AO444">
        <v>0</v>
      </c>
      <c r="AP444">
        <v>0</v>
      </c>
      <c r="AQ444">
        <v>0</v>
      </c>
      <c r="AR444">
        <v>0</v>
      </c>
      <c r="AS444">
        <v>0</v>
      </c>
      <c r="AT444">
        <v>0</v>
      </c>
      <c r="AU444">
        <v>0</v>
      </c>
      <c r="AV444">
        <v>0</v>
      </c>
      <c r="AW444">
        <v>0</v>
      </c>
      <c r="AX444">
        <v>0</v>
      </c>
      <c r="AY444">
        <v>0</v>
      </c>
      <c r="AZ444" s="141">
        <f t="shared" si="505"/>
        <v>1</v>
      </c>
      <c r="BA444" s="141">
        <f t="shared" si="506"/>
        <v>1</v>
      </c>
      <c r="BB444">
        <f t="shared" si="507"/>
        <v>0</v>
      </c>
      <c r="BC444">
        <f t="shared" si="508"/>
        <v>0</v>
      </c>
      <c r="BD444">
        <f t="shared" si="509"/>
        <v>1</v>
      </c>
      <c r="BE444">
        <f t="shared" si="510"/>
        <v>0</v>
      </c>
      <c r="BF444">
        <f t="shared" si="511"/>
        <v>0</v>
      </c>
      <c r="BG444" t="str" cm="1">
        <f t="array" ref="BG444">IF(BA444=1,INDEX($X$7:$AN$7,MATCH(TRUE,INDEX($X444:$AY444&lt;&gt;0,),0)),IF(BA444=0,INDEX($AO$7:$AY$7,MATCH(1,$AO444:$AY444,0)),IF(BH444="Multiple strategies","mixed drivers",IF(BH444="Supply chain","multiple supply","multiple silviculture"))))</f>
        <v>technologies/design switch</v>
      </c>
      <c r="BH444" s="2" t="str" cm="1">
        <f t="array" ref="BH444">IF(COUNTIF(BB444:BD444,"&lt;&gt;0")=1,INDEX($X$4:$AY$4,MATCH(TRUE,INDEX($X444:$AY444&lt;&gt;0,),0)),IF(COUNTIF(BB444:BD444,"&lt;&gt;0")=0,INDEX($AO$4:$AY$4,MATCH(1,$AO444:$AY444,0)),"Multiple strategies"))</f>
        <v>Technology</v>
      </c>
      <c r="BJ444" t="s">
        <v>3916</v>
      </c>
      <c r="BR444" t="s">
        <v>232</v>
      </c>
      <c r="BT444" t="s">
        <v>2069</v>
      </c>
      <c r="BU444">
        <v>-803.28358208955206</v>
      </c>
      <c r="BV444">
        <v>-303.58208955223802</v>
      </c>
      <c r="BW444" s="144">
        <f t="shared" si="528"/>
        <v>0.37792642140468136</v>
      </c>
      <c r="BX444" s="144">
        <f t="shared" si="529"/>
        <v>499.70149253731404</v>
      </c>
      <c r="BY444" s="144"/>
      <c r="BZ444">
        <f t="shared" si="530"/>
        <v>499701492.53731406</v>
      </c>
      <c r="CA444" t="str">
        <f t="shared" si="512"/>
        <v/>
      </c>
      <c r="CB444">
        <v>0</v>
      </c>
      <c r="CC444">
        <v>0</v>
      </c>
      <c r="CD444">
        <v>0</v>
      </c>
      <c r="CE444">
        <v>0</v>
      </c>
      <c r="CF444">
        <v>0</v>
      </c>
      <c r="CG444">
        <v>0</v>
      </c>
      <c r="CH444">
        <v>0</v>
      </c>
      <c r="CI444">
        <v>0</v>
      </c>
      <c r="CJ444">
        <v>0</v>
      </c>
      <c r="CK444">
        <v>0</v>
      </c>
      <c r="CL444">
        <v>0</v>
      </c>
      <c r="CM444">
        <v>0</v>
      </c>
      <c r="CN444">
        <v>0</v>
      </c>
      <c r="CO444">
        <v>0</v>
      </c>
      <c r="CP444" t="str">
        <f t="shared" si="531"/>
        <v>refOK</v>
      </c>
      <c r="CQ444"/>
      <c r="CR444"/>
      <c r="CS444"/>
      <c r="CT444">
        <f t="shared" si="467"/>
        <v>0</v>
      </c>
      <c r="CU444">
        <f t="shared" si="498"/>
        <v>-803.28358208955206</v>
      </c>
      <c r="CV444">
        <f t="shared" si="499"/>
        <v>-303.58208955223802</v>
      </c>
      <c r="CW444">
        <f t="shared" si="513"/>
        <v>499701492.53731406</v>
      </c>
      <c r="CX444" t="str">
        <f t="shared" si="527"/>
        <v/>
      </c>
      <c r="CY444" t="str">
        <f t="shared" si="527"/>
        <v/>
      </c>
      <c r="CZ444" t="str">
        <f t="shared" si="472"/>
        <v/>
      </c>
      <c r="DA444" s="2">
        <f t="shared" si="514"/>
        <v>0.62207357859531864</v>
      </c>
      <c r="DB444" s="1" t="s">
        <v>1078</v>
      </c>
      <c r="DC444" s="297" t="str">
        <f t="shared" si="515"/>
        <v>reg</v>
      </c>
      <c r="DD444" t="s">
        <v>561</v>
      </c>
      <c r="DE444">
        <v>2050</v>
      </c>
      <c r="DF444">
        <v>2050</v>
      </c>
      <c r="DG444">
        <f t="shared" si="532"/>
        <v>0</v>
      </c>
      <c r="DH444" t="str">
        <f t="shared" si="516"/>
        <v>0</v>
      </c>
      <c r="DI444">
        <v>0</v>
      </c>
      <c r="DJ444">
        <v>0</v>
      </c>
      <c r="DK444">
        <v>0</v>
      </c>
      <c r="DL444">
        <v>1</v>
      </c>
      <c r="DN444">
        <f t="shared" si="503"/>
        <v>1</v>
      </c>
      <c r="DO444" t="str">
        <f t="shared" si="517"/>
        <v>TimberInput</v>
      </c>
      <c r="DP444">
        <f t="shared" si="518"/>
        <v>0</v>
      </c>
      <c r="DQ444">
        <f t="shared" si="519"/>
        <v>0</v>
      </c>
      <c r="DR444">
        <f t="shared" si="520"/>
        <v>0</v>
      </c>
      <c r="DS444" t="str">
        <f t="shared" si="521"/>
        <v>Timber</v>
      </c>
      <c r="DT444">
        <v>0</v>
      </c>
      <c r="DU444">
        <v>0</v>
      </c>
      <c r="DV444">
        <v>0</v>
      </c>
      <c r="DW444">
        <v>0</v>
      </c>
      <c r="DX444">
        <v>0</v>
      </c>
      <c r="DY444">
        <f t="shared" si="504"/>
        <v>0</v>
      </c>
      <c r="DZ444" s="143" t="str">
        <f t="shared" si="522"/>
        <v>explicit C balance</v>
      </c>
      <c r="EA444">
        <v>0</v>
      </c>
      <c r="EB444">
        <v>0</v>
      </c>
      <c r="EC444">
        <v>0</v>
      </c>
      <c r="ED444">
        <v>1</v>
      </c>
      <c r="EE444">
        <v>0</v>
      </c>
      <c r="EF444" s="143">
        <v>0</v>
      </c>
      <c r="EG444">
        <v>1</v>
      </c>
      <c r="EH444">
        <v>1</v>
      </c>
      <c r="EI444">
        <v>0</v>
      </c>
      <c r="EJ444">
        <v>0</v>
      </c>
      <c r="EK444">
        <v>0</v>
      </c>
      <c r="EL444">
        <v>1</v>
      </c>
      <c r="EM444">
        <v>0</v>
      </c>
      <c r="EN444" s="2">
        <v>0</v>
      </c>
      <c r="EP444" t="str">
        <f t="shared" si="484"/>
        <v/>
      </c>
      <c r="EQ444" t="str">
        <f t="shared" si="523"/>
        <v/>
      </c>
      <c r="ER444" s="2" t="str">
        <f t="shared" si="524"/>
        <v>Technology approach</v>
      </c>
      <c r="ES444" t="str">
        <f t="shared" si="525"/>
        <v/>
      </c>
      <c r="ET444" t="str">
        <f t="shared" si="526"/>
        <v/>
      </c>
      <c r="EU444" t="str">
        <f t="shared" si="489"/>
        <v/>
      </c>
      <c r="EW444" t="s">
        <v>3917</v>
      </c>
      <c r="EY444" t="b">
        <f>IF(ISNUMBER(BW444),IF(ABS(BW444-[1]QC_indicators!$B$2)&gt;3*[1]QC_indicators!$C$2,"C ratio",IF(ISNUMBER(CA444),IF(ABS(CA444-[1]QC_indicators!$B$1)&gt;3*[1]QC_indicators!$C$1,"DF","no"))),IF(ISNUMBER(CA444),IF(ABS(CA444-[1]QC_indicators!$B$1)&gt;3*[1]QC_indicators!$C$1,"DF","no")))</f>
        <v>0</v>
      </c>
      <c r="FA444" t="str">
        <f t="shared" si="490"/>
        <v/>
      </c>
    </row>
    <row r="445" spans="1:158" ht="15" hidden="1" customHeight="1">
      <c r="A445" s="1" t="s">
        <v>3907</v>
      </c>
      <c r="B445" t="s">
        <v>3908</v>
      </c>
      <c r="C445" t="s">
        <v>3909</v>
      </c>
      <c r="D445" t="s">
        <v>3910</v>
      </c>
      <c r="E445" t="s">
        <v>3911</v>
      </c>
      <c r="F445" t="s">
        <v>3912</v>
      </c>
      <c r="G445" t="s">
        <v>531</v>
      </c>
      <c r="H445" t="s">
        <v>3640</v>
      </c>
      <c r="I445">
        <v>2017</v>
      </c>
      <c r="J445">
        <v>12</v>
      </c>
      <c r="K445" t="s">
        <v>3913</v>
      </c>
      <c r="M445" t="str">
        <f t="shared" si="456"/>
        <v>Teh_2017</v>
      </c>
      <c r="N445" s="297" t="s">
        <v>4058</v>
      </c>
      <c r="O445" s="145" t="s">
        <v>1029</v>
      </c>
      <c r="Q445" s="297" t="s">
        <v>256</v>
      </c>
      <c r="R445" s="298"/>
      <c r="S445" s="1" t="s">
        <v>3914</v>
      </c>
      <c r="T445" t="s">
        <v>1003</v>
      </c>
      <c r="U445" t="s">
        <v>3915</v>
      </c>
      <c r="X445">
        <v>0</v>
      </c>
      <c r="Y445">
        <v>0</v>
      </c>
      <c r="Z445">
        <v>0</v>
      </c>
      <c r="AA445">
        <v>0</v>
      </c>
      <c r="AB445">
        <v>0</v>
      </c>
      <c r="AC445">
        <v>0</v>
      </c>
      <c r="AD445">
        <v>0</v>
      </c>
      <c r="AE445">
        <v>0</v>
      </c>
      <c r="AF445">
        <v>0</v>
      </c>
      <c r="AG445">
        <v>0</v>
      </c>
      <c r="AH445">
        <v>0</v>
      </c>
      <c r="AI445">
        <v>0</v>
      </c>
      <c r="AJ445">
        <v>0</v>
      </c>
      <c r="AK445">
        <v>0</v>
      </c>
      <c r="AL445">
        <v>0</v>
      </c>
      <c r="AM445">
        <v>1</v>
      </c>
      <c r="AN445">
        <v>0</v>
      </c>
      <c r="AO445">
        <v>0</v>
      </c>
      <c r="AP445">
        <v>0</v>
      </c>
      <c r="AQ445">
        <v>0</v>
      </c>
      <c r="AR445">
        <v>0</v>
      </c>
      <c r="AS445">
        <v>0</v>
      </c>
      <c r="AT445">
        <v>0</v>
      </c>
      <c r="AU445">
        <v>0</v>
      </c>
      <c r="AV445">
        <v>0</v>
      </c>
      <c r="AW445">
        <v>0</v>
      </c>
      <c r="AX445">
        <v>0</v>
      </c>
      <c r="AY445">
        <v>0</v>
      </c>
      <c r="AZ445" s="141">
        <f t="shared" si="505"/>
        <v>1</v>
      </c>
      <c r="BA445" s="141">
        <f t="shared" si="506"/>
        <v>1</v>
      </c>
      <c r="BB445">
        <f t="shared" si="507"/>
        <v>0</v>
      </c>
      <c r="BC445">
        <f t="shared" si="508"/>
        <v>0</v>
      </c>
      <c r="BD445">
        <f t="shared" si="509"/>
        <v>1</v>
      </c>
      <c r="BE445">
        <f t="shared" si="510"/>
        <v>0</v>
      </c>
      <c r="BF445">
        <f t="shared" si="511"/>
        <v>0</v>
      </c>
      <c r="BG445" t="str" cm="1">
        <f t="array" ref="BG445">IF(BA445=1,INDEX($X$7:$AN$7,MATCH(TRUE,INDEX($X445:$AY445&lt;&gt;0,),0)),IF(BA445=0,INDEX($AO$7:$AY$7,MATCH(1,$AO445:$AY445,0)),IF(BH445="Multiple strategies","mixed drivers",IF(BH445="Supply chain","multiple supply","multiple silviculture"))))</f>
        <v>technologies/design switch</v>
      </c>
      <c r="BH445" s="2" t="str" cm="1">
        <f t="array" ref="BH445">IF(COUNTIF(BB445:BD445,"&lt;&gt;0")=1,INDEX($X$4:$AY$4,MATCH(TRUE,INDEX($X445:$AY445&lt;&gt;0,),0)),IF(COUNTIF(BB445:BD445,"&lt;&gt;0")=0,INDEX($AO$4:$AY$4,MATCH(1,$AO445:$AY445,0)),"Multiple strategies"))</f>
        <v>Technology</v>
      </c>
      <c r="BJ445" t="s">
        <v>3916</v>
      </c>
      <c r="BR445" t="s">
        <v>232</v>
      </c>
      <c r="BT445" t="s">
        <v>2069</v>
      </c>
      <c r="BU445">
        <v>-65.3101736972704</v>
      </c>
      <c r="BV445">
        <v>53.796526054590501</v>
      </c>
      <c r="BW445" s="144">
        <f t="shared" si="528"/>
        <v>-0.8237082066869299</v>
      </c>
      <c r="BX445" s="144">
        <f t="shared" si="529"/>
        <v>119.1066997518609</v>
      </c>
      <c r="BY445" s="144"/>
      <c r="BZ445">
        <f t="shared" si="530"/>
        <v>119106699.7518609</v>
      </c>
      <c r="CA445" t="str">
        <f t="shared" si="512"/>
        <v/>
      </c>
      <c r="CB445">
        <v>0</v>
      </c>
      <c r="CC445">
        <v>0</v>
      </c>
      <c r="CD445">
        <v>0</v>
      </c>
      <c r="CE445">
        <v>0</v>
      </c>
      <c r="CF445">
        <v>0</v>
      </c>
      <c r="CG445">
        <v>0</v>
      </c>
      <c r="CH445">
        <v>0</v>
      </c>
      <c r="CI445">
        <v>0</v>
      </c>
      <c r="CJ445">
        <v>0</v>
      </c>
      <c r="CK445">
        <v>0</v>
      </c>
      <c r="CL445">
        <v>0</v>
      </c>
      <c r="CM445">
        <v>0</v>
      </c>
      <c r="CN445">
        <v>0</v>
      </c>
      <c r="CO445">
        <v>0</v>
      </c>
      <c r="CP445" t="str">
        <f t="shared" si="531"/>
        <v>refOK</v>
      </c>
      <c r="CQ445"/>
      <c r="CR445"/>
      <c r="CS445"/>
      <c r="CT445">
        <f t="shared" si="467"/>
        <v>0</v>
      </c>
      <c r="CU445">
        <f t="shared" si="498"/>
        <v>-65.3101736972704</v>
      </c>
      <c r="CV445">
        <f t="shared" si="499"/>
        <v>53.796526054590501</v>
      </c>
      <c r="CW445">
        <f t="shared" si="513"/>
        <v>119106699.7518609</v>
      </c>
      <c r="CX445" t="str">
        <f t="shared" si="527"/>
        <v/>
      </c>
      <c r="CY445" t="str">
        <f t="shared" si="527"/>
        <v/>
      </c>
      <c r="CZ445" t="str">
        <f t="shared" si="472"/>
        <v/>
      </c>
      <c r="DA445" s="2">
        <f t="shared" si="514"/>
        <v>1.8237082066869299</v>
      </c>
      <c r="DB445" s="1" t="s">
        <v>1078</v>
      </c>
      <c r="DC445" s="297" t="str">
        <f t="shared" si="515"/>
        <v>reg</v>
      </c>
      <c r="DD445" t="s">
        <v>561</v>
      </c>
      <c r="DE445">
        <v>2050</v>
      </c>
      <c r="DF445">
        <v>2050</v>
      </c>
      <c r="DG445">
        <f t="shared" si="532"/>
        <v>0</v>
      </c>
      <c r="DH445" t="str">
        <f t="shared" si="516"/>
        <v>0</v>
      </c>
      <c r="DI445">
        <v>0</v>
      </c>
      <c r="DJ445">
        <v>0</v>
      </c>
      <c r="DK445">
        <v>0</v>
      </c>
      <c r="DL445">
        <v>1</v>
      </c>
      <c r="DN445">
        <f t="shared" si="503"/>
        <v>1</v>
      </c>
      <c r="DO445" t="str">
        <f t="shared" si="517"/>
        <v>TimberInput</v>
      </c>
      <c r="DP445">
        <f t="shared" si="518"/>
        <v>0</v>
      </c>
      <c r="DQ445">
        <f t="shared" si="519"/>
        <v>0</v>
      </c>
      <c r="DR445">
        <f t="shared" si="520"/>
        <v>0</v>
      </c>
      <c r="DS445" t="str">
        <f t="shared" si="521"/>
        <v>Timber</v>
      </c>
      <c r="DT445">
        <v>0</v>
      </c>
      <c r="DU445">
        <v>0</v>
      </c>
      <c r="DV445">
        <v>0</v>
      </c>
      <c r="DW445">
        <v>0</v>
      </c>
      <c r="DX445">
        <v>0</v>
      </c>
      <c r="DY445">
        <f t="shared" si="504"/>
        <v>0</v>
      </c>
      <c r="DZ445" s="143" t="str">
        <f t="shared" si="522"/>
        <v>explicit C balance</v>
      </c>
      <c r="EA445">
        <v>0</v>
      </c>
      <c r="EB445">
        <v>0</v>
      </c>
      <c r="EC445">
        <v>0</v>
      </c>
      <c r="ED445">
        <v>1</v>
      </c>
      <c r="EE445">
        <v>0</v>
      </c>
      <c r="EF445" s="143">
        <v>0</v>
      </c>
      <c r="EG445">
        <v>1</v>
      </c>
      <c r="EH445">
        <v>1</v>
      </c>
      <c r="EI445">
        <v>0</v>
      </c>
      <c r="EJ445">
        <v>0</v>
      </c>
      <c r="EK445">
        <v>0</v>
      </c>
      <c r="EL445">
        <v>1</v>
      </c>
      <c r="EM445">
        <v>0</v>
      </c>
      <c r="EN445" s="2">
        <v>0</v>
      </c>
      <c r="EP445" t="str">
        <f t="shared" si="484"/>
        <v/>
      </c>
      <c r="EQ445" t="str">
        <f t="shared" si="523"/>
        <v/>
      </c>
      <c r="ER445" s="2" t="str">
        <f t="shared" si="524"/>
        <v>Technology approach</v>
      </c>
      <c r="ES445" t="str">
        <f t="shared" si="525"/>
        <v/>
      </c>
      <c r="ET445" t="str">
        <f t="shared" si="526"/>
        <v/>
      </c>
      <c r="EU445" t="str">
        <f t="shared" si="489"/>
        <v/>
      </c>
      <c r="EW445" t="s">
        <v>3917</v>
      </c>
      <c r="EY445" t="b">
        <f>IF(ISNUMBER(BW445),IF(ABS(BW445-[1]QC_indicators!$B$2)&gt;3*[1]QC_indicators!$C$2,"C ratio",IF(ISNUMBER(CA445),IF(ABS(CA445-[1]QC_indicators!$B$1)&gt;3*[1]QC_indicators!$C$1,"DF","no"))),IF(ISNUMBER(CA445),IF(ABS(CA445-[1]QC_indicators!$B$1)&gt;3*[1]QC_indicators!$C$1,"DF","no")))</f>
        <v>0</v>
      </c>
      <c r="FA445" t="str">
        <f t="shared" si="490"/>
        <v/>
      </c>
    </row>
    <row r="446" spans="1:158" ht="15" hidden="1" customHeight="1">
      <c r="A446" s="1" t="s">
        <v>3921</v>
      </c>
      <c r="B446" t="s">
        <v>3922</v>
      </c>
      <c r="C446" t="s">
        <v>3923</v>
      </c>
      <c r="D446" t="s">
        <v>3924</v>
      </c>
      <c r="E446" t="s">
        <v>3925</v>
      </c>
      <c r="F446" t="s">
        <v>3926</v>
      </c>
      <c r="G446" t="s">
        <v>3927</v>
      </c>
      <c r="H446" t="s">
        <v>254</v>
      </c>
      <c r="I446">
        <v>2018</v>
      </c>
      <c r="J446">
        <v>6</v>
      </c>
      <c r="K446" t="s">
        <v>3928</v>
      </c>
      <c r="M446" t="str">
        <f t="shared" si="456"/>
        <v>Tuomasjukka_2018</v>
      </c>
      <c r="N446" s="297" t="s">
        <v>4058</v>
      </c>
      <c r="O446" s="145" t="s">
        <v>1029</v>
      </c>
      <c r="Q446" s="297" t="s">
        <v>256</v>
      </c>
      <c r="R446" s="298"/>
      <c r="S446" s="1" t="s">
        <v>3932</v>
      </c>
      <c r="T446" t="s">
        <v>2157</v>
      </c>
      <c r="U446" t="s">
        <v>3934</v>
      </c>
      <c r="X446">
        <v>0</v>
      </c>
      <c r="Y446">
        <v>0</v>
      </c>
      <c r="Z446">
        <v>0</v>
      </c>
      <c r="AA446">
        <v>0</v>
      </c>
      <c r="AB446">
        <v>0</v>
      </c>
      <c r="AC446">
        <v>0</v>
      </c>
      <c r="AD446">
        <v>0</v>
      </c>
      <c r="AE446">
        <v>0</v>
      </c>
      <c r="AF446">
        <v>0</v>
      </c>
      <c r="AG446">
        <v>0</v>
      </c>
      <c r="AH446">
        <v>0</v>
      </c>
      <c r="AI446">
        <v>0</v>
      </c>
      <c r="AJ446">
        <v>0</v>
      </c>
      <c r="AK446">
        <v>0</v>
      </c>
      <c r="AL446">
        <v>1</v>
      </c>
      <c r="AM446">
        <v>0</v>
      </c>
      <c r="AN446">
        <v>0</v>
      </c>
      <c r="AO446">
        <v>0</v>
      </c>
      <c r="AP446">
        <v>0</v>
      </c>
      <c r="AQ446">
        <v>0</v>
      </c>
      <c r="AR446">
        <v>0</v>
      </c>
      <c r="AS446">
        <v>0</v>
      </c>
      <c r="AT446">
        <v>0</v>
      </c>
      <c r="AU446">
        <v>0</v>
      </c>
      <c r="AV446">
        <v>0</v>
      </c>
      <c r="AW446">
        <v>0</v>
      </c>
      <c r="AX446">
        <v>0</v>
      </c>
      <c r="AY446">
        <v>0</v>
      </c>
      <c r="AZ446" s="141">
        <f t="shared" si="505"/>
        <v>1</v>
      </c>
      <c r="BA446" s="141">
        <f t="shared" si="506"/>
        <v>1</v>
      </c>
      <c r="BB446">
        <f t="shared" si="507"/>
        <v>0</v>
      </c>
      <c r="BC446">
        <f t="shared" si="508"/>
        <v>0</v>
      </c>
      <c r="BD446">
        <f t="shared" si="509"/>
        <v>1</v>
      </c>
      <c r="BE446">
        <f t="shared" si="510"/>
        <v>0</v>
      </c>
      <c r="BF446">
        <f t="shared" si="511"/>
        <v>0</v>
      </c>
      <c r="BG446" t="str" cm="1">
        <f t="array" ref="BG446">IF(BA446=1,INDEX($X$7:$AN$7,MATCH(TRUE,INDEX($X446:$AY446&lt;&gt;0,),0)),IF(BA446=0,INDEX($AO$7:$AY$7,MATCH(1,$AO446:$AY446,0)),IF(BH446="Multiple strategies","mixed drivers",IF(BH446="Supply chain","multiple supply","multiple silviculture"))))</f>
        <v>efficiency improvement</v>
      </c>
      <c r="BH446" s="2" t="str" cm="1">
        <f t="array" ref="BH446">IF(COUNTIF(BB446:BD446,"&lt;&gt;0")=1,INDEX($X$4:$AY$4,MATCH(TRUE,INDEX($X446:$AY446&lt;&gt;0,),0)),IF(COUNTIF(BB446:BD446,"&lt;&gt;0")=0,INDEX($AO$4:$AY$4,MATCH(1,$AO446:$AY446,0)),"Multiple strategies"))</f>
        <v>Technology</v>
      </c>
      <c r="BO446" s="143"/>
      <c r="BP446" s="143"/>
      <c r="BR446" t="s">
        <v>232</v>
      </c>
      <c r="BT446" t="s">
        <v>3931</v>
      </c>
      <c r="BU446">
        <v>-2.15</v>
      </c>
      <c r="BV446">
        <v>-2.12</v>
      </c>
      <c r="BW446" s="144">
        <f t="shared" si="528"/>
        <v>0.98604651162790702</v>
      </c>
      <c r="BX446" s="144">
        <f t="shared" si="529"/>
        <v>2.9999999999999805E-2</v>
      </c>
      <c r="BY446" s="144"/>
      <c r="BZ446" s="144"/>
      <c r="CA446" t="str">
        <f t="shared" si="512"/>
        <v/>
      </c>
      <c r="CB446">
        <v>0</v>
      </c>
      <c r="CC446">
        <v>0</v>
      </c>
      <c r="CD446">
        <v>0</v>
      </c>
      <c r="CE446">
        <v>0</v>
      </c>
      <c r="CF446">
        <v>0</v>
      </c>
      <c r="CG446">
        <v>0</v>
      </c>
      <c r="CH446">
        <v>0</v>
      </c>
      <c r="CI446">
        <v>0</v>
      </c>
      <c r="CJ446">
        <v>0</v>
      </c>
      <c r="CK446">
        <v>0</v>
      </c>
      <c r="CL446">
        <v>0</v>
      </c>
      <c r="CM446">
        <v>0</v>
      </c>
      <c r="CN446">
        <v>0</v>
      </c>
      <c r="CO446">
        <v>0</v>
      </c>
      <c r="CP446" t="str">
        <f t="shared" si="531"/>
        <v>refOK</v>
      </c>
      <c r="CQ446"/>
      <c r="CR446"/>
      <c r="CS446"/>
      <c r="CT446">
        <f t="shared" si="467"/>
        <v>0</v>
      </c>
      <c r="CU446">
        <f t="shared" si="498"/>
        <v>-2.15</v>
      </c>
      <c r="CV446">
        <f t="shared" si="499"/>
        <v>-2.12</v>
      </c>
      <c r="CW446">
        <f t="shared" si="513"/>
        <v>0</v>
      </c>
      <c r="CX446" t="str">
        <f t="shared" si="527"/>
        <v/>
      </c>
      <c r="CY446" t="str">
        <f t="shared" si="527"/>
        <v/>
      </c>
      <c r="CZ446" t="str">
        <f t="shared" si="472"/>
        <v/>
      </c>
      <c r="DA446" s="2">
        <f t="shared" si="514"/>
        <v>1.3953488372092933E-2</v>
      </c>
      <c r="DB446" s="1" t="s">
        <v>1106</v>
      </c>
      <c r="DC446" s="297" t="str">
        <f t="shared" si="515"/>
        <v>reg</v>
      </c>
      <c r="DD446" s="297" t="s">
        <v>729</v>
      </c>
      <c r="DG446">
        <f t="shared" si="532"/>
        <v>0</v>
      </c>
      <c r="DH446" t="str">
        <f t="shared" si="516"/>
        <v>0</v>
      </c>
      <c r="DI446">
        <v>0</v>
      </c>
      <c r="DJ446">
        <v>1</v>
      </c>
      <c r="DK446">
        <v>0</v>
      </c>
      <c r="DL446">
        <v>0</v>
      </c>
      <c r="DN446">
        <f t="shared" si="503"/>
        <v>1</v>
      </c>
      <c r="DO446" t="str">
        <f t="shared" si="517"/>
        <v>EnergyInput</v>
      </c>
      <c r="DP446">
        <f t="shared" si="518"/>
        <v>0</v>
      </c>
      <c r="DQ446" t="str">
        <f t="shared" si="519"/>
        <v>Energy</v>
      </c>
      <c r="DR446">
        <f t="shared" si="520"/>
        <v>0</v>
      </c>
      <c r="DS446">
        <f t="shared" si="521"/>
        <v>0</v>
      </c>
      <c r="DT446">
        <v>0</v>
      </c>
      <c r="DU446">
        <v>0</v>
      </c>
      <c r="DV446">
        <v>0</v>
      </c>
      <c r="DW446">
        <v>0</v>
      </c>
      <c r="DX446">
        <v>0</v>
      </c>
      <c r="DY446">
        <f t="shared" si="504"/>
        <v>0</v>
      </c>
      <c r="DZ446" s="143" t="str">
        <f t="shared" si="522"/>
        <v>explicit C balance</v>
      </c>
      <c r="EA446">
        <v>0</v>
      </c>
      <c r="EB446">
        <v>0</v>
      </c>
      <c r="EC446">
        <v>0</v>
      </c>
      <c r="ED446">
        <v>0</v>
      </c>
      <c r="EE446">
        <v>0</v>
      </c>
      <c r="EF446" s="143">
        <v>0</v>
      </c>
      <c r="EG446">
        <v>1</v>
      </c>
      <c r="EH446">
        <v>0</v>
      </c>
      <c r="EI446">
        <v>0</v>
      </c>
      <c r="EJ446">
        <v>0</v>
      </c>
      <c r="EK446">
        <v>0</v>
      </c>
      <c r="EL446">
        <v>0</v>
      </c>
      <c r="EM446">
        <v>0</v>
      </c>
      <c r="EN446" s="2">
        <v>0</v>
      </c>
      <c r="EP446" t="str">
        <f t="shared" si="484"/>
        <v/>
      </c>
      <c r="EQ446" t="str">
        <f t="shared" si="523"/>
        <v/>
      </c>
      <c r="ER446" s="2" t="str">
        <f t="shared" si="524"/>
        <v/>
      </c>
      <c r="ES446" t="str">
        <f t="shared" si="525"/>
        <v/>
      </c>
      <c r="ET446" t="str">
        <f t="shared" si="526"/>
        <v/>
      </c>
      <c r="EU446" t="str">
        <f t="shared" si="489"/>
        <v/>
      </c>
      <c r="EY446" t="b">
        <f>IF(ISNUMBER(BW446),IF(ABS(BW446-[1]QC_indicators!$B$2)&gt;3*[1]QC_indicators!$C$2,"C ratio",IF(ISNUMBER(CA446),IF(ABS(CA446-[1]QC_indicators!$B$1)&gt;3*[1]QC_indicators!$C$1,"DF","no"))),IF(ISNUMBER(CA446),IF(ABS(CA446-[1]QC_indicators!$B$1)&gt;3*[1]QC_indicators!$C$1,"DF","no")))</f>
        <v>0</v>
      </c>
      <c r="FA446" t="str">
        <f t="shared" si="490"/>
        <v/>
      </c>
    </row>
    <row r="447" spans="1:158" ht="15" hidden="1" customHeight="1">
      <c r="A447" s="1" t="s">
        <v>3921</v>
      </c>
      <c r="B447" t="s">
        <v>3922</v>
      </c>
      <c r="C447" t="s">
        <v>3923</v>
      </c>
      <c r="D447" t="s">
        <v>3924</v>
      </c>
      <c r="E447" t="s">
        <v>3925</v>
      </c>
      <c r="F447" t="s">
        <v>3926</v>
      </c>
      <c r="G447" t="s">
        <v>3927</v>
      </c>
      <c r="H447" t="s">
        <v>254</v>
      </c>
      <c r="I447">
        <v>2018</v>
      </c>
      <c r="J447">
        <v>6</v>
      </c>
      <c r="K447" t="s">
        <v>3928</v>
      </c>
      <c r="M447" t="str">
        <f t="shared" si="456"/>
        <v>Tuomasjukka_2018</v>
      </c>
      <c r="N447" s="297" t="s">
        <v>4058</v>
      </c>
      <c r="O447" s="145" t="s">
        <v>1029</v>
      </c>
      <c r="Q447" s="297" t="s">
        <v>256</v>
      </c>
      <c r="R447" s="298"/>
      <c r="S447" s="1" t="s">
        <v>3932</v>
      </c>
      <c r="T447" t="s">
        <v>2157</v>
      </c>
      <c r="U447" t="s">
        <v>3933</v>
      </c>
      <c r="X447">
        <v>0</v>
      </c>
      <c r="Y447">
        <v>0</v>
      </c>
      <c r="Z447">
        <v>0</v>
      </c>
      <c r="AA447">
        <v>0</v>
      </c>
      <c r="AB447">
        <v>0</v>
      </c>
      <c r="AC447">
        <v>0</v>
      </c>
      <c r="AD447">
        <v>0</v>
      </c>
      <c r="AE447">
        <v>0</v>
      </c>
      <c r="AF447">
        <v>0</v>
      </c>
      <c r="AG447">
        <v>0</v>
      </c>
      <c r="AH447">
        <v>0</v>
      </c>
      <c r="AI447">
        <v>0</v>
      </c>
      <c r="AJ447">
        <v>0</v>
      </c>
      <c r="AK447">
        <v>0</v>
      </c>
      <c r="AL447">
        <v>1</v>
      </c>
      <c r="AM447">
        <v>0</v>
      </c>
      <c r="AN447">
        <v>0</v>
      </c>
      <c r="AO447">
        <v>0</v>
      </c>
      <c r="AP447">
        <v>0</v>
      </c>
      <c r="AQ447">
        <v>0</v>
      </c>
      <c r="AR447">
        <v>0</v>
      </c>
      <c r="AS447">
        <v>0</v>
      </c>
      <c r="AT447">
        <v>0</v>
      </c>
      <c r="AU447">
        <v>0</v>
      </c>
      <c r="AV447">
        <v>0</v>
      </c>
      <c r="AW447">
        <v>0</v>
      </c>
      <c r="AX447">
        <v>0</v>
      </c>
      <c r="AY447">
        <v>0</v>
      </c>
      <c r="AZ447" s="141">
        <f t="shared" si="505"/>
        <v>1</v>
      </c>
      <c r="BA447" s="141">
        <f t="shared" si="506"/>
        <v>1</v>
      </c>
      <c r="BB447">
        <f t="shared" si="507"/>
        <v>0</v>
      </c>
      <c r="BC447">
        <f t="shared" si="508"/>
        <v>0</v>
      </c>
      <c r="BD447">
        <f t="shared" si="509"/>
        <v>1</v>
      </c>
      <c r="BE447">
        <f t="shared" si="510"/>
        <v>0</v>
      </c>
      <c r="BF447">
        <f t="shared" si="511"/>
        <v>0</v>
      </c>
      <c r="BG447" t="str" cm="1">
        <f t="array" ref="BG447">IF(BA447=1,INDEX($X$7:$AN$7,MATCH(TRUE,INDEX($X447:$AY447&lt;&gt;0,),0)),IF(BA447=0,INDEX($AO$7:$AY$7,MATCH(1,$AO447:$AY447,0)),IF(BH447="Multiple strategies","mixed drivers",IF(BH447="Supply chain","multiple supply","multiple silviculture"))))</f>
        <v>efficiency improvement</v>
      </c>
      <c r="BH447" s="2" t="str" cm="1">
        <f t="array" ref="BH447">IF(COUNTIF(BB447:BD447,"&lt;&gt;0")=1,INDEX($X$4:$AY$4,MATCH(TRUE,INDEX($X447:$AY447&lt;&gt;0,),0)),IF(COUNTIF(BB447:BD447,"&lt;&gt;0")=0,INDEX($AO$4:$AY$4,MATCH(1,$AO447:$AY447,0)),"Multiple strategies"))</f>
        <v>Technology</v>
      </c>
      <c r="BO447" s="143"/>
      <c r="BP447" s="143"/>
      <c r="BR447" t="s">
        <v>232</v>
      </c>
      <c r="BT447" t="s">
        <v>3931</v>
      </c>
      <c r="BU447">
        <v>-2.15</v>
      </c>
      <c r="BV447">
        <v>-2.1</v>
      </c>
      <c r="BW447" s="144">
        <f t="shared" si="528"/>
        <v>0.9767441860465117</v>
      </c>
      <c r="BX447" s="144">
        <f t="shared" si="529"/>
        <v>4.9999999999999822E-2</v>
      </c>
      <c r="BY447" s="144"/>
      <c r="BZ447" s="144"/>
      <c r="CA447" t="str">
        <f t="shared" si="512"/>
        <v/>
      </c>
      <c r="CB447">
        <v>0</v>
      </c>
      <c r="CC447">
        <v>0</v>
      </c>
      <c r="CD447">
        <v>0</v>
      </c>
      <c r="CE447">
        <v>0</v>
      </c>
      <c r="CF447">
        <v>0</v>
      </c>
      <c r="CG447">
        <v>0</v>
      </c>
      <c r="CH447">
        <v>0</v>
      </c>
      <c r="CI447">
        <v>0</v>
      </c>
      <c r="CJ447">
        <v>0</v>
      </c>
      <c r="CK447">
        <v>0</v>
      </c>
      <c r="CL447">
        <v>0</v>
      </c>
      <c r="CM447">
        <v>0</v>
      </c>
      <c r="CN447">
        <v>0</v>
      </c>
      <c r="CO447">
        <v>0</v>
      </c>
      <c r="CP447" t="str">
        <f t="shared" si="531"/>
        <v>refOK</v>
      </c>
      <c r="CQ447"/>
      <c r="CR447"/>
      <c r="CS447"/>
      <c r="CT447">
        <f t="shared" si="467"/>
        <v>0</v>
      </c>
      <c r="CU447">
        <f t="shared" si="498"/>
        <v>-2.15</v>
      </c>
      <c r="CV447">
        <f t="shared" si="499"/>
        <v>-2.1</v>
      </c>
      <c r="CW447">
        <f t="shared" si="513"/>
        <v>0</v>
      </c>
      <c r="CX447" t="str">
        <f t="shared" si="527"/>
        <v/>
      </c>
      <c r="CY447" t="str">
        <f t="shared" si="527"/>
        <v/>
      </c>
      <c r="CZ447" t="str">
        <f t="shared" si="472"/>
        <v/>
      </c>
      <c r="DA447" s="2">
        <f t="shared" si="514"/>
        <v>2.3255813953488292E-2</v>
      </c>
      <c r="DB447" s="1" t="s">
        <v>1106</v>
      </c>
      <c r="DC447" s="297" t="str">
        <f t="shared" si="515"/>
        <v>reg</v>
      </c>
      <c r="DD447" s="297" t="s">
        <v>729</v>
      </c>
      <c r="DG447">
        <f t="shared" si="532"/>
        <v>0</v>
      </c>
      <c r="DH447" t="str">
        <f t="shared" si="516"/>
        <v>0</v>
      </c>
      <c r="DI447">
        <v>0</v>
      </c>
      <c r="DJ447">
        <v>1</v>
      </c>
      <c r="DK447">
        <v>0</v>
      </c>
      <c r="DL447">
        <v>0</v>
      </c>
      <c r="DN447">
        <f t="shared" si="503"/>
        <v>1</v>
      </c>
      <c r="DO447" t="str">
        <f t="shared" si="517"/>
        <v>EnergyInput</v>
      </c>
      <c r="DP447">
        <f t="shared" si="518"/>
        <v>0</v>
      </c>
      <c r="DQ447" t="str">
        <f t="shared" si="519"/>
        <v>Energy</v>
      </c>
      <c r="DR447">
        <f t="shared" si="520"/>
        <v>0</v>
      </c>
      <c r="DS447">
        <f t="shared" si="521"/>
        <v>0</v>
      </c>
      <c r="DT447">
        <v>0</v>
      </c>
      <c r="DU447">
        <v>0</v>
      </c>
      <c r="DV447">
        <v>0</v>
      </c>
      <c r="DW447">
        <v>0</v>
      </c>
      <c r="DX447">
        <v>0</v>
      </c>
      <c r="DY447">
        <f t="shared" si="504"/>
        <v>0</v>
      </c>
      <c r="DZ447" s="143" t="str">
        <f t="shared" si="522"/>
        <v>explicit C balance</v>
      </c>
      <c r="EA447">
        <v>0</v>
      </c>
      <c r="EB447">
        <v>0</v>
      </c>
      <c r="EC447">
        <v>0</v>
      </c>
      <c r="ED447">
        <v>0</v>
      </c>
      <c r="EE447">
        <v>0</v>
      </c>
      <c r="EF447" s="143">
        <v>0</v>
      </c>
      <c r="EG447">
        <v>1</v>
      </c>
      <c r="EH447">
        <v>0</v>
      </c>
      <c r="EI447">
        <v>0</v>
      </c>
      <c r="EJ447">
        <v>0</v>
      </c>
      <c r="EK447">
        <v>0</v>
      </c>
      <c r="EL447">
        <v>0</v>
      </c>
      <c r="EM447">
        <v>0</v>
      </c>
      <c r="EN447" s="2">
        <v>0</v>
      </c>
      <c r="EP447" t="str">
        <f t="shared" si="484"/>
        <v/>
      </c>
      <c r="EQ447" t="str">
        <f t="shared" si="523"/>
        <v/>
      </c>
      <c r="ER447" s="2" t="str">
        <f t="shared" si="524"/>
        <v/>
      </c>
      <c r="ES447" t="str">
        <f t="shared" si="525"/>
        <v/>
      </c>
      <c r="ET447" t="str">
        <f t="shared" si="526"/>
        <v/>
      </c>
      <c r="EU447" t="str">
        <f t="shared" si="489"/>
        <v/>
      </c>
      <c r="EY447" t="b">
        <f>IF(ISNUMBER(BW447),IF(ABS(BW447-[1]QC_indicators!$B$2)&gt;3*[1]QC_indicators!$C$2,"C ratio",IF(ISNUMBER(CA447),IF(ABS(CA447-[1]QC_indicators!$B$1)&gt;3*[1]QC_indicators!$C$1,"DF","no"))),IF(ISNUMBER(CA447),IF(ABS(CA447-[1]QC_indicators!$B$1)&gt;3*[1]QC_indicators!$C$1,"DF","no")))</f>
        <v>0</v>
      </c>
      <c r="FA447" t="str">
        <f t="shared" si="490"/>
        <v/>
      </c>
    </row>
    <row r="448" spans="1:158" ht="15" hidden="1" customHeight="1">
      <c r="A448" s="1" t="s">
        <v>3921</v>
      </c>
      <c r="B448" t="s">
        <v>3922</v>
      </c>
      <c r="C448" t="s">
        <v>3923</v>
      </c>
      <c r="D448" t="s">
        <v>3924</v>
      </c>
      <c r="E448" t="s">
        <v>3925</v>
      </c>
      <c r="F448" t="s">
        <v>3926</v>
      </c>
      <c r="G448" t="s">
        <v>3927</v>
      </c>
      <c r="H448" t="s">
        <v>254</v>
      </c>
      <c r="I448">
        <v>2018</v>
      </c>
      <c r="J448">
        <v>6</v>
      </c>
      <c r="K448" t="s">
        <v>3928</v>
      </c>
      <c r="M448" t="str">
        <f t="shared" si="456"/>
        <v>Tuomasjukka_2018</v>
      </c>
      <c r="N448" s="297" t="s">
        <v>4058</v>
      </c>
      <c r="O448" s="145" t="s">
        <v>1029</v>
      </c>
      <c r="Q448" s="297" t="s">
        <v>256</v>
      </c>
      <c r="R448" s="298"/>
      <c r="S448" s="1" t="s">
        <v>3929</v>
      </c>
      <c r="T448" t="s">
        <v>2157</v>
      </c>
      <c r="U448" t="s">
        <v>3930</v>
      </c>
      <c r="X448">
        <v>0</v>
      </c>
      <c r="Y448">
        <v>0</v>
      </c>
      <c r="Z448">
        <v>0</v>
      </c>
      <c r="AA448">
        <v>0</v>
      </c>
      <c r="AB448">
        <v>0</v>
      </c>
      <c r="AC448">
        <v>0</v>
      </c>
      <c r="AD448">
        <v>0</v>
      </c>
      <c r="AE448">
        <v>0</v>
      </c>
      <c r="AF448">
        <v>0</v>
      </c>
      <c r="AG448">
        <v>0</v>
      </c>
      <c r="AH448">
        <v>0</v>
      </c>
      <c r="AI448">
        <v>0</v>
      </c>
      <c r="AJ448">
        <v>0</v>
      </c>
      <c r="AK448">
        <v>0</v>
      </c>
      <c r="AL448">
        <v>1</v>
      </c>
      <c r="AM448">
        <v>0</v>
      </c>
      <c r="AN448">
        <v>0</v>
      </c>
      <c r="AO448">
        <v>0</v>
      </c>
      <c r="AP448">
        <v>0</v>
      </c>
      <c r="AQ448">
        <v>0</v>
      </c>
      <c r="AR448">
        <v>0</v>
      </c>
      <c r="AS448">
        <v>0</v>
      </c>
      <c r="AT448">
        <v>0</v>
      </c>
      <c r="AU448">
        <v>0</v>
      </c>
      <c r="AV448">
        <v>0</v>
      </c>
      <c r="AW448">
        <v>0</v>
      </c>
      <c r="AX448">
        <v>0</v>
      </c>
      <c r="AY448">
        <v>0</v>
      </c>
      <c r="AZ448" s="141">
        <f t="shared" si="505"/>
        <v>1</v>
      </c>
      <c r="BA448" s="141">
        <f t="shared" si="506"/>
        <v>1</v>
      </c>
      <c r="BB448">
        <f t="shared" si="507"/>
        <v>0</v>
      </c>
      <c r="BC448">
        <f t="shared" si="508"/>
        <v>0</v>
      </c>
      <c r="BD448">
        <f t="shared" si="509"/>
        <v>1</v>
      </c>
      <c r="BE448">
        <f t="shared" si="510"/>
        <v>0</v>
      </c>
      <c r="BF448">
        <f t="shared" si="511"/>
        <v>0</v>
      </c>
      <c r="BG448" t="str" cm="1">
        <f t="array" ref="BG448">IF(BA448=1,INDEX($X$7:$AN$7,MATCH(TRUE,INDEX($X448:$AY448&lt;&gt;0,),0)),IF(BA448=0,INDEX($AO$7:$AY$7,MATCH(1,$AO448:$AY448,0)),IF(BH448="Multiple strategies","mixed drivers",IF(BH448="Supply chain","multiple supply","multiple silviculture"))))</f>
        <v>efficiency improvement</v>
      </c>
      <c r="BH448" s="2" t="str" cm="1">
        <f t="array" ref="BH448">IF(COUNTIF(BB448:BD448,"&lt;&gt;0")=1,INDEX($X$4:$AY$4,MATCH(TRUE,INDEX($X448:$AY448&lt;&gt;0,),0)),IF(COUNTIF(BB448:BD448,"&lt;&gt;0")=0,INDEX($AO$4:$AY$4,MATCH(1,$AO448:$AY448,0)),"Multiple strategies"))</f>
        <v>Technology</v>
      </c>
      <c r="BO448" s="143"/>
      <c r="BP448" s="143"/>
      <c r="BR448" t="s">
        <v>232</v>
      </c>
      <c r="BT448" t="s">
        <v>3931</v>
      </c>
      <c r="BU448">
        <v>-2.15</v>
      </c>
      <c r="BV448">
        <v>-2.08</v>
      </c>
      <c r="BW448" s="144">
        <f t="shared" si="528"/>
        <v>0.96744186046511638</v>
      </c>
      <c r="BX448" s="144">
        <f t="shared" si="529"/>
        <v>6.999999999999984E-2</v>
      </c>
      <c r="BY448" s="144"/>
      <c r="BZ448" s="144"/>
      <c r="CA448" t="str">
        <f t="shared" si="512"/>
        <v/>
      </c>
      <c r="CB448">
        <v>0</v>
      </c>
      <c r="CC448">
        <v>0</v>
      </c>
      <c r="CD448">
        <v>0</v>
      </c>
      <c r="CE448">
        <v>0</v>
      </c>
      <c r="CF448">
        <v>0</v>
      </c>
      <c r="CG448">
        <v>0</v>
      </c>
      <c r="CH448">
        <v>0</v>
      </c>
      <c r="CI448">
        <v>0</v>
      </c>
      <c r="CJ448">
        <v>0</v>
      </c>
      <c r="CK448">
        <v>0</v>
      </c>
      <c r="CL448">
        <v>0</v>
      </c>
      <c r="CM448">
        <v>0</v>
      </c>
      <c r="CN448">
        <v>0</v>
      </c>
      <c r="CO448">
        <v>0</v>
      </c>
      <c r="CP448" t="str">
        <f t="shared" si="531"/>
        <v>refOK</v>
      </c>
      <c r="CQ448"/>
      <c r="CR448"/>
      <c r="CS448"/>
      <c r="CT448">
        <f t="shared" si="467"/>
        <v>0</v>
      </c>
      <c r="CU448">
        <f t="shared" si="498"/>
        <v>-2.15</v>
      </c>
      <c r="CV448">
        <f t="shared" si="499"/>
        <v>-2.08</v>
      </c>
      <c r="CW448">
        <f t="shared" si="513"/>
        <v>0</v>
      </c>
      <c r="CX448" t="str">
        <f t="shared" si="527"/>
        <v/>
      </c>
      <c r="CY448" t="str">
        <f t="shared" si="527"/>
        <v/>
      </c>
      <c r="CZ448" t="str">
        <f t="shared" si="472"/>
        <v/>
      </c>
      <c r="DA448" s="2">
        <f t="shared" si="514"/>
        <v>3.2558139534883651E-2</v>
      </c>
      <c r="DB448" s="1" t="s">
        <v>1106</v>
      </c>
      <c r="DC448" s="297" t="str">
        <f t="shared" si="515"/>
        <v>reg</v>
      </c>
      <c r="DD448" s="297" t="s">
        <v>729</v>
      </c>
      <c r="DG448">
        <f t="shared" si="532"/>
        <v>0</v>
      </c>
      <c r="DH448" t="str">
        <f t="shared" si="516"/>
        <v>0</v>
      </c>
      <c r="DI448">
        <v>0</v>
      </c>
      <c r="DJ448">
        <v>1</v>
      </c>
      <c r="DK448">
        <v>0</v>
      </c>
      <c r="DL448">
        <v>0</v>
      </c>
      <c r="DN448">
        <f t="shared" si="503"/>
        <v>1</v>
      </c>
      <c r="DO448" t="str">
        <f t="shared" si="517"/>
        <v>EnergyInput</v>
      </c>
      <c r="DP448">
        <f t="shared" si="518"/>
        <v>0</v>
      </c>
      <c r="DQ448" t="str">
        <f t="shared" si="519"/>
        <v>Energy</v>
      </c>
      <c r="DR448">
        <f t="shared" si="520"/>
        <v>0</v>
      </c>
      <c r="DS448">
        <f t="shared" si="521"/>
        <v>0</v>
      </c>
      <c r="DT448">
        <v>0</v>
      </c>
      <c r="DU448">
        <v>0</v>
      </c>
      <c r="DV448">
        <v>0</v>
      </c>
      <c r="DW448">
        <v>0</v>
      </c>
      <c r="DX448">
        <v>0</v>
      </c>
      <c r="DY448">
        <f t="shared" si="504"/>
        <v>0</v>
      </c>
      <c r="DZ448" s="143" t="str">
        <f t="shared" si="522"/>
        <v>explicit C balance</v>
      </c>
      <c r="EA448">
        <v>0</v>
      </c>
      <c r="EB448">
        <v>0</v>
      </c>
      <c r="EC448">
        <v>0</v>
      </c>
      <c r="ED448">
        <v>0</v>
      </c>
      <c r="EE448">
        <v>0</v>
      </c>
      <c r="EF448" s="143">
        <v>0</v>
      </c>
      <c r="EG448">
        <v>1</v>
      </c>
      <c r="EH448">
        <v>0</v>
      </c>
      <c r="EI448">
        <v>0</v>
      </c>
      <c r="EJ448">
        <v>0</v>
      </c>
      <c r="EK448">
        <v>0</v>
      </c>
      <c r="EL448">
        <v>0</v>
      </c>
      <c r="EM448">
        <v>0</v>
      </c>
      <c r="EN448" s="2">
        <v>0</v>
      </c>
      <c r="EP448" t="str">
        <f t="shared" si="484"/>
        <v/>
      </c>
      <c r="EQ448" t="str">
        <f t="shared" si="523"/>
        <v/>
      </c>
      <c r="ER448" s="2" t="str">
        <f t="shared" si="524"/>
        <v/>
      </c>
      <c r="ES448" t="str">
        <f t="shared" si="525"/>
        <v/>
      </c>
      <c r="ET448" t="str">
        <f t="shared" si="526"/>
        <v/>
      </c>
      <c r="EU448" t="str">
        <f t="shared" si="489"/>
        <v/>
      </c>
      <c r="EY448" t="b">
        <f>IF(ISNUMBER(BW448),IF(ABS(BW448-[1]QC_indicators!$B$2)&gt;3*[1]QC_indicators!$C$2,"C ratio",IF(ISNUMBER(CA448),IF(ABS(CA448-[1]QC_indicators!$B$1)&gt;3*[1]QC_indicators!$C$1,"DF","no"))),IF(ISNUMBER(CA448),IF(ABS(CA448-[1]QC_indicators!$B$1)&gt;3*[1]QC_indicators!$C$1,"DF","no")))</f>
        <v>0</v>
      </c>
      <c r="FA448" t="str">
        <f t="shared" si="490"/>
        <v/>
      </c>
    </row>
    <row r="449" spans="1:157" ht="15" hidden="1" customHeight="1">
      <c r="A449" s="1" t="s">
        <v>3921</v>
      </c>
      <c r="B449" t="s">
        <v>3922</v>
      </c>
      <c r="C449" t="s">
        <v>3923</v>
      </c>
      <c r="D449" t="s">
        <v>3924</v>
      </c>
      <c r="E449" t="s">
        <v>3925</v>
      </c>
      <c r="F449" t="s">
        <v>3926</v>
      </c>
      <c r="G449" t="s">
        <v>3927</v>
      </c>
      <c r="H449" t="s">
        <v>254</v>
      </c>
      <c r="I449">
        <v>2018</v>
      </c>
      <c r="J449">
        <v>6</v>
      </c>
      <c r="K449" t="s">
        <v>3928</v>
      </c>
      <c r="M449" t="str">
        <f t="shared" si="456"/>
        <v>Tuomasjukka_2018</v>
      </c>
      <c r="N449" s="297" t="s">
        <v>4058</v>
      </c>
      <c r="O449" s="145" t="s">
        <v>1029</v>
      </c>
      <c r="Q449" s="297" t="s">
        <v>256</v>
      </c>
      <c r="R449" s="298"/>
      <c r="S449" s="1" t="s">
        <v>3929</v>
      </c>
      <c r="T449" t="s">
        <v>2157</v>
      </c>
      <c r="U449" t="s">
        <v>3930</v>
      </c>
      <c r="X449">
        <v>0</v>
      </c>
      <c r="Y449">
        <v>0</v>
      </c>
      <c r="Z449">
        <v>0</v>
      </c>
      <c r="AA449">
        <v>0</v>
      </c>
      <c r="AB449">
        <v>0</v>
      </c>
      <c r="AC449">
        <v>0</v>
      </c>
      <c r="AD449">
        <v>0</v>
      </c>
      <c r="AE449">
        <v>0</v>
      </c>
      <c r="AF449">
        <v>0</v>
      </c>
      <c r="AG449">
        <v>0</v>
      </c>
      <c r="AH449">
        <v>0</v>
      </c>
      <c r="AI449">
        <v>0</v>
      </c>
      <c r="AJ449">
        <v>0</v>
      </c>
      <c r="AK449">
        <v>0</v>
      </c>
      <c r="AL449">
        <v>1</v>
      </c>
      <c r="AM449">
        <v>0</v>
      </c>
      <c r="AN449">
        <v>0</v>
      </c>
      <c r="AO449">
        <v>0</v>
      </c>
      <c r="AP449">
        <v>0</v>
      </c>
      <c r="AQ449">
        <v>0</v>
      </c>
      <c r="AR449">
        <v>0</v>
      </c>
      <c r="AS449">
        <v>0</v>
      </c>
      <c r="AT449">
        <v>0</v>
      </c>
      <c r="AU449">
        <v>0</v>
      </c>
      <c r="AV449">
        <v>0</v>
      </c>
      <c r="AW449">
        <v>0</v>
      </c>
      <c r="AX449">
        <v>0</v>
      </c>
      <c r="AY449">
        <v>0</v>
      </c>
      <c r="AZ449" s="141">
        <f t="shared" si="505"/>
        <v>1</v>
      </c>
      <c r="BA449" s="141">
        <f t="shared" si="506"/>
        <v>1</v>
      </c>
      <c r="BB449">
        <f t="shared" si="507"/>
        <v>0</v>
      </c>
      <c r="BC449">
        <f t="shared" si="508"/>
        <v>0</v>
      </c>
      <c r="BD449">
        <f t="shared" si="509"/>
        <v>1</v>
      </c>
      <c r="BE449">
        <f t="shared" si="510"/>
        <v>0</v>
      </c>
      <c r="BF449">
        <f t="shared" si="511"/>
        <v>0</v>
      </c>
      <c r="BG449" t="str" cm="1">
        <f t="array" ref="BG449">IF(BA449=1,INDEX($X$7:$AN$7,MATCH(TRUE,INDEX($X449:$AY449&lt;&gt;0,),0)),IF(BA449=0,INDEX($AO$7:$AY$7,MATCH(1,$AO449:$AY449,0)),IF(BH449="Multiple strategies","mixed drivers",IF(BH449="Supply chain","multiple supply","multiple silviculture"))))</f>
        <v>efficiency improvement</v>
      </c>
      <c r="BH449" s="2" t="str" cm="1">
        <f t="array" ref="BH449">IF(COUNTIF(BB449:BD449,"&lt;&gt;0")=1,INDEX($X$4:$AY$4,MATCH(TRUE,INDEX($X449:$AY449&lt;&gt;0,),0)),IF(COUNTIF(BB449:BD449,"&lt;&gt;0")=0,INDEX($AO$4:$AY$4,MATCH(1,$AO449:$AY449,0)),"Multiple strategies"))</f>
        <v>Technology</v>
      </c>
      <c r="BO449" s="143"/>
      <c r="BP449" s="143"/>
      <c r="BR449" t="s">
        <v>232</v>
      </c>
      <c r="BT449" t="s">
        <v>3931</v>
      </c>
      <c r="BU449">
        <v>-2.15</v>
      </c>
      <c r="BV449">
        <v>-2.0099999999999998</v>
      </c>
      <c r="BW449" s="144">
        <f t="shared" si="528"/>
        <v>0.93488372093023253</v>
      </c>
      <c r="BX449" s="144">
        <f t="shared" si="529"/>
        <v>0.14000000000000012</v>
      </c>
      <c r="BY449" s="144"/>
      <c r="BZ449" s="144"/>
      <c r="CA449" t="str">
        <f t="shared" si="512"/>
        <v/>
      </c>
      <c r="CB449">
        <v>0</v>
      </c>
      <c r="CC449">
        <v>0</v>
      </c>
      <c r="CD449">
        <v>0</v>
      </c>
      <c r="CE449">
        <v>0</v>
      </c>
      <c r="CF449">
        <v>0</v>
      </c>
      <c r="CG449">
        <v>0</v>
      </c>
      <c r="CH449">
        <v>0</v>
      </c>
      <c r="CI449">
        <v>0</v>
      </c>
      <c r="CJ449">
        <v>0</v>
      </c>
      <c r="CK449">
        <v>0</v>
      </c>
      <c r="CL449">
        <v>0</v>
      </c>
      <c r="CM449">
        <v>0</v>
      </c>
      <c r="CN449">
        <v>0</v>
      </c>
      <c r="CO449">
        <v>0</v>
      </c>
      <c r="CP449" t="str">
        <f t="shared" si="531"/>
        <v>refOK</v>
      </c>
      <c r="CQ449"/>
      <c r="CR449"/>
      <c r="CS449"/>
      <c r="CT449">
        <f t="shared" si="467"/>
        <v>0</v>
      </c>
      <c r="CU449">
        <f t="shared" si="498"/>
        <v>-2.15</v>
      </c>
      <c r="CV449">
        <f t="shared" si="499"/>
        <v>-2.0099999999999998</v>
      </c>
      <c r="CW449">
        <f t="shared" si="513"/>
        <v>0</v>
      </c>
      <c r="CX449" t="str">
        <f t="shared" si="527"/>
        <v/>
      </c>
      <c r="CY449" t="str">
        <f t="shared" si="527"/>
        <v/>
      </c>
      <c r="CZ449" t="str">
        <f t="shared" si="472"/>
        <v/>
      </c>
      <c r="DA449" s="2">
        <f t="shared" si="514"/>
        <v>6.5116279069767496E-2</v>
      </c>
      <c r="DB449" s="1" t="s">
        <v>1106</v>
      </c>
      <c r="DC449" s="297" t="str">
        <f t="shared" si="515"/>
        <v>reg</v>
      </c>
      <c r="DD449" s="297" t="s">
        <v>729</v>
      </c>
      <c r="DG449">
        <f t="shared" si="532"/>
        <v>0</v>
      </c>
      <c r="DH449" t="str">
        <f t="shared" si="516"/>
        <v>0</v>
      </c>
      <c r="DI449">
        <v>0</v>
      </c>
      <c r="DJ449">
        <v>1</v>
      </c>
      <c r="DK449">
        <v>0</v>
      </c>
      <c r="DL449">
        <v>0</v>
      </c>
      <c r="DN449">
        <f t="shared" si="503"/>
        <v>1</v>
      </c>
      <c r="DO449" t="str">
        <f t="shared" si="517"/>
        <v>EnergyInput</v>
      </c>
      <c r="DP449">
        <f t="shared" si="518"/>
        <v>0</v>
      </c>
      <c r="DQ449" t="str">
        <f t="shared" si="519"/>
        <v>Energy</v>
      </c>
      <c r="DR449">
        <f t="shared" si="520"/>
        <v>0</v>
      </c>
      <c r="DS449">
        <f t="shared" si="521"/>
        <v>0</v>
      </c>
      <c r="DT449">
        <v>0</v>
      </c>
      <c r="DU449">
        <v>0</v>
      </c>
      <c r="DV449">
        <v>0</v>
      </c>
      <c r="DW449">
        <v>0</v>
      </c>
      <c r="DX449">
        <v>0</v>
      </c>
      <c r="DY449">
        <f t="shared" si="504"/>
        <v>0</v>
      </c>
      <c r="DZ449" s="143" t="str">
        <f t="shared" si="522"/>
        <v>explicit C balance</v>
      </c>
      <c r="EA449">
        <v>0</v>
      </c>
      <c r="EB449">
        <v>0</v>
      </c>
      <c r="EC449">
        <v>0</v>
      </c>
      <c r="ED449">
        <v>0</v>
      </c>
      <c r="EE449">
        <v>0</v>
      </c>
      <c r="EF449" s="143">
        <v>0</v>
      </c>
      <c r="EG449">
        <v>1</v>
      </c>
      <c r="EH449">
        <v>0</v>
      </c>
      <c r="EI449">
        <v>0</v>
      </c>
      <c r="EJ449">
        <v>0</v>
      </c>
      <c r="EK449">
        <v>0</v>
      </c>
      <c r="EL449">
        <v>0</v>
      </c>
      <c r="EM449">
        <v>0</v>
      </c>
      <c r="EN449" s="2">
        <v>0</v>
      </c>
      <c r="EP449" t="str">
        <f t="shared" si="484"/>
        <v/>
      </c>
      <c r="EQ449" t="str">
        <f t="shared" si="523"/>
        <v/>
      </c>
      <c r="ER449" s="2" t="str">
        <f t="shared" si="524"/>
        <v/>
      </c>
      <c r="ES449" t="str">
        <f t="shared" si="525"/>
        <v/>
      </c>
      <c r="ET449" t="str">
        <f t="shared" si="526"/>
        <v/>
      </c>
      <c r="EU449" t="str">
        <f t="shared" si="489"/>
        <v/>
      </c>
      <c r="EY449" t="b">
        <f>IF(ISNUMBER(BW449),IF(ABS(BW449-[1]QC_indicators!$B$2)&gt;3*[1]QC_indicators!$C$2,"C ratio",IF(ISNUMBER(CA449),IF(ABS(CA449-[1]QC_indicators!$B$1)&gt;3*[1]QC_indicators!$C$1,"DF","no"))),IF(ISNUMBER(CA449),IF(ABS(CA449-[1]QC_indicators!$B$1)&gt;3*[1]QC_indicators!$C$1,"DF","no")))</f>
        <v>0</v>
      </c>
      <c r="FA449" t="str">
        <f t="shared" si="490"/>
        <v/>
      </c>
    </row>
    <row r="450" spans="1:157" ht="15" hidden="1" customHeight="1">
      <c r="A450" s="1" t="s">
        <v>3921</v>
      </c>
      <c r="B450" t="s">
        <v>3922</v>
      </c>
      <c r="C450" t="s">
        <v>3923</v>
      </c>
      <c r="D450" t="s">
        <v>3924</v>
      </c>
      <c r="E450" t="s">
        <v>3925</v>
      </c>
      <c r="F450" t="s">
        <v>3926</v>
      </c>
      <c r="G450" t="s">
        <v>3927</v>
      </c>
      <c r="H450" t="s">
        <v>254</v>
      </c>
      <c r="I450">
        <v>2018</v>
      </c>
      <c r="J450">
        <v>6</v>
      </c>
      <c r="K450" t="s">
        <v>3928</v>
      </c>
      <c r="M450" t="str">
        <f t="shared" si="456"/>
        <v>Tuomasjukka_2018</v>
      </c>
      <c r="N450" s="297" t="s">
        <v>4058</v>
      </c>
      <c r="O450" s="145" t="s">
        <v>1029</v>
      </c>
      <c r="Q450" s="297" t="s">
        <v>256</v>
      </c>
      <c r="R450" s="298"/>
      <c r="S450" s="1" t="s">
        <v>3935</v>
      </c>
      <c r="T450" t="s">
        <v>2157</v>
      </c>
      <c r="U450" t="s">
        <v>3936</v>
      </c>
      <c r="X450">
        <v>0</v>
      </c>
      <c r="Y450">
        <v>0</v>
      </c>
      <c r="Z450">
        <v>0</v>
      </c>
      <c r="AA450">
        <v>0</v>
      </c>
      <c r="AB450">
        <v>0</v>
      </c>
      <c r="AC450">
        <v>0</v>
      </c>
      <c r="AD450">
        <v>0</v>
      </c>
      <c r="AE450">
        <v>0</v>
      </c>
      <c r="AF450">
        <v>0</v>
      </c>
      <c r="AG450">
        <v>0</v>
      </c>
      <c r="AH450">
        <v>0</v>
      </c>
      <c r="AI450">
        <v>0</v>
      </c>
      <c r="AJ450">
        <v>0</v>
      </c>
      <c r="AK450">
        <v>0</v>
      </c>
      <c r="AL450">
        <v>1</v>
      </c>
      <c r="AM450">
        <v>0</v>
      </c>
      <c r="AN450">
        <v>0</v>
      </c>
      <c r="AO450">
        <v>0</v>
      </c>
      <c r="AP450">
        <v>0</v>
      </c>
      <c r="AQ450">
        <v>0</v>
      </c>
      <c r="AR450">
        <v>0</v>
      </c>
      <c r="AS450">
        <v>0</v>
      </c>
      <c r="AT450">
        <v>0</v>
      </c>
      <c r="AU450">
        <v>0</v>
      </c>
      <c r="AV450">
        <v>0</v>
      </c>
      <c r="AW450">
        <v>0</v>
      </c>
      <c r="AX450">
        <v>0</v>
      </c>
      <c r="AY450">
        <v>0</v>
      </c>
      <c r="AZ450" s="141">
        <f t="shared" si="505"/>
        <v>1</v>
      </c>
      <c r="BA450" s="141">
        <f t="shared" si="506"/>
        <v>1</v>
      </c>
      <c r="BB450">
        <f t="shared" si="507"/>
        <v>0</v>
      </c>
      <c r="BC450">
        <f t="shared" si="508"/>
        <v>0</v>
      </c>
      <c r="BD450">
        <f t="shared" si="509"/>
        <v>1</v>
      </c>
      <c r="BE450">
        <f t="shared" si="510"/>
        <v>0</v>
      </c>
      <c r="BF450">
        <f t="shared" si="511"/>
        <v>0</v>
      </c>
      <c r="BG450" t="str" cm="1">
        <f t="array" ref="BG450">IF(BA450=1,INDEX($X$7:$AN$7,MATCH(TRUE,INDEX($X450:$AY450&lt;&gt;0,),0)),IF(BA450=0,INDEX($AO$7:$AY$7,MATCH(1,$AO450:$AY450,0)),IF(BH450="Multiple strategies","mixed drivers",IF(BH450="Supply chain","multiple supply","multiple silviculture"))))</f>
        <v>efficiency improvement</v>
      </c>
      <c r="BH450" s="2" t="str" cm="1">
        <f t="array" ref="BH450">IF(COUNTIF(BB450:BD450,"&lt;&gt;0")=1,INDEX($X$4:$AY$4,MATCH(TRUE,INDEX($X450:$AY450&lt;&gt;0,),0)),IF(COUNTIF(BB450:BD450,"&lt;&gt;0")=0,INDEX($AO$4:$AY$4,MATCH(1,$AO450:$AY450,0)),"Multiple strategies"))</f>
        <v>Technology</v>
      </c>
      <c r="BO450" s="143"/>
      <c r="BP450" s="143"/>
      <c r="BR450" t="s">
        <v>232</v>
      </c>
      <c r="BT450" t="s">
        <v>3931</v>
      </c>
      <c r="BU450">
        <v>-2.15</v>
      </c>
      <c r="BV450">
        <v>-2.0099999999999998</v>
      </c>
      <c r="BW450" s="144">
        <f t="shared" si="528"/>
        <v>0.93488372093023253</v>
      </c>
      <c r="BX450" s="144">
        <f t="shared" si="529"/>
        <v>0.14000000000000012</v>
      </c>
      <c r="BY450" s="144"/>
      <c r="BZ450" s="144"/>
      <c r="CA450" t="str">
        <f t="shared" si="512"/>
        <v/>
      </c>
      <c r="CB450">
        <v>0</v>
      </c>
      <c r="CC450">
        <v>0</v>
      </c>
      <c r="CD450">
        <v>0</v>
      </c>
      <c r="CE450">
        <v>0</v>
      </c>
      <c r="CF450">
        <v>0</v>
      </c>
      <c r="CG450">
        <v>0</v>
      </c>
      <c r="CH450">
        <v>0</v>
      </c>
      <c r="CI450">
        <v>0</v>
      </c>
      <c r="CJ450">
        <v>0</v>
      </c>
      <c r="CK450">
        <v>0</v>
      </c>
      <c r="CL450">
        <v>0</v>
      </c>
      <c r="CM450">
        <v>0</v>
      </c>
      <c r="CN450">
        <v>0</v>
      </c>
      <c r="CO450">
        <v>0</v>
      </c>
      <c r="CP450" t="str">
        <f t="shared" si="531"/>
        <v>refOK</v>
      </c>
      <c r="CQ450"/>
      <c r="CR450"/>
      <c r="CS450"/>
      <c r="CT450">
        <f t="shared" si="467"/>
        <v>0</v>
      </c>
      <c r="CU450">
        <f t="shared" si="498"/>
        <v>-2.15</v>
      </c>
      <c r="CV450">
        <f t="shared" si="499"/>
        <v>-2.0099999999999998</v>
      </c>
      <c r="CW450">
        <f t="shared" si="513"/>
        <v>0</v>
      </c>
      <c r="CX450" t="str">
        <f t="shared" si="527"/>
        <v/>
      </c>
      <c r="CY450" t="str">
        <f t="shared" si="527"/>
        <v/>
      </c>
      <c r="CZ450" t="str">
        <f t="shared" si="472"/>
        <v/>
      </c>
      <c r="DA450" s="2">
        <f t="shared" si="514"/>
        <v>6.5116279069767496E-2</v>
      </c>
      <c r="DB450" s="1" t="s">
        <v>1106</v>
      </c>
      <c r="DC450" s="297" t="str">
        <f t="shared" si="515"/>
        <v>reg</v>
      </c>
      <c r="DD450" s="297" t="s">
        <v>729</v>
      </c>
      <c r="DG450">
        <f t="shared" si="532"/>
        <v>0</v>
      </c>
      <c r="DH450" t="str">
        <f t="shared" si="516"/>
        <v>0</v>
      </c>
      <c r="DI450">
        <v>0</v>
      </c>
      <c r="DJ450">
        <v>1</v>
      </c>
      <c r="DK450">
        <v>0</v>
      </c>
      <c r="DL450">
        <v>0</v>
      </c>
      <c r="DN450">
        <f t="shared" si="503"/>
        <v>1</v>
      </c>
      <c r="DO450" t="str">
        <f t="shared" si="517"/>
        <v>EnergyInput</v>
      </c>
      <c r="DP450">
        <f t="shared" si="518"/>
        <v>0</v>
      </c>
      <c r="DQ450" t="str">
        <f t="shared" si="519"/>
        <v>Energy</v>
      </c>
      <c r="DR450">
        <f t="shared" si="520"/>
        <v>0</v>
      </c>
      <c r="DS450">
        <f t="shared" si="521"/>
        <v>0</v>
      </c>
      <c r="DT450">
        <v>0</v>
      </c>
      <c r="DU450">
        <v>0</v>
      </c>
      <c r="DV450">
        <v>0</v>
      </c>
      <c r="DW450">
        <v>0</v>
      </c>
      <c r="DX450">
        <v>0</v>
      </c>
      <c r="DY450">
        <f t="shared" si="504"/>
        <v>0</v>
      </c>
      <c r="DZ450" s="143" t="str">
        <f t="shared" si="522"/>
        <v>explicit C balance</v>
      </c>
      <c r="EA450">
        <v>0</v>
      </c>
      <c r="EB450">
        <v>0</v>
      </c>
      <c r="EC450">
        <v>0</v>
      </c>
      <c r="ED450">
        <v>0</v>
      </c>
      <c r="EE450">
        <v>0</v>
      </c>
      <c r="EF450" s="143">
        <v>0</v>
      </c>
      <c r="EG450">
        <v>1</v>
      </c>
      <c r="EH450">
        <v>0</v>
      </c>
      <c r="EI450">
        <v>0</v>
      </c>
      <c r="EJ450">
        <v>0</v>
      </c>
      <c r="EK450">
        <v>0</v>
      </c>
      <c r="EL450">
        <v>0</v>
      </c>
      <c r="EM450">
        <v>0</v>
      </c>
      <c r="EN450" s="2">
        <v>0</v>
      </c>
      <c r="EP450" t="str">
        <f t="shared" si="484"/>
        <v/>
      </c>
      <c r="EQ450" t="str">
        <f t="shared" si="523"/>
        <v/>
      </c>
      <c r="ER450" s="2" t="str">
        <f t="shared" si="524"/>
        <v/>
      </c>
      <c r="ES450" t="str">
        <f t="shared" si="525"/>
        <v/>
      </c>
      <c r="ET450" t="str">
        <f t="shared" si="526"/>
        <v/>
      </c>
      <c r="EU450" t="str">
        <f t="shared" si="489"/>
        <v/>
      </c>
      <c r="EY450" t="b">
        <f>IF(ISNUMBER(BW450),IF(ABS(BW450-[1]QC_indicators!$B$2)&gt;3*[1]QC_indicators!$C$2,"C ratio",IF(ISNUMBER(CA450),IF(ABS(CA450-[1]QC_indicators!$B$1)&gt;3*[1]QC_indicators!$C$1,"DF","no"))),IF(ISNUMBER(CA450),IF(ABS(CA450-[1]QC_indicators!$B$1)&gt;3*[1]QC_indicators!$C$1,"DF","no")))</f>
        <v>0</v>
      </c>
      <c r="FA450" t="str">
        <f t="shared" si="490"/>
        <v/>
      </c>
    </row>
    <row r="451" spans="1:157" ht="15" hidden="1" customHeight="1">
      <c r="A451" s="1" t="s">
        <v>3310</v>
      </c>
      <c r="B451" t="s">
        <v>531</v>
      </c>
      <c r="C451" t="s">
        <v>3937</v>
      </c>
      <c r="D451" t="s">
        <v>3938</v>
      </c>
      <c r="E451" t="s">
        <v>3939</v>
      </c>
      <c r="F451" t="s">
        <v>3940</v>
      </c>
      <c r="G451" t="s">
        <v>3315</v>
      </c>
      <c r="H451" t="s">
        <v>254</v>
      </c>
      <c r="I451">
        <v>2021</v>
      </c>
      <c r="J451">
        <v>0</v>
      </c>
      <c r="K451" t="s">
        <v>3941</v>
      </c>
      <c r="M451" t="str">
        <f t="shared" si="456"/>
        <v>Ullah_2021</v>
      </c>
      <c r="N451" s="297" t="s">
        <v>4058</v>
      </c>
      <c r="O451" s="145" t="s">
        <v>1029</v>
      </c>
      <c r="Q451" s="297" t="s">
        <v>256</v>
      </c>
      <c r="R451" s="298"/>
      <c r="S451" s="1" t="s">
        <v>3942</v>
      </c>
      <c r="T451" t="s">
        <v>1030</v>
      </c>
      <c r="U451" t="s">
        <v>3943</v>
      </c>
      <c r="V451" s="253">
        <v>0</v>
      </c>
      <c r="W451" s="253">
        <v>0</v>
      </c>
      <c r="X451">
        <v>0</v>
      </c>
      <c r="Y451">
        <v>0</v>
      </c>
      <c r="Z451">
        <v>0</v>
      </c>
      <c r="AA451">
        <v>0</v>
      </c>
      <c r="AB451">
        <v>0</v>
      </c>
      <c r="AC451">
        <v>0</v>
      </c>
      <c r="AD451">
        <v>0</v>
      </c>
      <c r="AE451">
        <v>0</v>
      </c>
      <c r="AF451">
        <v>0</v>
      </c>
      <c r="AG451">
        <v>0</v>
      </c>
      <c r="AH451">
        <v>1</v>
      </c>
      <c r="AI451">
        <v>0</v>
      </c>
      <c r="AJ451">
        <v>0</v>
      </c>
      <c r="AK451">
        <v>0</v>
      </c>
      <c r="AL451">
        <v>0</v>
      </c>
      <c r="AM451">
        <v>0</v>
      </c>
      <c r="AN451">
        <v>0</v>
      </c>
      <c r="AO451">
        <v>0</v>
      </c>
      <c r="AP451">
        <v>0</v>
      </c>
      <c r="AQ451">
        <v>0</v>
      </c>
      <c r="AR451">
        <v>0</v>
      </c>
      <c r="AS451">
        <v>0</v>
      </c>
      <c r="AT451">
        <v>0</v>
      </c>
      <c r="AU451">
        <v>0</v>
      </c>
      <c r="AV451">
        <v>0</v>
      </c>
      <c r="AW451">
        <v>0</v>
      </c>
      <c r="AX451">
        <v>0</v>
      </c>
      <c r="AY451">
        <v>0</v>
      </c>
      <c r="AZ451" s="141">
        <f t="shared" si="505"/>
        <v>1</v>
      </c>
      <c r="BA451" s="141">
        <f t="shared" si="506"/>
        <v>1</v>
      </c>
      <c r="BB451">
        <f t="shared" si="507"/>
        <v>0</v>
      </c>
      <c r="BC451">
        <f t="shared" si="508"/>
        <v>1</v>
      </c>
      <c r="BD451">
        <f t="shared" si="509"/>
        <v>0</v>
      </c>
      <c r="BE451">
        <f t="shared" si="510"/>
        <v>0</v>
      </c>
      <c r="BF451">
        <f t="shared" si="511"/>
        <v>0</v>
      </c>
      <c r="BG451" t="str" cm="1">
        <f t="array" ref="BG451">IF(BA451=1,INDEX($X$7:$AN$7,MATCH(TRUE,INDEX($X451:$AY451&lt;&gt;0,),0)),IF(BA451=0,INDEX($AO$7:$AY$7,MATCH(1,$AO451:$AY451,0)),IF(BH451="Multiple strategies","mixed drivers",IF(BH451="Supply chain","multiple supply","multiple silviculture"))))</f>
        <v>supply chain organization</v>
      </c>
      <c r="BH451" s="2" t="str" cm="1">
        <f t="array" ref="BH451">IF(COUNTIF(BB451:BD451,"&lt;&gt;0")=1,INDEX($X$4:$AY$4,MATCH(TRUE,INDEX($X451:$AY451&lt;&gt;0,),0)),IF(COUNTIF(BB451:BD451,"&lt;&gt;0")=0,INDEX($AO$4:$AY$4,MATCH(1,$AO451:$AY451,0)),"Multiple strategies"))</f>
        <v>Supply chain</v>
      </c>
      <c r="BO451" s="143"/>
      <c r="BP451" s="143"/>
      <c r="BR451" t="s">
        <v>232</v>
      </c>
      <c r="BT451" t="s">
        <v>3944</v>
      </c>
      <c r="BU451">
        <v>-43.69</v>
      </c>
      <c r="BV451">
        <v>-36.78</v>
      </c>
      <c r="BW451" s="144">
        <f t="shared" si="528"/>
        <v>0.84184023804074171</v>
      </c>
      <c r="BX451" s="144">
        <f t="shared" si="529"/>
        <v>6.9099999999999966</v>
      </c>
      <c r="BY451" s="144"/>
      <c r="BZ451" s="144">
        <f>BX451/1000</f>
        <v>6.9099999999999969E-3</v>
      </c>
      <c r="CA451" t="str">
        <f t="shared" si="512"/>
        <v/>
      </c>
      <c r="CB451">
        <v>1</v>
      </c>
      <c r="CC451">
        <v>0</v>
      </c>
      <c r="CD451">
        <v>0</v>
      </c>
      <c r="CE451">
        <v>0</v>
      </c>
      <c r="CF451">
        <v>0</v>
      </c>
      <c r="CG451">
        <v>0</v>
      </c>
      <c r="CH451">
        <v>0</v>
      </c>
      <c r="CI451">
        <v>0</v>
      </c>
      <c r="CJ451">
        <v>0</v>
      </c>
      <c r="CK451">
        <v>0</v>
      </c>
      <c r="CL451">
        <v>0</v>
      </c>
      <c r="CM451">
        <v>0</v>
      </c>
      <c r="CN451">
        <v>0</v>
      </c>
      <c r="CO451">
        <v>0</v>
      </c>
      <c r="CP451" t="str">
        <f t="shared" si="531"/>
        <v>refOK</v>
      </c>
      <c r="CQ451"/>
      <c r="CR451"/>
      <c r="CS451"/>
      <c r="CT451">
        <f t="shared" si="467"/>
        <v>0</v>
      </c>
      <c r="CU451">
        <f t="shared" si="498"/>
        <v>-43.69</v>
      </c>
      <c r="CV451">
        <f t="shared" si="499"/>
        <v>-36.78</v>
      </c>
      <c r="CW451">
        <f t="shared" si="513"/>
        <v>6.9099999999999969E-3</v>
      </c>
      <c r="CX451" t="str">
        <f t="shared" si="527"/>
        <v/>
      </c>
      <c r="CY451" t="str">
        <f t="shared" si="527"/>
        <v/>
      </c>
      <c r="CZ451" t="str">
        <f t="shared" si="472"/>
        <v/>
      </c>
      <c r="DA451" s="2">
        <f t="shared" si="514"/>
        <v>0.15815976195925835</v>
      </c>
      <c r="DB451" s="1" t="s">
        <v>263</v>
      </c>
      <c r="DC451" s="297" t="str">
        <f t="shared" si="515"/>
        <v>loc</v>
      </c>
      <c r="DD451" t="s">
        <v>3945</v>
      </c>
      <c r="DG451">
        <f t="shared" si="532"/>
        <v>0</v>
      </c>
      <c r="DH451" t="str">
        <f t="shared" si="516"/>
        <v>0</v>
      </c>
      <c r="DI451">
        <v>0</v>
      </c>
      <c r="DJ451">
        <v>0</v>
      </c>
      <c r="DK451">
        <v>0</v>
      </c>
      <c r="DL451">
        <v>1</v>
      </c>
      <c r="DN451">
        <f t="shared" si="503"/>
        <v>1</v>
      </c>
      <c r="DO451" t="str">
        <f t="shared" si="517"/>
        <v>TimberInput</v>
      </c>
      <c r="DP451">
        <f t="shared" si="518"/>
        <v>0</v>
      </c>
      <c r="DQ451">
        <f t="shared" si="519"/>
        <v>0</v>
      </c>
      <c r="DR451">
        <f t="shared" si="520"/>
        <v>0</v>
      </c>
      <c r="DS451" t="str">
        <f t="shared" si="521"/>
        <v>Timber</v>
      </c>
      <c r="DT451">
        <v>0</v>
      </c>
      <c r="DU451">
        <v>0</v>
      </c>
      <c r="DV451">
        <v>0</v>
      </c>
      <c r="DW451">
        <v>0</v>
      </c>
      <c r="DX451">
        <v>0</v>
      </c>
      <c r="DY451">
        <f t="shared" si="504"/>
        <v>0</v>
      </c>
      <c r="DZ451" s="143" t="str">
        <f t="shared" si="522"/>
        <v>explicit C balance</v>
      </c>
      <c r="EA451">
        <v>0</v>
      </c>
      <c r="EB451">
        <v>0</v>
      </c>
      <c r="EC451">
        <v>0</v>
      </c>
      <c r="ED451">
        <v>1</v>
      </c>
      <c r="EE451">
        <v>0</v>
      </c>
      <c r="EF451" s="143">
        <v>0</v>
      </c>
      <c r="EG451">
        <v>1</v>
      </c>
      <c r="EH451">
        <v>1</v>
      </c>
      <c r="EI451">
        <v>0</v>
      </c>
      <c r="EJ451">
        <v>0</v>
      </c>
      <c r="EK451">
        <v>0</v>
      </c>
      <c r="EL451">
        <v>0</v>
      </c>
      <c r="EM451">
        <v>0</v>
      </c>
      <c r="EN451" s="2">
        <v>0</v>
      </c>
      <c r="EP451" t="str">
        <f t="shared" si="484"/>
        <v/>
      </c>
      <c r="EQ451" t="str">
        <f t="shared" si="523"/>
        <v/>
      </c>
      <c r="ER451" s="2" t="str">
        <f t="shared" si="524"/>
        <v>Technology approach</v>
      </c>
      <c r="ES451" t="str">
        <f t="shared" si="525"/>
        <v/>
      </c>
      <c r="ET451" t="str">
        <f t="shared" si="526"/>
        <v/>
      </c>
      <c r="EU451" t="str">
        <f t="shared" si="489"/>
        <v/>
      </c>
      <c r="EY451" t="b">
        <f>IF(ISNUMBER(BW451),IF(ABS(BW451-[1]QC_indicators!$B$2)&gt;3*[1]QC_indicators!$C$2,"C ratio",IF(ISNUMBER(CA451),IF(ABS(CA451-[1]QC_indicators!$B$1)&gt;3*[1]QC_indicators!$C$1,"DF","no"))),IF(ISNUMBER(CA451),IF(ABS(CA451-[1]QC_indicators!$B$1)&gt;3*[1]QC_indicators!$C$1,"DF","no")))</f>
        <v>0</v>
      </c>
      <c r="FA451" t="str">
        <f t="shared" si="490"/>
        <v/>
      </c>
    </row>
    <row r="452" spans="1:157" ht="15" hidden="1" customHeight="1">
      <c r="A452" s="1" t="s">
        <v>3310</v>
      </c>
      <c r="B452" t="s">
        <v>531</v>
      </c>
      <c r="C452" t="s">
        <v>3937</v>
      </c>
      <c r="D452" t="s">
        <v>3938</v>
      </c>
      <c r="E452" t="s">
        <v>3939</v>
      </c>
      <c r="F452" t="s">
        <v>3940</v>
      </c>
      <c r="G452" t="s">
        <v>3315</v>
      </c>
      <c r="H452" t="s">
        <v>254</v>
      </c>
      <c r="I452">
        <v>2021</v>
      </c>
      <c r="J452">
        <v>0</v>
      </c>
      <c r="K452" t="s">
        <v>3941</v>
      </c>
      <c r="M452" t="str">
        <f t="shared" si="456"/>
        <v>Ullah_2021</v>
      </c>
      <c r="N452" s="297" t="s">
        <v>4058</v>
      </c>
      <c r="O452" s="145" t="s">
        <v>1029</v>
      </c>
      <c r="Q452" s="297" t="s">
        <v>256</v>
      </c>
      <c r="R452" s="298"/>
      <c r="S452" s="1" t="s">
        <v>3942</v>
      </c>
      <c r="T452" t="s">
        <v>1030</v>
      </c>
      <c r="U452" t="s">
        <v>3946</v>
      </c>
      <c r="V452" s="253">
        <v>0</v>
      </c>
      <c r="W452" s="253">
        <v>0</v>
      </c>
      <c r="X452">
        <v>0</v>
      </c>
      <c r="Y452">
        <v>0</v>
      </c>
      <c r="Z452">
        <v>0</v>
      </c>
      <c r="AA452">
        <v>0</v>
      </c>
      <c r="AB452">
        <v>0</v>
      </c>
      <c r="AC452">
        <v>0</v>
      </c>
      <c r="AD452">
        <v>0</v>
      </c>
      <c r="AE452">
        <v>0</v>
      </c>
      <c r="AF452">
        <v>0</v>
      </c>
      <c r="AG452">
        <v>0</v>
      </c>
      <c r="AH452">
        <v>1</v>
      </c>
      <c r="AI452">
        <v>0</v>
      </c>
      <c r="AJ452">
        <v>0</v>
      </c>
      <c r="AK452">
        <v>0</v>
      </c>
      <c r="AL452">
        <v>0</v>
      </c>
      <c r="AM452">
        <v>0</v>
      </c>
      <c r="AN452">
        <v>0</v>
      </c>
      <c r="AO452">
        <v>0</v>
      </c>
      <c r="AP452">
        <v>0</v>
      </c>
      <c r="AQ452">
        <v>0</v>
      </c>
      <c r="AR452">
        <v>0</v>
      </c>
      <c r="AS452">
        <v>0</v>
      </c>
      <c r="AT452">
        <v>0</v>
      </c>
      <c r="AU452">
        <v>0</v>
      </c>
      <c r="AV452">
        <v>0</v>
      </c>
      <c r="AW452">
        <v>0</v>
      </c>
      <c r="AX452">
        <v>0</v>
      </c>
      <c r="AY452">
        <v>0</v>
      </c>
      <c r="AZ452" s="141">
        <f t="shared" si="505"/>
        <v>1</v>
      </c>
      <c r="BA452" s="141">
        <f t="shared" si="506"/>
        <v>1</v>
      </c>
      <c r="BB452">
        <f t="shared" si="507"/>
        <v>0</v>
      </c>
      <c r="BC452">
        <f t="shared" si="508"/>
        <v>1</v>
      </c>
      <c r="BD452">
        <f t="shared" si="509"/>
        <v>0</v>
      </c>
      <c r="BE452">
        <f t="shared" si="510"/>
        <v>0</v>
      </c>
      <c r="BF452">
        <f t="shared" si="511"/>
        <v>0</v>
      </c>
      <c r="BG452" t="str" cm="1">
        <f t="array" ref="BG452">IF(BA452=1,INDEX($X$7:$AN$7,MATCH(TRUE,INDEX($X452:$AY452&lt;&gt;0,),0)),IF(BA452=0,INDEX($AO$7:$AY$7,MATCH(1,$AO452:$AY452,0)),IF(BH452="Multiple strategies","mixed drivers",IF(BH452="Supply chain","multiple supply","multiple silviculture"))))</f>
        <v>supply chain organization</v>
      </c>
      <c r="BH452" s="2" t="str" cm="1">
        <f t="array" ref="BH452">IF(COUNTIF(BB452:BD452,"&lt;&gt;0")=1,INDEX($X$4:$AY$4,MATCH(TRUE,INDEX($X452:$AY452&lt;&gt;0,),0)),IF(COUNTIF(BB452:BD452,"&lt;&gt;0")=0,INDEX($AO$4:$AY$4,MATCH(1,$AO452:$AY452,0)),"Multiple strategies"))</f>
        <v>Supply chain</v>
      </c>
      <c r="BO452" s="143"/>
      <c r="BP452" s="143"/>
      <c r="BR452" t="s">
        <v>232</v>
      </c>
      <c r="BT452" t="s">
        <v>3944</v>
      </c>
      <c r="BU452">
        <v>-43.69</v>
      </c>
      <c r="BV452">
        <v>-33.36</v>
      </c>
      <c r="BW452" s="144">
        <f t="shared" si="528"/>
        <v>0.76356145571068901</v>
      </c>
      <c r="BX452" s="144">
        <f t="shared" si="529"/>
        <v>10.329999999999998</v>
      </c>
      <c r="BY452" s="144"/>
      <c r="BZ452" s="144">
        <f>BX452*1000</f>
        <v>10329.999999999998</v>
      </c>
      <c r="CA452" t="str">
        <f t="shared" si="512"/>
        <v/>
      </c>
      <c r="CB452">
        <v>1</v>
      </c>
      <c r="CC452">
        <v>0</v>
      </c>
      <c r="CD452">
        <v>0</v>
      </c>
      <c r="CE452">
        <v>0</v>
      </c>
      <c r="CF452">
        <v>0</v>
      </c>
      <c r="CG452">
        <v>0</v>
      </c>
      <c r="CH452">
        <v>0</v>
      </c>
      <c r="CI452">
        <v>0</v>
      </c>
      <c r="CJ452">
        <v>0</v>
      </c>
      <c r="CK452">
        <v>0</v>
      </c>
      <c r="CL452">
        <v>0</v>
      </c>
      <c r="CM452">
        <v>0</v>
      </c>
      <c r="CN452">
        <v>0</v>
      </c>
      <c r="CO452">
        <v>0</v>
      </c>
      <c r="CP452" t="str">
        <f t="shared" si="531"/>
        <v>refOK</v>
      </c>
      <c r="CQ452"/>
      <c r="CR452"/>
      <c r="CS452"/>
      <c r="CT452">
        <f t="shared" si="467"/>
        <v>0</v>
      </c>
      <c r="CU452">
        <f t="shared" si="498"/>
        <v>-43.69</v>
      </c>
      <c r="CV452">
        <f t="shared" si="499"/>
        <v>-33.36</v>
      </c>
      <c r="CW452">
        <f t="shared" si="513"/>
        <v>10329.999999999998</v>
      </c>
      <c r="CX452" t="str">
        <f t="shared" si="527"/>
        <v/>
      </c>
      <c r="CY452" t="str">
        <f t="shared" si="527"/>
        <v/>
      </c>
      <c r="CZ452" t="str">
        <f t="shared" si="472"/>
        <v/>
      </c>
      <c r="DA452" s="2">
        <f t="shared" si="514"/>
        <v>0.23643854428931102</v>
      </c>
      <c r="DB452" s="1" t="s">
        <v>263</v>
      </c>
      <c r="DC452" s="297" t="str">
        <f t="shared" si="515"/>
        <v>loc</v>
      </c>
      <c r="DD452" t="s">
        <v>3945</v>
      </c>
      <c r="DG452">
        <f t="shared" si="532"/>
        <v>0</v>
      </c>
      <c r="DH452" t="str">
        <f t="shared" si="516"/>
        <v>0</v>
      </c>
      <c r="DI452">
        <v>0</v>
      </c>
      <c r="DJ452">
        <v>0</v>
      </c>
      <c r="DK452">
        <v>0</v>
      </c>
      <c r="DL452">
        <v>1</v>
      </c>
      <c r="DN452">
        <f t="shared" si="503"/>
        <v>1</v>
      </c>
      <c r="DO452" t="str">
        <f t="shared" si="517"/>
        <v>TimberInput</v>
      </c>
      <c r="DP452">
        <f t="shared" si="518"/>
        <v>0</v>
      </c>
      <c r="DQ452">
        <f t="shared" si="519"/>
        <v>0</v>
      </c>
      <c r="DR452">
        <f t="shared" si="520"/>
        <v>0</v>
      </c>
      <c r="DS452" t="str">
        <f t="shared" si="521"/>
        <v>Timber</v>
      </c>
      <c r="DT452">
        <v>0</v>
      </c>
      <c r="DU452">
        <v>0</v>
      </c>
      <c r="DV452">
        <v>0</v>
      </c>
      <c r="DW452">
        <v>0</v>
      </c>
      <c r="DX452">
        <v>0</v>
      </c>
      <c r="DY452">
        <f t="shared" si="504"/>
        <v>0</v>
      </c>
      <c r="DZ452" s="143" t="str">
        <f t="shared" si="522"/>
        <v>explicit C balance</v>
      </c>
      <c r="EA452">
        <v>0</v>
      </c>
      <c r="EB452">
        <v>0</v>
      </c>
      <c r="EC452">
        <v>0</v>
      </c>
      <c r="ED452">
        <v>1</v>
      </c>
      <c r="EE452">
        <v>0</v>
      </c>
      <c r="EF452" s="143">
        <v>0</v>
      </c>
      <c r="EG452">
        <v>1</v>
      </c>
      <c r="EH452">
        <v>1</v>
      </c>
      <c r="EI452">
        <v>0</v>
      </c>
      <c r="EJ452">
        <v>0</v>
      </c>
      <c r="EK452">
        <v>0</v>
      </c>
      <c r="EL452">
        <v>0</v>
      </c>
      <c r="EM452">
        <v>0</v>
      </c>
      <c r="EN452" s="2">
        <v>0</v>
      </c>
      <c r="EP452" t="str">
        <f t="shared" si="484"/>
        <v/>
      </c>
      <c r="EQ452" t="str">
        <f t="shared" si="523"/>
        <v/>
      </c>
      <c r="ER452" s="2" t="str">
        <f t="shared" si="524"/>
        <v>Technology approach</v>
      </c>
      <c r="ES452" t="str">
        <f t="shared" si="525"/>
        <v/>
      </c>
      <c r="ET452" t="str">
        <f t="shared" si="526"/>
        <v/>
      </c>
      <c r="EU452" t="str">
        <f t="shared" si="489"/>
        <v/>
      </c>
      <c r="EY452" t="b">
        <f>IF(ISNUMBER(BW452),IF(ABS(BW452-[1]QC_indicators!$B$2)&gt;3*[1]QC_indicators!$C$2,"C ratio",IF(ISNUMBER(CA452),IF(ABS(CA452-[1]QC_indicators!$B$1)&gt;3*[1]QC_indicators!$C$1,"DF","no"))),IF(ISNUMBER(CA452),IF(ABS(CA452-[1]QC_indicators!$B$1)&gt;3*[1]QC_indicators!$C$1,"DF","no")))</f>
        <v>0</v>
      </c>
      <c r="FA452" t="str">
        <f t="shared" si="490"/>
        <v/>
      </c>
    </row>
    <row r="453" spans="1:157" ht="15" hidden="1" customHeight="1">
      <c r="A453" s="1" t="s">
        <v>3947</v>
      </c>
      <c r="B453" t="s">
        <v>3948</v>
      </c>
      <c r="C453" t="s">
        <v>3949</v>
      </c>
      <c r="D453" t="s">
        <v>3950</v>
      </c>
      <c r="E453" t="s">
        <v>3951</v>
      </c>
      <c r="F453" t="s">
        <v>3952</v>
      </c>
      <c r="G453" t="s">
        <v>3953</v>
      </c>
      <c r="H453" t="s">
        <v>254</v>
      </c>
      <c r="I453">
        <v>2021</v>
      </c>
      <c r="J453">
        <v>0</v>
      </c>
      <c r="K453" t="s">
        <v>3954</v>
      </c>
      <c r="M453" t="str">
        <f t="shared" si="456"/>
        <v>Vanova_2021</v>
      </c>
      <c r="N453" s="297" t="s">
        <v>4058</v>
      </c>
      <c r="O453" s="145" t="s">
        <v>1029</v>
      </c>
      <c r="Q453" s="297" t="s">
        <v>256</v>
      </c>
      <c r="R453" s="298"/>
      <c r="S453" s="1" t="s">
        <v>3959</v>
      </c>
      <c r="T453" t="s">
        <v>3960</v>
      </c>
      <c r="U453" t="s">
        <v>3966</v>
      </c>
      <c r="X453">
        <v>0</v>
      </c>
      <c r="Y453">
        <v>0</v>
      </c>
      <c r="Z453">
        <v>0</v>
      </c>
      <c r="AA453">
        <v>0</v>
      </c>
      <c r="AB453">
        <v>0</v>
      </c>
      <c r="AC453">
        <v>0</v>
      </c>
      <c r="AD453">
        <v>0</v>
      </c>
      <c r="AE453">
        <v>0</v>
      </c>
      <c r="AF453">
        <v>0</v>
      </c>
      <c r="AG453">
        <v>0</v>
      </c>
      <c r="AH453">
        <v>0</v>
      </c>
      <c r="AI453">
        <v>0</v>
      </c>
      <c r="AJ453">
        <v>0</v>
      </c>
      <c r="AK453">
        <v>0</v>
      </c>
      <c r="AL453">
        <v>0</v>
      </c>
      <c r="AM453">
        <v>1</v>
      </c>
      <c r="AN453">
        <v>0</v>
      </c>
      <c r="AO453">
        <v>0</v>
      </c>
      <c r="AP453">
        <v>0</v>
      </c>
      <c r="AQ453">
        <v>0</v>
      </c>
      <c r="AR453">
        <v>0</v>
      </c>
      <c r="AS453">
        <v>0</v>
      </c>
      <c r="AT453">
        <v>0</v>
      </c>
      <c r="AU453">
        <v>0</v>
      </c>
      <c r="AV453">
        <v>0</v>
      </c>
      <c r="AW453">
        <v>0</v>
      </c>
      <c r="AX453">
        <v>0</v>
      </c>
      <c r="AY453">
        <v>0</v>
      </c>
      <c r="AZ453" s="141">
        <f t="shared" si="505"/>
        <v>1</v>
      </c>
      <c r="BA453" s="141">
        <f t="shared" si="506"/>
        <v>1</v>
      </c>
      <c r="BB453">
        <f t="shared" si="507"/>
        <v>0</v>
      </c>
      <c r="BC453">
        <f t="shared" si="508"/>
        <v>0</v>
      </c>
      <c r="BD453">
        <f t="shared" si="509"/>
        <v>1</v>
      </c>
      <c r="BE453">
        <f t="shared" si="510"/>
        <v>0</v>
      </c>
      <c r="BF453">
        <f t="shared" si="511"/>
        <v>0</v>
      </c>
      <c r="BG453" t="str" cm="1">
        <f t="array" ref="BG453">IF(BA453=1,INDEX($X$7:$AN$7,MATCH(TRUE,INDEX($X453:$AY453&lt;&gt;0,),0)),IF(BA453=0,INDEX($AO$7:$AY$7,MATCH(1,$AO453:$AY453,0)),IF(BH453="Multiple strategies","mixed drivers",IF(BH453="Supply chain","multiple supply","multiple silviculture"))))</f>
        <v>technologies/design switch</v>
      </c>
      <c r="BH453" s="2" t="str" cm="1">
        <f t="array" ref="BH453">IF(COUNTIF(BB453:BD453,"&lt;&gt;0")=1,INDEX($X$4:$AY$4,MATCH(TRUE,INDEX($X453:$AY453&lt;&gt;0,),0)),IF(COUNTIF(BB453:BD453,"&lt;&gt;0")=0,INDEX($AO$4:$AY$4,MATCH(1,$AO453:$AY453,0)),"Multiple strategies"))</f>
        <v>Technology</v>
      </c>
      <c r="BO453" s="143"/>
      <c r="BP453" s="143"/>
      <c r="BR453" t="s">
        <v>232</v>
      </c>
      <c r="BT453" t="s">
        <v>3958</v>
      </c>
      <c r="BU453">
        <v>235.89</v>
      </c>
      <c r="BV453">
        <v>391.81</v>
      </c>
      <c r="BW453" s="144">
        <f t="shared" si="528"/>
        <v>1.6609860528212304</v>
      </c>
      <c r="BX453" s="144">
        <f t="shared" si="529"/>
        <v>155.92000000000002</v>
      </c>
      <c r="BY453" s="144"/>
      <c r="BZ453" s="144"/>
      <c r="CA453" t="str">
        <f t="shared" si="512"/>
        <v/>
      </c>
      <c r="CB453">
        <v>1</v>
      </c>
      <c r="CC453">
        <v>0</v>
      </c>
      <c r="CD453">
        <v>0</v>
      </c>
      <c r="CE453">
        <v>0</v>
      </c>
      <c r="CF453">
        <v>0</v>
      </c>
      <c r="CG453">
        <v>0</v>
      </c>
      <c r="CH453">
        <v>0</v>
      </c>
      <c r="CI453">
        <v>0</v>
      </c>
      <c r="CJ453">
        <v>0</v>
      </c>
      <c r="CK453">
        <v>0</v>
      </c>
      <c r="CL453">
        <v>0</v>
      </c>
      <c r="CM453">
        <v>0</v>
      </c>
      <c r="CN453">
        <v>0</v>
      </c>
      <c r="CO453">
        <v>0</v>
      </c>
      <c r="CP453" t="str">
        <f t="shared" si="531"/>
        <v>refOK</v>
      </c>
      <c r="CQ453"/>
      <c r="CR453"/>
      <c r="CS453"/>
      <c r="CT453">
        <f t="shared" si="467"/>
        <v>0</v>
      </c>
      <c r="CU453">
        <f t="shared" ref="CU453:CU484" si="533">IF($CP453="refOK",$BU453,$BV453)*IF($BR453="Emissions positive",-1,1)</f>
        <v>235.89</v>
      </c>
      <c r="CV453">
        <f t="shared" ref="CV453:CV484" si="534">IF($CP453="refOK",$BV453,$BU453)*IF($BR453="Emissions positive",-1,1)</f>
        <v>391.81</v>
      </c>
      <c r="CW453">
        <f t="shared" si="513"/>
        <v>0</v>
      </c>
      <c r="CX453" t="str">
        <f t="shared" si="527"/>
        <v/>
      </c>
      <c r="CY453" t="str">
        <f t="shared" si="527"/>
        <v/>
      </c>
      <c r="CZ453" t="str">
        <f t="shared" si="472"/>
        <v/>
      </c>
      <c r="DA453" s="2">
        <f t="shared" si="514"/>
        <v>0.66098605282123035</v>
      </c>
      <c r="DB453" s="1" t="s">
        <v>263</v>
      </c>
      <c r="DC453" s="297" t="str">
        <f t="shared" si="515"/>
        <v>loc</v>
      </c>
      <c r="DD453" s="297" t="s">
        <v>729</v>
      </c>
      <c r="DG453">
        <f t="shared" si="532"/>
        <v>0</v>
      </c>
      <c r="DH453" t="str">
        <f t="shared" si="516"/>
        <v>0</v>
      </c>
      <c r="DI453">
        <v>0</v>
      </c>
      <c r="DJ453">
        <v>0</v>
      </c>
      <c r="DK453">
        <v>0</v>
      </c>
      <c r="DL453">
        <v>1</v>
      </c>
      <c r="DN453">
        <f t="shared" si="503"/>
        <v>1</v>
      </c>
      <c r="DO453" t="str">
        <f t="shared" si="517"/>
        <v>TimberInput</v>
      </c>
      <c r="DP453">
        <f t="shared" si="518"/>
        <v>0</v>
      </c>
      <c r="DQ453">
        <f t="shared" si="519"/>
        <v>0</v>
      </c>
      <c r="DR453">
        <f t="shared" si="520"/>
        <v>0</v>
      </c>
      <c r="DS453" t="str">
        <f t="shared" si="521"/>
        <v>Timber</v>
      </c>
      <c r="DT453">
        <v>0</v>
      </c>
      <c r="DU453">
        <v>0</v>
      </c>
      <c r="DV453">
        <v>0</v>
      </c>
      <c r="DW453">
        <v>0</v>
      </c>
      <c r="DX453">
        <v>0</v>
      </c>
      <c r="DY453">
        <f t="shared" si="504"/>
        <v>0</v>
      </c>
      <c r="DZ453" s="143" t="str">
        <f t="shared" si="522"/>
        <v>explicit C balance</v>
      </c>
      <c r="EA453">
        <v>0</v>
      </c>
      <c r="EB453">
        <v>0</v>
      </c>
      <c r="EC453">
        <v>0</v>
      </c>
      <c r="ED453">
        <v>0</v>
      </c>
      <c r="EE453">
        <v>0</v>
      </c>
      <c r="EF453" s="143">
        <v>0</v>
      </c>
      <c r="EG453">
        <v>0</v>
      </c>
      <c r="EH453">
        <v>1</v>
      </c>
      <c r="EI453">
        <v>0</v>
      </c>
      <c r="EJ453">
        <v>0</v>
      </c>
      <c r="EK453">
        <v>0</v>
      </c>
      <c r="EL453">
        <v>0</v>
      </c>
      <c r="EM453">
        <v>0</v>
      </c>
      <c r="EN453" s="2">
        <v>0</v>
      </c>
      <c r="EP453" t="str">
        <f t="shared" si="484"/>
        <v/>
      </c>
      <c r="EQ453" t="str">
        <f t="shared" si="523"/>
        <v/>
      </c>
      <c r="ER453" s="2" t="str">
        <f t="shared" si="524"/>
        <v/>
      </c>
      <c r="ES453" t="str">
        <f t="shared" si="525"/>
        <v/>
      </c>
      <c r="ET453" t="str">
        <f t="shared" si="526"/>
        <v/>
      </c>
      <c r="EU453" t="str">
        <f t="shared" si="489"/>
        <v/>
      </c>
      <c r="EY453" t="b">
        <f>IF(ISNUMBER(BW453),IF(ABS(BW453-[1]QC_indicators!$B$2)&gt;3*[1]QC_indicators!$C$2,"C ratio",IF(ISNUMBER(CA453),IF(ABS(CA453-[1]QC_indicators!$B$1)&gt;3*[1]QC_indicators!$C$1,"DF","no"))),IF(ISNUMBER(CA453),IF(ABS(CA453-[1]QC_indicators!$B$1)&gt;3*[1]QC_indicators!$C$1,"DF","no")))</f>
        <v>0</v>
      </c>
      <c r="FA453" t="str">
        <f t="shared" si="490"/>
        <v/>
      </c>
    </row>
    <row r="454" spans="1:157" ht="15" hidden="1" customHeight="1">
      <c r="A454" s="1" t="s">
        <v>3947</v>
      </c>
      <c r="B454" t="s">
        <v>3948</v>
      </c>
      <c r="C454" t="s">
        <v>3949</v>
      </c>
      <c r="D454" t="s">
        <v>3950</v>
      </c>
      <c r="E454" t="s">
        <v>3951</v>
      </c>
      <c r="F454" t="s">
        <v>3952</v>
      </c>
      <c r="G454" t="s">
        <v>3953</v>
      </c>
      <c r="H454" t="s">
        <v>254</v>
      </c>
      <c r="I454">
        <v>2021</v>
      </c>
      <c r="J454">
        <v>0</v>
      </c>
      <c r="K454" t="s">
        <v>3954</v>
      </c>
      <c r="M454" t="str">
        <f t="shared" si="456"/>
        <v>Vanova_2021</v>
      </c>
      <c r="N454" s="297" t="s">
        <v>4058</v>
      </c>
      <c r="O454" s="145" t="s">
        <v>1029</v>
      </c>
      <c r="Q454" s="297" t="s">
        <v>256</v>
      </c>
      <c r="R454" s="298"/>
      <c r="S454" s="1" t="s">
        <v>3959</v>
      </c>
      <c r="T454" t="s">
        <v>3962</v>
      </c>
      <c r="U454" t="s">
        <v>3967</v>
      </c>
      <c r="X454">
        <v>0</v>
      </c>
      <c r="Y454">
        <v>0</v>
      </c>
      <c r="Z454">
        <v>0</v>
      </c>
      <c r="AA454">
        <v>0</v>
      </c>
      <c r="AB454">
        <v>0</v>
      </c>
      <c r="AC454">
        <v>0</v>
      </c>
      <c r="AD454">
        <v>0</v>
      </c>
      <c r="AE454">
        <v>0</v>
      </c>
      <c r="AF454">
        <v>0</v>
      </c>
      <c r="AG454">
        <v>0</v>
      </c>
      <c r="AH454">
        <v>0</v>
      </c>
      <c r="AI454">
        <v>0</v>
      </c>
      <c r="AJ454">
        <v>0</v>
      </c>
      <c r="AK454">
        <v>0</v>
      </c>
      <c r="AL454">
        <v>0</v>
      </c>
      <c r="AM454">
        <v>1</v>
      </c>
      <c r="AN454">
        <v>0</v>
      </c>
      <c r="AO454">
        <v>0</v>
      </c>
      <c r="AP454">
        <v>0</v>
      </c>
      <c r="AQ454">
        <v>0</v>
      </c>
      <c r="AR454">
        <v>0</v>
      </c>
      <c r="AS454">
        <v>0</v>
      </c>
      <c r="AT454">
        <v>0</v>
      </c>
      <c r="AU454">
        <v>0</v>
      </c>
      <c r="AV454">
        <v>0</v>
      </c>
      <c r="AW454">
        <v>0</v>
      </c>
      <c r="AX454">
        <v>0</v>
      </c>
      <c r="AY454">
        <v>0</v>
      </c>
      <c r="AZ454" s="141">
        <f t="shared" si="505"/>
        <v>1</v>
      </c>
      <c r="BA454" s="141">
        <f t="shared" si="506"/>
        <v>1</v>
      </c>
      <c r="BB454">
        <f t="shared" si="507"/>
        <v>0</v>
      </c>
      <c r="BC454">
        <f t="shared" si="508"/>
        <v>0</v>
      </c>
      <c r="BD454">
        <f t="shared" si="509"/>
        <v>1</v>
      </c>
      <c r="BE454">
        <f t="shared" si="510"/>
        <v>0</v>
      </c>
      <c r="BF454">
        <f t="shared" si="511"/>
        <v>0</v>
      </c>
      <c r="BG454" t="str" cm="1">
        <f t="array" ref="BG454">IF(BA454=1,INDEX($X$7:$AN$7,MATCH(TRUE,INDEX($X454:$AY454&lt;&gt;0,),0)),IF(BA454=0,INDEX($AO$7:$AY$7,MATCH(1,$AO454:$AY454,0)),IF(BH454="Multiple strategies","mixed drivers",IF(BH454="Supply chain","multiple supply","multiple silviculture"))))</f>
        <v>technologies/design switch</v>
      </c>
      <c r="BH454" s="2" t="str" cm="1">
        <f t="array" ref="BH454">IF(COUNTIF(BB454:BD454,"&lt;&gt;0")=1,INDEX($X$4:$AY$4,MATCH(TRUE,INDEX($X454:$AY454&lt;&gt;0,),0)),IF(COUNTIF(BB454:BD454,"&lt;&gt;0")=0,INDEX($AO$4:$AY$4,MATCH(1,$AO454:$AY454,0)),"Multiple strategies"))</f>
        <v>Technology</v>
      </c>
      <c r="BO454" s="143"/>
      <c r="BP454" s="143"/>
      <c r="BR454" t="s">
        <v>232</v>
      </c>
      <c r="BT454" t="s">
        <v>3958</v>
      </c>
      <c r="BU454">
        <v>256.02999999999997</v>
      </c>
      <c r="BV454">
        <v>515.05999999999995</v>
      </c>
      <c r="BW454" s="144">
        <f t="shared" si="528"/>
        <v>2.0117173768698979</v>
      </c>
      <c r="BX454" s="144">
        <f t="shared" si="529"/>
        <v>259.02999999999997</v>
      </c>
      <c r="BY454" s="144"/>
      <c r="BZ454" s="144"/>
      <c r="CA454" t="str">
        <f t="shared" si="512"/>
        <v/>
      </c>
      <c r="CB454">
        <v>1</v>
      </c>
      <c r="CC454">
        <v>0</v>
      </c>
      <c r="CD454">
        <v>0</v>
      </c>
      <c r="CE454">
        <v>0</v>
      </c>
      <c r="CF454">
        <v>0</v>
      </c>
      <c r="CG454">
        <v>0</v>
      </c>
      <c r="CH454">
        <v>0</v>
      </c>
      <c r="CI454">
        <v>0</v>
      </c>
      <c r="CJ454">
        <v>0</v>
      </c>
      <c r="CK454">
        <v>0</v>
      </c>
      <c r="CL454">
        <v>0</v>
      </c>
      <c r="CM454">
        <v>0</v>
      </c>
      <c r="CN454">
        <v>0</v>
      </c>
      <c r="CO454">
        <v>0</v>
      </c>
      <c r="CP454" t="str">
        <f t="shared" si="531"/>
        <v>refOK</v>
      </c>
      <c r="CQ454"/>
      <c r="CR454"/>
      <c r="CS454"/>
      <c r="CT454">
        <f t="shared" si="467"/>
        <v>0</v>
      </c>
      <c r="CU454">
        <f t="shared" si="533"/>
        <v>256.02999999999997</v>
      </c>
      <c r="CV454">
        <f t="shared" si="534"/>
        <v>515.05999999999995</v>
      </c>
      <c r="CW454">
        <f t="shared" si="513"/>
        <v>0</v>
      </c>
      <c r="CX454" t="str">
        <f t="shared" si="527"/>
        <v/>
      </c>
      <c r="CY454" t="str">
        <f t="shared" si="527"/>
        <v/>
      </c>
      <c r="CZ454" t="str">
        <f t="shared" si="472"/>
        <v/>
      </c>
      <c r="DA454" s="2">
        <f t="shared" si="514"/>
        <v>1.0117173768698982</v>
      </c>
      <c r="DB454" s="1" t="s">
        <v>263</v>
      </c>
      <c r="DC454" s="297" t="str">
        <f t="shared" si="515"/>
        <v>loc</v>
      </c>
      <c r="DD454" s="297" t="s">
        <v>729</v>
      </c>
      <c r="DG454">
        <f t="shared" si="532"/>
        <v>0</v>
      </c>
      <c r="DH454" t="str">
        <f t="shared" si="516"/>
        <v>0</v>
      </c>
      <c r="DI454">
        <v>0</v>
      </c>
      <c r="DJ454">
        <v>0</v>
      </c>
      <c r="DK454">
        <v>0</v>
      </c>
      <c r="DL454">
        <v>1</v>
      </c>
      <c r="DN454">
        <f t="shared" si="503"/>
        <v>1</v>
      </c>
      <c r="DO454" t="str">
        <f t="shared" si="517"/>
        <v>TimberInput</v>
      </c>
      <c r="DP454">
        <f t="shared" si="518"/>
        <v>0</v>
      </c>
      <c r="DQ454">
        <f t="shared" si="519"/>
        <v>0</v>
      </c>
      <c r="DR454">
        <f t="shared" si="520"/>
        <v>0</v>
      </c>
      <c r="DS454" t="str">
        <f t="shared" si="521"/>
        <v>Timber</v>
      </c>
      <c r="DT454">
        <v>0</v>
      </c>
      <c r="DU454">
        <v>0</v>
      </c>
      <c r="DV454">
        <v>0</v>
      </c>
      <c r="DW454">
        <v>0</v>
      </c>
      <c r="DX454">
        <v>0</v>
      </c>
      <c r="DY454">
        <f t="shared" si="504"/>
        <v>0</v>
      </c>
      <c r="DZ454" s="143" t="str">
        <f t="shared" si="522"/>
        <v>explicit C balance</v>
      </c>
      <c r="EA454">
        <v>0</v>
      </c>
      <c r="EB454">
        <v>0</v>
      </c>
      <c r="EC454">
        <v>0</v>
      </c>
      <c r="ED454">
        <v>0</v>
      </c>
      <c r="EE454">
        <v>0</v>
      </c>
      <c r="EF454" s="143">
        <v>0</v>
      </c>
      <c r="EG454">
        <v>0</v>
      </c>
      <c r="EH454">
        <v>1</v>
      </c>
      <c r="EI454">
        <v>0</v>
      </c>
      <c r="EJ454">
        <v>0</v>
      </c>
      <c r="EK454">
        <v>0</v>
      </c>
      <c r="EL454">
        <v>0</v>
      </c>
      <c r="EM454">
        <v>0</v>
      </c>
      <c r="EN454" s="2">
        <v>0</v>
      </c>
      <c r="EP454" t="str">
        <f t="shared" si="484"/>
        <v/>
      </c>
      <c r="EQ454" t="str">
        <f t="shared" si="523"/>
        <v/>
      </c>
      <c r="ER454" s="2" t="str">
        <f t="shared" si="524"/>
        <v/>
      </c>
      <c r="ES454" t="str">
        <f t="shared" si="525"/>
        <v/>
      </c>
      <c r="ET454" t="str">
        <f t="shared" si="526"/>
        <v/>
      </c>
      <c r="EU454" t="str">
        <f t="shared" si="489"/>
        <v/>
      </c>
      <c r="EY454" t="b">
        <f>IF(ISNUMBER(BW454),IF(ABS(BW454-[1]QC_indicators!$B$2)&gt;3*[1]QC_indicators!$C$2,"C ratio",IF(ISNUMBER(CA454),IF(ABS(CA454-[1]QC_indicators!$B$1)&gt;3*[1]QC_indicators!$C$1,"DF","no"))),IF(ISNUMBER(CA454),IF(ABS(CA454-[1]QC_indicators!$B$1)&gt;3*[1]QC_indicators!$C$1,"DF","no")))</f>
        <v>0</v>
      </c>
      <c r="FA454" t="str">
        <f t="shared" si="490"/>
        <v/>
      </c>
    </row>
    <row r="455" spans="1:157" ht="15" hidden="1" customHeight="1">
      <c r="A455" s="1" t="s">
        <v>3947</v>
      </c>
      <c r="B455" t="s">
        <v>3948</v>
      </c>
      <c r="C455" t="s">
        <v>3949</v>
      </c>
      <c r="D455" t="s">
        <v>3950</v>
      </c>
      <c r="E455" t="s">
        <v>3951</v>
      </c>
      <c r="F455" t="s">
        <v>3952</v>
      </c>
      <c r="G455" t="s">
        <v>3953</v>
      </c>
      <c r="H455" t="s">
        <v>254</v>
      </c>
      <c r="I455">
        <v>2021</v>
      </c>
      <c r="J455">
        <v>0</v>
      </c>
      <c r="K455" t="s">
        <v>3954</v>
      </c>
      <c r="M455" t="str">
        <f t="shared" si="456"/>
        <v>Vanova_2021</v>
      </c>
      <c r="N455" s="297" t="s">
        <v>4058</v>
      </c>
      <c r="O455" s="145" t="s">
        <v>1029</v>
      </c>
      <c r="Q455" s="297" t="s">
        <v>256</v>
      </c>
      <c r="R455" s="298"/>
      <c r="S455" s="1" t="s">
        <v>3963</v>
      </c>
      <c r="T455" t="s">
        <v>3964</v>
      </c>
      <c r="U455" t="s">
        <v>3965</v>
      </c>
      <c r="X455">
        <v>0</v>
      </c>
      <c r="Y455">
        <v>0</v>
      </c>
      <c r="Z455">
        <v>0</v>
      </c>
      <c r="AA455">
        <v>0</v>
      </c>
      <c r="AB455">
        <v>1</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s="141">
        <f t="shared" si="505"/>
        <v>1</v>
      </c>
      <c r="BA455" s="141">
        <f t="shared" si="506"/>
        <v>1</v>
      </c>
      <c r="BB455">
        <f t="shared" si="507"/>
        <v>1</v>
      </c>
      <c r="BC455">
        <f t="shared" si="508"/>
        <v>0</v>
      </c>
      <c r="BD455">
        <f t="shared" si="509"/>
        <v>0</v>
      </c>
      <c r="BE455">
        <f t="shared" si="510"/>
        <v>0</v>
      </c>
      <c r="BF455">
        <f t="shared" si="511"/>
        <v>0</v>
      </c>
      <c r="BG455" t="str" cm="1">
        <f t="array" ref="BG455">IF(BA455=1,INDEX($X$7:$AN$7,MATCH(TRUE,INDEX($X455:$AY455&lt;&gt;0,),0)),IF(BA455=0,INDEX($AO$7:$AY$7,MATCH(1,$AO455:$AY455,0)),IF(BH455="Multiple strategies","mixed drivers",IF(BH455="Supply chain","multiple supply","multiple silviculture"))))</f>
        <v>species</v>
      </c>
      <c r="BH455" s="2" t="str" cm="1">
        <f t="array" ref="BH455">IF(COUNTIF(BB455:BD455,"&lt;&gt;0")=1,INDEX($X$4:$AY$4,MATCH(TRUE,INDEX($X455:$AY455&lt;&gt;0,),0)),IF(COUNTIF(BB455:BD455,"&lt;&gt;0")=0,INDEX($AO$4:$AY$4,MATCH(1,$AO455:$AY455,0)),"Multiple strategies"))</f>
        <v>Silviculture for productivity</v>
      </c>
      <c r="BO455" s="143"/>
      <c r="BP455" s="143"/>
      <c r="BR455" t="s">
        <v>232</v>
      </c>
      <c r="BT455" t="s">
        <v>3958</v>
      </c>
      <c r="BU455">
        <v>25.31</v>
      </c>
      <c r="BV455">
        <v>18.829999999999998</v>
      </c>
      <c r="BW455" s="144">
        <f t="shared" si="528"/>
        <v>0.74397471355195577</v>
      </c>
      <c r="BX455" s="144">
        <f t="shared" si="529"/>
        <v>-6.48</v>
      </c>
      <c r="BY455" s="144"/>
      <c r="BZ455" s="144"/>
      <c r="CA455" t="str">
        <f t="shared" si="512"/>
        <v/>
      </c>
      <c r="CB455">
        <v>1</v>
      </c>
      <c r="CC455">
        <v>0</v>
      </c>
      <c r="CD455">
        <v>0</v>
      </c>
      <c r="CE455">
        <v>0</v>
      </c>
      <c r="CF455">
        <v>0</v>
      </c>
      <c r="CG455">
        <v>0</v>
      </c>
      <c r="CH455">
        <v>0</v>
      </c>
      <c r="CI455">
        <v>0</v>
      </c>
      <c r="CJ455">
        <v>0</v>
      </c>
      <c r="CK455">
        <v>0</v>
      </c>
      <c r="CL455">
        <v>0</v>
      </c>
      <c r="CM455">
        <v>0</v>
      </c>
      <c r="CN455">
        <v>0</v>
      </c>
      <c r="CO455">
        <v>0</v>
      </c>
      <c r="CP455" t="str">
        <f t="shared" si="531"/>
        <v>refOK</v>
      </c>
      <c r="CQ455"/>
      <c r="CR455"/>
      <c r="CS455"/>
      <c r="CT455">
        <f t="shared" si="467"/>
        <v>0</v>
      </c>
      <c r="CU455">
        <f t="shared" si="533"/>
        <v>25.31</v>
      </c>
      <c r="CV455">
        <f t="shared" si="534"/>
        <v>18.829999999999998</v>
      </c>
      <c r="CW455">
        <f t="shared" si="513"/>
        <v>0</v>
      </c>
      <c r="CX455" t="str">
        <f t="shared" si="527"/>
        <v/>
      </c>
      <c r="CY455" t="str">
        <f t="shared" si="527"/>
        <v/>
      </c>
      <c r="CZ455" t="str">
        <f t="shared" si="472"/>
        <v/>
      </c>
      <c r="DA455" s="2">
        <f t="shared" si="514"/>
        <v>-0.25602528644804429</v>
      </c>
      <c r="DB455" s="1" t="s">
        <v>263</v>
      </c>
      <c r="DC455" s="297" t="str">
        <f t="shared" si="515"/>
        <v>loc</v>
      </c>
      <c r="DD455" s="297" t="s">
        <v>729</v>
      </c>
      <c r="DG455">
        <f t="shared" si="532"/>
        <v>0</v>
      </c>
      <c r="DH455" t="str">
        <f t="shared" si="516"/>
        <v>0</v>
      </c>
      <c r="DI455">
        <v>0</v>
      </c>
      <c r="DJ455">
        <v>0</v>
      </c>
      <c r="DK455">
        <v>0</v>
      </c>
      <c r="DL455">
        <v>1</v>
      </c>
      <c r="DN455">
        <f t="shared" si="503"/>
        <v>1</v>
      </c>
      <c r="DO455" t="str">
        <f t="shared" si="517"/>
        <v>TimberInput</v>
      </c>
      <c r="DP455">
        <f t="shared" si="518"/>
        <v>0</v>
      </c>
      <c r="DQ455">
        <f t="shared" si="519"/>
        <v>0</v>
      </c>
      <c r="DR455">
        <f t="shared" si="520"/>
        <v>0</v>
      </c>
      <c r="DS455" t="str">
        <f t="shared" si="521"/>
        <v>Timber</v>
      </c>
      <c r="DT455">
        <v>0</v>
      </c>
      <c r="DU455">
        <v>0</v>
      </c>
      <c r="DV455">
        <v>0</v>
      </c>
      <c r="DW455">
        <v>0</v>
      </c>
      <c r="DX455">
        <v>0</v>
      </c>
      <c r="DY455">
        <f t="shared" si="504"/>
        <v>0</v>
      </c>
      <c r="DZ455" s="143" t="str">
        <f t="shared" si="522"/>
        <v>explicit C balance</v>
      </c>
      <c r="EA455">
        <v>0</v>
      </c>
      <c r="EB455">
        <v>0</v>
      </c>
      <c r="EC455">
        <v>0</v>
      </c>
      <c r="ED455">
        <v>0</v>
      </c>
      <c r="EE455">
        <v>0</v>
      </c>
      <c r="EF455" s="143">
        <v>0</v>
      </c>
      <c r="EG455">
        <v>0</v>
      </c>
      <c r="EH455">
        <v>1</v>
      </c>
      <c r="EI455">
        <v>0</v>
      </c>
      <c r="EJ455">
        <v>0</v>
      </c>
      <c r="EK455">
        <v>0</v>
      </c>
      <c r="EL455">
        <v>0</v>
      </c>
      <c r="EM455">
        <v>0</v>
      </c>
      <c r="EN455" s="2">
        <v>0</v>
      </c>
      <c r="EP455" t="str">
        <f t="shared" si="484"/>
        <v/>
      </c>
      <c r="EQ455" t="str">
        <f t="shared" si="523"/>
        <v/>
      </c>
      <c r="ER455" s="2" t="str">
        <f t="shared" si="524"/>
        <v/>
      </c>
      <c r="ES455" t="str">
        <f t="shared" si="525"/>
        <v/>
      </c>
      <c r="ET455" t="str">
        <f t="shared" si="526"/>
        <v/>
      </c>
      <c r="EU455" t="str">
        <f t="shared" si="489"/>
        <v/>
      </c>
      <c r="EY455" t="b">
        <f>IF(ISNUMBER(BW455),IF(ABS(BW455-[1]QC_indicators!$B$2)&gt;3*[1]QC_indicators!$C$2,"C ratio",IF(ISNUMBER(CA455),IF(ABS(CA455-[1]QC_indicators!$B$1)&gt;3*[1]QC_indicators!$C$1,"DF","no"))),IF(ISNUMBER(CA455),IF(ABS(CA455-[1]QC_indicators!$B$1)&gt;3*[1]QC_indicators!$C$1,"DF","no")))</f>
        <v>0</v>
      </c>
      <c r="FA455" t="str">
        <f t="shared" si="490"/>
        <v/>
      </c>
    </row>
    <row r="456" spans="1:157" ht="15" hidden="1" customHeight="1">
      <c r="A456" s="1" t="s">
        <v>3947</v>
      </c>
      <c r="B456" t="s">
        <v>3948</v>
      </c>
      <c r="C456" t="s">
        <v>3949</v>
      </c>
      <c r="D456" t="s">
        <v>3950</v>
      </c>
      <c r="E456" t="s">
        <v>3951</v>
      </c>
      <c r="F456" t="s">
        <v>3952</v>
      </c>
      <c r="G456" t="s">
        <v>3953</v>
      </c>
      <c r="H456" t="s">
        <v>254</v>
      </c>
      <c r="I456">
        <v>2021</v>
      </c>
      <c r="J456">
        <v>0</v>
      </c>
      <c r="K456" t="s">
        <v>3954</v>
      </c>
      <c r="M456" t="str">
        <f t="shared" ref="M456:M519" si="535">LEFT($D456,FIND(",",$D456)-1)&amp;"_"&amp;I456&amp;L456</f>
        <v>Vanova_2021</v>
      </c>
      <c r="N456" s="297" t="s">
        <v>4058</v>
      </c>
      <c r="O456" s="145" t="s">
        <v>1029</v>
      </c>
      <c r="Q456" s="297" t="s">
        <v>256</v>
      </c>
      <c r="R456" s="298"/>
      <c r="S456" s="1" t="s">
        <v>3955</v>
      </c>
      <c r="T456" t="s">
        <v>3956</v>
      </c>
      <c r="U456" t="s">
        <v>3957</v>
      </c>
      <c r="X456">
        <v>0</v>
      </c>
      <c r="Y456">
        <v>0</v>
      </c>
      <c r="Z456">
        <v>0</v>
      </c>
      <c r="AA456">
        <v>0</v>
      </c>
      <c r="AB456">
        <v>0</v>
      </c>
      <c r="AC456">
        <v>0</v>
      </c>
      <c r="AD456">
        <v>0</v>
      </c>
      <c r="AE456">
        <v>0</v>
      </c>
      <c r="AF456">
        <v>0</v>
      </c>
      <c r="AG456">
        <v>0</v>
      </c>
      <c r="AH456">
        <v>0</v>
      </c>
      <c r="AI456">
        <v>0</v>
      </c>
      <c r="AJ456">
        <v>0</v>
      </c>
      <c r="AK456">
        <v>0</v>
      </c>
      <c r="AL456">
        <v>1</v>
      </c>
      <c r="AM456">
        <v>0</v>
      </c>
      <c r="AN456">
        <v>0</v>
      </c>
      <c r="AO456">
        <v>0</v>
      </c>
      <c r="AP456">
        <v>0</v>
      </c>
      <c r="AQ456">
        <v>0</v>
      </c>
      <c r="AR456">
        <v>0</v>
      </c>
      <c r="AS456">
        <v>0</v>
      </c>
      <c r="AT456">
        <v>0</v>
      </c>
      <c r="AU456">
        <v>0</v>
      </c>
      <c r="AV456">
        <v>0</v>
      </c>
      <c r="AW456">
        <v>0</v>
      </c>
      <c r="AX456">
        <v>0</v>
      </c>
      <c r="AY456">
        <v>0</v>
      </c>
      <c r="AZ456" s="141">
        <f t="shared" si="505"/>
        <v>1</v>
      </c>
      <c r="BA456" s="141">
        <f t="shared" si="506"/>
        <v>1</v>
      </c>
      <c r="BB456">
        <f t="shared" si="507"/>
        <v>0</v>
      </c>
      <c r="BC456">
        <f t="shared" si="508"/>
        <v>0</v>
      </c>
      <c r="BD456">
        <f t="shared" si="509"/>
        <v>1</v>
      </c>
      <c r="BE456">
        <f t="shared" si="510"/>
        <v>0</v>
      </c>
      <c r="BF456">
        <f t="shared" si="511"/>
        <v>0</v>
      </c>
      <c r="BG456" t="str" cm="1">
        <f t="array" ref="BG456">IF(BA456=1,INDEX($X$7:$AN$7,MATCH(TRUE,INDEX($X456:$AY456&lt;&gt;0,),0)),IF(BA456=0,INDEX($AO$7:$AY$7,MATCH(1,$AO456:$AY456,0)),IF(BH456="Multiple strategies","mixed drivers",IF(BH456="Supply chain","multiple supply","multiple silviculture"))))</f>
        <v>efficiency improvement</v>
      </c>
      <c r="BH456" s="2" t="str" cm="1">
        <f t="array" ref="BH456">IF(COUNTIF(BB456:BD456,"&lt;&gt;0")=1,INDEX($X$4:$AY$4,MATCH(TRUE,INDEX($X456:$AY456&lt;&gt;0,),0)),IF(COUNTIF(BB456:BD456,"&lt;&gt;0")=0,INDEX($AO$4:$AY$4,MATCH(1,$AO456:$AY456,0)),"Multiple strategies"))</f>
        <v>Technology</v>
      </c>
      <c r="BO456" s="143"/>
      <c r="BP456" s="143"/>
      <c r="BR456" t="s">
        <v>232</v>
      </c>
      <c r="BT456" t="s">
        <v>3958</v>
      </c>
      <c r="BU456">
        <v>101.45</v>
      </c>
      <c r="BV456">
        <v>68.06</v>
      </c>
      <c r="BW456" s="144">
        <f t="shared" si="528"/>
        <v>0.67087235091177921</v>
      </c>
      <c r="BX456" s="144">
        <f t="shared" si="529"/>
        <v>-33.39</v>
      </c>
      <c r="BY456" s="144"/>
      <c r="BZ456" s="144"/>
      <c r="CA456" t="str">
        <f t="shared" si="512"/>
        <v/>
      </c>
      <c r="CB456">
        <v>1</v>
      </c>
      <c r="CC456">
        <v>0</v>
      </c>
      <c r="CD456">
        <v>0</v>
      </c>
      <c r="CE456">
        <v>0</v>
      </c>
      <c r="CF456">
        <v>0</v>
      </c>
      <c r="CG456">
        <v>0</v>
      </c>
      <c r="CH456">
        <v>0</v>
      </c>
      <c r="CI456">
        <v>0</v>
      </c>
      <c r="CJ456">
        <v>0</v>
      </c>
      <c r="CK456">
        <v>0</v>
      </c>
      <c r="CL456">
        <v>0</v>
      </c>
      <c r="CM456">
        <v>0</v>
      </c>
      <c r="CN456">
        <v>0</v>
      </c>
      <c r="CO456">
        <v>0</v>
      </c>
      <c r="CP456" t="str">
        <f t="shared" si="531"/>
        <v>refOK</v>
      </c>
      <c r="CQ456"/>
      <c r="CR456"/>
      <c r="CS456"/>
      <c r="CT456">
        <f t="shared" si="467"/>
        <v>0</v>
      </c>
      <c r="CU456">
        <f t="shared" si="533"/>
        <v>101.45</v>
      </c>
      <c r="CV456">
        <f t="shared" si="534"/>
        <v>68.06</v>
      </c>
      <c r="CW456">
        <f t="shared" si="513"/>
        <v>0</v>
      </c>
      <c r="CX456" t="str">
        <f t="shared" si="527"/>
        <v/>
      </c>
      <c r="CY456" t="str">
        <f t="shared" si="527"/>
        <v/>
      </c>
      <c r="CZ456" t="str">
        <f t="shared" si="472"/>
        <v/>
      </c>
      <c r="DA456" s="2">
        <f t="shared" si="514"/>
        <v>-0.32912764908822079</v>
      </c>
      <c r="DB456" s="1" t="s">
        <v>263</v>
      </c>
      <c r="DC456" s="297" t="str">
        <f t="shared" si="515"/>
        <v>loc</v>
      </c>
      <c r="DD456" s="297" t="s">
        <v>729</v>
      </c>
      <c r="DG456">
        <f t="shared" si="532"/>
        <v>0</v>
      </c>
      <c r="DH456" t="str">
        <f t="shared" si="516"/>
        <v>0</v>
      </c>
      <c r="DI456">
        <v>0</v>
      </c>
      <c r="DJ456">
        <v>0</v>
      </c>
      <c r="DK456">
        <v>0</v>
      </c>
      <c r="DL456">
        <v>1</v>
      </c>
      <c r="DN456">
        <f t="shared" si="503"/>
        <v>1</v>
      </c>
      <c r="DO456" t="str">
        <f t="shared" si="517"/>
        <v>TimberInput</v>
      </c>
      <c r="DP456">
        <f t="shared" si="518"/>
        <v>0</v>
      </c>
      <c r="DQ456">
        <f t="shared" si="519"/>
        <v>0</v>
      </c>
      <c r="DR456">
        <f t="shared" si="520"/>
        <v>0</v>
      </c>
      <c r="DS456" t="str">
        <f t="shared" si="521"/>
        <v>Timber</v>
      </c>
      <c r="DT456">
        <v>0</v>
      </c>
      <c r="DU456">
        <v>0</v>
      </c>
      <c r="DV456">
        <v>0</v>
      </c>
      <c r="DW456">
        <v>0</v>
      </c>
      <c r="DX456">
        <v>0</v>
      </c>
      <c r="DY456">
        <f t="shared" si="504"/>
        <v>0</v>
      </c>
      <c r="DZ456" s="143" t="str">
        <f t="shared" si="522"/>
        <v>explicit C balance</v>
      </c>
      <c r="EA456">
        <v>0</v>
      </c>
      <c r="EB456">
        <v>0</v>
      </c>
      <c r="EC456">
        <v>0</v>
      </c>
      <c r="ED456">
        <v>0</v>
      </c>
      <c r="EE456">
        <v>0</v>
      </c>
      <c r="EF456" s="143">
        <v>0</v>
      </c>
      <c r="EG456">
        <v>0</v>
      </c>
      <c r="EH456">
        <v>1</v>
      </c>
      <c r="EI456">
        <v>0</v>
      </c>
      <c r="EJ456">
        <v>0</v>
      </c>
      <c r="EK456">
        <v>0</v>
      </c>
      <c r="EL456">
        <v>0</v>
      </c>
      <c r="EM456">
        <v>0</v>
      </c>
      <c r="EN456" s="2">
        <v>0</v>
      </c>
      <c r="EP456" t="str">
        <f t="shared" si="484"/>
        <v/>
      </c>
      <c r="EQ456" t="str">
        <f t="shared" si="523"/>
        <v/>
      </c>
      <c r="ER456" s="2" t="str">
        <f t="shared" si="524"/>
        <v/>
      </c>
      <c r="ES456" t="str">
        <f t="shared" si="525"/>
        <v/>
      </c>
      <c r="ET456" t="str">
        <f t="shared" si="526"/>
        <v/>
      </c>
      <c r="EU456" t="str">
        <f t="shared" si="489"/>
        <v/>
      </c>
      <c r="EY456" t="b">
        <f>IF(ISNUMBER(BW456),IF(ABS(BW456-[1]QC_indicators!$B$2)&gt;3*[1]QC_indicators!$C$2,"C ratio",IF(ISNUMBER(CA456),IF(ABS(CA456-[1]QC_indicators!$B$1)&gt;3*[1]QC_indicators!$C$1,"DF","no"))),IF(ISNUMBER(CA456),IF(ABS(CA456-[1]QC_indicators!$B$1)&gt;3*[1]QC_indicators!$C$1,"DF","no")))</f>
        <v>0</v>
      </c>
      <c r="FA456" t="str">
        <f t="shared" si="490"/>
        <v/>
      </c>
    </row>
    <row r="457" spans="1:157" ht="15" hidden="1" customHeight="1">
      <c r="A457" s="1" t="s">
        <v>3947</v>
      </c>
      <c r="B457" t="s">
        <v>3948</v>
      </c>
      <c r="C457" t="s">
        <v>3949</v>
      </c>
      <c r="D457" t="s">
        <v>3950</v>
      </c>
      <c r="E457" t="s">
        <v>3951</v>
      </c>
      <c r="F457" t="s">
        <v>3952</v>
      </c>
      <c r="G457" t="s">
        <v>3953</v>
      </c>
      <c r="H457" t="s">
        <v>254</v>
      </c>
      <c r="I457">
        <v>2021</v>
      </c>
      <c r="J457">
        <v>0</v>
      </c>
      <c r="K457" t="s">
        <v>3954</v>
      </c>
      <c r="M457" t="str">
        <f t="shared" si="535"/>
        <v>Vanova_2021</v>
      </c>
      <c r="N457" s="297" t="s">
        <v>4058</v>
      </c>
      <c r="O457" s="145" t="s">
        <v>1029</v>
      </c>
      <c r="Q457" s="297" t="s">
        <v>256</v>
      </c>
      <c r="R457" s="298"/>
      <c r="S457" s="1" t="s">
        <v>3959</v>
      </c>
      <c r="T457" t="s">
        <v>3962</v>
      </c>
      <c r="U457" t="s">
        <v>3961</v>
      </c>
      <c r="X457">
        <v>0</v>
      </c>
      <c r="Y457">
        <v>0</v>
      </c>
      <c r="Z457">
        <v>0</v>
      </c>
      <c r="AA457">
        <v>0</v>
      </c>
      <c r="AB457">
        <v>0</v>
      </c>
      <c r="AC457">
        <v>0</v>
      </c>
      <c r="AD457">
        <v>0</v>
      </c>
      <c r="AE457">
        <v>0</v>
      </c>
      <c r="AF457">
        <v>0</v>
      </c>
      <c r="AG457">
        <v>0</v>
      </c>
      <c r="AH457">
        <v>0</v>
      </c>
      <c r="AI457">
        <v>0</v>
      </c>
      <c r="AJ457">
        <v>0</v>
      </c>
      <c r="AK457">
        <v>0</v>
      </c>
      <c r="AL457">
        <v>1</v>
      </c>
      <c r="AM457">
        <v>0</v>
      </c>
      <c r="AN457">
        <v>0</v>
      </c>
      <c r="AO457">
        <v>0</v>
      </c>
      <c r="AP457">
        <v>0</v>
      </c>
      <c r="AQ457">
        <v>0</v>
      </c>
      <c r="AR457">
        <v>0</v>
      </c>
      <c r="AS457">
        <v>0</v>
      </c>
      <c r="AT457">
        <v>0</v>
      </c>
      <c r="AU457">
        <v>0</v>
      </c>
      <c r="AV457">
        <v>0</v>
      </c>
      <c r="AW457">
        <v>0</v>
      </c>
      <c r="AX457">
        <v>0</v>
      </c>
      <c r="AY457">
        <v>0</v>
      </c>
      <c r="AZ457" s="141">
        <f t="shared" si="505"/>
        <v>1</v>
      </c>
      <c r="BA457" s="141">
        <f t="shared" si="506"/>
        <v>1</v>
      </c>
      <c r="BB457">
        <f t="shared" si="507"/>
        <v>0</v>
      </c>
      <c r="BC457">
        <f t="shared" si="508"/>
        <v>0</v>
      </c>
      <c r="BD457">
        <f t="shared" si="509"/>
        <v>1</v>
      </c>
      <c r="BE457">
        <f t="shared" si="510"/>
        <v>0</v>
      </c>
      <c r="BF457">
        <f t="shared" si="511"/>
        <v>0</v>
      </c>
      <c r="BG457" t="str" cm="1">
        <f t="array" ref="BG457">IF(BA457=1,INDEX($X$7:$AN$7,MATCH(TRUE,INDEX($X457:$AY457&lt;&gt;0,),0)),IF(BA457=0,INDEX($AO$7:$AY$7,MATCH(1,$AO457:$AY457,0)),IF(BH457="Multiple strategies","mixed drivers",IF(BH457="Supply chain","multiple supply","multiple silviculture"))))</f>
        <v>efficiency improvement</v>
      </c>
      <c r="BH457" s="2" t="str" cm="1">
        <f t="array" ref="BH457">IF(COUNTIF(BB457:BD457,"&lt;&gt;0")=1,INDEX($X$4:$AY$4,MATCH(TRUE,INDEX($X457:$AY457&lt;&gt;0,),0)),IF(COUNTIF(BB457:BD457,"&lt;&gt;0")=0,INDEX($AO$4:$AY$4,MATCH(1,$AO457:$AY457,0)),"Multiple strategies"))</f>
        <v>Technology</v>
      </c>
      <c r="BO457" s="143"/>
      <c r="BP457" s="143"/>
      <c r="BR457" t="s">
        <v>232</v>
      </c>
      <c r="BT457" t="s">
        <v>3958</v>
      </c>
      <c r="BU457">
        <v>256.02999999999997</v>
      </c>
      <c r="BV457">
        <v>335.43</v>
      </c>
      <c r="BW457" s="144">
        <f t="shared" si="528"/>
        <v>1.3101199078233021</v>
      </c>
      <c r="BX457" s="144">
        <f t="shared" si="529"/>
        <v>79.400000000000034</v>
      </c>
      <c r="BY457" s="144"/>
      <c r="BZ457" s="144"/>
      <c r="CA457" t="str">
        <f t="shared" si="512"/>
        <v/>
      </c>
      <c r="CB457">
        <v>1</v>
      </c>
      <c r="CC457">
        <v>0</v>
      </c>
      <c r="CD457">
        <v>0</v>
      </c>
      <c r="CE457">
        <v>0</v>
      </c>
      <c r="CF457">
        <v>0</v>
      </c>
      <c r="CG457">
        <v>0</v>
      </c>
      <c r="CH457">
        <v>0</v>
      </c>
      <c r="CI457">
        <v>0</v>
      </c>
      <c r="CJ457">
        <v>0</v>
      </c>
      <c r="CK457">
        <v>0</v>
      </c>
      <c r="CL457">
        <v>0</v>
      </c>
      <c r="CM457">
        <v>0</v>
      </c>
      <c r="CN457">
        <v>0</v>
      </c>
      <c r="CO457">
        <v>0</v>
      </c>
      <c r="CP457" t="str">
        <f t="shared" si="531"/>
        <v>refOK</v>
      </c>
      <c r="CQ457"/>
      <c r="CR457"/>
      <c r="CS457"/>
      <c r="CT457">
        <f t="shared" si="467"/>
        <v>0</v>
      </c>
      <c r="CU457">
        <f t="shared" si="533"/>
        <v>256.02999999999997</v>
      </c>
      <c r="CV457">
        <f t="shared" si="534"/>
        <v>335.43</v>
      </c>
      <c r="CW457">
        <f t="shared" si="513"/>
        <v>0</v>
      </c>
      <c r="CX457" t="str">
        <f t="shared" ref="CX457:CY476" si="536">IFERROR($CW457/$CS457,"")</f>
        <v/>
      </c>
      <c r="CY457" t="str">
        <f t="shared" si="536"/>
        <v/>
      </c>
      <c r="CZ457" t="str">
        <f t="shared" si="472"/>
        <v/>
      </c>
      <c r="DA457" s="2">
        <f t="shared" si="514"/>
        <v>0.31011990782330212</v>
      </c>
      <c r="DB457" s="1" t="s">
        <v>263</v>
      </c>
      <c r="DC457" s="297" t="str">
        <f t="shared" si="515"/>
        <v>loc</v>
      </c>
      <c r="DD457" s="297" t="s">
        <v>729</v>
      </c>
      <c r="DG457">
        <f t="shared" si="532"/>
        <v>0</v>
      </c>
      <c r="DH457" t="str">
        <f t="shared" si="516"/>
        <v>0</v>
      </c>
      <c r="DI457">
        <v>0</v>
      </c>
      <c r="DJ457">
        <v>0</v>
      </c>
      <c r="DK457">
        <v>0</v>
      </c>
      <c r="DL457">
        <v>1</v>
      </c>
      <c r="DN457">
        <f t="shared" si="503"/>
        <v>1</v>
      </c>
      <c r="DO457" t="str">
        <f t="shared" si="517"/>
        <v>TimberInput</v>
      </c>
      <c r="DP457">
        <f t="shared" si="518"/>
        <v>0</v>
      </c>
      <c r="DQ457">
        <f t="shared" si="519"/>
        <v>0</v>
      </c>
      <c r="DR457">
        <f t="shared" si="520"/>
        <v>0</v>
      </c>
      <c r="DS457" t="str">
        <f t="shared" si="521"/>
        <v>Timber</v>
      </c>
      <c r="DT457">
        <v>0</v>
      </c>
      <c r="DU457">
        <v>0</v>
      </c>
      <c r="DV457">
        <v>0</v>
      </c>
      <c r="DW457">
        <v>0</v>
      </c>
      <c r="DX457">
        <v>0</v>
      </c>
      <c r="DY457">
        <f t="shared" si="504"/>
        <v>0</v>
      </c>
      <c r="DZ457" s="143" t="str">
        <f t="shared" si="522"/>
        <v>explicit C balance</v>
      </c>
      <c r="EA457">
        <v>0</v>
      </c>
      <c r="EB457">
        <v>0</v>
      </c>
      <c r="EC457">
        <v>0</v>
      </c>
      <c r="ED457">
        <v>0</v>
      </c>
      <c r="EE457">
        <v>0</v>
      </c>
      <c r="EF457" s="143">
        <v>0</v>
      </c>
      <c r="EG457">
        <v>0</v>
      </c>
      <c r="EH457">
        <v>1</v>
      </c>
      <c r="EI457">
        <v>0</v>
      </c>
      <c r="EJ457">
        <v>0</v>
      </c>
      <c r="EK457">
        <v>0</v>
      </c>
      <c r="EL457">
        <v>0</v>
      </c>
      <c r="EM457">
        <v>0</v>
      </c>
      <c r="EN457" s="2">
        <v>0</v>
      </c>
      <c r="EP457" t="str">
        <f t="shared" si="484"/>
        <v/>
      </c>
      <c r="EQ457" t="str">
        <f t="shared" si="523"/>
        <v/>
      </c>
      <c r="ER457" s="2" t="str">
        <f t="shared" si="524"/>
        <v/>
      </c>
      <c r="ES457" t="str">
        <f t="shared" si="525"/>
        <v/>
      </c>
      <c r="ET457" t="str">
        <f t="shared" si="526"/>
        <v/>
      </c>
      <c r="EU457" t="str">
        <f t="shared" si="489"/>
        <v/>
      </c>
      <c r="EY457" t="b">
        <f>IF(ISNUMBER(BW457),IF(ABS(BW457-[1]QC_indicators!$B$2)&gt;3*[1]QC_indicators!$C$2,"C ratio",IF(ISNUMBER(CA457),IF(ABS(CA457-[1]QC_indicators!$B$1)&gt;3*[1]QC_indicators!$C$1,"DF","no"))),IF(ISNUMBER(CA457),IF(ABS(CA457-[1]QC_indicators!$B$1)&gt;3*[1]QC_indicators!$C$1,"DF","no")))</f>
        <v>0</v>
      </c>
      <c r="FA457" t="str">
        <f t="shared" si="490"/>
        <v/>
      </c>
    </row>
    <row r="458" spans="1:157" ht="15" hidden="1" customHeight="1">
      <c r="A458" s="1" t="s">
        <v>3947</v>
      </c>
      <c r="B458" t="s">
        <v>3948</v>
      </c>
      <c r="C458" t="s">
        <v>3949</v>
      </c>
      <c r="D458" t="s">
        <v>3950</v>
      </c>
      <c r="E458" t="s">
        <v>3951</v>
      </c>
      <c r="F458" t="s">
        <v>3952</v>
      </c>
      <c r="G458" t="s">
        <v>3953</v>
      </c>
      <c r="H458" t="s">
        <v>254</v>
      </c>
      <c r="I458">
        <v>2021</v>
      </c>
      <c r="J458">
        <v>0</v>
      </c>
      <c r="K458" t="s">
        <v>3954</v>
      </c>
      <c r="M458" t="str">
        <f t="shared" si="535"/>
        <v>Vanova_2021</v>
      </c>
      <c r="N458" s="297" t="s">
        <v>4058</v>
      </c>
      <c r="O458" s="145" t="s">
        <v>1029</v>
      </c>
      <c r="Q458" s="297" t="s">
        <v>256</v>
      </c>
      <c r="R458" s="298"/>
      <c r="S458" s="1" t="s">
        <v>3959</v>
      </c>
      <c r="T458" t="s">
        <v>3960</v>
      </c>
      <c r="U458" t="s">
        <v>3961</v>
      </c>
      <c r="X458">
        <v>0</v>
      </c>
      <c r="Y458">
        <v>0</v>
      </c>
      <c r="Z458">
        <v>0</v>
      </c>
      <c r="AA458">
        <v>0</v>
      </c>
      <c r="AB458">
        <v>0</v>
      </c>
      <c r="AC458">
        <v>0</v>
      </c>
      <c r="AD458">
        <v>0</v>
      </c>
      <c r="AE458">
        <v>0</v>
      </c>
      <c r="AF458">
        <v>0</v>
      </c>
      <c r="AG458">
        <v>0</v>
      </c>
      <c r="AH458">
        <v>0</v>
      </c>
      <c r="AI458">
        <v>0</v>
      </c>
      <c r="AJ458">
        <v>0</v>
      </c>
      <c r="AK458">
        <v>0</v>
      </c>
      <c r="AL458">
        <v>1</v>
      </c>
      <c r="AM458">
        <v>0</v>
      </c>
      <c r="AN458">
        <v>0</v>
      </c>
      <c r="AO458">
        <v>0</v>
      </c>
      <c r="AP458">
        <v>0</v>
      </c>
      <c r="AQ458">
        <v>0</v>
      </c>
      <c r="AR458">
        <v>0</v>
      </c>
      <c r="AS458">
        <v>0</v>
      </c>
      <c r="AT458">
        <v>0</v>
      </c>
      <c r="AU458">
        <v>0</v>
      </c>
      <c r="AV458">
        <v>0</v>
      </c>
      <c r="AW458">
        <v>0</v>
      </c>
      <c r="AX458">
        <v>0</v>
      </c>
      <c r="AY458">
        <v>0</v>
      </c>
      <c r="AZ458" s="141">
        <f t="shared" si="505"/>
        <v>1</v>
      </c>
      <c r="BA458" s="141">
        <f t="shared" si="506"/>
        <v>1</v>
      </c>
      <c r="BB458">
        <f t="shared" si="507"/>
        <v>0</v>
      </c>
      <c r="BC458">
        <f t="shared" si="508"/>
        <v>0</v>
      </c>
      <c r="BD458">
        <f t="shared" si="509"/>
        <v>1</v>
      </c>
      <c r="BE458">
        <f t="shared" si="510"/>
        <v>0</v>
      </c>
      <c r="BF458">
        <f t="shared" si="511"/>
        <v>0</v>
      </c>
      <c r="BG458" t="str" cm="1">
        <f t="array" ref="BG458">IF(BA458=1,INDEX($X$7:$AN$7,MATCH(TRUE,INDEX($X458:$AY458&lt;&gt;0,),0)),IF(BA458=0,INDEX($AO$7:$AY$7,MATCH(1,$AO458:$AY458,0)),IF(BH458="Multiple strategies","mixed drivers",IF(BH458="Supply chain","multiple supply","multiple silviculture"))))</f>
        <v>efficiency improvement</v>
      </c>
      <c r="BH458" s="2" t="str" cm="1">
        <f t="array" ref="BH458">IF(COUNTIF(BB458:BD458,"&lt;&gt;0")=1,INDEX($X$4:$AY$4,MATCH(TRUE,INDEX($X458:$AY458&lt;&gt;0,),0)),IF(COUNTIF(BB458:BD458,"&lt;&gt;0")=0,INDEX($AO$4:$AY$4,MATCH(1,$AO458:$AY458,0)),"Multiple strategies"))</f>
        <v>Technology</v>
      </c>
      <c r="BO458" s="143"/>
      <c r="BP458" s="143"/>
      <c r="BR458" t="s">
        <v>232</v>
      </c>
      <c r="BT458" t="s">
        <v>3958</v>
      </c>
      <c r="BU458">
        <v>235.89</v>
      </c>
      <c r="BV458">
        <v>335.43</v>
      </c>
      <c r="BW458" s="144">
        <f t="shared" si="528"/>
        <v>1.4219763449065244</v>
      </c>
      <c r="BX458" s="144">
        <f t="shared" si="529"/>
        <v>99.54000000000002</v>
      </c>
      <c r="BY458" s="144"/>
      <c r="BZ458" s="144"/>
      <c r="CA458" t="str">
        <f t="shared" si="512"/>
        <v/>
      </c>
      <c r="CB458">
        <v>1</v>
      </c>
      <c r="CC458">
        <v>0</v>
      </c>
      <c r="CD458">
        <v>0</v>
      </c>
      <c r="CE458">
        <v>0</v>
      </c>
      <c r="CF458">
        <v>0</v>
      </c>
      <c r="CG458">
        <v>0</v>
      </c>
      <c r="CH458">
        <v>0</v>
      </c>
      <c r="CI458">
        <v>0</v>
      </c>
      <c r="CJ458">
        <v>0</v>
      </c>
      <c r="CK458">
        <v>0</v>
      </c>
      <c r="CL458">
        <v>0</v>
      </c>
      <c r="CM458">
        <v>0</v>
      </c>
      <c r="CN458">
        <v>0</v>
      </c>
      <c r="CO458">
        <v>0</v>
      </c>
      <c r="CP458" t="str">
        <f t="shared" si="531"/>
        <v>refOK</v>
      </c>
      <c r="CQ458"/>
      <c r="CR458"/>
      <c r="CS458"/>
      <c r="CT458">
        <f t="shared" si="467"/>
        <v>0</v>
      </c>
      <c r="CU458">
        <f t="shared" si="533"/>
        <v>235.89</v>
      </c>
      <c r="CV458">
        <f t="shared" si="534"/>
        <v>335.43</v>
      </c>
      <c r="CW458">
        <f t="shared" si="513"/>
        <v>0</v>
      </c>
      <c r="CX458" t="str">
        <f t="shared" si="536"/>
        <v/>
      </c>
      <c r="CY458" t="str">
        <f t="shared" si="536"/>
        <v/>
      </c>
      <c r="CZ458" t="str">
        <f t="shared" si="472"/>
        <v/>
      </c>
      <c r="DA458" s="2">
        <f t="shared" si="514"/>
        <v>0.42197634490652436</v>
      </c>
      <c r="DB458" s="1" t="s">
        <v>263</v>
      </c>
      <c r="DC458" s="297" t="str">
        <f t="shared" si="515"/>
        <v>loc</v>
      </c>
      <c r="DD458" s="297" t="s">
        <v>729</v>
      </c>
      <c r="DG458">
        <f t="shared" si="532"/>
        <v>0</v>
      </c>
      <c r="DH458" t="str">
        <f t="shared" si="516"/>
        <v>0</v>
      </c>
      <c r="DI458">
        <v>0</v>
      </c>
      <c r="DJ458">
        <v>0</v>
      </c>
      <c r="DK458">
        <v>0</v>
      </c>
      <c r="DL458">
        <v>1</v>
      </c>
      <c r="DN458">
        <f t="shared" si="503"/>
        <v>1</v>
      </c>
      <c r="DO458" t="str">
        <f t="shared" si="517"/>
        <v>TimberInput</v>
      </c>
      <c r="DP458">
        <f t="shared" si="518"/>
        <v>0</v>
      </c>
      <c r="DQ458">
        <f t="shared" si="519"/>
        <v>0</v>
      </c>
      <c r="DR458">
        <f t="shared" si="520"/>
        <v>0</v>
      </c>
      <c r="DS458" t="str">
        <f t="shared" si="521"/>
        <v>Timber</v>
      </c>
      <c r="DT458">
        <v>0</v>
      </c>
      <c r="DU458">
        <v>0</v>
      </c>
      <c r="DV458">
        <v>0</v>
      </c>
      <c r="DW458">
        <v>0</v>
      </c>
      <c r="DX458">
        <v>0</v>
      </c>
      <c r="DY458">
        <f t="shared" si="504"/>
        <v>0</v>
      </c>
      <c r="DZ458" s="143" t="str">
        <f t="shared" si="522"/>
        <v>explicit C balance</v>
      </c>
      <c r="EA458">
        <v>0</v>
      </c>
      <c r="EB458">
        <v>0</v>
      </c>
      <c r="EC458">
        <v>0</v>
      </c>
      <c r="ED458">
        <v>0</v>
      </c>
      <c r="EE458">
        <v>0</v>
      </c>
      <c r="EF458" s="143">
        <v>0</v>
      </c>
      <c r="EG458">
        <v>0</v>
      </c>
      <c r="EH458">
        <v>1</v>
      </c>
      <c r="EI458">
        <v>0</v>
      </c>
      <c r="EJ458">
        <v>0</v>
      </c>
      <c r="EK458">
        <v>0</v>
      </c>
      <c r="EL458">
        <v>0</v>
      </c>
      <c r="EM458">
        <v>0</v>
      </c>
      <c r="EN458" s="2">
        <v>0</v>
      </c>
      <c r="EP458" t="str">
        <f t="shared" si="484"/>
        <v/>
      </c>
      <c r="EQ458" t="str">
        <f t="shared" si="523"/>
        <v/>
      </c>
      <c r="ER458" s="2" t="str">
        <f t="shared" si="524"/>
        <v/>
      </c>
      <c r="ES458" t="str">
        <f t="shared" si="525"/>
        <v/>
      </c>
      <c r="ET458" t="str">
        <f t="shared" si="526"/>
        <v/>
      </c>
      <c r="EU458" t="str">
        <f t="shared" si="489"/>
        <v/>
      </c>
      <c r="EY458" t="b">
        <f>IF(ISNUMBER(BW458),IF(ABS(BW458-[1]QC_indicators!$B$2)&gt;3*[1]QC_indicators!$C$2,"C ratio",IF(ISNUMBER(CA458),IF(ABS(CA458-[1]QC_indicators!$B$1)&gt;3*[1]QC_indicators!$C$1,"DF","no"))),IF(ISNUMBER(CA458),IF(ABS(CA458-[1]QC_indicators!$B$1)&gt;3*[1]QC_indicators!$C$1,"DF","no")))</f>
        <v>0</v>
      </c>
      <c r="FA458" t="str">
        <f t="shared" si="490"/>
        <v/>
      </c>
    </row>
    <row r="459" spans="1:157" ht="15" hidden="1" customHeight="1">
      <c r="A459" s="1" t="s">
        <v>3968</v>
      </c>
      <c r="B459" t="s">
        <v>3969</v>
      </c>
      <c r="C459" t="s">
        <v>3970</v>
      </c>
      <c r="D459" t="s">
        <v>3971</v>
      </c>
      <c r="E459" t="s">
        <v>3972</v>
      </c>
      <c r="F459" t="s">
        <v>3973</v>
      </c>
      <c r="G459" t="s">
        <v>3974</v>
      </c>
      <c r="H459" t="s">
        <v>254</v>
      </c>
      <c r="I459">
        <v>2021</v>
      </c>
      <c r="J459">
        <v>1</v>
      </c>
      <c r="K459" t="s">
        <v>3975</v>
      </c>
      <c r="M459" t="str">
        <f t="shared" si="535"/>
        <v>Wang_2021</v>
      </c>
      <c r="N459" s="297" t="s">
        <v>4058</v>
      </c>
      <c r="O459" s="297" t="s">
        <v>223</v>
      </c>
      <c r="Q459" s="297" t="s">
        <v>389</v>
      </c>
      <c r="R459" s="298"/>
      <c r="S459" s="304" t="s">
        <v>3984</v>
      </c>
      <c r="T459" s="297" t="s">
        <v>3985</v>
      </c>
      <c r="U459" s="297" t="s">
        <v>3986</v>
      </c>
      <c r="V459" s="297"/>
      <c r="W459" s="297"/>
      <c r="X459">
        <v>0</v>
      </c>
      <c r="Y459">
        <v>0</v>
      </c>
      <c r="Z459">
        <v>0</v>
      </c>
      <c r="AA459">
        <v>0</v>
      </c>
      <c r="AB459">
        <v>0</v>
      </c>
      <c r="AC459">
        <v>0</v>
      </c>
      <c r="AD459">
        <v>0</v>
      </c>
      <c r="AE459">
        <v>0</v>
      </c>
      <c r="AF459">
        <v>0</v>
      </c>
      <c r="AG459">
        <v>1</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s="141">
        <f t="shared" si="505"/>
        <v>1</v>
      </c>
      <c r="BA459" s="141">
        <f t="shared" si="506"/>
        <v>1</v>
      </c>
      <c r="BB459">
        <f t="shared" si="507"/>
        <v>0</v>
      </c>
      <c r="BC459">
        <f t="shared" si="508"/>
        <v>1</v>
      </c>
      <c r="BD459">
        <f t="shared" si="509"/>
        <v>0</v>
      </c>
      <c r="BE459">
        <f t="shared" si="510"/>
        <v>0</v>
      </c>
      <c r="BF459">
        <f t="shared" si="511"/>
        <v>0</v>
      </c>
      <c r="BG459" t="str" cm="1">
        <f t="array" ref="BG459">IF(BA459=1,INDEX($X$7:$AN$7,MATCH(TRUE,INDEX($X459:$AY459&lt;&gt;0,),0)),IF(BA459=0,INDEX($AO$7:$AY$7,MATCH(1,$AO459:$AY459,0)),IF(BH459="Multiple strategies","mixed drivers",IF(BH459="Supply chain","multiple supply","multiple silviculture"))))</f>
        <v>location of industry</v>
      </c>
      <c r="BH459" s="2" t="str" cm="1">
        <f t="array" ref="BH459">IF(COUNTIF(BB459:BD459,"&lt;&gt;0")=1,INDEX($X$4:$AY$4,MATCH(TRUE,INDEX($X459:$AY459&lt;&gt;0,),0)),IF(COUNTIF(BB459:BD459,"&lt;&gt;0")=0,INDEX($AO$4:$AY$4,MATCH(1,$AO459:$AY459,0)),"Multiple strategies"))</f>
        <v>Supply chain</v>
      </c>
      <c r="BI459" s="1" t="s">
        <v>321</v>
      </c>
      <c r="BJ459" s="297" t="s">
        <v>3979</v>
      </c>
      <c r="BK459" s="297" t="s">
        <v>3980</v>
      </c>
      <c r="BL459" s="297" t="s">
        <v>498</v>
      </c>
      <c r="BM459">
        <v>0.97</v>
      </c>
      <c r="BN459">
        <v>0.97</v>
      </c>
      <c r="BP459">
        <f t="shared" ref="BP459:BP477" si="537">BN459-BM459</f>
        <v>0</v>
      </c>
      <c r="BQ459">
        <f t="shared" ref="BQ459:BQ477" si="538">BP459</f>
        <v>0</v>
      </c>
      <c r="BR459" s="297" t="s">
        <v>395</v>
      </c>
      <c r="BS459" s="297" t="s">
        <v>3983</v>
      </c>
      <c r="BT459" s="297" t="s">
        <v>397</v>
      </c>
      <c r="BU459">
        <v>489</v>
      </c>
      <c r="BV459">
        <v>456</v>
      </c>
      <c r="BW459" s="144">
        <f>BV459/BU459</f>
        <v>0.93251533742331283</v>
      </c>
      <c r="BX459">
        <f t="shared" si="529"/>
        <v>-33</v>
      </c>
      <c r="BZ459">
        <f t="shared" ref="BZ459:BZ479" si="539">BX459/1000</f>
        <v>-3.3000000000000002E-2</v>
      </c>
      <c r="CA459" t="str">
        <f t="shared" si="512"/>
        <v/>
      </c>
      <c r="CB459">
        <v>0</v>
      </c>
      <c r="CC459">
        <v>0</v>
      </c>
      <c r="CD459">
        <v>0</v>
      </c>
      <c r="CE459">
        <v>0</v>
      </c>
      <c r="CF459">
        <v>0</v>
      </c>
      <c r="CG459">
        <v>0</v>
      </c>
      <c r="CH459">
        <v>0</v>
      </c>
      <c r="CI459">
        <v>0</v>
      </c>
      <c r="CJ459">
        <v>0</v>
      </c>
      <c r="CK459">
        <v>0</v>
      </c>
      <c r="CL459">
        <v>0</v>
      </c>
      <c r="CM459">
        <v>0</v>
      </c>
      <c r="CN459">
        <v>0</v>
      </c>
      <c r="CO459">
        <v>0</v>
      </c>
      <c r="CP459" t="str">
        <f>IF($BN459&lt;$BM459,"refNeedCorrection","refOK")</f>
        <v>refOK</v>
      </c>
      <c r="CQ459">
        <f>IF($CP459="refOK",$BM459,$BN459)</f>
        <v>0.97</v>
      </c>
      <c r="CR459">
        <f>IF($CP459="refOK",$BN459,$BM459)</f>
        <v>0.97</v>
      </c>
      <c r="CS459">
        <f t="shared" ref="CS459:CS464" si="540">IF($CP459="refOK",$BQ459,-$BQ459)</f>
        <v>0</v>
      </c>
      <c r="CT459">
        <f t="shared" si="467"/>
        <v>0</v>
      </c>
      <c r="CU459">
        <f t="shared" si="533"/>
        <v>-489</v>
      </c>
      <c r="CV459">
        <f t="shared" si="534"/>
        <v>-456</v>
      </c>
      <c r="CW459">
        <f t="shared" si="513"/>
        <v>3.3000000000000002E-2</v>
      </c>
      <c r="CX459" t="str">
        <f t="shared" si="536"/>
        <v/>
      </c>
      <c r="CY459" t="str">
        <f t="shared" si="536"/>
        <v/>
      </c>
      <c r="CZ459" t="str">
        <f t="shared" si="472"/>
        <v/>
      </c>
      <c r="DA459" s="2">
        <f t="shared" si="514"/>
        <v>6.7484662576687116E-2</v>
      </c>
      <c r="DB459" s="304" t="s">
        <v>263</v>
      </c>
      <c r="DC459" s="297" t="str">
        <f t="shared" si="515"/>
        <v>loc</v>
      </c>
      <c r="DD459" s="297" t="s">
        <v>677</v>
      </c>
      <c r="DG459">
        <v>0</v>
      </c>
      <c r="DH459" t="str">
        <f t="shared" si="516"/>
        <v>0</v>
      </c>
      <c r="DI459">
        <v>0</v>
      </c>
      <c r="DJ459">
        <v>0</v>
      </c>
      <c r="DK459">
        <v>0</v>
      </c>
      <c r="DL459">
        <v>1</v>
      </c>
      <c r="DM459">
        <v>0</v>
      </c>
      <c r="DN459">
        <f t="shared" si="503"/>
        <v>1</v>
      </c>
      <c r="DO459" t="str">
        <f t="shared" si="517"/>
        <v>TimberInput</v>
      </c>
      <c r="DP459">
        <f t="shared" si="518"/>
        <v>0</v>
      </c>
      <c r="DQ459">
        <f t="shared" si="519"/>
        <v>0</v>
      </c>
      <c r="DR459">
        <f t="shared" si="520"/>
        <v>0</v>
      </c>
      <c r="DS459" t="str">
        <f t="shared" si="521"/>
        <v>Timber</v>
      </c>
      <c r="DT459">
        <v>0</v>
      </c>
      <c r="DU459">
        <v>0</v>
      </c>
      <c r="DV459">
        <v>0</v>
      </c>
      <c r="DW459">
        <v>0</v>
      </c>
      <c r="DX459">
        <v>0</v>
      </c>
      <c r="DY459">
        <f t="shared" si="504"/>
        <v>0</v>
      </c>
      <c r="DZ459" s="143" t="str">
        <f t="shared" si="522"/>
        <v>explicit C balance</v>
      </c>
      <c r="EA459">
        <v>0</v>
      </c>
      <c r="EB459">
        <v>0</v>
      </c>
      <c r="EC459">
        <v>0</v>
      </c>
      <c r="ED459">
        <v>0</v>
      </c>
      <c r="EE459">
        <v>1</v>
      </c>
      <c r="EF459">
        <v>0</v>
      </c>
      <c r="EG459">
        <v>1</v>
      </c>
      <c r="EH459">
        <v>1</v>
      </c>
      <c r="EI459">
        <v>0</v>
      </c>
      <c r="EJ459">
        <v>1</v>
      </c>
      <c r="EK459">
        <v>0</v>
      </c>
      <c r="EL459">
        <v>0</v>
      </c>
      <c r="EM459">
        <v>0</v>
      </c>
      <c r="EN459" s="2">
        <v>0</v>
      </c>
      <c r="EP459" t="str">
        <f t="shared" si="484"/>
        <v/>
      </c>
      <c r="EQ459" t="str">
        <f t="shared" si="523"/>
        <v/>
      </c>
      <c r="ER459" s="2" t="str">
        <f t="shared" si="524"/>
        <v>Technology approach</v>
      </c>
      <c r="ES459" t="str">
        <f t="shared" si="525"/>
        <v/>
      </c>
      <c r="ET459" t="str">
        <f t="shared" si="526"/>
        <v/>
      </c>
      <c r="EU459" t="str">
        <f t="shared" si="489"/>
        <v/>
      </c>
      <c r="EY459" t="b">
        <f>IF(ISNUMBER(BW459),IF(ABS(BW459-[1]QC_indicators!$B$2)&gt;3*[1]QC_indicators!$C$2,"C ratio",IF(ISNUMBER(CA459),IF(ABS(CA459-[1]QC_indicators!$B$1)&gt;3*[1]QC_indicators!$C$1,"DF","no"))),IF(ISNUMBER(CA459),IF(ABS(CA459-[1]QC_indicators!$B$1)&gt;3*[1]QC_indicators!$C$1,"DF","no")))</f>
        <v>0</v>
      </c>
      <c r="FA459" t="str">
        <f t="shared" si="490"/>
        <v/>
      </c>
    </row>
    <row r="460" spans="1:157" ht="15" hidden="1" customHeight="1">
      <c r="A460" s="1" t="s">
        <v>3968</v>
      </c>
      <c r="B460" t="s">
        <v>3969</v>
      </c>
      <c r="C460" t="s">
        <v>3970</v>
      </c>
      <c r="D460" t="s">
        <v>3971</v>
      </c>
      <c r="E460" t="s">
        <v>3972</v>
      </c>
      <c r="F460" t="s">
        <v>3973</v>
      </c>
      <c r="G460" t="s">
        <v>3974</v>
      </c>
      <c r="H460" t="s">
        <v>254</v>
      </c>
      <c r="I460">
        <v>2021</v>
      </c>
      <c r="J460">
        <v>1</v>
      </c>
      <c r="K460" t="s">
        <v>3975</v>
      </c>
      <c r="M460" t="str">
        <f t="shared" si="535"/>
        <v>Wang_2021</v>
      </c>
      <c r="N460" s="297" t="s">
        <v>4058</v>
      </c>
      <c r="O460" s="297" t="s">
        <v>223</v>
      </c>
      <c r="Q460" s="297" t="s">
        <v>389</v>
      </c>
      <c r="R460" s="298"/>
      <c r="S460" s="304" t="s">
        <v>3987</v>
      </c>
      <c r="T460" s="297" t="s">
        <v>704</v>
      </c>
      <c r="U460" s="297" t="s">
        <v>600</v>
      </c>
      <c r="V460" s="297"/>
      <c r="W460" s="297"/>
      <c r="X460">
        <v>0</v>
      </c>
      <c r="Y460">
        <v>0</v>
      </c>
      <c r="Z460">
        <v>0</v>
      </c>
      <c r="AA460">
        <v>0</v>
      </c>
      <c r="AB460">
        <v>0</v>
      </c>
      <c r="AC460">
        <v>0</v>
      </c>
      <c r="AD460">
        <v>0</v>
      </c>
      <c r="AE460">
        <v>0</v>
      </c>
      <c r="AF460">
        <v>0</v>
      </c>
      <c r="AG460">
        <v>1</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s="141">
        <f t="shared" si="505"/>
        <v>1</v>
      </c>
      <c r="BA460" s="141">
        <f t="shared" si="506"/>
        <v>1</v>
      </c>
      <c r="BB460">
        <f t="shared" si="507"/>
        <v>0</v>
      </c>
      <c r="BC460">
        <f t="shared" si="508"/>
        <v>1</v>
      </c>
      <c r="BD460">
        <f t="shared" si="509"/>
        <v>0</v>
      </c>
      <c r="BE460">
        <f t="shared" si="510"/>
        <v>0</v>
      </c>
      <c r="BF460">
        <f t="shared" si="511"/>
        <v>0</v>
      </c>
      <c r="BG460" t="str" cm="1">
        <f t="array" ref="BG460">IF(BA460=1,INDEX($X$7:$AN$7,MATCH(TRUE,INDEX($X460:$AY460&lt;&gt;0,),0)),IF(BA460=0,INDEX($AO$7:$AY$7,MATCH(1,$AO460:$AY460,0)),IF(BH460="Multiple strategies","mixed drivers",IF(BH460="Supply chain","multiple supply","multiple silviculture"))))</f>
        <v>location of industry</v>
      </c>
      <c r="BH460" s="2" t="str" cm="1">
        <f t="array" ref="BH460">IF(COUNTIF(BB460:BD460,"&lt;&gt;0")=1,INDEX($X$4:$AY$4,MATCH(TRUE,INDEX($X460:$AY460&lt;&gt;0,),0)),IF(COUNTIF(BB460:BD460,"&lt;&gt;0")=0,INDEX($AO$4:$AY$4,MATCH(1,$AO460:$AY460,0)),"Multiple strategies"))</f>
        <v>Supply chain</v>
      </c>
      <c r="BI460" s="1" t="s">
        <v>321</v>
      </c>
      <c r="BJ460" s="297" t="s">
        <v>3979</v>
      </c>
      <c r="BK460" s="297" t="s">
        <v>3980</v>
      </c>
      <c r="BL460" s="297" t="s">
        <v>498</v>
      </c>
      <c r="BM460">
        <v>0.97</v>
      </c>
      <c r="BN460">
        <v>0.97</v>
      </c>
      <c r="BP460">
        <f t="shared" si="537"/>
        <v>0</v>
      </c>
      <c r="BQ460">
        <f t="shared" si="538"/>
        <v>0</v>
      </c>
      <c r="BR460" s="297" t="s">
        <v>395</v>
      </c>
      <c r="BS460" s="297" t="s">
        <v>3983</v>
      </c>
      <c r="BT460" s="297" t="s">
        <v>397</v>
      </c>
      <c r="BU460">
        <v>517</v>
      </c>
      <c r="BV460">
        <v>464</v>
      </c>
      <c r="BW460" s="144">
        <f>BV460/BU460</f>
        <v>0.89748549323017413</v>
      </c>
      <c r="BX460">
        <f t="shared" si="529"/>
        <v>-53</v>
      </c>
      <c r="BZ460">
        <f t="shared" si="539"/>
        <v>-5.2999999999999999E-2</v>
      </c>
      <c r="CA460" t="str">
        <f t="shared" si="512"/>
        <v/>
      </c>
      <c r="CB460">
        <v>0</v>
      </c>
      <c r="CC460">
        <v>0</v>
      </c>
      <c r="CD460">
        <v>0</v>
      </c>
      <c r="CE460">
        <v>0</v>
      </c>
      <c r="CF460">
        <v>0</v>
      </c>
      <c r="CG460">
        <v>0</v>
      </c>
      <c r="CH460">
        <v>0</v>
      </c>
      <c r="CI460">
        <v>0</v>
      </c>
      <c r="CJ460">
        <v>0</v>
      </c>
      <c r="CK460">
        <v>0</v>
      </c>
      <c r="CL460">
        <v>0</v>
      </c>
      <c r="CM460">
        <v>0</v>
      </c>
      <c r="CN460">
        <v>0</v>
      </c>
      <c r="CO460">
        <v>0</v>
      </c>
      <c r="CP460" t="str">
        <f>IF($BN460&lt;$BM460,"refNeedCorrection","refOK")</f>
        <v>refOK</v>
      </c>
      <c r="CQ460">
        <f>IF($CP460="refOK",$BM460,$BN460)</f>
        <v>0.97</v>
      </c>
      <c r="CR460">
        <f>IF($CP460="refOK",$BN460,$BM460)</f>
        <v>0.97</v>
      </c>
      <c r="CS460">
        <f t="shared" si="540"/>
        <v>0</v>
      </c>
      <c r="CT460">
        <f t="shared" si="467"/>
        <v>0</v>
      </c>
      <c r="CU460">
        <f t="shared" si="533"/>
        <v>-517</v>
      </c>
      <c r="CV460">
        <f t="shared" si="534"/>
        <v>-464</v>
      </c>
      <c r="CW460">
        <f t="shared" si="513"/>
        <v>5.2999999999999999E-2</v>
      </c>
      <c r="CX460" t="str">
        <f t="shared" si="536"/>
        <v/>
      </c>
      <c r="CY460" t="str">
        <f t="shared" si="536"/>
        <v/>
      </c>
      <c r="CZ460" t="str">
        <f t="shared" si="472"/>
        <v/>
      </c>
      <c r="DA460" s="2">
        <f t="shared" si="514"/>
        <v>0.10251450676982592</v>
      </c>
      <c r="DB460" s="304" t="s">
        <v>263</v>
      </c>
      <c r="DC460" s="297" t="str">
        <f t="shared" si="515"/>
        <v>loc</v>
      </c>
      <c r="DD460" s="297" t="s">
        <v>677</v>
      </c>
      <c r="DG460">
        <v>0</v>
      </c>
      <c r="DH460" t="str">
        <f t="shared" si="516"/>
        <v>0</v>
      </c>
      <c r="DI460">
        <v>0</v>
      </c>
      <c r="DJ460">
        <v>0</v>
      </c>
      <c r="DK460">
        <v>0</v>
      </c>
      <c r="DL460">
        <v>1</v>
      </c>
      <c r="DM460">
        <v>0</v>
      </c>
      <c r="DN460">
        <f t="shared" ref="DN460:DN492" si="541">SUM(DI460:DL460)</f>
        <v>1</v>
      </c>
      <c r="DO460" t="str">
        <f t="shared" si="517"/>
        <v>TimberInput</v>
      </c>
      <c r="DP460">
        <f t="shared" si="518"/>
        <v>0</v>
      </c>
      <c r="DQ460">
        <f t="shared" si="519"/>
        <v>0</v>
      </c>
      <c r="DR460">
        <f t="shared" si="520"/>
        <v>0</v>
      </c>
      <c r="DS460" t="str">
        <f t="shared" si="521"/>
        <v>Timber</v>
      </c>
      <c r="DT460">
        <v>0</v>
      </c>
      <c r="DU460">
        <v>0</v>
      </c>
      <c r="DV460">
        <v>0</v>
      </c>
      <c r="DW460">
        <v>0</v>
      </c>
      <c r="DX460">
        <v>0</v>
      </c>
      <c r="DY460">
        <f t="shared" ref="DY460:DY492" si="542">SUM(DT460:DU460)</f>
        <v>0</v>
      </c>
      <c r="DZ460" s="143" t="str">
        <f t="shared" si="522"/>
        <v>explicit C balance</v>
      </c>
      <c r="EA460">
        <v>0</v>
      </c>
      <c r="EB460">
        <v>0</v>
      </c>
      <c r="EC460">
        <v>0</v>
      </c>
      <c r="ED460">
        <v>0</v>
      </c>
      <c r="EE460">
        <v>1</v>
      </c>
      <c r="EF460">
        <v>0</v>
      </c>
      <c r="EG460">
        <v>1</v>
      </c>
      <c r="EH460">
        <v>1</v>
      </c>
      <c r="EI460">
        <v>0</v>
      </c>
      <c r="EJ460">
        <v>1</v>
      </c>
      <c r="EK460">
        <v>0</v>
      </c>
      <c r="EL460">
        <v>0</v>
      </c>
      <c r="EM460">
        <v>0</v>
      </c>
      <c r="EN460" s="2">
        <v>0</v>
      </c>
      <c r="EP460" t="str">
        <f t="shared" si="484"/>
        <v/>
      </c>
      <c r="EQ460" t="str">
        <f t="shared" si="523"/>
        <v/>
      </c>
      <c r="ER460" s="2" t="str">
        <f t="shared" si="524"/>
        <v>Technology approach</v>
      </c>
      <c r="ES460" t="str">
        <f t="shared" si="525"/>
        <v/>
      </c>
      <c r="ET460" t="str">
        <f t="shared" si="526"/>
        <v/>
      </c>
      <c r="EU460" t="str">
        <f t="shared" si="489"/>
        <v/>
      </c>
      <c r="EY460" t="b">
        <f>IF(ISNUMBER(BW460),IF(ABS(BW460-[1]QC_indicators!$B$2)&gt;3*[1]QC_indicators!$C$2,"C ratio",IF(ISNUMBER(CA460),IF(ABS(CA460-[1]QC_indicators!$B$1)&gt;3*[1]QC_indicators!$C$1,"DF","no"))),IF(ISNUMBER(CA460),IF(ABS(CA460-[1]QC_indicators!$B$1)&gt;3*[1]QC_indicators!$C$1,"DF","no")))</f>
        <v>0</v>
      </c>
      <c r="FA460" t="str">
        <f t="shared" si="490"/>
        <v/>
      </c>
    </row>
    <row r="461" spans="1:157" ht="15" hidden="1" customHeight="1">
      <c r="A461" s="1" t="s">
        <v>3968</v>
      </c>
      <c r="B461" t="s">
        <v>3969</v>
      </c>
      <c r="C461" t="s">
        <v>3970</v>
      </c>
      <c r="D461" t="s">
        <v>3971</v>
      </c>
      <c r="E461" t="s">
        <v>3972</v>
      </c>
      <c r="F461" t="s">
        <v>3973</v>
      </c>
      <c r="G461" t="s">
        <v>3974</v>
      </c>
      <c r="H461" t="s">
        <v>254</v>
      </c>
      <c r="I461">
        <v>2021</v>
      </c>
      <c r="J461">
        <v>1</v>
      </c>
      <c r="K461" t="s">
        <v>3975</v>
      </c>
      <c r="M461" t="str">
        <f t="shared" si="535"/>
        <v>Wang_2021</v>
      </c>
      <c r="N461" s="297" t="s">
        <v>4058</v>
      </c>
      <c r="O461" s="297" t="s">
        <v>223</v>
      </c>
      <c r="Q461" s="297" t="s">
        <v>389</v>
      </c>
      <c r="R461" s="298"/>
      <c r="S461" s="304" t="s">
        <v>96</v>
      </c>
      <c r="T461" s="297" t="s">
        <v>1058</v>
      </c>
      <c r="U461" s="297" t="s">
        <v>3982</v>
      </c>
      <c r="V461" s="297"/>
      <c r="W461" s="297"/>
      <c r="X461">
        <v>0</v>
      </c>
      <c r="Y461">
        <v>0</v>
      </c>
      <c r="Z461">
        <v>0</v>
      </c>
      <c r="AA461">
        <v>0</v>
      </c>
      <c r="AB461">
        <v>0</v>
      </c>
      <c r="AC461">
        <v>0</v>
      </c>
      <c r="AD461">
        <v>0</v>
      </c>
      <c r="AE461">
        <v>0</v>
      </c>
      <c r="AF461">
        <v>1</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s="141">
        <f t="shared" ref="AZ461:AZ492" si="543">COUNTIF(X461:AY461,"&lt;&gt;0")</f>
        <v>1</v>
      </c>
      <c r="BA461" s="141">
        <f t="shared" ref="BA461:BA492" si="544">COUNTIF(X461:AN461,"&lt;&gt;0")</f>
        <v>1</v>
      </c>
      <c r="BB461">
        <f t="shared" ref="BB461:BB492" si="545">COUNTIF(X461:AE461,"&lt;&gt;0")</f>
        <v>0</v>
      </c>
      <c r="BC461">
        <f t="shared" ref="BC461:BC492" si="546">COUNTIF(AF461:AK461,"&lt;&gt;0")</f>
        <v>1</v>
      </c>
      <c r="BD461">
        <f t="shared" ref="BD461:BD492" si="547">COUNTIF(AL461:AN461,"&lt;&gt;0")</f>
        <v>0</v>
      </c>
      <c r="BE461">
        <f t="shared" ref="BE461:BE492" si="548">COUNTIF(AU461:AY461,"&lt;&gt;0")</f>
        <v>0</v>
      </c>
      <c r="BF461">
        <f t="shared" ref="BF461:BF492" si="549">COUNTIF(AO461:AT461,"&lt;&gt;0")</f>
        <v>0</v>
      </c>
      <c r="BG461" t="str" cm="1">
        <f t="array" ref="BG461">IF(BA461=1,INDEX($X$7:$AN$7,MATCH(TRUE,INDEX($X461:$AY461&lt;&gt;0,),0)),IF(BA461=0,INDEX($AO$7:$AY$7,MATCH(1,$AO461:$AY461,0)),IF(BH461="Multiple strategies","mixed drivers",IF(BH461="Supply chain","multiple supply","multiple silviculture"))))</f>
        <v>harvesting system</v>
      </c>
      <c r="BH461" s="2" t="str" cm="1">
        <f t="array" ref="BH461">IF(COUNTIF(BB461:BD461,"&lt;&gt;0")=1,INDEX($X$4:$AY$4,MATCH(TRUE,INDEX($X461:$AY461&lt;&gt;0,),0)),IF(COUNTIF(BB461:BD461,"&lt;&gt;0")=0,INDEX($AO$4:$AY$4,MATCH(1,$AO461:$AY461,0)),"Multiple strategies"))</f>
        <v>Supply chain</v>
      </c>
      <c r="BI461" s="1" t="s">
        <v>321</v>
      </c>
      <c r="BJ461" s="297" t="s">
        <v>3979</v>
      </c>
      <c r="BK461" s="297" t="s">
        <v>3980</v>
      </c>
      <c r="BL461" s="297" t="s">
        <v>498</v>
      </c>
      <c r="BM461">
        <v>0.97</v>
      </c>
      <c r="BN461">
        <v>0.97</v>
      </c>
      <c r="BP461">
        <f t="shared" si="537"/>
        <v>0</v>
      </c>
      <c r="BQ461">
        <f t="shared" si="538"/>
        <v>0</v>
      </c>
      <c r="BR461" s="297" t="s">
        <v>395</v>
      </c>
      <c r="BS461" s="297" t="s">
        <v>3983</v>
      </c>
      <c r="BT461" s="297" t="s">
        <v>397</v>
      </c>
      <c r="BU461">
        <v>465</v>
      </c>
      <c r="BV461">
        <v>463</v>
      </c>
      <c r="BW461" s="144">
        <f>BV461/BU461</f>
        <v>0.99569892473118282</v>
      </c>
      <c r="BX461">
        <f t="shared" si="529"/>
        <v>-2</v>
      </c>
      <c r="BZ461">
        <f t="shared" si="539"/>
        <v>-2E-3</v>
      </c>
      <c r="CA461" t="str">
        <f t="shared" ref="CA461:CA492" si="550">IFERROR(BZ461/BQ461,"")</f>
        <v/>
      </c>
      <c r="CB461">
        <v>0</v>
      </c>
      <c r="CC461">
        <v>0</v>
      </c>
      <c r="CD461">
        <v>0</v>
      </c>
      <c r="CE461">
        <v>0</v>
      </c>
      <c r="CF461">
        <v>0</v>
      </c>
      <c r="CG461">
        <v>0</v>
      </c>
      <c r="CH461">
        <v>0</v>
      </c>
      <c r="CI461">
        <v>0</v>
      </c>
      <c r="CJ461">
        <v>0</v>
      </c>
      <c r="CK461">
        <v>0</v>
      </c>
      <c r="CL461">
        <v>0</v>
      </c>
      <c r="CM461">
        <v>0</v>
      </c>
      <c r="CN461">
        <v>0</v>
      </c>
      <c r="CO461">
        <v>0</v>
      </c>
      <c r="CP461" t="str">
        <f>IF($BN461&lt;$BM461,"refNeedCorrection","refOK")</f>
        <v>refOK</v>
      </c>
      <c r="CQ461">
        <f>IF($CP461="refOK",$BM461,$BN461)</f>
        <v>0.97</v>
      </c>
      <c r="CR461">
        <f>IF($CP461="refOK",$BN461,$BM461)</f>
        <v>0.97</v>
      </c>
      <c r="CS461">
        <f t="shared" si="540"/>
        <v>0</v>
      </c>
      <c r="CT461">
        <f t="shared" ref="CT461:CT524" si="551">IF(BI461="Roundwood",$CS461/2,$CS461)</f>
        <v>0</v>
      </c>
      <c r="CU461">
        <f t="shared" si="533"/>
        <v>-465</v>
      </c>
      <c r="CV461">
        <f t="shared" si="534"/>
        <v>-463</v>
      </c>
      <c r="CW461">
        <f t="shared" ref="CW461:CW492" si="552">IF($CP461="refNeedCorrection",-BZ461,BZ461)*IF($BR461="Emissions positive",-1,1)</f>
        <v>2E-3</v>
      </c>
      <c r="CX461" t="str">
        <f t="shared" si="536"/>
        <v/>
      </c>
      <c r="CY461" t="str">
        <f t="shared" si="536"/>
        <v/>
      </c>
      <c r="CZ461" t="str">
        <f t="shared" ref="CZ461:CZ524" si="553">IFERROR($CW461/$CT461,"")</f>
        <v/>
      </c>
      <c r="DA461" s="2">
        <f t="shared" ref="DA461:DA492" si="554">IFERROR((CV461-CU461)/ABS(CU461),"")</f>
        <v>4.3010752688172043E-3</v>
      </c>
      <c r="DB461" s="304" t="s">
        <v>263</v>
      </c>
      <c r="DC461" s="297" t="str">
        <f t="shared" ref="DC461:DC492" si="555">IF(OR($DB461="prd",$DB461="std",$DB461="cit"),"loc",IF(OR($DB461="eur",$DB461="reg",$DB461="coy"),"reg",$DB461))</f>
        <v>loc</v>
      </c>
      <c r="DD461" s="297" t="s">
        <v>677</v>
      </c>
      <c r="DG461">
        <v>0</v>
      </c>
      <c r="DH461" t="str">
        <f t="shared" ref="DH461:DH492" si="556">IF(DG461=0,"0",IF(AND(DG461&gt;=1,DG461&lt;=30),"1-30",IF(AND(DG461&gt;30,DG461&lt;=70),"31-70",IF(AND(DG461&gt;70,DG461&lt;=100),"71-100",IF(DG461&gt;100,"+100")))))</f>
        <v>0</v>
      </c>
      <c r="DI461">
        <v>0</v>
      </c>
      <c r="DJ461">
        <v>0</v>
      </c>
      <c r="DK461">
        <v>0</v>
      </c>
      <c r="DL461">
        <v>1</v>
      </c>
      <c r="DM461">
        <v>0</v>
      </c>
      <c r="DN461">
        <f t="shared" si="541"/>
        <v>1</v>
      </c>
      <c r="DO461" t="str">
        <f t="shared" ref="DO461:DO492" si="557">IF(DN461=1,INDEX($DI$7:$DL$7,MATCH(1,$DI461:$DL461,0)),"mixedProduct")</f>
        <v>TimberInput</v>
      </c>
      <c r="DP461">
        <f t="shared" ref="DP461:DP492" si="558">IF(DI461=1,DP$7,0)</f>
        <v>0</v>
      </c>
      <c r="DQ461">
        <f t="shared" ref="DQ461:DQ492" si="559">IF(DJ461=1,DQ$7,0)</f>
        <v>0</v>
      </c>
      <c r="DR461">
        <f t="shared" ref="DR461:DR492" si="560">IF(DK461=1,DR$7,0)</f>
        <v>0</v>
      </c>
      <c r="DS461" t="str">
        <f t="shared" ref="DS461:DS492" si="561">IF(DL461=1,DS$7,0)</f>
        <v>Timber</v>
      </c>
      <c r="DT461">
        <v>0</v>
      </c>
      <c r="DU461">
        <v>0</v>
      </c>
      <c r="DV461">
        <v>0</v>
      </c>
      <c r="DW461">
        <v>0</v>
      </c>
      <c r="DX461">
        <v>0</v>
      </c>
      <c r="DY461">
        <f t="shared" si="542"/>
        <v>0</v>
      </c>
      <c r="DZ461" s="143" t="str">
        <f t="shared" ref="DZ461:DZ492" si="562">IF(DT461=1,"self-calculated DF",IF(DU461=1,"external DF used","explicit C balance"))</f>
        <v>explicit C balance</v>
      </c>
      <c r="EA461">
        <v>0</v>
      </c>
      <c r="EB461">
        <v>0</v>
      </c>
      <c r="EC461">
        <v>0</v>
      </c>
      <c r="ED461">
        <v>0</v>
      </c>
      <c r="EE461">
        <v>1</v>
      </c>
      <c r="EF461">
        <v>0</v>
      </c>
      <c r="EG461">
        <v>1</v>
      </c>
      <c r="EH461">
        <v>1</v>
      </c>
      <c r="EI461">
        <v>0</v>
      </c>
      <c r="EJ461">
        <v>1</v>
      </c>
      <c r="EK461">
        <v>0</v>
      </c>
      <c r="EL461">
        <v>0</v>
      </c>
      <c r="EM461">
        <v>0</v>
      </c>
      <c r="EN461" s="2">
        <v>0</v>
      </c>
      <c r="EP461" t="str">
        <f t="shared" ref="EP461:EP524" si="563">IF(AND(AND(AND(OR($EC461=1,$EB461=1),OR($EH461=1,$EF461=1)),SUM($EA461:$EE461,$EK461)&gt;=3),SUM($EF461:$EJ461)&gt;=2),"Whole sector approach","")</f>
        <v/>
      </c>
      <c r="EQ461" t="str">
        <f t="shared" ref="EQ461:EQ492" si="564">IF(AND(AND(OR($EC461=1,$EB461=1),AND($EH461=0,$EF461=0)),SUM($EA461:$EE461,$EK461)&gt;=3),"Ecosystem approach","")</f>
        <v/>
      </c>
      <c r="ER461" s="2" t="str">
        <f t="shared" ref="ER461:ER492" si="565">IF(AND(AND(AND($EC461=0,$EB461=0),OR($EH461=1,$EF461=1)),SUM($EG461:$EJ461)&gt;=2),"Technology approach","")</f>
        <v>Technology approach</v>
      </c>
      <c r="ES461" t="str">
        <f t="shared" ref="ES461:ES492" si="566">IF(AND($EC461+$EB461+$EE461+$EA461+$EF461+$EG461=0,$N461="included"),"C neutral forest and HWP assumption","")</f>
        <v/>
      </c>
      <c r="ET461" t="str">
        <f t="shared" ref="ET461:ET492" si="567">IF(AND(AND(AND($EC461+$EB461+$EA461+$EG461&gt;=2,$EF461+$EH461+$EI461&gt;=1),$ED461+$EE461&gt;=1),$N461="included"),"All C pools assumption","")</f>
        <v/>
      </c>
      <c r="EU461" t="str">
        <f t="shared" ref="EU461:EU524" si="568">IF(AND($ED461+$EE461+$EI461+$EH461+$EF461=0,$N461="included"),"In-situ only assumption","")</f>
        <v/>
      </c>
      <c r="EY461" t="b">
        <f>IF(ISNUMBER(BW461),IF(ABS(BW461-[1]QC_indicators!$B$2)&gt;3*[1]QC_indicators!$C$2,"C ratio",IF(ISNUMBER(CA461),IF(ABS(CA461-[1]QC_indicators!$B$1)&gt;3*[1]QC_indicators!$C$1,"DF","no"))),IF(ISNUMBER(CA461),IF(ABS(CA461-[1]QC_indicators!$B$1)&gt;3*[1]QC_indicators!$C$1,"DF","no")))</f>
        <v>0</v>
      </c>
      <c r="FA461" t="str">
        <f t="shared" ref="FA461:FA524" si="569">IF(LEN($CY461)=0,"",IF(AND($CY461&lt;(-0.05),$ES461="C neutral forest and HWP assumption"),"Cneutral paradox",IF(AND($CY461&gt;0.05,$EU461="In-situ only assumption"),"In-situ only paradox","")))</f>
        <v/>
      </c>
    </row>
    <row r="462" spans="1:157" ht="15" hidden="1" customHeight="1">
      <c r="A462" s="1" t="s">
        <v>3968</v>
      </c>
      <c r="B462" t="s">
        <v>3969</v>
      </c>
      <c r="C462" t="s">
        <v>3970</v>
      </c>
      <c r="D462" t="s">
        <v>3971</v>
      </c>
      <c r="E462" t="s">
        <v>3972</v>
      </c>
      <c r="F462" t="s">
        <v>3973</v>
      </c>
      <c r="G462" t="s">
        <v>3974</v>
      </c>
      <c r="H462" t="s">
        <v>254</v>
      </c>
      <c r="I462">
        <v>2021</v>
      </c>
      <c r="J462">
        <v>1</v>
      </c>
      <c r="K462" t="s">
        <v>3975</v>
      </c>
      <c r="M462" t="str">
        <f t="shared" si="535"/>
        <v>Wang_2021</v>
      </c>
      <c r="N462" s="297" t="s">
        <v>4058</v>
      </c>
      <c r="O462" s="297" t="s">
        <v>223</v>
      </c>
      <c r="Q462" s="297" t="s">
        <v>389</v>
      </c>
      <c r="R462" s="298"/>
      <c r="S462" s="304" t="s">
        <v>3976</v>
      </c>
      <c r="T462" s="297" t="s">
        <v>3977</v>
      </c>
      <c r="U462" s="297" t="s">
        <v>3978</v>
      </c>
      <c r="V462" s="297"/>
      <c r="W462" s="297"/>
      <c r="X462">
        <v>0</v>
      </c>
      <c r="Y462">
        <v>0</v>
      </c>
      <c r="Z462">
        <v>0</v>
      </c>
      <c r="AA462">
        <v>0</v>
      </c>
      <c r="AB462">
        <v>0</v>
      </c>
      <c r="AC462">
        <v>0</v>
      </c>
      <c r="AD462">
        <v>0</v>
      </c>
      <c r="AE462">
        <v>0</v>
      </c>
      <c r="AF462">
        <v>0</v>
      </c>
      <c r="AG462">
        <v>0</v>
      </c>
      <c r="AH462">
        <v>0</v>
      </c>
      <c r="AI462">
        <v>0</v>
      </c>
      <c r="AJ462">
        <v>1</v>
      </c>
      <c r="AK462">
        <v>0</v>
      </c>
      <c r="AL462">
        <v>0</v>
      </c>
      <c r="AM462">
        <v>0</v>
      </c>
      <c r="AN462">
        <v>0</v>
      </c>
      <c r="AO462">
        <v>0</v>
      </c>
      <c r="AP462">
        <v>0</v>
      </c>
      <c r="AQ462">
        <v>0</v>
      </c>
      <c r="AR462">
        <v>0</v>
      </c>
      <c r="AS462">
        <v>0</v>
      </c>
      <c r="AT462">
        <v>0</v>
      </c>
      <c r="AU462">
        <v>0</v>
      </c>
      <c r="AV462">
        <v>0</v>
      </c>
      <c r="AW462">
        <v>0</v>
      </c>
      <c r="AX462">
        <v>0</v>
      </c>
      <c r="AY462">
        <v>0</v>
      </c>
      <c r="AZ462" s="141">
        <f t="shared" si="543"/>
        <v>1</v>
      </c>
      <c r="BA462" s="141">
        <f t="shared" si="544"/>
        <v>1</v>
      </c>
      <c r="BB462">
        <f t="shared" si="545"/>
        <v>0</v>
      </c>
      <c r="BC462">
        <f t="shared" si="546"/>
        <v>1</v>
      </c>
      <c r="BD462">
        <f t="shared" si="547"/>
        <v>0</v>
      </c>
      <c r="BE462">
        <f t="shared" si="548"/>
        <v>0</v>
      </c>
      <c r="BF462">
        <f t="shared" si="549"/>
        <v>0</v>
      </c>
      <c r="BG462" t="str" cm="1">
        <f t="array" ref="BG462">IF(BA462=1,INDEX($X$7:$AN$7,MATCH(TRUE,INDEX($X462:$AY462&lt;&gt;0,),0)),IF(BA462=0,INDEX($AO$7:$AY$7,MATCH(1,$AO462:$AY462,0)),IF(BH462="Multiple strategies","mixed drivers",IF(BH462="Supply chain","multiple supply","multiple silviculture"))))</f>
        <v xml:space="preserve">end of life disposal </v>
      </c>
      <c r="BH462" s="2" t="str" cm="1">
        <f t="array" ref="BH462">IF(COUNTIF(BB462:BD462,"&lt;&gt;0")=1,INDEX($X$4:$AY$4,MATCH(TRUE,INDEX($X462:$AY462&lt;&gt;0,),0)),IF(COUNTIF(BB462:BD462,"&lt;&gt;0")=0,INDEX($AO$4:$AY$4,MATCH(1,$AO462:$AY462,0)),"Multiple strategies"))</f>
        <v>Supply chain</v>
      </c>
      <c r="BI462" s="1" t="s">
        <v>321</v>
      </c>
      <c r="BJ462" s="297" t="s">
        <v>3979</v>
      </c>
      <c r="BK462" s="297" t="s">
        <v>3980</v>
      </c>
      <c r="BL462" s="297" t="s">
        <v>498</v>
      </c>
      <c r="BM462">
        <v>0.97</v>
      </c>
      <c r="BN462">
        <v>0.97</v>
      </c>
      <c r="BP462">
        <f t="shared" si="537"/>
        <v>0</v>
      </c>
      <c r="BQ462">
        <f t="shared" si="538"/>
        <v>0</v>
      </c>
      <c r="BR462" s="297" t="s">
        <v>395</v>
      </c>
      <c r="BS462" s="297" t="s">
        <v>3981</v>
      </c>
      <c r="BT462" s="297" t="s">
        <v>397</v>
      </c>
      <c r="BU462">
        <v>471</v>
      </c>
      <c r="BV462">
        <v>464</v>
      </c>
      <c r="BW462" s="144">
        <f>BV462/BU462</f>
        <v>0.9851380042462845</v>
      </c>
      <c r="BX462">
        <f t="shared" si="529"/>
        <v>-7</v>
      </c>
      <c r="BZ462">
        <f t="shared" si="539"/>
        <v>-7.0000000000000001E-3</v>
      </c>
      <c r="CA462" t="str">
        <f t="shared" si="550"/>
        <v/>
      </c>
      <c r="CB462">
        <v>0</v>
      </c>
      <c r="CC462">
        <v>0</v>
      </c>
      <c r="CD462">
        <v>0</v>
      </c>
      <c r="CE462">
        <v>0</v>
      </c>
      <c r="CF462">
        <v>0</v>
      </c>
      <c r="CG462">
        <v>0</v>
      </c>
      <c r="CH462">
        <v>0</v>
      </c>
      <c r="CI462">
        <v>0</v>
      </c>
      <c r="CJ462">
        <v>0</v>
      </c>
      <c r="CK462">
        <v>0</v>
      </c>
      <c r="CL462">
        <v>0</v>
      </c>
      <c r="CM462">
        <v>0</v>
      </c>
      <c r="CN462">
        <v>0</v>
      </c>
      <c r="CO462">
        <v>0</v>
      </c>
      <c r="CP462" t="str">
        <f>IF($BN462&lt;$BM462,"refNeedCorrection","refOK")</f>
        <v>refOK</v>
      </c>
      <c r="CQ462">
        <f>IF($CP462="refOK",$BM462,$BN462)</f>
        <v>0.97</v>
      </c>
      <c r="CR462">
        <f>IF($CP462="refOK",$BN462,$BM462)</f>
        <v>0.97</v>
      </c>
      <c r="CS462">
        <f t="shared" si="540"/>
        <v>0</v>
      </c>
      <c r="CT462">
        <f t="shared" si="551"/>
        <v>0</v>
      </c>
      <c r="CU462">
        <f t="shared" si="533"/>
        <v>-471</v>
      </c>
      <c r="CV462">
        <f t="shared" si="534"/>
        <v>-464</v>
      </c>
      <c r="CW462">
        <f t="shared" si="552"/>
        <v>7.0000000000000001E-3</v>
      </c>
      <c r="CX462" t="str">
        <f t="shared" si="536"/>
        <v/>
      </c>
      <c r="CY462" t="str">
        <f t="shared" si="536"/>
        <v/>
      </c>
      <c r="CZ462" t="str">
        <f t="shared" si="553"/>
        <v/>
      </c>
      <c r="DA462" s="2">
        <f t="shared" si="554"/>
        <v>1.4861995753715499E-2</v>
      </c>
      <c r="DB462" s="304" t="s">
        <v>263</v>
      </c>
      <c r="DC462" s="297" t="str">
        <f t="shared" si="555"/>
        <v>loc</v>
      </c>
      <c r="DD462" s="297" t="s">
        <v>677</v>
      </c>
      <c r="DG462">
        <v>0</v>
      </c>
      <c r="DH462" t="str">
        <f t="shared" si="556"/>
        <v>0</v>
      </c>
      <c r="DI462">
        <v>0</v>
      </c>
      <c r="DJ462">
        <v>0</v>
      </c>
      <c r="DK462">
        <v>0</v>
      </c>
      <c r="DL462">
        <v>1</v>
      </c>
      <c r="DM462">
        <v>0</v>
      </c>
      <c r="DN462">
        <f t="shared" si="541"/>
        <v>1</v>
      </c>
      <c r="DO462" t="str">
        <f t="shared" si="557"/>
        <v>TimberInput</v>
      </c>
      <c r="DP462">
        <f t="shared" si="558"/>
        <v>0</v>
      </c>
      <c r="DQ462">
        <f t="shared" si="559"/>
        <v>0</v>
      </c>
      <c r="DR462">
        <f t="shared" si="560"/>
        <v>0</v>
      </c>
      <c r="DS462" t="str">
        <f t="shared" si="561"/>
        <v>Timber</v>
      </c>
      <c r="DT462">
        <v>0</v>
      </c>
      <c r="DU462">
        <v>0</v>
      </c>
      <c r="DV462">
        <v>0</v>
      </c>
      <c r="DW462">
        <v>0</v>
      </c>
      <c r="DX462">
        <v>0</v>
      </c>
      <c r="DY462">
        <f t="shared" si="542"/>
        <v>0</v>
      </c>
      <c r="DZ462" s="143" t="str">
        <f t="shared" si="562"/>
        <v>explicit C balance</v>
      </c>
      <c r="EA462">
        <v>0</v>
      </c>
      <c r="EB462">
        <v>0</v>
      </c>
      <c r="EC462">
        <v>0</v>
      </c>
      <c r="ED462">
        <v>0</v>
      </c>
      <c r="EE462">
        <v>1</v>
      </c>
      <c r="EF462">
        <v>0</v>
      </c>
      <c r="EG462">
        <v>1</v>
      </c>
      <c r="EH462">
        <v>1</v>
      </c>
      <c r="EI462">
        <v>0</v>
      </c>
      <c r="EJ462">
        <v>1</v>
      </c>
      <c r="EK462">
        <v>0</v>
      </c>
      <c r="EL462">
        <v>0</v>
      </c>
      <c r="EM462">
        <v>0</v>
      </c>
      <c r="EN462" s="2">
        <v>0</v>
      </c>
      <c r="EP462" t="str">
        <f t="shared" si="563"/>
        <v/>
      </c>
      <c r="EQ462" t="str">
        <f t="shared" si="564"/>
        <v/>
      </c>
      <c r="ER462" s="2" t="str">
        <f t="shared" si="565"/>
        <v>Technology approach</v>
      </c>
      <c r="ES462" t="str">
        <f t="shared" si="566"/>
        <v/>
      </c>
      <c r="ET462" t="str">
        <f t="shared" si="567"/>
        <v/>
      </c>
      <c r="EU462" t="str">
        <f t="shared" si="568"/>
        <v/>
      </c>
      <c r="EY462" t="b">
        <f>IF(ISNUMBER(BW462),IF(ABS(BW462-[1]QC_indicators!$B$2)&gt;3*[1]QC_indicators!$C$2,"C ratio",IF(ISNUMBER(CA462),IF(ABS(CA462-[1]QC_indicators!$B$1)&gt;3*[1]QC_indicators!$C$1,"DF","no"))),IF(ISNUMBER(CA462),IF(ABS(CA462-[1]QC_indicators!$B$1)&gt;3*[1]QC_indicators!$C$1,"DF","no")))</f>
        <v>0</v>
      </c>
      <c r="FA462" t="str">
        <f t="shared" si="569"/>
        <v/>
      </c>
    </row>
    <row r="463" spans="1:157" ht="15" hidden="1" customHeight="1">
      <c r="A463" s="1" t="s">
        <v>3988</v>
      </c>
      <c r="B463" t="s">
        <v>3989</v>
      </c>
      <c r="C463" t="s">
        <v>3990</v>
      </c>
      <c r="D463" t="s">
        <v>3991</v>
      </c>
      <c r="E463" t="s">
        <v>3992</v>
      </c>
      <c r="F463" t="s">
        <v>3993</v>
      </c>
      <c r="G463" t="s">
        <v>3994</v>
      </c>
      <c r="H463" t="s">
        <v>254</v>
      </c>
      <c r="I463">
        <v>2011</v>
      </c>
      <c r="J463">
        <v>7</v>
      </c>
      <c r="K463" t="s">
        <v>3995</v>
      </c>
      <c r="M463" t="str">
        <f t="shared" si="535"/>
        <v>Weight_2011</v>
      </c>
      <c r="N463" s="297" t="s">
        <v>4058</v>
      </c>
      <c r="O463" s="145" t="s">
        <v>1029</v>
      </c>
      <c r="Q463" s="297" t="s">
        <v>256</v>
      </c>
      <c r="R463" s="298"/>
      <c r="S463" s="1" t="s">
        <v>4001</v>
      </c>
      <c r="T463" t="s">
        <v>4002</v>
      </c>
      <c r="U463" t="s">
        <v>4003</v>
      </c>
      <c r="X463">
        <v>0</v>
      </c>
      <c r="Y463">
        <v>0</v>
      </c>
      <c r="Z463">
        <v>0</v>
      </c>
      <c r="AA463">
        <v>0</v>
      </c>
      <c r="AB463">
        <v>0</v>
      </c>
      <c r="AC463">
        <v>0</v>
      </c>
      <c r="AD463">
        <v>0</v>
      </c>
      <c r="AE463">
        <v>0</v>
      </c>
      <c r="AF463">
        <v>0</v>
      </c>
      <c r="AG463">
        <v>0</v>
      </c>
      <c r="AH463">
        <v>0</v>
      </c>
      <c r="AI463">
        <v>0</v>
      </c>
      <c r="AJ463">
        <v>1</v>
      </c>
      <c r="AK463">
        <v>0</v>
      </c>
      <c r="AL463">
        <v>0</v>
      </c>
      <c r="AM463">
        <v>0</v>
      </c>
      <c r="AN463">
        <v>0</v>
      </c>
      <c r="AO463">
        <v>0</v>
      </c>
      <c r="AP463">
        <v>0</v>
      </c>
      <c r="AQ463">
        <v>0</v>
      </c>
      <c r="AR463">
        <v>0</v>
      </c>
      <c r="AS463">
        <v>0</v>
      </c>
      <c r="AT463">
        <v>0</v>
      </c>
      <c r="AU463">
        <v>0</v>
      </c>
      <c r="AV463">
        <v>0</v>
      </c>
      <c r="AW463">
        <v>0</v>
      </c>
      <c r="AX463">
        <v>0</v>
      </c>
      <c r="AY463">
        <v>0</v>
      </c>
      <c r="AZ463" s="141">
        <f t="shared" si="543"/>
        <v>1</v>
      </c>
      <c r="BA463" s="141">
        <f t="shared" si="544"/>
        <v>1</v>
      </c>
      <c r="BB463">
        <f t="shared" si="545"/>
        <v>0</v>
      </c>
      <c r="BC463">
        <f t="shared" si="546"/>
        <v>1</v>
      </c>
      <c r="BD463">
        <f t="shared" si="547"/>
        <v>0</v>
      </c>
      <c r="BE463">
        <f t="shared" si="548"/>
        <v>0</v>
      </c>
      <c r="BF463">
        <f t="shared" si="549"/>
        <v>0</v>
      </c>
      <c r="BG463" t="str" cm="1">
        <f t="array" ref="BG463">IF(BA463=1,INDEX($X$7:$AN$7,MATCH(TRUE,INDEX($X463:$AY463&lt;&gt;0,),0)),IF(BA463=0,INDEX($AO$7:$AY$7,MATCH(1,$AO463:$AY463,0)),IF(BH463="Multiple strategies","mixed drivers",IF(BH463="Supply chain","multiple supply","multiple silviculture"))))</f>
        <v xml:space="preserve">end of life disposal </v>
      </c>
      <c r="BH463" s="2" t="str" cm="1">
        <f t="array" ref="BH463">IF(COUNTIF(BB463:BD463,"&lt;&gt;0")=1,INDEX($X$4:$AY$4,MATCH(TRUE,INDEX($X463:$AY463&lt;&gt;0,),0)),IF(COUNTIF(BB463:BD463,"&lt;&gt;0")=0,INDEX($AO$4:$AY$4,MATCH(1,$AO463:$AY463,0)),"Multiple strategies"))</f>
        <v>Supply chain</v>
      </c>
      <c r="BO463" s="143"/>
      <c r="BP463" s="143">
        <f t="shared" si="537"/>
        <v>0</v>
      </c>
      <c r="BQ463">
        <f t="shared" si="538"/>
        <v>0</v>
      </c>
      <c r="BR463" t="s">
        <v>232</v>
      </c>
      <c r="BT463" t="s">
        <v>3999</v>
      </c>
      <c r="BU463">
        <v>-26</v>
      </c>
      <c r="BV463">
        <v>711</v>
      </c>
      <c r="BW463" s="144">
        <f t="shared" ref="BW463:BW479" si="570">IFERROR(BV463/BU463,"")</f>
        <v>-27.346153846153847</v>
      </c>
      <c r="BX463" s="144">
        <f t="shared" si="529"/>
        <v>737</v>
      </c>
      <c r="BY463" s="144"/>
      <c r="BZ463">
        <f t="shared" si="539"/>
        <v>0.73699999999999999</v>
      </c>
      <c r="CA463" t="str">
        <f t="shared" si="550"/>
        <v/>
      </c>
      <c r="CB463">
        <v>0</v>
      </c>
      <c r="CC463">
        <v>0</v>
      </c>
      <c r="CD463">
        <v>0</v>
      </c>
      <c r="CE463">
        <v>0</v>
      </c>
      <c r="CF463">
        <v>0</v>
      </c>
      <c r="CG463">
        <v>0</v>
      </c>
      <c r="CH463">
        <v>0</v>
      </c>
      <c r="CI463">
        <v>0</v>
      </c>
      <c r="CJ463">
        <v>0</v>
      </c>
      <c r="CK463">
        <v>0</v>
      </c>
      <c r="CL463">
        <v>0</v>
      </c>
      <c r="CM463">
        <v>0</v>
      </c>
      <c r="CN463">
        <v>0</v>
      </c>
      <c r="CO463">
        <v>0</v>
      </c>
      <c r="CP463" t="str">
        <f t="shared" ref="CP463:CP479" si="571">IF(BN463&lt;BM463,"refNeedCorrection","refOK")</f>
        <v>refOK</v>
      </c>
      <c r="CQ463"/>
      <c r="CR463"/>
      <c r="CS463">
        <f t="shared" si="540"/>
        <v>0</v>
      </c>
      <c r="CT463">
        <f t="shared" si="551"/>
        <v>0</v>
      </c>
      <c r="CU463">
        <f t="shared" si="533"/>
        <v>-26</v>
      </c>
      <c r="CV463">
        <f t="shared" si="534"/>
        <v>711</v>
      </c>
      <c r="CW463">
        <f t="shared" si="552"/>
        <v>0.73699999999999999</v>
      </c>
      <c r="CX463" t="str">
        <f t="shared" si="536"/>
        <v/>
      </c>
      <c r="CY463" t="str">
        <f t="shared" si="536"/>
        <v/>
      </c>
      <c r="CZ463" t="str">
        <f t="shared" si="553"/>
        <v/>
      </c>
      <c r="DA463" s="2">
        <f t="shared" si="554"/>
        <v>28.346153846153847</v>
      </c>
      <c r="DB463" s="1" t="s">
        <v>263</v>
      </c>
      <c r="DC463" s="297" t="str">
        <f t="shared" si="555"/>
        <v>loc</v>
      </c>
      <c r="DD463" s="296" t="s">
        <v>3098</v>
      </c>
      <c r="DG463">
        <f t="shared" ref="DG463:DG492" si="572">DF463-DE463</f>
        <v>0</v>
      </c>
      <c r="DH463" t="str">
        <f t="shared" si="556"/>
        <v>0</v>
      </c>
      <c r="DI463">
        <v>0</v>
      </c>
      <c r="DJ463">
        <v>0</v>
      </c>
      <c r="DK463">
        <v>0</v>
      </c>
      <c r="DL463">
        <v>1</v>
      </c>
      <c r="DM463">
        <v>0</v>
      </c>
      <c r="DN463">
        <f t="shared" si="541"/>
        <v>1</v>
      </c>
      <c r="DO463" t="str">
        <f t="shared" si="557"/>
        <v>TimberInput</v>
      </c>
      <c r="DP463">
        <f t="shared" si="558"/>
        <v>0</v>
      </c>
      <c r="DQ463">
        <f t="shared" si="559"/>
        <v>0</v>
      </c>
      <c r="DR463">
        <f t="shared" si="560"/>
        <v>0</v>
      </c>
      <c r="DS463" t="str">
        <f t="shared" si="561"/>
        <v>Timber</v>
      </c>
      <c r="DT463">
        <v>1</v>
      </c>
      <c r="DU463">
        <v>0</v>
      </c>
      <c r="DV463">
        <v>0</v>
      </c>
      <c r="DW463">
        <v>0</v>
      </c>
      <c r="DX463">
        <v>0</v>
      </c>
      <c r="DY463">
        <f t="shared" si="542"/>
        <v>1</v>
      </c>
      <c r="DZ463" s="143" t="str">
        <f t="shared" si="562"/>
        <v>self-calculated DF</v>
      </c>
      <c r="EA463">
        <v>0</v>
      </c>
      <c r="EB463">
        <v>0</v>
      </c>
      <c r="EC463">
        <v>1</v>
      </c>
      <c r="ED463">
        <v>0</v>
      </c>
      <c r="EE463">
        <v>1</v>
      </c>
      <c r="EF463">
        <v>1</v>
      </c>
      <c r="EG463">
        <v>1</v>
      </c>
      <c r="EH463">
        <v>1</v>
      </c>
      <c r="EI463">
        <v>0</v>
      </c>
      <c r="EJ463">
        <v>0</v>
      </c>
      <c r="EK463">
        <v>0</v>
      </c>
      <c r="EL463">
        <v>0</v>
      </c>
      <c r="EM463">
        <v>0</v>
      </c>
      <c r="EN463" s="2">
        <v>0</v>
      </c>
      <c r="EP463" t="str">
        <f t="shared" si="563"/>
        <v/>
      </c>
      <c r="EQ463" t="str">
        <f t="shared" si="564"/>
        <v/>
      </c>
      <c r="ER463" s="2" t="str">
        <f t="shared" si="565"/>
        <v/>
      </c>
      <c r="ES463" t="str">
        <f t="shared" si="566"/>
        <v/>
      </c>
      <c r="ET463" t="str">
        <f t="shared" si="567"/>
        <v/>
      </c>
      <c r="EU463" t="str">
        <f t="shared" si="568"/>
        <v/>
      </c>
      <c r="EW463" t="s">
        <v>4000</v>
      </c>
      <c r="EY463" t="b">
        <f>IF(ISNUMBER(BW463),IF(ABS(BW463-[1]QC_indicators!$B$2)&gt;3*[1]QC_indicators!$C$2,"C ratio",IF(ISNUMBER(CA463),IF(ABS(CA463-[1]QC_indicators!$B$1)&gt;3*[1]QC_indicators!$C$1,"DF","no"))),IF(ISNUMBER(CA463),IF(ABS(CA463-[1]QC_indicators!$B$1)&gt;3*[1]QC_indicators!$C$1,"DF","no")))</f>
        <v>0</v>
      </c>
      <c r="EZ463" s="149" t="s">
        <v>4004</v>
      </c>
      <c r="FA463" t="str">
        <f t="shared" si="569"/>
        <v/>
      </c>
    </row>
    <row r="464" spans="1:157" ht="15" hidden="1" customHeight="1">
      <c r="A464" s="1" t="s">
        <v>3988</v>
      </c>
      <c r="B464" t="s">
        <v>3989</v>
      </c>
      <c r="C464" t="s">
        <v>3990</v>
      </c>
      <c r="D464" t="s">
        <v>3991</v>
      </c>
      <c r="E464" t="s">
        <v>3992</v>
      </c>
      <c r="F464" t="s">
        <v>3993</v>
      </c>
      <c r="G464" t="s">
        <v>3994</v>
      </c>
      <c r="H464" t="s">
        <v>254</v>
      </c>
      <c r="I464">
        <v>2011</v>
      </c>
      <c r="J464">
        <v>7</v>
      </c>
      <c r="K464" t="s">
        <v>3995</v>
      </c>
      <c r="M464" t="str">
        <f t="shared" si="535"/>
        <v>Weight_2011</v>
      </c>
      <c r="N464" s="297" t="s">
        <v>4058</v>
      </c>
      <c r="O464" s="145" t="s">
        <v>1029</v>
      </c>
      <c r="Q464" s="297" t="s">
        <v>256</v>
      </c>
      <c r="R464" s="298"/>
      <c r="S464" s="1" t="s">
        <v>4005</v>
      </c>
      <c r="T464" t="s">
        <v>4002</v>
      </c>
      <c r="U464" t="s">
        <v>4006</v>
      </c>
      <c r="X464">
        <v>0</v>
      </c>
      <c r="Y464">
        <v>0</v>
      </c>
      <c r="Z464">
        <v>0</v>
      </c>
      <c r="AA464">
        <v>0</v>
      </c>
      <c r="AB464">
        <v>0</v>
      </c>
      <c r="AC464">
        <v>0</v>
      </c>
      <c r="AD464">
        <v>0</v>
      </c>
      <c r="AE464">
        <v>0</v>
      </c>
      <c r="AF464">
        <v>0</v>
      </c>
      <c r="AG464">
        <v>0</v>
      </c>
      <c r="AH464">
        <v>0</v>
      </c>
      <c r="AI464">
        <v>0</v>
      </c>
      <c r="AJ464">
        <v>1</v>
      </c>
      <c r="AK464">
        <v>0</v>
      </c>
      <c r="AL464">
        <v>0</v>
      </c>
      <c r="AM464">
        <v>0</v>
      </c>
      <c r="AN464">
        <v>0</v>
      </c>
      <c r="AO464">
        <v>0</v>
      </c>
      <c r="AP464">
        <v>0</v>
      </c>
      <c r="AQ464">
        <v>0</v>
      </c>
      <c r="AR464">
        <v>0</v>
      </c>
      <c r="AS464">
        <v>0</v>
      </c>
      <c r="AT464">
        <v>0</v>
      </c>
      <c r="AU464">
        <v>0</v>
      </c>
      <c r="AV464">
        <v>0</v>
      </c>
      <c r="AW464">
        <v>0</v>
      </c>
      <c r="AX464">
        <v>0</v>
      </c>
      <c r="AY464">
        <v>0</v>
      </c>
      <c r="AZ464" s="141">
        <f t="shared" si="543"/>
        <v>1</v>
      </c>
      <c r="BA464" s="141">
        <f t="shared" si="544"/>
        <v>1</v>
      </c>
      <c r="BB464">
        <f t="shared" si="545"/>
        <v>0</v>
      </c>
      <c r="BC464">
        <f t="shared" si="546"/>
        <v>1</v>
      </c>
      <c r="BD464">
        <f t="shared" si="547"/>
        <v>0</v>
      </c>
      <c r="BE464">
        <f t="shared" si="548"/>
        <v>0</v>
      </c>
      <c r="BF464">
        <f t="shared" si="549"/>
        <v>0</v>
      </c>
      <c r="BG464" t="str" cm="1">
        <f t="array" ref="BG464">IF(BA464=1,INDEX($X$7:$AN$7,MATCH(TRUE,INDEX($X464:$AY464&lt;&gt;0,),0)),IF(BA464=0,INDEX($AO$7:$AY$7,MATCH(1,$AO464:$AY464,0)),IF(BH464="Multiple strategies","mixed drivers",IF(BH464="Supply chain","multiple supply","multiple silviculture"))))</f>
        <v xml:space="preserve">end of life disposal </v>
      </c>
      <c r="BH464" s="2" t="str" cm="1">
        <f t="array" ref="BH464">IF(COUNTIF(BB464:BD464,"&lt;&gt;0")=1,INDEX($X$4:$AY$4,MATCH(TRUE,INDEX($X464:$AY464&lt;&gt;0,),0)),IF(COUNTIF(BB464:BD464,"&lt;&gt;0")=0,INDEX($AO$4:$AY$4,MATCH(1,$AO464:$AY464,0)),"Multiple strategies"))</f>
        <v>Supply chain</v>
      </c>
      <c r="BO464" s="143"/>
      <c r="BP464" s="143">
        <f t="shared" si="537"/>
        <v>0</v>
      </c>
      <c r="BQ464">
        <f t="shared" si="538"/>
        <v>0</v>
      </c>
      <c r="BR464" t="s">
        <v>232</v>
      </c>
      <c r="BT464" t="s">
        <v>3999</v>
      </c>
      <c r="BU464">
        <v>-26</v>
      </c>
      <c r="BV464">
        <v>738</v>
      </c>
      <c r="BW464" s="144">
        <f t="shared" si="570"/>
        <v>-28.384615384615383</v>
      </c>
      <c r="BX464" s="144">
        <f t="shared" si="529"/>
        <v>764</v>
      </c>
      <c r="BY464" s="144"/>
      <c r="BZ464">
        <f t="shared" si="539"/>
        <v>0.76400000000000001</v>
      </c>
      <c r="CA464" t="str">
        <f t="shared" si="550"/>
        <v/>
      </c>
      <c r="CB464">
        <v>0</v>
      </c>
      <c r="CC464">
        <v>0</v>
      </c>
      <c r="CD464">
        <v>0</v>
      </c>
      <c r="CE464">
        <v>0</v>
      </c>
      <c r="CF464">
        <v>0</v>
      </c>
      <c r="CG464">
        <v>0</v>
      </c>
      <c r="CH464">
        <v>0</v>
      </c>
      <c r="CI464">
        <v>0</v>
      </c>
      <c r="CJ464">
        <v>0</v>
      </c>
      <c r="CK464">
        <v>0</v>
      </c>
      <c r="CL464">
        <v>0</v>
      </c>
      <c r="CM464">
        <v>0</v>
      </c>
      <c r="CN464">
        <v>0</v>
      </c>
      <c r="CO464">
        <v>0</v>
      </c>
      <c r="CP464" t="str">
        <f t="shared" si="571"/>
        <v>refOK</v>
      </c>
      <c r="CQ464"/>
      <c r="CR464"/>
      <c r="CS464">
        <f t="shared" si="540"/>
        <v>0</v>
      </c>
      <c r="CT464">
        <f t="shared" si="551"/>
        <v>0</v>
      </c>
      <c r="CU464">
        <f t="shared" si="533"/>
        <v>-26</v>
      </c>
      <c r="CV464">
        <f t="shared" si="534"/>
        <v>738</v>
      </c>
      <c r="CW464">
        <f t="shared" si="552"/>
        <v>0.76400000000000001</v>
      </c>
      <c r="CX464" t="str">
        <f t="shared" si="536"/>
        <v/>
      </c>
      <c r="CY464" t="str">
        <f t="shared" si="536"/>
        <v/>
      </c>
      <c r="CZ464" t="str">
        <f t="shared" si="553"/>
        <v/>
      </c>
      <c r="DA464" s="2">
        <f t="shared" si="554"/>
        <v>29.384615384615383</v>
      </c>
      <c r="DB464" s="1" t="s">
        <v>263</v>
      </c>
      <c r="DC464" s="297" t="str">
        <f t="shared" si="555"/>
        <v>loc</v>
      </c>
      <c r="DD464" s="296" t="s">
        <v>3098</v>
      </c>
      <c r="DG464">
        <f t="shared" si="572"/>
        <v>0</v>
      </c>
      <c r="DH464" t="str">
        <f t="shared" si="556"/>
        <v>0</v>
      </c>
      <c r="DI464">
        <v>0</v>
      </c>
      <c r="DJ464">
        <v>0</v>
      </c>
      <c r="DK464">
        <v>0</v>
      </c>
      <c r="DL464">
        <v>1</v>
      </c>
      <c r="DM464">
        <v>0</v>
      </c>
      <c r="DN464">
        <f t="shared" si="541"/>
        <v>1</v>
      </c>
      <c r="DO464" t="str">
        <f t="shared" si="557"/>
        <v>TimberInput</v>
      </c>
      <c r="DP464">
        <f t="shared" si="558"/>
        <v>0</v>
      </c>
      <c r="DQ464">
        <f t="shared" si="559"/>
        <v>0</v>
      </c>
      <c r="DR464">
        <f t="shared" si="560"/>
        <v>0</v>
      </c>
      <c r="DS464" t="str">
        <f t="shared" si="561"/>
        <v>Timber</v>
      </c>
      <c r="DT464">
        <v>1</v>
      </c>
      <c r="DU464">
        <v>0</v>
      </c>
      <c r="DV464">
        <v>0</v>
      </c>
      <c r="DW464">
        <v>0</v>
      </c>
      <c r="DX464">
        <v>0</v>
      </c>
      <c r="DY464">
        <f t="shared" si="542"/>
        <v>1</v>
      </c>
      <c r="DZ464" s="143" t="str">
        <f t="shared" si="562"/>
        <v>self-calculated DF</v>
      </c>
      <c r="EA464">
        <v>0</v>
      </c>
      <c r="EB464">
        <v>0</v>
      </c>
      <c r="EC464">
        <v>1</v>
      </c>
      <c r="ED464">
        <v>0</v>
      </c>
      <c r="EE464">
        <v>1</v>
      </c>
      <c r="EF464">
        <v>1</v>
      </c>
      <c r="EG464">
        <v>1</v>
      </c>
      <c r="EH464">
        <v>1</v>
      </c>
      <c r="EI464">
        <v>0</v>
      </c>
      <c r="EJ464">
        <v>0</v>
      </c>
      <c r="EK464">
        <v>0</v>
      </c>
      <c r="EL464">
        <v>0</v>
      </c>
      <c r="EM464">
        <v>0</v>
      </c>
      <c r="EN464" s="2">
        <v>0</v>
      </c>
      <c r="EP464" t="str">
        <f t="shared" si="563"/>
        <v/>
      </c>
      <c r="EQ464" t="str">
        <f t="shared" si="564"/>
        <v/>
      </c>
      <c r="ER464" s="2" t="str">
        <f t="shared" si="565"/>
        <v/>
      </c>
      <c r="ES464" t="str">
        <f t="shared" si="566"/>
        <v/>
      </c>
      <c r="ET464" t="str">
        <f t="shared" si="567"/>
        <v/>
      </c>
      <c r="EU464" t="str">
        <f t="shared" si="568"/>
        <v/>
      </c>
      <c r="EW464" t="s">
        <v>4000</v>
      </c>
      <c r="EY464" t="b">
        <f>IF(ISNUMBER(BW464),IF(ABS(BW464-[1]QC_indicators!$B$2)&gt;3*[1]QC_indicators!$C$2,"C ratio",IF(ISNUMBER(CA464),IF(ABS(CA464-[1]QC_indicators!$B$1)&gt;3*[1]QC_indicators!$C$1,"DF","no"))),IF(ISNUMBER(CA464),IF(ABS(CA464-[1]QC_indicators!$B$1)&gt;3*[1]QC_indicators!$C$1,"DF","no")))</f>
        <v>0</v>
      </c>
      <c r="EZ464" s="149" t="s">
        <v>4004</v>
      </c>
      <c r="FA464" t="str">
        <f t="shared" si="569"/>
        <v/>
      </c>
    </row>
    <row r="465" spans="1:157" ht="15" hidden="1" customHeight="1">
      <c r="A465" s="1" t="s">
        <v>3988</v>
      </c>
      <c r="B465" t="s">
        <v>3989</v>
      </c>
      <c r="C465" t="s">
        <v>3990</v>
      </c>
      <c r="D465" t="s">
        <v>3991</v>
      </c>
      <c r="E465" t="s">
        <v>3992</v>
      </c>
      <c r="F465" t="s">
        <v>3993</v>
      </c>
      <c r="G465" t="s">
        <v>3994</v>
      </c>
      <c r="H465" t="s">
        <v>254</v>
      </c>
      <c r="I465">
        <v>2011</v>
      </c>
      <c r="J465">
        <v>7</v>
      </c>
      <c r="K465" t="s">
        <v>3995</v>
      </c>
      <c r="M465" t="str">
        <f t="shared" si="535"/>
        <v>Weight_2011</v>
      </c>
      <c r="N465" s="297" t="s">
        <v>4058</v>
      </c>
      <c r="O465" s="145" t="s">
        <v>1029</v>
      </c>
      <c r="Q465" s="297" t="s">
        <v>256</v>
      </c>
      <c r="R465" s="298"/>
      <c r="S465" s="1" t="s">
        <v>4001</v>
      </c>
      <c r="T465" t="s">
        <v>4002</v>
      </c>
      <c r="U465" t="s">
        <v>4003</v>
      </c>
      <c r="X465">
        <v>0</v>
      </c>
      <c r="Y465">
        <v>0</v>
      </c>
      <c r="Z465">
        <v>0</v>
      </c>
      <c r="AA465">
        <v>0</v>
      </c>
      <c r="AB465">
        <v>0</v>
      </c>
      <c r="AC465">
        <v>0</v>
      </c>
      <c r="AD465">
        <v>0</v>
      </c>
      <c r="AE465">
        <v>0</v>
      </c>
      <c r="AF465">
        <v>0</v>
      </c>
      <c r="AG465">
        <v>0</v>
      </c>
      <c r="AH465">
        <v>0</v>
      </c>
      <c r="AI465">
        <v>0</v>
      </c>
      <c r="AJ465">
        <v>1</v>
      </c>
      <c r="AK465">
        <v>0</v>
      </c>
      <c r="AL465">
        <v>0</v>
      </c>
      <c r="AM465">
        <v>0</v>
      </c>
      <c r="AN465">
        <v>0</v>
      </c>
      <c r="AO465">
        <v>0</v>
      </c>
      <c r="AP465">
        <v>0</v>
      </c>
      <c r="AQ465">
        <v>0</v>
      </c>
      <c r="AR465">
        <v>0</v>
      </c>
      <c r="AS465">
        <v>0</v>
      </c>
      <c r="AT465">
        <v>0</v>
      </c>
      <c r="AU465">
        <v>0</v>
      </c>
      <c r="AV465">
        <v>0</v>
      </c>
      <c r="AW465">
        <v>0</v>
      </c>
      <c r="AX465">
        <v>0</v>
      </c>
      <c r="AY465">
        <v>0</v>
      </c>
      <c r="AZ465" s="141">
        <f t="shared" si="543"/>
        <v>1</v>
      </c>
      <c r="BA465" s="141">
        <f t="shared" si="544"/>
        <v>1</v>
      </c>
      <c r="BB465">
        <f t="shared" si="545"/>
        <v>0</v>
      </c>
      <c r="BC465">
        <f t="shared" si="546"/>
        <v>1</v>
      </c>
      <c r="BD465">
        <f t="shared" si="547"/>
        <v>0</v>
      </c>
      <c r="BE465">
        <f t="shared" si="548"/>
        <v>0</v>
      </c>
      <c r="BF465">
        <f t="shared" si="549"/>
        <v>0</v>
      </c>
      <c r="BG465" t="str" cm="1">
        <f t="array" ref="BG465">IF(BA465=1,INDEX($X$7:$AN$7,MATCH(TRUE,INDEX($X465:$AY465&lt;&gt;0,),0)),IF(BA465=0,INDEX($AO$7:$AY$7,MATCH(1,$AO465:$AY465,0)),IF(BH465="Multiple strategies","mixed drivers",IF(BH465="Supply chain","multiple supply","multiple silviculture"))))</f>
        <v xml:space="preserve">end of life disposal </v>
      </c>
      <c r="BH465" s="2" t="str" cm="1">
        <f t="array" ref="BH465">IF(COUNTIF(BB465:BD465,"&lt;&gt;0")=1,INDEX($X$4:$AY$4,MATCH(TRUE,INDEX($X465:$AY465&lt;&gt;0,),0)),IF(COUNTIF(BB465:BD465,"&lt;&gt;0")=0,INDEX($AO$4:$AY$4,MATCH(1,$AO465:$AY465,0)),"Multiple strategies"))</f>
        <v>Supply chain</v>
      </c>
      <c r="BO465" s="143"/>
      <c r="BP465" s="143">
        <f t="shared" si="537"/>
        <v>0</v>
      </c>
      <c r="BQ465">
        <f t="shared" si="538"/>
        <v>0</v>
      </c>
      <c r="BR465" t="s">
        <v>232</v>
      </c>
      <c r="BT465" t="s">
        <v>3999</v>
      </c>
      <c r="BU465">
        <v>-1542</v>
      </c>
      <c r="BV465">
        <v>-805</v>
      </c>
      <c r="BW465" s="144">
        <f t="shared" si="570"/>
        <v>0.52204928664072636</v>
      </c>
      <c r="BX465" s="144">
        <f t="shared" si="529"/>
        <v>737</v>
      </c>
      <c r="BY465" s="144"/>
      <c r="BZ465">
        <f t="shared" si="539"/>
        <v>0.73699999999999999</v>
      </c>
      <c r="CA465" t="str">
        <f t="shared" si="550"/>
        <v/>
      </c>
      <c r="CB465">
        <v>0</v>
      </c>
      <c r="CC465">
        <v>0</v>
      </c>
      <c r="CD465">
        <v>0</v>
      </c>
      <c r="CE465">
        <v>0</v>
      </c>
      <c r="CF465">
        <v>0</v>
      </c>
      <c r="CG465">
        <v>0</v>
      </c>
      <c r="CH465">
        <v>0</v>
      </c>
      <c r="CI465">
        <v>0</v>
      </c>
      <c r="CJ465">
        <v>0</v>
      </c>
      <c r="CK465">
        <v>0</v>
      </c>
      <c r="CL465">
        <v>0</v>
      </c>
      <c r="CM465">
        <v>0</v>
      </c>
      <c r="CN465">
        <v>0</v>
      </c>
      <c r="CO465">
        <v>0</v>
      </c>
      <c r="CP465" t="str">
        <f t="shared" si="571"/>
        <v>refOK</v>
      </c>
      <c r="CQ465"/>
      <c r="CR465"/>
      <c r="CS465"/>
      <c r="CT465">
        <f t="shared" si="551"/>
        <v>0</v>
      </c>
      <c r="CU465">
        <f t="shared" si="533"/>
        <v>-1542</v>
      </c>
      <c r="CV465">
        <f t="shared" si="534"/>
        <v>-805</v>
      </c>
      <c r="CW465">
        <f t="shared" si="552"/>
        <v>0.73699999999999999</v>
      </c>
      <c r="CX465" t="str">
        <f t="shared" si="536"/>
        <v/>
      </c>
      <c r="CY465" t="str">
        <f t="shared" si="536"/>
        <v/>
      </c>
      <c r="CZ465" t="str">
        <f t="shared" si="553"/>
        <v/>
      </c>
      <c r="DA465" s="2">
        <f t="shared" si="554"/>
        <v>0.47795071335927369</v>
      </c>
      <c r="DB465" s="1" t="s">
        <v>263</v>
      </c>
      <c r="DC465" s="297" t="str">
        <f t="shared" si="555"/>
        <v>loc</v>
      </c>
      <c r="DD465" s="296" t="s">
        <v>3098</v>
      </c>
      <c r="DG465">
        <f t="shared" si="572"/>
        <v>0</v>
      </c>
      <c r="DH465" t="str">
        <f t="shared" si="556"/>
        <v>0</v>
      </c>
      <c r="DI465">
        <v>0</v>
      </c>
      <c r="DJ465">
        <v>0</v>
      </c>
      <c r="DK465">
        <v>0</v>
      </c>
      <c r="DL465">
        <v>1</v>
      </c>
      <c r="DM465">
        <v>0</v>
      </c>
      <c r="DN465">
        <f t="shared" si="541"/>
        <v>1</v>
      </c>
      <c r="DO465" t="str">
        <f t="shared" si="557"/>
        <v>TimberInput</v>
      </c>
      <c r="DP465">
        <f t="shared" si="558"/>
        <v>0</v>
      </c>
      <c r="DQ465">
        <f t="shared" si="559"/>
        <v>0</v>
      </c>
      <c r="DR465">
        <f t="shared" si="560"/>
        <v>0</v>
      </c>
      <c r="DS465" t="str">
        <f t="shared" si="561"/>
        <v>Timber</v>
      </c>
      <c r="DT465">
        <v>1</v>
      </c>
      <c r="DU465">
        <v>0</v>
      </c>
      <c r="DV465">
        <v>0</v>
      </c>
      <c r="DW465">
        <v>0</v>
      </c>
      <c r="DX465">
        <v>0</v>
      </c>
      <c r="DY465">
        <f t="shared" si="542"/>
        <v>1</v>
      </c>
      <c r="DZ465" s="143" t="str">
        <f t="shared" si="562"/>
        <v>self-calculated DF</v>
      </c>
      <c r="EA465">
        <v>0</v>
      </c>
      <c r="EB465">
        <v>0</v>
      </c>
      <c r="EC465">
        <v>0</v>
      </c>
      <c r="ED465">
        <v>0</v>
      </c>
      <c r="EE465">
        <v>1</v>
      </c>
      <c r="EF465">
        <v>1</v>
      </c>
      <c r="EG465">
        <v>1</v>
      </c>
      <c r="EH465">
        <v>0</v>
      </c>
      <c r="EI465">
        <v>0</v>
      </c>
      <c r="EJ465">
        <v>0</v>
      </c>
      <c r="EK465">
        <v>0</v>
      </c>
      <c r="EL465">
        <v>0</v>
      </c>
      <c r="EM465">
        <v>0</v>
      </c>
      <c r="EN465" s="2">
        <v>0</v>
      </c>
      <c r="EP465" t="str">
        <f t="shared" si="563"/>
        <v/>
      </c>
      <c r="EQ465" t="str">
        <f t="shared" si="564"/>
        <v/>
      </c>
      <c r="ER465" s="2" t="str">
        <f t="shared" si="565"/>
        <v/>
      </c>
      <c r="ES465" t="str">
        <f t="shared" si="566"/>
        <v/>
      </c>
      <c r="ET465" t="str">
        <f t="shared" si="567"/>
        <v/>
      </c>
      <c r="EU465" t="str">
        <f t="shared" si="568"/>
        <v/>
      </c>
      <c r="EW465" t="s">
        <v>4000</v>
      </c>
      <c r="EY465" t="b">
        <f>IF(ISNUMBER(BW465),IF(ABS(BW465-[1]QC_indicators!$B$2)&gt;3*[1]QC_indicators!$C$2,"C ratio",IF(ISNUMBER(CA465),IF(ABS(CA465-[1]QC_indicators!$B$1)&gt;3*[1]QC_indicators!$C$1,"DF","no"))),IF(ISNUMBER(CA465),IF(ABS(CA465-[1]QC_indicators!$B$1)&gt;3*[1]QC_indicators!$C$1,"DF","no")))</f>
        <v>0</v>
      </c>
      <c r="FA465" t="str">
        <f t="shared" si="569"/>
        <v/>
      </c>
    </row>
    <row r="466" spans="1:157" ht="15" hidden="1" customHeight="1">
      <c r="A466" s="1" t="s">
        <v>3988</v>
      </c>
      <c r="B466" t="s">
        <v>3989</v>
      </c>
      <c r="C466" t="s">
        <v>3990</v>
      </c>
      <c r="D466" t="s">
        <v>3991</v>
      </c>
      <c r="E466" t="s">
        <v>3992</v>
      </c>
      <c r="F466" t="s">
        <v>3993</v>
      </c>
      <c r="G466" t="s">
        <v>3994</v>
      </c>
      <c r="H466" t="s">
        <v>254</v>
      </c>
      <c r="I466">
        <v>2011</v>
      </c>
      <c r="J466">
        <v>7</v>
      </c>
      <c r="K466" t="s">
        <v>3995</v>
      </c>
      <c r="M466" t="str">
        <f t="shared" si="535"/>
        <v>Weight_2011</v>
      </c>
      <c r="N466" s="297" t="s">
        <v>4058</v>
      </c>
      <c r="O466" s="145" t="s">
        <v>1029</v>
      </c>
      <c r="Q466" s="297" t="s">
        <v>256</v>
      </c>
      <c r="R466" s="298"/>
      <c r="S466" s="1" t="s">
        <v>4005</v>
      </c>
      <c r="T466" t="s">
        <v>4002</v>
      </c>
      <c r="U466" t="s">
        <v>4006</v>
      </c>
      <c r="X466">
        <v>0</v>
      </c>
      <c r="Y466">
        <v>0</v>
      </c>
      <c r="Z466">
        <v>0</v>
      </c>
      <c r="AA466">
        <v>0</v>
      </c>
      <c r="AB466">
        <v>0</v>
      </c>
      <c r="AC466">
        <v>0</v>
      </c>
      <c r="AD466">
        <v>0</v>
      </c>
      <c r="AE466">
        <v>0</v>
      </c>
      <c r="AF466">
        <v>0</v>
      </c>
      <c r="AG466">
        <v>0</v>
      </c>
      <c r="AH466">
        <v>0</v>
      </c>
      <c r="AI466">
        <v>0</v>
      </c>
      <c r="AJ466">
        <v>1</v>
      </c>
      <c r="AK466">
        <v>0</v>
      </c>
      <c r="AL466">
        <v>0</v>
      </c>
      <c r="AM466">
        <v>0</v>
      </c>
      <c r="AN466">
        <v>0</v>
      </c>
      <c r="AO466">
        <v>0</v>
      </c>
      <c r="AP466">
        <v>0</v>
      </c>
      <c r="AQ466">
        <v>0</v>
      </c>
      <c r="AR466">
        <v>0</v>
      </c>
      <c r="AS466">
        <v>0</v>
      </c>
      <c r="AT466">
        <v>0</v>
      </c>
      <c r="AU466">
        <v>0</v>
      </c>
      <c r="AV466">
        <v>0</v>
      </c>
      <c r="AW466">
        <v>0</v>
      </c>
      <c r="AX466">
        <v>0</v>
      </c>
      <c r="AY466">
        <v>0</v>
      </c>
      <c r="AZ466" s="141">
        <f t="shared" si="543"/>
        <v>1</v>
      </c>
      <c r="BA466" s="141">
        <f t="shared" si="544"/>
        <v>1</v>
      </c>
      <c r="BB466">
        <f t="shared" si="545"/>
        <v>0</v>
      </c>
      <c r="BC466">
        <f t="shared" si="546"/>
        <v>1</v>
      </c>
      <c r="BD466">
        <f t="shared" si="547"/>
        <v>0</v>
      </c>
      <c r="BE466">
        <f t="shared" si="548"/>
        <v>0</v>
      </c>
      <c r="BF466">
        <f t="shared" si="549"/>
        <v>0</v>
      </c>
      <c r="BG466" t="str" cm="1">
        <f t="array" ref="BG466">IF(BA466=1,INDEX($X$7:$AN$7,MATCH(TRUE,INDEX($X466:$AY466&lt;&gt;0,),0)),IF(BA466=0,INDEX($AO$7:$AY$7,MATCH(1,$AO466:$AY466,0)),IF(BH466="Multiple strategies","mixed drivers",IF(BH466="Supply chain","multiple supply","multiple silviculture"))))</f>
        <v xml:space="preserve">end of life disposal </v>
      </c>
      <c r="BH466" s="2" t="str" cm="1">
        <f t="array" ref="BH466">IF(COUNTIF(BB466:BD466,"&lt;&gt;0")=1,INDEX($X$4:$AY$4,MATCH(TRUE,INDEX($X466:$AY466&lt;&gt;0,),0)),IF(COUNTIF(BB466:BD466,"&lt;&gt;0")=0,INDEX($AO$4:$AY$4,MATCH(1,$AO466:$AY466,0)),"Multiple strategies"))</f>
        <v>Supply chain</v>
      </c>
      <c r="BO466" s="143"/>
      <c r="BP466" s="143">
        <f t="shared" si="537"/>
        <v>0</v>
      </c>
      <c r="BQ466">
        <f t="shared" si="538"/>
        <v>0</v>
      </c>
      <c r="BR466" t="s">
        <v>232</v>
      </c>
      <c r="BT466" t="s">
        <v>3999</v>
      </c>
      <c r="BU466">
        <v>-1542</v>
      </c>
      <c r="BV466">
        <v>-778</v>
      </c>
      <c r="BW466" s="144">
        <f t="shared" si="570"/>
        <v>0.50453955901426717</v>
      </c>
      <c r="BX466" s="144">
        <f t="shared" si="529"/>
        <v>764</v>
      </c>
      <c r="BY466" s="144"/>
      <c r="BZ466">
        <f t="shared" si="539"/>
        <v>0.76400000000000001</v>
      </c>
      <c r="CA466" t="str">
        <f t="shared" si="550"/>
        <v/>
      </c>
      <c r="CB466">
        <v>0</v>
      </c>
      <c r="CC466">
        <v>0</v>
      </c>
      <c r="CD466">
        <v>0</v>
      </c>
      <c r="CE466">
        <v>0</v>
      </c>
      <c r="CF466">
        <v>0</v>
      </c>
      <c r="CG466">
        <v>0</v>
      </c>
      <c r="CH466">
        <v>0</v>
      </c>
      <c r="CI466">
        <v>0</v>
      </c>
      <c r="CJ466">
        <v>0</v>
      </c>
      <c r="CK466">
        <v>0</v>
      </c>
      <c r="CL466">
        <v>0</v>
      </c>
      <c r="CM466">
        <v>0</v>
      </c>
      <c r="CN466">
        <v>0</v>
      </c>
      <c r="CO466">
        <v>0</v>
      </c>
      <c r="CP466" t="str">
        <f t="shared" si="571"/>
        <v>refOK</v>
      </c>
      <c r="CQ466"/>
      <c r="CR466"/>
      <c r="CS466"/>
      <c r="CT466">
        <f t="shared" si="551"/>
        <v>0</v>
      </c>
      <c r="CU466">
        <f t="shared" si="533"/>
        <v>-1542</v>
      </c>
      <c r="CV466">
        <f t="shared" si="534"/>
        <v>-778</v>
      </c>
      <c r="CW466">
        <f t="shared" si="552"/>
        <v>0.76400000000000001</v>
      </c>
      <c r="CX466" t="str">
        <f t="shared" si="536"/>
        <v/>
      </c>
      <c r="CY466" t="str">
        <f t="shared" si="536"/>
        <v/>
      </c>
      <c r="CZ466" t="str">
        <f t="shared" si="553"/>
        <v/>
      </c>
      <c r="DA466" s="2">
        <f t="shared" si="554"/>
        <v>0.49546044098573283</v>
      </c>
      <c r="DB466" s="1" t="s">
        <v>263</v>
      </c>
      <c r="DC466" s="297" t="str">
        <f t="shared" si="555"/>
        <v>loc</v>
      </c>
      <c r="DD466" s="296" t="s">
        <v>3098</v>
      </c>
      <c r="DG466">
        <f t="shared" si="572"/>
        <v>0</v>
      </c>
      <c r="DH466" t="str">
        <f t="shared" si="556"/>
        <v>0</v>
      </c>
      <c r="DI466">
        <v>0</v>
      </c>
      <c r="DJ466">
        <v>0</v>
      </c>
      <c r="DK466">
        <v>0</v>
      </c>
      <c r="DL466">
        <v>1</v>
      </c>
      <c r="DM466">
        <v>0</v>
      </c>
      <c r="DN466">
        <f t="shared" si="541"/>
        <v>1</v>
      </c>
      <c r="DO466" t="str">
        <f t="shared" si="557"/>
        <v>TimberInput</v>
      </c>
      <c r="DP466">
        <f t="shared" si="558"/>
        <v>0</v>
      </c>
      <c r="DQ466">
        <f t="shared" si="559"/>
        <v>0</v>
      </c>
      <c r="DR466">
        <f t="shared" si="560"/>
        <v>0</v>
      </c>
      <c r="DS466" t="str">
        <f t="shared" si="561"/>
        <v>Timber</v>
      </c>
      <c r="DT466">
        <v>1</v>
      </c>
      <c r="DU466">
        <v>0</v>
      </c>
      <c r="DV466">
        <v>0</v>
      </c>
      <c r="DW466">
        <v>0</v>
      </c>
      <c r="DX466">
        <v>0</v>
      </c>
      <c r="DY466">
        <f t="shared" si="542"/>
        <v>1</v>
      </c>
      <c r="DZ466" s="143" t="str">
        <f t="shared" si="562"/>
        <v>self-calculated DF</v>
      </c>
      <c r="EA466">
        <v>0</v>
      </c>
      <c r="EB466">
        <v>0</v>
      </c>
      <c r="EC466">
        <v>0</v>
      </c>
      <c r="ED466">
        <v>0</v>
      </c>
      <c r="EE466">
        <v>1</v>
      </c>
      <c r="EF466">
        <v>1</v>
      </c>
      <c r="EG466">
        <v>1</v>
      </c>
      <c r="EH466">
        <v>0</v>
      </c>
      <c r="EI466">
        <v>0</v>
      </c>
      <c r="EJ466">
        <v>0</v>
      </c>
      <c r="EK466">
        <v>0</v>
      </c>
      <c r="EL466">
        <v>0</v>
      </c>
      <c r="EM466">
        <v>0</v>
      </c>
      <c r="EN466" s="2">
        <v>0</v>
      </c>
      <c r="EP466" t="str">
        <f t="shared" si="563"/>
        <v/>
      </c>
      <c r="EQ466" t="str">
        <f t="shared" si="564"/>
        <v/>
      </c>
      <c r="ER466" s="2" t="str">
        <f t="shared" si="565"/>
        <v/>
      </c>
      <c r="ES466" t="str">
        <f t="shared" si="566"/>
        <v/>
      </c>
      <c r="ET466" t="str">
        <f t="shared" si="567"/>
        <v/>
      </c>
      <c r="EU466" t="str">
        <f t="shared" si="568"/>
        <v/>
      </c>
      <c r="EW466" t="s">
        <v>4000</v>
      </c>
      <c r="EY466" t="b">
        <f>IF(ISNUMBER(BW466),IF(ABS(BW466-[1]QC_indicators!$B$2)&gt;3*[1]QC_indicators!$C$2,"C ratio",IF(ISNUMBER(CA466),IF(ABS(CA466-[1]QC_indicators!$B$1)&gt;3*[1]QC_indicators!$C$1,"DF","no"))),IF(ISNUMBER(CA466),IF(ABS(CA466-[1]QC_indicators!$B$1)&gt;3*[1]QC_indicators!$C$1,"DF","no")))</f>
        <v>0</v>
      </c>
      <c r="FA466" t="str">
        <f t="shared" si="569"/>
        <v/>
      </c>
    </row>
    <row r="467" spans="1:157" ht="15" hidden="1" customHeight="1">
      <c r="A467" s="1" t="s">
        <v>3988</v>
      </c>
      <c r="B467" t="s">
        <v>3989</v>
      </c>
      <c r="C467" t="s">
        <v>3990</v>
      </c>
      <c r="D467" t="s">
        <v>3991</v>
      </c>
      <c r="E467" t="s">
        <v>3992</v>
      </c>
      <c r="F467" t="s">
        <v>3993</v>
      </c>
      <c r="G467" t="s">
        <v>3994</v>
      </c>
      <c r="H467" t="s">
        <v>254</v>
      </c>
      <c r="I467">
        <v>2011</v>
      </c>
      <c r="J467">
        <v>7</v>
      </c>
      <c r="K467" t="s">
        <v>3995</v>
      </c>
      <c r="M467" t="str">
        <f t="shared" si="535"/>
        <v>Weight_2011</v>
      </c>
      <c r="N467" s="297" t="s">
        <v>4058</v>
      </c>
      <c r="O467" s="145" t="s">
        <v>1029</v>
      </c>
      <c r="Q467" s="297" t="s">
        <v>256</v>
      </c>
      <c r="R467" s="298"/>
      <c r="S467" s="1" t="s">
        <v>4001</v>
      </c>
      <c r="T467" t="s">
        <v>4002</v>
      </c>
      <c r="U467" t="s">
        <v>4003</v>
      </c>
      <c r="X467">
        <v>0</v>
      </c>
      <c r="Y467">
        <v>0</v>
      </c>
      <c r="Z467">
        <v>0</v>
      </c>
      <c r="AA467">
        <v>0</v>
      </c>
      <c r="AB467">
        <v>0</v>
      </c>
      <c r="AC467">
        <v>0</v>
      </c>
      <c r="AD467">
        <v>0</v>
      </c>
      <c r="AE467">
        <v>0</v>
      </c>
      <c r="AF467">
        <v>0</v>
      </c>
      <c r="AG467">
        <v>0</v>
      </c>
      <c r="AH467">
        <v>0</v>
      </c>
      <c r="AI467">
        <v>0</v>
      </c>
      <c r="AJ467">
        <v>1</v>
      </c>
      <c r="AK467">
        <v>0</v>
      </c>
      <c r="AL467">
        <v>0</v>
      </c>
      <c r="AM467">
        <v>0</v>
      </c>
      <c r="AN467">
        <v>0</v>
      </c>
      <c r="AO467">
        <v>0</v>
      </c>
      <c r="AP467">
        <v>0</v>
      </c>
      <c r="AQ467">
        <v>0</v>
      </c>
      <c r="AR467">
        <v>0</v>
      </c>
      <c r="AS467">
        <v>0</v>
      </c>
      <c r="AT467">
        <v>0</v>
      </c>
      <c r="AU467">
        <v>0</v>
      </c>
      <c r="AV467">
        <v>0</v>
      </c>
      <c r="AW467">
        <v>0</v>
      </c>
      <c r="AX467">
        <v>0</v>
      </c>
      <c r="AY467">
        <v>0</v>
      </c>
      <c r="AZ467" s="141">
        <f t="shared" si="543"/>
        <v>1</v>
      </c>
      <c r="BA467" s="141">
        <f t="shared" si="544"/>
        <v>1</v>
      </c>
      <c r="BB467">
        <f t="shared" si="545"/>
        <v>0</v>
      </c>
      <c r="BC467">
        <f t="shared" si="546"/>
        <v>1</v>
      </c>
      <c r="BD467">
        <f t="shared" si="547"/>
        <v>0</v>
      </c>
      <c r="BE467">
        <f t="shared" si="548"/>
        <v>0</v>
      </c>
      <c r="BF467">
        <f t="shared" si="549"/>
        <v>0</v>
      </c>
      <c r="BG467" t="str" cm="1">
        <f t="array" ref="BG467">IF(BA467=1,INDEX($X$7:$AN$7,MATCH(TRUE,INDEX($X467:$AY467&lt;&gt;0,),0)),IF(BA467=0,INDEX($AO$7:$AY$7,MATCH(1,$AO467:$AY467,0)),IF(BH467="Multiple strategies","mixed drivers",IF(BH467="Supply chain","multiple supply","multiple silviculture"))))</f>
        <v xml:space="preserve">end of life disposal </v>
      </c>
      <c r="BH467" s="2" t="str" cm="1">
        <f t="array" ref="BH467">IF(COUNTIF(BB467:BD467,"&lt;&gt;0")=1,INDEX($X$4:$AY$4,MATCH(TRUE,INDEX($X467:$AY467&lt;&gt;0,),0)),IF(COUNTIF(BB467:BD467,"&lt;&gt;0")=0,INDEX($AO$4:$AY$4,MATCH(1,$AO467:$AY467,0)),"Multiple strategies"))</f>
        <v>Supply chain</v>
      </c>
      <c r="BO467" s="143"/>
      <c r="BP467" s="143">
        <f t="shared" si="537"/>
        <v>0</v>
      </c>
      <c r="BQ467">
        <f t="shared" si="538"/>
        <v>0</v>
      </c>
      <c r="BR467" t="s">
        <v>232</v>
      </c>
      <c r="BT467" t="s">
        <v>3999</v>
      </c>
      <c r="BU467">
        <v>-1269</v>
      </c>
      <c r="BV467">
        <v>-532</v>
      </c>
      <c r="BW467" s="144">
        <f t="shared" si="570"/>
        <v>0.41922773837667454</v>
      </c>
      <c r="BX467" s="144">
        <f t="shared" si="529"/>
        <v>737</v>
      </c>
      <c r="BY467" s="144"/>
      <c r="BZ467">
        <f t="shared" si="539"/>
        <v>0.73699999999999999</v>
      </c>
      <c r="CA467" t="str">
        <f t="shared" si="550"/>
        <v/>
      </c>
      <c r="CB467">
        <v>0</v>
      </c>
      <c r="CC467">
        <v>0</v>
      </c>
      <c r="CD467">
        <v>0</v>
      </c>
      <c r="CE467">
        <v>0</v>
      </c>
      <c r="CF467">
        <v>0</v>
      </c>
      <c r="CG467">
        <v>0</v>
      </c>
      <c r="CH467">
        <v>0</v>
      </c>
      <c r="CI467">
        <v>0</v>
      </c>
      <c r="CJ467">
        <v>0</v>
      </c>
      <c r="CK467">
        <v>0</v>
      </c>
      <c r="CL467">
        <v>0</v>
      </c>
      <c r="CM467">
        <v>0</v>
      </c>
      <c r="CN467">
        <v>0</v>
      </c>
      <c r="CO467">
        <v>0</v>
      </c>
      <c r="CP467" t="str">
        <f t="shared" si="571"/>
        <v>refOK</v>
      </c>
      <c r="CQ467"/>
      <c r="CR467"/>
      <c r="CS467"/>
      <c r="CT467">
        <f t="shared" si="551"/>
        <v>0</v>
      </c>
      <c r="CU467">
        <f t="shared" si="533"/>
        <v>-1269</v>
      </c>
      <c r="CV467">
        <f t="shared" si="534"/>
        <v>-532</v>
      </c>
      <c r="CW467">
        <f t="shared" si="552"/>
        <v>0.73699999999999999</v>
      </c>
      <c r="CX467" t="str">
        <f t="shared" si="536"/>
        <v/>
      </c>
      <c r="CY467" t="str">
        <f t="shared" si="536"/>
        <v/>
      </c>
      <c r="CZ467" t="str">
        <f t="shared" si="553"/>
        <v/>
      </c>
      <c r="DA467" s="2">
        <f t="shared" si="554"/>
        <v>0.5807722616233254</v>
      </c>
      <c r="DB467" s="1" t="s">
        <v>263</v>
      </c>
      <c r="DC467" s="297" t="str">
        <f t="shared" si="555"/>
        <v>loc</v>
      </c>
      <c r="DD467" s="296" t="s">
        <v>3098</v>
      </c>
      <c r="DG467">
        <f t="shared" si="572"/>
        <v>0</v>
      </c>
      <c r="DH467" t="str">
        <f t="shared" si="556"/>
        <v>0</v>
      </c>
      <c r="DI467">
        <v>0</v>
      </c>
      <c r="DJ467">
        <v>0</v>
      </c>
      <c r="DK467">
        <v>0</v>
      </c>
      <c r="DL467">
        <v>1</v>
      </c>
      <c r="DM467">
        <v>0</v>
      </c>
      <c r="DN467">
        <f t="shared" si="541"/>
        <v>1</v>
      </c>
      <c r="DO467" t="str">
        <f t="shared" si="557"/>
        <v>TimberInput</v>
      </c>
      <c r="DP467">
        <f t="shared" si="558"/>
        <v>0</v>
      </c>
      <c r="DQ467">
        <f t="shared" si="559"/>
        <v>0</v>
      </c>
      <c r="DR467">
        <f t="shared" si="560"/>
        <v>0</v>
      </c>
      <c r="DS467" t="str">
        <f t="shared" si="561"/>
        <v>Timber</v>
      </c>
      <c r="DT467">
        <v>1</v>
      </c>
      <c r="DU467">
        <v>0</v>
      </c>
      <c r="DV467">
        <v>0</v>
      </c>
      <c r="DW467">
        <v>0</v>
      </c>
      <c r="DX467">
        <v>0</v>
      </c>
      <c r="DY467">
        <f t="shared" si="542"/>
        <v>1</v>
      </c>
      <c r="DZ467" s="143" t="str">
        <f t="shared" si="562"/>
        <v>self-calculated DF</v>
      </c>
      <c r="EA467">
        <v>0</v>
      </c>
      <c r="EB467">
        <v>0</v>
      </c>
      <c r="EC467">
        <v>0</v>
      </c>
      <c r="ED467">
        <v>0</v>
      </c>
      <c r="EE467">
        <v>1</v>
      </c>
      <c r="EF467">
        <v>1</v>
      </c>
      <c r="EG467">
        <v>0</v>
      </c>
      <c r="EH467">
        <v>1</v>
      </c>
      <c r="EI467">
        <v>0</v>
      </c>
      <c r="EJ467">
        <v>0</v>
      </c>
      <c r="EK467">
        <v>0</v>
      </c>
      <c r="EL467">
        <v>0</v>
      </c>
      <c r="EM467">
        <v>0</v>
      </c>
      <c r="EN467" s="2">
        <v>0</v>
      </c>
      <c r="EP467" t="str">
        <f t="shared" si="563"/>
        <v/>
      </c>
      <c r="EQ467" t="str">
        <f t="shared" si="564"/>
        <v/>
      </c>
      <c r="ER467" s="2" t="str">
        <f t="shared" si="565"/>
        <v/>
      </c>
      <c r="ES467" t="str">
        <f t="shared" si="566"/>
        <v/>
      </c>
      <c r="ET467" t="str">
        <f t="shared" si="567"/>
        <v/>
      </c>
      <c r="EU467" t="str">
        <f t="shared" si="568"/>
        <v/>
      </c>
      <c r="EW467" t="s">
        <v>4000</v>
      </c>
      <c r="EY467" t="b">
        <f>IF(ISNUMBER(BW467),IF(ABS(BW467-[1]QC_indicators!$B$2)&gt;3*[1]QC_indicators!$C$2,"C ratio",IF(ISNUMBER(CA467),IF(ABS(CA467-[1]QC_indicators!$B$1)&gt;3*[1]QC_indicators!$C$1,"DF","no"))),IF(ISNUMBER(CA467),IF(ABS(CA467-[1]QC_indicators!$B$1)&gt;3*[1]QC_indicators!$C$1,"DF","no")))</f>
        <v>0</v>
      </c>
      <c r="FA467" t="str">
        <f t="shared" si="569"/>
        <v/>
      </c>
    </row>
    <row r="468" spans="1:157" ht="15" hidden="1" customHeight="1">
      <c r="A468" s="1" t="s">
        <v>3988</v>
      </c>
      <c r="B468" t="s">
        <v>3989</v>
      </c>
      <c r="C468" t="s">
        <v>3990</v>
      </c>
      <c r="D468" t="s">
        <v>3991</v>
      </c>
      <c r="E468" t="s">
        <v>3992</v>
      </c>
      <c r="F468" t="s">
        <v>3993</v>
      </c>
      <c r="G468" t="s">
        <v>3994</v>
      </c>
      <c r="H468" t="s">
        <v>254</v>
      </c>
      <c r="I468">
        <v>2011</v>
      </c>
      <c r="J468">
        <v>7</v>
      </c>
      <c r="K468" t="s">
        <v>3995</v>
      </c>
      <c r="M468" t="str">
        <f t="shared" si="535"/>
        <v>Weight_2011</v>
      </c>
      <c r="N468" s="297" t="s">
        <v>4058</v>
      </c>
      <c r="O468" s="145" t="s">
        <v>1029</v>
      </c>
      <c r="Q468" s="297" t="s">
        <v>256</v>
      </c>
      <c r="R468" s="298"/>
      <c r="S468" s="1" t="s">
        <v>4005</v>
      </c>
      <c r="T468" t="s">
        <v>4002</v>
      </c>
      <c r="U468" t="s">
        <v>4006</v>
      </c>
      <c r="X468">
        <v>0</v>
      </c>
      <c r="Y468">
        <v>0</v>
      </c>
      <c r="Z468">
        <v>0</v>
      </c>
      <c r="AA468">
        <v>0</v>
      </c>
      <c r="AB468">
        <v>0</v>
      </c>
      <c r="AC468">
        <v>0</v>
      </c>
      <c r="AD468">
        <v>0</v>
      </c>
      <c r="AE468">
        <v>0</v>
      </c>
      <c r="AF468">
        <v>0</v>
      </c>
      <c r="AG468">
        <v>0</v>
      </c>
      <c r="AH468">
        <v>0</v>
      </c>
      <c r="AI468">
        <v>0</v>
      </c>
      <c r="AJ468">
        <v>1</v>
      </c>
      <c r="AK468">
        <v>0</v>
      </c>
      <c r="AL468">
        <v>0</v>
      </c>
      <c r="AM468">
        <v>0</v>
      </c>
      <c r="AN468">
        <v>0</v>
      </c>
      <c r="AO468">
        <v>0</v>
      </c>
      <c r="AP468">
        <v>0</v>
      </c>
      <c r="AQ468">
        <v>0</v>
      </c>
      <c r="AR468">
        <v>0</v>
      </c>
      <c r="AS468">
        <v>0</v>
      </c>
      <c r="AT468">
        <v>0</v>
      </c>
      <c r="AU468">
        <v>0</v>
      </c>
      <c r="AV468">
        <v>0</v>
      </c>
      <c r="AW468">
        <v>0</v>
      </c>
      <c r="AX468">
        <v>0</v>
      </c>
      <c r="AY468">
        <v>0</v>
      </c>
      <c r="AZ468" s="141">
        <f t="shared" si="543"/>
        <v>1</v>
      </c>
      <c r="BA468" s="141">
        <f t="shared" si="544"/>
        <v>1</v>
      </c>
      <c r="BB468">
        <f t="shared" si="545"/>
        <v>0</v>
      </c>
      <c r="BC468">
        <f t="shared" si="546"/>
        <v>1</v>
      </c>
      <c r="BD468">
        <f t="shared" si="547"/>
        <v>0</v>
      </c>
      <c r="BE468">
        <f t="shared" si="548"/>
        <v>0</v>
      </c>
      <c r="BF468">
        <f t="shared" si="549"/>
        <v>0</v>
      </c>
      <c r="BG468" t="str" cm="1">
        <f t="array" ref="BG468">IF(BA468=1,INDEX($X$7:$AN$7,MATCH(TRUE,INDEX($X468:$AY468&lt;&gt;0,),0)),IF(BA468=0,INDEX($AO$7:$AY$7,MATCH(1,$AO468:$AY468,0)),IF(BH468="Multiple strategies","mixed drivers",IF(BH468="Supply chain","multiple supply","multiple silviculture"))))</f>
        <v xml:space="preserve">end of life disposal </v>
      </c>
      <c r="BH468" s="2" t="str" cm="1">
        <f t="array" ref="BH468">IF(COUNTIF(BB468:BD468,"&lt;&gt;0")=1,INDEX($X$4:$AY$4,MATCH(TRUE,INDEX($X468:$AY468&lt;&gt;0,),0)),IF(COUNTIF(BB468:BD468,"&lt;&gt;0")=0,INDEX($AO$4:$AY$4,MATCH(1,$AO468:$AY468,0)),"Multiple strategies"))</f>
        <v>Supply chain</v>
      </c>
      <c r="BO468" s="143"/>
      <c r="BP468" s="143">
        <f t="shared" si="537"/>
        <v>0</v>
      </c>
      <c r="BQ468">
        <f t="shared" si="538"/>
        <v>0</v>
      </c>
      <c r="BR468" t="s">
        <v>232</v>
      </c>
      <c r="BT468" t="s">
        <v>3999</v>
      </c>
      <c r="BU468">
        <v>-1269</v>
      </c>
      <c r="BV468">
        <v>-505</v>
      </c>
      <c r="BW468" s="144">
        <f t="shared" si="570"/>
        <v>0.39795114263199372</v>
      </c>
      <c r="BX468" s="144">
        <f t="shared" si="529"/>
        <v>764</v>
      </c>
      <c r="BY468" s="144"/>
      <c r="BZ468">
        <f t="shared" si="539"/>
        <v>0.76400000000000001</v>
      </c>
      <c r="CA468" t="str">
        <f t="shared" si="550"/>
        <v/>
      </c>
      <c r="CB468">
        <v>0</v>
      </c>
      <c r="CC468">
        <v>0</v>
      </c>
      <c r="CD468">
        <v>0</v>
      </c>
      <c r="CE468">
        <v>0</v>
      </c>
      <c r="CF468">
        <v>0</v>
      </c>
      <c r="CG468">
        <v>0</v>
      </c>
      <c r="CH468">
        <v>0</v>
      </c>
      <c r="CI468">
        <v>0</v>
      </c>
      <c r="CJ468">
        <v>0</v>
      </c>
      <c r="CK468">
        <v>0</v>
      </c>
      <c r="CL468">
        <v>0</v>
      </c>
      <c r="CM468">
        <v>0</v>
      </c>
      <c r="CN468">
        <v>0</v>
      </c>
      <c r="CO468">
        <v>0</v>
      </c>
      <c r="CP468" t="str">
        <f t="shared" si="571"/>
        <v>refOK</v>
      </c>
      <c r="CQ468"/>
      <c r="CR468"/>
      <c r="CS468"/>
      <c r="CT468">
        <f t="shared" si="551"/>
        <v>0</v>
      </c>
      <c r="CU468">
        <f t="shared" si="533"/>
        <v>-1269</v>
      </c>
      <c r="CV468">
        <f t="shared" si="534"/>
        <v>-505</v>
      </c>
      <c r="CW468">
        <f t="shared" si="552"/>
        <v>0.76400000000000001</v>
      </c>
      <c r="CX468" t="str">
        <f t="shared" si="536"/>
        <v/>
      </c>
      <c r="CY468" t="str">
        <f t="shared" si="536"/>
        <v/>
      </c>
      <c r="CZ468" t="str">
        <f t="shared" si="553"/>
        <v/>
      </c>
      <c r="DA468" s="2">
        <f t="shared" si="554"/>
        <v>0.60204885736800628</v>
      </c>
      <c r="DB468" s="1" t="s">
        <v>263</v>
      </c>
      <c r="DC468" s="297" t="str">
        <f t="shared" si="555"/>
        <v>loc</v>
      </c>
      <c r="DD468" s="296" t="s">
        <v>3098</v>
      </c>
      <c r="DG468">
        <f t="shared" si="572"/>
        <v>0</v>
      </c>
      <c r="DH468" t="str">
        <f t="shared" si="556"/>
        <v>0</v>
      </c>
      <c r="DI468">
        <v>0</v>
      </c>
      <c r="DJ468">
        <v>0</v>
      </c>
      <c r="DK468">
        <v>0</v>
      </c>
      <c r="DL468">
        <v>1</v>
      </c>
      <c r="DM468">
        <v>0</v>
      </c>
      <c r="DN468">
        <f t="shared" si="541"/>
        <v>1</v>
      </c>
      <c r="DO468" t="str">
        <f t="shared" si="557"/>
        <v>TimberInput</v>
      </c>
      <c r="DP468">
        <f t="shared" si="558"/>
        <v>0</v>
      </c>
      <c r="DQ468">
        <f t="shared" si="559"/>
        <v>0</v>
      </c>
      <c r="DR468">
        <f t="shared" si="560"/>
        <v>0</v>
      </c>
      <c r="DS468" t="str">
        <f t="shared" si="561"/>
        <v>Timber</v>
      </c>
      <c r="DT468">
        <v>1</v>
      </c>
      <c r="DU468">
        <v>0</v>
      </c>
      <c r="DV468">
        <v>0</v>
      </c>
      <c r="DW468">
        <v>0</v>
      </c>
      <c r="DX468">
        <v>0</v>
      </c>
      <c r="DY468">
        <f t="shared" si="542"/>
        <v>1</v>
      </c>
      <c r="DZ468" s="143" t="str">
        <f t="shared" si="562"/>
        <v>self-calculated DF</v>
      </c>
      <c r="EA468">
        <v>0</v>
      </c>
      <c r="EB468">
        <v>0</v>
      </c>
      <c r="EC468">
        <v>0</v>
      </c>
      <c r="ED468">
        <v>0</v>
      </c>
      <c r="EE468">
        <v>1</v>
      </c>
      <c r="EF468">
        <v>1</v>
      </c>
      <c r="EG468">
        <v>0</v>
      </c>
      <c r="EH468">
        <v>1</v>
      </c>
      <c r="EI468">
        <v>0</v>
      </c>
      <c r="EJ468">
        <v>0</v>
      </c>
      <c r="EK468">
        <v>0</v>
      </c>
      <c r="EL468">
        <v>0</v>
      </c>
      <c r="EM468">
        <v>0</v>
      </c>
      <c r="EN468" s="2">
        <v>0</v>
      </c>
      <c r="EP468" t="str">
        <f t="shared" si="563"/>
        <v/>
      </c>
      <c r="EQ468" t="str">
        <f t="shared" si="564"/>
        <v/>
      </c>
      <c r="ER468" s="2" t="str">
        <f t="shared" si="565"/>
        <v/>
      </c>
      <c r="ES468" t="str">
        <f t="shared" si="566"/>
        <v/>
      </c>
      <c r="ET468" t="str">
        <f t="shared" si="567"/>
        <v/>
      </c>
      <c r="EU468" t="str">
        <f t="shared" si="568"/>
        <v/>
      </c>
      <c r="EW468" t="s">
        <v>4000</v>
      </c>
      <c r="EY468" t="b">
        <f>IF(ISNUMBER(BW468),IF(ABS(BW468-[1]QC_indicators!$B$2)&gt;3*[1]QC_indicators!$C$2,"C ratio",IF(ISNUMBER(CA468),IF(ABS(CA468-[1]QC_indicators!$B$1)&gt;3*[1]QC_indicators!$C$1,"DF","no"))),IF(ISNUMBER(CA468),IF(ABS(CA468-[1]QC_indicators!$B$1)&gt;3*[1]QC_indicators!$C$1,"DF","no")))</f>
        <v>0</v>
      </c>
      <c r="FA468" t="str">
        <f t="shared" si="569"/>
        <v/>
      </c>
    </row>
    <row r="469" spans="1:157" ht="15" hidden="1" customHeight="1">
      <c r="A469" s="1" t="s">
        <v>3988</v>
      </c>
      <c r="B469" t="s">
        <v>3989</v>
      </c>
      <c r="C469" t="s">
        <v>3990</v>
      </c>
      <c r="D469" t="s">
        <v>3991</v>
      </c>
      <c r="E469" t="s">
        <v>3992</v>
      </c>
      <c r="F469" t="s">
        <v>3993</v>
      </c>
      <c r="G469" t="s">
        <v>3994</v>
      </c>
      <c r="H469" t="s">
        <v>254</v>
      </c>
      <c r="I469">
        <v>2011</v>
      </c>
      <c r="J469">
        <v>7</v>
      </c>
      <c r="K469" t="s">
        <v>3995</v>
      </c>
      <c r="M469" t="str">
        <f t="shared" si="535"/>
        <v>Weight_2011</v>
      </c>
      <c r="N469" s="297" t="s">
        <v>4058</v>
      </c>
      <c r="O469" s="145" t="s">
        <v>1029</v>
      </c>
      <c r="Q469" s="297" t="s">
        <v>256</v>
      </c>
      <c r="R469" s="298"/>
      <c r="S469" s="1" t="s">
        <v>4007</v>
      </c>
      <c r="T469" t="s">
        <v>4002</v>
      </c>
      <c r="U469" t="s">
        <v>4008</v>
      </c>
      <c r="X469">
        <v>0</v>
      </c>
      <c r="Y469">
        <v>0</v>
      </c>
      <c r="Z469">
        <v>0</v>
      </c>
      <c r="AA469">
        <v>0</v>
      </c>
      <c r="AB469">
        <v>0</v>
      </c>
      <c r="AC469">
        <v>0</v>
      </c>
      <c r="AD469">
        <v>0</v>
      </c>
      <c r="AE469">
        <v>0</v>
      </c>
      <c r="AF469">
        <v>0</v>
      </c>
      <c r="AG469">
        <v>0</v>
      </c>
      <c r="AH469">
        <v>0</v>
      </c>
      <c r="AI469">
        <v>0</v>
      </c>
      <c r="AJ469">
        <v>1</v>
      </c>
      <c r="AK469">
        <v>0</v>
      </c>
      <c r="AL469">
        <v>0</v>
      </c>
      <c r="AM469">
        <v>0</v>
      </c>
      <c r="AN469">
        <v>0</v>
      </c>
      <c r="AO469">
        <v>0</v>
      </c>
      <c r="AP469">
        <v>0</v>
      </c>
      <c r="AQ469">
        <v>0</v>
      </c>
      <c r="AR469">
        <v>0</v>
      </c>
      <c r="AS469">
        <v>0</v>
      </c>
      <c r="AT469">
        <v>0</v>
      </c>
      <c r="AU469">
        <v>0</v>
      </c>
      <c r="AV469">
        <v>0</v>
      </c>
      <c r="AW469">
        <v>0</v>
      </c>
      <c r="AX469">
        <v>0</v>
      </c>
      <c r="AY469">
        <v>0</v>
      </c>
      <c r="AZ469" s="141">
        <f t="shared" si="543"/>
        <v>1</v>
      </c>
      <c r="BA469" s="141">
        <f t="shared" si="544"/>
        <v>1</v>
      </c>
      <c r="BB469">
        <f t="shared" si="545"/>
        <v>0</v>
      </c>
      <c r="BC469">
        <f t="shared" si="546"/>
        <v>1</v>
      </c>
      <c r="BD469">
        <f t="shared" si="547"/>
        <v>0</v>
      </c>
      <c r="BE469">
        <f t="shared" si="548"/>
        <v>0</v>
      </c>
      <c r="BF469">
        <f t="shared" si="549"/>
        <v>0</v>
      </c>
      <c r="BG469" t="str" cm="1">
        <f t="array" ref="BG469">IF(BA469=1,INDEX($X$7:$AN$7,MATCH(TRUE,INDEX($X469:$AY469&lt;&gt;0,),0)),IF(BA469=0,INDEX($AO$7:$AY$7,MATCH(1,$AO469:$AY469,0)),IF(BH469="Multiple strategies","mixed drivers",IF(BH469="Supply chain","multiple supply","multiple silviculture"))))</f>
        <v xml:space="preserve">end of life disposal </v>
      </c>
      <c r="BH469" s="2" t="str" cm="1">
        <f t="array" ref="BH469">IF(COUNTIF(BB469:BD469,"&lt;&gt;0")=1,INDEX($X$4:$AY$4,MATCH(TRUE,INDEX($X469:$AY469&lt;&gt;0,),0)),IF(COUNTIF(BB469:BD469,"&lt;&gt;0")=0,INDEX($AO$4:$AY$4,MATCH(1,$AO469:$AY469,0)),"Multiple strategies"))</f>
        <v>Supply chain</v>
      </c>
      <c r="BO469" s="143"/>
      <c r="BP469" s="143">
        <f t="shared" si="537"/>
        <v>0</v>
      </c>
      <c r="BQ469">
        <f t="shared" si="538"/>
        <v>0</v>
      </c>
      <c r="BR469" t="s">
        <v>232</v>
      </c>
      <c r="BT469" t="s">
        <v>3999</v>
      </c>
      <c r="BU469">
        <v>-1542</v>
      </c>
      <c r="BV469">
        <v>-606</v>
      </c>
      <c r="BW469" s="144">
        <f t="shared" si="570"/>
        <v>0.39299610894941633</v>
      </c>
      <c r="BX469" s="144">
        <f t="shared" si="529"/>
        <v>936</v>
      </c>
      <c r="BY469" s="144"/>
      <c r="BZ469">
        <f t="shared" si="539"/>
        <v>0.93600000000000005</v>
      </c>
      <c r="CA469" t="str">
        <f t="shared" si="550"/>
        <v/>
      </c>
      <c r="CB469">
        <v>0</v>
      </c>
      <c r="CC469">
        <v>0</v>
      </c>
      <c r="CD469">
        <v>0</v>
      </c>
      <c r="CE469">
        <v>0</v>
      </c>
      <c r="CF469">
        <v>0</v>
      </c>
      <c r="CG469">
        <v>0</v>
      </c>
      <c r="CH469">
        <v>0</v>
      </c>
      <c r="CI469">
        <v>0</v>
      </c>
      <c r="CJ469">
        <v>0</v>
      </c>
      <c r="CK469">
        <v>0</v>
      </c>
      <c r="CL469">
        <v>0</v>
      </c>
      <c r="CM469">
        <v>0</v>
      </c>
      <c r="CN469">
        <v>0</v>
      </c>
      <c r="CO469">
        <v>0</v>
      </c>
      <c r="CP469" t="str">
        <f t="shared" si="571"/>
        <v>refOK</v>
      </c>
      <c r="CQ469"/>
      <c r="CR469"/>
      <c r="CS469"/>
      <c r="CT469">
        <f t="shared" si="551"/>
        <v>0</v>
      </c>
      <c r="CU469">
        <f t="shared" si="533"/>
        <v>-1542</v>
      </c>
      <c r="CV469">
        <f t="shared" si="534"/>
        <v>-606</v>
      </c>
      <c r="CW469">
        <f t="shared" si="552"/>
        <v>0.93600000000000005</v>
      </c>
      <c r="CX469" t="str">
        <f t="shared" si="536"/>
        <v/>
      </c>
      <c r="CY469" t="str">
        <f t="shared" si="536"/>
        <v/>
      </c>
      <c r="CZ469" t="str">
        <f t="shared" si="553"/>
        <v/>
      </c>
      <c r="DA469" s="2">
        <f t="shared" si="554"/>
        <v>0.60700389105058361</v>
      </c>
      <c r="DB469" s="1" t="s">
        <v>263</v>
      </c>
      <c r="DC469" s="297" t="str">
        <f t="shared" si="555"/>
        <v>loc</v>
      </c>
      <c r="DD469" s="296" t="s">
        <v>3098</v>
      </c>
      <c r="DG469">
        <f t="shared" si="572"/>
        <v>0</v>
      </c>
      <c r="DH469" t="str">
        <f t="shared" si="556"/>
        <v>0</v>
      </c>
      <c r="DI469">
        <v>0</v>
      </c>
      <c r="DJ469">
        <v>0</v>
      </c>
      <c r="DK469">
        <v>0</v>
      </c>
      <c r="DL469">
        <v>1</v>
      </c>
      <c r="DM469">
        <v>0</v>
      </c>
      <c r="DN469">
        <f t="shared" si="541"/>
        <v>1</v>
      </c>
      <c r="DO469" t="str">
        <f t="shared" si="557"/>
        <v>TimberInput</v>
      </c>
      <c r="DP469">
        <f t="shared" si="558"/>
        <v>0</v>
      </c>
      <c r="DQ469">
        <f t="shared" si="559"/>
        <v>0</v>
      </c>
      <c r="DR469">
        <f t="shared" si="560"/>
        <v>0</v>
      </c>
      <c r="DS469" t="str">
        <f t="shared" si="561"/>
        <v>Timber</v>
      </c>
      <c r="DT469">
        <v>1</v>
      </c>
      <c r="DU469">
        <v>0</v>
      </c>
      <c r="DV469">
        <v>0</v>
      </c>
      <c r="DW469">
        <v>0</v>
      </c>
      <c r="DX469">
        <v>0</v>
      </c>
      <c r="DY469">
        <f t="shared" si="542"/>
        <v>1</v>
      </c>
      <c r="DZ469" s="143" t="str">
        <f t="shared" si="562"/>
        <v>self-calculated DF</v>
      </c>
      <c r="EA469">
        <v>0</v>
      </c>
      <c r="EB469">
        <v>0</v>
      </c>
      <c r="EC469">
        <v>0</v>
      </c>
      <c r="ED469">
        <v>0</v>
      </c>
      <c r="EE469">
        <v>1</v>
      </c>
      <c r="EF469">
        <v>1</v>
      </c>
      <c r="EG469">
        <v>1</v>
      </c>
      <c r="EH469">
        <v>0</v>
      </c>
      <c r="EI469">
        <v>0</v>
      </c>
      <c r="EJ469">
        <v>0</v>
      </c>
      <c r="EK469">
        <v>0</v>
      </c>
      <c r="EL469">
        <v>0</v>
      </c>
      <c r="EM469">
        <v>0</v>
      </c>
      <c r="EN469" s="2">
        <v>0</v>
      </c>
      <c r="EP469" t="str">
        <f t="shared" si="563"/>
        <v/>
      </c>
      <c r="EQ469" t="str">
        <f t="shared" si="564"/>
        <v/>
      </c>
      <c r="ER469" s="2" t="str">
        <f t="shared" si="565"/>
        <v/>
      </c>
      <c r="ES469" t="str">
        <f t="shared" si="566"/>
        <v/>
      </c>
      <c r="ET469" t="str">
        <f t="shared" si="567"/>
        <v/>
      </c>
      <c r="EU469" t="str">
        <f t="shared" si="568"/>
        <v/>
      </c>
      <c r="EW469" t="s">
        <v>4000</v>
      </c>
      <c r="EY469" t="b">
        <f>IF(ISNUMBER(BW469),IF(ABS(BW469-[1]QC_indicators!$B$2)&gt;3*[1]QC_indicators!$C$2,"C ratio",IF(ISNUMBER(CA469),IF(ABS(CA469-[1]QC_indicators!$B$1)&gt;3*[1]QC_indicators!$C$1,"DF","no"))),IF(ISNUMBER(CA469),IF(ABS(CA469-[1]QC_indicators!$B$1)&gt;3*[1]QC_indicators!$C$1,"DF","no")))</f>
        <v>0</v>
      </c>
      <c r="FA469" t="str">
        <f t="shared" si="569"/>
        <v/>
      </c>
    </row>
    <row r="470" spans="1:157" ht="15" hidden="1" customHeight="1">
      <c r="A470" s="1" t="s">
        <v>3988</v>
      </c>
      <c r="B470" t="s">
        <v>3989</v>
      </c>
      <c r="C470" t="s">
        <v>3990</v>
      </c>
      <c r="D470" t="s">
        <v>3991</v>
      </c>
      <c r="E470" t="s">
        <v>3992</v>
      </c>
      <c r="F470" t="s">
        <v>3993</v>
      </c>
      <c r="G470" t="s">
        <v>3994</v>
      </c>
      <c r="H470" t="s">
        <v>254</v>
      </c>
      <c r="I470">
        <v>2011</v>
      </c>
      <c r="J470">
        <v>7</v>
      </c>
      <c r="K470" t="s">
        <v>3995</v>
      </c>
      <c r="M470" t="str">
        <f t="shared" si="535"/>
        <v>Weight_2011</v>
      </c>
      <c r="N470" s="297" t="s">
        <v>4058</v>
      </c>
      <c r="O470" s="145" t="s">
        <v>1029</v>
      </c>
      <c r="Q470" s="297" t="s">
        <v>256</v>
      </c>
      <c r="R470" s="298"/>
      <c r="S470" s="1" t="s">
        <v>4001</v>
      </c>
      <c r="T470" t="s">
        <v>4002</v>
      </c>
      <c r="U470" t="s">
        <v>4003</v>
      </c>
      <c r="X470">
        <v>0</v>
      </c>
      <c r="Y470">
        <v>0</v>
      </c>
      <c r="Z470">
        <v>0</v>
      </c>
      <c r="AA470">
        <v>0</v>
      </c>
      <c r="AB470">
        <v>0</v>
      </c>
      <c r="AC470">
        <v>0</v>
      </c>
      <c r="AD470">
        <v>0</v>
      </c>
      <c r="AE470">
        <v>0</v>
      </c>
      <c r="AF470">
        <v>0</v>
      </c>
      <c r="AG470">
        <v>0</v>
      </c>
      <c r="AH470">
        <v>0</v>
      </c>
      <c r="AI470">
        <v>0</v>
      </c>
      <c r="AJ470">
        <v>1</v>
      </c>
      <c r="AK470">
        <v>0</v>
      </c>
      <c r="AL470">
        <v>0</v>
      </c>
      <c r="AM470">
        <v>0</v>
      </c>
      <c r="AN470">
        <v>0</v>
      </c>
      <c r="AO470">
        <v>0</v>
      </c>
      <c r="AP470">
        <v>0</v>
      </c>
      <c r="AQ470">
        <v>0</v>
      </c>
      <c r="AR470">
        <v>0</v>
      </c>
      <c r="AS470">
        <v>0</v>
      </c>
      <c r="AT470">
        <v>0</v>
      </c>
      <c r="AU470">
        <v>0</v>
      </c>
      <c r="AV470">
        <v>0</v>
      </c>
      <c r="AW470">
        <v>0</v>
      </c>
      <c r="AX470">
        <v>0</v>
      </c>
      <c r="AY470">
        <v>0</v>
      </c>
      <c r="AZ470" s="141">
        <f t="shared" si="543"/>
        <v>1</v>
      </c>
      <c r="BA470" s="141">
        <f t="shared" si="544"/>
        <v>1</v>
      </c>
      <c r="BB470">
        <f t="shared" si="545"/>
        <v>0</v>
      </c>
      <c r="BC470">
        <f t="shared" si="546"/>
        <v>1</v>
      </c>
      <c r="BD470">
        <f t="shared" si="547"/>
        <v>0</v>
      </c>
      <c r="BE470">
        <f t="shared" si="548"/>
        <v>0</v>
      </c>
      <c r="BF470">
        <f t="shared" si="549"/>
        <v>0</v>
      </c>
      <c r="BG470" t="str" cm="1">
        <f t="array" ref="BG470">IF(BA470=1,INDEX($X$7:$AN$7,MATCH(TRUE,INDEX($X470:$AY470&lt;&gt;0,),0)),IF(BA470=0,INDEX($AO$7:$AY$7,MATCH(1,$AO470:$AY470,0)),IF(BH470="Multiple strategies","mixed drivers",IF(BH470="Supply chain","multiple supply","multiple silviculture"))))</f>
        <v xml:space="preserve">end of life disposal </v>
      </c>
      <c r="BH470" s="2" t="str" cm="1">
        <f t="array" ref="BH470">IF(COUNTIF(BB470:BD470,"&lt;&gt;0")=1,INDEX($X$4:$AY$4,MATCH(TRUE,INDEX($X470:$AY470&lt;&gt;0,),0)),IF(COUNTIF(BB470:BD470,"&lt;&gt;0")=0,INDEX($AO$4:$AY$4,MATCH(1,$AO470:$AY470,0)),"Multiple strategies"))</f>
        <v>Supply chain</v>
      </c>
      <c r="BO470" s="143"/>
      <c r="BP470" s="143">
        <f t="shared" si="537"/>
        <v>0</v>
      </c>
      <c r="BQ470">
        <f t="shared" si="538"/>
        <v>0</v>
      </c>
      <c r="BR470" t="s">
        <v>232</v>
      </c>
      <c r="BT470" t="s">
        <v>3999</v>
      </c>
      <c r="BU470">
        <v>-1076</v>
      </c>
      <c r="BV470">
        <v>-339</v>
      </c>
      <c r="BW470" s="144">
        <f t="shared" si="570"/>
        <v>0.31505576208178437</v>
      </c>
      <c r="BX470" s="144">
        <f t="shared" si="529"/>
        <v>737</v>
      </c>
      <c r="BY470" s="144"/>
      <c r="BZ470">
        <f t="shared" si="539"/>
        <v>0.73699999999999999</v>
      </c>
      <c r="CA470" t="str">
        <f t="shared" si="550"/>
        <v/>
      </c>
      <c r="CB470">
        <v>0</v>
      </c>
      <c r="CC470">
        <v>0</v>
      </c>
      <c r="CD470">
        <v>0</v>
      </c>
      <c r="CE470">
        <v>0</v>
      </c>
      <c r="CF470">
        <v>0</v>
      </c>
      <c r="CG470">
        <v>0</v>
      </c>
      <c r="CH470">
        <v>0</v>
      </c>
      <c r="CI470">
        <v>0</v>
      </c>
      <c r="CJ470">
        <v>0</v>
      </c>
      <c r="CK470">
        <v>0</v>
      </c>
      <c r="CL470">
        <v>0</v>
      </c>
      <c r="CM470">
        <v>0</v>
      </c>
      <c r="CN470">
        <v>0</v>
      </c>
      <c r="CO470">
        <v>0</v>
      </c>
      <c r="CP470" t="str">
        <f t="shared" si="571"/>
        <v>refOK</v>
      </c>
      <c r="CQ470"/>
      <c r="CR470"/>
      <c r="CS470"/>
      <c r="CT470">
        <f t="shared" si="551"/>
        <v>0</v>
      </c>
      <c r="CU470">
        <f t="shared" si="533"/>
        <v>-1076</v>
      </c>
      <c r="CV470">
        <f t="shared" si="534"/>
        <v>-339</v>
      </c>
      <c r="CW470">
        <f t="shared" si="552"/>
        <v>0.73699999999999999</v>
      </c>
      <c r="CX470" t="str">
        <f t="shared" si="536"/>
        <v/>
      </c>
      <c r="CY470" t="str">
        <f t="shared" si="536"/>
        <v/>
      </c>
      <c r="CZ470" t="str">
        <f t="shared" si="553"/>
        <v/>
      </c>
      <c r="DA470" s="2">
        <f t="shared" si="554"/>
        <v>0.68494423791821557</v>
      </c>
      <c r="DB470" s="1" t="s">
        <v>263</v>
      </c>
      <c r="DC470" s="297" t="str">
        <f t="shared" si="555"/>
        <v>loc</v>
      </c>
      <c r="DD470" s="296" t="s">
        <v>3098</v>
      </c>
      <c r="DG470">
        <f t="shared" si="572"/>
        <v>0</v>
      </c>
      <c r="DH470" t="str">
        <f t="shared" si="556"/>
        <v>0</v>
      </c>
      <c r="DI470">
        <v>0</v>
      </c>
      <c r="DJ470">
        <v>0</v>
      </c>
      <c r="DK470">
        <v>0</v>
      </c>
      <c r="DL470">
        <v>1</v>
      </c>
      <c r="DM470">
        <v>0</v>
      </c>
      <c r="DN470">
        <f t="shared" si="541"/>
        <v>1</v>
      </c>
      <c r="DO470" t="str">
        <f t="shared" si="557"/>
        <v>TimberInput</v>
      </c>
      <c r="DP470">
        <f t="shared" si="558"/>
        <v>0</v>
      </c>
      <c r="DQ470">
        <f t="shared" si="559"/>
        <v>0</v>
      </c>
      <c r="DR470">
        <f t="shared" si="560"/>
        <v>0</v>
      </c>
      <c r="DS470" t="str">
        <f t="shared" si="561"/>
        <v>Timber</v>
      </c>
      <c r="DT470">
        <v>1</v>
      </c>
      <c r="DU470">
        <v>0</v>
      </c>
      <c r="DV470">
        <v>0</v>
      </c>
      <c r="DW470">
        <v>0</v>
      </c>
      <c r="DX470">
        <v>0</v>
      </c>
      <c r="DY470">
        <f t="shared" si="542"/>
        <v>1</v>
      </c>
      <c r="DZ470" s="143" t="str">
        <f t="shared" si="562"/>
        <v>self-calculated DF</v>
      </c>
      <c r="EA470">
        <v>0</v>
      </c>
      <c r="EB470">
        <v>0</v>
      </c>
      <c r="EC470">
        <v>0</v>
      </c>
      <c r="ED470">
        <v>0</v>
      </c>
      <c r="EE470">
        <v>1</v>
      </c>
      <c r="EF470">
        <v>1</v>
      </c>
      <c r="EG470">
        <v>0</v>
      </c>
      <c r="EH470">
        <v>0</v>
      </c>
      <c r="EI470">
        <v>0</v>
      </c>
      <c r="EJ470">
        <v>0</v>
      </c>
      <c r="EK470">
        <v>0</v>
      </c>
      <c r="EL470">
        <v>0</v>
      </c>
      <c r="EM470">
        <v>0</v>
      </c>
      <c r="EN470" s="2">
        <v>0</v>
      </c>
      <c r="EP470" t="str">
        <f t="shared" si="563"/>
        <v/>
      </c>
      <c r="EQ470" t="str">
        <f t="shared" si="564"/>
        <v/>
      </c>
      <c r="ER470" s="2" t="str">
        <f t="shared" si="565"/>
        <v/>
      </c>
      <c r="ES470" t="str">
        <f t="shared" si="566"/>
        <v/>
      </c>
      <c r="ET470" t="str">
        <f t="shared" si="567"/>
        <v/>
      </c>
      <c r="EU470" t="str">
        <f t="shared" si="568"/>
        <v/>
      </c>
      <c r="EW470" t="s">
        <v>4000</v>
      </c>
      <c r="EY470" t="b">
        <f>IF(ISNUMBER(BW470),IF(ABS(BW470-[1]QC_indicators!$B$2)&gt;3*[1]QC_indicators!$C$2,"C ratio",IF(ISNUMBER(CA470),IF(ABS(CA470-[1]QC_indicators!$B$1)&gt;3*[1]QC_indicators!$C$1,"DF","no"))),IF(ISNUMBER(CA470),IF(ABS(CA470-[1]QC_indicators!$B$1)&gt;3*[1]QC_indicators!$C$1,"DF","no")))</f>
        <v>0</v>
      </c>
      <c r="FA470" t="str">
        <f t="shared" si="569"/>
        <v/>
      </c>
    </row>
    <row r="471" spans="1:157" ht="15" hidden="1" customHeight="1">
      <c r="A471" s="1" t="s">
        <v>3988</v>
      </c>
      <c r="B471" t="s">
        <v>3989</v>
      </c>
      <c r="C471" t="s">
        <v>3990</v>
      </c>
      <c r="D471" t="s">
        <v>3991</v>
      </c>
      <c r="E471" t="s">
        <v>3992</v>
      </c>
      <c r="F471" t="s">
        <v>3993</v>
      </c>
      <c r="G471" t="s">
        <v>3994</v>
      </c>
      <c r="H471" t="s">
        <v>254</v>
      </c>
      <c r="I471">
        <v>2011</v>
      </c>
      <c r="J471">
        <v>7</v>
      </c>
      <c r="K471" t="s">
        <v>3995</v>
      </c>
      <c r="M471" t="str">
        <f t="shared" si="535"/>
        <v>Weight_2011</v>
      </c>
      <c r="N471" s="297" t="s">
        <v>4058</v>
      </c>
      <c r="O471" s="145" t="s">
        <v>1029</v>
      </c>
      <c r="Q471" s="297" t="s">
        <v>256</v>
      </c>
      <c r="R471" s="298"/>
      <c r="S471" s="1" t="s">
        <v>4005</v>
      </c>
      <c r="T471" t="s">
        <v>4002</v>
      </c>
      <c r="U471" t="s">
        <v>4006</v>
      </c>
      <c r="X471">
        <v>0</v>
      </c>
      <c r="Y471">
        <v>0</v>
      </c>
      <c r="Z471">
        <v>0</v>
      </c>
      <c r="AA471">
        <v>0</v>
      </c>
      <c r="AB471">
        <v>0</v>
      </c>
      <c r="AC471">
        <v>0</v>
      </c>
      <c r="AD471">
        <v>0</v>
      </c>
      <c r="AE471">
        <v>0</v>
      </c>
      <c r="AF471">
        <v>0</v>
      </c>
      <c r="AG471">
        <v>0</v>
      </c>
      <c r="AH471">
        <v>0</v>
      </c>
      <c r="AI471">
        <v>0</v>
      </c>
      <c r="AJ471">
        <v>1</v>
      </c>
      <c r="AK471">
        <v>0</v>
      </c>
      <c r="AL471">
        <v>0</v>
      </c>
      <c r="AM471">
        <v>0</v>
      </c>
      <c r="AN471">
        <v>0</v>
      </c>
      <c r="AO471">
        <v>0</v>
      </c>
      <c r="AP471">
        <v>0</v>
      </c>
      <c r="AQ471">
        <v>0</v>
      </c>
      <c r="AR471">
        <v>0</v>
      </c>
      <c r="AS471">
        <v>0</v>
      </c>
      <c r="AT471">
        <v>0</v>
      </c>
      <c r="AU471">
        <v>0</v>
      </c>
      <c r="AV471">
        <v>0</v>
      </c>
      <c r="AW471">
        <v>0</v>
      </c>
      <c r="AX471">
        <v>0</v>
      </c>
      <c r="AY471">
        <v>0</v>
      </c>
      <c r="AZ471" s="141">
        <f t="shared" si="543"/>
        <v>1</v>
      </c>
      <c r="BA471" s="141">
        <f t="shared" si="544"/>
        <v>1</v>
      </c>
      <c r="BB471">
        <f t="shared" si="545"/>
        <v>0</v>
      </c>
      <c r="BC471">
        <f t="shared" si="546"/>
        <v>1</v>
      </c>
      <c r="BD471">
        <f t="shared" si="547"/>
        <v>0</v>
      </c>
      <c r="BE471">
        <f t="shared" si="548"/>
        <v>0</v>
      </c>
      <c r="BF471">
        <f t="shared" si="549"/>
        <v>0</v>
      </c>
      <c r="BG471" t="str" cm="1">
        <f t="array" ref="BG471">IF(BA471=1,INDEX($X$7:$AN$7,MATCH(TRUE,INDEX($X471:$AY471&lt;&gt;0,),0)),IF(BA471=0,INDEX($AO$7:$AY$7,MATCH(1,$AO471:$AY471,0)),IF(BH471="Multiple strategies","mixed drivers",IF(BH471="Supply chain","multiple supply","multiple silviculture"))))</f>
        <v xml:space="preserve">end of life disposal </v>
      </c>
      <c r="BH471" s="2" t="str" cm="1">
        <f t="array" ref="BH471">IF(COUNTIF(BB471:BD471,"&lt;&gt;0")=1,INDEX($X$4:$AY$4,MATCH(TRUE,INDEX($X471:$AY471&lt;&gt;0,),0)),IF(COUNTIF(BB471:BD471,"&lt;&gt;0")=0,INDEX($AO$4:$AY$4,MATCH(1,$AO471:$AY471,0)),"Multiple strategies"))</f>
        <v>Supply chain</v>
      </c>
      <c r="BO471" s="143"/>
      <c r="BP471" s="143">
        <f t="shared" si="537"/>
        <v>0</v>
      </c>
      <c r="BQ471">
        <f t="shared" si="538"/>
        <v>0</v>
      </c>
      <c r="BR471" t="s">
        <v>232</v>
      </c>
      <c r="BT471" t="s">
        <v>3999</v>
      </c>
      <c r="BU471">
        <v>-1076</v>
      </c>
      <c r="BV471">
        <v>-310</v>
      </c>
      <c r="BW471" s="144">
        <f t="shared" si="570"/>
        <v>0.28810408921933084</v>
      </c>
      <c r="BX471" s="144">
        <f t="shared" si="529"/>
        <v>766</v>
      </c>
      <c r="BY471" s="144"/>
      <c r="BZ471">
        <f t="shared" si="539"/>
        <v>0.76600000000000001</v>
      </c>
      <c r="CA471" t="str">
        <f t="shared" si="550"/>
        <v/>
      </c>
      <c r="CB471">
        <v>0</v>
      </c>
      <c r="CC471">
        <v>0</v>
      </c>
      <c r="CD471">
        <v>0</v>
      </c>
      <c r="CE471">
        <v>0</v>
      </c>
      <c r="CF471">
        <v>0</v>
      </c>
      <c r="CG471">
        <v>0</v>
      </c>
      <c r="CH471">
        <v>0</v>
      </c>
      <c r="CI471">
        <v>0</v>
      </c>
      <c r="CJ471">
        <v>0</v>
      </c>
      <c r="CK471">
        <v>0</v>
      </c>
      <c r="CL471">
        <v>0</v>
      </c>
      <c r="CM471">
        <v>0</v>
      </c>
      <c r="CN471">
        <v>0</v>
      </c>
      <c r="CO471">
        <v>0</v>
      </c>
      <c r="CP471" t="str">
        <f t="shared" si="571"/>
        <v>refOK</v>
      </c>
      <c r="CQ471"/>
      <c r="CR471"/>
      <c r="CS471"/>
      <c r="CT471">
        <f t="shared" si="551"/>
        <v>0</v>
      </c>
      <c r="CU471">
        <f t="shared" si="533"/>
        <v>-1076</v>
      </c>
      <c r="CV471">
        <f t="shared" si="534"/>
        <v>-310</v>
      </c>
      <c r="CW471">
        <f t="shared" si="552"/>
        <v>0.76600000000000001</v>
      </c>
      <c r="CX471" t="str">
        <f t="shared" si="536"/>
        <v/>
      </c>
      <c r="CY471" t="str">
        <f t="shared" si="536"/>
        <v/>
      </c>
      <c r="CZ471" t="str">
        <f t="shared" si="553"/>
        <v/>
      </c>
      <c r="DA471" s="2">
        <f t="shared" si="554"/>
        <v>0.71189591078066916</v>
      </c>
      <c r="DB471" s="1" t="s">
        <v>263</v>
      </c>
      <c r="DC471" s="297" t="str">
        <f t="shared" si="555"/>
        <v>loc</v>
      </c>
      <c r="DD471" s="296" t="s">
        <v>3098</v>
      </c>
      <c r="DG471">
        <f t="shared" si="572"/>
        <v>0</v>
      </c>
      <c r="DH471" t="str">
        <f t="shared" si="556"/>
        <v>0</v>
      </c>
      <c r="DI471">
        <v>0</v>
      </c>
      <c r="DJ471">
        <v>0</v>
      </c>
      <c r="DK471">
        <v>0</v>
      </c>
      <c r="DL471">
        <v>1</v>
      </c>
      <c r="DM471">
        <v>0</v>
      </c>
      <c r="DN471">
        <f t="shared" si="541"/>
        <v>1</v>
      </c>
      <c r="DO471" t="str">
        <f t="shared" si="557"/>
        <v>TimberInput</v>
      </c>
      <c r="DP471">
        <f t="shared" si="558"/>
        <v>0</v>
      </c>
      <c r="DQ471">
        <f t="shared" si="559"/>
        <v>0</v>
      </c>
      <c r="DR471">
        <f t="shared" si="560"/>
        <v>0</v>
      </c>
      <c r="DS471" t="str">
        <f t="shared" si="561"/>
        <v>Timber</v>
      </c>
      <c r="DT471">
        <v>1</v>
      </c>
      <c r="DU471">
        <v>0</v>
      </c>
      <c r="DV471">
        <v>0</v>
      </c>
      <c r="DW471">
        <v>0</v>
      </c>
      <c r="DX471">
        <v>0</v>
      </c>
      <c r="DY471">
        <f t="shared" si="542"/>
        <v>1</v>
      </c>
      <c r="DZ471" s="143" t="str">
        <f t="shared" si="562"/>
        <v>self-calculated DF</v>
      </c>
      <c r="EA471">
        <v>0</v>
      </c>
      <c r="EB471">
        <v>0</v>
      </c>
      <c r="EC471">
        <v>0</v>
      </c>
      <c r="ED471">
        <v>0</v>
      </c>
      <c r="EE471">
        <v>1</v>
      </c>
      <c r="EF471">
        <v>1</v>
      </c>
      <c r="EG471">
        <v>0</v>
      </c>
      <c r="EH471">
        <v>0</v>
      </c>
      <c r="EI471">
        <v>0</v>
      </c>
      <c r="EJ471">
        <v>0</v>
      </c>
      <c r="EK471">
        <v>0</v>
      </c>
      <c r="EL471">
        <v>0</v>
      </c>
      <c r="EM471">
        <v>0</v>
      </c>
      <c r="EN471" s="2">
        <v>0</v>
      </c>
      <c r="EP471" t="str">
        <f t="shared" si="563"/>
        <v/>
      </c>
      <c r="EQ471" t="str">
        <f t="shared" si="564"/>
        <v/>
      </c>
      <c r="ER471" s="2" t="str">
        <f t="shared" si="565"/>
        <v/>
      </c>
      <c r="ES471" t="str">
        <f t="shared" si="566"/>
        <v/>
      </c>
      <c r="ET471" t="str">
        <f t="shared" si="567"/>
        <v/>
      </c>
      <c r="EU471" t="str">
        <f t="shared" si="568"/>
        <v/>
      </c>
      <c r="EW471" t="s">
        <v>4000</v>
      </c>
      <c r="EY471" t="b">
        <f>IF(ISNUMBER(BW471),IF(ABS(BW471-[1]QC_indicators!$B$2)&gt;3*[1]QC_indicators!$C$2,"C ratio",IF(ISNUMBER(CA471),IF(ABS(CA471-[1]QC_indicators!$B$1)&gt;3*[1]QC_indicators!$C$1,"DF","no"))),IF(ISNUMBER(CA471),IF(ABS(CA471-[1]QC_indicators!$B$1)&gt;3*[1]QC_indicators!$C$1,"DF","no")))</f>
        <v>0</v>
      </c>
      <c r="FA471" t="str">
        <f t="shared" si="569"/>
        <v/>
      </c>
    </row>
    <row r="472" spans="1:157" ht="15" hidden="1" customHeight="1">
      <c r="A472" s="1" t="s">
        <v>3988</v>
      </c>
      <c r="B472" t="s">
        <v>3989</v>
      </c>
      <c r="C472" t="s">
        <v>3990</v>
      </c>
      <c r="D472" t="s">
        <v>3991</v>
      </c>
      <c r="E472" t="s">
        <v>3992</v>
      </c>
      <c r="F472" t="s">
        <v>3993</v>
      </c>
      <c r="G472" t="s">
        <v>3994</v>
      </c>
      <c r="H472" t="s">
        <v>254</v>
      </c>
      <c r="I472">
        <v>2011</v>
      </c>
      <c r="J472">
        <v>7</v>
      </c>
      <c r="K472" t="s">
        <v>3995</v>
      </c>
      <c r="M472" t="str">
        <f t="shared" si="535"/>
        <v>Weight_2011</v>
      </c>
      <c r="N472" s="297" t="s">
        <v>4058</v>
      </c>
      <c r="O472" s="145" t="s">
        <v>1029</v>
      </c>
      <c r="Q472" s="297" t="s">
        <v>256</v>
      </c>
      <c r="R472" s="298"/>
      <c r="S472" s="1" t="s">
        <v>4007</v>
      </c>
      <c r="T472" t="s">
        <v>4002</v>
      </c>
      <c r="U472" t="s">
        <v>4008</v>
      </c>
      <c r="X472">
        <v>0</v>
      </c>
      <c r="Y472">
        <v>0</v>
      </c>
      <c r="Z472">
        <v>0</v>
      </c>
      <c r="AA472">
        <v>0</v>
      </c>
      <c r="AB472">
        <v>0</v>
      </c>
      <c r="AC472">
        <v>0</v>
      </c>
      <c r="AD472">
        <v>0</v>
      </c>
      <c r="AE472">
        <v>0</v>
      </c>
      <c r="AF472">
        <v>0</v>
      </c>
      <c r="AG472">
        <v>0</v>
      </c>
      <c r="AH472">
        <v>0</v>
      </c>
      <c r="AI472">
        <v>0</v>
      </c>
      <c r="AJ472">
        <v>1</v>
      </c>
      <c r="AK472">
        <v>0</v>
      </c>
      <c r="AL472">
        <v>0</v>
      </c>
      <c r="AM472">
        <v>0</v>
      </c>
      <c r="AN472">
        <v>0</v>
      </c>
      <c r="AO472">
        <v>0</v>
      </c>
      <c r="AP472">
        <v>0</v>
      </c>
      <c r="AQ472">
        <v>0</v>
      </c>
      <c r="AR472">
        <v>0</v>
      </c>
      <c r="AS472">
        <v>0</v>
      </c>
      <c r="AT472">
        <v>0</v>
      </c>
      <c r="AU472">
        <v>0</v>
      </c>
      <c r="AV472">
        <v>0</v>
      </c>
      <c r="AW472">
        <v>0</v>
      </c>
      <c r="AX472">
        <v>0</v>
      </c>
      <c r="AY472">
        <v>0</v>
      </c>
      <c r="AZ472" s="141">
        <f t="shared" si="543"/>
        <v>1</v>
      </c>
      <c r="BA472" s="141">
        <f t="shared" si="544"/>
        <v>1</v>
      </c>
      <c r="BB472">
        <f t="shared" si="545"/>
        <v>0</v>
      </c>
      <c r="BC472">
        <f t="shared" si="546"/>
        <v>1</v>
      </c>
      <c r="BD472">
        <f t="shared" si="547"/>
        <v>0</v>
      </c>
      <c r="BE472">
        <f t="shared" si="548"/>
        <v>0</v>
      </c>
      <c r="BF472">
        <f t="shared" si="549"/>
        <v>0</v>
      </c>
      <c r="BG472" t="str" cm="1">
        <f t="array" ref="BG472">IF(BA472=1,INDEX($X$7:$AN$7,MATCH(TRUE,INDEX($X472:$AY472&lt;&gt;0,),0)),IF(BA472=0,INDEX($AO$7:$AY$7,MATCH(1,$AO472:$AY472,0)),IF(BH472="Multiple strategies","mixed drivers",IF(BH472="Supply chain","multiple supply","multiple silviculture"))))</f>
        <v xml:space="preserve">end of life disposal </v>
      </c>
      <c r="BH472" s="2" t="str" cm="1">
        <f t="array" ref="BH472">IF(COUNTIF(BB472:BD472,"&lt;&gt;0")=1,INDEX($X$4:$AY$4,MATCH(TRUE,INDEX($X472:$AY472&lt;&gt;0,),0)),IF(COUNTIF(BB472:BD472,"&lt;&gt;0")=0,INDEX($AO$4:$AY$4,MATCH(1,$AO472:$AY472,0)),"Multiple strategies"))</f>
        <v>Supply chain</v>
      </c>
      <c r="BO472" s="143"/>
      <c r="BP472" s="143">
        <f t="shared" si="537"/>
        <v>0</v>
      </c>
      <c r="BQ472">
        <f t="shared" si="538"/>
        <v>0</v>
      </c>
      <c r="BR472" t="s">
        <v>232</v>
      </c>
      <c r="BT472" t="s">
        <v>3999</v>
      </c>
      <c r="BU472">
        <v>-1269</v>
      </c>
      <c r="BV472">
        <v>-333</v>
      </c>
      <c r="BW472" s="144">
        <f t="shared" si="570"/>
        <v>0.26241134751773049</v>
      </c>
      <c r="BX472" s="144">
        <f t="shared" ref="BX472:BX492" si="573">BV472-BU472</f>
        <v>936</v>
      </c>
      <c r="BY472" s="144"/>
      <c r="BZ472">
        <f t="shared" si="539"/>
        <v>0.93600000000000005</v>
      </c>
      <c r="CA472" t="str">
        <f t="shared" si="550"/>
        <v/>
      </c>
      <c r="CB472">
        <v>0</v>
      </c>
      <c r="CC472">
        <v>0</v>
      </c>
      <c r="CD472">
        <v>0</v>
      </c>
      <c r="CE472">
        <v>0</v>
      </c>
      <c r="CF472">
        <v>0</v>
      </c>
      <c r="CG472">
        <v>0</v>
      </c>
      <c r="CH472">
        <v>0</v>
      </c>
      <c r="CI472">
        <v>0</v>
      </c>
      <c r="CJ472">
        <v>0</v>
      </c>
      <c r="CK472">
        <v>0</v>
      </c>
      <c r="CL472">
        <v>0</v>
      </c>
      <c r="CM472">
        <v>0</v>
      </c>
      <c r="CN472">
        <v>0</v>
      </c>
      <c r="CO472">
        <v>0</v>
      </c>
      <c r="CP472" t="str">
        <f t="shared" si="571"/>
        <v>refOK</v>
      </c>
      <c r="CQ472"/>
      <c r="CR472"/>
      <c r="CS472"/>
      <c r="CT472">
        <f t="shared" si="551"/>
        <v>0</v>
      </c>
      <c r="CU472">
        <f t="shared" si="533"/>
        <v>-1269</v>
      </c>
      <c r="CV472">
        <f t="shared" si="534"/>
        <v>-333</v>
      </c>
      <c r="CW472">
        <f t="shared" si="552"/>
        <v>0.93600000000000005</v>
      </c>
      <c r="CX472" t="str">
        <f t="shared" si="536"/>
        <v/>
      </c>
      <c r="CY472" t="str">
        <f t="shared" si="536"/>
        <v/>
      </c>
      <c r="CZ472" t="str">
        <f t="shared" si="553"/>
        <v/>
      </c>
      <c r="DA472" s="2">
        <f t="shared" si="554"/>
        <v>0.73758865248226946</v>
      </c>
      <c r="DB472" s="1" t="s">
        <v>263</v>
      </c>
      <c r="DC472" s="297" t="str">
        <f t="shared" si="555"/>
        <v>loc</v>
      </c>
      <c r="DD472" s="296" t="s">
        <v>3098</v>
      </c>
      <c r="DG472">
        <f t="shared" si="572"/>
        <v>0</v>
      </c>
      <c r="DH472" t="str">
        <f t="shared" si="556"/>
        <v>0</v>
      </c>
      <c r="DI472">
        <v>0</v>
      </c>
      <c r="DJ472">
        <v>0</v>
      </c>
      <c r="DK472">
        <v>0</v>
      </c>
      <c r="DL472">
        <v>1</v>
      </c>
      <c r="DM472">
        <v>0</v>
      </c>
      <c r="DN472">
        <f t="shared" si="541"/>
        <v>1</v>
      </c>
      <c r="DO472" t="str">
        <f t="shared" si="557"/>
        <v>TimberInput</v>
      </c>
      <c r="DP472">
        <f t="shared" si="558"/>
        <v>0</v>
      </c>
      <c r="DQ472">
        <f t="shared" si="559"/>
        <v>0</v>
      </c>
      <c r="DR472">
        <f t="shared" si="560"/>
        <v>0</v>
      </c>
      <c r="DS472" t="str">
        <f t="shared" si="561"/>
        <v>Timber</v>
      </c>
      <c r="DT472">
        <v>1</v>
      </c>
      <c r="DU472">
        <v>0</v>
      </c>
      <c r="DV472">
        <v>0</v>
      </c>
      <c r="DW472">
        <v>0</v>
      </c>
      <c r="DX472">
        <v>0</v>
      </c>
      <c r="DY472">
        <f t="shared" si="542"/>
        <v>1</v>
      </c>
      <c r="DZ472" s="143" t="str">
        <f t="shared" si="562"/>
        <v>self-calculated DF</v>
      </c>
      <c r="EA472">
        <v>0</v>
      </c>
      <c r="EB472">
        <v>0</v>
      </c>
      <c r="EC472">
        <v>0</v>
      </c>
      <c r="ED472">
        <v>0</v>
      </c>
      <c r="EE472">
        <v>1</v>
      </c>
      <c r="EF472">
        <v>1</v>
      </c>
      <c r="EG472">
        <v>0</v>
      </c>
      <c r="EH472">
        <v>1</v>
      </c>
      <c r="EI472">
        <v>0</v>
      </c>
      <c r="EJ472">
        <v>0</v>
      </c>
      <c r="EK472">
        <v>0</v>
      </c>
      <c r="EL472">
        <v>0</v>
      </c>
      <c r="EM472">
        <v>0</v>
      </c>
      <c r="EN472" s="2">
        <v>0</v>
      </c>
      <c r="EP472" t="str">
        <f t="shared" si="563"/>
        <v/>
      </c>
      <c r="EQ472" t="str">
        <f t="shared" si="564"/>
        <v/>
      </c>
      <c r="ER472" s="2" t="str">
        <f t="shared" si="565"/>
        <v/>
      </c>
      <c r="ES472" t="str">
        <f t="shared" si="566"/>
        <v/>
      </c>
      <c r="ET472" t="str">
        <f t="shared" si="567"/>
        <v/>
      </c>
      <c r="EU472" t="str">
        <f t="shared" si="568"/>
        <v/>
      </c>
      <c r="EW472" t="s">
        <v>4000</v>
      </c>
      <c r="EY472" t="b">
        <f>IF(ISNUMBER(BW472),IF(ABS(BW472-[1]QC_indicators!$B$2)&gt;3*[1]QC_indicators!$C$2,"C ratio",IF(ISNUMBER(CA472),IF(ABS(CA472-[1]QC_indicators!$B$1)&gt;3*[1]QC_indicators!$C$1,"DF","no"))),IF(ISNUMBER(CA472),IF(ABS(CA472-[1]QC_indicators!$B$1)&gt;3*[1]QC_indicators!$C$1,"DF","no")))</f>
        <v>0</v>
      </c>
      <c r="FA472" t="str">
        <f t="shared" si="569"/>
        <v/>
      </c>
    </row>
    <row r="473" spans="1:157" ht="15" hidden="1" customHeight="1">
      <c r="A473" s="1" t="s">
        <v>3988</v>
      </c>
      <c r="B473" t="s">
        <v>3989</v>
      </c>
      <c r="C473" t="s">
        <v>3990</v>
      </c>
      <c r="D473" t="s">
        <v>3991</v>
      </c>
      <c r="E473" t="s">
        <v>3992</v>
      </c>
      <c r="F473" t="s">
        <v>3993</v>
      </c>
      <c r="G473" t="s">
        <v>3994</v>
      </c>
      <c r="H473" t="s">
        <v>254</v>
      </c>
      <c r="I473">
        <v>2011</v>
      </c>
      <c r="J473">
        <v>7</v>
      </c>
      <c r="K473" t="s">
        <v>3995</v>
      </c>
      <c r="M473" t="str">
        <f t="shared" si="535"/>
        <v>Weight_2011</v>
      </c>
      <c r="N473" s="297" t="s">
        <v>4058</v>
      </c>
      <c r="O473" s="145" t="s">
        <v>1029</v>
      </c>
      <c r="Q473" s="297" t="s">
        <v>256</v>
      </c>
      <c r="R473" s="298"/>
      <c r="S473" s="1" t="s">
        <v>4007</v>
      </c>
      <c r="T473" t="s">
        <v>4002</v>
      </c>
      <c r="U473" t="s">
        <v>4008</v>
      </c>
      <c r="X473">
        <v>0</v>
      </c>
      <c r="Y473">
        <v>0</v>
      </c>
      <c r="Z473">
        <v>0</v>
      </c>
      <c r="AA473">
        <v>0</v>
      </c>
      <c r="AB473">
        <v>0</v>
      </c>
      <c r="AC473">
        <v>0</v>
      </c>
      <c r="AD473">
        <v>0</v>
      </c>
      <c r="AE473">
        <v>0</v>
      </c>
      <c r="AF473">
        <v>0</v>
      </c>
      <c r="AG473">
        <v>0</v>
      </c>
      <c r="AH473">
        <v>0</v>
      </c>
      <c r="AI473">
        <v>0</v>
      </c>
      <c r="AJ473">
        <v>1</v>
      </c>
      <c r="AK473">
        <v>0</v>
      </c>
      <c r="AL473">
        <v>0</v>
      </c>
      <c r="AM473">
        <v>0</v>
      </c>
      <c r="AN473">
        <v>0</v>
      </c>
      <c r="AO473">
        <v>0</v>
      </c>
      <c r="AP473">
        <v>0</v>
      </c>
      <c r="AQ473">
        <v>0</v>
      </c>
      <c r="AR473">
        <v>0</v>
      </c>
      <c r="AS473">
        <v>0</v>
      </c>
      <c r="AT473">
        <v>0</v>
      </c>
      <c r="AU473">
        <v>0</v>
      </c>
      <c r="AV473">
        <v>0</v>
      </c>
      <c r="AW473">
        <v>0</v>
      </c>
      <c r="AX473">
        <v>0</v>
      </c>
      <c r="AY473">
        <v>0</v>
      </c>
      <c r="AZ473" s="141">
        <f t="shared" si="543"/>
        <v>1</v>
      </c>
      <c r="BA473" s="141">
        <f t="shared" si="544"/>
        <v>1</v>
      </c>
      <c r="BB473">
        <f t="shared" si="545"/>
        <v>0</v>
      </c>
      <c r="BC473">
        <f t="shared" si="546"/>
        <v>1</v>
      </c>
      <c r="BD473">
        <f t="shared" si="547"/>
        <v>0</v>
      </c>
      <c r="BE473">
        <f t="shared" si="548"/>
        <v>0</v>
      </c>
      <c r="BF473">
        <f t="shared" si="549"/>
        <v>0</v>
      </c>
      <c r="BG473" t="str" cm="1">
        <f t="array" ref="BG473">IF(BA473=1,INDEX($X$7:$AN$7,MATCH(TRUE,INDEX($X473:$AY473&lt;&gt;0,),0)),IF(BA473=0,INDEX($AO$7:$AY$7,MATCH(1,$AO473:$AY473,0)),IF(BH473="Multiple strategies","mixed drivers",IF(BH473="Supply chain","multiple supply","multiple silviculture"))))</f>
        <v xml:space="preserve">end of life disposal </v>
      </c>
      <c r="BH473" s="2" t="str" cm="1">
        <f t="array" ref="BH473">IF(COUNTIF(BB473:BD473,"&lt;&gt;0")=1,INDEX($X$4:$AY$4,MATCH(TRUE,INDEX($X473:$AY473&lt;&gt;0,),0)),IF(COUNTIF(BB473:BD473,"&lt;&gt;0")=0,INDEX($AO$4:$AY$4,MATCH(1,$AO473:$AY473,0)),"Multiple strategies"))</f>
        <v>Supply chain</v>
      </c>
      <c r="BO473" s="143"/>
      <c r="BP473" s="143">
        <f t="shared" si="537"/>
        <v>0</v>
      </c>
      <c r="BQ473">
        <f t="shared" si="538"/>
        <v>0</v>
      </c>
      <c r="BR473" t="s">
        <v>232</v>
      </c>
      <c r="BT473" t="s">
        <v>3999</v>
      </c>
      <c r="BU473">
        <v>-1076</v>
      </c>
      <c r="BV473">
        <v>-138</v>
      </c>
      <c r="BW473" s="144">
        <f t="shared" si="570"/>
        <v>0.12825278810408922</v>
      </c>
      <c r="BX473" s="144">
        <f t="shared" si="573"/>
        <v>938</v>
      </c>
      <c r="BY473" s="144"/>
      <c r="BZ473">
        <f t="shared" si="539"/>
        <v>0.93799999999999994</v>
      </c>
      <c r="CA473" t="str">
        <f t="shared" si="550"/>
        <v/>
      </c>
      <c r="CB473">
        <v>0</v>
      </c>
      <c r="CC473">
        <v>0</v>
      </c>
      <c r="CD473">
        <v>0</v>
      </c>
      <c r="CE473">
        <v>0</v>
      </c>
      <c r="CF473">
        <v>0</v>
      </c>
      <c r="CG473">
        <v>0</v>
      </c>
      <c r="CH473">
        <v>0</v>
      </c>
      <c r="CI473">
        <v>0</v>
      </c>
      <c r="CJ473">
        <v>0</v>
      </c>
      <c r="CK473">
        <v>0</v>
      </c>
      <c r="CL473">
        <v>0</v>
      </c>
      <c r="CM473">
        <v>0</v>
      </c>
      <c r="CN473">
        <v>0</v>
      </c>
      <c r="CO473">
        <v>0</v>
      </c>
      <c r="CP473" t="str">
        <f t="shared" si="571"/>
        <v>refOK</v>
      </c>
      <c r="CQ473"/>
      <c r="CR473"/>
      <c r="CS473"/>
      <c r="CT473">
        <f t="shared" si="551"/>
        <v>0</v>
      </c>
      <c r="CU473">
        <f t="shared" si="533"/>
        <v>-1076</v>
      </c>
      <c r="CV473">
        <f t="shared" si="534"/>
        <v>-138</v>
      </c>
      <c r="CW473">
        <f t="shared" si="552"/>
        <v>0.93799999999999994</v>
      </c>
      <c r="CX473" t="str">
        <f t="shared" si="536"/>
        <v/>
      </c>
      <c r="CY473" t="str">
        <f t="shared" si="536"/>
        <v/>
      </c>
      <c r="CZ473" t="str">
        <f t="shared" si="553"/>
        <v/>
      </c>
      <c r="DA473" s="2">
        <f t="shared" si="554"/>
        <v>0.87174721189591076</v>
      </c>
      <c r="DB473" s="1" t="s">
        <v>263</v>
      </c>
      <c r="DC473" s="297" t="str">
        <f t="shared" si="555"/>
        <v>loc</v>
      </c>
      <c r="DD473" s="296" t="s">
        <v>3098</v>
      </c>
      <c r="DG473">
        <f t="shared" si="572"/>
        <v>0</v>
      </c>
      <c r="DH473" t="str">
        <f t="shared" si="556"/>
        <v>0</v>
      </c>
      <c r="DI473">
        <v>0</v>
      </c>
      <c r="DJ473">
        <v>0</v>
      </c>
      <c r="DK473">
        <v>0</v>
      </c>
      <c r="DL473">
        <v>1</v>
      </c>
      <c r="DM473">
        <v>0</v>
      </c>
      <c r="DN473">
        <f t="shared" si="541"/>
        <v>1</v>
      </c>
      <c r="DO473" t="str">
        <f t="shared" si="557"/>
        <v>TimberInput</v>
      </c>
      <c r="DP473">
        <f t="shared" si="558"/>
        <v>0</v>
      </c>
      <c r="DQ473">
        <f t="shared" si="559"/>
        <v>0</v>
      </c>
      <c r="DR473">
        <f t="shared" si="560"/>
        <v>0</v>
      </c>
      <c r="DS473" t="str">
        <f t="shared" si="561"/>
        <v>Timber</v>
      </c>
      <c r="DT473">
        <v>1</v>
      </c>
      <c r="DU473">
        <v>0</v>
      </c>
      <c r="DV473">
        <v>0</v>
      </c>
      <c r="DW473">
        <v>0</v>
      </c>
      <c r="DX473">
        <v>0</v>
      </c>
      <c r="DY473">
        <f t="shared" si="542"/>
        <v>1</v>
      </c>
      <c r="DZ473" s="143" t="str">
        <f t="shared" si="562"/>
        <v>self-calculated DF</v>
      </c>
      <c r="EA473">
        <v>0</v>
      </c>
      <c r="EB473">
        <v>0</v>
      </c>
      <c r="EC473">
        <v>0</v>
      </c>
      <c r="ED473">
        <v>0</v>
      </c>
      <c r="EE473">
        <v>1</v>
      </c>
      <c r="EF473">
        <v>1</v>
      </c>
      <c r="EG473">
        <v>0</v>
      </c>
      <c r="EH473">
        <v>0</v>
      </c>
      <c r="EI473">
        <v>0</v>
      </c>
      <c r="EJ473">
        <v>0</v>
      </c>
      <c r="EK473">
        <v>0</v>
      </c>
      <c r="EL473">
        <v>0</v>
      </c>
      <c r="EM473">
        <v>0</v>
      </c>
      <c r="EN473" s="2">
        <v>0</v>
      </c>
      <c r="EP473" t="str">
        <f t="shared" si="563"/>
        <v/>
      </c>
      <c r="EQ473" t="str">
        <f t="shared" si="564"/>
        <v/>
      </c>
      <c r="ER473" s="2" t="str">
        <f t="shared" si="565"/>
        <v/>
      </c>
      <c r="ES473" t="str">
        <f t="shared" si="566"/>
        <v/>
      </c>
      <c r="ET473" t="str">
        <f t="shared" si="567"/>
        <v/>
      </c>
      <c r="EU473" t="str">
        <f t="shared" si="568"/>
        <v/>
      </c>
      <c r="EW473" t="s">
        <v>4000</v>
      </c>
      <c r="EY473" t="b">
        <f>IF(ISNUMBER(BW473),IF(ABS(BW473-[1]QC_indicators!$B$2)&gt;3*[1]QC_indicators!$C$2,"C ratio",IF(ISNUMBER(CA473),IF(ABS(CA473-[1]QC_indicators!$B$1)&gt;3*[1]QC_indicators!$C$1,"DF","no"))),IF(ISNUMBER(CA473),IF(ABS(CA473-[1]QC_indicators!$B$1)&gt;3*[1]QC_indicators!$C$1,"DF","no")))</f>
        <v>0</v>
      </c>
      <c r="FA473" t="str">
        <f t="shared" si="569"/>
        <v/>
      </c>
    </row>
    <row r="474" spans="1:157" ht="15" hidden="1" customHeight="1">
      <c r="A474" s="1" t="s">
        <v>3988</v>
      </c>
      <c r="B474" t="s">
        <v>3989</v>
      </c>
      <c r="C474" t="s">
        <v>3990</v>
      </c>
      <c r="D474" t="s">
        <v>3991</v>
      </c>
      <c r="E474" t="s">
        <v>3992</v>
      </c>
      <c r="F474" t="s">
        <v>3993</v>
      </c>
      <c r="G474" t="s">
        <v>3994</v>
      </c>
      <c r="H474" t="s">
        <v>254</v>
      </c>
      <c r="I474">
        <v>2011</v>
      </c>
      <c r="J474">
        <v>7</v>
      </c>
      <c r="K474" t="s">
        <v>3995</v>
      </c>
      <c r="M474" t="str">
        <f t="shared" si="535"/>
        <v>Weight_2011</v>
      </c>
      <c r="N474" s="297" t="s">
        <v>4058</v>
      </c>
      <c r="O474" s="145" t="s">
        <v>1029</v>
      </c>
      <c r="Q474" s="297" t="s">
        <v>256</v>
      </c>
      <c r="R474" s="298"/>
      <c r="S474" s="1" t="s">
        <v>4007</v>
      </c>
      <c r="T474" t="s">
        <v>4002</v>
      </c>
      <c r="U474" t="s">
        <v>4008</v>
      </c>
      <c r="X474">
        <v>0</v>
      </c>
      <c r="Y474">
        <v>0</v>
      </c>
      <c r="Z474">
        <v>0</v>
      </c>
      <c r="AA474">
        <v>0</v>
      </c>
      <c r="AB474">
        <v>0</v>
      </c>
      <c r="AC474">
        <v>0</v>
      </c>
      <c r="AD474">
        <v>0</v>
      </c>
      <c r="AE474">
        <v>0</v>
      </c>
      <c r="AF474">
        <v>0</v>
      </c>
      <c r="AG474">
        <v>0</v>
      </c>
      <c r="AH474">
        <v>0</v>
      </c>
      <c r="AI474">
        <v>0</v>
      </c>
      <c r="AJ474">
        <v>1</v>
      </c>
      <c r="AK474">
        <v>0</v>
      </c>
      <c r="AL474">
        <v>0</v>
      </c>
      <c r="AM474">
        <v>0</v>
      </c>
      <c r="AN474">
        <v>0</v>
      </c>
      <c r="AO474">
        <v>0</v>
      </c>
      <c r="AP474">
        <v>0</v>
      </c>
      <c r="AQ474">
        <v>0</v>
      </c>
      <c r="AR474">
        <v>0</v>
      </c>
      <c r="AS474">
        <v>0</v>
      </c>
      <c r="AT474">
        <v>0</v>
      </c>
      <c r="AU474">
        <v>0</v>
      </c>
      <c r="AV474">
        <v>0</v>
      </c>
      <c r="AW474">
        <v>0</v>
      </c>
      <c r="AX474">
        <v>0</v>
      </c>
      <c r="AY474">
        <v>0</v>
      </c>
      <c r="AZ474" s="141">
        <f t="shared" si="543"/>
        <v>1</v>
      </c>
      <c r="BA474" s="141">
        <f t="shared" si="544"/>
        <v>1</v>
      </c>
      <c r="BB474">
        <f t="shared" si="545"/>
        <v>0</v>
      </c>
      <c r="BC474">
        <f t="shared" si="546"/>
        <v>1</v>
      </c>
      <c r="BD474">
        <f t="shared" si="547"/>
        <v>0</v>
      </c>
      <c r="BE474">
        <f t="shared" si="548"/>
        <v>0</v>
      </c>
      <c r="BF474">
        <f t="shared" si="549"/>
        <v>0</v>
      </c>
      <c r="BG474" t="str" cm="1">
        <f t="array" ref="BG474">IF(BA474=1,INDEX($X$7:$AN$7,MATCH(TRUE,INDEX($X474:$AY474&lt;&gt;0,),0)),IF(BA474=0,INDEX($AO$7:$AY$7,MATCH(1,$AO474:$AY474,0)),IF(BH474="Multiple strategies","mixed drivers",IF(BH474="Supply chain","multiple supply","multiple silviculture"))))</f>
        <v xml:space="preserve">end of life disposal </v>
      </c>
      <c r="BH474" s="2" t="str" cm="1">
        <f t="array" ref="BH474">IF(COUNTIF(BB474:BD474,"&lt;&gt;0")=1,INDEX($X$4:$AY$4,MATCH(TRUE,INDEX($X474:$AY474&lt;&gt;0,),0)),IF(COUNTIF(BB474:BD474,"&lt;&gt;0")=0,INDEX($AO$4:$AY$4,MATCH(1,$AO474:$AY474,0)),"Multiple strategies"))</f>
        <v>Supply chain</v>
      </c>
      <c r="BO474" s="143"/>
      <c r="BP474" s="143">
        <f t="shared" si="537"/>
        <v>0</v>
      </c>
      <c r="BQ474">
        <f t="shared" si="538"/>
        <v>0</v>
      </c>
      <c r="BR474" t="s">
        <v>232</v>
      </c>
      <c r="BT474" t="s">
        <v>3999</v>
      </c>
      <c r="BU474">
        <v>-26</v>
      </c>
      <c r="BV474">
        <v>910</v>
      </c>
      <c r="BW474" s="144">
        <f t="shared" si="570"/>
        <v>-35</v>
      </c>
      <c r="BX474" s="144">
        <f t="shared" si="573"/>
        <v>936</v>
      </c>
      <c r="BY474" s="144"/>
      <c r="BZ474">
        <f t="shared" si="539"/>
        <v>0.93600000000000005</v>
      </c>
      <c r="CA474" t="str">
        <f t="shared" si="550"/>
        <v/>
      </c>
      <c r="CB474">
        <v>0</v>
      </c>
      <c r="CC474">
        <v>0</v>
      </c>
      <c r="CD474">
        <v>0</v>
      </c>
      <c r="CE474">
        <v>0</v>
      </c>
      <c r="CF474">
        <v>0</v>
      </c>
      <c r="CG474">
        <v>0</v>
      </c>
      <c r="CH474">
        <v>0</v>
      </c>
      <c r="CI474">
        <v>0</v>
      </c>
      <c r="CJ474">
        <v>0</v>
      </c>
      <c r="CK474">
        <v>0</v>
      </c>
      <c r="CL474">
        <v>0</v>
      </c>
      <c r="CM474">
        <v>0</v>
      </c>
      <c r="CN474">
        <v>0</v>
      </c>
      <c r="CO474">
        <v>0</v>
      </c>
      <c r="CP474" t="str">
        <f t="shared" si="571"/>
        <v>refOK</v>
      </c>
      <c r="CQ474"/>
      <c r="CR474"/>
      <c r="CS474"/>
      <c r="CT474">
        <f t="shared" si="551"/>
        <v>0</v>
      </c>
      <c r="CU474">
        <f t="shared" si="533"/>
        <v>-26</v>
      </c>
      <c r="CV474">
        <f t="shared" si="534"/>
        <v>910</v>
      </c>
      <c r="CW474">
        <f t="shared" si="552"/>
        <v>0.93600000000000005</v>
      </c>
      <c r="CX474" t="str">
        <f t="shared" si="536"/>
        <v/>
      </c>
      <c r="CY474" t="str">
        <f t="shared" si="536"/>
        <v/>
      </c>
      <c r="CZ474" t="str">
        <f t="shared" si="553"/>
        <v/>
      </c>
      <c r="DA474" s="2">
        <f t="shared" si="554"/>
        <v>36</v>
      </c>
      <c r="DB474" s="1" t="s">
        <v>263</v>
      </c>
      <c r="DC474" s="297" t="str">
        <f t="shared" si="555"/>
        <v>loc</v>
      </c>
      <c r="DD474" s="296" t="s">
        <v>3098</v>
      </c>
      <c r="DG474">
        <f t="shared" si="572"/>
        <v>0</v>
      </c>
      <c r="DH474" t="str">
        <f t="shared" si="556"/>
        <v>0</v>
      </c>
      <c r="DI474">
        <v>0</v>
      </c>
      <c r="DJ474">
        <v>0</v>
      </c>
      <c r="DK474">
        <v>0</v>
      </c>
      <c r="DL474">
        <v>1</v>
      </c>
      <c r="DM474">
        <v>0</v>
      </c>
      <c r="DN474">
        <f t="shared" si="541"/>
        <v>1</v>
      </c>
      <c r="DO474" t="str">
        <f t="shared" si="557"/>
        <v>TimberInput</v>
      </c>
      <c r="DP474">
        <f t="shared" si="558"/>
        <v>0</v>
      </c>
      <c r="DQ474">
        <f t="shared" si="559"/>
        <v>0</v>
      </c>
      <c r="DR474">
        <f t="shared" si="560"/>
        <v>0</v>
      </c>
      <c r="DS474" t="str">
        <f t="shared" si="561"/>
        <v>Timber</v>
      </c>
      <c r="DT474">
        <v>1</v>
      </c>
      <c r="DU474">
        <v>0</v>
      </c>
      <c r="DV474">
        <v>0</v>
      </c>
      <c r="DW474">
        <v>0</v>
      </c>
      <c r="DX474">
        <v>0</v>
      </c>
      <c r="DY474">
        <f t="shared" si="542"/>
        <v>1</v>
      </c>
      <c r="DZ474" s="143" t="str">
        <f t="shared" si="562"/>
        <v>self-calculated DF</v>
      </c>
      <c r="EA474">
        <v>0</v>
      </c>
      <c r="EB474">
        <v>0</v>
      </c>
      <c r="EC474">
        <v>1</v>
      </c>
      <c r="ED474">
        <v>0</v>
      </c>
      <c r="EE474">
        <v>1</v>
      </c>
      <c r="EF474">
        <v>1</v>
      </c>
      <c r="EG474">
        <v>1</v>
      </c>
      <c r="EH474">
        <v>1</v>
      </c>
      <c r="EI474">
        <v>0</v>
      </c>
      <c r="EJ474">
        <v>0</v>
      </c>
      <c r="EK474">
        <v>0</v>
      </c>
      <c r="EL474">
        <v>0</v>
      </c>
      <c r="EM474">
        <v>0</v>
      </c>
      <c r="EN474" s="2">
        <v>0</v>
      </c>
      <c r="EP474" t="str">
        <f t="shared" si="563"/>
        <v/>
      </c>
      <c r="EQ474" t="str">
        <f t="shared" si="564"/>
        <v/>
      </c>
      <c r="ER474" s="2" t="str">
        <f t="shared" si="565"/>
        <v/>
      </c>
      <c r="ES474" t="str">
        <f t="shared" si="566"/>
        <v/>
      </c>
      <c r="ET474" t="str">
        <f t="shared" si="567"/>
        <v/>
      </c>
      <c r="EU474" t="str">
        <f t="shared" si="568"/>
        <v/>
      </c>
      <c r="EW474" t="s">
        <v>4000</v>
      </c>
      <c r="EY474" t="b">
        <f>IF(ISNUMBER(BW474),IF(ABS(BW474-[1]QC_indicators!$B$2)&gt;3*[1]QC_indicators!$C$2,"C ratio",IF(ISNUMBER(CA474),IF(ABS(CA474-[1]QC_indicators!$B$1)&gt;3*[1]QC_indicators!$C$1,"DF","no"))),IF(ISNUMBER(CA474),IF(ABS(CA474-[1]QC_indicators!$B$1)&gt;3*[1]QC_indicators!$C$1,"DF","no")))</f>
        <v>0</v>
      </c>
      <c r="EZ474" s="149" t="s">
        <v>4004</v>
      </c>
      <c r="FA474" t="str">
        <f t="shared" si="569"/>
        <v/>
      </c>
    </row>
    <row r="475" spans="1:157" ht="15" hidden="1" customHeight="1">
      <c r="A475" s="1" t="s">
        <v>3988</v>
      </c>
      <c r="B475" t="s">
        <v>3989</v>
      </c>
      <c r="C475" t="s">
        <v>3990</v>
      </c>
      <c r="D475" t="s">
        <v>3991</v>
      </c>
      <c r="E475" t="s">
        <v>3992</v>
      </c>
      <c r="F475" t="s">
        <v>3993</v>
      </c>
      <c r="G475" t="s">
        <v>3994</v>
      </c>
      <c r="H475" t="s">
        <v>254</v>
      </c>
      <c r="I475">
        <v>2011</v>
      </c>
      <c r="J475">
        <v>7</v>
      </c>
      <c r="K475" t="s">
        <v>3995</v>
      </c>
      <c r="M475" t="str">
        <f t="shared" si="535"/>
        <v>Weight_2011</v>
      </c>
      <c r="N475" s="297" t="s">
        <v>4058</v>
      </c>
      <c r="O475" s="145" t="s">
        <v>1029</v>
      </c>
      <c r="Q475" s="297" t="s">
        <v>256</v>
      </c>
      <c r="R475" s="298"/>
      <c r="S475" s="1" t="s">
        <v>3996</v>
      </c>
      <c r="T475" t="s">
        <v>3997</v>
      </c>
      <c r="U475" t="s">
        <v>3998</v>
      </c>
      <c r="X475">
        <v>0</v>
      </c>
      <c r="Y475">
        <v>0</v>
      </c>
      <c r="Z475">
        <v>0</v>
      </c>
      <c r="AA475">
        <v>0</v>
      </c>
      <c r="AB475">
        <v>0</v>
      </c>
      <c r="AC475">
        <v>0</v>
      </c>
      <c r="AD475">
        <v>0</v>
      </c>
      <c r="AE475">
        <v>0</v>
      </c>
      <c r="AF475">
        <v>0</v>
      </c>
      <c r="AG475">
        <v>0</v>
      </c>
      <c r="AH475">
        <v>0</v>
      </c>
      <c r="AI475">
        <v>0</v>
      </c>
      <c r="AJ475">
        <v>0</v>
      </c>
      <c r="AK475">
        <v>0</v>
      </c>
      <c r="AL475">
        <v>1</v>
      </c>
      <c r="AM475">
        <v>0</v>
      </c>
      <c r="AN475">
        <v>0</v>
      </c>
      <c r="AO475">
        <v>0</v>
      </c>
      <c r="AP475">
        <v>0</v>
      </c>
      <c r="AQ475">
        <v>0</v>
      </c>
      <c r="AR475">
        <v>0</v>
      </c>
      <c r="AS475">
        <v>0</v>
      </c>
      <c r="AT475">
        <v>0</v>
      </c>
      <c r="AU475">
        <v>0</v>
      </c>
      <c r="AV475">
        <v>0</v>
      </c>
      <c r="AW475">
        <v>0</v>
      </c>
      <c r="AX475">
        <v>0</v>
      </c>
      <c r="AY475">
        <v>0</v>
      </c>
      <c r="AZ475" s="141">
        <f t="shared" si="543"/>
        <v>1</v>
      </c>
      <c r="BA475" s="141">
        <f t="shared" si="544"/>
        <v>1</v>
      </c>
      <c r="BB475">
        <f t="shared" si="545"/>
        <v>0</v>
      </c>
      <c r="BC475">
        <f t="shared" si="546"/>
        <v>0</v>
      </c>
      <c r="BD475">
        <f t="shared" si="547"/>
        <v>1</v>
      </c>
      <c r="BE475">
        <f t="shared" si="548"/>
        <v>0</v>
      </c>
      <c r="BF475">
        <f t="shared" si="549"/>
        <v>0</v>
      </c>
      <c r="BG475" t="str" cm="1">
        <f t="array" ref="BG475">IF(BA475=1,INDEX($X$7:$AN$7,MATCH(TRUE,INDEX($X475:$AY475&lt;&gt;0,),0)),IF(BA475=0,INDEX($AO$7:$AY$7,MATCH(1,$AO475:$AY475,0)),IF(BH475="Multiple strategies","mixed drivers",IF(BH475="Supply chain","multiple supply","multiple silviculture"))))</f>
        <v>efficiency improvement</v>
      </c>
      <c r="BH475" s="2" t="str" cm="1">
        <f t="array" ref="BH475">IF(COUNTIF(BB475:BD475,"&lt;&gt;0")=1,INDEX($X$4:$AY$4,MATCH(TRUE,INDEX($X475:$AY475&lt;&gt;0,),0)),IF(COUNTIF(BB475:BD475,"&lt;&gt;0")=0,INDEX($AO$4:$AY$4,MATCH(1,$AO475:$AY475,0)),"Multiple strategies"))</f>
        <v>Technology</v>
      </c>
      <c r="BO475" s="143"/>
      <c r="BP475" s="143">
        <f t="shared" si="537"/>
        <v>0</v>
      </c>
      <c r="BQ475">
        <f t="shared" si="538"/>
        <v>0</v>
      </c>
      <c r="BR475" t="s">
        <v>232</v>
      </c>
      <c r="BT475" t="s">
        <v>3999</v>
      </c>
      <c r="BU475">
        <v>-195</v>
      </c>
      <c r="BV475">
        <v>-314</v>
      </c>
      <c r="BW475" s="144">
        <f t="shared" si="570"/>
        <v>1.6102564102564103</v>
      </c>
      <c r="BX475" s="144">
        <f t="shared" si="573"/>
        <v>-119</v>
      </c>
      <c r="BY475" s="144"/>
      <c r="BZ475">
        <f t="shared" si="539"/>
        <v>-0.11899999999999999</v>
      </c>
      <c r="CA475" t="str">
        <f t="shared" si="550"/>
        <v/>
      </c>
      <c r="CB475">
        <v>0</v>
      </c>
      <c r="CC475">
        <v>0</v>
      </c>
      <c r="CD475">
        <v>0</v>
      </c>
      <c r="CE475">
        <v>0</v>
      </c>
      <c r="CF475">
        <v>0</v>
      </c>
      <c r="CG475">
        <v>0</v>
      </c>
      <c r="CH475">
        <v>0</v>
      </c>
      <c r="CI475">
        <v>0</v>
      </c>
      <c r="CJ475">
        <v>0</v>
      </c>
      <c r="CK475">
        <v>0</v>
      </c>
      <c r="CL475">
        <v>0</v>
      </c>
      <c r="CM475">
        <v>0</v>
      </c>
      <c r="CN475">
        <v>0</v>
      </c>
      <c r="CO475">
        <v>0</v>
      </c>
      <c r="CP475" t="str">
        <f t="shared" si="571"/>
        <v>refOK</v>
      </c>
      <c r="CQ475"/>
      <c r="CR475"/>
      <c r="CS475"/>
      <c r="CT475">
        <f t="shared" si="551"/>
        <v>0</v>
      </c>
      <c r="CU475">
        <f t="shared" si="533"/>
        <v>-195</v>
      </c>
      <c r="CV475">
        <f t="shared" si="534"/>
        <v>-314</v>
      </c>
      <c r="CW475">
        <f t="shared" si="552"/>
        <v>-0.11899999999999999</v>
      </c>
      <c r="CX475" t="str">
        <f t="shared" si="536"/>
        <v/>
      </c>
      <c r="CY475" t="str">
        <f t="shared" si="536"/>
        <v/>
      </c>
      <c r="CZ475" t="str">
        <f t="shared" si="553"/>
        <v/>
      </c>
      <c r="DA475" s="2">
        <f t="shared" si="554"/>
        <v>-0.61025641025641031</v>
      </c>
      <c r="DB475" s="1" t="s">
        <v>263</v>
      </c>
      <c r="DC475" s="297" t="str">
        <f t="shared" si="555"/>
        <v>loc</v>
      </c>
      <c r="DD475" s="296" t="s">
        <v>3098</v>
      </c>
      <c r="DG475">
        <f t="shared" si="572"/>
        <v>0</v>
      </c>
      <c r="DH475" t="str">
        <f t="shared" si="556"/>
        <v>0</v>
      </c>
      <c r="DI475">
        <v>0</v>
      </c>
      <c r="DJ475">
        <v>0</v>
      </c>
      <c r="DK475">
        <v>0</v>
      </c>
      <c r="DL475">
        <v>1</v>
      </c>
      <c r="DM475">
        <v>0</v>
      </c>
      <c r="DN475">
        <f t="shared" si="541"/>
        <v>1</v>
      </c>
      <c r="DO475" t="str">
        <f t="shared" si="557"/>
        <v>TimberInput</v>
      </c>
      <c r="DP475">
        <f t="shared" si="558"/>
        <v>0</v>
      </c>
      <c r="DQ475">
        <f t="shared" si="559"/>
        <v>0</v>
      </c>
      <c r="DR475">
        <f t="shared" si="560"/>
        <v>0</v>
      </c>
      <c r="DS475" t="str">
        <f t="shared" si="561"/>
        <v>Timber</v>
      </c>
      <c r="DT475">
        <v>1</v>
      </c>
      <c r="DU475">
        <v>0</v>
      </c>
      <c r="DV475">
        <v>0</v>
      </c>
      <c r="DW475">
        <v>0</v>
      </c>
      <c r="DX475">
        <v>0</v>
      </c>
      <c r="DY475">
        <f t="shared" si="542"/>
        <v>1</v>
      </c>
      <c r="DZ475" s="143" t="str">
        <f t="shared" si="562"/>
        <v>self-calculated DF</v>
      </c>
      <c r="EA475">
        <v>0</v>
      </c>
      <c r="EB475">
        <v>0</v>
      </c>
      <c r="EC475">
        <v>0</v>
      </c>
      <c r="ED475">
        <v>0</v>
      </c>
      <c r="EE475">
        <v>1</v>
      </c>
      <c r="EF475">
        <v>1</v>
      </c>
      <c r="EG475">
        <v>0</v>
      </c>
      <c r="EH475">
        <v>1</v>
      </c>
      <c r="EI475">
        <v>0</v>
      </c>
      <c r="EJ475">
        <v>0</v>
      </c>
      <c r="EK475">
        <v>0</v>
      </c>
      <c r="EL475">
        <v>0</v>
      </c>
      <c r="EM475">
        <v>0</v>
      </c>
      <c r="EN475" s="2">
        <v>0</v>
      </c>
      <c r="EP475" t="str">
        <f t="shared" si="563"/>
        <v/>
      </c>
      <c r="EQ475" t="str">
        <f t="shared" si="564"/>
        <v/>
      </c>
      <c r="ER475" s="2" t="str">
        <f t="shared" si="565"/>
        <v/>
      </c>
      <c r="ES475" t="str">
        <f t="shared" si="566"/>
        <v/>
      </c>
      <c r="ET475" t="str">
        <f t="shared" si="567"/>
        <v/>
      </c>
      <c r="EU475" t="str">
        <f t="shared" si="568"/>
        <v/>
      </c>
      <c r="EW475" t="s">
        <v>4000</v>
      </c>
      <c r="EY475" t="b">
        <f>IF(ISNUMBER(BW475),IF(ABS(BW475-[1]QC_indicators!$B$2)&gt;3*[1]QC_indicators!$C$2,"C ratio",IF(ISNUMBER(CA475),IF(ABS(CA475-[1]QC_indicators!$B$1)&gt;3*[1]QC_indicators!$C$1,"DF","no"))),IF(ISNUMBER(CA475),IF(ABS(CA475-[1]QC_indicators!$B$1)&gt;3*[1]QC_indicators!$C$1,"DF","no")))</f>
        <v>0</v>
      </c>
      <c r="FA475" t="str">
        <f t="shared" si="569"/>
        <v/>
      </c>
    </row>
    <row r="476" spans="1:157" ht="15" hidden="1" customHeight="1">
      <c r="A476" s="1" t="s">
        <v>3988</v>
      </c>
      <c r="B476" t="s">
        <v>3989</v>
      </c>
      <c r="C476" t="s">
        <v>3990</v>
      </c>
      <c r="D476" t="s">
        <v>3991</v>
      </c>
      <c r="E476" t="s">
        <v>3992</v>
      </c>
      <c r="F476" t="s">
        <v>3993</v>
      </c>
      <c r="G476" t="s">
        <v>3994</v>
      </c>
      <c r="H476" t="s">
        <v>254</v>
      </c>
      <c r="I476">
        <v>2011</v>
      </c>
      <c r="J476">
        <v>7</v>
      </c>
      <c r="K476" t="s">
        <v>3995</v>
      </c>
      <c r="M476" t="str">
        <f t="shared" si="535"/>
        <v>Weight_2011</v>
      </c>
      <c r="N476" s="297" t="s">
        <v>4058</v>
      </c>
      <c r="O476" s="145" t="s">
        <v>1029</v>
      </c>
      <c r="Q476" s="297" t="s">
        <v>256</v>
      </c>
      <c r="R476" s="298"/>
      <c r="S476" s="1" t="s">
        <v>3996</v>
      </c>
      <c r="T476" t="s">
        <v>3997</v>
      </c>
      <c r="U476" t="s">
        <v>3998</v>
      </c>
      <c r="X476">
        <v>0</v>
      </c>
      <c r="Y476">
        <v>0</v>
      </c>
      <c r="Z476">
        <v>0</v>
      </c>
      <c r="AA476">
        <v>0</v>
      </c>
      <c r="AB476">
        <v>0</v>
      </c>
      <c r="AC476">
        <v>0</v>
      </c>
      <c r="AD476">
        <v>0</v>
      </c>
      <c r="AE476">
        <v>0</v>
      </c>
      <c r="AF476">
        <v>0</v>
      </c>
      <c r="AG476">
        <v>0</v>
      </c>
      <c r="AH476">
        <v>0</v>
      </c>
      <c r="AI476">
        <v>0</v>
      </c>
      <c r="AJ476">
        <v>0</v>
      </c>
      <c r="AK476">
        <v>0</v>
      </c>
      <c r="AL476">
        <v>1</v>
      </c>
      <c r="AM476">
        <v>0</v>
      </c>
      <c r="AN476">
        <v>0</v>
      </c>
      <c r="AO476">
        <v>0</v>
      </c>
      <c r="AP476">
        <v>0</v>
      </c>
      <c r="AQ476">
        <v>0</v>
      </c>
      <c r="AR476">
        <v>0</v>
      </c>
      <c r="AS476">
        <v>0</v>
      </c>
      <c r="AT476">
        <v>0</v>
      </c>
      <c r="AU476">
        <v>0</v>
      </c>
      <c r="AV476">
        <v>0</v>
      </c>
      <c r="AW476">
        <v>0</v>
      </c>
      <c r="AX476">
        <v>0</v>
      </c>
      <c r="AY476">
        <v>0</v>
      </c>
      <c r="AZ476" s="141">
        <f t="shared" si="543"/>
        <v>1</v>
      </c>
      <c r="BA476" s="141">
        <f t="shared" si="544"/>
        <v>1</v>
      </c>
      <c r="BB476">
        <f t="shared" si="545"/>
        <v>0</v>
      </c>
      <c r="BC476">
        <f t="shared" si="546"/>
        <v>0</v>
      </c>
      <c r="BD476">
        <f t="shared" si="547"/>
        <v>1</v>
      </c>
      <c r="BE476">
        <f t="shared" si="548"/>
        <v>0</v>
      </c>
      <c r="BF476">
        <f t="shared" si="549"/>
        <v>0</v>
      </c>
      <c r="BG476" t="str" cm="1">
        <f t="array" ref="BG476">IF(BA476=1,INDEX($X$7:$AN$7,MATCH(TRUE,INDEX($X476:$AY476&lt;&gt;0,),0)),IF(BA476=0,INDEX($AO$7:$AY$7,MATCH(1,$AO476:$AY476,0)),IF(BH476="Multiple strategies","mixed drivers",IF(BH476="Supply chain","multiple supply","multiple silviculture"))))</f>
        <v>efficiency improvement</v>
      </c>
      <c r="BH476" s="2" t="str" cm="1">
        <f t="array" ref="BH476">IF(COUNTIF(BB476:BD476,"&lt;&gt;0")=1,INDEX($X$4:$AY$4,MATCH(TRUE,INDEX($X476:$AY476&lt;&gt;0,),0)),IF(COUNTIF(BB476:BD476,"&lt;&gt;0")=0,INDEX($AO$4:$AY$4,MATCH(1,$AO476:$AY476,0)),"Multiple strategies"))</f>
        <v>Technology</v>
      </c>
      <c r="BO476" s="143"/>
      <c r="BP476" s="143">
        <f t="shared" si="537"/>
        <v>0</v>
      </c>
      <c r="BQ476">
        <f t="shared" si="538"/>
        <v>0</v>
      </c>
      <c r="BR476" t="s">
        <v>232</v>
      </c>
      <c r="BT476" t="s">
        <v>3999</v>
      </c>
      <c r="BU476">
        <v>-505</v>
      </c>
      <c r="BV476">
        <v>-624</v>
      </c>
      <c r="BW476" s="144">
        <f t="shared" si="570"/>
        <v>1.2356435643564356</v>
      </c>
      <c r="BX476" s="144">
        <f t="shared" si="573"/>
        <v>-119</v>
      </c>
      <c r="BY476" s="144"/>
      <c r="BZ476">
        <f t="shared" si="539"/>
        <v>-0.11899999999999999</v>
      </c>
      <c r="CA476" t="str">
        <f t="shared" si="550"/>
        <v/>
      </c>
      <c r="CB476">
        <v>0</v>
      </c>
      <c r="CC476">
        <v>0</v>
      </c>
      <c r="CD476">
        <v>0</v>
      </c>
      <c r="CE476">
        <v>0</v>
      </c>
      <c r="CF476">
        <v>0</v>
      </c>
      <c r="CG476">
        <v>0</v>
      </c>
      <c r="CH476">
        <v>0</v>
      </c>
      <c r="CI476">
        <v>0</v>
      </c>
      <c r="CJ476">
        <v>0</v>
      </c>
      <c r="CK476">
        <v>0</v>
      </c>
      <c r="CL476">
        <v>0</v>
      </c>
      <c r="CM476">
        <v>0</v>
      </c>
      <c r="CN476">
        <v>0</v>
      </c>
      <c r="CO476">
        <v>0</v>
      </c>
      <c r="CP476" t="str">
        <f t="shared" si="571"/>
        <v>refOK</v>
      </c>
      <c r="CQ476"/>
      <c r="CR476"/>
      <c r="CS476"/>
      <c r="CT476">
        <f t="shared" si="551"/>
        <v>0</v>
      </c>
      <c r="CU476">
        <f t="shared" si="533"/>
        <v>-505</v>
      </c>
      <c r="CV476">
        <f t="shared" si="534"/>
        <v>-624</v>
      </c>
      <c r="CW476">
        <f t="shared" si="552"/>
        <v>-0.11899999999999999</v>
      </c>
      <c r="CX476" t="str">
        <f t="shared" si="536"/>
        <v/>
      </c>
      <c r="CY476" t="str">
        <f t="shared" si="536"/>
        <v/>
      </c>
      <c r="CZ476" t="str">
        <f t="shared" si="553"/>
        <v/>
      </c>
      <c r="DA476" s="2">
        <f t="shared" si="554"/>
        <v>-0.23564356435643563</v>
      </c>
      <c r="DB476" s="1" t="s">
        <v>263</v>
      </c>
      <c r="DC476" s="297" t="str">
        <f t="shared" si="555"/>
        <v>loc</v>
      </c>
      <c r="DD476" s="296" t="s">
        <v>3098</v>
      </c>
      <c r="DG476">
        <f t="shared" si="572"/>
        <v>0</v>
      </c>
      <c r="DH476" t="str">
        <f t="shared" si="556"/>
        <v>0</v>
      </c>
      <c r="DI476">
        <v>0</v>
      </c>
      <c r="DJ476">
        <v>0</v>
      </c>
      <c r="DK476">
        <v>0</v>
      </c>
      <c r="DL476">
        <v>1</v>
      </c>
      <c r="DM476">
        <v>0</v>
      </c>
      <c r="DN476">
        <f t="shared" si="541"/>
        <v>1</v>
      </c>
      <c r="DO476" t="str">
        <f t="shared" si="557"/>
        <v>TimberInput</v>
      </c>
      <c r="DP476">
        <f t="shared" si="558"/>
        <v>0</v>
      </c>
      <c r="DQ476">
        <f t="shared" si="559"/>
        <v>0</v>
      </c>
      <c r="DR476">
        <f t="shared" si="560"/>
        <v>0</v>
      </c>
      <c r="DS476" t="str">
        <f t="shared" si="561"/>
        <v>Timber</v>
      </c>
      <c r="DT476">
        <v>1</v>
      </c>
      <c r="DU476">
        <v>0</v>
      </c>
      <c r="DV476">
        <v>0</v>
      </c>
      <c r="DW476">
        <v>0</v>
      </c>
      <c r="DX476">
        <v>0</v>
      </c>
      <c r="DY476">
        <f t="shared" si="542"/>
        <v>1</v>
      </c>
      <c r="DZ476" s="143" t="str">
        <f t="shared" si="562"/>
        <v>self-calculated DF</v>
      </c>
      <c r="EA476">
        <v>0</v>
      </c>
      <c r="EB476">
        <v>0</v>
      </c>
      <c r="EC476">
        <v>0</v>
      </c>
      <c r="ED476">
        <v>0</v>
      </c>
      <c r="EE476">
        <v>1</v>
      </c>
      <c r="EF476">
        <v>1</v>
      </c>
      <c r="EG476">
        <v>0</v>
      </c>
      <c r="EH476">
        <v>1</v>
      </c>
      <c r="EI476">
        <v>0</v>
      </c>
      <c r="EJ476">
        <v>0</v>
      </c>
      <c r="EK476">
        <v>0</v>
      </c>
      <c r="EL476">
        <v>0</v>
      </c>
      <c r="EM476">
        <v>0</v>
      </c>
      <c r="EN476" s="2">
        <v>0</v>
      </c>
      <c r="EP476" t="str">
        <f t="shared" si="563"/>
        <v/>
      </c>
      <c r="EQ476" t="str">
        <f t="shared" si="564"/>
        <v/>
      </c>
      <c r="ER476" s="2" t="str">
        <f t="shared" si="565"/>
        <v/>
      </c>
      <c r="ES476" t="str">
        <f t="shared" si="566"/>
        <v/>
      </c>
      <c r="ET476" t="str">
        <f t="shared" si="567"/>
        <v/>
      </c>
      <c r="EU476" t="str">
        <f t="shared" si="568"/>
        <v/>
      </c>
      <c r="EW476" t="s">
        <v>4000</v>
      </c>
      <c r="EY476" t="b">
        <f>IF(ISNUMBER(BW476),IF(ABS(BW476-[1]QC_indicators!$B$2)&gt;3*[1]QC_indicators!$C$2,"C ratio",IF(ISNUMBER(CA476),IF(ABS(CA476-[1]QC_indicators!$B$1)&gt;3*[1]QC_indicators!$C$1,"DF","no"))),IF(ISNUMBER(CA476),IF(ABS(CA476-[1]QC_indicators!$B$1)&gt;3*[1]QC_indicators!$C$1,"DF","no")))</f>
        <v>0</v>
      </c>
      <c r="FA476" t="str">
        <f t="shared" si="569"/>
        <v/>
      </c>
    </row>
    <row r="477" spans="1:157" ht="15" hidden="1" customHeight="1">
      <c r="A477" s="1" t="s">
        <v>3988</v>
      </c>
      <c r="B477" t="s">
        <v>3989</v>
      </c>
      <c r="C477" t="s">
        <v>3990</v>
      </c>
      <c r="D477" t="s">
        <v>3991</v>
      </c>
      <c r="E477" t="s">
        <v>3992</v>
      </c>
      <c r="F477" t="s">
        <v>3993</v>
      </c>
      <c r="G477" t="s">
        <v>3994</v>
      </c>
      <c r="H477" t="s">
        <v>254</v>
      </c>
      <c r="I477">
        <v>2011</v>
      </c>
      <c r="J477">
        <v>7</v>
      </c>
      <c r="K477" t="s">
        <v>3995</v>
      </c>
      <c r="M477" t="str">
        <f t="shared" si="535"/>
        <v>Weight_2011</v>
      </c>
      <c r="N477" s="297" t="s">
        <v>4058</v>
      </c>
      <c r="O477" s="145" t="s">
        <v>1029</v>
      </c>
      <c r="Q477" s="297" t="s">
        <v>256</v>
      </c>
      <c r="R477" s="298"/>
      <c r="S477" s="1" t="s">
        <v>3996</v>
      </c>
      <c r="T477" t="s">
        <v>3997</v>
      </c>
      <c r="U477" t="s">
        <v>3998</v>
      </c>
      <c r="X477">
        <v>0</v>
      </c>
      <c r="Y477">
        <v>0</v>
      </c>
      <c r="Z477">
        <v>0</v>
      </c>
      <c r="AA477">
        <v>0</v>
      </c>
      <c r="AB477">
        <v>0</v>
      </c>
      <c r="AC477">
        <v>0</v>
      </c>
      <c r="AD477">
        <v>0</v>
      </c>
      <c r="AE477">
        <v>0</v>
      </c>
      <c r="AF477">
        <v>0</v>
      </c>
      <c r="AG477">
        <v>0</v>
      </c>
      <c r="AH477">
        <v>0</v>
      </c>
      <c r="AI477">
        <v>0</v>
      </c>
      <c r="AJ477">
        <v>0</v>
      </c>
      <c r="AK477">
        <v>0</v>
      </c>
      <c r="AL477">
        <v>1</v>
      </c>
      <c r="AM477">
        <v>0</v>
      </c>
      <c r="AN477">
        <v>0</v>
      </c>
      <c r="AO477">
        <v>0</v>
      </c>
      <c r="AP477">
        <v>0</v>
      </c>
      <c r="AQ477">
        <v>0</v>
      </c>
      <c r="AR477">
        <v>0</v>
      </c>
      <c r="AS477">
        <v>0</v>
      </c>
      <c r="AT477">
        <v>0</v>
      </c>
      <c r="AU477">
        <v>0</v>
      </c>
      <c r="AV477">
        <v>0</v>
      </c>
      <c r="AW477">
        <v>0</v>
      </c>
      <c r="AX477">
        <v>0</v>
      </c>
      <c r="AY477">
        <v>0</v>
      </c>
      <c r="AZ477" s="141">
        <f t="shared" si="543"/>
        <v>1</v>
      </c>
      <c r="BA477" s="141">
        <f t="shared" si="544"/>
        <v>1</v>
      </c>
      <c r="BB477">
        <f t="shared" si="545"/>
        <v>0</v>
      </c>
      <c r="BC477">
        <f t="shared" si="546"/>
        <v>0</v>
      </c>
      <c r="BD477">
        <f t="shared" si="547"/>
        <v>1</v>
      </c>
      <c r="BE477">
        <f t="shared" si="548"/>
        <v>0</v>
      </c>
      <c r="BF477">
        <f t="shared" si="549"/>
        <v>0</v>
      </c>
      <c r="BG477" t="str" cm="1">
        <f t="array" ref="BG477">IF(BA477=1,INDEX($X$7:$AN$7,MATCH(TRUE,INDEX($X477:$AY477&lt;&gt;0,),0)),IF(BA477=0,INDEX($AO$7:$AY$7,MATCH(1,$AO477:$AY477,0)),IF(BH477="Multiple strategies","mixed drivers",IF(BH477="Supply chain","multiple supply","multiple silviculture"))))</f>
        <v>efficiency improvement</v>
      </c>
      <c r="BH477" s="2" t="str" cm="1">
        <f t="array" ref="BH477">IF(COUNTIF(BB477:BD477,"&lt;&gt;0")=1,INDEX($X$4:$AY$4,MATCH(TRUE,INDEX($X477:$AY477&lt;&gt;0,),0)),IF(COUNTIF(BB477:BD477,"&lt;&gt;0")=0,INDEX($AO$4:$AY$4,MATCH(1,$AO477:$AY477,0)),"Multiple strategies"))</f>
        <v>Technology</v>
      </c>
      <c r="BO477" s="143"/>
      <c r="BP477" s="143">
        <f t="shared" si="537"/>
        <v>0</v>
      </c>
      <c r="BQ477">
        <f t="shared" si="538"/>
        <v>0</v>
      </c>
      <c r="BR477" t="s">
        <v>232</v>
      </c>
      <c r="BT477" t="s">
        <v>3999</v>
      </c>
      <c r="BU477">
        <v>-738</v>
      </c>
      <c r="BV477">
        <v>-620</v>
      </c>
      <c r="BW477" s="144">
        <f t="shared" si="570"/>
        <v>0.84010840108401086</v>
      </c>
      <c r="BX477" s="144">
        <f t="shared" si="573"/>
        <v>118</v>
      </c>
      <c r="BY477" s="144"/>
      <c r="BZ477">
        <f t="shared" si="539"/>
        <v>0.11799999999999999</v>
      </c>
      <c r="CA477" t="str">
        <f t="shared" si="550"/>
        <v/>
      </c>
      <c r="CB477">
        <v>0</v>
      </c>
      <c r="CC477">
        <v>0</v>
      </c>
      <c r="CD477">
        <v>0</v>
      </c>
      <c r="CE477">
        <v>0</v>
      </c>
      <c r="CF477">
        <v>0</v>
      </c>
      <c r="CG477">
        <v>0</v>
      </c>
      <c r="CH477">
        <v>0</v>
      </c>
      <c r="CI477">
        <v>0</v>
      </c>
      <c r="CJ477">
        <v>0</v>
      </c>
      <c r="CK477">
        <v>0</v>
      </c>
      <c r="CL477">
        <v>0</v>
      </c>
      <c r="CM477">
        <v>0</v>
      </c>
      <c r="CN477">
        <v>0</v>
      </c>
      <c r="CO477">
        <v>0</v>
      </c>
      <c r="CP477" t="str">
        <f t="shared" si="571"/>
        <v>refOK</v>
      </c>
      <c r="CQ477"/>
      <c r="CR477"/>
      <c r="CS477"/>
      <c r="CT477">
        <f t="shared" si="551"/>
        <v>0</v>
      </c>
      <c r="CU477">
        <f t="shared" si="533"/>
        <v>-738</v>
      </c>
      <c r="CV477">
        <f t="shared" si="534"/>
        <v>-620</v>
      </c>
      <c r="CW477">
        <f t="shared" si="552"/>
        <v>0.11799999999999999</v>
      </c>
      <c r="CX477" t="str">
        <f t="shared" ref="CX477:CY492" si="574">IFERROR($CW477/$CS477,"")</f>
        <v/>
      </c>
      <c r="CY477" t="str">
        <f t="shared" si="574"/>
        <v/>
      </c>
      <c r="CZ477" t="str">
        <f t="shared" si="553"/>
        <v/>
      </c>
      <c r="DA477" s="2">
        <f t="shared" si="554"/>
        <v>0.15989159891598917</v>
      </c>
      <c r="DB477" s="1" t="s">
        <v>263</v>
      </c>
      <c r="DC477" s="297" t="str">
        <f t="shared" si="555"/>
        <v>loc</v>
      </c>
      <c r="DD477" s="296" t="s">
        <v>3098</v>
      </c>
      <c r="DG477">
        <f t="shared" si="572"/>
        <v>0</v>
      </c>
      <c r="DH477" t="str">
        <f t="shared" si="556"/>
        <v>0</v>
      </c>
      <c r="DI477">
        <v>0</v>
      </c>
      <c r="DJ477">
        <v>0</v>
      </c>
      <c r="DK477">
        <v>0</v>
      </c>
      <c r="DL477">
        <v>1</v>
      </c>
      <c r="DM477">
        <v>0</v>
      </c>
      <c r="DN477">
        <f t="shared" si="541"/>
        <v>1</v>
      </c>
      <c r="DO477" t="str">
        <f t="shared" si="557"/>
        <v>TimberInput</v>
      </c>
      <c r="DP477">
        <f t="shared" si="558"/>
        <v>0</v>
      </c>
      <c r="DQ477">
        <f t="shared" si="559"/>
        <v>0</v>
      </c>
      <c r="DR477">
        <f t="shared" si="560"/>
        <v>0</v>
      </c>
      <c r="DS477" t="str">
        <f t="shared" si="561"/>
        <v>Timber</v>
      </c>
      <c r="DT477">
        <v>1</v>
      </c>
      <c r="DU477">
        <v>0</v>
      </c>
      <c r="DV477">
        <v>0</v>
      </c>
      <c r="DW477">
        <v>0</v>
      </c>
      <c r="DX477">
        <v>0</v>
      </c>
      <c r="DY477">
        <f t="shared" si="542"/>
        <v>1</v>
      </c>
      <c r="DZ477" s="143" t="str">
        <f t="shared" si="562"/>
        <v>self-calculated DF</v>
      </c>
      <c r="EA477">
        <v>0</v>
      </c>
      <c r="EB477">
        <v>0</v>
      </c>
      <c r="EC477">
        <v>1</v>
      </c>
      <c r="ED477">
        <v>0</v>
      </c>
      <c r="EE477">
        <v>1</v>
      </c>
      <c r="EF477">
        <v>1</v>
      </c>
      <c r="EG477">
        <v>1</v>
      </c>
      <c r="EH477">
        <v>1</v>
      </c>
      <c r="EI477">
        <v>0</v>
      </c>
      <c r="EJ477">
        <v>0</v>
      </c>
      <c r="EK477">
        <v>0</v>
      </c>
      <c r="EL477">
        <v>0</v>
      </c>
      <c r="EM477">
        <v>0</v>
      </c>
      <c r="EN477" s="2">
        <v>0</v>
      </c>
      <c r="EP477" t="str">
        <f t="shared" si="563"/>
        <v/>
      </c>
      <c r="EQ477" t="str">
        <f t="shared" si="564"/>
        <v/>
      </c>
      <c r="ER477" s="2" t="str">
        <f t="shared" si="565"/>
        <v/>
      </c>
      <c r="ES477" t="str">
        <f t="shared" si="566"/>
        <v/>
      </c>
      <c r="ET477" t="str">
        <f t="shared" si="567"/>
        <v/>
      </c>
      <c r="EU477" t="str">
        <f t="shared" si="568"/>
        <v/>
      </c>
      <c r="EW477" t="s">
        <v>4000</v>
      </c>
      <c r="EY477" t="b">
        <f>IF(ISNUMBER(BW477),IF(ABS(BW477-[1]QC_indicators!$B$2)&gt;3*[1]QC_indicators!$C$2,"C ratio",IF(ISNUMBER(CA477),IF(ABS(CA477-[1]QC_indicators!$B$1)&gt;3*[1]QC_indicators!$C$1,"DF","no"))),IF(ISNUMBER(CA477),IF(ABS(CA477-[1]QC_indicators!$B$1)&gt;3*[1]QC_indicators!$C$1,"DF","no")))</f>
        <v>0</v>
      </c>
      <c r="FA477" t="str">
        <f t="shared" si="569"/>
        <v/>
      </c>
    </row>
    <row r="478" spans="1:157" ht="15" hidden="1" customHeight="1">
      <c r="A478" s="1" t="s">
        <v>849</v>
      </c>
      <c r="B478" t="s">
        <v>4009</v>
      </c>
      <c r="C478" t="s">
        <v>4010</v>
      </c>
      <c r="D478" t="s">
        <v>4011</v>
      </c>
      <c r="E478" t="s">
        <v>4012</v>
      </c>
      <c r="F478" t="s">
        <v>4013</v>
      </c>
      <c r="G478" t="s">
        <v>1059</v>
      </c>
      <c r="H478" t="s">
        <v>254</v>
      </c>
      <c r="I478">
        <v>2012</v>
      </c>
      <c r="J478">
        <v>14</v>
      </c>
      <c r="K478" t="s">
        <v>4014</v>
      </c>
      <c r="M478" t="str">
        <f t="shared" si="535"/>
        <v>Wells_2012</v>
      </c>
      <c r="N478" s="297" t="s">
        <v>4058</v>
      </c>
      <c r="O478" s="145" t="s">
        <v>1029</v>
      </c>
      <c r="Q478" s="297" t="s">
        <v>256</v>
      </c>
      <c r="R478" s="298"/>
      <c r="S478" s="1" t="s">
        <v>4015</v>
      </c>
      <c r="T478" t="s">
        <v>4016</v>
      </c>
      <c r="U478" t="s">
        <v>4020</v>
      </c>
      <c r="X478">
        <v>0</v>
      </c>
      <c r="Y478">
        <v>0</v>
      </c>
      <c r="Z478">
        <v>0</v>
      </c>
      <c r="AA478">
        <v>0</v>
      </c>
      <c r="AB478">
        <v>0</v>
      </c>
      <c r="AC478">
        <v>0</v>
      </c>
      <c r="AD478">
        <v>0</v>
      </c>
      <c r="AE478">
        <v>0</v>
      </c>
      <c r="AF478">
        <v>0</v>
      </c>
      <c r="AG478">
        <v>0</v>
      </c>
      <c r="AH478">
        <v>0</v>
      </c>
      <c r="AI478">
        <v>1</v>
      </c>
      <c r="AJ478">
        <v>0</v>
      </c>
      <c r="AK478">
        <v>0</v>
      </c>
      <c r="AL478">
        <v>0</v>
      </c>
      <c r="AM478">
        <v>0</v>
      </c>
      <c r="AN478">
        <v>0</v>
      </c>
      <c r="AO478">
        <v>0</v>
      </c>
      <c r="AP478">
        <v>0</v>
      </c>
      <c r="AQ478">
        <v>0</v>
      </c>
      <c r="AR478">
        <v>0</v>
      </c>
      <c r="AS478">
        <v>0</v>
      </c>
      <c r="AT478">
        <v>0</v>
      </c>
      <c r="AU478">
        <v>0</v>
      </c>
      <c r="AV478">
        <v>0</v>
      </c>
      <c r="AW478">
        <v>0</v>
      </c>
      <c r="AX478">
        <v>0</v>
      </c>
      <c r="AY478">
        <v>0</v>
      </c>
      <c r="AZ478" s="141">
        <f t="shared" si="543"/>
        <v>1</v>
      </c>
      <c r="BA478" s="141">
        <f t="shared" si="544"/>
        <v>1</v>
      </c>
      <c r="BB478">
        <f t="shared" si="545"/>
        <v>0</v>
      </c>
      <c r="BC478">
        <f t="shared" si="546"/>
        <v>1</v>
      </c>
      <c r="BD478">
        <f t="shared" si="547"/>
        <v>0</v>
      </c>
      <c r="BE478">
        <f t="shared" si="548"/>
        <v>0</v>
      </c>
      <c r="BF478">
        <f t="shared" si="549"/>
        <v>0</v>
      </c>
      <c r="BG478" t="str" cm="1">
        <f t="array" ref="BG478">IF(BA478=1,INDEX($X$7:$AN$7,MATCH(TRUE,INDEX($X478:$AY478&lt;&gt;0,),0)),IF(BA478=0,INDEX($AO$7:$AY$7,MATCH(1,$AO478:$AY478,0)),IF(BH478="Multiple strategies","mixed drivers",IF(BH478="Supply chain","multiple supply","multiple silviculture"))))</f>
        <v>recycling</v>
      </c>
      <c r="BH478" s="2" t="str" cm="1">
        <f t="array" ref="BH478">IF(COUNTIF(BB478:BD478,"&lt;&gt;0")=1,INDEX($X$4:$AY$4,MATCH(TRUE,INDEX($X478:$AY478&lt;&gt;0,),0)),IF(COUNTIF(BB478:BD478,"&lt;&gt;0")=0,INDEX($AO$4:$AY$4,MATCH(1,$AO478:$AY478,0)),"Multiple strategies"))</f>
        <v>Supply chain</v>
      </c>
      <c r="BO478" s="143"/>
      <c r="BP478" s="143"/>
      <c r="BR478" t="s">
        <v>232</v>
      </c>
      <c r="BT478" t="s">
        <v>4018</v>
      </c>
      <c r="BU478">
        <f>-(2.46+0.25+0.89)</f>
        <v>-3.6</v>
      </c>
      <c r="BV478">
        <f>-2.46</f>
        <v>-2.46</v>
      </c>
      <c r="BW478" s="144">
        <f t="shared" si="570"/>
        <v>0.68333333333333335</v>
      </c>
      <c r="BX478" s="144">
        <f t="shared" si="573"/>
        <v>1.1400000000000001</v>
      </c>
      <c r="BY478" s="144"/>
      <c r="BZ478">
        <f t="shared" si="539"/>
        <v>1.1400000000000002E-3</v>
      </c>
      <c r="CA478" t="str">
        <f t="shared" si="550"/>
        <v/>
      </c>
      <c r="CB478">
        <v>0</v>
      </c>
      <c r="CC478">
        <v>0</v>
      </c>
      <c r="CD478">
        <v>0</v>
      </c>
      <c r="CE478">
        <v>0</v>
      </c>
      <c r="CF478">
        <v>0</v>
      </c>
      <c r="CG478">
        <v>0</v>
      </c>
      <c r="CH478">
        <v>0</v>
      </c>
      <c r="CI478">
        <v>0</v>
      </c>
      <c r="CJ478">
        <v>0</v>
      </c>
      <c r="CK478">
        <v>0</v>
      </c>
      <c r="CL478">
        <v>0</v>
      </c>
      <c r="CM478">
        <v>0</v>
      </c>
      <c r="CN478">
        <v>0</v>
      </c>
      <c r="CO478">
        <v>0</v>
      </c>
      <c r="CP478" t="str">
        <f t="shared" si="571"/>
        <v>refOK</v>
      </c>
      <c r="CQ478"/>
      <c r="CR478"/>
      <c r="CS478"/>
      <c r="CT478">
        <f t="shared" si="551"/>
        <v>0</v>
      </c>
      <c r="CU478">
        <f t="shared" si="533"/>
        <v>-3.6</v>
      </c>
      <c r="CV478">
        <f t="shared" si="534"/>
        <v>-2.46</v>
      </c>
      <c r="CW478">
        <f t="shared" si="552"/>
        <v>1.1400000000000002E-3</v>
      </c>
      <c r="CX478" t="str">
        <f t="shared" si="574"/>
        <v/>
      </c>
      <c r="CY478" t="str">
        <f t="shared" si="574"/>
        <v/>
      </c>
      <c r="CZ478" t="str">
        <f t="shared" si="553"/>
        <v/>
      </c>
      <c r="DA478" s="2">
        <f t="shared" si="554"/>
        <v>0.31666666666666671</v>
      </c>
      <c r="DB478" s="1" t="s">
        <v>263</v>
      </c>
      <c r="DC478" s="297" t="str">
        <f t="shared" si="555"/>
        <v>loc</v>
      </c>
      <c r="DD478" t="s">
        <v>428</v>
      </c>
      <c r="DG478">
        <f t="shared" si="572"/>
        <v>0</v>
      </c>
      <c r="DH478" t="str">
        <f t="shared" si="556"/>
        <v>0</v>
      </c>
      <c r="DI478">
        <v>0</v>
      </c>
      <c r="DJ478">
        <v>0</v>
      </c>
      <c r="DK478">
        <v>1</v>
      </c>
      <c r="DL478">
        <v>0</v>
      </c>
      <c r="DM478">
        <v>0</v>
      </c>
      <c r="DN478">
        <f t="shared" si="541"/>
        <v>1</v>
      </c>
      <c r="DO478" t="str">
        <f t="shared" si="557"/>
        <v>PulpPaperInput</v>
      </c>
      <c r="DP478">
        <f t="shared" si="558"/>
        <v>0</v>
      </c>
      <c r="DQ478">
        <f t="shared" si="559"/>
        <v>0</v>
      </c>
      <c r="DR478" t="str">
        <f t="shared" si="560"/>
        <v>Pulp/Paper</v>
      </c>
      <c r="DS478">
        <f t="shared" si="561"/>
        <v>0</v>
      </c>
      <c r="DT478">
        <v>0</v>
      </c>
      <c r="DU478">
        <v>0</v>
      </c>
      <c r="DV478">
        <v>0</v>
      </c>
      <c r="DW478">
        <v>0</v>
      </c>
      <c r="DX478">
        <v>0</v>
      </c>
      <c r="DY478">
        <f t="shared" si="542"/>
        <v>0</v>
      </c>
      <c r="DZ478" s="143" t="str">
        <f t="shared" si="562"/>
        <v>explicit C balance</v>
      </c>
      <c r="EA478">
        <v>0</v>
      </c>
      <c r="EB478">
        <v>0</v>
      </c>
      <c r="EC478">
        <v>0</v>
      </c>
      <c r="ED478">
        <v>0</v>
      </c>
      <c r="EE478">
        <v>1</v>
      </c>
      <c r="EF478">
        <v>1</v>
      </c>
      <c r="EG478">
        <v>0</v>
      </c>
      <c r="EH478">
        <v>1</v>
      </c>
      <c r="EI478">
        <v>0</v>
      </c>
      <c r="EJ478">
        <v>0</v>
      </c>
      <c r="EK478">
        <v>0</v>
      </c>
      <c r="EL478">
        <v>0</v>
      </c>
      <c r="EM478">
        <v>0</v>
      </c>
      <c r="EN478" s="2">
        <v>0</v>
      </c>
      <c r="EP478" t="str">
        <f t="shared" si="563"/>
        <v/>
      </c>
      <c r="EQ478" t="str">
        <f t="shared" si="564"/>
        <v/>
      </c>
      <c r="ER478" s="2" t="str">
        <f t="shared" si="565"/>
        <v/>
      </c>
      <c r="ES478" t="str">
        <f t="shared" si="566"/>
        <v/>
      </c>
      <c r="ET478" t="str">
        <f t="shared" si="567"/>
        <v/>
      </c>
      <c r="EU478" t="str">
        <f t="shared" si="568"/>
        <v/>
      </c>
      <c r="EW478" t="s">
        <v>4019</v>
      </c>
      <c r="EY478" t="b">
        <f>IF(ISNUMBER(BW478),IF(ABS(BW478-[1]QC_indicators!$B$2)&gt;3*[1]QC_indicators!$C$2,"C ratio",IF(ISNUMBER(CA478),IF(ABS(CA478-[1]QC_indicators!$B$1)&gt;3*[1]QC_indicators!$C$1,"DF","no"))),IF(ISNUMBER(CA478),IF(ABS(CA478-[1]QC_indicators!$B$1)&gt;3*[1]QC_indicators!$C$1,"DF","no")))</f>
        <v>0</v>
      </c>
      <c r="FA478" t="str">
        <f t="shared" si="569"/>
        <v/>
      </c>
    </row>
    <row r="479" spans="1:157" ht="15" hidden="1" customHeight="1">
      <c r="A479" s="1" t="s">
        <v>849</v>
      </c>
      <c r="B479" t="s">
        <v>4009</v>
      </c>
      <c r="C479" t="s">
        <v>4010</v>
      </c>
      <c r="D479" t="s">
        <v>4011</v>
      </c>
      <c r="E479" t="s">
        <v>4012</v>
      </c>
      <c r="F479" t="s">
        <v>4013</v>
      </c>
      <c r="G479" t="s">
        <v>1059</v>
      </c>
      <c r="H479" t="s">
        <v>254</v>
      </c>
      <c r="I479">
        <v>2012</v>
      </c>
      <c r="J479">
        <v>14</v>
      </c>
      <c r="K479" t="s">
        <v>4014</v>
      </c>
      <c r="M479" t="str">
        <f t="shared" si="535"/>
        <v>Wells_2012</v>
      </c>
      <c r="N479" s="297" t="s">
        <v>4058</v>
      </c>
      <c r="O479" s="145" t="s">
        <v>1029</v>
      </c>
      <c r="Q479" s="297" t="s">
        <v>256</v>
      </c>
      <c r="R479" s="298"/>
      <c r="S479" s="1" t="s">
        <v>4015</v>
      </c>
      <c r="T479" t="s">
        <v>4016</v>
      </c>
      <c r="U479" t="s">
        <v>4017</v>
      </c>
      <c r="X479">
        <v>0</v>
      </c>
      <c r="Y479">
        <v>0</v>
      </c>
      <c r="Z479">
        <v>0</v>
      </c>
      <c r="AA479">
        <v>0</v>
      </c>
      <c r="AB479">
        <v>0</v>
      </c>
      <c r="AC479">
        <v>0</v>
      </c>
      <c r="AD479">
        <v>0</v>
      </c>
      <c r="AE479">
        <v>0</v>
      </c>
      <c r="AF479">
        <v>0</v>
      </c>
      <c r="AG479">
        <v>0</v>
      </c>
      <c r="AH479">
        <v>0</v>
      </c>
      <c r="AI479">
        <v>1</v>
      </c>
      <c r="AJ479">
        <v>0</v>
      </c>
      <c r="AK479">
        <v>0</v>
      </c>
      <c r="AL479">
        <v>0</v>
      </c>
      <c r="AM479">
        <v>0</v>
      </c>
      <c r="AN479">
        <v>0</v>
      </c>
      <c r="AO479">
        <v>0</v>
      </c>
      <c r="AP479">
        <v>0</v>
      </c>
      <c r="AQ479">
        <v>0</v>
      </c>
      <c r="AR479">
        <v>0</v>
      </c>
      <c r="AS479">
        <v>0</v>
      </c>
      <c r="AT479">
        <v>0</v>
      </c>
      <c r="AU479">
        <v>0</v>
      </c>
      <c r="AV479">
        <v>0</v>
      </c>
      <c r="AW479">
        <v>0</v>
      </c>
      <c r="AX479">
        <v>0</v>
      </c>
      <c r="AY479">
        <v>0</v>
      </c>
      <c r="AZ479" s="141">
        <f t="shared" si="543"/>
        <v>1</v>
      </c>
      <c r="BA479" s="141">
        <f t="shared" si="544"/>
        <v>1</v>
      </c>
      <c r="BB479">
        <f t="shared" si="545"/>
        <v>0</v>
      </c>
      <c r="BC479">
        <f t="shared" si="546"/>
        <v>1</v>
      </c>
      <c r="BD479">
        <f t="shared" si="547"/>
        <v>0</v>
      </c>
      <c r="BE479">
        <f t="shared" si="548"/>
        <v>0</v>
      </c>
      <c r="BF479">
        <f t="shared" si="549"/>
        <v>0</v>
      </c>
      <c r="BG479" t="str" cm="1">
        <f t="array" ref="BG479">IF(BA479=1,INDEX($X$7:$AN$7,MATCH(TRUE,INDEX($X479:$AY479&lt;&gt;0,),0)),IF(BA479=0,INDEX($AO$7:$AY$7,MATCH(1,$AO479:$AY479,0)),IF(BH479="Multiple strategies","mixed drivers",IF(BH479="Supply chain","multiple supply","multiple silviculture"))))</f>
        <v>recycling</v>
      </c>
      <c r="BH479" s="2" t="str" cm="1">
        <f t="array" ref="BH479">IF(COUNTIF(BB479:BD479,"&lt;&gt;0")=1,INDEX($X$4:$AY$4,MATCH(TRUE,INDEX($X479:$AY479&lt;&gt;0,),0)),IF(COUNTIF(BB479:BD479,"&lt;&gt;0")=0,INDEX($AO$4:$AY$4,MATCH(1,$AO479:$AY479,0)),"Multiple strategies"))</f>
        <v>Supply chain</v>
      </c>
      <c r="BO479" s="143"/>
      <c r="BP479" s="143"/>
      <c r="BR479" t="s">
        <v>232</v>
      </c>
      <c r="BT479" t="s">
        <v>4018</v>
      </c>
      <c r="BU479">
        <f>-(2.46+0.25+0.89)</f>
        <v>-3.6</v>
      </c>
      <c r="BV479">
        <f>-(2.46+0.25-0.86)</f>
        <v>-1.85</v>
      </c>
      <c r="BW479" s="144">
        <f t="shared" si="570"/>
        <v>0.51388888888888895</v>
      </c>
      <c r="BX479" s="144">
        <f t="shared" si="573"/>
        <v>1.75</v>
      </c>
      <c r="BY479" s="144"/>
      <c r="BZ479">
        <f t="shared" si="539"/>
        <v>1.75E-3</v>
      </c>
      <c r="CA479" t="str">
        <f t="shared" si="550"/>
        <v/>
      </c>
      <c r="CB479">
        <v>0</v>
      </c>
      <c r="CC479">
        <v>0</v>
      </c>
      <c r="CD479">
        <v>0</v>
      </c>
      <c r="CE479">
        <v>0</v>
      </c>
      <c r="CF479">
        <v>0</v>
      </c>
      <c r="CG479">
        <v>0</v>
      </c>
      <c r="CH479">
        <v>0</v>
      </c>
      <c r="CI479">
        <v>0</v>
      </c>
      <c r="CJ479">
        <v>0</v>
      </c>
      <c r="CK479">
        <v>0</v>
      </c>
      <c r="CL479">
        <v>0</v>
      </c>
      <c r="CM479">
        <v>0</v>
      </c>
      <c r="CN479">
        <v>0</v>
      </c>
      <c r="CO479">
        <v>0</v>
      </c>
      <c r="CP479" t="str">
        <f t="shared" si="571"/>
        <v>refOK</v>
      </c>
      <c r="CQ479"/>
      <c r="CR479"/>
      <c r="CS479"/>
      <c r="CT479">
        <f t="shared" si="551"/>
        <v>0</v>
      </c>
      <c r="CU479">
        <f t="shared" si="533"/>
        <v>-3.6</v>
      </c>
      <c r="CV479">
        <f t="shared" si="534"/>
        <v>-1.85</v>
      </c>
      <c r="CW479">
        <f t="shared" si="552"/>
        <v>1.75E-3</v>
      </c>
      <c r="CX479" t="str">
        <f t="shared" si="574"/>
        <v/>
      </c>
      <c r="CY479" t="str">
        <f t="shared" si="574"/>
        <v/>
      </c>
      <c r="CZ479" t="str">
        <f t="shared" si="553"/>
        <v/>
      </c>
      <c r="DA479" s="2">
        <f t="shared" si="554"/>
        <v>0.4861111111111111</v>
      </c>
      <c r="DB479" s="1" t="s">
        <v>263</v>
      </c>
      <c r="DC479" s="297" t="str">
        <f t="shared" si="555"/>
        <v>loc</v>
      </c>
      <c r="DD479" t="s">
        <v>428</v>
      </c>
      <c r="DG479">
        <f t="shared" si="572"/>
        <v>0</v>
      </c>
      <c r="DH479" t="str">
        <f t="shared" si="556"/>
        <v>0</v>
      </c>
      <c r="DI479">
        <v>0</v>
      </c>
      <c r="DJ479">
        <v>0</v>
      </c>
      <c r="DK479">
        <v>1</v>
      </c>
      <c r="DL479">
        <v>0</v>
      </c>
      <c r="DM479">
        <v>0</v>
      </c>
      <c r="DN479">
        <f t="shared" si="541"/>
        <v>1</v>
      </c>
      <c r="DO479" t="str">
        <f t="shared" si="557"/>
        <v>PulpPaperInput</v>
      </c>
      <c r="DP479">
        <f t="shared" si="558"/>
        <v>0</v>
      </c>
      <c r="DQ479">
        <f t="shared" si="559"/>
        <v>0</v>
      </c>
      <c r="DR479" t="str">
        <f t="shared" si="560"/>
        <v>Pulp/Paper</v>
      </c>
      <c r="DS479">
        <f t="shared" si="561"/>
        <v>0</v>
      </c>
      <c r="DT479">
        <v>0</v>
      </c>
      <c r="DU479">
        <v>0</v>
      </c>
      <c r="DV479">
        <v>0</v>
      </c>
      <c r="DW479">
        <v>0</v>
      </c>
      <c r="DX479">
        <v>0</v>
      </c>
      <c r="DY479">
        <f t="shared" si="542"/>
        <v>0</v>
      </c>
      <c r="DZ479" s="143" t="str">
        <f t="shared" si="562"/>
        <v>explicit C balance</v>
      </c>
      <c r="EA479">
        <v>0</v>
      </c>
      <c r="EB479">
        <v>0</v>
      </c>
      <c r="EC479">
        <v>0</v>
      </c>
      <c r="ED479">
        <v>0</v>
      </c>
      <c r="EE479">
        <v>1</v>
      </c>
      <c r="EF479">
        <v>1</v>
      </c>
      <c r="EG479">
        <v>0</v>
      </c>
      <c r="EH479">
        <v>1</v>
      </c>
      <c r="EI479">
        <v>0</v>
      </c>
      <c r="EJ479">
        <v>0</v>
      </c>
      <c r="EK479">
        <v>0</v>
      </c>
      <c r="EL479">
        <v>0</v>
      </c>
      <c r="EM479">
        <v>0</v>
      </c>
      <c r="EN479" s="2">
        <v>0</v>
      </c>
      <c r="EP479" t="str">
        <f t="shared" si="563"/>
        <v/>
      </c>
      <c r="EQ479" t="str">
        <f t="shared" si="564"/>
        <v/>
      </c>
      <c r="ER479" s="2" t="str">
        <f t="shared" si="565"/>
        <v/>
      </c>
      <c r="ES479" t="str">
        <f t="shared" si="566"/>
        <v/>
      </c>
      <c r="ET479" t="str">
        <f t="shared" si="567"/>
        <v/>
      </c>
      <c r="EU479" t="str">
        <f t="shared" si="568"/>
        <v/>
      </c>
      <c r="EW479" t="s">
        <v>4019</v>
      </c>
      <c r="EY479" t="b">
        <f>IF(ISNUMBER(BW479),IF(ABS(BW479-[1]QC_indicators!$B$2)&gt;3*[1]QC_indicators!$C$2,"C ratio",IF(ISNUMBER(CA479),IF(ABS(CA479-[1]QC_indicators!$B$1)&gt;3*[1]QC_indicators!$C$1,"DF","no"))),IF(ISNUMBER(CA479),IF(ABS(CA479-[1]QC_indicators!$B$1)&gt;3*[1]QC_indicators!$C$1,"DF","no")))</f>
        <v>0</v>
      </c>
      <c r="FA479" t="str">
        <f t="shared" si="569"/>
        <v/>
      </c>
    </row>
    <row r="480" spans="1:157" ht="15" hidden="1" customHeight="1">
      <c r="A480" s="1" t="s">
        <v>4021</v>
      </c>
      <c r="B480" t="s">
        <v>4022</v>
      </c>
      <c r="C480" t="s">
        <v>4023</v>
      </c>
      <c r="D480" t="s">
        <v>4024</v>
      </c>
      <c r="E480" t="s">
        <v>4025</v>
      </c>
      <c r="F480" t="s">
        <v>4026</v>
      </c>
      <c r="G480" t="s">
        <v>4027</v>
      </c>
      <c r="H480" t="s">
        <v>254</v>
      </c>
      <c r="I480">
        <v>2022</v>
      </c>
      <c r="J480">
        <v>1</v>
      </c>
      <c r="K480" t="s">
        <v>4028</v>
      </c>
      <c r="M480" t="str">
        <f t="shared" si="535"/>
        <v>Yu_2022</v>
      </c>
      <c r="N480" s="297" t="s">
        <v>4058</v>
      </c>
      <c r="O480" s="297" t="s">
        <v>223</v>
      </c>
      <c r="Q480" s="297" t="s">
        <v>389</v>
      </c>
      <c r="R480" s="298"/>
      <c r="S480" s="304" t="s">
        <v>4029</v>
      </c>
      <c r="T480" s="297" t="s">
        <v>4030</v>
      </c>
      <c r="U480" s="297" t="s">
        <v>2202</v>
      </c>
      <c r="V480" s="297"/>
      <c r="W480" s="297"/>
      <c r="X480">
        <v>0</v>
      </c>
      <c r="Y480">
        <v>0</v>
      </c>
      <c r="Z480">
        <v>0</v>
      </c>
      <c r="AA480">
        <v>0</v>
      </c>
      <c r="AB480">
        <v>0</v>
      </c>
      <c r="AC480">
        <v>0</v>
      </c>
      <c r="AD480">
        <v>0</v>
      </c>
      <c r="AE480">
        <v>0</v>
      </c>
      <c r="AF480">
        <v>0</v>
      </c>
      <c r="AG480">
        <v>0</v>
      </c>
      <c r="AH480">
        <v>1</v>
      </c>
      <c r="AI480">
        <v>0</v>
      </c>
      <c r="AJ480">
        <v>0</v>
      </c>
      <c r="AK480">
        <v>0</v>
      </c>
      <c r="AL480">
        <v>0</v>
      </c>
      <c r="AM480">
        <v>1</v>
      </c>
      <c r="AN480">
        <v>0</v>
      </c>
      <c r="AO480">
        <v>0</v>
      </c>
      <c r="AP480">
        <v>0</v>
      </c>
      <c r="AQ480">
        <v>0</v>
      </c>
      <c r="AR480">
        <v>0</v>
      </c>
      <c r="AS480">
        <v>0</v>
      </c>
      <c r="AT480">
        <v>0</v>
      </c>
      <c r="AU480">
        <v>0</v>
      </c>
      <c r="AV480">
        <v>0</v>
      </c>
      <c r="AW480">
        <v>0</v>
      </c>
      <c r="AX480">
        <v>0</v>
      </c>
      <c r="AY480">
        <v>0</v>
      </c>
      <c r="AZ480" s="141">
        <f t="shared" si="543"/>
        <v>2</v>
      </c>
      <c r="BA480" s="141">
        <f t="shared" si="544"/>
        <v>2</v>
      </c>
      <c r="BB480">
        <f t="shared" si="545"/>
        <v>0</v>
      </c>
      <c r="BC480">
        <f t="shared" si="546"/>
        <v>1</v>
      </c>
      <c r="BD480">
        <f t="shared" si="547"/>
        <v>1</v>
      </c>
      <c r="BE480">
        <f t="shared" si="548"/>
        <v>0</v>
      </c>
      <c r="BF480">
        <f t="shared" si="549"/>
        <v>0</v>
      </c>
      <c r="BG480" t="str" cm="1">
        <f t="array" ref="BG480">IF(BA480=1,INDEX($X$7:$AN$7,MATCH(TRUE,INDEX($X480:$AY480&lt;&gt;0,),0)),IF(BA480=0,INDEX($AO$7:$AY$7,MATCH(1,$AO480:$AY480,0)),IF(BH480="Multiple strategies","mixed drivers",IF(BH480="Supply chain","multiple supply","multiple silviculture"))))</f>
        <v>mixed drivers</v>
      </c>
      <c r="BH480" s="2" t="str" cm="1">
        <f t="array" ref="BH480">IF(COUNTIF(BB480:BD480,"&lt;&gt;0")=1,INDEX($X$4:$AY$4,MATCH(TRUE,INDEX($X480:$AY480&lt;&gt;0,),0)),IF(COUNTIF(BB480:BD480,"&lt;&gt;0")=0,INDEX($AO$4:$AY$4,MATCH(1,$AO480:$AY480,0)),"Multiple strategies"))</f>
        <v>Multiple strategies</v>
      </c>
      <c r="BR480" t="s">
        <v>232</v>
      </c>
      <c r="BS480" s="297" t="s">
        <v>429</v>
      </c>
      <c r="BT480" s="297" t="s">
        <v>1232</v>
      </c>
      <c r="BU480">
        <f>140.44+2529+584.93</f>
        <v>3254.37</v>
      </c>
      <c r="BV480">
        <f>160.23+2539.61+590.33</f>
        <v>3290.17</v>
      </c>
      <c r="BX480">
        <f t="shared" si="573"/>
        <v>35.800000000000182</v>
      </c>
      <c r="BZ480">
        <f>BX480*10^6*C_to_CO2</f>
        <v>131386000.00000066</v>
      </c>
      <c r="CA480" t="str">
        <f t="shared" si="550"/>
        <v/>
      </c>
      <c r="CB480">
        <v>0</v>
      </c>
      <c r="CC480">
        <v>0</v>
      </c>
      <c r="CD480">
        <v>0</v>
      </c>
      <c r="CE480">
        <v>0</v>
      </c>
      <c r="CF480">
        <v>0</v>
      </c>
      <c r="CG480">
        <v>0</v>
      </c>
      <c r="CH480">
        <v>0</v>
      </c>
      <c r="CI480">
        <v>0</v>
      </c>
      <c r="CJ480">
        <v>0</v>
      </c>
      <c r="CK480">
        <v>0</v>
      </c>
      <c r="CL480">
        <v>0</v>
      </c>
      <c r="CM480">
        <v>0</v>
      </c>
      <c r="CN480">
        <v>0</v>
      </c>
      <c r="CO480">
        <v>0</v>
      </c>
      <c r="CP480" t="str">
        <f>IF($BN480&lt;$BM480,"refNeedCorrection","refOK")</f>
        <v>refOK</v>
      </c>
      <c r="CQ480">
        <f>IF($CP480="refOK",$BM480,$BN480)</f>
        <v>0</v>
      </c>
      <c r="CR480">
        <f>IF($CP480="refOK",$BN480,$BM480)</f>
        <v>0</v>
      </c>
      <c r="CS480">
        <f>IF($CP480="refOK",$BQ480,-$BQ480)</f>
        <v>0</v>
      </c>
      <c r="CT480">
        <f t="shared" si="551"/>
        <v>0</v>
      </c>
      <c r="CU480">
        <f t="shared" si="533"/>
        <v>3254.37</v>
      </c>
      <c r="CV480">
        <f t="shared" si="534"/>
        <v>3290.17</v>
      </c>
      <c r="CW480">
        <f t="shared" si="552"/>
        <v>131386000.00000066</v>
      </c>
      <c r="CX480" t="str">
        <f t="shared" si="574"/>
        <v/>
      </c>
      <c r="CY480" t="str">
        <f t="shared" si="574"/>
        <v/>
      </c>
      <c r="CZ480" t="str">
        <f t="shared" si="553"/>
        <v/>
      </c>
      <c r="DA480" s="2">
        <f t="shared" si="554"/>
        <v>1.1000593048731454E-2</v>
      </c>
      <c r="DB480" s="304" t="s">
        <v>1078</v>
      </c>
      <c r="DC480" s="297" t="str">
        <f t="shared" si="555"/>
        <v>reg</v>
      </c>
      <c r="DD480" s="297" t="s">
        <v>677</v>
      </c>
      <c r="DE480">
        <v>2020</v>
      </c>
      <c r="DF480">
        <v>2050</v>
      </c>
      <c r="DG480">
        <f t="shared" si="572"/>
        <v>30</v>
      </c>
      <c r="DH480" t="str">
        <f t="shared" si="556"/>
        <v>1-30</v>
      </c>
      <c r="DI480">
        <v>0</v>
      </c>
      <c r="DJ480">
        <v>1</v>
      </c>
      <c r="DK480">
        <v>1</v>
      </c>
      <c r="DL480">
        <v>1</v>
      </c>
      <c r="DM480">
        <v>0</v>
      </c>
      <c r="DN480">
        <f t="shared" si="541"/>
        <v>3</v>
      </c>
      <c r="DO480" t="str">
        <f t="shared" si="557"/>
        <v>mixedProduct</v>
      </c>
      <c r="DP480">
        <f t="shared" si="558"/>
        <v>0</v>
      </c>
      <c r="DQ480" t="str">
        <f t="shared" si="559"/>
        <v>Energy</v>
      </c>
      <c r="DR480" t="str">
        <f t="shared" si="560"/>
        <v>Pulp/Paper</v>
      </c>
      <c r="DS480" t="str">
        <f t="shared" si="561"/>
        <v>Timber</v>
      </c>
      <c r="DT480">
        <v>0</v>
      </c>
      <c r="DU480">
        <v>0</v>
      </c>
      <c r="DV480">
        <v>0</v>
      </c>
      <c r="DW480">
        <v>0</v>
      </c>
      <c r="DX480">
        <v>0</v>
      </c>
      <c r="DY480">
        <f t="shared" si="542"/>
        <v>0</v>
      </c>
      <c r="DZ480" s="143" t="str">
        <f t="shared" si="562"/>
        <v>explicit C balance</v>
      </c>
      <c r="EA480">
        <v>0</v>
      </c>
      <c r="EB480">
        <v>0</v>
      </c>
      <c r="EC480">
        <v>0</v>
      </c>
      <c r="ED480">
        <v>1</v>
      </c>
      <c r="EE480">
        <v>1</v>
      </c>
      <c r="EF480">
        <v>0</v>
      </c>
      <c r="EG480">
        <v>0</v>
      </c>
      <c r="EH480">
        <v>0</v>
      </c>
      <c r="EI480">
        <v>0</v>
      </c>
      <c r="EJ480">
        <v>0</v>
      </c>
      <c r="EK480">
        <v>0</v>
      </c>
      <c r="EL480">
        <v>0</v>
      </c>
      <c r="EM480">
        <v>0</v>
      </c>
      <c r="EN480" s="2">
        <v>0</v>
      </c>
      <c r="EP480" t="str">
        <f t="shared" si="563"/>
        <v/>
      </c>
      <c r="EQ480" t="str">
        <f t="shared" si="564"/>
        <v/>
      </c>
      <c r="ER480" s="2" t="str">
        <f t="shared" si="565"/>
        <v/>
      </c>
      <c r="ES480" t="str">
        <f t="shared" si="566"/>
        <v/>
      </c>
      <c r="ET480" t="str">
        <f t="shared" si="567"/>
        <v/>
      </c>
      <c r="EU480" t="str">
        <f t="shared" si="568"/>
        <v/>
      </c>
      <c r="EY480" t="b">
        <f>IF(ISNUMBER(BW480),IF(ABS(BW480-[1]QC_indicators!$B$2)&gt;3*[1]QC_indicators!$C$2,"C ratio",IF(ISNUMBER(CA480),IF(ABS(CA480-[1]QC_indicators!$B$1)&gt;3*[1]QC_indicators!$C$1,"DF","no"))),IF(ISNUMBER(CA480),IF(ABS(CA480-[1]QC_indicators!$B$1)&gt;3*[1]QC_indicators!$C$1,"DF","no")))</f>
        <v>0</v>
      </c>
      <c r="FA480" t="str">
        <f t="shared" si="569"/>
        <v/>
      </c>
    </row>
    <row r="481" spans="1:158" ht="15" hidden="1" customHeight="1">
      <c r="A481" s="1" t="s">
        <v>574</v>
      </c>
      <c r="B481" t="s">
        <v>4031</v>
      </c>
      <c r="C481" t="s">
        <v>4032</v>
      </c>
      <c r="D481" t="s">
        <v>4033</v>
      </c>
      <c r="E481" t="s">
        <v>4034</v>
      </c>
      <c r="F481" t="s">
        <v>4035</v>
      </c>
      <c r="G481" t="s">
        <v>580</v>
      </c>
      <c r="H481" t="s">
        <v>254</v>
      </c>
      <c r="I481">
        <v>2016</v>
      </c>
      <c r="J481">
        <v>19</v>
      </c>
      <c r="K481" t="s">
        <v>4036</v>
      </c>
      <c r="M481" t="str">
        <f t="shared" si="535"/>
        <v>Zhang_2016</v>
      </c>
      <c r="N481" s="297" t="s">
        <v>4058</v>
      </c>
      <c r="O481" s="145" t="s">
        <v>1029</v>
      </c>
      <c r="Q481" s="297" t="s">
        <v>256</v>
      </c>
      <c r="R481" s="298"/>
      <c r="S481" s="1" t="s">
        <v>4045</v>
      </c>
      <c r="T481">
        <v>0</v>
      </c>
      <c r="U481" t="s">
        <v>4038</v>
      </c>
      <c r="X481">
        <v>0</v>
      </c>
      <c r="Y481">
        <v>0</v>
      </c>
      <c r="Z481">
        <v>0</v>
      </c>
      <c r="AA481">
        <v>0</v>
      </c>
      <c r="AB481">
        <v>0</v>
      </c>
      <c r="AC481">
        <v>0</v>
      </c>
      <c r="AD481">
        <v>0</v>
      </c>
      <c r="AE481">
        <v>0</v>
      </c>
      <c r="AF481">
        <v>0</v>
      </c>
      <c r="AG481">
        <v>0</v>
      </c>
      <c r="AH481">
        <v>0</v>
      </c>
      <c r="AI481">
        <v>1</v>
      </c>
      <c r="AJ481">
        <v>0</v>
      </c>
      <c r="AK481">
        <v>0</v>
      </c>
      <c r="AL481">
        <v>0</v>
      </c>
      <c r="AM481">
        <v>0</v>
      </c>
      <c r="AN481">
        <v>0</v>
      </c>
      <c r="AO481">
        <v>0</v>
      </c>
      <c r="AP481">
        <v>0</v>
      </c>
      <c r="AQ481">
        <v>0</v>
      </c>
      <c r="AR481">
        <v>0</v>
      </c>
      <c r="AS481">
        <v>0</v>
      </c>
      <c r="AT481">
        <v>0</v>
      </c>
      <c r="AU481">
        <v>0</v>
      </c>
      <c r="AV481">
        <v>0</v>
      </c>
      <c r="AW481">
        <v>0</v>
      </c>
      <c r="AX481">
        <v>0</v>
      </c>
      <c r="AY481">
        <v>0</v>
      </c>
      <c r="AZ481" s="141">
        <f t="shared" si="543"/>
        <v>1</v>
      </c>
      <c r="BA481" s="141">
        <f t="shared" si="544"/>
        <v>1</v>
      </c>
      <c r="BB481">
        <f t="shared" si="545"/>
        <v>0</v>
      </c>
      <c r="BC481">
        <f t="shared" si="546"/>
        <v>1</v>
      </c>
      <c r="BD481">
        <f t="shared" si="547"/>
        <v>0</v>
      </c>
      <c r="BE481">
        <f t="shared" si="548"/>
        <v>0</v>
      </c>
      <c r="BF481">
        <f t="shared" si="549"/>
        <v>0</v>
      </c>
      <c r="BG481" t="str" cm="1">
        <f t="array" ref="BG481">IF(BA481=1,INDEX($X$7:$AN$7,MATCH(TRUE,INDEX($X481:$AY481&lt;&gt;0,),0)),IF(BA481=0,INDEX($AO$7:$AY$7,MATCH(1,$AO481:$AY481,0)),IF(BH481="Multiple strategies","mixed drivers",IF(BH481="Supply chain","multiple supply","multiple silviculture"))))</f>
        <v>recycling</v>
      </c>
      <c r="BH481" s="2" t="str" cm="1">
        <f t="array" ref="BH481">IF(COUNTIF(BB481:BD481,"&lt;&gt;0")=1,INDEX($X$4:$AY$4,MATCH(TRUE,INDEX($X481:$AY481&lt;&gt;0,),0)),IF(COUNTIF(BB481:BD481,"&lt;&gt;0")=0,INDEX($AO$4:$AY$4,MATCH(1,$AO481:$AY481,0)),"Multiple strategies"))</f>
        <v>Supply chain</v>
      </c>
      <c r="BO481" s="143"/>
      <c r="BP481" s="143"/>
      <c r="BR481" t="s">
        <v>232</v>
      </c>
      <c r="BT481" t="s">
        <v>4039</v>
      </c>
      <c r="BU481">
        <f>-971.4-445.5</f>
        <v>-1416.9</v>
      </c>
      <c r="BV481">
        <v>-669.4</v>
      </c>
      <c r="BW481" s="144">
        <f t="shared" ref="BW481:BW492" si="575">IFERROR(BV481/BU481,"")</f>
        <v>0.47243983343919821</v>
      </c>
      <c r="BX481" s="144">
        <f t="shared" si="573"/>
        <v>747.50000000000011</v>
      </c>
      <c r="BY481" s="144"/>
      <c r="BZ481">
        <f t="shared" ref="BZ481:BZ492" si="576">BX481/1000</f>
        <v>0.74750000000000016</v>
      </c>
      <c r="CA481" t="str">
        <f t="shared" si="550"/>
        <v/>
      </c>
      <c r="CB481">
        <v>0</v>
      </c>
      <c r="CC481">
        <v>0</v>
      </c>
      <c r="CD481">
        <v>0</v>
      </c>
      <c r="CE481">
        <v>0</v>
      </c>
      <c r="CF481">
        <v>0</v>
      </c>
      <c r="CG481">
        <v>0</v>
      </c>
      <c r="CH481">
        <v>0</v>
      </c>
      <c r="CI481">
        <v>0</v>
      </c>
      <c r="CJ481">
        <v>0</v>
      </c>
      <c r="CK481">
        <v>0</v>
      </c>
      <c r="CL481">
        <v>0</v>
      </c>
      <c r="CM481">
        <v>0</v>
      </c>
      <c r="CN481">
        <v>0</v>
      </c>
      <c r="CO481">
        <v>0</v>
      </c>
      <c r="CP481" t="str">
        <f t="shared" ref="CP481:CP492" si="577">IF(BN481&lt;BM481,"refNeedCorrection","refOK")</f>
        <v>refOK</v>
      </c>
      <c r="CQ481"/>
      <c r="CR481"/>
      <c r="CS481"/>
      <c r="CT481">
        <f t="shared" si="551"/>
        <v>0</v>
      </c>
      <c r="CU481">
        <f t="shared" si="533"/>
        <v>-1416.9</v>
      </c>
      <c r="CV481">
        <f t="shared" si="534"/>
        <v>-669.4</v>
      </c>
      <c r="CW481">
        <f t="shared" si="552"/>
        <v>0.74750000000000016</v>
      </c>
      <c r="CX481" t="str">
        <f t="shared" si="574"/>
        <v/>
      </c>
      <c r="CY481" t="str">
        <f t="shared" si="574"/>
        <v/>
      </c>
      <c r="CZ481" t="str">
        <f t="shared" si="553"/>
        <v/>
      </c>
      <c r="DA481" s="2">
        <f t="shared" si="554"/>
        <v>0.52756016656080185</v>
      </c>
      <c r="DB481" s="1" t="s">
        <v>263</v>
      </c>
      <c r="DC481" s="297" t="str">
        <f t="shared" si="555"/>
        <v>loc</v>
      </c>
      <c r="DD481" t="s">
        <v>527</v>
      </c>
      <c r="DG481">
        <f t="shared" si="572"/>
        <v>0</v>
      </c>
      <c r="DH481" t="str">
        <f t="shared" si="556"/>
        <v>0</v>
      </c>
      <c r="DI481">
        <v>0</v>
      </c>
      <c r="DJ481">
        <v>1</v>
      </c>
      <c r="DK481">
        <v>0</v>
      </c>
      <c r="DL481">
        <v>0</v>
      </c>
      <c r="DM481">
        <v>0</v>
      </c>
      <c r="DN481">
        <f t="shared" si="541"/>
        <v>1</v>
      </c>
      <c r="DO481" t="str">
        <f t="shared" si="557"/>
        <v>EnergyInput</v>
      </c>
      <c r="DP481">
        <f t="shared" si="558"/>
        <v>0</v>
      </c>
      <c r="DQ481" t="str">
        <f t="shared" si="559"/>
        <v>Energy</v>
      </c>
      <c r="DR481">
        <f t="shared" si="560"/>
        <v>0</v>
      </c>
      <c r="DS481">
        <f t="shared" si="561"/>
        <v>0</v>
      </c>
      <c r="DT481">
        <v>0</v>
      </c>
      <c r="DU481">
        <v>0</v>
      </c>
      <c r="DV481">
        <v>0</v>
      </c>
      <c r="DW481">
        <v>0</v>
      </c>
      <c r="DX481">
        <v>0</v>
      </c>
      <c r="DY481">
        <f t="shared" si="542"/>
        <v>0</v>
      </c>
      <c r="DZ481" s="143" t="str">
        <f t="shared" si="562"/>
        <v>explicit C balance</v>
      </c>
      <c r="EA481">
        <v>0</v>
      </c>
      <c r="EB481">
        <v>0</v>
      </c>
      <c r="EC481">
        <v>0</v>
      </c>
      <c r="ED481">
        <v>0</v>
      </c>
      <c r="EE481">
        <v>1</v>
      </c>
      <c r="EF481" s="143">
        <v>1</v>
      </c>
      <c r="EG481">
        <v>0</v>
      </c>
      <c r="EH481">
        <v>1</v>
      </c>
      <c r="EI481">
        <v>0</v>
      </c>
      <c r="EJ481">
        <v>0</v>
      </c>
      <c r="EK481">
        <v>0</v>
      </c>
      <c r="EL481">
        <v>0</v>
      </c>
      <c r="EM481">
        <v>0</v>
      </c>
      <c r="EN481" s="2">
        <v>0</v>
      </c>
      <c r="EP481" t="str">
        <f t="shared" si="563"/>
        <v/>
      </c>
      <c r="EQ481" t="str">
        <f t="shared" si="564"/>
        <v/>
      </c>
      <c r="ER481" s="2" t="str">
        <f t="shared" si="565"/>
        <v/>
      </c>
      <c r="ES481" t="str">
        <f t="shared" si="566"/>
        <v/>
      </c>
      <c r="ET481" t="str">
        <f t="shared" si="567"/>
        <v/>
      </c>
      <c r="EU481" t="str">
        <f t="shared" si="568"/>
        <v/>
      </c>
      <c r="EW481" t="s">
        <v>4040</v>
      </c>
      <c r="EY481" t="b">
        <f>IF(ISNUMBER(BW481),IF(ABS(BW481-[1]QC_indicators!$B$2)&gt;3*[1]QC_indicators!$C$2,"C ratio",IF(ISNUMBER(CA481),IF(ABS(CA481-[1]QC_indicators!$B$1)&gt;3*[1]QC_indicators!$C$1,"DF","no"))),IF(ISNUMBER(CA481),IF(ABS(CA481-[1]QC_indicators!$B$1)&gt;3*[1]QC_indicators!$C$1,"DF","no")))</f>
        <v>0</v>
      </c>
      <c r="FA481" t="str">
        <f t="shared" si="569"/>
        <v/>
      </c>
    </row>
    <row r="482" spans="1:158" ht="15" hidden="1" customHeight="1">
      <c r="A482" s="1" t="s">
        <v>574</v>
      </c>
      <c r="B482" t="s">
        <v>4031</v>
      </c>
      <c r="C482" t="s">
        <v>4032</v>
      </c>
      <c r="D482" t="s">
        <v>4033</v>
      </c>
      <c r="E482" t="s">
        <v>4034</v>
      </c>
      <c r="F482" t="s">
        <v>4035</v>
      </c>
      <c r="G482" t="s">
        <v>580</v>
      </c>
      <c r="H482" t="s">
        <v>254</v>
      </c>
      <c r="I482">
        <v>2016</v>
      </c>
      <c r="J482">
        <v>19</v>
      </c>
      <c r="K482" t="s">
        <v>4036</v>
      </c>
      <c r="M482" t="str">
        <f t="shared" si="535"/>
        <v>Zhang_2016</v>
      </c>
      <c r="N482" s="297" t="s">
        <v>4058</v>
      </c>
      <c r="O482" s="145" t="s">
        <v>1029</v>
      </c>
      <c r="Q482" s="297" t="s">
        <v>256</v>
      </c>
      <c r="R482" s="298"/>
      <c r="S482" s="1" t="s">
        <v>4044</v>
      </c>
      <c r="T482">
        <v>0</v>
      </c>
      <c r="U482" t="s">
        <v>4038</v>
      </c>
      <c r="X482">
        <v>0</v>
      </c>
      <c r="Y482">
        <v>0</v>
      </c>
      <c r="Z482">
        <v>0</v>
      </c>
      <c r="AA482">
        <v>0</v>
      </c>
      <c r="AB482">
        <v>0</v>
      </c>
      <c r="AC482">
        <v>0</v>
      </c>
      <c r="AD482">
        <v>0</v>
      </c>
      <c r="AE482">
        <v>0</v>
      </c>
      <c r="AF482">
        <v>0</v>
      </c>
      <c r="AG482">
        <v>0</v>
      </c>
      <c r="AH482">
        <v>0</v>
      </c>
      <c r="AI482">
        <v>1</v>
      </c>
      <c r="AJ482">
        <v>0</v>
      </c>
      <c r="AK482">
        <v>0</v>
      </c>
      <c r="AL482">
        <v>0</v>
      </c>
      <c r="AM482">
        <v>0</v>
      </c>
      <c r="AN482">
        <v>0</v>
      </c>
      <c r="AO482">
        <v>0</v>
      </c>
      <c r="AP482">
        <v>0</v>
      </c>
      <c r="AQ482">
        <v>0</v>
      </c>
      <c r="AR482">
        <v>0</v>
      </c>
      <c r="AS482">
        <v>0</v>
      </c>
      <c r="AT482">
        <v>0</v>
      </c>
      <c r="AU482">
        <v>0</v>
      </c>
      <c r="AV482">
        <v>0</v>
      </c>
      <c r="AW482">
        <v>0</v>
      </c>
      <c r="AX482">
        <v>0</v>
      </c>
      <c r="AY482">
        <v>0</v>
      </c>
      <c r="AZ482" s="141">
        <f t="shared" si="543"/>
        <v>1</v>
      </c>
      <c r="BA482" s="141">
        <f t="shared" si="544"/>
        <v>1</v>
      </c>
      <c r="BB482">
        <f t="shared" si="545"/>
        <v>0</v>
      </c>
      <c r="BC482">
        <f t="shared" si="546"/>
        <v>1</v>
      </c>
      <c r="BD482">
        <f t="shared" si="547"/>
        <v>0</v>
      </c>
      <c r="BE482">
        <f t="shared" si="548"/>
        <v>0</v>
      </c>
      <c r="BF482">
        <f t="shared" si="549"/>
        <v>0</v>
      </c>
      <c r="BG482" t="str" cm="1">
        <f t="array" ref="BG482">IF(BA482=1,INDEX($X$7:$AN$7,MATCH(TRUE,INDEX($X482:$AY482&lt;&gt;0,),0)),IF(BA482=0,INDEX($AO$7:$AY$7,MATCH(1,$AO482:$AY482,0)),IF(BH482="Multiple strategies","mixed drivers",IF(BH482="Supply chain","multiple supply","multiple silviculture"))))</f>
        <v>recycling</v>
      </c>
      <c r="BH482" s="2" t="str" cm="1">
        <f t="array" ref="BH482">IF(COUNTIF(BB482:BD482,"&lt;&gt;0")=1,INDEX($X$4:$AY$4,MATCH(TRUE,INDEX($X482:$AY482&lt;&gt;0,),0)),IF(COUNTIF(BB482:BD482,"&lt;&gt;0")=0,INDEX($AO$4:$AY$4,MATCH(1,$AO482:$AY482,0)),"Multiple strategies"))</f>
        <v>Supply chain</v>
      </c>
      <c r="BO482" s="143"/>
      <c r="BP482" s="143"/>
      <c r="BR482" t="s">
        <v>232</v>
      </c>
      <c r="BT482" t="s">
        <v>4039</v>
      </c>
      <c r="BU482">
        <f>-971.4-488.6</f>
        <v>-1460</v>
      </c>
      <c r="BV482">
        <f>-582.6</f>
        <v>-582.6</v>
      </c>
      <c r="BW482" s="144">
        <f t="shared" si="575"/>
        <v>0.39904109589041098</v>
      </c>
      <c r="BX482" s="144">
        <f t="shared" si="573"/>
        <v>877.4</v>
      </c>
      <c r="BY482" s="144"/>
      <c r="BZ482">
        <f t="shared" si="576"/>
        <v>0.87739999999999996</v>
      </c>
      <c r="CA482" t="str">
        <f t="shared" si="550"/>
        <v/>
      </c>
      <c r="CB482">
        <v>0</v>
      </c>
      <c r="CC482">
        <v>0</v>
      </c>
      <c r="CD482">
        <v>0</v>
      </c>
      <c r="CE482">
        <v>0</v>
      </c>
      <c r="CF482">
        <v>0</v>
      </c>
      <c r="CG482">
        <v>0</v>
      </c>
      <c r="CH482">
        <v>0</v>
      </c>
      <c r="CI482">
        <v>0</v>
      </c>
      <c r="CJ482">
        <v>0</v>
      </c>
      <c r="CK482">
        <v>0</v>
      </c>
      <c r="CL482">
        <v>0</v>
      </c>
      <c r="CM482">
        <v>0</v>
      </c>
      <c r="CN482">
        <v>0</v>
      </c>
      <c r="CO482">
        <v>0</v>
      </c>
      <c r="CP482" t="str">
        <f t="shared" si="577"/>
        <v>refOK</v>
      </c>
      <c r="CQ482"/>
      <c r="CR482"/>
      <c r="CS482"/>
      <c r="CT482">
        <f t="shared" si="551"/>
        <v>0</v>
      </c>
      <c r="CU482">
        <f t="shared" si="533"/>
        <v>-1460</v>
      </c>
      <c r="CV482">
        <f t="shared" si="534"/>
        <v>-582.6</v>
      </c>
      <c r="CW482">
        <f t="shared" si="552"/>
        <v>0.87739999999999996</v>
      </c>
      <c r="CX482" t="str">
        <f t="shared" si="574"/>
        <v/>
      </c>
      <c r="CY482" t="str">
        <f t="shared" si="574"/>
        <v/>
      </c>
      <c r="CZ482" t="str">
        <f t="shared" si="553"/>
        <v/>
      </c>
      <c r="DA482" s="2">
        <f t="shared" si="554"/>
        <v>0.60095890410958908</v>
      </c>
      <c r="DB482" s="1" t="s">
        <v>263</v>
      </c>
      <c r="DC482" s="297" t="str">
        <f t="shared" si="555"/>
        <v>loc</v>
      </c>
      <c r="DD482" t="s">
        <v>527</v>
      </c>
      <c r="DG482">
        <f t="shared" si="572"/>
        <v>0</v>
      </c>
      <c r="DH482" t="str">
        <f t="shared" si="556"/>
        <v>0</v>
      </c>
      <c r="DI482">
        <v>0</v>
      </c>
      <c r="DJ482">
        <v>1</v>
      </c>
      <c r="DK482">
        <v>0</v>
      </c>
      <c r="DL482">
        <v>0</v>
      </c>
      <c r="DM482">
        <v>0</v>
      </c>
      <c r="DN482">
        <f t="shared" si="541"/>
        <v>1</v>
      </c>
      <c r="DO482" t="str">
        <f t="shared" si="557"/>
        <v>EnergyInput</v>
      </c>
      <c r="DP482">
        <f t="shared" si="558"/>
        <v>0</v>
      </c>
      <c r="DQ482" t="str">
        <f t="shared" si="559"/>
        <v>Energy</v>
      </c>
      <c r="DR482">
        <f t="shared" si="560"/>
        <v>0</v>
      </c>
      <c r="DS482">
        <f t="shared" si="561"/>
        <v>0</v>
      </c>
      <c r="DT482">
        <v>0</v>
      </c>
      <c r="DU482">
        <v>0</v>
      </c>
      <c r="DV482">
        <v>0</v>
      </c>
      <c r="DW482">
        <v>0</v>
      </c>
      <c r="DX482">
        <v>0</v>
      </c>
      <c r="DY482">
        <f t="shared" si="542"/>
        <v>0</v>
      </c>
      <c r="DZ482" s="143" t="str">
        <f t="shared" si="562"/>
        <v>explicit C balance</v>
      </c>
      <c r="EA482">
        <v>0</v>
      </c>
      <c r="EB482">
        <v>0</v>
      </c>
      <c r="EC482">
        <v>0</v>
      </c>
      <c r="ED482">
        <v>0</v>
      </c>
      <c r="EE482">
        <v>1</v>
      </c>
      <c r="EF482" s="143">
        <v>1</v>
      </c>
      <c r="EG482">
        <v>0</v>
      </c>
      <c r="EH482">
        <v>1</v>
      </c>
      <c r="EI482">
        <v>0</v>
      </c>
      <c r="EJ482">
        <v>0</v>
      </c>
      <c r="EK482">
        <v>0</v>
      </c>
      <c r="EL482">
        <v>0</v>
      </c>
      <c r="EM482">
        <v>0</v>
      </c>
      <c r="EN482" s="2">
        <v>0</v>
      </c>
      <c r="EP482" t="str">
        <f t="shared" si="563"/>
        <v/>
      </c>
      <c r="EQ482" t="str">
        <f t="shared" si="564"/>
        <v/>
      </c>
      <c r="ER482" s="2" t="str">
        <f t="shared" si="565"/>
        <v/>
      </c>
      <c r="ES482" t="str">
        <f t="shared" si="566"/>
        <v/>
      </c>
      <c r="ET482" t="str">
        <f t="shared" si="567"/>
        <v/>
      </c>
      <c r="EU482" t="str">
        <f t="shared" si="568"/>
        <v/>
      </c>
      <c r="EW482" t="s">
        <v>4040</v>
      </c>
      <c r="EY482" t="b">
        <f>IF(ISNUMBER(BW482),IF(ABS(BW482-[1]QC_indicators!$B$2)&gt;3*[1]QC_indicators!$C$2,"C ratio",IF(ISNUMBER(CA482),IF(ABS(CA482-[1]QC_indicators!$B$1)&gt;3*[1]QC_indicators!$C$1,"DF","no"))),IF(ISNUMBER(CA482),IF(ABS(CA482-[1]QC_indicators!$B$1)&gt;3*[1]QC_indicators!$C$1,"DF","no")))</f>
        <v>0</v>
      </c>
      <c r="FA482" t="str">
        <f t="shared" si="569"/>
        <v/>
      </c>
    </row>
    <row r="483" spans="1:158" ht="15" hidden="1" customHeight="1">
      <c r="A483" s="1" t="s">
        <v>574</v>
      </c>
      <c r="B483" t="s">
        <v>4031</v>
      </c>
      <c r="C483" t="s">
        <v>4032</v>
      </c>
      <c r="D483" t="s">
        <v>4033</v>
      </c>
      <c r="E483" t="s">
        <v>4034</v>
      </c>
      <c r="F483" t="s">
        <v>4035</v>
      </c>
      <c r="G483" t="s">
        <v>580</v>
      </c>
      <c r="H483" t="s">
        <v>254</v>
      </c>
      <c r="I483">
        <v>2016</v>
      </c>
      <c r="J483">
        <v>19</v>
      </c>
      <c r="K483" t="s">
        <v>4036</v>
      </c>
      <c r="M483" t="str">
        <f t="shared" si="535"/>
        <v>Zhang_2016</v>
      </c>
      <c r="N483" s="297" t="s">
        <v>4058</v>
      </c>
      <c r="O483" s="145" t="s">
        <v>1029</v>
      </c>
      <c r="Q483" s="297" t="s">
        <v>256</v>
      </c>
      <c r="R483" s="298"/>
      <c r="S483" s="1" t="s">
        <v>4043</v>
      </c>
      <c r="T483">
        <v>0</v>
      </c>
      <c r="U483" t="s">
        <v>4038</v>
      </c>
      <c r="X483">
        <v>0</v>
      </c>
      <c r="Y483">
        <v>0</v>
      </c>
      <c r="Z483">
        <v>0</v>
      </c>
      <c r="AA483">
        <v>0</v>
      </c>
      <c r="AB483">
        <v>0</v>
      </c>
      <c r="AC483">
        <v>0</v>
      </c>
      <c r="AD483">
        <v>0</v>
      </c>
      <c r="AE483">
        <v>0</v>
      </c>
      <c r="AF483">
        <v>0</v>
      </c>
      <c r="AG483">
        <v>0</v>
      </c>
      <c r="AH483">
        <v>0</v>
      </c>
      <c r="AI483">
        <v>0</v>
      </c>
      <c r="AJ483">
        <v>1</v>
      </c>
      <c r="AK483">
        <v>0</v>
      </c>
      <c r="AL483">
        <v>0</v>
      </c>
      <c r="AM483">
        <v>0</v>
      </c>
      <c r="AN483">
        <v>0</v>
      </c>
      <c r="AO483">
        <v>0</v>
      </c>
      <c r="AP483">
        <v>0</v>
      </c>
      <c r="AQ483">
        <v>0</v>
      </c>
      <c r="AR483">
        <v>0</v>
      </c>
      <c r="AS483">
        <v>0</v>
      </c>
      <c r="AT483">
        <v>0</v>
      </c>
      <c r="AU483">
        <v>0</v>
      </c>
      <c r="AV483">
        <v>0</v>
      </c>
      <c r="AW483">
        <v>0</v>
      </c>
      <c r="AX483">
        <v>0</v>
      </c>
      <c r="AY483">
        <v>0</v>
      </c>
      <c r="AZ483" s="141">
        <f t="shared" si="543"/>
        <v>1</v>
      </c>
      <c r="BA483" s="141">
        <f t="shared" si="544"/>
        <v>1</v>
      </c>
      <c r="BB483">
        <f t="shared" si="545"/>
        <v>0</v>
      </c>
      <c r="BC483">
        <f t="shared" si="546"/>
        <v>1</v>
      </c>
      <c r="BD483">
        <f t="shared" si="547"/>
        <v>0</v>
      </c>
      <c r="BE483">
        <f t="shared" si="548"/>
        <v>0</v>
      </c>
      <c r="BF483">
        <f t="shared" si="549"/>
        <v>0</v>
      </c>
      <c r="BG483" t="str" cm="1">
        <f t="array" ref="BG483">IF(BA483=1,INDEX($X$7:$AN$7,MATCH(TRUE,INDEX($X483:$AY483&lt;&gt;0,),0)),IF(BA483=0,INDEX($AO$7:$AY$7,MATCH(1,$AO483:$AY483,0)),IF(BH483="Multiple strategies","mixed drivers",IF(BH483="Supply chain","multiple supply","multiple silviculture"))))</f>
        <v xml:space="preserve">end of life disposal </v>
      </c>
      <c r="BH483" s="2" t="str" cm="1">
        <f t="array" ref="BH483">IF(COUNTIF(BB483:BD483,"&lt;&gt;0")=1,INDEX($X$4:$AY$4,MATCH(TRUE,INDEX($X483:$AY483&lt;&gt;0,),0)),IF(COUNTIF(BB483:BD483,"&lt;&gt;0")=0,INDEX($AO$4:$AY$4,MATCH(1,$AO483:$AY483,0)),"Multiple strategies"))</f>
        <v>Supply chain</v>
      </c>
      <c r="BO483" s="143"/>
      <c r="BP483" s="143"/>
      <c r="BR483" t="s">
        <v>232</v>
      </c>
      <c r="BT483" t="s">
        <v>4039</v>
      </c>
      <c r="BU483">
        <f>-971.4-117.1</f>
        <v>-1088.5</v>
      </c>
      <c r="BV483">
        <v>-669.4</v>
      </c>
      <c r="BW483" s="144">
        <f t="shared" si="575"/>
        <v>0.61497473587505735</v>
      </c>
      <c r="BX483" s="144">
        <f t="shared" si="573"/>
        <v>419.1</v>
      </c>
      <c r="BY483" s="144"/>
      <c r="BZ483">
        <f t="shared" si="576"/>
        <v>0.41910000000000003</v>
      </c>
      <c r="CA483" t="str">
        <f t="shared" si="550"/>
        <v/>
      </c>
      <c r="CB483">
        <v>0</v>
      </c>
      <c r="CC483">
        <v>0</v>
      </c>
      <c r="CD483">
        <v>0</v>
      </c>
      <c r="CE483">
        <v>0</v>
      </c>
      <c r="CF483">
        <v>0</v>
      </c>
      <c r="CG483">
        <v>0</v>
      </c>
      <c r="CH483">
        <v>0</v>
      </c>
      <c r="CI483">
        <v>0</v>
      </c>
      <c r="CJ483">
        <v>0</v>
      </c>
      <c r="CK483">
        <v>0</v>
      </c>
      <c r="CL483">
        <v>0</v>
      </c>
      <c r="CM483">
        <v>0</v>
      </c>
      <c r="CN483">
        <v>0</v>
      </c>
      <c r="CO483">
        <v>0</v>
      </c>
      <c r="CP483" t="str">
        <f t="shared" si="577"/>
        <v>refOK</v>
      </c>
      <c r="CQ483"/>
      <c r="CR483"/>
      <c r="CS483"/>
      <c r="CT483">
        <f t="shared" si="551"/>
        <v>0</v>
      </c>
      <c r="CU483">
        <f t="shared" si="533"/>
        <v>-1088.5</v>
      </c>
      <c r="CV483">
        <f t="shared" si="534"/>
        <v>-669.4</v>
      </c>
      <c r="CW483">
        <f t="shared" si="552"/>
        <v>0.41910000000000003</v>
      </c>
      <c r="CX483" t="str">
        <f t="shared" si="574"/>
        <v/>
      </c>
      <c r="CY483" t="str">
        <f t="shared" si="574"/>
        <v/>
      </c>
      <c r="CZ483" t="str">
        <f t="shared" si="553"/>
        <v/>
      </c>
      <c r="DA483" s="2">
        <f t="shared" si="554"/>
        <v>0.38502526412494259</v>
      </c>
      <c r="DB483" s="1" t="s">
        <v>263</v>
      </c>
      <c r="DC483" s="297" t="str">
        <f t="shared" si="555"/>
        <v>loc</v>
      </c>
      <c r="DD483" t="s">
        <v>527</v>
      </c>
      <c r="DG483">
        <f t="shared" si="572"/>
        <v>0</v>
      </c>
      <c r="DH483" t="str">
        <f t="shared" si="556"/>
        <v>0</v>
      </c>
      <c r="DI483">
        <v>0</v>
      </c>
      <c r="DJ483">
        <v>1</v>
      </c>
      <c r="DK483">
        <v>0</v>
      </c>
      <c r="DL483">
        <v>0</v>
      </c>
      <c r="DM483">
        <v>0</v>
      </c>
      <c r="DN483">
        <f t="shared" si="541"/>
        <v>1</v>
      </c>
      <c r="DO483" t="str">
        <f t="shared" si="557"/>
        <v>EnergyInput</v>
      </c>
      <c r="DP483">
        <f t="shared" si="558"/>
        <v>0</v>
      </c>
      <c r="DQ483" t="str">
        <f t="shared" si="559"/>
        <v>Energy</v>
      </c>
      <c r="DR483">
        <f t="shared" si="560"/>
        <v>0</v>
      </c>
      <c r="DS483">
        <f t="shared" si="561"/>
        <v>0</v>
      </c>
      <c r="DT483">
        <v>0</v>
      </c>
      <c r="DU483">
        <v>0</v>
      </c>
      <c r="DV483">
        <v>0</v>
      </c>
      <c r="DW483">
        <v>0</v>
      </c>
      <c r="DX483">
        <v>0</v>
      </c>
      <c r="DY483">
        <f t="shared" si="542"/>
        <v>0</v>
      </c>
      <c r="DZ483" s="143" t="str">
        <f t="shared" si="562"/>
        <v>explicit C balance</v>
      </c>
      <c r="EA483">
        <v>0</v>
      </c>
      <c r="EB483">
        <v>0</v>
      </c>
      <c r="EC483">
        <v>0</v>
      </c>
      <c r="ED483">
        <v>0</v>
      </c>
      <c r="EE483">
        <v>1</v>
      </c>
      <c r="EF483" s="143">
        <v>1</v>
      </c>
      <c r="EG483">
        <v>0</v>
      </c>
      <c r="EH483">
        <v>1</v>
      </c>
      <c r="EI483">
        <v>0</v>
      </c>
      <c r="EJ483">
        <v>0</v>
      </c>
      <c r="EK483">
        <v>0</v>
      </c>
      <c r="EL483">
        <v>0</v>
      </c>
      <c r="EM483">
        <v>0</v>
      </c>
      <c r="EN483" s="2">
        <v>0</v>
      </c>
      <c r="EP483" t="str">
        <f t="shared" si="563"/>
        <v/>
      </c>
      <c r="EQ483" t="str">
        <f t="shared" si="564"/>
        <v/>
      </c>
      <c r="ER483" s="2" t="str">
        <f t="shared" si="565"/>
        <v/>
      </c>
      <c r="ES483" t="str">
        <f t="shared" si="566"/>
        <v/>
      </c>
      <c r="ET483" t="str">
        <f t="shared" si="567"/>
        <v/>
      </c>
      <c r="EU483" t="str">
        <f t="shared" si="568"/>
        <v/>
      </c>
      <c r="EW483" t="s">
        <v>4040</v>
      </c>
      <c r="EY483" t="b">
        <f>IF(ISNUMBER(BW483),IF(ABS(BW483-[1]QC_indicators!$B$2)&gt;3*[1]QC_indicators!$C$2,"C ratio",IF(ISNUMBER(CA483),IF(ABS(CA483-[1]QC_indicators!$B$1)&gt;3*[1]QC_indicators!$C$1,"DF","no"))),IF(ISNUMBER(CA483),IF(ABS(CA483-[1]QC_indicators!$B$1)&gt;3*[1]QC_indicators!$C$1,"DF","no")))</f>
        <v>0</v>
      </c>
      <c r="FA483" t="str">
        <f t="shared" si="569"/>
        <v/>
      </c>
    </row>
    <row r="484" spans="1:158" ht="15" hidden="1" customHeight="1">
      <c r="A484" s="1" t="s">
        <v>574</v>
      </c>
      <c r="B484" t="s">
        <v>4031</v>
      </c>
      <c r="C484" t="s">
        <v>4032</v>
      </c>
      <c r="D484" t="s">
        <v>4033</v>
      </c>
      <c r="E484" t="s">
        <v>4034</v>
      </c>
      <c r="F484" t="s">
        <v>4035</v>
      </c>
      <c r="G484" t="s">
        <v>580</v>
      </c>
      <c r="H484" t="s">
        <v>254</v>
      </c>
      <c r="I484">
        <v>2016</v>
      </c>
      <c r="J484">
        <v>19</v>
      </c>
      <c r="K484" t="s">
        <v>4036</v>
      </c>
      <c r="M484" t="str">
        <f t="shared" si="535"/>
        <v>Zhang_2016</v>
      </c>
      <c r="N484" s="297" t="s">
        <v>4058</v>
      </c>
      <c r="O484" s="145" t="s">
        <v>1029</v>
      </c>
      <c r="Q484" s="297" t="s">
        <v>256</v>
      </c>
      <c r="R484" s="298"/>
      <c r="S484" s="1" t="s">
        <v>4042</v>
      </c>
      <c r="T484">
        <v>0</v>
      </c>
      <c r="U484" t="s">
        <v>4038</v>
      </c>
      <c r="X484">
        <v>0</v>
      </c>
      <c r="Y484">
        <v>0</v>
      </c>
      <c r="Z484">
        <v>0</v>
      </c>
      <c r="AA484">
        <v>0</v>
      </c>
      <c r="AB484">
        <v>0</v>
      </c>
      <c r="AC484">
        <v>0</v>
      </c>
      <c r="AD484">
        <v>0</v>
      </c>
      <c r="AE484">
        <v>0</v>
      </c>
      <c r="AF484">
        <v>0</v>
      </c>
      <c r="AG484">
        <v>0</v>
      </c>
      <c r="AH484">
        <v>0</v>
      </c>
      <c r="AI484">
        <v>0</v>
      </c>
      <c r="AJ484">
        <v>1</v>
      </c>
      <c r="AK484">
        <v>0</v>
      </c>
      <c r="AL484">
        <v>0</v>
      </c>
      <c r="AM484">
        <v>0</v>
      </c>
      <c r="AN484">
        <v>0</v>
      </c>
      <c r="AO484">
        <v>0</v>
      </c>
      <c r="AP484">
        <v>0</v>
      </c>
      <c r="AQ484">
        <v>0</v>
      </c>
      <c r="AR484">
        <v>0</v>
      </c>
      <c r="AS484">
        <v>0</v>
      </c>
      <c r="AT484">
        <v>0</v>
      </c>
      <c r="AU484">
        <v>0</v>
      </c>
      <c r="AV484">
        <v>0</v>
      </c>
      <c r="AW484">
        <v>0</v>
      </c>
      <c r="AX484">
        <v>0</v>
      </c>
      <c r="AY484">
        <v>0</v>
      </c>
      <c r="AZ484" s="141">
        <f t="shared" si="543"/>
        <v>1</v>
      </c>
      <c r="BA484" s="141">
        <f t="shared" si="544"/>
        <v>1</v>
      </c>
      <c r="BB484">
        <f t="shared" si="545"/>
        <v>0</v>
      </c>
      <c r="BC484">
        <f t="shared" si="546"/>
        <v>1</v>
      </c>
      <c r="BD484">
        <f t="shared" si="547"/>
        <v>0</v>
      </c>
      <c r="BE484">
        <f t="shared" si="548"/>
        <v>0</v>
      </c>
      <c r="BF484">
        <f t="shared" si="549"/>
        <v>0</v>
      </c>
      <c r="BG484" t="str" cm="1">
        <f t="array" ref="BG484">IF(BA484=1,INDEX($X$7:$AN$7,MATCH(TRUE,INDEX($X484:$AY484&lt;&gt;0,),0)),IF(BA484=0,INDEX($AO$7:$AY$7,MATCH(1,$AO484:$AY484,0)),IF(BH484="Multiple strategies","mixed drivers",IF(BH484="Supply chain","multiple supply","multiple silviculture"))))</f>
        <v xml:space="preserve">end of life disposal </v>
      </c>
      <c r="BH484" s="2" t="str" cm="1">
        <f t="array" ref="BH484">IF(COUNTIF(BB484:BD484,"&lt;&gt;0")=1,INDEX($X$4:$AY$4,MATCH(TRUE,INDEX($X484:$AY484&lt;&gt;0,),0)),IF(COUNTIF(BB484:BD484,"&lt;&gt;0")=0,INDEX($AO$4:$AY$4,MATCH(1,$AO484:$AY484,0)),"Multiple strategies"))</f>
        <v>Supply chain</v>
      </c>
      <c r="BO484" s="143"/>
      <c r="BP484" s="143"/>
      <c r="BR484" t="s">
        <v>232</v>
      </c>
      <c r="BT484" t="s">
        <v>4039</v>
      </c>
      <c r="BU484">
        <f>-971.4-132.4</f>
        <v>-1103.8</v>
      </c>
      <c r="BV484">
        <v>-669.4</v>
      </c>
      <c r="BW484" s="144">
        <f t="shared" si="575"/>
        <v>0.60645044392100023</v>
      </c>
      <c r="BX484" s="144">
        <f t="shared" si="573"/>
        <v>434.4</v>
      </c>
      <c r="BY484" s="144"/>
      <c r="BZ484">
        <f t="shared" si="576"/>
        <v>0.43439999999999995</v>
      </c>
      <c r="CA484" t="str">
        <f t="shared" si="550"/>
        <v/>
      </c>
      <c r="CB484">
        <v>0</v>
      </c>
      <c r="CC484">
        <v>0</v>
      </c>
      <c r="CD484">
        <v>0</v>
      </c>
      <c r="CE484">
        <v>0</v>
      </c>
      <c r="CF484">
        <v>0</v>
      </c>
      <c r="CG484">
        <v>0</v>
      </c>
      <c r="CH484">
        <v>0</v>
      </c>
      <c r="CI484">
        <v>0</v>
      </c>
      <c r="CJ484">
        <v>0</v>
      </c>
      <c r="CK484">
        <v>0</v>
      </c>
      <c r="CL484">
        <v>0</v>
      </c>
      <c r="CM484">
        <v>0</v>
      </c>
      <c r="CN484">
        <v>0</v>
      </c>
      <c r="CO484">
        <v>0</v>
      </c>
      <c r="CP484" t="str">
        <f t="shared" si="577"/>
        <v>refOK</v>
      </c>
      <c r="CQ484"/>
      <c r="CR484"/>
      <c r="CS484"/>
      <c r="CT484">
        <f t="shared" si="551"/>
        <v>0</v>
      </c>
      <c r="CU484">
        <f t="shared" si="533"/>
        <v>-1103.8</v>
      </c>
      <c r="CV484">
        <f t="shared" si="534"/>
        <v>-669.4</v>
      </c>
      <c r="CW484">
        <f t="shared" si="552"/>
        <v>0.43439999999999995</v>
      </c>
      <c r="CX484" t="str">
        <f t="shared" si="574"/>
        <v/>
      </c>
      <c r="CY484" t="str">
        <f t="shared" si="574"/>
        <v/>
      </c>
      <c r="CZ484" t="str">
        <f t="shared" si="553"/>
        <v/>
      </c>
      <c r="DA484" s="2">
        <f t="shared" si="554"/>
        <v>0.39354955607899983</v>
      </c>
      <c r="DB484" s="1" t="s">
        <v>263</v>
      </c>
      <c r="DC484" s="297" t="str">
        <f t="shared" si="555"/>
        <v>loc</v>
      </c>
      <c r="DD484" t="s">
        <v>527</v>
      </c>
      <c r="DG484">
        <f t="shared" si="572"/>
        <v>0</v>
      </c>
      <c r="DH484" t="str">
        <f t="shared" si="556"/>
        <v>0</v>
      </c>
      <c r="DI484">
        <v>0</v>
      </c>
      <c r="DJ484">
        <v>1</v>
      </c>
      <c r="DK484">
        <v>0</v>
      </c>
      <c r="DL484">
        <v>0</v>
      </c>
      <c r="DM484">
        <v>0</v>
      </c>
      <c r="DN484">
        <f t="shared" si="541"/>
        <v>1</v>
      </c>
      <c r="DO484" t="str">
        <f t="shared" si="557"/>
        <v>EnergyInput</v>
      </c>
      <c r="DP484">
        <f t="shared" si="558"/>
        <v>0</v>
      </c>
      <c r="DQ484" t="str">
        <f t="shared" si="559"/>
        <v>Energy</v>
      </c>
      <c r="DR484">
        <f t="shared" si="560"/>
        <v>0</v>
      </c>
      <c r="DS484">
        <f t="shared" si="561"/>
        <v>0</v>
      </c>
      <c r="DT484">
        <v>0</v>
      </c>
      <c r="DU484">
        <v>0</v>
      </c>
      <c r="DV484">
        <v>0</v>
      </c>
      <c r="DW484">
        <v>0</v>
      </c>
      <c r="DX484">
        <v>0</v>
      </c>
      <c r="DY484">
        <f t="shared" si="542"/>
        <v>0</v>
      </c>
      <c r="DZ484" s="143" t="str">
        <f t="shared" si="562"/>
        <v>explicit C balance</v>
      </c>
      <c r="EA484">
        <v>0</v>
      </c>
      <c r="EB484">
        <v>0</v>
      </c>
      <c r="EC484">
        <v>0</v>
      </c>
      <c r="ED484">
        <v>0</v>
      </c>
      <c r="EE484">
        <v>1</v>
      </c>
      <c r="EF484" s="143">
        <v>1</v>
      </c>
      <c r="EG484">
        <v>0</v>
      </c>
      <c r="EH484">
        <v>1</v>
      </c>
      <c r="EI484">
        <v>0</v>
      </c>
      <c r="EJ484">
        <v>0</v>
      </c>
      <c r="EK484">
        <v>0</v>
      </c>
      <c r="EL484">
        <v>0</v>
      </c>
      <c r="EM484">
        <v>0</v>
      </c>
      <c r="EN484" s="2">
        <v>0</v>
      </c>
      <c r="EP484" t="str">
        <f t="shared" si="563"/>
        <v/>
      </c>
      <c r="EQ484" t="str">
        <f t="shared" si="564"/>
        <v/>
      </c>
      <c r="ER484" s="2" t="str">
        <f t="shared" si="565"/>
        <v/>
      </c>
      <c r="ES484" t="str">
        <f t="shared" si="566"/>
        <v/>
      </c>
      <c r="ET484" t="str">
        <f t="shared" si="567"/>
        <v/>
      </c>
      <c r="EU484" t="str">
        <f t="shared" si="568"/>
        <v/>
      </c>
      <c r="EW484" t="s">
        <v>4040</v>
      </c>
      <c r="EY484" t="b">
        <f>IF(ISNUMBER(BW484),IF(ABS(BW484-[1]QC_indicators!$B$2)&gt;3*[1]QC_indicators!$C$2,"C ratio",IF(ISNUMBER(CA484),IF(ABS(CA484-[1]QC_indicators!$B$1)&gt;3*[1]QC_indicators!$C$1,"DF","no"))),IF(ISNUMBER(CA484),IF(ABS(CA484-[1]QC_indicators!$B$1)&gt;3*[1]QC_indicators!$C$1,"DF","no")))</f>
        <v>0</v>
      </c>
      <c r="FA484" t="str">
        <f t="shared" si="569"/>
        <v/>
      </c>
    </row>
    <row r="485" spans="1:158" ht="15" hidden="1" customHeight="1">
      <c r="A485" s="1" t="s">
        <v>574</v>
      </c>
      <c r="B485" t="s">
        <v>4031</v>
      </c>
      <c r="C485" t="s">
        <v>4032</v>
      </c>
      <c r="D485" t="s">
        <v>4033</v>
      </c>
      <c r="E485" t="s">
        <v>4034</v>
      </c>
      <c r="F485" t="s">
        <v>4035</v>
      </c>
      <c r="G485" t="s">
        <v>580</v>
      </c>
      <c r="H485" t="s">
        <v>254</v>
      </c>
      <c r="I485">
        <v>2016</v>
      </c>
      <c r="J485">
        <v>19</v>
      </c>
      <c r="K485" t="s">
        <v>4036</v>
      </c>
      <c r="M485" t="str">
        <f t="shared" si="535"/>
        <v>Zhang_2016</v>
      </c>
      <c r="N485" s="297" t="s">
        <v>4058</v>
      </c>
      <c r="O485" s="145" t="s">
        <v>1029</v>
      </c>
      <c r="Q485" s="297" t="s">
        <v>256</v>
      </c>
      <c r="R485" s="298"/>
      <c r="S485" s="1" t="s">
        <v>4041</v>
      </c>
      <c r="T485">
        <v>0</v>
      </c>
      <c r="U485" t="s">
        <v>4038</v>
      </c>
      <c r="X485">
        <v>0</v>
      </c>
      <c r="Y485">
        <v>0</v>
      </c>
      <c r="Z485">
        <v>0</v>
      </c>
      <c r="AA485">
        <v>0</v>
      </c>
      <c r="AB485">
        <v>0</v>
      </c>
      <c r="AC485">
        <v>0</v>
      </c>
      <c r="AD485">
        <v>0</v>
      </c>
      <c r="AE485">
        <v>0</v>
      </c>
      <c r="AF485">
        <v>0</v>
      </c>
      <c r="AG485">
        <v>0</v>
      </c>
      <c r="AH485">
        <v>0</v>
      </c>
      <c r="AI485">
        <v>0</v>
      </c>
      <c r="AJ485">
        <v>1</v>
      </c>
      <c r="AK485">
        <v>0</v>
      </c>
      <c r="AL485">
        <v>0</v>
      </c>
      <c r="AM485">
        <v>0</v>
      </c>
      <c r="AN485">
        <v>0</v>
      </c>
      <c r="AO485">
        <v>0</v>
      </c>
      <c r="AP485">
        <v>0</v>
      </c>
      <c r="AQ485">
        <v>0</v>
      </c>
      <c r="AR485">
        <v>0</v>
      </c>
      <c r="AS485">
        <v>0</v>
      </c>
      <c r="AT485">
        <v>0</v>
      </c>
      <c r="AU485">
        <v>0</v>
      </c>
      <c r="AV485">
        <v>0</v>
      </c>
      <c r="AW485">
        <v>0</v>
      </c>
      <c r="AX485">
        <v>0</v>
      </c>
      <c r="AY485">
        <v>0</v>
      </c>
      <c r="AZ485" s="141">
        <f t="shared" si="543"/>
        <v>1</v>
      </c>
      <c r="BA485" s="141">
        <f t="shared" si="544"/>
        <v>1</v>
      </c>
      <c r="BB485">
        <f t="shared" si="545"/>
        <v>0</v>
      </c>
      <c r="BC485">
        <f t="shared" si="546"/>
        <v>1</v>
      </c>
      <c r="BD485">
        <f t="shared" si="547"/>
        <v>0</v>
      </c>
      <c r="BE485">
        <f t="shared" si="548"/>
        <v>0</v>
      </c>
      <c r="BF485">
        <f t="shared" si="549"/>
        <v>0</v>
      </c>
      <c r="BG485" t="str" cm="1">
        <f t="array" ref="BG485">IF(BA485=1,INDEX($X$7:$AN$7,MATCH(TRUE,INDEX($X485:$AY485&lt;&gt;0,),0)),IF(BA485=0,INDEX($AO$7:$AY$7,MATCH(1,$AO485:$AY485,0)),IF(BH485="Multiple strategies","mixed drivers",IF(BH485="Supply chain","multiple supply","multiple silviculture"))))</f>
        <v xml:space="preserve">end of life disposal </v>
      </c>
      <c r="BH485" s="2" t="str" cm="1">
        <f t="array" ref="BH485">IF(COUNTIF(BB485:BD485,"&lt;&gt;0")=1,INDEX($X$4:$AY$4,MATCH(TRUE,INDEX($X485:$AY485&lt;&gt;0,),0)),IF(COUNTIF(BB485:BD485,"&lt;&gt;0")=0,INDEX($AO$4:$AY$4,MATCH(1,$AO485:$AY485,0)),"Multiple strategies"))</f>
        <v>Supply chain</v>
      </c>
      <c r="BO485" s="143"/>
      <c r="BP485" s="143"/>
      <c r="BR485" t="s">
        <v>232</v>
      </c>
      <c r="BT485" t="s">
        <v>4039</v>
      </c>
      <c r="BU485">
        <f>-971.4-116.8</f>
        <v>-1088.2</v>
      </c>
      <c r="BV485">
        <f>-582.6</f>
        <v>-582.6</v>
      </c>
      <c r="BW485" s="144">
        <f t="shared" si="575"/>
        <v>0.53537952582245907</v>
      </c>
      <c r="BX485" s="144">
        <f t="shared" si="573"/>
        <v>505.6</v>
      </c>
      <c r="BY485" s="144"/>
      <c r="BZ485">
        <f t="shared" si="576"/>
        <v>0.50560000000000005</v>
      </c>
      <c r="CA485" t="str">
        <f t="shared" si="550"/>
        <v/>
      </c>
      <c r="CB485">
        <v>0</v>
      </c>
      <c r="CC485">
        <v>0</v>
      </c>
      <c r="CD485">
        <v>0</v>
      </c>
      <c r="CE485">
        <v>0</v>
      </c>
      <c r="CF485">
        <v>0</v>
      </c>
      <c r="CG485">
        <v>0</v>
      </c>
      <c r="CH485">
        <v>0</v>
      </c>
      <c r="CI485">
        <v>0</v>
      </c>
      <c r="CJ485">
        <v>0</v>
      </c>
      <c r="CK485">
        <v>0</v>
      </c>
      <c r="CL485">
        <v>0</v>
      </c>
      <c r="CM485">
        <v>0</v>
      </c>
      <c r="CN485">
        <v>0</v>
      </c>
      <c r="CO485">
        <v>0</v>
      </c>
      <c r="CP485" t="str">
        <f t="shared" si="577"/>
        <v>refOK</v>
      </c>
      <c r="CQ485"/>
      <c r="CR485"/>
      <c r="CS485"/>
      <c r="CT485">
        <f t="shared" si="551"/>
        <v>0</v>
      </c>
      <c r="CU485">
        <f t="shared" ref="CU485:CU492" si="578">IF($CP485="refOK",$BU485,$BV485)*IF($BR485="Emissions positive",-1,1)</f>
        <v>-1088.2</v>
      </c>
      <c r="CV485">
        <f t="shared" ref="CV485:CV492" si="579">IF($CP485="refOK",$BV485,$BU485)*IF($BR485="Emissions positive",-1,1)</f>
        <v>-582.6</v>
      </c>
      <c r="CW485">
        <f t="shared" si="552"/>
        <v>0.50560000000000005</v>
      </c>
      <c r="CX485" t="str">
        <f t="shared" si="574"/>
        <v/>
      </c>
      <c r="CY485" t="str">
        <f t="shared" si="574"/>
        <v/>
      </c>
      <c r="CZ485" t="str">
        <f t="shared" si="553"/>
        <v/>
      </c>
      <c r="DA485" s="2">
        <f t="shared" si="554"/>
        <v>0.46462047417754088</v>
      </c>
      <c r="DB485" s="1" t="s">
        <v>263</v>
      </c>
      <c r="DC485" s="297" t="str">
        <f t="shared" si="555"/>
        <v>loc</v>
      </c>
      <c r="DD485" t="s">
        <v>527</v>
      </c>
      <c r="DG485">
        <f t="shared" si="572"/>
        <v>0</v>
      </c>
      <c r="DH485" t="str">
        <f t="shared" si="556"/>
        <v>0</v>
      </c>
      <c r="DI485">
        <v>0</v>
      </c>
      <c r="DJ485">
        <v>1</v>
      </c>
      <c r="DK485">
        <v>0</v>
      </c>
      <c r="DL485">
        <v>0</v>
      </c>
      <c r="DM485">
        <v>0</v>
      </c>
      <c r="DN485">
        <f t="shared" si="541"/>
        <v>1</v>
      </c>
      <c r="DO485" t="str">
        <f t="shared" si="557"/>
        <v>EnergyInput</v>
      </c>
      <c r="DP485">
        <f t="shared" si="558"/>
        <v>0</v>
      </c>
      <c r="DQ485" t="str">
        <f t="shared" si="559"/>
        <v>Energy</v>
      </c>
      <c r="DR485">
        <f t="shared" si="560"/>
        <v>0</v>
      </c>
      <c r="DS485">
        <f t="shared" si="561"/>
        <v>0</v>
      </c>
      <c r="DT485">
        <v>0</v>
      </c>
      <c r="DU485">
        <v>0</v>
      </c>
      <c r="DV485">
        <v>0</v>
      </c>
      <c r="DW485">
        <v>0</v>
      </c>
      <c r="DX485">
        <v>0</v>
      </c>
      <c r="DY485">
        <f t="shared" si="542"/>
        <v>0</v>
      </c>
      <c r="DZ485" s="143" t="str">
        <f t="shared" si="562"/>
        <v>explicit C balance</v>
      </c>
      <c r="EA485">
        <v>0</v>
      </c>
      <c r="EB485">
        <v>0</v>
      </c>
      <c r="EC485">
        <v>0</v>
      </c>
      <c r="ED485">
        <v>0</v>
      </c>
      <c r="EE485">
        <v>1</v>
      </c>
      <c r="EF485" s="143">
        <v>1</v>
      </c>
      <c r="EG485">
        <v>0</v>
      </c>
      <c r="EH485">
        <v>1</v>
      </c>
      <c r="EI485">
        <v>0</v>
      </c>
      <c r="EJ485">
        <v>0</v>
      </c>
      <c r="EK485">
        <v>0</v>
      </c>
      <c r="EL485">
        <v>0</v>
      </c>
      <c r="EM485">
        <v>0</v>
      </c>
      <c r="EN485" s="2">
        <v>0</v>
      </c>
      <c r="EP485" t="str">
        <f t="shared" si="563"/>
        <v/>
      </c>
      <c r="EQ485" t="str">
        <f t="shared" si="564"/>
        <v/>
      </c>
      <c r="ER485" s="2" t="str">
        <f t="shared" si="565"/>
        <v/>
      </c>
      <c r="ES485" t="str">
        <f t="shared" si="566"/>
        <v/>
      </c>
      <c r="ET485" t="str">
        <f t="shared" si="567"/>
        <v/>
      </c>
      <c r="EU485" t="str">
        <f t="shared" si="568"/>
        <v/>
      </c>
      <c r="EW485" t="s">
        <v>4040</v>
      </c>
      <c r="EY485" t="b">
        <f>IF(ISNUMBER(BW485),IF(ABS(BW485-[1]QC_indicators!$B$2)&gt;3*[1]QC_indicators!$C$2,"C ratio",IF(ISNUMBER(CA485),IF(ABS(CA485-[1]QC_indicators!$B$1)&gt;3*[1]QC_indicators!$C$1,"DF","no"))),IF(ISNUMBER(CA485),IF(ABS(CA485-[1]QC_indicators!$B$1)&gt;3*[1]QC_indicators!$C$1,"DF","no")))</f>
        <v>0</v>
      </c>
      <c r="FA485" t="str">
        <f t="shared" si="569"/>
        <v/>
      </c>
    </row>
    <row r="486" spans="1:158" ht="15" hidden="1" customHeight="1">
      <c r="A486" s="1" t="s">
        <v>574</v>
      </c>
      <c r="B486" t="s">
        <v>4031</v>
      </c>
      <c r="C486" t="s">
        <v>4032</v>
      </c>
      <c r="D486" t="s">
        <v>4033</v>
      </c>
      <c r="E486" t="s">
        <v>4034</v>
      </c>
      <c r="F486" t="s">
        <v>4035</v>
      </c>
      <c r="G486" t="s">
        <v>580</v>
      </c>
      <c r="H486" t="s">
        <v>254</v>
      </c>
      <c r="I486">
        <v>2016</v>
      </c>
      <c r="J486">
        <v>19</v>
      </c>
      <c r="K486" t="s">
        <v>4036</v>
      </c>
      <c r="M486" t="str">
        <f t="shared" si="535"/>
        <v>Zhang_2016</v>
      </c>
      <c r="N486" s="297" t="s">
        <v>4058</v>
      </c>
      <c r="O486" s="145" t="s">
        <v>1029</v>
      </c>
      <c r="Q486" s="297" t="s">
        <v>256</v>
      </c>
      <c r="R486" s="298"/>
      <c r="S486" s="1" t="s">
        <v>4037</v>
      </c>
      <c r="T486">
        <v>0</v>
      </c>
      <c r="U486" t="s">
        <v>4038</v>
      </c>
      <c r="X486">
        <v>0</v>
      </c>
      <c r="Y486">
        <v>0</v>
      </c>
      <c r="Z486">
        <v>0</v>
      </c>
      <c r="AA486">
        <v>0</v>
      </c>
      <c r="AB486">
        <v>0</v>
      </c>
      <c r="AC486">
        <v>0</v>
      </c>
      <c r="AD486">
        <v>0</v>
      </c>
      <c r="AE486">
        <v>0</v>
      </c>
      <c r="AF486">
        <v>0</v>
      </c>
      <c r="AG486">
        <v>0</v>
      </c>
      <c r="AH486">
        <v>0</v>
      </c>
      <c r="AI486">
        <v>0</v>
      </c>
      <c r="AJ486">
        <v>1</v>
      </c>
      <c r="AK486">
        <v>0</v>
      </c>
      <c r="AL486">
        <v>0</v>
      </c>
      <c r="AM486">
        <v>0</v>
      </c>
      <c r="AN486">
        <v>0</v>
      </c>
      <c r="AO486">
        <v>0</v>
      </c>
      <c r="AP486">
        <v>0</v>
      </c>
      <c r="AQ486">
        <v>0</v>
      </c>
      <c r="AR486">
        <v>0</v>
      </c>
      <c r="AS486">
        <v>0</v>
      </c>
      <c r="AT486">
        <v>0</v>
      </c>
      <c r="AU486">
        <v>0</v>
      </c>
      <c r="AV486">
        <v>0</v>
      </c>
      <c r="AW486">
        <v>0</v>
      </c>
      <c r="AX486">
        <v>0</v>
      </c>
      <c r="AY486">
        <v>0</v>
      </c>
      <c r="AZ486" s="141">
        <f t="shared" si="543"/>
        <v>1</v>
      </c>
      <c r="BA486" s="141">
        <f t="shared" si="544"/>
        <v>1</v>
      </c>
      <c r="BB486">
        <f t="shared" si="545"/>
        <v>0</v>
      </c>
      <c r="BC486">
        <f t="shared" si="546"/>
        <v>1</v>
      </c>
      <c r="BD486">
        <f t="shared" si="547"/>
        <v>0</v>
      </c>
      <c r="BE486">
        <f t="shared" si="548"/>
        <v>0</v>
      </c>
      <c r="BF486">
        <f t="shared" si="549"/>
        <v>0</v>
      </c>
      <c r="BG486" t="str" cm="1">
        <f t="array" ref="BG486">IF(BA486=1,INDEX($X$7:$AN$7,MATCH(TRUE,INDEX($X486:$AY486&lt;&gt;0,),0)),IF(BA486=0,INDEX($AO$7:$AY$7,MATCH(1,$AO486:$AY486,0)),IF(BH486="Multiple strategies","mixed drivers",IF(BH486="Supply chain","multiple supply","multiple silviculture"))))</f>
        <v xml:space="preserve">end of life disposal </v>
      </c>
      <c r="BH486" s="2" t="str" cm="1">
        <f t="array" ref="BH486">IF(COUNTIF(BB486:BD486,"&lt;&gt;0")=1,INDEX($X$4:$AY$4,MATCH(TRUE,INDEX($X486:$AY486&lt;&gt;0,),0)),IF(COUNTIF(BB486:BD486,"&lt;&gt;0")=0,INDEX($AO$4:$AY$4,MATCH(1,$AO486:$AY486,0)),"Multiple strategies"))</f>
        <v>Supply chain</v>
      </c>
      <c r="BO486" s="143"/>
      <c r="BP486" s="143"/>
      <c r="BR486" t="s">
        <v>232</v>
      </c>
      <c r="BT486" t="s">
        <v>4039</v>
      </c>
      <c r="BU486">
        <f>-971.4-125.5</f>
        <v>-1096.9000000000001</v>
      </c>
      <c r="BV486">
        <f>-582.6</f>
        <v>-582.6</v>
      </c>
      <c r="BW486" s="144">
        <f t="shared" si="575"/>
        <v>0.53113319354544619</v>
      </c>
      <c r="BX486" s="144">
        <f t="shared" si="573"/>
        <v>514.30000000000007</v>
      </c>
      <c r="BY486" s="144"/>
      <c r="BZ486">
        <f t="shared" si="576"/>
        <v>0.51430000000000009</v>
      </c>
      <c r="CA486" t="str">
        <f t="shared" si="550"/>
        <v/>
      </c>
      <c r="CB486">
        <v>0</v>
      </c>
      <c r="CC486">
        <v>0</v>
      </c>
      <c r="CD486">
        <v>0</v>
      </c>
      <c r="CE486">
        <v>0</v>
      </c>
      <c r="CF486">
        <v>0</v>
      </c>
      <c r="CG486">
        <v>0</v>
      </c>
      <c r="CH486">
        <v>0</v>
      </c>
      <c r="CI486">
        <v>0</v>
      </c>
      <c r="CJ486">
        <v>0</v>
      </c>
      <c r="CK486">
        <v>0</v>
      </c>
      <c r="CL486">
        <v>0</v>
      </c>
      <c r="CM486">
        <v>0</v>
      </c>
      <c r="CN486">
        <v>0</v>
      </c>
      <c r="CO486">
        <v>0</v>
      </c>
      <c r="CP486" t="str">
        <f t="shared" si="577"/>
        <v>refOK</v>
      </c>
      <c r="CQ486"/>
      <c r="CR486"/>
      <c r="CS486"/>
      <c r="CT486">
        <f t="shared" si="551"/>
        <v>0</v>
      </c>
      <c r="CU486">
        <f t="shared" si="578"/>
        <v>-1096.9000000000001</v>
      </c>
      <c r="CV486">
        <f t="shared" si="579"/>
        <v>-582.6</v>
      </c>
      <c r="CW486">
        <f t="shared" si="552"/>
        <v>0.51430000000000009</v>
      </c>
      <c r="CX486" t="str">
        <f t="shared" si="574"/>
        <v/>
      </c>
      <c r="CY486" t="str">
        <f t="shared" si="574"/>
        <v/>
      </c>
      <c r="CZ486" t="str">
        <f t="shared" si="553"/>
        <v/>
      </c>
      <c r="DA486" s="2">
        <f t="shared" si="554"/>
        <v>0.46886680645455375</v>
      </c>
      <c r="DB486" s="1" t="s">
        <v>263</v>
      </c>
      <c r="DC486" s="297" t="str">
        <f t="shared" si="555"/>
        <v>loc</v>
      </c>
      <c r="DD486" t="s">
        <v>527</v>
      </c>
      <c r="DG486">
        <f t="shared" si="572"/>
        <v>0</v>
      </c>
      <c r="DH486" t="str">
        <f t="shared" si="556"/>
        <v>0</v>
      </c>
      <c r="DI486">
        <v>0</v>
      </c>
      <c r="DJ486">
        <v>1</v>
      </c>
      <c r="DK486">
        <v>0</v>
      </c>
      <c r="DL486">
        <v>0</v>
      </c>
      <c r="DM486">
        <v>0</v>
      </c>
      <c r="DN486">
        <f t="shared" si="541"/>
        <v>1</v>
      </c>
      <c r="DO486" t="str">
        <f t="shared" si="557"/>
        <v>EnergyInput</v>
      </c>
      <c r="DP486">
        <f t="shared" si="558"/>
        <v>0</v>
      </c>
      <c r="DQ486" t="str">
        <f t="shared" si="559"/>
        <v>Energy</v>
      </c>
      <c r="DR486">
        <f t="shared" si="560"/>
        <v>0</v>
      </c>
      <c r="DS486">
        <f t="shared" si="561"/>
        <v>0</v>
      </c>
      <c r="DT486">
        <v>0</v>
      </c>
      <c r="DU486">
        <v>0</v>
      </c>
      <c r="DV486">
        <v>0</v>
      </c>
      <c r="DW486">
        <v>0</v>
      </c>
      <c r="DX486">
        <v>0</v>
      </c>
      <c r="DY486">
        <f t="shared" si="542"/>
        <v>0</v>
      </c>
      <c r="DZ486" s="143" t="str">
        <f t="shared" si="562"/>
        <v>explicit C balance</v>
      </c>
      <c r="EA486">
        <v>0</v>
      </c>
      <c r="EB486">
        <v>0</v>
      </c>
      <c r="EC486">
        <v>0</v>
      </c>
      <c r="ED486">
        <v>0</v>
      </c>
      <c r="EE486">
        <v>1</v>
      </c>
      <c r="EF486" s="143">
        <v>1</v>
      </c>
      <c r="EG486">
        <v>0</v>
      </c>
      <c r="EH486">
        <v>1</v>
      </c>
      <c r="EI486">
        <v>0</v>
      </c>
      <c r="EJ486">
        <v>0</v>
      </c>
      <c r="EK486">
        <v>0</v>
      </c>
      <c r="EL486">
        <v>0</v>
      </c>
      <c r="EM486">
        <v>0</v>
      </c>
      <c r="EN486" s="2">
        <v>0</v>
      </c>
      <c r="EP486" t="str">
        <f t="shared" si="563"/>
        <v/>
      </c>
      <c r="EQ486" t="str">
        <f t="shared" si="564"/>
        <v/>
      </c>
      <c r="ER486" s="2" t="str">
        <f t="shared" si="565"/>
        <v/>
      </c>
      <c r="ES486" t="str">
        <f t="shared" si="566"/>
        <v/>
      </c>
      <c r="ET486" t="str">
        <f t="shared" si="567"/>
        <v/>
      </c>
      <c r="EU486" t="str">
        <f t="shared" si="568"/>
        <v/>
      </c>
      <c r="EW486" t="s">
        <v>4040</v>
      </c>
      <c r="EY486" t="b">
        <f>IF(ISNUMBER(BW486),IF(ABS(BW486-[1]QC_indicators!$B$2)&gt;3*[1]QC_indicators!$C$2,"C ratio",IF(ISNUMBER(CA486),IF(ABS(CA486-[1]QC_indicators!$B$1)&gt;3*[1]QC_indicators!$C$1,"DF","no"))),IF(ISNUMBER(CA486),IF(ABS(CA486-[1]QC_indicators!$B$1)&gt;3*[1]QC_indicators!$C$1,"DF","no")))</f>
        <v>0</v>
      </c>
      <c r="FA486" t="str">
        <f t="shared" si="569"/>
        <v/>
      </c>
    </row>
    <row r="487" spans="1:158" ht="15" hidden="1" customHeight="1">
      <c r="A487" s="1" t="s">
        <v>4046</v>
      </c>
      <c r="B487" t="s">
        <v>4047</v>
      </c>
      <c r="C487" t="s">
        <v>4048</v>
      </c>
      <c r="D487" t="s">
        <v>4049</v>
      </c>
      <c r="E487" t="s">
        <v>4050</v>
      </c>
      <c r="F487" t="s">
        <v>4051</v>
      </c>
      <c r="G487" t="s">
        <v>4052</v>
      </c>
      <c r="H487" t="s">
        <v>254</v>
      </c>
      <c r="I487">
        <v>2015</v>
      </c>
      <c r="J487">
        <v>3</v>
      </c>
      <c r="K487" t="s">
        <v>4053</v>
      </c>
      <c r="M487" t="str">
        <f t="shared" si="535"/>
        <v>Zhou_2015</v>
      </c>
      <c r="N487" s="297" t="s">
        <v>4058</v>
      </c>
      <c r="O487" s="145" t="s">
        <v>1029</v>
      </c>
      <c r="Q487" s="297" t="s">
        <v>256</v>
      </c>
      <c r="R487" s="298"/>
      <c r="S487" s="1" t="s">
        <v>4056</v>
      </c>
      <c r="T487" t="s">
        <v>1072</v>
      </c>
      <c r="U487" t="s">
        <v>1073</v>
      </c>
      <c r="X487">
        <v>0</v>
      </c>
      <c r="Y487">
        <v>0</v>
      </c>
      <c r="Z487">
        <v>0</v>
      </c>
      <c r="AA487">
        <v>0</v>
      </c>
      <c r="AB487">
        <v>0</v>
      </c>
      <c r="AC487">
        <v>0</v>
      </c>
      <c r="AD487">
        <v>0</v>
      </c>
      <c r="AE487">
        <v>0</v>
      </c>
      <c r="AF487">
        <v>1</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s="141">
        <f t="shared" si="543"/>
        <v>1</v>
      </c>
      <c r="BA487" s="141">
        <f t="shared" si="544"/>
        <v>1</v>
      </c>
      <c r="BB487">
        <f t="shared" si="545"/>
        <v>0</v>
      </c>
      <c r="BC487">
        <f t="shared" si="546"/>
        <v>1</v>
      </c>
      <c r="BD487">
        <f t="shared" si="547"/>
        <v>0</v>
      </c>
      <c r="BE487">
        <f t="shared" si="548"/>
        <v>0</v>
      </c>
      <c r="BF487">
        <f t="shared" si="549"/>
        <v>0</v>
      </c>
      <c r="BG487" t="str" cm="1">
        <f t="array" ref="BG487">IF(BA487=1,INDEX($X$7:$AN$7,MATCH(TRUE,INDEX($X487:$AY487&lt;&gt;0,),0)),IF(BA487=0,INDEX($AO$7:$AY$7,MATCH(1,$AO487:$AY487,0)),IF(BH487="Multiple strategies","mixed drivers",IF(BH487="Supply chain","multiple supply","multiple silviculture"))))</f>
        <v>harvesting system</v>
      </c>
      <c r="BH487" s="2" t="str" cm="1">
        <f t="array" ref="BH487">IF(COUNTIF(BB487:BD487,"&lt;&gt;0")=1,INDEX($X$4:$AY$4,MATCH(TRUE,INDEX($X487:$AY487&lt;&gt;0,),0)),IF(COUNTIF(BB487:BD487,"&lt;&gt;0")=0,INDEX($AO$4:$AY$4,MATCH(1,$AO487:$AY487,0)),"Multiple strategies"))</f>
        <v>Supply chain</v>
      </c>
      <c r="BO487" s="143"/>
      <c r="BP487" s="143"/>
      <c r="BR487" t="s">
        <v>232</v>
      </c>
      <c r="BT487" t="s">
        <v>4055</v>
      </c>
      <c r="BU487">
        <v>-15.301000000000002</v>
      </c>
      <c r="BV487">
        <v>-14.633000000000001</v>
      </c>
      <c r="BW487" s="144">
        <f t="shared" si="575"/>
        <v>0.9563427226978628</v>
      </c>
      <c r="BX487" s="144">
        <f t="shared" si="573"/>
        <v>0.66800000000000104</v>
      </c>
      <c r="BY487" s="144"/>
      <c r="BZ487">
        <f t="shared" si="576"/>
        <v>6.6800000000000106E-4</v>
      </c>
      <c r="CA487" t="str">
        <f t="shared" si="550"/>
        <v/>
      </c>
      <c r="CB487">
        <v>0</v>
      </c>
      <c r="CC487">
        <v>0</v>
      </c>
      <c r="CD487">
        <v>0</v>
      </c>
      <c r="CE487">
        <v>0</v>
      </c>
      <c r="CF487">
        <v>0</v>
      </c>
      <c r="CG487">
        <v>0</v>
      </c>
      <c r="CH487">
        <v>0</v>
      </c>
      <c r="CI487">
        <v>0</v>
      </c>
      <c r="CJ487">
        <v>0</v>
      </c>
      <c r="CK487">
        <v>0</v>
      </c>
      <c r="CL487">
        <v>0</v>
      </c>
      <c r="CM487">
        <v>0</v>
      </c>
      <c r="CN487">
        <v>0</v>
      </c>
      <c r="CO487">
        <v>0</v>
      </c>
      <c r="CP487" t="str">
        <f t="shared" si="577"/>
        <v>refOK</v>
      </c>
      <c r="CQ487"/>
      <c r="CR487"/>
      <c r="CS487"/>
      <c r="CT487">
        <f t="shared" si="551"/>
        <v>0</v>
      </c>
      <c r="CU487">
        <f t="shared" si="578"/>
        <v>-15.301000000000002</v>
      </c>
      <c r="CV487">
        <f t="shared" si="579"/>
        <v>-14.633000000000001</v>
      </c>
      <c r="CW487">
        <f t="shared" si="552"/>
        <v>6.6800000000000106E-4</v>
      </c>
      <c r="CX487" t="str">
        <f t="shared" si="574"/>
        <v/>
      </c>
      <c r="CY487" t="str">
        <f t="shared" si="574"/>
        <v/>
      </c>
      <c r="CZ487" t="str">
        <f t="shared" si="553"/>
        <v/>
      </c>
      <c r="DA487" s="2">
        <f t="shared" si="554"/>
        <v>4.3657277302137178E-2</v>
      </c>
      <c r="DB487" s="1" t="s">
        <v>263</v>
      </c>
      <c r="DC487" s="297" t="str">
        <f t="shared" si="555"/>
        <v>loc</v>
      </c>
      <c r="DD487" t="s">
        <v>677</v>
      </c>
      <c r="DG487">
        <f t="shared" si="572"/>
        <v>0</v>
      </c>
      <c r="DH487" t="str">
        <f t="shared" si="556"/>
        <v>0</v>
      </c>
      <c r="DI487">
        <v>1</v>
      </c>
      <c r="DJ487">
        <v>0</v>
      </c>
      <c r="DK487">
        <v>0</v>
      </c>
      <c r="DL487">
        <v>0</v>
      </c>
      <c r="DM487">
        <v>0</v>
      </c>
      <c r="DN487">
        <f t="shared" si="541"/>
        <v>1</v>
      </c>
      <c r="DO487" t="str">
        <f t="shared" si="557"/>
        <v>UpstreamInput</v>
      </c>
      <c r="DP487" t="str">
        <f t="shared" si="558"/>
        <v>Upstream</v>
      </c>
      <c r="DQ487">
        <f t="shared" si="559"/>
        <v>0</v>
      </c>
      <c r="DR487">
        <f t="shared" si="560"/>
        <v>0</v>
      </c>
      <c r="DS487">
        <f t="shared" si="561"/>
        <v>0</v>
      </c>
      <c r="DT487">
        <v>0</v>
      </c>
      <c r="DU487">
        <v>0</v>
      </c>
      <c r="DV487">
        <v>0</v>
      </c>
      <c r="DW487">
        <v>0</v>
      </c>
      <c r="DX487">
        <v>0</v>
      </c>
      <c r="DY487">
        <f t="shared" si="542"/>
        <v>0</v>
      </c>
      <c r="DZ487" s="143" t="str">
        <f t="shared" si="562"/>
        <v>explicit C balance</v>
      </c>
      <c r="EA487">
        <v>0</v>
      </c>
      <c r="EB487">
        <v>0</v>
      </c>
      <c r="EC487">
        <v>0</v>
      </c>
      <c r="ED487">
        <v>0</v>
      </c>
      <c r="EE487">
        <v>0</v>
      </c>
      <c r="EF487" s="143">
        <v>0</v>
      </c>
      <c r="EG487">
        <v>1</v>
      </c>
      <c r="EH487">
        <v>1</v>
      </c>
      <c r="EI487">
        <v>0</v>
      </c>
      <c r="EJ487">
        <v>0</v>
      </c>
      <c r="EK487">
        <v>0</v>
      </c>
      <c r="EL487">
        <v>0</v>
      </c>
      <c r="EM487">
        <v>0</v>
      </c>
      <c r="EN487" s="2">
        <v>0</v>
      </c>
      <c r="EP487" t="str">
        <f t="shared" si="563"/>
        <v/>
      </c>
      <c r="EQ487" t="str">
        <f t="shared" si="564"/>
        <v/>
      </c>
      <c r="ER487" s="2" t="str">
        <f t="shared" si="565"/>
        <v>Technology approach</v>
      </c>
      <c r="ES487" t="str">
        <f t="shared" si="566"/>
        <v/>
      </c>
      <c r="ET487" t="str">
        <f t="shared" si="567"/>
        <v/>
      </c>
      <c r="EU487" t="str">
        <f t="shared" si="568"/>
        <v/>
      </c>
      <c r="EY487" t="b">
        <f>IF(ISNUMBER(BW487),IF(ABS(BW487-[1]QC_indicators!$B$2)&gt;3*[1]QC_indicators!$C$2,"C ratio",IF(ISNUMBER(CA487),IF(ABS(CA487-[1]QC_indicators!$B$1)&gt;3*[1]QC_indicators!$C$1,"DF","no"))),IF(ISNUMBER(CA487),IF(ABS(CA487-[1]QC_indicators!$B$1)&gt;3*[1]QC_indicators!$C$1,"DF","no")))</f>
        <v>0</v>
      </c>
      <c r="FA487" t="str">
        <f t="shared" si="569"/>
        <v/>
      </c>
    </row>
    <row r="488" spans="1:158" ht="15" hidden="1" customHeight="1">
      <c r="A488" s="1" t="s">
        <v>4046</v>
      </c>
      <c r="B488" t="s">
        <v>4047</v>
      </c>
      <c r="C488" t="s">
        <v>4048</v>
      </c>
      <c r="D488" t="s">
        <v>4049</v>
      </c>
      <c r="E488" t="s">
        <v>4050</v>
      </c>
      <c r="F488" t="s">
        <v>4051</v>
      </c>
      <c r="G488" t="s">
        <v>4052</v>
      </c>
      <c r="H488" t="s">
        <v>254</v>
      </c>
      <c r="I488">
        <v>2015</v>
      </c>
      <c r="J488">
        <v>3</v>
      </c>
      <c r="K488" t="s">
        <v>4053</v>
      </c>
      <c r="M488" t="str">
        <f t="shared" si="535"/>
        <v>Zhou_2015</v>
      </c>
      <c r="N488" s="297" t="s">
        <v>4058</v>
      </c>
      <c r="O488" s="145" t="s">
        <v>1029</v>
      </c>
      <c r="Q488" s="297" t="s">
        <v>256</v>
      </c>
      <c r="R488" s="298"/>
      <c r="S488" s="1" t="s">
        <v>4056</v>
      </c>
      <c r="T488" t="s">
        <v>1072</v>
      </c>
      <c r="U488" t="s">
        <v>1073</v>
      </c>
      <c r="X488">
        <v>0</v>
      </c>
      <c r="Y488">
        <v>0</v>
      </c>
      <c r="Z488">
        <v>0</v>
      </c>
      <c r="AA488">
        <v>0</v>
      </c>
      <c r="AB488">
        <v>0</v>
      </c>
      <c r="AC488">
        <v>0</v>
      </c>
      <c r="AD488">
        <v>0</v>
      </c>
      <c r="AE488">
        <v>0</v>
      </c>
      <c r="AF488">
        <v>1</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s="141">
        <f t="shared" si="543"/>
        <v>1</v>
      </c>
      <c r="BA488" s="141">
        <f t="shared" si="544"/>
        <v>1</v>
      </c>
      <c r="BB488">
        <f t="shared" si="545"/>
        <v>0</v>
      </c>
      <c r="BC488">
        <f t="shared" si="546"/>
        <v>1</v>
      </c>
      <c r="BD488">
        <f t="shared" si="547"/>
        <v>0</v>
      </c>
      <c r="BE488">
        <f t="shared" si="548"/>
        <v>0</v>
      </c>
      <c r="BF488">
        <f t="shared" si="549"/>
        <v>0</v>
      </c>
      <c r="BG488" t="str" cm="1">
        <f t="array" ref="BG488">IF(BA488=1,INDEX($X$7:$AN$7,MATCH(TRUE,INDEX($X488:$AY488&lt;&gt;0,),0)),IF(BA488=0,INDEX($AO$7:$AY$7,MATCH(1,$AO488:$AY488,0)),IF(BH488="Multiple strategies","mixed drivers",IF(BH488="Supply chain","multiple supply","multiple silviculture"))))</f>
        <v>harvesting system</v>
      </c>
      <c r="BH488" s="2" t="str" cm="1">
        <f t="array" ref="BH488">IF(COUNTIF(BB488:BD488,"&lt;&gt;0")=1,INDEX($X$4:$AY$4,MATCH(TRUE,INDEX($X488:$AY488&lt;&gt;0,),0)),IF(COUNTIF(BB488:BD488,"&lt;&gt;0")=0,INDEX($AO$4:$AY$4,MATCH(1,$AO488:$AY488,0)),"Multiple strategies"))</f>
        <v>Supply chain</v>
      </c>
      <c r="BO488" s="143"/>
      <c r="BP488" s="143"/>
      <c r="BR488" t="s">
        <v>232</v>
      </c>
      <c r="BT488" t="s">
        <v>4055</v>
      </c>
      <c r="BU488">
        <v>-2.665</v>
      </c>
      <c r="BV488">
        <v>-1.9969999999999999</v>
      </c>
      <c r="BW488" s="144">
        <f t="shared" si="575"/>
        <v>0.74934333958724197</v>
      </c>
      <c r="BX488" s="144">
        <f t="shared" si="573"/>
        <v>0.66800000000000015</v>
      </c>
      <c r="BY488" s="144"/>
      <c r="BZ488">
        <f t="shared" si="576"/>
        <v>6.6800000000000019E-4</v>
      </c>
      <c r="CA488" t="str">
        <f t="shared" si="550"/>
        <v/>
      </c>
      <c r="CB488">
        <v>0</v>
      </c>
      <c r="CC488">
        <v>0</v>
      </c>
      <c r="CD488">
        <v>0</v>
      </c>
      <c r="CE488">
        <v>0</v>
      </c>
      <c r="CF488">
        <v>0</v>
      </c>
      <c r="CG488">
        <v>0</v>
      </c>
      <c r="CH488">
        <v>0</v>
      </c>
      <c r="CI488">
        <v>0</v>
      </c>
      <c r="CJ488">
        <v>0</v>
      </c>
      <c r="CK488">
        <v>0</v>
      </c>
      <c r="CL488">
        <v>0</v>
      </c>
      <c r="CM488">
        <v>0</v>
      </c>
      <c r="CN488">
        <v>0</v>
      </c>
      <c r="CO488">
        <v>0</v>
      </c>
      <c r="CP488" t="str">
        <f t="shared" si="577"/>
        <v>refOK</v>
      </c>
      <c r="CQ488"/>
      <c r="CR488"/>
      <c r="CS488"/>
      <c r="CT488">
        <f t="shared" si="551"/>
        <v>0</v>
      </c>
      <c r="CU488">
        <f t="shared" si="578"/>
        <v>-2.665</v>
      </c>
      <c r="CV488">
        <f t="shared" si="579"/>
        <v>-1.9969999999999999</v>
      </c>
      <c r="CW488">
        <f t="shared" si="552"/>
        <v>6.6800000000000019E-4</v>
      </c>
      <c r="CX488" t="str">
        <f t="shared" si="574"/>
        <v/>
      </c>
      <c r="CY488" t="str">
        <f t="shared" si="574"/>
        <v/>
      </c>
      <c r="CZ488" t="str">
        <f t="shared" si="553"/>
        <v/>
      </c>
      <c r="DA488" s="2">
        <f t="shared" si="554"/>
        <v>0.25065666041275803</v>
      </c>
      <c r="DB488" s="1" t="s">
        <v>263</v>
      </c>
      <c r="DC488" s="297" t="str">
        <f t="shared" si="555"/>
        <v>loc</v>
      </c>
      <c r="DD488" t="s">
        <v>677</v>
      </c>
      <c r="DG488">
        <f t="shared" si="572"/>
        <v>0</v>
      </c>
      <c r="DH488" t="str">
        <f t="shared" si="556"/>
        <v>0</v>
      </c>
      <c r="DI488">
        <v>1</v>
      </c>
      <c r="DJ488">
        <v>0</v>
      </c>
      <c r="DK488">
        <v>0</v>
      </c>
      <c r="DL488">
        <v>0</v>
      </c>
      <c r="DM488">
        <v>0</v>
      </c>
      <c r="DN488">
        <f t="shared" si="541"/>
        <v>1</v>
      </c>
      <c r="DO488" t="str">
        <f t="shared" si="557"/>
        <v>UpstreamInput</v>
      </c>
      <c r="DP488" t="str">
        <f t="shared" si="558"/>
        <v>Upstream</v>
      </c>
      <c r="DQ488">
        <f t="shared" si="559"/>
        <v>0</v>
      </c>
      <c r="DR488">
        <f t="shared" si="560"/>
        <v>0</v>
      </c>
      <c r="DS488">
        <f t="shared" si="561"/>
        <v>0</v>
      </c>
      <c r="DT488">
        <v>0</v>
      </c>
      <c r="DU488">
        <v>0</v>
      </c>
      <c r="DV488">
        <v>0</v>
      </c>
      <c r="DW488">
        <v>0</v>
      </c>
      <c r="DX488">
        <v>0</v>
      </c>
      <c r="DY488">
        <f t="shared" si="542"/>
        <v>0</v>
      </c>
      <c r="DZ488" s="143" t="str">
        <f t="shared" si="562"/>
        <v>explicit C balance</v>
      </c>
      <c r="EA488">
        <v>0</v>
      </c>
      <c r="EB488">
        <v>0</v>
      </c>
      <c r="EC488">
        <v>0</v>
      </c>
      <c r="ED488">
        <v>0</v>
      </c>
      <c r="EE488">
        <v>0</v>
      </c>
      <c r="EF488" s="143">
        <v>0</v>
      </c>
      <c r="EG488">
        <v>1</v>
      </c>
      <c r="EH488">
        <v>0</v>
      </c>
      <c r="EI488">
        <v>0</v>
      </c>
      <c r="EJ488">
        <v>0</v>
      </c>
      <c r="EK488">
        <v>0</v>
      </c>
      <c r="EL488">
        <v>0</v>
      </c>
      <c r="EM488">
        <v>0</v>
      </c>
      <c r="EN488" s="2">
        <v>0</v>
      </c>
      <c r="EP488" t="str">
        <f t="shared" si="563"/>
        <v/>
      </c>
      <c r="EQ488" t="str">
        <f t="shared" si="564"/>
        <v/>
      </c>
      <c r="ER488" s="2" t="str">
        <f t="shared" si="565"/>
        <v/>
      </c>
      <c r="ES488" t="str">
        <f t="shared" si="566"/>
        <v/>
      </c>
      <c r="ET488" t="str">
        <f t="shared" si="567"/>
        <v/>
      </c>
      <c r="EU488" t="str">
        <f t="shared" si="568"/>
        <v/>
      </c>
      <c r="EY488" t="b">
        <f>IF(ISNUMBER(BW488),IF(ABS(BW488-[1]QC_indicators!$B$2)&gt;3*[1]QC_indicators!$C$2,"C ratio",IF(ISNUMBER(CA488),IF(ABS(CA488-[1]QC_indicators!$B$1)&gt;3*[1]QC_indicators!$C$1,"DF","no"))),IF(ISNUMBER(CA488),IF(ABS(CA488-[1]QC_indicators!$B$1)&gt;3*[1]QC_indicators!$C$1,"DF","no")))</f>
        <v>0</v>
      </c>
      <c r="FA488" t="str">
        <f t="shared" si="569"/>
        <v/>
      </c>
    </row>
    <row r="489" spans="1:158" ht="15" hidden="1" customHeight="1">
      <c r="A489" s="1" t="s">
        <v>4046</v>
      </c>
      <c r="B489" t="s">
        <v>4047</v>
      </c>
      <c r="C489" t="s">
        <v>4048</v>
      </c>
      <c r="D489" t="s">
        <v>4049</v>
      </c>
      <c r="E489" t="s">
        <v>4050</v>
      </c>
      <c r="F489" t="s">
        <v>4051</v>
      </c>
      <c r="G489" t="s">
        <v>4052</v>
      </c>
      <c r="H489" t="s">
        <v>254</v>
      </c>
      <c r="I489">
        <v>2015</v>
      </c>
      <c r="J489">
        <v>3</v>
      </c>
      <c r="K489" t="s">
        <v>4053</v>
      </c>
      <c r="M489" t="str">
        <f t="shared" si="535"/>
        <v>Zhou_2015</v>
      </c>
      <c r="N489" s="297" t="s">
        <v>4058</v>
      </c>
      <c r="O489" s="145" t="s">
        <v>1029</v>
      </c>
      <c r="Q489" s="297" t="s">
        <v>256</v>
      </c>
      <c r="R489" s="298"/>
      <c r="S489" s="1" t="s">
        <v>4054</v>
      </c>
      <c r="T489" t="s">
        <v>1072</v>
      </c>
      <c r="U489" t="s">
        <v>1073</v>
      </c>
      <c r="X489">
        <v>0</v>
      </c>
      <c r="Y489">
        <v>0</v>
      </c>
      <c r="Z489">
        <v>0</v>
      </c>
      <c r="AA489">
        <v>0</v>
      </c>
      <c r="AB489">
        <v>0</v>
      </c>
      <c r="AC489">
        <v>0</v>
      </c>
      <c r="AD489">
        <v>0</v>
      </c>
      <c r="AE489">
        <v>0</v>
      </c>
      <c r="AF489">
        <v>0</v>
      </c>
      <c r="AG489">
        <v>0</v>
      </c>
      <c r="AH489">
        <v>0</v>
      </c>
      <c r="AI489">
        <v>0</v>
      </c>
      <c r="AJ489">
        <v>0</v>
      </c>
      <c r="AK489">
        <v>0</v>
      </c>
      <c r="AL489">
        <v>1</v>
      </c>
      <c r="AM489">
        <v>0</v>
      </c>
      <c r="AN489">
        <v>0</v>
      </c>
      <c r="AO489">
        <v>0</v>
      </c>
      <c r="AP489">
        <v>0</v>
      </c>
      <c r="AQ489">
        <v>0</v>
      </c>
      <c r="AR489">
        <v>0</v>
      </c>
      <c r="AS489">
        <v>0</v>
      </c>
      <c r="AT489">
        <v>0</v>
      </c>
      <c r="AU489">
        <v>0</v>
      </c>
      <c r="AV489">
        <v>0</v>
      </c>
      <c r="AW489">
        <v>0</v>
      </c>
      <c r="AX489">
        <v>0</v>
      </c>
      <c r="AY489">
        <v>0</v>
      </c>
      <c r="AZ489" s="141">
        <f t="shared" si="543"/>
        <v>1</v>
      </c>
      <c r="BA489" s="141">
        <f t="shared" si="544"/>
        <v>1</v>
      </c>
      <c r="BB489">
        <f t="shared" si="545"/>
        <v>0</v>
      </c>
      <c r="BC489">
        <f t="shared" si="546"/>
        <v>0</v>
      </c>
      <c r="BD489">
        <f t="shared" si="547"/>
        <v>1</v>
      </c>
      <c r="BE489">
        <f t="shared" si="548"/>
        <v>0</v>
      </c>
      <c r="BF489">
        <f t="shared" si="549"/>
        <v>0</v>
      </c>
      <c r="BG489" t="str" cm="1">
        <f t="array" ref="BG489">IF(BA489=1,INDEX($X$7:$AN$7,MATCH(TRUE,INDEX($X489:$AY489&lt;&gt;0,),0)),IF(BA489=0,INDEX($AO$7:$AY$7,MATCH(1,$AO489:$AY489,0)),IF(BH489="Multiple strategies","mixed drivers",IF(BH489="Supply chain","multiple supply","multiple silviculture"))))</f>
        <v>efficiency improvement</v>
      </c>
      <c r="BH489" s="2" t="str" cm="1">
        <f t="array" ref="BH489">IF(COUNTIF(BB489:BD489,"&lt;&gt;0")=1,INDEX($X$4:$AY$4,MATCH(TRUE,INDEX($X489:$AY489&lt;&gt;0,),0)),IF(COUNTIF(BB489:BD489,"&lt;&gt;0")=0,INDEX($AO$4:$AY$4,MATCH(1,$AO489:$AY489,0)),"Multiple strategies"))</f>
        <v>Technology</v>
      </c>
      <c r="BO489" s="143"/>
      <c r="BP489" s="143"/>
      <c r="BR489" t="s">
        <v>232</v>
      </c>
      <c r="BT489" t="s">
        <v>4055</v>
      </c>
      <c r="BU489">
        <v>-14.633000000000001</v>
      </c>
      <c r="BV489">
        <v>-12.265999999999998</v>
      </c>
      <c r="BW489" s="144">
        <f t="shared" si="575"/>
        <v>0.83824232898243678</v>
      </c>
      <c r="BX489" s="144">
        <f t="shared" si="573"/>
        <v>2.3670000000000027</v>
      </c>
      <c r="BY489" s="144"/>
      <c r="BZ489">
        <f t="shared" si="576"/>
        <v>2.3670000000000028E-3</v>
      </c>
      <c r="CA489" t="str">
        <f t="shared" si="550"/>
        <v/>
      </c>
      <c r="CB489">
        <v>0</v>
      </c>
      <c r="CC489">
        <v>0</v>
      </c>
      <c r="CD489">
        <v>0</v>
      </c>
      <c r="CE489">
        <v>0</v>
      </c>
      <c r="CF489">
        <v>0</v>
      </c>
      <c r="CG489">
        <v>0</v>
      </c>
      <c r="CH489">
        <v>0</v>
      </c>
      <c r="CI489">
        <v>0</v>
      </c>
      <c r="CJ489">
        <v>0</v>
      </c>
      <c r="CK489">
        <v>0</v>
      </c>
      <c r="CL489">
        <v>0</v>
      </c>
      <c r="CM489">
        <v>0</v>
      </c>
      <c r="CN489">
        <v>0</v>
      </c>
      <c r="CO489">
        <v>0</v>
      </c>
      <c r="CP489" t="str">
        <f t="shared" si="577"/>
        <v>refOK</v>
      </c>
      <c r="CQ489"/>
      <c r="CR489"/>
      <c r="CS489"/>
      <c r="CT489">
        <f t="shared" si="551"/>
        <v>0</v>
      </c>
      <c r="CU489">
        <f t="shared" si="578"/>
        <v>-14.633000000000001</v>
      </c>
      <c r="CV489">
        <f t="shared" si="579"/>
        <v>-12.265999999999998</v>
      </c>
      <c r="CW489">
        <f t="shared" si="552"/>
        <v>2.3670000000000028E-3</v>
      </c>
      <c r="CX489" t="str">
        <f t="shared" si="574"/>
        <v/>
      </c>
      <c r="CY489" t="str">
        <f t="shared" si="574"/>
        <v/>
      </c>
      <c r="CZ489" t="str">
        <f t="shared" si="553"/>
        <v/>
      </c>
      <c r="DA489" s="2">
        <f t="shared" si="554"/>
        <v>0.16175767101756322</v>
      </c>
      <c r="DB489" s="1" t="s">
        <v>263</v>
      </c>
      <c r="DC489" s="297" t="str">
        <f t="shared" si="555"/>
        <v>loc</v>
      </c>
      <c r="DD489" t="s">
        <v>677</v>
      </c>
      <c r="DG489">
        <f t="shared" si="572"/>
        <v>0</v>
      </c>
      <c r="DH489" t="str">
        <f t="shared" si="556"/>
        <v>0</v>
      </c>
      <c r="DI489">
        <v>1</v>
      </c>
      <c r="DJ489">
        <v>0</v>
      </c>
      <c r="DK489">
        <v>0</v>
      </c>
      <c r="DL489">
        <v>0</v>
      </c>
      <c r="DM489">
        <v>0</v>
      </c>
      <c r="DN489">
        <f t="shared" si="541"/>
        <v>1</v>
      </c>
      <c r="DO489" t="str">
        <f t="shared" si="557"/>
        <v>UpstreamInput</v>
      </c>
      <c r="DP489" t="str">
        <f t="shared" si="558"/>
        <v>Upstream</v>
      </c>
      <c r="DQ489">
        <f t="shared" si="559"/>
        <v>0</v>
      </c>
      <c r="DR489">
        <f t="shared" si="560"/>
        <v>0</v>
      </c>
      <c r="DS489">
        <f t="shared" si="561"/>
        <v>0</v>
      </c>
      <c r="DT489">
        <v>0</v>
      </c>
      <c r="DU489">
        <v>0</v>
      </c>
      <c r="DV489">
        <v>0</v>
      </c>
      <c r="DW489">
        <v>0</v>
      </c>
      <c r="DX489">
        <v>0</v>
      </c>
      <c r="DY489">
        <f t="shared" si="542"/>
        <v>0</v>
      </c>
      <c r="DZ489" s="143" t="str">
        <f t="shared" si="562"/>
        <v>explicit C balance</v>
      </c>
      <c r="EA489">
        <v>0</v>
      </c>
      <c r="EB489">
        <v>0</v>
      </c>
      <c r="EC489">
        <v>0</v>
      </c>
      <c r="ED489">
        <v>0</v>
      </c>
      <c r="EE489">
        <v>0</v>
      </c>
      <c r="EF489" s="143">
        <v>0</v>
      </c>
      <c r="EG489">
        <v>1</v>
      </c>
      <c r="EH489">
        <v>1</v>
      </c>
      <c r="EI489">
        <v>0</v>
      </c>
      <c r="EJ489">
        <v>0</v>
      </c>
      <c r="EK489">
        <v>0</v>
      </c>
      <c r="EL489">
        <v>0</v>
      </c>
      <c r="EM489">
        <v>0</v>
      </c>
      <c r="EN489" s="2">
        <v>0</v>
      </c>
      <c r="EP489" t="str">
        <f t="shared" si="563"/>
        <v/>
      </c>
      <c r="EQ489" t="str">
        <f t="shared" si="564"/>
        <v/>
      </c>
      <c r="ER489" s="2" t="str">
        <f t="shared" si="565"/>
        <v>Technology approach</v>
      </c>
      <c r="ES489" t="str">
        <f t="shared" si="566"/>
        <v/>
      </c>
      <c r="ET489" t="str">
        <f t="shared" si="567"/>
        <v/>
      </c>
      <c r="EU489" t="str">
        <f t="shared" si="568"/>
        <v/>
      </c>
      <c r="EY489" t="b">
        <f>IF(ISNUMBER(BW489),IF(ABS(BW489-[1]QC_indicators!$B$2)&gt;3*[1]QC_indicators!$C$2,"C ratio",IF(ISNUMBER(CA489),IF(ABS(CA489-[1]QC_indicators!$B$1)&gt;3*[1]QC_indicators!$C$1,"DF","no"))),IF(ISNUMBER(CA489),IF(ABS(CA489-[1]QC_indicators!$B$1)&gt;3*[1]QC_indicators!$C$1,"DF","no")))</f>
        <v>0</v>
      </c>
      <c r="FA489" t="str">
        <f t="shared" si="569"/>
        <v/>
      </c>
    </row>
    <row r="490" spans="1:158" ht="15" hidden="1" customHeight="1">
      <c r="A490" s="1" t="s">
        <v>4046</v>
      </c>
      <c r="B490" t="s">
        <v>4047</v>
      </c>
      <c r="C490" t="s">
        <v>4048</v>
      </c>
      <c r="D490" t="s">
        <v>4049</v>
      </c>
      <c r="E490" t="s">
        <v>4050</v>
      </c>
      <c r="F490" t="s">
        <v>4051</v>
      </c>
      <c r="G490" t="s">
        <v>4052</v>
      </c>
      <c r="H490" t="s">
        <v>254</v>
      </c>
      <c r="I490">
        <v>2015</v>
      </c>
      <c r="J490">
        <v>3</v>
      </c>
      <c r="K490" t="s">
        <v>4053</v>
      </c>
      <c r="M490" t="str">
        <f t="shared" si="535"/>
        <v>Zhou_2015</v>
      </c>
      <c r="N490" s="297" t="s">
        <v>4058</v>
      </c>
      <c r="O490" s="145" t="s">
        <v>1029</v>
      </c>
      <c r="Q490" s="297" t="s">
        <v>256</v>
      </c>
      <c r="R490" s="298"/>
      <c r="S490" s="1" t="s">
        <v>4054</v>
      </c>
      <c r="T490" t="s">
        <v>1072</v>
      </c>
      <c r="U490" t="s">
        <v>1073</v>
      </c>
      <c r="X490">
        <v>0</v>
      </c>
      <c r="Y490">
        <v>0</v>
      </c>
      <c r="Z490">
        <v>0</v>
      </c>
      <c r="AA490">
        <v>0</v>
      </c>
      <c r="AB490">
        <v>0</v>
      </c>
      <c r="AC490">
        <v>0</v>
      </c>
      <c r="AD490">
        <v>0</v>
      </c>
      <c r="AE490">
        <v>0</v>
      </c>
      <c r="AF490">
        <v>0</v>
      </c>
      <c r="AG490">
        <v>0</v>
      </c>
      <c r="AH490">
        <v>0</v>
      </c>
      <c r="AI490">
        <v>0</v>
      </c>
      <c r="AJ490">
        <v>0</v>
      </c>
      <c r="AK490">
        <v>0</v>
      </c>
      <c r="AL490">
        <v>1</v>
      </c>
      <c r="AM490">
        <v>0</v>
      </c>
      <c r="AN490">
        <v>0</v>
      </c>
      <c r="AO490">
        <v>0</v>
      </c>
      <c r="AP490">
        <v>0</v>
      </c>
      <c r="AQ490">
        <v>0</v>
      </c>
      <c r="AR490">
        <v>0</v>
      </c>
      <c r="AS490">
        <v>0</v>
      </c>
      <c r="AT490">
        <v>0</v>
      </c>
      <c r="AU490">
        <v>0</v>
      </c>
      <c r="AV490">
        <v>0</v>
      </c>
      <c r="AW490">
        <v>0</v>
      </c>
      <c r="AX490">
        <v>0</v>
      </c>
      <c r="AY490">
        <v>0</v>
      </c>
      <c r="AZ490" s="141">
        <f t="shared" si="543"/>
        <v>1</v>
      </c>
      <c r="BA490" s="141">
        <f t="shared" si="544"/>
        <v>1</v>
      </c>
      <c r="BB490">
        <f t="shared" si="545"/>
        <v>0</v>
      </c>
      <c r="BC490">
        <f t="shared" si="546"/>
        <v>0</v>
      </c>
      <c r="BD490">
        <f t="shared" si="547"/>
        <v>1</v>
      </c>
      <c r="BE490">
        <f t="shared" si="548"/>
        <v>0</v>
      </c>
      <c r="BF490">
        <f t="shared" si="549"/>
        <v>0</v>
      </c>
      <c r="BG490" t="str" cm="1">
        <f t="array" ref="BG490">IF(BA490=1,INDEX($X$7:$AN$7,MATCH(TRUE,INDEX($X490:$AY490&lt;&gt;0,),0)),IF(BA490=0,INDEX($AO$7:$AY$7,MATCH(1,$AO490:$AY490,0)),IF(BH490="Multiple strategies","mixed drivers",IF(BH490="Supply chain","multiple supply","multiple silviculture"))))</f>
        <v>efficiency improvement</v>
      </c>
      <c r="BH490" s="2" t="str" cm="1">
        <f t="array" ref="BH490">IF(COUNTIF(BB490:BD490,"&lt;&gt;0")=1,INDEX($X$4:$AY$4,MATCH(TRUE,INDEX($X490:$AY490&lt;&gt;0,),0)),IF(COUNTIF(BB490:BD490,"&lt;&gt;0")=0,INDEX($AO$4:$AY$4,MATCH(1,$AO490:$AY490,0)),"Multiple strategies"))</f>
        <v>Technology</v>
      </c>
      <c r="BO490" s="143"/>
      <c r="BP490" s="143"/>
      <c r="BR490" t="s">
        <v>232</v>
      </c>
      <c r="BT490" t="s">
        <v>4055</v>
      </c>
      <c r="BU490">
        <v>-12.636000000000001</v>
      </c>
      <c r="BV490">
        <v>-9.6009999999999991</v>
      </c>
      <c r="BW490" s="144">
        <f t="shared" si="575"/>
        <v>0.75981323203545414</v>
      </c>
      <c r="BX490" s="144">
        <f t="shared" si="573"/>
        <v>3.0350000000000019</v>
      </c>
      <c r="BY490" s="144"/>
      <c r="BZ490">
        <f t="shared" si="576"/>
        <v>3.0350000000000021E-3</v>
      </c>
      <c r="CA490" t="str">
        <f t="shared" si="550"/>
        <v/>
      </c>
      <c r="CB490">
        <v>0</v>
      </c>
      <c r="CC490">
        <v>0</v>
      </c>
      <c r="CD490">
        <v>0</v>
      </c>
      <c r="CE490">
        <v>0</v>
      </c>
      <c r="CF490">
        <v>0</v>
      </c>
      <c r="CG490">
        <v>0</v>
      </c>
      <c r="CH490">
        <v>0</v>
      </c>
      <c r="CI490">
        <v>0</v>
      </c>
      <c r="CJ490">
        <v>0</v>
      </c>
      <c r="CK490">
        <v>0</v>
      </c>
      <c r="CL490">
        <v>0</v>
      </c>
      <c r="CM490">
        <v>0</v>
      </c>
      <c r="CN490">
        <v>0</v>
      </c>
      <c r="CO490">
        <v>0</v>
      </c>
      <c r="CP490" t="str">
        <f t="shared" si="577"/>
        <v>refOK</v>
      </c>
      <c r="CQ490"/>
      <c r="CR490"/>
      <c r="CS490"/>
      <c r="CT490">
        <f t="shared" si="551"/>
        <v>0</v>
      </c>
      <c r="CU490">
        <f t="shared" si="578"/>
        <v>-12.636000000000001</v>
      </c>
      <c r="CV490">
        <f t="shared" si="579"/>
        <v>-9.6009999999999991</v>
      </c>
      <c r="CW490">
        <f t="shared" si="552"/>
        <v>3.0350000000000021E-3</v>
      </c>
      <c r="CX490" t="str">
        <f t="shared" si="574"/>
        <v/>
      </c>
      <c r="CY490" t="str">
        <f t="shared" si="574"/>
        <v/>
      </c>
      <c r="CZ490" t="str">
        <f t="shared" si="553"/>
        <v/>
      </c>
      <c r="DA490" s="2">
        <f t="shared" si="554"/>
        <v>0.24018676796454588</v>
      </c>
      <c r="DB490" s="1" t="s">
        <v>263</v>
      </c>
      <c r="DC490" s="297" t="str">
        <f t="shared" si="555"/>
        <v>loc</v>
      </c>
      <c r="DD490" t="s">
        <v>677</v>
      </c>
      <c r="DG490">
        <f t="shared" si="572"/>
        <v>0</v>
      </c>
      <c r="DH490" t="str">
        <f t="shared" si="556"/>
        <v>0</v>
      </c>
      <c r="DI490">
        <v>1</v>
      </c>
      <c r="DJ490">
        <v>0</v>
      </c>
      <c r="DK490">
        <v>0</v>
      </c>
      <c r="DL490">
        <v>0</v>
      </c>
      <c r="DM490">
        <v>0</v>
      </c>
      <c r="DN490">
        <f t="shared" si="541"/>
        <v>1</v>
      </c>
      <c r="DO490" t="str">
        <f t="shared" si="557"/>
        <v>UpstreamInput</v>
      </c>
      <c r="DP490" t="str">
        <f t="shared" si="558"/>
        <v>Upstream</v>
      </c>
      <c r="DQ490">
        <f t="shared" si="559"/>
        <v>0</v>
      </c>
      <c r="DR490">
        <f t="shared" si="560"/>
        <v>0</v>
      </c>
      <c r="DS490">
        <f t="shared" si="561"/>
        <v>0</v>
      </c>
      <c r="DT490">
        <v>0</v>
      </c>
      <c r="DU490">
        <v>0</v>
      </c>
      <c r="DV490">
        <v>0</v>
      </c>
      <c r="DW490">
        <v>0</v>
      </c>
      <c r="DX490">
        <v>0</v>
      </c>
      <c r="DY490">
        <f t="shared" si="542"/>
        <v>0</v>
      </c>
      <c r="DZ490" s="143" t="str">
        <f t="shared" si="562"/>
        <v>explicit C balance</v>
      </c>
      <c r="EA490">
        <v>0</v>
      </c>
      <c r="EB490">
        <v>0</v>
      </c>
      <c r="EC490">
        <v>0</v>
      </c>
      <c r="ED490">
        <v>0</v>
      </c>
      <c r="EE490">
        <v>0</v>
      </c>
      <c r="EF490" s="143">
        <v>0</v>
      </c>
      <c r="EG490">
        <v>0</v>
      </c>
      <c r="EH490">
        <v>1</v>
      </c>
      <c r="EI490">
        <v>0</v>
      </c>
      <c r="EJ490">
        <v>0</v>
      </c>
      <c r="EK490">
        <v>0</v>
      </c>
      <c r="EL490">
        <v>0</v>
      </c>
      <c r="EM490">
        <v>0</v>
      </c>
      <c r="EN490" s="2">
        <v>0</v>
      </c>
      <c r="EP490" t="str">
        <f t="shared" si="563"/>
        <v/>
      </c>
      <c r="EQ490" t="str">
        <f t="shared" si="564"/>
        <v/>
      </c>
      <c r="ER490" s="2" t="str">
        <f t="shared" si="565"/>
        <v/>
      </c>
      <c r="ES490" t="str">
        <f t="shared" si="566"/>
        <v/>
      </c>
      <c r="ET490" t="str">
        <f t="shared" si="567"/>
        <v/>
      </c>
      <c r="EU490" t="str">
        <f t="shared" si="568"/>
        <v/>
      </c>
      <c r="EY490" t="b">
        <f>IF(ISNUMBER(BW490),IF(ABS(BW490-[1]QC_indicators!$B$2)&gt;3*[1]QC_indicators!$C$2,"C ratio",IF(ISNUMBER(CA490),IF(ABS(CA490-[1]QC_indicators!$B$1)&gt;3*[1]QC_indicators!$C$1,"DF","no"))),IF(ISNUMBER(CA490),IF(ABS(CA490-[1]QC_indicators!$B$1)&gt;3*[1]QC_indicators!$C$1,"DF","no")))</f>
        <v>0</v>
      </c>
      <c r="FA490" t="str">
        <f t="shared" si="569"/>
        <v/>
      </c>
    </row>
    <row r="491" spans="1:158" ht="15" hidden="1" customHeight="1">
      <c r="A491" s="1" t="s">
        <v>4046</v>
      </c>
      <c r="B491" t="s">
        <v>4047</v>
      </c>
      <c r="C491" t="s">
        <v>4048</v>
      </c>
      <c r="D491" t="s">
        <v>4049</v>
      </c>
      <c r="E491" t="s">
        <v>4050</v>
      </c>
      <c r="F491" t="s">
        <v>4051</v>
      </c>
      <c r="G491" t="s">
        <v>4052</v>
      </c>
      <c r="H491" t="s">
        <v>254</v>
      </c>
      <c r="I491">
        <v>2015</v>
      </c>
      <c r="J491">
        <v>3</v>
      </c>
      <c r="K491" t="s">
        <v>4053</v>
      </c>
      <c r="M491" t="str">
        <f t="shared" si="535"/>
        <v>Zhou_2015</v>
      </c>
      <c r="N491" s="297" t="s">
        <v>4058</v>
      </c>
      <c r="O491" s="145" t="s">
        <v>1029</v>
      </c>
      <c r="Q491" s="297" t="s">
        <v>256</v>
      </c>
      <c r="R491" s="298"/>
      <c r="S491" s="1" t="s">
        <v>4057</v>
      </c>
      <c r="T491" t="s">
        <v>1072</v>
      </c>
      <c r="U491" t="s">
        <v>1073</v>
      </c>
      <c r="X491">
        <v>0</v>
      </c>
      <c r="Y491">
        <v>0</v>
      </c>
      <c r="Z491">
        <v>0</v>
      </c>
      <c r="AA491">
        <v>0</v>
      </c>
      <c r="AB491">
        <v>0</v>
      </c>
      <c r="AC491">
        <v>0</v>
      </c>
      <c r="AD491">
        <v>0</v>
      </c>
      <c r="AE491">
        <v>0</v>
      </c>
      <c r="AF491">
        <v>1</v>
      </c>
      <c r="AG491">
        <v>0</v>
      </c>
      <c r="AH491">
        <v>0</v>
      </c>
      <c r="AI491">
        <v>0</v>
      </c>
      <c r="AJ491">
        <v>0</v>
      </c>
      <c r="AK491">
        <v>0</v>
      </c>
      <c r="AL491">
        <v>2</v>
      </c>
      <c r="AM491">
        <v>0</v>
      </c>
      <c r="AN491">
        <v>0</v>
      </c>
      <c r="AO491">
        <v>0</v>
      </c>
      <c r="AP491">
        <v>0</v>
      </c>
      <c r="AQ491">
        <v>0</v>
      </c>
      <c r="AR491">
        <v>0</v>
      </c>
      <c r="AS491">
        <v>0</v>
      </c>
      <c r="AT491">
        <v>0</v>
      </c>
      <c r="AU491">
        <v>0</v>
      </c>
      <c r="AV491">
        <v>0</v>
      </c>
      <c r="AW491">
        <v>0</v>
      </c>
      <c r="AX491">
        <v>0</v>
      </c>
      <c r="AY491">
        <v>0</v>
      </c>
      <c r="AZ491" s="141">
        <f t="shared" si="543"/>
        <v>2</v>
      </c>
      <c r="BA491" s="141">
        <f t="shared" si="544"/>
        <v>2</v>
      </c>
      <c r="BB491">
        <f t="shared" si="545"/>
        <v>0</v>
      </c>
      <c r="BC491">
        <f t="shared" si="546"/>
        <v>1</v>
      </c>
      <c r="BD491">
        <f t="shared" si="547"/>
        <v>1</v>
      </c>
      <c r="BE491">
        <f t="shared" si="548"/>
        <v>0</v>
      </c>
      <c r="BF491">
        <f t="shared" si="549"/>
        <v>0</v>
      </c>
      <c r="BG491" t="str" cm="1">
        <f t="array" ref="BG491">IF(BA491=1,INDEX($X$7:$AN$7,MATCH(TRUE,INDEX($X491:$AY491&lt;&gt;0,),0)),IF(BA491=0,INDEX($AO$7:$AY$7,MATCH(1,$AO491:$AY491,0)),IF(BH491="Multiple strategies","mixed drivers",IF(BH491="Supply chain","multiple supply","multiple silviculture"))))</f>
        <v>mixed drivers</v>
      </c>
      <c r="BH491" s="2" t="str" cm="1">
        <f t="array" ref="BH491">IF(COUNTIF(BB491:BD491,"&lt;&gt;0")=1,INDEX($X$4:$AY$4,MATCH(TRUE,INDEX($X491:$AY491&lt;&gt;0,),0)),IF(COUNTIF(BB491:BD491,"&lt;&gt;0")=0,INDEX($AO$4:$AY$4,MATCH(1,$AO491:$AY491,0)),"Multiple strategies"))</f>
        <v>Multiple strategies</v>
      </c>
      <c r="BO491" s="143"/>
      <c r="BP491" s="143"/>
      <c r="BR491" t="s">
        <v>232</v>
      </c>
      <c r="BT491" t="s">
        <v>4055</v>
      </c>
      <c r="BU491">
        <v>-15.301000000000002</v>
      </c>
      <c r="BV491">
        <v>-11.597999999999999</v>
      </c>
      <c r="BW491" s="144">
        <f t="shared" si="575"/>
        <v>0.75798967387752414</v>
      </c>
      <c r="BX491" s="144">
        <f t="shared" si="573"/>
        <v>3.703000000000003</v>
      </c>
      <c r="BY491" s="144"/>
      <c r="BZ491">
        <f t="shared" si="576"/>
        <v>3.7030000000000032E-3</v>
      </c>
      <c r="CA491" t="str">
        <f t="shared" si="550"/>
        <v/>
      </c>
      <c r="CB491">
        <v>0</v>
      </c>
      <c r="CC491">
        <v>0</v>
      </c>
      <c r="CD491">
        <v>0</v>
      </c>
      <c r="CE491">
        <v>0</v>
      </c>
      <c r="CF491">
        <v>0</v>
      </c>
      <c r="CG491">
        <v>0</v>
      </c>
      <c r="CH491">
        <v>0</v>
      </c>
      <c r="CI491">
        <v>0</v>
      </c>
      <c r="CJ491">
        <v>0</v>
      </c>
      <c r="CK491">
        <v>0</v>
      </c>
      <c r="CL491">
        <v>0</v>
      </c>
      <c r="CM491">
        <v>0</v>
      </c>
      <c r="CN491">
        <v>0</v>
      </c>
      <c r="CO491">
        <v>0</v>
      </c>
      <c r="CP491" t="str">
        <f t="shared" si="577"/>
        <v>refOK</v>
      </c>
      <c r="CQ491"/>
      <c r="CR491"/>
      <c r="CS491"/>
      <c r="CT491">
        <f t="shared" si="551"/>
        <v>0</v>
      </c>
      <c r="CU491">
        <f t="shared" si="578"/>
        <v>-15.301000000000002</v>
      </c>
      <c r="CV491">
        <f t="shared" si="579"/>
        <v>-11.597999999999999</v>
      </c>
      <c r="CW491">
        <f t="shared" si="552"/>
        <v>3.7030000000000032E-3</v>
      </c>
      <c r="CX491" t="str">
        <f t="shared" si="574"/>
        <v/>
      </c>
      <c r="CY491" t="str">
        <f t="shared" si="574"/>
        <v/>
      </c>
      <c r="CZ491" t="str">
        <f t="shared" si="553"/>
        <v/>
      </c>
      <c r="DA491" s="2">
        <f t="shared" si="554"/>
        <v>0.24201032612247581</v>
      </c>
      <c r="DB491" s="1" t="s">
        <v>263</v>
      </c>
      <c r="DC491" s="297" t="str">
        <f t="shared" si="555"/>
        <v>loc</v>
      </c>
      <c r="DD491" t="s">
        <v>677</v>
      </c>
      <c r="DG491">
        <f t="shared" si="572"/>
        <v>0</v>
      </c>
      <c r="DH491" t="str">
        <f t="shared" si="556"/>
        <v>0</v>
      </c>
      <c r="DI491">
        <v>1</v>
      </c>
      <c r="DJ491">
        <v>0</v>
      </c>
      <c r="DK491">
        <v>0</v>
      </c>
      <c r="DL491">
        <v>0</v>
      </c>
      <c r="DM491">
        <v>0</v>
      </c>
      <c r="DN491">
        <f t="shared" si="541"/>
        <v>1</v>
      </c>
      <c r="DO491" t="str">
        <f t="shared" si="557"/>
        <v>UpstreamInput</v>
      </c>
      <c r="DP491" t="str">
        <f t="shared" si="558"/>
        <v>Upstream</v>
      </c>
      <c r="DQ491">
        <f t="shared" si="559"/>
        <v>0</v>
      </c>
      <c r="DR491">
        <f t="shared" si="560"/>
        <v>0</v>
      </c>
      <c r="DS491">
        <f t="shared" si="561"/>
        <v>0</v>
      </c>
      <c r="DT491">
        <v>0</v>
      </c>
      <c r="DU491">
        <v>0</v>
      </c>
      <c r="DV491">
        <v>0</v>
      </c>
      <c r="DW491">
        <v>0</v>
      </c>
      <c r="DX491">
        <v>0</v>
      </c>
      <c r="DY491">
        <f t="shared" si="542"/>
        <v>0</v>
      </c>
      <c r="DZ491" s="143" t="str">
        <f t="shared" si="562"/>
        <v>explicit C balance</v>
      </c>
      <c r="EA491">
        <v>0</v>
      </c>
      <c r="EB491">
        <v>0</v>
      </c>
      <c r="EC491">
        <v>0</v>
      </c>
      <c r="ED491">
        <v>0</v>
      </c>
      <c r="EE491">
        <v>0</v>
      </c>
      <c r="EF491" s="143">
        <v>0</v>
      </c>
      <c r="EG491">
        <v>1</v>
      </c>
      <c r="EH491">
        <v>1</v>
      </c>
      <c r="EI491">
        <v>0</v>
      </c>
      <c r="EJ491">
        <v>0</v>
      </c>
      <c r="EK491">
        <v>0</v>
      </c>
      <c r="EL491">
        <v>0</v>
      </c>
      <c r="EM491">
        <v>0</v>
      </c>
      <c r="EN491" s="2">
        <v>0</v>
      </c>
      <c r="EP491" t="str">
        <f t="shared" si="563"/>
        <v/>
      </c>
      <c r="EQ491" t="str">
        <f t="shared" si="564"/>
        <v/>
      </c>
      <c r="ER491" s="2" t="str">
        <f t="shared" si="565"/>
        <v>Technology approach</v>
      </c>
      <c r="ES491" t="str">
        <f t="shared" si="566"/>
        <v/>
      </c>
      <c r="ET491" t="str">
        <f t="shared" si="567"/>
        <v/>
      </c>
      <c r="EU491" t="str">
        <f t="shared" si="568"/>
        <v/>
      </c>
      <c r="EY491" t="b">
        <f>IF(ISNUMBER(BW491),IF(ABS(BW491-[1]QC_indicators!$B$2)&gt;3*[1]QC_indicators!$C$2,"C ratio",IF(ISNUMBER(CA491),IF(ABS(CA491-[1]QC_indicators!$B$1)&gt;3*[1]QC_indicators!$C$1,"DF","no"))),IF(ISNUMBER(CA491),IF(ABS(CA491-[1]QC_indicators!$B$1)&gt;3*[1]QC_indicators!$C$1,"DF","no")))</f>
        <v>0</v>
      </c>
      <c r="FA491" t="str">
        <f t="shared" si="569"/>
        <v/>
      </c>
    </row>
    <row r="492" spans="1:158" ht="15" hidden="1" customHeight="1">
      <c r="A492" s="1" t="s">
        <v>4046</v>
      </c>
      <c r="B492" t="s">
        <v>4047</v>
      </c>
      <c r="C492" t="s">
        <v>4048</v>
      </c>
      <c r="D492" t="s">
        <v>4049</v>
      </c>
      <c r="E492" t="s">
        <v>4050</v>
      </c>
      <c r="F492" t="s">
        <v>4051</v>
      </c>
      <c r="G492" t="s">
        <v>4052</v>
      </c>
      <c r="H492" t="s">
        <v>254</v>
      </c>
      <c r="I492">
        <v>2015</v>
      </c>
      <c r="J492">
        <v>3</v>
      </c>
      <c r="K492" t="s">
        <v>4053</v>
      </c>
      <c r="M492" t="str">
        <f t="shared" si="535"/>
        <v>Zhou_2015</v>
      </c>
      <c r="N492" s="297" t="s">
        <v>4058</v>
      </c>
      <c r="O492" s="145" t="s">
        <v>1029</v>
      </c>
      <c r="Q492" s="297" t="s">
        <v>256</v>
      </c>
      <c r="R492" s="298"/>
      <c r="S492" s="1" t="s">
        <v>4057</v>
      </c>
      <c r="T492" t="s">
        <v>1072</v>
      </c>
      <c r="U492" t="s">
        <v>1073</v>
      </c>
      <c r="X492">
        <v>0</v>
      </c>
      <c r="Y492">
        <v>0</v>
      </c>
      <c r="Z492">
        <v>0</v>
      </c>
      <c r="AA492">
        <v>0</v>
      </c>
      <c r="AB492">
        <v>0</v>
      </c>
      <c r="AC492">
        <v>0</v>
      </c>
      <c r="AD492">
        <v>0</v>
      </c>
      <c r="AE492">
        <v>0</v>
      </c>
      <c r="AF492">
        <v>1</v>
      </c>
      <c r="AG492">
        <v>0</v>
      </c>
      <c r="AH492">
        <v>0</v>
      </c>
      <c r="AI492">
        <v>0</v>
      </c>
      <c r="AJ492">
        <v>0</v>
      </c>
      <c r="AK492">
        <v>0</v>
      </c>
      <c r="AL492">
        <v>2</v>
      </c>
      <c r="AM492">
        <v>0</v>
      </c>
      <c r="AN492">
        <v>0</v>
      </c>
      <c r="AO492">
        <v>0</v>
      </c>
      <c r="AP492">
        <v>0</v>
      </c>
      <c r="AQ492">
        <v>0</v>
      </c>
      <c r="AR492">
        <v>0</v>
      </c>
      <c r="AS492">
        <v>0</v>
      </c>
      <c r="AT492">
        <v>0</v>
      </c>
      <c r="AU492">
        <v>0</v>
      </c>
      <c r="AV492">
        <v>0</v>
      </c>
      <c r="AW492">
        <v>0</v>
      </c>
      <c r="AX492">
        <v>0</v>
      </c>
      <c r="AY492">
        <v>0</v>
      </c>
      <c r="AZ492" s="141">
        <f t="shared" si="543"/>
        <v>2</v>
      </c>
      <c r="BA492" s="141">
        <f t="shared" si="544"/>
        <v>2</v>
      </c>
      <c r="BB492">
        <f t="shared" si="545"/>
        <v>0</v>
      </c>
      <c r="BC492">
        <f t="shared" si="546"/>
        <v>1</v>
      </c>
      <c r="BD492">
        <f t="shared" si="547"/>
        <v>1</v>
      </c>
      <c r="BE492">
        <f t="shared" si="548"/>
        <v>0</v>
      </c>
      <c r="BF492">
        <f t="shared" si="549"/>
        <v>0</v>
      </c>
      <c r="BG492" t="str" cm="1">
        <f t="array" ref="BG492">IF(BA492=1,INDEX($X$7:$AN$7,MATCH(TRUE,INDEX($X492:$AY492&lt;&gt;0,),0)),IF(BA492=0,INDEX($AO$7:$AY$7,MATCH(1,$AO492:$AY492,0)),IF(BH492="Multiple strategies","mixed drivers",IF(BH492="Supply chain","multiple supply","multiple silviculture"))))</f>
        <v>mixed drivers</v>
      </c>
      <c r="BH492" s="2" t="str" cm="1">
        <f t="array" ref="BH492">IF(COUNTIF(BB492:BD492,"&lt;&gt;0")=1,INDEX($X$4:$AY$4,MATCH(TRUE,INDEX($X492:$AY492&lt;&gt;0,),0)),IF(COUNTIF(BB492:BD492,"&lt;&gt;0")=0,INDEX($AO$4:$AY$4,MATCH(1,$AO492:$AY492,0)),"Multiple strategies"))</f>
        <v>Multiple strategies</v>
      </c>
      <c r="BO492" s="143"/>
      <c r="BP492" s="143"/>
      <c r="BR492" t="s">
        <v>232</v>
      </c>
      <c r="BT492" t="s">
        <v>4055</v>
      </c>
      <c r="BU492">
        <v>-2.665</v>
      </c>
      <c r="BV492">
        <v>-1.9969999999999999</v>
      </c>
      <c r="BW492" s="144">
        <f t="shared" si="575"/>
        <v>0.74934333958724197</v>
      </c>
      <c r="BX492" s="144">
        <f t="shared" si="573"/>
        <v>0.66800000000000015</v>
      </c>
      <c r="BY492" s="144"/>
      <c r="BZ492">
        <f t="shared" si="576"/>
        <v>6.6800000000000019E-4</v>
      </c>
      <c r="CA492" t="str">
        <f t="shared" si="550"/>
        <v/>
      </c>
      <c r="CB492">
        <v>0</v>
      </c>
      <c r="CC492">
        <v>0</v>
      </c>
      <c r="CD492">
        <v>0</v>
      </c>
      <c r="CE492">
        <v>0</v>
      </c>
      <c r="CF492">
        <v>0</v>
      </c>
      <c r="CG492">
        <v>0</v>
      </c>
      <c r="CH492">
        <v>0</v>
      </c>
      <c r="CI492">
        <v>0</v>
      </c>
      <c r="CJ492">
        <v>0</v>
      </c>
      <c r="CK492">
        <v>0</v>
      </c>
      <c r="CL492">
        <v>0</v>
      </c>
      <c r="CM492">
        <v>0</v>
      </c>
      <c r="CN492">
        <v>0</v>
      </c>
      <c r="CO492">
        <v>0</v>
      </c>
      <c r="CP492" t="str">
        <f t="shared" si="577"/>
        <v>refOK</v>
      </c>
      <c r="CQ492"/>
      <c r="CR492"/>
      <c r="CS492"/>
      <c r="CT492">
        <f t="shared" si="551"/>
        <v>0</v>
      </c>
      <c r="CU492">
        <f t="shared" si="578"/>
        <v>-2.665</v>
      </c>
      <c r="CV492">
        <f t="shared" si="579"/>
        <v>-1.9969999999999999</v>
      </c>
      <c r="CW492">
        <f t="shared" si="552"/>
        <v>6.6800000000000019E-4</v>
      </c>
      <c r="CX492" t="str">
        <f t="shared" si="574"/>
        <v/>
      </c>
      <c r="CY492" t="str">
        <f t="shared" si="574"/>
        <v/>
      </c>
      <c r="CZ492" t="str">
        <f t="shared" si="553"/>
        <v/>
      </c>
      <c r="DA492" s="2">
        <f t="shared" si="554"/>
        <v>0.25065666041275803</v>
      </c>
      <c r="DB492" s="1" t="s">
        <v>263</v>
      </c>
      <c r="DC492" s="297" t="str">
        <f t="shared" si="555"/>
        <v>loc</v>
      </c>
      <c r="DD492" t="s">
        <v>677</v>
      </c>
      <c r="DG492">
        <f t="shared" si="572"/>
        <v>0</v>
      </c>
      <c r="DH492" t="str">
        <f t="shared" si="556"/>
        <v>0</v>
      </c>
      <c r="DI492">
        <v>1</v>
      </c>
      <c r="DJ492">
        <v>0</v>
      </c>
      <c r="DK492">
        <v>0</v>
      </c>
      <c r="DL492">
        <v>0</v>
      </c>
      <c r="DM492">
        <v>0</v>
      </c>
      <c r="DN492">
        <f t="shared" si="541"/>
        <v>1</v>
      </c>
      <c r="DO492" t="str">
        <f t="shared" si="557"/>
        <v>UpstreamInput</v>
      </c>
      <c r="DP492" t="str">
        <f t="shared" si="558"/>
        <v>Upstream</v>
      </c>
      <c r="DQ492">
        <f t="shared" si="559"/>
        <v>0</v>
      </c>
      <c r="DR492">
        <f t="shared" si="560"/>
        <v>0</v>
      </c>
      <c r="DS492">
        <f t="shared" si="561"/>
        <v>0</v>
      </c>
      <c r="DT492">
        <v>0</v>
      </c>
      <c r="DU492">
        <v>0</v>
      </c>
      <c r="DV492">
        <v>0</v>
      </c>
      <c r="DW492">
        <v>0</v>
      </c>
      <c r="DX492">
        <v>0</v>
      </c>
      <c r="DY492">
        <f t="shared" si="542"/>
        <v>0</v>
      </c>
      <c r="DZ492" s="143" t="str">
        <f t="shared" si="562"/>
        <v>explicit C balance</v>
      </c>
      <c r="EA492">
        <v>0</v>
      </c>
      <c r="EB492">
        <v>0</v>
      </c>
      <c r="EC492">
        <v>0</v>
      </c>
      <c r="ED492">
        <v>0</v>
      </c>
      <c r="EE492">
        <v>0</v>
      </c>
      <c r="EF492" s="143">
        <v>0</v>
      </c>
      <c r="EG492">
        <v>1</v>
      </c>
      <c r="EH492">
        <v>0</v>
      </c>
      <c r="EI492">
        <v>0</v>
      </c>
      <c r="EJ492">
        <v>0</v>
      </c>
      <c r="EK492">
        <v>0</v>
      </c>
      <c r="EL492">
        <v>0</v>
      </c>
      <c r="EM492">
        <v>0</v>
      </c>
      <c r="EN492" s="2">
        <v>0</v>
      </c>
      <c r="EP492" t="str">
        <f t="shared" si="563"/>
        <v/>
      </c>
      <c r="EQ492" t="str">
        <f t="shared" si="564"/>
        <v/>
      </c>
      <c r="ER492" s="2" t="str">
        <f t="shared" si="565"/>
        <v/>
      </c>
      <c r="ES492" t="str">
        <f t="shared" si="566"/>
        <v/>
      </c>
      <c r="ET492" t="str">
        <f t="shared" si="567"/>
        <v/>
      </c>
      <c r="EU492" t="str">
        <f t="shared" si="568"/>
        <v/>
      </c>
      <c r="EY492" t="b">
        <f>IF(ISNUMBER(BW492),IF(ABS(BW492-[1]QC_indicators!$B$2)&gt;3*[1]QC_indicators!$C$2,"C ratio",IF(ISNUMBER(CA492),IF(ABS(CA492-[1]QC_indicators!$B$1)&gt;3*[1]QC_indicators!$C$1,"DF","no"))),IF(ISNUMBER(CA492),IF(ABS(CA492-[1]QC_indicators!$B$1)&gt;3*[1]QC_indicators!$C$1,"DF","no")))</f>
        <v>0</v>
      </c>
      <c r="FA492" t="str">
        <f t="shared" si="569"/>
        <v/>
      </c>
    </row>
    <row r="493" spans="1:158" ht="15" hidden="1" customHeight="1">
      <c r="A493" s="1" t="s">
        <v>3853</v>
      </c>
      <c r="B493" t="s">
        <v>531</v>
      </c>
      <c r="C493" t="s">
        <v>4126</v>
      </c>
      <c r="D493" t="s">
        <v>4127</v>
      </c>
      <c r="E493" t="s">
        <v>4128</v>
      </c>
      <c r="F493" t="s">
        <v>4129</v>
      </c>
      <c r="G493" t="s">
        <v>3858</v>
      </c>
      <c r="I493">
        <v>2006</v>
      </c>
      <c r="K493" t="s">
        <v>4130</v>
      </c>
      <c r="M493" t="str">
        <f t="shared" si="535"/>
        <v>Alig_2006</v>
      </c>
      <c r="N493" t="s">
        <v>2266</v>
      </c>
      <c r="O493" s="140" t="s">
        <v>274</v>
      </c>
      <c r="Q493" s="297" t="s">
        <v>224</v>
      </c>
      <c r="R493" s="298"/>
      <c r="U493" s="143"/>
      <c r="V493" s="143"/>
      <c r="W493" s="143"/>
      <c r="AZ493" s="141"/>
      <c r="BA493" s="141"/>
      <c r="BG493"/>
      <c r="BH493" s="2"/>
      <c r="BI493" s="142"/>
      <c r="BL493" s="143"/>
      <c r="BN493" s="143"/>
      <c r="BO493" s="143"/>
      <c r="BP493" s="143"/>
      <c r="BQ493" s="143"/>
      <c r="BR493" s="143"/>
      <c r="BS493" s="143"/>
      <c r="BU493" s="143"/>
      <c r="BW493" s="144"/>
      <c r="CA493" t="str">
        <f t="shared" ref="CA493:CA524" si="580">IFERROR(BZ493/BQ493,"")</f>
        <v/>
      </c>
      <c r="CP493"/>
      <c r="CQ493"/>
      <c r="CR493"/>
      <c r="CS493"/>
      <c r="CT493">
        <f t="shared" si="551"/>
        <v>0</v>
      </c>
      <c r="CU493"/>
      <c r="CV493"/>
      <c r="CW493"/>
      <c r="CX493" t="str">
        <f t="shared" ref="CX493:CX556" si="581">IFERROR($CW493/$CS493,"")</f>
        <v/>
      </c>
      <c r="CY493"/>
      <c r="CZ493" t="str">
        <f t="shared" si="553"/>
        <v/>
      </c>
      <c r="DA493" s="2"/>
      <c r="DC493"/>
      <c r="DF493" s="143"/>
      <c r="DG493" s="143"/>
      <c r="DH493"/>
      <c r="DN493"/>
      <c r="DO493"/>
      <c r="DP493"/>
      <c r="DQ493"/>
      <c r="DR493"/>
      <c r="DS493"/>
      <c r="DU493" s="143"/>
      <c r="DV493" s="143"/>
      <c r="DX493" s="143"/>
      <c r="DY493"/>
      <c r="DZ493" s="143"/>
      <c r="EA493" s="143"/>
      <c r="EB493" s="143"/>
      <c r="EG493" s="143"/>
      <c r="EI493" s="143"/>
      <c r="EL493" s="143"/>
      <c r="EP493" t="str">
        <f t="shared" si="563"/>
        <v/>
      </c>
      <c r="EQ493" t="str">
        <f t="shared" ref="EQ493:EQ523" si="582">IF(AND(AND(OR($EC493=1,$EB493=1),AND($EH493=0,$EF493=0)),SUM($EA493:$EE493,$EK493)&gt;=3),"Ecosystem approach","")</f>
        <v/>
      </c>
      <c r="ER493" s="2" t="str">
        <f t="shared" ref="ER493:ER524" si="583">IF(AND(AND(AND($EC493=0,$EB493=0),OR($EH493=1,$EF493=1)),SUM($EG493:$EJ493)&gt;=2),"Technology approach","")</f>
        <v/>
      </c>
      <c r="ES493" t="str">
        <f t="shared" ref="ES493:ES524" si="584">IF(AND($EC493+$EB493+$EE493+$EA493+$EF493+$EG493=0,$N493="included"),"C neutral forest and HWP assumption","")</f>
        <v/>
      </c>
      <c r="ET493" t="str">
        <f t="shared" ref="ET493:ET524" si="585">IF(AND(AND(AND($EC493+$EB493+$EA493+$EG493&gt;=2,$EF493+$EH493+$EI493&gt;=1),$ED493+$EE493&gt;=1),$N493="included"),"All C pools assumption","")</f>
        <v/>
      </c>
      <c r="EU493" t="str">
        <f t="shared" si="568"/>
        <v/>
      </c>
      <c r="EX493" t="s">
        <v>450</v>
      </c>
      <c r="EY493" t="b">
        <f>IF(ISNUMBER(BW493),IF(ABS(BW493-[1]QC_indicators!$B$2)&gt;3*[1]QC_indicators!$C$2,"C ratio",IF(ISNUMBER(CA493),IF(ABS(CA493-[1]QC_indicators!$B$1)&gt;3*[1]QC_indicators!$C$1,"DF","no"))),IF(ISNUMBER(CA493),IF(ABS(CA493-[1]QC_indicators!$B$1)&gt;3*[1]QC_indicators!$C$1,"DF","no")))</f>
        <v>0</v>
      </c>
      <c r="FA493" t="str">
        <f t="shared" si="569"/>
        <v/>
      </c>
    </row>
    <row r="494" spans="1:158" ht="15" hidden="1" customHeight="1">
      <c r="A494" s="1" t="s">
        <v>4131</v>
      </c>
      <c r="B494" t="s">
        <v>4132</v>
      </c>
      <c r="C494" t="s">
        <v>4133</v>
      </c>
      <c r="D494" t="s">
        <v>4134</v>
      </c>
      <c r="E494" t="s">
        <v>4135</v>
      </c>
      <c r="F494" t="s">
        <v>4136</v>
      </c>
      <c r="G494" t="s">
        <v>4137</v>
      </c>
      <c r="I494">
        <v>2017</v>
      </c>
      <c r="K494" t="s">
        <v>4138</v>
      </c>
      <c r="M494" t="str">
        <f t="shared" si="535"/>
        <v>Barik_2017</v>
      </c>
      <c r="N494" t="s">
        <v>2266</v>
      </c>
      <c r="O494" s="140" t="s">
        <v>508</v>
      </c>
      <c r="Q494" s="297" t="s">
        <v>224</v>
      </c>
      <c r="R494" s="298"/>
      <c r="U494" s="143"/>
      <c r="V494" s="143"/>
      <c r="W494" s="143"/>
      <c r="AZ494" s="141"/>
      <c r="BA494" s="141"/>
      <c r="BG494"/>
      <c r="BH494" s="2"/>
      <c r="BI494" s="142"/>
      <c r="BL494" s="143"/>
      <c r="BN494" s="143"/>
      <c r="BO494" s="143"/>
      <c r="BP494" s="143"/>
      <c r="BQ494" s="143"/>
      <c r="BU494" s="143"/>
      <c r="BW494" s="144"/>
      <c r="CA494" t="str">
        <f t="shared" si="580"/>
        <v/>
      </c>
      <c r="CP494"/>
      <c r="CQ494"/>
      <c r="CR494"/>
      <c r="CS494"/>
      <c r="CT494">
        <f t="shared" si="551"/>
        <v>0</v>
      </c>
      <c r="CU494"/>
      <c r="CV494"/>
      <c r="CW494"/>
      <c r="CX494" t="str">
        <f t="shared" si="581"/>
        <v/>
      </c>
      <c r="CY494"/>
      <c r="CZ494" t="str">
        <f t="shared" si="553"/>
        <v/>
      </c>
      <c r="DA494" s="2"/>
      <c r="DC494"/>
      <c r="DF494" s="143"/>
      <c r="DG494" s="143"/>
      <c r="DH494"/>
      <c r="DN494"/>
      <c r="DO494"/>
      <c r="DP494"/>
      <c r="DQ494"/>
      <c r="DR494"/>
      <c r="DS494"/>
      <c r="DU494" s="143"/>
      <c r="DV494" s="143"/>
      <c r="DX494" s="143"/>
      <c r="DY494"/>
      <c r="DZ494" s="143"/>
      <c r="EA494" s="143"/>
      <c r="EB494" s="143"/>
      <c r="EG494" s="143"/>
      <c r="EI494" s="143"/>
      <c r="EL494" s="143"/>
      <c r="EP494" t="str">
        <f t="shared" si="563"/>
        <v/>
      </c>
      <c r="EQ494" t="str">
        <f t="shared" si="582"/>
        <v/>
      </c>
      <c r="ER494" s="2" t="str">
        <f t="shared" si="583"/>
        <v/>
      </c>
      <c r="ES494" t="str">
        <f t="shared" si="584"/>
        <v/>
      </c>
      <c r="ET494" t="str">
        <f t="shared" si="585"/>
        <v/>
      </c>
      <c r="EU494" t="str">
        <f t="shared" si="568"/>
        <v/>
      </c>
      <c r="EX494" t="s">
        <v>450</v>
      </c>
      <c r="EY494" t="b">
        <f>IF(ISNUMBER(BW494),IF(ABS(BW494-[1]QC_indicators!$B$2)&gt;3*[1]QC_indicators!$C$2,"C ratio",IF(ISNUMBER(CA494),IF(ABS(CA494-[1]QC_indicators!$B$1)&gt;3*[1]QC_indicators!$C$1,"DF","no"))),IF(ISNUMBER(CA494),IF(ABS(CA494-[1]QC_indicators!$B$1)&gt;3*[1]QC_indicators!$C$1,"DF","no")))</f>
        <v>0</v>
      </c>
      <c r="FA494" t="str">
        <f t="shared" si="569"/>
        <v/>
      </c>
    </row>
    <row r="495" spans="1:158" ht="15" hidden="1" customHeight="1">
      <c r="A495" s="1" t="s">
        <v>895</v>
      </c>
      <c r="B495" t="s">
        <v>4139</v>
      </c>
      <c r="C495" t="s">
        <v>4140</v>
      </c>
      <c r="D495" t="s">
        <v>4141</v>
      </c>
      <c r="E495" t="s">
        <v>4142</v>
      </c>
      <c r="F495" t="s">
        <v>4143</v>
      </c>
      <c r="G495" t="s">
        <v>901</v>
      </c>
      <c r="I495">
        <v>2020</v>
      </c>
      <c r="K495" t="s">
        <v>4144</v>
      </c>
      <c r="M495" t="str">
        <f t="shared" si="535"/>
        <v>Baul_2020</v>
      </c>
      <c r="N495" t="s">
        <v>2266</v>
      </c>
      <c r="O495" s="140" t="s">
        <v>1029</v>
      </c>
      <c r="Q495" s="297" t="s">
        <v>224</v>
      </c>
      <c r="R495" s="298"/>
      <c r="AZ495" s="141"/>
      <c r="BA495" s="141"/>
      <c r="BG495"/>
      <c r="BH495" s="2"/>
      <c r="BL495" s="143"/>
      <c r="BN495" s="143"/>
      <c r="BO495" s="143"/>
      <c r="BP495" s="143"/>
      <c r="BQ495" s="143"/>
      <c r="BU495" s="143"/>
      <c r="BW495" s="144"/>
      <c r="CA495" t="str">
        <f t="shared" si="580"/>
        <v/>
      </c>
      <c r="CP495"/>
      <c r="CQ495"/>
      <c r="CR495"/>
      <c r="CS495"/>
      <c r="CT495">
        <f t="shared" si="551"/>
        <v>0</v>
      </c>
      <c r="CU495"/>
      <c r="CV495"/>
      <c r="CW495"/>
      <c r="CX495" t="str">
        <f t="shared" si="581"/>
        <v/>
      </c>
      <c r="CY495"/>
      <c r="CZ495" t="str">
        <f t="shared" si="553"/>
        <v/>
      </c>
      <c r="DA495" s="2"/>
      <c r="DC495"/>
      <c r="DF495" s="143"/>
      <c r="DG495" s="143"/>
      <c r="DH495"/>
      <c r="DN495"/>
      <c r="DO495"/>
      <c r="DP495"/>
      <c r="DQ495"/>
      <c r="DR495"/>
      <c r="DS495"/>
      <c r="DT495" s="143"/>
      <c r="DV495" s="143"/>
      <c r="DW495" s="143"/>
      <c r="DX495" s="143"/>
      <c r="DY495"/>
      <c r="DZ495" s="143"/>
      <c r="EP495" t="str">
        <f t="shared" si="563"/>
        <v/>
      </c>
      <c r="EQ495" t="str">
        <f t="shared" si="582"/>
        <v/>
      </c>
      <c r="ER495" s="2" t="str">
        <f t="shared" si="583"/>
        <v/>
      </c>
      <c r="ES495" t="str">
        <f t="shared" si="584"/>
        <v/>
      </c>
      <c r="ET495" t="str">
        <f t="shared" si="585"/>
        <v/>
      </c>
      <c r="EU495" t="str">
        <f t="shared" si="568"/>
        <v/>
      </c>
      <c r="EY495" t="b">
        <f>IF(ISNUMBER(BW495),IF(ABS(BW495-[1]QC_indicators!$B$2)&gt;3*[1]QC_indicators!$C$2,"C ratio",IF(ISNUMBER(CA495),IF(ABS(CA495-[1]QC_indicators!$B$1)&gt;3*[1]QC_indicators!$C$1,"DF","no"))),IF(ISNUMBER(CA495),IF(ABS(CA495-[1]QC_indicators!$B$1)&gt;3*[1]QC_indicators!$C$1,"DF","no")))</f>
        <v>0</v>
      </c>
      <c r="FA495" t="str">
        <f t="shared" si="569"/>
        <v/>
      </c>
      <c r="FB495" s="297" t="s">
        <v>4145</v>
      </c>
    </row>
    <row r="496" spans="1:158" ht="15" hidden="1" customHeight="1">
      <c r="D496" s="297" t="s">
        <v>4146</v>
      </c>
      <c r="E496" t="s">
        <v>4147</v>
      </c>
      <c r="G496" t="s">
        <v>4148</v>
      </c>
      <c r="I496">
        <v>2015</v>
      </c>
      <c r="K496" s="288" t="s">
        <v>4149</v>
      </c>
      <c r="M496" t="str">
        <f t="shared" si="535"/>
        <v>Borjesson_2015</v>
      </c>
      <c r="N496" t="s">
        <v>2266</v>
      </c>
      <c r="O496" t="s">
        <v>223</v>
      </c>
      <c r="Q496" s="297" t="s">
        <v>256</v>
      </c>
      <c r="R496" s="298"/>
      <c r="U496" s="143"/>
      <c r="V496" s="143"/>
      <c r="W496" s="143"/>
      <c r="AZ496" s="141"/>
      <c r="BA496" s="141"/>
      <c r="BG496"/>
      <c r="BH496" s="2"/>
      <c r="BI496" s="142"/>
      <c r="BL496" s="143"/>
      <c r="BN496" s="143"/>
      <c r="BO496" s="143"/>
      <c r="BP496" s="143"/>
      <c r="BQ496" s="143"/>
      <c r="BR496" s="143"/>
      <c r="BS496" s="143"/>
      <c r="BU496" s="143"/>
      <c r="CA496" t="str">
        <f t="shared" si="580"/>
        <v/>
      </c>
      <c r="CP496"/>
      <c r="CQ496"/>
      <c r="CR496"/>
      <c r="CS496"/>
      <c r="CT496">
        <f t="shared" si="551"/>
        <v>0</v>
      </c>
      <c r="CU496"/>
      <c r="CV496"/>
      <c r="CW496"/>
      <c r="CX496" t="str">
        <f t="shared" si="581"/>
        <v/>
      </c>
      <c r="CY496"/>
      <c r="CZ496" t="str">
        <f t="shared" si="553"/>
        <v/>
      </c>
      <c r="DA496" s="2"/>
      <c r="DC496"/>
      <c r="DF496" s="143"/>
      <c r="DG496" s="143"/>
      <c r="DH496"/>
      <c r="DN496"/>
      <c r="DO496"/>
      <c r="DP496"/>
      <c r="DQ496"/>
      <c r="DR496"/>
      <c r="DS496"/>
      <c r="DU496" s="143"/>
      <c r="DV496" s="143"/>
      <c r="DX496" s="143"/>
      <c r="DY496"/>
      <c r="DZ496" s="143"/>
      <c r="EA496" s="143"/>
      <c r="EB496" s="143"/>
      <c r="EC496" s="143"/>
      <c r="EG496" s="143"/>
      <c r="EI496" s="143"/>
      <c r="EL496" s="143"/>
      <c r="EP496" t="str">
        <f t="shared" si="563"/>
        <v/>
      </c>
      <c r="EQ496" t="str">
        <f t="shared" si="582"/>
        <v/>
      </c>
      <c r="ER496" s="2" t="str">
        <f t="shared" si="583"/>
        <v/>
      </c>
      <c r="ES496" t="str">
        <f t="shared" si="584"/>
        <v/>
      </c>
      <c r="ET496" t="str">
        <f t="shared" si="585"/>
        <v/>
      </c>
      <c r="EU496" t="str">
        <f t="shared" si="568"/>
        <v/>
      </c>
      <c r="EY496" t="b">
        <f>IF(ISNUMBER(BW496),IF(ABS(BW496-[1]QC_indicators!$B$2)&gt;3*[1]QC_indicators!$C$2,"C ratio",IF(ISNUMBER(CA496),IF(ABS(CA496-[1]QC_indicators!$B$1)&gt;3*[1]QC_indicators!$C$1,"DF","no"))),IF(ISNUMBER(CA496),IF(ABS(CA496-[1]QC_indicators!$B$1)&gt;3*[1]QC_indicators!$C$1,"DF","no")))</f>
        <v>0</v>
      </c>
      <c r="FA496" t="str">
        <f t="shared" si="569"/>
        <v/>
      </c>
    </row>
    <row r="497" spans="1:157" ht="15" hidden="1" customHeight="1">
      <c r="A497" s="1" t="s">
        <v>4150</v>
      </c>
      <c r="B497" t="s">
        <v>4151</v>
      </c>
      <c r="C497" t="s">
        <v>4152</v>
      </c>
      <c r="D497" t="s">
        <v>4153</v>
      </c>
      <c r="E497" t="s">
        <v>4154</v>
      </c>
      <c r="F497" t="s">
        <v>4155</v>
      </c>
      <c r="G497" t="s">
        <v>4156</v>
      </c>
      <c r="H497" t="s">
        <v>3466</v>
      </c>
      <c r="I497">
        <v>2011</v>
      </c>
      <c r="J497">
        <v>20</v>
      </c>
      <c r="K497" t="s">
        <v>4157</v>
      </c>
      <c r="M497" t="str">
        <f t="shared" si="535"/>
        <v>Davis_2011</v>
      </c>
      <c r="N497" t="s">
        <v>2266</v>
      </c>
      <c r="O497" s="145" t="s">
        <v>223</v>
      </c>
      <c r="Q497" s="297" t="s">
        <v>256</v>
      </c>
      <c r="R497" s="298"/>
      <c r="AZ497" s="141"/>
      <c r="BA497" s="141"/>
      <c r="BG497"/>
      <c r="BH497" s="2"/>
      <c r="CA497" t="str">
        <f t="shared" si="580"/>
        <v/>
      </c>
      <c r="CP497"/>
      <c r="CQ497"/>
      <c r="CR497"/>
      <c r="CS497"/>
      <c r="CT497">
        <f t="shared" si="551"/>
        <v>0</v>
      </c>
      <c r="CU497"/>
      <c r="CV497"/>
      <c r="CW497"/>
      <c r="CX497" t="str">
        <f t="shared" si="581"/>
        <v/>
      </c>
      <c r="CY497"/>
      <c r="CZ497" t="str">
        <f t="shared" si="553"/>
        <v/>
      </c>
      <c r="DA497" s="2"/>
      <c r="DC497"/>
      <c r="DH497"/>
      <c r="DN497"/>
      <c r="DO497"/>
      <c r="DP497"/>
      <c r="DQ497"/>
      <c r="DR497"/>
      <c r="DS497"/>
      <c r="DY497"/>
      <c r="DZ497" s="143"/>
      <c r="EP497" t="str">
        <f t="shared" si="563"/>
        <v/>
      </c>
      <c r="EQ497" t="str">
        <f t="shared" si="582"/>
        <v/>
      </c>
      <c r="ER497" s="2" t="str">
        <f t="shared" si="583"/>
        <v/>
      </c>
      <c r="ES497" t="str">
        <f t="shared" si="584"/>
        <v/>
      </c>
      <c r="ET497" t="str">
        <f t="shared" si="585"/>
        <v/>
      </c>
      <c r="EU497" t="str">
        <f t="shared" si="568"/>
        <v/>
      </c>
      <c r="EY497" t="b">
        <f>IF(ISNUMBER(BW497),IF(ABS(BW497-[1]QC_indicators!$B$2)&gt;3*[1]QC_indicators!$C$2,"C ratio",IF(ISNUMBER(CA497),IF(ABS(CA497-[1]QC_indicators!$B$1)&gt;3*[1]QC_indicators!$C$1,"DF","no"))),IF(ISNUMBER(CA497),IF(ABS(CA497-[1]QC_indicators!$B$1)&gt;3*[1]QC_indicators!$C$1,"DF","no")))</f>
        <v>0</v>
      </c>
      <c r="FA497" t="str">
        <f t="shared" si="569"/>
        <v/>
      </c>
    </row>
    <row r="498" spans="1:157" ht="15" hidden="1" customHeight="1">
      <c r="A498" s="1" t="s">
        <v>1233</v>
      </c>
      <c r="B498" t="s">
        <v>4158</v>
      </c>
      <c r="C498" t="s">
        <v>4159</v>
      </c>
      <c r="D498" t="s">
        <v>4160</v>
      </c>
      <c r="E498" t="s">
        <v>4161</v>
      </c>
      <c r="F498" t="s">
        <v>4162</v>
      </c>
      <c r="G498" t="s">
        <v>1239</v>
      </c>
      <c r="H498" t="s">
        <v>254</v>
      </c>
      <c r="I498">
        <v>2021</v>
      </c>
      <c r="J498">
        <v>5</v>
      </c>
      <c r="K498" t="s">
        <v>4163</v>
      </c>
      <c r="M498" t="str">
        <f t="shared" si="535"/>
        <v>de Vries_2021</v>
      </c>
      <c r="N498" t="s">
        <v>2266</v>
      </c>
      <c r="O498" s="145" t="s">
        <v>223</v>
      </c>
      <c r="Q498" s="297" t="s">
        <v>256</v>
      </c>
      <c r="R498" s="298"/>
      <c r="AZ498" s="141"/>
      <c r="BA498" s="141"/>
      <c r="BG498"/>
      <c r="BH498" s="2"/>
      <c r="BW498" s="144"/>
      <c r="CA498" t="str">
        <f t="shared" si="580"/>
        <v/>
      </c>
      <c r="CP498"/>
      <c r="CQ498"/>
      <c r="CR498"/>
      <c r="CS498"/>
      <c r="CT498">
        <f t="shared" si="551"/>
        <v>0</v>
      </c>
      <c r="CU498"/>
      <c r="CV498"/>
      <c r="CW498"/>
      <c r="CX498" t="str">
        <f t="shared" si="581"/>
        <v/>
      </c>
      <c r="CY498"/>
      <c r="CZ498" t="str">
        <f t="shared" si="553"/>
        <v/>
      </c>
      <c r="DA498" s="2"/>
      <c r="DC498"/>
      <c r="DH498"/>
      <c r="DN498"/>
      <c r="DO498"/>
      <c r="DP498"/>
      <c r="DQ498"/>
      <c r="DR498"/>
      <c r="DS498"/>
      <c r="DY498"/>
      <c r="DZ498" s="143"/>
      <c r="EP498" t="str">
        <f t="shared" si="563"/>
        <v/>
      </c>
      <c r="EQ498" t="str">
        <f t="shared" si="582"/>
        <v/>
      </c>
      <c r="ER498" s="2" t="str">
        <f t="shared" si="583"/>
        <v/>
      </c>
      <c r="ES498" t="str">
        <f t="shared" si="584"/>
        <v/>
      </c>
      <c r="ET498" t="str">
        <f t="shared" si="585"/>
        <v/>
      </c>
      <c r="EU498" t="str">
        <f t="shared" si="568"/>
        <v/>
      </c>
      <c r="EX498" t="s">
        <v>450</v>
      </c>
      <c r="EY498" t="b">
        <f>IF(ISNUMBER(BW498),IF(ABS(BW498-[1]QC_indicators!$B$2)&gt;3*[1]QC_indicators!$C$2,"C ratio",IF(ISNUMBER(CA498),IF(ABS(CA498-[1]QC_indicators!$B$1)&gt;3*[1]QC_indicators!$C$1,"DF","no"))),IF(ISNUMBER(CA498),IF(ABS(CA498-[1]QC_indicators!$B$1)&gt;3*[1]QC_indicators!$C$1,"DF","no")))</f>
        <v>0</v>
      </c>
      <c r="FA498" t="str">
        <f t="shared" si="569"/>
        <v/>
      </c>
    </row>
    <row r="499" spans="1:157" ht="15" hidden="1" customHeight="1">
      <c r="A499" s="1" t="s">
        <v>1233</v>
      </c>
      <c r="B499" t="s">
        <v>4158</v>
      </c>
      <c r="C499" t="s">
        <v>4159</v>
      </c>
      <c r="D499" t="s">
        <v>4160</v>
      </c>
      <c r="E499" t="s">
        <v>4161</v>
      </c>
      <c r="F499" t="s">
        <v>4162</v>
      </c>
      <c r="G499" t="s">
        <v>1239</v>
      </c>
      <c r="H499" t="s">
        <v>254</v>
      </c>
      <c r="I499">
        <v>2021</v>
      </c>
      <c r="J499">
        <v>5</v>
      </c>
      <c r="K499" t="s">
        <v>4163</v>
      </c>
      <c r="M499" t="str">
        <f t="shared" si="535"/>
        <v>de Vries_2021</v>
      </c>
      <c r="N499" t="s">
        <v>2266</v>
      </c>
      <c r="O499" s="145" t="s">
        <v>223</v>
      </c>
      <c r="Q499" s="297" t="s">
        <v>256</v>
      </c>
      <c r="R499" s="298"/>
      <c r="AZ499" s="141"/>
      <c r="BA499" s="141"/>
      <c r="BG499"/>
      <c r="BH499" s="2"/>
      <c r="CA499" t="str">
        <f t="shared" si="580"/>
        <v/>
      </c>
      <c r="CP499"/>
      <c r="CQ499"/>
      <c r="CR499"/>
      <c r="CS499"/>
      <c r="CT499">
        <f t="shared" si="551"/>
        <v>0</v>
      </c>
      <c r="CU499"/>
      <c r="CV499"/>
      <c r="CW499"/>
      <c r="CX499" t="str">
        <f t="shared" si="581"/>
        <v/>
      </c>
      <c r="CY499"/>
      <c r="CZ499" t="str">
        <f t="shared" si="553"/>
        <v/>
      </c>
      <c r="DA499" s="2"/>
      <c r="DC499"/>
      <c r="DH499"/>
      <c r="DN499"/>
      <c r="DO499"/>
      <c r="DP499"/>
      <c r="DQ499"/>
      <c r="DR499"/>
      <c r="DS499"/>
      <c r="DY499"/>
      <c r="DZ499" s="143"/>
      <c r="EP499" t="str">
        <f t="shared" si="563"/>
        <v/>
      </c>
      <c r="EQ499" t="str">
        <f t="shared" si="582"/>
        <v/>
      </c>
      <c r="ER499" s="2" t="str">
        <f t="shared" si="583"/>
        <v/>
      </c>
      <c r="ES499" t="str">
        <f t="shared" si="584"/>
        <v/>
      </c>
      <c r="ET499" t="str">
        <f t="shared" si="585"/>
        <v/>
      </c>
      <c r="EU499" t="str">
        <f t="shared" si="568"/>
        <v/>
      </c>
      <c r="EY499" t="b">
        <f>IF(ISNUMBER(BW499),IF(ABS(BW499-[1]QC_indicators!$B$2)&gt;3*[1]QC_indicators!$C$2,"C ratio",IF(ISNUMBER(CA499),IF(ABS(CA499-[1]QC_indicators!$B$1)&gt;3*[1]QC_indicators!$C$1,"DF","no"))),IF(ISNUMBER(CA499),IF(ABS(CA499-[1]QC_indicators!$B$1)&gt;3*[1]QC_indicators!$C$1,"DF","no")))</f>
        <v>0</v>
      </c>
      <c r="FA499" t="str">
        <f t="shared" si="569"/>
        <v/>
      </c>
    </row>
    <row r="500" spans="1:157" ht="15" hidden="1" customHeight="1">
      <c r="A500" s="1" t="s">
        <v>3802</v>
      </c>
      <c r="B500" t="s">
        <v>4164</v>
      </c>
      <c r="C500" t="s">
        <v>4165</v>
      </c>
      <c r="D500" t="s">
        <v>4166</v>
      </c>
      <c r="E500" t="s">
        <v>4167</v>
      </c>
      <c r="F500" t="s">
        <v>4168</v>
      </c>
      <c r="G500" t="s">
        <v>3808</v>
      </c>
      <c r="H500" t="s">
        <v>254</v>
      </c>
      <c r="I500">
        <v>2012</v>
      </c>
      <c r="J500">
        <v>14</v>
      </c>
      <c r="K500" t="s">
        <v>4169</v>
      </c>
      <c r="M500" t="str">
        <f t="shared" si="535"/>
        <v>Dwivedi_2012</v>
      </c>
      <c r="N500" t="s">
        <v>2266</v>
      </c>
      <c r="O500" s="145" t="s">
        <v>274</v>
      </c>
      <c r="Q500" s="297" t="s">
        <v>256</v>
      </c>
      <c r="R500" s="298"/>
      <c r="AZ500" s="141"/>
      <c r="BA500" s="141"/>
      <c r="BG500"/>
      <c r="BH500" s="2"/>
      <c r="BW500" s="144"/>
      <c r="CA500" t="str">
        <f t="shared" si="580"/>
        <v/>
      </c>
      <c r="CP500"/>
      <c r="CQ500"/>
      <c r="CR500"/>
      <c r="CS500"/>
      <c r="CT500">
        <f t="shared" si="551"/>
        <v>0</v>
      </c>
      <c r="CU500"/>
      <c r="CV500"/>
      <c r="CW500"/>
      <c r="CX500" t="str">
        <f t="shared" si="581"/>
        <v/>
      </c>
      <c r="CY500"/>
      <c r="CZ500" t="str">
        <f t="shared" si="553"/>
        <v/>
      </c>
      <c r="DA500" s="2"/>
      <c r="DC500"/>
      <c r="DH500"/>
      <c r="DN500"/>
      <c r="DO500"/>
      <c r="DP500"/>
      <c r="DQ500"/>
      <c r="DR500"/>
      <c r="DS500"/>
      <c r="DY500"/>
      <c r="DZ500" s="143"/>
      <c r="EP500" t="str">
        <f t="shared" si="563"/>
        <v/>
      </c>
      <c r="EQ500" t="str">
        <f t="shared" si="582"/>
        <v/>
      </c>
      <c r="ER500" s="2" t="str">
        <f t="shared" si="583"/>
        <v/>
      </c>
      <c r="ES500" t="str">
        <f t="shared" si="584"/>
        <v/>
      </c>
      <c r="ET500" t="str">
        <f t="shared" si="585"/>
        <v/>
      </c>
      <c r="EU500" t="str">
        <f t="shared" si="568"/>
        <v/>
      </c>
      <c r="EX500" t="s">
        <v>450</v>
      </c>
      <c r="EY500" t="b">
        <f>IF(ISNUMBER(BW500),IF(ABS(BW500-[1]QC_indicators!$B$2)&gt;3*[1]QC_indicators!$C$2,"C ratio",IF(ISNUMBER(CA500),IF(ABS(CA500-[1]QC_indicators!$B$1)&gt;3*[1]QC_indicators!$C$1,"DF","no"))),IF(ISNUMBER(CA500),IF(ABS(CA500-[1]QC_indicators!$B$1)&gt;3*[1]QC_indicators!$C$1,"DF","no")))</f>
        <v>0</v>
      </c>
      <c r="FA500" t="str">
        <f t="shared" si="569"/>
        <v/>
      </c>
    </row>
    <row r="501" spans="1:157" ht="15" hidden="1" customHeight="1">
      <c r="A501" s="1" t="s">
        <v>3293</v>
      </c>
      <c r="B501" t="s">
        <v>4170</v>
      </c>
      <c r="C501" t="s">
        <v>531</v>
      </c>
      <c r="D501" t="s">
        <v>4171</v>
      </c>
      <c r="E501" t="s">
        <v>4172</v>
      </c>
      <c r="F501" t="s">
        <v>4173</v>
      </c>
      <c r="G501" t="s">
        <v>3299</v>
      </c>
      <c r="H501" t="s">
        <v>254</v>
      </c>
      <c r="I501">
        <v>2014</v>
      </c>
      <c r="J501">
        <v>3</v>
      </c>
      <c r="K501" t="s">
        <v>4174</v>
      </c>
      <c r="M501" t="str">
        <f t="shared" si="535"/>
        <v>Fernandez_2014</v>
      </c>
      <c r="N501" t="s">
        <v>2266</v>
      </c>
      <c r="O501" s="145" t="s">
        <v>274</v>
      </c>
      <c r="Q501" s="297" t="s">
        <v>256</v>
      </c>
      <c r="R501" s="298"/>
      <c r="AZ501" s="141"/>
      <c r="BA501" s="141"/>
      <c r="BG501"/>
      <c r="BH501" s="2"/>
      <c r="BW501" s="144"/>
      <c r="CA501" t="str">
        <f t="shared" si="580"/>
        <v/>
      </c>
      <c r="CP501"/>
      <c r="CQ501"/>
      <c r="CR501"/>
      <c r="CS501"/>
      <c r="CT501">
        <f t="shared" si="551"/>
        <v>0</v>
      </c>
      <c r="CU501"/>
      <c r="CV501"/>
      <c r="CW501"/>
      <c r="CX501" t="str">
        <f t="shared" si="581"/>
        <v/>
      </c>
      <c r="CY501"/>
      <c r="CZ501" t="str">
        <f t="shared" si="553"/>
        <v/>
      </c>
      <c r="DA501" s="2"/>
      <c r="DC501"/>
      <c r="DH501"/>
      <c r="DN501"/>
      <c r="DO501"/>
      <c r="DP501"/>
      <c r="DQ501"/>
      <c r="DR501"/>
      <c r="DS501"/>
      <c r="DY501"/>
      <c r="DZ501" s="143"/>
      <c r="EP501" t="str">
        <f t="shared" si="563"/>
        <v/>
      </c>
      <c r="EQ501" t="str">
        <f t="shared" si="582"/>
        <v/>
      </c>
      <c r="ER501" s="2" t="str">
        <f t="shared" si="583"/>
        <v/>
      </c>
      <c r="ES501" t="str">
        <f t="shared" si="584"/>
        <v/>
      </c>
      <c r="ET501" t="str">
        <f t="shared" si="585"/>
        <v/>
      </c>
      <c r="EU501" t="str">
        <f t="shared" si="568"/>
        <v/>
      </c>
      <c r="EX501" t="s">
        <v>450</v>
      </c>
      <c r="EY501" t="b">
        <f>IF(ISNUMBER(BW501),IF(ABS(BW501-[1]QC_indicators!$B$2)&gt;3*[1]QC_indicators!$C$2,"C ratio",IF(ISNUMBER(CA501),IF(ABS(CA501-[1]QC_indicators!$B$1)&gt;3*[1]QC_indicators!$C$1,"DF","no"))),IF(ISNUMBER(CA501),IF(ABS(CA501-[1]QC_indicators!$B$1)&gt;3*[1]QC_indicators!$C$1,"DF","no")))</f>
        <v>0</v>
      </c>
      <c r="FA501" t="str">
        <f t="shared" si="569"/>
        <v/>
      </c>
    </row>
    <row r="502" spans="1:157" ht="15" hidden="1" customHeight="1">
      <c r="A502" s="1" t="s">
        <v>4175</v>
      </c>
      <c r="B502" t="s">
        <v>4176</v>
      </c>
      <c r="C502" t="s">
        <v>531</v>
      </c>
      <c r="D502" t="s">
        <v>4177</v>
      </c>
      <c r="E502" t="s">
        <v>4178</v>
      </c>
      <c r="F502" t="s">
        <v>4179</v>
      </c>
      <c r="G502" t="s">
        <v>4180</v>
      </c>
      <c r="H502" t="s">
        <v>254</v>
      </c>
      <c r="I502">
        <v>2016</v>
      </c>
      <c r="J502">
        <v>7</v>
      </c>
      <c r="K502" t="s">
        <v>4181</v>
      </c>
      <c r="M502" t="str">
        <f t="shared" si="535"/>
        <v>Fernandez_2016</v>
      </c>
      <c r="N502" t="s">
        <v>2266</v>
      </c>
      <c r="O502" s="145" t="s">
        <v>274</v>
      </c>
      <c r="Q502" s="297" t="s">
        <v>256</v>
      </c>
      <c r="R502" s="298"/>
      <c r="AZ502" s="141"/>
      <c r="BA502" s="141"/>
      <c r="BG502"/>
      <c r="BH502" s="2"/>
      <c r="BW502" s="144"/>
      <c r="CA502" t="str">
        <f t="shared" si="580"/>
        <v/>
      </c>
      <c r="CP502"/>
      <c r="CQ502"/>
      <c r="CR502"/>
      <c r="CS502"/>
      <c r="CT502">
        <f t="shared" si="551"/>
        <v>0</v>
      </c>
      <c r="CU502"/>
      <c r="CV502"/>
      <c r="CW502"/>
      <c r="CX502" t="str">
        <f t="shared" si="581"/>
        <v/>
      </c>
      <c r="CY502"/>
      <c r="CZ502" t="str">
        <f t="shared" si="553"/>
        <v/>
      </c>
      <c r="DA502" s="2"/>
      <c r="DC502"/>
      <c r="DH502"/>
      <c r="DN502"/>
      <c r="DO502"/>
      <c r="DP502"/>
      <c r="DQ502"/>
      <c r="DR502"/>
      <c r="DS502"/>
      <c r="DY502"/>
      <c r="DZ502" s="143"/>
      <c r="EP502" t="str">
        <f t="shared" si="563"/>
        <v/>
      </c>
      <c r="EQ502" t="str">
        <f t="shared" si="582"/>
        <v/>
      </c>
      <c r="ER502" s="2" t="str">
        <f t="shared" si="583"/>
        <v/>
      </c>
      <c r="ES502" t="str">
        <f t="shared" si="584"/>
        <v/>
      </c>
      <c r="ET502" t="str">
        <f t="shared" si="585"/>
        <v/>
      </c>
      <c r="EU502" t="str">
        <f t="shared" si="568"/>
        <v/>
      </c>
      <c r="EX502" t="s">
        <v>450</v>
      </c>
      <c r="EY502" t="b">
        <f>IF(ISNUMBER(BW502),IF(ABS(BW502-[1]QC_indicators!$B$2)&gt;3*[1]QC_indicators!$C$2,"C ratio",IF(ISNUMBER(CA502),IF(ABS(CA502-[1]QC_indicators!$B$1)&gt;3*[1]QC_indicators!$C$1,"DF","no"))),IF(ISNUMBER(CA502),IF(ABS(CA502-[1]QC_indicators!$B$1)&gt;3*[1]QC_indicators!$C$1,"DF","no")))</f>
        <v>0</v>
      </c>
      <c r="FA502" t="str">
        <f t="shared" si="569"/>
        <v/>
      </c>
    </row>
    <row r="503" spans="1:157" ht="15" hidden="1" customHeight="1">
      <c r="A503" s="1" t="s">
        <v>849</v>
      </c>
      <c r="B503" t="s">
        <v>4182</v>
      </c>
      <c r="C503" t="s">
        <v>531</v>
      </c>
      <c r="D503" t="s">
        <v>4183</v>
      </c>
      <c r="E503" t="s">
        <v>4184</v>
      </c>
      <c r="F503" t="s">
        <v>4185</v>
      </c>
      <c r="G503" t="s">
        <v>1059</v>
      </c>
      <c r="H503" t="s">
        <v>254</v>
      </c>
      <c r="I503">
        <v>2006</v>
      </c>
      <c r="J503">
        <v>53</v>
      </c>
      <c r="K503" t="s">
        <v>4186</v>
      </c>
      <c r="M503" t="str">
        <f t="shared" si="535"/>
        <v>Frey_2006</v>
      </c>
      <c r="N503" t="s">
        <v>2266</v>
      </c>
      <c r="O503" s="145" t="s">
        <v>274</v>
      </c>
      <c r="Q503" s="297" t="s">
        <v>256</v>
      </c>
      <c r="R503" s="298"/>
      <c r="AZ503" s="141"/>
      <c r="BA503" s="141"/>
      <c r="BG503"/>
      <c r="BH503" s="2"/>
      <c r="BW503" s="144"/>
      <c r="CA503" t="str">
        <f t="shared" si="580"/>
        <v/>
      </c>
      <c r="CP503"/>
      <c r="CQ503"/>
      <c r="CR503"/>
      <c r="CS503"/>
      <c r="CT503">
        <f t="shared" si="551"/>
        <v>0</v>
      </c>
      <c r="CU503"/>
      <c r="CV503"/>
      <c r="CW503"/>
      <c r="CX503" t="str">
        <f t="shared" si="581"/>
        <v/>
      </c>
      <c r="CY503"/>
      <c r="CZ503" t="str">
        <f t="shared" si="553"/>
        <v/>
      </c>
      <c r="DA503" s="2"/>
      <c r="DC503"/>
      <c r="DH503"/>
      <c r="DN503"/>
      <c r="DO503"/>
      <c r="DP503"/>
      <c r="DQ503"/>
      <c r="DR503"/>
      <c r="DS503"/>
      <c r="DY503"/>
      <c r="DZ503" s="143"/>
      <c r="EP503" t="str">
        <f t="shared" si="563"/>
        <v/>
      </c>
      <c r="EQ503" t="str">
        <f t="shared" si="582"/>
        <v/>
      </c>
      <c r="ER503" s="2" t="str">
        <f t="shared" si="583"/>
        <v/>
      </c>
      <c r="ES503" t="str">
        <f t="shared" si="584"/>
        <v/>
      </c>
      <c r="ET503" t="str">
        <f t="shared" si="585"/>
        <v/>
      </c>
      <c r="EU503" t="str">
        <f t="shared" si="568"/>
        <v/>
      </c>
      <c r="EX503" t="s">
        <v>450</v>
      </c>
      <c r="EY503" t="b">
        <f>IF(ISNUMBER(BW503),IF(ABS(BW503-[1]QC_indicators!$B$2)&gt;3*[1]QC_indicators!$C$2,"C ratio",IF(ISNUMBER(CA503),IF(ABS(CA503-[1]QC_indicators!$B$1)&gt;3*[1]QC_indicators!$C$1,"DF","no"))),IF(ISNUMBER(CA503),IF(ABS(CA503-[1]QC_indicators!$B$1)&gt;3*[1]QC_indicators!$C$1,"DF","no")))</f>
        <v>0</v>
      </c>
      <c r="FA503" t="str">
        <f t="shared" si="569"/>
        <v/>
      </c>
    </row>
    <row r="504" spans="1:157" ht="15" hidden="1" customHeight="1">
      <c r="A504" s="1" t="s">
        <v>1295</v>
      </c>
      <c r="B504" t="s">
        <v>4187</v>
      </c>
      <c r="C504" t="s">
        <v>4188</v>
      </c>
      <c r="D504" t="s">
        <v>4189</v>
      </c>
      <c r="E504" t="s">
        <v>4190</v>
      </c>
      <c r="F504" t="s">
        <v>4191</v>
      </c>
      <c r="G504" t="s">
        <v>1301</v>
      </c>
      <c r="H504" t="s">
        <v>254</v>
      </c>
      <c r="I504">
        <v>2019</v>
      </c>
      <c r="J504">
        <v>1</v>
      </c>
      <c r="K504" t="s">
        <v>4192</v>
      </c>
      <c r="M504" t="str">
        <f t="shared" si="535"/>
        <v>Guo_2019</v>
      </c>
      <c r="N504" t="s">
        <v>2266</v>
      </c>
      <c r="O504" s="180" t="s">
        <v>341</v>
      </c>
      <c r="Q504" s="297" t="s">
        <v>256</v>
      </c>
      <c r="R504" s="298"/>
      <c r="AZ504" s="141"/>
      <c r="BA504" s="141"/>
      <c r="BG504"/>
      <c r="BH504" s="2"/>
      <c r="BW504" s="144"/>
      <c r="CA504" t="str">
        <f t="shared" si="580"/>
        <v/>
      </c>
      <c r="CP504"/>
      <c r="CQ504"/>
      <c r="CR504"/>
      <c r="CS504"/>
      <c r="CT504">
        <f t="shared" si="551"/>
        <v>0</v>
      </c>
      <c r="CU504"/>
      <c r="CV504"/>
      <c r="CW504"/>
      <c r="CX504" t="str">
        <f t="shared" si="581"/>
        <v/>
      </c>
      <c r="CY504"/>
      <c r="CZ504" t="str">
        <f t="shared" si="553"/>
        <v/>
      </c>
      <c r="DA504" s="2"/>
      <c r="DC504"/>
      <c r="DH504"/>
      <c r="DN504"/>
      <c r="DO504"/>
      <c r="DP504"/>
      <c r="DQ504"/>
      <c r="DR504"/>
      <c r="DS504"/>
      <c r="DY504"/>
      <c r="DZ504" s="143"/>
      <c r="EP504" t="str">
        <f t="shared" si="563"/>
        <v/>
      </c>
      <c r="EQ504" t="str">
        <f t="shared" si="582"/>
        <v/>
      </c>
      <c r="ER504" s="2" t="str">
        <f t="shared" si="583"/>
        <v/>
      </c>
      <c r="ES504" t="str">
        <f t="shared" si="584"/>
        <v/>
      </c>
      <c r="ET504" t="str">
        <f t="shared" si="585"/>
        <v/>
      </c>
      <c r="EU504" t="str">
        <f t="shared" si="568"/>
        <v/>
      </c>
      <c r="EX504" t="s">
        <v>4193</v>
      </c>
      <c r="EY504" t="b">
        <f>IF(ISNUMBER(BW504),IF(ABS(BW504-[1]QC_indicators!$B$2)&gt;3*[1]QC_indicators!$C$2,"C ratio",IF(ISNUMBER(CA504),IF(ABS(CA504-[1]QC_indicators!$B$1)&gt;3*[1]QC_indicators!$C$1,"DF","no"))),IF(ISNUMBER(CA504),IF(ABS(CA504-[1]QC_indicators!$B$1)&gt;3*[1]QC_indicators!$C$1,"DF","no")))</f>
        <v>0</v>
      </c>
      <c r="FA504" t="str">
        <f t="shared" si="569"/>
        <v/>
      </c>
    </row>
    <row r="505" spans="1:157" ht="15" hidden="1" customHeight="1">
      <c r="A505" s="1" t="s">
        <v>1295</v>
      </c>
      <c r="B505" t="s">
        <v>4187</v>
      </c>
      <c r="C505" t="s">
        <v>4188</v>
      </c>
      <c r="D505" t="s">
        <v>4189</v>
      </c>
      <c r="E505" t="s">
        <v>4190</v>
      </c>
      <c r="F505" t="s">
        <v>4191</v>
      </c>
      <c r="G505" t="s">
        <v>1301</v>
      </c>
      <c r="H505" t="s">
        <v>254</v>
      </c>
      <c r="I505">
        <v>2019</v>
      </c>
      <c r="J505">
        <v>1</v>
      </c>
      <c r="K505" t="s">
        <v>4192</v>
      </c>
      <c r="M505" t="str">
        <f t="shared" si="535"/>
        <v>Guo_2019</v>
      </c>
      <c r="N505" t="s">
        <v>2266</v>
      </c>
      <c r="O505" s="171" t="s">
        <v>341</v>
      </c>
      <c r="P505" t="s">
        <v>225</v>
      </c>
      <c r="Q505" s="297" t="s">
        <v>389</v>
      </c>
      <c r="R505" s="298"/>
      <c r="AZ505" s="141"/>
      <c r="BA505" s="141"/>
      <c r="BG505"/>
      <c r="BH505" s="2"/>
      <c r="BW505" s="144"/>
      <c r="CA505" t="str">
        <f t="shared" si="580"/>
        <v/>
      </c>
      <c r="CP505"/>
      <c r="CQ505"/>
      <c r="CR505"/>
      <c r="CS505"/>
      <c r="CT505">
        <f t="shared" si="551"/>
        <v>0</v>
      </c>
      <c r="CU505"/>
      <c r="CV505"/>
      <c r="CW505"/>
      <c r="CX505" t="str">
        <f t="shared" si="581"/>
        <v/>
      </c>
      <c r="CY505"/>
      <c r="CZ505" t="str">
        <f t="shared" si="553"/>
        <v/>
      </c>
      <c r="DA505" s="2"/>
      <c r="DC505"/>
      <c r="DH505"/>
      <c r="DN505"/>
      <c r="DO505"/>
      <c r="DP505"/>
      <c r="DQ505"/>
      <c r="DR505"/>
      <c r="DS505"/>
      <c r="DY505"/>
      <c r="DZ505" s="143"/>
      <c r="EP505" t="str">
        <f t="shared" si="563"/>
        <v/>
      </c>
      <c r="EQ505" t="str">
        <f t="shared" si="582"/>
        <v/>
      </c>
      <c r="ER505" s="2" t="str">
        <f t="shared" si="583"/>
        <v/>
      </c>
      <c r="ES505" t="str">
        <f t="shared" si="584"/>
        <v/>
      </c>
      <c r="ET505" t="str">
        <f t="shared" si="585"/>
        <v/>
      </c>
      <c r="EU505" t="str">
        <f t="shared" si="568"/>
        <v/>
      </c>
      <c r="EW505" t="s">
        <v>4194</v>
      </c>
      <c r="EY505" t="b">
        <f>IF(ISNUMBER(BW505),IF(ABS(BW505-[1]QC_indicators!$B$2)&gt;3*[1]QC_indicators!$C$2,"C ratio",IF(ISNUMBER(CA505),IF(ABS(CA505-[1]QC_indicators!$B$1)&gt;3*[1]QC_indicators!$C$1,"DF","no"))),IF(ISNUMBER(CA505),IF(ABS(CA505-[1]QC_indicators!$B$1)&gt;3*[1]QC_indicators!$C$1,"DF","no")))</f>
        <v>0</v>
      </c>
      <c r="FA505" t="str">
        <f t="shared" si="569"/>
        <v/>
      </c>
    </row>
    <row r="506" spans="1:157" ht="15" hidden="1" customHeight="1">
      <c r="A506" s="1" t="s">
        <v>333</v>
      </c>
      <c r="B506" t="s">
        <v>4195</v>
      </c>
      <c r="C506" t="s">
        <v>4196</v>
      </c>
      <c r="D506" t="s">
        <v>4197</v>
      </c>
      <c r="E506" t="s">
        <v>4198</v>
      </c>
      <c r="F506" t="s">
        <v>4199</v>
      </c>
      <c r="G506" t="s">
        <v>339</v>
      </c>
      <c r="H506" t="s">
        <v>254</v>
      </c>
      <c r="I506">
        <v>2013</v>
      </c>
      <c r="J506">
        <v>29</v>
      </c>
      <c r="K506" t="s">
        <v>4200</v>
      </c>
      <c r="M506" t="str">
        <f t="shared" si="535"/>
        <v>Hall_2013</v>
      </c>
      <c r="N506" t="s">
        <v>2266</v>
      </c>
      <c r="O506" s="145" t="s">
        <v>274</v>
      </c>
      <c r="Q506" s="297" t="s">
        <v>256</v>
      </c>
      <c r="R506" s="298"/>
      <c r="AZ506" s="141"/>
      <c r="BA506" s="141"/>
      <c r="BG506"/>
      <c r="BH506" s="2"/>
      <c r="BW506" s="144"/>
      <c r="CA506" t="str">
        <f t="shared" si="580"/>
        <v/>
      </c>
      <c r="CP506"/>
      <c r="CQ506"/>
      <c r="CR506"/>
      <c r="CS506"/>
      <c r="CT506">
        <f t="shared" si="551"/>
        <v>0</v>
      </c>
      <c r="CU506"/>
      <c r="CV506"/>
      <c r="CW506"/>
      <c r="CX506" t="str">
        <f t="shared" si="581"/>
        <v/>
      </c>
      <c r="CY506"/>
      <c r="CZ506" t="str">
        <f t="shared" si="553"/>
        <v/>
      </c>
      <c r="DA506" s="2"/>
      <c r="DC506"/>
      <c r="DH506"/>
      <c r="DN506"/>
      <c r="DO506"/>
      <c r="DP506"/>
      <c r="DQ506"/>
      <c r="DR506"/>
      <c r="DS506"/>
      <c r="DY506"/>
      <c r="DZ506" s="143"/>
      <c r="EP506" t="str">
        <f t="shared" si="563"/>
        <v/>
      </c>
      <c r="EQ506" t="str">
        <f t="shared" si="582"/>
        <v/>
      </c>
      <c r="ER506" s="2" t="str">
        <f t="shared" si="583"/>
        <v/>
      </c>
      <c r="ES506" t="str">
        <f t="shared" si="584"/>
        <v/>
      </c>
      <c r="ET506" t="str">
        <f t="shared" si="585"/>
        <v/>
      </c>
      <c r="EU506" t="str">
        <f t="shared" si="568"/>
        <v/>
      </c>
      <c r="EX506" t="s">
        <v>450</v>
      </c>
      <c r="EY506" t="b">
        <f>IF(ISNUMBER(BW506),IF(ABS(BW506-[1]QC_indicators!$B$2)&gt;3*[1]QC_indicators!$C$2,"C ratio",IF(ISNUMBER(CA506),IF(ABS(CA506-[1]QC_indicators!$B$1)&gt;3*[1]QC_indicators!$C$1,"DF","no"))),IF(ISNUMBER(CA506),IF(ABS(CA506-[1]QC_indicators!$B$1)&gt;3*[1]QC_indicators!$C$1,"DF","no")))</f>
        <v>0</v>
      </c>
      <c r="FA506" t="str">
        <f t="shared" si="569"/>
        <v/>
      </c>
    </row>
    <row r="507" spans="1:157" ht="15" hidden="1" customHeight="1">
      <c r="A507" s="1" t="s">
        <v>1654</v>
      </c>
      <c r="B507" t="s">
        <v>4201</v>
      </c>
      <c r="C507" t="s">
        <v>4202</v>
      </c>
      <c r="D507" t="s">
        <v>4203</v>
      </c>
      <c r="E507" t="s">
        <v>4204</v>
      </c>
      <c r="F507" t="s">
        <v>4205</v>
      </c>
      <c r="G507" t="s">
        <v>1660</v>
      </c>
      <c r="H507" t="s">
        <v>254</v>
      </c>
      <c r="I507">
        <v>2008</v>
      </c>
      <c r="J507">
        <v>13</v>
      </c>
      <c r="K507" t="s">
        <v>4206</v>
      </c>
      <c r="M507" t="str">
        <f t="shared" si="535"/>
        <v>Hashimoto_2008</v>
      </c>
      <c r="N507" t="s">
        <v>2266</v>
      </c>
      <c r="O507" s="145" t="s">
        <v>508</v>
      </c>
      <c r="Q507" s="297" t="s">
        <v>256</v>
      </c>
      <c r="R507" s="298"/>
      <c r="AZ507" s="141"/>
      <c r="BA507" s="141"/>
      <c r="BG507"/>
      <c r="BH507" s="2"/>
      <c r="BW507" s="144"/>
      <c r="CA507" t="str">
        <f t="shared" si="580"/>
        <v/>
      </c>
      <c r="CP507"/>
      <c r="CQ507"/>
      <c r="CR507"/>
      <c r="CS507"/>
      <c r="CT507">
        <f t="shared" si="551"/>
        <v>0</v>
      </c>
      <c r="CU507"/>
      <c r="CV507"/>
      <c r="CW507"/>
      <c r="CX507" t="str">
        <f t="shared" si="581"/>
        <v/>
      </c>
      <c r="CY507"/>
      <c r="CZ507" t="str">
        <f t="shared" si="553"/>
        <v/>
      </c>
      <c r="DA507" s="2"/>
      <c r="DC507"/>
      <c r="DH507"/>
      <c r="DN507"/>
      <c r="DO507"/>
      <c r="DP507"/>
      <c r="DQ507"/>
      <c r="DR507"/>
      <c r="DS507"/>
      <c r="DY507"/>
      <c r="DZ507" s="143"/>
      <c r="EP507" t="str">
        <f t="shared" si="563"/>
        <v/>
      </c>
      <c r="EQ507" t="str">
        <f t="shared" si="582"/>
        <v/>
      </c>
      <c r="ER507" s="2" t="str">
        <f t="shared" si="583"/>
        <v/>
      </c>
      <c r="ES507" t="str">
        <f t="shared" si="584"/>
        <v/>
      </c>
      <c r="ET507" t="str">
        <f t="shared" si="585"/>
        <v/>
      </c>
      <c r="EU507" t="str">
        <f t="shared" si="568"/>
        <v/>
      </c>
      <c r="EX507" t="s">
        <v>450</v>
      </c>
      <c r="EY507" t="b">
        <f>IF(ISNUMBER(BW507),IF(ABS(BW507-[1]QC_indicators!$B$2)&gt;3*[1]QC_indicators!$C$2,"C ratio",IF(ISNUMBER(CA507),IF(ABS(CA507-[1]QC_indicators!$B$1)&gt;3*[1]QC_indicators!$C$1,"DF","no"))),IF(ISNUMBER(CA507),IF(ABS(CA507-[1]QC_indicators!$B$1)&gt;3*[1]QC_indicators!$C$1,"DF","no")))</f>
        <v>0</v>
      </c>
      <c r="FA507" t="str">
        <f t="shared" si="569"/>
        <v/>
      </c>
    </row>
    <row r="508" spans="1:157" ht="15" hidden="1" customHeight="1">
      <c r="A508" s="1" t="s">
        <v>4207</v>
      </c>
      <c r="B508" t="s">
        <v>4208</v>
      </c>
      <c r="C508" t="s">
        <v>4209</v>
      </c>
      <c r="D508" t="s">
        <v>4210</v>
      </c>
      <c r="E508" t="s">
        <v>4211</v>
      </c>
      <c r="F508" t="s">
        <v>4212</v>
      </c>
      <c r="G508" t="s">
        <v>4213</v>
      </c>
      <c r="H508" t="s">
        <v>254</v>
      </c>
      <c r="I508">
        <v>2018</v>
      </c>
      <c r="J508">
        <v>6</v>
      </c>
      <c r="K508" t="s">
        <v>4214</v>
      </c>
      <c r="M508" t="str">
        <f t="shared" si="535"/>
        <v>Hu_2018</v>
      </c>
      <c r="N508" t="s">
        <v>2266</v>
      </c>
      <c r="O508" s="145" t="s">
        <v>508</v>
      </c>
      <c r="Q508" s="297" t="s">
        <v>256</v>
      </c>
      <c r="R508" s="298"/>
      <c r="AZ508" s="141"/>
      <c r="BA508" s="141"/>
      <c r="BG508"/>
      <c r="BH508" s="2"/>
      <c r="BW508" s="144"/>
      <c r="CA508" t="str">
        <f t="shared" si="580"/>
        <v/>
      </c>
      <c r="CP508"/>
      <c r="CQ508"/>
      <c r="CR508"/>
      <c r="CS508"/>
      <c r="CT508">
        <f t="shared" si="551"/>
        <v>0</v>
      </c>
      <c r="CU508"/>
      <c r="CV508"/>
      <c r="CW508"/>
      <c r="CX508" t="str">
        <f t="shared" si="581"/>
        <v/>
      </c>
      <c r="CY508"/>
      <c r="CZ508" t="str">
        <f t="shared" si="553"/>
        <v/>
      </c>
      <c r="DA508" s="2"/>
      <c r="DC508"/>
      <c r="DH508"/>
      <c r="DN508"/>
      <c r="DO508"/>
      <c r="DP508"/>
      <c r="DQ508"/>
      <c r="DR508"/>
      <c r="DS508"/>
      <c r="DY508"/>
      <c r="DZ508" s="143"/>
      <c r="EP508" t="str">
        <f t="shared" si="563"/>
        <v/>
      </c>
      <c r="EQ508" t="str">
        <f t="shared" si="582"/>
        <v/>
      </c>
      <c r="ER508" s="2" t="str">
        <f t="shared" si="583"/>
        <v/>
      </c>
      <c r="ES508" t="str">
        <f t="shared" si="584"/>
        <v/>
      </c>
      <c r="ET508" t="str">
        <f t="shared" si="585"/>
        <v/>
      </c>
      <c r="EU508" t="str">
        <f t="shared" si="568"/>
        <v/>
      </c>
      <c r="EX508" t="s">
        <v>450</v>
      </c>
      <c r="EY508" t="b">
        <f>IF(ISNUMBER(BW508),IF(ABS(BW508-[1]QC_indicators!$B$2)&gt;3*[1]QC_indicators!$C$2,"C ratio",IF(ISNUMBER(CA508),IF(ABS(CA508-[1]QC_indicators!$B$1)&gt;3*[1]QC_indicators!$C$1,"DF","no"))),IF(ISNUMBER(CA508),IF(ABS(CA508-[1]QC_indicators!$B$1)&gt;3*[1]QC_indicators!$C$1,"DF","no")))</f>
        <v>0</v>
      </c>
      <c r="FA508" t="str">
        <f t="shared" si="569"/>
        <v/>
      </c>
    </row>
    <row r="509" spans="1:157" ht="15" hidden="1" customHeight="1">
      <c r="D509" t="s">
        <v>4215</v>
      </c>
      <c r="E509" t="s">
        <v>4216</v>
      </c>
      <c r="G509" t="s">
        <v>4217</v>
      </c>
      <c r="I509">
        <v>2008</v>
      </c>
      <c r="K509" s="297" t="s">
        <v>4218</v>
      </c>
      <c r="M509" t="str">
        <f t="shared" si="535"/>
        <v>Kirkinen_2008</v>
      </c>
      <c r="N509" t="s">
        <v>2266</v>
      </c>
      <c r="O509" t="s">
        <v>223</v>
      </c>
      <c r="Q509" s="297" t="s">
        <v>256</v>
      </c>
      <c r="R509" s="298"/>
      <c r="U509" s="143"/>
      <c r="V509" s="143"/>
      <c r="W509" s="143"/>
      <c r="AZ509" s="141"/>
      <c r="BA509" s="141"/>
      <c r="BG509"/>
      <c r="BH509" s="2"/>
      <c r="BL509" s="143"/>
      <c r="BN509" s="143"/>
      <c r="BO509" s="143"/>
      <c r="BP509" s="143"/>
      <c r="BQ509" s="143"/>
      <c r="BR509" s="143"/>
      <c r="BS509" s="143"/>
      <c r="BU509" s="143"/>
      <c r="CA509" t="str">
        <f t="shared" si="580"/>
        <v/>
      </c>
      <c r="CP509"/>
      <c r="CQ509"/>
      <c r="CR509"/>
      <c r="CS509"/>
      <c r="CT509">
        <f t="shared" si="551"/>
        <v>0</v>
      </c>
      <c r="CU509"/>
      <c r="CV509"/>
      <c r="CW509"/>
      <c r="CX509" t="str">
        <f t="shared" si="581"/>
        <v/>
      </c>
      <c r="CY509"/>
      <c r="CZ509" t="str">
        <f t="shared" si="553"/>
        <v/>
      </c>
      <c r="DA509" s="2"/>
      <c r="DC509"/>
      <c r="DF509" s="143"/>
      <c r="DG509" s="143"/>
      <c r="DH509"/>
      <c r="DN509"/>
      <c r="DO509"/>
      <c r="DP509"/>
      <c r="DQ509"/>
      <c r="DR509"/>
      <c r="DS509"/>
      <c r="DU509" s="143"/>
      <c r="DV509" s="143"/>
      <c r="DX509" s="143"/>
      <c r="DY509"/>
      <c r="DZ509" s="143"/>
      <c r="EA509" s="143"/>
      <c r="EB509" s="143"/>
      <c r="EG509" s="143"/>
      <c r="EI509" s="143"/>
      <c r="EL509" s="143"/>
      <c r="EP509" t="str">
        <f t="shared" si="563"/>
        <v/>
      </c>
      <c r="EQ509" t="str">
        <f t="shared" si="582"/>
        <v/>
      </c>
      <c r="ER509" s="2" t="str">
        <f t="shared" si="583"/>
        <v/>
      </c>
      <c r="ES509" t="str">
        <f t="shared" si="584"/>
        <v/>
      </c>
      <c r="ET509" t="str">
        <f t="shared" si="585"/>
        <v/>
      </c>
      <c r="EU509" t="str">
        <f t="shared" si="568"/>
        <v/>
      </c>
      <c r="EY509" t="b">
        <f>IF(ISNUMBER(BW509),IF(ABS(BW509-[1]QC_indicators!$B$2)&gt;3*[1]QC_indicators!$C$2,"C ratio",IF(ISNUMBER(CA509),IF(ABS(CA509-[1]QC_indicators!$B$1)&gt;3*[1]QC_indicators!$C$1,"DF","no"))),IF(ISNUMBER(CA509),IF(ABS(CA509-[1]QC_indicators!$B$1)&gt;3*[1]QC_indicators!$C$1,"DF","no")))</f>
        <v>0</v>
      </c>
      <c r="FA509" t="str">
        <f t="shared" si="569"/>
        <v/>
      </c>
    </row>
    <row r="510" spans="1:157" ht="15" hidden="1" customHeight="1">
      <c r="A510" s="1" t="s">
        <v>4219</v>
      </c>
      <c r="B510" t="s">
        <v>4220</v>
      </c>
      <c r="C510" t="s">
        <v>4221</v>
      </c>
      <c r="D510" t="s">
        <v>4222</v>
      </c>
      <c r="E510" t="s">
        <v>4223</v>
      </c>
      <c r="F510" t="s">
        <v>4224</v>
      </c>
      <c r="G510" t="s">
        <v>4225</v>
      </c>
      <c r="H510" t="s">
        <v>254</v>
      </c>
      <c r="I510">
        <v>2017</v>
      </c>
      <c r="J510">
        <v>8</v>
      </c>
      <c r="K510" t="s">
        <v>4226</v>
      </c>
      <c r="M510" t="str">
        <f t="shared" si="535"/>
        <v>Kleindienst_2017</v>
      </c>
      <c r="N510" t="s">
        <v>2266</v>
      </c>
      <c r="O510" s="145" t="s">
        <v>508</v>
      </c>
      <c r="Q510" s="297" t="s">
        <v>256</v>
      </c>
      <c r="R510" s="298"/>
      <c r="AZ510" s="141"/>
      <c r="BA510" s="141"/>
      <c r="BG510"/>
      <c r="BH510" s="2"/>
      <c r="BW510" s="144"/>
      <c r="CA510" t="str">
        <f t="shared" si="580"/>
        <v/>
      </c>
      <c r="CP510"/>
      <c r="CQ510"/>
      <c r="CR510"/>
      <c r="CS510"/>
      <c r="CT510">
        <f t="shared" si="551"/>
        <v>0</v>
      </c>
      <c r="CU510"/>
      <c r="CV510"/>
      <c r="CW510"/>
      <c r="CX510" t="str">
        <f t="shared" si="581"/>
        <v/>
      </c>
      <c r="CY510"/>
      <c r="CZ510" t="str">
        <f t="shared" si="553"/>
        <v/>
      </c>
      <c r="DA510" s="2"/>
      <c r="DC510"/>
      <c r="DH510"/>
      <c r="DN510"/>
      <c r="DO510"/>
      <c r="DP510"/>
      <c r="DQ510"/>
      <c r="DR510"/>
      <c r="DS510"/>
      <c r="DY510"/>
      <c r="DZ510" s="143"/>
      <c r="EP510" t="str">
        <f t="shared" si="563"/>
        <v/>
      </c>
      <c r="EQ510" t="str">
        <f t="shared" si="582"/>
        <v/>
      </c>
      <c r="ER510" s="2" t="str">
        <f t="shared" si="583"/>
        <v/>
      </c>
      <c r="ES510" t="str">
        <f t="shared" si="584"/>
        <v/>
      </c>
      <c r="ET510" t="str">
        <f t="shared" si="585"/>
        <v/>
      </c>
      <c r="EU510" t="str">
        <f t="shared" si="568"/>
        <v/>
      </c>
      <c r="EX510" t="s">
        <v>450</v>
      </c>
      <c r="EY510" t="b">
        <f>IF(ISNUMBER(BW510),IF(ABS(BW510-[1]QC_indicators!$B$2)&gt;3*[1]QC_indicators!$C$2,"C ratio",IF(ISNUMBER(CA510),IF(ABS(CA510-[1]QC_indicators!$B$1)&gt;3*[1]QC_indicators!$C$1,"DF","no"))),IF(ISNUMBER(CA510),IF(ABS(CA510-[1]QC_indicators!$B$1)&gt;3*[1]QC_indicators!$C$1,"DF","no")))</f>
        <v>0</v>
      </c>
      <c r="FA510" t="str">
        <f t="shared" si="569"/>
        <v/>
      </c>
    </row>
    <row r="511" spans="1:157" ht="15" hidden="1" customHeight="1">
      <c r="A511" s="1" t="s">
        <v>4227</v>
      </c>
      <c r="B511" t="s">
        <v>4228</v>
      </c>
      <c r="D511" t="s">
        <v>4229</v>
      </c>
      <c r="E511" t="s">
        <v>4230</v>
      </c>
      <c r="F511" t="s">
        <v>4231</v>
      </c>
      <c r="G511" t="s">
        <v>4232</v>
      </c>
      <c r="H511" t="s">
        <v>254</v>
      </c>
      <c r="I511">
        <v>2021</v>
      </c>
      <c r="J511">
        <v>2</v>
      </c>
      <c r="K511" t="s">
        <v>4233</v>
      </c>
      <c r="M511" t="str">
        <f t="shared" si="535"/>
        <v>Kunic_2021</v>
      </c>
      <c r="N511" t="s">
        <v>2266</v>
      </c>
      <c r="O511" s="145" t="s">
        <v>225</v>
      </c>
      <c r="Q511" s="297" t="s">
        <v>256</v>
      </c>
      <c r="R511" s="298"/>
      <c r="U511" s="143"/>
      <c r="V511" s="143"/>
      <c r="W511" s="143"/>
      <c r="AZ511" s="141"/>
      <c r="BA511" s="141"/>
      <c r="BG511"/>
      <c r="BH511" s="2"/>
      <c r="BI511" s="142"/>
      <c r="BL511" s="143"/>
      <c r="BN511" s="143"/>
      <c r="BO511" s="163"/>
      <c r="BP511" s="158"/>
      <c r="BQ511" s="143"/>
      <c r="BU511" s="143"/>
      <c r="BW511" s="144"/>
      <c r="CA511" t="str">
        <f t="shared" si="580"/>
        <v/>
      </c>
      <c r="CP511"/>
      <c r="CQ511"/>
      <c r="CR511"/>
      <c r="CS511"/>
      <c r="CT511">
        <f t="shared" si="551"/>
        <v>0</v>
      </c>
      <c r="CU511"/>
      <c r="CV511"/>
      <c r="CW511"/>
      <c r="CX511" t="str">
        <f t="shared" si="581"/>
        <v/>
      </c>
      <c r="CY511"/>
      <c r="CZ511" t="str">
        <f t="shared" si="553"/>
        <v/>
      </c>
      <c r="DA511" s="2"/>
      <c r="DC511"/>
      <c r="DF511" s="143"/>
      <c r="DG511" s="143"/>
      <c r="DH511"/>
      <c r="DN511"/>
      <c r="DO511"/>
      <c r="DP511"/>
      <c r="DQ511"/>
      <c r="DR511"/>
      <c r="DS511"/>
      <c r="DU511" s="143"/>
      <c r="DV511" s="143"/>
      <c r="DX511" s="143"/>
      <c r="DY511"/>
      <c r="DZ511" s="143"/>
      <c r="EA511" s="143"/>
      <c r="EB511" s="143"/>
      <c r="EG511" s="143"/>
      <c r="EI511" s="143"/>
      <c r="EL511" s="143"/>
      <c r="EP511" t="str">
        <f t="shared" si="563"/>
        <v/>
      </c>
      <c r="EQ511" t="str">
        <f t="shared" si="582"/>
        <v/>
      </c>
      <c r="ER511" s="2" t="str">
        <f t="shared" si="583"/>
        <v/>
      </c>
      <c r="ES511" t="str">
        <f t="shared" si="584"/>
        <v/>
      </c>
      <c r="ET511" t="str">
        <f t="shared" si="585"/>
        <v/>
      </c>
      <c r="EU511" t="str">
        <f t="shared" si="568"/>
        <v/>
      </c>
      <c r="EX511" t="s">
        <v>450</v>
      </c>
      <c r="EY511" t="b">
        <f>IF(ISNUMBER(BW511),IF(ABS(BW511-[1]QC_indicators!$B$2)&gt;3*[1]QC_indicators!$C$2,"C ratio",IF(ISNUMBER(CA511),IF(ABS(CA511-[1]QC_indicators!$B$1)&gt;3*[1]QC_indicators!$C$1,"DF","no"))),IF(ISNUMBER(CA511),IF(ABS(CA511-[1]QC_indicators!$B$1)&gt;3*[1]QC_indicators!$C$1,"DF","no")))</f>
        <v>0</v>
      </c>
      <c r="FA511" t="str">
        <f t="shared" si="569"/>
        <v/>
      </c>
    </row>
    <row r="512" spans="1:157" ht="15" hidden="1" customHeight="1">
      <c r="A512" s="1" t="s">
        <v>4234</v>
      </c>
      <c r="C512" t="s">
        <v>4235</v>
      </c>
      <c r="D512" t="s">
        <v>4236</v>
      </c>
      <c r="E512" t="s">
        <v>4237</v>
      </c>
      <c r="F512" t="s">
        <v>4238</v>
      </c>
      <c r="G512" t="s">
        <v>4239</v>
      </c>
      <c r="H512" t="s">
        <v>254</v>
      </c>
      <c r="I512">
        <v>2020</v>
      </c>
      <c r="J512">
        <v>10</v>
      </c>
      <c r="K512" t="s">
        <v>4240</v>
      </c>
      <c r="M512" t="str">
        <f t="shared" si="535"/>
        <v>Leturcq_2020</v>
      </c>
      <c r="N512" s="297" t="s">
        <v>2266</v>
      </c>
      <c r="O512" s="145" t="s">
        <v>225</v>
      </c>
      <c r="Q512" s="297" t="s">
        <v>256</v>
      </c>
      <c r="R512" s="298"/>
      <c r="U512" s="143"/>
      <c r="V512" s="143"/>
      <c r="W512" s="143"/>
      <c r="AZ512" s="141"/>
      <c r="BA512" s="141"/>
      <c r="BG512"/>
      <c r="BH512" s="2"/>
      <c r="BI512" s="142"/>
      <c r="BL512" s="143"/>
      <c r="BN512" s="143"/>
      <c r="BO512" s="163"/>
      <c r="BP512" s="158"/>
      <c r="BQ512" s="143"/>
      <c r="BR512" s="143"/>
      <c r="BS512" s="143"/>
      <c r="BU512" s="143"/>
      <c r="BW512" s="144"/>
      <c r="CA512" t="str">
        <f t="shared" si="580"/>
        <v/>
      </c>
      <c r="CP512"/>
      <c r="CQ512"/>
      <c r="CR512"/>
      <c r="CS512"/>
      <c r="CT512">
        <f t="shared" si="551"/>
        <v>0</v>
      </c>
      <c r="CU512"/>
      <c r="CV512"/>
      <c r="CW512"/>
      <c r="CX512" t="str">
        <f t="shared" si="581"/>
        <v/>
      </c>
      <c r="CY512"/>
      <c r="CZ512" t="str">
        <f t="shared" si="553"/>
        <v/>
      </c>
      <c r="DA512" s="2"/>
      <c r="DC512"/>
      <c r="DF512" s="143"/>
      <c r="DG512" s="143"/>
      <c r="DH512"/>
      <c r="DN512"/>
      <c r="DO512"/>
      <c r="DP512"/>
      <c r="DQ512"/>
      <c r="DR512"/>
      <c r="DS512"/>
      <c r="DU512" s="143"/>
      <c r="DV512" s="143"/>
      <c r="DX512" s="143"/>
      <c r="DY512"/>
      <c r="DZ512" s="143"/>
      <c r="EA512" s="143"/>
      <c r="EB512" s="143"/>
      <c r="EG512" s="143"/>
      <c r="EI512" s="143"/>
      <c r="EL512" s="143"/>
      <c r="EP512" t="str">
        <f t="shared" si="563"/>
        <v/>
      </c>
      <c r="EQ512" t="str">
        <f t="shared" si="582"/>
        <v/>
      </c>
      <c r="ER512" s="2" t="str">
        <f t="shared" si="583"/>
        <v/>
      </c>
      <c r="ES512" t="str">
        <f t="shared" si="584"/>
        <v/>
      </c>
      <c r="ET512" t="str">
        <f t="shared" si="585"/>
        <v/>
      </c>
      <c r="EU512" t="str">
        <f t="shared" si="568"/>
        <v/>
      </c>
      <c r="EW512" t="s">
        <v>4241</v>
      </c>
      <c r="EX512" t="s">
        <v>450</v>
      </c>
      <c r="EY512" t="b">
        <f>IF(ISNUMBER(BW512),IF(ABS(BW512-[1]QC_indicators!$B$2)&gt;3*[1]QC_indicators!$C$2,"C ratio",IF(ISNUMBER(CA512),IF(ABS(CA512-[1]QC_indicators!$B$1)&gt;3*[1]QC_indicators!$C$1,"DF","no"))),IF(ISNUMBER(CA512),IF(ABS(CA512-[1]QC_indicators!$B$1)&gt;3*[1]QC_indicators!$C$1,"DF","no")))</f>
        <v>0</v>
      </c>
      <c r="FA512" t="str">
        <f t="shared" si="569"/>
        <v/>
      </c>
    </row>
    <row r="513" spans="1:160" ht="15" hidden="1" customHeight="1">
      <c r="A513" s="1" t="s">
        <v>380</v>
      </c>
      <c r="B513" t="s">
        <v>4242</v>
      </c>
      <c r="D513" t="s">
        <v>4243</v>
      </c>
      <c r="E513" t="s">
        <v>4244</v>
      </c>
      <c r="F513" t="s">
        <v>4245</v>
      </c>
      <c r="G513" t="s">
        <v>386</v>
      </c>
      <c r="H513" t="s">
        <v>254</v>
      </c>
      <c r="I513">
        <v>2008</v>
      </c>
      <c r="J513">
        <v>11</v>
      </c>
      <c r="K513" t="s">
        <v>4246</v>
      </c>
      <c r="M513" t="str">
        <f t="shared" si="535"/>
        <v>Lewandowska_2008</v>
      </c>
      <c r="N513" t="s">
        <v>2266</v>
      </c>
      <c r="O513" s="145" t="s">
        <v>225</v>
      </c>
      <c r="Q513" s="297" t="s">
        <v>256</v>
      </c>
      <c r="R513" s="298"/>
      <c r="U513" s="143"/>
      <c r="V513" s="143"/>
      <c r="W513" s="143"/>
      <c r="AZ513" s="141"/>
      <c r="BA513" s="141"/>
      <c r="BG513"/>
      <c r="BH513" s="2"/>
      <c r="BI513" s="142"/>
      <c r="BL513" s="143"/>
      <c r="BN513" s="143"/>
      <c r="BO513" s="163"/>
      <c r="BP513" s="158"/>
      <c r="BQ513" s="143"/>
      <c r="BR513" s="143"/>
      <c r="BS513" s="143"/>
      <c r="BU513" s="143"/>
      <c r="BW513" s="144"/>
      <c r="CA513" t="str">
        <f t="shared" si="580"/>
        <v/>
      </c>
      <c r="CP513"/>
      <c r="CQ513"/>
      <c r="CR513"/>
      <c r="CS513"/>
      <c r="CT513">
        <f t="shared" si="551"/>
        <v>0</v>
      </c>
      <c r="CU513"/>
      <c r="CV513"/>
      <c r="CW513"/>
      <c r="CX513" t="str">
        <f t="shared" si="581"/>
        <v/>
      </c>
      <c r="CY513"/>
      <c r="CZ513" t="str">
        <f t="shared" si="553"/>
        <v/>
      </c>
      <c r="DA513" s="2"/>
      <c r="DC513"/>
      <c r="DF513" s="143"/>
      <c r="DG513" s="143"/>
      <c r="DH513"/>
      <c r="DN513"/>
      <c r="DO513"/>
      <c r="DP513"/>
      <c r="DQ513"/>
      <c r="DR513"/>
      <c r="DS513"/>
      <c r="DU513" s="143"/>
      <c r="DV513" s="143"/>
      <c r="DX513" s="143"/>
      <c r="DY513"/>
      <c r="DZ513" s="143"/>
      <c r="EA513" s="143"/>
      <c r="EB513" s="143"/>
      <c r="EG513" s="143"/>
      <c r="EI513" s="143"/>
      <c r="EL513" s="143"/>
      <c r="EP513" t="str">
        <f t="shared" si="563"/>
        <v/>
      </c>
      <c r="EQ513" t="str">
        <f t="shared" si="582"/>
        <v/>
      </c>
      <c r="ER513" s="2" t="str">
        <f t="shared" si="583"/>
        <v/>
      </c>
      <c r="ES513" t="str">
        <f t="shared" si="584"/>
        <v/>
      </c>
      <c r="ET513" t="str">
        <f t="shared" si="585"/>
        <v/>
      </c>
      <c r="EU513" t="str">
        <f t="shared" si="568"/>
        <v/>
      </c>
      <c r="EW513" t="s">
        <v>4247</v>
      </c>
      <c r="EX513" t="s">
        <v>450</v>
      </c>
      <c r="EY513" t="b">
        <f>IF(ISNUMBER(BW513),IF(ABS(BW513-[1]QC_indicators!$B$2)&gt;3*[1]QC_indicators!$C$2,"C ratio",IF(ISNUMBER(CA513),IF(ABS(CA513-[1]QC_indicators!$B$1)&gt;3*[1]QC_indicators!$C$1,"DF","no"))),IF(ISNUMBER(CA513),IF(ABS(CA513-[1]QC_indicators!$B$1)&gt;3*[1]QC_indicators!$C$1,"DF","no")))</f>
        <v>0</v>
      </c>
      <c r="FA513" t="str">
        <f t="shared" si="569"/>
        <v/>
      </c>
    </row>
    <row r="514" spans="1:160" ht="15" hidden="1" customHeight="1">
      <c r="A514" s="1" t="s">
        <v>1874</v>
      </c>
      <c r="B514" t="s">
        <v>4248</v>
      </c>
      <c r="C514" t="s">
        <v>4249</v>
      </c>
      <c r="D514" t="s">
        <v>4250</v>
      </c>
      <c r="E514" t="s">
        <v>4251</v>
      </c>
      <c r="F514" t="s">
        <v>4252</v>
      </c>
      <c r="G514" t="s">
        <v>1879</v>
      </c>
      <c r="H514" t="s">
        <v>254</v>
      </c>
      <c r="I514">
        <v>2020</v>
      </c>
      <c r="J514">
        <v>1</v>
      </c>
      <c r="K514" t="s">
        <v>4253</v>
      </c>
      <c r="M514" t="str">
        <f t="shared" si="535"/>
        <v>Lopez_2020</v>
      </c>
      <c r="N514" t="s">
        <v>2266</v>
      </c>
      <c r="O514" s="145" t="s">
        <v>225</v>
      </c>
      <c r="Q514" s="297" t="s">
        <v>256</v>
      </c>
      <c r="R514" s="298"/>
      <c r="U514" s="143"/>
      <c r="V514" s="143"/>
      <c r="W514" s="143"/>
      <c r="AZ514" s="141"/>
      <c r="BA514" s="141"/>
      <c r="BG514"/>
      <c r="BH514" s="2"/>
      <c r="BI514" s="142"/>
      <c r="BL514" s="143"/>
      <c r="BN514" s="143"/>
      <c r="BO514" s="163"/>
      <c r="BP514" s="158"/>
      <c r="BQ514" s="143"/>
      <c r="BU514" s="143"/>
      <c r="BW514" s="144"/>
      <c r="CA514" t="str">
        <f t="shared" si="580"/>
        <v/>
      </c>
      <c r="CP514"/>
      <c r="CQ514"/>
      <c r="CR514"/>
      <c r="CS514"/>
      <c r="CT514">
        <f t="shared" si="551"/>
        <v>0</v>
      </c>
      <c r="CU514"/>
      <c r="CV514"/>
      <c r="CW514"/>
      <c r="CX514" t="str">
        <f t="shared" si="581"/>
        <v/>
      </c>
      <c r="CY514"/>
      <c r="CZ514" t="str">
        <f t="shared" si="553"/>
        <v/>
      </c>
      <c r="DA514" s="2"/>
      <c r="DC514"/>
      <c r="DF514" s="143"/>
      <c r="DG514" s="143"/>
      <c r="DH514"/>
      <c r="DN514"/>
      <c r="DO514"/>
      <c r="DP514"/>
      <c r="DQ514"/>
      <c r="DR514"/>
      <c r="DS514"/>
      <c r="DU514" s="143"/>
      <c r="DV514" s="143"/>
      <c r="DX514" s="143"/>
      <c r="DY514"/>
      <c r="DZ514" s="143"/>
      <c r="EA514" s="143"/>
      <c r="EB514" s="143"/>
      <c r="ED514" s="143"/>
      <c r="EG514" s="143"/>
      <c r="EI514" s="143"/>
      <c r="EL514" s="143"/>
      <c r="EP514" t="str">
        <f t="shared" si="563"/>
        <v/>
      </c>
      <c r="EQ514" t="str">
        <f t="shared" si="582"/>
        <v/>
      </c>
      <c r="ER514" s="2" t="str">
        <f t="shared" si="583"/>
        <v/>
      </c>
      <c r="ES514" t="str">
        <f t="shared" si="584"/>
        <v/>
      </c>
      <c r="ET514" t="str">
        <f t="shared" si="585"/>
        <v/>
      </c>
      <c r="EU514" t="str">
        <f t="shared" si="568"/>
        <v/>
      </c>
      <c r="EW514" t="s">
        <v>4254</v>
      </c>
      <c r="EX514" t="s">
        <v>450</v>
      </c>
      <c r="EY514" t="b">
        <f>IF(ISNUMBER(BW514),IF(ABS(BW514-[1]QC_indicators!$B$2)&gt;3*[1]QC_indicators!$C$2,"C ratio",IF(ISNUMBER(CA514),IF(ABS(CA514-[1]QC_indicators!$B$1)&gt;3*[1]QC_indicators!$C$1,"DF","no"))),IF(ISNUMBER(CA514),IF(ABS(CA514-[1]QC_indicators!$B$1)&gt;3*[1]QC_indicators!$C$1,"DF","no")))</f>
        <v>0</v>
      </c>
      <c r="FA514" t="str">
        <f t="shared" si="569"/>
        <v/>
      </c>
    </row>
    <row r="515" spans="1:160" ht="15" hidden="1" customHeight="1">
      <c r="A515" s="1" t="s">
        <v>4255</v>
      </c>
      <c r="B515" t="s">
        <v>4256</v>
      </c>
      <c r="C515" t="s">
        <v>4257</v>
      </c>
      <c r="D515" t="s">
        <v>4258</v>
      </c>
      <c r="E515" t="s">
        <v>4259</v>
      </c>
      <c r="F515" t="s">
        <v>4260</v>
      </c>
      <c r="G515" t="s">
        <v>4261</v>
      </c>
      <c r="H515" t="s">
        <v>254</v>
      </c>
      <c r="I515">
        <v>2022</v>
      </c>
      <c r="J515">
        <v>1</v>
      </c>
      <c r="K515" t="s">
        <v>4262</v>
      </c>
      <c r="M515" t="str">
        <f t="shared" si="535"/>
        <v>Lopez-Sosa_2022</v>
      </c>
      <c r="N515" t="s">
        <v>2266</v>
      </c>
      <c r="AZ515" s="141">
        <f>COUNTIF(X515:AY515,"&lt;&gt;0")</f>
        <v>28</v>
      </c>
      <c r="BA515">
        <f>COUNTIF(X515:AN515,"&lt;&gt;0")</f>
        <v>17</v>
      </c>
      <c r="BG515"/>
      <c r="BH515" s="2"/>
      <c r="CA515" t="str">
        <f t="shared" si="580"/>
        <v/>
      </c>
      <c r="CP515"/>
      <c r="CQ515"/>
      <c r="CR515"/>
      <c r="CS515"/>
      <c r="CT515">
        <f t="shared" si="551"/>
        <v>0</v>
      </c>
      <c r="CU515"/>
      <c r="CV515"/>
      <c r="CW515"/>
      <c r="CX515" t="str">
        <f t="shared" si="581"/>
        <v/>
      </c>
      <c r="CY515"/>
      <c r="CZ515" t="str">
        <f t="shared" si="553"/>
        <v/>
      </c>
      <c r="DA515" s="2"/>
      <c r="DC515"/>
      <c r="DH515"/>
      <c r="DN515"/>
      <c r="DO515"/>
      <c r="DP515"/>
      <c r="DQ515"/>
      <c r="DR515"/>
      <c r="DS515"/>
      <c r="DY515"/>
      <c r="DZ515"/>
      <c r="EP515" t="str">
        <f t="shared" si="563"/>
        <v/>
      </c>
      <c r="EQ515" t="str">
        <f t="shared" si="582"/>
        <v/>
      </c>
      <c r="ER515" s="2" t="str">
        <f t="shared" si="583"/>
        <v/>
      </c>
      <c r="ES515" t="str">
        <f t="shared" si="584"/>
        <v/>
      </c>
      <c r="ET515" t="str">
        <f t="shared" si="585"/>
        <v/>
      </c>
      <c r="EU515" t="str">
        <f t="shared" si="568"/>
        <v/>
      </c>
      <c r="EY515" t="b">
        <f>IF(ISNUMBER(BW515),IF(ABS(BW515-[1]QC_indicators!$B$2)&gt;3*[1]QC_indicators!$C$2,"C ratio",IF(ISNUMBER(CA515),IF(ABS(CA515-[1]QC_indicators!$B$1)&gt;3*[1]QC_indicators!$C$1,"DF","no"))),IF(ISNUMBER(CA515),IF(ABS(CA515-[1]QC_indicators!$B$1)&gt;3*[1]QC_indicators!$C$1,"DF","no")))</f>
        <v>0</v>
      </c>
      <c r="FA515" t="str">
        <f t="shared" si="569"/>
        <v/>
      </c>
    </row>
    <row r="516" spans="1:160" ht="15" hidden="1" customHeight="1">
      <c r="A516" s="1" t="s">
        <v>4263</v>
      </c>
      <c r="B516" t="s">
        <v>4264</v>
      </c>
      <c r="C516" t="s">
        <v>4265</v>
      </c>
      <c r="D516" t="s">
        <v>4266</v>
      </c>
      <c r="E516" t="s">
        <v>4267</v>
      </c>
      <c r="F516" t="s">
        <v>4268</v>
      </c>
      <c r="G516" t="s">
        <v>4269</v>
      </c>
      <c r="H516" t="s">
        <v>254</v>
      </c>
      <c r="I516">
        <v>2018</v>
      </c>
      <c r="J516">
        <v>4</v>
      </c>
      <c r="K516" t="s">
        <v>4270</v>
      </c>
      <c r="M516" t="str">
        <f t="shared" si="535"/>
        <v>Lorenz_2018</v>
      </c>
      <c r="N516" t="s">
        <v>2266</v>
      </c>
      <c r="O516" s="145" t="s">
        <v>225</v>
      </c>
      <c r="Q516" s="297" t="s">
        <v>256</v>
      </c>
      <c r="R516" s="298"/>
      <c r="U516" s="143"/>
      <c r="V516" s="143"/>
      <c r="W516" s="143"/>
      <c r="AZ516" s="141"/>
      <c r="BA516" s="141"/>
      <c r="BG516"/>
      <c r="BH516" s="2"/>
      <c r="BI516" s="142"/>
      <c r="BL516" s="143"/>
      <c r="BN516" s="143"/>
      <c r="BO516" s="163"/>
      <c r="BP516" s="158"/>
      <c r="BQ516" s="143"/>
      <c r="BU516" s="143"/>
      <c r="BW516" s="144"/>
      <c r="CA516" t="str">
        <f t="shared" si="580"/>
        <v/>
      </c>
      <c r="CP516"/>
      <c r="CQ516"/>
      <c r="CR516"/>
      <c r="CS516"/>
      <c r="CT516">
        <f t="shared" si="551"/>
        <v>0</v>
      </c>
      <c r="CU516"/>
      <c r="CV516"/>
      <c r="CW516"/>
      <c r="CX516" t="str">
        <f t="shared" si="581"/>
        <v/>
      </c>
      <c r="CY516"/>
      <c r="CZ516" t="str">
        <f t="shared" si="553"/>
        <v/>
      </c>
      <c r="DA516" s="2"/>
      <c r="DC516"/>
      <c r="DF516" s="143"/>
      <c r="DG516" s="143"/>
      <c r="DH516"/>
      <c r="DN516"/>
      <c r="DO516"/>
      <c r="DP516"/>
      <c r="DQ516"/>
      <c r="DR516"/>
      <c r="DS516"/>
      <c r="DU516" s="143"/>
      <c r="DV516" s="143"/>
      <c r="DX516" s="143"/>
      <c r="DY516"/>
      <c r="DZ516" s="143"/>
      <c r="EA516" s="143"/>
      <c r="EB516" s="143"/>
      <c r="EG516" s="143"/>
      <c r="EI516" s="143"/>
      <c r="EL516" s="143"/>
      <c r="EP516" t="str">
        <f t="shared" si="563"/>
        <v/>
      </c>
      <c r="EQ516" t="str">
        <f t="shared" si="582"/>
        <v/>
      </c>
      <c r="ER516" s="2" t="str">
        <f t="shared" si="583"/>
        <v/>
      </c>
      <c r="ES516" t="str">
        <f t="shared" si="584"/>
        <v/>
      </c>
      <c r="ET516" t="str">
        <f t="shared" si="585"/>
        <v/>
      </c>
      <c r="EU516" t="str">
        <f t="shared" si="568"/>
        <v/>
      </c>
      <c r="EW516" t="s">
        <v>4271</v>
      </c>
      <c r="EX516" t="s">
        <v>450</v>
      </c>
      <c r="EY516" t="b">
        <f>IF(ISNUMBER(BW516),IF(ABS(BW516-[1]QC_indicators!$B$2)&gt;3*[1]QC_indicators!$C$2,"C ratio",IF(ISNUMBER(CA516),IF(ABS(CA516-[1]QC_indicators!$B$1)&gt;3*[1]QC_indicators!$C$1,"DF","no"))),IF(ISNUMBER(CA516),IF(ABS(CA516-[1]QC_indicators!$B$1)&gt;3*[1]QC_indicators!$C$1,"DF","no")))</f>
        <v>0</v>
      </c>
      <c r="FA516" t="str">
        <f t="shared" si="569"/>
        <v/>
      </c>
    </row>
    <row r="517" spans="1:160" ht="15" hidden="1" customHeight="1">
      <c r="A517" s="1" t="s">
        <v>4272</v>
      </c>
      <c r="B517" t="s">
        <v>4273</v>
      </c>
      <c r="C517" t="s">
        <v>4274</v>
      </c>
      <c r="D517" t="s">
        <v>4275</v>
      </c>
      <c r="E517" t="s">
        <v>4276</v>
      </c>
      <c r="F517" t="s">
        <v>4277</v>
      </c>
      <c r="G517" t="s">
        <v>4278</v>
      </c>
      <c r="H517" t="s">
        <v>254</v>
      </c>
      <c r="I517">
        <v>2022</v>
      </c>
      <c r="J517">
        <v>0</v>
      </c>
      <c r="K517" t="s">
        <v>4279</v>
      </c>
      <c r="M517" t="str">
        <f t="shared" si="535"/>
        <v>Mandal_2022</v>
      </c>
      <c r="N517" t="s">
        <v>2266</v>
      </c>
      <c r="AZ517" s="141">
        <f>COUNTIF(X517:AY517,"&lt;&gt;0")</f>
        <v>28</v>
      </c>
      <c r="BA517">
        <f>COUNTIF(X517:AN517,"&lt;&gt;0")</f>
        <v>17</v>
      </c>
      <c r="BG517"/>
      <c r="BH517" s="2"/>
      <c r="CA517" t="str">
        <f t="shared" si="580"/>
        <v/>
      </c>
      <c r="CP517"/>
      <c r="CQ517"/>
      <c r="CR517"/>
      <c r="CS517"/>
      <c r="CT517">
        <f t="shared" si="551"/>
        <v>0</v>
      </c>
      <c r="CU517"/>
      <c r="CV517"/>
      <c r="CW517"/>
      <c r="CX517" t="str">
        <f t="shared" si="581"/>
        <v/>
      </c>
      <c r="CY517"/>
      <c r="CZ517" t="str">
        <f t="shared" si="553"/>
        <v/>
      </c>
      <c r="DA517" s="2"/>
      <c r="DC517"/>
      <c r="DH517"/>
      <c r="DN517"/>
      <c r="DO517"/>
      <c r="DP517"/>
      <c r="DQ517"/>
      <c r="DR517"/>
      <c r="DS517"/>
      <c r="DY517"/>
      <c r="DZ517"/>
      <c r="EP517" t="str">
        <f t="shared" si="563"/>
        <v/>
      </c>
      <c r="EQ517" t="str">
        <f t="shared" si="582"/>
        <v/>
      </c>
      <c r="ER517" s="2" t="str">
        <f t="shared" si="583"/>
        <v/>
      </c>
      <c r="ES517" t="str">
        <f t="shared" si="584"/>
        <v/>
      </c>
      <c r="ET517" t="str">
        <f t="shared" si="585"/>
        <v/>
      </c>
      <c r="EU517" t="str">
        <f t="shared" si="568"/>
        <v/>
      </c>
      <c r="EY517" t="b">
        <f>IF(ISNUMBER(BW517),IF(ABS(BW517-[1]QC_indicators!$B$2)&gt;3*[1]QC_indicators!$C$2,"C ratio",IF(ISNUMBER(CA517),IF(ABS(CA517-[1]QC_indicators!$B$1)&gt;3*[1]QC_indicators!$C$1,"DF","no"))),IF(ISNUMBER(CA517),IF(ABS(CA517-[1]QC_indicators!$B$1)&gt;3*[1]QC_indicators!$C$1,"DF","no")))</f>
        <v>0</v>
      </c>
      <c r="FA517" t="str">
        <f t="shared" si="569"/>
        <v/>
      </c>
    </row>
    <row r="518" spans="1:160" ht="15" hidden="1" customHeight="1">
      <c r="A518" s="1" t="s">
        <v>4280</v>
      </c>
      <c r="B518" t="s">
        <v>4281</v>
      </c>
      <c r="C518" t="s">
        <v>4282</v>
      </c>
      <c r="D518" t="s">
        <v>4283</v>
      </c>
      <c r="E518" t="s">
        <v>4284</v>
      </c>
      <c r="F518" t="s">
        <v>4285</v>
      </c>
      <c r="G518" t="s">
        <v>4286</v>
      </c>
      <c r="H518" t="s">
        <v>254</v>
      </c>
      <c r="I518">
        <v>2019</v>
      </c>
      <c r="J518">
        <v>3</v>
      </c>
      <c r="K518" t="s">
        <v>4287</v>
      </c>
      <c r="M518" t="str">
        <f t="shared" si="535"/>
        <v>Mathai_2019</v>
      </c>
      <c r="N518" t="s">
        <v>2266</v>
      </c>
      <c r="O518" s="145" t="s">
        <v>225</v>
      </c>
      <c r="Q518" s="297" t="s">
        <v>256</v>
      </c>
      <c r="R518" s="298"/>
      <c r="U518" s="143"/>
      <c r="V518" s="143"/>
      <c r="W518" s="143"/>
      <c r="AZ518" s="141"/>
      <c r="BA518" s="141"/>
      <c r="BG518"/>
      <c r="BH518" s="2"/>
      <c r="BI518" s="142"/>
      <c r="BL518" s="143"/>
      <c r="BN518" s="143"/>
      <c r="BO518" s="163"/>
      <c r="BP518" s="158"/>
      <c r="BQ518" s="143"/>
      <c r="BU518" s="143"/>
      <c r="BW518" s="144"/>
      <c r="CA518" t="str">
        <f t="shared" si="580"/>
        <v/>
      </c>
      <c r="CP518"/>
      <c r="CQ518"/>
      <c r="CR518"/>
      <c r="CS518"/>
      <c r="CT518">
        <f t="shared" si="551"/>
        <v>0</v>
      </c>
      <c r="CU518"/>
      <c r="CV518"/>
      <c r="CW518"/>
      <c r="CX518" t="str">
        <f t="shared" si="581"/>
        <v/>
      </c>
      <c r="CY518"/>
      <c r="CZ518" t="str">
        <f t="shared" si="553"/>
        <v/>
      </c>
      <c r="DA518" s="2"/>
      <c r="DC518"/>
      <c r="DF518" s="143"/>
      <c r="DG518" s="143"/>
      <c r="DH518"/>
      <c r="DN518"/>
      <c r="DO518"/>
      <c r="DP518"/>
      <c r="DQ518"/>
      <c r="DR518"/>
      <c r="DS518"/>
      <c r="DU518" s="143"/>
      <c r="DV518" s="143"/>
      <c r="DX518" s="143"/>
      <c r="DY518"/>
      <c r="DZ518" s="143"/>
      <c r="EA518" s="143"/>
      <c r="EB518" s="143"/>
      <c r="EG518" s="143"/>
      <c r="EI518" s="143"/>
      <c r="EL518" s="143"/>
      <c r="EP518" t="str">
        <f t="shared" si="563"/>
        <v/>
      </c>
      <c r="EQ518" t="str">
        <f t="shared" si="582"/>
        <v/>
      </c>
      <c r="ER518" s="2" t="str">
        <f t="shared" si="583"/>
        <v/>
      </c>
      <c r="ES518" t="str">
        <f t="shared" si="584"/>
        <v/>
      </c>
      <c r="ET518" t="str">
        <f t="shared" si="585"/>
        <v/>
      </c>
      <c r="EU518" t="str">
        <f t="shared" si="568"/>
        <v/>
      </c>
      <c r="EW518" t="s">
        <v>4288</v>
      </c>
      <c r="EX518" t="s">
        <v>450</v>
      </c>
      <c r="EY518" t="b">
        <f>IF(ISNUMBER(BW518),IF(ABS(BW518-[1]QC_indicators!$B$2)&gt;3*[1]QC_indicators!$C$2,"C ratio",IF(ISNUMBER(CA518),IF(ABS(CA518-[1]QC_indicators!$B$1)&gt;3*[1]QC_indicators!$C$1,"DF","no"))),IF(ISNUMBER(CA518),IF(ABS(CA518-[1]QC_indicators!$B$1)&gt;3*[1]QC_indicators!$C$1,"DF","no")))</f>
        <v>0</v>
      </c>
      <c r="FA518" t="str">
        <f t="shared" si="569"/>
        <v/>
      </c>
    </row>
    <row r="519" spans="1:160" ht="15" hidden="1" customHeight="1">
      <c r="A519" s="1" t="s">
        <v>1295</v>
      </c>
      <c r="B519" t="s">
        <v>4289</v>
      </c>
      <c r="C519" t="s">
        <v>4290</v>
      </c>
      <c r="D519" t="s">
        <v>4291</v>
      </c>
      <c r="E519" t="s">
        <v>4292</v>
      </c>
      <c r="F519" t="s">
        <v>4293</v>
      </c>
      <c r="G519" t="s">
        <v>1301</v>
      </c>
      <c r="H519" t="s">
        <v>254</v>
      </c>
      <c r="I519">
        <v>2019</v>
      </c>
      <c r="J519">
        <v>3</v>
      </c>
      <c r="K519" t="s">
        <v>4294</v>
      </c>
      <c r="M519" t="str">
        <f t="shared" si="535"/>
        <v>Mozgeris_2019</v>
      </c>
      <c r="N519" s="312" t="s">
        <v>2266</v>
      </c>
      <c r="O519" s="157" t="s">
        <v>274</v>
      </c>
      <c r="P519" t="s">
        <v>924</v>
      </c>
      <c r="Q519" s="297" t="s">
        <v>389</v>
      </c>
      <c r="R519" s="298"/>
      <c r="AZ519" s="141"/>
      <c r="BA519" s="141"/>
      <c r="BG519"/>
      <c r="BH519" s="2"/>
      <c r="BW519" s="144"/>
      <c r="CA519" t="str">
        <f t="shared" si="580"/>
        <v/>
      </c>
      <c r="CP519"/>
      <c r="CQ519"/>
      <c r="CR519"/>
      <c r="CS519"/>
      <c r="CT519">
        <f t="shared" si="551"/>
        <v>0</v>
      </c>
      <c r="CU519"/>
      <c r="CV519"/>
      <c r="CW519"/>
      <c r="CX519" t="str">
        <f t="shared" si="581"/>
        <v/>
      </c>
      <c r="CY519"/>
      <c r="CZ519" t="str">
        <f t="shared" si="553"/>
        <v/>
      </c>
      <c r="DA519" s="2"/>
      <c r="DC519"/>
      <c r="DH519"/>
      <c r="DN519"/>
      <c r="DO519"/>
      <c r="DP519"/>
      <c r="DQ519"/>
      <c r="DR519"/>
      <c r="DS519"/>
      <c r="DY519"/>
      <c r="DZ519" s="143"/>
      <c r="EP519" t="str">
        <f t="shared" si="563"/>
        <v/>
      </c>
      <c r="EQ519" t="str">
        <f t="shared" si="582"/>
        <v/>
      </c>
      <c r="ER519" s="2" t="str">
        <f t="shared" si="583"/>
        <v/>
      </c>
      <c r="ES519" t="str">
        <f t="shared" si="584"/>
        <v/>
      </c>
      <c r="ET519" t="str">
        <f t="shared" si="585"/>
        <v/>
      </c>
      <c r="EU519" t="str">
        <f t="shared" si="568"/>
        <v/>
      </c>
      <c r="EW519" s="297" t="s">
        <v>4295</v>
      </c>
      <c r="EY519" t="b">
        <f>IF(ISNUMBER(BW519),IF(ABS(BW519-[1]QC_indicators!$B$2)&gt;3*[1]QC_indicators!$C$2,"C ratio",IF(ISNUMBER(CA519),IF(ABS(CA519-[1]QC_indicators!$B$1)&gt;3*[1]QC_indicators!$C$1,"DF","no"))),IF(ISNUMBER(CA519),IF(ABS(CA519-[1]QC_indicators!$B$1)&gt;3*[1]QC_indicators!$C$1,"DF","no")))</f>
        <v>0</v>
      </c>
      <c r="FA519" t="str">
        <f t="shared" si="569"/>
        <v/>
      </c>
    </row>
    <row r="520" spans="1:160" ht="15" hidden="1" customHeight="1">
      <c r="A520" s="1" t="s">
        <v>1016</v>
      </c>
      <c r="B520" t="s">
        <v>4296</v>
      </c>
      <c r="C520" t="s">
        <v>4297</v>
      </c>
      <c r="D520" t="s">
        <v>4298</v>
      </c>
      <c r="E520" t="s">
        <v>4299</v>
      </c>
      <c r="F520" t="s">
        <v>4300</v>
      </c>
      <c r="G520" t="s">
        <v>1017</v>
      </c>
      <c r="H520" t="s">
        <v>254</v>
      </c>
      <c r="I520">
        <v>2022</v>
      </c>
      <c r="J520">
        <v>2</v>
      </c>
      <c r="K520" t="s">
        <v>4301</v>
      </c>
      <c r="M520" t="str">
        <f t="shared" ref="M520:M583" si="586">LEFT($D520,FIND(",",$D520)-1)&amp;"_"&amp;I520&amp;L520</f>
        <v>Palander_2022</v>
      </c>
      <c r="N520" t="s">
        <v>2266</v>
      </c>
      <c r="BG520"/>
      <c r="BH520" s="2"/>
      <c r="CA520" t="str">
        <f t="shared" si="580"/>
        <v/>
      </c>
      <c r="CP520"/>
      <c r="CQ520"/>
      <c r="CR520"/>
      <c r="CS520"/>
      <c r="CT520">
        <f t="shared" si="551"/>
        <v>0</v>
      </c>
      <c r="CU520"/>
      <c r="CV520"/>
      <c r="CW520"/>
      <c r="CX520" t="str">
        <f t="shared" si="581"/>
        <v/>
      </c>
      <c r="CY520"/>
      <c r="CZ520" t="str">
        <f t="shared" si="553"/>
        <v/>
      </c>
      <c r="DA520" s="2"/>
      <c r="DC520"/>
      <c r="DH520"/>
      <c r="DN520"/>
      <c r="DO520"/>
      <c r="DP520"/>
      <c r="DQ520"/>
      <c r="DR520"/>
      <c r="DS520"/>
      <c r="DY520"/>
      <c r="DZ520"/>
      <c r="EP520" t="str">
        <f t="shared" si="563"/>
        <v/>
      </c>
      <c r="EQ520" t="str">
        <f t="shared" si="582"/>
        <v/>
      </c>
      <c r="ER520" s="2" t="str">
        <f t="shared" si="583"/>
        <v/>
      </c>
      <c r="ES520" t="str">
        <f t="shared" si="584"/>
        <v/>
      </c>
      <c r="ET520" t="str">
        <f t="shared" si="585"/>
        <v/>
      </c>
      <c r="EU520" t="str">
        <f t="shared" si="568"/>
        <v/>
      </c>
      <c r="EY520" t="b">
        <f>IF(ISNUMBER(BW520),IF(ABS(BW520-[1]QC_indicators!$B$2)&gt;3*[1]QC_indicators!$C$2,"C ratio",IF(ISNUMBER(CA520),IF(ABS(CA520-[1]QC_indicators!$B$1)&gt;3*[1]QC_indicators!$C$1,"DF","no"))),IF(ISNUMBER(CA520),IF(ABS(CA520-[1]QC_indicators!$B$1)&gt;3*[1]QC_indicators!$C$1,"DF","no")))</f>
        <v>0</v>
      </c>
      <c r="FA520" t="str">
        <f t="shared" si="569"/>
        <v/>
      </c>
    </row>
    <row r="521" spans="1:160" ht="15" hidden="1" customHeight="1">
      <c r="A521" s="1" t="s">
        <v>643</v>
      </c>
      <c r="B521" t="s">
        <v>4302</v>
      </c>
      <c r="C521" t="s">
        <v>4303</v>
      </c>
      <c r="D521" t="s">
        <v>4304</v>
      </c>
      <c r="E521" t="s">
        <v>4305</v>
      </c>
      <c r="F521" t="s">
        <v>4306</v>
      </c>
      <c r="G521" t="s">
        <v>649</v>
      </c>
      <c r="H521" t="s">
        <v>254</v>
      </c>
      <c r="I521">
        <v>2022</v>
      </c>
      <c r="J521">
        <v>2</v>
      </c>
      <c r="K521" t="s">
        <v>4307</v>
      </c>
      <c r="M521" t="str">
        <f t="shared" si="586"/>
        <v>Pasternack_2022</v>
      </c>
      <c r="N521" t="s">
        <v>2266</v>
      </c>
      <c r="BG521"/>
      <c r="BH521" s="2"/>
      <c r="CA521" t="str">
        <f t="shared" si="580"/>
        <v/>
      </c>
      <c r="CP521"/>
      <c r="CQ521"/>
      <c r="CR521"/>
      <c r="CS521"/>
      <c r="CT521">
        <f t="shared" si="551"/>
        <v>0</v>
      </c>
      <c r="CU521"/>
      <c r="CV521"/>
      <c r="CW521"/>
      <c r="CX521" t="str">
        <f t="shared" si="581"/>
        <v/>
      </c>
      <c r="CY521"/>
      <c r="CZ521" t="str">
        <f t="shared" si="553"/>
        <v/>
      </c>
      <c r="DA521" s="2"/>
      <c r="DC521"/>
      <c r="DH521"/>
      <c r="DN521"/>
      <c r="DO521"/>
      <c r="DP521"/>
      <c r="DQ521"/>
      <c r="DR521"/>
      <c r="DS521"/>
      <c r="DY521"/>
      <c r="DZ521"/>
      <c r="EP521" t="str">
        <f t="shared" si="563"/>
        <v/>
      </c>
      <c r="EQ521" t="str">
        <f t="shared" si="582"/>
        <v/>
      </c>
      <c r="ER521" s="2" t="str">
        <f t="shared" si="583"/>
        <v/>
      </c>
      <c r="ES521" t="str">
        <f t="shared" si="584"/>
        <v/>
      </c>
      <c r="ET521" t="str">
        <f t="shared" si="585"/>
        <v/>
      </c>
      <c r="EU521" t="str">
        <f t="shared" si="568"/>
        <v/>
      </c>
      <c r="EY521" t="b">
        <f>IF(ISNUMBER(BW521),IF(ABS(BW521-[1]QC_indicators!$B$2)&gt;3*[1]QC_indicators!$C$2,"C ratio",IF(ISNUMBER(CA521),IF(ABS(CA521-[1]QC_indicators!$B$1)&gt;3*[1]QC_indicators!$C$1,"DF","no"))),IF(ISNUMBER(CA521),IF(ABS(CA521-[1]QC_indicators!$B$1)&gt;3*[1]QC_indicators!$C$1,"DF","no")))</f>
        <v>0</v>
      </c>
      <c r="FA521" t="str">
        <f t="shared" si="569"/>
        <v/>
      </c>
    </row>
    <row r="522" spans="1:160" ht="15" hidden="1" customHeight="1">
      <c r="A522" s="1" t="s">
        <v>4308</v>
      </c>
      <c r="B522" t="s">
        <v>4309</v>
      </c>
      <c r="C522" t="s">
        <v>4310</v>
      </c>
      <c r="D522" t="s">
        <v>4311</v>
      </c>
      <c r="E522" t="s">
        <v>4312</v>
      </c>
      <c r="F522" t="s">
        <v>4313</v>
      </c>
      <c r="G522" t="s">
        <v>4314</v>
      </c>
      <c r="H522" t="s">
        <v>254</v>
      </c>
      <c r="I522">
        <v>2012</v>
      </c>
      <c r="J522">
        <v>6</v>
      </c>
      <c r="K522" t="s">
        <v>4315</v>
      </c>
      <c r="M522" t="str">
        <f t="shared" si="586"/>
        <v>Piemonte_2012</v>
      </c>
      <c r="N522" t="s">
        <v>2266</v>
      </c>
      <c r="O522" s="171" t="s">
        <v>508</v>
      </c>
      <c r="P522" t="s">
        <v>341</v>
      </c>
      <c r="Q522" s="297" t="s">
        <v>389</v>
      </c>
      <c r="R522" s="298"/>
      <c r="AZ522" s="141"/>
      <c r="BA522" s="141"/>
      <c r="BG522"/>
      <c r="BH522" s="2"/>
      <c r="BI522" s="142"/>
      <c r="BL522" s="143"/>
      <c r="BN522" s="143"/>
      <c r="BP522" s="158"/>
      <c r="BQ522" s="143"/>
      <c r="BW522" s="144"/>
      <c r="CA522" t="str">
        <f t="shared" si="580"/>
        <v/>
      </c>
      <c r="CP522"/>
      <c r="CQ522"/>
      <c r="CR522"/>
      <c r="CS522"/>
      <c r="CT522">
        <f t="shared" si="551"/>
        <v>0</v>
      </c>
      <c r="CU522"/>
      <c r="CV522"/>
      <c r="CW522"/>
      <c r="CX522" t="str">
        <f t="shared" si="581"/>
        <v/>
      </c>
      <c r="CY522"/>
      <c r="CZ522" t="str">
        <f t="shared" si="553"/>
        <v/>
      </c>
      <c r="DA522" s="2"/>
      <c r="DC522"/>
      <c r="DF522" s="143"/>
      <c r="DG522" s="143"/>
      <c r="DH522"/>
      <c r="DN522"/>
      <c r="DO522"/>
      <c r="DP522"/>
      <c r="DQ522"/>
      <c r="DR522"/>
      <c r="DS522"/>
      <c r="DY522"/>
      <c r="DZ522" s="143"/>
      <c r="EA522" s="143"/>
      <c r="EB522" s="143"/>
      <c r="EC522" s="143"/>
      <c r="ED522" s="143"/>
      <c r="EG522" s="143"/>
      <c r="EH522" s="143"/>
      <c r="EI522" s="143"/>
      <c r="EL522" s="143"/>
      <c r="EP522" t="str">
        <f t="shared" si="563"/>
        <v/>
      </c>
      <c r="EQ522" t="str">
        <f t="shared" si="582"/>
        <v/>
      </c>
      <c r="ER522" s="2" t="str">
        <f t="shared" si="583"/>
        <v/>
      </c>
      <c r="ES522" t="str">
        <f t="shared" si="584"/>
        <v/>
      </c>
      <c r="ET522" t="str">
        <f t="shared" si="585"/>
        <v/>
      </c>
      <c r="EU522" t="str">
        <f t="shared" si="568"/>
        <v/>
      </c>
      <c r="EY522" t="b">
        <f>IF(ISNUMBER(BW522),IF(ABS(BW522-[1]QC_indicators!$B$2)&gt;3*[1]QC_indicators!$C$2,"C ratio",IF(ISNUMBER(CA522),IF(ABS(CA522-[1]QC_indicators!$B$1)&gt;3*[1]QC_indicators!$C$1,"DF","no"))),IF(ISNUMBER(CA522),IF(ABS(CA522-[1]QC_indicators!$B$1)&gt;3*[1]QC_indicators!$C$1,"DF","no")))</f>
        <v>0</v>
      </c>
      <c r="FA522" t="str">
        <f t="shared" si="569"/>
        <v/>
      </c>
    </row>
    <row r="523" spans="1:160" ht="15" hidden="1" customHeight="1">
      <c r="A523" s="1" t="s">
        <v>3516</v>
      </c>
      <c r="B523" t="s">
        <v>4316</v>
      </c>
      <c r="C523" t="s">
        <v>4317</v>
      </c>
      <c r="D523" t="s">
        <v>4318</v>
      </c>
      <c r="E523" t="s">
        <v>4319</v>
      </c>
      <c r="F523" t="s">
        <v>4320</v>
      </c>
      <c r="G523" t="s">
        <v>3522</v>
      </c>
      <c r="H523" t="s">
        <v>254</v>
      </c>
      <c r="I523">
        <v>2016</v>
      </c>
      <c r="J523">
        <v>6</v>
      </c>
      <c r="K523" t="s">
        <v>4321</v>
      </c>
      <c r="M523" t="str">
        <f t="shared" si="586"/>
        <v>Radics_2016</v>
      </c>
      <c r="N523" t="s">
        <v>2266</v>
      </c>
      <c r="O523" s="145" t="s">
        <v>341</v>
      </c>
      <c r="Q523" s="297" t="s">
        <v>256</v>
      </c>
      <c r="R523" s="298"/>
      <c r="AZ523" s="141"/>
      <c r="BA523" s="141"/>
      <c r="BG523"/>
      <c r="BH523" s="2"/>
      <c r="BW523" s="144"/>
      <c r="CA523" t="str">
        <f t="shared" si="580"/>
        <v/>
      </c>
      <c r="CP523"/>
      <c r="CQ523"/>
      <c r="CR523"/>
      <c r="CS523"/>
      <c r="CT523">
        <f t="shared" si="551"/>
        <v>0</v>
      </c>
      <c r="CU523"/>
      <c r="CV523"/>
      <c r="CW523"/>
      <c r="CX523" t="str">
        <f t="shared" si="581"/>
        <v/>
      </c>
      <c r="CY523"/>
      <c r="CZ523" t="str">
        <f t="shared" si="553"/>
        <v/>
      </c>
      <c r="DA523" s="2"/>
      <c r="DC523"/>
      <c r="DH523"/>
      <c r="DN523"/>
      <c r="DO523"/>
      <c r="DP523"/>
      <c r="DQ523"/>
      <c r="DR523"/>
      <c r="DS523"/>
      <c r="DY523"/>
      <c r="DZ523" s="143"/>
      <c r="EP523" t="str">
        <f t="shared" si="563"/>
        <v/>
      </c>
      <c r="EQ523" t="str">
        <f t="shared" si="582"/>
        <v/>
      </c>
      <c r="ER523" s="2" t="str">
        <f t="shared" si="583"/>
        <v/>
      </c>
      <c r="ES523" t="str">
        <f t="shared" si="584"/>
        <v/>
      </c>
      <c r="ET523" t="str">
        <f t="shared" si="585"/>
        <v/>
      </c>
      <c r="EU523" t="str">
        <f t="shared" si="568"/>
        <v/>
      </c>
      <c r="EX523" t="s">
        <v>450</v>
      </c>
      <c r="EY523" t="b">
        <f>IF(ISNUMBER(BW523),IF(ABS(BW523-[1]QC_indicators!$B$2)&gt;3*[1]QC_indicators!$C$2,"C ratio",IF(ISNUMBER(CA523),IF(ABS(CA523-[1]QC_indicators!$B$1)&gt;3*[1]QC_indicators!$C$1,"DF","no"))),IF(ISNUMBER(CA523),IF(ABS(CA523-[1]QC_indicators!$B$1)&gt;3*[1]QC_indicators!$C$1,"DF","no")))</f>
        <v>0</v>
      </c>
      <c r="FA523" t="str">
        <f t="shared" si="569"/>
        <v/>
      </c>
    </row>
    <row r="524" spans="1:160" ht="15" hidden="1" customHeight="1">
      <c r="D524" t="s">
        <v>1977</v>
      </c>
      <c r="E524" t="s">
        <v>1978</v>
      </c>
      <c r="G524" t="s">
        <v>1979</v>
      </c>
      <c r="I524">
        <v>2015</v>
      </c>
      <c r="K524" t="s">
        <v>1980</v>
      </c>
      <c r="M524" t="str">
        <f t="shared" si="586"/>
        <v>Repo_2015</v>
      </c>
      <c r="N524" t="s">
        <v>2266</v>
      </c>
      <c r="O524" s="145" t="s">
        <v>225</v>
      </c>
      <c r="Q524" t="s">
        <v>256</v>
      </c>
      <c r="R524" s="258" t="s">
        <v>223</v>
      </c>
      <c r="S524" s="1" t="s">
        <v>1975</v>
      </c>
      <c r="T524" t="s">
        <v>1981</v>
      </c>
      <c r="U524" t="s">
        <v>1982</v>
      </c>
      <c r="V524" s="253">
        <v>0</v>
      </c>
      <c r="W524" s="253">
        <v>0</v>
      </c>
      <c r="X524" s="143">
        <v>0</v>
      </c>
      <c r="Y524" s="143">
        <v>0</v>
      </c>
      <c r="Z524" s="143">
        <v>0</v>
      </c>
      <c r="AA524" s="143">
        <v>0</v>
      </c>
      <c r="AB524" s="143">
        <v>0</v>
      </c>
      <c r="AC524" s="143">
        <v>0</v>
      </c>
      <c r="AD524" s="143">
        <v>0</v>
      </c>
      <c r="AE524" s="143">
        <v>0</v>
      </c>
      <c r="AF524" s="143">
        <v>0</v>
      </c>
      <c r="AG524" s="143">
        <v>0</v>
      </c>
      <c r="AH524" s="143">
        <v>1</v>
      </c>
      <c r="AI524" s="143">
        <v>0</v>
      </c>
      <c r="AJ524" s="143">
        <v>0</v>
      </c>
      <c r="AK524" s="143">
        <v>0</v>
      </c>
      <c r="AL524" s="143">
        <v>0</v>
      </c>
      <c r="AM524" s="143">
        <v>0</v>
      </c>
      <c r="AN524" s="143">
        <v>0</v>
      </c>
      <c r="AO524" s="143">
        <v>0</v>
      </c>
      <c r="AP524" s="143">
        <v>0</v>
      </c>
      <c r="AQ524" s="143">
        <v>0</v>
      </c>
      <c r="AR524" s="143">
        <v>0</v>
      </c>
      <c r="AS524" s="143">
        <v>0</v>
      </c>
      <c r="AT524" s="143">
        <v>0</v>
      </c>
      <c r="AU524" s="143">
        <v>0</v>
      </c>
      <c r="AV524" s="143">
        <v>0</v>
      </c>
      <c r="AW524" s="143">
        <v>0</v>
      </c>
      <c r="AX524" s="143">
        <v>0</v>
      </c>
      <c r="AY524" s="143">
        <v>0</v>
      </c>
      <c r="AZ524" s="141">
        <f>COUNTIF(X524:AY524,"&lt;&gt;0")</f>
        <v>1</v>
      </c>
      <c r="BA524" s="141">
        <f>COUNTIF(X524:AN524,"&lt;&gt;0")</f>
        <v>1</v>
      </c>
      <c r="BB524">
        <f>COUNTIF(X524:AE524,"&lt;&gt;0")</f>
        <v>0</v>
      </c>
      <c r="BC524">
        <f>COUNTIF(AF524:AK524,"&lt;&gt;0")</f>
        <v>1</v>
      </c>
      <c r="BD524">
        <f>COUNTIF(AL524:AN524,"&lt;&gt;0")</f>
        <v>0</v>
      </c>
      <c r="BE524">
        <f>COUNTIF(AU524:AY524,"&lt;&gt;0")</f>
        <v>0</v>
      </c>
      <c r="BF524">
        <f>COUNTIF(AO524:AT524,"&lt;&gt;0")</f>
        <v>0</v>
      </c>
      <c r="BG524" t="str">
        <f t="array" ref="BG524">IF(BA524=1,INDEX($X$7:$AN$7,MATCH(TRUE,INDEX($X524:$AY524&lt;&gt;0,),0)),IF(BA524=0,INDEX($AO$7:$AY$7,MATCH(1,$AO524:$AY524,0)),IF(BH524="Multiple strategies","mixed drivers",IF(BH524="Supply chain","multiple supply","multiple silviculture"))))</f>
        <v>supply chain organization</v>
      </c>
      <c r="BH524" s="2" t="str" cm="1">
        <f t="array" ref="BH524">IF(COUNTIF(BB524:BD524,"&lt;&gt;0")=1,INDEX($X$4:$AY$4,MATCH(TRUE,INDEX($X524:$AY524&lt;&gt;0,),0)),IF(COUNTIF(BB524:BD524,"&lt;&gt;0")=0,INDEX($AO$4:$AY$4,MATCH(1,$AO524:$AY524,0)),"Multiple strategies"))</f>
        <v>Supply chain</v>
      </c>
      <c r="BI524" s="1" t="s">
        <v>321</v>
      </c>
      <c r="BJ524" t="s">
        <v>1983</v>
      </c>
      <c r="BK524" s="260" t="s">
        <v>424</v>
      </c>
      <c r="BL524" s="260" t="s">
        <v>2909</v>
      </c>
      <c r="BM524">
        <v>63</v>
      </c>
      <c r="BN524">
        <v>87</v>
      </c>
      <c r="BP524">
        <f>BN524-BM524</f>
        <v>24</v>
      </c>
      <c r="BQ524">
        <f>BP524*t_to_m3</f>
        <v>48.979591836734699</v>
      </c>
      <c r="BR524" t="s">
        <v>232</v>
      </c>
      <c r="BT524" t="s">
        <v>1984</v>
      </c>
      <c r="BW524" s="144"/>
      <c r="BX524">
        <v>-1.4999999999999999E-2</v>
      </c>
      <c r="CA524">
        <f t="shared" si="580"/>
        <v>0</v>
      </c>
      <c r="CB524" s="143">
        <v>0</v>
      </c>
      <c r="CC524" s="143">
        <v>1</v>
      </c>
      <c r="CD524" s="143">
        <v>0</v>
      </c>
      <c r="CE524" s="143">
        <v>1</v>
      </c>
      <c r="CF524" s="143">
        <v>0</v>
      </c>
      <c r="CG524" s="143">
        <v>0</v>
      </c>
      <c r="CH524" s="143">
        <v>0</v>
      </c>
      <c r="CI524" s="143">
        <v>0</v>
      </c>
      <c r="CJ524" s="143">
        <v>0</v>
      </c>
      <c r="CK524" s="143">
        <v>0</v>
      </c>
      <c r="CL524" s="143">
        <v>0</v>
      </c>
      <c r="CM524" s="143">
        <v>0</v>
      </c>
      <c r="CN524" s="143">
        <v>0</v>
      </c>
      <c r="CO524" s="143">
        <v>0</v>
      </c>
      <c r="CP524" t="str">
        <f>IF(BN524&lt;BM524,"refNeedCorrection","refOK")</f>
        <v>refOK</v>
      </c>
      <c r="CQ524">
        <f>IF($CP524="refOK",$BM524,$BN524)</f>
        <v>63</v>
      </c>
      <c r="CR524">
        <f>IF($CP524="refOK",$BN524,$BM524)</f>
        <v>87</v>
      </c>
      <c r="CS524">
        <f>IF($CP524="refOK",$BQ524,-$BQ524)</f>
        <v>48.979591836734699</v>
      </c>
      <c r="CT524">
        <f t="shared" si="551"/>
        <v>24.489795918367349</v>
      </c>
      <c r="CU524"/>
      <c r="CV524"/>
      <c r="CW524"/>
      <c r="CX524">
        <f t="shared" si="581"/>
        <v>0</v>
      </c>
      <c r="CY524">
        <f>IFERROR($CW524/$CS524,"")</f>
        <v>0</v>
      </c>
      <c r="CZ524">
        <f t="shared" si="553"/>
        <v>0</v>
      </c>
      <c r="DA524" s="2" t="str">
        <f>IFERROR((CV524-CU524)/ABS(CU524),"")</f>
        <v/>
      </c>
      <c r="DB524" s="1" t="s">
        <v>1078</v>
      </c>
      <c r="DC524" t="str">
        <f>IF(OR($DB524="prd",$DB524="std",$DB524="cit"),"loc",IF(OR($DB524="eur",$DB524="reg",$DB524="coy"),"reg",$DB524))</f>
        <v>reg</v>
      </c>
      <c r="DD524" t="s">
        <v>235</v>
      </c>
      <c r="DE524">
        <v>2010</v>
      </c>
      <c r="DF524">
        <v>2110</v>
      </c>
      <c r="DG524" s="143">
        <f>DF524-DE524</f>
        <v>100</v>
      </c>
      <c r="DH524" t="str">
        <f>IF(DG524=0,"0",IF(AND(DG524&gt;=1,DG524&lt;=30),"1-30",IF(AND(DG524&gt;30,DG524&lt;=70),"31-70",IF(AND(DG524&gt;70,DG524&lt;=100),"71-100",IF(DG524&gt;100,"+100")))))</f>
        <v>71-100</v>
      </c>
      <c r="DI524">
        <v>1</v>
      </c>
      <c r="DJ524">
        <v>1</v>
      </c>
      <c r="DK524">
        <v>0</v>
      </c>
      <c r="DL524">
        <v>0</v>
      </c>
      <c r="DN524">
        <f>SUM(DI524:DL524)</f>
        <v>2</v>
      </c>
      <c r="DO524" t="str">
        <f>IF(DN524=1,INDEX($DI$7:$DL$7,MATCH(1,$DI524:$DL524,0)),"mixedProduct")</f>
        <v>mixedProduct</v>
      </c>
      <c r="DP524" t="str">
        <f t="shared" ref="DP524:DS527" si="587">IF(DI524=1,DP$7,0)</f>
        <v>Upstream</v>
      </c>
      <c r="DQ524" t="str">
        <f t="shared" si="587"/>
        <v>Energy</v>
      </c>
      <c r="DR524">
        <f t="shared" si="587"/>
        <v>0</v>
      </c>
      <c r="DS524">
        <f t="shared" si="587"/>
        <v>0</v>
      </c>
      <c r="DT524">
        <v>0</v>
      </c>
      <c r="DU524" s="143">
        <v>0</v>
      </c>
      <c r="DV524" t="s">
        <v>1976</v>
      </c>
      <c r="DW524">
        <v>0</v>
      </c>
      <c r="DX524">
        <v>0</v>
      </c>
      <c r="DY524">
        <f>SUM(DT524:DU524)</f>
        <v>0</v>
      </c>
      <c r="DZ524" s="143" t="str">
        <f>IF(DT524=1,"self-calculated DF",IF(DU524=1,"external DF used","explicit C balance"))</f>
        <v>explicit C balance</v>
      </c>
      <c r="EA524" s="143">
        <v>1</v>
      </c>
      <c r="EB524" s="143">
        <v>1</v>
      </c>
      <c r="EC524" s="143">
        <v>1</v>
      </c>
      <c r="ED524" s="143">
        <v>0</v>
      </c>
      <c r="EE524" s="143">
        <v>1</v>
      </c>
      <c r="EF524" s="143">
        <v>0</v>
      </c>
      <c r="EG524" s="143">
        <v>1</v>
      </c>
      <c r="EH524" s="143">
        <v>1</v>
      </c>
      <c r="EI524" s="143">
        <v>0</v>
      </c>
      <c r="EJ524" s="143">
        <v>0</v>
      </c>
      <c r="EK524" s="143">
        <v>0</v>
      </c>
      <c r="EL524" s="143">
        <v>0</v>
      </c>
      <c r="EM524" s="143">
        <v>0</v>
      </c>
      <c r="EN524" s="192">
        <v>0</v>
      </c>
      <c r="EP524" t="str">
        <f t="shared" si="563"/>
        <v>Whole sector approach</v>
      </c>
      <c r="EQ524" t="str">
        <f>IF(AND(AND(OR($EC524=1,$EB524=1),AND($EH524=0,$EF524=0)),SUM($EA524:$EE524,$EK524)&gt;=4),"Ecosystem approach","")</f>
        <v/>
      </c>
      <c r="ER524" s="2" t="str">
        <f t="shared" si="583"/>
        <v/>
      </c>
      <c r="ES524" t="str">
        <f t="shared" si="584"/>
        <v/>
      </c>
      <c r="ET524" t="str">
        <f t="shared" si="585"/>
        <v/>
      </c>
      <c r="EU524" t="str">
        <f t="shared" si="568"/>
        <v/>
      </c>
      <c r="EY524" t="str">
        <f>IF(ISNUMBER(BW524),IF(ABS(BW524-[2]QC_indicators!$B$2)&gt;3*[2]QC_indicators!$C$2,"C ratio",IF(ISNUMBER(CA524),IF(ABS(CA524-[2]QC_indicators!$B$1)&gt;3*[2]QC_indicators!$C$1,"DF","no"))),IF(ISNUMBER(CA524),IF(ABS(CA524-[2]QC_indicators!$B$1)&gt;3*[2]QC_indicators!$C$1,"DF","no")))</f>
        <v>no</v>
      </c>
      <c r="FA524" t="str">
        <f t="shared" si="569"/>
        <v/>
      </c>
      <c r="FB524" s="149" t="s">
        <v>349</v>
      </c>
      <c r="FD524" s="260" t="s">
        <v>2910</v>
      </c>
    </row>
    <row r="525" spans="1:160" ht="15" hidden="1" customHeight="1">
      <c r="D525" t="s">
        <v>1977</v>
      </c>
      <c r="E525" t="s">
        <v>1978</v>
      </c>
      <c r="G525" t="s">
        <v>1979</v>
      </c>
      <c r="I525">
        <v>2015</v>
      </c>
      <c r="K525" t="s">
        <v>1980</v>
      </c>
      <c r="M525" t="str">
        <f t="shared" si="586"/>
        <v>Repo_2015</v>
      </c>
      <c r="N525" t="s">
        <v>2266</v>
      </c>
      <c r="O525" s="145" t="s">
        <v>225</v>
      </c>
      <c r="Q525" t="s">
        <v>256</v>
      </c>
      <c r="R525" s="258" t="s">
        <v>223</v>
      </c>
      <c r="S525" s="1" t="s">
        <v>1975</v>
      </c>
      <c r="T525" t="s">
        <v>1981</v>
      </c>
      <c r="U525" t="s">
        <v>1985</v>
      </c>
      <c r="V525" s="253">
        <v>0</v>
      </c>
      <c r="W525" s="253">
        <v>0</v>
      </c>
      <c r="X525" s="143">
        <v>0</v>
      </c>
      <c r="Y525" s="143">
        <v>0</v>
      </c>
      <c r="Z525" s="143">
        <v>0</v>
      </c>
      <c r="AA525" s="143">
        <v>0</v>
      </c>
      <c r="AB525" s="143">
        <v>0</v>
      </c>
      <c r="AC525" s="143">
        <v>0</v>
      </c>
      <c r="AD525" s="143">
        <v>0</v>
      </c>
      <c r="AE525" s="143">
        <v>0</v>
      </c>
      <c r="AF525" s="143">
        <v>0</v>
      </c>
      <c r="AG525" s="143">
        <v>0</v>
      </c>
      <c r="AH525" s="143">
        <v>1</v>
      </c>
      <c r="AI525" s="143">
        <v>0</v>
      </c>
      <c r="AJ525" s="143">
        <v>0</v>
      </c>
      <c r="AK525" s="143">
        <v>0</v>
      </c>
      <c r="AL525" s="143">
        <v>0</v>
      </c>
      <c r="AM525" s="143">
        <v>0</v>
      </c>
      <c r="AN525" s="143">
        <v>0</v>
      </c>
      <c r="AO525" s="143">
        <v>0</v>
      </c>
      <c r="AP525" s="143">
        <v>0</v>
      </c>
      <c r="AQ525" s="143">
        <v>0</v>
      </c>
      <c r="AR525" s="143">
        <v>0</v>
      </c>
      <c r="AS525" s="143">
        <v>0</v>
      </c>
      <c r="AT525" s="143">
        <v>0</v>
      </c>
      <c r="AU525" s="143">
        <v>0</v>
      </c>
      <c r="AV525" s="143">
        <v>0</v>
      </c>
      <c r="AW525" s="143">
        <v>0</v>
      </c>
      <c r="AX525" s="143">
        <v>0</v>
      </c>
      <c r="AY525" s="143">
        <v>0</v>
      </c>
      <c r="AZ525" s="141">
        <f>COUNTIF(X525:AY525,"&lt;&gt;0")</f>
        <v>1</v>
      </c>
      <c r="BA525" s="141">
        <f>COUNTIF(X525:AN525,"&lt;&gt;0")</f>
        <v>1</v>
      </c>
      <c r="BB525">
        <f>COUNTIF(X525:AE525,"&lt;&gt;0")</f>
        <v>0</v>
      </c>
      <c r="BC525">
        <f>COUNTIF(AF525:AK525,"&lt;&gt;0")</f>
        <v>1</v>
      </c>
      <c r="BD525">
        <f>COUNTIF(AL525:AN525,"&lt;&gt;0")</f>
        <v>0</v>
      </c>
      <c r="BE525">
        <f>COUNTIF(AU525:AY525,"&lt;&gt;0")</f>
        <v>0</v>
      </c>
      <c r="BF525">
        <f>COUNTIF(AO525:AT525,"&lt;&gt;0")</f>
        <v>0</v>
      </c>
      <c r="BG525" t="str">
        <f t="array" ref="BG525">IF(BA525=1,INDEX($X$7:$AN$7,MATCH(TRUE,INDEX($X525:$AY525&lt;&gt;0,),0)),IF(BA525=0,INDEX($AO$7:$AY$7,MATCH(1,$AO525:$AY525,0)),IF(BH525="Multiple strategies","mixed drivers",IF(BH525="Supply chain","multiple supply","multiple silviculture"))))</f>
        <v>supply chain organization</v>
      </c>
      <c r="BH525" s="2" t="str" cm="1">
        <f t="array" ref="BH525">IF(COUNTIF(BB525:BD525,"&lt;&gt;0")=1,INDEX($X$4:$AY$4,MATCH(TRUE,INDEX($X525:$AY525&lt;&gt;0,),0)),IF(COUNTIF(BB525:BD525,"&lt;&gt;0")=0,INDEX($AO$4:$AY$4,MATCH(1,$AO525:$AY525,0)),"Multiple strategies"))</f>
        <v>Supply chain</v>
      </c>
      <c r="BI525" s="1" t="s">
        <v>321</v>
      </c>
      <c r="BJ525" t="s">
        <v>1983</v>
      </c>
      <c r="BK525" s="260" t="s">
        <v>424</v>
      </c>
      <c r="BL525" s="260" t="s">
        <v>2909</v>
      </c>
      <c r="BM525">
        <v>63</v>
      </c>
      <c r="BN525">
        <v>69</v>
      </c>
      <c r="BP525">
        <f>BN525-BM525</f>
        <v>6</v>
      </c>
      <c r="BQ525">
        <f>BP525*t_to_m3</f>
        <v>12.244897959183675</v>
      </c>
      <c r="BR525" t="s">
        <v>232</v>
      </c>
      <c r="BT525" t="s">
        <v>1984</v>
      </c>
      <c r="BW525" s="144"/>
      <c r="BX525">
        <v>-1.7999999999999999E-2</v>
      </c>
      <c r="CA525">
        <f t="shared" ref="CA525:CA556" si="588">IFERROR(BZ525/BQ525,"")</f>
        <v>0</v>
      </c>
      <c r="CB525" s="143">
        <v>0</v>
      </c>
      <c r="CC525" s="143">
        <v>1</v>
      </c>
      <c r="CD525" s="143">
        <v>0</v>
      </c>
      <c r="CE525" s="143">
        <v>1</v>
      </c>
      <c r="CF525" s="143">
        <v>0</v>
      </c>
      <c r="CG525" s="143">
        <v>0</v>
      </c>
      <c r="CH525" s="143">
        <v>0</v>
      </c>
      <c r="CI525" s="143">
        <v>0</v>
      </c>
      <c r="CJ525" s="143">
        <v>0</v>
      </c>
      <c r="CK525" s="143">
        <v>0</v>
      </c>
      <c r="CL525" s="143">
        <v>0</v>
      </c>
      <c r="CM525" s="143">
        <v>0</v>
      </c>
      <c r="CN525" s="143">
        <v>0</v>
      </c>
      <c r="CO525" s="143">
        <v>0</v>
      </c>
      <c r="CP525" t="str">
        <f>IF(BN525&lt;BM525,"refNeedCorrection","refOK")</f>
        <v>refOK</v>
      </c>
      <c r="CQ525">
        <f>IF($CP525="refOK",$BM525,$BN525)</f>
        <v>63</v>
      </c>
      <c r="CR525">
        <f>IF($CP525="refOK",$BN525,$BM525)</f>
        <v>69</v>
      </c>
      <c r="CS525">
        <f>IF($CP525="refOK",$BQ525,-$BQ525)</f>
        <v>12.244897959183675</v>
      </c>
      <c r="CT525">
        <f t="shared" ref="CT525:CT588" si="589">IF(BI525="Roundwood",$CS525/2,$CS525)</f>
        <v>6.1224489795918373</v>
      </c>
      <c r="CU525"/>
      <c r="CV525"/>
      <c r="CW525"/>
      <c r="CX525">
        <f t="shared" si="581"/>
        <v>0</v>
      </c>
      <c r="CY525">
        <f>IFERROR($CW525/$CS525,"")</f>
        <v>0</v>
      </c>
      <c r="CZ525">
        <f t="shared" ref="CZ525:CZ588" si="590">IFERROR($CW525/$CT525,"")</f>
        <v>0</v>
      </c>
      <c r="DA525" s="2" t="str">
        <f>IFERROR((CV525-CU525)/ABS(CU525),"")</f>
        <v/>
      </c>
      <c r="DB525" s="1" t="s">
        <v>1078</v>
      </c>
      <c r="DC525" t="str">
        <f>IF(OR($DB525="prd",$DB525="std",$DB525="cit"),"loc",IF(OR($DB525="eur",$DB525="reg",$DB525="coy"),"reg",$DB525))</f>
        <v>reg</v>
      </c>
      <c r="DD525" t="s">
        <v>235</v>
      </c>
      <c r="DE525">
        <v>2010</v>
      </c>
      <c r="DF525">
        <v>2110</v>
      </c>
      <c r="DG525" s="143">
        <f>DF525-DE525</f>
        <v>100</v>
      </c>
      <c r="DH525" t="str">
        <f>IF(DG525=0,"0",IF(AND(DG525&gt;=1,DG525&lt;=30),"1-30",IF(AND(DG525&gt;30,DG525&lt;=70),"31-70",IF(AND(DG525&gt;70,DG525&lt;=100),"71-100",IF(DG525&gt;100,"+100")))))</f>
        <v>71-100</v>
      </c>
      <c r="DI525">
        <v>1</v>
      </c>
      <c r="DJ525">
        <v>1</v>
      </c>
      <c r="DK525">
        <v>0</v>
      </c>
      <c r="DL525">
        <v>0</v>
      </c>
      <c r="DN525">
        <f>SUM(DI525:DL525)</f>
        <v>2</v>
      </c>
      <c r="DO525" t="str">
        <f>IF(DN525=1,INDEX($DI$7:$DL$7,MATCH(1,$DI525:$DL525,0)),"mixedProduct")</f>
        <v>mixedProduct</v>
      </c>
      <c r="DP525" t="str">
        <f t="shared" si="587"/>
        <v>Upstream</v>
      </c>
      <c r="DQ525" t="str">
        <f t="shared" si="587"/>
        <v>Energy</v>
      </c>
      <c r="DR525">
        <f t="shared" si="587"/>
        <v>0</v>
      </c>
      <c r="DS525">
        <f t="shared" si="587"/>
        <v>0</v>
      </c>
      <c r="DT525">
        <v>0</v>
      </c>
      <c r="DU525" s="143">
        <v>0</v>
      </c>
      <c r="DV525" t="s">
        <v>1976</v>
      </c>
      <c r="DW525">
        <v>0</v>
      </c>
      <c r="DX525">
        <v>0</v>
      </c>
      <c r="DY525">
        <f>SUM(DT525:DU525)</f>
        <v>0</v>
      </c>
      <c r="DZ525" s="143" t="str">
        <f>IF(DT525=1,"self-calculated DF",IF(DU525=1,"external DF used","explicit C balance"))</f>
        <v>explicit C balance</v>
      </c>
      <c r="EA525" s="143">
        <v>1</v>
      </c>
      <c r="EB525" s="143">
        <v>1</v>
      </c>
      <c r="EC525" s="143">
        <v>1</v>
      </c>
      <c r="ED525" s="143">
        <v>0</v>
      </c>
      <c r="EE525" s="143">
        <v>1</v>
      </c>
      <c r="EF525" s="143">
        <v>0</v>
      </c>
      <c r="EG525" s="143">
        <v>1</v>
      </c>
      <c r="EH525" s="143">
        <v>1</v>
      </c>
      <c r="EI525" s="143">
        <v>0</v>
      </c>
      <c r="EJ525" s="143">
        <v>0</v>
      </c>
      <c r="EK525" s="143">
        <v>0</v>
      </c>
      <c r="EL525" s="143">
        <v>0</v>
      </c>
      <c r="EM525" s="143">
        <v>0</v>
      </c>
      <c r="EN525" s="192">
        <v>0</v>
      </c>
      <c r="EP525" t="str">
        <f t="shared" ref="EP525:EP588" si="591">IF(AND(AND(AND(OR($EC525=1,$EB525=1),OR($EH525=1,$EF525=1)),SUM($EA525:$EE525,$EK525)&gt;=3),SUM($EF525:$EJ525)&gt;=2),"Whole sector approach","")</f>
        <v>Whole sector approach</v>
      </c>
      <c r="EQ525" t="str">
        <f>IF(AND(AND(OR($EC525=1,$EB525=1),AND($EH525=0,$EF525=0)),SUM($EA525:$EE525,$EK525)&gt;=4),"Ecosystem approach","")</f>
        <v/>
      </c>
      <c r="ER525" s="2" t="str">
        <f t="shared" ref="ER525:ER537" si="592">IF(AND(AND(AND($EC525=0,$EB525=0),OR($EH525=1,$EF525=1)),SUM($EG525:$EJ525)&gt;=2),"Technology approach","")</f>
        <v/>
      </c>
      <c r="ES525" t="str">
        <f t="shared" ref="ES525:ES537" si="593">IF(AND($EC525+$EB525+$EE525+$EA525+$EF525+$EG525=0,$N525="included"),"C neutral forest and HWP assumption","")</f>
        <v/>
      </c>
      <c r="ET525" t="str">
        <f t="shared" ref="ET525:ET537" si="594">IF(AND(AND(AND($EC525+$EB525+$EA525+$EG525&gt;=2,$EF525+$EH525+$EI525&gt;=1),$ED525+$EE525&gt;=1),$N525="included"),"All C pools assumption","")</f>
        <v/>
      </c>
      <c r="EU525" t="str">
        <f t="shared" ref="EU525:EU588" si="595">IF(AND($ED525+$EE525+$EI525+$EH525+$EF525=0,$N525="included"),"In-situ only assumption","")</f>
        <v/>
      </c>
      <c r="EY525" t="str">
        <f>IF(ISNUMBER(BW525),IF(ABS(BW525-[2]QC_indicators!$B$2)&gt;3*[2]QC_indicators!$C$2,"C ratio",IF(ISNUMBER(CA525),IF(ABS(CA525-[2]QC_indicators!$B$1)&gt;3*[2]QC_indicators!$C$1,"DF","no"))),IF(ISNUMBER(CA525),IF(ABS(CA525-[2]QC_indicators!$B$1)&gt;3*[2]QC_indicators!$C$1,"DF","no")))</f>
        <v>no</v>
      </c>
      <c r="FA525" t="str">
        <f t="shared" ref="FA525:FA588" si="596">IF(LEN($CY525)=0,"",IF(AND($CY525&lt;(-0.05),$ES525="C neutral forest and HWP assumption"),"Cneutral paradox",IF(AND($CY525&gt;0.05,$EU525="In-situ only assumption"),"In-situ only paradox","")))</f>
        <v/>
      </c>
      <c r="FB525" s="149" t="s">
        <v>349</v>
      </c>
      <c r="FD525" s="260" t="s">
        <v>2910</v>
      </c>
    </row>
    <row r="526" spans="1:160" ht="15" hidden="1" customHeight="1">
      <c r="D526" t="s">
        <v>1977</v>
      </c>
      <c r="E526" t="s">
        <v>1978</v>
      </c>
      <c r="G526" t="s">
        <v>1979</v>
      </c>
      <c r="I526">
        <v>2015</v>
      </c>
      <c r="K526" t="s">
        <v>1980</v>
      </c>
      <c r="M526" t="str">
        <f t="shared" si="586"/>
        <v>Repo_2015</v>
      </c>
      <c r="N526" t="s">
        <v>2266</v>
      </c>
      <c r="O526" s="145" t="s">
        <v>225</v>
      </c>
      <c r="Q526" t="s">
        <v>256</v>
      </c>
      <c r="R526" s="258" t="s">
        <v>223</v>
      </c>
      <c r="S526" s="1" t="s">
        <v>1975</v>
      </c>
      <c r="T526" t="s">
        <v>1981</v>
      </c>
      <c r="U526" t="s">
        <v>1986</v>
      </c>
      <c r="V526" s="253">
        <v>0</v>
      </c>
      <c r="W526" s="253">
        <v>0</v>
      </c>
      <c r="X526" s="143">
        <v>0</v>
      </c>
      <c r="Y526" s="143">
        <v>0</v>
      </c>
      <c r="Z526" s="143">
        <v>0</v>
      </c>
      <c r="AA526" s="143">
        <v>0</v>
      </c>
      <c r="AB526" s="143">
        <v>0</v>
      </c>
      <c r="AC526" s="143">
        <v>0</v>
      </c>
      <c r="AD526" s="143">
        <v>0</v>
      </c>
      <c r="AE526" s="143">
        <v>0</v>
      </c>
      <c r="AF526" s="143">
        <v>0</v>
      </c>
      <c r="AG526" s="143">
        <v>0</v>
      </c>
      <c r="AH526" s="143">
        <v>1</v>
      </c>
      <c r="AI526" s="143">
        <v>0</v>
      </c>
      <c r="AJ526" s="143">
        <v>0</v>
      </c>
      <c r="AK526" s="143">
        <v>0</v>
      </c>
      <c r="AL526" s="143">
        <v>0</v>
      </c>
      <c r="AM526" s="143">
        <v>0</v>
      </c>
      <c r="AN526" s="143">
        <v>0</v>
      </c>
      <c r="AO526" s="143">
        <v>0</v>
      </c>
      <c r="AP526" s="143">
        <v>0</v>
      </c>
      <c r="AQ526" s="143">
        <v>0</v>
      </c>
      <c r="AR526" s="143">
        <v>0</v>
      </c>
      <c r="AS526" s="143">
        <v>0</v>
      </c>
      <c r="AT526" s="143">
        <v>0</v>
      </c>
      <c r="AU526" s="143">
        <v>0</v>
      </c>
      <c r="AV526" s="143">
        <v>0</v>
      </c>
      <c r="AW526" s="143">
        <v>0</v>
      </c>
      <c r="AX526" s="143">
        <v>0</v>
      </c>
      <c r="AY526" s="143">
        <v>0</v>
      </c>
      <c r="AZ526" s="141">
        <f>COUNTIF(X526:AY526,"&lt;&gt;0")</f>
        <v>1</v>
      </c>
      <c r="BA526" s="141">
        <f>COUNTIF(X526:AN526,"&lt;&gt;0")</f>
        <v>1</v>
      </c>
      <c r="BB526">
        <f>COUNTIF(X526:AE526,"&lt;&gt;0")</f>
        <v>0</v>
      </c>
      <c r="BC526">
        <f>COUNTIF(AF526:AK526,"&lt;&gt;0")</f>
        <v>1</v>
      </c>
      <c r="BD526">
        <f>COUNTIF(AL526:AN526,"&lt;&gt;0")</f>
        <v>0</v>
      </c>
      <c r="BE526">
        <f>COUNTIF(AU526:AY526,"&lt;&gt;0")</f>
        <v>0</v>
      </c>
      <c r="BF526">
        <f>COUNTIF(AO526:AT526,"&lt;&gt;0")</f>
        <v>0</v>
      </c>
      <c r="BG526" t="str">
        <f t="array" ref="BG526">IF(BA526=1,INDEX($X$7:$AN$7,MATCH(TRUE,INDEX($X526:$AY526&lt;&gt;0,),0)),IF(BA526=0,INDEX($AO$7:$AY$7,MATCH(1,$AO526:$AY526,0)),IF(BH526="Multiple strategies","mixed drivers",IF(BH526="Supply chain","multiple supply","multiple silviculture"))))</f>
        <v>supply chain organization</v>
      </c>
      <c r="BH526" s="2" t="str" cm="1">
        <f t="array" ref="BH526">IF(COUNTIF(BB526:BD526,"&lt;&gt;0")=1,INDEX($X$4:$AY$4,MATCH(TRUE,INDEX($X526:$AY526&lt;&gt;0,),0)),IF(COUNTIF(BB526:BD526,"&lt;&gt;0")=0,INDEX($AO$4:$AY$4,MATCH(1,$AO526:$AY526,0)),"Multiple strategies"))</f>
        <v>Supply chain</v>
      </c>
      <c r="BI526" s="1" t="s">
        <v>321</v>
      </c>
      <c r="BJ526" t="s">
        <v>1983</v>
      </c>
      <c r="BK526" s="260" t="s">
        <v>424</v>
      </c>
      <c r="BL526" s="260" t="s">
        <v>2909</v>
      </c>
      <c r="BM526">
        <v>63</v>
      </c>
      <c r="BN526">
        <v>63</v>
      </c>
      <c r="BP526">
        <f>BN526-BM526</f>
        <v>0</v>
      </c>
      <c r="BQ526">
        <f>BP526*t_to_m3</f>
        <v>0</v>
      </c>
      <c r="BR526" t="s">
        <v>232</v>
      </c>
      <c r="BT526" t="s">
        <v>1984</v>
      </c>
      <c r="BW526" s="144"/>
      <c r="BX526">
        <v>-3.4000000000000002E-2</v>
      </c>
      <c r="CA526" t="str">
        <f t="shared" si="588"/>
        <v/>
      </c>
      <c r="CB526" s="143">
        <v>0</v>
      </c>
      <c r="CC526" s="143">
        <v>1</v>
      </c>
      <c r="CD526" s="143">
        <v>0</v>
      </c>
      <c r="CE526" s="143">
        <v>1</v>
      </c>
      <c r="CF526" s="143">
        <v>0</v>
      </c>
      <c r="CG526" s="143">
        <v>0</v>
      </c>
      <c r="CH526" s="143">
        <v>0</v>
      </c>
      <c r="CI526" s="143">
        <v>0</v>
      </c>
      <c r="CJ526" s="143">
        <v>0</v>
      </c>
      <c r="CK526" s="143">
        <v>0</v>
      </c>
      <c r="CL526" s="143">
        <v>0</v>
      </c>
      <c r="CM526" s="143">
        <v>0</v>
      </c>
      <c r="CN526" s="143">
        <v>0</v>
      </c>
      <c r="CO526" s="143">
        <v>0</v>
      </c>
      <c r="CP526" t="str">
        <f>IF(BN526&lt;BM526,"refNeedCorrection","refOK")</f>
        <v>refOK</v>
      </c>
      <c r="CQ526">
        <f>IF($CP526="refOK",$BM526,$BN526)</f>
        <v>63</v>
      </c>
      <c r="CR526">
        <f>IF($CP526="refOK",$BN526,$BM526)</f>
        <v>63</v>
      </c>
      <c r="CS526">
        <f>IF($CP526="refOK",$BQ526,-$BQ526)</f>
        <v>0</v>
      </c>
      <c r="CT526">
        <f t="shared" si="589"/>
        <v>0</v>
      </c>
      <c r="CU526"/>
      <c r="CV526"/>
      <c r="CW526"/>
      <c r="CX526" t="str">
        <f t="shared" si="581"/>
        <v/>
      </c>
      <c r="CY526" t="str">
        <f>IFERROR($CW526/$CS526,"")</f>
        <v/>
      </c>
      <c r="CZ526" t="str">
        <f t="shared" si="590"/>
        <v/>
      </c>
      <c r="DA526" s="2" t="str">
        <f>IFERROR((CV526-CU526)/ABS(CU526),"")</f>
        <v/>
      </c>
      <c r="DB526" s="1" t="s">
        <v>1078</v>
      </c>
      <c r="DC526" t="str">
        <f>IF(OR($DB526="prd",$DB526="std",$DB526="cit"),"loc",IF(OR($DB526="eur",$DB526="reg",$DB526="coy"),"reg",$DB526))</f>
        <v>reg</v>
      </c>
      <c r="DD526" t="s">
        <v>235</v>
      </c>
      <c r="DE526">
        <v>2010</v>
      </c>
      <c r="DF526">
        <v>2110</v>
      </c>
      <c r="DG526" s="143">
        <f>DF526-DE526</f>
        <v>100</v>
      </c>
      <c r="DH526" t="str">
        <f>IF(DG526=0,"0",IF(AND(DG526&gt;=1,DG526&lt;=30),"1-30",IF(AND(DG526&gt;30,DG526&lt;=70),"31-70",IF(AND(DG526&gt;70,DG526&lt;=100),"71-100",IF(DG526&gt;100,"+100")))))</f>
        <v>71-100</v>
      </c>
      <c r="DI526">
        <v>1</v>
      </c>
      <c r="DJ526">
        <v>1</v>
      </c>
      <c r="DK526">
        <v>0</v>
      </c>
      <c r="DL526">
        <v>0</v>
      </c>
      <c r="DN526">
        <f>SUM(DI526:DL526)</f>
        <v>2</v>
      </c>
      <c r="DO526" t="str">
        <f>IF(DN526=1,INDEX($DI$7:$DL$7,MATCH(1,$DI526:$DL526,0)),"mixedProduct")</f>
        <v>mixedProduct</v>
      </c>
      <c r="DP526" t="str">
        <f t="shared" si="587"/>
        <v>Upstream</v>
      </c>
      <c r="DQ526" t="str">
        <f t="shared" si="587"/>
        <v>Energy</v>
      </c>
      <c r="DR526">
        <f t="shared" si="587"/>
        <v>0</v>
      </c>
      <c r="DS526">
        <f t="shared" si="587"/>
        <v>0</v>
      </c>
      <c r="DT526">
        <v>0</v>
      </c>
      <c r="DU526" s="143">
        <v>0</v>
      </c>
      <c r="DV526" t="s">
        <v>1976</v>
      </c>
      <c r="DW526">
        <v>0</v>
      </c>
      <c r="DX526">
        <v>0</v>
      </c>
      <c r="DY526">
        <f>SUM(DT526:DU526)</f>
        <v>0</v>
      </c>
      <c r="DZ526" s="143" t="str">
        <f>IF(DT526=1,"self-calculated DF",IF(DU526=1,"external DF used","explicit C balance"))</f>
        <v>explicit C balance</v>
      </c>
      <c r="EA526" s="143">
        <v>1</v>
      </c>
      <c r="EB526" s="143">
        <v>1</v>
      </c>
      <c r="EC526" s="143">
        <v>1</v>
      </c>
      <c r="ED526" s="143">
        <v>0</v>
      </c>
      <c r="EE526" s="143">
        <v>1</v>
      </c>
      <c r="EF526" s="143">
        <v>0</v>
      </c>
      <c r="EG526" s="143">
        <v>1</v>
      </c>
      <c r="EH526" s="143">
        <v>1</v>
      </c>
      <c r="EI526" s="143">
        <v>0</v>
      </c>
      <c r="EJ526" s="143">
        <v>0</v>
      </c>
      <c r="EK526" s="143">
        <v>0</v>
      </c>
      <c r="EL526" s="143">
        <v>0</v>
      </c>
      <c r="EM526" s="143">
        <v>0</v>
      </c>
      <c r="EN526" s="192">
        <v>0</v>
      </c>
      <c r="EP526" t="str">
        <f t="shared" si="591"/>
        <v>Whole sector approach</v>
      </c>
      <c r="EQ526" t="str">
        <f>IF(AND(AND(OR($EC526=1,$EB526=1),AND($EH526=0,$EF526=0)),SUM($EA526:$EE526,$EK526)&gt;=4),"Ecosystem approach","")</f>
        <v/>
      </c>
      <c r="ER526" s="2" t="str">
        <f t="shared" si="592"/>
        <v/>
      </c>
      <c r="ES526" t="str">
        <f t="shared" si="593"/>
        <v/>
      </c>
      <c r="ET526" t="str">
        <f t="shared" si="594"/>
        <v/>
      </c>
      <c r="EU526" t="str">
        <f t="shared" si="595"/>
        <v/>
      </c>
      <c r="EY526" t="b">
        <f>IF(ISNUMBER(BW526),IF(ABS(BW526-[2]QC_indicators!$B$2)&gt;3*[2]QC_indicators!$C$2,"C ratio",IF(ISNUMBER(CA526),IF(ABS(CA526-[2]QC_indicators!$B$1)&gt;3*[2]QC_indicators!$C$1,"DF","no"))),IF(ISNUMBER(CA526),IF(ABS(CA526-[2]QC_indicators!$B$1)&gt;3*[2]QC_indicators!$C$1,"DF","no")))</f>
        <v>0</v>
      </c>
      <c r="FA526" t="str">
        <f t="shared" si="596"/>
        <v/>
      </c>
      <c r="FB526" s="149" t="s">
        <v>349</v>
      </c>
      <c r="FD526" s="260" t="s">
        <v>2910</v>
      </c>
    </row>
    <row r="527" spans="1:160" ht="15" hidden="1" customHeight="1">
      <c r="D527" t="s">
        <v>1977</v>
      </c>
      <c r="E527" t="s">
        <v>1978</v>
      </c>
      <c r="G527" t="s">
        <v>1979</v>
      </c>
      <c r="I527">
        <v>2015</v>
      </c>
      <c r="K527" t="s">
        <v>1980</v>
      </c>
      <c r="M527" t="str">
        <f t="shared" si="586"/>
        <v>Repo_2015</v>
      </c>
      <c r="N527" t="s">
        <v>2266</v>
      </c>
      <c r="O527" s="145" t="s">
        <v>225</v>
      </c>
      <c r="Q527" t="s">
        <v>256</v>
      </c>
      <c r="R527" s="258" t="s">
        <v>223</v>
      </c>
      <c r="S527" s="1" t="s">
        <v>1975</v>
      </c>
      <c r="T527" t="s">
        <v>1981</v>
      </c>
      <c r="U527" t="s">
        <v>1987</v>
      </c>
      <c r="V527" s="253">
        <v>0</v>
      </c>
      <c r="W527" s="253">
        <v>0</v>
      </c>
      <c r="X527" s="143">
        <v>0</v>
      </c>
      <c r="Y527" s="143">
        <v>0</v>
      </c>
      <c r="Z527" s="143">
        <v>0</v>
      </c>
      <c r="AA527" s="143">
        <v>0</v>
      </c>
      <c r="AB527" s="143">
        <v>0</v>
      </c>
      <c r="AC527" s="143">
        <v>0</v>
      </c>
      <c r="AD527" s="143">
        <v>0</v>
      </c>
      <c r="AE527" s="143">
        <v>0</v>
      </c>
      <c r="AF527" s="143">
        <v>0</v>
      </c>
      <c r="AG527" s="143">
        <v>0</v>
      </c>
      <c r="AH527" s="143">
        <v>1</v>
      </c>
      <c r="AI527" s="143">
        <v>0</v>
      </c>
      <c r="AJ527" s="143">
        <v>0</v>
      </c>
      <c r="AK527" s="143">
        <v>0</v>
      </c>
      <c r="AL527" s="143">
        <v>0</v>
      </c>
      <c r="AM527" s="143">
        <v>0</v>
      </c>
      <c r="AN527" s="143">
        <v>0</v>
      </c>
      <c r="AO527" s="143">
        <v>0</v>
      </c>
      <c r="AP527" s="143">
        <v>0</v>
      </c>
      <c r="AQ527" s="143">
        <v>0</v>
      </c>
      <c r="AR527" s="143">
        <v>0</v>
      </c>
      <c r="AS527" s="143">
        <v>0</v>
      </c>
      <c r="AT527" s="143">
        <v>0</v>
      </c>
      <c r="AU527" s="143">
        <v>0</v>
      </c>
      <c r="AV527" s="143">
        <v>0</v>
      </c>
      <c r="AW527" s="143">
        <v>0</v>
      </c>
      <c r="AX527" s="143">
        <v>0</v>
      </c>
      <c r="AY527" s="143">
        <v>0</v>
      </c>
      <c r="AZ527" s="141">
        <f>COUNTIF(X527:AY527,"&lt;&gt;0")</f>
        <v>1</v>
      </c>
      <c r="BA527" s="141">
        <f>COUNTIF(X527:AN527,"&lt;&gt;0")</f>
        <v>1</v>
      </c>
      <c r="BB527">
        <f>COUNTIF(X527:AE527,"&lt;&gt;0")</f>
        <v>0</v>
      </c>
      <c r="BC527">
        <f>COUNTIF(AF527:AK527,"&lt;&gt;0")</f>
        <v>1</v>
      </c>
      <c r="BD527">
        <f>COUNTIF(AL527:AN527,"&lt;&gt;0")</f>
        <v>0</v>
      </c>
      <c r="BE527">
        <f>COUNTIF(AU527:AY527,"&lt;&gt;0")</f>
        <v>0</v>
      </c>
      <c r="BF527">
        <f>COUNTIF(AO527:AT527,"&lt;&gt;0")</f>
        <v>0</v>
      </c>
      <c r="BG527" t="str">
        <f t="array" ref="BG527">IF(BA527=1,INDEX($X$7:$AN$7,MATCH(TRUE,INDEX($X527:$AY527&lt;&gt;0,),0)),IF(BA527=0,INDEX($AO$7:$AY$7,MATCH(1,$AO527:$AY527,0)),IF(BH527="Multiple strategies","mixed drivers",IF(BH527="Supply chain","multiple supply","multiple silviculture"))))</f>
        <v>supply chain organization</v>
      </c>
      <c r="BH527" s="2" t="str" cm="1">
        <f t="array" ref="BH527">IF(COUNTIF(BB527:BD527,"&lt;&gt;0")=1,INDEX($X$4:$AY$4,MATCH(TRUE,INDEX($X527:$AY527&lt;&gt;0,),0)),IF(COUNTIF(BB527:BD527,"&lt;&gt;0")=0,INDEX($AO$4:$AY$4,MATCH(1,$AO527:$AY527,0)),"Multiple strategies"))</f>
        <v>Supply chain</v>
      </c>
      <c r="BI527" s="1" t="s">
        <v>321</v>
      </c>
      <c r="BJ527" t="s">
        <v>1983</v>
      </c>
      <c r="BK527" s="260" t="s">
        <v>424</v>
      </c>
      <c r="BL527" s="260" t="s">
        <v>2909</v>
      </c>
      <c r="BM527">
        <v>63</v>
      </c>
      <c r="BN527">
        <v>63</v>
      </c>
      <c r="BP527">
        <f>BN527-BM527</f>
        <v>0</v>
      </c>
      <c r="BQ527">
        <f>BP527*t_to_m3</f>
        <v>0</v>
      </c>
      <c r="BR527" t="s">
        <v>232</v>
      </c>
      <c r="BT527" t="s">
        <v>1984</v>
      </c>
      <c r="BW527" s="144"/>
      <c r="BX527">
        <v>2.7E-2</v>
      </c>
      <c r="CA527" t="str">
        <f t="shared" si="588"/>
        <v/>
      </c>
      <c r="CB527" s="143">
        <v>0</v>
      </c>
      <c r="CC527" s="143">
        <v>1</v>
      </c>
      <c r="CD527" s="143">
        <v>0</v>
      </c>
      <c r="CE527" s="143">
        <v>1</v>
      </c>
      <c r="CF527" s="143">
        <v>0</v>
      </c>
      <c r="CG527" s="143">
        <v>0</v>
      </c>
      <c r="CH527" s="143">
        <v>0</v>
      </c>
      <c r="CI527" s="143">
        <v>0</v>
      </c>
      <c r="CJ527" s="143">
        <v>0</v>
      </c>
      <c r="CK527" s="143">
        <v>0</v>
      </c>
      <c r="CL527" s="143">
        <v>0</v>
      </c>
      <c r="CM527" s="143">
        <v>0</v>
      </c>
      <c r="CN527" s="143">
        <v>0</v>
      </c>
      <c r="CO527" s="143">
        <v>0</v>
      </c>
      <c r="CP527" t="str">
        <f>IF(BN527&lt;BM527,"refNeedCorrection","refOK")</f>
        <v>refOK</v>
      </c>
      <c r="CQ527">
        <f>IF($CP527="refOK",$BM527,$BN527)</f>
        <v>63</v>
      </c>
      <c r="CR527">
        <f>IF($CP527="refOK",$BN527,$BM527)</f>
        <v>63</v>
      </c>
      <c r="CS527">
        <f>IF($CP527="refOK",$BQ527,-$BQ527)</f>
        <v>0</v>
      </c>
      <c r="CT527">
        <f t="shared" si="589"/>
        <v>0</v>
      </c>
      <c r="CU527"/>
      <c r="CV527"/>
      <c r="CW527"/>
      <c r="CX527" t="str">
        <f t="shared" si="581"/>
        <v/>
      </c>
      <c r="CY527" t="str">
        <f>IFERROR($CW527/$CS527,"")</f>
        <v/>
      </c>
      <c r="CZ527" t="str">
        <f t="shared" si="590"/>
        <v/>
      </c>
      <c r="DA527" s="2" t="str">
        <f>IFERROR((CV527-CU527)/ABS(CU527),"")</f>
        <v/>
      </c>
      <c r="DB527" s="1" t="s">
        <v>1078</v>
      </c>
      <c r="DC527" t="str">
        <f>IF(OR($DB527="prd",$DB527="std",$DB527="cit"),"loc",IF(OR($DB527="eur",$DB527="reg",$DB527="coy"),"reg",$DB527))</f>
        <v>reg</v>
      </c>
      <c r="DD527" t="s">
        <v>235</v>
      </c>
      <c r="DE527">
        <v>2010</v>
      </c>
      <c r="DF527">
        <v>2110</v>
      </c>
      <c r="DG527" s="143">
        <f>DF527-DE527</f>
        <v>100</v>
      </c>
      <c r="DH527" t="str">
        <f>IF(DG527=0,"0",IF(AND(DG527&gt;=1,DG527&lt;=30),"1-30",IF(AND(DG527&gt;30,DG527&lt;=70),"31-70",IF(AND(DG527&gt;70,DG527&lt;=100),"71-100",IF(DG527&gt;100,"+100")))))</f>
        <v>71-100</v>
      </c>
      <c r="DI527">
        <v>1</v>
      </c>
      <c r="DJ527">
        <v>1</v>
      </c>
      <c r="DK527">
        <v>0</v>
      </c>
      <c r="DL527">
        <v>0</v>
      </c>
      <c r="DN527">
        <f>SUM(DI527:DL527)</f>
        <v>2</v>
      </c>
      <c r="DO527" t="str">
        <f>IF(DN527=1,INDEX($DI$7:$DL$7,MATCH(1,$DI527:$DL527,0)),"mixedProduct")</f>
        <v>mixedProduct</v>
      </c>
      <c r="DP527" t="str">
        <f t="shared" si="587"/>
        <v>Upstream</v>
      </c>
      <c r="DQ527" t="str">
        <f t="shared" si="587"/>
        <v>Energy</v>
      </c>
      <c r="DR527">
        <f t="shared" si="587"/>
        <v>0</v>
      </c>
      <c r="DS527">
        <f t="shared" si="587"/>
        <v>0</v>
      </c>
      <c r="DT527">
        <v>0</v>
      </c>
      <c r="DU527" s="143">
        <v>0</v>
      </c>
      <c r="DV527" t="s">
        <v>1988</v>
      </c>
      <c r="DW527">
        <v>0</v>
      </c>
      <c r="DX527">
        <v>0</v>
      </c>
      <c r="DY527">
        <f>SUM(DT527:DU527)</f>
        <v>0</v>
      </c>
      <c r="DZ527" s="143" t="str">
        <f>IF(DT527=1,"self-calculated DF",IF(DU527=1,"external DF used","explicit C balance"))</f>
        <v>explicit C balance</v>
      </c>
      <c r="EA527" s="143">
        <v>1</v>
      </c>
      <c r="EB527" s="143">
        <v>1</v>
      </c>
      <c r="EC527" s="143">
        <v>1</v>
      </c>
      <c r="ED527" s="143">
        <v>0</v>
      </c>
      <c r="EE527" s="143">
        <v>1</v>
      </c>
      <c r="EF527" s="143">
        <v>0</v>
      </c>
      <c r="EG527" s="143">
        <v>1</v>
      </c>
      <c r="EH527" s="143">
        <v>1</v>
      </c>
      <c r="EI527" s="143">
        <v>0</v>
      </c>
      <c r="EJ527" s="143">
        <v>0</v>
      </c>
      <c r="EK527" s="143">
        <v>0</v>
      </c>
      <c r="EL527" s="143">
        <v>0</v>
      </c>
      <c r="EM527" s="143">
        <v>0</v>
      </c>
      <c r="EN527" s="192">
        <v>0</v>
      </c>
      <c r="EP527" t="str">
        <f t="shared" si="591"/>
        <v>Whole sector approach</v>
      </c>
      <c r="EQ527" t="str">
        <f>IF(AND(AND(OR($EC527=1,$EB527=1),AND($EH527=0,$EF527=0)),SUM($EA527:$EE527,$EK527)&gt;=4),"Ecosystem approach","")</f>
        <v/>
      </c>
      <c r="ER527" s="2" t="str">
        <f t="shared" si="592"/>
        <v/>
      </c>
      <c r="ES527" t="str">
        <f t="shared" si="593"/>
        <v/>
      </c>
      <c r="ET527" t="str">
        <f t="shared" si="594"/>
        <v/>
      </c>
      <c r="EU527" t="str">
        <f t="shared" si="595"/>
        <v/>
      </c>
      <c r="EY527" t="b">
        <f>IF(ISNUMBER(BW527),IF(ABS(BW527-[2]QC_indicators!$B$2)&gt;3*[2]QC_indicators!$C$2,"C ratio",IF(ISNUMBER(CA527),IF(ABS(CA527-[2]QC_indicators!$B$1)&gt;3*[2]QC_indicators!$C$1,"DF","no"))),IF(ISNUMBER(CA527),IF(ABS(CA527-[2]QC_indicators!$B$1)&gt;3*[2]QC_indicators!$C$1,"DF","no")))</f>
        <v>0</v>
      </c>
      <c r="FA527" t="str">
        <f t="shared" si="596"/>
        <v/>
      </c>
      <c r="FB527" s="149" t="s">
        <v>349</v>
      </c>
      <c r="FD527" s="260" t="s">
        <v>2910</v>
      </c>
    </row>
    <row r="528" spans="1:160" ht="15" hidden="1" customHeight="1">
      <c r="A528" s="1" t="s">
        <v>4322</v>
      </c>
      <c r="B528" t="s">
        <v>4323</v>
      </c>
      <c r="C528" t="s">
        <v>4324</v>
      </c>
      <c r="D528" t="s">
        <v>4325</v>
      </c>
      <c r="E528" t="s">
        <v>4326</v>
      </c>
      <c r="F528" t="s">
        <v>4327</v>
      </c>
      <c r="G528" t="s">
        <v>4328</v>
      </c>
      <c r="H528" t="s">
        <v>254</v>
      </c>
      <c r="I528">
        <v>2015</v>
      </c>
      <c r="J528">
        <v>2</v>
      </c>
      <c r="K528" t="s">
        <v>4329</v>
      </c>
      <c r="M528" t="str">
        <f t="shared" si="586"/>
        <v>Sharma_2015</v>
      </c>
      <c r="N528" t="s">
        <v>2266</v>
      </c>
      <c r="O528" s="145" t="s">
        <v>341</v>
      </c>
      <c r="Q528" s="297" t="s">
        <v>256</v>
      </c>
      <c r="R528" s="298"/>
      <c r="AZ528" s="141"/>
      <c r="BA528" s="141"/>
      <c r="BG528"/>
      <c r="BH528" s="2"/>
      <c r="BW528" s="144"/>
      <c r="CA528" t="str">
        <f t="shared" si="588"/>
        <v/>
      </c>
      <c r="CP528"/>
      <c r="CQ528"/>
      <c r="CR528"/>
      <c r="CS528"/>
      <c r="CT528">
        <f t="shared" si="589"/>
        <v>0</v>
      </c>
      <c r="CU528"/>
      <c r="CV528"/>
      <c r="CW528"/>
      <c r="CX528" t="str">
        <f t="shared" si="581"/>
        <v/>
      </c>
      <c r="CY528"/>
      <c r="CZ528" t="str">
        <f t="shared" si="590"/>
        <v/>
      </c>
      <c r="DA528" s="2"/>
      <c r="DC528"/>
      <c r="DH528"/>
      <c r="DN528"/>
      <c r="DO528"/>
      <c r="DP528"/>
      <c r="DQ528"/>
      <c r="DR528"/>
      <c r="DS528"/>
      <c r="DY528"/>
      <c r="DZ528" s="143"/>
      <c r="EP528" t="str">
        <f t="shared" si="591"/>
        <v/>
      </c>
      <c r="EQ528" t="str">
        <f t="shared" ref="EQ528:EQ537" si="597">IF(AND(AND(OR($EC528=1,$EB528=1),AND($EH528=0,$EF528=0)),SUM($EA528:$EE528,$EK528)&gt;=3),"Ecosystem approach","")</f>
        <v/>
      </c>
      <c r="ER528" s="2" t="str">
        <f t="shared" si="592"/>
        <v/>
      </c>
      <c r="ES528" t="str">
        <f t="shared" si="593"/>
        <v/>
      </c>
      <c r="ET528" t="str">
        <f t="shared" si="594"/>
        <v/>
      </c>
      <c r="EU528" t="str">
        <f t="shared" si="595"/>
        <v/>
      </c>
      <c r="EY528" t="b">
        <f>IF(ISNUMBER(BW528),IF(ABS(BW528-[1]QC_indicators!$B$2)&gt;3*[1]QC_indicators!$C$2,"C ratio",IF(ISNUMBER(CA528),IF(ABS(CA528-[1]QC_indicators!$B$1)&gt;3*[1]QC_indicators!$C$1,"DF","no"))),IF(ISNUMBER(CA528),IF(ABS(CA528-[1]QC_indicators!$B$1)&gt;3*[1]QC_indicators!$C$1,"DF","no")))</f>
        <v>0</v>
      </c>
      <c r="FA528" t="str">
        <f t="shared" si="596"/>
        <v/>
      </c>
    </row>
    <row r="529" spans="1:160" ht="15" hidden="1" customHeight="1">
      <c r="A529" s="1" t="s">
        <v>1295</v>
      </c>
      <c r="B529" t="s">
        <v>4330</v>
      </c>
      <c r="C529" t="s">
        <v>4331</v>
      </c>
      <c r="D529" t="s">
        <v>4332</v>
      </c>
      <c r="E529" t="s">
        <v>4333</v>
      </c>
      <c r="F529" t="s">
        <v>4334</v>
      </c>
      <c r="G529" t="s">
        <v>1301</v>
      </c>
      <c r="H529" t="s">
        <v>254</v>
      </c>
      <c r="I529">
        <v>2004</v>
      </c>
      <c r="J529">
        <v>11</v>
      </c>
      <c r="K529" t="s">
        <v>4335</v>
      </c>
      <c r="M529" t="str">
        <f t="shared" si="586"/>
        <v>Smith_2004</v>
      </c>
      <c r="N529" t="s">
        <v>2266</v>
      </c>
      <c r="O529" s="145" t="s">
        <v>341</v>
      </c>
      <c r="Q529" s="297" t="s">
        <v>256</v>
      </c>
      <c r="R529" s="298"/>
      <c r="AZ529" s="141"/>
      <c r="BA529" s="141"/>
      <c r="BG529"/>
      <c r="BH529" s="2"/>
      <c r="BW529" s="144"/>
      <c r="CA529" t="str">
        <f t="shared" si="588"/>
        <v/>
      </c>
      <c r="CP529"/>
      <c r="CQ529"/>
      <c r="CR529"/>
      <c r="CS529"/>
      <c r="CT529">
        <f t="shared" si="589"/>
        <v>0</v>
      </c>
      <c r="CU529"/>
      <c r="CV529"/>
      <c r="CW529"/>
      <c r="CX529" t="str">
        <f t="shared" si="581"/>
        <v/>
      </c>
      <c r="CY529"/>
      <c r="CZ529" t="str">
        <f t="shared" si="590"/>
        <v/>
      </c>
      <c r="DA529" s="2"/>
      <c r="DC529"/>
      <c r="DH529"/>
      <c r="DN529"/>
      <c r="DO529"/>
      <c r="DP529"/>
      <c r="DQ529"/>
      <c r="DR529"/>
      <c r="DS529"/>
      <c r="DY529"/>
      <c r="DZ529" s="143"/>
      <c r="EP529" t="str">
        <f t="shared" si="591"/>
        <v/>
      </c>
      <c r="EQ529" t="str">
        <f t="shared" si="597"/>
        <v/>
      </c>
      <c r="ER529" s="2" t="str">
        <f t="shared" si="592"/>
        <v/>
      </c>
      <c r="ES529" t="str">
        <f t="shared" si="593"/>
        <v/>
      </c>
      <c r="ET529" t="str">
        <f t="shared" si="594"/>
        <v/>
      </c>
      <c r="EU529" t="str">
        <f t="shared" si="595"/>
        <v/>
      </c>
      <c r="EX529" t="s">
        <v>450</v>
      </c>
      <c r="EY529" t="b">
        <f>IF(ISNUMBER(BW529),IF(ABS(BW529-[1]QC_indicators!$B$2)&gt;3*[1]QC_indicators!$C$2,"C ratio",IF(ISNUMBER(CA529),IF(ABS(CA529-[1]QC_indicators!$B$1)&gt;3*[1]QC_indicators!$C$1,"DF","no"))),IF(ISNUMBER(CA529),IF(ABS(CA529-[1]QC_indicators!$B$1)&gt;3*[1]QC_indicators!$C$1,"DF","no")))</f>
        <v>0</v>
      </c>
      <c r="FA529" t="str">
        <f t="shared" si="596"/>
        <v/>
      </c>
    </row>
    <row r="530" spans="1:160" ht="15" hidden="1" customHeight="1">
      <c r="A530" s="1" t="s">
        <v>3310</v>
      </c>
      <c r="B530" t="s">
        <v>531</v>
      </c>
      <c r="C530" t="s">
        <v>4336</v>
      </c>
      <c r="D530" t="s">
        <v>4337</v>
      </c>
      <c r="E530" t="s">
        <v>4338</v>
      </c>
      <c r="F530" t="s">
        <v>4339</v>
      </c>
      <c r="G530" t="s">
        <v>3315</v>
      </c>
      <c r="H530" t="s">
        <v>254</v>
      </c>
      <c r="I530">
        <v>2022</v>
      </c>
      <c r="J530">
        <v>1</v>
      </c>
      <c r="K530" t="s">
        <v>4340</v>
      </c>
      <c r="M530" t="str">
        <f t="shared" si="586"/>
        <v>Spanjer_2022</v>
      </c>
      <c r="N530" t="s">
        <v>2266</v>
      </c>
      <c r="BG530"/>
      <c r="BH530" s="2"/>
      <c r="CA530" t="str">
        <f t="shared" si="588"/>
        <v/>
      </c>
      <c r="CP530"/>
      <c r="CQ530"/>
      <c r="CR530"/>
      <c r="CS530"/>
      <c r="CT530">
        <f t="shared" si="589"/>
        <v>0</v>
      </c>
      <c r="CU530"/>
      <c r="CV530"/>
      <c r="CW530"/>
      <c r="CX530" t="str">
        <f t="shared" si="581"/>
        <v/>
      </c>
      <c r="CY530"/>
      <c r="CZ530" t="str">
        <f t="shared" si="590"/>
        <v/>
      </c>
      <c r="DA530" s="2"/>
      <c r="DC530"/>
      <c r="DH530"/>
      <c r="DN530"/>
      <c r="DO530"/>
      <c r="DP530"/>
      <c r="DQ530"/>
      <c r="DR530"/>
      <c r="DS530"/>
      <c r="DY530"/>
      <c r="DZ530"/>
      <c r="EP530" t="str">
        <f t="shared" si="591"/>
        <v/>
      </c>
      <c r="EQ530" t="str">
        <f t="shared" si="597"/>
        <v/>
      </c>
      <c r="ER530" s="2" t="str">
        <f t="shared" si="592"/>
        <v/>
      </c>
      <c r="ES530" t="str">
        <f t="shared" si="593"/>
        <v/>
      </c>
      <c r="ET530" t="str">
        <f t="shared" si="594"/>
        <v/>
      </c>
      <c r="EU530" t="str">
        <f t="shared" si="595"/>
        <v/>
      </c>
      <c r="EY530" t="b">
        <f>IF(ISNUMBER(BW530),IF(ABS(BW530-[1]QC_indicators!$B$2)&gt;3*[1]QC_indicators!$C$2,"C ratio",IF(ISNUMBER(CA530),IF(ABS(CA530-[1]QC_indicators!$B$1)&gt;3*[1]QC_indicators!$C$1,"DF","no"))),IF(ISNUMBER(CA530),IF(ABS(CA530-[1]QC_indicators!$B$1)&gt;3*[1]QC_indicators!$C$1,"DF","no")))</f>
        <v>0</v>
      </c>
      <c r="FA530" t="str">
        <f t="shared" si="596"/>
        <v/>
      </c>
    </row>
    <row r="531" spans="1:160" ht="15" hidden="1" customHeight="1">
      <c r="A531" s="1" t="s">
        <v>1016</v>
      </c>
      <c r="B531" t="s">
        <v>4341</v>
      </c>
      <c r="C531" t="s">
        <v>4342</v>
      </c>
      <c r="D531" t="s">
        <v>4343</v>
      </c>
      <c r="E531" t="s">
        <v>4344</v>
      </c>
      <c r="F531" t="s">
        <v>4345</v>
      </c>
      <c r="G531" t="s">
        <v>1017</v>
      </c>
      <c r="H531" t="s">
        <v>254</v>
      </c>
      <c r="I531">
        <v>2020</v>
      </c>
      <c r="J531">
        <v>0</v>
      </c>
      <c r="K531" t="s">
        <v>4346</v>
      </c>
      <c r="M531" t="str">
        <f t="shared" si="586"/>
        <v>Sprengel_2020</v>
      </c>
      <c r="N531" t="s">
        <v>2266</v>
      </c>
      <c r="O531" s="145" t="s">
        <v>341</v>
      </c>
      <c r="Q531" s="297" t="s">
        <v>256</v>
      </c>
      <c r="R531" s="298"/>
      <c r="AZ531" s="141"/>
      <c r="BA531" s="141"/>
      <c r="BG531"/>
      <c r="BH531" s="2"/>
      <c r="BW531" s="144"/>
      <c r="CA531" t="str">
        <f t="shared" si="588"/>
        <v/>
      </c>
      <c r="CP531"/>
      <c r="CQ531"/>
      <c r="CR531"/>
      <c r="CS531"/>
      <c r="CT531">
        <f t="shared" si="589"/>
        <v>0</v>
      </c>
      <c r="CU531"/>
      <c r="CV531"/>
      <c r="CW531"/>
      <c r="CX531" t="str">
        <f t="shared" si="581"/>
        <v/>
      </c>
      <c r="CY531"/>
      <c r="CZ531" t="str">
        <f t="shared" si="590"/>
        <v/>
      </c>
      <c r="DA531" s="2"/>
      <c r="DC531"/>
      <c r="DH531"/>
      <c r="DN531"/>
      <c r="DO531"/>
      <c r="DP531"/>
      <c r="DQ531"/>
      <c r="DR531"/>
      <c r="DS531"/>
      <c r="DY531"/>
      <c r="DZ531" s="143"/>
      <c r="EP531" t="str">
        <f t="shared" si="591"/>
        <v/>
      </c>
      <c r="EQ531" t="str">
        <f t="shared" si="597"/>
        <v/>
      </c>
      <c r="ER531" s="2" t="str">
        <f t="shared" si="592"/>
        <v/>
      </c>
      <c r="ES531" t="str">
        <f t="shared" si="593"/>
        <v/>
      </c>
      <c r="ET531" t="str">
        <f t="shared" si="594"/>
        <v/>
      </c>
      <c r="EU531" t="str">
        <f t="shared" si="595"/>
        <v/>
      </c>
      <c r="EX531" t="s">
        <v>450</v>
      </c>
      <c r="EY531" t="b">
        <f>IF(ISNUMBER(BW531),IF(ABS(BW531-[1]QC_indicators!$B$2)&gt;3*[1]QC_indicators!$C$2,"C ratio",IF(ISNUMBER(CA531),IF(ABS(CA531-[1]QC_indicators!$B$1)&gt;3*[1]QC_indicators!$C$1,"DF","no"))),IF(ISNUMBER(CA531),IF(ABS(CA531-[1]QC_indicators!$B$1)&gt;3*[1]QC_indicators!$C$1,"DF","no")))</f>
        <v>0</v>
      </c>
      <c r="FA531" t="str">
        <f t="shared" si="596"/>
        <v/>
      </c>
    </row>
    <row r="532" spans="1:160" ht="15" hidden="1" customHeight="1">
      <c r="A532" s="1" t="s">
        <v>1295</v>
      </c>
      <c r="B532" t="s">
        <v>4347</v>
      </c>
      <c r="C532" t="s">
        <v>4348</v>
      </c>
      <c r="D532" t="s">
        <v>4349</v>
      </c>
      <c r="E532" t="s">
        <v>4350</v>
      </c>
      <c r="F532" t="s">
        <v>4351</v>
      </c>
      <c r="G532" t="s">
        <v>1301</v>
      </c>
      <c r="H532" t="s">
        <v>254</v>
      </c>
      <c r="I532">
        <v>2016</v>
      </c>
      <c r="J532">
        <v>14</v>
      </c>
      <c r="K532" t="s">
        <v>4352</v>
      </c>
      <c r="M532" t="str">
        <f t="shared" si="586"/>
        <v>Susaeta_2016</v>
      </c>
      <c r="N532" t="s">
        <v>2266</v>
      </c>
      <c r="O532" s="145" t="s">
        <v>1029</v>
      </c>
      <c r="Q532" s="297" t="s">
        <v>256</v>
      </c>
      <c r="R532" s="298"/>
      <c r="AZ532" s="141"/>
      <c r="BA532" s="141"/>
      <c r="BG532"/>
      <c r="BH532" s="2"/>
      <c r="BR532" s="143"/>
      <c r="BS532" s="143"/>
      <c r="BW532" s="144"/>
      <c r="CA532" t="str">
        <f t="shared" si="588"/>
        <v/>
      </c>
      <c r="CP532"/>
      <c r="CQ532"/>
      <c r="CR532"/>
      <c r="CS532"/>
      <c r="CT532">
        <f t="shared" si="589"/>
        <v>0</v>
      </c>
      <c r="CU532"/>
      <c r="CV532"/>
      <c r="CW532"/>
      <c r="CX532" t="str">
        <f t="shared" si="581"/>
        <v/>
      </c>
      <c r="CY532"/>
      <c r="CZ532" t="str">
        <f t="shared" si="590"/>
        <v/>
      </c>
      <c r="DA532" s="2"/>
      <c r="DC532"/>
      <c r="DH532"/>
      <c r="DN532"/>
      <c r="DO532"/>
      <c r="DP532"/>
      <c r="DQ532"/>
      <c r="DR532"/>
      <c r="DS532"/>
      <c r="DY532"/>
      <c r="DZ532" s="143"/>
      <c r="EP532" t="str">
        <f t="shared" si="591"/>
        <v/>
      </c>
      <c r="EQ532" t="str">
        <f t="shared" si="597"/>
        <v/>
      </c>
      <c r="ER532" s="2" t="str">
        <f t="shared" si="592"/>
        <v/>
      </c>
      <c r="ES532" t="str">
        <f t="shared" si="593"/>
        <v/>
      </c>
      <c r="ET532" t="str">
        <f t="shared" si="594"/>
        <v/>
      </c>
      <c r="EU532" t="str">
        <f t="shared" si="595"/>
        <v/>
      </c>
      <c r="EX532" t="s">
        <v>4004</v>
      </c>
      <c r="EY532" t="b">
        <f>IF(ISNUMBER(BW532),IF(ABS(BW532-[1]QC_indicators!$B$2)&gt;3*[1]QC_indicators!$C$2,"C ratio",IF(ISNUMBER(CA532),IF(ABS(CA532-[1]QC_indicators!$B$1)&gt;3*[1]QC_indicators!$C$1,"DF","no"))),IF(ISNUMBER(CA532),IF(ABS(CA532-[1]QC_indicators!$B$1)&gt;3*[1]QC_indicators!$C$1,"DF","no")))</f>
        <v>0</v>
      </c>
      <c r="FA532" t="str">
        <f t="shared" si="596"/>
        <v/>
      </c>
    </row>
    <row r="533" spans="1:160" ht="15" hidden="1" customHeight="1">
      <c r="A533" s="1" t="s">
        <v>4353</v>
      </c>
      <c r="B533" t="s">
        <v>4354</v>
      </c>
      <c r="C533" t="s">
        <v>4355</v>
      </c>
      <c r="D533" t="s">
        <v>4356</v>
      </c>
      <c r="E533" t="s">
        <v>4357</v>
      </c>
      <c r="F533" t="s">
        <v>4358</v>
      </c>
      <c r="G533" t="s">
        <v>4359</v>
      </c>
      <c r="H533" t="s">
        <v>254</v>
      </c>
      <c r="I533">
        <v>2022</v>
      </c>
      <c r="J533">
        <v>1</v>
      </c>
      <c r="K533" t="s">
        <v>4360</v>
      </c>
      <c r="M533" t="str">
        <f t="shared" si="586"/>
        <v>Syrbe_2022</v>
      </c>
      <c r="N533" t="s">
        <v>2266</v>
      </c>
      <c r="BG533"/>
      <c r="BH533" s="2"/>
      <c r="CA533" t="str">
        <f t="shared" si="588"/>
        <v/>
      </c>
      <c r="CP533"/>
      <c r="CQ533"/>
      <c r="CR533"/>
      <c r="CS533"/>
      <c r="CT533">
        <f t="shared" si="589"/>
        <v>0</v>
      </c>
      <c r="CU533"/>
      <c r="CV533"/>
      <c r="CW533"/>
      <c r="CX533" t="str">
        <f t="shared" si="581"/>
        <v/>
      </c>
      <c r="CY533"/>
      <c r="CZ533" t="str">
        <f t="shared" si="590"/>
        <v/>
      </c>
      <c r="DA533" s="2"/>
      <c r="DC533"/>
      <c r="DH533"/>
      <c r="DN533"/>
      <c r="DO533"/>
      <c r="DP533"/>
      <c r="DQ533"/>
      <c r="DR533"/>
      <c r="DS533"/>
      <c r="DY533"/>
      <c r="DZ533"/>
      <c r="EP533" t="str">
        <f t="shared" si="591"/>
        <v/>
      </c>
      <c r="EQ533" t="str">
        <f t="shared" si="597"/>
        <v/>
      </c>
      <c r="ER533" s="2" t="str">
        <f t="shared" si="592"/>
        <v/>
      </c>
      <c r="ES533" t="str">
        <f t="shared" si="593"/>
        <v/>
      </c>
      <c r="ET533" t="str">
        <f t="shared" si="594"/>
        <v/>
      </c>
      <c r="EU533" t="str">
        <f t="shared" si="595"/>
        <v/>
      </c>
      <c r="EY533" t="b">
        <f>IF(ISNUMBER(BW533),IF(ABS(BW533-[1]QC_indicators!$B$2)&gt;3*[1]QC_indicators!$C$2,"C ratio",IF(ISNUMBER(CA533),IF(ABS(CA533-[1]QC_indicators!$B$1)&gt;3*[1]QC_indicators!$C$1,"DF","no"))),IF(ISNUMBER(CA533),IF(ABS(CA533-[1]QC_indicators!$B$1)&gt;3*[1]QC_indicators!$C$1,"DF","no")))</f>
        <v>0</v>
      </c>
      <c r="FA533" t="str">
        <f t="shared" si="596"/>
        <v/>
      </c>
    </row>
    <row r="534" spans="1:160" ht="15" hidden="1" customHeight="1">
      <c r="A534" s="1" t="s">
        <v>4361</v>
      </c>
      <c r="B534" t="s">
        <v>4362</v>
      </c>
      <c r="C534" t="s">
        <v>531</v>
      </c>
      <c r="D534" t="s">
        <v>4363</v>
      </c>
      <c r="E534" t="s">
        <v>4364</v>
      </c>
      <c r="F534" t="s">
        <v>4365</v>
      </c>
      <c r="G534" t="s">
        <v>4366</v>
      </c>
      <c r="H534" t="s">
        <v>254</v>
      </c>
      <c r="I534">
        <v>2015</v>
      </c>
      <c r="J534">
        <v>2</v>
      </c>
      <c r="K534" s="288" t="s">
        <v>4367</v>
      </c>
      <c r="M534" t="str">
        <f t="shared" si="586"/>
        <v>Thorpe_2015</v>
      </c>
      <c r="N534" t="s">
        <v>2266</v>
      </c>
      <c r="O534" s="145" t="s">
        <v>1029</v>
      </c>
      <c r="Q534" s="297" t="s">
        <v>256</v>
      </c>
      <c r="R534" s="298"/>
      <c r="AZ534" s="141"/>
      <c r="BA534" s="141"/>
      <c r="BG534"/>
      <c r="BH534" s="2"/>
      <c r="BO534" s="143"/>
      <c r="BP534" s="143"/>
      <c r="BR534" s="143"/>
      <c r="BS534" s="143"/>
      <c r="BW534" s="144"/>
      <c r="CA534" t="str">
        <f t="shared" si="588"/>
        <v/>
      </c>
      <c r="CP534"/>
      <c r="CQ534"/>
      <c r="CR534"/>
      <c r="CS534"/>
      <c r="CT534">
        <f t="shared" si="589"/>
        <v>0</v>
      </c>
      <c r="CU534"/>
      <c r="CV534"/>
      <c r="CW534"/>
      <c r="CX534" t="str">
        <f t="shared" si="581"/>
        <v/>
      </c>
      <c r="CY534"/>
      <c r="CZ534" t="str">
        <f t="shared" si="590"/>
        <v/>
      </c>
      <c r="DA534" s="2"/>
      <c r="DC534"/>
      <c r="DH534"/>
      <c r="DN534"/>
      <c r="DO534"/>
      <c r="DP534"/>
      <c r="DQ534"/>
      <c r="DR534"/>
      <c r="DS534"/>
      <c r="DY534"/>
      <c r="DZ534" s="143"/>
      <c r="EP534" t="str">
        <f t="shared" si="591"/>
        <v/>
      </c>
      <c r="EQ534" t="str">
        <f t="shared" si="597"/>
        <v/>
      </c>
      <c r="ER534" s="2" t="str">
        <f t="shared" si="592"/>
        <v/>
      </c>
      <c r="ES534" t="str">
        <f t="shared" si="593"/>
        <v/>
      </c>
      <c r="ET534" t="str">
        <f t="shared" si="594"/>
        <v/>
      </c>
      <c r="EU534" t="str">
        <f t="shared" si="595"/>
        <v/>
      </c>
      <c r="EW534" t="s">
        <v>4368</v>
      </c>
      <c r="EX534" t="s">
        <v>4004</v>
      </c>
      <c r="EY534" t="b">
        <f>IF(ISNUMBER(BW534),IF(ABS(BW534-[1]QC_indicators!$B$2)&gt;3*[1]QC_indicators!$C$2,"C ratio",IF(ISNUMBER(CA534),IF(ABS(CA534-[1]QC_indicators!$B$1)&gt;3*[1]QC_indicators!$C$1,"DF","no"))),IF(ISNUMBER(CA534),IF(ABS(CA534-[1]QC_indicators!$B$1)&gt;3*[1]QC_indicators!$C$1,"DF","no")))</f>
        <v>0</v>
      </c>
      <c r="FA534" t="str">
        <f t="shared" si="596"/>
        <v/>
      </c>
    </row>
    <row r="535" spans="1:160" ht="15" hidden="1" customHeight="1">
      <c r="A535" s="1" t="s">
        <v>4369</v>
      </c>
      <c r="B535" t="s">
        <v>4370</v>
      </c>
      <c r="C535" t="s">
        <v>4371</v>
      </c>
      <c r="D535" t="s">
        <v>4372</v>
      </c>
      <c r="E535" t="s">
        <v>4373</v>
      </c>
      <c r="F535" t="s">
        <v>4374</v>
      </c>
      <c r="G535" t="s">
        <v>4375</v>
      </c>
      <c r="H535" t="s">
        <v>254</v>
      </c>
      <c r="I535">
        <v>2022</v>
      </c>
      <c r="J535">
        <v>0</v>
      </c>
      <c r="K535" t="s">
        <v>4376</v>
      </c>
      <c r="M535" t="str">
        <f t="shared" si="586"/>
        <v>Urruth_2022</v>
      </c>
      <c r="N535" t="s">
        <v>2266</v>
      </c>
      <c r="O535" s="145" t="s">
        <v>1029</v>
      </c>
      <c r="Q535" s="297" t="s">
        <v>256</v>
      </c>
      <c r="R535" s="298"/>
      <c r="AZ535" s="141"/>
      <c r="BA535" s="141"/>
      <c r="BG535"/>
      <c r="BH535" s="2"/>
      <c r="BO535" s="143"/>
      <c r="BP535" s="143"/>
      <c r="BR535" s="143"/>
      <c r="BS535" s="143"/>
      <c r="BW535" s="144"/>
      <c r="BX535" s="144"/>
      <c r="BY535" s="144"/>
      <c r="BZ535" s="144"/>
      <c r="CA535" t="str">
        <f t="shared" si="588"/>
        <v/>
      </c>
      <c r="CP535"/>
      <c r="CQ535"/>
      <c r="CR535"/>
      <c r="CS535"/>
      <c r="CT535">
        <f t="shared" si="589"/>
        <v>0</v>
      </c>
      <c r="CU535"/>
      <c r="CV535"/>
      <c r="CW535"/>
      <c r="CX535" t="str">
        <f t="shared" si="581"/>
        <v/>
      </c>
      <c r="CY535"/>
      <c r="CZ535" t="str">
        <f t="shared" si="590"/>
        <v/>
      </c>
      <c r="DA535" s="2"/>
      <c r="DC535"/>
      <c r="DH535"/>
      <c r="DN535"/>
      <c r="DO535"/>
      <c r="DP535"/>
      <c r="DQ535"/>
      <c r="DR535"/>
      <c r="DS535"/>
      <c r="DY535"/>
      <c r="DZ535" s="143"/>
      <c r="EO535"/>
      <c r="EP535" t="str">
        <f t="shared" si="591"/>
        <v/>
      </c>
      <c r="EQ535" t="str">
        <f t="shared" si="597"/>
        <v/>
      </c>
      <c r="ER535" s="2" t="str">
        <f t="shared" si="592"/>
        <v/>
      </c>
      <c r="ES535" t="str">
        <f t="shared" si="593"/>
        <v/>
      </c>
      <c r="ET535" t="str">
        <f t="shared" si="594"/>
        <v/>
      </c>
      <c r="EU535" t="str">
        <f t="shared" si="595"/>
        <v/>
      </c>
      <c r="EW535" t="s">
        <v>4377</v>
      </c>
      <c r="EX535" t="s">
        <v>4004</v>
      </c>
      <c r="EY535" t="b">
        <f>IF(ISNUMBER(BW535),IF(ABS(BW535-[1]QC_indicators!$B$2)&gt;3*[1]QC_indicators!$C$2,"C ratio",IF(ISNUMBER(CA535),IF(ABS(CA535-[1]QC_indicators!$B$1)&gt;3*[1]QC_indicators!$C$1,"DF","no"))),IF(ISNUMBER(CA535),IF(ABS(CA535-[1]QC_indicators!$B$1)&gt;3*[1]QC_indicators!$C$1,"DF","no")))</f>
        <v>0</v>
      </c>
      <c r="FA535" t="str">
        <f t="shared" si="596"/>
        <v/>
      </c>
    </row>
    <row r="536" spans="1:160" ht="15" hidden="1" customHeight="1">
      <c r="A536" s="1" t="s">
        <v>4378</v>
      </c>
      <c r="B536" t="s">
        <v>4379</v>
      </c>
      <c r="C536" t="s">
        <v>4380</v>
      </c>
      <c r="D536" t="s">
        <v>4381</v>
      </c>
      <c r="E536" t="s">
        <v>4382</v>
      </c>
      <c r="F536" t="s">
        <v>4383</v>
      </c>
      <c r="G536" t="s">
        <v>4384</v>
      </c>
      <c r="H536" t="s">
        <v>254</v>
      </c>
      <c r="I536">
        <v>2012</v>
      </c>
      <c r="J536">
        <v>8</v>
      </c>
      <c r="K536" t="s">
        <v>4385</v>
      </c>
      <c r="M536" t="str">
        <f t="shared" si="586"/>
        <v>Wang_2012</v>
      </c>
      <c r="N536" t="s">
        <v>2266</v>
      </c>
      <c r="O536" s="145" t="s">
        <v>1029</v>
      </c>
      <c r="Q536" s="297" t="s">
        <v>256</v>
      </c>
      <c r="R536" s="298"/>
      <c r="AZ536" s="141"/>
      <c r="BA536" s="141"/>
      <c r="BG536"/>
      <c r="BH536" s="2"/>
      <c r="BO536" s="143"/>
      <c r="BP536" s="143"/>
      <c r="BW536" s="144"/>
      <c r="BX536" s="144"/>
      <c r="BY536" s="144"/>
      <c r="BZ536" s="144"/>
      <c r="CA536" t="str">
        <f t="shared" si="588"/>
        <v/>
      </c>
      <c r="CP536"/>
      <c r="CQ536"/>
      <c r="CR536"/>
      <c r="CS536"/>
      <c r="CT536">
        <f t="shared" si="589"/>
        <v>0</v>
      </c>
      <c r="CU536"/>
      <c r="CV536"/>
      <c r="CW536"/>
      <c r="CX536" t="str">
        <f t="shared" si="581"/>
        <v/>
      </c>
      <c r="CY536"/>
      <c r="CZ536" t="str">
        <f t="shared" si="590"/>
        <v/>
      </c>
      <c r="DA536" s="2"/>
      <c r="DC536"/>
      <c r="DH536"/>
      <c r="DN536"/>
      <c r="DO536"/>
      <c r="DP536"/>
      <c r="DQ536"/>
      <c r="DR536"/>
      <c r="DS536"/>
      <c r="DY536"/>
      <c r="DZ536" s="143"/>
      <c r="EO536"/>
      <c r="EP536" t="str">
        <f t="shared" si="591"/>
        <v/>
      </c>
      <c r="EQ536" t="str">
        <f t="shared" si="597"/>
        <v/>
      </c>
      <c r="ER536" s="2" t="str">
        <f t="shared" si="592"/>
        <v/>
      </c>
      <c r="ES536" t="str">
        <f t="shared" si="593"/>
        <v/>
      </c>
      <c r="ET536" t="str">
        <f t="shared" si="594"/>
        <v/>
      </c>
      <c r="EU536" t="str">
        <f t="shared" si="595"/>
        <v/>
      </c>
      <c r="EW536" t="s">
        <v>4386</v>
      </c>
      <c r="EX536" t="s">
        <v>4004</v>
      </c>
      <c r="EY536" t="b">
        <f>IF(ISNUMBER(BW536),IF(ABS(BW536-[1]QC_indicators!$B$2)&gt;3*[1]QC_indicators!$C$2,"C ratio",IF(ISNUMBER(CA536),IF(ABS(CA536-[1]QC_indicators!$B$1)&gt;3*[1]QC_indicators!$C$1,"DF","no"))),IF(ISNUMBER(CA536),IF(ABS(CA536-[1]QC_indicators!$B$1)&gt;3*[1]QC_indicators!$C$1,"DF","no")))</f>
        <v>0</v>
      </c>
      <c r="FA536" t="str">
        <f t="shared" si="596"/>
        <v/>
      </c>
      <c r="FB536" t="s">
        <v>4387</v>
      </c>
      <c r="FD536" s="184"/>
    </row>
    <row r="537" spans="1:160" ht="15" hidden="1" customHeight="1">
      <c r="A537" s="1" t="s">
        <v>412</v>
      </c>
      <c r="B537" t="s">
        <v>4388</v>
      </c>
      <c r="C537" t="s">
        <v>4389</v>
      </c>
      <c r="D537" t="s">
        <v>4390</v>
      </c>
      <c r="E537" t="s">
        <v>4391</v>
      </c>
      <c r="F537" t="s">
        <v>4392</v>
      </c>
      <c r="G537" t="s">
        <v>418</v>
      </c>
      <c r="H537" t="s">
        <v>254</v>
      </c>
      <c r="I537">
        <v>2018</v>
      </c>
      <c r="J537">
        <v>0</v>
      </c>
      <c r="K537" t="s">
        <v>4393</v>
      </c>
      <c r="L537" t="s">
        <v>406</v>
      </c>
      <c r="M537" t="str">
        <f t="shared" si="586"/>
        <v>Zhang_2018b</v>
      </c>
      <c r="N537" t="s">
        <v>2266</v>
      </c>
      <c r="O537" s="145" t="s">
        <v>1029</v>
      </c>
      <c r="Q537" s="297" t="s">
        <v>256</v>
      </c>
      <c r="R537" s="298"/>
      <c r="AZ537" s="141"/>
      <c r="BA537" s="141"/>
      <c r="BG537"/>
      <c r="BH537" s="2"/>
      <c r="BO537" s="143"/>
      <c r="BP537" s="143"/>
      <c r="BW537" s="144"/>
      <c r="BX537" s="144"/>
      <c r="BY537" s="144"/>
      <c r="BZ537" s="144"/>
      <c r="CA537" t="str">
        <f t="shared" si="588"/>
        <v/>
      </c>
      <c r="CP537"/>
      <c r="CQ537"/>
      <c r="CR537"/>
      <c r="CS537"/>
      <c r="CT537">
        <f t="shared" si="589"/>
        <v>0</v>
      </c>
      <c r="CU537"/>
      <c r="CV537"/>
      <c r="CW537"/>
      <c r="CX537" t="str">
        <f t="shared" si="581"/>
        <v/>
      </c>
      <c r="CY537"/>
      <c r="CZ537" t="str">
        <f t="shared" si="590"/>
        <v/>
      </c>
      <c r="DA537" s="2"/>
      <c r="DC537"/>
      <c r="DH537"/>
      <c r="DN537"/>
      <c r="DO537"/>
      <c r="DP537"/>
      <c r="DQ537"/>
      <c r="DR537"/>
      <c r="DS537"/>
      <c r="DY537"/>
      <c r="DZ537" s="143"/>
      <c r="EO537" s="184"/>
      <c r="EP537" t="str">
        <f t="shared" si="591"/>
        <v/>
      </c>
      <c r="EQ537" t="str">
        <f t="shared" si="597"/>
        <v/>
      </c>
      <c r="ER537" s="2" t="str">
        <f t="shared" si="592"/>
        <v/>
      </c>
      <c r="ES537" t="str">
        <f t="shared" si="593"/>
        <v/>
      </c>
      <c r="ET537" t="str">
        <f t="shared" si="594"/>
        <v/>
      </c>
      <c r="EU537" t="str">
        <f t="shared" si="595"/>
        <v/>
      </c>
      <c r="EW537" t="s">
        <v>4394</v>
      </c>
      <c r="EX537" t="s">
        <v>4004</v>
      </c>
      <c r="EY537" t="b">
        <f>IF(ISNUMBER(BW537),IF(ABS(BW537-[1]QC_indicators!$B$2)&gt;3*[1]QC_indicators!$C$2,"C ratio",IF(ISNUMBER(CA537),IF(ABS(CA537-[1]QC_indicators!$B$1)&gt;3*[1]QC_indicators!$C$1,"DF","no"))),IF(ISNUMBER(CA537),IF(ABS(CA537-[1]QC_indicators!$B$1)&gt;3*[1]QC_indicators!$C$1,"DF","no")))</f>
        <v>0</v>
      </c>
      <c r="FA537" t="str">
        <f t="shared" si="596"/>
        <v/>
      </c>
      <c r="FD537" s="184"/>
    </row>
    <row r="538" spans="1:160" ht="15" hidden="1" customHeight="1">
      <c r="A538" s="1" t="s">
        <v>430</v>
      </c>
      <c r="B538" t="s">
        <v>431</v>
      </c>
      <c r="C538" t="s">
        <v>432</v>
      </c>
      <c r="D538" t="s">
        <v>433</v>
      </c>
      <c r="E538" t="s">
        <v>434</v>
      </c>
      <c r="F538" t="s">
        <v>435</v>
      </c>
      <c r="G538" t="s">
        <v>436</v>
      </c>
      <c r="H538" t="s">
        <v>254</v>
      </c>
      <c r="I538">
        <v>2000</v>
      </c>
      <c r="J538">
        <v>174</v>
      </c>
      <c r="K538" t="s">
        <v>437</v>
      </c>
      <c r="M538" t="str">
        <f>LEFT($D538,FIND(",",$D538)-1)&amp;"_"&amp;I538&amp;L538</f>
        <v>Borjesson_2000</v>
      </c>
      <c r="N538" t="s">
        <v>222</v>
      </c>
      <c r="O538" s="145" t="s">
        <v>223</v>
      </c>
      <c r="Q538" t="s">
        <v>256</v>
      </c>
      <c r="R538" s="251" t="s">
        <v>225</v>
      </c>
      <c r="S538" s="1" t="s">
        <v>454</v>
      </c>
      <c r="T538" t="s">
        <v>457</v>
      </c>
      <c r="U538" t="s">
        <v>455</v>
      </c>
      <c r="V538" s="253">
        <v>0</v>
      </c>
      <c r="W538" s="253">
        <v>0</v>
      </c>
      <c r="X538">
        <v>0</v>
      </c>
      <c r="Y538">
        <v>0</v>
      </c>
      <c r="Z538">
        <v>0</v>
      </c>
      <c r="AA538">
        <v>0</v>
      </c>
      <c r="AB538">
        <v>0</v>
      </c>
      <c r="AC538">
        <v>0</v>
      </c>
      <c r="AD538">
        <v>0</v>
      </c>
      <c r="AE538">
        <v>0</v>
      </c>
      <c r="AF538">
        <v>0</v>
      </c>
      <c r="AG538">
        <v>0</v>
      </c>
      <c r="AH538">
        <v>0</v>
      </c>
      <c r="AI538">
        <v>0</v>
      </c>
      <c r="AJ538">
        <v>0</v>
      </c>
      <c r="AK538">
        <v>0</v>
      </c>
      <c r="AL538">
        <v>0</v>
      </c>
      <c r="AM538">
        <v>1</v>
      </c>
      <c r="AN538">
        <v>0</v>
      </c>
      <c r="AO538">
        <v>0</v>
      </c>
      <c r="AP538">
        <v>0</v>
      </c>
      <c r="AQ538">
        <v>0</v>
      </c>
      <c r="AR538">
        <v>0</v>
      </c>
      <c r="AS538">
        <v>0</v>
      </c>
      <c r="AT538">
        <v>0</v>
      </c>
      <c r="AU538">
        <v>0</v>
      </c>
      <c r="AV538">
        <v>0</v>
      </c>
      <c r="AW538">
        <v>0</v>
      </c>
      <c r="AX538">
        <v>0</v>
      </c>
      <c r="AY538">
        <v>0</v>
      </c>
      <c r="AZ538" s="141">
        <f>COUNTIF(X538:AY538,"&lt;&gt;0")</f>
        <v>1</v>
      </c>
      <c r="BA538" s="141">
        <f>COUNTIF(X538:AN538,"&lt;&gt;0")</f>
        <v>1</v>
      </c>
      <c r="BB538">
        <f>COUNTIF(X538:AE538,"&lt;&gt;0")</f>
        <v>0</v>
      </c>
      <c r="BC538">
        <f>COUNTIF(AF538:AK538,"&lt;&gt;0")</f>
        <v>0</v>
      </c>
      <c r="BD538">
        <f>COUNTIF(AL538:AN538,"&lt;&gt;0")</f>
        <v>1</v>
      </c>
      <c r="BE538">
        <f>COUNTIF(AU538:AY538,"&lt;&gt;0")</f>
        <v>0</v>
      </c>
      <c r="BF538">
        <f>COUNTIF(AO538:AT538,"&lt;&gt;0")</f>
        <v>0</v>
      </c>
      <c r="BG538" t="str">
        <f t="array" ref="BG538">IF(BA538=1,INDEX($X$7:$AN$7,MATCH(TRUE,INDEX($X538:$AY538&lt;&gt;0,),0)),IF(BA538=0,INDEX($AO$7:$AY$7,MATCH(1,$AO538:$AY538,0)),IF(BH538="Multiple strategies","mixed drivers",IF(BH538="Supply chain","multiple supply","multiple silviculture"))))</f>
        <v>technologies/design switch</v>
      </c>
      <c r="BH538" s="2" t="str" cm="1">
        <f t="array" ref="BH538">IF(COUNTIF(BB538:BD538,"&lt;&gt;0")=1,INDEX($X$4:$AY$4,MATCH(TRUE,INDEX($X538:$AY538&lt;&gt;0,),0)),IF(COUNTIF(BB538:BD538,"&lt;&gt;0")=0,INDEX($AO$4:$AY$4,MATCH(1,$AO538:$AY538,0)),"Multiple strategies"))</f>
        <v>Technology</v>
      </c>
      <c r="BI538" s="142" t="s">
        <v>229</v>
      </c>
      <c r="BJ538" t="s">
        <v>441</v>
      </c>
      <c r="BK538" s="260" t="s">
        <v>2949</v>
      </c>
      <c r="BL538" t="s">
        <v>442</v>
      </c>
      <c r="BM538">
        <v>0</v>
      </c>
      <c r="BN538">
        <v>44</v>
      </c>
      <c r="BO538" s="143"/>
      <c r="BP538">
        <f>BN538-BM538</f>
        <v>44</v>
      </c>
      <c r="BQ538">
        <f>BP538*tC_to_m3</f>
        <v>191.05514546244029</v>
      </c>
      <c r="BR538" t="s">
        <v>232</v>
      </c>
      <c r="BS538" s="256" t="s">
        <v>793</v>
      </c>
      <c r="BT538" t="s">
        <v>443</v>
      </c>
      <c r="BU538" s="141">
        <v>18</v>
      </c>
      <c r="BV538" s="141">
        <v>64</v>
      </c>
      <c r="BW538" s="144">
        <f>IFERROR(BV538/BU538,"")</f>
        <v>3.5555555555555554</v>
      </c>
      <c r="BX538">
        <f>BV538-BU538</f>
        <v>46</v>
      </c>
      <c r="BZ538">
        <f>BX538*C_to_CO2</f>
        <v>168.82</v>
      </c>
      <c r="CA538">
        <f>IFERROR(BZ538/BQ538,"")</f>
        <v>0.88361922727272724</v>
      </c>
      <c r="CB538" s="143">
        <v>0</v>
      </c>
      <c r="CC538" s="143">
        <v>0</v>
      </c>
      <c r="CD538" s="143">
        <v>0</v>
      </c>
      <c r="CE538" s="143">
        <v>0</v>
      </c>
      <c r="CF538" s="143">
        <v>0</v>
      </c>
      <c r="CG538" s="143">
        <v>0</v>
      </c>
      <c r="CH538" s="143">
        <v>0</v>
      </c>
      <c r="CI538" s="143">
        <v>0</v>
      </c>
      <c r="CJ538" s="143">
        <v>0</v>
      </c>
      <c r="CK538" s="143">
        <v>0</v>
      </c>
      <c r="CL538" s="143">
        <v>0</v>
      </c>
      <c r="CM538" s="143">
        <v>0</v>
      </c>
      <c r="CN538" s="143">
        <v>0</v>
      </c>
      <c r="CO538">
        <v>0</v>
      </c>
      <c r="CP538" t="str">
        <f>IF($BN538&lt;$BM538,"refNeedCorrection","refOK")</f>
        <v>refOK</v>
      </c>
      <c r="CQ538">
        <f>IF($CP538="refOK",$BM538,$BN538)</f>
        <v>0</v>
      </c>
      <c r="CR538">
        <f>IF($CP538="refOK",$BN538,$BM538)</f>
        <v>44</v>
      </c>
      <c r="CS538">
        <f>IF($CP538="refOK",$BQ538,-$BQ538)</f>
        <v>191.05514546244029</v>
      </c>
      <c r="CT538">
        <f>IF(BI538="Roundwood",$CS538/2,$CS538)</f>
        <v>191.05514546244029</v>
      </c>
      <c r="CU538">
        <f>IF($CP538="refOK",$BU538,$BV538)*IF($BR538="Emissions positive",-1,1)</f>
        <v>18</v>
      </c>
      <c r="CV538">
        <f>IF($CP538="refOK",$BV538,$BU538)*IF($BR538="Emissions positive",-1,1)</f>
        <v>64</v>
      </c>
      <c r="CW538">
        <f>IF($CP538="refNeedCorrection",-BZ538,BZ538)*IF($BR538="Emissions positive",-1,1)</f>
        <v>168.82</v>
      </c>
      <c r="CX538">
        <f>IFERROR($CW538/$CS538,"")</f>
        <v>0.88361922727272724</v>
      </c>
      <c r="CY538">
        <f>IFERROR($CW538/$CS538,"")</f>
        <v>0.88361922727272724</v>
      </c>
      <c r="CZ538">
        <f>IFERROR($CW538/$CT538,"")</f>
        <v>0.88361922727272724</v>
      </c>
      <c r="DA538" s="2">
        <f>IFERROR((CV538-CU538)/ABS(CU538),"")</f>
        <v>2.5555555555555554</v>
      </c>
      <c r="DB538" s="1" t="s">
        <v>263</v>
      </c>
      <c r="DC538" t="str">
        <f>IF(OR($DB538="prd",$DB538="std",$DB538="cit"),"loc",IF(OR($DB538="eur",$DB538="reg",$DB538="coy"),"reg",$DB538))</f>
        <v>loc</v>
      </c>
      <c r="DD538" t="s">
        <v>444</v>
      </c>
      <c r="DG538">
        <v>100</v>
      </c>
      <c r="DH538" t="str">
        <f>IF(DG538=0,"0",IF(AND(DG538&gt;=1,DG538&lt;=30),"1-30",IF(AND(DG538&gt;30,DG538&lt;=70),"31-70",IF(AND(DG538&gt;70,DG538&lt;=100),"71-100",IF(DG538&gt;100,"+100")))))</f>
        <v>71-100</v>
      </c>
      <c r="DI538">
        <v>0</v>
      </c>
      <c r="DJ538">
        <v>0</v>
      </c>
      <c r="DK538">
        <v>0</v>
      </c>
      <c r="DL538">
        <v>1</v>
      </c>
      <c r="DN538">
        <f>SUM(DI538:DL538)</f>
        <v>1</v>
      </c>
      <c r="DO538" t="str">
        <f>IF(DN538=1,INDEX($DI$7:$DL$7,MATCH(1,$DI538:$DL538,0)),"mixedProduct")</f>
        <v>TimberInput</v>
      </c>
      <c r="DP538">
        <f>IF(DI538=1,DP$7,0)</f>
        <v>0</v>
      </c>
      <c r="DQ538">
        <f>IF(DJ538=1,DQ$7,0)</f>
        <v>0</v>
      </c>
      <c r="DR538">
        <f>IF(DK538=1,DR$7,0)</f>
        <v>0</v>
      </c>
      <c r="DS538" t="str">
        <f>IF(DL538=1,DS$7,0)</f>
        <v>Timber</v>
      </c>
      <c r="DT538">
        <v>1</v>
      </c>
      <c r="DU538" s="143">
        <v>0</v>
      </c>
      <c r="DV538" s="143">
        <v>0</v>
      </c>
      <c r="DW538" s="143">
        <v>0</v>
      </c>
      <c r="DX538">
        <v>0</v>
      </c>
      <c r="DY538">
        <f>SUM(DT538:DU538)</f>
        <v>1</v>
      </c>
      <c r="DZ538" s="143" t="str">
        <f>IF(DT538=1,"self-calculated DF",IF(DU538=1,"external DF used","explicit C balance"))</f>
        <v>self-calculated DF</v>
      </c>
      <c r="EA538">
        <v>0</v>
      </c>
      <c r="EB538" s="143">
        <v>0</v>
      </c>
      <c r="EC538" s="143">
        <v>1</v>
      </c>
      <c r="ED538" s="143">
        <v>1</v>
      </c>
      <c r="EE538">
        <v>1</v>
      </c>
      <c r="EF538" s="143">
        <v>1</v>
      </c>
      <c r="EG538">
        <v>0</v>
      </c>
      <c r="EH538" s="143">
        <v>1</v>
      </c>
      <c r="EI538" s="143">
        <v>0</v>
      </c>
      <c r="EJ538">
        <v>0</v>
      </c>
      <c r="EK538">
        <v>0</v>
      </c>
      <c r="EL538" s="143">
        <v>0</v>
      </c>
      <c r="EM538" s="143">
        <v>0</v>
      </c>
      <c r="EN538" s="2">
        <v>0</v>
      </c>
      <c r="EO538" s="358"/>
      <c r="EP538" t="str">
        <f>IF(AND(AND(AND(OR($EC538=1,$EB538=1),OR($EH538=1,$EF538=1)),SUM($EA538:$EE538,$EK538)&gt;=3),SUM($EF538:$EJ538)&gt;=2),"Whole sector approach","")</f>
        <v>Whole sector approach</v>
      </c>
      <c r="EQ538" t="str">
        <f>IF(AND(AND(OR($EC538=1,$EB538=1),AND($EH538=0,$EF538=0)),SUM($EA538:$EE538,$EK538)&gt;=4),"Ecosystem approach","")</f>
        <v/>
      </c>
      <c r="ER538" s="2" t="str">
        <f>IF(AND(AND(AND($EC538=0,$EB538=0),OR($EH538=1,$EF538=1)),SUM($EG538:$EJ538)&gt;=2),"Technology approach","")</f>
        <v/>
      </c>
      <c r="ES538" t="str">
        <f>IF(AND($EC538+$EB538+$EE538+$EA538+$ED538+$EG538=0,$N538="included"),"C neutral forest and HWP assumption","")</f>
        <v/>
      </c>
      <c r="ET538" t="str">
        <f>IF(AND(AND(AND(AND($EC538=1,$EB538+$EA538+$EG538&gt;=1),$EF538=1),$EH538+$EI538+$ED538+$EE538&gt;=2),$N538="included"),"All C pools assumption","")</f>
        <v/>
      </c>
      <c r="EU538" t="str">
        <f>IF(AND($ED538+$EE538+$EI538+$EH538+$EF538=0,$N538="included"),"In-situ only assumption","")</f>
        <v/>
      </c>
      <c r="EY538" t="str">
        <f>IF(ISNUMBER(BW538),IF(ABS(BW538-[6]QC_indicators!$B$2)&gt;3*[6]QC_indicators!$C$2,"C ratio",IF(ISNUMBER(CA538),IF(ABS(CA538-[6]QC_indicators!$B$1)&gt;3*[6]QC_indicators!$C$1,"DF","no"))),IF(ISNUMBER(CA538),IF(ABS(CA538-[6]QC_indicators!$B$1)&gt;3*[6]QC_indicators!$C$1,"DF","no")))</f>
        <v>no</v>
      </c>
      <c r="FA538" t="str">
        <f>IF(LEN($CY538)=0,"",IF(AND($CY538&lt;(-0.05),$ES538="C neutral forest and HWP assumption"),"Cneutral paradox",IF(AND($CY538&gt;0.05,$EU538="In-situ only assumption"),"In-situ only paradox","")))</f>
        <v/>
      </c>
      <c r="FD538" s="260" t="s">
        <v>2948</v>
      </c>
    </row>
    <row r="539" spans="1:160" ht="15" hidden="1" customHeight="1">
      <c r="A539" s="1" t="s">
        <v>430</v>
      </c>
      <c r="B539" t="s">
        <v>431</v>
      </c>
      <c r="C539" t="s">
        <v>432</v>
      </c>
      <c r="D539" t="s">
        <v>433</v>
      </c>
      <c r="E539" t="s">
        <v>434</v>
      </c>
      <c r="F539" t="s">
        <v>435</v>
      </c>
      <c r="G539" t="s">
        <v>436</v>
      </c>
      <c r="H539" t="s">
        <v>254</v>
      </c>
      <c r="I539">
        <v>2000</v>
      </c>
      <c r="J539">
        <v>174</v>
      </c>
      <c r="K539" t="s">
        <v>437</v>
      </c>
      <c r="M539" t="str">
        <f>LEFT($D539,FIND(",",$D539)-1)&amp;"_"&amp;I539&amp;L539</f>
        <v>Borjesson_2000</v>
      </c>
      <c r="N539" t="s">
        <v>222</v>
      </c>
      <c r="O539" s="145" t="s">
        <v>223</v>
      </c>
      <c r="Q539" t="s">
        <v>256</v>
      </c>
      <c r="R539" s="251" t="s">
        <v>225</v>
      </c>
      <c r="S539" s="1" t="s">
        <v>454</v>
      </c>
      <c r="T539" t="s">
        <v>451</v>
      </c>
      <c r="U539" t="s">
        <v>455</v>
      </c>
      <c r="V539" s="253">
        <v>0</v>
      </c>
      <c r="W539" s="253">
        <v>0</v>
      </c>
      <c r="X539">
        <v>0</v>
      </c>
      <c r="Y539">
        <v>0</v>
      </c>
      <c r="Z539">
        <v>0</v>
      </c>
      <c r="AA539">
        <v>0</v>
      </c>
      <c r="AB539">
        <v>0</v>
      </c>
      <c r="AC539">
        <v>0</v>
      </c>
      <c r="AD539">
        <v>0</v>
      </c>
      <c r="AE539">
        <v>0</v>
      </c>
      <c r="AF539">
        <v>0</v>
      </c>
      <c r="AG539">
        <v>0</v>
      </c>
      <c r="AH539">
        <v>0</v>
      </c>
      <c r="AI539">
        <v>0</v>
      </c>
      <c r="AJ539">
        <v>0</v>
      </c>
      <c r="AK539">
        <v>0</v>
      </c>
      <c r="AL539">
        <v>0</v>
      </c>
      <c r="AM539">
        <v>1</v>
      </c>
      <c r="AN539">
        <v>0</v>
      </c>
      <c r="AO539">
        <v>0</v>
      </c>
      <c r="AP539">
        <v>0</v>
      </c>
      <c r="AQ539">
        <v>0</v>
      </c>
      <c r="AR539">
        <v>0</v>
      </c>
      <c r="AS539">
        <v>0</v>
      </c>
      <c r="AT539">
        <v>0</v>
      </c>
      <c r="AU539">
        <v>0</v>
      </c>
      <c r="AV539">
        <v>0</v>
      </c>
      <c r="AW539">
        <v>0</v>
      </c>
      <c r="AX539">
        <v>0</v>
      </c>
      <c r="AY539">
        <v>0</v>
      </c>
      <c r="AZ539" s="141">
        <f>COUNTIF(X539:AY539,"&lt;&gt;0")</f>
        <v>1</v>
      </c>
      <c r="BA539" s="141">
        <f>COUNTIF(X539:AN539,"&lt;&gt;0")</f>
        <v>1</v>
      </c>
      <c r="BB539">
        <f>COUNTIF(X539:AE539,"&lt;&gt;0")</f>
        <v>0</v>
      </c>
      <c r="BC539">
        <f>COUNTIF(AF539:AK539,"&lt;&gt;0")</f>
        <v>0</v>
      </c>
      <c r="BD539">
        <f>COUNTIF(AL539:AN539,"&lt;&gt;0")</f>
        <v>1</v>
      </c>
      <c r="BE539">
        <f>COUNTIF(AU539:AY539,"&lt;&gt;0")</f>
        <v>0</v>
      </c>
      <c r="BF539">
        <f>COUNTIF(AO539:AT539,"&lt;&gt;0")</f>
        <v>0</v>
      </c>
      <c r="BG539" t="str">
        <f t="array" ref="BG539">IF(BA539=1,INDEX($X$7:$AN$7,MATCH(TRUE,INDEX($X539:$AY539&lt;&gt;0,),0)),IF(BA539=0,INDEX($AO$7:$AY$7,MATCH(1,$AO539:$AY539,0)),IF(BH539="Multiple strategies","mixed drivers",IF(BH539="Supply chain","multiple supply","multiple silviculture"))))</f>
        <v>technologies/design switch</v>
      </c>
      <c r="BH539" s="2" t="str" cm="1">
        <f t="array" ref="BH539">IF(COUNTIF(BB539:BD539,"&lt;&gt;0")=1,INDEX($X$4:$AY$4,MATCH(TRUE,INDEX($X539:$AY539&lt;&gt;0,),0)),IF(COUNTIF(BB539:BD539,"&lt;&gt;0")=0,INDEX($AO$4:$AY$4,MATCH(1,$AO539:$AY539,0)),"Multiple strategies"))</f>
        <v>Technology</v>
      </c>
      <c r="BI539" s="142" t="s">
        <v>229</v>
      </c>
      <c r="BJ539" t="s">
        <v>441</v>
      </c>
      <c r="BK539" s="260" t="s">
        <v>2949</v>
      </c>
      <c r="BL539" t="s">
        <v>442</v>
      </c>
      <c r="BM539">
        <v>0</v>
      </c>
      <c r="BN539">
        <v>44</v>
      </c>
      <c r="BO539" s="143"/>
      <c r="BP539">
        <f>BN539-BM539</f>
        <v>44</v>
      </c>
      <c r="BQ539">
        <f>BP539*tC_to_m3</f>
        <v>191.05514546244029</v>
      </c>
      <c r="BR539" t="s">
        <v>232</v>
      </c>
      <c r="BS539" s="256" t="s">
        <v>793</v>
      </c>
      <c r="BT539" t="s">
        <v>443</v>
      </c>
      <c r="BU539" s="141">
        <v>25</v>
      </c>
      <c r="BV539" s="141">
        <v>64</v>
      </c>
      <c r="BW539" s="144">
        <f>IFERROR(BV539/BU539,"")</f>
        <v>2.56</v>
      </c>
      <c r="BX539">
        <f>BV539-BU539</f>
        <v>39</v>
      </c>
      <c r="BZ539">
        <f>BX539*C_to_CO2</f>
        <v>143.13</v>
      </c>
      <c r="CA539">
        <f>IFERROR(BZ539/BQ539,"")</f>
        <v>0.74915543181818178</v>
      </c>
      <c r="CB539" s="143">
        <v>0</v>
      </c>
      <c r="CC539" s="143">
        <v>0</v>
      </c>
      <c r="CD539" s="143">
        <v>0</v>
      </c>
      <c r="CE539" s="143">
        <v>0</v>
      </c>
      <c r="CF539" s="143">
        <v>0</v>
      </c>
      <c r="CG539" s="143">
        <v>0</v>
      </c>
      <c r="CH539" s="143">
        <v>0</v>
      </c>
      <c r="CI539" s="143">
        <v>0</v>
      </c>
      <c r="CJ539" s="143">
        <v>0</v>
      </c>
      <c r="CK539" s="143">
        <v>0</v>
      </c>
      <c r="CL539" s="143">
        <v>0</v>
      </c>
      <c r="CM539" s="143">
        <v>0</v>
      </c>
      <c r="CN539" s="143">
        <v>0</v>
      </c>
      <c r="CO539">
        <v>0</v>
      </c>
      <c r="CP539" t="str">
        <f>IF($BN539&lt;$BM539,"refNeedCorrection","refOK")</f>
        <v>refOK</v>
      </c>
      <c r="CQ539">
        <f>IF($CP539="refOK",$BM539,$BN539)</f>
        <v>0</v>
      </c>
      <c r="CR539">
        <f>IF($CP539="refOK",$BN539,$BM539)</f>
        <v>44</v>
      </c>
      <c r="CS539">
        <f>IF($CP539="refOK",$BQ539,-$BQ539)</f>
        <v>191.05514546244029</v>
      </c>
      <c r="CT539">
        <f>IF(BI539="Roundwood",$CS539/2,$CS539)</f>
        <v>191.05514546244029</v>
      </c>
      <c r="CU539">
        <f>IF($CP539="refOK",$BU539,$BV539)*IF($BR539="Emissions positive",-1,1)</f>
        <v>25</v>
      </c>
      <c r="CV539">
        <f>IF($CP539="refOK",$BV539,$BU539)*IF($BR539="Emissions positive",-1,1)</f>
        <v>64</v>
      </c>
      <c r="CW539">
        <f>IF($CP539="refNeedCorrection",-BZ539,BZ539)*IF($BR539="Emissions positive",-1,1)</f>
        <v>143.13</v>
      </c>
      <c r="CX539">
        <f>IFERROR($CW539/$CS539,"")</f>
        <v>0.74915543181818178</v>
      </c>
      <c r="CY539">
        <f>IFERROR($CW539/$CS539,"")</f>
        <v>0.74915543181818178</v>
      </c>
      <c r="CZ539">
        <f>IFERROR($CW539/$CT539,"")</f>
        <v>0.74915543181818178</v>
      </c>
      <c r="DA539" s="2">
        <f>IFERROR((CV539-CU539)/ABS(CU539),"")</f>
        <v>1.56</v>
      </c>
      <c r="DB539" s="1" t="s">
        <v>263</v>
      </c>
      <c r="DC539" t="str">
        <f>IF(OR($DB539="prd",$DB539="std",$DB539="cit"),"loc",IF(OR($DB539="eur",$DB539="reg",$DB539="coy"),"reg",$DB539))</f>
        <v>loc</v>
      </c>
      <c r="DD539" t="s">
        <v>444</v>
      </c>
      <c r="DG539">
        <v>100</v>
      </c>
      <c r="DH539" t="str">
        <f>IF(DG539=0,"0",IF(AND(DG539&gt;=1,DG539&lt;=30),"1-30",IF(AND(DG539&gt;30,DG539&lt;=70),"31-70",IF(AND(DG539&gt;70,DG539&lt;=100),"71-100",IF(DG539&gt;100,"+100")))))</f>
        <v>71-100</v>
      </c>
      <c r="DI539">
        <v>0</v>
      </c>
      <c r="DJ539">
        <v>0</v>
      </c>
      <c r="DK539">
        <v>0</v>
      </c>
      <c r="DL539">
        <v>1</v>
      </c>
      <c r="DN539">
        <f>SUM(DI539:DL539)</f>
        <v>1</v>
      </c>
      <c r="DO539" t="str">
        <f>IF(DN539=1,INDEX($DI$7:$DL$7,MATCH(1,$DI539:$DL539,0)),"mixedProduct")</f>
        <v>TimberInput</v>
      </c>
      <c r="DP539">
        <f>IF(DI539=1,DP$7,0)</f>
        <v>0</v>
      </c>
      <c r="DQ539">
        <f>IF(DJ539=1,DQ$7,0)</f>
        <v>0</v>
      </c>
      <c r="DR539">
        <f>IF(DK539=1,DR$7,0)</f>
        <v>0</v>
      </c>
      <c r="DS539" t="str">
        <f>IF(DL539=1,DS$7,0)</f>
        <v>Timber</v>
      </c>
      <c r="DT539">
        <v>1</v>
      </c>
      <c r="DU539" s="143">
        <v>0</v>
      </c>
      <c r="DV539" s="143">
        <v>0</v>
      </c>
      <c r="DW539" s="143">
        <v>0</v>
      </c>
      <c r="DX539">
        <v>0</v>
      </c>
      <c r="DY539">
        <f>SUM(DT539:DU539)</f>
        <v>1</v>
      </c>
      <c r="DZ539" s="143" t="str">
        <f>IF(DT539=1,"self-calculated DF",IF(DU539=1,"external DF used","explicit C balance"))</f>
        <v>self-calculated DF</v>
      </c>
      <c r="EA539">
        <v>0</v>
      </c>
      <c r="EB539" s="143">
        <v>0</v>
      </c>
      <c r="EC539" s="143">
        <v>1</v>
      </c>
      <c r="ED539" s="143">
        <v>1</v>
      </c>
      <c r="EE539">
        <v>1</v>
      </c>
      <c r="EF539" s="143">
        <v>1</v>
      </c>
      <c r="EG539">
        <v>0</v>
      </c>
      <c r="EH539" s="143">
        <v>1</v>
      </c>
      <c r="EI539" s="143">
        <v>0</v>
      </c>
      <c r="EJ539">
        <v>0</v>
      </c>
      <c r="EK539">
        <v>0</v>
      </c>
      <c r="EL539" s="143">
        <v>0</v>
      </c>
      <c r="EM539" s="143">
        <v>0</v>
      </c>
      <c r="EN539" s="2">
        <v>0</v>
      </c>
      <c r="EO539" s="358"/>
      <c r="EP539" t="str">
        <f>IF(AND(AND(AND(OR($EC539=1,$EB539=1),OR($EH539=1,$EF539=1)),SUM($EA539:$EE539,$EK539)&gt;=3),SUM($EF539:$EJ539)&gt;=2),"Whole sector approach","")</f>
        <v>Whole sector approach</v>
      </c>
      <c r="EQ539" t="str">
        <f>IF(AND(AND(OR($EC539=1,$EB539=1),AND($EH539=0,$EF539=0)),SUM($EA539:$EE539,$EK539)&gt;=4),"Ecosystem approach","")</f>
        <v/>
      </c>
      <c r="ER539" s="2" t="str">
        <f>IF(AND(AND(AND($EC539=0,$EB539=0),OR($EH539=1,$EF539=1)),SUM($EG539:$EJ539)&gt;=2),"Technology approach","")</f>
        <v/>
      </c>
      <c r="ES539" t="str">
        <f>IF(AND($EC539+$EB539+$EE539+$EA539+$ED539+$EG539=0,$N539="included"),"C neutral forest and HWP assumption","")</f>
        <v/>
      </c>
      <c r="ET539" t="str">
        <f>IF(AND(AND(AND(AND($EC539=1,$EB539+$EA539+$EG539&gt;=1),$EF539=1),$EH539+$EI539+$ED539+$EE539&gt;=2),$N539="included"),"All C pools assumption","")</f>
        <v/>
      </c>
      <c r="EU539" t="str">
        <f>IF(AND($ED539+$EE539+$EI539+$EH539+$EF539=0,$N539="included"),"In-situ only assumption","")</f>
        <v/>
      </c>
      <c r="EY539" t="str">
        <f>IF(ISNUMBER(BW539),IF(ABS(BW539-[6]QC_indicators!$B$2)&gt;3*[6]QC_indicators!$C$2,"C ratio",IF(ISNUMBER(CA539),IF(ABS(CA539-[6]QC_indicators!$B$1)&gt;3*[6]QC_indicators!$C$1,"DF","no"))),IF(ISNUMBER(CA539),IF(ABS(CA539-[6]QC_indicators!$B$1)&gt;3*[6]QC_indicators!$C$1,"DF","no")))</f>
        <v>no</v>
      </c>
      <c r="FA539" t="str">
        <f>IF(LEN($CY539)=0,"",IF(AND($CY539&lt;(-0.05),$ES539="C neutral forest and HWP assumption"),"Cneutral paradox",IF(AND($CY539&gt;0.05,$EU539="In-situ only assumption"),"In-situ only paradox","")))</f>
        <v/>
      </c>
      <c r="FD539" s="260" t="s">
        <v>2948</v>
      </c>
    </row>
    <row r="540" spans="1:160" ht="15" hidden="1" customHeight="1">
      <c r="A540" s="1" t="s">
        <v>430</v>
      </c>
      <c r="B540" t="s">
        <v>431</v>
      </c>
      <c r="C540" t="s">
        <v>432</v>
      </c>
      <c r="D540" t="s">
        <v>433</v>
      </c>
      <c r="E540" t="s">
        <v>434</v>
      </c>
      <c r="F540" t="s">
        <v>435</v>
      </c>
      <c r="G540" t="s">
        <v>436</v>
      </c>
      <c r="H540" t="s">
        <v>254</v>
      </c>
      <c r="I540">
        <v>2000</v>
      </c>
      <c r="J540">
        <v>174</v>
      </c>
      <c r="K540" t="s">
        <v>437</v>
      </c>
      <c r="M540" t="str">
        <f>LEFT($D540,FIND(",",$D540)-1)&amp;"_"&amp;I540&amp;L540</f>
        <v>Borjesson_2000</v>
      </c>
      <c r="N540" t="s">
        <v>222</v>
      </c>
      <c r="O540" s="145" t="s">
        <v>223</v>
      </c>
      <c r="Q540" t="s">
        <v>256</v>
      </c>
      <c r="R540" s="251" t="s">
        <v>225</v>
      </c>
      <c r="S540" s="1" t="s">
        <v>454</v>
      </c>
      <c r="T540" t="s">
        <v>449</v>
      </c>
      <c r="U540" t="s">
        <v>455</v>
      </c>
      <c r="V540" s="253">
        <v>0</v>
      </c>
      <c r="W540" s="253">
        <v>0</v>
      </c>
      <c r="X540">
        <v>0</v>
      </c>
      <c r="Y540">
        <v>0</v>
      </c>
      <c r="Z540">
        <v>0</v>
      </c>
      <c r="AA540">
        <v>0</v>
      </c>
      <c r="AB540">
        <v>0</v>
      </c>
      <c r="AC540">
        <v>0</v>
      </c>
      <c r="AD540">
        <v>0</v>
      </c>
      <c r="AE540">
        <v>0</v>
      </c>
      <c r="AF540">
        <v>0</v>
      </c>
      <c r="AG540">
        <v>0</v>
      </c>
      <c r="AH540">
        <v>0</v>
      </c>
      <c r="AI540">
        <v>0</v>
      </c>
      <c r="AJ540">
        <v>0</v>
      </c>
      <c r="AK540">
        <v>0</v>
      </c>
      <c r="AL540">
        <v>0</v>
      </c>
      <c r="AM540">
        <v>1</v>
      </c>
      <c r="AN540">
        <v>0</v>
      </c>
      <c r="AO540">
        <v>0</v>
      </c>
      <c r="AP540">
        <v>0</v>
      </c>
      <c r="AQ540">
        <v>0</v>
      </c>
      <c r="AR540">
        <v>0</v>
      </c>
      <c r="AS540">
        <v>0</v>
      </c>
      <c r="AT540">
        <v>0</v>
      </c>
      <c r="AU540">
        <v>0</v>
      </c>
      <c r="AV540">
        <v>0</v>
      </c>
      <c r="AW540">
        <v>0</v>
      </c>
      <c r="AX540">
        <v>0</v>
      </c>
      <c r="AY540">
        <v>0</v>
      </c>
      <c r="AZ540" s="141">
        <f>COUNTIF(X540:AY540,"&lt;&gt;0")</f>
        <v>1</v>
      </c>
      <c r="BA540" s="141">
        <f>COUNTIF(X540:AN540,"&lt;&gt;0")</f>
        <v>1</v>
      </c>
      <c r="BB540">
        <f>COUNTIF(X540:AE540,"&lt;&gt;0")</f>
        <v>0</v>
      </c>
      <c r="BC540">
        <f>COUNTIF(AF540:AK540,"&lt;&gt;0")</f>
        <v>0</v>
      </c>
      <c r="BD540">
        <f>COUNTIF(AL540:AN540,"&lt;&gt;0")</f>
        <v>1</v>
      </c>
      <c r="BE540">
        <f>COUNTIF(AU540:AY540,"&lt;&gt;0")</f>
        <v>0</v>
      </c>
      <c r="BF540">
        <f>COUNTIF(AO540:AT540,"&lt;&gt;0")</f>
        <v>0</v>
      </c>
      <c r="BG540" t="str">
        <f t="array" ref="BG540">IF(BA540=1,INDEX($X$7:$AN$7,MATCH(TRUE,INDEX($X540:$AY540&lt;&gt;0,),0)),IF(BA540=0,INDEX($AO$7:$AY$7,MATCH(1,$AO540:$AY540,0)),IF(BH540="Multiple strategies","mixed drivers",IF(BH540="Supply chain","multiple supply","multiple silviculture"))))</f>
        <v>technologies/design switch</v>
      </c>
      <c r="BH540" s="2" t="str" cm="1">
        <f t="array" ref="BH540">IF(COUNTIF(BB540:BD540,"&lt;&gt;0")=1,INDEX($X$4:$AY$4,MATCH(TRUE,INDEX($X540:$AY540&lt;&gt;0,),0)),IF(COUNTIF(BB540:BD540,"&lt;&gt;0")=0,INDEX($AO$4:$AY$4,MATCH(1,$AO540:$AY540,0)),"Multiple strategies"))</f>
        <v>Technology</v>
      </c>
      <c r="BI540" s="142" t="s">
        <v>229</v>
      </c>
      <c r="BJ540" t="s">
        <v>441</v>
      </c>
      <c r="BK540" s="260" t="s">
        <v>2949</v>
      </c>
      <c r="BL540" t="s">
        <v>442</v>
      </c>
      <c r="BM540">
        <v>0</v>
      </c>
      <c r="BN540">
        <v>44</v>
      </c>
      <c r="BO540" s="143"/>
      <c r="BP540">
        <f>BN540-BM540</f>
        <v>44</v>
      </c>
      <c r="BQ540">
        <f>BP540*tC_to_m3</f>
        <v>191.05514546244029</v>
      </c>
      <c r="BR540" t="s">
        <v>232</v>
      </c>
      <c r="BS540" s="256" t="s">
        <v>793</v>
      </c>
      <c r="BT540" t="s">
        <v>443</v>
      </c>
      <c r="BU540" s="141">
        <v>33</v>
      </c>
      <c r="BV540" s="141">
        <v>64</v>
      </c>
      <c r="BW540" s="144">
        <f>IFERROR(BV540/BU540,"")</f>
        <v>1.9393939393939394</v>
      </c>
      <c r="BX540">
        <f>BV540-BU540</f>
        <v>31</v>
      </c>
      <c r="BZ540">
        <f>BX540*C_to_CO2</f>
        <v>113.77</v>
      </c>
      <c r="CA540">
        <f>IFERROR(BZ540/BQ540,"")</f>
        <v>0.59548252272727276</v>
      </c>
      <c r="CB540" s="143">
        <v>0</v>
      </c>
      <c r="CC540" s="143">
        <v>0</v>
      </c>
      <c r="CD540" s="143">
        <v>0</v>
      </c>
      <c r="CE540" s="143">
        <v>0</v>
      </c>
      <c r="CF540" s="143">
        <v>0</v>
      </c>
      <c r="CG540" s="143">
        <v>0</v>
      </c>
      <c r="CH540" s="143">
        <v>0</v>
      </c>
      <c r="CI540" s="143">
        <v>0</v>
      </c>
      <c r="CJ540" s="143">
        <v>0</v>
      </c>
      <c r="CK540" s="143">
        <v>0</v>
      </c>
      <c r="CL540" s="143">
        <v>0</v>
      </c>
      <c r="CM540" s="143">
        <v>0</v>
      </c>
      <c r="CN540" s="143">
        <v>0</v>
      </c>
      <c r="CO540">
        <v>0</v>
      </c>
      <c r="CP540" t="str">
        <f>IF($BN540&lt;$BM540,"refNeedCorrection","refOK")</f>
        <v>refOK</v>
      </c>
      <c r="CQ540">
        <f>IF($CP540="refOK",$BM540,$BN540)</f>
        <v>0</v>
      </c>
      <c r="CR540">
        <f>IF($CP540="refOK",$BN540,$BM540)</f>
        <v>44</v>
      </c>
      <c r="CS540">
        <f>IF($CP540="refOK",$BQ540,-$BQ540)</f>
        <v>191.05514546244029</v>
      </c>
      <c r="CT540">
        <f>IF(BI540="Roundwood",$CS540/2,$CS540)</f>
        <v>191.05514546244029</v>
      </c>
      <c r="CU540">
        <f>IF($CP540="refOK",$BU540,$BV540)*IF($BR540="Emissions positive",-1,1)</f>
        <v>33</v>
      </c>
      <c r="CV540">
        <f>IF($CP540="refOK",$BV540,$BU540)*IF($BR540="Emissions positive",-1,1)</f>
        <v>64</v>
      </c>
      <c r="CW540">
        <f>IF($CP540="refNeedCorrection",-BZ540,BZ540)*IF($BR540="Emissions positive",-1,1)</f>
        <v>113.77</v>
      </c>
      <c r="CX540">
        <f>IFERROR($CW540/$CS540,"")</f>
        <v>0.59548252272727276</v>
      </c>
      <c r="CY540">
        <f>IFERROR($CW540/$CS540,"")</f>
        <v>0.59548252272727276</v>
      </c>
      <c r="CZ540">
        <f>IFERROR($CW540/$CT540,"")</f>
        <v>0.59548252272727276</v>
      </c>
      <c r="DA540" s="2">
        <f>IFERROR((CV540-CU540)/ABS(CU540),"")</f>
        <v>0.93939393939393945</v>
      </c>
      <c r="DB540" s="1" t="s">
        <v>263</v>
      </c>
      <c r="DC540" t="str">
        <f>IF(OR($DB540="prd",$DB540="std",$DB540="cit"),"loc",IF(OR($DB540="eur",$DB540="reg",$DB540="coy"),"reg",$DB540))</f>
        <v>loc</v>
      </c>
      <c r="DD540" t="s">
        <v>444</v>
      </c>
      <c r="DG540">
        <v>100</v>
      </c>
      <c r="DH540" t="str">
        <f>IF(DG540=0,"0",IF(AND(DG540&gt;=1,DG540&lt;=30),"1-30",IF(AND(DG540&gt;30,DG540&lt;=70),"31-70",IF(AND(DG540&gt;70,DG540&lt;=100),"71-100",IF(DG540&gt;100,"+100")))))</f>
        <v>71-100</v>
      </c>
      <c r="DI540">
        <v>0</v>
      </c>
      <c r="DJ540">
        <v>0</v>
      </c>
      <c r="DK540">
        <v>0</v>
      </c>
      <c r="DL540">
        <v>1</v>
      </c>
      <c r="DN540">
        <f>SUM(DI540:DL540)</f>
        <v>1</v>
      </c>
      <c r="DO540" t="str">
        <f>IF(DN540=1,INDEX($DI$7:$DL$7,MATCH(1,$DI540:$DL540,0)),"mixedProduct")</f>
        <v>TimberInput</v>
      </c>
      <c r="DP540">
        <f>IF(DI540=1,DP$7,0)</f>
        <v>0</v>
      </c>
      <c r="DQ540">
        <f>IF(DJ540=1,DQ$7,0)</f>
        <v>0</v>
      </c>
      <c r="DR540">
        <f>IF(DK540=1,DR$7,0)</f>
        <v>0</v>
      </c>
      <c r="DS540" t="str">
        <f>IF(DL540=1,DS$7,0)</f>
        <v>Timber</v>
      </c>
      <c r="DT540">
        <v>1</v>
      </c>
      <c r="DU540" s="143">
        <v>0</v>
      </c>
      <c r="DV540" s="143">
        <v>0</v>
      </c>
      <c r="DW540" s="143">
        <v>0</v>
      </c>
      <c r="DX540">
        <v>0</v>
      </c>
      <c r="DY540">
        <f>SUM(DT540:DU540)</f>
        <v>1</v>
      </c>
      <c r="DZ540" s="143" t="str">
        <f>IF(DT540=1,"self-calculated DF",IF(DU540=1,"external DF used","explicit C balance"))</f>
        <v>self-calculated DF</v>
      </c>
      <c r="EA540">
        <v>0</v>
      </c>
      <c r="EB540" s="143">
        <v>0</v>
      </c>
      <c r="EC540" s="143">
        <v>1</v>
      </c>
      <c r="ED540" s="143">
        <v>1</v>
      </c>
      <c r="EE540">
        <v>1</v>
      </c>
      <c r="EF540" s="143">
        <v>1</v>
      </c>
      <c r="EG540">
        <v>0</v>
      </c>
      <c r="EH540" s="143">
        <v>1</v>
      </c>
      <c r="EI540" s="143">
        <v>0</v>
      </c>
      <c r="EJ540">
        <v>0</v>
      </c>
      <c r="EK540">
        <v>0</v>
      </c>
      <c r="EL540" s="143">
        <v>0</v>
      </c>
      <c r="EM540" s="143">
        <v>0</v>
      </c>
      <c r="EN540" s="2">
        <v>0</v>
      </c>
      <c r="EO540" s="358"/>
      <c r="EP540" t="str">
        <f>IF(AND(AND(AND(OR($EC540=1,$EB540=1),OR($EH540=1,$EF540=1)),SUM($EA540:$EE540,$EK540)&gt;=3),SUM($EF540:$EJ540)&gt;=2),"Whole sector approach","")</f>
        <v>Whole sector approach</v>
      </c>
      <c r="EQ540" t="str">
        <f>IF(AND(AND(OR($EC540=1,$EB540=1),AND($EH540=0,$EF540=0)),SUM($EA540:$EE540,$EK540)&gt;=4),"Ecosystem approach","")</f>
        <v/>
      </c>
      <c r="ER540" s="2" t="str">
        <f>IF(AND(AND(AND($EC540=0,$EB540=0),OR($EH540=1,$EF540=1)),SUM($EG540:$EJ540)&gt;=2),"Technology approach","")</f>
        <v/>
      </c>
      <c r="ES540" t="str">
        <f>IF(AND($EC540+$EB540+$EE540+$EA540+$ED540+$EG540=0,$N540="included"),"C neutral forest and HWP assumption","")</f>
        <v/>
      </c>
      <c r="ET540" t="str">
        <f>IF(AND(AND(AND(AND($EC540=1,$EB540+$EA540+$EG540&gt;=1),$EF540=1),$EH540+$EI540+$ED540+$EE540&gt;=2),$N540="included"),"All C pools assumption","")</f>
        <v/>
      </c>
      <c r="EU540" t="str">
        <f>IF(AND($ED540+$EE540+$EI540+$EH540+$EF540=0,$N540="included"),"In-situ only assumption","")</f>
        <v/>
      </c>
      <c r="EY540" t="str">
        <f>IF(ISNUMBER(BW540),IF(ABS(BW540-[6]QC_indicators!$B$2)&gt;3*[6]QC_indicators!$C$2,"C ratio",IF(ISNUMBER(CA540),IF(ABS(CA540-[6]QC_indicators!$B$1)&gt;3*[6]QC_indicators!$C$1,"DF","no"))),IF(ISNUMBER(CA540),IF(ABS(CA540-[6]QC_indicators!$B$1)&gt;3*[6]QC_indicators!$C$1,"DF","no")))</f>
        <v>no</v>
      </c>
      <c r="FA540" t="str">
        <f>IF(LEN($CY540)=0,"",IF(AND($CY540&lt;(-0.05),$ES540="C neutral forest and HWP assumption"),"Cneutral paradox",IF(AND($CY540&gt;0.05,$EU540="In-situ only assumption"),"In-situ only paradox","")))</f>
        <v/>
      </c>
      <c r="FD540" s="260" t="s">
        <v>2948</v>
      </c>
    </row>
    <row r="541" spans="1:160" ht="15" hidden="1" customHeight="1">
      <c r="A541" s="1" t="s">
        <v>430</v>
      </c>
      <c r="B541" t="s">
        <v>431</v>
      </c>
      <c r="C541" t="s">
        <v>432</v>
      </c>
      <c r="D541" t="s">
        <v>433</v>
      </c>
      <c r="E541" t="s">
        <v>434</v>
      </c>
      <c r="F541" t="s">
        <v>435</v>
      </c>
      <c r="G541" t="s">
        <v>436</v>
      </c>
      <c r="H541" t="s">
        <v>254</v>
      </c>
      <c r="I541">
        <v>2000</v>
      </c>
      <c r="J541">
        <v>174</v>
      </c>
      <c r="K541" t="s">
        <v>437</v>
      </c>
      <c r="M541" t="str">
        <f>LEFT($D541,FIND(",",$D541)-1)&amp;"_"&amp;I541&amp;L541</f>
        <v>Borjesson_2000</v>
      </c>
      <c r="N541" t="s">
        <v>222</v>
      </c>
      <c r="O541" s="145" t="s">
        <v>223</v>
      </c>
      <c r="Q541" t="s">
        <v>256</v>
      </c>
      <c r="R541" s="251" t="s">
        <v>225</v>
      </c>
      <c r="S541" s="1" t="s">
        <v>438</v>
      </c>
      <c r="T541" t="s">
        <v>449</v>
      </c>
      <c r="U541" t="s">
        <v>456</v>
      </c>
      <c r="V541" s="253">
        <v>0</v>
      </c>
      <c r="W541" s="253">
        <v>0</v>
      </c>
      <c r="X541">
        <v>0</v>
      </c>
      <c r="Y541">
        <v>0</v>
      </c>
      <c r="Z541">
        <v>0</v>
      </c>
      <c r="AA541">
        <v>0</v>
      </c>
      <c r="AB541">
        <v>0</v>
      </c>
      <c r="AC541">
        <v>0</v>
      </c>
      <c r="AD541">
        <v>0</v>
      </c>
      <c r="AE541">
        <v>0</v>
      </c>
      <c r="AF541">
        <v>0</v>
      </c>
      <c r="AG541">
        <v>0</v>
      </c>
      <c r="AH541">
        <v>0</v>
      </c>
      <c r="AI541">
        <v>0</v>
      </c>
      <c r="AJ541">
        <v>0</v>
      </c>
      <c r="AK541">
        <v>0</v>
      </c>
      <c r="AL541">
        <v>0</v>
      </c>
      <c r="AM541">
        <v>1</v>
      </c>
      <c r="AN541">
        <v>0</v>
      </c>
      <c r="AO541">
        <v>0</v>
      </c>
      <c r="AP541">
        <v>0</v>
      </c>
      <c r="AQ541">
        <v>0</v>
      </c>
      <c r="AR541">
        <v>0</v>
      </c>
      <c r="AS541">
        <v>0</v>
      </c>
      <c r="AT541">
        <v>0</v>
      </c>
      <c r="AU541">
        <v>0</v>
      </c>
      <c r="AV541">
        <v>0</v>
      </c>
      <c r="AW541">
        <v>0</v>
      </c>
      <c r="AX541">
        <v>0</v>
      </c>
      <c r="AY541">
        <v>0</v>
      </c>
      <c r="AZ541" s="141">
        <f>COUNTIF(X541:AY541,"&lt;&gt;0")</f>
        <v>1</v>
      </c>
      <c r="BA541" s="141">
        <f>COUNTIF(X541:AN541,"&lt;&gt;0")</f>
        <v>1</v>
      </c>
      <c r="BB541">
        <f>COUNTIF(X541:AE541,"&lt;&gt;0")</f>
        <v>0</v>
      </c>
      <c r="BC541">
        <f>COUNTIF(AF541:AK541,"&lt;&gt;0")</f>
        <v>0</v>
      </c>
      <c r="BD541">
        <f>COUNTIF(AL541:AN541,"&lt;&gt;0")</f>
        <v>1</v>
      </c>
      <c r="BE541">
        <f>COUNTIF(AU541:AY541,"&lt;&gt;0")</f>
        <v>0</v>
      </c>
      <c r="BF541">
        <f>COUNTIF(AO541:AT541,"&lt;&gt;0")</f>
        <v>0</v>
      </c>
      <c r="BG541" t="str">
        <f t="array" ref="BG541">IF(BA541=1,INDEX($X$7:$AN$7,MATCH(TRUE,INDEX($X541:$AY541&lt;&gt;0,),0)),IF(BA541=0,INDEX($AO$7:$AY$7,MATCH(1,$AO541:$AY541,0)),IF(BH541="Multiple strategies","mixed drivers",IF(BH541="Supply chain","multiple supply","multiple silviculture"))))</f>
        <v>technologies/design switch</v>
      </c>
      <c r="BH541" s="2" t="str" cm="1">
        <f t="array" ref="BH541">IF(COUNTIF(BB541:BD541,"&lt;&gt;0")=1,INDEX($X$4:$AY$4,MATCH(TRUE,INDEX($X541:$AY541&lt;&gt;0,),0)),IF(COUNTIF(BB541:BD541,"&lt;&gt;0")=0,INDEX($AO$4:$AY$4,MATCH(1,$AO541:$AY541,0)),"Multiple strategies"))</f>
        <v>Technology</v>
      </c>
      <c r="BI541" s="142" t="s">
        <v>229</v>
      </c>
      <c r="BJ541" t="s">
        <v>441</v>
      </c>
      <c r="BK541" s="260" t="s">
        <v>2949</v>
      </c>
      <c r="BL541" s="143" t="s">
        <v>442</v>
      </c>
      <c r="BM541">
        <v>0</v>
      </c>
      <c r="BN541">
        <f>3*44</f>
        <v>132</v>
      </c>
      <c r="BO541" s="143" t="e">
        <f>BN541/BM541</f>
        <v>#DIV/0!</v>
      </c>
      <c r="BP541">
        <f>BN541-BM541</f>
        <v>132</v>
      </c>
      <c r="BQ541">
        <f>BP541*tC_to_m3</f>
        <v>573.16543638732094</v>
      </c>
      <c r="BR541" t="s">
        <v>232</v>
      </c>
      <c r="BS541" s="256" t="s">
        <v>793</v>
      </c>
      <c r="BT541" t="s">
        <v>443</v>
      </c>
      <c r="BU541" s="141">
        <v>3</v>
      </c>
      <c r="BV541" s="141">
        <v>93</v>
      </c>
      <c r="BW541" s="144">
        <f>IFERROR(BV541/BU541,"")</f>
        <v>31</v>
      </c>
      <c r="BX541">
        <f>BV541-BU541</f>
        <v>90</v>
      </c>
      <c r="BZ541">
        <f>BX541*C_to_CO2</f>
        <v>330.3</v>
      </c>
      <c r="CA541">
        <f>IFERROR(BZ541/BQ541,"")</f>
        <v>0.57627340909090907</v>
      </c>
      <c r="CB541" s="143">
        <v>0</v>
      </c>
      <c r="CC541" s="143">
        <v>0</v>
      </c>
      <c r="CD541" s="143">
        <v>0</v>
      </c>
      <c r="CE541" s="143">
        <v>0</v>
      </c>
      <c r="CF541" s="143">
        <v>0</v>
      </c>
      <c r="CG541" s="143">
        <v>0</v>
      </c>
      <c r="CH541" s="143">
        <v>0</v>
      </c>
      <c r="CI541" s="143">
        <v>0</v>
      </c>
      <c r="CJ541" s="143">
        <v>0</v>
      </c>
      <c r="CK541" s="143">
        <v>0</v>
      </c>
      <c r="CL541" s="143">
        <v>0</v>
      </c>
      <c r="CM541" s="143">
        <v>0</v>
      </c>
      <c r="CN541" s="143">
        <v>0</v>
      </c>
      <c r="CO541">
        <v>0</v>
      </c>
      <c r="CP541" t="str">
        <f>IF($BN541&lt;$BM541,"refNeedCorrection","refOK")</f>
        <v>refOK</v>
      </c>
      <c r="CQ541">
        <f>IF($CP541="refOK",$BM541,$BN541)</f>
        <v>0</v>
      </c>
      <c r="CR541">
        <f>IF($CP541="refOK",$BN541,$BM541)</f>
        <v>132</v>
      </c>
      <c r="CS541">
        <f>IF($CP541="refOK",$BQ541,-$BQ541)</f>
        <v>573.16543638732094</v>
      </c>
      <c r="CT541">
        <f>IF(BI541="Roundwood",$CS541/2,$CS541)</f>
        <v>573.16543638732094</v>
      </c>
      <c r="CU541">
        <f>IF($CP541="refOK",$BU541,$BV541)*IF($BR541="Emissions positive",-1,1)</f>
        <v>3</v>
      </c>
      <c r="CV541">
        <f>IF($CP541="refOK",$BV541,$BU541)*IF($BR541="Emissions positive",-1,1)</f>
        <v>93</v>
      </c>
      <c r="CW541">
        <f>IF($CP541="refNeedCorrection",-BZ541,BZ541)*IF($BR541="Emissions positive",-1,1)</f>
        <v>330.3</v>
      </c>
      <c r="CX541">
        <f>IFERROR($CW541/$CS541,"")</f>
        <v>0.57627340909090907</v>
      </c>
      <c r="CY541">
        <f>IFERROR($CW541/$CS541,"")</f>
        <v>0.57627340909090907</v>
      </c>
      <c r="CZ541">
        <f>IFERROR($CW541/$CT541,"")</f>
        <v>0.57627340909090907</v>
      </c>
      <c r="DA541" s="2">
        <f>IFERROR((CV541-CU541)/ABS(CU541),"")</f>
        <v>30</v>
      </c>
      <c r="DB541" s="1" t="s">
        <v>263</v>
      </c>
      <c r="DC541" t="str">
        <f>IF(OR($DB541="prd",$DB541="std",$DB541="cit"),"loc",IF(OR($DB541="eur",$DB541="reg",$DB541="coy"),"reg",$DB541))</f>
        <v>loc</v>
      </c>
      <c r="DD541" t="s">
        <v>444</v>
      </c>
      <c r="DG541">
        <v>300</v>
      </c>
      <c r="DH541" t="str">
        <f>IF(DG541=0,"0",IF(AND(DG541&gt;=1,DG541&lt;=30),"1-30",IF(AND(DG541&gt;30,DG541&lt;=70),"31-70",IF(AND(DG541&gt;70,DG541&lt;=100),"71-100",IF(DG541&gt;100,"+100")))))</f>
        <v>+100</v>
      </c>
      <c r="DI541">
        <v>0</v>
      </c>
      <c r="DJ541">
        <v>0</v>
      </c>
      <c r="DK541">
        <v>0</v>
      </c>
      <c r="DL541">
        <v>1</v>
      </c>
      <c r="DN541">
        <f>SUM(DI541:DL541)</f>
        <v>1</v>
      </c>
      <c r="DO541" t="str">
        <f>IF(DN541=1,INDEX($DI$7:$DL$7,MATCH(1,$DI541:$DL541,0)),"mixedProduct")</f>
        <v>TimberInput</v>
      </c>
      <c r="DP541">
        <f>IF(DI541=1,DP$7,0)</f>
        <v>0</v>
      </c>
      <c r="DQ541">
        <f>IF(DJ541=1,DQ$7,0)</f>
        <v>0</v>
      </c>
      <c r="DR541">
        <f>IF(DK541=1,DR$7,0)</f>
        <v>0</v>
      </c>
      <c r="DS541" t="str">
        <f>IF(DL541=1,DS$7,0)</f>
        <v>Timber</v>
      </c>
      <c r="DT541">
        <v>1</v>
      </c>
      <c r="DU541" s="143">
        <v>0</v>
      </c>
      <c r="DV541" s="143">
        <v>0</v>
      </c>
      <c r="DW541" s="143">
        <v>0</v>
      </c>
      <c r="DX541">
        <v>0</v>
      </c>
      <c r="DY541">
        <f>SUM(DT541:DU541)</f>
        <v>1</v>
      </c>
      <c r="DZ541" s="143" t="str">
        <f>IF(DT541=1,"self-calculated DF",IF(DU541=1,"external DF used","explicit C balance"))</f>
        <v>self-calculated DF</v>
      </c>
      <c r="EA541">
        <v>0</v>
      </c>
      <c r="EB541" s="143">
        <v>0</v>
      </c>
      <c r="EC541" s="143">
        <v>1</v>
      </c>
      <c r="ED541" s="143">
        <v>1</v>
      </c>
      <c r="EE541">
        <v>1</v>
      </c>
      <c r="EF541" s="143">
        <v>1</v>
      </c>
      <c r="EG541">
        <v>0</v>
      </c>
      <c r="EH541" s="143">
        <v>1</v>
      </c>
      <c r="EI541" s="143">
        <v>0</v>
      </c>
      <c r="EJ541">
        <v>0</v>
      </c>
      <c r="EK541">
        <v>0</v>
      </c>
      <c r="EL541" s="143">
        <v>0</v>
      </c>
      <c r="EM541" s="143">
        <v>0</v>
      </c>
      <c r="EN541" s="2">
        <v>0</v>
      </c>
      <c r="EO541" s="358"/>
      <c r="EP541" t="str">
        <f>IF(AND(AND(AND(OR($EC541=1,$EB541=1),OR($EH541=1,$EF541=1)),SUM($EA541:$EE541,$EK541)&gt;=3),SUM($EF541:$EJ541)&gt;=2),"Whole sector approach","")</f>
        <v>Whole sector approach</v>
      </c>
      <c r="EQ541" t="str">
        <f>IF(AND(AND(OR($EC541=1,$EB541=1),AND($EH541=0,$EF541=0)),SUM($EA541:$EE541,$EK541)&gt;=4),"Ecosystem approach","")</f>
        <v/>
      </c>
      <c r="ER541" s="2" t="str">
        <f>IF(AND(AND(AND($EC541=0,$EB541=0),OR($EH541=1,$EF541=1)),SUM($EG541:$EJ541)&gt;=2),"Technology approach","")</f>
        <v/>
      </c>
      <c r="ES541" t="str">
        <f>IF(AND($EC541+$EB541+$EE541+$EA541+$ED541+$EG541=0,$N541="included"),"C neutral forest and HWP assumption","")</f>
        <v/>
      </c>
      <c r="ET541" t="str">
        <f>IF(AND(AND(AND(AND($EC541=1,$EB541+$EA541+$EG541&gt;=1),$EF541=1),$EH541+$EI541+$ED541+$EE541&gt;=2),$N541="included"),"All C pools assumption","")</f>
        <v/>
      </c>
      <c r="EU541" t="str">
        <f>IF(AND($ED541+$EE541+$EI541+$EH541+$EF541=0,$N541="included"),"In-situ only assumption","")</f>
        <v/>
      </c>
      <c r="EW541" t="s">
        <v>445</v>
      </c>
      <c r="EY541" t="str">
        <f>IF(ISNUMBER(BW541),IF(ABS(BW541-[6]QC_indicators!$B$2)&gt;3*[6]QC_indicators!$C$2,"C ratio",IF(ISNUMBER(CA541),IF(ABS(CA541-[6]QC_indicators!$B$1)&gt;3*[6]QC_indicators!$C$1,"DF","no"))),IF(ISNUMBER(CA541),IF(ABS(CA541-[6]QC_indicators!$B$1)&gt;3*[6]QC_indicators!$C$1,"DF","no")))</f>
        <v>C ratio</v>
      </c>
      <c r="EZ541" t="s">
        <v>450</v>
      </c>
      <c r="FA541" t="str">
        <f>IF(LEN($CY541)=0,"",IF(AND($CY541&lt;(-0.05),$ES541="C neutral forest and HWP assumption"),"Cneutral paradox",IF(AND($CY541&gt;0.05,$EU541="In-situ only assumption"),"In-situ only paradox","")))</f>
        <v/>
      </c>
      <c r="FD541" s="260" t="s">
        <v>2948</v>
      </c>
    </row>
    <row r="542" spans="1:160" ht="15" hidden="1" customHeight="1">
      <c r="A542" s="1" t="s">
        <v>430</v>
      </c>
      <c r="B542" t="s">
        <v>431</v>
      </c>
      <c r="C542" t="s">
        <v>432</v>
      </c>
      <c r="D542" t="s">
        <v>433</v>
      </c>
      <c r="E542" t="s">
        <v>434</v>
      </c>
      <c r="F542" t="s">
        <v>435</v>
      </c>
      <c r="G542" t="s">
        <v>436</v>
      </c>
      <c r="H542" t="s">
        <v>254</v>
      </c>
      <c r="I542">
        <v>2000</v>
      </c>
      <c r="J542">
        <v>174</v>
      </c>
      <c r="K542" t="s">
        <v>437</v>
      </c>
      <c r="M542" t="str">
        <f>LEFT($D542,FIND(",",$D542)-1)&amp;"_"&amp;I542&amp;L542</f>
        <v>Borjesson_2000</v>
      </c>
      <c r="N542" t="s">
        <v>222</v>
      </c>
      <c r="O542" s="145" t="s">
        <v>223</v>
      </c>
      <c r="Q542" t="s">
        <v>256</v>
      </c>
      <c r="R542" s="251" t="s">
        <v>225</v>
      </c>
      <c r="S542" s="1" t="s">
        <v>438</v>
      </c>
      <c r="T542" t="s">
        <v>447</v>
      </c>
      <c r="U542" t="s">
        <v>456</v>
      </c>
      <c r="V542" s="253">
        <v>0</v>
      </c>
      <c r="W542" s="253">
        <v>0</v>
      </c>
      <c r="X542">
        <v>0</v>
      </c>
      <c r="Y542">
        <v>0</v>
      </c>
      <c r="Z542">
        <v>0</v>
      </c>
      <c r="AA542">
        <v>0</v>
      </c>
      <c r="AB542">
        <v>0</v>
      </c>
      <c r="AC542">
        <v>0</v>
      </c>
      <c r="AD542">
        <v>0</v>
      </c>
      <c r="AE542">
        <v>0</v>
      </c>
      <c r="AF542">
        <v>0</v>
      </c>
      <c r="AG542">
        <v>0</v>
      </c>
      <c r="AH542">
        <v>0</v>
      </c>
      <c r="AI542">
        <v>0</v>
      </c>
      <c r="AJ542">
        <v>0</v>
      </c>
      <c r="AK542">
        <v>0</v>
      </c>
      <c r="AL542">
        <v>0</v>
      </c>
      <c r="AM542">
        <v>1</v>
      </c>
      <c r="AN542">
        <v>0</v>
      </c>
      <c r="AO542">
        <v>0</v>
      </c>
      <c r="AP542">
        <v>0</v>
      </c>
      <c r="AQ542">
        <v>0</v>
      </c>
      <c r="AR542">
        <v>0</v>
      </c>
      <c r="AS542">
        <v>0</v>
      </c>
      <c r="AT542">
        <v>0</v>
      </c>
      <c r="AU542">
        <v>0</v>
      </c>
      <c r="AV542">
        <v>0</v>
      </c>
      <c r="AW542">
        <v>0</v>
      </c>
      <c r="AX542">
        <v>0</v>
      </c>
      <c r="AY542">
        <v>0</v>
      </c>
      <c r="AZ542" s="141">
        <f>COUNTIF(X542:AY542,"&lt;&gt;0")</f>
        <v>1</v>
      </c>
      <c r="BA542" s="141">
        <f>COUNTIF(X542:AN542,"&lt;&gt;0")</f>
        <v>1</v>
      </c>
      <c r="BB542">
        <f>COUNTIF(X542:AE542,"&lt;&gt;0")</f>
        <v>0</v>
      </c>
      <c r="BC542">
        <f>COUNTIF(AF542:AK542,"&lt;&gt;0")</f>
        <v>0</v>
      </c>
      <c r="BD542">
        <f>COUNTIF(AL542:AN542,"&lt;&gt;0")</f>
        <v>1</v>
      </c>
      <c r="BE542">
        <f>COUNTIF(AU542:AY542,"&lt;&gt;0")</f>
        <v>0</v>
      </c>
      <c r="BF542">
        <f>COUNTIF(AO542:AT542,"&lt;&gt;0")</f>
        <v>0</v>
      </c>
      <c r="BG542" t="str">
        <f t="array" ref="BG542">IF(BA542=1,INDEX($X$7:$AN$7,MATCH(TRUE,INDEX($X542:$AY542&lt;&gt;0,),0)),IF(BA542=0,INDEX($AO$7:$AY$7,MATCH(1,$AO542:$AY542,0)),IF(BH542="Multiple strategies","mixed drivers",IF(BH542="Supply chain","multiple supply","multiple silviculture"))))</f>
        <v>technologies/design switch</v>
      </c>
      <c r="BH542" s="2" t="str" cm="1">
        <f t="array" ref="BH542">IF(COUNTIF(BB542:BD542,"&lt;&gt;0")=1,INDEX($X$4:$AY$4,MATCH(TRUE,INDEX($X542:$AY542&lt;&gt;0,),0)),IF(COUNTIF(BB542:BD542,"&lt;&gt;0")=0,INDEX($AO$4:$AY$4,MATCH(1,$AO542:$AY542,0)),"Multiple strategies"))</f>
        <v>Technology</v>
      </c>
      <c r="BI542" s="142" t="s">
        <v>229</v>
      </c>
      <c r="BJ542" t="s">
        <v>441</v>
      </c>
      <c r="BK542" s="260" t="s">
        <v>2949</v>
      </c>
      <c r="BL542" s="143" t="s">
        <v>442</v>
      </c>
      <c r="BM542">
        <v>0</v>
      </c>
      <c r="BN542">
        <f>3*44</f>
        <v>132</v>
      </c>
      <c r="BO542" s="143" t="e">
        <f>BN542/BM542</f>
        <v>#DIV/0!</v>
      </c>
      <c r="BP542">
        <f>BN542-BM542</f>
        <v>132</v>
      </c>
      <c r="BQ542">
        <f>BP542*tC_to_m3</f>
        <v>573.16543638732094</v>
      </c>
      <c r="BR542" t="s">
        <v>232</v>
      </c>
      <c r="BS542" s="256" t="s">
        <v>793</v>
      </c>
      <c r="BT542" t="s">
        <v>443</v>
      </c>
      <c r="BU542" s="141">
        <v>6</v>
      </c>
      <c r="BV542" s="141">
        <v>93</v>
      </c>
      <c r="BW542" s="144">
        <f>IFERROR(BV542/BU542,"")</f>
        <v>15.5</v>
      </c>
      <c r="BX542">
        <f>BV542-BU542</f>
        <v>87</v>
      </c>
      <c r="BZ542">
        <f>BX542*C_to_CO2</f>
        <v>319.29000000000002</v>
      </c>
      <c r="CA542">
        <f>IFERROR(BZ542/BQ542,"")</f>
        <v>0.55706429545454539</v>
      </c>
      <c r="CB542" s="143">
        <v>0</v>
      </c>
      <c r="CC542" s="143">
        <v>0</v>
      </c>
      <c r="CD542" s="143">
        <v>0</v>
      </c>
      <c r="CE542" s="143">
        <v>0</v>
      </c>
      <c r="CF542" s="143">
        <v>0</v>
      </c>
      <c r="CG542" s="143">
        <v>0</v>
      </c>
      <c r="CH542" s="143">
        <v>0</v>
      </c>
      <c r="CI542" s="143">
        <v>0</v>
      </c>
      <c r="CJ542" s="143">
        <v>0</v>
      </c>
      <c r="CK542" s="143">
        <v>0</v>
      </c>
      <c r="CL542" s="143">
        <v>0</v>
      </c>
      <c r="CM542" s="143">
        <v>0</v>
      </c>
      <c r="CN542" s="143">
        <v>0</v>
      </c>
      <c r="CO542">
        <v>0</v>
      </c>
      <c r="CP542" t="str">
        <f>IF($BN542&lt;$BM542,"refNeedCorrection","refOK")</f>
        <v>refOK</v>
      </c>
      <c r="CQ542">
        <f>IF($CP542="refOK",$BM542,$BN542)</f>
        <v>0</v>
      </c>
      <c r="CR542">
        <f>IF($CP542="refOK",$BN542,$BM542)</f>
        <v>132</v>
      </c>
      <c r="CS542">
        <f>IF($CP542="refOK",$BQ542,-$BQ542)</f>
        <v>573.16543638732094</v>
      </c>
      <c r="CT542">
        <f>IF(BI542="Roundwood",$CS542/2,$CS542)</f>
        <v>573.16543638732094</v>
      </c>
      <c r="CU542">
        <f>IF($CP542="refOK",$BU542,$BV542)*IF($BR542="Emissions positive",-1,1)</f>
        <v>6</v>
      </c>
      <c r="CV542">
        <f>IF($CP542="refOK",$BV542,$BU542)*IF($BR542="Emissions positive",-1,1)</f>
        <v>93</v>
      </c>
      <c r="CW542">
        <f>IF($CP542="refNeedCorrection",-BZ542,BZ542)*IF($BR542="Emissions positive",-1,1)</f>
        <v>319.29000000000002</v>
      </c>
      <c r="CX542">
        <f>IFERROR($CW542/$CS542,"")</f>
        <v>0.55706429545454539</v>
      </c>
      <c r="CY542">
        <f>IFERROR($CW542/$CS542,"")</f>
        <v>0.55706429545454539</v>
      </c>
      <c r="CZ542">
        <f>IFERROR($CW542/$CT542,"")</f>
        <v>0.55706429545454539</v>
      </c>
      <c r="DA542" s="2">
        <f>IFERROR((CV542-CU542)/ABS(CU542),"")</f>
        <v>14.5</v>
      </c>
      <c r="DB542" s="1" t="s">
        <v>263</v>
      </c>
      <c r="DC542" t="str">
        <f>IF(OR($DB542="prd",$DB542="std",$DB542="cit"),"loc",IF(OR($DB542="eur",$DB542="reg",$DB542="coy"),"reg",$DB542))</f>
        <v>loc</v>
      </c>
      <c r="DD542" t="s">
        <v>444</v>
      </c>
      <c r="DG542">
        <v>300</v>
      </c>
      <c r="DH542" t="str">
        <f>IF(DG542=0,"0",IF(AND(DG542&gt;=1,DG542&lt;=30),"1-30",IF(AND(DG542&gt;30,DG542&lt;=70),"31-70",IF(AND(DG542&gt;70,DG542&lt;=100),"71-100",IF(DG542&gt;100,"+100")))))</f>
        <v>+100</v>
      </c>
      <c r="DI542">
        <v>0</v>
      </c>
      <c r="DJ542">
        <v>0</v>
      </c>
      <c r="DK542">
        <v>0</v>
      </c>
      <c r="DL542">
        <v>1</v>
      </c>
      <c r="DN542">
        <f>SUM(DI542:DL542)</f>
        <v>1</v>
      </c>
      <c r="DO542" t="str">
        <f>IF(DN542=1,INDEX($DI$7:$DL$7,MATCH(1,$DI542:$DL542,0)),"mixedProduct")</f>
        <v>TimberInput</v>
      </c>
      <c r="DP542">
        <f>IF(DI542=1,DP$7,0)</f>
        <v>0</v>
      </c>
      <c r="DQ542">
        <f>IF(DJ542=1,DQ$7,0)</f>
        <v>0</v>
      </c>
      <c r="DR542">
        <f>IF(DK542=1,DR$7,0)</f>
        <v>0</v>
      </c>
      <c r="DS542" t="str">
        <f>IF(DL542=1,DS$7,0)</f>
        <v>Timber</v>
      </c>
      <c r="DT542">
        <v>1</v>
      </c>
      <c r="DU542" s="143">
        <v>0</v>
      </c>
      <c r="DV542" s="143">
        <v>0</v>
      </c>
      <c r="DW542" s="143">
        <v>0</v>
      </c>
      <c r="DX542">
        <v>0</v>
      </c>
      <c r="DY542">
        <f>SUM(DT542:DU542)</f>
        <v>1</v>
      </c>
      <c r="DZ542" s="143" t="str">
        <f>IF(DT542=1,"self-calculated DF",IF(DU542=1,"external DF used","explicit C balance"))</f>
        <v>self-calculated DF</v>
      </c>
      <c r="EA542">
        <v>0</v>
      </c>
      <c r="EB542" s="143">
        <v>0</v>
      </c>
      <c r="EC542" s="143">
        <v>1</v>
      </c>
      <c r="ED542" s="143">
        <v>1</v>
      </c>
      <c r="EE542">
        <v>1</v>
      </c>
      <c r="EF542" s="143">
        <v>1</v>
      </c>
      <c r="EG542">
        <v>0</v>
      </c>
      <c r="EH542" s="143">
        <v>1</v>
      </c>
      <c r="EI542" s="143">
        <v>0</v>
      </c>
      <c r="EJ542">
        <v>0</v>
      </c>
      <c r="EK542">
        <v>0</v>
      </c>
      <c r="EL542" s="143">
        <v>0</v>
      </c>
      <c r="EM542" s="143">
        <v>0</v>
      </c>
      <c r="EN542" s="2">
        <v>0</v>
      </c>
      <c r="EO542" s="358"/>
      <c r="EP542" t="str">
        <f>IF(AND(AND(AND(OR($EC542=1,$EB542=1),OR($EH542=1,$EF542=1)),SUM($EA542:$EE542,$EK542)&gt;=3),SUM($EF542:$EJ542)&gt;=2),"Whole sector approach","")</f>
        <v>Whole sector approach</v>
      </c>
      <c r="EQ542" t="str">
        <f>IF(AND(AND(OR($EC542=1,$EB542=1),AND($EH542=0,$EF542=0)),SUM($EA542:$EE542,$EK542)&gt;=4),"Ecosystem approach","")</f>
        <v/>
      </c>
      <c r="ER542" s="2" t="str">
        <f>IF(AND(AND(AND($EC542=0,$EB542=0),OR($EH542=1,$EF542=1)),SUM($EG542:$EJ542)&gt;=2),"Technology approach","")</f>
        <v/>
      </c>
      <c r="ES542" t="str">
        <f>IF(AND($EC542+$EB542+$EE542+$EA542+$ED542+$EG542=0,$N542="included"),"C neutral forest and HWP assumption","")</f>
        <v/>
      </c>
      <c r="ET542" t="str">
        <f>IF(AND(AND(AND(AND($EC542=1,$EB542+$EA542+$EG542&gt;=1),$EF542=1),$EH542+$EI542+$ED542+$EE542&gt;=2),$N542="included"),"All C pools assumption","")</f>
        <v/>
      </c>
      <c r="EU542" t="str">
        <f>IF(AND($ED542+$EE542+$EI542+$EH542+$EF542=0,$N542="included"),"In-situ only assumption","")</f>
        <v/>
      </c>
      <c r="EW542" t="s">
        <v>445</v>
      </c>
      <c r="EY542" t="str">
        <f>IF(ISNUMBER(BW542),IF(ABS(BW542-[6]QC_indicators!$B$2)&gt;3*[6]QC_indicators!$C$2,"C ratio",IF(ISNUMBER(CA542),IF(ABS(CA542-[6]QC_indicators!$B$1)&gt;3*[6]QC_indicators!$C$1,"DF","no"))),IF(ISNUMBER(CA542),IF(ABS(CA542-[6]QC_indicators!$B$1)&gt;3*[6]QC_indicators!$C$1,"DF","no")))</f>
        <v>no</v>
      </c>
      <c r="EZ542" t="s">
        <v>450</v>
      </c>
      <c r="FA542" t="str">
        <f>IF(LEN($CY542)=0,"",IF(AND($CY542&lt;(-0.05),$ES542="C neutral forest and HWP assumption"),"Cneutral paradox",IF(AND($CY542&gt;0.05,$EU542="In-situ only assumption"),"In-situ only paradox","")))</f>
        <v/>
      </c>
      <c r="FD542" s="260" t="s">
        <v>2948</v>
      </c>
    </row>
    <row r="543" spans="1:160" ht="15" hidden="1" customHeight="1">
      <c r="A543" s="1" t="s">
        <v>430</v>
      </c>
      <c r="B543" t="s">
        <v>431</v>
      </c>
      <c r="C543" t="s">
        <v>432</v>
      </c>
      <c r="D543" t="s">
        <v>433</v>
      </c>
      <c r="E543" t="s">
        <v>434</v>
      </c>
      <c r="F543" t="s">
        <v>435</v>
      </c>
      <c r="G543" t="s">
        <v>436</v>
      </c>
      <c r="H543" t="s">
        <v>254</v>
      </c>
      <c r="I543">
        <v>2000</v>
      </c>
      <c r="J543">
        <v>174</v>
      </c>
      <c r="K543" t="s">
        <v>437</v>
      </c>
      <c r="M543" t="str">
        <f>LEFT($D543,FIND(",",$D543)-1)&amp;"_"&amp;I543&amp;L543</f>
        <v>Borjesson_2000</v>
      </c>
      <c r="N543" t="s">
        <v>222</v>
      </c>
      <c r="O543" s="145" t="s">
        <v>223</v>
      </c>
      <c r="Q543" t="s">
        <v>256</v>
      </c>
      <c r="R543" s="251" t="s">
        <v>225</v>
      </c>
      <c r="S543" s="1" t="s">
        <v>438</v>
      </c>
      <c r="T543" t="s">
        <v>449</v>
      </c>
      <c r="U543" t="s">
        <v>452</v>
      </c>
      <c r="V543" s="253">
        <v>0</v>
      </c>
      <c r="W543" s="253">
        <v>0</v>
      </c>
      <c r="X543">
        <v>0</v>
      </c>
      <c r="Y543">
        <v>0</v>
      </c>
      <c r="Z543">
        <v>0</v>
      </c>
      <c r="AA543">
        <v>0</v>
      </c>
      <c r="AB543">
        <v>0</v>
      </c>
      <c r="AC543">
        <v>0</v>
      </c>
      <c r="AD543">
        <v>0</v>
      </c>
      <c r="AE543">
        <v>0</v>
      </c>
      <c r="AF543">
        <v>0</v>
      </c>
      <c r="AG543">
        <v>0</v>
      </c>
      <c r="AH543">
        <v>0</v>
      </c>
      <c r="AI543">
        <v>0</v>
      </c>
      <c r="AJ543">
        <v>0</v>
      </c>
      <c r="AK543">
        <v>0</v>
      </c>
      <c r="AL543">
        <v>0</v>
      </c>
      <c r="AM543">
        <v>1</v>
      </c>
      <c r="AN543">
        <v>0</v>
      </c>
      <c r="AO543">
        <v>0</v>
      </c>
      <c r="AP543">
        <v>0</v>
      </c>
      <c r="AQ543">
        <v>0</v>
      </c>
      <c r="AR543">
        <v>0</v>
      </c>
      <c r="AS543">
        <v>0</v>
      </c>
      <c r="AT543">
        <v>0</v>
      </c>
      <c r="AU543">
        <v>0</v>
      </c>
      <c r="AV543">
        <v>0</v>
      </c>
      <c r="AW543">
        <v>0</v>
      </c>
      <c r="AX543">
        <v>0</v>
      </c>
      <c r="AY543">
        <v>0</v>
      </c>
      <c r="AZ543" s="141">
        <f>COUNTIF(X543:AY543,"&lt;&gt;0")</f>
        <v>1</v>
      </c>
      <c r="BA543" s="141">
        <f>COUNTIF(X543:AN543,"&lt;&gt;0")</f>
        <v>1</v>
      </c>
      <c r="BB543">
        <f>COUNTIF(X543:AE543,"&lt;&gt;0")</f>
        <v>0</v>
      </c>
      <c r="BC543">
        <f>COUNTIF(AF543:AK543,"&lt;&gt;0")</f>
        <v>0</v>
      </c>
      <c r="BD543">
        <f>COUNTIF(AL543:AN543,"&lt;&gt;0")</f>
        <v>1</v>
      </c>
      <c r="BE543">
        <f>COUNTIF(AU543:AY543,"&lt;&gt;0")</f>
        <v>0</v>
      </c>
      <c r="BF543">
        <f>COUNTIF(AO543:AT543,"&lt;&gt;0")</f>
        <v>0</v>
      </c>
      <c r="BG543" t="str">
        <f t="array" ref="BG543">IF(BA543=1,INDEX($X$7:$AN$7,MATCH(TRUE,INDEX($X543:$AY543&lt;&gt;0,),0)),IF(BA543=0,INDEX($AO$7:$AY$7,MATCH(1,$AO543:$AY543,0)),IF(BH543="Multiple strategies","mixed drivers",IF(BH543="Supply chain","multiple supply","multiple silviculture"))))</f>
        <v>technologies/design switch</v>
      </c>
      <c r="BH543" s="2" t="str" cm="1">
        <f t="array" ref="BH543">IF(COUNTIF(BB543:BD543,"&lt;&gt;0")=1,INDEX($X$4:$AY$4,MATCH(TRUE,INDEX($X543:$AY543&lt;&gt;0,),0)),IF(COUNTIF(BB543:BD543,"&lt;&gt;0")=0,INDEX($AO$4:$AY$4,MATCH(1,$AO543:$AY543,0)),"Multiple strategies"))</f>
        <v>Technology</v>
      </c>
      <c r="BI543" s="142" t="s">
        <v>229</v>
      </c>
      <c r="BJ543" t="s">
        <v>441</v>
      </c>
      <c r="BK543" s="260" t="s">
        <v>2949</v>
      </c>
      <c r="BL543" s="143" t="s">
        <v>442</v>
      </c>
      <c r="BM543">
        <v>0</v>
      </c>
      <c r="BN543">
        <f>3*44</f>
        <v>132</v>
      </c>
      <c r="BO543" s="143" t="e">
        <f>BN543/BM543</f>
        <v>#DIV/0!</v>
      </c>
      <c r="BP543">
        <f>BN543-BM543</f>
        <v>132</v>
      </c>
      <c r="BQ543">
        <f>BP543*tC_to_m3</f>
        <v>573.16543638732094</v>
      </c>
      <c r="BR543" t="s">
        <v>232</v>
      </c>
      <c r="BS543" s="256" t="s">
        <v>793</v>
      </c>
      <c r="BT543" t="s">
        <v>443</v>
      </c>
      <c r="BU543" s="141">
        <v>3</v>
      </c>
      <c r="BV543" s="141">
        <v>84</v>
      </c>
      <c r="BW543" s="144">
        <f>IFERROR(BV543/BU543,"")</f>
        <v>28</v>
      </c>
      <c r="BX543">
        <f>BV543-BU543</f>
        <v>81</v>
      </c>
      <c r="BZ543">
        <f>BX543*C_to_CO2</f>
        <v>297.27</v>
      </c>
      <c r="CA543">
        <f>IFERROR(BZ543/BQ543,"")</f>
        <v>0.51864606818181813</v>
      </c>
      <c r="CB543" s="143">
        <v>0</v>
      </c>
      <c r="CC543" s="143">
        <v>0</v>
      </c>
      <c r="CD543" s="143">
        <v>0</v>
      </c>
      <c r="CE543" s="143">
        <v>0</v>
      </c>
      <c r="CF543" s="143">
        <v>0</v>
      </c>
      <c r="CG543" s="143">
        <v>0</v>
      </c>
      <c r="CH543" s="143">
        <v>0</v>
      </c>
      <c r="CI543" s="143">
        <v>0</v>
      </c>
      <c r="CJ543" s="143">
        <v>0</v>
      </c>
      <c r="CK543" s="143">
        <v>0</v>
      </c>
      <c r="CL543" s="143">
        <v>0</v>
      </c>
      <c r="CM543" s="143">
        <v>0</v>
      </c>
      <c r="CN543" s="143">
        <v>0</v>
      </c>
      <c r="CO543">
        <v>0</v>
      </c>
      <c r="CP543" t="str">
        <f>IF($BN543&lt;$BM543,"refNeedCorrection","refOK")</f>
        <v>refOK</v>
      </c>
      <c r="CQ543">
        <f>IF($CP543="refOK",$BM543,$BN543)</f>
        <v>0</v>
      </c>
      <c r="CR543">
        <f>IF($CP543="refOK",$BN543,$BM543)</f>
        <v>132</v>
      </c>
      <c r="CS543">
        <f>IF($CP543="refOK",$BQ543,-$BQ543)</f>
        <v>573.16543638732094</v>
      </c>
      <c r="CT543">
        <f>IF(BI543="Roundwood",$CS543/2,$CS543)</f>
        <v>573.16543638732094</v>
      </c>
      <c r="CU543">
        <f>IF($CP543="refOK",$BU543,$BV543)*IF($BR543="Emissions positive",-1,1)</f>
        <v>3</v>
      </c>
      <c r="CV543">
        <f>IF($CP543="refOK",$BV543,$BU543)*IF($BR543="Emissions positive",-1,1)</f>
        <v>84</v>
      </c>
      <c r="CW543">
        <f>IF($CP543="refNeedCorrection",-BZ543,BZ543)*IF($BR543="Emissions positive",-1,1)</f>
        <v>297.27</v>
      </c>
      <c r="CX543">
        <f>IFERROR($CW543/$CS543,"")</f>
        <v>0.51864606818181813</v>
      </c>
      <c r="CY543">
        <f>IFERROR($CW543/$CS543,"")</f>
        <v>0.51864606818181813</v>
      </c>
      <c r="CZ543">
        <f>IFERROR($CW543/$CT543,"")</f>
        <v>0.51864606818181813</v>
      </c>
      <c r="DA543" s="2">
        <f>IFERROR((CV543-CU543)/ABS(CU543),"")</f>
        <v>27</v>
      </c>
      <c r="DB543" s="1" t="s">
        <v>263</v>
      </c>
      <c r="DC543" t="str">
        <f>IF(OR($DB543="prd",$DB543="std",$DB543="cit"),"loc",IF(OR($DB543="eur",$DB543="reg",$DB543="coy"),"reg",$DB543))</f>
        <v>loc</v>
      </c>
      <c r="DD543" t="s">
        <v>444</v>
      </c>
      <c r="DG543">
        <v>300</v>
      </c>
      <c r="DH543" t="str">
        <f>IF(DG543=0,"0",IF(AND(DG543&gt;=1,DG543&lt;=30),"1-30",IF(AND(DG543&gt;30,DG543&lt;=70),"31-70",IF(AND(DG543&gt;70,DG543&lt;=100),"71-100",IF(DG543&gt;100,"+100")))))</f>
        <v>+100</v>
      </c>
      <c r="DI543">
        <v>0</v>
      </c>
      <c r="DJ543">
        <v>0</v>
      </c>
      <c r="DK543">
        <v>0</v>
      </c>
      <c r="DL543">
        <v>1</v>
      </c>
      <c r="DN543">
        <f>SUM(DI543:DL543)</f>
        <v>1</v>
      </c>
      <c r="DO543" t="str">
        <f>IF(DN543=1,INDEX($DI$7:$DL$7,MATCH(1,$DI543:$DL543,0)),"mixedProduct")</f>
        <v>TimberInput</v>
      </c>
      <c r="DP543">
        <f>IF(DI543=1,DP$7,0)</f>
        <v>0</v>
      </c>
      <c r="DQ543">
        <f>IF(DJ543=1,DQ$7,0)</f>
        <v>0</v>
      </c>
      <c r="DR543">
        <f>IF(DK543=1,DR$7,0)</f>
        <v>0</v>
      </c>
      <c r="DS543" t="str">
        <f>IF(DL543=1,DS$7,0)</f>
        <v>Timber</v>
      </c>
      <c r="DT543">
        <v>1</v>
      </c>
      <c r="DU543" s="143">
        <v>0</v>
      </c>
      <c r="DV543" s="143">
        <v>0</v>
      </c>
      <c r="DW543" s="143">
        <v>0</v>
      </c>
      <c r="DX543">
        <v>0</v>
      </c>
      <c r="DY543">
        <f>SUM(DT543:DU543)</f>
        <v>1</v>
      </c>
      <c r="DZ543" s="143" t="str">
        <f>IF(DT543=1,"self-calculated DF",IF(DU543=1,"external DF used","explicit C balance"))</f>
        <v>self-calculated DF</v>
      </c>
      <c r="EA543">
        <v>0</v>
      </c>
      <c r="EB543" s="143">
        <v>0</v>
      </c>
      <c r="EC543" s="143">
        <v>1</v>
      </c>
      <c r="ED543" s="143">
        <v>1</v>
      </c>
      <c r="EE543">
        <v>1</v>
      </c>
      <c r="EF543" s="143">
        <v>1</v>
      </c>
      <c r="EG543">
        <v>0</v>
      </c>
      <c r="EH543" s="143">
        <v>1</v>
      </c>
      <c r="EI543" s="143">
        <v>0</v>
      </c>
      <c r="EJ543">
        <v>0</v>
      </c>
      <c r="EK543">
        <v>0</v>
      </c>
      <c r="EL543" s="143">
        <v>0</v>
      </c>
      <c r="EM543" s="143">
        <v>0</v>
      </c>
      <c r="EN543" s="2">
        <v>0</v>
      </c>
      <c r="EO543" s="358"/>
      <c r="EP543" t="str">
        <f>IF(AND(AND(AND(OR($EC543=1,$EB543=1),OR($EH543=1,$EF543=1)),SUM($EA543:$EE543,$EK543)&gt;=3),SUM($EF543:$EJ543)&gt;=2),"Whole sector approach","")</f>
        <v>Whole sector approach</v>
      </c>
      <c r="EQ543" t="str">
        <f>IF(AND(AND(OR($EC543=1,$EB543=1),AND($EH543=0,$EF543=0)),SUM($EA543:$EE543,$EK543)&gt;=4),"Ecosystem approach","")</f>
        <v/>
      </c>
      <c r="ER543" s="2" t="str">
        <f>IF(AND(AND(AND($EC543=0,$EB543=0),OR($EH543=1,$EF543=1)),SUM($EG543:$EJ543)&gt;=2),"Technology approach","")</f>
        <v/>
      </c>
      <c r="ES543" t="str">
        <f>IF(AND($EC543+$EB543+$EE543+$EA543+$ED543+$EG543=0,$N543="included"),"C neutral forest and HWP assumption","")</f>
        <v/>
      </c>
      <c r="ET543" t="str">
        <f>IF(AND(AND(AND(AND($EC543=1,$EB543+$EA543+$EG543&gt;=1),$EF543=1),$EH543+$EI543+$ED543+$EE543&gt;=2),$N543="included"),"All C pools assumption","")</f>
        <v/>
      </c>
      <c r="EU543" t="str">
        <f>IF(AND($ED543+$EE543+$EI543+$EH543+$EF543=0,$N543="included"),"In-situ only assumption","")</f>
        <v/>
      </c>
      <c r="EW543" t="s">
        <v>445</v>
      </c>
      <c r="EY543" t="str">
        <f>IF(ISNUMBER(BW543),IF(ABS(BW543-[6]QC_indicators!$B$2)&gt;3*[6]QC_indicators!$C$2,"C ratio",IF(ISNUMBER(CA543),IF(ABS(CA543-[6]QC_indicators!$B$1)&gt;3*[6]QC_indicators!$C$1,"DF","no"))),IF(ISNUMBER(CA543),IF(ABS(CA543-[6]QC_indicators!$B$1)&gt;3*[6]QC_indicators!$C$1,"DF","no")))</f>
        <v>C ratio</v>
      </c>
      <c r="EZ543" t="s">
        <v>450</v>
      </c>
      <c r="FA543" t="str">
        <f>IF(LEN($CY543)=0,"",IF(AND($CY543&lt;(-0.05),$ES543="C neutral forest and HWP assumption"),"Cneutral paradox",IF(AND($CY543&gt;0.05,$EU543="In-situ only assumption"),"In-situ only paradox","")))</f>
        <v/>
      </c>
      <c r="FD543" s="260" t="s">
        <v>2948</v>
      </c>
    </row>
    <row r="544" spans="1:160" ht="15" hidden="1" customHeight="1">
      <c r="A544" s="1" t="s">
        <v>430</v>
      </c>
      <c r="B544" t="s">
        <v>431</v>
      </c>
      <c r="C544" t="s">
        <v>432</v>
      </c>
      <c r="D544" t="s">
        <v>433</v>
      </c>
      <c r="E544" t="s">
        <v>434</v>
      </c>
      <c r="F544" t="s">
        <v>435</v>
      </c>
      <c r="G544" t="s">
        <v>436</v>
      </c>
      <c r="H544" t="s">
        <v>254</v>
      </c>
      <c r="I544">
        <v>2000</v>
      </c>
      <c r="J544">
        <v>174</v>
      </c>
      <c r="K544" t="s">
        <v>437</v>
      </c>
      <c r="M544" t="str">
        <f>LEFT($D544,FIND(",",$D544)-1)&amp;"_"&amp;I544&amp;L544</f>
        <v>Borjesson_2000</v>
      </c>
      <c r="N544" t="s">
        <v>222</v>
      </c>
      <c r="O544" s="145" t="s">
        <v>223</v>
      </c>
      <c r="Q544" t="s">
        <v>256</v>
      </c>
      <c r="R544" s="251" t="s">
        <v>225</v>
      </c>
      <c r="S544" s="1" t="s">
        <v>438</v>
      </c>
      <c r="T544" t="s">
        <v>447</v>
      </c>
      <c r="U544" t="s">
        <v>452</v>
      </c>
      <c r="V544" s="253">
        <v>0</v>
      </c>
      <c r="W544" s="253">
        <v>0</v>
      </c>
      <c r="X544">
        <v>0</v>
      </c>
      <c r="Y544">
        <v>0</v>
      </c>
      <c r="Z544">
        <v>0</v>
      </c>
      <c r="AA544">
        <v>0</v>
      </c>
      <c r="AB544">
        <v>0</v>
      </c>
      <c r="AC544">
        <v>0</v>
      </c>
      <c r="AD544">
        <v>0</v>
      </c>
      <c r="AE544">
        <v>0</v>
      </c>
      <c r="AF544">
        <v>0</v>
      </c>
      <c r="AG544">
        <v>0</v>
      </c>
      <c r="AH544">
        <v>0</v>
      </c>
      <c r="AI544">
        <v>0</v>
      </c>
      <c r="AJ544">
        <v>0</v>
      </c>
      <c r="AK544">
        <v>0</v>
      </c>
      <c r="AL544">
        <v>0</v>
      </c>
      <c r="AM544">
        <v>1</v>
      </c>
      <c r="AN544">
        <v>0</v>
      </c>
      <c r="AO544">
        <v>0</v>
      </c>
      <c r="AP544">
        <v>0</v>
      </c>
      <c r="AQ544">
        <v>0</v>
      </c>
      <c r="AR544">
        <v>0</v>
      </c>
      <c r="AS544">
        <v>0</v>
      </c>
      <c r="AT544">
        <v>0</v>
      </c>
      <c r="AU544">
        <v>0</v>
      </c>
      <c r="AV544">
        <v>0</v>
      </c>
      <c r="AW544">
        <v>0</v>
      </c>
      <c r="AX544">
        <v>0</v>
      </c>
      <c r="AY544">
        <v>0</v>
      </c>
      <c r="AZ544" s="141">
        <f>COUNTIF(X544:AY544,"&lt;&gt;0")</f>
        <v>1</v>
      </c>
      <c r="BA544" s="141">
        <f>COUNTIF(X544:AN544,"&lt;&gt;0")</f>
        <v>1</v>
      </c>
      <c r="BB544">
        <f>COUNTIF(X544:AE544,"&lt;&gt;0")</f>
        <v>0</v>
      </c>
      <c r="BC544">
        <f>COUNTIF(AF544:AK544,"&lt;&gt;0")</f>
        <v>0</v>
      </c>
      <c r="BD544">
        <f>COUNTIF(AL544:AN544,"&lt;&gt;0")</f>
        <v>1</v>
      </c>
      <c r="BE544">
        <f>COUNTIF(AU544:AY544,"&lt;&gt;0")</f>
        <v>0</v>
      </c>
      <c r="BF544">
        <f>COUNTIF(AO544:AT544,"&lt;&gt;0")</f>
        <v>0</v>
      </c>
      <c r="BG544" t="str">
        <f t="array" ref="BG544">IF(BA544=1,INDEX($X$7:$AN$7,MATCH(TRUE,INDEX($X544:$AY544&lt;&gt;0,),0)),IF(BA544=0,INDEX($AO$7:$AY$7,MATCH(1,$AO544:$AY544,0)),IF(BH544="Multiple strategies","mixed drivers",IF(BH544="Supply chain","multiple supply","multiple silviculture"))))</f>
        <v>technologies/design switch</v>
      </c>
      <c r="BH544" s="2" t="str" cm="1">
        <f t="array" ref="BH544">IF(COUNTIF(BB544:BD544,"&lt;&gt;0")=1,INDEX($X$4:$AY$4,MATCH(TRUE,INDEX($X544:$AY544&lt;&gt;0,),0)),IF(COUNTIF(BB544:BD544,"&lt;&gt;0")=0,INDEX($AO$4:$AY$4,MATCH(1,$AO544:$AY544,0)),"Multiple strategies"))</f>
        <v>Technology</v>
      </c>
      <c r="BI544" s="142" t="s">
        <v>229</v>
      </c>
      <c r="BJ544" t="s">
        <v>441</v>
      </c>
      <c r="BK544" s="260" t="s">
        <v>2949</v>
      </c>
      <c r="BL544" s="143" t="s">
        <v>442</v>
      </c>
      <c r="BM544">
        <v>0</v>
      </c>
      <c r="BN544">
        <f>3*44</f>
        <v>132</v>
      </c>
      <c r="BO544" s="143" t="e">
        <f>BN544/BM544</f>
        <v>#DIV/0!</v>
      </c>
      <c r="BP544">
        <f>BN544-BM544</f>
        <v>132</v>
      </c>
      <c r="BQ544">
        <f>BP544*tC_to_m3</f>
        <v>573.16543638732094</v>
      </c>
      <c r="BR544" t="s">
        <v>232</v>
      </c>
      <c r="BS544" s="256" t="s">
        <v>793</v>
      </c>
      <c r="BT544" t="s">
        <v>443</v>
      </c>
      <c r="BU544" s="141">
        <v>6</v>
      </c>
      <c r="BV544" s="141">
        <v>84</v>
      </c>
      <c r="BW544" s="144">
        <f>IFERROR(BV544/BU544,"")</f>
        <v>14</v>
      </c>
      <c r="BX544">
        <f>BV544-BU544</f>
        <v>78</v>
      </c>
      <c r="BZ544">
        <f>BX544*C_to_CO2</f>
        <v>286.26</v>
      </c>
      <c r="CA544">
        <f>IFERROR(BZ544/BQ544,"")</f>
        <v>0.4994369545454545</v>
      </c>
      <c r="CB544" s="143">
        <v>0</v>
      </c>
      <c r="CC544" s="143">
        <v>0</v>
      </c>
      <c r="CD544" s="143">
        <v>0</v>
      </c>
      <c r="CE544" s="143">
        <v>0</v>
      </c>
      <c r="CF544" s="143">
        <v>0</v>
      </c>
      <c r="CG544" s="143">
        <v>0</v>
      </c>
      <c r="CH544" s="143">
        <v>0</v>
      </c>
      <c r="CI544" s="143">
        <v>0</v>
      </c>
      <c r="CJ544" s="143">
        <v>0</v>
      </c>
      <c r="CK544" s="143">
        <v>0</v>
      </c>
      <c r="CL544" s="143">
        <v>0</v>
      </c>
      <c r="CM544" s="143">
        <v>0</v>
      </c>
      <c r="CN544" s="143">
        <v>0</v>
      </c>
      <c r="CO544">
        <v>0</v>
      </c>
      <c r="CP544" t="str">
        <f>IF($BN544&lt;$BM544,"refNeedCorrection","refOK")</f>
        <v>refOK</v>
      </c>
      <c r="CQ544">
        <f>IF($CP544="refOK",$BM544,$BN544)</f>
        <v>0</v>
      </c>
      <c r="CR544">
        <f>IF($CP544="refOK",$BN544,$BM544)</f>
        <v>132</v>
      </c>
      <c r="CS544">
        <f>IF($CP544="refOK",$BQ544,-$BQ544)</f>
        <v>573.16543638732094</v>
      </c>
      <c r="CT544">
        <f>IF(BI544="Roundwood",$CS544/2,$CS544)</f>
        <v>573.16543638732094</v>
      </c>
      <c r="CU544">
        <f>IF($CP544="refOK",$BU544,$BV544)*IF($BR544="Emissions positive",-1,1)</f>
        <v>6</v>
      </c>
      <c r="CV544">
        <f>IF($CP544="refOK",$BV544,$BU544)*IF($BR544="Emissions positive",-1,1)</f>
        <v>84</v>
      </c>
      <c r="CW544">
        <f>IF($CP544="refNeedCorrection",-BZ544,BZ544)*IF($BR544="Emissions positive",-1,1)</f>
        <v>286.26</v>
      </c>
      <c r="CX544">
        <f>IFERROR($CW544/$CS544,"")</f>
        <v>0.4994369545454545</v>
      </c>
      <c r="CY544">
        <f>IFERROR($CW544/$CS544,"")</f>
        <v>0.4994369545454545</v>
      </c>
      <c r="CZ544">
        <f>IFERROR($CW544/$CT544,"")</f>
        <v>0.4994369545454545</v>
      </c>
      <c r="DA544" s="2">
        <f>IFERROR((CV544-CU544)/ABS(CU544),"")</f>
        <v>13</v>
      </c>
      <c r="DB544" s="1" t="s">
        <v>263</v>
      </c>
      <c r="DC544" t="str">
        <f>IF(OR($DB544="prd",$DB544="std",$DB544="cit"),"loc",IF(OR($DB544="eur",$DB544="reg",$DB544="coy"),"reg",$DB544))</f>
        <v>loc</v>
      </c>
      <c r="DD544" t="s">
        <v>444</v>
      </c>
      <c r="DG544">
        <v>300</v>
      </c>
      <c r="DH544" t="str">
        <f>IF(DG544=0,"0",IF(AND(DG544&gt;=1,DG544&lt;=30),"1-30",IF(AND(DG544&gt;30,DG544&lt;=70),"31-70",IF(AND(DG544&gt;70,DG544&lt;=100),"71-100",IF(DG544&gt;100,"+100")))))</f>
        <v>+100</v>
      </c>
      <c r="DI544">
        <v>0</v>
      </c>
      <c r="DJ544">
        <v>0</v>
      </c>
      <c r="DK544">
        <v>0</v>
      </c>
      <c r="DL544">
        <v>1</v>
      </c>
      <c r="DN544">
        <f>SUM(DI544:DL544)</f>
        <v>1</v>
      </c>
      <c r="DO544" t="str">
        <f>IF(DN544=1,INDEX($DI$7:$DL$7,MATCH(1,$DI544:$DL544,0)),"mixedProduct")</f>
        <v>TimberInput</v>
      </c>
      <c r="DP544">
        <f>IF(DI544=1,DP$7,0)</f>
        <v>0</v>
      </c>
      <c r="DQ544">
        <f>IF(DJ544=1,DQ$7,0)</f>
        <v>0</v>
      </c>
      <c r="DR544">
        <f>IF(DK544=1,DR$7,0)</f>
        <v>0</v>
      </c>
      <c r="DS544" t="str">
        <f>IF(DL544=1,DS$7,0)</f>
        <v>Timber</v>
      </c>
      <c r="DT544">
        <v>1</v>
      </c>
      <c r="DU544" s="143">
        <v>0</v>
      </c>
      <c r="DV544" s="143">
        <v>0</v>
      </c>
      <c r="DW544" s="143">
        <v>0</v>
      </c>
      <c r="DX544">
        <v>0</v>
      </c>
      <c r="DY544">
        <f>SUM(DT544:DU544)</f>
        <v>1</v>
      </c>
      <c r="DZ544" s="143" t="str">
        <f>IF(DT544=1,"self-calculated DF",IF(DU544=1,"external DF used","explicit C balance"))</f>
        <v>self-calculated DF</v>
      </c>
      <c r="EA544">
        <v>0</v>
      </c>
      <c r="EB544" s="143">
        <v>0</v>
      </c>
      <c r="EC544" s="143">
        <v>1</v>
      </c>
      <c r="ED544" s="143">
        <v>1</v>
      </c>
      <c r="EE544">
        <v>1</v>
      </c>
      <c r="EF544" s="143">
        <v>1</v>
      </c>
      <c r="EG544">
        <v>0</v>
      </c>
      <c r="EH544" s="143">
        <v>1</v>
      </c>
      <c r="EI544" s="143">
        <v>0</v>
      </c>
      <c r="EJ544">
        <v>0</v>
      </c>
      <c r="EK544">
        <v>0</v>
      </c>
      <c r="EL544" s="143">
        <v>0</v>
      </c>
      <c r="EM544" s="143">
        <v>0</v>
      </c>
      <c r="EN544" s="2">
        <v>0</v>
      </c>
      <c r="EO544" s="358"/>
      <c r="EP544" t="str">
        <f>IF(AND(AND(AND(OR($EC544=1,$EB544=1),OR($EH544=1,$EF544=1)),SUM($EA544:$EE544,$EK544)&gt;=3),SUM($EF544:$EJ544)&gt;=2),"Whole sector approach","")</f>
        <v>Whole sector approach</v>
      </c>
      <c r="EQ544" t="str">
        <f>IF(AND(AND(OR($EC544=1,$EB544=1),AND($EH544=0,$EF544=0)),SUM($EA544:$EE544,$EK544)&gt;=4),"Ecosystem approach","")</f>
        <v/>
      </c>
      <c r="ER544" s="2" t="str">
        <f>IF(AND(AND(AND($EC544=0,$EB544=0),OR($EH544=1,$EF544=1)),SUM($EG544:$EJ544)&gt;=2),"Technology approach","")</f>
        <v/>
      </c>
      <c r="ES544" t="str">
        <f>IF(AND($EC544+$EB544+$EE544+$EA544+$ED544+$EG544=0,$N544="included"),"C neutral forest and HWP assumption","")</f>
        <v/>
      </c>
      <c r="ET544" t="str">
        <f>IF(AND(AND(AND(AND($EC544=1,$EB544+$EA544+$EG544&gt;=1),$EF544=1),$EH544+$EI544+$ED544+$EE544&gt;=2),$N544="included"),"All C pools assumption","")</f>
        <v/>
      </c>
      <c r="EU544" t="str">
        <f>IF(AND($ED544+$EE544+$EI544+$EH544+$EF544=0,$N544="included"),"In-situ only assumption","")</f>
        <v/>
      </c>
      <c r="EW544" t="s">
        <v>445</v>
      </c>
      <c r="EY544" t="str">
        <f>IF(ISNUMBER(BW544),IF(ABS(BW544-[6]QC_indicators!$B$2)&gt;3*[6]QC_indicators!$C$2,"C ratio",IF(ISNUMBER(CA544),IF(ABS(CA544-[6]QC_indicators!$B$1)&gt;3*[6]QC_indicators!$C$1,"DF","no"))),IF(ISNUMBER(CA544),IF(ABS(CA544-[6]QC_indicators!$B$1)&gt;3*[6]QC_indicators!$C$1,"DF","no")))</f>
        <v>no</v>
      </c>
      <c r="EZ544" t="s">
        <v>450</v>
      </c>
      <c r="FA544" t="str">
        <f>IF(LEN($CY544)=0,"",IF(AND($CY544&lt;(-0.05),$ES544="C neutral forest and HWP assumption"),"Cneutral paradox",IF(AND($CY544&gt;0.05,$EU544="In-situ only assumption"),"In-situ only paradox","")))</f>
        <v/>
      </c>
      <c r="FD544" s="260" t="s">
        <v>2948</v>
      </c>
    </row>
    <row r="545" spans="1:160" ht="15" hidden="1" customHeight="1">
      <c r="A545" s="1" t="s">
        <v>430</v>
      </c>
      <c r="B545" t="s">
        <v>431</v>
      </c>
      <c r="C545" t="s">
        <v>432</v>
      </c>
      <c r="D545" t="s">
        <v>433</v>
      </c>
      <c r="E545" t="s">
        <v>434</v>
      </c>
      <c r="F545" t="s">
        <v>435</v>
      </c>
      <c r="G545" t="s">
        <v>436</v>
      </c>
      <c r="H545" t="s">
        <v>254</v>
      </c>
      <c r="I545">
        <v>2000</v>
      </c>
      <c r="J545">
        <v>174</v>
      </c>
      <c r="K545" t="s">
        <v>437</v>
      </c>
      <c r="M545" t="str">
        <f>LEFT($D545,FIND(",",$D545)-1)&amp;"_"&amp;I545&amp;L545</f>
        <v>Borjesson_2000</v>
      </c>
      <c r="N545" t="s">
        <v>222</v>
      </c>
      <c r="O545" s="145" t="s">
        <v>223</v>
      </c>
      <c r="Q545" t="s">
        <v>256</v>
      </c>
      <c r="R545" s="251" t="s">
        <v>225</v>
      </c>
      <c r="S545" s="1" t="s">
        <v>438</v>
      </c>
      <c r="T545" t="s">
        <v>446</v>
      </c>
      <c r="U545" t="s">
        <v>456</v>
      </c>
      <c r="V545" s="253">
        <v>0</v>
      </c>
      <c r="W545" s="253">
        <v>0</v>
      </c>
      <c r="X545">
        <v>0</v>
      </c>
      <c r="Y545">
        <v>0</v>
      </c>
      <c r="Z545">
        <v>0</v>
      </c>
      <c r="AA545">
        <v>0</v>
      </c>
      <c r="AB545">
        <v>0</v>
      </c>
      <c r="AC545">
        <v>0</v>
      </c>
      <c r="AD545">
        <v>0</v>
      </c>
      <c r="AE545">
        <v>0</v>
      </c>
      <c r="AF545">
        <v>0</v>
      </c>
      <c r="AG545">
        <v>0</v>
      </c>
      <c r="AH545">
        <v>0</v>
      </c>
      <c r="AI545">
        <v>0</v>
      </c>
      <c r="AJ545">
        <v>0</v>
      </c>
      <c r="AK545">
        <v>0</v>
      </c>
      <c r="AL545">
        <v>0</v>
      </c>
      <c r="AM545">
        <v>1</v>
      </c>
      <c r="AN545">
        <v>0</v>
      </c>
      <c r="AO545">
        <v>0</v>
      </c>
      <c r="AP545">
        <v>0</v>
      </c>
      <c r="AQ545">
        <v>0</v>
      </c>
      <c r="AR545">
        <v>0</v>
      </c>
      <c r="AS545">
        <v>0</v>
      </c>
      <c r="AT545">
        <v>0</v>
      </c>
      <c r="AU545">
        <v>0</v>
      </c>
      <c r="AV545">
        <v>0</v>
      </c>
      <c r="AW545">
        <v>0</v>
      </c>
      <c r="AX545">
        <v>0</v>
      </c>
      <c r="AY545">
        <v>0</v>
      </c>
      <c r="AZ545" s="141">
        <f>COUNTIF(X545:AY545,"&lt;&gt;0")</f>
        <v>1</v>
      </c>
      <c r="BA545" s="141">
        <f>COUNTIF(X545:AN545,"&lt;&gt;0")</f>
        <v>1</v>
      </c>
      <c r="BB545">
        <f>COUNTIF(X545:AE545,"&lt;&gt;0")</f>
        <v>0</v>
      </c>
      <c r="BC545">
        <f>COUNTIF(AF545:AK545,"&lt;&gt;0")</f>
        <v>0</v>
      </c>
      <c r="BD545">
        <f>COUNTIF(AL545:AN545,"&lt;&gt;0")</f>
        <v>1</v>
      </c>
      <c r="BE545">
        <f>COUNTIF(AU545:AY545,"&lt;&gt;0")</f>
        <v>0</v>
      </c>
      <c r="BF545">
        <f>COUNTIF(AO545:AT545,"&lt;&gt;0")</f>
        <v>0</v>
      </c>
      <c r="BG545" t="str">
        <f t="array" ref="BG545">IF(BA545=1,INDEX($X$7:$AN$7,MATCH(TRUE,INDEX($X545:$AY545&lt;&gt;0,),0)),IF(BA545=0,INDEX($AO$7:$AY$7,MATCH(1,$AO545:$AY545,0)),IF(BH545="Multiple strategies","mixed drivers",IF(BH545="Supply chain","multiple supply","multiple silviculture"))))</f>
        <v>technologies/design switch</v>
      </c>
      <c r="BH545" s="2" t="str" cm="1">
        <f t="array" ref="BH545">IF(COUNTIF(BB545:BD545,"&lt;&gt;0")=1,INDEX($X$4:$AY$4,MATCH(TRUE,INDEX($X545:$AY545&lt;&gt;0,),0)),IF(COUNTIF(BB545:BD545,"&lt;&gt;0")=0,INDEX($AO$4:$AY$4,MATCH(1,$AO545:$AY545,0)),"Multiple strategies"))</f>
        <v>Technology</v>
      </c>
      <c r="BI545" s="142" t="s">
        <v>229</v>
      </c>
      <c r="BJ545" t="s">
        <v>441</v>
      </c>
      <c r="BK545" s="260" t="s">
        <v>2949</v>
      </c>
      <c r="BL545" s="143" t="s">
        <v>442</v>
      </c>
      <c r="BM545">
        <v>0</v>
      </c>
      <c r="BN545">
        <f>3*44</f>
        <v>132</v>
      </c>
      <c r="BO545" s="143" t="e">
        <f>BN545/BM545</f>
        <v>#DIV/0!</v>
      </c>
      <c r="BP545">
        <f>BN545-BM545</f>
        <v>132</v>
      </c>
      <c r="BQ545">
        <f>BP545*tC_to_m3</f>
        <v>573.16543638732094</v>
      </c>
      <c r="BR545" t="s">
        <v>232</v>
      </c>
      <c r="BS545" s="256" t="s">
        <v>793</v>
      </c>
      <c r="BT545" t="s">
        <v>443</v>
      </c>
      <c r="BU545" s="141">
        <v>18</v>
      </c>
      <c r="BV545" s="141">
        <v>93</v>
      </c>
      <c r="BW545" s="144">
        <f>IFERROR(BV545/BU545,"")</f>
        <v>5.166666666666667</v>
      </c>
      <c r="BX545">
        <f>BV545-BU545</f>
        <v>75</v>
      </c>
      <c r="BZ545">
        <f>BX545*C_to_CO2</f>
        <v>275.25</v>
      </c>
      <c r="CA545">
        <f>IFERROR(BZ545/BQ545,"")</f>
        <v>0.48022784090909088</v>
      </c>
      <c r="CB545" s="143">
        <v>0</v>
      </c>
      <c r="CC545" s="143">
        <v>0</v>
      </c>
      <c r="CD545" s="143">
        <v>0</v>
      </c>
      <c r="CE545" s="143">
        <v>0</v>
      </c>
      <c r="CF545" s="143">
        <v>0</v>
      </c>
      <c r="CG545" s="143">
        <v>0</v>
      </c>
      <c r="CH545" s="143">
        <v>0</v>
      </c>
      <c r="CI545" s="143">
        <v>0</v>
      </c>
      <c r="CJ545" s="143">
        <v>0</v>
      </c>
      <c r="CK545" s="143">
        <v>0</v>
      </c>
      <c r="CL545" s="143">
        <v>0</v>
      </c>
      <c r="CM545" s="143">
        <v>0</v>
      </c>
      <c r="CN545" s="143">
        <v>0</v>
      </c>
      <c r="CO545">
        <v>0</v>
      </c>
      <c r="CP545" t="str">
        <f>IF($BN545&lt;$BM545,"refNeedCorrection","refOK")</f>
        <v>refOK</v>
      </c>
      <c r="CQ545">
        <f>IF($CP545="refOK",$BM545,$BN545)</f>
        <v>0</v>
      </c>
      <c r="CR545">
        <f>IF($CP545="refOK",$BN545,$BM545)</f>
        <v>132</v>
      </c>
      <c r="CS545">
        <f>IF($CP545="refOK",$BQ545,-$BQ545)</f>
        <v>573.16543638732094</v>
      </c>
      <c r="CT545">
        <f>IF(BI545="Roundwood",$CS545/2,$CS545)</f>
        <v>573.16543638732094</v>
      </c>
      <c r="CU545">
        <f>IF($CP545="refOK",$BU545,$BV545)*IF($BR545="Emissions positive",-1,1)</f>
        <v>18</v>
      </c>
      <c r="CV545">
        <f>IF($CP545="refOK",$BV545,$BU545)*IF($BR545="Emissions positive",-1,1)</f>
        <v>93</v>
      </c>
      <c r="CW545">
        <f>IF($CP545="refNeedCorrection",-BZ545,BZ545)*IF($BR545="Emissions positive",-1,1)</f>
        <v>275.25</v>
      </c>
      <c r="CX545">
        <f>IFERROR($CW545/$CS545,"")</f>
        <v>0.48022784090909088</v>
      </c>
      <c r="CY545">
        <f>IFERROR($CW545/$CS545,"")</f>
        <v>0.48022784090909088</v>
      </c>
      <c r="CZ545">
        <f>IFERROR($CW545/$CT545,"")</f>
        <v>0.48022784090909088</v>
      </c>
      <c r="DA545" s="2">
        <f>IFERROR((CV545-CU545)/ABS(CU545),"")</f>
        <v>4.166666666666667</v>
      </c>
      <c r="DB545" s="1" t="s">
        <v>263</v>
      </c>
      <c r="DC545" t="str">
        <f>IF(OR($DB545="prd",$DB545="std",$DB545="cit"),"loc",IF(OR($DB545="eur",$DB545="reg",$DB545="coy"),"reg",$DB545))</f>
        <v>loc</v>
      </c>
      <c r="DD545" t="s">
        <v>444</v>
      </c>
      <c r="DG545">
        <v>300</v>
      </c>
      <c r="DH545" t="str">
        <f>IF(DG545=0,"0",IF(AND(DG545&gt;=1,DG545&lt;=30),"1-30",IF(AND(DG545&gt;30,DG545&lt;=70),"31-70",IF(AND(DG545&gt;70,DG545&lt;=100),"71-100",IF(DG545&gt;100,"+100")))))</f>
        <v>+100</v>
      </c>
      <c r="DI545">
        <v>0</v>
      </c>
      <c r="DJ545">
        <v>0</v>
      </c>
      <c r="DK545">
        <v>0</v>
      </c>
      <c r="DL545">
        <v>1</v>
      </c>
      <c r="DN545">
        <f>SUM(DI545:DL545)</f>
        <v>1</v>
      </c>
      <c r="DO545" t="str">
        <f>IF(DN545=1,INDEX($DI$7:$DL$7,MATCH(1,$DI545:$DL545,0)),"mixedProduct")</f>
        <v>TimberInput</v>
      </c>
      <c r="DP545">
        <f>IF(DI545=1,DP$7,0)</f>
        <v>0</v>
      </c>
      <c r="DQ545">
        <f>IF(DJ545=1,DQ$7,0)</f>
        <v>0</v>
      </c>
      <c r="DR545">
        <f>IF(DK545=1,DR$7,0)</f>
        <v>0</v>
      </c>
      <c r="DS545" t="str">
        <f>IF(DL545=1,DS$7,0)</f>
        <v>Timber</v>
      </c>
      <c r="DT545">
        <v>1</v>
      </c>
      <c r="DU545" s="143">
        <v>0</v>
      </c>
      <c r="DV545" s="143">
        <v>0</v>
      </c>
      <c r="DW545" s="143">
        <v>0</v>
      </c>
      <c r="DX545">
        <v>0</v>
      </c>
      <c r="DY545">
        <f>SUM(DT545:DU545)</f>
        <v>1</v>
      </c>
      <c r="DZ545" s="143" t="str">
        <f>IF(DT545=1,"self-calculated DF",IF(DU545=1,"external DF used","explicit C balance"))</f>
        <v>self-calculated DF</v>
      </c>
      <c r="EA545">
        <v>0</v>
      </c>
      <c r="EB545" s="143">
        <v>0</v>
      </c>
      <c r="EC545" s="143">
        <v>1</v>
      </c>
      <c r="ED545" s="143">
        <v>1</v>
      </c>
      <c r="EE545">
        <v>1</v>
      </c>
      <c r="EF545" s="143">
        <v>1</v>
      </c>
      <c r="EG545">
        <v>0</v>
      </c>
      <c r="EH545" s="143">
        <v>1</v>
      </c>
      <c r="EI545" s="143">
        <v>0</v>
      </c>
      <c r="EJ545">
        <v>0</v>
      </c>
      <c r="EK545">
        <v>0</v>
      </c>
      <c r="EL545" s="143">
        <v>0</v>
      </c>
      <c r="EM545" s="143">
        <v>0</v>
      </c>
      <c r="EN545" s="2">
        <v>0</v>
      </c>
      <c r="EO545" s="358"/>
      <c r="EP545" t="str">
        <f>IF(AND(AND(AND(OR($EC545=1,$EB545=1),OR($EH545=1,$EF545=1)),SUM($EA545:$EE545,$EK545)&gt;=3),SUM($EF545:$EJ545)&gt;=2),"Whole sector approach","")</f>
        <v>Whole sector approach</v>
      </c>
      <c r="EQ545" t="str">
        <f>IF(AND(AND(OR($EC545=1,$EB545=1),AND($EH545=0,$EF545=0)),SUM($EA545:$EE545,$EK545)&gt;=4),"Ecosystem approach","")</f>
        <v/>
      </c>
      <c r="ER545" s="2" t="str">
        <f>IF(AND(AND(AND($EC545=0,$EB545=0),OR($EH545=1,$EF545=1)),SUM($EG545:$EJ545)&gt;=2),"Technology approach","")</f>
        <v/>
      </c>
      <c r="ES545" t="str">
        <f>IF(AND($EC545+$EB545+$EE545+$EA545+$ED545+$EG545=0,$N545="included"),"C neutral forest and HWP assumption","")</f>
        <v/>
      </c>
      <c r="ET545" t="str">
        <f>IF(AND(AND(AND(AND($EC545=1,$EB545+$EA545+$EG545&gt;=1),$EF545=1),$EH545+$EI545+$ED545+$EE545&gt;=2),$N545="included"),"All C pools assumption","")</f>
        <v/>
      </c>
      <c r="EU545" t="str">
        <f>IF(AND($ED545+$EE545+$EI545+$EH545+$EF545=0,$N545="included"),"In-situ only assumption","")</f>
        <v/>
      </c>
      <c r="EW545" t="s">
        <v>445</v>
      </c>
      <c r="EY545" t="str">
        <f>IF(ISNUMBER(BW545),IF(ABS(BW545-[6]QC_indicators!$B$2)&gt;3*[6]QC_indicators!$C$2,"C ratio",IF(ISNUMBER(CA545),IF(ABS(CA545-[6]QC_indicators!$B$1)&gt;3*[6]QC_indicators!$C$1,"DF","no"))),IF(ISNUMBER(CA545),IF(ABS(CA545-[6]QC_indicators!$B$1)&gt;3*[6]QC_indicators!$C$1,"DF","no")))</f>
        <v>no</v>
      </c>
      <c r="FA545" t="str">
        <f>IF(LEN($CY545)=0,"",IF(AND($CY545&lt;(-0.05),$ES545="C neutral forest and HWP assumption"),"Cneutral paradox",IF(AND($CY545&gt;0.05,$EU545="In-situ only assumption"),"In-situ only paradox","")))</f>
        <v/>
      </c>
      <c r="FD545" s="260" t="s">
        <v>2948</v>
      </c>
    </row>
    <row r="546" spans="1:160" ht="18" hidden="1" customHeight="1">
      <c r="A546" s="1" t="s">
        <v>430</v>
      </c>
      <c r="B546" t="s">
        <v>431</v>
      </c>
      <c r="C546" t="s">
        <v>432</v>
      </c>
      <c r="D546" t="s">
        <v>433</v>
      </c>
      <c r="E546" t="s">
        <v>434</v>
      </c>
      <c r="F546" t="s">
        <v>435</v>
      </c>
      <c r="G546" t="s">
        <v>436</v>
      </c>
      <c r="H546" t="s">
        <v>254</v>
      </c>
      <c r="I546">
        <v>2000</v>
      </c>
      <c r="J546">
        <v>174</v>
      </c>
      <c r="K546" t="s">
        <v>437</v>
      </c>
      <c r="M546" t="str">
        <f>LEFT($D546,FIND(",",$D546)-1)&amp;"_"&amp;I546&amp;L546</f>
        <v>Borjesson_2000</v>
      </c>
      <c r="N546" t="s">
        <v>222</v>
      </c>
      <c r="O546" s="145" t="s">
        <v>223</v>
      </c>
      <c r="Q546" t="s">
        <v>256</v>
      </c>
      <c r="R546" s="251" t="s">
        <v>225</v>
      </c>
      <c r="S546" s="1" t="s">
        <v>438</v>
      </c>
      <c r="T546" t="s">
        <v>439</v>
      </c>
      <c r="U546" t="s">
        <v>456</v>
      </c>
      <c r="V546" s="253">
        <v>0</v>
      </c>
      <c r="W546" s="253">
        <v>0</v>
      </c>
      <c r="X546">
        <v>0</v>
      </c>
      <c r="Y546">
        <v>0</v>
      </c>
      <c r="Z546">
        <v>0</v>
      </c>
      <c r="AA546">
        <v>0</v>
      </c>
      <c r="AB546">
        <v>0</v>
      </c>
      <c r="AC546">
        <v>0</v>
      </c>
      <c r="AD546">
        <v>0</v>
      </c>
      <c r="AE546">
        <v>0</v>
      </c>
      <c r="AF546">
        <v>0</v>
      </c>
      <c r="AG546">
        <v>0</v>
      </c>
      <c r="AH546">
        <v>0</v>
      </c>
      <c r="AI546">
        <v>0</v>
      </c>
      <c r="AJ546">
        <v>0</v>
      </c>
      <c r="AK546">
        <v>0</v>
      </c>
      <c r="AL546">
        <v>0</v>
      </c>
      <c r="AM546">
        <v>1</v>
      </c>
      <c r="AN546">
        <v>0</v>
      </c>
      <c r="AO546">
        <v>0</v>
      </c>
      <c r="AP546">
        <v>0</v>
      </c>
      <c r="AQ546">
        <v>0</v>
      </c>
      <c r="AR546">
        <v>0</v>
      </c>
      <c r="AS546">
        <v>0</v>
      </c>
      <c r="AT546">
        <v>0</v>
      </c>
      <c r="AU546">
        <v>0</v>
      </c>
      <c r="AV546">
        <v>0</v>
      </c>
      <c r="AW546">
        <v>0</v>
      </c>
      <c r="AX546">
        <v>0</v>
      </c>
      <c r="AY546">
        <v>0</v>
      </c>
      <c r="AZ546" s="141">
        <f>COUNTIF(X546:AY546,"&lt;&gt;0")</f>
        <v>1</v>
      </c>
      <c r="BA546" s="141">
        <f>COUNTIF(X546:AN546,"&lt;&gt;0")</f>
        <v>1</v>
      </c>
      <c r="BB546">
        <f>COUNTIF(X546:AE546,"&lt;&gt;0")</f>
        <v>0</v>
      </c>
      <c r="BC546">
        <f>COUNTIF(AF546:AK546,"&lt;&gt;0")</f>
        <v>0</v>
      </c>
      <c r="BD546">
        <f>COUNTIF(AL546:AN546,"&lt;&gt;0")</f>
        <v>1</v>
      </c>
      <c r="BE546">
        <f>COUNTIF(AU546:AY546,"&lt;&gt;0")</f>
        <v>0</v>
      </c>
      <c r="BF546">
        <f>COUNTIF(AO546:AT546,"&lt;&gt;0")</f>
        <v>0</v>
      </c>
      <c r="BG546" t="str">
        <f t="array" ref="BG546">IF(BA546=1,INDEX($X$7:$AN$7,MATCH(TRUE,INDEX($X546:$AY546&lt;&gt;0,),0)),IF(BA546=0,INDEX($AO$7:$AY$7,MATCH(1,$AO546:$AY546,0)),IF(BH546="Multiple strategies","mixed drivers",IF(BH546="Supply chain","multiple supply","multiple silviculture"))))</f>
        <v>technologies/design switch</v>
      </c>
      <c r="BH546" s="2" t="str" cm="1">
        <f t="array" ref="BH546">IF(COUNTIF(BB546:BD546,"&lt;&gt;0")=1,INDEX($X$4:$AY$4,MATCH(TRUE,INDEX($X546:$AY546&lt;&gt;0,),0)),IF(COUNTIF(BB546:BD546,"&lt;&gt;0")=0,INDEX($AO$4:$AY$4,MATCH(1,$AO546:$AY546,0)),"Multiple strategies"))</f>
        <v>Technology</v>
      </c>
      <c r="BI546" s="142" t="s">
        <v>229</v>
      </c>
      <c r="BJ546" t="s">
        <v>441</v>
      </c>
      <c r="BK546" s="260" t="s">
        <v>2949</v>
      </c>
      <c r="BL546" s="143" t="s">
        <v>442</v>
      </c>
      <c r="BM546">
        <v>0</v>
      </c>
      <c r="BN546">
        <f>3*44</f>
        <v>132</v>
      </c>
      <c r="BO546" s="143" t="e">
        <f>BN546/BM546</f>
        <v>#DIV/0!</v>
      </c>
      <c r="BP546">
        <f>BN546-BM546</f>
        <v>132</v>
      </c>
      <c r="BQ546">
        <f>BP546*tC_to_m3</f>
        <v>573.16543638732094</v>
      </c>
      <c r="BR546" t="s">
        <v>232</v>
      </c>
      <c r="BS546" s="256" t="s">
        <v>793</v>
      </c>
      <c r="BT546" t="s">
        <v>443</v>
      </c>
      <c r="BU546" s="141">
        <v>25</v>
      </c>
      <c r="BV546" s="141">
        <v>93</v>
      </c>
      <c r="BW546" s="144">
        <f>IFERROR(BV546/BU546,"")</f>
        <v>3.72</v>
      </c>
      <c r="BX546">
        <f>BV546-BU546</f>
        <v>68</v>
      </c>
      <c r="BZ546">
        <f>BX546*C_to_CO2</f>
        <v>249.56</v>
      </c>
      <c r="CA546">
        <f>IFERROR(BZ546/BQ546,"")</f>
        <v>0.43540657575757574</v>
      </c>
      <c r="CB546" s="143">
        <v>0</v>
      </c>
      <c r="CC546" s="143">
        <v>0</v>
      </c>
      <c r="CD546" s="143">
        <v>0</v>
      </c>
      <c r="CE546" s="143">
        <v>0</v>
      </c>
      <c r="CF546" s="143">
        <v>0</v>
      </c>
      <c r="CG546" s="143">
        <v>0</v>
      </c>
      <c r="CH546" s="143">
        <v>0</v>
      </c>
      <c r="CI546" s="143">
        <v>0</v>
      </c>
      <c r="CJ546" s="143">
        <v>0</v>
      </c>
      <c r="CK546" s="143">
        <v>0</v>
      </c>
      <c r="CL546" s="143">
        <v>0</v>
      </c>
      <c r="CM546" s="143">
        <v>0</v>
      </c>
      <c r="CN546" s="143">
        <v>0</v>
      </c>
      <c r="CO546">
        <v>0</v>
      </c>
      <c r="CP546" t="str">
        <f>IF($BN546&lt;$BM546,"refNeedCorrection","refOK")</f>
        <v>refOK</v>
      </c>
      <c r="CQ546">
        <f>IF($CP546="refOK",$BM546,$BN546)</f>
        <v>0</v>
      </c>
      <c r="CR546">
        <f>IF($CP546="refOK",$BN546,$BM546)</f>
        <v>132</v>
      </c>
      <c r="CS546">
        <f>IF($CP546="refOK",$BQ546,-$BQ546)</f>
        <v>573.16543638732094</v>
      </c>
      <c r="CT546">
        <f>IF(BI546="Roundwood",$CS546/2,$CS546)</f>
        <v>573.16543638732094</v>
      </c>
      <c r="CU546">
        <f>IF($CP546="refOK",$BU546,$BV546)*IF($BR546="Emissions positive",-1,1)</f>
        <v>25</v>
      </c>
      <c r="CV546">
        <f>IF($CP546="refOK",$BV546,$BU546)*IF($BR546="Emissions positive",-1,1)</f>
        <v>93</v>
      </c>
      <c r="CW546">
        <f>IF($CP546="refNeedCorrection",-BZ546,BZ546)*IF($BR546="Emissions positive",-1,1)</f>
        <v>249.56</v>
      </c>
      <c r="CX546">
        <f>IFERROR($CW546/$CS546,"")</f>
        <v>0.43540657575757574</v>
      </c>
      <c r="CY546">
        <f>IFERROR($CW546/$CS546,"")</f>
        <v>0.43540657575757574</v>
      </c>
      <c r="CZ546">
        <f>IFERROR($CW546/$CT546,"")</f>
        <v>0.43540657575757574</v>
      </c>
      <c r="DA546" s="2">
        <f>IFERROR((CV546-CU546)/ABS(CU546),"")</f>
        <v>2.72</v>
      </c>
      <c r="DB546" s="1" t="s">
        <v>263</v>
      </c>
      <c r="DC546" t="str">
        <f>IF(OR($DB546="prd",$DB546="std",$DB546="cit"),"loc",IF(OR($DB546="eur",$DB546="reg",$DB546="coy"),"reg",$DB546))</f>
        <v>loc</v>
      </c>
      <c r="DD546" t="s">
        <v>444</v>
      </c>
      <c r="DG546">
        <v>300</v>
      </c>
      <c r="DH546" t="str">
        <f>IF(DG546=0,"0",IF(AND(DG546&gt;=1,DG546&lt;=30),"1-30",IF(AND(DG546&gt;30,DG546&lt;=70),"31-70",IF(AND(DG546&gt;70,DG546&lt;=100),"71-100",IF(DG546&gt;100,"+100")))))</f>
        <v>+100</v>
      </c>
      <c r="DI546">
        <v>0</v>
      </c>
      <c r="DJ546">
        <v>0</v>
      </c>
      <c r="DK546">
        <v>0</v>
      </c>
      <c r="DL546">
        <v>1</v>
      </c>
      <c r="DN546">
        <f>SUM(DI546:DL546)</f>
        <v>1</v>
      </c>
      <c r="DO546" t="str">
        <f>IF(DN546=1,INDEX($DI$7:$DL$7,MATCH(1,$DI546:$DL546,0)),"mixedProduct")</f>
        <v>TimberInput</v>
      </c>
      <c r="DP546">
        <f>IF(DI546=1,DP$7,0)</f>
        <v>0</v>
      </c>
      <c r="DQ546">
        <f>IF(DJ546=1,DQ$7,0)</f>
        <v>0</v>
      </c>
      <c r="DR546">
        <f>IF(DK546=1,DR$7,0)</f>
        <v>0</v>
      </c>
      <c r="DS546" t="str">
        <f>IF(DL546=1,DS$7,0)</f>
        <v>Timber</v>
      </c>
      <c r="DT546">
        <v>1</v>
      </c>
      <c r="DU546" s="143">
        <v>0</v>
      </c>
      <c r="DV546" s="143">
        <v>0</v>
      </c>
      <c r="DW546" s="143">
        <v>0</v>
      </c>
      <c r="DX546">
        <v>0</v>
      </c>
      <c r="DY546">
        <f>SUM(DT546:DU546)</f>
        <v>1</v>
      </c>
      <c r="DZ546" s="143" t="str">
        <f>IF(DT546=1,"self-calculated DF",IF(DU546=1,"external DF used","explicit C balance"))</f>
        <v>self-calculated DF</v>
      </c>
      <c r="EA546">
        <v>0</v>
      </c>
      <c r="EB546" s="143">
        <v>0</v>
      </c>
      <c r="EC546" s="143">
        <v>1</v>
      </c>
      <c r="ED546" s="143">
        <v>1</v>
      </c>
      <c r="EE546">
        <v>1</v>
      </c>
      <c r="EF546" s="143">
        <v>1</v>
      </c>
      <c r="EG546">
        <v>0</v>
      </c>
      <c r="EH546" s="143">
        <v>1</v>
      </c>
      <c r="EI546" s="143">
        <v>0</v>
      </c>
      <c r="EJ546">
        <v>0</v>
      </c>
      <c r="EK546">
        <v>0</v>
      </c>
      <c r="EL546" s="143">
        <v>0</v>
      </c>
      <c r="EM546" s="143">
        <v>0</v>
      </c>
      <c r="EN546" s="2">
        <v>0</v>
      </c>
      <c r="EO546" s="358"/>
      <c r="EP546" t="str">
        <f>IF(AND(AND(AND(OR($EC546=1,$EB546=1),OR($EH546=1,$EF546=1)),SUM($EA546:$EE546,$EK546)&gt;=3),SUM($EF546:$EJ546)&gt;=2),"Whole sector approach","")</f>
        <v>Whole sector approach</v>
      </c>
      <c r="EQ546" t="str">
        <f>IF(AND(AND(OR($EC546=1,$EB546=1),AND($EH546=0,$EF546=0)),SUM($EA546:$EE546,$EK546)&gt;=4),"Ecosystem approach","")</f>
        <v/>
      </c>
      <c r="ER546" s="2" t="str">
        <f>IF(AND(AND(AND($EC546=0,$EB546=0),OR($EH546=1,$EF546=1)),SUM($EG546:$EJ546)&gt;=2),"Technology approach","")</f>
        <v/>
      </c>
      <c r="ES546" t="str">
        <f>IF(AND($EC546+$EB546+$EE546+$EA546+$ED546+$EG546=0,$N546="included"),"C neutral forest and HWP assumption","")</f>
        <v/>
      </c>
      <c r="ET546" t="str">
        <f>IF(AND(AND(AND(AND($EC546=1,$EB546+$EA546+$EG546&gt;=1),$EF546=1),$EH546+$EI546+$ED546+$EE546&gt;=2),$N546="included"),"All C pools assumption","")</f>
        <v/>
      </c>
      <c r="EU546" t="str">
        <f>IF(AND($ED546+$EE546+$EI546+$EH546+$EF546=0,$N546="included"),"In-situ only assumption","")</f>
        <v/>
      </c>
      <c r="EW546" t="s">
        <v>445</v>
      </c>
      <c r="EY546" t="str">
        <f>IF(ISNUMBER(BW546),IF(ABS(BW546-[6]QC_indicators!$B$2)&gt;3*[6]QC_indicators!$C$2,"C ratio",IF(ISNUMBER(CA546),IF(ABS(CA546-[6]QC_indicators!$B$1)&gt;3*[6]QC_indicators!$C$1,"DF","no"))),IF(ISNUMBER(CA546),IF(ABS(CA546-[6]QC_indicators!$B$1)&gt;3*[6]QC_indicators!$C$1,"DF","no")))</f>
        <v>no</v>
      </c>
      <c r="FA546" t="str">
        <f>IF(LEN($CY546)=0,"",IF(AND($CY546&lt;(-0.05),$ES546="C neutral forest and HWP assumption"),"Cneutral paradox",IF(AND($CY546&gt;0.05,$EU546="In-situ only assumption"),"In-situ only paradox","")))</f>
        <v/>
      </c>
      <c r="FD546" s="260" t="s">
        <v>2948</v>
      </c>
    </row>
    <row r="547" spans="1:160" ht="15" hidden="1" customHeight="1">
      <c r="A547" s="1" t="s">
        <v>430</v>
      </c>
      <c r="B547" t="s">
        <v>431</v>
      </c>
      <c r="C547" t="s">
        <v>432</v>
      </c>
      <c r="D547" t="s">
        <v>433</v>
      </c>
      <c r="E547" t="s">
        <v>434</v>
      </c>
      <c r="F547" t="s">
        <v>435</v>
      </c>
      <c r="G547" t="s">
        <v>436</v>
      </c>
      <c r="H547" t="s">
        <v>254</v>
      </c>
      <c r="I547">
        <v>2000</v>
      </c>
      <c r="J547">
        <v>174</v>
      </c>
      <c r="K547" t="s">
        <v>437</v>
      </c>
      <c r="M547" t="str">
        <f>LEFT($D547,FIND(",",$D547)-1)&amp;"_"&amp;I547&amp;L547</f>
        <v>Borjesson_2000</v>
      </c>
      <c r="N547" t="s">
        <v>222</v>
      </c>
      <c r="O547" s="145" t="s">
        <v>223</v>
      </c>
      <c r="Q547" t="s">
        <v>256</v>
      </c>
      <c r="R547" s="251" t="s">
        <v>225</v>
      </c>
      <c r="S547" s="1" t="s">
        <v>454</v>
      </c>
      <c r="T547" t="s">
        <v>447</v>
      </c>
      <c r="U547" t="s">
        <v>455</v>
      </c>
      <c r="V547" s="253">
        <v>0</v>
      </c>
      <c r="W547" s="253">
        <v>0</v>
      </c>
      <c r="X547">
        <v>0</v>
      </c>
      <c r="Y547">
        <v>0</v>
      </c>
      <c r="Z547">
        <v>0</v>
      </c>
      <c r="AA547">
        <v>0</v>
      </c>
      <c r="AB547">
        <v>0</v>
      </c>
      <c r="AC547">
        <v>0</v>
      </c>
      <c r="AD547">
        <v>0</v>
      </c>
      <c r="AE547">
        <v>0</v>
      </c>
      <c r="AF547">
        <v>0</v>
      </c>
      <c r="AG547">
        <v>0</v>
      </c>
      <c r="AH547">
        <v>0</v>
      </c>
      <c r="AI547">
        <v>0</v>
      </c>
      <c r="AJ547">
        <v>0</v>
      </c>
      <c r="AK547">
        <v>0</v>
      </c>
      <c r="AL547">
        <v>0</v>
      </c>
      <c r="AM547">
        <v>1</v>
      </c>
      <c r="AN547">
        <v>0</v>
      </c>
      <c r="AO547">
        <v>0</v>
      </c>
      <c r="AP547">
        <v>0</v>
      </c>
      <c r="AQ547">
        <v>0</v>
      </c>
      <c r="AR547">
        <v>0</v>
      </c>
      <c r="AS547">
        <v>0</v>
      </c>
      <c r="AT547">
        <v>0</v>
      </c>
      <c r="AU547">
        <v>0</v>
      </c>
      <c r="AV547">
        <v>0</v>
      </c>
      <c r="AW547">
        <v>0</v>
      </c>
      <c r="AX547">
        <v>0</v>
      </c>
      <c r="AY547">
        <v>0</v>
      </c>
      <c r="AZ547" s="141">
        <f>COUNTIF(X547:AY547,"&lt;&gt;0")</f>
        <v>1</v>
      </c>
      <c r="BA547" s="141">
        <f>COUNTIF(X547:AN547,"&lt;&gt;0")</f>
        <v>1</v>
      </c>
      <c r="BB547">
        <f>COUNTIF(X547:AE547,"&lt;&gt;0")</f>
        <v>0</v>
      </c>
      <c r="BC547">
        <f>COUNTIF(AF547:AK547,"&lt;&gt;0")</f>
        <v>0</v>
      </c>
      <c r="BD547">
        <f>COUNTIF(AL547:AN547,"&lt;&gt;0")</f>
        <v>1</v>
      </c>
      <c r="BE547">
        <f>COUNTIF(AU547:AY547,"&lt;&gt;0")</f>
        <v>0</v>
      </c>
      <c r="BF547">
        <f>COUNTIF(AO547:AT547,"&lt;&gt;0")</f>
        <v>0</v>
      </c>
      <c r="BG547" t="str">
        <f t="array" ref="BG547">IF(BA547=1,INDEX($X$7:$AN$7,MATCH(TRUE,INDEX($X547:$AY547&lt;&gt;0,),0)),IF(BA547=0,INDEX($AO$7:$AY$7,MATCH(1,$AO547:$AY547,0)),IF(BH547="Multiple strategies","mixed drivers",IF(BH547="Supply chain","multiple supply","multiple silviculture"))))</f>
        <v>technologies/design switch</v>
      </c>
      <c r="BH547" s="2" t="str" cm="1">
        <f t="array" ref="BH547">IF(COUNTIF(BB547:BD547,"&lt;&gt;0")=1,INDEX($X$4:$AY$4,MATCH(TRUE,INDEX($X547:$AY547&lt;&gt;0,),0)),IF(COUNTIF(BB547:BD547,"&lt;&gt;0")=0,INDEX($AO$4:$AY$4,MATCH(1,$AO547:$AY547,0)),"Multiple strategies"))</f>
        <v>Technology</v>
      </c>
      <c r="BI547" s="142" t="s">
        <v>229</v>
      </c>
      <c r="BJ547" t="s">
        <v>441</v>
      </c>
      <c r="BK547" s="260" t="s">
        <v>2949</v>
      </c>
      <c r="BL547" t="s">
        <v>442</v>
      </c>
      <c r="BM547">
        <v>0</v>
      </c>
      <c r="BN547">
        <v>44</v>
      </c>
      <c r="BO547" s="143"/>
      <c r="BP547">
        <f>BN547-BM547</f>
        <v>44</v>
      </c>
      <c r="BQ547">
        <f>BP547*tC_to_m3</f>
        <v>191.05514546244029</v>
      </c>
      <c r="BR547" t="s">
        <v>232</v>
      </c>
      <c r="BS547" s="256" t="s">
        <v>793</v>
      </c>
      <c r="BT547" t="s">
        <v>443</v>
      </c>
      <c r="BU547" s="141">
        <v>42</v>
      </c>
      <c r="BV547" s="141">
        <v>64</v>
      </c>
      <c r="BW547" s="144">
        <f>IFERROR(BV547/BU547,"")</f>
        <v>1.5238095238095237</v>
      </c>
      <c r="BX547">
        <f>BV547-BU547</f>
        <v>22</v>
      </c>
      <c r="BZ547">
        <f>BX547*C_to_CO2</f>
        <v>80.739999999999995</v>
      </c>
      <c r="CA547">
        <f>IFERROR(BZ547/BQ547,"")</f>
        <v>0.42260049999999999</v>
      </c>
      <c r="CB547" s="143">
        <v>0</v>
      </c>
      <c r="CC547" s="143">
        <v>0</v>
      </c>
      <c r="CD547" s="143">
        <v>0</v>
      </c>
      <c r="CE547" s="143">
        <v>0</v>
      </c>
      <c r="CF547" s="143">
        <v>0</v>
      </c>
      <c r="CG547" s="143">
        <v>0</v>
      </c>
      <c r="CH547" s="143">
        <v>0</v>
      </c>
      <c r="CI547" s="143">
        <v>0</v>
      </c>
      <c r="CJ547" s="143">
        <v>0</v>
      </c>
      <c r="CK547" s="143">
        <v>0</v>
      </c>
      <c r="CL547" s="143">
        <v>0</v>
      </c>
      <c r="CM547" s="143">
        <v>0</v>
      </c>
      <c r="CN547" s="143">
        <v>0</v>
      </c>
      <c r="CO547">
        <v>0</v>
      </c>
      <c r="CP547" t="str">
        <f>IF($BN547&lt;$BM547,"refNeedCorrection","refOK")</f>
        <v>refOK</v>
      </c>
      <c r="CQ547">
        <f>IF($CP547="refOK",$BM547,$BN547)</f>
        <v>0</v>
      </c>
      <c r="CR547">
        <f>IF($CP547="refOK",$BN547,$BM547)</f>
        <v>44</v>
      </c>
      <c r="CS547">
        <f>IF($CP547="refOK",$BQ547,-$BQ547)</f>
        <v>191.05514546244029</v>
      </c>
      <c r="CT547">
        <f>IF(BI547="Roundwood",$CS547/2,$CS547)</f>
        <v>191.05514546244029</v>
      </c>
      <c r="CU547">
        <f>IF($CP547="refOK",$BU547,$BV547)*IF($BR547="Emissions positive",-1,1)</f>
        <v>42</v>
      </c>
      <c r="CV547">
        <f>IF($CP547="refOK",$BV547,$BU547)*IF($BR547="Emissions positive",-1,1)</f>
        <v>64</v>
      </c>
      <c r="CW547">
        <f>IF($CP547="refNeedCorrection",-BZ547,BZ547)*IF($BR547="Emissions positive",-1,1)</f>
        <v>80.739999999999995</v>
      </c>
      <c r="CX547">
        <f>IFERROR($CW547/$CS547,"")</f>
        <v>0.42260049999999999</v>
      </c>
      <c r="CY547">
        <f>IFERROR($CW547/$CS547,"")</f>
        <v>0.42260049999999999</v>
      </c>
      <c r="CZ547">
        <f>IFERROR($CW547/$CT547,"")</f>
        <v>0.42260049999999999</v>
      </c>
      <c r="DA547" s="2">
        <f>IFERROR((CV547-CU547)/ABS(CU547),"")</f>
        <v>0.52380952380952384</v>
      </c>
      <c r="DB547" s="1" t="s">
        <v>263</v>
      </c>
      <c r="DC547" t="str">
        <f>IF(OR($DB547="prd",$DB547="std",$DB547="cit"),"loc",IF(OR($DB547="eur",$DB547="reg",$DB547="coy"),"reg",$DB547))</f>
        <v>loc</v>
      </c>
      <c r="DD547" t="s">
        <v>444</v>
      </c>
      <c r="DG547">
        <v>100</v>
      </c>
      <c r="DH547" t="str">
        <f>IF(DG547=0,"0",IF(AND(DG547&gt;=1,DG547&lt;=30),"1-30",IF(AND(DG547&gt;30,DG547&lt;=70),"31-70",IF(AND(DG547&gt;70,DG547&lt;=100),"71-100",IF(DG547&gt;100,"+100")))))</f>
        <v>71-100</v>
      </c>
      <c r="DI547">
        <v>0</v>
      </c>
      <c r="DJ547">
        <v>0</v>
      </c>
      <c r="DK547">
        <v>0</v>
      </c>
      <c r="DL547">
        <v>1</v>
      </c>
      <c r="DN547">
        <f>SUM(DI547:DL547)</f>
        <v>1</v>
      </c>
      <c r="DO547" t="str">
        <f>IF(DN547=1,INDEX($DI$7:$DL$7,MATCH(1,$DI547:$DL547,0)),"mixedProduct")</f>
        <v>TimberInput</v>
      </c>
      <c r="DP547">
        <f>IF(DI547=1,DP$7,0)</f>
        <v>0</v>
      </c>
      <c r="DQ547">
        <f>IF(DJ547=1,DQ$7,0)</f>
        <v>0</v>
      </c>
      <c r="DR547">
        <f>IF(DK547=1,DR$7,0)</f>
        <v>0</v>
      </c>
      <c r="DS547" t="str">
        <f>IF(DL547=1,DS$7,0)</f>
        <v>Timber</v>
      </c>
      <c r="DT547">
        <v>1</v>
      </c>
      <c r="DU547" s="143">
        <v>0</v>
      </c>
      <c r="DV547" s="143">
        <v>0</v>
      </c>
      <c r="DW547" s="143">
        <v>0</v>
      </c>
      <c r="DX547">
        <v>0</v>
      </c>
      <c r="DY547">
        <f>SUM(DT547:DU547)</f>
        <v>1</v>
      </c>
      <c r="DZ547" s="143" t="str">
        <f>IF(DT547=1,"self-calculated DF",IF(DU547=1,"external DF used","explicit C balance"))</f>
        <v>self-calculated DF</v>
      </c>
      <c r="EA547">
        <v>0</v>
      </c>
      <c r="EB547" s="143">
        <v>0</v>
      </c>
      <c r="EC547" s="143">
        <v>1</v>
      </c>
      <c r="ED547" s="143">
        <v>1</v>
      </c>
      <c r="EE547">
        <v>1</v>
      </c>
      <c r="EF547" s="143">
        <v>1</v>
      </c>
      <c r="EG547">
        <v>0</v>
      </c>
      <c r="EH547" s="143">
        <v>1</v>
      </c>
      <c r="EI547" s="143">
        <v>0</v>
      </c>
      <c r="EJ547">
        <v>0</v>
      </c>
      <c r="EK547">
        <v>0</v>
      </c>
      <c r="EL547" s="143">
        <v>0</v>
      </c>
      <c r="EM547" s="143">
        <v>0</v>
      </c>
      <c r="EN547" s="2">
        <v>0</v>
      </c>
      <c r="EO547" s="358"/>
      <c r="EP547" t="str">
        <f>IF(AND(AND(AND(OR($EC547=1,$EB547=1),OR($EH547=1,$EF547=1)),SUM($EA547:$EE547,$EK547)&gt;=3),SUM($EF547:$EJ547)&gt;=2),"Whole sector approach","")</f>
        <v>Whole sector approach</v>
      </c>
      <c r="EQ547" t="str">
        <f>IF(AND(AND(OR($EC547=1,$EB547=1),AND($EH547=0,$EF547=0)),SUM($EA547:$EE547,$EK547)&gt;=4),"Ecosystem approach","")</f>
        <v/>
      </c>
      <c r="ER547" s="2" t="str">
        <f>IF(AND(AND(AND($EC547=0,$EB547=0),OR($EH547=1,$EF547=1)),SUM($EG547:$EJ547)&gt;=2),"Technology approach","")</f>
        <v/>
      </c>
      <c r="ES547" t="str">
        <f>IF(AND($EC547+$EB547+$EE547+$EA547+$ED547+$EG547=0,$N547="included"),"C neutral forest and HWP assumption","")</f>
        <v/>
      </c>
      <c r="ET547" t="str">
        <f>IF(AND(AND(AND(AND($EC547=1,$EB547+$EA547+$EG547&gt;=1),$EF547=1),$EH547+$EI547+$ED547+$EE547&gt;=2),$N547="included"),"All C pools assumption","")</f>
        <v/>
      </c>
      <c r="EU547" t="str">
        <f>IF(AND($ED547+$EE547+$EI547+$EH547+$EF547=0,$N547="included"),"In-situ only assumption","")</f>
        <v/>
      </c>
      <c r="EY547" t="str">
        <f>IF(ISNUMBER(BW547),IF(ABS(BW547-[6]QC_indicators!$B$2)&gt;3*[6]QC_indicators!$C$2,"C ratio",IF(ISNUMBER(CA547),IF(ABS(CA547-[6]QC_indicators!$B$1)&gt;3*[6]QC_indicators!$C$1,"DF","no"))),IF(ISNUMBER(CA547),IF(ABS(CA547-[6]QC_indicators!$B$1)&gt;3*[6]QC_indicators!$C$1,"DF","no")))</f>
        <v>no</v>
      </c>
      <c r="FA547" t="str">
        <f>IF(LEN($CY547)=0,"",IF(AND($CY547&lt;(-0.05),$ES547="C neutral forest and HWP assumption"),"Cneutral paradox",IF(AND($CY547&gt;0.05,$EU547="In-situ only assumption"),"In-situ only paradox","")))</f>
        <v/>
      </c>
      <c r="FD547" s="260" t="s">
        <v>2948</v>
      </c>
    </row>
    <row r="548" spans="1:160" ht="15" hidden="1" customHeight="1">
      <c r="A548" s="1" t="s">
        <v>430</v>
      </c>
      <c r="B548" t="s">
        <v>431</v>
      </c>
      <c r="C548" t="s">
        <v>432</v>
      </c>
      <c r="D548" t="s">
        <v>433</v>
      </c>
      <c r="E548" t="s">
        <v>434</v>
      </c>
      <c r="F548" t="s">
        <v>435</v>
      </c>
      <c r="G548" t="s">
        <v>436</v>
      </c>
      <c r="H548" t="s">
        <v>254</v>
      </c>
      <c r="I548">
        <v>2000</v>
      </c>
      <c r="J548">
        <v>174</v>
      </c>
      <c r="K548" t="s">
        <v>437</v>
      </c>
      <c r="M548" t="str">
        <f>LEFT($D548,FIND(",",$D548)-1)&amp;"_"&amp;I548&amp;L548</f>
        <v>Borjesson_2000</v>
      </c>
      <c r="N548" t="s">
        <v>222</v>
      </c>
      <c r="O548" s="145" t="s">
        <v>223</v>
      </c>
      <c r="Q548" t="s">
        <v>256</v>
      </c>
      <c r="R548" s="251" t="s">
        <v>225</v>
      </c>
      <c r="S548" s="1" t="s">
        <v>438</v>
      </c>
      <c r="T548" t="s">
        <v>453</v>
      </c>
      <c r="U548" t="s">
        <v>452</v>
      </c>
      <c r="V548" s="253">
        <v>0</v>
      </c>
      <c r="W548" s="253">
        <v>0</v>
      </c>
      <c r="X548">
        <v>0</v>
      </c>
      <c r="Y548">
        <v>0</v>
      </c>
      <c r="Z548">
        <v>0</v>
      </c>
      <c r="AA548">
        <v>0</v>
      </c>
      <c r="AB548">
        <v>0</v>
      </c>
      <c r="AC548">
        <v>0</v>
      </c>
      <c r="AD548">
        <v>0</v>
      </c>
      <c r="AE548">
        <v>0</v>
      </c>
      <c r="AF548">
        <v>0</v>
      </c>
      <c r="AG548">
        <v>0</v>
      </c>
      <c r="AH548">
        <v>0</v>
      </c>
      <c r="AI548">
        <v>0</v>
      </c>
      <c r="AJ548">
        <v>0</v>
      </c>
      <c r="AK548">
        <v>0</v>
      </c>
      <c r="AL548">
        <v>0</v>
      </c>
      <c r="AM548">
        <v>1</v>
      </c>
      <c r="AN548">
        <v>0</v>
      </c>
      <c r="AO548">
        <v>0</v>
      </c>
      <c r="AP548">
        <v>0</v>
      </c>
      <c r="AQ548">
        <v>0</v>
      </c>
      <c r="AR548">
        <v>0</v>
      </c>
      <c r="AS548">
        <v>0</v>
      </c>
      <c r="AT548">
        <v>0</v>
      </c>
      <c r="AU548">
        <v>0</v>
      </c>
      <c r="AV548">
        <v>0</v>
      </c>
      <c r="AW548">
        <v>0</v>
      </c>
      <c r="AX548">
        <v>0</v>
      </c>
      <c r="AY548">
        <v>0</v>
      </c>
      <c r="AZ548" s="141">
        <f>COUNTIF(X548:AY548,"&lt;&gt;0")</f>
        <v>1</v>
      </c>
      <c r="BA548" s="141">
        <f>COUNTIF(X548:AN548,"&lt;&gt;0")</f>
        <v>1</v>
      </c>
      <c r="BB548">
        <f>COUNTIF(X548:AE548,"&lt;&gt;0")</f>
        <v>0</v>
      </c>
      <c r="BC548">
        <f>COUNTIF(AF548:AK548,"&lt;&gt;0")</f>
        <v>0</v>
      </c>
      <c r="BD548">
        <f>COUNTIF(AL548:AN548,"&lt;&gt;0")</f>
        <v>1</v>
      </c>
      <c r="BE548">
        <f>COUNTIF(AU548:AY548,"&lt;&gt;0")</f>
        <v>0</v>
      </c>
      <c r="BF548">
        <f>COUNTIF(AO548:AT548,"&lt;&gt;0")</f>
        <v>0</v>
      </c>
      <c r="BG548" t="str">
        <f t="array" ref="BG548">IF(BA548=1,INDEX($X$7:$AN$7,MATCH(TRUE,INDEX($X548:$AY548&lt;&gt;0,),0)),IF(BA548=0,INDEX($AO$7:$AY$7,MATCH(1,$AO548:$AY548,0)),IF(BH548="Multiple strategies","mixed drivers",IF(BH548="Supply chain","multiple supply","multiple silviculture"))))</f>
        <v>technologies/design switch</v>
      </c>
      <c r="BH548" s="2" t="str" cm="1">
        <f t="array" ref="BH548">IF(COUNTIF(BB548:BD548,"&lt;&gt;0")=1,INDEX($X$4:$AY$4,MATCH(TRUE,INDEX($X548:$AY548&lt;&gt;0,),0)),IF(COUNTIF(BB548:BD548,"&lt;&gt;0")=0,INDEX($AO$4:$AY$4,MATCH(1,$AO548:$AY548,0)),"Multiple strategies"))</f>
        <v>Technology</v>
      </c>
      <c r="BI548" s="142" t="s">
        <v>229</v>
      </c>
      <c r="BJ548" t="s">
        <v>441</v>
      </c>
      <c r="BK548" s="260" t="s">
        <v>2949</v>
      </c>
      <c r="BL548" s="143" t="s">
        <v>442</v>
      </c>
      <c r="BM548">
        <v>0</v>
      </c>
      <c r="BN548">
        <f>3*44</f>
        <v>132</v>
      </c>
      <c r="BO548" s="143" t="e">
        <f>BN548/BM548</f>
        <v>#DIV/0!</v>
      </c>
      <c r="BP548">
        <f>BN548-BM548</f>
        <v>132</v>
      </c>
      <c r="BQ548">
        <f>BP548*tC_to_m3</f>
        <v>573.16543638732094</v>
      </c>
      <c r="BR548" t="s">
        <v>232</v>
      </c>
      <c r="BS548" s="256" t="s">
        <v>793</v>
      </c>
      <c r="BT548" t="s">
        <v>443</v>
      </c>
      <c r="BU548" s="141">
        <v>18</v>
      </c>
      <c r="BV548" s="141">
        <v>84</v>
      </c>
      <c r="BW548" s="144">
        <f>IFERROR(BV548/BU548,"")</f>
        <v>4.666666666666667</v>
      </c>
      <c r="BX548">
        <f>BV548-BU548</f>
        <v>66</v>
      </c>
      <c r="BZ548">
        <f>BX548*C_to_CO2</f>
        <v>242.22</v>
      </c>
      <c r="CA548">
        <f>IFERROR(BZ548/BQ548,"")</f>
        <v>0.42260049999999993</v>
      </c>
      <c r="CB548" s="143">
        <v>0</v>
      </c>
      <c r="CC548" s="143">
        <v>0</v>
      </c>
      <c r="CD548" s="143">
        <v>0</v>
      </c>
      <c r="CE548" s="143">
        <v>0</v>
      </c>
      <c r="CF548" s="143">
        <v>0</v>
      </c>
      <c r="CG548" s="143">
        <v>0</v>
      </c>
      <c r="CH548" s="143">
        <v>0</v>
      </c>
      <c r="CI548" s="143">
        <v>0</v>
      </c>
      <c r="CJ548" s="143">
        <v>0</v>
      </c>
      <c r="CK548" s="143">
        <v>0</v>
      </c>
      <c r="CL548" s="143">
        <v>0</v>
      </c>
      <c r="CM548" s="143">
        <v>0</v>
      </c>
      <c r="CN548" s="143">
        <v>0</v>
      </c>
      <c r="CO548">
        <v>0</v>
      </c>
      <c r="CP548" t="str">
        <f>IF($BN548&lt;$BM548,"refNeedCorrection","refOK")</f>
        <v>refOK</v>
      </c>
      <c r="CQ548">
        <f>IF($CP548="refOK",$BM548,$BN548)</f>
        <v>0</v>
      </c>
      <c r="CR548">
        <f>IF($CP548="refOK",$BN548,$BM548)</f>
        <v>132</v>
      </c>
      <c r="CS548">
        <f>IF($CP548="refOK",$BQ548,-$BQ548)</f>
        <v>573.16543638732094</v>
      </c>
      <c r="CT548">
        <f>IF(BI548="Roundwood",$CS548/2,$CS548)</f>
        <v>573.16543638732094</v>
      </c>
      <c r="CU548">
        <f>IF($CP548="refOK",$BU548,$BV548)*IF($BR548="Emissions positive",-1,1)</f>
        <v>18</v>
      </c>
      <c r="CV548">
        <f>IF($CP548="refOK",$BV548,$BU548)*IF($BR548="Emissions positive",-1,1)</f>
        <v>84</v>
      </c>
      <c r="CW548">
        <f>IF($CP548="refNeedCorrection",-BZ548,BZ548)*IF($BR548="Emissions positive",-1,1)</f>
        <v>242.22</v>
      </c>
      <c r="CX548">
        <f>IFERROR($CW548/$CS548,"")</f>
        <v>0.42260049999999993</v>
      </c>
      <c r="CY548">
        <f>IFERROR($CW548/$CS548,"")</f>
        <v>0.42260049999999993</v>
      </c>
      <c r="CZ548">
        <f>IFERROR($CW548/$CT548,"")</f>
        <v>0.42260049999999993</v>
      </c>
      <c r="DA548" s="2">
        <f>IFERROR((CV548-CU548)/ABS(CU548),"")</f>
        <v>3.6666666666666665</v>
      </c>
      <c r="DB548" s="1" t="s">
        <v>263</v>
      </c>
      <c r="DC548" t="str">
        <f>IF(OR($DB548="prd",$DB548="std",$DB548="cit"),"loc",IF(OR($DB548="eur",$DB548="reg",$DB548="coy"),"reg",$DB548))</f>
        <v>loc</v>
      </c>
      <c r="DD548" t="s">
        <v>444</v>
      </c>
      <c r="DG548">
        <v>300</v>
      </c>
      <c r="DH548" t="str">
        <f>IF(DG548=0,"0",IF(AND(DG548&gt;=1,DG548&lt;=30),"1-30",IF(AND(DG548&gt;30,DG548&lt;=70),"31-70",IF(AND(DG548&gt;70,DG548&lt;=100),"71-100",IF(DG548&gt;100,"+100")))))</f>
        <v>+100</v>
      </c>
      <c r="DI548">
        <v>0</v>
      </c>
      <c r="DJ548">
        <v>0</v>
      </c>
      <c r="DK548">
        <v>0</v>
      </c>
      <c r="DL548">
        <v>1</v>
      </c>
      <c r="DN548">
        <f>SUM(DI548:DL548)</f>
        <v>1</v>
      </c>
      <c r="DO548" t="str">
        <f>IF(DN548=1,INDEX($DI$7:$DL$7,MATCH(1,$DI548:$DL548,0)),"mixedProduct")</f>
        <v>TimberInput</v>
      </c>
      <c r="DP548">
        <f>IF(DI548=1,DP$7,0)</f>
        <v>0</v>
      </c>
      <c r="DQ548">
        <f>IF(DJ548=1,DQ$7,0)</f>
        <v>0</v>
      </c>
      <c r="DR548">
        <f>IF(DK548=1,DR$7,0)</f>
        <v>0</v>
      </c>
      <c r="DS548" t="str">
        <f>IF(DL548=1,DS$7,0)</f>
        <v>Timber</v>
      </c>
      <c r="DT548">
        <v>1</v>
      </c>
      <c r="DU548" s="143">
        <v>0</v>
      </c>
      <c r="DV548" s="143">
        <v>0</v>
      </c>
      <c r="DW548" s="143">
        <v>0</v>
      </c>
      <c r="DX548">
        <v>0</v>
      </c>
      <c r="DY548">
        <f>SUM(DT548:DU548)</f>
        <v>1</v>
      </c>
      <c r="DZ548" s="143" t="str">
        <f>IF(DT548=1,"self-calculated DF",IF(DU548=1,"external DF used","explicit C balance"))</f>
        <v>self-calculated DF</v>
      </c>
      <c r="EA548">
        <v>0</v>
      </c>
      <c r="EB548" s="143">
        <v>0</v>
      </c>
      <c r="EC548" s="143">
        <v>1</v>
      </c>
      <c r="ED548" s="143">
        <v>1</v>
      </c>
      <c r="EE548">
        <v>1</v>
      </c>
      <c r="EF548" s="143">
        <v>1</v>
      </c>
      <c r="EG548">
        <v>0</v>
      </c>
      <c r="EH548" s="143">
        <v>1</v>
      </c>
      <c r="EI548" s="143">
        <v>0</v>
      </c>
      <c r="EJ548">
        <v>0</v>
      </c>
      <c r="EK548">
        <v>0</v>
      </c>
      <c r="EL548" s="143">
        <v>0</v>
      </c>
      <c r="EM548" s="143">
        <v>0</v>
      </c>
      <c r="EN548" s="2">
        <v>0</v>
      </c>
      <c r="EO548" s="358"/>
      <c r="EP548" t="str">
        <f>IF(AND(AND(AND(OR($EC548=1,$EB548=1),OR($EH548=1,$EF548=1)),SUM($EA548:$EE548,$EK548)&gt;=3),SUM($EF548:$EJ548)&gt;=2),"Whole sector approach","")</f>
        <v>Whole sector approach</v>
      </c>
      <c r="EQ548" t="str">
        <f>IF(AND(AND(OR($EC548=1,$EB548=1),AND($EH548=0,$EF548=0)),SUM($EA548:$EE548,$EK548)&gt;=4),"Ecosystem approach","")</f>
        <v/>
      </c>
      <c r="ER548" s="2" t="str">
        <f>IF(AND(AND(AND($EC548=0,$EB548=0),OR($EH548=1,$EF548=1)),SUM($EG548:$EJ548)&gt;=2),"Technology approach","")</f>
        <v/>
      </c>
      <c r="ES548" t="str">
        <f>IF(AND($EC548+$EB548+$EE548+$EA548+$ED548+$EG548=0,$N548="included"),"C neutral forest and HWP assumption","")</f>
        <v/>
      </c>
      <c r="ET548" t="str">
        <f>IF(AND(AND(AND(AND($EC548=1,$EB548+$EA548+$EG548&gt;=1),$EF548=1),$EH548+$EI548+$ED548+$EE548&gt;=2),$N548="included"),"All C pools assumption","")</f>
        <v/>
      </c>
      <c r="EU548" t="str">
        <f>IF(AND($ED548+$EE548+$EI548+$EH548+$EF548=0,$N548="included"),"In-situ only assumption","")</f>
        <v/>
      </c>
      <c r="EW548" t="s">
        <v>445</v>
      </c>
      <c r="EY548" t="str">
        <f>IF(ISNUMBER(BW548),IF(ABS(BW548-[6]QC_indicators!$B$2)&gt;3*[6]QC_indicators!$C$2,"C ratio",IF(ISNUMBER(CA548),IF(ABS(CA548-[6]QC_indicators!$B$1)&gt;3*[6]QC_indicators!$C$1,"DF","no"))),IF(ISNUMBER(CA548),IF(ABS(CA548-[6]QC_indicators!$B$1)&gt;3*[6]QC_indicators!$C$1,"DF","no")))</f>
        <v>no</v>
      </c>
      <c r="FA548" t="str">
        <f>IF(LEN($CY548)=0,"",IF(AND($CY548&lt;(-0.05),$ES548="C neutral forest and HWP assumption"),"Cneutral paradox",IF(AND($CY548&gt;0.05,$EU548="In-situ only assumption"),"In-situ only paradox","")))</f>
        <v/>
      </c>
      <c r="FD548" s="260" t="s">
        <v>2948</v>
      </c>
    </row>
    <row r="549" spans="1:160" ht="15" hidden="1" customHeight="1">
      <c r="A549" s="1" t="s">
        <v>430</v>
      </c>
      <c r="B549" t="s">
        <v>431</v>
      </c>
      <c r="C549" t="s">
        <v>432</v>
      </c>
      <c r="D549" t="s">
        <v>433</v>
      </c>
      <c r="E549" t="s">
        <v>434</v>
      </c>
      <c r="F549" t="s">
        <v>435</v>
      </c>
      <c r="G549" t="s">
        <v>436</v>
      </c>
      <c r="H549" t="s">
        <v>254</v>
      </c>
      <c r="I549">
        <v>2000</v>
      </c>
      <c r="J549">
        <v>174</v>
      </c>
      <c r="K549" t="s">
        <v>437</v>
      </c>
      <c r="M549" t="str">
        <f>LEFT($D549,FIND(",",$D549)-1)&amp;"_"&amp;I549&amp;L549</f>
        <v>Borjesson_2000</v>
      </c>
      <c r="N549" t="s">
        <v>222</v>
      </c>
      <c r="O549" s="145" t="s">
        <v>223</v>
      </c>
      <c r="Q549" t="s">
        <v>256</v>
      </c>
      <c r="R549" s="251" t="s">
        <v>225</v>
      </c>
      <c r="S549" s="1" t="s">
        <v>438</v>
      </c>
      <c r="T549" t="s">
        <v>451</v>
      </c>
      <c r="U549" t="s">
        <v>452</v>
      </c>
      <c r="V549" s="253">
        <v>0</v>
      </c>
      <c r="W549" s="253">
        <v>0</v>
      </c>
      <c r="X549">
        <v>0</v>
      </c>
      <c r="Y549">
        <v>0</v>
      </c>
      <c r="Z549">
        <v>0</v>
      </c>
      <c r="AA549">
        <v>0</v>
      </c>
      <c r="AB549">
        <v>0</v>
      </c>
      <c r="AC549">
        <v>0</v>
      </c>
      <c r="AD549">
        <v>0</v>
      </c>
      <c r="AE549">
        <v>0</v>
      </c>
      <c r="AF549">
        <v>0</v>
      </c>
      <c r="AG549">
        <v>0</v>
      </c>
      <c r="AH549">
        <v>0</v>
      </c>
      <c r="AI549">
        <v>0</v>
      </c>
      <c r="AJ549">
        <v>0</v>
      </c>
      <c r="AK549">
        <v>0</v>
      </c>
      <c r="AL549">
        <v>0</v>
      </c>
      <c r="AM549">
        <v>1</v>
      </c>
      <c r="AN549">
        <v>0</v>
      </c>
      <c r="AO549">
        <v>0</v>
      </c>
      <c r="AP549">
        <v>0</v>
      </c>
      <c r="AQ549">
        <v>0</v>
      </c>
      <c r="AR549">
        <v>0</v>
      </c>
      <c r="AS549">
        <v>0</v>
      </c>
      <c r="AT549">
        <v>0</v>
      </c>
      <c r="AU549">
        <v>0</v>
      </c>
      <c r="AV549">
        <v>0</v>
      </c>
      <c r="AW549">
        <v>0</v>
      </c>
      <c r="AX549">
        <v>0</v>
      </c>
      <c r="AY549">
        <v>0</v>
      </c>
      <c r="AZ549" s="141">
        <f>COUNTIF(X549:AY549,"&lt;&gt;0")</f>
        <v>1</v>
      </c>
      <c r="BA549" s="141">
        <f>COUNTIF(X549:AN549,"&lt;&gt;0")</f>
        <v>1</v>
      </c>
      <c r="BB549">
        <f>COUNTIF(X549:AE549,"&lt;&gt;0")</f>
        <v>0</v>
      </c>
      <c r="BC549">
        <f>COUNTIF(AF549:AK549,"&lt;&gt;0")</f>
        <v>0</v>
      </c>
      <c r="BD549">
        <f>COUNTIF(AL549:AN549,"&lt;&gt;0")</f>
        <v>1</v>
      </c>
      <c r="BE549">
        <f>COUNTIF(AU549:AY549,"&lt;&gt;0")</f>
        <v>0</v>
      </c>
      <c r="BF549">
        <f>COUNTIF(AO549:AT549,"&lt;&gt;0")</f>
        <v>0</v>
      </c>
      <c r="BG549" t="str">
        <f t="array" ref="BG549">IF(BA549=1,INDEX($X$7:$AN$7,MATCH(TRUE,INDEX($X549:$AY549&lt;&gt;0,),0)),IF(BA549=0,INDEX($AO$7:$AY$7,MATCH(1,$AO549:$AY549,0)),IF(BH549="Multiple strategies","mixed drivers",IF(BH549="Supply chain","multiple supply","multiple silviculture"))))</f>
        <v>technologies/design switch</v>
      </c>
      <c r="BH549" s="2" t="str" cm="1">
        <f t="array" ref="BH549">IF(COUNTIF(BB549:BD549,"&lt;&gt;0")=1,INDEX($X$4:$AY$4,MATCH(TRUE,INDEX($X549:$AY549&lt;&gt;0,),0)),IF(COUNTIF(BB549:BD549,"&lt;&gt;0")=0,INDEX($AO$4:$AY$4,MATCH(1,$AO549:$AY549,0)),"Multiple strategies"))</f>
        <v>Technology</v>
      </c>
      <c r="BI549" s="142" t="s">
        <v>229</v>
      </c>
      <c r="BJ549" t="s">
        <v>441</v>
      </c>
      <c r="BK549" s="260" t="s">
        <v>2949</v>
      </c>
      <c r="BL549" s="143" t="s">
        <v>442</v>
      </c>
      <c r="BM549">
        <v>0</v>
      </c>
      <c r="BN549">
        <f>3*44</f>
        <v>132</v>
      </c>
      <c r="BO549" s="143" t="e">
        <f>BN549/BM549</f>
        <v>#DIV/0!</v>
      </c>
      <c r="BP549">
        <f>BN549-BM549</f>
        <v>132</v>
      </c>
      <c r="BQ549">
        <f>BP549*tC_to_m3</f>
        <v>573.16543638732094</v>
      </c>
      <c r="BR549" t="s">
        <v>232</v>
      </c>
      <c r="BS549" s="256" t="s">
        <v>793</v>
      </c>
      <c r="BT549" t="s">
        <v>443</v>
      </c>
      <c r="BU549" s="141">
        <v>25</v>
      </c>
      <c r="BV549" s="141">
        <v>84</v>
      </c>
      <c r="BW549" s="144">
        <f>IFERROR(BV549/BU549,"")</f>
        <v>3.36</v>
      </c>
      <c r="BX549">
        <f>BV549-BU549</f>
        <v>59</v>
      </c>
      <c r="BZ549">
        <f>BX549*C_to_CO2</f>
        <v>216.53</v>
      </c>
      <c r="CA549">
        <f>IFERROR(BZ549/BQ549,"")</f>
        <v>0.3777792348484848</v>
      </c>
      <c r="CB549" s="143">
        <v>0</v>
      </c>
      <c r="CC549" s="143">
        <v>0</v>
      </c>
      <c r="CD549" s="143">
        <v>0</v>
      </c>
      <c r="CE549" s="143">
        <v>0</v>
      </c>
      <c r="CF549" s="143">
        <v>0</v>
      </c>
      <c r="CG549" s="143">
        <v>0</v>
      </c>
      <c r="CH549" s="143">
        <v>0</v>
      </c>
      <c r="CI549" s="143">
        <v>0</v>
      </c>
      <c r="CJ549" s="143">
        <v>0</v>
      </c>
      <c r="CK549" s="143">
        <v>0</v>
      </c>
      <c r="CL549" s="143">
        <v>0</v>
      </c>
      <c r="CM549" s="143">
        <v>0</v>
      </c>
      <c r="CN549" s="143">
        <v>0</v>
      </c>
      <c r="CO549">
        <v>0</v>
      </c>
      <c r="CP549" t="str">
        <f>IF($BN549&lt;$BM549,"refNeedCorrection","refOK")</f>
        <v>refOK</v>
      </c>
      <c r="CQ549">
        <f>IF($CP549="refOK",$BM549,$BN549)</f>
        <v>0</v>
      </c>
      <c r="CR549">
        <f>IF($CP549="refOK",$BN549,$BM549)</f>
        <v>132</v>
      </c>
      <c r="CS549">
        <f>IF($CP549="refOK",$BQ549,-$BQ549)</f>
        <v>573.16543638732094</v>
      </c>
      <c r="CT549">
        <f>IF(BI549="Roundwood",$CS549/2,$CS549)</f>
        <v>573.16543638732094</v>
      </c>
      <c r="CU549">
        <f>IF($CP549="refOK",$BU549,$BV549)*IF($BR549="Emissions positive",-1,1)</f>
        <v>25</v>
      </c>
      <c r="CV549">
        <f>IF($CP549="refOK",$BV549,$BU549)*IF($BR549="Emissions positive",-1,1)</f>
        <v>84</v>
      </c>
      <c r="CW549">
        <f>IF($CP549="refNeedCorrection",-BZ549,BZ549)*IF($BR549="Emissions positive",-1,1)</f>
        <v>216.53</v>
      </c>
      <c r="CX549">
        <f>IFERROR($CW549/$CS549,"")</f>
        <v>0.3777792348484848</v>
      </c>
      <c r="CY549">
        <f>IFERROR($CW549/$CS549,"")</f>
        <v>0.3777792348484848</v>
      </c>
      <c r="CZ549">
        <f>IFERROR($CW549/$CT549,"")</f>
        <v>0.3777792348484848</v>
      </c>
      <c r="DA549" s="2">
        <f>IFERROR((CV549-CU549)/ABS(CU549),"")</f>
        <v>2.36</v>
      </c>
      <c r="DB549" s="1" t="s">
        <v>263</v>
      </c>
      <c r="DC549" t="str">
        <f>IF(OR($DB549="prd",$DB549="std",$DB549="cit"),"loc",IF(OR($DB549="eur",$DB549="reg",$DB549="coy"),"reg",$DB549))</f>
        <v>loc</v>
      </c>
      <c r="DD549" t="s">
        <v>444</v>
      </c>
      <c r="DG549">
        <v>300</v>
      </c>
      <c r="DH549" t="str">
        <f>IF(DG549=0,"0",IF(AND(DG549&gt;=1,DG549&lt;=30),"1-30",IF(AND(DG549&gt;30,DG549&lt;=70),"31-70",IF(AND(DG549&gt;70,DG549&lt;=100),"71-100",IF(DG549&gt;100,"+100")))))</f>
        <v>+100</v>
      </c>
      <c r="DI549">
        <v>0</v>
      </c>
      <c r="DJ549">
        <v>0</v>
      </c>
      <c r="DK549">
        <v>0</v>
      </c>
      <c r="DL549">
        <v>1</v>
      </c>
      <c r="DN549">
        <f>SUM(DI549:DL549)</f>
        <v>1</v>
      </c>
      <c r="DO549" t="str">
        <f>IF(DN549=1,INDEX($DI$7:$DL$7,MATCH(1,$DI549:$DL549,0)),"mixedProduct")</f>
        <v>TimberInput</v>
      </c>
      <c r="DP549">
        <f>IF(DI549=1,DP$7,0)</f>
        <v>0</v>
      </c>
      <c r="DQ549">
        <f>IF(DJ549=1,DQ$7,0)</f>
        <v>0</v>
      </c>
      <c r="DR549">
        <f>IF(DK549=1,DR$7,0)</f>
        <v>0</v>
      </c>
      <c r="DS549" t="str">
        <f>IF(DL549=1,DS$7,0)</f>
        <v>Timber</v>
      </c>
      <c r="DT549">
        <v>1</v>
      </c>
      <c r="DU549" s="143">
        <v>0</v>
      </c>
      <c r="DV549" s="143">
        <v>0</v>
      </c>
      <c r="DW549" s="143">
        <v>0</v>
      </c>
      <c r="DX549">
        <v>0</v>
      </c>
      <c r="DY549">
        <f>SUM(DT549:DU549)</f>
        <v>1</v>
      </c>
      <c r="DZ549" s="143" t="str">
        <f>IF(DT549=1,"self-calculated DF",IF(DU549=1,"external DF used","explicit C balance"))</f>
        <v>self-calculated DF</v>
      </c>
      <c r="EA549">
        <v>0</v>
      </c>
      <c r="EB549" s="143">
        <v>0</v>
      </c>
      <c r="EC549" s="143">
        <v>1</v>
      </c>
      <c r="ED549" s="143">
        <v>1</v>
      </c>
      <c r="EE549">
        <v>1</v>
      </c>
      <c r="EF549" s="143">
        <v>1</v>
      </c>
      <c r="EG549">
        <v>0</v>
      </c>
      <c r="EH549" s="143">
        <v>1</v>
      </c>
      <c r="EI549" s="143">
        <v>0</v>
      </c>
      <c r="EJ549">
        <v>0</v>
      </c>
      <c r="EK549">
        <v>0</v>
      </c>
      <c r="EL549" s="143">
        <v>0</v>
      </c>
      <c r="EM549" s="143">
        <v>0</v>
      </c>
      <c r="EN549" s="2">
        <v>0</v>
      </c>
      <c r="EO549" s="358"/>
      <c r="EP549" t="str">
        <f>IF(AND(AND(AND(OR($EC549=1,$EB549=1),OR($EH549=1,$EF549=1)),SUM($EA549:$EE549,$EK549)&gt;=3),SUM($EF549:$EJ549)&gt;=2),"Whole sector approach","")</f>
        <v>Whole sector approach</v>
      </c>
      <c r="EQ549" t="str">
        <f>IF(AND(AND(OR($EC549=1,$EB549=1),AND($EH549=0,$EF549=0)),SUM($EA549:$EE549,$EK549)&gt;=4),"Ecosystem approach","")</f>
        <v/>
      </c>
      <c r="ER549" s="2" t="str">
        <f>IF(AND(AND(AND($EC549=0,$EB549=0),OR($EH549=1,$EF549=1)),SUM($EG549:$EJ549)&gt;=2),"Technology approach","")</f>
        <v/>
      </c>
      <c r="ES549" t="str">
        <f>IF(AND($EC549+$EB549+$EE549+$EA549+$ED549+$EG549=0,$N549="included"),"C neutral forest and HWP assumption","")</f>
        <v/>
      </c>
      <c r="ET549" t="str">
        <f>IF(AND(AND(AND(AND($EC549=1,$EB549+$EA549+$EG549&gt;=1),$EF549=1),$EH549+$EI549+$ED549+$EE549&gt;=2),$N549="included"),"All C pools assumption","")</f>
        <v/>
      </c>
      <c r="EU549" t="str">
        <f>IF(AND($ED549+$EE549+$EI549+$EH549+$EF549=0,$N549="included"),"In-situ only assumption","")</f>
        <v/>
      </c>
      <c r="EW549" t="s">
        <v>445</v>
      </c>
      <c r="EY549" t="str">
        <f>IF(ISNUMBER(BW549),IF(ABS(BW549-[6]QC_indicators!$B$2)&gt;3*[6]QC_indicators!$C$2,"C ratio",IF(ISNUMBER(CA549),IF(ABS(CA549-[6]QC_indicators!$B$1)&gt;3*[6]QC_indicators!$C$1,"DF","no"))),IF(ISNUMBER(CA549),IF(ABS(CA549-[6]QC_indicators!$B$1)&gt;3*[6]QC_indicators!$C$1,"DF","no")))</f>
        <v>no</v>
      </c>
      <c r="FA549" t="str">
        <f>IF(LEN($CY549)=0,"",IF(AND($CY549&lt;(-0.05),$ES549="C neutral forest and HWP assumption"),"Cneutral paradox",IF(AND($CY549&gt;0.05,$EU549="In-situ only assumption"),"In-situ only paradox","")))</f>
        <v/>
      </c>
      <c r="FD549" s="260" t="s">
        <v>2948</v>
      </c>
    </row>
    <row r="550" spans="1:160" ht="15" hidden="1" customHeight="1">
      <c r="A550" s="1" t="s">
        <v>430</v>
      </c>
      <c r="B550" t="s">
        <v>431</v>
      </c>
      <c r="C550" t="s">
        <v>432</v>
      </c>
      <c r="D550" t="s">
        <v>433</v>
      </c>
      <c r="E550" t="s">
        <v>434</v>
      </c>
      <c r="F550" t="s">
        <v>435</v>
      </c>
      <c r="G550" t="s">
        <v>436</v>
      </c>
      <c r="H550" t="s">
        <v>254</v>
      </c>
      <c r="I550">
        <v>2000</v>
      </c>
      <c r="J550">
        <v>174</v>
      </c>
      <c r="K550" t="s">
        <v>437</v>
      </c>
      <c r="M550" t="str">
        <f>LEFT($D550,FIND(",",$D550)-1)&amp;"_"&amp;I550&amp;L550</f>
        <v>Borjesson_2000</v>
      </c>
      <c r="N550" t="s">
        <v>222</v>
      </c>
      <c r="O550" s="145" t="s">
        <v>223</v>
      </c>
      <c r="Q550" t="s">
        <v>256</v>
      </c>
      <c r="R550" s="251" t="s">
        <v>225</v>
      </c>
      <c r="S550" s="1" t="s">
        <v>438</v>
      </c>
      <c r="T550" t="s">
        <v>449</v>
      </c>
      <c r="U550" t="s">
        <v>448</v>
      </c>
      <c r="V550" s="253">
        <v>0</v>
      </c>
      <c r="W550" s="253">
        <v>0</v>
      </c>
      <c r="X550">
        <v>0</v>
      </c>
      <c r="Y550">
        <v>0</v>
      </c>
      <c r="Z550">
        <v>0</v>
      </c>
      <c r="AA550">
        <v>0</v>
      </c>
      <c r="AB550">
        <v>0</v>
      </c>
      <c r="AC550">
        <v>0</v>
      </c>
      <c r="AD550">
        <v>0</v>
      </c>
      <c r="AE550">
        <v>0</v>
      </c>
      <c r="AF550">
        <v>0</v>
      </c>
      <c r="AG550">
        <v>0</v>
      </c>
      <c r="AH550">
        <v>0</v>
      </c>
      <c r="AI550">
        <v>0</v>
      </c>
      <c r="AJ550">
        <v>0</v>
      </c>
      <c r="AK550">
        <v>0</v>
      </c>
      <c r="AL550">
        <v>0</v>
      </c>
      <c r="AM550">
        <v>1</v>
      </c>
      <c r="AN550">
        <v>0</v>
      </c>
      <c r="AO550">
        <v>0</v>
      </c>
      <c r="AP550">
        <v>0</v>
      </c>
      <c r="AQ550">
        <v>0</v>
      </c>
      <c r="AR550">
        <v>0</v>
      </c>
      <c r="AS550">
        <v>0</v>
      </c>
      <c r="AT550">
        <v>0</v>
      </c>
      <c r="AU550">
        <v>0</v>
      </c>
      <c r="AV550">
        <v>0</v>
      </c>
      <c r="AW550">
        <v>0</v>
      </c>
      <c r="AX550">
        <v>0</v>
      </c>
      <c r="AY550">
        <v>0</v>
      </c>
      <c r="AZ550" s="141">
        <f>COUNTIF(X550:AY550,"&lt;&gt;0")</f>
        <v>1</v>
      </c>
      <c r="BA550" s="141">
        <f>COUNTIF(X550:AN550,"&lt;&gt;0")</f>
        <v>1</v>
      </c>
      <c r="BB550">
        <f>COUNTIF(X550:AE550,"&lt;&gt;0")</f>
        <v>0</v>
      </c>
      <c r="BC550">
        <f>COUNTIF(AF550:AK550,"&lt;&gt;0")</f>
        <v>0</v>
      </c>
      <c r="BD550">
        <f>COUNTIF(AL550:AN550,"&lt;&gt;0")</f>
        <v>1</v>
      </c>
      <c r="BE550">
        <f>COUNTIF(AU550:AY550,"&lt;&gt;0")</f>
        <v>0</v>
      </c>
      <c r="BF550">
        <f>COUNTIF(AO550:AT550,"&lt;&gt;0")</f>
        <v>0</v>
      </c>
      <c r="BG550" t="str">
        <f t="array" ref="BG550">IF(BA550=1,INDEX($X$7:$AN$7,MATCH(TRUE,INDEX($X550:$AY550&lt;&gt;0,),0)),IF(BA550=0,INDEX($AO$7:$AY$7,MATCH(1,$AO550:$AY550,0)),IF(BH550="Multiple strategies","mixed drivers",IF(BH550="Supply chain","multiple supply","multiple silviculture"))))</f>
        <v>technologies/design switch</v>
      </c>
      <c r="BH550" s="2" t="str" cm="1">
        <f t="array" ref="BH550">IF(COUNTIF(BB550:BD550,"&lt;&gt;0")=1,INDEX($X$4:$AY$4,MATCH(TRUE,INDEX($X550:$AY550&lt;&gt;0,),0)),IF(COUNTIF(BB550:BD550,"&lt;&gt;0")=0,INDEX($AO$4:$AY$4,MATCH(1,$AO550:$AY550,0)),"Multiple strategies"))</f>
        <v>Technology</v>
      </c>
      <c r="BI550" s="142" t="s">
        <v>229</v>
      </c>
      <c r="BJ550" t="s">
        <v>441</v>
      </c>
      <c r="BK550" s="260" t="s">
        <v>2949</v>
      </c>
      <c r="BL550" s="143" t="s">
        <v>442</v>
      </c>
      <c r="BM550">
        <v>0</v>
      </c>
      <c r="BN550">
        <f>3*44</f>
        <v>132</v>
      </c>
      <c r="BO550" s="143" t="e">
        <f>BN550/BM550</f>
        <v>#DIV/0!</v>
      </c>
      <c r="BP550">
        <f>BN550-BM550</f>
        <v>132</v>
      </c>
      <c r="BQ550">
        <f>BP550*tC_to_m3</f>
        <v>573.16543638732094</v>
      </c>
      <c r="BR550" t="s">
        <v>232</v>
      </c>
      <c r="BS550" s="256" t="s">
        <v>793</v>
      </c>
      <c r="BT550" t="s">
        <v>443</v>
      </c>
      <c r="BU550" s="141">
        <v>3</v>
      </c>
      <c r="BV550" s="141">
        <v>53</v>
      </c>
      <c r="BW550" s="144">
        <f>IFERROR(BV550/BU550,"")</f>
        <v>17.666666666666668</v>
      </c>
      <c r="BX550">
        <f>BV550-BU550</f>
        <v>50</v>
      </c>
      <c r="BZ550">
        <f>BX550*C_to_CO2</f>
        <v>183.5</v>
      </c>
      <c r="CA550">
        <f>IFERROR(BZ550/BQ550,"")</f>
        <v>0.32015189393939392</v>
      </c>
      <c r="CB550" s="143">
        <v>0</v>
      </c>
      <c r="CC550" s="143">
        <v>0</v>
      </c>
      <c r="CD550" s="143">
        <v>0</v>
      </c>
      <c r="CE550" s="143">
        <v>0</v>
      </c>
      <c r="CF550" s="143">
        <v>0</v>
      </c>
      <c r="CG550" s="143">
        <v>0</v>
      </c>
      <c r="CH550" s="143">
        <v>0</v>
      </c>
      <c r="CI550" s="143">
        <v>0</v>
      </c>
      <c r="CJ550" s="143">
        <v>0</v>
      </c>
      <c r="CK550" s="143">
        <v>0</v>
      </c>
      <c r="CL550" s="143">
        <v>0</v>
      </c>
      <c r="CM550" s="143">
        <v>0</v>
      </c>
      <c r="CN550" s="143">
        <v>0</v>
      </c>
      <c r="CO550">
        <v>0</v>
      </c>
      <c r="CP550" t="str">
        <f>IF($BN550&lt;$BM550,"refNeedCorrection","refOK")</f>
        <v>refOK</v>
      </c>
      <c r="CQ550">
        <f>IF($CP550="refOK",$BM550,$BN550)</f>
        <v>0</v>
      </c>
      <c r="CR550">
        <f>IF($CP550="refOK",$BN550,$BM550)</f>
        <v>132</v>
      </c>
      <c r="CS550">
        <f>IF($CP550="refOK",$BQ550,-$BQ550)</f>
        <v>573.16543638732094</v>
      </c>
      <c r="CT550">
        <f>IF(BI550="Roundwood",$CS550/2,$CS550)</f>
        <v>573.16543638732094</v>
      </c>
      <c r="CU550">
        <f>IF($CP550="refOK",$BU550,$BV550)*IF($BR550="Emissions positive",-1,1)</f>
        <v>3</v>
      </c>
      <c r="CV550">
        <f>IF($CP550="refOK",$BV550,$BU550)*IF($BR550="Emissions positive",-1,1)</f>
        <v>53</v>
      </c>
      <c r="CW550">
        <f>IF($CP550="refNeedCorrection",-BZ550,BZ550)*IF($BR550="Emissions positive",-1,1)</f>
        <v>183.5</v>
      </c>
      <c r="CX550">
        <f>IFERROR($CW550/$CS550,"")</f>
        <v>0.32015189393939392</v>
      </c>
      <c r="CY550">
        <f>IFERROR($CW550/$CS550,"")</f>
        <v>0.32015189393939392</v>
      </c>
      <c r="CZ550">
        <f>IFERROR($CW550/$CT550,"")</f>
        <v>0.32015189393939392</v>
      </c>
      <c r="DA550" s="2">
        <f>IFERROR((CV550-CU550)/ABS(CU550),"")</f>
        <v>16.666666666666668</v>
      </c>
      <c r="DB550" s="1" t="s">
        <v>263</v>
      </c>
      <c r="DC550" t="str">
        <f>IF(OR($DB550="prd",$DB550="std",$DB550="cit"),"loc",IF(OR($DB550="eur",$DB550="reg",$DB550="coy"),"reg",$DB550))</f>
        <v>loc</v>
      </c>
      <c r="DD550" t="s">
        <v>444</v>
      </c>
      <c r="DG550">
        <v>300</v>
      </c>
      <c r="DH550" t="str">
        <f>IF(DG550=0,"0",IF(AND(DG550&gt;=1,DG550&lt;=30),"1-30",IF(AND(DG550&gt;30,DG550&lt;=70),"31-70",IF(AND(DG550&gt;70,DG550&lt;=100),"71-100",IF(DG550&gt;100,"+100")))))</f>
        <v>+100</v>
      </c>
      <c r="DI550">
        <v>0</v>
      </c>
      <c r="DJ550">
        <v>0</v>
      </c>
      <c r="DK550">
        <v>0</v>
      </c>
      <c r="DL550">
        <v>1</v>
      </c>
      <c r="DN550">
        <f>SUM(DI550:DL550)</f>
        <v>1</v>
      </c>
      <c r="DO550" t="str">
        <f>IF(DN550=1,INDEX($DI$7:$DL$7,MATCH(1,$DI550:$DL550,0)),"mixedProduct")</f>
        <v>TimberInput</v>
      </c>
      <c r="DP550">
        <f>IF(DI550=1,DP$7,0)</f>
        <v>0</v>
      </c>
      <c r="DQ550">
        <f>IF(DJ550=1,DQ$7,0)</f>
        <v>0</v>
      </c>
      <c r="DR550">
        <f>IF(DK550=1,DR$7,0)</f>
        <v>0</v>
      </c>
      <c r="DS550" t="str">
        <f>IF(DL550=1,DS$7,0)</f>
        <v>Timber</v>
      </c>
      <c r="DT550">
        <v>1</v>
      </c>
      <c r="DU550" s="143">
        <v>0</v>
      </c>
      <c r="DV550" s="143">
        <v>0</v>
      </c>
      <c r="DW550" s="143">
        <v>0</v>
      </c>
      <c r="DX550">
        <v>0</v>
      </c>
      <c r="DY550">
        <f>SUM(DT550:DU550)</f>
        <v>1</v>
      </c>
      <c r="DZ550" s="143" t="str">
        <f>IF(DT550=1,"self-calculated DF",IF(DU550=1,"external DF used","explicit C balance"))</f>
        <v>self-calculated DF</v>
      </c>
      <c r="EA550">
        <v>0</v>
      </c>
      <c r="EB550" s="143">
        <v>0</v>
      </c>
      <c r="EC550" s="143">
        <v>1</v>
      </c>
      <c r="ED550" s="143">
        <v>1</v>
      </c>
      <c r="EE550">
        <v>1</v>
      </c>
      <c r="EF550" s="143">
        <v>1</v>
      </c>
      <c r="EG550">
        <v>0</v>
      </c>
      <c r="EH550" s="143">
        <v>1</v>
      </c>
      <c r="EI550" s="143">
        <v>0</v>
      </c>
      <c r="EJ550">
        <v>0</v>
      </c>
      <c r="EK550">
        <v>0</v>
      </c>
      <c r="EL550" s="143">
        <v>0</v>
      </c>
      <c r="EM550" s="143">
        <v>0</v>
      </c>
      <c r="EN550" s="2">
        <v>0</v>
      </c>
      <c r="EP550" t="str">
        <f>IF(AND(AND(AND(OR($EC550=1,$EB550=1),OR($EH550=1,$EF550=1)),SUM($EA550:$EE550,$EK550)&gt;=3),SUM($EF550:$EJ550)&gt;=2),"Whole sector approach","")</f>
        <v>Whole sector approach</v>
      </c>
      <c r="EQ550" t="str">
        <f>IF(AND(AND(OR($EC550=1,$EB550=1),AND($EH550=0,$EF550=0)),SUM($EA550:$EE550,$EK550)&gt;=4),"Ecosystem approach","")</f>
        <v/>
      </c>
      <c r="ER550" s="2" t="str">
        <f>IF(AND(AND(AND($EC550=0,$EB550=0),OR($EH550=1,$EF550=1)),SUM($EG550:$EJ550)&gt;=2),"Technology approach","")</f>
        <v/>
      </c>
      <c r="ES550" t="str">
        <f>IF(AND($EC550+$EB550+$EE550+$EA550+$ED550+$EG550=0,$N550="included"),"C neutral forest and HWP assumption","")</f>
        <v/>
      </c>
      <c r="ET550" t="str">
        <f>IF(AND(AND(AND(AND($EC550=1,$EB550+$EA550+$EG550&gt;=1),$EF550=1),$EH550+$EI550+$ED550+$EE550&gt;=2),$N550="included"),"All C pools assumption","")</f>
        <v/>
      </c>
      <c r="EU550" t="str">
        <f>IF(AND($ED550+$EE550+$EI550+$EH550+$EF550=0,$N550="included"),"In-situ only assumption","")</f>
        <v/>
      </c>
      <c r="EW550" t="s">
        <v>445</v>
      </c>
      <c r="EY550" t="str">
        <f>IF(ISNUMBER(BW550),IF(ABS(BW550-[6]QC_indicators!$B$2)&gt;3*[6]QC_indicators!$C$2,"C ratio",IF(ISNUMBER(CA550),IF(ABS(CA550-[6]QC_indicators!$B$1)&gt;3*[6]QC_indicators!$C$1,"DF","no"))),IF(ISNUMBER(CA550),IF(ABS(CA550-[6]QC_indicators!$B$1)&gt;3*[6]QC_indicators!$C$1,"DF","no")))</f>
        <v>no</v>
      </c>
      <c r="EZ550" t="s">
        <v>450</v>
      </c>
      <c r="FA550" t="str">
        <f>IF(LEN($CY550)=0,"",IF(AND($CY550&lt;(-0.05),$ES550="C neutral forest and HWP assumption"),"Cneutral paradox",IF(AND($CY550&gt;0.05,$EU550="In-situ only assumption"),"In-situ only paradox","")))</f>
        <v/>
      </c>
      <c r="FD550" s="260" t="s">
        <v>2948</v>
      </c>
    </row>
    <row r="551" spans="1:160" ht="15" hidden="1" customHeight="1">
      <c r="A551" s="1" t="s">
        <v>430</v>
      </c>
      <c r="B551" t="s">
        <v>431</v>
      </c>
      <c r="C551" t="s">
        <v>432</v>
      </c>
      <c r="D551" t="s">
        <v>433</v>
      </c>
      <c r="E551" t="s">
        <v>434</v>
      </c>
      <c r="F551" t="s">
        <v>435</v>
      </c>
      <c r="G551" t="s">
        <v>436</v>
      </c>
      <c r="H551" t="s">
        <v>254</v>
      </c>
      <c r="I551">
        <v>2000</v>
      </c>
      <c r="J551">
        <v>174</v>
      </c>
      <c r="K551" t="s">
        <v>437</v>
      </c>
      <c r="M551" t="str">
        <f>LEFT($D551,FIND(",",$D551)-1)&amp;"_"&amp;I551&amp;L551</f>
        <v>Borjesson_2000</v>
      </c>
      <c r="N551" t="s">
        <v>222</v>
      </c>
      <c r="O551" s="145" t="s">
        <v>223</v>
      </c>
      <c r="Q551" t="s">
        <v>256</v>
      </c>
      <c r="R551" s="251" t="s">
        <v>225</v>
      </c>
      <c r="S551" s="1" t="s">
        <v>438</v>
      </c>
      <c r="T551" t="s">
        <v>447</v>
      </c>
      <c r="U551" t="s">
        <v>448</v>
      </c>
      <c r="V551" s="253">
        <v>0</v>
      </c>
      <c r="W551" s="253">
        <v>0</v>
      </c>
      <c r="X551">
        <v>0</v>
      </c>
      <c r="Y551">
        <v>0</v>
      </c>
      <c r="Z551">
        <v>0</v>
      </c>
      <c r="AA551">
        <v>0</v>
      </c>
      <c r="AB551">
        <v>0</v>
      </c>
      <c r="AC551">
        <v>0</v>
      </c>
      <c r="AD551">
        <v>0</v>
      </c>
      <c r="AE551">
        <v>0</v>
      </c>
      <c r="AF551">
        <v>0</v>
      </c>
      <c r="AG551">
        <v>0</v>
      </c>
      <c r="AH551">
        <v>0</v>
      </c>
      <c r="AI551">
        <v>0</v>
      </c>
      <c r="AJ551">
        <v>0</v>
      </c>
      <c r="AK551">
        <v>0</v>
      </c>
      <c r="AL551">
        <v>0</v>
      </c>
      <c r="AM551">
        <v>1</v>
      </c>
      <c r="AN551">
        <v>0</v>
      </c>
      <c r="AO551">
        <v>0</v>
      </c>
      <c r="AP551">
        <v>0</v>
      </c>
      <c r="AQ551">
        <v>0</v>
      </c>
      <c r="AR551">
        <v>0</v>
      </c>
      <c r="AS551">
        <v>0</v>
      </c>
      <c r="AT551">
        <v>0</v>
      </c>
      <c r="AU551">
        <v>0</v>
      </c>
      <c r="AV551">
        <v>0</v>
      </c>
      <c r="AW551">
        <v>0</v>
      </c>
      <c r="AX551">
        <v>0</v>
      </c>
      <c r="AY551">
        <v>0</v>
      </c>
      <c r="AZ551" s="141">
        <f>COUNTIF(X551:AY551,"&lt;&gt;0")</f>
        <v>1</v>
      </c>
      <c r="BA551" s="141">
        <f>COUNTIF(X551:AN551,"&lt;&gt;0")</f>
        <v>1</v>
      </c>
      <c r="BB551">
        <f>COUNTIF(X551:AE551,"&lt;&gt;0")</f>
        <v>0</v>
      </c>
      <c r="BC551">
        <f>COUNTIF(AF551:AK551,"&lt;&gt;0")</f>
        <v>0</v>
      </c>
      <c r="BD551">
        <f>COUNTIF(AL551:AN551,"&lt;&gt;0")</f>
        <v>1</v>
      </c>
      <c r="BE551">
        <f>COUNTIF(AU551:AY551,"&lt;&gt;0")</f>
        <v>0</v>
      </c>
      <c r="BF551">
        <f>COUNTIF(AO551:AT551,"&lt;&gt;0")</f>
        <v>0</v>
      </c>
      <c r="BG551" t="str">
        <f t="array" ref="BG551">IF(BA551=1,INDEX($X$7:$AN$7,MATCH(TRUE,INDEX($X551:$AY551&lt;&gt;0,),0)),IF(BA551=0,INDEX($AO$7:$AY$7,MATCH(1,$AO551:$AY551,0)),IF(BH551="Multiple strategies","mixed drivers",IF(BH551="Supply chain","multiple supply","multiple silviculture"))))</f>
        <v>technologies/design switch</v>
      </c>
      <c r="BH551" s="2" t="str" cm="1">
        <f t="array" ref="BH551">IF(COUNTIF(BB551:BD551,"&lt;&gt;0")=1,INDEX($X$4:$AY$4,MATCH(TRUE,INDEX($X551:$AY551&lt;&gt;0,),0)),IF(COUNTIF(BB551:BD551,"&lt;&gt;0")=0,INDEX($AO$4:$AY$4,MATCH(1,$AO551:$AY551,0)),"Multiple strategies"))</f>
        <v>Technology</v>
      </c>
      <c r="BI551" s="142" t="s">
        <v>229</v>
      </c>
      <c r="BJ551" t="s">
        <v>441</v>
      </c>
      <c r="BK551" s="260" t="s">
        <v>2949</v>
      </c>
      <c r="BL551" s="143" t="s">
        <v>442</v>
      </c>
      <c r="BM551">
        <v>0</v>
      </c>
      <c r="BN551">
        <f>3*44</f>
        <v>132</v>
      </c>
      <c r="BO551" s="143" t="e">
        <f>BN551/BM551</f>
        <v>#DIV/0!</v>
      </c>
      <c r="BP551">
        <f>BN551-BM551</f>
        <v>132</v>
      </c>
      <c r="BQ551">
        <f>BP551*tC_to_m3</f>
        <v>573.16543638732094</v>
      </c>
      <c r="BR551" t="s">
        <v>232</v>
      </c>
      <c r="BS551" s="256" t="s">
        <v>793</v>
      </c>
      <c r="BT551" t="s">
        <v>443</v>
      </c>
      <c r="BU551" s="141">
        <v>6</v>
      </c>
      <c r="BV551" s="141">
        <v>53</v>
      </c>
      <c r="BW551" s="144">
        <f>IFERROR(BV551/BU551,"")</f>
        <v>8.8333333333333339</v>
      </c>
      <c r="BX551">
        <f>BV551-BU551</f>
        <v>47</v>
      </c>
      <c r="BZ551">
        <f>BX551*C_to_CO2</f>
        <v>172.49</v>
      </c>
      <c r="CA551">
        <f>IFERROR(BZ551/BQ551,"")</f>
        <v>0.30094278030303029</v>
      </c>
      <c r="CB551" s="143">
        <v>0</v>
      </c>
      <c r="CC551" s="143">
        <v>0</v>
      </c>
      <c r="CD551" s="143">
        <v>0</v>
      </c>
      <c r="CE551" s="143">
        <v>0</v>
      </c>
      <c r="CF551" s="143">
        <v>0</v>
      </c>
      <c r="CG551" s="143">
        <v>0</v>
      </c>
      <c r="CH551" s="143">
        <v>0</v>
      </c>
      <c r="CI551" s="143">
        <v>0</v>
      </c>
      <c r="CJ551" s="143">
        <v>0</v>
      </c>
      <c r="CK551" s="143">
        <v>0</v>
      </c>
      <c r="CL551" s="143">
        <v>0</v>
      </c>
      <c r="CM551" s="143">
        <v>0</v>
      </c>
      <c r="CN551" s="143">
        <v>0</v>
      </c>
      <c r="CO551">
        <v>0</v>
      </c>
      <c r="CP551" t="str">
        <f>IF($BN551&lt;$BM551,"refNeedCorrection","refOK")</f>
        <v>refOK</v>
      </c>
      <c r="CQ551">
        <f>IF($CP551="refOK",$BM551,$BN551)</f>
        <v>0</v>
      </c>
      <c r="CR551">
        <f>IF($CP551="refOK",$BN551,$BM551)</f>
        <v>132</v>
      </c>
      <c r="CS551">
        <f>IF($CP551="refOK",$BQ551,-$BQ551)</f>
        <v>573.16543638732094</v>
      </c>
      <c r="CT551">
        <f>IF(BI551="Roundwood",$CS551/2,$CS551)</f>
        <v>573.16543638732094</v>
      </c>
      <c r="CU551">
        <f>IF($CP551="refOK",$BU551,$BV551)*IF($BR551="Emissions positive",-1,1)</f>
        <v>6</v>
      </c>
      <c r="CV551">
        <f>IF($CP551="refOK",$BV551,$BU551)*IF($BR551="Emissions positive",-1,1)</f>
        <v>53</v>
      </c>
      <c r="CW551">
        <f>IF($CP551="refNeedCorrection",-BZ551,BZ551)*IF($BR551="Emissions positive",-1,1)</f>
        <v>172.49</v>
      </c>
      <c r="CX551">
        <f>IFERROR($CW551/$CS551,"")</f>
        <v>0.30094278030303029</v>
      </c>
      <c r="CY551">
        <f>IFERROR($CW551/$CS551,"")</f>
        <v>0.30094278030303029</v>
      </c>
      <c r="CZ551">
        <f>IFERROR($CW551/$CT551,"")</f>
        <v>0.30094278030303029</v>
      </c>
      <c r="DA551" s="2">
        <f>IFERROR((CV551-CU551)/ABS(CU551),"")</f>
        <v>7.833333333333333</v>
      </c>
      <c r="DB551" s="1" t="s">
        <v>263</v>
      </c>
      <c r="DC551" t="str">
        <f>IF(OR($DB551="prd",$DB551="std",$DB551="cit"),"loc",IF(OR($DB551="eur",$DB551="reg",$DB551="coy"),"reg",$DB551))</f>
        <v>loc</v>
      </c>
      <c r="DD551" t="s">
        <v>444</v>
      </c>
      <c r="DG551">
        <v>300</v>
      </c>
      <c r="DH551" t="str">
        <f>IF(DG551=0,"0",IF(AND(DG551&gt;=1,DG551&lt;=30),"1-30",IF(AND(DG551&gt;30,DG551&lt;=70),"31-70",IF(AND(DG551&gt;70,DG551&lt;=100),"71-100",IF(DG551&gt;100,"+100")))))</f>
        <v>+100</v>
      </c>
      <c r="DI551">
        <v>0</v>
      </c>
      <c r="DJ551">
        <v>0</v>
      </c>
      <c r="DK551">
        <v>0</v>
      </c>
      <c r="DL551">
        <v>1</v>
      </c>
      <c r="DN551">
        <f>SUM(DI551:DL551)</f>
        <v>1</v>
      </c>
      <c r="DO551" t="str">
        <f>IF(DN551=1,INDEX($DI$7:$DL$7,MATCH(1,$DI551:$DL551,0)),"mixedProduct")</f>
        <v>TimberInput</v>
      </c>
      <c r="DP551">
        <f>IF(DI551=1,DP$7,0)</f>
        <v>0</v>
      </c>
      <c r="DQ551">
        <f>IF(DJ551=1,DQ$7,0)</f>
        <v>0</v>
      </c>
      <c r="DR551">
        <f>IF(DK551=1,DR$7,0)</f>
        <v>0</v>
      </c>
      <c r="DS551" t="str">
        <f>IF(DL551=1,DS$7,0)</f>
        <v>Timber</v>
      </c>
      <c r="DT551">
        <v>1</v>
      </c>
      <c r="DU551" s="143">
        <v>0</v>
      </c>
      <c r="DV551" s="143">
        <v>0</v>
      </c>
      <c r="DW551" s="143">
        <v>0</v>
      </c>
      <c r="DX551">
        <v>0</v>
      </c>
      <c r="DY551">
        <f>SUM(DT551:DU551)</f>
        <v>1</v>
      </c>
      <c r="DZ551" s="143" t="str">
        <f>IF(DT551=1,"self-calculated DF",IF(DU551=1,"external DF used","explicit C balance"))</f>
        <v>self-calculated DF</v>
      </c>
      <c r="EA551">
        <v>0</v>
      </c>
      <c r="EB551" s="143">
        <v>0</v>
      </c>
      <c r="EC551" s="143">
        <v>1</v>
      </c>
      <c r="ED551" s="143">
        <v>1</v>
      </c>
      <c r="EE551">
        <v>1</v>
      </c>
      <c r="EF551" s="143">
        <v>1</v>
      </c>
      <c r="EG551">
        <v>0</v>
      </c>
      <c r="EH551" s="143">
        <v>1</v>
      </c>
      <c r="EI551" s="143">
        <v>0</v>
      </c>
      <c r="EJ551">
        <v>0</v>
      </c>
      <c r="EK551">
        <v>0</v>
      </c>
      <c r="EL551" s="143">
        <v>0</v>
      </c>
      <c r="EM551" s="143">
        <v>0</v>
      </c>
      <c r="EN551" s="2">
        <v>0</v>
      </c>
      <c r="EP551" t="str">
        <f>IF(AND(AND(AND(OR($EC551=1,$EB551=1),OR($EH551=1,$EF551=1)),SUM($EA551:$EE551,$EK551)&gt;=3),SUM($EF551:$EJ551)&gt;=2),"Whole sector approach","")</f>
        <v>Whole sector approach</v>
      </c>
      <c r="EQ551" t="str">
        <f>IF(AND(AND(OR($EC551=1,$EB551=1),AND($EH551=0,$EF551=0)),SUM($EA551:$EE551,$EK551)&gt;=4),"Ecosystem approach","")</f>
        <v/>
      </c>
      <c r="ER551" s="2" t="str">
        <f>IF(AND(AND(AND($EC551=0,$EB551=0),OR($EH551=1,$EF551=1)),SUM($EG551:$EJ551)&gt;=2),"Technology approach","")</f>
        <v/>
      </c>
      <c r="ES551" t="str">
        <f>IF(AND($EC551+$EB551+$EE551+$EA551+$ED551+$EG551=0,$N551="included"),"C neutral forest and HWP assumption","")</f>
        <v/>
      </c>
      <c r="ET551" t="str">
        <f>IF(AND(AND(AND(AND($EC551=1,$EB551+$EA551+$EG551&gt;=1),$EF551=1),$EH551+$EI551+$ED551+$EE551&gt;=2),$N551="included"),"All C pools assumption","")</f>
        <v/>
      </c>
      <c r="EU551" t="str">
        <f>IF(AND($ED551+$EE551+$EI551+$EH551+$EF551=0,$N551="included"),"In-situ only assumption","")</f>
        <v/>
      </c>
      <c r="EW551" t="s">
        <v>445</v>
      </c>
      <c r="EY551" t="str">
        <f>IF(ISNUMBER(BW551),IF(ABS(BW551-[6]QC_indicators!$B$2)&gt;3*[6]QC_indicators!$C$2,"C ratio",IF(ISNUMBER(CA551),IF(ABS(CA551-[6]QC_indicators!$B$1)&gt;3*[6]QC_indicators!$C$1,"DF","no"))),IF(ISNUMBER(CA551),IF(ABS(CA551-[6]QC_indicators!$B$1)&gt;3*[6]QC_indicators!$C$1,"DF","no")))</f>
        <v>no</v>
      </c>
      <c r="FA551" t="str">
        <f>IF(LEN($CY551)=0,"",IF(AND($CY551&lt;(-0.05),$ES551="C neutral forest and HWP assumption"),"Cneutral paradox",IF(AND($CY551&gt;0.05,$EU551="In-situ only assumption"),"In-situ only paradox","")))</f>
        <v/>
      </c>
      <c r="FD551" s="260" t="s">
        <v>2948</v>
      </c>
    </row>
    <row r="552" spans="1:160" ht="15" hidden="1" customHeight="1">
      <c r="A552" s="1" t="s">
        <v>430</v>
      </c>
      <c r="B552" t="s">
        <v>431</v>
      </c>
      <c r="C552" t="s">
        <v>432</v>
      </c>
      <c r="D552" t="s">
        <v>433</v>
      </c>
      <c r="E552" t="s">
        <v>434</v>
      </c>
      <c r="F552" t="s">
        <v>435</v>
      </c>
      <c r="G552" t="s">
        <v>436</v>
      </c>
      <c r="H552" t="s">
        <v>254</v>
      </c>
      <c r="I552">
        <v>2000</v>
      </c>
      <c r="J552">
        <v>174</v>
      </c>
      <c r="K552" t="s">
        <v>437</v>
      </c>
      <c r="M552" t="str">
        <f>LEFT($D552,FIND(",",$D552)-1)&amp;"_"&amp;I552&amp;L552</f>
        <v>Borjesson_2000</v>
      </c>
      <c r="N552" t="s">
        <v>222</v>
      </c>
      <c r="O552" s="145" t="s">
        <v>223</v>
      </c>
      <c r="Q552" t="s">
        <v>256</v>
      </c>
      <c r="R552" s="251" t="s">
        <v>225</v>
      </c>
      <c r="S552" s="1" t="s">
        <v>438</v>
      </c>
      <c r="T552" t="s">
        <v>446</v>
      </c>
      <c r="U552" t="s">
        <v>448</v>
      </c>
      <c r="V552" s="253">
        <v>0</v>
      </c>
      <c r="W552" s="253">
        <v>0</v>
      </c>
      <c r="X552">
        <v>0</v>
      </c>
      <c r="Y552">
        <v>0</v>
      </c>
      <c r="Z552">
        <v>0</v>
      </c>
      <c r="AA552">
        <v>0</v>
      </c>
      <c r="AB552">
        <v>0</v>
      </c>
      <c r="AC552">
        <v>0</v>
      </c>
      <c r="AD552">
        <v>0</v>
      </c>
      <c r="AE552">
        <v>0</v>
      </c>
      <c r="AF552">
        <v>0</v>
      </c>
      <c r="AG552">
        <v>0</v>
      </c>
      <c r="AH552">
        <v>0</v>
      </c>
      <c r="AI552">
        <v>0</v>
      </c>
      <c r="AJ552">
        <v>0</v>
      </c>
      <c r="AK552">
        <v>0</v>
      </c>
      <c r="AL552">
        <v>0</v>
      </c>
      <c r="AM552">
        <v>1</v>
      </c>
      <c r="AN552">
        <v>0</v>
      </c>
      <c r="AO552">
        <v>0</v>
      </c>
      <c r="AP552">
        <v>0</v>
      </c>
      <c r="AQ552">
        <v>0</v>
      </c>
      <c r="AR552">
        <v>0</v>
      </c>
      <c r="AS552">
        <v>0</v>
      </c>
      <c r="AT552">
        <v>0</v>
      </c>
      <c r="AU552">
        <v>0</v>
      </c>
      <c r="AV552">
        <v>0</v>
      </c>
      <c r="AW552">
        <v>0</v>
      </c>
      <c r="AX552">
        <v>0</v>
      </c>
      <c r="AY552">
        <v>0</v>
      </c>
      <c r="AZ552" s="141">
        <f>COUNTIF(X552:AY552,"&lt;&gt;0")</f>
        <v>1</v>
      </c>
      <c r="BA552" s="141">
        <f>COUNTIF(X552:AN552,"&lt;&gt;0")</f>
        <v>1</v>
      </c>
      <c r="BB552">
        <f>COUNTIF(X552:AE552,"&lt;&gt;0")</f>
        <v>0</v>
      </c>
      <c r="BC552">
        <f>COUNTIF(AF552:AK552,"&lt;&gt;0")</f>
        <v>0</v>
      </c>
      <c r="BD552">
        <f>COUNTIF(AL552:AN552,"&lt;&gt;0")</f>
        <v>1</v>
      </c>
      <c r="BE552">
        <f>COUNTIF(AU552:AY552,"&lt;&gt;0")</f>
        <v>0</v>
      </c>
      <c r="BF552">
        <f>COUNTIF(AO552:AT552,"&lt;&gt;0")</f>
        <v>0</v>
      </c>
      <c r="BG552" t="str">
        <f t="array" ref="BG552">IF(BA552=1,INDEX($X$7:$AN$7,MATCH(TRUE,INDEX($X552:$AY552&lt;&gt;0,),0)),IF(BA552=0,INDEX($AO$7:$AY$7,MATCH(1,$AO552:$AY552,0)),IF(BH552="Multiple strategies","mixed drivers",IF(BH552="Supply chain","multiple supply","multiple silviculture"))))</f>
        <v>technologies/design switch</v>
      </c>
      <c r="BH552" s="2" t="str" cm="1">
        <f t="array" ref="BH552">IF(COUNTIF(BB552:BD552,"&lt;&gt;0")=1,INDEX($X$4:$AY$4,MATCH(TRUE,INDEX($X552:$AY552&lt;&gt;0,),0)),IF(COUNTIF(BB552:BD552,"&lt;&gt;0")=0,INDEX($AO$4:$AY$4,MATCH(1,$AO552:$AY552,0)),"Multiple strategies"))</f>
        <v>Technology</v>
      </c>
      <c r="BI552" s="142" t="s">
        <v>229</v>
      </c>
      <c r="BJ552" t="s">
        <v>441</v>
      </c>
      <c r="BK552" s="260" t="s">
        <v>2949</v>
      </c>
      <c r="BL552" s="143" t="s">
        <v>442</v>
      </c>
      <c r="BM552">
        <v>0</v>
      </c>
      <c r="BN552">
        <f>3*44</f>
        <v>132</v>
      </c>
      <c r="BO552" s="143" t="e">
        <f>BN552/BM552</f>
        <v>#DIV/0!</v>
      </c>
      <c r="BP552">
        <f>BN552-BM552</f>
        <v>132</v>
      </c>
      <c r="BQ552">
        <f>BP552*tC_to_m3</f>
        <v>573.16543638732094</v>
      </c>
      <c r="BR552" t="s">
        <v>232</v>
      </c>
      <c r="BS552" s="256" t="s">
        <v>793</v>
      </c>
      <c r="BT552" t="s">
        <v>443</v>
      </c>
      <c r="BU552" s="141">
        <v>18</v>
      </c>
      <c r="BV552" s="141">
        <v>53</v>
      </c>
      <c r="BW552" s="144">
        <f>IFERROR(BV552/BU552,"")</f>
        <v>2.9444444444444446</v>
      </c>
      <c r="BX552">
        <f>BV552-BU552</f>
        <v>35</v>
      </c>
      <c r="BZ552">
        <f>BX552*C_to_CO2</f>
        <v>128.44999999999999</v>
      </c>
      <c r="CA552">
        <f>IFERROR(BZ552/BQ552,"")</f>
        <v>0.22410632575757572</v>
      </c>
      <c r="CB552" s="143">
        <v>0</v>
      </c>
      <c r="CC552" s="143">
        <v>0</v>
      </c>
      <c r="CD552" s="143">
        <v>0</v>
      </c>
      <c r="CE552" s="143">
        <v>0</v>
      </c>
      <c r="CF552" s="143">
        <v>0</v>
      </c>
      <c r="CG552" s="143">
        <v>0</v>
      </c>
      <c r="CH552" s="143">
        <v>0</v>
      </c>
      <c r="CI552" s="143">
        <v>0</v>
      </c>
      <c r="CJ552" s="143">
        <v>0</v>
      </c>
      <c r="CK552" s="143">
        <v>0</v>
      </c>
      <c r="CL552" s="143">
        <v>0</v>
      </c>
      <c r="CM552" s="143">
        <v>0</v>
      </c>
      <c r="CN552" s="143">
        <v>0</v>
      </c>
      <c r="CO552">
        <v>0</v>
      </c>
      <c r="CP552" t="str">
        <f>IF($BN552&lt;$BM552,"refNeedCorrection","refOK")</f>
        <v>refOK</v>
      </c>
      <c r="CQ552">
        <f>IF($CP552="refOK",$BM552,$BN552)</f>
        <v>0</v>
      </c>
      <c r="CR552">
        <f>IF($CP552="refOK",$BN552,$BM552)</f>
        <v>132</v>
      </c>
      <c r="CS552">
        <f>IF($CP552="refOK",$BQ552,-$BQ552)</f>
        <v>573.16543638732094</v>
      </c>
      <c r="CT552">
        <f>IF(BI552="Roundwood",$CS552/2,$CS552)</f>
        <v>573.16543638732094</v>
      </c>
      <c r="CU552">
        <f>IF($CP552="refOK",$BU552,$BV552)*IF($BR552="Emissions positive",-1,1)</f>
        <v>18</v>
      </c>
      <c r="CV552">
        <f>IF($CP552="refOK",$BV552,$BU552)*IF($BR552="Emissions positive",-1,1)</f>
        <v>53</v>
      </c>
      <c r="CW552">
        <f>IF($CP552="refNeedCorrection",-BZ552,BZ552)*IF($BR552="Emissions positive",-1,1)</f>
        <v>128.44999999999999</v>
      </c>
      <c r="CX552">
        <f>IFERROR($CW552/$CS552,"")</f>
        <v>0.22410632575757572</v>
      </c>
      <c r="CY552">
        <f>IFERROR($CW552/$CS552,"")</f>
        <v>0.22410632575757572</v>
      </c>
      <c r="CZ552">
        <f>IFERROR($CW552/$CT552,"")</f>
        <v>0.22410632575757572</v>
      </c>
      <c r="DA552" s="2">
        <f>IFERROR((CV552-CU552)/ABS(CU552),"")</f>
        <v>1.9444444444444444</v>
      </c>
      <c r="DB552" s="1" t="s">
        <v>263</v>
      </c>
      <c r="DC552" t="str">
        <f>IF(OR($DB552="prd",$DB552="std",$DB552="cit"),"loc",IF(OR($DB552="eur",$DB552="reg",$DB552="coy"),"reg",$DB552))</f>
        <v>loc</v>
      </c>
      <c r="DD552" t="s">
        <v>444</v>
      </c>
      <c r="DG552">
        <v>300</v>
      </c>
      <c r="DH552" t="str">
        <f>IF(DG552=0,"0",IF(AND(DG552&gt;=1,DG552&lt;=30),"1-30",IF(AND(DG552&gt;30,DG552&lt;=70),"31-70",IF(AND(DG552&gt;70,DG552&lt;=100),"71-100",IF(DG552&gt;100,"+100")))))</f>
        <v>+100</v>
      </c>
      <c r="DI552">
        <v>0</v>
      </c>
      <c r="DJ552">
        <v>0</v>
      </c>
      <c r="DK552">
        <v>0</v>
      </c>
      <c r="DL552">
        <v>1</v>
      </c>
      <c r="DN552">
        <f>SUM(DI552:DL552)</f>
        <v>1</v>
      </c>
      <c r="DO552" t="str">
        <f>IF(DN552=1,INDEX($DI$7:$DL$7,MATCH(1,$DI552:$DL552,0)),"mixedProduct")</f>
        <v>TimberInput</v>
      </c>
      <c r="DP552">
        <f>IF(DI552=1,DP$7,0)</f>
        <v>0</v>
      </c>
      <c r="DQ552">
        <f>IF(DJ552=1,DQ$7,0)</f>
        <v>0</v>
      </c>
      <c r="DR552">
        <f>IF(DK552=1,DR$7,0)</f>
        <v>0</v>
      </c>
      <c r="DS552" t="str">
        <f>IF(DL552=1,DS$7,0)</f>
        <v>Timber</v>
      </c>
      <c r="DT552">
        <v>1</v>
      </c>
      <c r="DU552" s="143">
        <v>0</v>
      </c>
      <c r="DV552" s="143">
        <v>0</v>
      </c>
      <c r="DW552" s="143">
        <v>0</v>
      </c>
      <c r="DX552">
        <v>0</v>
      </c>
      <c r="DY552">
        <f>SUM(DT552:DU552)</f>
        <v>1</v>
      </c>
      <c r="DZ552" s="143" t="str">
        <f>IF(DT552=1,"self-calculated DF",IF(DU552=1,"external DF used","explicit C balance"))</f>
        <v>self-calculated DF</v>
      </c>
      <c r="EA552">
        <v>0</v>
      </c>
      <c r="EB552" s="143">
        <v>0</v>
      </c>
      <c r="EC552" s="143">
        <v>1</v>
      </c>
      <c r="ED552" s="143">
        <v>1</v>
      </c>
      <c r="EE552">
        <v>1</v>
      </c>
      <c r="EF552" s="143">
        <v>1</v>
      </c>
      <c r="EG552">
        <v>0</v>
      </c>
      <c r="EH552" s="143">
        <v>1</v>
      </c>
      <c r="EI552" s="143">
        <v>0</v>
      </c>
      <c r="EJ552">
        <v>0</v>
      </c>
      <c r="EK552">
        <v>0</v>
      </c>
      <c r="EL552" s="143">
        <v>0</v>
      </c>
      <c r="EM552" s="143">
        <v>0</v>
      </c>
      <c r="EN552" s="2">
        <v>0</v>
      </c>
      <c r="EP552" t="str">
        <f>IF(AND(AND(AND(OR($EC552=1,$EB552=1),OR($EH552=1,$EF552=1)),SUM($EA552:$EE552,$EK552)&gt;=3),SUM($EF552:$EJ552)&gt;=2),"Whole sector approach","")</f>
        <v>Whole sector approach</v>
      </c>
      <c r="EQ552" t="str">
        <f>IF(AND(AND(OR($EC552=1,$EB552=1),AND($EH552=0,$EF552=0)),SUM($EA552:$EE552,$EK552)&gt;=4),"Ecosystem approach","")</f>
        <v/>
      </c>
      <c r="ER552" s="2" t="str">
        <f>IF(AND(AND(AND($EC552=0,$EB552=0),OR($EH552=1,$EF552=1)),SUM($EG552:$EJ552)&gt;=2),"Technology approach","")</f>
        <v/>
      </c>
      <c r="ES552" t="str">
        <f>IF(AND($EC552+$EB552+$EE552+$EA552+$ED552+$EG552=0,$N552="included"),"C neutral forest and HWP assumption","")</f>
        <v/>
      </c>
      <c r="ET552" t="str">
        <f>IF(AND(AND(AND(AND($EC552=1,$EB552+$EA552+$EG552&gt;=1),$EF552=1),$EH552+$EI552+$ED552+$EE552&gt;=2),$N552="included"),"All C pools assumption","")</f>
        <v/>
      </c>
      <c r="EU552" t="str">
        <f>IF(AND($ED552+$EE552+$EI552+$EH552+$EF552=0,$N552="included"),"In-situ only assumption","")</f>
        <v/>
      </c>
      <c r="EW552" t="s">
        <v>445</v>
      </c>
      <c r="EY552" t="str">
        <f>IF(ISNUMBER(BW552),IF(ABS(BW552-[6]QC_indicators!$B$2)&gt;3*[6]QC_indicators!$C$2,"C ratio",IF(ISNUMBER(CA552),IF(ABS(CA552-[6]QC_indicators!$B$1)&gt;3*[6]QC_indicators!$C$1,"DF","no"))),IF(ISNUMBER(CA552),IF(ABS(CA552-[6]QC_indicators!$B$1)&gt;3*[6]QC_indicators!$C$1,"DF","no")))</f>
        <v>no</v>
      </c>
      <c r="FA552" t="str">
        <f>IF(LEN($CY552)=0,"",IF(AND($CY552&lt;(-0.05),$ES552="C neutral forest and HWP assumption"),"Cneutral paradox",IF(AND($CY552&gt;0.05,$EU552="In-situ only assumption"),"In-situ only paradox","")))</f>
        <v/>
      </c>
      <c r="FD552" s="260" t="s">
        <v>2948</v>
      </c>
    </row>
    <row r="553" spans="1:160" ht="15" hidden="1" customHeight="1">
      <c r="A553" s="1" t="s">
        <v>430</v>
      </c>
      <c r="B553" t="s">
        <v>431</v>
      </c>
      <c r="C553" t="s">
        <v>432</v>
      </c>
      <c r="D553" t="s">
        <v>433</v>
      </c>
      <c r="E553" t="s">
        <v>434</v>
      </c>
      <c r="F553" t="s">
        <v>435</v>
      </c>
      <c r="G553" t="s">
        <v>436</v>
      </c>
      <c r="H553" t="s">
        <v>254</v>
      </c>
      <c r="I553">
        <v>2000</v>
      </c>
      <c r="J553">
        <v>174</v>
      </c>
      <c r="K553" t="s">
        <v>437</v>
      </c>
      <c r="M553" t="str">
        <f>LEFT($D553,FIND(",",$D553)-1)&amp;"_"&amp;I553&amp;L553</f>
        <v>Borjesson_2000</v>
      </c>
      <c r="N553" t="s">
        <v>222</v>
      </c>
      <c r="O553" s="145" t="s">
        <v>223</v>
      </c>
      <c r="Q553" t="s">
        <v>256</v>
      </c>
      <c r="R553" s="251" t="s">
        <v>225</v>
      </c>
      <c r="S553" s="1" t="s">
        <v>438</v>
      </c>
      <c r="T553" t="s">
        <v>439</v>
      </c>
      <c r="U553" t="s">
        <v>448</v>
      </c>
      <c r="V553" s="253">
        <v>0</v>
      </c>
      <c r="W553" s="253">
        <v>0</v>
      </c>
      <c r="X553">
        <v>0</v>
      </c>
      <c r="Y553">
        <v>0</v>
      </c>
      <c r="Z553">
        <v>0</v>
      </c>
      <c r="AA553">
        <v>0</v>
      </c>
      <c r="AB553">
        <v>0</v>
      </c>
      <c r="AC553">
        <v>0</v>
      </c>
      <c r="AD553">
        <v>0</v>
      </c>
      <c r="AE553">
        <v>0</v>
      </c>
      <c r="AF553">
        <v>0</v>
      </c>
      <c r="AG553">
        <v>0</v>
      </c>
      <c r="AH553">
        <v>0</v>
      </c>
      <c r="AI553">
        <v>0</v>
      </c>
      <c r="AJ553">
        <v>0</v>
      </c>
      <c r="AK553">
        <v>0</v>
      </c>
      <c r="AL553">
        <v>0</v>
      </c>
      <c r="AM553">
        <v>1</v>
      </c>
      <c r="AN553">
        <v>0</v>
      </c>
      <c r="AO553">
        <v>0</v>
      </c>
      <c r="AP553">
        <v>0</v>
      </c>
      <c r="AQ553">
        <v>0</v>
      </c>
      <c r="AR553">
        <v>0</v>
      </c>
      <c r="AS553">
        <v>0</v>
      </c>
      <c r="AT553">
        <v>0</v>
      </c>
      <c r="AU553">
        <v>0</v>
      </c>
      <c r="AV553">
        <v>0</v>
      </c>
      <c r="AW553">
        <v>0</v>
      </c>
      <c r="AX553">
        <v>0</v>
      </c>
      <c r="AY553">
        <v>0</v>
      </c>
      <c r="AZ553" s="141">
        <f>COUNTIF(X553:AY553,"&lt;&gt;0")</f>
        <v>1</v>
      </c>
      <c r="BA553" s="141">
        <f>COUNTIF(X553:AN553,"&lt;&gt;0")</f>
        <v>1</v>
      </c>
      <c r="BB553">
        <f>COUNTIF(X553:AE553,"&lt;&gt;0")</f>
        <v>0</v>
      </c>
      <c r="BC553">
        <f>COUNTIF(AF553:AK553,"&lt;&gt;0")</f>
        <v>0</v>
      </c>
      <c r="BD553">
        <f>COUNTIF(AL553:AN553,"&lt;&gt;0")</f>
        <v>1</v>
      </c>
      <c r="BE553">
        <f>COUNTIF(AU553:AY553,"&lt;&gt;0")</f>
        <v>0</v>
      </c>
      <c r="BF553">
        <f>COUNTIF(AO553:AT553,"&lt;&gt;0")</f>
        <v>0</v>
      </c>
      <c r="BG553" t="str">
        <f t="array" ref="BG553">IF(BA553=1,INDEX($X$7:$AN$7,MATCH(TRUE,INDEX($X553:$AY553&lt;&gt;0,),0)),IF(BA553=0,INDEX($AO$7:$AY$7,MATCH(1,$AO553:$AY553,0)),IF(BH553="Multiple strategies","mixed drivers",IF(BH553="Supply chain","multiple supply","multiple silviculture"))))</f>
        <v>technologies/design switch</v>
      </c>
      <c r="BH553" s="2" t="str" cm="1">
        <f t="array" ref="BH553">IF(COUNTIF(BB553:BD553,"&lt;&gt;0")=1,INDEX($X$4:$AY$4,MATCH(TRUE,INDEX($X553:$AY553&lt;&gt;0,),0)),IF(COUNTIF(BB553:BD553,"&lt;&gt;0")=0,INDEX($AO$4:$AY$4,MATCH(1,$AO553:$AY553,0)),"Multiple strategies"))</f>
        <v>Technology</v>
      </c>
      <c r="BI553" s="142" t="s">
        <v>229</v>
      </c>
      <c r="BJ553" t="s">
        <v>441</v>
      </c>
      <c r="BK553" s="260" t="s">
        <v>2949</v>
      </c>
      <c r="BL553" s="143" t="s">
        <v>442</v>
      </c>
      <c r="BM553">
        <v>0</v>
      </c>
      <c r="BN553">
        <f>3*44</f>
        <v>132</v>
      </c>
      <c r="BO553" s="143" t="e">
        <f>BN553/BM553</f>
        <v>#DIV/0!</v>
      </c>
      <c r="BP553">
        <f>BN553-BM553</f>
        <v>132</v>
      </c>
      <c r="BQ553">
        <f>BP553*tC_to_m3</f>
        <v>573.16543638732094</v>
      </c>
      <c r="BR553" t="s">
        <v>232</v>
      </c>
      <c r="BS553" s="256" t="s">
        <v>793</v>
      </c>
      <c r="BT553" t="s">
        <v>443</v>
      </c>
      <c r="BU553" s="141">
        <v>25</v>
      </c>
      <c r="BV553" s="141">
        <v>53</v>
      </c>
      <c r="BW553" s="144">
        <f>IFERROR(BV553/BU553,"")</f>
        <v>2.12</v>
      </c>
      <c r="BX553">
        <f>BV553-BU553</f>
        <v>28</v>
      </c>
      <c r="BZ553">
        <f>BX553*C_to_CO2</f>
        <v>102.75999999999999</v>
      </c>
      <c r="CA553">
        <f>IFERROR(BZ553/BQ553,"")</f>
        <v>0.17928506060606059</v>
      </c>
      <c r="CB553" s="143">
        <v>0</v>
      </c>
      <c r="CC553" s="143">
        <v>0</v>
      </c>
      <c r="CD553" s="143">
        <v>0</v>
      </c>
      <c r="CE553" s="143">
        <v>0</v>
      </c>
      <c r="CF553" s="143">
        <v>0</v>
      </c>
      <c r="CG553" s="143">
        <v>0</v>
      </c>
      <c r="CH553" s="143">
        <v>0</v>
      </c>
      <c r="CI553" s="143">
        <v>0</v>
      </c>
      <c r="CJ553" s="143">
        <v>0</v>
      </c>
      <c r="CK553" s="143">
        <v>0</v>
      </c>
      <c r="CL553" s="143">
        <v>0</v>
      </c>
      <c r="CM553" s="143">
        <v>0</v>
      </c>
      <c r="CN553" s="143">
        <v>0</v>
      </c>
      <c r="CO553">
        <v>0</v>
      </c>
      <c r="CP553" t="str">
        <f>IF($BN553&lt;$BM553,"refNeedCorrection","refOK")</f>
        <v>refOK</v>
      </c>
      <c r="CQ553">
        <f>IF($CP553="refOK",$BM553,$BN553)</f>
        <v>0</v>
      </c>
      <c r="CR553">
        <f>IF($CP553="refOK",$BN553,$BM553)</f>
        <v>132</v>
      </c>
      <c r="CS553">
        <f>IF($CP553="refOK",$BQ553,-$BQ553)</f>
        <v>573.16543638732094</v>
      </c>
      <c r="CT553">
        <f>IF(BI553="Roundwood",$CS553/2,$CS553)</f>
        <v>573.16543638732094</v>
      </c>
      <c r="CU553">
        <f>IF($CP553="refOK",$BU553,$BV553)*IF($BR553="Emissions positive",-1,1)</f>
        <v>25</v>
      </c>
      <c r="CV553">
        <f>IF($CP553="refOK",$BV553,$BU553)*IF($BR553="Emissions positive",-1,1)</f>
        <v>53</v>
      </c>
      <c r="CW553">
        <f>IF($CP553="refNeedCorrection",-BZ553,BZ553)*IF($BR553="Emissions positive",-1,1)</f>
        <v>102.75999999999999</v>
      </c>
      <c r="CX553">
        <f>IFERROR($CW553/$CS553,"")</f>
        <v>0.17928506060606059</v>
      </c>
      <c r="CY553">
        <f>IFERROR($CW553/$CS553,"")</f>
        <v>0.17928506060606059</v>
      </c>
      <c r="CZ553">
        <f>IFERROR($CW553/$CT553,"")</f>
        <v>0.17928506060606059</v>
      </c>
      <c r="DA553" s="2">
        <f>IFERROR((CV553-CU553)/ABS(CU553),"")</f>
        <v>1.1200000000000001</v>
      </c>
      <c r="DB553" s="1" t="s">
        <v>263</v>
      </c>
      <c r="DC553" t="str">
        <f>IF(OR($DB553="prd",$DB553="std",$DB553="cit"),"loc",IF(OR($DB553="eur",$DB553="reg",$DB553="coy"),"reg",$DB553))</f>
        <v>loc</v>
      </c>
      <c r="DD553" t="s">
        <v>444</v>
      </c>
      <c r="DG553">
        <v>300</v>
      </c>
      <c r="DH553" t="str">
        <f>IF(DG553=0,"0",IF(AND(DG553&gt;=1,DG553&lt;=30),"1-30",IF(AND(DG553&gt;30,DG553&lt;=70),"31-70",IF(AND(DG553&gt;70,DG553&lt;=100),"71-100",IF(DG553&gt;100,"+100")))))</f>
        <v>+100</v>
      </c>
      <c r="DI553">
        <v>0</v>
      </c>
      <c r="DJ553">
        <v>0</v>
      </c>
      <c r="DK553">
        <v>0</v>
      </c>
      <c r="DL553">
        <v>1</v>
      </c>
      <c r="DN553">
        <f>SUM(DI553:DL553)</f>
        <v>1</v>
      </c>
      <c r="DO553" t="str">
        <f>IF(DN553=1,INDEX($DI$7:$DL$7,MATCH(1,$DI553:$DL553,0)),"mixedProduct")</f>
        <v>TimberInput</v>
      </c>
      <c r="DP553">
        <f>IF(DI553=1,DP$7,0)</f>
        <v>0</v>
      </c>
      <c r="DQ553">
        <f>IF(DJ553=1,DQ$7,0)</f>
        <v>0</v>
      </c>
      <c r="DR553">
        <f>IF(DK553=1,DR$7,0)</f>
        <v>0</v>
      </c>
      <c r="DS553" t="str">
        <f>IF(DL553=1,DS$7,0)</f>
        <v>Timber</v>
      </c>
      <c r="DT553">
        <v>1</v>
      </c>
      <c r="DU553" s="143">
        <v>0</v>
      </c>
      <c r="DV553" s="143">
        <v>0</v>
      </c>
      <c r="DW553" s="143">
        <v>0</v>
      </c>
      <c r="DX553">
        <v>0</v>
      </c>
      <c r="DY553">
        <f>SUM(DT553:DU553)</f>
        <v>1</v>
      </c>
      <c r="DZ553" s="143" t="str">
        <f>IF(DT553=1,"self-calculated DF",IF(DU553=1,"external DF used","explicit C balance"))</f>
        <v>self-calculated DF</v>
      </c>
      <c r="EA553">
        <v>0</v>
      </c>
      <c r="EB553" s="143">
        <v>0</v>
      </c>
      <c r="EC553" s="143">
        <v>1</v>
      </c>
      <c r="ED553" s="143">
        <v>1</v>
      </c>
      <c r="EE553">
        <v>1</v>
      </c>
      <c r="EF553" s="143">
        <v>1</v>
      </c>
      <c r="EG553">
        <v>0</v>
      </c>
      <c r="EH553" s="143">
        <v>1</v>
      </c>
      <c r="EI553" s="143">
        <v>0</v>
      </c>
      <c r="EJ553">
        <v>0</v>
      </c>
      <c r="EK553">
        <v>0</v>
      </c>
      <c r="EL553" s="143">
        <v>0</v>
      </c>
      <c r="EM553" s="143">
        <v>0</v>
      </c>
      <c r="EN553" s="2">
        <v>0</v>
      </c>
      <c r="EP553" t="str">
        <f>IF(AND(AND(AND(OR($EC553=1,$EB553=1),OR($EH553=1,$EF553=1)),SUM($EA553:$EE553,$EK553)&gt;=3),SUM($EF553:$EJ553)&gt;=2),"Whole sector approach","")</f>
        <v>Whole sector approach</v>
      </c>
      <c r="EQ553" t="str">
        <f>IF(AND(AND(OR($EC553=1,$EB553=1),AND($EH553=0,$EF553=0)),SUM($EA553:$EE553,$EK553)&gt;=4),"Ecosystem approach","")</f>
        <v/>
      </c>
      <c r="ER553" s="2" t="str">
        <f>IF(AND(AND(AND($EC553=0,$EB553=0),OR($EH553=1,$EF553=1)),SUM($EG553:$EJ553)&gt;=2),"Technology approach","")</f>
        <v/>
      </c>
      <c r="ES553" t="str">
        <f>IF(AND($EC553+$EB553+$EE553+$EA553+$ED553+$EG553=0,$N553="included"),"C neutral forest and HWP assumption","")</f>
        <v/>
      </c>
      <c r="ET553" t="str">
        <f>IF(AND(AND(AND(AND($EC553=1,$EB553+$EA553+$EG553&gt;=1),$EF553=1),$EH553+$EI553+$ED553+$EE553&gt;=2),$N553="included"),"All C pools assumption","")</f>
        <v/>
      </c>
      <c r="EU553" t="str">
        <f>IF(AND($ED553+$EE553+$EI553+$EH553+$EF553=0,$N553="included"),"In-situ only assumption","")</f>
        <v/>
      </c>
      <c r="EW553" t="s">
        <v>445</v>
      </c>
      <c r="EY553" t="str">
        <f>IF(ISNUMBER(BW553),IF(ABS(BW553-[6]QC_indicators!$B$2)&gt;3*[6]QC_indicators!$C$2,"C ratio",IF(ISNUMBER(CA553),IF(ABS(CA553-[6]QC_indicators!$B$1)&gt;3*[6]QC_indicators!$C$1,"DF","no"))),IF(ISNUMBER(CA553),IF(ABS(CA553-[6]QC_indicators!$B$1)&gt;3*[6]QC_indicators!$C$1,"DF","no")))</f>
        <v>no</v>
      </c>
      <c r="FA553" t="str">
        <f>IF(LEN($CY553)=0,"",IF(AND($CY553&lt;(-0.05),$ES553="C neutral forest and HWP assumption"),"Cneutral paradox",IF(AND($CY553&gt;0.05,$EU553="In-situ only assumption"),"In-situ only paradox","")))</f>
        <v/>
      </c>
      <c r="FD553" s="260" t="s">
        <v>2948</v>
      </c>
    </row>
    <row r="554" spans="1:160" ht="15" hidden="1" customHeight="1">
      <c r="A554" s="1" t="s">
        <v>430</v>
      </c>
      <c r="B554" t="s">
        <v>431</v>
      </c>
      <c r="C554" t="s">
        <v>432</v>
      </c>
      <c r="D554" t="s">
        <v>433</v>
      </c>
      <c r="E554" t="s">
        <v>434</v>
      </c>
      <c r="F554" t="s">
        <v>435</v>
      </c>
      <c r="G554" t="s">
        <v>436</v>
      </c>
      <c r="H554" t="s">
        <v>254</v>
      </c>
      <c r="I554">
        <v>2000</v>
      </c>
      <c r="J554">
        <v>174</v>
      </c>
      <c r="K554" t="s">
        <v>437</v>
      </c>
      <c r="M554" t="str">
        <f>LEFT($D554,FIND(",",$D554)-1)&amp;"_"&amp;I554&amp;L554</f>
        <v>Borjesson_2000</v>
      </c>
      <c r="N554" t="s">
        <v>222</v>
      </c>
      <c r="O554" s="145" t="s">
        <v>223</v>
      </c>
      <c r="Q554" t="s">
        <v>256</v>
      </c>
      <c r="R554" s="251" t="s">
        <v>225</v>
      </c>
      <c r="S554" s="1" t="s">
        <v>438</v>
      </c>
      <c r="T554" t="s">
        <v>449</v>
      </c>
      <c r="U554" t="s">
        <v>440</v>
      </c>
      <c r="V554" s="253">
        <v>0</v>
      </c>
      <c r="W554" s="253">
        <v>0</v>
      </c>
      <c r="X554">
        <v>0</v>
      </c>
      <c r="Y554">
        <v>0</v>
      </c>
      <c r="Z554">
        <v>0</v>
      </c>
      <c r="AA554">
        <v>0</v>
      </c>
      <c r="AB554">
        <v>0</v>
      </c>
      <c r="AC554">
        <v>0</v>
      </c>
      <c r="AD554">
        <v>0</v>
      </c>
      <c r="AE554">
        <v>0</v>
      </c>
      <c r="AF554">
        <v>0</v>
      </c>
      <c r="AG554">
        <v>0</v>
      </c>
      <c r="AH554">
        <v>0</v>
      </c>
      <c r="AI554">
        <v>0</v>
      </c>
      <c r="AJ554">
        <v>0</v>
      </c>
      <c r="AK554">
        <v>0</v>
      </c>
      <c r="AL554">
        <v>0</v>
      </c>
      <c r="AM554">
        <v>1</v>
      </c>
      <c r="AN554">
        <v>0</v>
      </c>
      <c r="AO554">
        <v>0</v>
      </c>
      <c r="AP554">
        <v>0</v>
      </c>
      <c r="AQ554">
        <v>0</v>
      </c>
      <c r="AR554">
        <v>0</v>
      </c>
      <c r="AS554">
        <v>0</v>
      </c>
      <c r="AT554">
        <v>0</v>
      </c>
      <c r="AU554">
        <v>0</v>
      </c>
      <c r="AV554">
        <v>0</v>
      </c>
      <c r="AW554">
        <v>0</v>
      </c>
      <c r="AX554">
        <v>0</v>
      </c>
      <c r="AY554">
        <v>0</v>
      </c>
      <c r="AZ554" s="141">
        <f>COUNTIF(X554:AY554,"&lt;&gt;0")</f>
        <v>1</v>
      </c>
      <c r="BA554" s="141">
        <f>COUNTIF(X554:AN554,"&lt;&gt;0")</f>
        <v>1</v>
      </c>
      <c r="BB554">
        <f>COUNTIF(X554:AE554,"&lt;&gt;0")</f>
        <v>0</v>
      </c>
      <c r="BC554">
        <f>COUNTIF(AF554:AK554,"&lt;&gt;0")</f>
        <v>0</v>
      </c>
      <c r="BD554">
        <f>COUNTIF(AL554:AN554,"&lt;&gt;0")</f>
        <v>1</v>
      </c>
      <c r="BE554">
        <f>COUNTIF(AU554:AY554,"&lt;&gt;0")</f>
        <v>0</v>
      </c>
      <c r="BF554">
        <f>COUNTIF(AO554:AT554,"&lt;&gt;0")</f>
        <v>0</v>
      </c>
      <c r="BG554" t="str">
        <f t="array" ref="BG554">IF(BA554=1,INDEX($X$7:$AN$7,MATCH(TRUE,INDEX($X554:$AY554&lt;&gt;0,),0)),IF(BA554=0,INDEX($AO$7:$AY$7,MATCH(1,$AO554:$AY554,0)),IF(BH554="Multiple strategies","mixed drivers",IF(BH554="Supply chain","multiple supply","multiple silviculture"))))</f>
        <v>technologies/design switch</v>
      </c>
      <c r="BH554" s="2" t="str" cm="1">
        <f t="array" ref="BH554">IF(COUNTIF(BB554:BD554,"&lt;&gt;0")=1,INDEX($X$4:$AY$4,MATCH(TRUE,INDEX($X554:$AY554&lt;&gt;0,),0)),IF(COUNTIF(BB554:BD554,"&lt;&gt;0")=0,INDEX($AO$4:$AY$4,MATCH(1,$AO554:$AY554,0)),"Multiple strategies"))</f>
        <v>Technology</v>
      </c>
      <c r="BI554" s="142" t="s">
        <v>229</v>
      </c>
      <c r="BJ554" t="s">
        <v>441</v>
      </c>
      <c r="BK554" s="260" t="s">
        <v>2949</v>
      </c>
      <c r="BL554" s="143" t="s">
        <v>442</v>
      </c>
      <c r="BM554">
        <v>0</v>
      </c>
      <c r="BN554">
        <f>3*44</f>
        <v>132</v>
      </c>
      <c r="BO554" s="143" t="e">
        <f>BN554/BM554</f>
        <v>#DIV/0!</v>
      </c>
      <c r="BP554">
        <f>BN554-BM554</f>
        <v>132</v>
      </c>
      <c r="BQ554">
        <f>BP554*tC_to_m3</f>
        <v>573.16543638732094</v>
      </c>
      <c r="BR554" t="s">
        <v>232</v>
      </c>
      <c r="BS554" s="256" t="s">
        <v>793</v>
      </c>
      <c r="BT554" t="s">
        <v>443</v>
      </c>
      <c r="BU554" s="141">
        <v>3</v>
      </c>
      <c r="BV554" s="141">
        <v>31</v>
      </c>
      <c r="BW554" s="144">
        <f>IFERROR(BV554/BU554,"")</f>
        <v>10.333333333333334</v>
      </c>
      <c r="BX554">
        <f>BV554-BU554</f>
        <v>28</v>
      </c>
      <c r="BZ554">
        <f>BX554*C_to_CO2</f>
        <v>102.75999999999999</v>
      </c>
      <c r="CA554">
        <f>IFERROR(BZ554/BQ554,"")</f>
        <v>0.17928506060606059</v>
      </c>
      <c r="CB554" s="143">
        <v>0</v>
      </c>
      <c r="CC554" s="143">
        <v>0</v>
      </c>
      <c r="CD554" s="143">
        <v>0</v>
      </c>
      <c r="CE554" s="143">
        <v>0</v>
      </c>
      <c r="CF554" s="143">
        <v>0</v>
      </c>
      <c r="CG554" s="143">
        <v>0</v>
      </c>
      <c r="CH554" s="143">
        <v>0</v>
      </c>
      <c r="CI554" s="143">
        <v>0</v>
      </c>
      <c r="CJ554" s="143">
        <v>0</v>
      </c>
      <c r="CK554" s="143">
        <v>0</v>
      </c>
      <c r="CL554" s="143">
        <v>0</v>
      </c>
      <c r="CM554" s="143">
        <v>0</v>
      </c>
      <c r="CN554" s="143">
        <v>0</v>
      </c>
      <c r="CO554">
        <v>0</v>
      </c>
      <c r="CP554" t="str">
        <f>IF($BN554&lt;$BM554,"refNeedCorrection","refOK")</f>
        <v>refOK</v>
      </c>
      <c r="CQ554">
        <f>IF($CP554="refOK",$BM554,$BN554)</f>
        <v>0</v>
      </c>
      <c r="CR554">
        <f>IF($CP554="refOK",$BN554,$BM554)</f>
        <v>132</v>
      </c>
      <c r="CS554">
        <f>IF($CP554="refOK",$BQ554,-$BQ554)</f>
        <v>573.16543638732094</v>
      </c>
      <c r="CT554">
        <f>IF(BI554="Roundwood",$CS554/2,$CS554)</f>
        <v>573.16543638732094</v>
      </c>
      <c r="CU554">
        <f>IF($CP554="refOK",$BU554,$BV554)*IF($BR554="Emissions positive",-1,1)</f>
        <v>3</v>
      </c>
      <c r="CV554">
        <f>IF($CP554="refOK",$BV554,$BU554)*IF($BR554="Emissions positive",-1,1)</f>
        <v>31</v>
      </c>
      <c r="CW554">
        <f>IF($CP554="refNeedCorrection",-BZ554,BZ554)*IF($BR554="Emissions positive",-1,1)</f>
        <v>102.75999999999999</v>
      </c>
      <c r="CX554">
        <f>IFERROR($CW554/$CS554,"")</f>
        <v>0.17928506060606059</v>
      </c>
      <c r="CY554">
        <f>IFERROR($CW554/$CS554,"")</f>
        <v>0.17928506060606059</v>
      </c>
      <c r="CZ554">
        <f>IFERROR($CW554/$CT554,"")</f>
        <v>0.17928506060606059</v>
      </c>
      <c r="DA554" s="2">
        <f>IFERROR((CV554-CU554)/ABS(CU554),"")</f>
        <v>9.3333333333333339</v>
      </c>
      <c r="DB554" s="1" t="s">
        <v>263</v>
      </c>
      <c r="DC554" t="str">
        <f>IF(OR($DB554="prd",$DB554="std",$DB554="cit"),"loc",IF(OR($DB554="eur",$DB554="reg",$DB554="coy"),"reg",$DB554))</f>
        <v>loc</v>
      </c>
      <c r="DD554" t="s">
        <v>444</v>
      </c>
      <c r="DG554">
        <v>300</v>
      </c>
      <c r="DH554" t="str">
        <f>IF(DG554=0,"0",IF(AND(DG554&gt;=1,DG554&lt;=30),"1-30",IF(AND(DG554&gt;30,DG554&lt;=70),"31-70",IF(AND(DG554&gt;70,DG554&lt;=100),"71-100",IF(DG554&gt;100,"+100")))))</f>
        <v>+100</v>
      </c>
      <c r="DI554">
        <v>0</v>
      </c>
      <c r="DJ554">
        <v>0</v>
      </c>
      <c r="DK554">
        <v>0</v>
      </c>
      <c r="DL554">
        <v>1</v>
      </c>
      <c r="DN554">
        <f>SUM(DI554:DL554)</f>
        <v>1</v>
      </c>
      <c r="DO554" t="str">
        <f>IF(DN554=1,INDEX($DI$7:$DL$7,MATCH(1,$DI554:$DL554,0)),"mixedProduct")</f>
        <v>TimberInput</v>
      </c>
      <c r="DP554">
        <f>IF(DI554=1,DP$7,0)</f>
        <v>0</v>
      </c>
      <c r="DQ554">
        <f>IF(DJ554=1,DQ$7,0)</f>
        <v>0</v>
      </c>
      <c r="DR554">
        <f>IF(DK554=1,DR$7,0)</f>
        <v>0</v>
      </c>
      <c r="DS554" t="str">
        <f>IF(DL554=1,DS$7,0)</f>
        <v>Timber</v>
      </c>
      <c r="DT554">
        <v>1</v>
      </c>
      <c r="DU554" s="143">
        <v>0</v>
      </c>
      <c r="DV554" s="143">
        <v>0</v>
      </c>
      <c r="DW554" s="143">
        <v>0</v>
      </c>
      <c r="DX554">
        <v>0</v>
      </c>
      <c r="DY554">
        <f>SUM(DT554:DU554)</f>
        <v>1</v>
      </c>
      <c r="DZ554" s="143" t="str">
        <f>IF(DT554=1,"self-calculated DF",IF(DU554=1,"external DF used","explicit C balance"))</f>
        <v>self-calculated DF</v>
      </c>
      <c r="EA554">
        <v>0</v>
      </c>
      <c r="EB554" s="143">
        <v>0</v>
      </c>
      <c r="EC554" s="143">
        <v>1</v>
      </c>
      <c r="ED554" s="143">
        <v>1</v>
      </c>
      <c r="EE554">
        <v>1</v>
      </c>
      <c r="EF554" s="143">
        <v>1</v>
      </c>
      <c r="EG554">
        <v>0</v>
      </c>
      <c r="EH554" s="143">
        <v>1</v>
      </c>
      <c r="EI554" s="143">
        <v>0</v>
      </c>
      <c r="EJ554">
        <v>0</v>
      </c>
      <c r="EK554">
        <v>0</v>
      </c>
      <c r="EL554" s="143">
        <v>0</v>
      </c>
      <c r="EM554" s="143">
        <v>0</v>
      </c>
      <c r="EN554" s="2">
        <v>0</v>
      </c>
      <c r="EP554" t="str">
        <f>IF(AND(AND(AND(OR($EC554=1,$EB554=1),OR($EH554=1,$EF554=1)),SUM($EA554:$EE554,$EK554)&gt;=3),SUM($EF554:$EJ554)&gt;=2),"Whole sector approach","")</f>
        <v>Whole sector approach</v>
      </c>
      <c r="EQ554" t="str">
        <f>IF(AND(AND(OR($EC554=1,$EB554=1),AND($EH554=0,$EF554=0)),SUM($EA554:$EE554,$EK554)&gt;=4),"Ecosystem approach","")</f>
        <v/>
      </c>
      <c r="ER554" s="2" t="str">
        <f>IF(AND(AND(AND($EC554=0,$EB554=0),OR($EH554=1,$EF554=1)),SUM($EG554:$EJ554)&gt;=2),"Technology approach","")</f>
        <v/>
      </c>
      <c r="ES554" t="str">
        <f>IF(AND($EC554+$EB554+$EE554+$EA554+$ED554+$EG554=0,$N554="included"),"C neutral forest and HWP assumption","")</f>
        <v/>
      </c>
      <c r="ET554" t="str">
        <f>IF(AND(AND(AND(AND($EC554=1,$EB554+$EA554+$EG554&gt;=1),$EF554=1),$EH554+$EI554+$ED554+$EE554&gt;=2),$N554="included"),"All C pools assumption","")</f>
        <v/>
      </c>
      <c r="EU554" t="str">
        <f>IF(AND($ED554+$EE554+$EI554+$EH554+$EF554=0,$N554="included"),"In-situ only assumption","")</f>
        <v/>
      </c>
      <c r="EW554" t="s">
        <v>445</v>
      </c>
      <c r="EY554" t="str">
        <f>IF(ISNUMBER(BW554),IF(ABS(BW554-[6]QC_indicators!$B$2)&gt;3*[6]QC_indicators!$C$2,"C ratio",IF(ISNUMBER(CA554),IF(ABS(CA554-[6]QC_indicators!$B$1)&gt;3*[6]QC_indicators!$C$1,"DF","no"))),IF(ISNUMBER(CA554),IF(ABS(CA554-[6]QC_indicators!$B$1)&gt;3*[6]QC_indicators!$C$1,"DF","no")))</f>
        <v>no</v>
      </c>
      <c r="FA554" t="str">
        <f>IF(LEN($CY554)=0,"",IF(AND($CY554&lt;(-0.05),$ES554="C neutral forest and HWP assumption"),"Cneutral paradox",IF(AND($CY554&gt;0.05,$EU554="In-situ only assumption"),"In-situ only paradox","")))</f>
        <v/>
      </c>
      <c r="FD554" s="260" t="s">
        <v>2948</v>
      </c>
    </row>
    <row r="555" spans="1:160" ht="15" hidden="1" customHeight="1">
      <c r="A555" s="1" t="s">
        <v>430</v>
      </c>
      <c r="B555" t="s">
        <v>431</v>
      </c>
      <c r="C555" t="s">
        <v>432</v>
      </c>
      <c r="D555" t="s">
        <v>433</v>
      </c>
      <c r="E555" t="s">
        <v>434</v>
      </c>
      <c r="F555" t="s">
        <v>435</v>
      </c>
      <c r="G555" t="s">
        <v>436</v>
      </c>
      <c r="H555" t="s">
        <v>254</v>
      </c>
      <c r="I555">
        <v>2000</v>
      </c>
      <c r="J555">
        <v>174</v>
      </c>
      <c r="K555" t="s">
        <v>437</v>
      </c>
      <c r="M555" t="str">
        <f>LEFT($D555,FIND(",",$D555)-1)&amp;"_"&amp;I555&amp;L555</f>
        <v>Borjesson_2000</v>
      </c>
      <c r="N555" t="s">
        <v>222</v>
      </c>
      <c r="O555" s="145" t="s">
        <v>223</v>
      </c>
      <c r="Q555" t="s">
        <v>256</v>
      </c>
      <c r="R555" s="251" t="s">
        <v>225</v>
      </c>
      <c r="S555" s="1" t="s">
        <v>438</v>
      </c>
      <c r="T555" t="s">
        <v>447</v>
      </c>
      <c r="U555" t="s">
        <v>440</v>
      </c>
      <c r="V555" s="253">
        <v>0</v>
      </c>
      <c r="W555" s="253">
        <v>0</v>
      </c>
      <c r="X555">
        <v>0</v>
      </c>
      <c r="Y555">
        <v>0</v>
      </c>
      <c r="Z555">
        <v>0</v>
      </c>
      <c r="AA555">
        <v>0</v>
      </c>
      <c r="AB555">
        <v>0</v>
      </c>
      <c r="AC555">
        <v>0</v>
      </c>
      <c r="AD555">
        <v>0</v>
      </c>
      <c r="AE555">
        <v>0</v>
      </c>
      <c r="AF555">
        <v>0</v>
      </c>
      <c r="AG555">
        <v>0</v>
      </c>
      <c r="AH555">
        <v>0</v>
      </c>
      <c r="AI555">
        <v>0</v>
      </c>
      <c r="AJ555">
        <v>0</v>
      </c>
      <c r="AK555">
        <v>0</v>
      </c>
      <c r="AL555">
        <v>0</v>
      </c>
      <c r="AM555">
        <v>1</v>
      </c>
      <c r="AN555">
        <v>0</v>
      </c>
      <c r="AO555">
        <v>0</v>
      </c>
      <c r="AP555">
        <v>0</v>
      </c>
      <c r="AQ555">
        <v>0</v>
      </c>
      <c r="AR555">
        <v>0</v>
      </c>
      <c r="AS555">
        <v>0</v>
      </c>
      <c r="AT555">
        <v>0</v>
      </c>
      <c r="AU555">
        <v>0</v>
      </c>
      <c r="AV555">
        <v>0</v>
      </c>
      <c r="AW555">
        <v>0</v>
      </c>
      <c r="AX555">
        <v>0</v>
      </c>
      <c r="AY555">
        <v>0</v>
      </c>
      <c r="AZ555" s="141">
        <f>COUNTIF(X555:AY555,"&lt;&gt;0")</f>
        <v>1</v>
      </c>
      <c r="BA555" s="141">
        <f>COUNTIF(X555:AN555,"&lt;&gt;0")</f>
        <v>1</v>
      </c>
      <c r="BB555">
        <f>COUNTIF(X555:AE555,"&lt;&gt;0")</f>
        <v>0</v>
      </c>
      <c r="BC555">
        <f>COUNTIF(AF555:AK555,"&lt;&gt;0")</f>
        <v>0</v>
      </c>
      <c r="BD555">
        <f>COUNTIF(AL555:AN555,"&lt;&gt;0")</f>
        <v>1</v>
      </c>
      <c r="BE555">
        <f>COUNTIF(AU555:AY555,"&lt;&gt;0")</f>
        <v>0</v>
      </c>
      <c r="BF555">
        <f>COUNTIF(AO555:AT555,"&lt;&gt;0")</f>
        <v>0</v>
      </c>
      <c r="BG555" t="str">
        <f t="array" ref="BG555">IF(BA555=1,INDEX($X$7:$AN$7,MATCH(TRUE,INDEX($X555:$AY555&lt;&gt;0,),0)),IF(BA555=0,INDEX($AO$7:$AY$7,MATCH(1,$AO555:$AY555,0)),IF(BH555="Multiple strategies","mixed drivers",IF(BH555="Supply chain","multiple supply","multiple silviculture"))))</f>
        <v>technologies/design switch</v>
      </c>
      <c r="BH555" s="2" t="str" cm="1">
        <f t="array" ref="BH555">IF(COUNTIF(BB555:BD555,"&lt;&gt;0")=1,INDEX($X$4:$AY$4,MATCH(TRUE,INDEX($X555:$AY555&lt;&gt;0,),0)),IF(COUNTIF(BB555:BD555,"&lt;&gt;0")=0,INDEX($AO$4:$AY$4,MATCH(1,$AO555:$AY555,0)),"Multiple strategies"))</f>
        <v>Technology</v>
      </c>
      <c r="BI555" s="142" t="s">
        <v>229</v>
      </c>
      <c r="BJ555" t="s">
        <v>441</v>
      </c>
      <c r="BK555" s="260" t="s">
        <v>2949</v>
      </c>
      <c r="BL555" s="143" t="s">
        <v>442</v>
      </c>
      <c r="BM555">
        <v>0</v>
      </c>
      <c r="BN555">
        <f>3*44</f>
        <v>132</v>
      </c>
      <c r="BO555" s="143" t="e">
        <f>BN555/BM555</f>
        <v>#DIV/0!</v>
      </c>
      <c r="BP555">
        <f>BN555-BM555</f>
        <v>132</v>
      </c>
      <c r="BQ555">
        <f>BP555*tC_to_m3</f>
        <v>573.16543638732094</v>
      </c>
      <c r="BR555" t="s">
        <v>232</v>
      </c>
      <c r="BS555" s="256" t="s">
        <v>793</v>
      </c>
      <c r="BT555" t="s">
        <v>443</v>
      </c>
      <c r="BU555" s="141">
        <v>6</v>
      </c>
      <c r="BV555" s="141">
        <v>31</v>
      </c>
      <c r="BW555" s="144">
        <f>IFERROR(BV555/BU555,"")</f>
        <v>5.166666666666667</v>
      </c>
      <c r="BX555">
        <f>BV555-BU555</f>
        <v>25</v>
      </c>
      <c r="BZ555">
        <f>BX555*C_to_CO2</f>
        <v>91.75</v>
      </c>
      <c r="CA555">
        <f>IFERROR(BZ555/BQ555,"")</f>
        <v>0.16007594696969696</v>
      </c>
      <c r="CB555" s="143">
        <v>0</v>
      </c>
      <c r="CC555" s="143">
        <v>0</v>
      </c>
      <c r="CD555" s="143">
        <v>0</v>
      </c>
      <c r="CE555" s="143">
        <v>0</v>
      </c>
      <c r="CF555" s="143">
        <v>0</v>
      </c>
      <c r="CG555" s="143">
        <v>0</v>
      </c>
      <c r="CH555" s="143">
        <v>0</v>
      </c>
      <c r="CI555" s="143">
        <v>0</v>
      </c>
      <c r="CJ555" s="143">
        <v>0</v>
      </c>
      <c r="CK555" s="143">
        <v>0</v>
      </c>
      <c r="CL555" s="143">
        <v>0</v>
      </c>
      <c r="CM555" s="143">
        <v>0</v>
      </c>
      <c r="CN555" s="143">
        <v>0</v>
      </c>
      <c r="CO555">
        <v>0</v>
      </c>
      <c r="CP555" t="str">
        <f>IF($BN555&lt;$BM555,"refNeedCorrection","refOK")</f>
        <v>refOK</v>
      </c>
      <c r="CQ555">
        <f>IF($CP555="refOK",$BM555,$BN555)</f>
        <v>0</v>
      </c>
      <c r="CR555">
        <f>IF($CP555="refOK",$BN555,$BM555)</f>
        <v>132</v>
      </c>
      <c r="CS555">
        <f>IF($CP555="refOK",$BQ555,-$BQ555)</f>
        <v>573.16543638732094</v>
      </c>
      <c r="CT555">
        <f>IF(BI555="Roundwood",$CS555/2,$CS555)</f>
        <v>573.16543638732094</v>
      </c>
      <c r="CU555">
        <f>IF($CP555="refOK",$BU555,$BV555)*IF($BR555="Emissions positive",-1,1)</f>
        <v>6</v>
      </c>
      <c r="CV555">
        <f>IF($CP555="refOK",$BV555,$BU555)*IF($BR555="Emissions positive",-1,1)</f>
        <v>31</v>
      </c>
      <c r="CW555">
        <f>IF($CP555="refNeedCorrection",-BZ555,BZ555)*IF($BR555="Emissions positive",-1,1)</f>
        <v>91.75</v>
      </c>
      <c r="CX555">
        <f>IFERROR($CW555/$CS555,"")</f>
        <v>0.16007594696969696</v>
      </c>
      <c r="CY555">
        <f>IFERROR($CW555/$CS555,"")</f>
        <v>0.16007594696969696</v>
      </c>
      <c r="CZ555">
        <f>IFERROR($CW555/$CT555,"")</f>
        <v>0.16007594696969696</v>
      </c>
      <c r="DA555" s="2">
        <f>IFERROR((CV555-CU555)/ABS(CU555),"")</f>
        <v>4.166666666666667</v>
      </c>
      <c r="DB555" s="1" t="s">
        <v>263</v>
      </c>
      <c r="DC555" t="str">
        <f>IF(OR($DB555="prd",$DB555="std",$DB555="cit"),"loc",IF(OR($DB555="eur",$DB555="reg",$DB555="coy"),"reg",$DB555))</f>
        <v>loc</v>
      </c>
      <c r="DD555" t="s">
        <v>444</v>
      </c>
      <c r="DG555">
        <v>300</v>
      </c>
      <c r="DH555" t="str">
        <f>IF(DG555=0,"0",IF(AND(DG555&gt;=1,DG555&lt;=30),"1-30",IF(AND(DG555&gt;30,DG555&lt;=70),"31-70",IF(AND(DG555&gt;70,DG555&lt;=100),"71-100",IF(DG555&gt;100,"+100")))))</f>
        <v>+100</v>
      </c>
      <c r="DI555">
        <v>0</v>
      </c>
      <c r="DJ555">
        <v>0</v>
      </c>
      <c r="DK555">
        <v>0</v>
      </c>
      <c r="DL555">
        <v>1</v>
      </c>
      <c r="DN555">
        <f>SUM(DI555:DL555)</f>
        <v>1</v>
      </c>
      <c r="DO555" t="str">
        <f>IF(DN555=1,INDEX($DI$7:$DL$7,MATCH(1,$DI555:$DL555,0)),"mixedProduct")</f>
        <v>TimberInput</v>
      </c>
      <c r="DP555">
        <f>IF(DI555=1,DP$7,0)</f>
        <v>0</v>
      </c>
      <c r="DQ555">
        <f>IF(DJ555=1,DQ$7,0)</f>
        <v>0</v>
      </c>
      <c r="DR555">
        <f>IF(DK555=1,DR$7,0)</f>
        <v>0</v>
      </c>
      <c r="DS555" t="str">
        <f>IF(DL555=1,DS$7,0)</f>
        <v>Timber</v>
      </c>
      <c r="DT555">
        <v>1</v>
      </c>
      <c r="DU555" s="143">
        <v>0</v>
      </c>
      <c r="DV555" s="143">
        <v>0</v>
      </c>
      <c r="DW555" s="143">
        <v>0</v>
      </c>
      <c r="DX555">
        <v>0</v>
      </c>
      <c r="DY555">
        <f>SUM(DT555:DU555)</f>
        <v>1</v>
      </c>
      <c r="DZ555" s="143" t="str">
        <f>IF(DT555=1,"self-calculated DF",IF(DU555=1,"external DF used","explicit C balance"))</f>
        <v>self-calculated DF</v>
      </c>
      <c r="EA555">
        <v>0</v>
      </c>
      <c r="EB555" s="143">
        <v>0</v>
      </c>
      <c r="EC555" s="143">
        <v>1</v>
      </c>
      <c r="ED555" s="143">
        <v>1</v>
      </c>
      <c r="EE555">
        <v>1</v>
      </c>
      <c r="EF555" s="143">
        <v>1</v>
      </c>
      <c r="EG555">
        <v>0</v>
      </c>
      <c r="EH555" s="143">
        <v>1</v>
      </c>
      <c r="EI555" s="143">
        <v>0</v>
      </c>
      <c r="EJ555">
        <v>0</v>
      </c>
      <c r="EK555">
        <v>0</v>
      </c>
      <c r="EL555" s="143">
        <v>0</v>
      </c>
      <c r="EM555" s="143">
        <v>0</v>
      </c>
      <c r="EN555" s="2">
        <v>0</v>
      </c>
      <c r="EP555" t="str">
        <f>IF(AND(AND(AND(OR($EC555=1,$EB555=1),OR($EH555=1,$EF555=1)),SUM($EA555:$EE555,$EK555)&gt;=3),SUM($EF555:$EJ555)&gt;=2),"Whole sector approach","")</f>
        <v>Whole sector approach</v>
      </c>
      <c r="EQ555" t="str">
        <f>IF(AND(AND(OR($EC555=1,$EB555=1),AND($EH555=0,$EF555=0)),SUM($EA555:$EE555,$EK555)&gt;=4),"Ecosystem approach","")</f>
        <v/>
      </c>
      <c r="ER555" s="2" t="str">
        <f>IF(AND(AND(AND($EC555=0,$EB555=0),OR($EH555=1,$EF555=1)),SUM($EG555:$EJ555)&gt;=2),"Technology approach","")</f>
        <v/>
      </c>
      <c r="ES555" t="str">
        <f>IF(AND($EC555+$EB555+$EE555+$EA555+$ED555+$EG555=0,$N555="included"),"C neutral forest and HWP assumption","")</f>
        <v/>
      </c>
      <c r="ET555" t="str">
        <f>IF(AND(AND(AND(AND($EC555=1,$EB555+$EA555+$EG555&gt;=1),$EF555=1),$EH555+$EI555+$ED555+$EE555&gt;=2),$N555="included"),"All C pools assumption","")</f>
        <v/>
      </c>
      <c r="EU555" t="str">
        <f>IF(AND($ED555+$EE555+$EI555+$EH555+$EF555=0,$N555="included"),"In-situ only assumption","")</f>
        <v/>
      </c>
      <c r="EW555" t="s">
        <v>445</v>
      </c>
      <c r="EY555" t="str">
        <f>IF(ISNUMBER(BW555),IF(ABS(BW555-[6]QC_indicators!$B$2)&gt;3*[6]QC_indicators!$C$2,"C ratio",IF(ISNUMBER(CA555),IF(ABS(CA555-[6]QC_indicators!$B$1)&gt;3*[6]QC_indicators!$C$1,"DF","no"))),IF(ISNUMBER(CA555),IF(ABS(CA555-[6]QC_indicators!$B$1)&gt;3*[6]QC_indicators!$C$1,"DF","no")))</f>
        <v>no</v>
      </c>
      <c r="FA555" t="str">
        <f>IF(LEN($CY555)=0,"",IF(AND($CY555&lt;(-0.05),$ES555="C neutral forest and HWP assumption"),"Cneutral paradox",IF(AND($CY555&gt;0.05,$EU555="In-situ only assumption"),"In-situ only paradox","")))</f>
        <v/>
      </c>
      <c r="FD555" s="260" t="s">
        <v>2948</v>
      </c>
    </row>
    <row r="556" spans="1:160" ht="15" hidden="1" customHeight="1">
      <c r="A556" s="1" t="s">
        <v>430</v>
      </c>
      <c r="B556" t="s">
        <v>431</v>
      </c>
      <c r="C556" t="s">
        <v>432</v>
      </c>
      <c r="D556" t="s">
        <v>433</v>
      </c>
      <c r="E556" t="s">
        <v>434</v>
      </c>
      <c r="F556" t="s">
        <v>435</v>
      </c>
      <c r="G556" t="s">
        <v>436</v>
      </c>
      <c r="H556" t="s">
        <v>254</v>
      </c>
      <c r="I556">
        <v>2000</v>
      </c>
      <c r="J556">
        <v>174</v>
      </c>
      <c r="K556" t="s">
        <v>437</v>
      </c>
      <c r="M556" t="str">
        <f>LEFT($D556,FIND(",",$D556)-1)&amp;"_"&amp;I556&amp;L556</f>
        <v>Borjesson_2000</v>
      </c>
      <c r="N556" t="s">
        <v>222</v>
      </c>
      <c r="O556" s="145" t="s">
        <v>223</v>
      </c>
      <c r="Q556" t="s">
        <v>256</v>
      </c>
      <c r="R556" s="251" t="s">
        <v>225</v>
      </c>
      <c r="S556" s="1" t="s">
        <v>438</v>
      </c>
      <c r="T556" t="s">
        <v>446</v>
      </c>
      <c r="U556" t="s">
        <v>440</v>
      </c>
      <c r="V556" s="253">
        <v>0</v>
      </c>
      <c r="W556" s="253">
        <v>0</v>
      </c>
      <c r="X556">
        <v>0</v>
      </c>
      <c r="Y556">
        <v>0</v>
      </c>
      <c r="Z556">
        <v>0</v>
      </c>
      <c r="AA556">
        <v>0</v>
      </c>
      <c r="AB556">
        <v>0</v>
      </c>
      <c r="AC556">
        <v>0</v>
      </c>
      <c r="AD556">
        <v>0</v>
      </c>
      <c r="AE556">
        <v>0</v>
      </c>
      <c r="AF556">
        <v>0</v>
      </c>
      <c r="AG556">
        <v>0</v>
      </c>
      <c r="AH556">
        <v>0</v>
      </c>
      <c r="AI556">
        <v>0</v>
      </c>
      <c r="AJ556">
        <v>0</v>
      </c>
      <c r="AK556">
        <v>0</v>
      </c>
      <c r="AL556">
        <v>0</v>
      </c>
      <c r="AM556">
        <v>1</v>
      </c>
      <c r="AN556">
        <v>0</v>
      </c>
      <c r="AO556">
        <v>0</v>
      </c>
      <c r="AP556">
        <v>0</v>
      </c>
      <c r="AQ556">
        <v>0</v>
      </c>
      <c r="AR556">
        <v>0</v>
      </c>
      <c r="AS556">
        <v>0</v>
      </c>
      <c r="AT556">
        <v>0</v>
      </c>
      <c r="AU556">
        <v>0</v>
      </c>
      <c r="AV556">
        <v>0</v>
      </c>
      <c r="AW556">
        <v>0</v>
      </c>
      <c r="AX556">
        <v>0</v>
      </c>
      <c r="AY556">
        <v>0</v>
      </c>
      <c r="AZ556" s="141">
        <f>COUNTIF(X556:AY556,"&lt;&gt;0")</f>
        <v>1</v>
      </c>
      <c r="BA556" s="141">
        <f>COUNTIF(X556:AN556,"&lt;&gt;0")</f>
        <v>1</v>
      </c>
      <c r="BB556">
        <f>COUNTIF(X556:AE556,"&lt;&gt;0")</f>
        <v>0</v>
      </c>
      <c r="BC556">
        <f>COUNTIF(AF556:AK556,"&lt;&gt;0")</f>
        <v>0</v>
      </c>
      <c r="BD556">
        <f>COUNTIF(AL556:AN556,"&lt;&gt;0")</f>
        <v>1</v>
      </c>
      <c r="BE556">
        <f>COUNTIF(AU556:AY556,"&lt;&gt;0")</f>
        <v>0</v>
      </c>
      <c r="BF556">
        <f>COUNTIF(AO556:AT556,"&lt;&gt;0")</f>
        <v>0</v>
      </c>
      <c r="BG556" t="str">
        <f t="array" ref="BG556">IF(BA556=1,INDEX($X$7:$AN$7,MATCH(TRUE,INDEX($X556:$AY556&lt;&gt;0,),0)),IF(BA556=0,INDEX($AO$7:$AY$7,MATCH(1,$AO556:$AY556,0)),IF(BH556="Multiple strategies","mixed drivers",IF(BH556="Supply chain","multiple supply","multiple silviculture"))))</f>
        <v>technologies/design switch</v>
      </c>
      <c r="BH556" s="2" t="str" cm="1">
        <f t="array" ref="BH556">IF(COUNTIF(BB556:BD556,"&lt;&gt;0")=1,INDEX($X$4:$AY$4,MATCH(TRUE,INDEX($X556:$AY556&lt;&gt;0,),0)),IF(COUNTIF(BB556:BD556,"&lt;&gt;0")=0,INDEX($AO$4:$AY$4,MATCH(1,$AO556:$AY556,0)),"Multiple strategies"))</f>
        <v>Technology</v>
      </c>
      <c r="BI556" s="142" t="s">
        <v>229</v>
      </c>
      <c r="BJ556" t="s">
        <v>441</v>
      </c>
      <c r="BK556" s="260" t="s">
        <v>2949</v>
      </c>
      <c r="BL556" s="143" t="s">
        <v>442</v>
      </c>
      <c r="BM556">
        <v>0</v>
      </c>
      <c r="BN556">
        <f>3*44</f>
        <v>132</v>
      </c>
      <c r="BO556" s="143" t="e">
        <f>BN556/BM556</f>
        <v>#DIV/0!</v>
      </c>
      <c r="BP556">
        <f>BN556-BM556</f>
        <v>132</v>
      </c>
      <c r="BQ556">
        <f>BP556*tC_to_m3</f>
        <v>573.16543638732094</v>
      </c>
      <c r="BR556" t="s">
        <v>232</v>
      </c>
      <c r="BS556" s="256" t="s">
        <v>793</v>
      </c>
      <c r="BT556" t="s">
        <v>443</v>
      </c>
      <c r="BU556" s="141">
        <v>18</v>
      </c>
      <c r="BV556" s="141">
        <v>31</v>
      </c>
      <c r="BW556" s="144">
        <f>IFERROR(BV556/BU556,"")</f>
        <v>1.7222222222222223</v>
      </c>
      <c r="BX556">
        <f>BV556-BU556</f>
        <v>13</v>
      </c>
      <c r="BZ556">
        <f>BX556*C_to_CO2</f>
        <v>47.71</v>
      </c>
      <c r="CA556">
        <f>IFERROR(BZ556/BQ556,"")</f>
        <v>8.3239492424242417E-2</v>
      </c>
      <c r="CB556" s="143">
        <v>0</v>
      </c>
      <c r="CC556" s="143">
        <v>0</v>
      </c>
      <c r="CD556" s="143">
        <v>0</v>
      </c>
      <c r="CE556" s="143">
        <v>0</v>
      </c>
      <c r="CF556" s="143">
        <v>0</v>
      </c>
      <c r="CG556" s="143">
        <v>0</v>
      </c>
      <c r="CH556" s="143">
        <v>0</v>
      </c>
      <c r="CI556" s="143">
        <v>0</v>
      </c>
      <c r="CJ556" s="143">
        <v>0</v>
      </c>
      <c r="CK556" s="143">
        <v>0</v>
      </c>
      <c r="CL556" s="143">
        <v>0</v>
      </c>
      <c r="CM556" s="143">
        <v>0</v>
      </c>
      <c r="CN556" s="143">
        <v>0</v>
      </c>
      <c r="CO556">
        <v>0</v>
      </c>
      <c r="CP556" t="str">
        <f>IF($BN556&lt;$BM556,"refNeedCorrection","refOK")</f>
        <v>refOK</v>
      </c>
      <c r="CQ556">
        <f>IF($CP556="refOK",$BM556,$BN556)</f>
        <v>0</v>
      </c>
      <c r="CR556">
        <f>IF($CP556="refOK",$BN556,$BM556)</f>
        <v>132</v>
      </c>
      <c r="CS556">
        <f>IF($CP556="refOK",$BQ556,-$BQ556)</f>
        <v>573.16543638732094</v>
      </c>
      <c r="CT556">
        <f>IF(BI556="Roundwood",$CS556/2,$CS556)</f>
        <v>573.16543638732094</v>
      </c>
      <c r="CU556">
        <f>IF($CP556="refOK",$BU556,$BV556)*IF($BR556="Emissions positive",-1,1)</f>
        <v>18</v>
      </c>
      <c r="CV556">
        <f>IF($CP556="refOK",$BV556,$BU556)*IF($BR556="Emissions positive",-1,1)</f>
        <v>31</v>
      </c>
      <c r="CW556">
        <f>IF($CP556="refNeedCorrection",-BZ556,BZ556)*IF($BR556="Emissions positive",-1,1)</f>
        <v>47.71</v>
      </c>
      <c r="CX556">
        <f>IFERROR($CW556/$CS556,"")</f>
        <v>8.3239492424242417E-2</v>
      </c>
      <c r="CY556">
        <f>IFERROR($CW556/$CS556,"")</f>
        <v>8.3239492424242417E-2</v>
      </c>
      <c r="CZ556">
        <f>IFERROR($CW556/$CT556,"")</f>
        <v>8.3239492424242417E-2</v>
      </c>
      <c r="DA556" s="2">
        <f>IFERROR((CV556-CU556)/ABS(CU556),"")</f>
        <v>0.72222222222222221</v>
      </c>
      <c r="DB556" s="1" t="s">
        <v>263</v>
      </c>
      <c r="DC556" t="str">
        <f>IF(OR($DB556="prd",$DB556="std",$DB556="cit"),"loc",IF(OR($DB556="eur",$DB556="reg",$DB556="coy"),"reg",$DB556))</f>
        <v>loc</v>
      </c>
      <c r="DD556" t="s">
        <v>444</v>
      </c>
      <c r="DG556">
        <v>300</v>
      </c>
      <c r="DH556" t="str">
        <f>IF(DG556=0,"0",IF(AND(DG556&gt;=1,DG556&lt;=30),"1-30",IF(AND(DG556&gt;30,DG556&lt;=70),"31-70",IF(AND(DG556&gt;70,DG556&lt;=100),"71-100",IF(DG556&gt;100,"+100")))))</f>
        <v>+100</v>
      </c>
      <c r="DI556">
        <v>0</v>
      </c>
      <c r="DJ556">
        <v>0</v>
      </c>
      <c r="DK556">
        <v>0</v>
      </c>
      <c r="DL556">
        <v>1</v>
      </c>
      <c r="DN556">
        <f>SUM(DI556:DL556)</f>
        <v>1</v>
      </c>
      <c r="DO556" t="str">
        <f>IF(DN556=1,INDEX($DI$7:$DL$7,MATCH(1,$DI556:$DL556,0)),"mixedProduct")</f>
        <v>TimberInput</v>
      </c>
      <c r="DP556">
        <f>IF(DI556=1,DP$7,0)</f>
        <v>0</v>
      </c>
      <c r="DQ556">
        <f>IF(DJ556=1,DQ$7,0)</f>
        <v>0</v>
      </c>
      <c r="DR556">
        <f>IF(DK556=1,DR$7,0)</f>
        <v>0</v>
      </c>
      <c r="DS556" t="str">
        <f>IF(DL556=1,DS$7,0)</f>
        <v>Timber</v>
      </c>
      <c r="DT556">
        <v>1</v>
      </c>
      <c r="DU556" s="143">
        <v>0</v>
      </c>
      <c r="DV556" s="143">
        <v>0</v>
      </c>
      <c r="DW556" s="143">
        <v>0</v>
      </c>
      <c r="DX556">
        <v>0</v>
      </c>
      <c r="DY556">
        <f>SUM(DT556:DU556)</f>
        <v>1</v>
      </c>
      <c r="DZ556" s="143" t="str">
        <f>IF(DT556=1,"self-calculated DF",IF(DU556=1,"external DF used","explicit C balance"))</f>
        <v>self-calculated DF</v>
      </c>
      <c r="EA556">
        <v>0</v>
      </c>
      <c r="EB556" s="143">
        <v>0</v>
      </c>
      <c r="EC556" s="143">
        <v>1</v>
      </c>
      <c r="ED556" s="143">
        <v>1</v>
      </c>
      <c r="EE556">
        <v>1</v>
      </c>
      <c r="EF556" s="143">
        <v>1</v>
      </c>
      <c r="EG556">
        <v>0</v>
      </c>
      <c r="EH556" s="143">
        <v>1</v>
      </c>
      <c r="EI556" s="143">
        <v>0</v>
      </c>
      <c r="EJ556">
        <v>0</v>
      </c>
      <c r="EK556">
        <v>0</v>
      </c>
      <c r="EL556" s="143">
        <v>0</v>
      </c>
      <c r="EM556" s="143">
        <v>0</v>
      </c>
      <c r="EN556" s="2">
        <v>0</v>
      </c>
      <c r="EP556" t="str">
        <f>IF(AND(AND(AND(OR($EC556=1,$EB556=1),OR($EH556=1,$EF556=1)),SUM($EA556:$EE556,$EK556)&gt;=3),SUM($EF556:$EJ556)&gt;=2),"Whole sector approach","")</f>
        <v>Whole sector approach</v>
      </c>
      <c r="EQ556" t="str">
        <f>IF(AND(AND(OR($EC556=1,$EB556=1),AND($EH556=0,$EF556=0)),SUM($EA556:$EE556,$EK556)&gt;=4),"Ecosystem approach","")</f>
        <v/>
      </c>
      <c r="ER556" s="2" t="str">
        <f>IF(AND(AND(AND($EC556=0,$EB556=0),OR($EH556=1,$EF556=1)),SUM($EG556:$EJ556)&gt;=2),"Technology approach","")</f>
        <v/>
      </c>
      <c r="ES556" t="str">
        <f>IF(AND($EC556+$EB556+$EE556+$EA556+$ED556+$EG556=0,$N556="included"),"C neutral forest and HWP assumption","")</f>
        <v/>
      </c>
      <c r="ET556" t="str">
        <f>IF(AND(AND(AND(AND($EC556=1,$EB556+$EA556+$EG556&gt;=1),$EF556=1),$EH556+$EI556+$ED556+$EE556&gt;=2),$N556="included"),"All C pools assumption","")</f>
        <v/>
      </c>
      <c r="EU556" t="str">
        <f>IF(AND($ED556+$EE556+$EI556+$EH556+$EF556=0,$N556="included"),"In-situ only assumption","")</f>
        <v/>
      </c>
      <c r="EW556" t="s">
        <v>445</v>
      </c>
      <c r="EY556" t="str">
        <f>IF(ISNUMBER(BW556),IF(ABS(BW556-[6]QC_indicators!$B$2)&gt;3*[6]QC_indicators!$C$2,"C ratio",IF(ISNUMBER(CA556),IF(ABS(CA556-[6]QC_indicators!$B$1)&gt;3*[6]QC_indicators!$C$1,"DF","no"))),IF(ISNUMBER(CA556),IF(ABS(CA556-[6]QC_indicators!$B$1)&gt;3*[6]QC_indicators!$C$1,"DF","no")))</f>
        <v>no</v>
      </c>
      <c r="FA556" t="str">
        <f>IF(LEN($CY556)=0,"",IF(AND($CY556&lt;(-0.05),$ES556="C neutral forest and HWP assumption"),"Cneutral paradox",IF(AND($CY556&gt;0.05,$EU556="In-situ only assumption"),"In-situ only paradox","")))</f>
        <v/>
      </c>
      <c r="FD556" s="260" t="s">
        <v>2948</v>
      </c>
    </row>
    <row r="557" spans="1:160" ht="15" hidden="1" customHeight="1">
      <c r="A557" s="1" t="s">
        <v>430</v>
      </c>
      <c r="B557" t="s">
        <v>431</v>
      </c>
      <c r="C557" t="s">
        <v>432</v>
      </c>
      <c r="D557" t="s">
        <v>433</v>
      </c>
      <c r="E557" t="s">
        <v>434</v>
      </c>
      <c r="F557" t="s">
        <v>435</v>
      </c>
      <c r="G557" t="s">
        <v>436</v>
      </c>
      <c r="H557" t="s">
        <v>254</v>
      </c>
      <c r="I557">
        <v>2000</v>
      </c>
      <c r="J557">
        <v>174</v>
      </c>
      <c r="K557" t="s">
        <v>437</v>
      </c>
      <c r="M557" t="str">
        <f>LEFT($D557,FIND(",",$D557)-1)&amp;"_"&amp;I557&amp;L557</f>
        <v>Borjesson_2000</v>
      </c>
      <c r="N557" t="s">
        <v>222</v>
      </c>
      <c r="O557" s="145" t="s">
        <v>223</v>
      </c>
      <c r="Q557" t="s">
        <v>256</v>
      </c>
      <c r="R557" s="251" t="s">
        <v>225</v>
      </c>
      <c r="S557" s="1" t="s">
        <v>438</v>
      </c>
      <c r="T557" t="s">
        <v>439</v>
      </c>
      <c r="U557" t="s">
        <v>440</v>
      </c>
      <c r="V557" s="253">
        <v>0</v>
      </c>
      <c r="W557" s="253">
        <v>0</v>
      </c>
      <c r="X557">
        <v>0</v>
      </c>
      <c r="Y557">
        <v>0</v>
      </c>
      <c r="Z557">
        <v>0</v>
      </c>
      <c r="AA557">
        <v>0</v>
      </c>
      <c r="AB557">
        <v>0</v>
      </c>
      <c r="AC557">
        <v>0</v>
      </c>
      <c r="AD557">
        <v>0</v>
      </c>
      <c r="AE557">
        <v>0</v>
      </c>
      <c r="AF557">
        <v>0</v>
      </c>
      <c r="AG557">
        <v>0</v>
      </c>
      <c r="AH557">
        <v>0</v>
      </c>
      <c r="AI557">
        <v>0</v>
      </c>
      <c r="AJ557">
        <v>0</v>
      </c>
      <c r="AK557">
        <v>0</v>
      </c>
      <c r="AL557">
        <v>0</v>
      </c>
      <c r="AM557">
        <v>1</v>
      </c>
      <c r="AN557">
        <v>0</v>
      </c>
      <c r="AO557">
        <v>0</v>
      </c>
      <c r="AP557">
        <v>0</v>
      </c>
      <c r="AQ557">
        <v>0</v>
      </c>
      <c r="AR557">
        <v>0</v>
      </c>
      <c r="AS557">
        <v>0</v>
      </c>
      <c r="AT557">
        <v>0</v>
      </c>
      <c r="AU557">
        <v>0</v>
      </c>
      <c r="AV557">
        <v>0</v>
      </c>
      <c r="AW557">
        <v>0</v>
      </c>
      <c r="AX557">
        <v>0</v>
      </c>
      <c r="AY557">
        <v>0</v>
      </c>
      <c r="AZ557" s="141">
        <f>COUNTIF(X557:AY557,"&lt;&gt;0")</f>
        <v>1</v>
      </c>
      <c r="BA557" s="141">
        <f>COUNTIF(X557:AN557,"&lt;&gt;0")</f>
        <v>1</v>
      </c>
      <c r="BB557">
        <f>COUNTIF(X557:AE557,"&lt;&gt;0")</f>
        <v>0</v>
      </c>
      <c r="BC557">
        <f>COUNTIF(AF557:AK557,"&lt;&gt;0")</f>
        <v>0</v>
      </c>
      <c r="BD557">
        <f>COUNTIF(AL557:AN557,"&lt;&gt;0")</f>
        <v>1</v>
      </c>
      <c r="BE557">
        <f>COUNTIF(AU557:AY557,"&lt;&gt;0")</f>
        <v>0</v>
      </c>
      <c r="BF557">
        <f>COUNTIF(AO557:AT557,"&lt;&gt;0")</f>
        <v>0</v>
      </c>
      <c r="BG557" t="str">
        <f t="array" ref="BG557">IF(BA557=1,INDEX($X$7:$AN$7,MATCH(TRUE,INDEX($X557:$AY557&lt;&gt;0,),0)),IF(BA557=0,INDEX($AO$7:$AY$7,MATCH(1,$AO557:$AY557,0)),IF(BH557="Multiple strategies","mixed drivers",IF(BH557="Supply chain","multiple supply","multiple silviculture"))))</f>
        <v>technologies/design switch</v>
      </c>
      <c r="BH557" s="2" t="str" cm="1">
        <f t="array" ref="BH557">IF(COUNTIF(BB557:BD557,"&lt;&gt;0")=1,INDEX($X$4:$AY$4,MATCH(TRUE,INDEX($X557:$AY557&lt;&gt;0,),0)),IF(COUNTIF(BB557:BD557,"&lt;&gt;0")=0,INDEX($AO$4:$AY$4,MATCH(1,$AO557:$AY557,0)),"Multiple strategies"))</f>
        <v>Technology</v>
      </c>
      <c r="BI557" s="142" t="s">
        <v>229</v>
      </c>
      <c r="BJ557" t="s">
        <v>441</v>
      </c>
      <c r="BK557" s="260" t="s">
        <v>2949</v>
      </c>
      <c r="BL557" s="143" t="s">
        <v>442</v>
      </c>
      <c r="BM557">
        <v>0</v>
      </c>
      <c r="BN557">
        <f>3*44</f>
        <v>132</v>
      </c>
      <c r="BO557" s="143" t="e">
        <f>BN557/BM557</f>
        <v>#DIV/0!</v>
      </c>
      <c r="BP557">
        <f>BN557-BM557</f>
        <v>132</v>
      </c>
      <c r="BQ557">
        <f>BP557*tC_to_m3</f>
        <v>573.16543638732094</v>
      </c>
      <c r="BR557" t="s">
        <v>232</v>
      </c>
      <c r="BS557" s="256" t="s">
        <v>793</v>
      </c>
      <c r="BT557" t="s">
        <v>443</v>
      </c>
      <c r="BU557" s="141">
        <v>25</v>
      </c>
      <c r="BV557" s="141">
        <v>31</v>
      </c>
      <c r="BW557" s="144">
        <f>IFERROR(BV557/BU557,"")</f>
        <v>1.24</v>
      </c>
      <c r="BX557">
        <f>BV557-BU557</f>
        <v>6</v>
      </c>
      <c r="BZ557">
        <f>BX557*C_to_CO2</f>
        <v>22.02</v>
      </c>
      <c r="CA557">
        <f>IFERROR(BZ557/BQ557,"")</f>
        <v>3.8418227272727271E-2</v>
      </c>
      <c r="CB557" s="143">
        <v>0</v>
      </c>
      <c r="CC557" s="143">
        <v>0</v>
      </c>
      <c r="CD557" s="143">
        <v>0</v>
      </c>
      <c r="CE557" s="143">
        <v>0</v>
      </c>
      <c r="CF557" s="143">
        <v>0</v>
      </c>
      <c r="CG557" s="143">
        <v>0</v>
      </c>
      <c r="CH557" s="143">
        <v>0</v>
      </c>
      <c r="CI557" s="143">
        <v>0</v>
      </c>
      <c r="CJ557" s="143">
        <v>0</v>
      </c>
      <c r="CK557" s="143">
        <v>0</v>
      </c>
      <c r="CL557" s="143">
        <v>0</v>
      </c>
      <c r="CM557" s="143">
        <v>0</v>
      </c>
      <c r="CN557" s="143">
        <v>0</v>
      </c>
      <c r="CO557">
        <v>0</v>
      </c>
      <c r="CP557" t="str">
        <f>IF($BN557&lt;$BM557,"refNeedCorrection","refOK")</f>
        <v>refOK</v>
      </c>
      <c r="CQ557">
        <f>IF($CP557="refOK",$BM557,$BN557)</f>
        <v>0</v>
      </c>
      <c r="CR557">
        <f>IF($CP557="refOK",$BN557,$BM557)</f>
        <v>132</v>
      </c>
      <c r="CS557">
        <f>IF($CP557="refOK",$BQ557,-$BQ557)</f>
        <v>573.16543638732094</v>
      </c>
      <c r="CT557">
        <f>IF(BI557="Roundwood",$CS557/2,$CS557)</f>
        <v>573.16543638732094</v>
      </c>
      <c r="CU557">
        <f>IF($CP557="refOK",$BU557,$BV557)*IF($BR557="Emissions positive",-1,1)</f>
        <v>25</v>
      </c>
      <c r="CV557">
        <f>IF($CP557="refOK",$BV557,$BU557)*IF($BR557="Emissions positive",-1,1)</f>
        <v>31</v>
      </c>
      <c r="CW557">
        <f>IF($CP557="refNeedCorrection",-BZ557,BZ557)*IF($BR557="Emissions positive",-1,1)</f>
        <v>22.02</v>
      </c>
      <c r="CX557">
        <f>IFERROR($CW557/$CS557,"")</f>
        <v>3.8418227272727271E-2</v>
      </c>
      <c r="CY557">
        <f>IFERROR($CW557/$CS557,"")</f>
        <v>3.8418227272727271E-2</v>
      </c>
      <c r="CZ557">
        <f>IFERROR($CW557/$CT557,"")</f>
        <v>3.8418227272727271E-2</v>
      </c>
      <c r="DA557" s="2">
        <f>IFERROR((CV557-CU557)/ABS(CU557),"")</f>
        <v>0.24</v>
      </c>
      <c r="DB557" s="1" t="s">
        <v>263</v>
      </c>
      <c r="DC557" t="str">
        <f>IF(OR($DB557="prd",$DB557="std",$DB557="cit"),"loc",IF(OR($DB557="eur",$DB557="reg",$DB557="coy"),"reg",$DB557))</f>
        <v>loc</v>
      </c>
      <c r="DD557" t="s">
        <v>444</v>
      </c>
      <c r="DG557">
        <v>300</v>
      </c>
      <c r="DH557" t="str">
        <f>IF(DG557=0,"0",IF(AND(DG557&gt;=1,DG557&lt;=30),"1-30",IF(AND(DG557&gt;30,DG557&lt;=70),"31-70",IF(AND(DG557&gt;70,DG557&lt;=100),"71-100",IF(DG557&gt;100,"+100")))))</f>
        <v>+100</v>
      </c>
      <c r="DI557">
        <v>0</v>
      </c>
      <c r="DJ557">
        <v>0</v>
      </c>
      <c r="DK557">
        <v>0</v>
      </c>
      <c r="DL557">
        <v>1</v>
      </c>
      <c r="DN557">
        <f>SUM(DI557:DL557)</f>
        <v>1</v>
      </c>
      <c r="DO557" t="str">
        <f>IF(DN557=1,INDEX($DI$7:$DL$7,MATCH(1,$DI557:$DL557,0)),"mixedProduct")</f>
        <v>TimberInput</v>
      </c>
      <c r="DP557">
        <f>IF(DI557=1,DP$7,0)</f>
        <v>0</v>
      </c>
      <c r="DQ557">
        <f>IF(DJ557=1,DQ$7,0)</f>
        <v>0</v>
      </c>
      <c r="DR557">
        <f>IF(DK557=1,DR$7,0)</f>
        <v>0</v>
      </c>
      <c r="DS557" t="str">
        <f>IF(DL557=1,DS$7,0)</f>
        <v>Timber</v>
      </c>
      <c r="DT557">
        <v>1</v>
      </c>
      <c r="DU557" s="143">
        <v>0</v>
      </c>
      <c r="DV557" s="143">
        <v>0</v>
      </c>
      <c r="DW557" s="143">
        <v>0</v>
      </c>
      <c r="DX557">
        <v>0</v>
      </c>
      <c r="DY557">
        <f>SUM(DT557:DU557)</f>
        <v>1</v>
      </c>
      <c r="DZ557" s="143" t="str">
        <f>IF(DT557=1,"self-calculated DF",IF(DU557=1,"external DF used","explicit C balance"))</f>
        <v>self-calculated DF</v>
      </c>
      <c r="EA557">
        <v>0</v>
      </c>
      <c r="EB557" s="143">
        <v>0</v>
      </c>
      <c r="EC557" s="143">
        <v>1</v>
      </c>
      <c r="ED557" s="143">
        <v>1</v>
      </c>
      <c r="EE557">
        <v>1</v>
      </c>
      <c r="EF557" s="143">
        <v>1</v>
      </c>
      <c r="EG557">
        <v>0</v>
      </c>
      <c r="EH557" s="143">
        <v>1</v>
      </c>
      <c r="EI557" s="143">
        <v>0</v>
      </c>
      <c r="EJ557">
        <v>0</v>
      </c>
      <c r="EK557">
        <v>0</v>
      </c>
      <c r="EL557" s="143">
        <v>0</v>
      </c>
      <c r="EM557" s="143">
        <v>0</v>
      </c>
      <c r="EN557" s="2">
        <v>0</v>
      </c>
      <c r="EP557" t="str">
        <f>IF(AND(AND(AND(OR($EC557=1,$EB557=1),OR($EH557=1,$EF557=1)),SUM($EA557:$EE557,$EK557)&gt;=3),SUM($EF557:$EJ557)&gt;=2),"Whole sector approach","")</f>
        <v>Whole sector approach</v>
      </c>
      <c r="EQ557" t="str">
        <f>IF(AND(AND(OR($EC557=1,$EB557=1),AND($EH557=0,$EF557=0)),SUM($EA557:$EE557,$EK557)&gt;=4),"Ecosystem approach","")</f>
        <v/>
      </c>
      <c r="ER557" s="2" t="str">
        <f>IF(AND(AND(AND($EC557=0,$EB557=0),OR($EH557=1,$EF557=1)),SUM($EG557:$EJ557)&gt;=2),"Technology approach","")</f>
        <v/>
      </c>
      <c r="ES557" t="str">
        <f>IF(AND($EC557+$EB557+$EE557+$EA557+$ED557+$EG557=0,$N557="included"),"C neutral forest and HWP assumption","")</f>
        <v/>
      </c>
      <c r="ET557" t="str">
        <f>IF(AND(AND(AND(AND($EC557=1,$EB557+$EA557+$EG557&gt;=1),$EF557=1),$EH557+$EI557+$ED557+$EE557&gt;=2),$N557="included"),"All C pools assumption","")</f>
        <v/>
      </c>
      <c r="EU557" t="str">
        <f>IF(AND($ED557+$EE557+$EI557+$EH557+$EF557=0,$N557="included"),"In-situ only assumption","")</f>
        <v/>
      </c>
      <c r="EW557" t="s">
        <v>445</v>
      </c>
      <c r="EY557" t="str">
        <f>IF(ISNUMBER(BW557),IF(ABS(BW557-[6]QC_indicators!$B$2)&gt;3*[6]QC_indicators!$C$2,"C ratio",IF(ISNUMBER(CA557),IF(ABS(CA557-[6]QC_indicators!$B$1)&gt;3*[6]QC_indicators!$C$1,"DF","no"))),IF(ISNUMBER(CA557),IF(ABS(CA557-[6]QC_indicators!$B$1)&gt;3*[6]QC_indicators!$C$1,"DF","no")))</f>
        <v>no</v>
      </c>
      <c r="FA557" t="str">
        <f>IF(LEN($CY557)=0,"",IF(AND($CY557&lt;(-0.05),$ES557="C neutral forest and HWP assumption"),"Cneutral paradox",IF(AND($CY557&gt;0.05,$EU557="In-situ only assumption"),"In-situ only paradox","")))</f>
        <v/>
      </c>
      <c r="FD557" s="260" t="s">
        <v>2948</v>
      </c>
    </row>
    <row r="558" spans="1:160" ht="16.5" hidden="1" customHeight="1">
      <c r="A558" s="1" t="s">
        <v>430</v>
      </c>
      <c r="B558" t="s">
        <v>431</v>
      </c>
      <c r="C558" t="s">
        <v>432</v>
      </c>
      <c r="D558" t="s">
        <v>433</v>
      </c>
      <c r="E558" t="s">
        <v>434</v>
      </c>
      <c r="F558" t="s">
        <v>435</v>
      </c>
      <c r="G558" t="s">
        <v>436</v>
      </c>
      <c r="H558" t="s">
        <v>254</v>
      </c>
      <c r="I558">
        <v>2000</v>
      </c>
      <c r="J558">
        <v>174</v>
      </c>
      <c r="K558" t="s">
        <v>437</v>
      </c>
      <c r="M558" t="str">
        <f>LEFT($D558,FIND(",",$D558)-1)&amp;"_"&amp;I558&amp;L558</f>
        <v>Borjesson_2000</v>
      </c>
      <c r="N558" t="s">
        <v>222</v>
      </c>
      <c r="O558" s="145" t="s">
        <v>223</v>
      </c>
      <c r="Q558" t="s">
        <v>256</v>
      </c>
      <c r="R558" s="251" t="s">
        <v>225</v>
      </c>
      <c r="S558" s="1" t="s">
        <v>458</v>
      </c>
      <c r="T558" t="s">
        <v>463</v>
      </c>
      <c r="U558" t="s">
        <v>460</v>
      </c>
      <c r="V558" s="253">
        <v>0</v>
      </c>
      <c r="W558" s="253">
        <v>0</v>
      </c>
      <c r="X558">
        <v>0</v>
      </c>
      <c r="Y558">
        <v>0</v>
      </c>
      <c r="Z558">
        <v>0</v>
      </c>
      <c r="AA558">
        <v>0</v>
      </c>
      <c r="AB558">
        <v>0</v>
      </c>
      <c r="AC558">
        <v>0</v>
      </c>
      <c r="AD558">
        <v>0</v>
      </c>
      <c r="AE558">
        <v>0</v>
      </c>
      <c r="AF558">
        <v>0</v>
      </c>
      <c r="AG558">
        <v>0</v>
      </c>
      <c r="AH558">
        <v>0</v>
      </c>
      <c r="AI558">
        <v>0</v>
      </c>
      <c r="AJ558">
        <v>0</v>
      </c>
      <c r="AK558">
        <v>1</v>
      </c>
      <c r="AL558">
        <v>0</v>
      </c>
      <c r="AM558">
        <v>0</v>
      </c>
      <c r="AN558">
        <v>0</v>
      </c>
      <c r="AO558">
        <v>0</v>
      </c>
      <c r="AP558">
        <v>0</v>
      </c>
      <c r="AQ558">
        <v>0</v>
      </c>
      <c r="AR558">
        <v>0</v>
      </c>
      <c r="AS558">
        <v>0</v>
      </c>
      <c r="AT558">
        <v>0</v>
      </c>
      <c r="AU558">
        <v>0</v>
      </c>
      <c r="AV558">
        <v>0</v>
      </c>
      <c r="AW558">
        <v>0</v>
      </c>
      <c r="AX558">
        <v>0</v>
      </c>
      <c r="AY558">
        <v>0</v>
      </c>
      <c r="AZ558" s="141">
        <f>COUNTIF(X558:AY558,"&lt;&gt;0")</f>
        <v>1</v>
      </c>
      <c r="BA558" s="141">
        <f>COUNTIF(X558:AN558,"&lt;&gt;0")</f>
        <v>1</v>
      </c>
      <c r="BB558">
        <f>COUNTIF(X558:AE558,"&lt;&gt;0")</f>
        <v>0</v>
      </c>
      <c r="BC558">
        <f>COUNTIF(AF558:AK558,"&lt;&gt;0")</f>
        <v>1</v>
      </c>
      <c r="BD558">
        <f>COUNTIF(AL558:AN558,"&lt;&gt;0")</f>
        <v>0</v>
      </c>
      <c r="BE558">
        <f>COUNTIF(AU558:AY558,"&lt;&gt;0")</f>
        <v>0</v>
      </c>
      <c r="BF558">
        <f>COUNTIF(AO558:AT558,"&lt;&gt;0")</f>
        <v>0</v>
      </c>
      <c r="BG558" t="str">
        <f t="array" ref="BG558">IF(BA558=1,INDEX($X$7:$AN$7,MATCH(TRUE,INDEX($X558:$AY558&lt;&gt;0,),0)),IF(BA558=0,INDEX($AO$7:$AY$7,MATCH(1,$AO558:$AY558,0)),IF(BH558="Multiple strategies","mixed drivers",IF(BH558="Supply chain","multiple supply","multiple silviculture"))))</f>
        <v>products lifespan</v>
      </c>
      <c r="BH558" s="2" t="str" cm="1">
        <f t="array" ref="BH558">IF(COUNTIF(BB558:BD558,"&lt;&gt;0")=1,INDEX($X$4:$AY$4,MATCH(TRUE,INDEX($X558:$AY558&lt;&gt;0,),0)),IF(COUNTIF(BB558:BD558,"&lt;&gt;0")=0,INDEX($AO$4:$AY$4,MATCH(1,$AO558:$AY558,0)),"Multiple strategies"))</f>
        <v>Supply chain</v>
      </c>
      <c r="BI558" s="142" t="s">
        <v>229</v>
      </c>
      <c r="BJ558" t="s">
        <v>441</v>
      </c>
      <c r="BK558" s="260" t="s">
        <v>2949</v>
      </c>
      <c r="BL558" s="143" t="s">
        <v>442</v>
      </c>
      <c r="BM558">
        <v>44</v>
      </c>
      <c r="BN558">
        <v>44</v>
      </c>
      <c r="BO558" s="143">
        <f>BN558/BM558</f>
        <v>1</v>
      </c>
      <c r="BP558">
        <f>BN558-BM558</f>
        <v>0</v>
      </c>
      <c r="BQ558">
        <f>BP558*tC_to_m3</f>
        <v>0</v>
      </c>
      <c r="BR558" t="s">
        <v>232</v>
      </c>
      <c r="BS558" s="256" t="s">
        <v>793</v>
      </c>
      <c r="BT558" t="s">
        <v>443</v>
      </c>
      <c r="BU558" s="141">
        <v>151</v>
      </c>
      <c r="BV558" s="141">
        <v>93</v>
      </c>
      <c r="BW558" s="144">
        <f>IFERROR(BV558/BU558,"")</f>
        <v>0.61589403973509937</v>
      </c>
      <c r="BX558">
        <f>BV558-BU558</f>
        <v>-58</v>
      </c>
      <c r="BZ558">
        <f>BX558*C_to_CO2</f>
        <v>-212.85999999999999</v>
      </c>
      <c r="CA558" t="str">
        <f>IFERROR(BZ558/BQ558,"")</f>
        <v/>
      </c>
      <c r="CB558" s="143">
        <v>0</v>
      </c>
      <c r="CC558" s="143">
        <v>0</v>
      </c>
      <c r="CD558" s="143">
        <v>0</v>
      </c>
      <c r="CE558" s="143">
        <v>0</v>
      </c>
      <c r="CF558" s="143">
        <v>0</v>
      </c>
      <c r="CG558" s="143">
        <v>0</v>
      </c>
      <c r="CH558" s="143">
        <v>0</v>
      </c>
      <c r="CI558" s="143">
        <v>0</v>
      </c>
      <c r="CJ558" s="143">
        <v>0</v>
      </c>
      <c r="CK558" s="143">
        <v>0</v>
      </c>
      <c r="CL558" s="143">
        <v>0</v>
      </c>
      <c r="CM558" s="143">
        <v>0</v>
      </c>
      <c r="CN558" s="143">
        <v>0</v>
      </c>
      <c r="CO558">
        <v>0</v>
      </c>
      <c r="CP558" t="str">
        <f>IF($BN558&lt;$BM558,"refNeedCorrection","refOK")</f>
        <v>refOK</v>
      </c>
      <c r="CQ558">
        <f>IF($CP558="refOK",$BM558,$BN558)</f>
        <v>44</v>
      </c>
      <c r="CR558">
        <f>IF($CP558="refOK",$BN558,$BM558)</f>
        <v>44</v>
      </c>
      <c r="CS558">
        <f>IF($CP558="refOK",$BQ558,-$BQ558)</f>
        <v>0</v>
      </c>
      <c r="CT558">
        <f>IF(BI558="Roundwood",$CS558/2,$CS558)</f>
        <v>0</v>
      </c>
      <c r="CU558">
        <f>IF($CP558="refOK",$BU558,$BV558)*IF($BR558="Emissions positive",-1,1)</f>
        <v>151</v>
      </c>
      <c r="CV558">
        <f>IF($CP558="refOK",$BV558,$BU558)*IF($BR558="Emissions positive",-1,1)</f>
        <v>93</v>
      </c>
      <c r="CW558">
        <f>IF($CP558="refNeedCorrection",-BZ558,BZ558)*IF($BR558="Emissions positive",-1,1)</f>
        <v>-212.85999999999999</v>
      </c>
      <c r="CX558" t="str">
        <f>IFERROR($CW558/$CS558,"")</f>
        <v/>
      </c>
      <c r="CY558" t="str">
        <f>IFERROR($CW558/$CS558,"")</f>
        <v/>
      </c>
      <c r="CZ558" t="str">
        <f>IFERROR($CW558/$CT558,"")</f>
        <v/>
      </c>
      <c r="DA558" s="2">
        <f>IFERROR((CV558-CU558)/ABS(CU558),"")</f>
        <v>-0.38410596026490068</v>
      </c>
      <c r="DB558" s="1" t="s">
        <v>263</v>
      </c>
      <c r="DC558" t="str">
        <f>IF(OR($DB558="prd",$DB558="std",$DB558="cit"),"loc",IF(OR($DB558="eur",$DB558="reg",$DB558="coy"),"reg",$DB558))</f>
        <v>loc</v>
      </c>
      <c r="DD558" t="s">
        <v>444</v>
      </c>
      <c r="DG558">
        <v>300</v>
      </c>
      <c r="DH558" t="str">
        <f>IF(DG558=0,"0",IF(AND(DG558&gt;=1,DG558&lt;=30),"1-30",IF(AND(DG558&gt;30,DG558&lt;=70),"31-70",IF(AND(DG558&gt;70,DG558&lt;=100),"71-100",IF(DG558&gt;100,"+100")))))</f>
        <v>+100</v>
      </c>
      <c r="DI558">
        <v>0</v>
      </c>
      <c r="DJ558">
        <v>1</v>
      </c>
      <c r="DK558">
        <v>0</v>
      </c>
      <c r="DL558">
        <v>1</v>
      </c>
      <c r="DN558">
        <f>SUM(DI558:DL558)</f>
        <v>2</v>
      </c>
      <c r="DO558" t="str">
        <f>IF(DN558=1,INDEX($DI$7:$DL$7,MATCH(1,$DI558:$DL558,0)),"mixedProduct")</f>
        <v>mixedProduct</v>
      </c>
      <c r="DP558">
        <f>IF(DI558=1,DP$7,0)</f>
        <v>0</v>
      </c>
      <c r="DQ558" t="str">
        <f>IF(DJ558=1,DQ$7,0)</f>
        <v>Energy</v>
      </c>
      <c r="DR558">
        <f>IF(DK558=1,DR$7,0)</f>
        <v>0</v>
      </c>
      <c r="DS558" t="str">
        <f>IF(DL558=1,DS$7,0)</f>
        <v>Timber</v>
      </c>
      <c r="DT558">
        <v>1</v>
      </c>
      <c r="DU558" s="143">
        <v>0</v>
      </c>
      <c r="DV558" s="143">
        <v>0</v>
      </c>
      <c r="DW558" s="143">
        <v>0</v>
      </c>
      <c r="DX558">
        <v>0</v>
      </c>
      <c r="DY558">
        <f>SUM(DT558:DU558)</f>
        <v>1</v>
      </c>
      <c r="DZ558" s="143" t="str">
        <f>IF(DT558=1,"self-calculated DF",IF(DU558=1,"external DF used","explicit C balance"))</f>
        <v>self-calculated DF</v>
      </c>
      <c r="EA558">
        <v>0</v>
      </c>
      <c r="EB558" s="143">
        <v>0</v>
      </c>
      <c r="EC558" s="143">
        <v>1</v>
      </c>
      <c r="ED558" s="143">
        <v>1</v>
      </c>
      <c r="EE558">
        <v>1</v>
      </c>
      <c r="EF558" s="143">
        <v>1</v>
      </c>
      <c r="EG558">
        <v>0</v>
      </c>
      <c r="EH558" s="143">
        <v>1</v>
      </c>
      <c r="EI558" s="143">
        <v>0</v>
      </c>
      <c r="EJ558">
        <v>0</v>
      </c>
      <c r="EK558">
        <v>0</v>
      </c>
      <c r="EL558" s="143">
        <v>0</v>
      </c>
      <c r="EM558" s="143">
        <v>0</v>
      </c>
      <c r="EN558" s="2">
        <v>0</v>
      </c>
      <c r="EP558" t="str">
        <f>IF(AND(AND(AND(OR($EC558=1,$EB558=1),OR($EH558=1,$EF558=1)),SUM($EA558:$EE558,$EK558)&gt;=3),SUM($EF558:$EJ558)&gt;=2),"Whole sector approach","")</f>
        <v>Whole sector approach</v>
      </c>
      <c r="EQ558" t="str">
        <f>IF(AND(AND(OR($EC558=1,$EB558=1),AND($EH558=0,$EF558=0)),SUM($EA558:$EE558,$EK558)&gt;=4),"Ecosystem approach","")</f>
        <v/>
      </c>
      <c r="ER558" s="2" t="str">
        <f>IF(AND(AND(AND($EC558=0,$EB558=0),OR($EH558=1,$EF558=1)),SUM($EG558:$EJ558)&gt;=2),"Technology approach","")</f>
        <v/>
      </c>
      <c r="ES558" t="str">
        <f>IF(AND($EC558+$EB558+$EE558+$EA558+$ED558+$EG558=0,$N558="included"),"C neutral forest and HWP assumption","")</f>
        <v/>
      </c>
      <c r="ET558" t="str">
        <f>IF(AND(AND(AND(AND($EC558=1,$EB558+$EA558+$EG558&gt;=1),$EF558=1),$EH558+$EI558+$ED558+$EE558&gt;=2),$N558="included"),"All C pools assumption","")</f>
        <v/>
      </c>
      <c r="EU558" t="str">
        <f>IF(AND($ED558+$EE558+$EI558+$EH558+$EF558=0,$N558="included"),"In-situ only assumption","")</f>
        <v/>
      </c>
      <c r="EY558" t="b">
        <f>IF(ISNUMBER(BW558),IF(ABS(BW558-[6]QC_indicators!$B$2)&gt;3*[6]QC_indicators!$C$2,"C ratio",IF(ISNUMBER(CA558),IF(ABS(CA558-[6]QC_indicators!$B$1)&gt;3*[6]QC_indicators!$C$1,"DF","no"))),IF(ISNUMBER(CA558),IF(ABS(CA558-[6]QC_indicators!$B$1)&gt;3*[6]QC_indicators!$C$1,"DF","no")))</f>
        <v>0</v>
      </c>
      <c r="FA558" t="str">
        <f>IF(LEN($CY558)=0,"",IF(AND($CY558&lt;(-0.05),$ES558="C neutral forest and HWP assumption"),"Cneutral paradox",IF(AND($CY558&gt;0.05,$EU558="In-situ only assumption"),"In-situ only paradox","")))</f>
        <v/>
      </c>
      <c r="FD558" s="260" t="s">
        <v>2948</v>
      </c>
    </row>
    <row r="559" spans="1:160" ht="14" hidden="1" customHeight="1">
      <c r="A559" s="1" t="s">
        <v>430</v>
      </c>
      <c r="B559" t="s">
        <v>431</v>
      </c>
      <c r="C559" t="s">
        <v>432</v>
      </c>
      <c r="D559" t="s">
        <v>433</v>
      </c>
      <c r="E559" t="s">
        <v>434</v>
      </c>
      <c r="F559" t="s">
        <v>435</v>
      </c>
      <c r="G559" t="s">
        <v>436</v>
      </c>
      <c r="H559" t="s">
        <v>254</v>
      </c>
      <c r="I559">
        <v>2000</v>
      </c>
      <c r="J559">
        <v>174</v>
      </c>
      <c r="K559" t="s">
        <v>437</v>
      </c>
      <c r="M559" t="str">
        <f>LEFT($D559,FIND(",",$D559)-1)&amp;"_"&amp;I559&amp;L559</f>
        <v>Borjesson_2000</v>
      </c>
      <c r="N559" t="s">
        <v>222</v>
      </c>
      <c r="O559" s="145" t="s">
        <v>223</v>
      </c>
      <c r="Q559" t="s">
        <v>256</v>
      </c>
      <c r="R559" s="251" t="s">
        <v>225</v>
      </c>
      <c r="S559" s="1" t="s">
        <v>458</v>
      </c>
      <c r="T559" t="s">
        <v>462</v>
      </c>
      <c r="U559" t="s">
        <v>460</v>
      </c>
      <c r="V559" s="253">
        <v>0</v>
      </c>
      <c r="W559" s="253">
        <v>0</v>
      </c>
      <c r="X559">
        <v>0</v>
      </c>
      <c r="Y559">
        <v>0</v>
      </c>
      <c r="Z559">
        <v>0</v>
      </c>
      <c r="AA559">
        <v>0</v>
      </c>
      <c r="AB559">
        <v>0</v>
      </c>
      <c r="AC559">
        <v>0</v>
      </c>
      <c r="AD559">
        <v>0</v>
      </c>
      <c r="AE559">
        <v>0</v>
      </c>
      <c r="AF559">
        <v>0</v>
      </c>
      <c r="AG559">
        <v>0</v>
      </c>
      <c r="AH559">
        <v>0</v>
      </c>
      <c r="AI559">
        <v>0</v>
      </c>
      <c r="AJ559">
        <v>0</v>
      </c>
      <c r="AK559">
        <v>1</v>
      </c>
      <c r="AL559">
        <v>0</v>
      </c>
      <c r="AM559">
        <v>0</v>
      </c>
      <c r="AN559">
        <v>0</v>
      </c>
      <c r="AO559">
        <v>0</v>
      </c>
      <c r="AP559">
        <v>0</v>
      </c>
      <c r="AQ559">
        <v>0</v>
      </c>
      <c r="AR559">
        <v>0</v>
      </c>
      <c r="AS559">
        <v>0</v>
      </c>
      <c r="AT559">
        <v>0</v>
      </c>
      <c r="AU559">
        <v>0</v>
      </c>
      <c r="AV559">
        <v>0</v>
      </c>
      <c r="AW559">
        <v>0</v>
      </c>
      <c r="AX559">
        <v>0</v>
      </c>
      <c r="AY559">
        <v>0</v>
      </c>
      <c r="AZ559" s="141">
        <f>COUNTIF(X559:AY559,"&lt;&gt;0")</f>
        <v>1</v>
      </c>
      <c r="BA559" s="141">
        <f>COUNTIF(X559:AN559,"&lt;&gt;0")</f>
        <v>1</v>
      </c>
      <c r="BB559">
        <f>COUNTIF(X559:AE559,"&lt;&gt;0")</f>
        <v>0</v>
      </c>
      <c r="BC559">
        <f>COUNTIF(AF559:AK559,"&lt;&gt;0")</f>
        <v>1</v>
      </c>
      <c r="BD559">
        <f>COUNTIF(AL559:AN559,"&lt;&gt;0")</f>
        <v>0</v>
      </c>
      <c r="BE559">
        <f>COUNTIF(AU559:AY559,"&lt;&gt;0")</f>
        <v>0</v>
      </c>
      <c r="BF559">
        <f>COUNTIF(AO559:AT559,"&lt;&gt;0")</f>
        <v>0</v>
      </c>
      <c r="BG559" t="str">
        <f t="array" ref="BG559">IF(BA559=1,INDEX($X$7:$AN$7,MATCH(TRUE,INDEX($X559:$AY559&lt;&gt;0,),0)),IF(BA559=0,INDEX($AO$7:$AY$7,MATCH(1,$AO559:$AY559,0)),IF(BH559="Multiple strategies","mixed drivers",IF(BH559="Supply chain","multiple supply","multiple silviculture"))))</f>
        <v>products lifespan</v>
      </c>
      <c r="BH559" s="2" t="str" cm="1">
        <f t="array" ref="BH559">IF(COUNTIF(BB559:BD559,"&lt;&gt;0")=1,INDEX($X$4:$AY$4,MATCH(TRUE,INDEX($X559:$AY559&lt;&gt;0,),0)),IF(COUNTIF(BB559:BD559,"&lt;&gt;0")=0,INDEX($AO$4:$AY$4,MATCH(1,$AO559:$AY559,0)),"Multiple strategies"))</f>
        <v>Supply chain</v>
      </c>
      <c r="BI559" s="142" t="s">
        <v>229</v>
      </c>
      <c r="BJ559" t="s">
        <v>441</v>
      </c>
      <c r="BK559" s="260" t="s">
        <v>2949</v>
      </c>
      <c r="BL559" s="143" t="s">
        <v>442</v>
      </c>
      <c r="BM559">
        <v>44</v>
      </c>
      <c r="BN559">
        <v>44</v>
      </c>
      <c r="BO559" s="143">
        <f>BN559/BM559</f>
        <v>1</v>
      </c>
      <c r="BP559">
        <f>BN559-BM559</f>
        <v>0</v>
      </c>
      <c r="BQ559">
        <f>BP559*tC_to_m3</f>
        <v>0</v>
      </c>
      <c r="BR559" t="s">
        <v>232</v>
      </c>
      <c r="BS559" s="256" t="s">
        <v>793</v>
      </c>
      <c r="BT559" t="s">
        <v>443</v>
      </c>
      <c r="BU559" s="141">
        <v>126</v>
      </c>
      <c r="BV559" s="141">
        <v>84</v>
      </c>
      <c r="BW559" s="144">
        <f>IFERROR(BV559/BU559,"")</f>
        <v>0.66666666666666663</v>
      </c>
      <c r="BX559">
        <f>BV559-BU559</f>
        <v>-42</v>
      </c>
      <c r="BZ559">
        <f>BX559*C_to_CO2</f>
        <v>-154.13999999999999</v>
      </c>
      <c r="CA559" t="str">
        <f>IFERROR(BZ559/BQ559,"")</f>
        <v/>
      </c>
      <c r="CB559" s="143">
        <v>0</v>
      </c>
      <c r="CC559" s="143">
        <v>0</v>
      </c>
      <c r="CD559" s="143">
        <v>0</v>
      </c>
      <c r="CE559" s="143">
        <v>0</v>
      </c>
      <c r="CF559" s="143">
        <v>0</v>
      </c>
      <c r="CG559" s="143">
        <v>0</v>
      </c>
      <c r="CH559" s="143">
        <v>0</v>
      </c>
      <c r="CI559" s="143">
        <v>0</v>
      </c>
      <c r="CJ559" s="143">
        <v>0</v>
      </c>
      <c r="CK559" s="143">
        <v>0</v>
      </c>
      <c r="CL559" s="143">
        <v>0</v>
      </c>
      <c r="CM559" s="143">
        <v>0</v>
      </c>
      <c r="CN559" s="143">
        <v>0</v>
      </c>
      <c r="CO559">
        <v>0</v>
      </c>
      <c r="CP559" t="str">
        <f>IF($BN559&lt;$BM559,"refNeedCorrection","refOK")</f>
        <v>refOK</v>
      </c>
      <c r="CQ559">
        <f>IF($CP559="refOK",$BM559,$BN559)</f>
        <v>44</v>
      </c>
      <c r="CR559">
        <f>IF($CP559="refOK",$BN559,$BM559)</f>
        <v>44</v>
      </c>
      <c r="CS559">
        <f>IF($CP559="refOK",$BQ559,-$BQ559)</f>
        <v>0</v>
      </c>
      <c r="CT559">
        <f>IF(BI559="Roundwood",$CS559/2,$CS559)</f>
        <v>0</v>
      </c>
      <c r="CU559">
        <f>IF($CP559="refOK",$BU559,$BV559)*IF($BR559="Emissions positive",-1,1)</f>
        <v>126</v>
      </c>
      <c r="CV559">
        <f>IF($CP559="refOK",$BV559,$BU559)*IF($BR559="Emissions positive",-1,1)</f>
        <v>84</v>
      </c>
      <c r="CW559">
        <f>IF($CP559="refNeedCorrection",-BZ559,BZ559)*IF($BR559="Emissions positive",-1,1)</f>
        <v>-154.13999999999999</v>
      </c>
      <c r="CX559" t="str">
        <f>IFERROR($CW559/$CS559,"")</f>
        <v/>
      </c>
      <c r="CY559" t="str">
        <f>IFERROR($CW559/$CS559,"")</f>
        <v/>
      </c>
      <c r="CZ559" t="str">
        <f>IFERROR($CW559/$CT559,"")</f>
        <v/>
      </c>
      <c r="DA559" s="2">
        <f>IFERROR((CV559-CU559)/ABS(CU559),"")</f>
        <v>-0.33333333333333331</v>
      </c>
      <c r="DB559" s="1" t="s">
        <v>263</v>
      </c>
      <c r="DC559" t="str">
        <f>IF(OR($DB559="prd",$DB559="std",$DB559="cit"),"loc",IF(OR($DB559="eur",$DB559="reg",$DB559="coy"),"reg",$DB559))</f>
        <v>loc</v>
      </c>
      <c r="DD559" t="s">
        <v>444</v>
      </c>
      <c r="DG559">
        <v>300</v>
      </c>
      <c r="DH559" t="str">
        <f>IF(DG559=0,"0",IF(AND(DG559&gt;=1,DG559&lt;=30),"1-30",IF(AND(DG559&gt;30,DG559&lt;=70),"31-70",IF(AND(DG559&gt;70,DG559&lt;=100),"71-100",IF(DG559&gt;100,"+100")))))</f>
        <v>+100</v>
      </c>
      <c r="DI559">
        <v>0</v>
      </c>
      <c r="DJ559">
        <v>1</v>
      </c>
      <c r="DK559">
        <v>0</v>
      </c>
      <c r="DL559">
        <v>1</v>
      </c>
      <c r="DN559">
        <f>SUM(DI559:DL559)</f>
        <v>2</v>
      </c>
      <c r="DO559" t="str">
        <f>IF(DN559=1,INDEX($DI$7:$DL$7,MATCH(1,$DI559:$DL559,0)),"mixedProduct")</f>
        <v>mixedProduct</v>
      </c>
      <c r="DP559">
        <f>IF(DI559=1,DP$7,0)</f>
        <v>0</v>
      </c>
      <c r="DQ559" t="str">
        <f>IF(DJ559=1,DQ$7,0)</f>
        <v>Energy</v>
      </c>
      <c r="DR559">
        <f>IF(DK559=1,DR$7,0)</f>
        <v>0</v>
      </c>
      <c r="DS559" t="str">
        <f>IF(DL559=1,DS$7,0)</f>
        <v>Timber</v>
      </c>
      <c r="DT559">
        <v>1</v>
      </c>
      <c r="DU559" s="143">
        <v>0</v>
      </c>
      <c r="DV559" s="143">
        <v>0</v>
      </c>
      <c r="DW559" s="143">
        <v>0</v>
      </c>
      <c r="DX559">
        <v>0</v>
      </c>
      <c r="DY559">
        <f>SUM(DT559:DU559)</f>
        <v>1</v>
      </c>
      <c r="DZ559" s="143" t="str">
        <f>IF(DT559=1,"self-calculated DF",IF(DU559=1,"external DF used","explicit C balance"))</f>
        <v>self-calculated DF</v>
      </c>
      <c r="EA559">
        <v>0</v>
      </c>
      <c r="EB559" s="143">
        <v>0</v>
      </c>
      <c r="EC559" s="143">
        <v>1</v>
      </c>
      <c r="ED559" s="143">
        <v>1</v>
      </c>
      <c r="EE559">
        <v>1</v>
      </c>
      <c r="EF559" s="143">
        <v>1</v>
      </c>
      <c r="EG559">
        <v>0</v>
      </c>
      <c r="EH559" s="143">
        <v>1</v>
      </c>
      <c r="EI559" s="143">
        <v>0</v>
      </c>
      <c r="EJ559">
        <v>0</v>
      </c>
      <c r="EK559">
        <v>0</v>
      </c>
      <c r="EL559" s="143">
        <v>0</v>
      </c>
      <c r="EM559" s="143">
        <v>0</v>
      </c>
      <c r="EN559" s="2">
        <v>0</v>
      </c>
      <c r="EP559" t="str">
        <f>IF(AND(AND(AND(OR($EC559=1,$EB559=1),OR($EH559=1,$EF559=1)),SUM($EA559:$EE559,$EK559)&gt;=3),SUM($EF559:$EJ559)&gt;=2),"Whole sector approach","")</f>
        <v>Whole sector approach</v>
      </c>
      <c r="EQ559" t="str">
        <f>IF(AND(AND(OR($EC559=1,$EB559=1),AND($EH559=0,$EF559=0)),SUM($EA559:$EE559,$EK559)&gt;=4),"Ecosystem approach","")</f>
        <v/>
      </c>
      <c r="ER559" s="2" t="str">
        <f>IF(AND(AND(AND($EC559=0,$EB559=0),OR($EH559=1,$EF559=1)),SUM($EG559:$EJ559)&gt;=2),"Technology approach","")</f>
        <v/>
      </c>
      <c r="ES559" t="str">
        <f>IF(AND($EC559+$EB559+$EE559+$EA559+$ED559+$EG559=0,$N559="included"),"C neutral forest and HWP assumption","")</f>
        <v/>
      </c>
      <c r="ET559" t="str">
        <f>IF(AND(AND(AND(AND($EC559=1,$EB559+$EA559+$EG559&gt;=1),$EF559=1),$EH559+$EI559+$ED559+$EE559&gt;=2),$N559="included"),"All C pools assumption","")</f>
        <v/>
      </c>
      <c r="EU559" t="str">
        <f>IF(AND($ED559+$EE559+$EI559+$EH559+$EF559=0,$N559="included"),"In-situ only assumption","")</f>
        <v/>
      </c>
      <c r="EY559" t="b">
        <f>IF(ISNUMBER(BW559),IF(ABS(BW559-[6]QC_indicators!$B$2)&gt;3*[6]QC_indicators!$C$2,"C ratio",IF(ISNUMBER(CA559),IF(ABS(CA559-[6]QC_indicators!$B$1)&gt;3*[6]QC_indicators!$C$1,"DF","no"))),IF(ISNUMBER(CA559),IF(ABS(CA559-[6]QC_indicators!$B$1)&gt;3*[6]QC_indicators!$C$1,"DF","no")))</f>
        <v>0</v>
      </c>
      <c r="FA559" t="str">
        <f>IF(LEN($CY559)=0,"",IF(AND($CY559&lt;(-0.05),$ES559="C neutral forest and HWP assumption"),"Cneutral paradox",IF(AND($CY559&gt;0.05,$EU559="In-situ only assumption"),"In-situ only paradox","")))</f>
        <v/>
      </c>
      <c r="FD559" s="260" t="s">
        <v>2948</v>
      </c>
    </row>
    <row r="560" spans="1:160" ht="15" hidden="1" customHeight="1">
      <c r="A560" s="1" t="s">
        <v>430</v>
      </c>
      <c r="B560" t="s">
        <v>431</v>
      </c>
      <c r="C560" t="s">
        <v>432</v>
      </c>
      <c r="D560" t="s">
        <v>433</v>
      </c>
      <c r="E560" t="s">
        <v>434</v>
      </c>
      <c r="F560" t="s">
        <v>435</v>
      </c>
      <c r="G560" t="s">
        <v>436</v>
      </c>
      <c r="H560" t="s">
        <v>254</v>
      </c>
      <c r="I560">
        <v>2000</v>
      </c>
      <c r="J560">
        <v>174</v>
      </c>
      <c r="K560" t="s">
        <v>437</v>
      </c>
      <c r="M560" t="str">
        <f>LEFT($D560,FIND(",",$D560)-1)&amp;"_"&amp;I560&amp;L560</f>
        <v>Borjesson_2000</v>
      </c>
      <c r="N560" t="s">
        <v>222</v>
      </c>
      <c r="O560" s="145" t="s">
        <v>223</v>
      </c>
      <c r="Q560" t="s">
        <v>256</v>
      </c>
      <c r="R560" s="251" t="s">
        <v>225</v>
      </c>
      <c r="S560" s="1" t="s">
        <v>458</v>
      </c>
      <c r="T560" t="s">
        <v>461</v>
      </c>
      <c r="U560" t="s">
        <v>460</v>
      </c>
      <c r="V560" s="253">
        <v>0</v>
      </c>
      <c r="W560" s="253">
        <v>0</v>
      </c>
      <c r="X560">
        <v>0</v>
      </c>
      <c r="Y560">
        <v>0</v>
      </c>
      <c r="Z560">
        <v>0</v>
      </c>
      <c r="AA560">
        <v>0</v>
      </c>
      <c r="AB560">
        <v>0</v>
      </c>
      <c r="AC560">
        <v>0</v>
      </c>
      <c r="AD560">
        <v>0</v>
      </c>
      <c r="AE560">
        <v>0</v>
      </c>
      <c r="AF560">
        <v>0</v>
      </c>
      <c r="AG560">
        <v>0</v>
      </c>
      <c r="AH560">
        <v>0</v>
      </c>
      <c r="AI560">
        <v>0</v>
      </c>
      <c r="AJ560">
        <v>0</v>
      </c>
      <c r="AK560">
        <v>1</v>
      </c>
      <c r="AL560">
        <v>0</v>
      </c>
      <c r="AM560">
        <v>0</v>
      </c>
      <c r="AN560">
        <v>0</v>
      </c>
      <c r="AO560">
        <v>0</v>
      </c>
      <c r="AP560">
        <v>0</v>
      </c>
      <c r="AQ560">
        <v>0</v>
      </c>
      <c r="AR560">
        <v>0</v>
      </c>
      <c r="AS560">
        <v>0</v>
      </c>
      <c r="AT560">
        <v>0</v>
      </c>
      <c r="AU560">
        <v>0</v>
      </c>
      <c r="AV560">
        <v>0</v>
      </c>
      <c r="AW560">
        <v>0</v>
      </c>
      <c r="AX560">
        <v>0</v>
      </c>
      <c r="AY560">
        <v>0</v>
      </c>
      <c r="AZ560" s="141">
        <f>COUNTIF(X560:AY560,"&lt;&gt;0")</f>
        <v>1</v>
      </c>
      <c r="BA560" s="141">
        <f>COUNTIF(X560:AN560,"&lt;&gt;0")</f>
        <v>1</v>
      </c>
      <c r="BB560">
        <f>COUNTIF(X560:AE560,"&lt;&gt;0")</f>
        <v>0</v>
      </c>
      <c r="BC560">
        <f>COUNTIF(AF560:AK560,"&lt;&gt;0")</f>
        <v>1</v>
      </c>
      <c r="BD560">
        <f>COUNTIF(AL560:AN560,"&lt;&gt;0")</f>
        <v>0</v>
      </c>
      <c r="BE560">
        <f>COUNTIF(AU560:AY560,"&lt;&gt;0")</f>
        <v>0</v>
      </c>
      <c r="BF560">
        <f>COUNTIF(AO560:AT560,"&lt;&gt;0")</f>
        <v>0</v>
      </c>
      <c r="BG560" t="str">
        <f t="array" ref="BG560">IF(BA560=1,INDEX($X$7:$AN$7,MATCH(TRUE,INDEX($X560:$AY560&lt;&gt;0,),0)),IF(BA560=0,INDEX($AO$7:$AY$7,MATCH(1,$AO560:$AY560,0)),IF(BH560="Multiple strategies","mixed drivers",IF(BH560="Supply chain","multiple supply","multiple silviculture"))))</f>
        <v>products lifespan</v>
      </c>
      <c r="BH560" s="2" t="str" cm="1">
        <f t="array" ref="BH560">IF(COUNTIF(BB560:BD560,"&lt;&gt;0")=1,INDEX($X$4:$AY$4,MATCH(TRUE,INDEX($X560:$AY560&lt;&gt;0,),0)),IF(COUNTIF(BB560:BD560,"&lt;&gt;0")=0,INDEX($AO$4:$AY$4,MATCH(1,$AO560:$AY560,0)),"Multiple strategies"))</f>
        <v>Supply chain</v>
      </c>
      <c r="BI560" s="142" t="s">
        <v>229</v>
      </c>
      <c r="BJ560" t="s">
        <v>441</v>
      </c>
      <c r="BK560" s="260" t="s">
        <v>2949</v>
      </c>
      <c r="BL560" s="143" t="s">
        <v>442</v>
      </c>
      <c r="BM560">
        <v>44</v>
      </c>
      <c r="BN560">
        <v>44</v>
      </c>
      <c r="BO560" s="143">
        <f>BN560/BM560</f>
        <v>1</v>
      </c>
      <c r="BP560">
        <f>BN560-BM560</f>
        <v>0</v>
      </c>
      <c r="BQ560">
        <f>BP560*tC_to_m3</f>
        <v>0</v>
      </c>
      <c r="BR560" t="s">
        <v>232</v>
      </c>
      <c r="BS560" s="256" t="s">
        <v>793</v>
      </c>
      <c r="BT560" t="s">
        <v>443</v>
      </c>
      <c r="BU560" s="141">
        <v>57</v>
      </c>
      <c r="BV560" s="141">
        <v>53</v>
      </c>
      <c r="BW560" s="144">
        <f>IFERROR(BV560/BU560,"")</f>
        <v>0.92982456140350878</v>
      </c>
      <c r="BX560">
        <f>BV560-BU560</f>
        <v>-4</v>
      </c>
      <c r="BZ560">
        <f>BX560*C_to_CO2</f>
        <v>-14.68</v>
      </c>
      <c r="CA560" t="str">
        <f>IFERROR(BZ560/BQ560,"")</f>
        <v/>
      </c>
      <c r="CB560" s="143">
        <v>0</v>
      </c>
      <c r="CC560" s="143">
        <v>0</v>
      </c>
      <c r="CD560" s="143">
        <v>0</v>
      </c>
      <c r="CE560" s="143">
        <v>0</v>
      </c>
      <c r="CF560" s="143">
        <v>0</v>
      </c>
      <c r="CG560" s="143">
        <v>0</v>
      </c>
      <c r="CH560" s="143">
        <v>0</v>
      </c>
      <c r="CI560" s="143">
        <v>0</v>
      </c>
      <c r="CJ560" s="143">
        <v>0</v>
      </c>
      <c r="CK560" s="143">
        <v>0</v>
      </c>
      <c r="CL560" s="143">
        <v>0</v>
      </c>
      <c r="CM560" s="143">
        <v>0</v>
      </c>
      <c r="CN560" s="143">
        <v>0</v>
      </c>
      <c r="CO560">
        <v>0</v>
      </c>
      <c r="CP560" t="str">
        <f>IF($BN560&lt;$BM560,"refNeedCorrection","refOK")</f>
        <v>refOK</v>
      </c>
      <c r="CQ560">
        <f>IF($CP560="refOK",$BM560,$BN560)</f>
        <v>44</v>
      </c>
      <c r="CR560">
        <f>IF($CP560="refOK",$BN560,$BM560)</f>
        <v>44</v>
      </c>
      <c r="CS560">
        <f>IF($CP560="refOK",$BQ560,-$BQ560)</f>
        <v>0</v>
      </c>
      <c r="CT560">
        <f>IF(BI560="Roundwood",$CS560/2,$CS560)</f>
        <v>0</v>
      </c>
      <c r="CU560">
        <f>IF($CP560="refOK",$BU560,$BV560)*IF($BR560="Emissions positive",-1,1)</f>
        <v>57</v>
      </c>
      <c r="CV560">
        <f>IF($CP560="refOK",$BV560,$BU560)*IF($BR560="Emissions positive",-1,1)</f>
        <v>53</v>
      </c>
      <c r="CW560">
        <f>IF($CP560="refNeedCorrection",-BZ560,BZ560)*IF($BR560="Emissions positive",-1,1)</f>
        <v>-14.68</v>
      </c>
      <c r="CX560" t="str">
        <f>IFERROR($CW560/$CS560,"")</f>
        <v/>
      </c>
      <c r="CY560" t="str">
        <f>IFERROR($CW560/$CS560,"")</f>
        <v/>
      </c>
      <c r="CZ560" t="str">
        <f>IFERROR($CW560/$CT560,"")</f>
        <v/>
      </c>
      <c r="DA560" s="2">
        <f>IFERROR((CV560-CU560)/ABS(CU560),"")</f>
        <v>-7.0175438596491224E-2</v>
      </c>
      <c r="DB560" s="1" t="s">
        <v>263</v>
      </c>
      <c r="DC560" t="str">
        <f>IF(OR($DB560="prd",$DB560="std",$DB560="cit"),"loc",IF(OR($DB560="eur",$DB560="reg",$DB560="coy"),"reg",$DB560))</f>
        <v>loc</v>
      </c>
      <c r="DD560" t="s">
        <v>444</v>
      </c>
      <c r="DG560">
        <v>300</v>
      </c>
      <c r="DH560" t="str">
        <f>IF(DG560=0,"0",IF(AND(DG560&gt;=1,DG560&lt;=30),"1-30",IF(AND(DG560&gt;30,DG560&lt;=70),"31-70",IF(AND(DG560&gt;70,DG560&lt;=100),"71-100",IF(DG560&gt;100,"+100")))))</f>
        <v>+100</v>
      </c>
      <c r="DI560">
        <v>0</v>
      </c>
      <c r="DJ560">
        <v>1</v>
      </c>
      <c r="DK560">
        <v>0</v>
      </c>
      <c r="DL560">
        <v>1</v>
      </c>
      <c r="DN560">
        <f>SUM(DI560:DL560)</f>
        <v>2</v>
      </c>
      <c r="DO560" t="str">
        <f>IF(DN560=1,INDEX($DI$7:$DL$7,MATCH(1,$DI560:$DL560,0)),"mixedProduct")</f>
        <v>mixedProduct</v>
      </c>
      <c r="DP560">
        <f>IF(DI560=1,DP$7,0)</f>
        <v>0</v>
      </c>
      <c r="DQ560" t="str">
        <f>IF(DJ560=1,DQ$7,0)</f>
        <v>Energy</v>
      </c>
      <c r="DR560">
        <f>IF(DK560=1,DR$7,0)</f>
        <v>0</v>
      </c>
      <c r="DS560" t="str">
        <f>IF(DL560=1,DS$7,0)</f>
        <v>Timber</v>
      </c>
      <c r="DT560">
        <v>1</v>
      </c>
      <c r="DU560" s="143">
        <v>0</v>
      </c>
      <c r="DV560" s="143">
        <v>0</v>
      </c>
      <c r="DW560" s="143">
        <v>0</v>
      </c>
      <c r="DX560">
        <v>0</v>
      </c>
      <c r="DY560">
        <f>SUM(DT560:DU560)</f>
        <v>1</v>
      </c>
      <c r="DZ560" s="143" t="str">
        <f>IF(DT560=1,"self-calculated DF",IF(DU560=1,"external DF used","explicit C balance"))</f>
        <v>self-calculated DF</v>
      </c>
      <c r="EA560">
        <v>0</v>
      </c>
      <c r="EB560" s="143">
        <v>0</v>
      </c>
      <c r="EC560" s="143">
        <v>1</v>
      </c>
      <c r="ED560" s="143">
        <v>1</v>
      </c>
      <c r="EE560">
        <v>1</v>
      </c>
      <c r="EF560" s="143">
        <v>1</v>
      </c>
      <c r="EG560">
        <v>0</v>
      </c>
      <c r="EH560" s="143">
        <v>1</v>
      </c>
      <c r="EI560" s="143">
        <v>0</v>
      </c>
      <c r="EJ560">
        <v>0</v>
      </c>
      <c r="EK560">
        <v>0</v>
      </c>
      <c r="EL560" s="143">
        <v>0</v>
      </c>
      <c r="EM560" s="143">
        <v>0</v>
      </c>
      <c r="EN560" s="2">
        <v>0</v>
      </c>
      <c r="EP560" t="str">
        <f>IF(AND(AND(AND(OR($EC560=1,$EB560=1),OR($EH560=1,$EF560=1)),SUM($EA560:$EE560,$EK560)&gt;=3),SUM($EF560:$EJ560)&gt;=2),"Whole sector approach","")</f>
        <v>Whole sector approach</v>
      </c>
      <c r="EQ560" t="str">
        <f>IF(AND(AND(OR($EC560=1,$EB560=1),AND($EH560=0,$EF560=0)),SUM($EA560:$EE560,$EK560)&gt;=4),"Ecosystem approach","")</f>
        <v/>
      </c>
      <c r="ER560" s="2" t="str">
        <f>IF(AND(AND(AND($EC560=0,$EB560=0),OR($EH560=1,$EF560=1)),SUM($EG560:$EJ560)&gt;=2),"Technology approach","")</f>
        <v/>
      </c>
      <c r="ES560" t="str">
        <f>IF(AND($EC560+$EB560+$EE560+$EA560+$ED560+$EG560=0,$N560="included"),"C neutral forest and HWP assumption","")</f>
        <v/>
      </c>
      <c r="ET560" t="str">
        <f>IF(AND(AND(AND(AND($EC560=1,$EB560+$EA560+$EG560&gt;=1),$EF560=1),$EH560+$EI560+$ED560+$EE560&gt;=2),$N560="included"),"All C pools assumption","")</f>
        <v/>
      </c>
      <c r="EU560" t="str">
        <f>IF(AND($ED560+$EE560+$EI560+$EH560+$EF560=0,$N560="included"),"In-situ only assumption","")</f>
        <v/>
      </c>
      <c r="EY560" t="b">
        <f>IF(ISNUMBER(BW560),IF(ABS(BW560-[6]QC_indicators!$B$2)&gt;3*[6]QC_indicators!$C$2,"C ratio",IF(ISNUMBER(CA560),IF(ABS(CA560-[6]QC_indicators!$B$1)&gt;3*[6]QC_indicators!$C$1,"DF","no"))),IF(ISNUMBER(CA560),IF(ABS(CA560-[6]QC_indicators!$B$1)&gt;3*[6]QC_indicators!$C$1,"DF","no")))</f>
        <v>0</v>
      </c>
      <c r="FA560" t="str">
        <f>IF(LEN($CY560)=0,"",IF(AND($CY560&lt;(-0.05),$ES560="C neutral forest and HWP assumption"),"Cneutral paradox",IF(AND($CY560&gt;0.05,$EU560="In-situ only assumption"),"In-situ only paradox","")))</f>
        <v/>
      </c>
      <c r="FD560" s="260" t="s">
        <v>2948</v>
      </c>
    </row>
    <row r="561" spans="1:160" ht="15" hidden="1" customHeight="1">
      <c r="A561" s="1" t="s">
        <v>430</v>
      </c>
      <c r="B561" t="s">
        <v>431</v>
      </c>
      <c r="C561" t="s">
        <v>432</v>
      </c>
      <c r="D561" t="s">
        <v>433</v>
      </c>
      <c r="E561" t="s">
        <v>434</v>
      </c>
      <c r="F561" t="s">
        <v>435</v>
      </c>
      <c r="G561" t="s">
        <v>436</v>
      </c>
      <c r="H561" t="s">
        <v>254</v>
      </c>
      <c r="I561">
        <v>2000</v>
      </c>
      <c r="J561">
        <v>174</v>
      </c>
      <c r="K561" t="s">
        <v>437</v>
      </c>
      <c r="M561" t="str">
        <f>LEFT($D561,FIND(",",$D561)-1)&amp;"_"&amp;I561&amp;L561</f>
        <v>Borjesson_2000</v>
      </c>
      <c r="N561" t="s">
        <v>222</v>
      </c>
      <c r="O561" s="145" t="s">
        <v>223</v>
      </c>
      <c r="Q561" t="s">
        <v>256</v>
      </c>
      <c r="R561" s="251" t="s">
        <v>225</v>
      </c>
      <c r="S561" s="1" t="s">
        <v>458</v>
      </c>
      <c r="T561" t="s">
        <v>459</v>
      </c>
      <c r="U561" t="s">
        <v>460</v>
      </c>
      <c r="V561" s="253">
        <v>0</v>
      </c>
      <c r="W561" s="253">
        <v>0</v>
      </c>
      <c r="X561">
        <v>0</v>
      </c>
      <c r="Y561">
        <v>0</v>
      </c>
      <c r="Z561">
        <v>0</v>
      </c>
      <c r="AA561">
        <v>0</v>
      </c>
      <c r="AB561">
        <v>0</v>
      </c>
      <c r="AC561">
        <v>0</v>
      </c>
      <c r="AD561">
        <v>0</v>
      </c>
      <c r="AE561">
        <v>0</v>
      </c>
      <c r="AF561">
        <v>0</v>
      </c>
      <c r="AG561">
        <v>0</v>
      </c>
      <c r="AH561">
        <v>0</v>
      </c>
      <c r="AI561">
        <v>0</v>
      </c>
      <c r="AJ561">
        <v>0</v>
      </c>
      <c r="AK561">
        <v>1</v>
      </c>
      <c r="AL561">
        <v>0</v>
      </c>
      <c r="AM561">
        <v>0</v>
      </c>
      <c r="AN561">
        <v>0</v>
      </c>
      <c r="AO561">
        <v>0</v>
      </c>
      <c r="AP561">
        <v>0</v>
      </c>
      <c r="AQ561">
        <v>0</v>
      </c>
      <c r="AR561">
        <v>0</v>
      </c>
      <c r="AS561">
        <v>0</v>
      </c>
      <c r="AT561">
        <v>0</v>
      </c>
      <c r="AU561">
        <v>0</v>
      </c>
      <c r="AV561">
        <v>0</v>
      </c>
      <c r="AW561">
        <v>0</v>
      </c>
      <c r="AX561">
        <v>0</v>
      </c>
      <c r="AY561">
        <v>0</v>
      </c>
      <c r="AZ561" s="141">
        <f>COUNTIF(X561:AY561,"&lt;&gt;0")</f>
        <v>1</v>
      </c>
      <c r="BA561" s="141">
        <f>COUNTIF(X561:AN561,"&lt;&gt;0")</f>
        <v>1</v>
      </c>
      <c r="BB561">
        <f>COUNTIF(X561:AE561,"&lt;&gt;0")</f>
        <v>0</v>
      </c>
      <c r="BC561">
        <f>COUNTIF(AF561:AK561,"&lt;&gt;0")</f>
        <v>1</v>
      </c>
      <c r="BD561">
        <f>COUNTIF(AL561:AN561,"&lt;&gt;0")</f>
        <v>0</v>
      </c>
      <c r="BE561">
        <f>COUNTIF(AU561:AY561,"&lt;&gt;0")</f>
        <v>0</v>
      </c>
      <c r="BF561">
        <f>COUNTIF(AO561:AT561,"&lt;&gt;0")</f>
        <v>0</v>
      </c>
      <c r="BG561" t="str">
        <f t="array" ref="BG561">IF(BA561=1,INDEX($X$7:$AN$7,MATCH(TRUE,INDEX($X561:$AY561&lt;&gt;0,),0)),IF(BA561=0,INDEX($AO$7:$AY$7,MATCH(1,$AO561:$AY561,0)),IF(BH561="Multiple strategies","mixed drivers",IF(BH561="Supply chain","multiple supply","multiple silviculture"))))</f>
        <v>products lifespan</v>
      </c>
      <c r="BH561" s="2" t="str" cm="1">
        <f t="array" ref="BH561">IF(COUNTIF(BB561:BD561,"&lt;&gt;0")=1,INDEX($X$4:$AY$4,MATCH(TRUE,INDEX($X561:$AY561&lt;&gt;0,),0)),IF(COUNTIF(BB561:BD561,"&lt;&gt;0")=0,INDEX($AO$4:$AY$4,MATCH(1,$AO561:$AY561,0)),"Multiple strategies"))</f>
        <v>Supply chain</v>
      </c>
      <c r="BI561" s="142" t="s">
        <v>229</v>
      </c>
      <c r="BJ561" t="s">
        <v>441</v>
      </c>
      <c r="BK561" s="260" t="s">
        <v>2949</v>
      </c>
      <c r="BL561" s="143" t="s">
        <v>442</v>
      </c>
      <c r="BM561">
        <v>44</v>
      </c>
      <c r="BN561">
        <v>44</v>
      </c>
      <c r="BO561" s="143">
        <f>BN561/BM561</f>
        <v>1</v>
      </c>
      <c r="BP561">
        <f>BN561-BM561</f>
        <v>0</v>
      </c>
      <c r="BQ561">
        <f>BP561*tC_to_m3</f>
        <v>0</v>
      </c>
      <c r="BR561" t="s">
        <v>232</v>
      </c>
      <c r="BS561" s="256" t="s">
        <v>793</v>
      </c>
      <c r="BT561" t="s">
        <v>443</v>
      </c>
      <c r="BU561" s="141">
        <v>0</v>
      </c>
      <c r="BV561" s="141">
        <v>31</v>
      </c>
      <c r="BW561" s="144" t="str">
        <f>IFERROR(BV561/BU561,"")</f>
        <v/>
      </c>
      <c r="BX561">
        <f>BV561-BU561</f>
        <v>31</v>
      </c>
      <c r="BZ561">
        <f>BX561*C_to_CO2</f>
        <v>113.77</v>
      </c>
      <c r="CA561" t="str">
        <f>IFERROR(BZ561/BQ561,"")</f>
        <v/>
      </c>
      <c r="CB561" s="143">
        <v>0</v>
      </c>
      <c r="CC561" s="143">
        <v>0</v>
      </c>
      <c r="CD561" s="143">
        <v>0</v>
      </c>
      <c r="CE561" s="143">
        <v>0</v>
      </c>
      <c r="CF561" s="143">
        <v>0</v>
      </c>
      <c r="CG561" s="143">
        <v>0</v>
      </c>
      <c r="CH561" s="143">
        <v>0</v>
      </c>
      <c r="CI561" s="143">
        <v>0</v>
      </c>
      <c r="CJ561" s="143">
        <v>0</v>
      </c>
      <c r="CK561" s="143">
        <v>0</v>
      </c>
      <c r="CL561" s="143">
        <v>0</v>
      </c>
      <c r="CM561" s="143">
        <v>0</v>
      </c>
      <c r="CN561" s="143">
        <v>0</v>
      </c>
      <c r="CO561">
        <v>0</v>
      </c>
      <c r="CP561" t="str">
        <f>IF(BN561&lt;BM561,"refNeedCorrection","refOK")</f>
        <v>refOK</v>
      </c>
      <c r="CQ561">
        <f>IF($CP561="refOK",$BM561,$BN561)</f>
        <v>44</v>
      </c>
      <c r="CR561">
        <f>IF($CP561="refOK",$BN561,$BM561)</f>
        <v>44</v>
      </c>
      <c r="CS561">
        <f>IF($CP561="refOK",$BQ561,-$BQ561)</f>
        <v>0</v>
      </c>
      <c r="CT561">
        <f>IF(BI561="Roundwood",$CS561/2,$CS561)</f>
        <v>0</v>
      </c>
      <c r="CU561">
        <f>IF($CP561="refOK",$BU561,$BV561)*IF($BR561="Emissions positive",-1,1)</f>
        <v>0</v>
      </c>
      <c r="CV561">
        <f>IF($CP561="refOK",$BV561,$BU561)*IF($BR561="Emissions positive",-1,1)</f>
        <v>31</v>
      </c>
      <c r="CW561">
        <f>IF($CP561="refNeedCorrection",-BZ561,BZ561)*IF($BR561="Emissions positive",-1,1)</f>
        <v>113.77</v>
      </c>
      <c r="CX561" t="str">
        <f>IFERROR($CW561/$CS561,"")</f>
        <v/>
      </c>
      <c r="CY561" t="str">
        <f>IFERROR($CW561/$CS561,"")</f>
        <v/>
      </c>
      <c r="CZ561" t="str">
        <f>IFERROR($CW561/$CT561,"")</f>
        <v/>
      </c>
      <c r="DA561" s="2" t="str">
        <f>IFERROR((CV561-CU561)/ABS(CU561),"")</f>
        <v/>
      </c>
      <c r="DB561" s="1" t="s">
        <v>263</v>
      </c>
      <c r="DC561" t="str">
        <f>IF(OR($DB561="prd",$DB561="std",$DB561="cit"),"loc",IF(OR($DB561="eur",$DB561="reg",$DB561="coy"),"reg",$DB561))</f>
        <v>loc</v>
      </c>
      <c r="DD561" t="s">
        <v>444</v>
      </c>
      <c r="DG561">
        <v>300</v>
      </c>
      <c r="DH561" t="str">
        <f>IF(DG561=0,"0",IF(AND(DG561&gt;=1,DG561&lt;=30),"1-30",IF(AND(DG561&gt;30,DG561&lt;=70),"31-70",IF(AND(DG561&gt;70,DG561&lt;=100),"71-100",IF(DG561&gt;100,"+100")))))</f>
        <v>+100</v>
      </c>
      <c r="DI561">
        <v>0</v>
      </c>
      <c r="DJ561">
        <v>1</v>
      </c>
      <c r="DK561">
        <v>0</v>
      </c>
      <c r="DL561">
        <v>1</v>
      </c>
      <c r="DN561">
        <f>SUM(DI561:DL561)</f>
        <v>2</v>
      </c>
      <c r="DO561" t="str">
        <f>IF(DN561=1,INDEX($DI$7:$DL$7,MATCH(1,$DI561:$DL561,0)),"mixedProduct")</f>
        <v>mixedProduct</v>
      </c>
      <c r="DP561">
        <f>IF(DI561=1,DP$7,0)</f>
        <v>0</v>
      </c>
      <c r="DQ561" t="str">
        <f>IF(DJ561=1,DQ$7,0)</f>
        <v>Energy</v>
      </c>
      <c r="DR561">
        <f>IF(DK561=1,DR$7,0)</f>
        <v>0</v>
      </c>
      <c r="DS561" t="str">
        <f>IF(DL561=1,DS$7,0)</f>
        <v>Timber</v>
      </c>
      <c r="DT561">
        <v>1</v>
      </c>
      <c r="DU561" s="143">
        <v>0</v>
      </c>
      <c r="DV561" s="143">
        <v>0</v>
      </c>
      <c r="DW561" s="143">
        <v>0</v>
      </c>
      <c r="DX561">
        <v>0</v>
      </c>
      <c r="DY561">
        <f>SUM(DT561:DU561)</f>
        <v>1</v>
      </c>
      <c r="DZ561" s="143" t="str">
        <f>IF(DT561=1,"self-calculated DF",IF(DU561=1,"external DF used","explicit C balance"))</f>
        <v>self-calculated DF</v>
      </c>
      <c r="EA561">
        <v>0</v>
      </c>
      <c r="EB561" s="143">
        <v>0</v>
      </c>
      <c r="EC561" s="143">
        <v>1</v>
      </c>
      <c r="ED561" s="143">
        <v>1</v>
      </c>
      <c r="EE561">
        <v>1</v>
      </c>
      <c r="EF561" s="143">
        <v>1</v>
      </c>
      <c r="EG561">
        <v>0</v>
      </c>
      <c r="EH561" s="143">
        <v>1</v>
      </c>
      <c r="EI561" s="143">
        <v>0</v>
      </c>
      <c r="EJ561">
        <v>0</v>
      </c>
      <c r="EK561">
        <v>0</v>
      </c>
      <c r="EL561" s="143">
        <v>0</v>
      </c>
      <c r="EM561" s="143">
        <v>0</v>
      </c>
      <c r="EN561" s="2">
        <v>0</v>
      </c>
      <c r="EP561" t="str">
        <f>IF(AND(AND(AND(OR($EC561=1,$EB561=1),OR($EH561=1,$EF561=1)),SUM($EA561:$EE561,$EK561)&gt;=3),SUM($EF561:$EJ561)&gt;=2),"Whole sector approach","")</f>
        <v>Whole sector approach</v>
      </c>
      <c r="EQ561" t="str">
        <f>IF(AND(AND(OR($EC561=1,$EB561=1),AND($EH561=0,$EF561=0)),SUM($EA561:$EE561,$EK561)&gt;=4),"Ecosystem approach","")</f>
        <v/>
      </c>
      <c r="ER561" s="2" t="str">
        <f>IF(AND(AND(AND($EC561=0,$EB561=0),OR($EH561=1,$EF561=1)),SUM($EG561:$EJ561)&gt;=2),"Technology approach","")</f>
        <v/>
      </c>
      <c r="ES561" t="str">
        <f>IF(AND($EC561+$EB561+$EE561+$EA561+$ED561+$EG561=0,$N561="included"),"C neutral forest and HWP assumption","")</f>
        <v/>
      </c>
      <c r="ET561" t="str">
        <f>IF(AND(AND(AND(AND($EC561=1,$EB561+$EA561+$EG561&gt;=1),$EF561=1),$EH561+$EI561+$ED561+$EE561&gt;=2),$N561="included"),"All C pools assumption","")</f>
        <v/>
      </c>
      <c r="EU561" t="str">
        <f>IF(AND($ED561+$EE561+$EI561+$EH561+$EF561=0,$N561="included"),"In-situ only assumption","")</f>
        <v/>
      </c>
      <c r="EY561" t="b">
        <f>IF(ISNUMBER(BW561),IF(ABS(BW561-[6]QC_indicators!$B$2)&gt;3*[6]QC_indicators!$C$2,"C ratio",IF(ISNUMBER(CA561),IF(ABS(CA561-[6]QC_indicators!$B$1)&gt;3*[6]QC_indicators!$C$1,"DF","no"))),IF(ISNUMBER(CA561),IF(ABS(CA561-[6]QC_indicators!$B$1)&gt;3*[6]QC_indicators!$C$1,"DF","no")))</f>
        <v>0</v>
      </c>
      <c r="FA561" t="str">
        <f>IF(LEN($CY561)=0,"",IF(AND($CY561&lt;(-0.05),$ES561="C neutral forest and HWP assumption"),"Cneutral paradox",IF(AND($CY561&gt;0.05,$EU561="In-situ only assumption"),"In-situ only paradox","")))</f>
        <v/>
      </c>
      <c r="FD561" s="260" t="s">
        <v>2948</v>
      </c>
    </row>
    <row r="562" spans="1:160" ht="15" hidden="1" customHeight="1">
      <c r="A562" s="1" t="s">
        <v>430</v>
      </c>
      <c r="B562" t="s">
        <v>431</v>
      </c>
      <c r="C562" t="s">
        <v>432</v>
      </c>
      <c r="D562" t="s">
        <v>433</v>
      </c>
      <c r="E562" t="s">
        <v>434</v>
      </c>
      <c r="F562" t="s">
        <v>435</v>
      </c>
      <c r="G562" t="s">
        <v>436</v>
      </c>
      <c r="H562" t="s">
        <v>254</v>
      </c>
      <c r="I562">
        <v>2000</v>
      </c>
      <c r="J562">
        <v>174</v>
      </c>
      <c r="K562" t="s">
        <v>437</v>
      </c>
      <c r="M562" t="str">
        <f>LEFT($D562,FIND(",",$D562)-1)&amp;"_"&amp;I562&amp;L562</f>
        <v>Borjesson_2000</v>
      </c>
      <c r="N562" t="s">
        <v>222</v>
      </c>
      <c r="O562" s="145" t="s">
        <v>223</v>
      </c>
      <c r="Q562" t="s">
        <v>256</v>
      </c>
      <c r="R562" s="251" t="s">
        <v>225</v>
      </c>
      <c r="S562" s="1" t="s">
        <v>464</v>
      </c>
      <c r="T562" t="s">
        <v>465</v>
      </c>
      <c r="U562" t="s">
        <v>473</v>
      </c>
      <c r="V562" s="253">
        <v>0</v>
      </c>
      <c r="W562" s="253">
        <v>0</v>
      </c>
      <c r="X562">
        <v>0</v>
      </c>
      <c r="Y562">
        <v>0</v>
      </c>
      <c r="Z562">
        <v>0</v>
      </c>
      <c r="AA562">
        <v>0</v>
      </c>
      <c r="AB562">
        <v>0</v>
      </c>
      <c r="AC562">
        <v>0</v>
      </c>
      <c r="AD562">
        <v>0</v>
      </c>
      <c r="AE562">
        <v>0</v>
      </c>
      <c r="AF562">
        <v>0</v>
      </c>
      <c r="AG562">
        <v>0</v>
      </c>
      <c r="AH562">
        <v>0</v>
      </c>
      <c r="AI562">
        <v>0</v>
      </c>
      <c r="AJ562">
        <v>1</v>
      </c>
      <c r="AK562">
        <v>0</v>
      </c>
      <c r="AL562">
        <v>0</v>
      </c>
      <c r="AM562">
        <v>0</v>
      </c>
      <c r="AN562">
        <v>0</v>
      </c>
      <c r="AO562">
        <v>0</v>
      </c>
      <c r="AP562">
        <v>0</v>
      </c>
      <c r="AQ562">
        <v>0</v>
      </c>
      <c r="AR562">
        <v>0</v>
      </c>
      <c r="AS562">
        <v>0</v>
      </c>
      <c r="AT562">
        <v>0</v>
      </c>
      <c r="AU562">
        <v>0</v>
      </c>
      <c r="AV562">
        <v>0</v>
      </c>
      <c r="AW562">
        <v>0</v>
      </c>
      <c r="AX562">
        <v>0</v>
      </c>
      <c r="AY562">
        <v>0</v>
      </c>
      <c r="AZ562" s="141">
        <f>COUNTIF(X562:AY562,"&lt;&gt;0")</f>
        <v>1</v>
      </c>
      <c r="BA562" s="141">
        <f>COUNTIF(X562:AN562,"&lt;&gt;0")</f>
        <v>1</v>
      </c>
      <c r="BB562">
        <f>COUNTIF(X562:AE562,"&lt;&gt;0")</f>
        <v>0</v>
      </c>
      <c r="BC562">
        <f>COUNTIF(AF562:AK562,"&lt;&gt;0")</f>
        <v>1</v>
      </c>
      <c r="BD562">
        <f>COUNTIF(AL562:AN562,"&lt;&gt;0")</f>
        <v>0</v>
      </c>
      <c r="BE562">
        <f>COUNTIF(AU562:AY562,"&lt;&gt;0")</f>
        <v>0</v>
      </c>
      <c r="BF562">
        <f>COUNTIF(AO562:AT562,"&lt;&gt;0")</f>
        <v>0</v>
      </c>
      <c r="BG562" t="str">
        <f t="array" ref="BG562">IF(BA562=1,INDEX($X$7:$AN$7,MATCH(TRUE,INDEX($X562:$AY562&lt;&gt;0,),0)),IF(BA562=0,INDEX($AO$7:$AY$7,MATCH(1,$AO562:$AY562,0)),IF(BH562="Multiple strategies","mixed drivers",IF(BH562="Supply chain","multiple supply","multiple silviculture"))))</f>
        <v xml:space="preserve">end of life disposal </v>
      </c>
      <c r="BH562" s="2" t="str" cm="1">
        <f t="array" ref="BH562">IF(COUNTIF(BB562:BD562,"&lt;&gt;0")=1,INDEX($X$4:$AY$4,MATCH(TRUE,INDEX($X562:$AY562&lt;&gt;0,),0)),IF(COUNTIF(BB562:BD562,"&lt;&gt;0")=0,INDEX($AO$4:$AY$4,MATCH(1,$AO562:$AY562,0)),"Multiple strategies"))</f>
        <v>Supply chain</v>
      </c>
      <c r="BI562" s="142" t="s">
        <v>229</v>
      </c>
      <c r="BJ562" t="s">
        <v>441</v>
      </c>
      <c r="BK562" s="260" t="s">
        <v>2949</v>
      </c>
      <c r="BL562" s="143" t="s">
        <v>442</v>
      </c>
      <c r="BM562">
        <f>3*44</f>
        <v>132</v>
      </c>
      <c r="BN562">
        <f>3*44</f>
        <v>132</v>
      </c>
      <c r="BO562" s="143">
        <f>BN562/BM562</f>
        <v>1</v>
      </c>
      <c r="BP562">
        <f>BN562-BM562</f>
        <v>0</v>
      </c>
      <c r="BQ562">
        <v>0</v>
      </c>
      <c r="BR562" t="s">
        <v>232</v>
      </c>
      <c r="BS562" s="256" t="s">
        <v>793</v>
      </c>
      <c r="BT562" t="s">
        <v>443</v>
      </c>
      <c r="BU562" s="141">
        <v>47</v>
      </c>
      <c r="BV562" s="141">
        <v>59</v>
      </c>
      <c r="BW562" s="144">
        <f>IFERROR(BV562/BU562,"")</f>
        <v>1.2553191489361701</v>
      </c>
      <c r="BX562">
        <f>BV562-BU562</f>
        <v>12</v>
      </c>
      <c r="BZ562">
        <f>BX562*C_to_CO2</f>
        <v>44.04</v>
      </c>
      <c r="CA562" t="str">
        <f>IFERROR(BZ562/BQ562,"")</f>
        <v/>
      </c>
      <c r="CB562" s="143">
        <v>0</v>
      </c>
      <c r="CC562" s="143">
        <v>0</v>
      </c>
      <c r="CD562" s="143">
        <v>0</v>
      </c>
      <c r="CE562" s="143">
        <v>0</v>
      </c>
      <c r="CF562" s="143">
        <v>0</v>
      </c>
      <c r="CG562" s="143">
        <v>0</v>
      </c>
      <c r="CH562" s="143">
        <v>0</v>
      </c>
      <c r="CI562" s="143">
        <v>0</v>
      </c>
      <c r="CJ562" s="143">
        <v>0</v>
      </c>
      <c r="CK562" s="143">
        <v>0</v>
      </c>
      <c r="CL562" s="143">
        <v>0</v>
      </c>
      <c r="CM562" s="143">
        <v>0</v>
      </c>
      <c r="CN562" s="143">
        <v>0</v>
      </c>
      <c r="CO562">
        <v>0</v>
      </c>
      <c r="CP562" t="str">
        <f>IF($BN562&lt;$BM562,"refNeedCorrection","refOK")</f>
        <v>refOK</v>
      </c>
      <c r="CQ562">
        <f>IF($CP562="refOK",$BM562,$BN562)</f>
        <v>132</v>
      </c>
      <c r="CR562">
        <f>IF($CP562="refOK",$BN562,$BM562)</f>
        <v>132</v>
      </c>
      <c r="CS562">
        <f>IF($CP562="refOK",$BQ562,-$BQ562)</f>
        <v>0</v>
      </c>
      <c r="CT562">
        <f>IF(BI562="Roundwood",$CS562/2,$CS562)</f>
        <v>0</v>
      </c>
      <c r="CU562">
        <f>IF($CP562="refOK",$BU562,$BV562)*IF($BR562="Emissions positive",-1,1)</f>
        <v>47</v>
      </c>
      <c r="CV562">
        <f>IF($CP562="refOK",$BV562,$BU562)*IF($BR562="Emissions positive",-1,1)</f>
        <v>59</v>
      </c>
      <c r="CW562">
        <f>IF($CP562="refNeedCorrection",-BZ562,BZ562)*IF($BR562="Emissions positive",-1,1)</f>
        <v>44.04</v>
      </c>
      <c r="CX562" t="str">
        <f>IFERROR($CW562/$CS562,"")</f>
        <v/>
      </c>
      <c r="CY562" t="str">
        <f>IFERROR($CW562/$CS562,"")</f>
        <v/>
      </c>
      <c r="CZ562" t="str">
        <f>IFERROR($CW562/$CT562,"")</f>
        <v/>
      </c>
      <c r="DA562" s="2">
        <f>IFERROR((CV562-CU562)/ABS(CU562),"")</f>
        <v>0.25531914893617019</v>
      </c>
      <c r="DB562" s="1" t="s">
        <v>263</v>
      </c>
      <c r="DC562" t="str">
        <f>IF(OR($DB562="prd",$DB562="std",$DB562="cit"),"loc",IF(OR($DB562="eur",$DB562="reg",$DB562="coy"),"reg",$DB562))</f>
        <v>loc</v>
      </c>
      <c r="DD562" t="s">
        <v>444</v>
      </c>
      <c r="DG562">
        <v>300</v>
      </c>
      <c r="DH562" t="str">
        <f>IF(DG562=0,"0",IF(AND(DG562&gt;=1,DG562&lt;=30),"1-30",IF(AND(DG562&gt;30,DG562&lt;=70),"31-70",IF(AND(DG562&gt;70,DG562&lt;=100),"71-100",IF(DG562&gt;100,"+100")))))</f>
        <v>+100</v>
      </c>
      <c r="DI562">
        <v>0</v>
      </c>
      <c r="DJ562">
        <v>1</v>
      </c>
      <c r="DK562">
        <v>0</v>
      </c>
      <c r="DL562">
        <v>0</v>
      </c>
      <c r="DN562">
        <f>SUM(DI562:DL562)</f>
        <v>1</v>
      </c>
      <c r="DO562" t="str">
        <f>IF(DN562=1,INDEX($DI$7:$DL$7,MATCH(1,$DI562:$DL562,0)),"mixedProduct")</f>
        <v>EnergyInput</v>
      </c>
      <c r="DP562">
        <f>IF(DI562=1,DP$7,0)</f>
        <v>0</v>
      </c>
      <c r="DQ562" t="str">
        <f>IF(DJ562=1,DQ$7,0)</f>
        <v>Energy</v>
      </c>
      <c r="DR562">
        <f>IF(DK562=1,DR$7,0)</f>
        <v>0</v>
      </c>
      <c r="DS562">
        <f>IF(DL562=1,DS$7,0)</f>
        <v>0</v>
      </c>
      <c r="DT562">
        <v>1</v>
      </c>
      <c r="DU562" s="143">
        <v>0</v>
      </c>
      <c r="DV562" s="143">
        <v>0</v>
      </c>
      <c r="DW562" s="143">
        <v>0</v>
      </c>
      <c r="DX562">
        <v>0</v>
      </c>
      <c r="DY562">
        <f>SUM(DT562:DU562)</f>
        <v>1</v>
      </c>
      <c r="DZ562" s="143" t="str">
        <f>IF(DT562=1,"self-calculated DF",IF(DU562=1,"external DF used","explicit C balance"))</f>
        <v>self-calculated DF</v>
      </c>
      <c r="EA562">
        <v>0</v>
      </c>
      <c r="EB562" s="143">
        <v>0</v>
      </c>
      <c r="EC562" s="143">
        <v>1</v>
      </c>
      <c r="ED562" s="143">
        <v>1</v>
      </c>
      <c r="EE562">
        <v>1</v>
      </c>
      <c r="EF562" s="143">
        <v>1</v>
      </c>
      <c r="EG562">
        <v>0</v>
      </c>
      <c r="EH562" s="143">
        <v>1</v>
      </c>
      <c r="EI562" s="143">
        <v>0</v>
      </c>
      <c r="EJ562">
        <v>0</v>
      </c>
      <c r="EK562">
        <v>0</v>
      </c>
      <c r="EL562" s="143">
        <v>0</v>
      </c>
      <c r="EM562" s="143">
        <v>0</v>
      </c>
      <c r="EN562" s="2">
        <v>0</v>
      </c>
      <c r="EP562" t="str">
        <f>IF(AND(AND(AND(OR($EC562=1,$EB562=1),OR($EH562=1,$EF562=1)),SUM($EA562:$EE562,$EK562)&gt;=3),SUM($EF562:$EJ562)&gt;=2),"Whole sector approach","")</f>
        <v>Whole sector approach</v>
      </c>
      <c r="EQ562" t="str">
        <f>IF(AND(AND(OR($EC562=1,$EB562=1),AND($EH562=0,$EF562=0)),SUM($EA562:$EE562,$EK562)&gt;=4),"Ecosystem approach","")</f>
        <v/>
      </c>
      <c r="ER562" s="2" t="str">
        <f>IF(AND(AND(AND($EC562=0,$EB562=0),OR($EH562=1,$EF562=1)),SUM($EG562:$EJ562)&gt;=2),"Technology approach","")</f>
        <v/>
      </c>
      <c r="ES562" t="str">
        <f>IF(AND($EC562+$EB562+$EE562+$EA562+$ED562+$EG562=0,$N562="included"),"C neutral forest and HWP assumption","")</f>
        <v/>
      </c>
      <c r="ET562" t="str">
        <f>IF(AND(AND(AND(AND($EC562=1,$EB562+$EA562+$EG562&gt;=1),$EF562=1),$EH562+$EI562+$ED562+$EE562&gt;=2),$N562="included"),"All C pools assumption","")</f>
        <v/>
      </c>
      <c r="EU562" t="str">
        <f>IF(AND($ED562+$EE562+$EI562+$EH562+$EF562=0,$N562="included"),"In-situ only assumption","")</f>
        <v/>
      </c>
      <c r="EW562" t="s">
        <v>445</v>
      </c>
      <c r="EY562" t="b">
        <f>IF(ISNUMBER(BW562),IF(ABS(BW562-[6]QC_indicators!$B$2)&gt;3*[6]QC_indicators!$C$2,"C ratio",IF(ISNUMBER(CA562),IF(ABS(CA562-[6]QC_indicators!$B$1)&gt;3*[6]QC_indicators!$C$1,"DF","no"))),IF(ISNUMBER(CA562),IF(ABS(CA562-[6]QC_indicators!$B$1)&gt;3*[6]QC_indicators!$C$1,"DF","no")))</f>
        <v>0</v>
      </c>
      <c r="FA562" t="str">
        <f>IF(LEN($CY562)=0,"",IF(AND($CY562&lt;(-0.05),$ES562="C neutral forest and HWP assumption"),"Cneutral paradox",IF(AND($CY562&gt;0.05,$EU562="In-situ only assumption"),"In-situ only paradox","")))</f>
        <v/>
      </c>
      <c r="FD562" s="260" t="s">
        <v>2948</v>
      </c>
    </row>
    <row r="563" spans="1:160" ht="15" hidden="1" customHeight="1">
      <c r="A563" s="1" t="s">
        <v>430</v>
      </c>
      <c r="B563" t="s">
        <v>431</v>
      </c>
      <c r="C563" t="s">
        <v>432</v>
      </c>
      <c r="D563" t="s">
        <v>433</v>
      </c>
      <c r="E563" t="s">
        <v>434</v>
      </c>
      <c r="F563" t="s">
        <v>435</v>
      </c>
      <c r="G563" t="s">
        <v>436</v>
      </c>
      <c r="H563" t="s">
        <v>254</v>
      </c>
      <c r="I563">
        <v>2000</v>
      </c>
      <c r="J563">
        <v>174</v>
      </c>
      <c r="K563" t="s">
        <v>437</v>
      </c>
      <c r="M563" t="str">
        <f>LEFT($D563,FIND(",",$D563)-1)&amp;"_"&amp;I563&amp;L563</f>
        <v>Borjesson_2000</v>
      </c>
      <c r="N563" t="s">
        <v>222</v>
      </c>
      <c r="O563" s="145" t="s">
        <v>223</v>
      </c>
      <c r="Q563" t="s">
        <v>256</v>
      </c>
      <c r="R563" s="251" t="s">
        <v>225</v>
      </c>
      <c r="S563" s="1" t="s">
        <v>464</v>
      </c>
      <c r="T563" t="s">
        <v>465</v>
      </c>
      <c r="U563" t="s">
        <v>468</v>
      </c>
      <c r="V563" s="253">
        <v>0</v>
      </c>
      <c r="W563" s="253">
        <v>0</v>
      </c>
      <c r="X563">
        <v>0</v>
      </c>
      <c r="Y563">
        <v>0</v>
      </c>
      <c r="Z563">
        <v>0</v>
      </c>
      <c r="AA563">
        <v>0</v>
      </c>
      <c r="AB563">
        <v>0</v>
      </c>
      <c r="AC563">
        <v>0</v>
      </c>
      <c r="AD563">
        <v>0</v>
      </c>
      <c r="AE563">
        <v>0</v>
      </c>
      <c r="AF563">
        <v>0</v>
      </c>
      <c r="AG563">
        <v>0</v>
      </c>
      <c r="AH563">
        <v>0</v>
      </c>
      <c r="AI563">
        <v>0</v>
      </c>
      <c r="AJ563">
        <v>1</v>
      </c>
      <c r="AK563">
        <v>0</v>
      </c>
      <c r="AL563">
        <v>0</v>
      </c>
      <c r="AM563">
        <v>0</v>
      </c>
      <c r="AN563">
        <v>0</v>
      </c>
      <c r="AO563">
        <v>0</v>
      </c>
      <c r="AP563">
        <v>0</v>
      </c>
      <c r="AQ563">
        <v>0</v>
      </c>
      <c r="AR563">
        <v>0</v>
      </c>
      <c r="AS563">
        <v>0</v>
      </c>
      <c r="AT563">
        <v>0</v>
      </c>
      <c r="AU563">
        <v>0</v>
      </c>
      <c r="AV563">
        <v>0</v>
      </c>
      <c r="AW563">
        <v>0</v>
      </c>
      <c r="AX563">
        <v>0</v>
      </c>
      <c r="AY563">
        <v>0</v>
      </c>
      <c r="AZ563" s="141">
        <f>COUNTIF(X563:AY563,"&lt;&gt;0")</f>
        <v>1</v>
      </c>
      <c r="BA563" s="141">
        <f>COUNTIF(X563:AN563,"&lt;&gt;0")</f>
        <v>1</v>
      </c>
      <c r="BB563">
        <f>COUNTIF(X563:AE563,"&lt;&gt;0")</f>
        <v>0</v>
      </c>
      <c r="BC563">
        <f>COUNTIF(AF563:AK563,"&lt;&gt;0")</f>
        <v>1</v>
      </c>
      <c r="BD563">
        <f>COUNTIF(AL563:AN563,"&lt;&gt;0")</f>
        <v>0</v>
      </c>
      <c r="BE563">
        <f>COUNTIF(AU563:AY563,"&lt;&gt;0")</f>
        <v>0</v>
      </c>
      <c r="BF563">
        <f>COUNTIF(AO563:AT563,"&lt;&gt;0")</f>
        <v>0</v>
      </c>
      <c r="BG563" t="str">
        <f t="array" ref="BG563">IF(BA563=1,INDEX($X$7:$AN$7,MATCH(TRUE,INDEX($X563:$AY563&lt;&gt;0,),0)),IF(BA563=0,INDEX($AO$7:$AY$7,MATCH(1,$AO563:$AY563,0)),IF(BH563="Multiple strategies","mixed drivers",IF(BH563="Supply chain","multiple supply","multiple silviculture"))))</f>
        <v xml:space="preserve">end of life disposal </v>
      </c>
      <c r="BH563" s="2" t="str" cm="1">
        <f t="array" ref="BH563">IF(COUNTIF(BB563:BD563,"&lt;&gt;0")=1,INDEX($X$4:$AY$4,MATCH(TRUE,INDEX($X563:$AY563&lt;&gt;0,),0)),IF(COUNTIF(BB563:BD563,"&lt;&gt;0")=0,INDEX($AO$4:$AY$4,MATCH(1,$AO563:$AY563,0)),"Multiple strategies"))</f>
        <v>Supply chain</v>
      </c>
      <c r="BI563" s="142" t="s">
        <v>229</v>
      </c>
      <c r="BJ563" t="s">
        <v>441</v>
      </c>
      <c r="BK563" s="260" t="s">
        <v>2949</v>
      </c>
      <c r="BL563" s="143" t="s">
        <v>442</v>
      </c>
      <c r="BM563">
        <f>3*44</f>
        <v>132</v>
      </c>
      <c r="BN563">
        <f>3*44</f>
        <v>132</v>
      </c>
      <c r="BO563" s="143">
        <f>BN563/BM563</f>
        <v>1</v>
      </c>
      <c r="BP563">
        <f>BN563-BM563</f>
        <v>0</v>
      </c>
      <c r="BQ563">
        <v>0</v>
      </c>
      <c r="BR563" t="s">
        <v>232</v>
      </c>
      <c r="BS563" s="256" t="s">
        <v>793</v>
      </c>
      <c r="BT563" t="s">
        <v>443</v>
      </c>
      <c r="BU563" s="141">
        <v>47</v>
      </c>
      <c r="BV563" s="141">
        <v>79</v>
      </c>
      <c r="BW563" s="144">
        <f>IFERROR(BV563/BU563,"")</f>
        <v>1.6808510638297873</v>
      </c>
      <c r="BX563">
        <f>BV563-BU563</f>
        <v>32</v>
      </c>
      <c r="BZ563">
        <f>BX563*C_to_CO2</f>
        <v>117.44</v>
      </c>
      <c r="CA563" t="str">
        <f>IFERROR(BZ563/BQ563,"")</f>
        <v/>
      </c>
      <c r="CB563" s="143">
        <v>0</v>
      </c>
      <c r="CC563" s="143">
        <v>0</v>
      </c>
      <c r="CD563" s="143">
        <v>0</v>
      </c>
      <c r="CE563" s="143">
        <v>0</v>
      </c>
      <c r="CF563" s="143">
        <v>0</v>
      </c>
      <c r="CG563" s="143">
        <v>0</v>
      </c>
      <c r="CH563" s="143">
        <v>0</v>
      </c>
      <c r="CI563" s="143">
        <v>0</v>
      </c>
      <c r="CJ563" s="143">
        <v>0</v>
      </c>
      <c r="CK563" s="143">
        <v>0</v>
      </c>
      <c r="CL563" s="143">
        <v>0</v>
      </c>
      <c r="CM563" s="143">
        <v>0</v>
      </c>
      <c r="CN563" s="143">
        <v>0</v>
      </c>
      <c r="CO563">
        <v>0</v>
      </c>
      <c r="CP563" t="str">
        <f>IF($BN563&lt;$BM563,"refNeedCorrection","refOK")</f>
        <v>refOK</v>
      </c>
      <c r="CQ563">
        <f>IF($CP563="refOK",$BM563,$BN563)</f>
        <v>132</v>
      </c>
      <c r="CR563">
        <f>IF($CP563="refOK",$BN563,$BM563)</f>
        <v>132</v>
      </c>
      <c r="CS563">
        <f>IF($CP563="refOK",$BQ563,-$BQ563)</f>
        <v>0</v>
      </c>
      <c r="CT563">
        <f>IF(BI563="Roundwood",$CS563/2,$CS563)</f>
        <v>0</v>
      </c>
      <c r="CU563">
        <f>IF($CP563="refOK",$BU563,$BV563)*IF($BR563="Emissions positive",-1,1)</f>
        <v>47</v>
      </c>
      <c r="CV563">
        <f>IF($CP563="refOK",$BV563,$BU563)*IF($BR563="Emissions positive",-1,1)</f>
        <v>79</v>
      </c>
      <c r="CW563">
        <f>IF($CP563="refNeedCorrection",-BZ563,BZ563)*IF($BR563="Emissions positive",-1,1)</f>
        <v>117.44</v>
      </c>
      <c r="CX563" t="str">
        <f>IFERROR($CW563/$CS563,"")</f>
        <v/>
      </c>
      <c r="CY563" t="str">
        <f>IFERROR($CW563/$CS563,"")</f>
        <v/>
      </c>
      <c r="CZ563" t="str">
        <f>IFERROR($CW563/$CT563,"")</f>
        <v/>
      </c>
      <c r="DA563" s="2">
        <f>IFERROR((CV563-CU563)/ABS(CU563),"")</f>
        <v>0.68085106382978722</v>
      </c>
      <c r="DB563" s="1" t="s">
        <v>263</v>
      </c>
      <c r="DC563" t="str">
        <f>IF(OR($DB563="prd",$DB563="std",$DB563="cit"),"loc",IF(OR($DB563="eur",$DB563="reg",$DB563="coy"),"reg",$DB563))</f>
        <v>loc</v>
      </c>
      <c r="DD563" t="s">
        <v>444</v>
      </c>
      <c r="DG563">
        <v>300</v>
      </c>
      <c r="DH563" t="str">
        <f>IF(DG563=0,"0",IF(AND(DG563&gt;=1,DG563&lt;=30),"1-30",IF(AND(DG563&gt;30,DG563&lt;=70),"31-70",IF(AND(DG563&gt;70,DG563&lt;=100),"71-100",IF(DG563&gt;100,"+100")))))</f>
        <v>+100</v>
      </c>
      <c r="DI563">
        <v>0</v>
      </c>
      <c r="DJ563">
        <v>1</v>
      </c>
      <c r="DK563">
        <v>0</v>
      </c>
      <c r="DL563">
        <v>0</v>
      </c>
      <c r="DN563">
        <f>SUM(DI563:DL563)</f>
        <v>1</v>
      </c>
      <c r="DO563" t="str">
        <f>IF(DN563=1,INDEX($DI$7:$DL$7,MATCH(1,$DI563:$DL563,0)),"mixedProduct")</f>
        <v>EnergyInput</v>
      </c>
      <c r="DP563">
        <f>IF(DI563=1,DP$7,0)</f>
        <v>0</v>
      </c>
      <c r="DQ563" t="str">
        <f>IF(DJ563=1,DQ$7,0)</f>
        <v>Energy</v>
      </c>
      <c r="DR563">
        <f>IF(DK563=1,DR$7,0)</f>
        <v>0</v>
      </c>
      <c r="DS563">
        <f>IF(DL563=1,DS$7,0)</f>
        <v>0</v>
      </c>
      <c r="DT563">
        <v>1</v>
      </c>
      <c r="DU563" s="143">
        <v>0</v>
      </c>
      <c r="DV563" s="143">
        <v>0</v>
      </c>
      <c r="DW563" s="143">
        <v>0</v>
      </c>
      <c r="DX563">
        <v>0</v>
      </c>
      <c r="DY563">
        <f>SUM(DT563:DU563)</f>
        <v>1</v>
      </c>
      <c r="DZ563" s="143" t="str">
        <f>IF(DT563=1,"self-calculated DF",IF(DU563=1,"external DF used","explicit C balance"))</f>
        <v>self-calculated DF</v>
      </c>
      <c r="EA563">
        <v>0</v>
      </c>
      <c r="EB563" s="143">
        <v>0</v>
      </c>
      <c r="EC563" s="143">
        <v>1</v>
      </c>
      <c r="ED563" s="143">
        <v>1</v>
      </c>
      <c r="EE563">
        <v>1</v>
      </c>
      <c r="EF563" s="143">
        <v>1</v>
      </c>
      <c r="EG563">
        <v>0</v>
      </c>
      <c r="EH563" s="143">
        <v>1</v>
      </c>
      <c r="EI563" s="143">
        <v>0</v>
      </c>
      <c r="EJ563">
        <v>0</v>
      </c>
      <c r="EK563">
        <v>0</v>
      </c>
      <c r="EL563" s="143">
        <v>0</v>
      </c>
      <c r="EM563" s="143">
        <v>0</v>
      </c>
      <c r="EN563" s="2">
        <v>0</v>
      </c>
      <c r="EP563" t="str">
        <f>IF(AND(AND(AND(OR($EC563=1,$EB563=1),OR($EH563=1,$EF563=1)),SUM($EA563:$EE563,$EK563)&gt;=3),SUM($EF563:$EJ563)&gt;=2),"Whole sector approach","")</f>
        <v>Whole sector approach</v>
      </c>
      <c r="EQ563" t="str">
        <f>IF(AND(AND(OR($EC563=1,$EB563=1),AND($EH563=0,$EF563=0)),SUM($EA563:$EE563,$EK563)&gt;=4),"Ecosystem approach","")</f>
        <v/>
      </c>
      <c r="ER563" s="2" t="str">
        <f>IF(AND(AND(AND($EC563=0,$EB563=0),OR($EH563=1,$EF563=1)),SUM($EG563:$EJ563)&gt;=2),"Technology approach","")</f>
        <v/>
      </c>
      <c r="ES563" t="str">
        <f>IF(AND($EC563+$EB563+$EE563+$EA563+$ED563+$EG563=0,$N563="included"),"C neutral forest and HWP assumption","")</f>
        <v/>
      </c>
      <c r="ET563" t="str">
        <f>IF(AND(AND(AND(AND($EC563=1,$EB563+$EA563+$EG563&gt;=1),$EF563=1),$EH563+$EI563+$ED563+$EE563&gt;=2),$N563="included"),"All C pools assumption","")</f>
        <v/>
      </c>
      <c r="EU563" t="str">
        <f>IF(AND($ED563+$EE563+$EI563+$EH563+$EF563=0,$N563="included"),"In-situ only assumption","")</f>
        <v/>
      </c>
      <c r="EW563" t="s">
        <v>445</v>
      </c>
      <c r="EY563" t="b">
        <f>IF(ISNUMBER(BW563),IF(ABS(BW563-[6]QC_indicators!$B$2)&gt;3*[6]QC_indicators!$C$2,"C ratio",IF(ISNUMBER(CA563),IF(ABS(CA563-[6]QC_indicators!$B$1)&gt;3*[6]QC_indicators!$C$1,"DF","no"))),IF(ISNUMBER(CA563),IF(ABS(CA563-[6]QC_indicators!$B$1)&gt;3*[6]QC_indicators!$C$1,"DF","no")))</f>
        <v>0</v>
      </c>
      <c r="FA563" t="str">
        <f>IF(LEN($CY563)=0,"",IF(AND($CY563&lt;(-0.05),$ES563="C neutral forest and HWP assumption"),"Cneutral paradox",IF(AND($CY563&gt;0.05,$EU563="In-situ only assumption"),"In-situ only paradox","")))</f>
        <v/>
      </c>
      <c r="FD563" s="260" t="s">
        <v>2948</v>
      </c>
    </row>
    <row r="564" spans="1:160" ht="15" hidden="1" customHeight="1">
      <c r="A564" s="1" t="s">
        <v>430</v>
      </c>
      <c r="B564" t="s">
        <v>431</v>
      </c>
      <c r="C564" t="s">
        <v>432</v>
      </c>
      <c r="D564" t="s">
        <v>433</v>
      </c>
      <c r="E564" t="s">
        <v>434</v>
      </c>
      <c r="F564" t="s">
        <v>435</v>
      </c>
      <c r="G564" t="s">
        <v>436</v>
      </c>
      <c r="H564" t="s">
        <v>254</v>
      </c>
      <c r="I564">
        <v>2000</v>
      </c>
      <c r="J564">
        <v>174</v>
      </c>
      <c r="K564" t="s">
        <v>437</v>
      </c>
      <c r="M564" t="str">
        <f>LEFT($D564,FIND(",",$D564)-1)&amp;"_"&amp;I564&amp;L564</f>
        <v>Borjesson_2000</v>
      </c>
      <c r="N564" t="s">
        <v>222</v>
      </c>
      <c r="O564" s="145" t="s">
        <v>223</v>
      </c>
      <c r="Q564" t="s">
        <v>256</v>
      </c>
      <c r="R564" s="251" t="s">
        <v>225</v>
      </c>
      <c r="S564" s="1" t="s">
        <v>464</v>
      </c>
      <c r="T564" t="s">
        <v>465</v>
      </c>
      <c r="U564" t="s">
        <v>471</v>
      </c>
      <c r="V564" s="253">
        <v>0</v>
      </c>
      <c r="W564" s="253">
        <v>0</v>
      </c>
      <c r="X564">
        <v>0</v>
      </c>
      <c r="Y564">
        <v>0</v>
      </c>
      <c r="Z564">
        <v>0</v>
      </c>
      <c r="AA564">
        <v>0</v>
      </c>
      <c r="AB564">
        <v>0</v>
      </c>
      <c r="AC564">
        <v>0</v>
      </c>
      <c r="AD564">
        <v>0</v>
      </c>
      <c r="AE564">
        <v>0</v>
      </c>
      <c r="AF564">
        <v>0</v>
      </c>
      <c r="AG564">
        <v>0</v>
      </c>
      <c r="AH564">
        <v>0</v>
      </c>
      <c r="AI564">
        <v>0</v>
      </c>
      <c r="AJ564">
        <v>1</v>
      </c>
      <c r="AK564">
        <v>0</v>
      </c>
      <c r="AL564">
        <v>0</v>
      </c>
      <c r="AM564">
        <v>0</v>
      </c>
      <c r="AN564">
        <v>0</v>
      </c>
      <c r="AO564">
        <v>0</v>
      </c>
      <c r="AP564">
        <v>0</v>
      </c>
      <c r="AQ564">
        <v>0</v>
      </c>
      <c r="AR564">
        <v>0</v>
      </c>
      <c r="AS564">
        <v>0</v>
      </c>
      <c r="AT564">
        <v>0</v>
      </c>
      <c r="AU564">
        <v>0</v>
      </c>
      <c r="AV564">
        <v>0</v>
      </c>
      <c r="AW564">
        <v>0</v>
      </c>
      <c r="AX564">
        <v>0</v>
      </c>
      <c r="AY564">
        <v>0</v>
      </c>
      <c r="AZ564" s="141">
        <f>COUNTIF(X564:AY564,"&lt;&gt;0")</f>
        <v>1</v>
      </c>
      <c r="BA564" s="141">
        <f>COUNTIF(X564:AN564,"&lt;&gt;0")</f>
        <v>1</v>
      </c>
      <c r="BB564">
        <f>COUNTIF(X564:AE564,"&lt;&gt;0")</f>
        <v>0</v>
      </c>
      <c r="BC564">
        <f>COUNTIF(AF564:AK564,"&lt;&gt;0")</f>
        <v>1</v>
      </c>
      <c r="BD564">
        <f>COUNTIF(AL564:AN564,"&lt;&gt;0")</f>
        <v>0</v>
      </c>
      <c r="BE564">
        <f>COUNTIF(AU564:AY564,"&lt;&gt;0")</f>
        <v>0</v>
      </c>
      <c r="BF564">
        <f>COUNTIF(AO564:AT564,"&lt;&gt;0")</f>
        <v>0</v>
      </c>
      <c r="BG564" t="str">
        <f t="array" ref="BG564">IF(BA564=1,INDEX($X$7:$AN$7,MATCH(TRUE,INDEX($X564:$AY564&lt;&gt;0,),0)),IF(BA564=0,INDEX($AO$7:$AY$7,MATCH(1,$AO564:$AY564,0)),IF(BH564="Multiple strategies","mixed drivers",IF(BH564="Supply chain","multiple supply","multiple silviculture"))))</f>
        <v xml:space="preserve">end of life disposal </v>
      </c>
      <c r="BH564" s="2" t="str" cm="1">
        <f t="array" ref="BH564">IF(COUNTIF(BB564:BD564,"&lt;&gt;0")=1,INDEX($X$4:$AY$4,MATCH(TRUE,INDEX($X564:$AY564&lt;&gt;0,),0)),IF(COUNTIF(BB564:BD564,"&lt;&gt;0")=0,INDEX($AO$4:$AY$4,MATCH(1,$AO564:$AY564,0)),"Multiple strategies"))</f>
        <v>Supply chain</v>
      </c>
      <c r="BI564" s="142" t="s">
        <v>229</v>
      </c>
      <c r="BJ564" t="s">
        <v>441</v>
      </c>
      <c r="BK564" s="260" t="s">
        <v>2949</v>
      </c>
      <c r="BL564" s="143" t="s">
        <v>442</v>
      </c>
      <c r="BM564">
        <f>3*44</f>
        <v>132</v>
      </c>
      <c r="BN564">
        <f>3*44</f>
        <v>132</v>
      </c>
      <c r="BO564" s="143">
        <f>BN564/BM564</f>
        <v>1</v>
      </c>
      <c r="BP564">
        <f>BN564-BM564</f>
        <v>0</v>
      </c>
      <c r="BQ564">
        <v>0</v>
      </c>
      <c r="BR564" t="s">
        <v>232</v>
      </c>
      <c r="BS564" s="256" t="s">
        <v>793</v>
      </c>
      <c r="BT564" t="s">
        <v>443</v>
      </c>
      <c r="BU564" s="141">
        <v>47</v>
      </c>
      <c r="BV564" s="141">
        <v>82</v>
      </c>
      <c r="BW564" s="144">
        <f>IFERROR(BV564/BU564,"")</f>
        <v>1.7446808510638299</v>
      </c>
      <c r="BX564">
        <f>BV564-BU564</f>
        <v>35</v>
      </c>
      <c r="BZ564">
        <f>BX564*C_to_CO2</f>
        <v>128.44999999999999</v>
      </c>
      <c r="CA564" t="str">
        <f>IFERROR(BZ564/BQ564,"")</f>
        <v/>
      </c>
      <c r="CB564" s="143">
        <v>0</v>
      </c>
      <c r="CC564" s="143">
        <v>0</v>
      </c>
      <c r="CD564" s="143">
        <v>0</v>
      </c>
      <c r="CE564" s="143">
        <v>0</v>
      </c>
      <c r="CF564" s="143">
        <v>0</v>
      </c>
      <c r="CG564" s="143">
        <v>0</v>
      </c>
      <c r="CH564" s="143">
        <v>0</v>
      </c>
      <c r="CI564" s="143">
        <v>0</v>
      </c>
      <c r="CJ564" s="143">
        <v>0</v>
      </c>
      <c r="CK564" s="143">
        <v>0</v>
      </c>
      <c r="CL564" s="143">
        <v>0</v>
      </c>
      <c r="CM564" s="143">
        <v>0</v>
      </c>
      <c r="CN564" s="143">
        <v>0</v>
      </c>
      <c r="CO564">
        <v>0</v>
      </c>
      <c r="CP564" t="str">
        <f>IF($BN564&lt;$BM564,"refNeedCorrection","refOK")</f>
        <v>refOK</v>
      </c>
      <c r="CQ564">
        <f>IF($CP564="refOK",$BM564,$BN564)</f>
        <v>132</v>
      </c>
      <c r="CR564">
        <f>IF($CP564="refOK",$BN564,$BM564)</f>
        <v>132</v>
      </c>
      <c r="CS564">
        <f>IF($CP564="refOK",$BQ564,-$BQ564)</f>
        <v>0</v>
      </c>
      <c r="CT564">
        <f>IF(BI564="Roundwood",$CS564/2,$CS564)</f>
        <v>0</v>
      </c>
      <c r="CU564">
        <f>IF($CP564="refOK",$BU564,$BV564)*IF($BR564="Emissions positive",-1,1)</f>
        <v>47</v>
      </c>
      <c r="CV564">
        <f>IF($CP564="refOK",$BV564,$BU564)*IF($BR564="Emissions positive",-1,1)</f>
        <v>82</v>
      </c>
      <c r="CW564">
        <f>IF($CP564="refNeedCorrection",-BZ564,BZ564)*IF($BR564="Emissions positive",-1,1)</f>
        <v>128.44999999999999</v>
      </c>
      <c r="CX564" t="str">
        <f>IFERROR($CW564/$CS564,"")</f>
        <v/>
      </c>
      <c r="CY564" t="str">
        <f>IFERROR($CW564/$CS564,"")</f>
        <v/>
      </c>
      <c r="CZ564" t="str">
        <f>IFERROR($CW564/$CT564,"")</f>
        <v/>
      </c>
      <c r="DA564" s="2">
        <f>IFERROR((CV564-CU564)/ABS(CU564),"")</f>
        <v>0.74468085106382975</v>
      </c>
      <c r="DB564" s="1" t="s">
        <v>263</v>
      </c>
      <c r="DC564" t="str">
        <f>IF(OR($DB564="prd",$DB564="std",$DB564="cit"),"loc",IF(OR($DB564="eur",$DB564="reg",$DB564="coy"),"reg",$DB564))</f>
        <v>loc</v>
      </c>
      <c r="DD564" t="s">
        <v>444</v>
      </c>
      <c r="DG564">
        <v>300</v>
      </c>
      <c r="DH564" t="str">
        <f>IF(DG564=0,"0",IF(AND(DG564&gt;=1,DG564&lt;=30),"1-30",IF(AND(DG564&gt;30,DG564&lt;=70),"31-70",IF(AND(DG564&gt;70,DG564&lt;=100),"71-100",IF(DG564&gt;100,"+100")))))</f>
        <v>+100</v>
      </c>
      <c r="DI564">
        <v>0</v>
      </c>
      <c r="DJ564">
        <v>1</v>
      </c>
      <c r="DK564">
        <v>0</v>
      </c>
      <c r="DL564">
        <v>0</v>
      </c>
      <c r="DN564">
        <f>SUM(DI564:DL564)</f>
        <v>1</v>
      </c>
      <c r="DO564" t="str">
        <f>IF(DN564=1,INDEX($DI$7:$DL$7,MATCH(1,$DI564:$DL564,0)),"mixedProduct")</f>
        <v>EnergyInput</v>
      </c>
      <c r="DP564">
        <f>IF(DI564=1,DP$7,0)</f>
        <v>0</v>
      </c>
      <c r="DQ564" t="str">
        <f>IF(DJ564=1,DQ$7,0)</f>
        <v>Energy</v>
      </c>
      <c r="DR564">
        <f>IF(DK564=1,DR$7,0)</f>
        <v>0</v>
      </c>
      <c r="DS564">
        <f>IF(DL564=1,DS$7,0)</f>
        <v>0</v>
      </c>
      <c r="DT564">
        <v>1</v>
      </c>
      <c r="DU564" s="143">
        <v>0</v>
      </c>
      <c r="DV564" s="143">
        <v>0</v>
      </c>
      <c r="DW564" s="143">
        <v>0</v>
      </c>
      <c r="DX564">
        <v>0</v>
      </c>
      <c r="DY564">
        <f>SUM(DT564:DU564)</f>
        <v>1</v>
      </c>
      <c r="DZ564" s="143" t="str">
        <f>IF(DT564=1,"self-calculated DF",IF(DU564=1,"external DF used","explicit C balance"))</f>
        <v>self-calculated DF</v>
      </c>
      <c r="EA564">
        <v>0</v>
      </c>
      <c r="EB564" s="143">
        <v>0</v>
      </c>
      <c r="EC564" s="143">
        <v>1</v>
      </c>
      <c r="ED564" s="143">
        <v>1</v>
      </c>
      <c r="EE564">
        <v>1</v>
      </c>
      <c r="EF564" s="143">
        <v>1</v>
      </c>
      <c r="EG564">
        <v>0</v>
      </c>
      <c r="EH564" s="143">
        <v>1</v>
      </c>
      <c r="EI564" s="143">
        <v>0</v>
      </c>
      <c r="EJ564">
        <v>0</v>
      </c>
      <c r="EK564">
        <v>0</v>
      </c>
      <c r="EL564" s="143">
        <v>0</v>
      </c>
      <c r="EM564" s="143">
        <v>0</v>
      </c>
      <c r="EN564" s="2">
        <v>0</v>
      </c>
      <c r="EP564" t="str">
        <f>IF(AND(AND(AND(OR($EC564=1,$EB564=1),OR($EH564=1,$EF564=1)),SUM($EA564:$EE564,$EK564)&gt;=3),SUM($EF564:$EJ564)&gt;=2),"Whole sector approach","")</f>
        <v>Whole sector approach</v>
      </c>
      <c r="EQ564" t="str">
        <f>IF(AND(AND(OR($EC564=1,$EB564=1),AND($EH564=0,$EF564=0)),SUM($EA564:$EE564,$EK564)&gt;=4),"Ecosystem approach","")</f>
        <v/>
      </c>
      <c r="ER564" s="2" t="str">
        <f>IF(AND(AND(AND($EC564=0,$EB564=0),OR($EH564=1,$EF564=1)),SUM($EG564:$EJ564)&gt;=2),"Technology approach","")</f>
        <v/>
      </c>
      <c r="ES564" t="str">
        <f>IF(AND($EC564+$EB564+$EE564+$EA564+$ED564+$EG564=0,$N564="included"),"C neutral forest and HWP assumption","")</f>
        <v/>
      </c>
      <c r="ET564" t="str">
        <f>IF(AND(AND(AND(AND($EC564=1,$EB564+$EA564+$EG564&gt;=1),$EF564=1),$EH564+$EI564+$ED564+$EE564&gt;=2),$N564="included"),"All C pools assumption","")</f>
        <v/>
      </c>
      <c r="EU564" t="str">
        <f>IF(AND($ED564+$EE564+$EI564+$EH564+$EF564=0,$N564="included"),"In-situ only assumption","")</f>
        <v/>
      </c>
      <c r="EW564" t="s">
        <v>445</v>
      </c>
      <c r="EY564" t="b">
        <f>IF(ISNUMBER(BW564),IF(ABS(BW564-[6]QC_indicators!$B$2)&gt;3*[6]QC_indicators!$C$2,"C ratio",IF(ISNUMBER(CA564),IF(ABS(CA564-[6]QC_indicators!$B$1)&gt;3*[6]QC_indicators!$C$1,"DF","no"))),IF(ISNUMBER(CA564),IF(ABS(CA564-[6]QC_indicators!$B$1)&gt;3*[6]QC_indicators!$C$1,"DF","no")))</f>
        <v>0</v>
      </c>
      <c r="FA564" t="str">
        <f>IF(LEN($CY564)=0,"",IF(AND($CY564&lt;(-0.05),$ES564="C neutral forest and HWP assumption"),"Cneutral paradox",IF(AND($CY564&gt;0.05,$EU564="In-situ only assumption"),"In-situ only paradox","")))</f>
        <v/>
      </c>
      <c r="FD564" s="260" t="s">
        <v>2948</v>
      </c>
    </row>
    <row r="565" spans="1:160" ht="15" hidden="1" customHeight="1">
      <c r="A565" s="1" t="s">
        <v>430</v>
      </c>
      <c r="B565" t="s">
        <v>431</v>
      </c>
      <c r="C565" t="s">
        <v>432</v>
      </c>
      <c r="D565" t="s">
        <v>433</v>
      </c>
      <c r="E565" t="s">
        <v>434</v>
      </c>
      <c r="F565" t="s">
        <v>435</v>
      </c>
      <c r="G565" t="s">
        <v>436</v>
      </c>
      <c r="H565" t="s">
        <v>254</v>
      </c>
      <c r="I565">
        <v>2000</v>
      </c>
      <c r="J565">
        <v>174</v>
      </c>
      <c r="K565" t="s">
        <v>437</v>
      </c>
      <c r="M565" t="str">
        <f>LEFT($D565,FIND(",",$D565)-1)&amp;"_"&amp;I565&amp;L565</f>
        <v>Borjesson_2000</v>
      </c>
      <c r="N565" t="s">
        <v>222</v>
      </c>
      <c r="O565" s="145" t="s">
        <v>223</v>
      </c>
      <c r="Q565" t="s">
        <v>256</v>
      </c>
      <c r="R565" s="251" t="s">
        <v>225</v>
      </c>
      <c r="S565" s="1" t="s">
        <v>464</v>
      </c>
      <c r="T565" t="s">
        <v>465</v>
      </c>
      <c r="U565" t="s">
        <v>469</v>
      </c>
      <c r="V565" s="253">
        <v>0</v>
      </c>
      <c r="W565" s="253">
        <v>0</v>
      </c>
      <c r="X565">
        <v>0</v>
      </c>
      <c r="Y565">
        <v>0</v>
      </c>
      <c r="Z565">
        <v>0</v>
      </c>
      <c r="AA565">
        <v>0</v>
      </c>
      <c r="AB565">
        <v>0</v>
      </c>
      <c r="AC565">
        <v>0</v>
      </c>
      <c r="AD565">
        <v>0</v>
      </c>
      <c r="AE565">
        <v>0</v>
      </c>
      <c r="AF565">
        <v>0</v>
      </c>
      <c r="AG565">
        <v>0</v>
      </c>
      <c r="AH565">
        <v>0</v>
      </c>
      <c r="AI565">
        <v>0</v>
      </c>
      <c r="AJ565">
        <v>1</v>
      </c>
      <c r="AK565">
        <v>0</v>
      </c>
      <c r="AL565">
        <v>0</v>
      </c>
      <c r="AM565">
        <v>0</v>
      </c>
      <c r="AN565">
        <v>0</v>
      </c>
      <c r="AO565">
        <v>0</v>
      </c>
      <c r="AP565">
        <v>0</v>
      </c>
      <c r="AQ565">
        <v>0</v>
      </c>
      <c r="AR565">
        <v>0</v>
      </c>
      <c r="AS565">
        <v>0</v>
      </c>
      <c r="AT565">
        <v>0</v>
      </c>
      <c r="AU565">
        <v>0</v>
      </c>
      <c r="AV565">
        <v>0</v>
      </c>
      <c r="AW565">
        <v>0</v>
      </c>
      <c r="AX565">
        <v>0</v>
      </c>
      <c r="AY565">
        <v>0</v>
      </c>
      <c r="AZ565" s="141">
        <f>COUNTIF(X565:AY565,"&lt;&gt;0")</f>
        <v>1</v>
      </c>
      <c r="BA565" s="141">
        <f>COUNTIF(X565:AN565,"&lt;&gt;0")</f>
        <v>1</v>
      </c>
      <c r="BB565">
        <f>COUNTIF(X565:AE565,"&lt;&gt;0")</f>
        <v>0</v>
      </c>
      <c r="BC565">
        <f>COUNTIF(AF565:AK565,"&lt;&gt;0")</f>
        <v>1</v>
      </c>
      <c r="BD565">
        <f>COUNTIF(AL565:AN565,"&lt;&gt;0")</f>
        <v>0</v>
      </c>
      <c r="BE565">
        <f>COUNTIF(AU565:AY565,"&lt;&gt;0")</f>
        <v>0</v>
      </c>
      <c r="BF565">
        <f>COUNTIF(AO565:AT565,"&lt;&gt;0")</f>
        <v>0</v>
      </c>
      <c r="BG565" t="str">
        <f t="array" ref="BG565">IF(BA565=1,INDEX($X$7:$AN$7,MATCH(TRUE,INDEX($X565:$AY565&lt;&gt;0,),0)),IF(BA565=0,INDEX($AO$7:$AY$7,MATCH(1,$AO565:$AY565,0)),IF(BH565="Multiple strategies","mixed drivers",IF(BH565="Supply chain","multiple supply","multiple silviculture"))))</f>
        <v xml:space="preserve">end of life disposal </v>
      </c>
      <c r="BH565" s="2" t="str" cm="1">
        <f t="array" ref="BH565">IF(COUNTIF(BB565:BD565,"&lt;&gt;0")=1,INDEX($X$4:$AY$4,MATCH(TRUE,INDEX($X565:$AY565&lt;&gt;0,),0)),IF(COUNTIF(BB565:BD565,"&lt;&gt;0")=0,INDEX($AO$4:$AY$4,MATCH(1,$AO565:$AY565,0)),"Multiple strategies"))</f>
        <v>Supply chain</v>
      </c>
      <c r="BI565" s="142" t="s">
        <v>229</v>
      </c>
      <c r="BJ565" t="s">
        <v>441</v>
      </c>
      <c r="BK565" s="260" t="s">
        <v>2949</v>
      </c>
      <c r="BL565" s="143" t="s">
        <v>442</v>
      </c>
      <c r="BM565">
        <f>3*44</f>
        <v>132</v>
      </c>
      <c r="BN565">
        <f>3*44</f>
        <v>132</v>
      </c>
      <c r="BO565" s="143">
        <f>BN565/BM565</f>
        <v>1</v>
      </c>
      <c r="BP565">
        <f>BN565-BM565</f>
        <v>0</v>
      </c>
      <c r="BQ565">
        <v>0</v>
      </c>
      <c r="BR565" t="s">
        <v>232</v>
      </c>
      <c r="BS565" s="256" t="s">
        <v>793</v>
      </c>
      <c r="BT565" t="s">
        <v>443</v>
      </c>
      <c r="BU565" s="141">
        <v>47</v>
      </c>
      <c r="BV565" s="141">
        <v>84</v>
      </c>
      <c r="BW565" s="144">
        <f>IFERROR(BV565/BU565,"")</f>
        <v>1.7872340425531914</v>
      </c>
      <c r="BX565">
        <f>BV565-BU565</f>
        <v>37</v>
      </c>
      <c r="BZ565">
        <f>BX565*C_to_CO2</f>
        <v>135.79</v>
      </c>
      <c r="CA565" t="str">
        <f>IFERROR(BZ565/BQ565,"")</f>
        <v/>
      </c>
      <c r="CB565" s="143">
        <v>0</v>
      </c>
      <c r="CC565" s="143">
        <v>0</v>
      </c>
      <c r="CD565" s="143">
        <v>0</v>
      </c>
      <c r="CE565" s="143">
        <v>0</v>
      </c>
      <c r="CF565" s="143">
        <v>0</v>
      </c>
      <c r="CG565" s="143">
        <v>0</v>
      </c>
      <c r="CH565" s="143">
        <v>0</v>
      </c>
      <c r="CI565" s="143">
        <v>0</v>
      </c>
      <c r="CJ565" s="143">
        <v>0</v>
      </c>
      <c r="CK565" s="143">
        <v>0</v>
      </c>
      <c r="CL565" s="143">
        <v>0</v>
      </c>
      <c r="CM565" s="143">
        <v>0</v>
      </c>
      <c r="CN565" s="143">
        <v>0</v>
      </c>
      <c r="CO565">
        <v>0</v>
      </c>
      <c r="CP565" t="str">
        <f>IF($BN565&lt;$BM565,"refNeedCorrection","refOK")</f>
        <v>refOK</v>
      </c>
      <c r="CQ565">
        <f>IF($CP565="refOK",$BM565,$BN565)</f>
        <v>132</v>
      </c>
      <c r="CR565">
        <f>IF($CP565="refOK",$BN565,$BM565)</f>
        <v>132</v>
      </c>
      <c r="CS565">
        <f>IF($CP565="refOK",$BQ565,-$BQ565)</f>
        <v>0</v>
      </c>
      <c r="CT565">
        <f>IF(BI565="Roundwood",$CS565/2,$CS565)</f>
        <v>0</v>
      </c>
      <c r="CU565">
        <f>IF($CP565="refOK",$BU565,$BV565)*IF($BR565="Emissions positive",-1,1)</f>
        <v>47</v>
      </c>
      <c r="CV565">
        <f>IF($CP565="refOK",$BV565,$BU565)*IF($BR565="Emissions positive",-1,1)</f>
        <v>84</v>
      </c>
      <c r="CW565">
        <f>IF($CP565="refNeedCorrection",-BZ565,BZ565)*IF($BR565="Emissions positive",-1,1)</f>
        <v>135.79</v>
      </c>
      <c r="CX565" t="str">
        <f>IFERROR($CW565/$CS565,"")</f>
        <v/>
      </c>
      <c r="CY565" t="str">
        <f>IFERROR($CW565/$CS565,"")</f>
        <v/>
      </c>
      <c r="CZ565" t="str">
        <f>IFERROR($CW565/$CT565,"")</f>
        <v/>
      </c>
      <c r="DA565" s="2">
        <f>IFERROR((CV565-CU565)/ABS(CU565),"")</f>
        <v>0.78723404255319152</v>
      </c>
      <c r="DB565" s="1" t="s">
        <v>263</v>
      </c>
      <c r="DC565" t="str">
        <f>IF(OR($DB565="prd",$DB565="std",$DB565="cit"),"loc",IF(OR($DB565="eur",$DB565="reg",$DB565="coy"),"reg",$DB565))</f>
        <v>loc</v>
      </c>
      <c r="DD565" t="s">
        <v>444</v>
      </c>
      <c r="DG565">
        <v>300</v>
      </c>
      <c r="DH565" t="str">
        <f>IF(DG565=0,"0",IF(AND(DG565&gt;=1,DG565&lt;=30),"1-30",IF(AND(DG565&gt;30,DG565&lt;=70),"31-70",IF(AND(DG565&gt;70,DG565&lt;=100),"71-100",IF(DG565&gt;100,"+100")))))</f>
        <v>+100</v>
      </c>
      <c r="DI565">
        <v>0</v>
      </c>
      <c r="DJ565">
        <v>1</v>
      </c>
      <c r="DK565">
        <v>0</v>
      </c>
      <c r="DL565">
        <v>0</v>
      </c>
      <c r="DN565">
        <f>SUM(DI565:DL565)</f>
        <v>1</v>
      </c>
      <c r="DO565" t="str">
        <f>IF(DN565=1,INDEX($DI$7:$DL$7,MATCH(1,$DI565:$DL565,0)),"mixedProduct")</f>
        <v>EnergyInput</v>
      </c>
      <c r="DP565">
        <f>IF(DI565=1,DP$7,0)</f>
        <v>0</v>
      </c>
      <c r="DQ565" t="str">
        <f>IF(DJ565=1,DQ$7,0)</f>
        <v>Energy</v>
      </c>
      <c r="DR565">
        <f>IF(DK565=1,DR$7,0)</f>
        <v>0</v>
      </c>
      <c r="DS565">
        <f>IF(DL565=1,DS$7,0)</f>
        <v>0</v>
      </c>
      <c r="DT565">
        <v>1</v>
      </c>
      <c r="DU565" s="143">
        <v>0</v>
      </c>
      <c r="DV565" s="143">
        <v>0</v>
      </c>
      <c r="DW565" s="143">
        <v>0</v>
      </c>
      <c r="DX565">
        <v>0</v>
      </c>
      <c r="DY565">
        <f>SUM(DT565:DU565)</f>
        <v>1</v>
      </c>
      <c r="DZ565" s="143" t="str">
        <f>IF(DT565=1,"self-calculated DF",IF(DU565=1,"external DF used","explicit C balance"))</f>
        <v>self-calculated DF</v>
      </c>
      <c r="EA565">
        <v>0</v>
      </c>
      <c r="EB565" s="143">
        <v>0</v>
      </c>
      <c r="EC565" s="143">
        <v>1</v>
      </c>
      <c r="ED565" s="143">
        <v>1</v>
      </c>
      <c r="EE565">
        <v>1</v>
      </c>
      <c r="EF565" s="143">
        <v>1</v>
      </c>
      <c r="EG565">
        <v>0</v>
      </c>
      <c r="EH565" s="143">
        <v>1</v>
      </c>
      <c r="EI565" s="143">
        <v>0</v>
      </c>
      <c r="EJ565">
        <v>0</v>
      </c>
      <c r="EK565">
        <v>0</v>
      </c>
      <c r="EL565" s="143">
        <v>0</v>
      </c>
      <c r="EM565" s="143">
        <v>0</v>
      </c>
      <c r="EN565" s="2">
        <v>0</v>
      </c>
      <c r="EP565" t="str">
        <f>IF(AND(AND(AND(OR($EC565=1,$EB565=1),OR($EH565=1,$EF565=1)),SUM($EA565:$EE565,$EK565)&gt;=3),SUM($EF565:$EJ565)&gt;=2),"Whole sector approach","")</f>
        <v>Whole sector approach</v>
      </c>
      <c r="EQ565" t="str">
        <f>IF(AND(AND(OR($EC565=1,$EB565=1),AND($EH565=0,$EF565=0)),SUM($EA565:$EE565,$EK565)&gt;=4),"Ecosystem approach","")</f>
        <v/>
      </c>
      <c r="ER565" s="2" t="str">
        <f>IF(AND(AND(AND($EC565=0,$EB565=0),OR($EH565=1,$EF565=1)),SUM($EG565:$EJ565)&gt;=2),"Technology approach","")</f>
        <v/>
      </c>
      <c r="ES565" t="str">
        <f>IF(AND($EC565+$EB565+$EE565+$EA565+$ED565+$EG565=0,$N565="included"),"C neutral forest and HWP assumption","")</f>
        <v/>
      </c>
      <c r="ET565" t="str">
        <f>IF(AND(AND(AND(AND($EC565=1,$EB565+$EA565+$EG565&gt;=1),$EF565=1),$EH565+$EI565+$ED565+$EE565&gt;=2),$N565="included"),"All C pools assumption","")</f>
        <v/>
      </c>
      <c r="EU565" t="str">
        <f>IF(AND($ED565+$EE565+$EI565+$EH565+$EF565=0,$N565="included"),"In-situ only assumption","")</f>
        <v/>
      </c>
      <c r="EW565" t="s">
        <v>445</v>
      </c>
      <c r="EY565" t="b">
        <f>IF(ISNUMBER(BW565),IF(ABS(BW565-[6]QC_indicators!$B$2)&gt;3*[6]QC_indicators!$C$2,"C ratio",IF(ISNUMBER(CA565),IF(ABS(CA565-[6]QC_indicators!$B$1)&gt;3*[6]QC_indicators!$C$1,"DF","no"))),IF(ISNUMBER(CA565),IF(ABS(CA565-[6]QC_indicators!$B$1)&gt;3*[6]QC_indicators!$C$1,"DF","no")))</f>
        <v>0</v>
      </c>
      <c r="FA565" t="str">
        <f>IF(LEN($CY565)=0,"",IF(AND($CY565&lt;(-0.05),$ES565="C neutral forest and HWP assumption"),"Cneutral paradox",IF(AND($CY565&gt;0.05,$EU565="In-situ only assumption"),"In-situ only paradox","")))</f>
        <v/>
      </c>
      <c r="FD565" s="260" t="s">
        <v>2948</v>
      </c>
    </row>
    <row r="566" spans="1:160" ht="15" hidden="1" customHeight="1">
      <c r="A566" s="1" t="s">
        <v>430</v>
      </c>
      <c r="B566" t="s">
        <v>431</v>
      </c>
      <c r="C566" t="s">
        <v>432</v>
      </c>
      <c r="D566" t="s">
        <v>433</v>
      </c>
      <c r="E566" t="s">
        <v>434</v>
      </c>
      <c r="F566" t="s">
        <v>435</v>
      </c>
      <c r="G566" t="s">
        <v>436</v>
      </c>
      <c r="H566" t="s">
        <v>254</v>
      </c>
      <c r="I566">
        <v>2000</v>
      </c>
      <c r="J566">
        <v>174</v>
      </c>
      <c r="K566" t="s">
        <v>437</v>
      </c>
      <c r="M566" t="str">
        <f>LEFT($D566,FIND(",",$D566)-1)&amp;"_"&amp;I566&amp;L566</f>
        <v>Borjesson_2000</v>
      </c>
      <c r="N566" t="s">
        <v>222</v>
      </c>
      <c r="O566" s="145" t="s">
        <v>223</v>
      </c>
      <c r="Q566" t="s">
        <v>256</v>
      </c>
      <c r="R566" s="251" t="s">
        <v>225</v>
      </c>
      <c r="S566" s="1" t="s">
        <v>464</v>
      </c>
      <c r="T566" t="s">
        <v>465</v>
      </c>
      <c r="U566" t="s">
        <v>472</v>
      </c>
      <c r="V566" s="253">
        <v>0</v>
      </c>
      <c r="W566" s="253">
        <v>0</v>
      </c>
      <c r="X566">
        <v>0</v>
      </c>
      <c r="Y566">
        <v>0</v>
      </c>
      <c r="Z566">
        <v>0</v>
      </c>
      <c r="AA566">
        <v>0</v>
      </c>
      <c r="AB566">
        <v>0</v>
      </c>
      <c r="AC566">
        <v>0</v>
      </c>
      <c r="AD566">
        <v>0</v>
      </c>
      <c r="AE566">
        <v>0</v>
      </c>
      <c r="AF566">
        <v>0</v>
      </c>
      <c r="AG566">
        <v>0</v>
      </c>
      <c r="AH566">
        <v>0</v>
      </c>
      <c r="AI566">
        <v>0</v>
      </c>
      <c r="AJ566">
        <v>1</v>
      </c>
      <c r="AK566">
        <v>0</v>
      </c>
      <c r="AL566">
        <v>0</v>
      </c>
      <c r="AM566">
        <v>0</v>
      </c>
      <c r="AN566">
        <v>0</v>
      </c>
      <c r="AO566">
        <v>0</v>
      </c>
      <c r="AP566">
        <v>0</v>
      </c>
      <c r="AQ566">
        <v>0</v>
      </c>
      <c r="AR566">
        <v>0</v>
      </c>
      <c r="AS566">
        <v>0</v>
      </c>
      <c r="AT566">
        <v>0</v>
      </c>
      <c r="AU566">
        <v>0</v>
      </c>
      <c r="AV566">
        <v>0</v>
      </c>
      <c r="AW566">
        <v>0</v>
      </c>
      <c r="AX566">
        <v>0</v>
      </c>
      <c r="AY566">
        <v>0</v>
      </c>
      <c r="AZ566" s="141">
        <f>COUNTIF(X566:AY566,"&lt;&gt;0")</f>
        <v>1</v>
      </c>
      <c r="BA566" s="141">
        <f>COUNTIF(X566:AN566,"&lt;&gt;0")</f>
        <v>1</v>
      </c>
      <c r="BB566">
        <f>COUNTIF(X566:AE566,"&lt;&gt;0")</f>
        <v>0</v>
      </c>
      <c r="BC566">
        <f>COUNTIF(AF566:AK566,"&lt;&gt;0")</f>
        <v>1</v>
      </c>
      <c r="BD566">
        <f>COUNTIF(AL566:AN566,"&lt;&gt;0")</f>
        <v>0</v>
      </c>
      <c r="BE566">
        <f>COUNTIF(AU566:AY566,"&lt;&gt;0")</f>
        <v>0</v>
      </c>
      <c r="BF566">
        <f>COUNTIF(AO566:AT566,"&lt;&gt;0")</f>
        <v>0</v>
      </c>
      <c r="BG566" t="str">
        <f t="array" ref="BG566">IF(BA566=1,INDEX($X$7:$AN$7,MATCH(TRUE,INDEX($X566:$AY566&lt;&gt;0,),0)),IF(BA566=0,INDEX($AO$7:$AY$7,MATCH(1,$AO566:$AY566,0)),IF(BH566="Multiple strategies","mixed drivers",IF(BH566="Supply chain","multiple supply","multiple silviculture"))))</f>
        <v xml:space="preserve">end of life disposal </v>
      </c>
      <c r="BH566" s="2" t="str" cm="1">
        <f t="array" ref="BH566">IF(COUNTIF(BB566:BD566,"&lt;&gt;0")=1,INDEX($X$4:$AY$4,MATCH(TRUE,INDEX($X566:$AY566&lt;&gt;0,),0)),IF(COUNTIF(BB566:BD566,"&lt;&gt;0")=0,INDEX($AO$4:$AY$4,MATCH(1,$AO566:$AY566,0)),"Multiple strategies"))</f>
        <v>Supply chain</v>
      </c>
      <c r="BI566" s="142" t="s">
        <v>229</v>
      </c>
      <c r="BJ566" t="s">
        <v>441</v>
      </c>
      <c r="BK566" s="260" t="s">
        <v>2949</v>
      </c>
      <c r="BL566" s="143" t="s">
        <v>442</v>
      </c>
      <c r="BM566">
        <f>3*44</f>
        <v>132</v>
      </c>
      <c r="BN566">
        <f>3*44</f>
        <v>132</v>
      </c>
      <c r="BO566" s="143">
        <f>BN566/BM566</f>
        <v>1</v>
      </c>
      <c r="BP566">
        <f>BN566-BM566</f>
        <v>0</v>
      </c>
      <c r="BQ566">
        <v>0</v>
      </c>
      <c r="BR566" t="s">
        <v>232</v>
      </c>
      <c r="BS566" s="256" t="s">
        <v>793</v>
      </c>
      <c r="BT566" t="s">
        <v>443</v>
      </c>
      <c r="BU566" s="141">
        <v>47</v>
      </c>
      <c r="BV566" s="141">
        <v>93</v>
      </c>
      <c r="BW566" s="144">
        <f>IFERROR(BV566/BU566,"")</f>
        <v>1.9787234042553192</v>
      </c>
      <c r="BX566">
        <f>BV566-BU566</f>
        <v>46</v>
      </c>
      <c r="BZ566">
        <f>BX566*C_to_CO2</f>
        <v>168.82</v>
      </c>
      <c r="CA566" t="str">
        <f>IFERROR(BZ566/BQ566,"")</f>
        <v/>
      </c>
      <c r="CB566" s="143">
        <v>0</v>
      </c>
      <c r="CC566" s="143">
        <v>0</v>
      </c>
      <c r="CD566" s="143">
        <v>0</v>
      </c>
      <c r="CE566" s="143">
        <v>0</v>
      </c>
      <c r="CF566" s="143">
        <v>0</v>
      </c>
      <c r="CG566" s="143">
        <v>0</v>
      </c>
      <c r="CH566" s="143">
        <v>0</v>
      </c>
      <c r="CI566" s="143">
        <v>0</v>
      </c>
      <c r="CJ566" s="143">
        <v>0</v>
      </c>
      <c r="CK566" s="143">
        <v>0</v>
      </c>
      <c r="CL566" s="143">
        <v>0</v>
      </c>
      <c r="CM566" s="143">
        <v>0</v>
      </c>
      <c r="CN566" s="143">
        <v>0</v>
      </c>
      <c r="CO566">
        <v>0</v>
      </c>
      <c r="CP566" t="str">
        <f>IF($BN566&lt;$BM566,"refNeedCorrection","refOK")</f>
        <v>refOK</v>
      </c>
      <c r="CQ566">
        <f>IF($CP566="refOK",$BM566,$BN566)</f>
        <v>132</v>
      </c>
      <c r="CR566">
        <f>IF($CP566="refOK",$BN566,$BM566)</f>
        <v>132</v>
      </c>
      <c r="CS566">
        <f>IF($CP566="refOK",$BQ566,-$BQ566)</f>
        <v>0</v>
      </c>
      <c r="CT566">
        <f>IF(BI566="Roundwood",$CS566/2,$CS566)</f>
        <v>0</v>
      </c>
      <c r="CU566">
        <f>IF($CP566="refOK",$BU566,$BV566)*IF($BR566="Emissions positive",-1,1)</f>
        <v>47</v>
      </c>
      <c r="CV566">
        <f>IF($CP566="refOK",$BV566,$BU566)*IF($BR566="Emissions positive",-1,1)</f>
        <v>93</v>
      </c>
      <c r="CW566">
        <f>IF($CP566="refNeedCorrection",-BZ566,BZ566)*IF($BR566="Emissions positive",-1,1)</f>
        <v>168.82</v>
      </c>
      <c r="CX566" t="str">
        <f>IFERROR($CW566/$CS566,"")</f>
        <v/>
      </c>
      <c r="CY566" t="str">
        <f>IFERROR($CW566/$CS566,"")</f>
        <v/>
      </c>
      <c r="CZ566" t="str">
        <f>IFERROR($CW566/$CT566,"")</f>
        <v/>
      </c>
      <c r="DA566" s="2">
        <f>IFERROR((CV566-CU566)/ABS(CU566),"")</f>
        <v>0.97872340425531912</v>
      </c>
      <c r="DB566" s="1" t="s">
        <v>263</v>
      </c>
      <c r="DC566" t="str">
        <f>IF(OR($DB566="prd",$DB566="std",$DB566="cit"),"loc",IF(OR($DB566="eur",$DB566="reg",$DB566="coy"),"reg",$DB566))</f>
        <v>loc</v>
      </c>
      <c r="DD566" t="s">
        <v>444</v>
      </c>
      <c r="DG566">
        <v>300</v>
      </c>
      <c r="DH566" t="str">
        <f>IF(DG566=0,"0",IF(AND(DG566&gt;=1,DG566&lt;=30),"1-30",IF(AND(DG566&gt;30,DG566&lt;=70),"31-70",IF(AND(DG566&gt;70,DG566&lt;=100),"71-100",IF(DG566&gt;100,"+100")))))</f>
        <v>+100</v>
      </c>
      <c r="DI566">
        <v>0</v>
      </c>
      <c r="DJ566">
        <v>1</v>
      </c>
      <c r="DK566">
        <v>0</v>
      </c>
      <c r="DL566">
        <v>0</v>
      </c>
      <c r="DN566">
        <f>SUM(DI566:DL566)</f>
        <v>1</v>
      </c>
      <c r="DO566" t="str">
        <f>IF(DN566=1,INDEX($DI$7:$DL$7,MATCH(1,$DI566:$DL566,0)),"mixedProduct")</f>
        <v>EnergyInput</v>
      </c>
      <c r="DP566">
        <f>IF(DI566=1,DP$7,0)</f>
        <v>0</v>
      </c>
      <c r="DQ566" t="str">
        <f>IF(DJ566=1,DQ$7,0)</f>
        <v>Energy</v>
      </c>
      <c r="DR566">
        <f>IF(DK566=1,DR$7,0)</f>
        <v>0</v>
      </c>
      <c r="DS566">
        <f>IF(DL566=1,DS$7,0)</f>
        <v>0</v>
      </c>
      <c r="DT566">
        <v>1</v>
      </c>
      <c r="DU566" s="143">
        <v>0</v>
      </c>
      <c r="DV566" s="143">
        <v>0</v>
      </c>
      <c r="DW566" s="143">
        <v>0</v>
      </c>
      <c r="DX566">
        <v>0</v>
      </c>
      <c r="DY566">
        <f>SUM(DT566:DU566)</f>
        <v>1</v>
      </c>
      <c r="DZ566" s="143" t="str">
        <f>IF(DT566=1,"self-calculated DF",IF(DU566=1,"external DF used","explicit C balance"))</f>
        <v>self-calculated DF</v>
      </c>
      <c r="EA566">
        <v>0</v>
      </c>
      <c r="EB566" s="143">
        <v>0</v>
      </c>
      <c r="EC566" s="143">
        <v>1</v>
      </c>
      <c r="ED566" s="143">
        <v>1</v>
      </c>
      <c r="EE566">
        <v>1</v>
      </c>
      <c r="EF566" s="143">
        <v>1</v>
      </c>
      <c r="EG566">
        <v>0</v>
      </c>
      <c r="EH566" s="143">
        <v>1</v>
      </c>
      <c r="EI566" s="143">
        <v>0</v>
      </c>
      <c r="EJ566">
        <v>0</v>
      </c>
      <c r="EK566">
        <v>0</v>
      </c>
      <c r="EL566" s="143">
        <v>0</v>
      </c>
      <c r="EM566" s="143">
        <v>0</v>
      </c>
      <c r="EN566" s="2">
        <v>0</v>
      </c>
      <c r="EP566" t="str">
        <f>IF(AND(AND(AND(OR($EC566=1,$EB566=1),OR($EH566=1,$EF566=1)),SUM($EA566:$EE566,$EK566)&gt;=3),SUM($EF566:$EJ566)&gt;=2),"Whole sector approach","")</f>
        <v>Whole sector approach</v>
      </c>
      <c r="EQ566" t="str">
        <f>IF(AND(AND(OR($EC566=1,$EB566=1),AND($EH566=0,$EF566=0)),SUM($EA566:$EE566,$EK566)&gt;=4),"Ecosystem approach","")</f>
        <v/>
      </c>
      <c r="ER566" s="2" t="str">
        <f>IF(AND(AND(AND($EC566=0,$EB566=0),OR($EH566=1,$EF566=1)),SUM($EG566:$EJ566)&gt;=2),"Technology approach","")</f>
        <v/>
      </c>
      <c r="ES566" t="str">
        <f>IF(AND($EC566+$EB566+$EE566+$EA566+$ED566+$EG566=0,$N566="included"),"C neutral forest and HWP assumption","")</f>
        <v/>
      </c>
      <c r="ET566" t="str">
        <f>IF(AND(AND(AND(AND($EC566=1,$EB566+$EA566+$EG566&gt;=1),$EF566=1),$EH566+$EI566+$ED566+$EE566&gt;=2),$N566="included"),"All C pools assumption","")</f>
        <v/>
      </c>
      <c r="EU566" t="str">
        <f>IF(AND($ED566+$EE566+$EI566+$EH566+$EF566=0,$N566="included"),"In-situ only assumption","")</f>
        <v/>
      </c>
      <c r="EW566" t="s">
        <v>445</v>
      </c>
      <c r="EY566" t="b">
        <f>IF(ISNUMBER(BW566),IF(ABS(BW566-[6]QC_indicators!$B$2)&gt;3*[6]QC_indicators!$C$2,"C ratio",IF(ISNUMBER(CA566),IF(ABS(CA566-[6]QC_indicators!$B$1)&gt;3*[6]QC_indicators!$C$1,"DF","no"))),IF(ISNUMBER(CA566),IF(ABS(CA566-[6]QC_indicators!$B$1)&gt;3*[6]QC_indicators!$C$1,"DF","no")))</f>
        <v>0</v>
      </c>
      <c r="FA566" t="str">
        <f>IF(LEN($CY566)=0,"",IF(AND($CY566&lt;(-0.05),$ES566="C neutral forest and HWP assumption"),"Cneutral paradox",IF(AND($CY566&gt;0.05,$EU566="In-situ only assumption"),"In-situ only paradox","")))</f>
        <v/>
      </c>
      <c r="FD566" s="260" t="s">
        <v>2948</v>
      </c>
    </row>
    <row r="567" spans="1:160" ht="15" hidden="1" customHeight="1">
      <c r="A567" s="1" t="s">
        <v>430</v>
      </c>
      <c r="B567" t="s">
        <v>431</v>
      </c>
      <c r="C567" t="s">
        <v>432</v>
      </c>
      <c r="D567" t="s">
        <v>433</v>
      </c>
      <c r="E567" t="s">
        <v>434</v>
      </c>
      <c r="F567" t="s">
        <v>435</v>
      </c>
      <c r="G567" t="s">
        <v>436</v>
      </c>
      <c r="H567" t="s">
        <v>254</v>
      </c>
      <c r="I567">
        <v>2000</v>
      </c>
      <c r="J567">
        <v>174</v>
      </c>
      <c r="K567" t="s">
        <v>437</v>
      </c>
      <c r="M567" t="str">
        <f>LEFT($D567,FIND(",",$D567)-1)&amp;"_"&amp;I567&amp;L567</f>
        <v>Borjesson_2000</v>
      </c>
      <c r="N567" t="s">
        <v>222</v>
      </c>
      <c r="O567" s="145" t="s">
        <v>223</v>
      </c>
      <c r="Q567" t="s">
        <v>256</v>
      </c>
      <c r="R567" s="251" t="s">
        <v>225</v>
      </c>
      <c r="S567" s="1" t="s">
        <v>464</v>
      </c>
      <c r="T567" t="s">
        <v>465</v>
      </c>
      <c r="U567" t="s">
        <v>466</v>
      </c>
      <c r="V567" s="253">
        <v>0</v>
      </c>
      <c r="W567" s="253">
        <v>0</v>
      </c>
      <c r="X567">
        <v>0</v>
      </c>
      <c r="Y567">
        <v>0</v>
      </c>
      <c r="Z567">
        <v>0</v>
      </c>
      <c r="AA567">
        <v>0</v>
      </c>
      <c r="AB567">
        <v>0</v>
      </c>
      <c r="AC567">
        <v>0</v>
      </c>
      <c r="AD567">
        <v>0</v>
      </c>
      <c r="AE567">
        <v>0</v>
      </c>
      <c r="AF567">
        <v>0</v>
      </c>
      <c r="AG567">
        <v>0</v>
      </c>
      <c r="AH567">
        <v>0</v>
      </c>
      <c r="AI567">
        <v>0</v>
      </c>
      <c r="AJ567">
        <v>1</v>
      </c>
      <c r="AK567">
        <v>0</v>
      </c>
      <c r="AL567">
        <v>0</v>
      </c>
      <c r="AM567">
        <v>0</v>
      </c>
      <c r="AN567">
        <v>0</v>
      </c>
      <c r="AO567">
        <v>0</v>
      </c>
      <c r="AP567">
        <v>0</v>
      </c>
      <c r="AQ567">
        <v>0</v>
      </c>
      <c r="AR567">
        <v>0</v>
      </c>
      <c r="AS567">
        <v>0</v>
      </c>
      <c r="AT567">
        <v>0</v>
      </c>
      <c r="AU567">
        <v>0</v>
      </c>
      <c r="AV567">
        <v>0</v>
      </c>
      <c r="AW567">
        <v>0</v>
      </c>
      <c r="AX567">
        <v>0</v>
      </c>
      <c r="AY567">
        <v>0</v>
      </c>
      <c r="AZ567" s="141">
        <f>COUNTIF(X567:AY567,"&lt;&gt;0")</f>
        <v>1</v>
      </c>
      <c r="BA567" s="141">
        <f>COUNTIF(X567:AN567,"&lt;&gt;0")</f>
        <v>1</v>
      </c>
      <c r="BB567">
        <f>COUNTIF(X567:AE567,"&lt;&gt;0")</f>
        <v>0</v>
      </c>
      <c r="BC567">
        <f>COUNTIF(AF567:AK567,"&lt;&gt;0")</f>
        <v>1</v>
      </c>
      <c r="BD567">
        <f>COUNTIF(AL567:AN567,"&lt;&gt;0")</f>
        <v>0</v>
      </c>
      <c r="BE567">
        <f>COUNTIF(AU567:AY567,"&lt;&gt;0")</f>
        <v>0</v>
      </c>
      <c r="BF567">
        <f>COUNTIF(AO567:AT567,"&lt;&gt;0")</f>
        <v>0</v>
      </c>
      <c r="BG567" t="str">
        <f t="array" ref="BG567">IF(BA567=1,INDEX($X$7:$AN$7,MATCH(TRUE,INDEX($X567:$AY567&lt;&gt;0,),0)),IF(BA567=0,INDEX($AO$7:$AY$7,MATCH(1,$AO567:$AY567,0)),IF(BH567="Multiple strategies","mixed drivers",IF(BH567="Supply chain","multiple supply","multiple silviculture"))))</f>
        <v xml:space="preserve">end of life disposal </v>
      </c>
      <c r="BH567" s="2" t="str" cm="1">
        <f t="array" ref="BH567">IF(COUNTIF(BB567:BD567,"&lt;&gt;0")=1,INDEX($X$4:$AY$4,MATCH(TRUE,INDEX($X567:$AY567&lt;&gt;0,),0)),IF(COUNTIF(BB567:BD567,"&lt;&gt;0")=0,INDEX($AO$4:$AY$4,MATCH(1,$AO567:$AY567,0)),"Multiple strategies"))</f>
        <v>Supply chain</v>
      </c>
      <c r="BI567" s="142" t="s">
        <v>229</v>
      </c>
      <c r="BJ567" t="s">
        <v>441</v>
      </c>
      <c r="BK567" s="260" t="s">
        <v>2949</v>
      </c>
      <c r="BL567" s="143" t="s">
        <v>442</v>
      </c>
      <c r="BM567">
        <v>44</v>
      </c>
      <c r="BN567">
        <v>44</v>
      </c>
      <c r="BO567" s="143">
        <f>BN567/BM567</f>
        <v>1</v>
      </c>
      <c r="BP567">
        <f>BN567-BM567</f>
        <v>0</v>
      </c>
      <c r="BQ567">
        <v>0</v>
      </c>
      <c r="BR567" t="s">
        <v>232</v>
      </c>
      <c r="BS567" s="256" t="s">
        <v>793</v>
      </c>
      <c r="BT567" t="s">
        <v>443</v>
      </c>
      <c r="BU567" s="141">
        <v>47</v>
      </c>
      <c r="BV567" s="141">
        <v>97</v>
      </c>
      <c r="BW567" s="144">
        <f>IFERROR(BV567/BU567,"")</f>
        <v>2.0638297872340425</v>
      </c>
      <c r="BX567">
        <f>BV567-BU567</f>
        <v>50</v>
      </c>
      <c r="BZ567">
        <f>BX567*C_to_CO2</f>
        <v>183.5</v>
      </c>
      <c r="CA567" t="str">
        <f>IFERROR(BZ567/BQ567,"")</f>
        <v/>
      </c>
      <c r="CB567" s="143">
        <v>0</v>
      </c>
      <c r="CC567" s="143">
        <v>0</v>
      </c>
      <c r="CD567" s="143">
        <v>0</v>
      </c>
      <c r="CE567" s="143">
        <v>0</v>
      </c>
      <c r="CF567" s="143">
        <v>0</v>
      </c>
      <c r="CG567" s="143">
        <v>0</v>
      </c>
      <c r="CH567" s="143">
        <v>0</v>
      </c>
      <c r="CI567" s="143">
        <v>0</v>
      </c>
      <c r="CJ567" s="143">
        <v>0</v>
      </c>
      <c r="CK567" s="143">
        <v>0</v>
      </c>
      <c r="CL567" s="143">
        <v>0</v>
      </c>
      <c r="CM567" s="143">
        <v>0</v>
      </c>
      <c r="CN567" s="143">
        <v>0</v>
      </c>
      <c r="CO567">
        <v>0</v>
      </c>
      <c r="CP567" t="str">
        <f>IF($BN567&lt;$BM567,"refNeedCorrection","refOK")</f>
        <v>refOK</v>
      </c>
      <c r="CQ567">
        <f>IF($CP567="refOK",$BM567,$BN567)</f>
        <v>44</v>
      </c>
      <c r="CR567">
        <f>IF($CP567="refOK",$BN567,$BM567)</f>
        <v>44</v>
      </c>
      <c r="CS567">
        <f>IF($CP567="refOK",$BQ567,-$BQ567)</f>
        <v>0</v>
      </c>
      <c r="CT567">
        <f>IF(BI567="Roundwood",$CS567/2,$CS567)</f>
        <v>0</v>
      </c>
      <c r="CU567">
        <f>IF($CP567="refOK",$BU567,$BV567)*IF($BR567="Emissions positive",-1,1)</f>
        <v>47</v>
      </c>
      <c r="CV567">
        <f>IF($CP567="refOK",$BV567,$BU567)*IF($BR567="Emissions positive",-1,1)</f>
        <v>97</v>
      </c>
      <c r="CW567">
        <f>IF($CP567="refNeedCorrection",-BZ567,BZ567)*IF($BR567="Emissions positive",-1,1)</f>
        <v>183.5</v>
      </c>
      <c r="CX567" t="str">
        <f>IFERROR($CW567/$CS567,"")</f>
        <v/>
      </c>
      <c r="CY567" t="str">
        <f>IFERROR($CW567/$CS567,"")</f>
        <v/>
      </c>
      <c r="CZ567" t="str">
        <f>IFERROR($CW567/$CT567,"")</f>
        <v/>
      </c>
      <c r="DA567" s="2">
        <f>IFERROR((CV567-CU567)/ABS(CU567),"")</f>
        <v>1.0638297872340425</v>
      </c>
      <c r="DB567" s="1" t="s">
        <v>263</v>
      </c>
      <c r="DC567" t="str">
        <f>IF(OR($DB567="prd",$DB567="std",$DB567="cit"),"loc",IF(OR($DB567="eur",$DB567="reg",$DB567="coy"),"reg",$DB567))</f>
        <v>loc</v>
      </c>
      <c r="DD567" t="s">
        <v>444</v>
      </c>
      <c r="DG567">
        <v>300</v>
      </c>
      <c r="DH567" t="str">
        <f>IF(DG567=0,"0",IF(AND(DG567&gt;=1,DG567&lt;=30),"1-30",IF(AND(DG567&gt;30,DG567&lt;=70),"31-70",IF(AND(DG567&gt;70,DG567&lt;=100),"71-100",IF(DG567&gt;100,"+100")))))</f>
        <v>+100</v>
      </c>
      <c r="DI567">
        <v>0</v>
      </c>
      <c r="DJ567">
        <v>1</v>
      </c>
      <c r="DK567">
        <v>0</v>
      </c>
      <c r="DL567">
        <v>0</v>
      </c>
      <c r="DN567">
        <f>SUM(DI567:DL567)</f>
        <v>1</v>
      </c>
      <c r="DO567" t="str">
        <f>IF(DN567=1,INDEX($DI$7:$DL$7,MATCH(1,$DI567:$DL567,0)),"mixedProduct")</f>
        <v>EnergyInput</v>
      </c>
      <c r="DP567">
        <f>IF(DI567=1,DP$7,0)</f>
        <v>0</v>
      </c>
      <c r="DQ567" t="str">
        <f>IF(DJ567=1,DQ$7,0)</f>
        <v>Energy</v>
      </c>
      <c r="DR567">
        <f>IF(DK567=1,DR$7,0)</f>
        <v>0</v>
      </c>
      <c r="DS567">
        <f>IF(DL567=1,DS$7,0)</f>
        <v>0</v>
      </c>
      <c r="DT567">
        <v>1</v>
      </c>
      <c r="DU567" s="143">
        <v>0</v>
      </c>
      <c r="DV567" s="143">
        <v>0</v>
      </c>
      <c r="DW567" s="143">
        <v>0</v>
      </c>
      <c r="DX567">
        <v>0</v>
      </c>
      <c r="DY567">
        <f>SUM(DT567:DU567)</f>
        <v>1</v>
      </c>
      <c r="DZ567" s="143" t="str">
        <f>IF(DT567=1,"self-calculated DF",IF(DU567=1,"external DF used","explicit C balance"))</f>
        <v>self-calculated DF</v>
      </c>
      <c r="EA567">
        <v>0</v>
      </c>
      <c r="EB567" s="143">
        <v>0</v>
      </c>
      <c r="EC567" s="143">
        <v>1</v>
      </c>
      <c r="ED567" s="143">
        <v>1</v>
      </c>
      <c r="EE567">
        <v>1</v>
      </c>
      <c r="EF567" s="143">
        <v>1</v>
      </c>
      <c r="EG567">
        <v>0</v>
      </c>
      <c r="EH567" s="143">
        <v>1</v>
      </c>
      <c r="EI567" s="143">
        <v>0</v>
      </c>
      <c r="EJ567">
        <v>0</v>
      </c>
      <c r="EK567">
        <v>0</v>
      </c>
      <c r="EL567" s="143">
        <v>0</v>
      </c>
      <c r="EM567" s="143">
        <v>0</v>
      </c>
      <c r="EN567" s="2">
        <v>0</v>
      </c>
      <c r="EP567" t="str">
        <f>IF(AND(AND(AND(OR($EC567=1,$EB567=1),OR($EH567=1,$EF567=1)),SUM($EA567:$EE567,$EK567)&gt;=3),SUM($EF567:$EJ567)&gt;=2),"Whole sector approach","")</f>
        <v>Whole sector approach</v>
      </c>
      <c r="EQ567" t="str">
        <f>IF(AND(AND(OR($EC567=1,$EB567=1),AND($EH567=0,$EF567=0)),SUM($EA567:$EE567,$EK567)&gt;=4),"Ecosystem approach","")</f>
        <v/>
      </c>
      <c r="ER567" s="2" t="str">
        <f>IF(AND(AND(AND($EC567=0,$EB567=0),OR($EH567=1,$EF567=1)),SUM($EG567:$EJ567)&gt;=2),"Technology approach","")</f>
        <v/>
      </c>
      <c r="ES567" t="str">
        <f>IF(AND($EC567+$EB567+$EE567+$EA567+$ED567+$EG567=0,$N567="included"),"C neutral forest and HWP assumption","")</f>
        <v/>
      </c>
      <c r="ET567" t="str">
        <f>IF(AND(AND(AND(AND($EC567=1,$EB567+$EA567+$EG567&gt;=1),$EF567=1),$EH567+$EI567+$ED567+$EE567&gt;=2),$N567="included"),"All C pools assumption","")</f>
        <v/>
      </c>
      <c r="EU567" t="str">
        <f>IF(AND($ED567+$EE567+$EI567+$EH567+$EF567=0,$N567="included"),"In-situ only assumption","")</f>
        <v/>
      </c>
      <c r="EW567" t="s">
        <v>445</v>
      </c>
      <c r="EY567" t="b">
        <f>IF(ISNUMBER(BW567),IF(ABS(BW567-[6]QC_indicators!$B$2)&gt;3*[6]QC_indicators!$C$2,"C ratio",IF(ISNUMBER(CA567),IF(ABS(CA567-[6]QC_indicators!$B$1)&gt;3*[6]QC_indicators!$C$1,"DF","no"))),IF(ISNUMBER(CA567),IF(ABS(CA567-[6]QC_indicators!$B$1)&gt;3*[6]QC_indicators!$C$1,"DF","no")))</f>
        <v>0</v>
      </c>
      <c r="FA567" t="str">
        <f>IF(LEN($CY567)=0,"",IF(AND($CY567&lt;(-0.05),$ES567="C neutral forest and HWP assumption"),"Cneutral paradox",IF(AND($CY567&gt;0.05,$EU567="In-situ only assumption"),"In-situ only paradox","")))</f>
        <v/>
      </c>
      <c r="FD567" s="260" t="s">
        <v>2948</v>
      </c>
    </row>
    <row r="568" spans="1:160" ht="15" hidden="1" customHeight="1">
      <c r="A568" s="1" t="s">
        <v>430</v>
      </c>
      <c r="B568" t="s">
        <v>431</v>
      </c>
      <c r="C568" t="s">
        <v>432</v>
      </c>
      <c r="D568" t="s">
        <v>433</v>
      </c>
      <c r="E568" t="s">
        <v>434</v>
      </c>
      <c r="F568" t="s">
        <v>435</v>
      </c>
      <c r="G568" t="s">
        <v>436</v>
      </c>
      <c r="H568" t="s">
        <v>254</v>
      </c>
      <c r="I568">
        <v>2000</v>
      </c>
      <c r="J568">
        <v>174</v>
      </c>
      <c r="K568" t="s">
        <v>437</v>
      </c>
      <c r="M568" t="str">
        <f>LEFT($D568,FIND(",",$D568)-1)&amp;"_"&amp;I568&amp;L568</f>
        <v>Borjesson_2000</v>
      </c>
      <c r="N568" t="s">
        <v>222</v>
      </c>
      <c r="O568" s="145" t="s">
        <v>223</v>
      </c>
      <c r="Q568" t="s">
        <v>256</v>
      </c>
      <c r="R568" s="251" t="s">
        <v>225</v>
      </c>
      <c r="S568" s="1" t="s">
        <v>464</v>
      </c>
      <c r="T568" t="s">
        <v>465</v>
      </c>
      <c r="U568" t="s">
        <v>470</v>
      </c>
      <c r="V568" s="253">
        <v>0</v>
      </c>
      <c r="W568" s="253">
        <v>0</v>
      </c>
      <c r="X568">
        <v>0</v>
      </c>
      <c r="Y568">
        <v>0</v>
      </c>
      <c r="Z568">
        <v>0</v>
      </c>
      <c r="AA568">
        <v>0</v>
      </c>
      <c r="AB568">
        <v>0</v>
      </c>
      <c r="AC568">
        <v>0</v>
      </c>
      <c r="AD568">
        <v>0</v>
      </c>
      <c r="AE568">
        <v>0</v>
      </c>
      <c r="AF568">
        <v>0</v>
      </c>
      <c r="AG568">
        <v>0</v>
      </c>
      <c r="AH568">
        <v>0</v>
      </c>
      <c r="AI568">
        <v>0</v>
      </c>
      <c r="AJ568">
        <v>1</v>
      </c>
      <c r="AK568">
        <v>0</v>
      </c>
      <c r="AL568">
        <v>0</v>
      </c>
      <c r="AM568">
        <v>0</v>
      </c>
      <c r="AN568">
        <v>0</v>
      </c>
      <c r="AO568">
        <v>0</v>
      </c>
      <c r="AP568">
        <v>0</v>
      </c>
      <c r="AQ568">
        <v>0</v>
      </c>
      <c r="AR568">
        <v>0</v>
      </c>
      <c r="AS568">
        <v>0</v>
      </c>
      <c r="AT568">
        <v>0</v>
      </c>
      <c r="AU568">
        <v>0</v>
      </c>
      <c r="AV568">
        <v>0</v>
      </c>
      <c r="AW568">
        <v>0</v>
      </c>
      <c r="AX568">
        <v>0</v>
      </c>
      <c r="AY568">
        <v>0</v>
      </c>
      <c r="AZ568" s="141">
        <f>COUNTIF(X568:AY568,"&lt;&gt;0")</f>
        <v>1</v>
      </c>
      <c r="BA568" s="141">
        <f>COUNTIF(X568:AN568,"&lt;&gt;0")</f>
        <v>1</v>
      </c>
      <c r="BB568">
        <f>COUNTIF(X568:AE568,"&lt;&gt;0")</f>
        <v>0</v>
      </c>
      <c r="BC568">
        <f>COUNTIF(AF568:AK568,"&lt;&gt;0")</f>
        <v>1</v>
      </c>
      <c r="BD568">
        <f>COUNTIF(AL568:AN568,"&lt;&gt;0")</f>
        <v>0</v>
      </c>
      <c r="BE568">
        <f>COUNTIF(AU568:AY568,"&lt;&gt;0")</f>
        <v>0</v>
      </c>
      <c r="BF568">
        <f>COUNTIF(AO568:AT568,"&lt;&gt;0")</f>
        <v>0</v>
      </c>
      <c r="BG568" t="str">
        <f t="array" ref="BG568">IF(BA568=1,INDEX($X$7:$AN$7,MATCH(TRUE,INDEX($X568:$AY568&lt;&gt;0,),0)),IF(BA568=0,INDEX($AO$7:$AY$7,MATCH(1,$AO568:$AY568,0)),IF(BH568="Multiple strategies","mixed drivers",IF(BH568="Supply chain","multiple supply","multiple silviculture"))))</f>
        <v xml:space="preserve">end of life disposal </v>
      </c>
      <c r="BH568" s="2" t="str" cm="1">
        <f t="array" ref="BH568">IF(COUNTIF(BB568:BD568,"&lt;&gt;0")=1,INDEX($X$4:$AY$4,MATCH(TRUE,INDEX($X568:$AY568&lt;&gt;0,),0)),IF(COUNTIF(BB568:BD568,"&lt;&gt;0")=0,INDEX($AO$4:$AY$4,MATCH(1,$AO568:$AY568,0)),"Multiple strategies"))</f>
        <v>Supply chain</v>
      </c>
      <c r="BI568" s="142" t="s">
        <v>229</v>
      </c>
      <c r="BJ568" t="s">
        <v>441</v>
      </c>
      <c r="BK568" s="260" t="s">
        <v>2949</v>
      </c>
      <c r="BL568" s="143" t="s">
        <v>442</v>
      </c>
      <c r="BM568">
        <f>3*44</f>
        <v>132</v>
      </c>
      <c r="BN568">
        <f>3*44</f>
        <v>132</v>
      </c>
      <c r="BO568" s="143">
        <f>BN568/BM568</f>
        <v>1</v>
      </c>
      <c r="BP568">
        <f>BN568-BM568</f>
        <v>0</v>
      </c>
      <c r="BQ568">
        <v>0</v>
      </c>
      <c r="BR568" t="s">
        <v>232</v>
      </c>
      <c r="BS568" s="256" t="s">
        <v>793</v>
      </c>
      <c r="BT568" t="s">
        <v>443</v>
      </c>
      <c r="BU568" s="141">
        <v>47</v>
      </c>
      <c r="BV568" s="141">
        <v>111</v>
      </c>
      <c r="BW568" s="144">
        <f>IFERROR(BV568/BU568,"")</f>
        <v>2.3617021276595747</v>
      </c>
      <c r="BX568">
        <f>BV568-BU568</f>
        <v>64</v>
      </c>
      <c r="BZ568">
        <f>BX568*C_to_CO2</f>
        <v>234.88</v>
      </c>
      <c r="CA568" t="str">
        <f>IFERROR(BZ568/BQ568,"")</f>
        <v/>
      </c>
      <c r="CB568" s="143">
        <v>0</v>
      </c>
      <c r="CC568" s="143">
        <v>0</v>
      </c>
      <c r="CD568" s="143">
        <v>0</v>
      </c>
      <c r="CE568" s="143">
        <v>0</v>
      </c>
      <c r="CF568" s="143">
        <v>0</v>
      </c>
      <c r="CG568" s="143">
        <v>0</v>
      </c>
      <c r="CH568" s="143">
        <v>0</v>
      </c>
      <c r="CI568" s="143">
        <v>0</v>
      </c>
      <c r="CJ568" s="143">
        <v>0</v>
      </c>
      <c r="CK568" s="143">
        <v>0</v>
      </c>
      <c r="CL568" s="143">
        <v>0</v>
      </c>
      <c r="CM568" s="143">
        <v>0</v>
      </c>
      <c r="CN568" s="143">
        <v>0</v>
      </c>
      <c r="CO568">
        <v>0</v>
      </c>
      <c r="CP568" t="str">
        <f>IF($BN568&lt;$BM568,"refNeedCorrection","refOK")</f>
        <v>refOK</v>
      </c>
      <c r="CQ568">
        <f>IF($CP568="refOK",$BM568,$BN568)</f>
        <v>132</v>
      </c>
      <c r="CR568">
        <f>IF($CP568="refOK",$BN568,$BM568)</f>
        <v>132</v>
      </c>
      <c r="CS568">
        <f>IF($CP568="refOK",$BQ568,-$BQ568)</f>
        <v>0</v>
      </c>
      <c r="CT568">
        <f>IF(BI568="Roundwood",$CS568/2,$CS568)</f>
        <v>0</v>
      </c>
      <c r="CU568">
        <f>IF($CP568="refOK",$BU568,$BV568)*IF($BR568="Emissions positive",-1,1)</f>
        <v>47</v>
      </c>
      <c r="CV568">
        <f>IF($CP568="refOK",$BV568,$BU568)*IF($BR568="Emissions positive",-1,1)</f>
        <v>111</v>
      </c>
      <c r="CW568">
        <f>IF($CP568="refNeedCorrection",-BZ568,BZ568)*IF($BR568="Emissions positive",-1,1)</f>
        <v>234.88</v>
      </c>
      <c r="CX568" t="str">
        <f>IFERROR($CW568/$CS568,"")</f>
        <v/>
      </c>
      <c r="CY568" t="str">
        <f>IFERROR($CW568/$CS568,"")</f>
        <v/>
      </c>
      <c r="CZ568" t="str">
        <f>IFERROR($CW568/$CT568,"")</f>
        <v/>
      </c>
      <c r="DA568" s="2">
        <f>IFERROR((CV568-CU568)/ABS(CU568),"")</f>
        <v>1.3617021276595744</v>
      </c>
      <c r="DB568" s="1" t="s">
        <v>263</v>
      </c>
      <c r="DC568" t="str">
        <f>IF(OR($DB568="prd",$DB568="std",$DB568="cit"),"loc",IF(OR($DB568="eur",$DB568="reg",$DB568="coy"),"reg",$DB568))</f>
        <v>loc</v>
      </c>
      <c r="DD568" t="s">
        <v>444</v>
      </c>
      <c r="DG568">
        <v>300</v>
      </c>
      <c r="DH568" t="str">
        <f>IF(DG568=0,"0",IF(AND(DG568&gt;=1,DG568&lt;=30),"1-30",IF(AND(DG568&gt;30,DG568&lt;=70),"31-70",IF(AND(DG568&gt;70,DG568&lt;=100),"71-100",IF(DG568&gt;100,"+100")))))</f>
        <v>+100</v>
      </c>
      <c r="DI568">
        <v>0</v>
      </c>
      <c r="DJ568">
        <v>1</v>
      </c>
      <c r="DK568">
        <v>0</v>
      </c>
      <c r="DL568">
        <v>0</v>
      </c>
      <c r="DN568">
        <f>SUM(DI568:DL568)</f>
        <v>1</v>
      </c>
      <c r="DO568" t="str">
        <f>IF(DN568=1,INDEX($DI$7:$DL$7,MATCH(1,$DI568:$DL568,0)),"mixedProduct")</f>
        <v>EnergyInput</v>
      </c>
      <c r="DP568">
        <f>IF(DI568=1,DP$7,0)</f>
        <v>0</v>
      </c>
      <c r="DQ568" t="str">
        <f>IF(DJ568=1,DQ$7,0)</f>
        <v>Energy</v>
      </c>
      <c r="DR568">
        <f>IF(DK568=1,DR$7,0)</f>
        <v>0</v>
      </c>
      <c r="DS568">
        <f>IF(DL568=1,DS$7,0)</f>
        <v>0</v>
      </c>
      <c r="DT568">
        <v>1</v>
      </c>
      <c r="DU568" s="143">
        <v>0</v>
      </c>
      <c r="DV568" s="143">
        <v>0</v>
      </c>
      <c r="DW568" s="143">
        <v>0</v>
      </c>
      <c r="DX568">
        <v>0</v>
      </c>
      <c r="DY568">
        <f>SUM(DT568:DU568)</f>
        <v>1</v>
      </c>
      <c r="DZ568" s="143" t="str">
        <f>IF(DT568=1,"self-calculated DF",IF(DU568=1,"external DF used","explicit C balance"))</f>
        <v>self-calculated DF</v>
      </c>
      <c r="EA568">
        <v>0</v>
      </c>
      <c r="EB568" s="143">
        <v>0</v>
      </c>
      <c r="EC568" s="143">
        <v>1</v>
      </c>
      <c r="ED568" s="143">
        <v>1</v>
      </c>
      <c r="EE568">
        <v>1</v>
      </c>
      <c r="EF568" s="143">
        <v>1</v>
      </c>
      <c r="EG568">
        <v>0</v>
      </c>
      <c r="EH568" s="143">
        <v>1</v>
      </c>
      <c r="EI568" s="143">
        <v>0</v>
      </c>
      <c r="EJ568">
        <v>0</v>
      </c>
      <c r="EK568">
        <v>0</v>
      </c>
      <c r="EL568" s="143">
        <v>0</v>
      </c>
      <c r="EM568" s="143">
        <v>0</v>
      </c>
      <c r="EN568" s="2">
        <v>0</v>
      </c>
      <c r="EP568" t="str">
        <f>IF(AND(AND(AND(OR($EC568=1,$EB568=1),OR($EH568=1,$EF568=1)),SUM($EA568:$EE568,$EK568)&gt;=3),SUM($EF568:$EJ568)&gt;=2),"Whole sector approach","")</f>
        <v>Whole sector approach</v>
      </c>
      <c r="EQ568" t="str">
        <f>IF(AND(AND(OR($EC568=1,$EB568=1),AND($EH568=0,$EF568=0)),SUM($EA568:$EE568,$EK568)&gt;=4),"Ecosystem approach","")</f>
        <v/>
      </c>
      <c r="ER568" s="2" t="str">
        <f>IF(AND(AND(AND($EC568=0,$EB568=0),OR($EH568=1,$EF568=1)),SUM($EG568:$EJ568)&gt;=2),"Technology approach","")</f>
        <v/>
      </c>
      <c r="ES568" t="str">
        <f>IF(AND($EC568+$EB568+$EE568+$EA568+$ED568+$EG568=0,$N568="included"),"C neutral forest and HWP assumption","")</f>
        <v/>
      </c>
      <c r="ET568" t="str">
        <f>IF(AND(AND(AND(AND($EC568=1,$EB568+$EA568+$EG568&gt;=1),$EF568=1),$EH568+$EI568+$ED568+$EE568&gt;=2),$N568="included"),"All C pools assumption","")</f>
        <v/>
      </c>
      <c r="EU568" t="str">
        <f>IF(AND($ED568+$EE568+$EI568+$EH568+$EF568=0,$N568="included"),"In-situ only assumption","")</f>
        <v/>
      </c>
      <c r="EW568" t="s">
        <v>445</v>
      </c>
      <c r="EY568" t="b">
        <f>IF(ISNUMBER(BW568),IF(ABS(BW568-[6]QC_indicators!$B$2)&gt;3*[6]QC_indicators!$C$2,"C ratio",IF(ISNUMBER(CA568),IF(ABS(CA568-[6]QC_indicators!$B$1)&gt;3*[6]QC_indicators!$C$1,"DF","no"))),IF(ISNUMBER(CA568),IF(ABS(CA568-[6]QC_indicators!$B$1)&gt;3*[6]QC_indicators!$C$1,"DF","no")))</f>
        <v>0</v>
      </c>
      <c r="FA568" t="str">
        <f>IF(LEN($CY568)=0,"",IF(AND($CY568&lt;(-0.05),$ES568="C neutral forest and HWP assumption"),"Cneutral paradox",IF(AND($CY568&gt;0.05,$EU568="In-situ only assumption"),"In-situ only paradox","")))</f>
        <v/>
      </c>
      <c r="FD568" s="260" t="s">
        <v>2948</v>
      </c>
    </row>
    <row r="569" spans="1:160" ht="15" hidden="1" customHeight="1">
      <c r="A569" s="1" t="s">
        <v>430</v>
      </c>
      <c r="B569" t="s">
        <v>431</v>
      </c>
      <c r="C569" t="s">
        <v>432</v>
      </c>
      <c r="D569" t="s">
        <v>433</v>
      </c>
      <c r="E569" t="s">
        <v>434</v>
      </c>
      <c r="F569" t="s">
        <v>435</v>
      </c>
      <c r="G569" t="s">
        <v>436</v>
      </c>
      <c r="H569" t="s">
        <v>254</v>
      </c>
      <c r="I569">
        <v>2000</v>
      </c>
      <c r="J569">
        <v>174</v>
      </c>
      <c r="K569" t="s">
        <v>437</v>
      </c>
      <c r="M569" t="str">
        <f>LEFT($D569,FIND(",",$D569)-1)&amp;"_"&amp;I569&amp;L569</f>
        <v>Borjesson_2000</v>
      </c>
      <c r="N569" t="s">
        <v>222</v>
      </c>
      <c r="O569" s="145" t="s">
        <v>223</v>
      </c>
      <c r="Q569" t="s">
        <v>256</v>
      </c>
      <c r="R569" s="251" t="s">
        <v>225</v>
      </c>
      <c r="S569" s="1" t="s">
        <v>464</v>
      </c>
      <c r="T569" t="s">
        <v>467</v>
      </c>
      <c r="U569" t="s">
        <v>474</v>
      </c>
      <c r="V569" s="253">
        <v>0</v>
      </c>
      <c r="W569" s="253">
        <v>0</v>
      </c>
      <c r="X569">
        <v>0</v>
      </c>
      <c r="Y569">
        <v>0</v>
      </c>
      <c r="Z569">
        <v>0</v>
      </c>
      <c r="AA569">
        <v>0</v>
      </c>
      <c r="AB569">
        <v>0</v>
      </c>
      <c r="AC569">
        <v>0</v>
      </c>
      <c r="AD569">
        <v>0</v>
      </c>
      <c r="AE569">
        <v>0</v>
      </c>
      <c r="AF569">
        <v>0</v>
      </c>
      <c r="AG569">
        <v>0</v>
      </c>
      <c r="AH569">
        <v>0</v>
      </c>
      <c r="AI569">
        <v>0</v>
      </c>
      <c r="AJ569">
        <v>1</v>
      </c>
      <c r="AK569">
        <v>0</v>
      </c>
      <c r="AL569">
        <v>0</v>
      </c>
      <c r="AM569">
        <v>0</v>
      </c>
      <c r="AN569">
        <v>0</v>
      </c>
      <c r="AO569">
        <v>0</v>
      </c>
      <c r="AP569">
        <v>0</v>
      </c>
      <c r="AQ569">
        <v>0</v>
      </c>
      <c r="AR569">
        <v>0</v>
      </c>
      <c r="AS569">
        <v>0</v>
      </c>
      <c r="AT569">
        <v>0</v>
      </c>
      <c r="AU569">
        <v>0</v>
      </c>
      <c r="AV569">
        <v>0</v>
      </c>
      <c r="AW569">
        <v>0</v>
      </c>
      <c r="AX569">
        <v>0</v>
      </c>
      <c r="AY569">
        <v>0</v>
      </c>
      <c r="AZ569" s="141">
        <f>COUNTIF(X569:AY569,"&lt;&gt;0")</f>
        <v>1</v>
      </c>
      <c r="BA569" s="141">
        <f>COUNTIF(X569:AN569,"&lt;&gt;0")</f>
        <v>1</v>
      </c>
      <c r="BB569">
        <f>COUNTIF(X569:AE569,"&lt;&gt;0")</f>
        <v>0</v>
      </c>
      <c r="BC569">
        <f>COUNTIF(AF569:AK569,"&lt;&gt;0")</f>
        <v>1</v>
      </c>
      <c r="BD569">
        <f>COUNTIF(AL569:AN569,"&lt;&gt;0")</f>
        <v>0</v>
      </c>
      <c r="BE569">
        <f>COUNTIF(AU569:AY569,"&lt;&gt;0")</f>
        <v>0</v>
      </c>
      <c r="BF569">
        <f>COUNTIF(AO569:AT569,"&lt;&gt;0")</f>
        <v>0</v>
      </c>
      <c r="BG569" t="str">
        <f t="array" ref="BG569">IF(BA569=1,INDEX($X$7:$AN$7,MATCH(TRUE,INDEX($X569:$AY569&lt;&gt;0,),0)),IF(BA569=0,INDEX($AO$7:$AY$7,MATCH(1,$AO569:$AY569,0)),IF(BH569="Multiple strategies","mixed drivers",IF(BH569="Supply chain","multiple supply","multiple silviculture"))))</f>
        <v xml:space="preserve">end of life disposal </v>
      </c>
      <c r="BH569" s="2" t="str" cm="1">
        <f t="array" ref="BH569">IF(COUNTIF(BB569:BD569,"&lt;&gt;0")=1,INDEX($X$4:$AY$4,MATCH(TRUE,INDEX($X569:$AY569&lt;&gt;0,),0)),IF(COUNTIF(BB569:BD569,"&lt;&gt;0")=0,INDEX($AO$4:$AY$4,MATCH(1,$AO569:$AY569,0)),"Multiple strategies"))</f>
        <v>Supply chain</v>
      </c>
      <c r="BI569" s="142" t="s">
        <v>229</v>
      </c>
      <c r="BJ569" t="s">
        <v>441</v>
      </c>
      <c r="BK569" s="260" t="s">
        <v>2949</v>
      </c>
      <c r="BL569" s="143" t="s">
        <v>442</v>
      </c>
      <c r="BM569">
        <f>3*44</f>
        <v>132</v>
      </c>
      <c r="BN569">
        <f>3*44</f>
        <v>132</v>
      </c>
      <c r="BO569" s="143">
        <f>BN569/BM569</f>
        <v>1</v>
      </c>
      <c r="BP569">
        <f>BN569-BM569</f>
        <v>0</v>
      </c>
      <c r="BQ569">
        <v>0</v>
      </c>
      <c r="BR569" t="s">
        <v>232</v>
      </c>
      <c r="BS569" s="256" t="s">
        <v>793</v>
      </c>
      <c r="BT569" t="s">
        <v>443</v>
      </c>
      <c r="BU569" s="141">
        <v>-3</v>
      </c>
      <c r="BV569" s="141">
        <v>43</v>
      </c>
      <c r="BW569" s="144">
        <f>IFERROR(BV569/BU569,"")</f>
        <v>-14.333333333333334</v>
      </c>
      <c r="BX569">
        <f>BV569-BU569</f>
        <v>46</v>
      </c>
      <c r="BZ569">
        <f>BX569*C_to_CO2</f>
        <v>168.82</v>
      </c>
      <c r="CA569" t="str">
        <f>IFERROR(BZ569/BQ569,"")</f>
        <v/>
      </c>
      <c r="CB569" s="143">
        <v>0</v>
      </c>
      <c r="CC569" s="143">
        <v>0</v>
      </c>
      <c r="CD569" s="143">
        <v>0</v>
      </c>
      <c r="CE569" s="143">
        <v>0</v>
      </c>
      <c r="CF569" s="143">
        <v>0</v>
      </c>
      <c r="CG569" s="143">
        <v>0</v>
      </c>
      <c r="CH569" s="143">
        <v>0</v>
      </c>
      <c r="CI569" s="143">
        <v>0</v>
      </c>
      <c r="CJ569" s="143">
        <v>0</v>
      </c>
      <c r="CK569" s="143">
        <v>0</v>
      </c>
      <c r="CL569" s="143">
        <v>0</v>
      </c>
      <c r="CM569" s="143">
        <v>0</v>
      </c>
      <c r="CN569" s="143">
        <v>0</v>
      </c>
      <c r="CO569">
        <v>0</v>
      </c>
      <c r="CP569" t="str">
        <f>IF($BN569&lt;$BM569,"refNeedCorrection","refOK")</f>
        <v>refOK</v>
      </c>
      <c r="CQ569">
        <f>IF($CP569="refOK",$BM569,$BN569)</f>
        <v>132</v>
      </c>
      <c r="CR569">
        <f>IF($CP569="refOK",$BN569,$BM569)</f>
        <v>132</v>
      </c>
      <c r="CS569">
        <f>IF($CP569="refOK",$BQ569,-$BQ569)</f>
        <v>0</v>
      </c>
      <c r="CT569">
        <f>IF(BI569="Roundwood",$CS569/2,$CS569)</f>
        <v>0</v>
      </c>
      <c r="CU569">
        <f>IF($CP569="refOK",$BU569,$BV569)*IF($BR569="Emissions positive",-1,1)</f>
        <v>-3</v>
      </c>
      <c r="CV569">
        <f>IF($CP569="refOK",$BV569,$BU569)*IF($BR569="Emissions positive",-1,1)</f>
        <v>43</v>
      </c>
      <c r="CW569">
        <f>IF($CP569="refNeedCorrection",-BZ569,BZ569)*IF($BR569="Emissions positive",-1,1)</f>
        <v>168.82</v>
      </c>
      <c r="CX569" t="str">
        <f>IFERROR($CW569/$CS569,"")</f>
        <v/>
      </c>
      <c r="CY569" t="str">
        <f>IFERROR($CW569/$CS569,"")</f>
        <v/>
      </c>
      <c r="CZ569" t="str">
        <f>IFERROR($CW569/$CT569,"")</f>
        <v/>
      </c>
      <c r="DA569" s="2">
        <f>IFERROR((CV569-CU569)/ABS(CU569),"")</f>
        <v>15.333333333333334</v>
      </c>
      <c r="DB569" s="1" t="s">
        <v>263</v>
      </c>
      <c r="DC569" t="str">
        <f>IF(OR($DB569="prd",$DB569="std",$DB569="cit"),"loc",IF(OR($DB569="eur",$DB569="reg",$DB569="coy"),"reg",$DB569))</f>
        <v>loc</v>
      </c>
      <c r="DD569" t="s">
        <v>444</v>
      </c>
      <c r="DG569">
        <v>300</v>
      </c>
      <c r="DH569" t="str">
        <f>IF(DG569=0,"0",IF(AND(DG569&gt;=1,DG569&lt;=30),"1-30",IF(AND(DG569&gt;30,DG569&lt;=70),"31-70",IF(AND(DG569&gt;70,DG569&lt;=100),"71-100",IF(DG569&gt;100,"+100")))))</f>
        <v>+100</v>
      </c>
      <c r="DI569">
        <v>0</v>
      </c>
      <c r="DJ569">
        <v>1</v>
      </c>
      <c r="DK569">
        <v>0</v>
      </c>
      <c r="DL569">
        <v>0</v>
      </c>
      <c r="DN569">
        <f>SUM(DI569:DL569)</f>
        <v>1</v>
      </c>
      <c r="DO569" t="str">
        <f>IF(DN569=1,INDEX($DI$7:$DL$7,MATCH(1,$DI569:$DL569,0)),"mixedProduct")</f>
        <v>EnergyInput</v>
      </c>
      <c r="DP569">
        <f>IF(DI569=1,DP$7,0)</f>
        <v>0</v>
      </c>
      <c r="DQ569" t="str">
        <f>IF(DJ569=1,DQ$7,0)</f>
        <v>Energy</v>
      </c>
      <c r="DR569">
        <f>IF(DK569=1,DR$7,0)</f>
        <v>0</v>
      </c>
      <c r="DS569">
        <f>IF(DL569=1,DS$7,0)</f>
        <v>0</v>
      </c>
      <c r="DT569">
        <v>1</v>
      </c>
      <c r="DU569" s="143">
        <v>0</v>
      </c>
      <c r="DV569" s="143">
        <v>0</v>
      </c>
      <c r="DW569" s="143">
        <v>0</v>
      </c>
      <c r="DX569">
        <v>0</v>
      </c>
      <c r="DY569">
        <f>SUM(DT569:DU569)</f>
        <v>1</v>
      </c>
      <c r="DZ569" s="143" t="str">
        <f>IF(DT569=1,"self-calculated DF",IF(DU569=1,"external DF used","explicit C balance"))</f>
        <v>self-calculated DF</v>
      </c>
      <c r="EA569">
        <v>0</v>
      </c>
      <c r="EB569" s="143">
        <v>0</v>
      </c>
      <c r="EC569" s="143">
        <v>1</v>
      </c>
      <c r="ED569" s="143">
        <v>1</v>
      </c>
      <c r="EE569">
        <v>1</v>
      </c>
      <c r="EF569" s="143">
        <v>1</v>
      </c>
      <c r="EG569">
        <v>0</v>
      </c>
      <c r="EH569" s="143">
        <v>1</v>
      </c>
      <c r="EI569" s="143">
        <v>0</v>
      </c>
      <c r="EJ569">
        <v>0</v>
      </c>
      <c r="EK569">
        <v>0</v>
      </c>
      <c r="EL569" s="143">
        <v>0</v>
      </c>
      <c r="EM569" s="143">
        <v>0</v>
      </c>
      <c r="EN569" s="2">
        <v>0</v>
      </c>
      <c r="EP569" t="str">
        <f>IF(AND(AND(AND(OR($EC569=1,$EB569=1),OR($EH569=1,$EF569=1)),SUM($EA569:$EE569,$EK569)&gt;=3),SUM($EF569:$EJ569)&gt;=2),"Whole sector approach","")</f>
        <v>Whole sector approach</v>
      </c>
      <c r="EQ569" t="str">
        <f>IF(AND(AND(OR($EC569=1,$EB569=1),AND($EH569=0,$EF569=0)),SUM($EA569:$EE569,$EK569)&gt;=4),"Ecosystem approach","")</f>
        <v/>
      </c>
      <c r="ER569" s="2" t="str">
        <f>IF(AND(AND(AND($EC569=0,$EB569=0),OR($EH569=1,$EF569=1)),SUM($EG569:$EJ569)&gt;=2),"Technology approach","")</f>
        <v/>
      </c>
      <c r="ES569" t="str">
        <f>IF(AND($EC569+$EB569+$EE569+$EA569+$ED569+$EG569=0,$N569="included"),"C neutral forest and HWP assumption","")</f>
        <v/>
      </c>
      <c r="ET569" t="str">
        <f>IF(AND(AND(AND(AND($EC569=1,$EB569+$EA569+$EG569&gt;=1),$EF569=1),$EH569+$EI569+$ED569+$EE569&gt;=2),$N569="included"),"All C pools assumption","")</f>
        <v/>
      </c>
      <c r="EU569" t="str">
        <f>IF(AND($ED569+$EE569+$EI569+$EH569+$EF569=0,$N569="included"),"In-situ only assumption","")</f>
        <v/>
      </c>
      <c r="EW569" t="s">
        <v>445</v>
      </c>
      <c r="EY569" t="b">
        <f>IF(ISNUMBER(BW569),IF(ABS(BW569-[6]QC_indicators!$B$2)&gt;3*[6]QC_indicators!$C$2,"C ratio",IF(ISNUMBER(CA569),IF(ABS(CA569-[6]QC_indicators!$B$1)&gt;3*[6]QC_indicators!$C$1,"DF","no"))),IF(ISNUMBER(CA569),IF(ABS(CA569-[6]QC_indicators!$B$1)&gt;3*[6]QC_indicators!$C$1,"DF","no")))</f>
        <v>0</v>
      </c>
      <c r="EZ569" t="s">
        <v>450</v>
      </c>
      <c r="FA569" t="str">
        <f>IF(LEN($CY569)=0,"",IF(AND($CY569&lt;(-0.05),$ES569="C neutral forest and HWP assumption"),"Cneutral paradox",IF(AND($CY569&gt;0.05,$EU569="In-situ only assumption"),"In-situ only paradox","")))</f>
        <v/>
      </c>
      <c r="FD569" s="260" t="s">
        <v>2948</v>
      </c>
    </row>
    <row r="570" spans="1:160" ht="15" hidden="1" customHeight="1">
      <c r="A570" s="1" t="s">
        <v>430</v>
      </c>
      <c r="B570" t="s">
        <v>431</v>
      </c>
      <c r="C570" t="s">
        <v>432</v>
      </c>
      <c r="D570" t="s">
        <v>433</v>
      </c>
      <c r="E570" t="s">
        <v>434</v>
      </c>
      <c r="F570" t="s">
        <v>435</v>
      </c>
      <c r="G570" t="s">
        <v>436</v>
      </c>
      <c r="H570" t="s">
        <v>254</v>
      </c>
      <c r="I570">
        <v>2000</v>
      </c>
      <c r="J570">
        <v>174</v>
      </c>
      <c r="K570" t="s">
        <v>437</v>
      </c>
      <c r="M570" t="str">
        <f>LEFT($D570,FIND(",",$D570)-1)&amp;"_"&amp;I570&amp;L570</f>
        <v>Borjesson_2000</v>
      </c>
      <c r="N570" t="s">
        <v>222</v>
      </c>
      <c r="O570" s="145" t="s">
        <v>223</v>
      </c>
      <c r="Q570" t="s">
        <v>256</v>
      </c>
      <c r="R570" s="251" t="s">
        <v>225</v>
      </c>
      <c r="S570" s="1" t="s">
        <v>464</v>
      </c>
      <c r="T570" t="s">
        <v>467</v>
      </c>
      <c r="U570" t="s">
        <v>468</v>
      </c>
      <c r="V570" s="253">
        <v>0</v>
      </c>
      <c r="W570" s="253">
        <v>0</v>
      </c>
      <c r="X570">
        <v>0</v>
      </c>
      <c r="Y570">
        <v>0</v>
      </c>
      <c r="Z570">
        <v>0</v>
      </c>
      <c r="AA570">
        <v>0</v>
      </c>
      <c r="AB570">
        <v>0</v>
      </c>
      <c r="AC570">
        <v>0</v>
      </c>
      <c r="AD570">
        <v>0</v>
      </c>
      <c r="AE570">
        <v>0</v>
      </c>
      <c r="AF570">
        <v>0</v>
      </c>
      <c r="AG570">
        <v>0</v>
      </c>
      <c r="AH570">
        <v>0</v>
      </c>
      <c r="AI570">
        <v>0</v>
      </c>
      <c r="AJ570">
        <v>1</v>
      </c>
      <c r="AK570">
        <v>0</v>
      </c>
      <c r="AL570">
        <v>0</v>
      </c>
      <c r="AM570">
        <v>0</v>
      </c>
      <c r="AN570">
        <v>0</v>
      </c>
      <c r="AO570">
        <v>0</v>
      </c>
      <c r="AP570">
        <v>0</v>
      </c>
      <c r="AQ570">
        <v>0</v>
      </c>
      <c r="AR570">
        <v>0</v>
      </c>
      <c r="AS570">
        <v>0</v>
      </c>
      <c r="AT570">
        <v>0</v>
      </c>
      <c r="AU570">
        <v>0</v>
      </c>
      <c r="AV570">
        <v>0</v>
      </c>
      <c r="AW570">
        <v>0</v>
      </c>
      <c r="AX570">
        <v>0</v>
      </c>
      <c r="AY570">
        <v>0</v>
      </c>
      <c r="AZ570" s="141">
        <f>COUNTIF(X570:AY570,"&lt;&gt;0")</f>
        <v>1</v>
      </c>
      <c r="BA570" s="141">
        <f>COUNTIF(X570:AN570,"&lt;&gt;0")</f>
        <v>1</v>
      </c>
      <c r="BB570">
        <f>COUNTIF(X570:AE570,"&lt;&gt;0")</f>
        <v>0</v>
      </c>
      <c r="BC570">
        <f>COUNTIF(AF570:AK570,"&lt;&gt;0")</f>
        <v>1</v>
      </c>
      <c r="BD570">
        <f>COUNTIF(AL570:AN570,"&lt;&gt;0")</f>
        <v>0</v>
      </c>
      <c r="BE570">
        <f>COUNTIF(AU570:AY570,"&lt;&gt;0")</f>
        <v>0</v>
      </c>
      <c r="BF570">
        <f>COUNTIF(AO570:AT570,"&lt;&gt;0")</f>
        <v>0</v>
      </c>
      <c r="BG570" t="str">
        <f t="array" ref="BG570">IF(BA570=1,INDEX($X$7:$AN$7,MATCH(TRUE,INDEX($X570:$AY570&lt;&gt;0,),0)),IF(BA570=0,INDEX($AO$7:$AY$7,MATCH(1,$AO570:$AY570,0)),IF(BH570="Multiple strategies","mixed drivers",IF(BH570="Supply chain","multiple supply","multiple silviculture"))))</f>
        <v xml:space="preserve">end of life disposal </v>
      </c>
      <c r="BH570" s="2" t="str" cm="1">
        <f t="array" ref="BH570">IF(COUNTIF(BB570:BD570,"&lt;&gt;0")=1,INDEX($X$4:$AY$4,MATCH(TRUE,INDEX($X570:$AY570&lt;&gt;0,),0)),IF(COUNTIF(BB570:BD570,"&lt;&gt;0")=0,INDEX($AO$4:$AY$4,MATCH(1,$AO570:$AY570,0)),"Multiple strategies"))</f>
        <v>Supply chain</v>
      </c>
      <c r="BI570" s="142" t="s">
        <v>229</v>
      </c>
      <c r="BJ570" t="s">
        <v>441</v>
      </c>
      <c r="BK570" s="260" t="s">
        <v>2949</v>
      </c>
      <c r="BL570" s="143" t="s">
        <v>442</v>
      </c>
      <c r="BM570">
        <f>3*44</f>
        <v>132</v>
      </c>
      <c r="BN570">
        <f>3*44</f>
        <v>132</v>
      </c>
      <c r="BO570" s="143">
        <f>BN570/BM570</f>
        <v>1</v>
      </c>
      <c r="BP570">
        <f>BN570-BM570</f>
        <v>0</v>
      </c>
      <c r="BQ570">
        <v>0</v>
      </c>
      <c r="BR570" t="s">
        <v>232</v>
      </c>
      <c r="BS570" s="256" t="s">
        <v>793</v>
      </c>
      <c r="BT570" t="s">
        <v>443</v>
      </c>
      <c r="BU570" s="141">
        <v>-3</v>
      </c>
      <c r="BV570" s="141">
        <v>79</v>
      </c>
      <c r="BW570" s="144">
        <f>IFERROR(BV570/BU570,"")</f>
        <v>-26.333333333333332</v>
      </c>
      <c r="BX570">
        <f>BV570-BU570</f>
        <v>82</v>
      </c>
      <c r="BZ570">
        <f>BX570*C_to_CO2</f>
        <v>300.94</v>
      </c>
      <c r="CA570" t="str">
        <f>IFERROR(BZ570/BQ570,"")</f>
        <v/>
      </c>
      <c r="CB570" s="143">
        <v>0</v>
      </c>
      <c r="CC570" s="143">
        <v>0</v>
      </c>
      <c r="CD570" s="143">
        <v>0</v>
      </c>
      <c r="CE570" s="143">
        <v>0</v>
      </c>
      <c r="CF570" s="143">
        <v>0</v>
      </c>
      <c r="CG570" s="143">
        <v>0</v>
      </c>
      <c r="CH570" s="143">
        <v>0</v>
      </c>
      <c r="CI570" s="143">
        <v>0</v>
      </c>
      <c r="CJ570" s="143">
        <v>0</v>
      </c>
      <c r="CK570" s="143">
        <v>0</v>
      </c>
      <c r="CL570" s="143">
        <v>0</v>
      </c>
      <c r="CM570" s="143">
        <v>0</v>
      </c>
      <c r="CN570" s="143">
        <v>0</v>
      </c>
      <c r="CO570">
        <v>0</v>
      </c>
      <c r="CP570" t="str">
        <f>IF(BN570&lt;BM570,"refNeedCorrection","refOK")</f>
        <v>refOK</v>
      </c>
      <c r="CQ570">
        <f>IF($CP570="refOK",$BM570,$BN570)</f>
        <v>132</v>
      </c>
      <c r="CR570">
        <f>IF($CP570="refOK",$BN570,$BM570)</f>
        <v>132</v>
      </c>
      <c r="CS570">
        <f>IF($CP570="refOK",$BQ570,-$BQ570)</f>
        <v>0</v>
      </c>
      <c r="CT570">
        <f>IF(BI570="Roundwood",$CS570/2,$CS570)</f>
        <v>0</v>
      </c>
      <c r="CU570">
        <f>IF($CP570="refOK",$BU570,$BV570)*IF($BR570="Emissions positive",-1,1)</f>
        <v>-3</v>
      </c>
      <c r="CV570">
        <f>IF($CP570="refOK",$BV570,$BU570)*IF($BR570="Emissions positive",-1,1)</f>
        <v>79</v>
      </c>
      <c r="CW570">
        <f>IF($CP570="refNeedCorrection",-BZ570,BZ570)*IF($BR570="Emissions positive",-1,1)</f>
        <v>300.94</v>
      </c>
      <c r="CX570" t="str">
        <f>IFERROR($CW570/$CS570,"")</f>
        <v/>
      </c>
      <c r="CY570" t="str">
        <f>IFERROR($CW570/$CS570,"")</f>
        <v/>
      </c>
      <c r="CZ570" t="str">
        <f>IFERROR($CW570/$CT570,"")</f>
        <v/>
      </c>
      <c r="DA570" s="2">
        <f>IFERROR((CV570-CU570)/ABS(CU570),"")</f>
        <v>27.333333333333332</v>
      </c>
      <c r="DB570" s="1" t="s">
        <v>263</v>
      </c>
      <c r="DC570" t="str">
        <f>IF(OR($DB570="prd",$DB570="std",$DB570="cit"),"loc",IF(OR($DB570="eur",$DB570="reg",$DB570="coy"),"reg",$DB570))</f>
        <v>loc</v>
      </c>
      <c r="DD570" t="s">
        <v>444</v>
      </c>
      <c r="DG570">
        <v>300</v>
      </c>
      <c r="DH570" t="str">
        <f>IF(DG570=0,"0",IF(AND(DG570&gt;=1,DG570&lt;=30),"1-30",IF(AND(DG570&gt;30,DG570&lt;=70),"31-70",IF(AND(DG570&gt;70,DG570&lt;=100),"71-100",IF(DG570&gt;100,"+100")))))</f>
        <v>+100</v>
      </c>
      <c r="DI570">
        <v>0</v>
      </c>
      <c r="DJ570">
        <v>1</v>
      </c>
      <c r="DK570">
        <v>0</v>
      </c>
      <c r="DL570">
        <v>0</v>
      </c>
      <c r="DN570">
        <f>SUM(DI570:DL570)</f>
        <v>1</v>
      </c>
      <c r="DO570" t="str">
        <f>IF(DN570=1,INDEX($DI$7:$DL$7,MATCH(1,$DI570:$DL570,0)),"mixedProduct")</f>
        <v>EnergyInput</v>
      </c>
      <c r="DP570">
        <f>IF(DI570=1,DP$7,0)</f>
        <v>0</v>
      </c>
      <c r="DQ570" t="str">
        <f>IF(DJ570=1,DQ$7,0)</f>
        <v>Energy</v>
      </c>
      <c r="DR570">
        <f>IF(DK570=1,DR$7,0)</f>
        <v>0</v>
      </c>
      <c r="DS570">
        <f>IF(DL570=1,DS$7,0)</f>
        <v>0</v>
      </c>
      <c r="DT570">
        <v>1</v>
      </c>
      <c r="DU570" s="143">
        <v>0</v>
      </c>
      <c r="DV570" s="143">
        <v>0</v>
      </c>
      <c r="DW570" s="143">
        <v>0</v>
      </c>
      <c r="DX570">
        <v>0</v>
      </c>
      <c r="DY570">
        <f>SUM(DT570:DU570)</f>
        <v>1</v>
      </c>
      <c r="DZ570" s="143" t="str">
        <f>IF(DT570=1,"self-calculated DF",IF(DU570=1,"external DF used","explicit C balance"))</f>
        <v>self-calculated DF</v>
      </c>
      <c r="EA570">
        <v>0</v>
      </c>
      <c r="EB570" s="143">
        <v>0</v>
      </c>
      <c r="EC570" s="143">
        <v>1</v>
      </c>
      <c r="ED570" s="143">
        <v>1</v>
      </c>
      <c r="EE570">
        <v>1</v>
      </c>
      <c r="EF570" s="143">
        <v>1</v>
      </c>
      <c r="EG570">
        <v>0</v>
      </c>
      <c r="EH570" s="143">
        <v>1</v>
      </c>
      <c r="EI570" s="143">
        <v>0</v>
      </c>
      <c r="EJ570">
        <v>0</v>
      </c>
      <c r="EK570">
        <v>0</v>
      </c>
      <c r="EL570" s="143">
        <v>0</v>
      </c>
      <c r="EM570" s="143">
        <v>0</v>
      </c>
      <c r="EN570" s="2">
        <v>0</v>
      </c>
      <c r="EP570" t="str">
        <f>IF(AND(AND(AND(OR($EC570=1,$EB570=1),OR($EH570=1,$EF570=1)),SUM($EA570:$EE570,$EK570)&gt;=3),SUM($EF570:$EJ570)&gt;=2),"Whole sector approach","")</f>
        <v>Whole sector approach</v>
      </c>
      <c r="EQ570" t="str">
        <f>IF(AND(AND(OR($EC570=1,$EB570=1),AND($EH570=0,$EF570=0)),SUM($EA570:$EE570,$EK570)&gt;=4),"Ecosystem approach","")</f>
        <v/>
      </c>
      <c r="ER570" s="2" t="str">
        <f>IF(AND(AND(AND($EC570=0,$EB570=0),OR($EH570=1,$EF570=1)),SUM($EG570:$EJ570)&gt;=2),"Technology approach","")</f>
        <v/>
      </c>
      <c r="ES570" t="str">
        <f>IF(AND($EC570+$EB570+$EE570+$EA570+$ED570+$EG570=0,$N570="included"),"C neutral forest and HWP assumption","")</f>
        <v/>
      </c>
      <c r="ET570" t="str">
        <f>IF(AND(AND(AND(AND($EC570=1,$EB570+$EA570+$EG570&gt;=1),$EF570=1),$EH570+$EI570+$ED570+$EE570&gt;=2),$N570="included"),"All C pools assumption","")</f>
        <v/>
      </c>
      <c r="EU570" t="str">
        <f>IF(AND($ED570+$EE570+$EI570+$EH570+$EF570=0,$N570="included"),"In-situ only assumption","")</f>
        <v/>
      </c>
      <c r="EW570" t="s">
        <v>445</v>
      </c>
      <c r="EY570" t="str">
        <f>IF(ISNUMBER(BW570),IF(ABS(BW570-[6]QC_indicators!$B$2)&gt;3*[6]QC_indicators!$C$2,"C ratio",IF(ISNUMBER(CA570),IF(ABS(CA570-[6]QC_indicators!$B$1)&gt;3*[6]QC_indicators!$C$1,"DF","no"))),IF(ISNUMBER(CA570),IF(ABS(CA570-[6]QC_indicators!$B$1)&gt;3*[6]QC_indicators!$C$1,"DF","no")))</f>
        <v>C ratio</v>
      </c>
      <c r="EZ570" t="s">
        <v>450</v>
      </c>
      <c r="FA570" t="str">
        <f>IF(LEN($CY570)=0,"",IF(AND($CY570&lt;(-0.05),$ES570="C neutral forest and HWP assumption"),"Cneutral paradox",IF(AND($CY570&gt;0.05,$EU570="In-situ only assumption"),"In-situ only paradox","")))</f>
        <v/>
      </c>
      <c r="FD570" s="260" t="s">
        <v>2948</v>
      </c>
    </row>
    <row r="571" spans="1:160" ht="15" hidden="1" customHeight="1">
      <c r="A571" s="1" t="s">
        <v>430</v>
      </c>
      <c r="B571" t="s">
        <v>431</v>
      </c>
      <c r="C571" t="s">
        <v>432</v>
      </c>
      <c r="D571" t="s">
        <v>433</v>
      </c>
      <c r="E571" t="s">
        <v>434</v>
      </c>
      <c r="F571" t="s">
        <v>435</v>
      </c>
      <c r="G571" t="s">
        <v>436</v>
      </c>
      <c r="H571" t="s">
        <v>254</v>
      </c>
      <c r="I571">
        <v>2000</v>
      </c>
      <c r="J571">
        <v>174</v>
      </c>
      <c r="K571" t="s">
        <v>437</v>
      </c>
      <c r="M571" t="str">
        <f>LEFT($D571,FIND(",",$D571)-1)&amp;"_"&amp;I571&amp;L571</f>
        <v>Borjesson_2000</v>
      </c>
      <c r="N571" t="s">
        <v>222</v>
      </c>
      <c r="O571" s="145" t="s">
        <v>223</v>
      </c>
      <c r="Q571" t="s">
        <v>256</v>
      </c>
      <c r="R571" s="251" t="s">
        <v>225</v>
      </c>
      <c r="S571" s="1" t="s">
        <v>464</v>
      </c>
      <c r="T571" t="s">
        <v>467</v>
      </c>
      <c r="U571" t="s">
        <v>471</v>
      </c>
      <c r="V571" s="253">
        <v>0</v>
      </c>
      <c r="W571" s="253">
        <v>0</v>
      </c>
      <c r="X571">
        <v>0</v>
      </c>
      <c r="Y571">
        <v>0</v>
      </c>
      <c r="Z571">
        <v>0</v>
      </c>
      <c r="AA571">
        <v>0</v>
      </c>
      <c r="AB571">
        <v>0</v>
      </c>
      <c r="AC571">
        <v>0</v>
      </c>
      <c r="AD571">
        <v>0</v>
      </c>
      <c r="AE571">
        <v>0</v>
      </c>
      <c r="AF571">
        <v>0</v>
      </c>
      <c r="AG571">
        <v>0</v>
      </c>
      <c r="AH571">
        <v>0</v>
      </c>
      <c r="AI571">
        <v>0</v>
      </c>
      <c r="AJ571">
        <v>1</v>
      </c>
      <c r="AK571">
        <v>0</v>
      </c>
      <c r="AL571">
        <v>0</v>
      </c>
      <c r="AM571">
        <v>0</v>
      </c>
      <c r="AN571">
        <v>0</v>
      </c>
      <c r="AO571">
        <v>0</v>
      </c>
      <c r="AP571">
        <v>0</v>
      </c>
      <c r="AQ571">
        <v>0</v>
      </c>
      <c r="AR571">
        <v>0</v>
      </c>
      <c r="AS571">
        <v>0</v>
      </c>
      <c r="AT571">
        <v>0</v>
      </c>
      <c r="AU571">
        <v>0</v>
      </c>
      <c r="AV571">
        <v>0</v>
      </c>
      <c r="AW571">
        <v>0</v>
      </c>
      <c r="AX571">
        <v>0</v>
      </c>
      <c r="AY571">
        <v>0</v>
      </c>
      <c r="AZ571" s="141">
        <f>COUNTIF(X571:AY571,"&lt;&gt;0")</f>
        <v>1</v>
      </c>
      <c r="BA571" s="141">
        <f>COUNTIF(X571:AN571,"&lt;&gt;0")</f>
        <v>1</v>
      </c>
      <c r="BB571">
        <f>COUNTIF(X571:AE571,"&lt;&gt;0")</f>
        <v>0</v>
      </c>
      <c r="BC571">
        <f>COUNTIF(AF571:AK571,"&lt;&gt;0")</f>
        <v>1</v>
      </c>
      <c r="BD571">
        <f>COUNTIF(AL571:AN571,"&lt;&gt;0")</f>
        <v>0</v>
      </c>
      <c r="BE571">
        <f>COUNTIF(AU571:AY571,"&lt;&gt;0")</f>
        <v>0</v>
      </c>
      <c r="BF571">
        <f>COUNTIF(AO571:AT571,"&lt;&gt;0")</f>
        <v>0</v>
      </c>
      <c r="BG571" t="str">
        <f t="array" ref="BG571">IF(BA571=1,INDEX($X$7:$AN$7,MATCH(TRUE,INDEX($X571:$AY571&lt;&gt;0,),0)),IF(BA571=0,INDEX($AO$7:$AY$7,MATCH(1,$AO571:$AY571,0)),IF(BH571="Multiple strategies","mixed drivers",IF(BH571="Supply chain","multiple supply","multiple silviculture"))))</f>
        <v xml:space="preserve">end of life disposal </v>
      </c>
      <c r="BH571" s="2" t="str" cm="1">
        <f t="array" ref="BH571">IF(COUNTIF(BB571:BD571,"&lt;&gt;0")=1,INDEX($X$4:$AY$4,MATCH(TRUE,INDEX($X571:$AY571&lt;&gt;0,),0)),IF(COUNTIF(BB571:BD571,"&lt;&gt;0")=0,INDEX($AO$4:$AY$4,MATCH(1,$AO571:$AY571,0)),"Multiple strategies"))</f>
        <v>Supply chain</v>
      </c>
      <c r="BI571" s="142" t="s">
        <v>229</v>
      </c>
      <c r="BJ571" t="s">
        <v>441</v>
      </c>
      <c r="BK571" s="260" t="s">
        <v>2949</v>
      </c>
      <c r="BL571" s="143" t="s">
        <v>442</v>
      </c>
      <c r="BM571">
        <f>3*44</f>
        <v>132</v>
      </c>
      <c r="BN571">
        <f>3*44</f>
        <v>132</v>
      </c>
      <c r="BO571" s="143">
        <f>BN571/BM571</f>
        <v>1</v>
      </c>
      <c r="BP571">
        <f>BN571-BM571</f>
        <v>0</v>
      </c>
      <c r="BQ571">
        <v>0</v>
      </c>
      <c r="BR571" t="s">
        <v>232</v>
      </c>
      <c r="BS571" s="256" t="s">
        <v>793</v>
      </c>
      <c r="BT571" t="s">
        <v>443</v>
      </c>
      <c r="BU571" s="141">
        <v>-3</v>
      </c>
      <c r="BV571" s="141">
        <v>82</v>
      </c>
      <c r="BW571" s="144">
        <f>IFERROR(BV571/BU571,"")</f>
        <v>-27.333333333333332</v>
      </c>
      <c r="BX571">
        <f>BV571-BU571</f>
        <v>85</v>
      </c>
      <c r="BZ571">
        <f>BX571*C_to_CO2</f>
        <v>311.95</v>
      </c>
      <c r="CA571" t="str">
        <f>IFERROR(BZ571/BQ571,"")</f>
        <v/>
      </c>
      <c r="CB571" s="143">
        <v>0</v>
      </c>
      <c r="CC571" s="143">
        <v>0</v>
      </c>
      <c r="CD571" s="143">
        <v>0</v>
      </c>
      <c r="CE571" s="143">
        <v>0</v>
      </c>
      <c r="CF571" s="143">
        <v>0</v>
      </c>
      <c r="CG571" s="143">
        <v>0</v>
      </c>
      <c r="CH571" s="143">
        <v>0</v>
      </c>
      <c r="CI571" s="143">
        <v>0</v>
      </c>
      <c r="CJ571" s="143">
        <v>0</v>
      </c>
      <c r="CK571" s="143">
        <v>0</v>
      </c>
      <c r="CL571" s="143">
        <v>0</v>
      </c>
      <c r="CM571" s="143">
        <v>0</v>
      </c>
      <c r="CN571" s="143">
        <v>0</v>
      </c>
      <c r="CO571">
        <v>0</v>
      </c>
      <c r="CP571" t="str">
        <f>IF(BN571&lt;BM571,"refNeedCorrection","refOK")</f>
        <v>refOK</v>
      </c>
      <c r="CQ571">
        <f>IF($CP571="refOK",$BM571,$BN571)</f>
        <v>132</v>
      </c>
      <c r="CR571">
        <f>IF($CP571="refOK",$BN571,$BM571)</f>
        <v>132</v>
      </c>
      <c r="CS571">
        <f>IF($CP571="refOK",$BQ571,-$BQ571)</f>
        <v>0</v>
      </c>
      <c r="CT571">
        <f>IF(BI571="Roundwood",$CS571/2,$CS571)</f>
        <v>0</v>
      </c>
      <c r="CU571">
        <f>IF($CP571="refOK",$BU571,$BV571)*IF($BR571="Emissions positive",-1,1)</f>
        <v>-3</v>
      </c>
      <c r="CV571">
        <f>IF($CP571="refOK",$BV571,$BU571)*IF($BR571="Emissions positive",-1,1)</f>
        <v>82</v>
      </c>
      <c r="CW571">
        <f>IF($CP571="refNeedCorrection",-BZ571,BZ571)*IF($BR571="Emissions positive",-1,1)</f>
        <v>311.95</v>
      </c>
      <c r="CX571" t="str">
        <f>IFERROR($CW571/$CS571,"")</f>
        <v/>
      </c>
      <c r="CY571" t="str">
        <f>IFERROR($CW571/$CS571,"")</f>
        <v/>
      </c>
      <c r="CZ571" t="str">
        <f>IFERROR($CW571/$CT571,"")</f>
        <v/>
      </c>
      <c r="DA571" s="2">
        <f>IFERROR((CV571-CU571)/ABS(CU571),"")</f>
        <v>28.333333333333332</v>
      </c>
      <c r="DB571" s="1" t="s">
        <v>263</v>
      </c>
      <c r="DC571" t="str">
        <f>IF(OR($DB571="prd",$DB571="std",$DB571="cit"),"loc",IF(OR($DB571="eur",$DB571="reg",$DB571="coy"),"reg",$DB571))</f>
        <v>loc</v>
      </c>
      <c r="DD571" t="s">
        <v>444</v>
      </c>
      <c r="DG571">
        <v>300</v>
      </c>
      <c r="DH571" t="str">
        <f>IF(DG571=0,"0",IF(AND(DG571&gt;=1,DG571&lt;=30),"1-30",IF(AND(DG571&gt;30,DG571&lt;=70),"31-70",IF(AND(DG571&gt;70,DG571&lt;=100),"71-100",IF(DG571&gt;100,"+100")))))</f>
        <v>+100</v>
      </c>
      <c r="DI571">
        <v>0</v>
      </c>
      <c r="DJ571">
        <v>1</v>
      </c>
      <c r="DK571">
        <v>0</v>
      </c>
      <c r="DL571">
        <v>0</v>
      </c>
      <c r="DN571">
        <f>SUM(DI571:DL571)</f>
        <v>1</v>
      </c>
      <c r="DO571" t="str">
        <f>IF(DN571=1,INDEX($DI$7:$DL$7,MATCH(1,$DI571:$DL571,0)),"mixedProduct")</f>
        <v>EnergyInput</v>
      </c>
      <c r="DP571">
        <f>IF(DI571=1,DP$7,0)</f>
        <v>0</v>
      </c>
      <c r="DQ571" t="str">
        <f>IF(DJ571=1,DQ$7,0)</f>
        <v>Energy</v>
      </c>
      <c r="DR571">
        <f>IF(DK571=1,DR$7,0)</f>
        <v>0</v>
      </c>
      <c r="DS571">
        <f>IF(DL571=1,DS$7,0)</f>
        <v>0</v>
      </c>
      <c r="DT571">
        <v>1</v>
      </c>
      <c r="DU571" s="143">
        <v>0</v>
      </c>
      <c r="DV571" s="143">
        <v>0</v>
      </c>
      <c r="DW571" s="143">
        <v>0</v>
      </c>
      <c r="DX571">
        <v>0</v>
      </c>
      <c r="DY571">
        <f>SUM(DT571:DU571)</f>
        <v>1</v>
      </c>
      <c r="DZ571" s="143" t="str">
        <f>IF(DT571=1,"self-calculated DF",IF(DU571=1,"external DF used","explicit C balance"))</f>
        <v>self-calculated DF</v>
      </c>
      <c r="EA571">
        <v>0</v>
      </c>
      <c r="EB571" s="143">
        <v>0</v>
      </c>
      <c r="EC571" s="143">
        <v>1</v>
      </c>
      <c r="ED571" s="143">
        <v>1</v>
      </c>
      <c r="EE571">
        <v>1</v>
      </c>
      <c r="EF571" s="143">
        <v>1</v>
      </c>
      <c r="EG571">
        <v>0</v>
      </c>
      <c r="EH571" s="143">
        <v>1</v>
      </c>
      <c r="EI571" s="143">
        <v>0</v>
      </c>
      <c r="EJ571">
        <v>0</v>
      </c>
      <c r="EK571">
        <v>0</v>
      </c>
      <c r="EL571" s="143">
        <v>0</v>
      </c>
      <c r="EM571" s="143">
        <v>0</v>
      </c>
      <c r="EN571" s="2">
        <v>0</v>
      </c>
      <c r="EP571" t="str">
        <f>IF(AND(AND(AND(OR($EC571=1,$EB571=1),OR($EH571=1,$EF571=1)),SUM($EA571:$EE571,$EK571)&gt;=3),SUM($EF571:$EJ571)&gt;=2),"Whole sector approach","")</f>
        <v>Whole sector approach</v>
      </c>
      <c r="EQ571" t="str">
        <f>IF(AND(AND(OR($EC571=1,$EB571=1),AND($EH571=0,$EF571=0)),SUM($EA571:$EE571,$EK571)&gt;=4),"Ecosystem approach","")</f>
        <v/>
      </c>
      <c r="ER571" s="2" t="str">
        <f>IF(AND(AND(AND($EC571=0,$EB571=0),OR($EH571=1,$EF571=1)),SUM($EG571:$EJ571)&gt;=2),"Technology approach","")</f>
        <v/>
      </c>
      <c r="ES571" t="str">
        <f>IF(AND($EC571+$EB571+$EE571+$EA571+$ED571+$EG571=0,$N571="included"),"C neutral forest and HWP assumption","")</f>
        <v/>
      </c>
      <c r="ET571" t="str">
        <f>IF(AND(AND(AND(AND($EC571=1,$EB571+$EA571+$EG571&gt;=1),$EF571=1),$EH571+$EI571+$ED571+$EE571&gt;=2),$N571="included"),"All C pools assumption","")</f>
        <v/>
      </c>
      <c r="EU571" t="str">
        <f>IF(AND($ED571+$EE571+$EI571+$EH571+$EF571=0,$N571="included"),"In-situ only assumption","")</f>
        <v/>
      </c>
      <c r="EW571" t="s">
        <v>445</v>
      </c>
      <c r="EY571" t="str">
        <f>IF(ISNUMBER(BW571),IF(ABS(BW571-[6]QC_indicators!$B$2)&gt;3*[6]QC_indicators!$C$2,"C ratio",IF(ISNUMBER(CA571),IF(ABS(CA571-[6]QC_indicators!$B$1)&gt;3*[6]QC_indicators!$C$1,"DF","no"))),IF(ISNUMBER(CA571),IF(ABS(CA571-[6]QC_indicators!$B$1)&gt;3*[6]QC_indicators!$C$1,"DF","no")))</f>
        <v>C ratio</v>
      </c>
      <c r="EZ571" t="s">
        <v>450</v>
      </c>
      <c r="FA571" t="str">
        <f>IF(LEN($CY571)=0,"",IF(AND($CY571&lt;(-0.05),$ES571="C neutral forest and HWP assumption"),"Cneutral paradox",IF(AND($CY571&gt;0.05,$EU571="In-situ only assumption"),"In-situ only paradox","")))</f>
        <v/>
      </c>
      <c r="FD571" s="260" t="s">
        <v>2948</v>
      </c>
    </row>
    <row r="572" spans="1:160" ht="15" hidden="1" customHeight="1">
      <c r="A572" s="1" t="s">
        <v>430</v>
      </c>
      <c r="B572" t="s">
        <v>431</v>
      </c>
      <c r="C572" t="s">
        <v>432</v>
      </c>
      <c r="D572" t="s">
        <v>433</v>
      </c>
      <c r="E572" t="s">
        <v>434</v>
      </c>
      <c r="F572" t="s">
        <v>435</v>
      </c>
      <c r="G572" t="s">
        <v>436</v>
      </c>
      <c r="H572" t="s">
        <v>254</v>
      </c>
      <c r="I572">
        <v>2000</v>
      </c>
      <c r="J572">
        <v>174</v>
      </c>
      <c r="K572" t="s">
        <v>437</v>
      </c>
      <c r="M572" t="str">
        <f>LEFT($D572,FIND(",",$D572)-1)&amp;"_"&amp;I572&amp;L572</f>
        <v>Borjesson_2000</v>
      </c>
      <c r="N572" t="s">
        <v>222</v>
      </c>
      <c r="O572" s="145" t="s">
        <v>223</v>
      </c>
      <c r="Q572" t="s">
        <v>256</v>
      </c>
      <c r="R572" s="251" t="s">
        <v>225</v>
      </c>
      <c r="S572" s="1" t="s">
        <v>464</v>
      </c>
      <c r="T572" t="s">
        <v>467</v>
      </c>
      <c r="U572" t="s">
        <v>469</v>
      </c>
      <c r="V572" s="253">
        <v>0</v>
      </c>
      <c r="W572" s="253">
        <v>0</v>
      </c>
      <c r="X572">
        <v>0</v>
      </c>
      <c r="Y572">
        <v>0</v>
      </c>
      <c r="Z572">
        <v>0</v>
      </c>
      <c r="AA572">
        <v>0</v>
      </c>
      <c r="AB572">
        <v>0</v>
      </c>
      <c r="AC572">
        <v>0</v>
      </c>
      <c r="AD572">
        <v>0</v>
      </c>
      <c r="AE572">
        <v>0</v>
      </c>
      <c r="AF572">
        <v>0</v>
      </c>
      <c r="AG572">
        <v>0</v>
      </c>
      <c r="AH572">
        <v>0</v>
      </c>
      <c r="AI572">
        <v>0</v>
      </c>
      <c r="AJ572">
        <v>1</v>
      </c>
      <c r="AK572">
        <v>0</v>
      </c>
      <c r="AL572">
        <v>0</v>
      </c>
      <c r="AM572">
        <v>0</v>
      </c>
      <c r="AN572">
        <v>0</v>
      </c>
      <c r="AO572">
        <v>0</v>
      </c>
      <c r="AP572">
        <v>0</v>
      </c>
      <c r="AQ572">
        <v>0</v>
      </c>
      <c r="AR572">
        <v>0</v>
      </c>
      <c r="AS572">
        <v>0</v>
      </c>
      <c r="AT572">
        <v>0</v>
      </c>
      <c r="AU572">
        <v>0</v>
      </c>
      <c r="AV572">
        <v>0</v>
      </c>
      <c r="AW572">
        <v>0</v>
      </c>
      <c r="AX572">
        <v>0</v>
      </c>
      <c r="AY572">
        <v>0</v>
      </c>
      <c r="AZ572" s="141">
        <f>COUNTIF(X572:AY572,"&lt;&gt;0")</f>
        <v>1</v>
      </c>
      <c r="BA572" s="141">
        <f>COUNTIF(X572:AN572,"&lt;&gt;0")</f>
        <v>1</v>
      </c>
      <c r="BB572">
        <f>COUNTIF(X572:AE572,"&lt;&gt;0")</f>
        <v>0</v>
      </c>
      <c r="BC572">
        <f>COUNTIF(AF572:AK572,"&lt;&gt;0")</f>
        <v>1</v>
      </c>
      <c r="BD572">
        <f>COUNTIF(AL572:AN572,"&lt;&gt;0")</f>
        <v>0</v>
      </c>
      <c r="BE572">
        <f>COUNTIF(AU572:AY572,"&lt;&gt;0")</f>
        <v>0</v>
      </c>
      <c r="BF572">
        <f>COUNTIF(AO572:AT572,"&lt;&gt;0")</f>
        <v>0</v>
      </c>
      <c r="BG572" t="str">
        <f t="array" ref="BG572">IF(BA572=1,INDEX($X$7:$AN$7,MATCH(TRUE,INDEX($X572:$AY572&lt;&gt;0,),0)),IF(BA572=0,INDEX($AO$7:$AY$7,MATCH(1,$AO572:$AY572,0)),IF(BH572="Multiple strategies","mixed drivers",IF(BH572="Supply chain","multiple supply","multiple silviculture"))))</f>
        <v xml:space="preserve">end of life disposal </v>
      </c>
      <c r="BH572" s="2" t="str" cm="1">
        <f t="array" ref="BH572">IF(COUNTIF(BB572:BD572,"&lt;&gt;0")=1,INDEX($X$4:$AY$4,MATCH(TRUE,INDEX($X572:$AY572&lt;&gt;0,),0)),IF(COUNTIF(BB572:BD572,"&lt;&gt;0")=0,INDEX($AO$4:$AY$4,MATCH(1,$AO572:$AY572,0)),"Multiple strategies"))</f>
        <v>Supply chain</v>
      </c>
      <c r="BI572" s="142" t="s">
        <v>229</v>
      </c>
      <c r="BJ572" t="s">
        <v>441</v>
      </c>
      <c r="BK572" s="260" t="s">
        <v>2949</v>
      </c>
      <c r="BL572" s="143" t="s">
        <v>442</v>
      </c>
      <c r="BM572">
        <f>3*44</f>
        <v>132</v>
      </c>
      <c r="BN572">
        <f>3*44</f>
        <v>132</v>
      </c>
      <c r="BO572" s="143">
        <f>BN572/BM572</f>
        <v>1</v>
      </c>
      <c r="BP572">
        <f>BN572-BM572</f>
        <v>0</v>
      </c>
      <c r="BQ572">
        <v>0</v>
      </c>
      <c r="BR572" t="s">
        <v>232</v>
      </c>
      <c r="BS572" s="256" t="s">
        <v>793</v>
      </c>
      <c r="BT572" t="s">
        <v>443</v>
      </c>
      <c r="BU572" s="141">
        <v>-3</v>
      </c>
      <c r="BV572" s="141">
        <v>84</v>
      </c>
      <c r="BW572" s="144">
        <f>IFERROR(BV572/BU572,"")</f>
        <v>-28</v>
      </c>
      <c r="BX572">
        <f>BV572-BU572</f>
        <v>87</v>
      </c>
      <c r="BZ572">
        <f>BX572*C_to_CO2</f>
        <v>319.29000000000002</v>
      </c>
      <c r="CA572" t="str">
        <f>IFERROR(BZ572/BQ572,"")</f>
        <v/>
      </c>
      <c r="CB572" s="143">
        <v>0</v>
      </c>
      <c r="CC572" s="143">
        <v>0</v>
      </c>
      <c r="CD572" s="143">
        <v>0</v>
      </c>
      <c r="CE572" s="143">
        <v>0</v>
      </c>
      <c r="CF572" s="143">
        <v>0</v>
      </c>
      <c r="CG572" s="143">
        <v>0</v>
      </c>
      <c r="CH572" s="143">
        <v>0</v>
      </c>
      <c r="CI572" s="143">
        <v>0</v>
      </c>
      <c r="CJ572" s="143">
        <v>0</v>
      </c>
      <c r="CK572" s="143">
        <v>0</v>
      </c>
      <c r="CL572" s="143">
        <v>0</v>
      </c>
      <c r="CM572" s="143">
        <v>0</v>
      </c>
      <c r="CN572" s="143">
        <v>0</v>
      </c>
      <c r="CO572">
        <v>0</v>
      </c>
      <c r="CP572" t="str">
        <f>IF(BN572&lt;BM572,"refNeedCorrection","refOK")</f>
        <v>refOK</v>
      </c>
      <c r="CQ572">
        <f>IF($CP572="refOK",$BM572,$BN572)</f>
        <v>132</v>
      </c>
      <c r="CR572">
        <f>IF($CP572="refOK",$BN572,$BM572)</f>
        <v>132</v>
      </c>
      <c r="CS572">
        <f>IF($CP572="refOK",$BQ572,-$BQ572)</f>
        <v>0</v>
      </c>
      <c r="CT572">
        <f>IF(BI572="Roundwood",$CS572/2,$CS572)</f>
        <v>0</v>
      </c>
      <c r="CU572">
        <f>IF($CP572="refOK",$BU572,$BV572)*IF($BR572="Emissions positive",-1,1)</f>
        <v>-3</v>
      </c>
      <c r="CV572">
        <f>IF($CP572="refOK",$BV572,$BU572)*IF($BR572="Emissions positive",-1,1)</f>
        <v>84</v>
      </c>
      <c r="CW572">
        <f>IF($CP572="refNeedCorrection",-BZ572,BZ572)*IF($BR572="Emissions positive",-1,1)</f>
        <v>319.29000000000002</v>
      </c>
      <c r="CX572" t="str">
        <f>IFERROR($CW572/$CS572,"")</f>
        <v/>
      </c>
      <c r="CY572" t="str">
        <f>IFERROR($CW572/$CS572,"")</f>
        <v/>
      </c>
      <c r="CZ572" t="str">
        <f>IFERROR($CW572/$CT572,"")</f>
        <v/>
      </c>
      <c r="DA572" s="2">
        <f>IFERROR((CV572-CU572)/ABS(CU572),"")</f>
        <v>29</v>
      </c>
      <c r="DB572" s="1" t="s">
        <v>263</v>
      </c>
      <c r="DC572" t="str">
        <f>IF(OR($DB572="prd",$DB572="std",$DB572="cit"),"loc",IF(OR($DB572="eur",$DB572="reg",$DB572="coy"),"reg",$DB572))</f>
        <v>loc</v>
      </c>
      <c r="DD572" t="s">
        <v>444</v>
      </c>
      <c r="DG572">
        <v>300</v>
      </c>
      <c r="DH572" t="str">
        <f>IF(DG572=0,"0",IF(AND(DG572&gt;=1,DG572&lt;=30),"1-30",IF(AND(DG572&gt;30,DG572&lt;=70),"31-70",IF(AND(DG572&gt;70,DG572&lt;=100),"71-100",IF(DG572&gt;100,"+100")))))</f>
        <v>+100</v>
      </c>
      <c r="DI572">
        <v>0</v>
      </c>
      <c r="DJ572">
        <v>1</v>
      </c>
      <c r="DK572">
        <v>0</v>
      </c>
      <c r="DL572">
        <v>0</v>
      </c>
      <c r="DN572">
        <f>SUM(DI572:DL572)</f>
        <v>1</v>
      </c>
      <c r="DO572" t="str">
        <f>IF(DN572=1,INDEX($DI$7:$DL$7,MATCH(1,$DI572:$DL572,0)),"mixedProduct")</f>
        <v>EnergyInput</v>
      </c>
      <c r="DP572">
        <f>IF(DI572=1,DP$7,0)</f>
        <v>0</v>
      </c>
      <c r="DQ572" t="str">
        <f>IF(DJ572=1,DQ$7,0)</f>
        <v>Energy</v>
      </c>
      <c r="DR572">
        <f>IF(DK572=1,DR$7,0)</f>
        <v>0</v>
      </c>
      <c r="DS572">
        <f>IF(DL572=1,DS$7,0)</f>
        <v>0</v>
      </c>
      <c r="DT572">
        <v>1</v>
      </c>
      <c r="DU572" s="143">
        <v>0</v>
      </c>
      <c r="DV572" s="143">
        <v>0</v>
      </c>
      <c r="DW572" s="143">
        <v>0</v>
      </c>
      <c r="DX572">
        <v>0</v>
      </c>
      <c r="DY572">
        <f>SUM(DT572:DU572)</f>
        <v>1</v>
      </c>
      <c r="DZ572" s="143" t="str">
        <f>IF(DT572=1,"self-calculated DF",IF(DU572=1,"external DF used","explicit C balance"))</f>
        <v>self-calculated DF</v>
      </c>
      <c r="EA572">
        <v>0</v>
      </c>
      <c r="EB572" s="143">
        <v>0</v>
      </c>
      <c r="EC572" s="143">
        <v>1</v>
      </c>
      <c r="ED572" s="143">
        <v>1</v>
      </c>
      <c r="EE572">
        <v>1</v>
      </c>
      <c r="EF572" s="143">
        <v>1</v>
      </c>
      <c r="EG572">
        <v>0</v>
      </c>
      <c r="EH572" s="143">
        <v>1</v>
      </c>
      <c r="EI572" s="143">
        <v>0</v>
      </c>
      <c r="EJ572">
        <v>0</v>
      </c>
      <c r="EK572">
        <v>0</v>
      </c>
      <c r="EL572" s="143">
        <v>0</v>
      </c>
      <c r="EM572" s="143">
        <v>0</v>
      </c>
      <c r="EN572" s="2">
        <v>0</v>
      </c>
      <c r="EP572" t="str">
        <f>IF(AND(AND(AND(OR($EC572=1,$EB572=1),OR($EH572=1,$EF572=1)),SUM($EA572:$EE572,$EK572)&gt;=3),SUM($EF572:$EJ572)&gt;=2),"Whole sector approach","")</f>
        <v>Whole sector approach</v>
      </c>
      <c r="EQ572" t="str">
        <f>IF(AND(AND(OR($EC572=1,$EB572=1),AND($EH572=0,$EF572=0)),SUM($EA572:$EE572,$EK572)&gt;=4),"Ecosystem approach","")</f>
        <v/>
      </c>
      <c r="ER572" s="2" t="str">
        <f>IF(AND(AND(AND($EC572=0,$EB572=0),OR($EH572=1,$EF572=1)),SUM($EG572:$EJ572)&gt;=2),"Technology approach","")</f>
        <v/>
      </c>
      <c r="ES572" t="str">
        <f>IF(AND($EC572+$EB572+$EE572+$EA572+$ED572+$EG572=0,$N572="included"),"C neutral forest and HWP assumption","")</f>
        <v/>
      </c>
      <c r="ET572" t="str">
        <f>IF(AND(AND(AND(AND($EC572=1,$EB572+$EA572+$EG572&gt;=1),$EF572=1),$EH572+$EI572+$ED572+$EE572&gt;=2),$N572="included"),"All C pools assumption","")</f>
        <v/>
      </c>
      <c r="EU572" t="str">
        <f>IF(AND($ED572+$EE572+$EI572+$EH572+$EF572=0,$N572="included"),"In-situ only assumption","")</f>
        <v/>
      </c>
      <c r="EW572" t="s">
        <v>445</v>
      </c>
      <c r="EY572" t="str">
        <f>IF(ISNUMBER(BW572),IF(ABS(BW572-[6]QC_indicators!$B$2)&gt;3*[6]QC_indicators!$C$2,"C ratio",IF(ISNUMBER(CA572),IF(ABS(CA572-[6]QC_indicators!$B$1)&gt;3*[6]QC_indicators!$C$1,"DF","no"))),IF(ISNUMBER(CA572),IF(ABS(CA572-[6]QC_indicators!$B$1)&gt;3*[6]QC_indicators!$C$1,"DF","no")))</f>
        <v>C ratio</v>
      </c>
      <c r="EZ572" t="s">
        <v>450</v>
      </c>
      <c r="FA572" t="str">
        <f>IF(LEN($CY572)=0,"",IF(AND($CY572&lt;(-0.05),$ES572="C neutral forest and HWP assumption"),"Cneutral paradox",IF(AND($CY572&gt;0.05,$EU572="In-situ only assumption"),"In-situ only paradox","")))</f>
        <v/>
      </c>
      <c r="FD572" s="260" t="s">
        <v>2948</v>
      </c>
    </row>
    <row r="573" spans="1:160" ht="15" hidden="1" customHeight="1">
      <c r="A573" s="1" t="s">
        <v>430</v>
      </c>
      <c r="B573" t="s">
        <v>431</v>
      </c>
      <c r="C573" t="s">
        <v>432</v>
      </c>
      <c r="D573" t="s">
        <v>433</v>
      </c>
      <c r="E573" t="s">
        <v>434</v>
      </c>
      <c r="F573" t="s">
        <v>435</v>
      </c>
      <c r="G573" t="s">
        <v>436</v>
      </c>
      <c r="H573" t="s">
        <v>254</v>
      </c>
      <c r="I573">
        <v>2000</v>
      </c>
      <c r="J573">
        <v>174</v>
      </c>
      <c r="K573" t="s">
        <v>437</v>
      </c>
      <c r="M573" t="str">
        <f>LEFT($D573,FIND(",",$D573)-1)&amp;"_"&amp;I573&amp;L573</f>
        <v>Borjesson_2000</v>
      </c>
      <c r="N573" t="s">
        <v>222</v>
      </c>
      <c r="O573" s="145" t="s">
        <v>223</v>
      </c>
      <c r="Q573" t="s">
        <v>256</v>
      </c>
      <c r="R573" s="251" t="s">
        <v>225</v>
      </c>
      <c r="S573" s="1" t="s">
        <v>464</v>
      </c>
      <c r="T573" t="s">
        <v>467</v>
      </c>
      <c r="U573" t="s">
        <v>472</v>
      </c>
      <c r="V573" s="253">
        <v>0</v>
      </c>
      <c r="W573" s="253">
        <v>0</v>
      </c>
      <c r="X573">
        <v>0</v>
      </c>
      <c r="Y573">
        <v>0</v>
      </c>
      <c r="Z573">
        <v>0</v>
      </c>
      <c r="AA573">
        <v>0</v>
      </c>
      <c r="AB573">
        <v>0</v>
      </c>
      <c r="AC573">
        <v>0</v>
      </c>
      <c r="AD573">
        <v>0</v>
      </c>
      <c r="AE573">
        <v>0</v>
      </c>
      <c r="AF573">
        <v>0</v>
      </c>
      <c r="AG573">
        <v>0</v>
      </c>
      <c r="AH573">
        <v>0</v>
      </c>
      <c r="AI573">
        <v>0</v>
      </c>
      <c r="AJ573">
        <v>1</v>
      </c>
      <c r="AK573">
        <v>0</v>
      </c>
      <c r="AL573">
        <v>0</v>
      </c>
      <c r="AM573">
        <v>0</v>
      </c>
      <c r="AN573">
        <v>0</v>
      </c>
      <c r="AO573">
        <v>0</v>
      </c>
      <c r="AP573">
        <v>0</v>
      </c>
      <c r="AQ573">
        <v>0</v>
      </c>
      <c r="AR573">
        <v>0</v>
      </c>
      <c r="AS573">
        <v>0</v>
      </c>
      <c r="AT573">
        <v>0</v>
      </c>
      <c r="AU573">
        <v>0</v>
      </c>
      <c r="AV573">
        <v>0</v>
      </c>
      <c r="AW573">
        <v>0</v>
      </c>
      <c r="AX573">
        <v>0</v>
      </c>
      <c r="AY573">
        <v>0</v>
      </c>
      <c r="AZ573" s="141">
        <f>COUNTIF(X573:AY573,"&lt;&gt;0")</f>
        <v>1</v>
      </c>
      <c r="BA573" s="141">
        <f>COUNTIF(X573:AN573,"&lt;&gt;0")</f>
        <v>1</v>
      </c>
      <c r="BB573">
        <f>COUNTIF(X573:AE573,"&lt;&gt;0")</f>
        <v>0</v>
      </c>
      <c r="BC573">
        <f>COUNTIF(AF573:AK573,"&lt;&gt;0")</f>
        <v>1</v>
      </c>
      <c r="BD573">
        <f>COUNTIF(AL573:AN573,"&lt;&gt;0")</f>
        <v>0</v>
      </c>
      <c r="BE573">
        <f>COUNTIF(AU573:AY573,"&lt;&gt;0")</f>
        <v>0</v>
      </c>
      <c r="BF573">
        <f>COUNTIF(AO573:AT573,"&lt;&gt;0")</f>
        <v>0</v>
      </c>
      <c r="BG573" t="str">
        <f t="array" ref="BG573">IF(BA573=1,INDEX($X$7:$AN$7,MATCH(TRUE,INDEX($X573:$AY573&lt;&gt;0,),0)),IF(BA573=0,INDEX($AO$7:$AY$7,MATCH(1,$AO573:$AY573,0)),IF(BH573="Multiple strategies","mixed drivers",IF(BH573="Supply chain","multiple supply","multiple silviculture"))))</f>
        <v xml:space="preserve">end of life disposal </v>
      </c>
      <c r="BH573" s="2" t="str" cm="1">
        <f t="array" ref="BH573">IF(COUNTIF(BB573:BD573,"&lt;&gt;0")=1,INDEX($X$4:$AY$4,MATCH(TRUE,INDEX($X573:$AY573&lt;&gt;0,),0)),IF(COUNTIF(BB573:BD573,"&lt;&gt;0")=0,INDEX($AO$4:$AY$4,MATCH(1,$AO573:$AY573,0)),"Multiple strategies"))</f>
        <v>Supply chain</v>
      </c>
      <c r="BI573" s="142" t="s">
        <v>229</v>
      </c>
      <c r="BJ573" t="s">
        <v>441</v>
      </c>
      <c r="BK573" s="260" t="s">
        <v>2949</v>
      </c>
      <c r="BL573" s="143" t="s">
        <v>442</v>
      </c>
      <c r="BM573">
        <f>3*44</f>
        <v>132</v>
      </c>
      <c r="BN573">
        <f>3*44</f>
        <v>132</v>
      </c>
      <c r="BO573" s="143">
        <f>BN573/BM573</f>
        <v>1</v>
      </c>
      <c r="BP573">
        <f>BN573-BM573</f>
        <v>0</v>
      </c>
      <c r="BQ573">
        <v>0</v>
      </c>
      <c r="BR573" t="s">
        <v>232</v>
      </c>
      <c r="BS573" s="256" t="s">
        <v>793</v>
      </c>
      <c r="BT573" t="s">
        <v>443</v>
      </c>
      <c r="BU573" s="141">
        <v>-3</v>
      </c>
      <c r="BV573" s="141">
        <v>93</v>
      </c>
      <c r="BW573" s="144">
        <f>IFERROR(BV573/BU573,"")</f>
        <v>-31</v>
      </c>
      <c r="BX573">
        <f>BV573-BU573</f>
        <v>96</v>
      </c>
      <c r="BZ573">
        <f>BX573*C_to_CO2</f>
        <v>352.32</v>
      </c>
      <c r="CA573" t="str">
        <f>IFERROR(BZ573/BQ573,"")</f>
        <v/>
      </c>
      <c r="CB573" s="143">
        <v>0</v>
      </c>
      <c r="CC573" s="143">
        <v>0</v>
      </c>
      <c r="CD573" s="143">
        <v>0</v>
      </c>
      <c r="CE573" s="143">
        <v>0</v>
      </c>
      <c r="CF573" s="143">
        <v>0</v>
      </c>
      <c r="CG573" s="143">
        <v>0</v>
      </c>
      <c r="CH573" s="143">
        <v>0</v>
      </c>
      <c r="CI573" s="143">
        <v>0</v>
      </c>
      <c r="CJ573" s="143">
        <v>0</v>
      </c>
      <c r="CK573" s="143">
        <v>0</v>
      </c>
      <c r="CL573" s="143">
        <v>0</v>
      </c>
      <c r="CM573" s="143">
        <v>0</v>
      </c>
      <c r="CN573" s="143">
        <v>0</v>
      </c>
      <c r="CO573">
        <v>0</v>
      </c>
      <c r="CP573" t="str">
        <f>IF(BN573&lt;BM573,"refNeedCorrection","refOK")</f>
        <v>refOK</v>
      </c>
      <c r="CQ573">
        <f>IF($CP573="refOK",$BM573,$BN573)</f>
        <v>132</v>
      </c>
      <c r="CR573">
        <f>IF($CP573="refOK",$BN573,$BM573)</f>
        <v>132</v>
      </c>
      <c r="CS573">
        <f>IF($CP573="refOK",$BQ573,-$BQ573)</f>
        <v>0</v>
      </c>
      <c r="CT573">
        <f>IF(BI573="Roundwood",$CS573/2,$CS573)</f>
        <v>0</v>
      </c>
      <c r="CU573">
        <f>IF($CP573="refOK",$BU573,$BV573)*IF($BR573="Emissions positive",-1,1)</f>
        <v>-3</v>
      </c>
      <c r="CV573">
        <f>IF($CP573="refOK",$BV573,$BU573)*IF($BR573="Emissions positive",-1,1)</f>
        <v>93</v>
      </c>
      <c r="CW573">
        <f>IF($CP573="refNeedCorrection",-BZ573,BZ573)*IF($BR573="Emissions positive",-1,1)</f>
        <v>352.32</v>
      </c>
      <c r="CX573" t="str">
        <f>IFERROR($CW573/$CS573,"")</f>
        <v/>
      </c>
      <c r="CY573" t="str">
        <f>IFERROR($CW573/$CS573,"")</f>
        <v/>
      </c>
      <c r="CZ573" t="str">
        <f>IFERROR($CW573/$CT573,"")</f>
        <v/>
      </c>
      <c r="DA573" s="2">
        <f>IFERROR((CV573-CU573)/ABS(CU573),"")</f>
        <v>32</v>
      </c>
      <c r="DB573" s="1" t="s">
        <v>263</v>
      </c>
      <c r="DC573" t="str">
        <f>IF(OR($DB573="prd",$DB573="std",$DB573="cit"),"loc",IF(OR($DB573="eur",$DB573="reg",$DB573="coy"),"reg",$DB573))</f>
        <v>loc</v>
      </c>
      <c r="DD573" t="s">
        <v>444</v>
      </c>
      <c r="DG573">
        <v>300</v>
      </c>
      <c r="DH573" t="str">
        <f>IF(DG573=0,"0",IF(AND(DG573&gt;=1,DG573&lt;=30),"1-30",IF(AND(DG573&gt;30,DG573&lt;=70),"31-70",IF(AND(DG573&gt;70,DG573&lt;=100),"71-100",IF(DG573&gt;100,"+100")))))</f>
        <v>+100</v>
      </c>
      <c r="DI573">
        <v>0</v>
      </c>
      <c r="DJ573">
        <v>1</v>
      </c>
      <c r="DK573">
        <v>0</v>
      </c>
      <c r="DL573">
        <v>0</v>
      </c>
      <c r="DN573">
        <f>SUM(DI573:DL573)</f>
        <v>1</v>
      </c>
      <c r="DO573" t="str">
        <f>IF(DN573=1,INDEX($DI$7:$DL$7,MATCH(1,$DI573:$DL573,0)),"mixedProduct")</f>
        <v>EnergyInput</v>
      </c>
      <c r="DP573">
        <f>IF(DI573=1,DP$7,0)</f>
        <v>0</v>
      </c>
      <c r="DQ573" t="str">
        <f>IF(DJ573=1,DQ$7,0)</f>
        <v>Energy</v>
      </c>
      <c r="DR573">
        <f>IF(DK573=1,DR$7,0)</f>
        <v>0</v>
      </c>
      <c r="DS573">
        <f>IF(DL573=1,DS$7,0)</f>
        <v>0</v>
      </c>
      <c r="DT573">
        <v>1</v>
      </c>
      <c r="DU573" s="143">
        <v>0</v>
      </c>
      <c r="DV573" s="143">
        <v>0</v>
      </c>
      <c r="DW573" s="143">
        <v>0</v>
      </c>
      <c r="DX573">
        <v>0</v>
      </c>
      <c r="DY573">
        <f>SUM(DT573:DU573)</f>
        <v>1</v>
      </c>
      <c r="DZ573" s="143" t="str">
        <f>IF(DT573=1,"self-calculated DF",IF(DU573=1,"external DF used","explicit C balance"))</f>
        <v>self-calculated DF</v>
      </c>
      <c r="EA573">
        <v>0</v>
      </c>
      <c r="EB573" s="143">
        <v>0</v>
      </c>
      <c r="EC573" s="143">
        <v>1</v>
      </c>
      <c r="ED573" s="143">
        <v>1</v>
      </c>
      <c r="EE573">
        <v>1</v>
      </c>
      <c r="EF573" s="143">
        <v>1</v>
      </c>
      <c r="EG573">
        <v>0</v>
      </c>
      <c r="EH573" s="143">
        <v>1</v>
      </c>
      <c r="EI573" s="143">
        <v>0</v>
      </c>
      <c r="EJ573">
        <v>0</v>
      </c>
      <c r="EK573">
        <v>0</v>
      </c>
      <c r="EL573" s="143">
        <v>0</v>
      </c>
      <c r="EM573" s="143">
        <v>0</v>
      </c>
      <c r="EN573" s="2">
        <v>0</v>
      </c>
      <c r="EP573" t="str">
        <f>IF(AND(AND(AND(OR($EC573=1,$EB573=1),OR($EH573=1,$EF573=1)),SUM($EA573:$EE573,$EK573)&gt;=3),SUM($EF573:$EJ573)&gt;=2),"Whole sector approach","")</f>
        <v>Whole sector approach</v>
      </c>
      <c r="EQ573" t="str">
        <f>IF(AND(AND(OR($EC573=1,$EB573=1),AND($EH573=0,$EF573=0)),SUM($EA573:$EE573,$EK573)&gt;=4),"Ecosystem approach","")</f>
        <v/>
      </c>
      <c r="ER573" s="2" t="str">
        <f>IF(AND(AND(AND($EC573=0,$EB573=0),OR($EH573=1,$EF573=1)),SUM($EG573:$EJ573)&gt;=2),"Technology approach","")</f>
        <v/>
      </c>
      <c r="ES573" t="str">
        <f>IF(AND($EC573+$EB573+$EE573+$EA573+$ED573+$EG573=0,$N573="included"),"C neutral forest and HWP assumption","")</f>
        <v/>
      </c>
      <c r="ET573" t="str">
        <f>IF(AND(AND(AND(AND($EC573=1,$EB573+$EA573+$EG573&gt;=1),$EF573=1),$EH573+$EI573+$ED573+$EE573&gt;=2),$N573="included"),"All C pools assumption","")</f>
        <v/>
      </c>
      <c r="EU573" t="str">
        <f>IF(AND($ED573+$EE573+$EI573+$EH573+$EF573=0,$N573="included"),"In-situ only assumption","")</f>
        <v/>
      </c>
      <c r="EW573" t="s">
        <v>445</v>
      </c>
      <c r="EY573" t="str">
        <f>IF(ISNUMBER(BW573),IF(ABS(BW573-[6]QC_indicators!$B$2)&gt;3*[6]QC_indicators!$C$2,"C ratio",IF(ISNUMBER(CA573),IF(ABS(CA573-[6]QC_indicators!$B$1)&gt;3*[6]QC_indicators!$C$1,"DF","no"))),IF(ISNUMBER(CA573),IF(ABS(CA573-[6]QC_indicators!$B$1)&gt;3*[6]QC_indicators!$C$1,"DF","no")))</f>
        <v>C ratio</v>
      </c>
      <c r="EZ573" t="s">
        <v>450</v>
      </c>
      <c r="FA573" t="str">
        <f>IF(LEN($CY573)=0,"",IF(AND($CY573&lt;(-0.05),$ES573="C neutral forest and HWP assumption"),"Cneutral paradox",IF(AND($CY573&gt;0.05,$EU573="In-situ only assumption"),"In-situ only paradox","")))</f>
        <v/>
      </c>
      <c r="FD573" s="260" t="s">
        <v>2948</v>
      </c>
    </row>
    <row r="574" spans="1:160" ht="15" hidden="1" customHeight="1">
      <c r="A574" s="1" t="s">
        <v>430</v>
      </c>
      <c r="B574" t="s">
        <v>431</v>
      </c>
      <c r="C574" t="s">
        <v>432</v>
      </c>
      <c r="D574" t="s">
        <v>433</v>
      </c>
      <c r="E574" t="s">
        <v>434</v>
      </c>
      <c r="F574" t="s">
        <v>435</v>
      </c>
      <c r="G574" t="s">
        <v>436</v>
      </c>
      <c r="H574" t="s">
        <v>254</v>
      </c>
      <c r="I574">
        <v>2000</v>
      </c>
      <c r="J574">
        <v>174</v>
      </c>
      <c r="K574" t="s">
        <v>437</v>
      </c>
      <c r="M574" t="str">
        <f>LEFT($D574,FIND(",",$D574)-1)&amp;"_"&amp;I574&amp;L574</f>
        <v>Borjesson_2000</v>
      </c>
      <c r="N574" t="s">
        <v>222</v>
      </c>
      <c r="O574" s="145" t="s">
        <v>223</v>
      </c>
      <c r="Q574" t="s">
        <v>256</v>
      </c>
      <c r="R574" s="251" t="s">
        <v>225</v>
      </c>
      <c r="S574" s="1" t="s">
        <v>464</v>
      </c>
      <c r="T574" t="s">
        <v>467</v>
      </c>
      <c r="U574" t="s">
        <v>466</v>
      </c>
      <c r="V574" s="253">
        <v>0</v>
      </c>
      <c r="W574" s="253">
        <v>0</v>
      </c>
      <c r="X574">
        <v>0</v>
      </c>
      <c r="Y574">
        <v>0</v>
      </c>
      <c r="Z574">
        <v>0</v>
      </c>
      <c r="AA574">
        <v>0</v>
      </c>
      <c r="AB574">
        <v>0</v>
      </c>
      <c r="AC574">
        <v>0</v>
      </c>
      <c r="AD574">
        <v>0</v>
      </c>
      <c r="AE574">
        <v>0</v>
      </c>
      <c r="AF574">
        <v>0</v>
      </c>
      <c r="AG574">
        <v>0</v>
      </c>
      <c r="AH574">
        <v>0</v>
      </c>
      <c r="AI574">
        <v>0</v>
      </c>
      <c r="AJ574">
        <v>1</v>
      </c>
      <c r="AK574">
        <v>0</v>
      </c>
      <c r="AL574">
        <v>0</v>
      </c>
      <c r="AM574">
        <v>0</v>
      </c>
      <c r="AN574">
        <v>0</v>
      </c>
      <c r="AO574">
        <v>0</v>
      </c>
      <c r="AP574">
        <v>0</v>
      </c>
      <c r="AQ574">
        <v>0</v>
      </c>
      <c r="AR574">
        <v>0</v>
      </c>
      <c r="AS574">
        <v>0</v>
      </c>
      <c r="AT574">
        <v>0</v>
      </c>
      <c r="AU574">
        <v>0</v>
      </c>
      <c r="AV574">
        <v>0</v>
      </c>
      <c r="AW574">
        <v>0</v>
      </c>
      <c r="AX574">
        <v>0</v>
      </c>
      <c r="AY574">
        <v>0</v>
      </c>
      <c r="AZ574" s="141">
        <f>COUNTIF(X574:AY574,"&lt;&gt;0")</f>
        <v>1</v>
      </c>
      <c r="BA574" s="141">
        <f>COUNTIF(X574:AN574,"&lt;&gt;0")</f>
        <v>1</v>
      </c>
      <c r="BB574">
        <f>COUNTIF(X574:AE574,"&lt;&gt;0")</f>
        <v>0</v>
      </c>
      <c r="BC574">
        <f>COUNTIF(AF574:AK574,"&lt;&gt;0")</f>
        <v>1</v>
      </c>
      <c r="BD574">
        <f>COUNTIF(AL574:AN574,"&lt;&gt;0")</f>
        <v>0</v>
      </c>
      <c r="BE574">
        <f>COUNTIF(AU574:AY574,"&lt;&gt;0")</f>
        <v>0</v>
      </c>
      <c r="BF574">
        <f>COUNTIF(AO574:AT574,"&lt;&gt;0")</f>
        <v>0</v>
      </c>
      <c r="BG574" t="str">
        <f t="array" ref="BG574">IF(BA574=1,INDEX($X$7:$AN$7,MATCH(TRUE,INDEX($X574:$AY574&lt;&gt;0,),0)),IF(BA574=0,INDEX($AO$7:$AY$7,MATCH(1,$AO574:$AY574,0)),IF(BH574="Multiple strategies","mixed drivers",IF(BH574="Supply chain","multiple supply","multiple silviculture"))))</f>
        <v xml:space="preserve">end of life disposal </v>
      </c>
      <c r="BH574" s="2" t="str" cm="1">
        <f t="array" ref="BH574">IF(COUNTIF(BB574:BD574,"&lt;&gt;0")=1,INDEX($X$4:$AY$4,MATCH(TRUE,INDEX($X574:$AY574&lt;&gt;0,),0)),IF(COUNTIF(BB574:BD574,"&lt;&gt;0")=0,INDEX($AO$4:$AY$4,MATCH(1,$AO574:$AY574,0)),"Multiple strategies"))</f>
        <v>Supply chain</v>
      </c>
      <c r="BI574" s="142" t="s">
        <v>229</v>
      </c>
      <c r="BJ574" t="s">
        <v>441</v>
      </c>
      <c r="BK574" s="260" t="s">
        <v>2949</v>
      </c>
      <c r="BL574" s="143" t="s">
        <v>442</v>
      </c>
      <c r="BM574">
        <f>3*44</f>
        <v>132</v>
      </c>
      <c r="BN574">
        <f>3*44</f>
        <v>132</v>
      </c>
      <c r="BO574" s="143">
        <f>BN574/BM574</f>
        <v>1</v>
      </c>
      <c r="BP574">
        <f>BN574-BM574</f>
        <v>0</v>
      </c>
      <c r="BQ574">
        <v>0</v>
      </c>
      <c r="BR574" t="s">
        <v>232</v>
      </c>
      <c r="BS574" s="256" t="s">
        <v>793</v>
      </c>
      <c r="BT574" t="s">
        <v>443</v>
      </c>
      <c r="BU574" s="141">
        <v>-3</v>
      </c>
      <c r="BV574" s="141">
        <v>97</v>
      </c>
      <c r="BW574" s="144">
        <f>IFERROR(BV574/BU574,"")</f>
        <v>-32.333333333333336</v>
      </c>
      <c r="BX574">
        <f>BV574-BU574</f>
        <v>100</v>
      </c>
      <c r="BZ574">
        <f>BX574*C_to_CO2</f>
        <v>367</v>
      </c>
      <c r="CA574" t="str">
        <f>IFERROR(BZ574/BQ574,"")</f>
        <v/>
      </c>
      <c r="CB574" s="143">
        <v>0</v>
      </c>
      <c r="CC574" s="143">
        <v>0</v>
      </c>
      <c r="CD574" s="143">
        <v>0</v>
      </c>
      <c r="CE574" s="143">
        <v>0</v>
      </c>
      <c r="CF574" s="143">
        <v>0</v>
      </c>
      <c r="CG574" s="143">
        <v>0</v>
      </c>
      <c r="CH574" s="143">
        <v>0</v>
      </c>
      <c r="CI574" s="143">
        <v>0</v>
      </c>
      <c r="CJ574" s="143">
        <v>0</v>
      </c>
      <c r="CK574" s="143">
        <v>0</v>
      </c>
      <c r="CL574" s="143">
        <v>0</v>
      </c>
      <c r="CM574" s="143">
        <v>0</v>
      </c>
      <c r="CN574" s="143">
        <v>0</v>
      </c>
      <c r="CO574">
        <v>0</v>
      </c>
      <c r="CP574" t="str">
        <f>IF(BN574&lt;BM574,"refNeedCorrection","refOK")</f>
        <v>refOK</v>
      </c>
      <c r="CQ574">
        <f>IF($CP574="refOK",$BM574,$BN574)</f>
        <v>132</v>
      </c>
      <c r="CR574">
        <f>IF($CP574="refOK",$BN574,$BM574)</f>
        <v>132</v>
      </c>
      <c r="CS574">
        <f>IF($CP574="refOK",$BQ574,-$BQ574)</f>
        <v>0</v>
      </c>
      <c r="CT574">
        <f>IF(BI574="Roundwood",$CS574/2,$CS574)</f>
        <v>0</v>
      </c>
      <c r="CU574">
        <f>IF($CP574="refOK",$BU574,$BV574)*IF($BR574="Emissions positive",-1,1)</f>
        <v>-3</v>
      </c>
      <c r="CV574">
        <f>IF($CP574="refOK",$BV574,$BU574)*IF($BR574="Emissions positive",-1,1)</f>
        <v>97</v>
      </c>
      <c r="CW574">
        <f>IF($CP574="refNeedCorrection",-BZ574,BZ574)*IF($BR574="Emissions positive",-1,1)</f>
        <v>367</v>
      </c>
      <c r="CX574" t="str">
        <f>IFERROR($CW574/$CS574,"")</f>
        <v/>
      </c>
      <c r="CY574" t="str">
        <f>IFERROR($CW574/$CS574,"")</f>
        <v/>
      </c>
      <c r="CZ574" t="str">
        <f>IFERROR($CW574/$CT574,"")</f>
        <v/>
      </c>
      <c r="DA574" s="2">
        <f>IFERROR((CV574-CU574)/ABS(CU574),"")</f>
        <v>33.333333333333336</v>
      </c>
      <c r="DB574" s="1" t="s">
        <v>263</v>
      </c>
      <c r="DC574" t="str">
        <f>IF(OR($DB574="prd",$DB574="std",$DB574="cit"),"loc",IF(OR($DB574="eur",$DB574="reg",$DB574="coy"),"reg",$DB574))</f>
        <v>loc</v>
      </c>
      <c r="DD574" t="s">
        <v>444</v>
      </c>
      <c r="DG574">
        <v>300</v>
      </c>
      <c r="DH574" t="str">
        <f>IF(DG574=0,"0",IF(AND(DG574&gt;=1,DG574&lt;=30),"1-30",IF(AND(DG574&gt;30,DG574&lt;=70),"31-70",IF(AND(DG574&gt;70,DG574&lt;=100),"71-100",IF(DG574&gt;100,"+100")))))</f>
        <v>+100</v>
      </c>
      <c r="DI574">
        <v>0</v>
      </c>
      <c r="DJ574">
        <v>1</v>
      </c>
      <c r="DK574">
        <v>0</v>
      </c>
      <c r="DL574">
        <v>0</v>
      </c>
      <c r="DN574">
        <f>SUM(DI574:DL574)</f>
        <v>1</v>
      </c>
      <c r="DO574" t="str">
        <f>IF(DN574=1,INDEX($DI$7:$DL$7,MATCH(1,$DI574:$DL574,0)),"mixedProduct")</f>
        <v>EnergyInput</v>
      </c>
      <c r="DP574">
        <f>IF(DI574=1,DP$7,0)</f>
        <v>0</v>
      </c>
      <c r="DQ574" t="str">
        <f>IF(DJ574=1,DQ$7,0)</f>
        <v>Energy</v>
      </c>
      <c r="DR574">
        <f>IF(DK574=1,DR$7,0)</f>
        <v>0</v>
      </c>
      <c r="DS574">
        <f>IF(DL574=1,DS$7,0)</f>
        <v>0</v>
      </c>
      <c r="DT574">
        <v>1</v>
      </c>
      <c r="DU574" s="143">
        <v>0</v>
      </c>
      <c r="DV574" s="143">
        <v>0</v>
      </c>
      <c r="DW574" s="143">
        <v>0</v>
      </c>
      <c r="DX574">
        <v>0</v>
      </c>
      <c r="DY574">
        <f>SUM(DT574:DU574)</f>
        <v>1</v>
      </c>
      <c r="DZ574" s="143" t="str">
        <f>IF(DT574=1,"self-calculated DF",IF(DU574=1,"external DF used","explicit C balance"))</f>
        <v>self-calculated DF</v>
      </c>
      <c r="EA574">
        <v>0</v>
      </c>
      <c r="EB574" s="143">
        <v>0</v>
      </c>
      <c r="EC574" s="143">
        <v>1</v>
      </c>
      <c r="ED574" s="143">
        <v>1</v>
      </c>
      <c r="EE574">
        <v>1</v>
      </c>
      <c r="EF574" s="143">
        <v>1</v>
      </c>
      <c r="EG574">
        <v>0</v>
      </c>
      <c r="EH574" s="143">
        <v>1</v>
      </c>
      <c r="EI574" s="143">
        <v>0</v>
      </c>
      <c r="EJ574">
        <v>0</v>
      </c>
      <c r="EK574">
        <v>0</v>
      </c>
      <c r="EL574" s="143">
        <v>0</v>
      </c>
      <c r="EM574" s="143">
        <v>0</v>
      </c>
      <c r="EN574" s="2">
        <v>0</v>
      </c>
      <c r="EP574" t="str">
        <f>IF(AND(AND(AND(OR($EC574=1,$EB574=1),OR($EH574=1,$EF574=1)),SUM($EA574:$EE574,$EK574)&gt;=3),SUM($EF574:$EJ574)&gt;=2),"Whole sector approach","")</f>
        <v>Whole sector approach</v>
      </c>
      <c r="EQ574" t="str">
        <f>IF(AND(AND(OR($EC574=1,$EB574=1),AND($EH574=0,$EF574=0)),SUM($EA574:$EE574,$EK574)&gt;=4),"Ecosystem approach","")</f>
        <v/>
      </c>
      <c r="ER574" s="2" t="str">
        <f>IF(AND(AND(AND($EC574=0,$EB574=0),OR($EH574=1,$EF574=1)),SUM($EG574:$EJ574)&gt;=2),"Technology approach","")</f>
        <v/>
      </c>
      <c r="ES574" t="str">
        <f>IF(AND($EC574+$EB574+$EE574+$EA574+$ED574+$EG574=0,$N574="included"),"C neutral forest and HWP assumption","")</f>
        <v/>
      </c>
      <c r="ET574" t="str">
        <f>IF(AND(AND(AND(AND($EC574=1,$EB574+$EA574+$EG574&gt;=1),$EF574=1),$EH574+$EI574+$ED574+$EE574&gt;=2),$N574="included"),"All C pools assumption","")</f>
        <v/>
      </c>
      <c r="EU574" t="str">
        <f>IF(AND($ED574+$EE574+$EI574+$EH574+$EF574=0,$N574="included"),"In-situ only assumption","")</f>
        <v/>
      </c>
      <c r="EW574" t="s">
        <v>445</v>
      </c>
      <c r="EY574" t="str">
        <f>IF(ISNUMBER(BW574),IF(ABS(BW574-[6]QC_indicators!$B$2)&gt;3*[6]QC_indicators!$C$2,"C ratio",IF(ISNUMBER(CA574),IF(ABS(CA574-[6]QC_indicators!$B$1)&gt;3*[6]QC_indicators!$C$1,"DF","no"))),IF(ISNUMBER(CA574),IF(ABS(CA574-[6]QC_indicators!$B$1)&gt;3*[6]QC_indicators!$C$1,"DF","no")))</f>
        <v>C ratio</v>
      </c>
      <c r="EZ574" t="s">
        <v>450</v>
      </c>
      <c r="FA574" t="str">
        <f>IF(LEN($CY574)=0,"",IF(AND($CY574&lt;(-0.05),$ES574="C neutral forest and HWP assumption"),"Cneutral paradox",IF(AND($CY574&gt;0.05,$EU574="In-situ only assumption"),"In-situ only paradox","")))</f>
        <v/>
      </c>
      <c r="FD574" s="260" t="s">
        <v>2948</v>
      </c>
    </row>
    <row r="575" spans="1:160" ht="15" hidden="1" customHeight="1">
      <c r="A575" s="1" t="s">
        <v>430</v>
      </c>
      <c r="B575" t="s">
        <v>431</v>
      </c>
      <c r="C575" t="s">
        <v>432</v>
      </c>
      <c r="D575" t="s">
        <v>433</v>
      </c>
      <c r="E575" t="s">
        <v>434</v>
      </c>
      <c r="F575" t="s">
        <v>435</v>
      </c>
      <c r="G575" t="s">
        <v>436</v>
      </c>
      <c r="H575" t="s">
        <v>254</v>
      </c>
      <c r="I575">
        <v>2000</v>
      </c>
      <c r="J575">
        <v>174</v>
      </c>
      <c r="K575" t="s">
        <v>437</v>
      </c>
      <c r="M575" t="str">
        <f>LEFT($D575,FIND(",",$D575)-1)&amp;"_"&amp;I575&amp;L575</f>
        <v>Borjesson_2000</v>
      </c>
      <c r="N575" t="s">
        <v>222</v>
      </c>
      <c r="O575" s="145" t="s">
        <v>223</v>
      </c>
      <c r="Q575" t="s">
        <v>256</v>
      </c>
      <c r="R575" s="251" t="s">
        <v>225</v>
      </c>
      <c r="S575" s="1" t="s">
        <v>464</v>
      </c>
      <c r="T575" t="s">
        <v>467</v>
      </c>
      <c r="U575" t="s">
        <v>470</v>
      </c>
      <c r="V575" s="253">
        <v>0</v>
      </c>
      <c r="W575" s="253">
        <v>0</v>
      </c>
      <c r="X575">
        <v>0</v>
      </c>
      <c r="Y575">
        <v>0</v>
      </c>
      <c r="Z575">
        <v>0</v>
      </c>
      <c r="AA575">
        <v>0</v>
      </c>
      <c r="AB575">
        <v>0</v>
      </c>
      <c r="AC575">
        <v>0</v>
      </c>
      <c r="AD575">
        <v>0</v>
      </c>
      <c r="AE575">
        <v>0</v>
      </c>
      <c r="AF575">
        <v>0</v>
      </c>
      <c r="AG575">
        <v>0</v>
      </c>
      <c r="AH575">
        <v>0</v>
      </c>
      <c r="AI575">
        <v>0</v>
      </c>
      <c r="AJ575">
        <v>1</v>
      </c>
      <c r="AK575">
        <v>0</v>
      </c>
      <c r="AL575">
        <v>0</v>
      </c>
      <c r="AM575">
        <v>0</v>
      </c>
      <c r="AN575">
        <v>0</v>
      </c>
      <c r="AO575">
        <v>0</v>
      </c>
      <c r="AP575">
        <v>0</v>
      </c>
      <c r="AQ575">
        <v>0</v>
      </c>
      <c r="AR575">
        <v>0</v>
      </c>
      <c r="AS575">
        <v>0</v>
      </c>
      <c r="AT575">
        <v>0</v>
      </c>
      <c r="AU575">
        <v>0</v>
      </c>
      <c r="AV575">
        <v>0</v>
      </c>
      <c r="AW575">
        <v>0</v>
      </c>
      <c r="AX575">
        <v>0</v>
      </c>
      <c r="AY575">
        <v>0</v>
      </c>
      <c r="AZ575" s="141">
        <f>COUNTIF(X575:AY575,"&lt;&gt;0")</f>
        <v>1</v>
      </c>
      <c r="BA575" s="141">
        <f>COUNTIF(X575:AN575,"&lt;&gt;0")</f>
        <v>1</v>
      </c>
      <c r="BB575">
        <f>COUNTIF(X575:AE575,"&lt;&gt;0")</f>
        <v>0</v>
      </c>
      <c r="BC575">
        <f>COUNTIF(AF575:AK575,"&lt;&gt;0")</f>
        <v>1</v>
      </c>
      <c r="BD575">
        <f>COUNTIF(AL575:AN575,"&lt;&gt;0")</f>
        <v>0</v>
      </c>
      <c r="BE575">
        <f>COUNTIF(AU575:AY575,"&lt;&gt;0")</f>
        <v>0</v>
      </c>
      <c r="BF575">
        <f>COUNTIF(AO575:AT575,"&lt;&gt;0")</f>
        <v>0</v>
      </c>
      <c r="BG575" t="str">
        <f t="array" ref="BG575">IF(BA575=1,INDEX($X$7:$AN$7,MATCH(TRUE,INDEX($X575:$AY575&lt;&gt;0,),0)),IF(BA575=0,INDEX($AO$7:$AY$7,MATCH(1,$AO575:$AY575,0)),IF(BH575="Multiple strategies","mixed drivers",IF(BH575="Supply chain","multiple supply","multiple silviculture"))))</f>
        <v xml:space="preserve">end of life disposal </v>
      </c>
      <c r="BH575" s="2" t="str" cm="1">
        <f t="array" ref="BH575">IF(COUNTIF(BB575:BD575,"&lt;&gt;0")=1,INDEX($X$4:$AY$4,MATCH(TRUE,INDEX($X575:$AY575&lt;&gt;0,),0)),IF(COUNTIF(BB575:BD575,"&lt;&gt;0")=0,INDEX($AO$4:$AY$4,MATCH(1,$AO575:$AY575,0)),"Multiple strategies"))</f>
        <v>Supply chain</v>
      </c>
      <c r="BI575" s="142" t="s">
        <v>229</v>
      </c>
      <c r="BJ575" t="s">
        <v>441</v>
      </c>
      <c r="BK575" s="260" t="s">
        <v>2949</v>
      </c>
      <c r="BL575" s="143" t="s">
        <v>442</v>
      </c>
      <c r="BM575">
        <f>3*44</f>
        <v>132</v>
      </c>
      <c r="BN575">
        <f>3*44</f>
        <v>132</v>
      </c>
      <c r="BO575" s="143">
        <f>BN575/BM575</f>
        <v>1</v>
      </c>
      <c r="BP575">
        <f>BN575-BM575</f>
        <v>0</v>
      </c>
      <c r="BQ575">
        <v>0</v>
      </c>
      <c r="BR575" t="s">
        <v>232</v>
      </c>
      <c r="BS575" s="256" t="s">
        <v>793</v>
      </c>
      <c r="BT575" t="s">
        <v>443</v>
      </c>
      <c r="BU575" s="141">
        <v>-3</v>
      </c>
      <c r="BV575" s="141">
        <v>111</v>
      </c>
      <c r="BW575" s="144">
        <f>IFERROR(BV575/BU575,"")</f>
        <v>-37</v>
      </c>
      <c r="BX575">
        <f>BV575-BU575</f>
        <v>114</v>
      </c>
      <c r="BZ575">
        <f>BX575*C_to_CO2</f>
        <v>418.38</v>
      </c>
      <c r="CA575" t="str">
        <f>IFERROR(BZ575/BQ575,"")</f>
        <v/>
      </c>
      <c r="CB575" s="143">
        <v>0</v>
      </c>
      <c r="CC575" s="143">
        <v>0</v>
      </c>
      <c r="CD575" s="143">
        <v>0</v>
      </c>
      <c r="CE575" s="143">
        <v>0</v>
      </c>
      <c r="CF575" s="143">
        <v>0</v>
      </c>
      <c r="CG575" s="143">
        <v>0</v>
      </c>
      <c r="CH575" s="143">
        <v>0</v>
      </c>
      <c r="CI575" s="143">
        <v>0</v>
      </c>
      <c r="CJ575" s="143">
        <v>0</v>
      </c>
      <c r="CK575" s="143">
        <v>0</v>
      </c>
      <c r="CL575" s="143">
        <v>0</v>
      </c>
      <c r="CM575" s="143">
        <v>0</v>
      </c>
      <c r="CN575" s="143">
        <v>0</v>
      </c>
      <c r="CO575">
        <v>0</v>
      </c>
      <c r="CP575" t="str">
        <f>IF(BN575&lt;BM575,"refNeedCorrection","refOK")</f>
        <v>refOK</v>
      </c>
      <c r="CQ575">
        <f>IF($CP575="refOK",$BM575,$BN575)</f>
        <v>132</v>
      </c>
      <c r="CR575">
        <f>IF($CP575="refOK",$BN575,$BM575)</f>
        <v>132</v>
      </c>
      <c r="CS575">
        <f>IF($CP575="refOK",$BQ575,-$BQ575)</f>
        <v>0</v>
      </c>
      <c r="CT575">
        <f>IF(BI575="Roundwood",$CS575/2,$CS575)</f>
        <v>0</v>
      </c>
      <c r="CU575">
        <f>IF($CP575="refOK",$BU575,$BV575)*IF($BR575="Emissions positive",-1,1)</f>
        <v>-3</v>
      </c>
      <c r="CV575">
        <f>IF($CP575="refOK",$BV575,$BU575)*IF($BR575="Emissions positive",-1,1)</f>
        <v>111</v>
      </c>
      <c r="CW575">
        <f>IF($CP575="refNeedCorrection",-BZ575,BZ575)*IF($BR575="Emissions positive",-1,1)</f>
        <v>418.38</v>
      </c>
      <c r="CX575" t="str">
        <f>IFERROR($CW575/$CS575,"")</f>
        <v/>
      </c>
      <c r="CY575" t="str">
        <f>IFERROR($CW575/$CS575,"")</f>
        <v/>
      </c>
      <c r="CZ575" t="str">
        <f>IFERROR($CW575/$CT575,"")</f>
        <v/>
      </c>
      <c r="DA575" s="2">
        <f>IFERROR((CV575-CU575)/ABS(CU575),"")</f>
        <v>38</v>
      </c>
      <c r="DB575" s="1" t="s">
        <v>263</v>
      </c>
      <c r="DC575" t="str">
        <f>IF(OR($DB575="prd",$DB575="std",$DB575="cit"),"loc",IF(OR($DB575="eur",$DB575="reg",$DB575="coy"),"reg",$DB575))</f>
        <v>loc</v>
      </c>
      <c r="DD575" t="s">
        <v>444</v>
      </c>
      <c r="DG575">
        <v>300</v>
      </c>
      <c r="DH575" t="str">
        <f>IF(DG575=0,"0",IF(AND(DG575&gt;=1,DG575&lt;=30),"1-30",IF(AND(DG575&gt;30,DG575&lt;=70),"31-70",IF(AND(DG575&gt;70,DG575&lt;=100),"71-100",IF(DG575&gt;100,"+100")))))</f>
        <v>+100</v>
      </c>
      <c r="DI575">
        <v>0</v>
      </c>
      <c r="DJ575">
        <v>1</v>
      </c>
      <c r="DK575">
        <v>0</v>
      </c>
      <c r="DL575">
        <v>0</v>
      </c>
      <c r="DN575">
        <f>SUM(DI575:DL575)</f>
        <v>1</v>
      </c>
      <c r="DO575" t="str">
        <f>IF(DN575=1,INDEX($DI$7:$DL$7,MATCH(1,$DI575:$DL575,0)),"mixedProduct")</f>
        <v>EnergyInput</v>
      </c>
      <c r="DP575">
        <f>IF(DI575=1,DP$7,0)</f>
        <v>0</v>
      </c>
      <c r="DQ575" t="str">
        <f>IF(DJ575=1,DQ$7,0)</f>
        <v>Energy</v>
      </c>
      <c r="DR575">
        <f>IF(DK575=1,DR$7,0)</f>
        <v>0</v>
      </c>
      <c r="DS575">
        <f>IF(DL575=1,DS$7,0)</f>
        <v>0</v>
      </c>
      <c r="DT575">
        <v>1</v>
      </c>
      <c r="DU575" s="143">
        <v>0</v>
      </c>
      <c r="DV575" s="143">
        <v>0</v>
      </c>
      <c r="DW575" s="143">
        <v>0</v>
      </c>
      <c r="DX575">
        <v>0</v>
      </c>
      <c r="DY575">
        <f>SUM(DT575:DU575)</f>
        <v>1</v>
      </c>
      <c r="DZ575" s="143" t="str">
        <f>IF(DT575=1,"self-calculated DF",IF(DU575=1,"external DF used","explicit C balance"))</f>
        <v>self-calculated DF</v>
      </c>
      <c r="EA575">
        <v>0</v>
      </c>
      <c r="EB575" s="143">
        <v>0</v>
      </c>
      <c r="EC575" s="143">
        <v>1</v>
      </c>
      <c r="ED575" s="143">
        <v>1</v>
      </c>
      <c r="EE575">
        <v>1</v>
      </c>
      <c r="EF575" s="143">
        <v>1</v>
      </c>
      <c r="EG575">
        <v>0</v>
      </c>
      <c r="EH575" s="143">
        <v>1</v>
      </c>
      <c r="EI575" s="143">
        <v>0</v>
      </c>
      <c r="EJ575">
        <v>0</v>
      </c>
      <c r="EK575">
        <v>0</v>
      </c>
      <c r="EL575" s="143">
        <v>0</v>
      </c>
      <c r="EM575" s="143">
        <v>0</v>
      </c>
      <c r="EN575" s="2">
        <v>0</v>
      </c>
      <c r="EP575" t="str">
        <f>IF(AND(AND(AND(OR($EC575=1,$EB575=1),OR($EH575=1,$EF575=1)),SUM($EA575:$EE575,$EK575)&gt;=3),SUM($EF575:$EJ575)&gt;=2),"Whole sector approach","")</f>
        <v>Whole sector approach</v>
      </c>
      <c r="EQ575" t="str">
        <f>IF(AND(AND(OR($EC575=1,$EB575=1),AND($EH575=0,$EF575=0)),SUM($EA575:$EE575,$EK575)&gt;=4),"Ecosystem approach","")</f>
        <v/>
      </c>
      <c r="ER575" s="2" t="str">
        <f>IF(AND(AND(AND($EC575=0,$EB575=0),OR($EH575=1,$EF575=1)),SUM($EG575:$EJ575)&gt;=2),"Technology approach","")</f>
        <v/>
      </c>
      <c r="ES575" t="str">
        <f>IF(AND($EC575+$EB575+$EE575+$EA575+$ED575+$EG575=0,$N575="included"),"C neutral forest and HWP assumption","")</f>
        <v/>
      </c>
      <c r="ET575" t="str">
        <f>IF(AND(AND(AND(AND($EC575=1,$EB575+$EA575+$EG575&gt;=1),$EF575=1),$EH575+$EI575+$ED575+$EE575&gt;=2),$N575="included"),"All C pools assumption","")</f>
        <v/>
      </c>
      <c r="EU575" t="str">
        <f>IF(AND($ED575+$EE575+$EI575+$EH575+$EF575=0,$N575="included"),"In-situ only assumption","")</f>
        <v/>
      </c>
      <c r="EW575" t="s">
        <v>445</v>
      </c>
      <c r="EY575" t="str">
        <f>IF(ISNUMBER(BW575),IF(ABS(BW575-[6]QC_indicators!$B$2)&gt;3*[6]QC_indicators!$C$2,"C ratio",IF(ISNUMBER(CA575),IF(ABS(CA575-[6]QC_indicators!$B$1)&gt;3*[6]QC_indicators!$C$1,"DF","no"))),IF(ISNUMBER(CA575),IF(ABS(CA575-[6]QC_indicators!$B$1)&gt;3*[6]QC_indicators!$C$1,"DF","no")))</f>
        <v>C ratio</v>
      </c>
      <c r="EZ575" t="s">
        <v>450</v>
      </c>
      <c r="FA575" t="str">
        <f>IF(LEN($CY575)=0,"",IF(AND($CY575&lt;(-0.05),$ES575="C neutral forest and HWP assumption"),"Cneutral paradox",IF(AND($CY575&gt;0.05,$EU575="In-situ only assumption"),"In-situ only paradox","")))</f>
        <v/>
      </c>
      <c r="FD575" s="260" t="s">
        <v>2948</v>
      </c>
    </row>
    <row r="576" spans="1:160" ht="15" hidden="1" customHeight="1">
      <c r="A576" s="1" t="s">
        <v>430</v>
      </c>
      <c r="B576" t="s">
        <v>431</v>
      </c>
      <c r="C576" t="s">
        <v>432</v>
      </c>
      <c r="D576" t="s">
        <v>433</v>
      </c>
      <c r="E576" t="s">
        <v>434</v>
      </c>
      <c r="F576" t="s">
        <v>435</v>
      </c>
      <c r="G576" t="s">
        <v>436</v>
      </c>
      <c r="H576" t="s">
        <v>254</v>
      </c>
      <c r="I576">
        <v>2000</v>
      </c>
      <c r="J576">
        <v>174</v>
      </c>
      <c r="K576" t="s">
        <v>437</v>
      </c>
      <c r="M576" t="str">
        <f>LEFT($D576,FIND(",",$D576)-1)&amp;"_"&amp;I576&amp;L576</f>
        <v>Borjesson_2000</v>
      </c>
      <c r="N576" t="s">
        <v>222</v>
      </c>
      <c r="O576" s="145" t="s">
        <v>223</v>
      </c>
      <c r="Q576" t="s">
        <v>256</v>
      </c>
      <c r="R576" s="251" t="s">
        <v>225</v>
      </c>
      <c r="S576" s="1" t="s">
        <v>475</v>
      </c>
      <c r="T576" t="s">
        <v>476</v>
      </c>
      <c r="U576" t="s">
        <v>484</v>
      </c>
      <c r="V576" s="253">
        <v>0</v>
      </c>
      <c r="W576" s="253">
        <v>0</v>
      </c>
      <c r="X576">
        <v>0</v>
      </c>
      <c r="Y576">
        <v>0</v>
      </c>
      <c r="Z576">
        <v>0</v>
      </c>
      <c r="AA576">
        <v>0</v>
      </c>
      <c r="AB576">
        <v>0</v>
      </c>
      <c r="AC576">
        <v>0</v>
      </c>
      <c r="AD576">
        <v>0</v>
      </c>
      <c r="AE576">
        <v>0</v>
      </c>
      <c r="AF576">
        <v>0</v>
      </c>
      <c r="AG576">
        <v>0</v>
      </c>
      <c r="AH576">
        <v>0</v>
      </c>
      <c r="AI576">
        <v>0</v>
      </c>
      <c r="AJ576">
        <v>0</v>
      </c>
      <c r="AK576">
        <v>0</v>
      </c>
      <c r="AL576">
        <v>0</v>
      </c>
      <c r="AM576">
        <v>1</v>
      </c>
      <c r="AN576">
        <v>0</v>
      </c>
      <c r="AO576">
        <v>0</v>
      </c>
      <c r="AP576">
        <v>0</v>
      </c>
      <c r="AQ576">
        <v>0</v>
      </c>
      <c r="AR576">
        <v>0</v>
      </c>
      <c r="AS576">
        <v>0</v>
      </c>
      <c r="AT576">
        <v>0</v>
      </c>
      <c r="AU576">
        <v>0</v>
      </c>
      <c r="AV576">
        <v>0</v>
      </c>
      <c r="AW576">
        <v>0</v>
      </c>
      <c r="AX576">
        <v>0</v>
      </c>
      <c r="AY576">
        <v>0</v>
      </c>
      <c r="AZ576" s="141">
        <f>COUNTIF(X576:AY576,"&lt;&gt;0")</f>
        <v>1</v>
      </c>
      <c r="BA576" s="141">
        <f>COUNTIF(X576:AN576,"&lt;&gt;0")</f>
        <v>1</v>
      </c>
      <c r="BB576">
        <f>COUNTIF(X576:AE576,"&lt;&gt;0")</f>
        <v>0</v>
      </c>
      <c r="BC576">
        <f>COUNTIF(AF576:AK576,"&lt;&gt;0")</f>
        <v>0</v>
      </c>
      <c r="BD576">
        <f>COUNTIF(AL576:AN576,"&lt;&gt;0")</f>
        <v>1</v>
      </c>
      <c r="BE576">
        <f>COUNTIF(AU576:AY576,"&lt;&gt;0")</f>
        <v>0</v>
      </c>
      <c r="BF576">
        <f>COUNTIF(AO576:AT576,"&lt;&gt;0")</f>
        <v>0</v>
      </c>
      <c r="BG576" t="str">
        <f t="array" ref="BG576">IF(BA576=1,INDEX($X$7:$AN$7,MATCH(TRUE,INDEX($X576:$AY576&lt;&gt;0,),0)),IF(BA576=0,INDEX($AO$7:$AY$7,MATCH(1,$AO576:$AY576,0)),IF(BH576="Multiple strategies","mixed drivers",IF(BH576="Supply chain","multiple supply","multiple silviculture"))))</f>
        <v>technologies/design switch</v>
      </c>
      <c r="BH576" s="2" t="str" cm="1">
        <f t="array" ref="BH576">IF(COUNTIF(BB576:BD576,"&lt;&gt;0")=1,INDEX($X$4:$AY$4,MATCH(TRUE,INDEX($X576:$AY576&lt;&gt;0,),0)),IF(COUNTIF(BB576:BD576,"&lt;&gt;0")=0,INDEX($AO$4:$AY$4,MATCH(1,$AO576:$AY576,0)),"Multiple strategies"))</f>
        <v>Technology</v>
      </c>
      <c r="BI576" s="142" t="s">
        <v>321</v>
      </c>
      <c r="BJ576" t="s">
        <v>478</v>
      </c>
      <c r="BK576" s="260" t="s">
        <v>2950</v>
      </c>
      <c r="BL576" t="s">
        <v>442</v>
      </c>
      <c r="BM576">
        <v>0</v>
      </c>
      <c r="BN576">
        <v>54</v>
      </c>
      <c r="BO576" s="143"/>
      <c r="BP576">
        <f>BN576-BM576</f>
        <v>54</v>
      </c>
      <c r="BQ576">
        <f>BP576*tC_to_m3</f>
        <v>234.47676943117673</v>
      </c>
      <c r="BR576" t="s">
        <v>232</v>
      </c>
      <c r="BS576" s="256" t="s">
        <v>793</v>
      </c>
      <c r="BT576" t="s">
        <v>443</v>
      </c>
      <c r="BU576" s="141">
        <v>6</v>
      </c>
      <c r="BV576" s="141">
        <v>39</v>
      </c>
      <c r="BW576" s="144">
        <f>IFERROR(BV576/BU576,"")</f>
        <v>6.5</v>
      </c>
      <c r="BX576">
        <f>BV576-BU576</f>
        <v>33</v>
      </c>
      <c r="BZ576">
        <f>BX576*C_to_CO2</f>
        <v>121.11</v>
      </c>
      <c r="CA576">
        <f>IFERROR(BZ576/BQ576,"")</f>
        <v>0.51651172222222219</v>
      </c>
      <c r="CB576" s="143">
        <v>0</v>
      </c>
      <c r="CC576" s="143">
        <v>0</v>
      </c>
      <c r="CD576" s="143">
        <v>0</v>
      </c>
      <c r="CE576" s="143">
        <v>0</v>
      </c>
      <c r="CF576" s="143">
        <v>0</v>
      </c>
      <c r="CG576" s="143">
        <v>0</v>
      </c>
      <c r="CH576" s="143">
        <v>0</v>
      </c>
      <c r="CI576" s="143">
        <v>0</v>
      </c>
      <c r="CJ576" s="143">
        <v>0</v>
      </c>
      <c r="CK576" s="143">
        <v>0</v>
      </c>
      <c r="CL576" s="143">
        <v>0</v>
      </c>
      <c r="CM576" s="143">
        <v>0</v>
      </c>
      <c r="CN576" s="143">
        <v>0</v>
      </c>
      <c r="CO576">
        <v>0</v>
      </c>
      <c r="CP576" t="str">
        <f>IF($BN576&lt;$BM576,"refNeedCorrection","refOK")</f>
        <v>refOK</v>
      </c>
      <c r="CQ576">
        <f>IF($CP576="refOK",$BM576,$BN576)</f>
        <v>0</v>
      </c>
      <c r="CR576">
        <f>IF($CP576="refOK",$BN576,$BM576)</f>
        <v>54</v>
      </c>
      <c r="CS576">
        <f>IF($CP576="refOK",$BQ576,-$BQ576)</f>
        <v>234.47676943117673</v>
      </c>
      <c r="CT576">
        <f>IF(BI576="Roundwood",$CS576/2,$CS576)</f>
        <v>117.23838471558837</v>
      </c>
      <c r="CU576">
        <f>IF($CP576="refOK",$BU576,$BV576)*IF($BR576="Emissions positive",-1,1)</f>
        <v>6</v>
      </c>
      <c r="CV576">
        <f>IF($CP576="refOK",$BV576,$BU576)*IF($BR576="Emissions positive",-1,1)</f>
        <v>39</v>
      </c>
      <c r="CW576">
        <f>IF($CP576="refNeedCorrection",-BZ576,BZ576)*IF($BR576="Emissions positive",-1,1)</f>
        <v>121.11</v>
      </c>
      <c r="CX576">
        <f>IFERROR($CW576/$CS576,"")</f>
        <v>0.51651172222222219</v>
      </c>
      <c r="CY576">
        <f>IFERROR($CW576/$CS576,"")</f>
        <v>0.51651172222222219</v>
      </c>
      <c r="CZ576">
        <f>IFERROR($CW576/$CT576,"")</f>
        <v>1.0330234444444444</v>
      </c>
      <c r="DA576" s="2">
        <f>IFERROR((CV576-CU576)/ABS(CU576),"")</f>
        <v>5.5</v>
      </c>
      <c r="DB576" s="1" t="s">
        <v>263</v>
      </c>
      <c r="DC576" t="str">
        <f>IF(OR($DB576="prd",$DB576="std",$DB576="cit"),"loc",IF(OR($DB576="eur",$DB576="reg",$DB576="coy"),"reg",$DB576))</f>
        <v>loc</v>
      </c>
      <c r="DD576" t="s">
        <v>444</v>
      </c>
      <c r="DG576">
        <v>300</v>
      </c>
      <c r="DH576" t="str">
        <f>IF(DG576=0,"0",IF(AND(DG576&gt;=1,DG576&lt;=30),"1-30",IF(AND(DG576&gt;30,DG576&lt;=70),"31-70",IF(AND(DG576&gt;70,DG576&lt;=100),"71-100",IF(DG576&gt;100,"+100")))))</f>
        <v>+100</v>
      </c>
      <c r="DI576">
        <v>0</v>
      </c>
      <c r="DJ576">
        <v>1</v>
      </c>
      <c r="DK576">
        <v>0</v>
      </c>
      <c r="DL576">
        <v>0</v>
      </c>
      <c r="DN576">
        <f>SUM(DI576:DL576)</f>
        <v>1</v>
      </c>
      <c r="DO576" t="str">
        <f>IF(DN576=1,INDEX($DI$7:$DL$7,MATCH(1,$DI576:$DL576,0)),"mixedProduct")</f>
        <v>EnergyInput</v>
      </c>
      <c r="DP576">
        <f>IF(DI576=1,DP$7,0)</f>
        <v>0</v>
      </c>
      <c r="DQ576" t="str">
        <f>IF(DJ576=1,DQ$7,0)</f>
        <v>Energy</v>
      </c>
      <c r="DR576">
        <f>IF(DK576=1,DR$7,0)</f>
        <v>0</v>
      </c>
      <c r="DS576">
        <f>IF(DL576=1,DS$7,0)</f>
        <v>0</v>
      </c>
      <c r="DT576">
        <v>1</v>
      </c>
      <c r="DU576" s="143">
        <v>0</v>
      </c>
      <c r="DV576" s="143">
        <v>0</v>
      </c>
      <c r="DW576" s="143">
        <v>0</v>
      </c>
      <c r="DX576">
        <v>0</v>
      </c>
      <c r="DY576">
        <f>SUM(DT576:DU576)</f>
        <v>1</v>
      </c>
      <c r="DZ576" s="143" t="str">
        <f>IF(DT576=1,"self-calculated DF",IF(DU576=1,"external DF used","explicit C balance"))</f>
        <v>self-calculated DF</v>
      </c>
      <c r="EA576">
        <v>0</v>
      </c>
      <c r="EB576" s="143">
        <v>0</v>
      </c>
      <c r="EC576" s="143">
        <v>1</v>
      </c>
      <c r="ED576" s="143">
        <v>1</v>
      </c>
      <c r="EE576">
        <v>1</v>
      </c>
      <c r="EF576" s="143">
        <v>1</v>
      </c>
      <c r="EG576">
        <v>0</v>
      </c>
      <c r="EH576" s="143">
        <v>1</v>
      </c>
      <c r="EI576" s="143">
        <v>0</v>
      </c>
      <c r="EJ576">
        <v>0</v>
      </c>
      <c r="EK576">
        <v>0</v>
      </c>
      <c r="EL576" s="143">
        <v>0</v>
      </c>
      <c r="EM576" s="143">
        <v>0</v>
      </c>
      <c r="EN576" s="2">
        <v>0</v>
      </c>
      <c r="EP576" t="str">
        <f>IF(AND(AND(AND(OR($EC576=1,$EB576=1),OR($EH576=1,$EF576=1)),SUM($EA576:$EE576,$EK576)&gt;=3),SUM($EF576:$EJ576)&gt;=2),"Whole sector approach","")</f>
        <v>Whole sector approach</v>
      </c>
      <c r="EQ576" t="str">
        <f>IF(AND(AND(OR($EC576=1,$EB576=1),AND($EH576=0,$EF576=0)),SUM($EA576:$EE576,$EK576)&gt;=4),"Ecosystem approach","")</f>
        <v/>
      </c>
      <c r="ER576" s="2" t="str">
        <f>IF(AND(AND(AND($EC576=0,$EB576=0),OR($EH576=1,$EF576=1)),SUM($EG576:$EJ576)&gt;=2),"Technology approach","")</f>
        <v/>
      </c>
      <c r="ES576" t="str">
        <f>IF(AND($EC576+$EB576+$EE576+$EA576+$ED576+$EG576=0,$N576="included"),"C neutral forest and HWP assumption","")</f>
        <v/>
      </c>
      <c r="ET576" t="str">
        <f>IF(AND(AND(AND(AND($EC576=1,$EB576+$EA576+$EG576&gt;=1),$EF576=1),$EH576+$EI576+$ED576+$EE576&gt;=2),$N576="included"),"All C pools assumption","")</f>
        <v/>
      </c>
      <c r="EU576" t="str">
        <f>IF(AND($ED576+$EE576+$EI576+$EH576+$EF576=0,$N576="included"),"In-situ only assumption","")</f>
        <v/>
      </c>
      <c r="EY576" t="str">
        <f>IF(ISNUMBER(BW576),IF(ABS(BW576-[6]QC_indicators!$B$2)&gt;3*[6]QC_indicators!$C$2,"C ratio",IF(ISNUMBER(CA576),IF(ABS(CA576-[6]QC_indicators!$B$1)&gt;3*[6]QC_indicators!$C$1,"DF","no"))),IF(ISNUMBER(CA576),IF(ABS(CA576-[6]QC_indicators!$B$1)&gt;3*[6]QC_indicators!$C$1,"DF","no")))</f>
        <v>no</v>
      </c>
      <c r="FA576" t="str">
        <f>IF(LEN($CY576)=0,"",IF(AND($CY576&lt;(-0.05),$ES576="C neutral forest and HWP assumption"),"Cneutral paradox",IF(AND($CY576&gt;0.05,$EU576="In-situ only assumption"),"In-situ only paradox","")))</f>
        <v/>
      </c>
      <c r="FB576" t="s">
        <v>479</v>
      </c>
      <c r="FD576" s="260" t="s">
        <v>2948</v>
      </c>
    </row>
    <row r="577" spans="1:160" ht="15" hidden="1" customHeight="1">
      <c r="A577" s="1" t="s">
        <v>430</v>
      </c>
      <c r="B577" t="s">
        <v>431</v>
      </c>
      <c r="C577" t="s">
        <v>432</v>
      </c>
      <c r="D577" t="s">
        <v>433</v>
      </c>
      <c r="E577" t="s">
        <v>434</v>
      </c>
      <c r="F577" t="s">
        <v>435</v>
      </c>
      <c r="G577" t="s">
        <v>436</v>
      </c>
      <c r="H577" t="s">
        <v>254</v>
      </c>
      <c r="I577">
        <v>2000</v>
      </c>
      <c r="J577">
        <v>174</v>
      </c>
      <c r="K577" t="s">
        <v>437</v>
      </c>
      <c r="M577" t="str">
        <f>LEFT($D577,FIND(",",$D577)-1)&amp;"_"&amp;I577&amp;L577</f>
        <v>Borjesson_2000</v>
      </c>
      <c r="N577" t="s">
        <v>222</v>
      </c>
      <c r="O577" s="145" t="s">
        <v>223</v>
      </c>
      <c r="Q577" t="s">
        <v>256</v>
      </c>
      <c r="R577" s="251" t="s">
        <v>225</v>
      </c>
      <c r="S577" s="1" t="s">
        <v>475</v>
      </c>
      <c r="T577" t="s">
        <v>480</v>
      </c>
      <c r="U577" t="s">
        <v>485</v>
      </c>
      <c r="V577" s="253">
        <v>0</v>
      </c>
      <c r="W577" s="253">
        <v>0</v>
      </c>
      <c r="X577">
        <v>0</v>
      </c>
      <c r="Y577">
        <v>0</v>
      </c>
      <c r="Z577">
        <v>0</v>
      </c>
      <c r="AA577">
        <v>0</v>
      </c>
      <c r="AB577">
        <v>0</v>
      </c>
      <c r="AC577">
        <v>0</v>
      </c>
      <c r="AD577">
        <v>0</v>
      </c>
      <c r="AE577">
        <v>0</v>
      </c>
      <c r="AF577">
        <v>0</v>
      </c>
      <c r="AG577">
        <v>0</v>
      </c>
      <c r="AH577">
        <v>0</v>
      </c>
      <c r="AI577">
        <v>0</v>
      </c>
      <c r="AJ577">
        <v>0</v>
      </c>
      <c r="AK577">
        <v>0</v>
      </c>
      <c r="AL577">
        <v>0</v>
      </c>
      <c r="AM577">
        <v>1</v>
      </c>
      <c r="AN577">
        <v>0</v>
      </c>
      <c r="AO577">
        <v>0</v>
      </c>
      <c r="AP577">
        <v>0</v>
      </c>
      <c r="AQ577">
        <v>0</v>
      </c>
      <c r="AR577">
        <v>0</v>
      </c>
      <c r="AS577">
        <v>0</v>
      </c>
      <c r="AT577">
        <v>0</v>
      </c>
      <c r="AU577">
        <v>0</v>
      </c>
      <c r="AV577">
        <v>0</v>
      </c>
      <c r="AW577">
        <v>0</v>
      </c>
      <c r="AX577">
        <v>0</v>
      </c>
      <c r="AY577">
        <v>0</v>
      </c>
      <c r="AZ577" s="141">
        <f>COUNTIF(X577:AY577,"&lt;&gt;0")</f>
        <v>1</v>
      </c>
      <c r="BA577" s="141">
        <f>COUNTIF(X577:AN577,"&lt;&gt;0")</f>
        <v>1</v>
      </c>
      <c r="BB577">
        <f>COUNTIF(X577:AE577,"&lt;&gt;0")</f>
        <v>0</v>
      </c>
      <c r="BC577">
        <f>COUNTIF(AF577:AK577,"&lt;&gt;0")</f>
        <v>0</v>
      </c>
      <c r="BD577">
        <f>COUNTIF(AL577:AN577,"&lt;&gt;0")</f>
        <v>1</v>
      </c>
      <c r="BE577">
        <f>COUNTIF(AU577:AY577,"&lt;&gt;0")</f>
        <v>0</v>
      </c>
      <c r="BF577">
        <f>COUNTIF(AO577:AT577,"&lt;&gt;0")</f>
        <v>0</v>
      </c>
      <c r="BG577" t="str">
        <f t="array" ref="BG577">IF(BA577=1,INDEX($X$7:$AN$7,MATCH(TRUE,INDEX($X577:$AY577&lt;&gt;0,),0)),IF(BA577=0,INDEX($AO$7:$AY$7,MATCH(1,$AO577:$AY577,0)),IF(BH577="Multiple strategies","mixed drivers",IF(BH577="Supply chain","multiple supply","multiple silviculture"))))</f>
        <v>technologies/design switch</v>
      </c>
      <c r="BH577" s="2" t="str" cm="1">
        <f t="array" ref="BH577">IF(COUNTIF(BB577:BD577,"&lt;&gt;0")=1,INDEX($X$4:$AY$4,MATCH(TRUE,INDEX($X577:$AY577&lt;&gt;0,),0)),IF(COUNTIF(BB577:BD577,"&lt;&gt;0")=0,INDEX($AO$4:$AY$4,MATCH(1,$AO577:$AY577,0)),"Multiple strategies"))</f>
        <v>Technology</v>
      </c>
      <c r="BI577" s="142" t="s">
        <v>321</v>
      </c>
      <c r="BJ577" t="s">
        <v>478</v>
      </c>
      <c r="BK577" s="260" t="s">
        <v>2951</v>
      </c>
      <c r="BL577" t="s">
        <v>442</v>
      </c>
      <c r="BM577">
        <v>0</v>
      </c>
      <c r="BN577">
        <v>45</v>
      </c>
      <c r="BO577" s="143"/>
      <c r="BP577">
        <f>BN577-BM577</f>
        <v>45</v>
      </c>
      <c r="BQ577">
        <f>BP577*tC_to_m3</f>
        <v>195.39730785931394</v>
      </c>
      <c r="BR577" t="s">
        <v>232</v>
      </c>
      <c r="BS577" s="256" t="s">
        <v>793</v>
      </c>
      <c r="BT577" t="s">
        <v>443</v>
      </c>
      <c r="BU577" s="141">
        <v>3</v>
      </c>
      <c r="BV577" s="141">
        <v>30</v>
      </c>
      <c r="BW577" s="144">
        <f>IFERROR(BV577/BU577,"")</f>
        <v>10</v>
      </c>
      <c r="BX577">
        <f>BV577-BU577</f>
        <v>27</v>
      </c>
      <c r="BZ577">
        <f>BX577*C_to_CO2</f>
        <v>99.09</v>
      </c>
      <c r="CA577">
        <f>IFERROR(BZ577/BQ577,"")</f>
        <v>0.50712060000000003</v>
      </c>
      <c r="CB577" s="143">
        <v>0</v>
      </c>
      <c r="CC577" s="143">
        <v>0</v>
      </c>
      <c r="CD577" s="143">
        <v>0</v>
      </c>
      <c r="CE577" s="143">
        <v>0</v>
      </c>
      <c r="CF577" s="143">
        <v>0</v>
      </c>
      <c r="CG577" s="143">
        <v>0</v>
      </c>
      <c r="CH577" s="143">
        <v>0</v>
      </c>
      <c r="CI577" s="143">
        <v>0</v>
      </c>
      <c r="CJ577" s="143">
        <v>0</v>
      </c>
      <c r="CK577" s="143">
        <v>0</v>
      </c>
      <c r="CL577" s="143">
        <v>0</v>
      </c>
      <c r="CM577" s="143">
        <v>0</v>
      </c>
      <c r="CN577" s="143">
        <v>0</v>
      </c>
      <c r="CO577">
        <v>0</v>
      </c>
      <c r="CP577" t="str">
        <f>IF($BN577&lt;$BM577,"refNeedCorrection","refOK")</f>
        <v>refOK</v>
      </c>
      <c r="CQ577">
        <f>IF($CP577="refOK",$BM577,$BN577)</f>
        <v>0</v>
      </c>
      <c r="CR577">
        <f>IF($CP577="refOK",$BN577,$BM577)</f>
        <v>45</v>
      </c>
      <c r="CS577">
        <f>IF($CP577="refOK",$BQ577,-$BQ577)</f>
        <v>195.39730785931394</v>
      </c>
      <c r="CT577">
        <f>IF(BI577="Roundwood",$CS577/2,$CS577)</f>
        <v>97.69865392965697</v>
      </c>
      <c r="CU577">
        <f>IF($CP577="refOK",$BU577,$BV577)*IF($BR577="Emissions positive",-1,1)</f>
        <v>3</v>
      </c>
      <c r="CV577">
        <f>IF($CP577="refOK",$BV577,$BU577)*IF($BR577="Emissions positive",-1,1)</f>
        <v>30</v>
      </c>
      <c r="CW577">
        <f>IF($CP577="refNeedCorrection",-BZ577,BZ577)*IF($BR577="Emissions positive",-1,1)</f>
        <v>99.09</v>
      </c>
      <c r="CX577">
        <f>IFERROR($CW577/$CS577,"")</f>
        <v>0.50712060000000003</v>
      </c>
      <c r="CY577">
        <f>IFERROR($CW577/$CS577,"")</f>
        <v>0.50712060000000003</v>
      </c>
      <c r="CZ577">
        <f>IFERROR($CW577/$CT577,"")</f>
        <v>1.0142412000000001</v>
      </c>
      <c r="DA577" s="2">
        <f>IFERROR((CV577-CU577)/ABS(CU577),"")</f>
        <v>9</v>
      </c>
      <c r="DB577" s="1" t="s">
        <v>263</v>
      </c>
      <c r="DC577" t="str">
        <f>IF(OR($DB577="prd",$DB577="std",$DB577="cit"),"loc",IF(OR($DB577="eur",$DB577="reg",$DB577="coy"),"reg",$DB577))</f>
        <v>loc</v>
      </c>
      <c r="DD577" t="s">
        <v>444</v>
      </c>
      <c r="DG577">
        <v>300</v>
      </c>
      <c r="DH577" t="str">
        <f>IF(DG577=0,"0",IF(AND(DG577&gt;=1,DG577&lt;=30),"1-30",IF(AND(DG577&gt;30,DG577&lt;=70),"31-70",IF(AND(DG577&gt;70,DG577&lt;=100),"71-100",IF(DG577&gt;100,"+100")))))</f>
        <v>+100</v>
      </c>
      <c r="DI577">
        <v>0</v>
      </c>
      <c r="DJ577">
        <v>1</v>
      </c>
      <c r="DK577">
        <v>0</v>
      </c>
      <c r="DL577">
        <v>0</v>
      </c>
      <c r="DN577">
        <f>SUM(DI577:DL577)</f>
        <v>1</v>
      </c>
      <c r="DO577" t="str">
        <f>IF(DN577=1,INDEX($DI$7:$DL$7,MATCH(1,$DI577:$DL577,0)),"mixedProduct")</f>
        <v>EnergyInput</v>
      </c>
      <c r="DP577">
        <f>IF(DI577=1,DP$7,0)</f>
        <v>0</v>
      </c>
      <c r="DQ577" t="str">
        <f>IF(DJ577=1,DQ$7,0)</f>
        <v>Energy</v>
      </c>
      <c r="DR577">
        <f>IF(DK577=1,DR$7,0)</f>
        <v>0</v>
      </c>
      <c r="DS577">
        <f>IF(DL577=1,DS$7,0)</f>
        <v>0</v>
      </c>
      <c r="DT577">
        <v>1</v>
      </c>
      <c r="DU577" s="143">
        <v>0</v>
      </c>
      <c r="DV577" s="143">
        <v>0</v>
      </c>
      <c r="DW577" s="143">
        <v>0</v>
      </c>
      <c r="DX577">
        <v>0</v>
      </c>
      <c r="DY577">
        <f>SUM(DT577:DU577)</f>
        <v>1</v>
      </c>
      <c r="DZ577" s="143" t="str">
        <f>IF(DT577=1,"self-calculated DF",IF(DU577=1,"external DF used","explicit C balance"))</f>
        <v>self-calculated DF</v>
      </c>
      <c r="EA577">
        <v>0</v>
      </c>
      <c r="EB577" s="143">
        <v>0</v>
      </c>
      <c r="EC577" s="143">
        <v>1</v>
      </c>
      <c r="ED577" s="143">
        <v>1</v>
      </c>
      <c r="EE577">
        <v>1</v>
      </c>
      <c r="EF577" s="143">
        <v>1</v>
      </c>
      <c r="EG577">
        <v>0</v>
      </c>
      <c r="EH577" s="143">
        <v>1</v>
      </c>
      <c r="EI577" s="143">
        <v>0</v>
      </c>
      <c r="EJ577">
        <v>0</v>
      </c>
      <c r="EK577">
        <v>0</v>
      </c>
      <c r="EL577" s="143">
        <v>0</v>
      </c>
      <c r="EM577" s="143">
        <v>0</v>
      </c>
      <c r="EN577" s="2">
        <v>0</v>
      </c>
      <c r="EP577" t="str">
        <f>IF(AND(AND(AND(OR($EC577=1,$EB577=1),OR($EH577=1,$EF577=1)),SUM($EA577:$EE577,$EK577)&gt;=3),SUM($EF577:$EJ577)&gt;=2),"Whole sector approach","")</f>
        <v>Whole sector approach</v>
      </c>
      <c r="EQ577" t="str">
        <f>IF(AND(AND(OR($EC577=1,$EB577=1),AND($EH577=0,$EF577=0)),SUM($EA577:$EE577,$EK577)&gt;=4),"Ecosystem approach","")</f>
        <v/>
      </c>
      <c r="ER577" s="2" t="str">
        <f>IF(AND(AND(AND($EC577=0,$EB577=0),OR($EH577=1,$EF577=1)),SUM($EG577:$EJ577)&gt;=2),"Technology approach","")</f>
        <v/>
      </c>
      <c r="ES577" t="str">
        <f>IF(AND($EC577+$EB577+$EE577+$EA577+$ED577+$EG577=0,$N577="included"),"C neutral forest and HWP assumption","")</f>
        <v/>
      </c>
      <c r="ET577" t="str">
        <f>IF(AND(AND(AND(AND($EC577=1,$EB577+$EA577+$EG577&gt;=1),$EF577=1),$EH577+$EI577+$ED577+$EE577&gt;=2),$N577="included"),"All C pools assumption","")</f>
        <v/>
      </c>
      <c r="EU577" t="str">
        <f>IF(AND($ED577+$EE577+$EI577+$EH577+$EF577=0,$N577="included"),"In-situ only assumption","")</f>
        <v/>
      </c>
      <c r="EY577" t="str">
        <f>IF(ISNUMBER(BW577),IF(ABS(BW577-[6]QC_indicators!$B$2)&gt;3*[6]QC_indicators!$C$2,"C ratio",IF(ISNUMBER(CA577),IF(ABS(CA577-[6]QC_indicators!$B$1)&gt;3*[6]QC_indicators!$C$1,"DF","no"))),IF(ISNUMBER(CA577),IF(ABS(CA577-[6]QC_indicators!$B$1)&gt;3*[6]QC_indicators!$C$1,"DF","no")))</f>
        <v>no</v>
      </c>
      <c r="FA577" t="str">
        <f>IF(LEN($CY577)=0,"",IF(AND($CY577&lt;(-0.05),$ES577="C neutral forest and HWP assumption"),"Cneutral paradox",IF(AND($CY577&gt;0.05,$EU577="In-situ only assumption"),"In-situ only paradox","")))</f>
        <v/>
      </c>
      <c r="FB577" t="s">
        <v>479</v>
      </c>
      <c r="FD577" s="260" t="s">
        <v>2948</v>
      </c>
    </row>
    <row r="578" spans="1:160" ht="15" hidden="1" customHeight="1">
      <c r="A578" s="1" t="s">
        <v>430</v>
      </c>
      <c r="B578" t="s">
        <v>431</v>
      </c>
      <c r="C578" t="s">
        <v>432</v>
      </c>
      <c r="D578" t="s">
        <v>433</v>
      </c>
      <c r="E578" t="s">
        <v>434</v>
      </c>
      <c r="F578" t="s">
        <v>435</v>
      </c>
      <c r="G578" t="s">
        <v>436</v>
      </c>
      <c r="H578" t="s">
        <v>254</v>
      </c>
      <c r="I578">
        <v>2000</v>
      </c>
      <c r="J578">
        <v>174</v>
      </c>
      <c r="K578" t="s">
        <v>437</v>
      </c>
      <c r="M578" t="str">
        <f>LEFT($D578,FIND(",",$D578)-1)&amp;"_"&amp;I578&amp;L578</f>
        <v>Borjesson_2000</v>
      </c>
      <c r="N578" t="s">
        <v>222</v>
      </c>
      <c r="O578" s="145" t="s">
        <v>223</v>
      </c>
      <c r="Q578" t="s">
        <v>256</v>
      </c>
      <c r="R578" s="251" t="s">
        <v>225</v>
      </c>
      <c r="S578" s="1" t="s">
        <v>475</v>
      </c>
      <c r="T578" t="s">
        <v>476</v>
      </c>
      <c r="U578" t="s">
        <v>482</v>
      </c>
      <c r="V578" s="253">
        <v>0</v>
      </c>
      <c r="W578" s="253">
        <v>0</v>
      </c>
      <c r="X578">
        <v>0</v>
      </c>
      <c r="Y578">
        <v>0</v>
      </c>
      <c r="Z578">
        <v>0</v>
      </c>
      <c r="AA578">
        <v>0</v>
      </c>
      <c r="AB578">
        <v>0</v>
      </c>
      <c r="AC578">
        <v>0</v>
      </c>
      <c r="AD578">
        <v>0</v>
      </c>
      <c r="AE578">
        <v>0</v>
      </c>
      <c r="AF578">
        <v>0</v>
      </c>
      <c r="AG578">
        <v>0</v>
      </c>
      <c r="AH578">
        <v>0</v>
      </c>
      <c r="AI578">
        <v>0</v>
      </c>
      <c r="AJ578">
        <v>0</v>
      </c>
      <c r="AK578">
        <v>0</v>
      </c>
      <c r="AL578">
        <v>0</v>
      </c>
      <c r="AM578">
        <v>1</v>
      </c>
      <c r="AN578">
        <v>0</v>
      </c>
      <c r="AO578">
        <v>0</v>
      </c>
      <c r="AP578">
        <v>0</v>
      </c>
      <c r="AQ578">
        <v>0</v>
      </c>
      <c r="AR578">
        <v>0</v>
      </c>
      <c r="AS578">
        <v>0</v>
      </c>
      <c r="AT578">
        <v>0</v>
      </c>
      <c r="AU578">
        <v>0</v>
      </c>
      <c r="AV578">
        <v>0</v>
      </c>
      <c r="AW578">
        <v>0</v>
      </c>
      <c r="AX578">
        <v>0</v>
      </c>
      <c r="AY578">
        <v>0</v>
      </c>
      <c r="AZ578" s="141">
        <f>COUNTIF(X578:AY578,"&lt;&gt;0")</f>
        <v>1</v>
      </c>
      <c r="BA578" s="141">
        <f>COUNTIF(X578:AN578,"&lt;&gt;0")</f>
        <v>1</v>
      </c>
      <c r="BB578">
        <f>COUNTIF(X578:AE578,"&lt;&gt;0")</f>
        <v>0</v>
      </c>
      <c r="BC578">
        <f>COUNTIF(AF578:AK578,"&lt;&gt;0")</f>
        <v>0</v>
      </c>
      <c r="BD578">
        <f>COUNTIF(AL578:AN578,"&lt;&gt;0")</f>
        <v>1</v>
      </c>
      <c r="BE578">
        <f>COUNTIF(AU578:AY578,"&lt;&gt;0")</f>
        <v>0</v>
      </c>
      <c r="BF578">
        <f>COUNTIF(AO578:AT578,"&lt;&gt;0")</f>
        <v>0</v>
      </c>
      <c r="BG578" t="str">
        <f t="array" ref="BG578">IF(BA578=1,INDEX($X$7:$AN$7,MATCH(TRUE,INDEX($X578:$AY578&lt;&gt;0,),0)),IF(BA578=0,INDEX($AO$7:$AY$7,MATCH(1,$AO578:$AY578,0)),IF(BH578="Multiple strategies","mixed drivers",IF(BH578="Supply chain","multiple supply","multiple silviculture"))))</f>
        <v>technologies/design switch</v>
      </c>
      <c r="BH578" s="2" t="str" cm="1">
        <f t="array" ref="BH578">IF(COUNTIF(BB578:BD578,"&lt;&gt;0")=1,INDEX($X$4:$AY$4,MATCH(TRUE,INDEX($X578:$AY578&lt;&gt;0,),0)),IF(COUNTIF(BB578:BD578,"&lt;&gt;0")=0,INDEX($AO$4:$AY$4,MATCH(1,$AO578:$AY578,0)),"Multiple strategies"))</f>
        <v>Technology</v>
      </c>
      <c r="BI578" s="142" t="s">
        <v>321</v>
      </c>
      <c r="BJ578" t="s">
        <v>478</v>
      </c>
      <c r="BK578" s="260" t="s">
        <v>2950</v>
      </c>
      <c r="BL578" t="s">
        <v>442</v>
      </c>
      <c r="BM578">
        <v>0</v>
      </c>
      <c r="BN578">
        <v>54</v>
      </c>
      <c r="BO578" s="143"/>
      <c r="BP578">
        <f>BN578-BM578</f>
        <v>54</v>
      </c>
      <c r="BQ578">
        <f>BP578*tC_to_m3</f>
        <v>234.47676943117673</v>
      </c>
      <c r="BR578" t="s">
        <v>232</v>
      </c>
      <c r="BS578" s="256" t="s">
        <v>793</v>
      </c>
      <c r="BT578" t="s">
        <v>443</v>
      </c>
      <c r="BU578" s="141">
        <v>6</v>
      </c>
      <c r="BV578" s="141">
        <v>25</v>
      </c>
      <c r="BW578" s="144">
        <f>IFERROR(BV578/BU578,"")</f>
        <v>4.166666666666667</v>
      </c>
      <c r="BX578">
        <f>BV578-BU578</f>
        <v>19</v>
      </c>
      <c r="BZ578">
        <f>BX578*C_to_CO2</f>
        <v>69.73</v>
      </c>
      <c r="CA578">
        <f>IFERROR(BZ578/BQ578,"")</f>
        <v>0.29738553703703702</v>
      </c>
      <c r="CB578" s="143">
        <v>0</v>
      </c>
      <c r="CC578" s="143">
        <v>0</v>
      </c>
      <c r="CD578" s="143">
        <v>0</v>
      </c>
      <c r="CE578" s="143">
        <v>0</v>
      </c>
      <c r="CF578" s="143">
        <v>0</v>
      </c>
      <c r="CG578" s="143">
        <v>0</v>
      </c>
      <c r="CH578" s="143">
        <v>0</v>
      </c>
      <c r="CI578" s="143">
        <v>0</v>
      </c>
      <c r="CJ578" s="143">
        <v>0</v>
      </c>
      <c r="CK578" s="143">
        <v>0</v>
      </c>
      <c r="CL578" s="143">
        <v>0</v>
      </c>
      <c r="CM578" s="143">
        <v>0</v>
      </c>
      <c r="CN578" s="143">
        <v>0</v>
      </c>
      <c r="CO578">
        <v>0</v>
      </c>
      <c r="CP578" t="str">
        <f>IF($BN578&lt;$BM578,"refNeedCorrection","refOK")</f>
        <v>refOK</v>
      </c>
      <c r="CQ578">
        <f>IF($CP578="refOK",$BM578,$BN578)</f>
        <v>0</v>
      </c>
      <c r="CR578">
        <f>IF($CP578="refOK",$BN578,$BM578)</f>
        <v>54</v>
      </c>
      <c r="CS578">
        <f>IF($CP578="refOK",$BQ578,-$BQ578)</f>
        <v>234.47676943117673</v>
      </c>
      <c r="CT578">
        <f>IF(BI578="Roundwood",$CS578/2,$CS578)</f>
        <v>117.23838471558837</v>
      </c>
      <c r="CU578">
        <f>IF($CP578="refOK",$BU578,$BV578)*IF($BR578="Emissions positive",-1,1)</f>
        <v>6</v>
      </c>
      <c r="CV578">
        <f>IF($CP578="refOK",$BV578,$BU578)*IF($BR578="Emissions positive",-1,1)</f>
        <v>25</v>
      </c>
      <c r="CW578">
        <f>IF($CP578="refNeedCorrection",-BZ578,BZ578)*IF($BR578="Emissions positive",-1,1)</f>
        <v>69.73</v>
      </c>
      <c r="CX578">
        <f>IFERROR($CW578/$CS578,"")</f>
        <v>0.29738553703703702</v>
      </c>
      <c r="CY578">
        <f>IFERROR($CW578/$CS578,"")</f>
        <v>0.29738553703703702</v>
      </c>
      <c r="CZ578">
        <f>IFERROR($CW578/$CT578,"")</f>
        <v>0.59477107407407404</v>
      </c>
      <c r="DA578" s="2">
        <f>IFERROR((CV578-CU578)/ABS(CU578),"")</f>
        <v>3.1666666666666665</v>
      </c>
      <c r="DB578" s="1" t="s">
        <v>263</v>
      </c>
      <c r="DC578" t="str">
        <f>IF(OR($DB578="prd",$DB578="std",$DB578="cit"),"loc",IF(OR($DB578="eur",$DB578="reg",$DB578="coy"),"reg",$DB578))</f>
        <v>loc</v>
      </c>
      <c r="DD578" t="s">
        <v>444</v>
      </c>
      <c r="DG578">
        <v>300</v>
      </c>
      <c r="DH578" t="str">
        <f>IF(DG578=0,"0",IF(AND(DG578&gt;=1,DG578&lt;=30),"1-30",IF(AND(DG578&gt;30,DG578&lt;=70),"31-70",IF(AND(DG578&gt;70,DG578&lt;=100),"71-100",IF(DG578&gt;100,"+100")))))</f>
        <v>+100</v>
      </c>
      <c r="DI578">
        <v>0</v>
      </c>
      <c r="DJ578">
        <v>1</v>
      </c>
      <c r="DK578">
        <v>0</v>
      </c>
      <c r="DL578">
        <v>0</v>
      </c>
      <c r="DN578">
        <f>SUM(DI578:DL578)</f>
        <v>1</v>
      </c>
      <c r="DO578" t="str">
        <f>IF(DN578=1,INDEX($DI$7:$DL$7,MATCH(1,$DI578:$DL578,0)),"mixedProduct")</f>
        <v>EnergyInput</v>
      </c>
      <c r="DP578">
        <f>IF(DI578=1,DP$7,0)</f>
        <v>0</v>
      </c>
      <c r="DQ578" t="str">
        <f>IF(DJ578=1,DQ$7,0)</f>
        <v>Energy</v>
      </c>
      <c r="DR578">
        <f>IF(DK578=1,DR$7,0)</f>
        <v>0</v>
      </c>
      <c r="DS578">
        <f>IF(DL578=1,DS$7,0)</f>
        <v>0</v>
      </c>
      <c r="DT578">
        <v>1</v>
      </c>
      <c r="DU578" s="143">
        <v>0</v>
      </c>
      <c r="DV578" s="143">
        <v>0</v>
      </c>
      <c r="DW578" s="143">
        <v>0</v>
      </c>
      <c r="DX578">
        <v>0</v>
      </c>
      <c r="DY578">
        <f>SUM(DT578:DU578)</f>
        <v>1</v>
      </c>
      <c r="DZ578" s="143" t="str">
        <f>IF(DT578=1,"self-calculated DF",IF(DU578=1,"external DF used","explicit C balance"))</f>
        <v>self-calculated DF</v>
      </c>
      <c r="EA578">
        <v>0</v>
      </c>
      <c r="EB578" s="143">
        <v>0</v>
      </c>
      <c r="EC578" s="143">
        <v>1</v>
      </c>
      <c r="ED578" s="143">
        <v>1</v>
      </c>
      <c r="EE578">
        <v>1</v>
      </c>
      <c r="EF578" s="143">
        <v>1</v>
      </c>
      <c r="EG578">
        <v>0</v>
      </c>
      <c r="EH578" s="143">
        <v>1</v>
      </c>
      <c r="EI578" s="143">
        <v>0</v>
      </c>
      <c r="EJ578">
        <v>0</v>
      </c>
      <c r="EK578">
        <v>0</v>
      </c>
      <c r="EL578" s="143">
        <v>0</v>
      </c>
      <c r="EM578" s="143">
        <v>0</v>
      </c>
      <c r="EN578" s="2">
        <v>0</v>
      </c>
      <c r="EP578" t="str">
        <f>IF(AND(AND(AND(OR($EC578=1,$EB578=1),OR($EH578=1,$EF578=1)),SUM($EA578:$EE578,$EK578)&gt;=3),SUM($EF578:$EJ578)&gt;=2),"Whole sector approach","")</f>
        <v>Whole sector approach</v>
      </c>
      <c r="EQ578" t="str">
        <f>IF(AND(AND(OR($EC578=1,$EB578=1),AND($EH578=0,$EF578=0)),SUM($EA578:$EE578,$EK578)&gt;=4),"Ecosystem approach","")</f>
        <v/>
      </c>
      <c r="ER578" s="2" t="str">
        <f>IF(AND(AND(AND($EC578=0,$EB578=0),OR($EH578=1,$EF578=1)),SUM($EG578:$EJ578)&gt;=2),"Technology approach","")</f>
        <v/>
      </c>
      <c r="ES578" t="str">
        <f>IF(AND($EC578+$EB578+$EE578+$EA578+$ED578+$EG578=0,$N578="included"),"C neutral forest and HWP assumption","")</f>
        <v/>
      </c>
      <c r="ET578" t="str">
        <f>IF(AND(AND(AND(AND($EC578=1,$EB578+$EA578+$EG578&gt;=1),$EF578=1),$EH578+$EI578+$ED578+$EE578&gt;=2),$N578="included"),"All C pools assumption","")</f>
        <v/>
      </c>
      <c r="EU578" t="str">
        <f>IF(AND($ED578+$EE578+$EI578+$EH578+$EF578=0,$N578="included"),"In-situ only assumption","")</f>
        <v/>
      </c>
      <c r="EY578" t="str">
        <f>IF(ISNUMBER(BW578),IF(ABS(BW578-[6]QC_indicators!$B$2)&gt;3*[6]QC_indicators!$C$2,"C ratio",IF(ISNUMBER(CA578),IF(ABS(CA578-[6]QC_indicators!$B$1)&gt;3*[6]QC_indicators!$C$1,"DF","no"))),IF(ISNUMBER(CA578),IF(ABS(CA578-[6]QC_indicators!$B$1)&gt;3*[6]QC_indicators!$C$1,"DF","no")))</f>
        <v>no</v>
      </c>
      <c r="FA578" t="str">
        <f>IF(LEN($CY578)=0,"",IF(AND($CY578&lt;(-0.05),$ES578="C neutral forest and HWP assumption"),"Cneutral paradox",IF(AND($CY578&gt;0.05,$EU578="In-situ only assumption"),"In-situ only paradox","")))</f>
        <v/>
      </c>
      <c r="FB578" t="s">
        <v>479</v>
      </c>
      <c r="FD578" s="260" t="s">
        <v>2948</v>
      </c>
    </row>
    <row r="579" spans="1:160" ht="15" hidden="1" customHeight="1">
      <c r="A579" s="1" t="s">
        <v>430</v>
      </c>
      <c r="B579" t="s">
        <v>431</v>
      </c>
      <c r="C579" t="s">
        <v>432</v>
      </c>
      <c r="D579" t="s">
        <v>433</v>
      </c>
      <c r="E579" t="s">
        <v>434</v>
      </c>
      <c r="F579" t="s">
        <v>435</v>
      </c>
      <c r="G579" t="s">
        <v>436</v>
      </c>
      <c r="H579" t="s">
        <v>254</v>
      </c>
      <c r="I579">
        <v>2000</v>
      </c>
      <c r="J579">
        <v>174</v>
      </c>
      <c r="K579" t="s">
        <v>437</v>
      </c>
      <c r="M579" t="str">
        <f>LEFT($D579,FIND(",",$D579)-1)&amp;"_"&amp;I579&amp;L579</f>
        <v>Borjesson_2000</v>
      </c>
      <c r="N579" t="s">
        <v>222</v>
      </c>
      <c r="O579" s="145" t="s">
        <v>223</v>
      </c>
      <c r="Q579" t="s">
        <v>256</v>
      </c>
      <c r="R579" s="251" t="s">
        <v>225</v>
      </c>
      <c r="S579" s="1" t="s">
        <v>475</v>
      </c>
      <c r="T579" t="s">
        <v>480</v>
      </c>
      <c r="U579" t="s">
        <v>483</v>
      </c>
      <c r="V579" s="253">
        <v>0</v>
      </c>
      <c r="W579" s="253">
        <v>0</v>
      </c>
      <c r="X579">
        <v>0</v>
      </c>
      <c r="Y579">
        <v>0</v>
      </c>
      <c r="Z579">
        <v>0</v>
      </c>
      <c r="AA579">
        <v>0</v>
      </c>
      <c r="AB579">
        <v>0</v>
      </c>
      <c r="AC579">
        <v>0</v>
      </c>
      <c r="AD579">
        <v>0</v>
      </c>
      <c r="AE579">
        <v>0</v>
      </c>
      <c r="AF579">
        <v>0</v>
      </c>
      <c r="AG579">
        <v>0</v>
      </c>
      <c r="AH579">
        <v>0</v>
      </c>
      <c r="AI579">
        <v>0</v>
      </c>
      <c r="AJ579">
        <v>0</v>
      </c>
      <c r="AK579">
        <v>0</v>
      </c>
      <c r="AL579">
        <v>0</v>
      </c>
      <c r="AM579">
        <v>1</v>
      </c>
      <c r="AN579">
        <v>0</v>
      </c>
      <c r="AO579">
        <v>0</v>
      </c>
      <c r="AP579">
        <v>0</v>
      </c>
      <c r="AQ579">
        <v>0</v>
      </c>
      <c r="AR579">
        <v>0</v>
      </c>
      <c r="AS579">
        <v>0</v>
      </c>
      <c r="AT579">
        <v>0</v>
      </c>
      <c r="AU579">
        <v>0</v>
      </c>
      <c r="AV579">
        <v>0</v>
      </c>
      <c r="AW579">
        <v>0</v>
      </c>
      <c r="AX579">
        <v>0</v>
      </c>
      <c r="AY579">
        <v>0</v>
      </c>
      <c r="AZ579" s="141">
        <f>COUNTIF(X579:AY579,"&lt;&gt;0")</f>
        <v>1</v>
      </c>
      <c r="BA579" s="141">
        <f>COUNTIF(X579:AN579,"&lt;&gt;0")</f>
        <v>1</v>
      </c>
      <c r="BB579">
        <f>COUNTIF(X579:AE579,"&lt;&gt;0")</f>
        <v>0</v>
      </c>
      <c r="BC579">
        <f>COUNTIF(AF579:AK579,"&lt;&gt;0")</f>
        <v>0</v>
      </c>
      <c r="BD579">
        <f>COUNTIF(AL579:AN579,"&lt;&gt;0")</f>
        <v>1</v>
      </c>
      <c r="BE579">
        <f>COUNTIF(AU579:AY579,"&lt;&gt;0")</f>
        <v>0</v>
      </c>
      <c r="BF579">
        <f>COUNTIF(AO579:AT579,"&lt;&gt;0")</f>
        <v>0</v>
      </c>
      <c r="BG579" t="str">
        <f t="array" ref="BG579">IF(BA579=1,INDEX($X$7:$AN$7,MATCH(TRUE,INDEX($X579:$AY579&lt;&gt;0,),0)),IF(BA579=0,INDEX($AO$7:$AY$7,MATCH(1,$AO579:$AY579,0)),IF(BH579="Multiple strategies","mixed drivers",IF(BH579="Supply chain","multiple supply","multiple silviculture"))))</f>
        <v>technologies/design switch</v>
      </c>
      <c r="BH579" s="2" t="str" cm="1">
        <f t="array" ref="BH579">IF(COUNTIF(BB579:BD579,"&lt;&gt;0")=1,INDEX($X$4:$AY$4,MATCH(TRUE,INDEX($X579:$AY579&lt;&gt;0,),0)),IF(COUNTIF(BB579:BD579,"&lt;&gt;0")=0,INDEX($AO$4:$AY$4,MATCH(1,$AO579:$AY579,0)),"Multiple strategies"))</f>
        <v>Technology</v>
      </c>
      <c r="BI579" s="142" t="s">
        <v>321</v>
      </c>
      <c r="BJ579" t="s">
        <v>478</v>
      </c>
      <c r="BK579" s="260" t="s">
        <v>2951</v>
      </c>
      <c r="BL579" t="s">
        <v>442</v>
      </c>
      <c r="BM579">
        <v>0</v>
      </c>
      <c r="BN579">
        <v>45</v>
      </c>
      <c r="BO579" s="143"/>
      <c r="BP579">
        <f>BN579-BM579</f>
        <v>45</v>
      </c>
      <c r="BQ579">
        <f>BP579*tC_to_m3</f>
        <v>195.39730785931394</v>
      </c>
      <c r="BR579" t="s">
        <v>232</v>
      </c>
      <c r="BS579" s="256" t="s">
        <v>793</v>
      </c>
      <c r="BT579" t="s">
        <v>443</v>
      </c>
      <c r="BU579" s="141">
        <v>3</v>
      </c>
      <c r="BV579" s="141">
        <v>18</v>
      </c>
      <c r="BW579" s="144">
        <f>IFERROR(BV579/BU579,"")</f>
        <v>6</v>
      </c>
      <c r="BX579">
        <f>BV579-BU579</f>
        <v>15</v>
      </c>
      <c r="BZ579">
        <f>BX579*C_to_CO2</f>
        <v>55.05</v>
      </c>
      <c r="CA579">
        <f>IFERROR(BZ579/BQ579,"")</f>
        <v>0.28173366666666666</v>
      </c>
      <c r="CB579" s="143">
        <v>0</v>
      </c>
      <c r="CC579" s="143">
        <v>0</v>
      </c>
      <c r="CD579" s="143">
        <v>0</v>
      </c>
      <c r="CE579" s="143">
        <v>0</v>
      </c>
      <c r="CF579" s="143">
        <v>0</v>
      </c>
      <c r="CG579" s="143">
        <v>0</v>
      </c>
      <c r="CH579" s="143">
        <v>0</v>
      </c>
      <c r="CI579" s="143">
        <v>0</v>
      </c>
      <c r="CJ579" s="143">
        <v>0</v>
      </c>
      <c r="CK579" s="143">
        <v>0</v>
      </c>
      <c r="CL579" s="143">
        <v>0</v>
      </c>
      <c r="CM579" s="143">
        <v>0</v>
      </c>
      <c r="CN579" s="143">
        <v>0</v>
      </c>
      <c r="CO579">
        <v>0</v>
      </c>
      <c r="CP579" t="str">
        <f>IF($BN579&lt;$BM579,"refNeedCorrection","refOK")</f>
        <v>refOK</v>
      </c>
      <c r="CQ579">
        <f>IF($CP579="refOK",$BM579,$BN579)</f>
        <v>0</v>
      </c>
      <c r="CR579">
        <f>IF($CP579="refOK",$BN579,$BM579)</f>
        <v>45</v>
      </c>
      <c r="CS579">
        <f>IF($CP579="refOK",$BQ579,-$BQ579)</f>
        <v>195.39730785931394</v>
      </c>
      <c r="CT579">
        <f>IF(BI579="Roundwood",$CS579/2,$CS579)</f>
        <v>97.69865392965697</v>
      </c>
      <c r="CU579">
        <f>IF($CP579="refOK",$BU579,$BV579)*IF($BR579="Emissions positive",-1,1)</f>
        <v>3</v>
      </c>
      <c r="CV579">
        <f>IF($CP579="refOK",$BV579,$BU579)*IF($BR579="Emissions positive",-1,1)</f>
        <v>18</v>
      </c>
      <c r="CW579">
        <f>IF($CP579="refNeedCorrection",-BZ579,BZ579)*IF($BR579="Emissions positive",-1,1)</f>
        <v>55.05</v>
      </c>
      <c r="CX579">
        <f>IFERROR($CW579/$CS579,"")</f>
        <v>0.28173366666666666</v>
      </c>
      <c r="CY579">
        <f>IFERROR($CW579/$CS579,"")</f>
        <v>0.28173366666666666</v>
      </c>
      <c r="CZ579">
        <f>IFERROR($CW579/$CT579,"")</f>
        <v>0.56346733333333332</v>
      </c>
      <c r="DA579" s="2">
        <f>IFERROR((CV579-CU579)/ABS(CU579),"")</f>
        <v>5</v>
      </c>
      <c r="DB579" s="1" t="s">
        <v>263</v>
      </c>
      <c r="DC579" t="str">
        <f>IF(OR($DB579="prd",$DB579="std",$DB579="cit"),"loc",IF(OR($DB579="eur",$DB579="reg",$DB579="coy"),"reg",$DB579))</f>
        <v>loc</v>
      </c>
      <c r="DD579" t="s">
        <v>444</v>
      </c>
      <c r="DG579">
        <v>300</v>
      </c>
      <c r="DH579" t="str">
        <f>IF(DG579=0,"0",IF(AND(DG579&gt;=1,DG579&lt;=30),"1-30",IF(AND(DG579&gt;30,DG579&lt;=70),"31-70",IF(AND(DG579&gt;70,DG579&lt;=100),"71-100",IF(DG579&gt;100,"+100")))))</f>
        <v>+100</v>
      </c>
      <c r="DI579">
        <v>0</v>
      </c>
      <c r="DJ579">
        <v>1</v>
      </c>
      <c r="DK579">
        <v>0</v>
      </c>
      <c r="DL579">
        <v>0</v>
      </c>
      <c r="DN579">
        <f>SUM(DI579:DL579)</f>
        <v>1</v>
      </c>
      <c r="DO579" t="str">
        <f>IF(DN579=1,INDEX($DI$7:$DL$7,MATCH(1,$DI579:$DL579,0)),"mixedProduct")</f>
        <v>EnergyInput</v>
      </c>
      <c r="DP579">
        <f>IF(DI579=1,DP$7,0)</f>
        <v>0</v>
      </c>
      <c r="DQ579" t="str">
        <f>IF(DJ579=1,DQ$7,0)</f>
        <v>Energy</v>
      </c>
      <c r="DR579">
        <f>IF(DK579=1,DR$7,0)</f>
        <v>0</v>
      </c>
      <c r="DS579">
        <f>IF(DL579=1,DS$7,0)</f>
        <v>0</v>
      </c>
      <c r="DT579">
        <v>1</v>
      </c>
      <c r="DU579" s="143">
        <v>0</v>
      </c>
      <c r="DV579" s="143">
        <v>0</v>
      </c>
      <c r="DW579" s="143">
        <v>0</v>
      </c>
      <c r="DX579">
        <v>0</v>
      </c>
      <c r="DY579">
        <f>SUM(DT579:DU579)</f>
        <v>1</v>
      </c>
      <c r="DZ579" s="143" t="str">
        <f>IF(DT579=1,"self-calculated DF",IF(DU579=1,"external DF used","explicit C balance"))</f>
        <v>self-calculated DF</v>
      </c>
      <c r="EA579">
        <v>0</v>
      </c>
      <c r="EB579" s="143">
        <v>0</v>
      </c>
      <c r="EC579" s="143">
        <v>1</v>
      </c>
      <c r="ED579" s="143">
        <v>1</v>
      </c>
      <c r="EE579">
        <v>1</v>
      </c>
      <c r="EF579" s="143">
        <v>1</v>
      </c>
      <c r="EG579">
        <v>0</v>
      </c>
      <c r="EH579" s="143">
        <v>1</v>
      </c>
      <c r="EI579" s="143">
        <v>0</v>
      </c>
      <c r="EJ579">
        <v>0</v>
      </c>
      <c r="EK579">
        <v>0</v>
      </c>
      <c r="EL579" s="143">
        <v>0</v>
      </c>
      <c r="EM579" s="143">
        <v>0</v>
      </c>
      <c r="EN579" s="2">
        <v>0</v>
      </c>
      <c r="EP579" t="str">
        <f>IF(AND(AND(AND(OR($EC579=1,$EB579=1),OR($EH579=1,$EF579=1)),SUM($EA579:$EE579,$EK579)&gt;=3),SUM($EF579:$EJ579)&gt;=2),"Whole sector approach","")</f>
        <v>Whole sector approach</v>
      </c>
      <c r="EQ579" t="str">
        <f>IF(AND(AND(OR($EC579=1,$EB579=1),AND($EH579=0,$EF579=0)),SUM($EA579:$EE579,$EK579)&gt;=4),"Ecosystem approach","")</f>
        <v/>
      </c>
      <c r="ER579" s="2" t="str">
        <f>IF(AND(AND(AND($EC579=0,$EB579=0),OR($EH579=1,$EF579=1)),SUM($EG579:$EJ579)&gt;=2),"Technology approach","")</f>
        <v/>
      </c>
      <c r="ES579" t="str">
        <f>IF(AND($EC579+$EB579+$EE579+$EA579+$ED579+$EG579=0,$N579="included"),"C neutral forest and HWP assumption","")</f>
        <v/>
      </c>
      <c r="ET579" t="str">
        <f>IF(AND(AND(AND(AND($EC579=1,$EB579+$EA579+$EG579&gt;=1),$EF579=1),$EH579+$EI579+$ED579+$EE579&gt;=2),$N579="included"),"All C pools assumption","")</f>
        <v/>
      </c>
      <c r="EU579" t="str">
        <f>IF(AND($ED579+$EE579+$EI579+$EH579+$EF579=0,$N579="included"),"In-situ only assumption","")</f>
        <v/>
      </c>
      <c r="EY579" t="str">
        <f>IF(ISNUMBER(BW579),IF(ABS(BW579-[6]QC_indicators!$B$2)&gt;3*[6]QC_indicators!$C$2,"C ratio",IF(ISNUMBER(CA579),IF(ABS(CA579-[6]QC_indicators!$B$1)&gt;3*[6]QC_indicators!$C$1,"DF","no"))),IF(ISNUMBER(CA579),IF(ABS(CA579-[6]QC_indicators!$B$1)&gt;3*[6]QC_indicators!$C$1,"DF","no")))</f>
        <v>no</v>
      </c>
      <c r="FA579" t="str">
        <f>IF(LEN($CY579)=0,"",IF(AND($CY579&lt;(-0.05),$ES579="C neutral forest and HWP assumption"),"Cneutral paradox",IF(AND($CY579&gt;0.05,$EU579="In-situ only assumption"),"In-situ only paradox","")))</f>
        <v/>
      </c>
      <c r="FB579" t="s">
        <v>479</v>
      </c>
      <c r="FD579" s="260" t="s">
        <v>2948</v>
      </c>
    </row>
    <row r="580" spans="1:160" ht="15" hidden="1" customHeight="1">
      <c r="A580" s="1" t="s">
        <v>430</v>
      </c>
      <c r="B580" t="s">
        <v>431</v>
      </c>
      <c r="C580" t="s">
        <v>432</v>
      </c>
      <c r="D580" t="s">
        <v>433</v>
      </c>
      <c r="E580" t="s">
        <v>434</v>
      </c>
      <c r="F580" t="s">
        <v>435</v>
      </c>
      <c r="G580" t="s">
        <v>436</v>
      </c>
      <c r="H580" t="s">
        <v>254</v>
      </c>
      <c r="I580">
        <v>2000</v>
      </c>
      <c r="J580">
        <v>174</v>
      </c>
      <c r="K580" t="s">
        <v>437</v>
      </c>
      <c r="M580" t="str">
        <f>LEFT($D580,FIND(",",$D580)-1)&amp;"_"&amp;I580&amp;L580</f>
        <v>Borjesson_2000</v>
      </c>
      <c r="N580" t="s">
        <v>222</v>
      </c>
      <c r="O580" s="145" t="s">
        <v>223</v>
      </c>
      <c r="Q580" t="s">
        <v>256</v>
      </c>
      <c r="R580" s="251" t="s">
        <v>225</v>
      </c>
      <c r="S580" s="1" t="s">
        <v>475</v>
      </c>
      <c r="T580" t="s">
        <v>476</v>
      </c>
      <c r="U580" t="s">
        <v>477</v>
      </c>
      <c r="V580" s="253">
        <v>0</v>
      </c>
      <c r="W580" s="253">
        <v>0</v>
      </c>
      <c r="X580">
        <v>0</v>
      </c>
      <c r="Y580">
        <v>0</v>
      </c>
      <c r="Z580">
        <v>0</v>
      </c>
      <c r="AA580">
        <v>0</v>
      </c>
      <c r="AB580">
        <v>0</v>
      </c>
      <c r="AC580">
        <v>0</v>
      </c>
      <c r="AD580">
        <v>0</v>
      </c>
      <c r="AE580">
        <v>0</v>
      </c>
      <c r="AF580">
        <v>0</v>
      </c>
      <c r="AG580">
        <v>0</v>
      </c>
      <c r="AH580">
        <v>0</v>
      </c>
      <c r="AI580">
        <v>0</v>
      </c>
      <c r="AJ580">
        <v>0</v>
      </c>
      <c r="AK580">
        <v>0</v>
      </c>
      <c r="AL580">
        <v>0</v>
      </c>
      <c r="AM580">
        <v>1</v>
      </c>
      <c r="AN580">
        <v>0</v>
      </c>
      <c r="AO580">
        <v>0</v>
      </c>
      <c r="AP580">
        <v>0</v>
      </c>
      <c r="AQ580">
        <v>0</v>
      </c>
      <c r="AR580">
        <v>0</v>
      </c>
      <c r="AS580">
        <v>0</v>
      </c>
      <c r="AT580">
        <v>0</v>
      </c>
      <c r="AU580">
        <v>0</v>
      </c>
      <c r="AV580">
        <v>0</v>
      </c>
      <c r="AW580">
        <v>0</v>
      </c>
      <c r="AX580">
        <v>0</v>
      </c>
      <c r="AY580">
        <v>0</v>
      </c>
      <c r="AZ580" s="141">
        <f>COUNTIF(X580:AY580,"&lt;&gt;0")</f>
        <v>1</v>
      </c>
      <c r="BA580" s="141">
        <f>COUNTIF(X580:AN580,"&lt;&gt;0")</f>
        <v>1</v>
      </c>
      <c r="BB580">
        <f>COUNTIF(X580:AE580,"&lt;&gt;0")</f>
        <v>0</v>
      </c>
      <c r="BC580">
        <f>COUNTIF(AF580:AK580,"&lt;&gt;0")</f>
        <v>0</v>
      </c>
      <c r="BD580">
        <f>COUNTIF(AL580:AN580,"&lt;&gt;0")</f>
        <v>1</v>
      </c>
      <c r="BE580">
        <f>COUNTIF(AU580:AY580,"&lt;&gt;0")</f>
        <v>0</v>
      </c>
      <c r="BF580">
        <f>COUNTIF(AO580:AT580,"&lt;&gt;0")</f>
        <v>0</v>
      </c>
      <c r="BG580" t="str">
        <f t="array" ref="BG580">IF(BA580=1,INDEX($X$7:$AN$7,MATCH(TRUE,INDEX($X580:$AY580&lt;&gt;0,),0)),IF(BA580=0,INDEX($AO$7:$AY$7,MATCH(1,$AO580:$AY580,0)),IF(BH580="Multiple strategies","mixed drivers",IF(BH580="Supply chain","multiple supply","multiple silviculture"))))</f>
        <v>technologies/design switch</v>
      </c>
      <c r="BH580" s="2" t="str" cm="1">
        <f t="array" ref="BH580">IF(COUNTIF(BB580:BD580,"&lt;&gt;0")=1,INDEX($X$4:$AY$4,MATCH(TRUE,INDEX($X580:$AY580&lt;&gt;0,),0)),IF(COUNTIF(BB580:BD580,"&lt;&gt;0")=0,INDEX($AO$4:$AY$4,MATCH(1,$AO580:$AY580,0)),"Multiple strategies"))</f>
        <v>Technology</v>
      </c>
      <c r="BI580" s="142" t="s">
        <v>321</v>
      </c>
      <c r="BJ580" t="s">
        <v>478</v>
      </c>
      <c r="BK580" s="260" t="s">
        <v>2950</v>
      </c>
      <c r="BL580" t="s">
        <v>442</v>
      </c>
      <c r="BM580">
        <v>0</v>
      </c>
      <c r="BN580">
        <v>54</v>
      </c>
      <c r="BO580" s="143"/>
      <c r="BP580">
        <f>BN580-BM580</f>
        <v>54</v>
      </c>
      <c r="BQ580">
        <f>BP580*tC_to_m3</f>
        <v>234.47676943117673</v>
      </c>
      <c r="BR580" t="s">
        <v>232</v>
      </c>
      <c r="BS580" s="256" t="s">
        <v>793</v>
      </c>
      <c r="BT580" t="s">
        <v>443</v>
      </c>
      <c r="BU580" s="141">
        <v>6</v>
      </c>
      <c r="BV580" s="141">
        <v>17</v>
      </c>
      <c r="BW580" s="144">
        <f>IFERROR(BV580/BU580,"")</f>
        <v>2.8333333333333335</v>
      </c>
      <c r="BX580">
        <f>BV580-BU580</f>
        <v>11</v>
      </c>
      <c r="BZ580">
        <f>BX580*C_to_CO2</f>
        <v>40.369999999999997</v>
      </c>
      <c r="CA580">
        <f>IFERROR(BZ580/BQ580,"")</f>
        <v>0.17217057407407405</v>
      </c>
      <c r="CB580" s="143">
        <v>0</v>
      </c>
      <c r="CC580" s="143">
        <v>0</v>
      </c>
      <c r="CD580" s="143">
        <v>0</v>
      </c>
      <c r="CE580" s="143">
        <v>0</v>
      </c>
      <c r="CF580" s="143">
        <v>0</v>
      </c>
      <c r="CG580" s="143">
        <v>0</v>
      </c>
      <c r="CH580" s="143">
        <v>0</v>
      </c>
      <c r="CI580" s="143">
        <v>0</v>
      </c>
      <c r="CJ580" s="143">
        <v>0</v>
      </c>
      <c r="CK580" s="143">
        <v>0</v>
      </c>
      <c r="CL580" s="143">
        <v>0</v>
      </c>
      <c r="CM580" s="143">
        <v>0</v>
      </c>
      <c r="CN580" s="143">
        <v>0</v>
      </c>
      <c r="CO580">
        <v>0</v>
      </c>
      <c r="CP580" t="str">
        <f>IF($BN580&lt;$BM580,"refNeedCorrection","refOK")</f>
        <v>refOK</v>
      </c>
      <c r="CQ580">
        <f>IF($CP580="refOK",$BM580,$BN580)</f>
        <v>0</v>
      </c>
      <c r="CR580">
        <f>IF($CP580="refOK",$BN580,$BM580)</f>
        <v>54</v>
      </c>
      <c r="CS580">
        <f>IF($CP580="refOK",$BQ580,-$BQ580)</f>
        <v>234.47676943117673</v>
      </c>
      <c r="CT580">
        <f>IF(BI580="Roundwood",$CS580/2,$CS580)</f>
        <v>117.23838471558837</v>
      </c>
      <c r="CU580">
        <f>IF($CP580="refOK",$BU580,$BV580)*IF($BR580="Emissions positive",-1,1)</f>
        <v>6</v>
      </c>
      <c r="CV580">
        <f>IF($CP580="refOK",$BV580,$BU580)*IF($BR580="Emissions positive",-1,1)</f>
        <v>17</v>
      </c>
      <c r="CW580">
        <f>IF($CP580="refNeedCorrection",-BZ580,BZ580)*IF($BR580="Emissions positive",-1,1)</f>
        <v>40.369999999999997</v>
      </c>
      <c r="CX580">
        <f>IFERROR($CW580/$CS580,"")</f>
        <v>0.17217057407407405</v>
      </c>
      <c r="CY580">
        <f>IFERROR($CW580/$CS580,"")</f>
        <v>0.17217057407407405</v>
      </c>
      <c r="CZ580">
        <f>IFERROR($CW580/$CT580,"")</f>
        <v>0.34434114814814809</v>
      </c>
      <c r="DA580" s="2">
        <f>IFERROR((CV580-CU580)/ABS(CU580),"")</f>
        <v>1.8333333333333333</v>
      </c>
      <c r="DB580" s="1" t="s">
        <v>263</v>
      </c>
      <c r="DC580" t="str">
        <f>IF(OR($DB580="prd",$DB580="std",$DB580="cit"),"loc",IF(OR($DB580="eur",$DB580="reg",$DB580="coy"),"reg",$DB580))</f>
        <v>loc</v>
      </c>
      <c r="DD580" t="s">
        <v>444</v>
      </c>
      <c r="DG580">
        <v>300</v>
      </c>
      <c r="DH580" t="str">
        <f>IF(DG580=0,"0",IF(AND(DG580&gt;=1,DG580&lt;=30),"1-30",IF(AND(DG580&gt;30,DG580&lt;=70),"31-70",IF(AND(DG580&gt;70,DG580&lt;=100),"71-100",IF(DG580&gt;100,"+100")))))</f>
        <v>+100</v>
      </c>
      <c r="DI580">
        <v>0</v>
      </c>
      <c r="DJ580">
        <v>1</v>
      </c>
      <c r="DK580">
        <v>0</v>
      </c>
      <c r="DL580">
        <v>0</v>
      </c>
      <c r="DN580">
        <f>SUM(DI580:DL580)</f>
        <v>1</v>
      </c>
      <c r="DO580" t="str">
        <f>IF(DN580=1,INDEX($DI$7:$DL$7,MATCH(1,$DI580:$DL580,0)),"mixedProduct")</f>
        <v>EnergyInput</v>
      </c>
      <c r="DP580">
        <f>IF(DI580=1,DP$7,0)</f>
        <v>0</v>
      </c>
      <c r="DQ580" t="str">
        <f>IF(DJ580=1,DQ$7,0)</f>
        <v>Energy</v>
      </c>
      <c r="DR580">
        <f>IF(DK580=1,DR$7,0)</f>
        <v>0</v>
      </c>
      <c r="DS580">
        <f>IF(DL580=1,DS$7,0)</f>
        <v>0</v>
      </c>
      <c r="DT580">
        <v>1</v>
      </c>
      <c r="DU580" s="143">
        <v>0</v>
      </c>
      <c r="DV580" s="143">
        <v>0</v>
      </c>
      <c r="DW580" s="143">
        <v>0</v>
      </c>
      <c r="DX580">
        <v>0</v>
      </c>
      <c r="DY580">
        <f>SUM(DT580:DU580)</f>
        <v>1</v>
      </c>
      <c r="DZ580" s="143" t="str">
        <f>IF(DT580=1,"self-calculated DF",IF(DU580=1,"external DF used","explicit C balance"))</f>
        <v>self-calculated DF</v>
      </c>
      <c r="EA580">
        <v>0</v>
      </c>
      <c r="EB580" s="143">
        <v>0</v>
      </c>
      <c r="EC580" s="143">
        <v>1</v>
      </c>
      <c r="ED580" s="143">
        <v>1</v>
      </c>
      <c r="EE580">
        <v>1</v>
      </c>
      <c r="EF580" s="143">
        <v>1</v>
      </c>
      <c r="EG580">
        <v>0</v>
      </c>
      <c r="EH580" s="143">
        <v>1</v>
      </c>
      <c r="EI580" s="143">
        <v>0</v>
      </c>
      <c r="EJ580">
        <v>0</v>
      </c>
      <c r="EK580">
        <v>0</v>
      </c>
      <c r="EL580" s="143">
        <v>0</v>
      </c>
      <c r="EM580" s="143">
        <v>0</v>
      </c>
      <c r="EN580" s="2">
        <v>0</v>
      </c>
      <c r="EP580" t="str">
        <f>IF(AND(AND(AND(OR($EC580=1,$EB580=1),OR($EH580=1,$EF580=1)),SUM($EA580:$EE580,$EK580)&gt;=3),SUM($EF580:$EJ580)&gt;=2),"Whole sector approach","")</f>
        <v>Whole sector approach</v>
      </c>
      <c r="EQ580" t="str">
        <f>IF(AND(AND(OR($EC580=1,$EB580=1),AND($EH580=0,$EF580=0)),SUM($EA580:$EE580,$EK580)&gt;=4),"Ecosystem approach","")</f>
        <v/>
      </c>
      <c r="ER580" s="2" t="str">
        <f>IF(AND(AND(AND($EC580=0,$EB580=0),OR($EH580=1,$EF580=1)),SUM($EG580:$EJ580)&gt;=2),"Technology approach","")</f>
        <v/>
      </c>
      <c r="ES580" t="str">
        <f>IF(AND($EC580+$EB580+$EE580+$EA580+$ED580+$EG580=0,$N580="included"),"C neutral forest and HWP assumption","")</f>
        <v/>
      </c>
      <c r="ET580" t="str">
        <f>IF(AND(AND(AND(AND($EC580=1,$EB580+$EA580+$EG580&gt;=1),$EF580=1),$EH580+$EI580+$ED580+$EE580&gt;=2),$N580="included"),"All C pools assumption","")</f>
        <v/>
      </c>
      <c r="EU580" t="str">
        <f>IF(AND($ED580+$EE580+$EI580+$EH580+$EF580=0,$N580="included"),"In-situ only assumption","")</f>
        <v/>
      </c>
      <c r="EY580" t="str">
        <f>IF(ISNUMBER(BW580),IF(ABS(BW580-[6]QC_indicators!$B$2)&gt;3*[6]QC_indicators!$C$2,"C ratio",IF(ISNUMBER(CA580),IF(ABS(CA580-[6]QC_indicators!$B$1)&gt;3*[6]QC_indicators!$C$1,"DF","no"))),IF(ISNUMBER(CA580),IF(ABS(CA580-[6]QC_indicators!$B$1)&gt;3*[6]QC_indicators!$C$1,"DF","no")))</f>
        <v>no</v>
      </c>
      <c r="FA580" t="str">
        <f>IF(LEN($CY580)=0,"",IF(AND($CY580&lt;(-0.05),$ES580="C neutral forest and HWP assumption"),"Cneutral paradox",IF(AND($CY580&gt;0.05,$EU580="In-situ only assumption"),"In-situ only paradox","")))</f>
        <v/>
      </c>
      <c r="FB580" t="s">
        <v>479</v>
      </c>
      <c r="FD580" s="260" t="s">
        <v>2948</v>
      </c>
    </row>
    <row r="581" spans="1:160" ht="15" hidden="1" customHeight="1">
      <c r="A581" s="1" t="s">
        <v>430</v>
      </c>
      <c r="B581" t="s">
        <v>431</v>
      </c>
      <c r="C581" t="s">
        <v>432</v>
      </c>
      <c r="D581" t="s">
        <v>433</v>
      </c>
      <c r="E581" t="s">
        <v>434</v>
      </c>
      <c r="F581" t="s">
        <v>435</v>
      </c>
      <c r="G581" t="s">
        <v>436</v>
      </c>
      <c r="H581" t="s">
        <v>254</v>
      </c>
      <c r="I581">
        <v>2000</v>
      </c>
      <c r="J581">
        <v>174</v>
      </c>
      <c r="K581" t="s">
        <v>437</v>
      </c>
      <c r="M581" t="str">
        <f>LEFT($D581,FIND(",",$D581)-1)&amp;"_"&amp;I581&amp;L581</f>
        <v>Borjesson_2000</v>
      </c>
      <c r="N581" t="s">
        <v>222</v>
      </c>
      <c r="O581" s="145" t="s">
        <v>223</v>
      </c>
      <c r="Q581" t="s">
        <v>256</v>
      </c>
      <c r="R581" s="251" t="s">
        <v>225</v>
      </c>
      <c r="S581" s="1" t="s">
        <v>475</v>
      </c>
      <c r="T581" t="s">
        <v>480</v>
      </c>
      <c r="U581" t="s">
        <v>481</v>
      </c>
      <c r="V581" s="253">
        <v>0</v>
      </c>
      <c r="W581" s="253">
        <v>0</v>
      </c>
      <c r="X581">
        <v>0</v>
      </c>
      <c r="Y581">
        <v>0</v>
      </c>
      <c r="Z581">
        <v>0</v>
      </c>
      <c r="AA581">
        <v>0</v>
      </c>
      <c r="AB581">
        <v>0</v>
      </c>
      <c r="AC581">
        <v>0</v>
      </c>
      <c r="AD581">
        <v>0</v>
      </c>
      <c r="AE581">
        <v>0</v>
      </c>
      <c r="AF581">
        <v>0</v>
      </c>
      <c r="AG581">
        <v>0</v>
      </c>
      <c r="AH581">
        <v>0</v>
      </c>
      <c r="AI581">
        <v>0</v>
      </c>
      <c r="AJ581">
        <v>0</v>
      </c>
      <c r="AK581">
        <v>0</v>
      </c>
      <c r="AL581">
        <v>0</v>
      </c>
      <c r="AM581">
        <v>1</v>
      </c>
      <c r="AN581">
        <v>0</v>
      </c>
      <c r="AO581">
        <v>0</v>
      </c>
      <c r="AP581">
        <v>0</v>
      </c>
      <c r="AQ581">
        <v>0</v>
      </c>
      <c r="AR581">
        <v>0</v>
      </c>
      <c r="AS581">
        <v>0</v>
      </c>
      <c r="AT581">
        <v>0</v>
      </c>
      <c r="AU581">
        <v>0</v>
      </c>
      <c r="AV581">
        <v>0</v>
      </c>
      <c r="AW581">
        <v>0</v>
      </c>
      <c r="AX581">
        <v>0</v>
      </c>
      <c r="AY581">
        <v>0</v>
      </c>
      <c r="AZ581" s="141">
        <f>COUNTIF(X581:AY581,"&lt;&gt;0")</f>
        <v>1</v>
      </c>
      <c r="BA581" s="141">
        <f>COUNTIF(X581:AN581,"&lt;&gt;0")</f>
        <v>1</v>
      </c>
      <c r="BB581">
        <f>COUNTIF(X581:AE581,"&lt;&gt;0")</f>
        <v>0</v>
      </c>
      <c r="BC581">
        <f>COUNTIF(AF581:AK581,"&lt;&gt;0")</f>
        <v>0</v>
      </c>
      <c r="BD581">
        <f>COUNTIF(AL581:AN581,"&lt;&gt;0")</f>
        <v>1</v>
      </c>
      <c r="BE581">
        <f>COUNTIF(AU581:AY581,"&lt;&gt;0")</f>
        <v>0</v>
      </c>
      <c r="BF581">
        <f>COUNTIF(AO581:AT581,"&lt;&gt;0")</f>
        <v>0</v>
      </c>
      <c r="BG581" t="str">
        <f t="array" ref="BG581">IF(BA581=1,INDEX($X$7:$AN$7,MATCH(TRUE,INDEX($X581:$AY581&lt;&gt;0,),0)),IF(BA581=0,INDEX($AO$7:$AY$7,MATCH(1,$AO581:$AY581,0)),IF(BH581="Multiple strategies","mixed drivers",IF(BH581="Supply chain","multiple supply","multiple silviculture"))))</f>
        <v>technologies/design switch</v>
      </c>
      <c r="BH581" s="2" t="str" cm="1">
        <f t="array" ref="BH581">IF(COUNTIF(BB581:BD581,"&lt;&gt;0")=1,INDEX($X$4:$AY$4,MATCH(TRUE,INDEX($X581:$AY581&lt;&gt;0,),0)),IF(COUNTIF(BB581:BD581,"&lt;&gt;0")=0,INDEX($AO$4:$AY$4,MATCH(1,$AO581:$AY581,0)),"Multiple strategies"))</f>
        <v>Technology</v>
      </c>
      <c r="BI581" s="142" t="s">
        <v>321</v>
      </c>
      <c r="BJ581" t="s">
        <v>478</v>
      </c>
      <c r="BK581" s="260" t="s">
        <v>2951</v>
      </c>
      <c r="BL581" t="s">
        <v>442</v>
      </c>
      <c r="BM581">
        <v>0</v>
      </c>
      <c r="BN581">
        <v>45</v>
      </c>
      <c r="BO581" s="143"/>
      <c r="BP581">
        <f>BN581-BM581</f>
        <v>45</v>
      </c>
      <c r="BQ581">
        <f>BP581*tC_to_m3</f>
        <v>195.39730785931394</v>
      </c>
      <c r="BR581" t="s">
        <v>232</v>
      </c>
      <c r="BS581" s="256" t="s">
        <v>793</v>
      </c>
      <c r="BT581" t="s">
        <v>443</v>
      </c>
      <c r="BU581" s="141">
        <v>3</v>
      </c>
      <c r="BV581" s="141">
        <v>12</v>
      </c>
      <c r="BW581" s="144">
        <f>IFERROR(BV581/BU581,"")</f>
        <v>4</v>
      </c>
      <c r="BX581">
        <f>BV581-BU581</f>
        <v>9</v>
      </c>
      <c r="BZ581">
        <f>BX581*C_to_CO2</f>
        <v>33.03</v>
      </c>
      <c r="CA581">
        <f>IFERROR(BZ581/BQ581,"")</f>
        <v>0.1690402</v>
      </c>
      <c r="CB581" s="143">
        <v>0</v>
      </c>
      <c r="CC581" s="143">
        <v>0</v>
      </c>
      <c r="CD581" s="143">
        <v>0</v>
      </c>
      <c r="CE581" s="143">
        <v>0</v>
      </c>
      <c r="CF581" s="143">
        <v>0</v>
      </c>
      <c r="CG581" s="143">
        <v>0</v>
      </c>
      <c r="CH581" s="143">
        <v>0</v>
      </c>
      <c r="CI581" s="143">
        <v>0</v>
      </c>
      <c r="CJ581" s="143">
        <v>0</v>
      </c>
      <c r="CK581" s="143">
        <v>0</v>
      </c>
      <c r="CL581" s="143">
        <v>0</v>
      </c>
      <c r="CM581" s="143">
        <v>0</v>
      </c>
      <c r="CN581" s="143">
        <v>0</v>
      </c>
      <c r="CO581">
        <v>0</v>
      </c>
      <c r="CP581" t="str">
        <f>IF($BN581&lt;$BM581,"refNeedCorrection","refOK")</f>
        <v>refOK</v>
      </c>
      <c r="CQ581">
        <f>IF($CP581="refOK",$BM581,$BN581)</f>
        <v>0</v>
      </c>
      <c r="CR581">
        <f>IF($CP581="refOK",$BN581,$BM581)</f>
        <v>45</v>
      </c>
      <c r="CS581">
        <f>IF($CP581="refOK",$BQ581,-$BQ581)</f>
        <v>195.39730785931394</v>
      </c>
      <c r="CT581">
        <f>IF(BI581="Roundwood",$CS581/2,$CS581)</f>
        <v>97.69865392965697</v>
      </c>
      <c r="CU581">
        <f>IF($CP581="refOK",$BU581,$BV581)*IF($BR581="Emissions positive",-1,1)</f>
        <v>3</v>
      </c>
      <c r="CV581">
        <f>IF($CP581="refOK",$BV581,$BU581)*IF($BR581="Emissions positive",-1,1)</f>
        <v>12</v>
      </c>
      <c r="CW581">
        <f>IF($CP581="refNeedCorrection",-BZ581,BZ581)*IF($BR581="Emissions positive",-1,1)</f>
        <v>33.03</v>
      </c>
      <c r="CX581">
        <f>IFERROR($CW581/$CS581,"")</f>
        <v>0.1690402</v>
      </c>
      <c r="CY581">
        <f>IFERROR($CW581/$CS581,"")</f>
        <v>0.1690402</v>
      </c>
      <c r="CZ581">
        <f>IFERROR($CW581/$CT581,"")</f>
        <v>0.3380804</v>
      </c>
      <c r="DA581" s="2">
        <f>IFERROR((CV581-CU581)/ABS(CU581),"")</f>
        <v>3</v>
      </c>
      <c r="DB581" s="1" t="s">
        <v>263</v>
      </c>
      <c r="DC581" t="str">
        <f>IF(OR($DB581="prd",$DB581="std",$DB581="cit"),"loc",IF(OR($DB581="eur",$DB581="reg",$DB581="coy"),"reg",$DB581))</f>
        <v>loc</v>
      </c>
      <c r="DD581" t="s">
        <v>444</v>
      </c>
      <c r="DG581">
        <v>300</v>
      </c>
      <c r="DH581" t="str">
        <f>IF(DG581=0,"0",IF(AND(DG581&gt;=1,DG581&lt;=30),"1-30",IF(AND(DG581&gt;30,DG581&lt;=70),"31-70",IF(AND(DG581&gt;70,DG581&lt;=100),"71-100",IF(DG581&gt;100,"+100")))))</f>
        <v>+100</v>
      </c>
      <c r="DI581">
        <v>0</v>
      </c>
      <c r="DJ581">
        <v>1</v>
      </c>
      <c r="DK581">
        <v>0</v>
      </c>
      <c r="DL581">
        <v>0</v>
      </c>
      <c r="DN581">
        <f>SUM(DI581:DL581)</f>
        <v>1</v>
      </c>
      <c r="DO581" t="str">
        <f>IF(DN581=1,INDEX($DI$7:$DL$7,MATCH(1,$DI581:$DL581,0)),"mixedProduct")</f>
        <v>EnergyInput</v>
      </c>
      <c r="DP581">
        <f>IF(DI581=1,DP$7,0)</f>
        <v>0</v>
      </c>
      <c r="DQ581" t="str">
        <f>IF(DJ581=1,DQ$7,0)</f>
        <v>Energy</v>
      </c>
      <c r="DR581">
        <f>IF(DK581=1,DR$7,0)</f>
        <v>0</v>
      </c>
      <c r="DS581">
        <f>IF(DL581=1,DS$7,0)</f>
        <v>0</v>
      </c>
      <c r="DT581">
        <v>1</v>
      </c>
      <c r="DU581" s="143">
        <v>0</v>
      </c>
      <c r="DV581" s="143">
        <v>0</v>
      </c>
      <c r="DW581" s="143">
        <v>0</v>
      </c>
      <c r="DX581">
        <v>0</v>
      </c>
      <c r="DY581">
        <f>SUM(DT581:DU581)</f>
        <v>1</v>
      </c>
      <c r="DZ581" s="143" t="str">
        <f>IF(DT581=1,"self-calculated DF",IF(DU581=1,"external DF used","explicit C balance"))</f>
        <v>self-calculated DF</v>
      </c>
      <c r="EA581">
        <v>0</v>
      </c>
      <c r="EB581" s="143">
        <v>0</v>
      </c>
      <c r="EC581" s="143">
        <v>1</v>
      </c>
      <c r="ED581" s="143">
        <v>1</v>
      </c>
      <c r="EE581">
        <v>1</v>
      </c>
      <c r="EF581" s="143">
        <v>1</v>
      </c>
      <c r="EG581">
        <v>0</v>
      </c>
      <c r="EH581" s="143">
        <v>1</v>
      </c>
      <c r="EI581" s="143">
        <v>0</v>
      </c>
      <c r="EJ581">
        <v>0</v>
      </c>
      <c r="EK581">
        <v>0</v>
      </c>
      <c r="EL581" s="143">
        <v>0</v>
      </c>
      <c r="EM581" s="143">
        <v>0</v>
      </c>
      <c r="EN581" s="2">
        <v>0</v>
      </c>
      <c r="EP581" t="str">
        <f>IF(AND(AND(AND(OR($EC581=1,$EB581=1),OR($EH581=1,$EF581=1)),SUM($EA581:$EE581,$EK581)&gt;=3),SUM($EF581:$EJ581)&gt;=2),"Whole sector approach","")</f>
        <v>Whole sector approach</v>
      </c>
      <c r="EQ581" t="str">
        <f>IF(AND(AND(OR($EC581=1,$EB581=1),AND($EH581=0,$EF581=0)),SUM($EA581:$EE581,$EK581)&gt;=4),"Ecosystem approach","")</f>
        <v/>
      </c>
      <c r="ER581" s="2" t="str">
        <f>IF(AND(AND(AND($EC581=0,$EB581=0),OR($EH581=1,$EF581=1)),SUM($EG581:$EJ581)&gt;=2),"Technology approach","")</f>
        <v/>
      </c>
      <c r="ES581" t="str">
        <f>IF(AND($EC581+$EB581+$EE581+$EA581+$ED581+$EG581=0,$N581="included"),"C neutral forest and HWP assumption","")</f>
        <v/>
      </c>
      <c r="ET581" t="str">
        <f>IF(AND(AND(AND(AND($EC581=1,$EB581+$EA581+$EG581&gt;=1),$EF581=1),$EH581+$EI581+$ED581+$EE581&gt;=2),$N581="included"),"All C pools assumption","")</f>
        <v/>
      </c>
      <c r="EU581" t="str">
        <f>IF(AND($ED581+$EE581+$EI581+$EH581+$EF581=0,$N581="included"),"In-situ only assumption","")</f>
        <v/>
      </c>
      <c r="EY581" t="str">
        <f>IF(ISNUMBER(BW581),IF(ABS(BW581-[6]QC_indicators!$B$2)&gt;3*[6]QC_indicators!$C$2,"C ratio",IF(ISNUMBER(CA581),IF(ABS(CA581-[6]QC_indicators!$B$1)&gt;3*[6]QC_indicators!$C$1,"DF","no"))),IF(ISNUMBER(CA581),IF(ABS(CA581-[6]QC_indicators!$B$1)&gt;3*[6]QC_indicators!$C$1,"DF","no")))</f>
        <v>no</v>
      </c>
      <c r="FA581" t="str">
        <f>IF(LEN($CY581)=0,"",IF(AND($CY581&lt;(-0.05),$ES581="C neutral forest and HWP assumption"),"Cneutral paradox",IF(AND($CY581&gt;0.05,$EU581="In-situ only assumption"),"In-situ only paradox","")))</f>
        <v/>
      </c>
      <c r="FB581" t="s">
        <v>479</v>
      </c>
      <c r="FD581" s="260" t="s">
        <v>2948</v>
      </c>
    </row>
    <row r="582" spans="1:160" ht="15" hidden="1" customHeight="1">
      <c r="D582" t="s">
        <v>927</v>
      </c>
      <c r="E582" t="s">
        <v>928</v>
      </c>
      <c r="G582" t="s">
        <v>929</v>
      </c>
      <c r="I582">
        <v>2002</v>
      </c>
      <c r="K582" s="288" t="s">
        <v>930</v>
      </c>
      <c r="M582" t="str">
        <f>LEFT($D582,FIND(",",$D582)-1)&amp;"_"&amp;I582&amp;L582</f>
        <v>Petersen_2002</v>
      </c>
      <c r="N582" t="s">
        <v>222</v>
      </c>
      <c r="O582" s="171" t="s">
        <v>508</v>
      </c>
      <c r="P582" s="141" t="s">
        <v>225</v>
      </c>
      <c r="Q582" s="317" t="s">
        <v>389</v>
      </c>
      <c r="R582" s="318" t="s">
        <v>1029</v>
      </c>
      <c r="S582" s="320" t="s">
        <v>5000</v>
      </c>
      <c r="T582" s="317" t="s">
        <v>5001</v>
      </c>
      <c r="U582" s="317" t="s">
        <v>5008</v>
      </c>
      <c r="V582" s="317">
        <v>1</v>
      </c>
      <c r="W582">
        <v>0</v>
      </c>
      <c r="X582">
        <v>1</v>
      </c>
      <c r="Y582">
        <v>0</v>
      </c>
      <c r="Z582">
        <v>0</v>
      </c>
      <c r="AA582">
        <v>0</v>
      </c>
      <c r="AB582">
        <v>0</v>
      </c>
      <c r="AC582">
        <v>0</v>
      </c>
      <c r="AD582">
        <v>0</v>
      </c>
      <c r="AE582">
        <v>0</v>
      </c>
      <c r="AF582">
        <v>0</v>
      </c>
      <c r="AG582">
        <v>0</v>
      </c>
      <c r="AH582">
        <v>0</v>
      </c>
      <c r="AI582">
        <v>0</v>
      </c>
      <c r="AJ582">
        <v>0</v>
      </c>
      <c r="AK582">
        <v>0</v>
      </c>
      <c r="AL582">
        <v>0</v>
      </c>
      <c r="AM582">
        <v>1</v>
      </c>
      <c r="AN582">
        <v>0</v>
      </c>
      <c r="AO582">
        <v>0</v>
      </c>
      <c r="AP582">
        <v>0</v>
      </c>
      <c r="AQ582">
        <v>0</v>
      </c>
      <c r="AR582">
        <v>0</v>
      </c>
      <c r="AS582">
        <v>0</v>
      </c>
      <c r="AT582">
        <v>0</v>
      </c>
      <c r="AU582">
        <v>0</v>
      </c>
      <c r="AV582">
        <v>0</v>
      </c>
      <c r="AW582">
        <v>0</v>
      </c>
      <c r="AX582">
        <v>0</v>
      </c>
      <c r="AY582">
        <v>0</v>
      </c>
      <c r="AZ582" s="141">
        <f>COUNTIF(X582:AY582,"&lt;&gt;0")</f>
        <v>2</v>
      </c>
      <c r="BA582" s="141">
        <f>COUNTIF(X582:AN582,"&lt;&gt;0")</f>
        <v>2</v>
      </c>
      <c r="BB582">
        <f>COUNTIF(X582:AE582,"&lt;&gt;0")</f>
        <v>1</v>
      </c>
      <c r="BC582">
        <f>COUNTIF(AF582:AK582,"&lt;&gt;0")</f>
        <v>0</v>
      </c>
      <c r="BD582">
        <f>COUNTIF(AL582:AN582,"&lt;&gt;0")</f>
        <v>1</v>
      </c>
      <c r="BE582">
        <f>COUNTIF(AU582:AY582,"&lt;&gt;0")</f>
        <v>0</v>
      </c>
      <c r="BF582">
        <f>COUNTIF(AO582:AT582,"&lt;&gt;0")</f>
        <v>0</v>
      </c>
      <c r="BG582" t="str" cm="1">
        <f t="array" ref="BG582">IF(BA582=1,INDEX($X$7:$AN$7,MATCH(TRUE,INDEX($X582:$AY582&lt;&gt;0,),0)),IF(BA582=0,INDEX($AO$7:$AY$7,MATCH(1,$AO582:$AY582,0)),IF(BH582="Multiple strategies","mixed drivers",IF(BH582="Supply chain","multiple supply","multiple silviculture"))))</f>
        <v>mixed drivers</v>
      </c>
      <c r="BH582" s="2" t="str" cm="1">
        <f t="array" ref="BH582">IF(COUNTIF(BB582:BD582,"&lt;&gt;0")=1,INDEX($X$4:$AY$4,MATCH(TRUE,INDEX($X582:$AY582&lt;&gt;0,),0)),IF(COUNTIF(BB582:BD582,"&lt;&gt;0")=0,INDEX($AO$4:$AY$4,MATCH(1,$AO582:$AY582,0)),"Multiple strategies"))</f>
        <v>Multiple strategies</v>
      </c>
      <c r="BI582" s="142" t="s">
        <v>229</v>
      </c>
      <c r="BJ582" t="s">
        <v>933</v>
      </c>
      <c r="BK582" t="s">
        <v>5002</v>
      </c>
      <c r="BL582" t="s">
        <v>5003</v>
      </c>
      <c r="BM582">
        <v>0</v>
      </c>
      <c r="BN582">
        <v>0.14000000000000001</v>
      </c>
      <c r="BO582" t="str">
        <f>IFERROR(BN582/BM582,"")</f>
        <v/>
      </c>
      <c r="BP582">
        <f>BN582-BM582</f>
        <v>0.14000000000000001</v>
      </c>
      <c r="BQ582">
        <f>BP582</f>
        <v>0.14000000000000001</v>
      </c>
      <c r="BR582" t="s">
        <v>232</v>
      </c>
      <c r="BS582" t="s">
        <v>5004</v>
      </c>
      <c r="BT582" s="317" t="s">
        <v>5005</v>
      </c>
      <c r="BU582">
        <v>-45.5</v>
      </c>
      <c r="BV582">
        <f>BU582+179</f>
        <v>133.5</v>
      </c>
      <c r="BW582" s="144">
        <f>BV582/BU582</f>
        <v>-2.9340659340659339</v>
      </c>
      <c r="BX582">
        <f>BV582-BU582</f>
        <v>179</v>
      </c>
      <c r="BZ582">
        <f>BX582*10^-3</f>
        <v>0.17899999999999999</v>
      </c>
      <c r="CA582">
        <f>IFERROR(BZ582/BQ582,"")</f>
        <v>1.2785714285714285</v>
      </c>
      <c r="CB582">
        <v>0</v>
      </c>
      <c r="CC582">
        <v>0</v>
      </c>
      <c r="CD582">
        <v>0</v>
      </c>
      <c r="CE582">
        <v>0</v>
      </c>
      <c r="CF582">
        <v>0</v>
      </c>
      <c r="CG582">
        <v>0</v>
      </c>
      <c r="CH582">
        <v>0</v>
      </c>
      <c r="CI582">
        <v>0</v>
      </c>
      <c r="CJ582">
        <v>0</v>
      </c>
      <c r="CK582">
        <v>0</v>
      </c>
      <c r="CL582">
        <v>0</v>
      </c>
      <c r="CM582">
        <v>0</v>
      </c>
      <c r="CN582">
        <v>0</v>
      </c>
      <c r="CO582">
        <v>0</v>
      </c>
      <c r="CP582" t="str">
        <f>IF($BN582&lt;$BM582,"refNeedCorrection","refOK")</f>
        <v>refOK</v>
      </c>
      <c r="CQ582">
        <f>IF($CP582="refOK",$BM582,$BN582)</f>
        <v>0</v>
      </c>
      <c r="CR582">
        <f>IF($CP582="refOK",$BN582,$BM582)</f>
        <v>0.14000000000000001</v>
      </c>
      <c r="CS582">
        <f>IF($CP582="refOK",$BQ582,-$BQ582)</f>
        <v>0.14000000000000001</v>
      </c>
      <c r="CT582">
        <f>IF(BI582="Roundwood",$CS582/2,$CS582)</f>
        <v>0.14000000000000001</v>
      </c>
      <c r="CU582">
        <f>IF($CP582="refOK",$BU582,$BV582)*IF($BR582="Emissions positive",-1,1)</f>
        <v>-45.5</v>
      </c>
      <c r="CV582">
        <f>IF($CP582="refOK",$BV582,$BU582)*IF($BR582="Emissions positive",-1,1)</f>
        <v>133.5</v>
      </c>
      <c r="CW582">
        <f>IF($CP582="refNeedCorrection",-BZ582,BZ582)*IF($BR582="Emissions positive",-1,1)</f>
        <v>0.17899999999999999</v>
      </c>
      <c r="CX582">
        <f>IFERROR($CW582/$CS582,"")</f>
        <v>1.2785714285714285</v>
      </c>
      <c r="CY582">
        <f>IFERROR($CW582/$CS582,"")</f>
        <v>1.2785714285714285</v>
      </c>
      <c r="CZ582">
        <f>IFERROR($CW582/$CT582,"")</f>
        <v>1.2785714285714285</v>
      </c>
      <c r="DA582" s="2">
        <f>IFERROR((CV582-CU582)/ABS(CU582),"")</f>
        <v>3.9340659340659339</v>
      </c>
      <c r="DB582" s="1" t="s">
        <v>936</v>
      </c>
      <c r="DC582" s="317" t="str">
        <f>IF(OR($DB582="prd",$DB582="std",$DB582="cit"),"loc",IF(OR($DB582="eur",$DB582="reg",$DB582="coy"),"reg",$DB582))</f>
        <v>loc</v>
      </c>
      <c r="DD582" t="s">
        <v>264</v>
      </c>
      <c r="DG582">
        <v>50</v>
      </c>
      <c r="DH582" t="str">
        <f>IF(DG582=0,"0",IF(AND(DG582&gt;=1,DG582&lt;=30),"1-30",IF(AND(DG582&gt;30,DG582&lt;=70),"31-70",IF(AND(DG582&gt;70,DG582&lt;=100),"71-100",IF(DG582&gt;100,"+100")))))</f>
        <v>31-70</v>
      </c>
      <c r="DI582">
        <v>0</v>
      </c>
      <c r="DJ582">
        <v>0</v>
      </c>
      <c r="DK582">
        <v>0</v>
      </c>
      <c r="DL582">
        <v>1</v>
      </c>
      <c r="DM582">
        <v>0</v>
      </c>
      <c r="DN582">
        <f>SUM(DI582:DL582)</f>
        <v>1</v>
      </c>
      <c r="DO582" t="str">
        <f>IF(DN582=1,INDEX($DI$7:$DL$7,MATCH(1,$DI582:$DL582,0)),"mixedProduct")</f>
        <v>TimberInput</v>
      </c>
      <c r="DP582">
        <f>IF(DI582=1,DP$7,0)</f>
        <v>0</v>
      </c>
      <c r="DQ582">
        <f>IF(DJ582=1,DQ$7,0)</f>
        <v>0</v>
      </c>
      <c r="DR582">
        <f>IF(DK582=1,DR$7,0)</f>
        <v>0</v>
      </c>
      <c r="DS582" t="str">
        <f>IF(DL582=1,DS$7,0)</f>
        <v>Timber</v>
      </c>
      <c r="DT582">
        <v>1</v>
      </c>
      <c r="DU582">
        <v>0</v>
      </c>
      <c r="DV582">
        <v>0</v>
      </c>
      <c r="DW582">
        <v>0</v>
      </c>
      <c r="DX582">
        <v>0</v>
      </c>
      <c r="DY582">
        <f>SUM(DT582:DU582)</f>
        <v>1</v>
      </c>
      <c r="DZ582" s="143" t="str">
        <f>IF(DT582=1,"self-calculated DF",IF(DU582=1,"external DF used","explicit C balance"))</f>
        <v>self-calculated DF</v>
      </c>
      <c r="EA582" s="143">
        <v>0</v>
      </c>
      <c r="EB582" s="143">
        <v>0</v>
      </c>
      <c r="EC582" s="143">
        <v>1</v>
      </c>
      <c r="ED582" s="143">
        <v>0</v>
      </c>
      <c r="EE582" s="143">
        <v>1</v>
      </c>
      <c r="EF582" s="143">
        <v>1</v>
      </c>
      <c r="EG582" s="143">
        <v>0</v>
      </c>
      <c r="EH582" s="143">
        <v>1</v>
      </c>
      <c r="EI582" s="143">
        <v>0</v>
      </c>
      <c r="EJ582">
        <v>1</v>
      </c>
      <c r="EK582">
        <v>0</v>
      </c>
      <c r="EL582" s="143">
        <v>0</v>
      </c>
      <c r="EM582" s="143">
        <v>0</v>
      </c>
      <c r="EN582" s="2">
        <v>0</v>
      </c>
      <c r="EP582" t="str">
        <f>IF(AND(AND(AND(OR($EC582=1,$EB582=1),OR($EH582=1,$EF582=1)),SUM($EA582:$EE582,$EK582)&gt;=3),SUM($EF582:$EJ582)&gt;=2),"Whole sector approach","")</f>
        <v/>
      </c>
      <c r="EQ582" t="str">
        <f>IF(AND(AND(OR($EC582=1,$EB582=1),AND($EH582=0,$EF582=0)),SUM($EA582:$EE582,$EK582)&gt;=3),"Ecosystem approach","")</f>
        <v/>
      </c>
      <c r="ER582" s="2" t="str">
        <f>IF(AND(AND(AND($EC582=0,$EB582=0),OR($EH582=1,$EF582=1)),SUM($EG582:$EJ582)&gt;=2),"Technology approach","")</f>
        <v/>
      </c>
      <c r="ES582" t="str">
        <f>IF(AND($EC582+$EB582+$EE582+$EA582+$ED582+$EG582=0,$N582="included"),"C neutral forest and HWP assumption","")</f>
        <v/>
      </c>
      <c r="ET582" t="str">
        <f>IF(AND(AND(AND(AND($EC582=1,$EB582+$EA582+$EG582&gt;=1),$EF582=1),$EH582+$EI582+$ED582+$EE582&gt;=2),$N582="included"),"All C pools assumption","")</f>
        <v/>
      </c>
      <c r="EU582" t="str">
        <f>IF(AND($ED582+$EE582+$EI582+$EH582+$EF582=0,$N582="included"),"In-situ only assumption","")</f>
        <v/>
      </c>
      <c r="EV582" s="328" t="s">
        <v>5065</v>
      </c>
      <c r="EY582" t="str">
        <f>IF(ISNUMBER(BW582),IF(ABS(BW582-[4]QC_indicators!$B$2)&gt;3*[4]QC_indicators!$C$2,"C ratio",IF(ISNUMBER(CA582),IF(ABS(CA582-[4]QC_indicators!$B$1)&gt;3*[4]QC_indicators!$C$1,"DF","no"))),IF(ISNUMBER(CA582),IF(ABS(CA582-[4]QC_indicators!$B$1)&gt;3*[4]QC_indicators!$C$1,"DF","no")))</f>
        <v>no</v>
      </c>
      <c r="FA582" t="str">
        <f>IF(LEN($CY582)=0,"",IF(AND($CY582&lt;(-0.05),$ES582="C neutral forest and HWP assumption"),"Cneutral paradox",IF(AND($CY582&gt;0.05,$EU582="In-situ only assumption"),"In-situ only paradox","")))</f>
        <v/>
      </c>
      <c r="FD582" t="s">
        <v>5006</v>
      </c>
    </row>
    <row r="583" spans="1:160" ht="15" hidden="1" customHeight="1">
      <c r="D583" t="s">
        <v>927</v>
      </c>
      <c r="E583" t="s">
        <v>928</v>
      </c>
      <c r="G583" t="s">
        <v>929</v>
      </c>
      <c r="I583">
        <v>2002</v>
      </c>
      <c r="K583" s="288" t="s">
        <v>930</v>
      </c>
      <c r="M583" t="str">
        <f>LEFT($D583,FIND(",",$D583)-1)&amp;"_"&amp;I583&amp;L583</f>
        <v>Petersen_2002</v>
      </c>
      <c r="N583" t="s">
        <v>222</v>
      </c>
      <c r="O583" s="171" t="s">
        <v>508</v>
      </c>
      <c r="P583" s="141" t="s">
        <v>225</v>
      </c>
      <c r="Q583" s="317" t="s">
        <v>389</v>
      </c>
      <c r="R583" s="318" t="s">
        <v>1029</v>
      </c>
      <c r="S583" s="320" t="s">
        <v>5000</v>
      </c>
      <c r="T583" s="317" t="s">
        <v>5001</v>
      </c>
      <c r="U583" s="317" t="s">
        <v>1410</v>
      </c>
      <c r="V583" s="253">
        <v>0</v>
      </c>
      <c r="W583" s="253">
        <v>0</v>
      </c>
      <c r="X583">
        <v>0</v>
      </c>
      <c r="Y583">
        <v>0</v>
      </c>
      <c r="Z583">
        <v>0</v>
      </c>
      <c r="AA583">
        <v>0</v>
      </c>
      <c r="AB583">
        <v>0</v>
      </c>
      <c r="AC583">
        <v>0</v>
      </c>
      <c r="AD583">
        <v>0</v>
      </c>
      <c r="AE583">
        <v>0</v>
      </c>
      <c r="AF583">
        <v>0</v>
      </c>
      <c r="AG583">
        <v>0</v>
      </c>
      <c r="AH583">
        <v>0</v>
      </c>
      <c r="AI583">
        <v>0</v>
      </c>
      <c r="AJ583">
        <v>0</v>
      </c>
      <c r="AK583">
        <v>0</v>
      </c>
      <c r="AL583">
        <v>0</v>
      </c>
      <c r="AM583">
        <v>1</v>
      </c>
      <c r="AN583">
        <v>0</v>
      </c>
      <c r="AO583">
        <v>0</v>
      </c>
      <c r="AP583">
        <v>0</v>
      </c>
      <c r="AQ583">
        <v>0</v>
      </c>
      <c r="AR583">
        <v>0</v>
      </c>
      <c r="AS583">
        <v>0</v>
      </c>
      <c r="AT583">
        <v>0</v>
      </c>
      <c r="AU583">
        <v>0</v>
      </c>
      <c r="AV583">
        <v>0</v>
      </c>
      <c r="AW583">
        <v>0</v>
      </c>
      <c r="AX583">
        <v>0</v>
      </c>
      <c r="AY583">
        <v>0</v>
      </c>
      <c r="AZ583" s="141">
        <f>COUNTIF(X583:AY583,"&lt;&gt;0")</f>
        <v>1</v>
      </c>
      <c r="BA583" s="141">
        <f>COUNTIF(X583:AN583,"&lt;&gt;0")</f>
        <v>1</v>
      </c>
      <c r="BB583">
        <f>COUNTIF(X583:AE583,"&lt;&gt;0")</f>
        <v>0</v>
      </c>
      <c r="BC583">
        <f>COUNTIF(AF583:AK583,"&lt;&gt;0")</f>
        <v>0</v>
      </c>
      <c r="BD583">
        <f>COUNTIF(AL583:AN583,"&lt;&gt;0")</f>
        <v>1</v>
      </c>
      <c r="BE583">
        <f>COUNTIF(AU583:AY583,"&lt;&gt;0")</f>
        <v>0</v>
      </c>
      <c r="BF583">
        <f>COUNTIF(AO583:AT583,"&lt;&gt;0")</f>
        <v>0</v>
      </c>
      <c r="BG583" t="str" cm="1">
        <f t="array" ref="BG583">IF(BA583=1,INDEX($X$7:$AN$7,MATCH(TRUE,INDEX($X583:$AY583&lt;&gt;0,),0)),IF(BA583=0,INDEX($AO$7:$AY$7,MATCH(1,$AO583:$AY583,0)),IF(BH583="Multiple strategies","mixed drivers",IF(BH583="Supply chain","multiple supply","multiple silviculture"))))</f>
        <v>technologies/design switch</v>
      </c>
      <c r="BH583" s="2" t="str" cm="1">
        <f t="array" ref="BH583">IF(COUNTIF(BB583:BD583,"&lt;&gt;0")=1,INDEX($X$4:$AY$4,MATCH(TRUE,INDEX($X583:$AY583&lt;&gt;0,),0)),IF(COUNTIF(BB583:BD583,"&lt;&gt;0")=0,INDEX($AO$4:$AY$4,MATCH(1,$AO583:$AY583,0)),"Multiple strategies"))</f>
        <v>Technology</v>
      </c>
      <c r="BI583" s="142" t="s">
        <v>229</v>
      </c>
      <c r="BJ583" t="s">
        <v>933</v>
      </c>
      <c r="BK583" t="s">
        <v>5002</v>
      </c>
      <c r="BL583" t="s">
        <v>5003</v>
      </c>
      <c r="BM583">
        <v>0</v>
      </c>
      <c r="BN583">
        <v>0.14000000000000001</v>
      </c>
      <c r="BO583" t="str">
        <f>IFERROR(BN583/BM583,"")</f>
        <v/>
      </c>
      <c r="BP583">
        <f>BN583-BM583</f>
        <v>0.14000000000000001</v>
      </c>
      <c r="BQ583">
        <f>BP583</f>
        <v>0.14000000000000001</v>
      </c>
      <c r="BR583" t="s">
        <v>232</v>
      </c>
      <c r="BS583" t="s">
        <v>5004</v>
      </c>
      <c r="BT583" s="317" t="s">
        <v>5005</v>
      </c>
      <c r="BU583">
        <v>-45.5</v>
      </c>
      <c r="BV583">
        <f>BU583+96</f>
        <v>50.5</v>
      </c>
      <c r="BW583" s="144">
        <f>BV583/BU583</f>
        <v>-1.1098901098901099</v>
      </c>
      <c r="BX583">
        <f>BV583-BU583</f>
        <v>96</v>
      </c>
      <c r="BZ583">
        <f>BX583*10^-3</f>
        <v>9.6000000000000002E-2</v>
      </c>
      <c r="CA583">
        <f>IFERROR(BZ583/BQ583,"")</f>
        <v>0.68571428571428561</v>
      </c>
      <c r="CB583">
        <v>0</v>
      </c>
      <c r="CC583">
        <v>0</v>
      </c>
      <c r="CD583">
        <v>0</v>
      </c>
      <c r="CE583">
        <v>0</v>
      </c>
      <c r="CF583">
        <v>0</v>
      </c>
      <c r="CG583">
        <v>0</v>
      </c>
      <c r="CH583">
        <v>0</v>
      </c>
      <c r="CI583">
        <v>0</v>
      </c>
      <c r="CJ583">
        <v>0</v>
      </c>
      <c r="CK583">
        <v>0</v>
      </c>
      <c r="CL583">
        <v>0</v>
      </c>
      <c r="CM583">
        <v>0</v>
      </c>
      <c r="CN583">
        <v>0</v>
      </c>
      <c r="CO583">
        <v>0</v>
      </c>
      <c r="CP583" t="str">
        <f>IF($BN583&lt;$BM583,"refNeedCorrection","refOK")</f>
        <v>refOK</v>
      </c>
      <c r="CQ583">
        <f>IF($CP583="refOK",$BM583,$BN583)</f>
        <v>0</v>
      </c>
      <c r="CR583">
        <f>IF($CP583="refOK",$BN583,$BM583)</f>
        <v>0.14000000000000001</v>
      </c>
      <c r="CS583">
        <f>IF($CP583="refOK",$BQ583,-$BQ583)</f>
        <v>0.14000000000000001</v>
      </c>
      <c r="CT583">
        <f>IF(BI583="Roundwood",$CS583/2,$CS583)</f>
        <v>0.14000000000000001</v>
      </c>
      <c r="CU583">
        <f>IF($CP583="refOK",$BU583,$BV583)*IF($BR583="Emissions positive",-1,1)</f>
        <v>-45.5</v>
      </c>
      <c r="CV583">
        <f>IF($CP583="refOK",$BV583,$BU583)*IF($BR583="Emissions positive",-1,1)</f>
        <v>50.5</v>
      </c>
      <c r="CW583">
        <f>IF($CP583="refNeedCorrection",-BZ583,BZ583)*IF($BR583="Emissions positive",-1,1)</f>
        <v>9.6000000000000002E-2</v>
      </c>
      <c r="CX583">
        <f>IFERROR($CW583/$CS583,"")</f>
        <v>0.68571428571428561</v>
      </c>
      <c r="CY583">
        <f>IFERROR($CW583/$CS583,"")</f>
        <v>0.68571428571428561</v>
      </c>
      <c r="CZ583">
        <f>IFERROR($CW583/$CT583,"")</f>
        <v>0.68571428571428561</v>
      </c>
      <c r="DA583" s="2">
        <f>IFERROR((CV583-CU583)/ABS(CU583),"")</f>
        <v>2.1098901098901099</v>
      </c>
      <c r="DB583" s="1" t="s">
        <v>936</v>
      </c>
      <c r="DC583" s="317" t="str">
        <f>IF(OR($DB583="prd",$DB583="std",$DB583="cit"),"loc",IF(OR($DB583="eur",$DB583="reg",$DB583="coy"),"reg",$DB583))</f>
        <v>loc</v>
      </c>
      <c r="DD583" t="s">
        <v>264</v>
      </c>
      <c r="DG583">
        <v>50</v>
      </c>
      <c r="DH583" t="str">
        <f>IF(DG583=0,"0",IF(AND(DG583&gt;=1,DG583&lt;=30),"1-30",IF(AND(DG583&gt;30,DG583&lt;=70),"31-70",IF(AND(DG583&gt;70,DG583&lt;=100),"71-100",IF(DG583&gt;100,"+100")))))</f>
        <v>31-70</v>
      </c>
      <c r="DI583">
        <v>0</v>
      </c>
      <c r="DJ583">
        <v>0</v>
      </c>
      <c r="DK583">
        <v>0</v>
      </c>
      <c r="DL583">
        <v>1</v>
      </c>
      <c r="DM583">
        <v>0</v>
      </c>
      <c r="DN583">
        <f>SUM(DI583:DL583)</f>
        <v>1</v>
      </c>
      <c r="DO583" t="str">
        <f>IF(DN583=1,INDEX($DI$7:$DL$7,MATCH(1,$DI583:$DL583,0)),"mixedProduct")</f>
        <v>TimberInput</v>
      </c>
      <c r="DP583">
        <f>IF(DI583=1,DP$7,0)</f>
        <v>0</v>
      </c>
      <c r="DQ583">
        <f>IF(DJ583=1,DQ$7,0)</f>
        <v>0</v>
      </c>
      <c r="DR583">
        <f>IF(DK583=1,DR$7,0)</f>
        <v>0</v>
      </c>
      <c r="DS583" t="str">
        <f>IF(DL583=1,DS$7,0)</f>
        <v>Timber</v>
      </c>
      <c r="DT583">
        <v>1</v>
      </c>
      <c r="DU583">
        <v>0</v>
      </c>
      <c r="DV583">
        <v>0</v>
      </c>
      <c r="DW583">
        <v>0</v>
      </c>
      <c r="DX583">
        <v>0</v>
      </c>
      <c r="DY583">
        <f>SUM(DT583:DU583)</f>
        <v>1</v>
      </c>
      <c r="DZ583" s="143" t="str">
        <f>IF(DT583=1,"self-calculated DF",IF(DU583=1,"external DF used","explicit C balance"))</f>
        <v>self-calculated DF</v>
      </c>
      <c r="EA583" s="143">
        <v>0</v>
      </c>
      <c r="EB583" s="143">
        <v>0</v>
      </c>
      <c r="EC583" s="143">
        <v>0</v>
      </c>
      <c r="ED583" s="143">
        <v>0</v>
      </c>
      <c r="EE583" s="143">
        <v>1</v>
      </c>
      <c r="EF583" s="143">
        <v>1</v>
      </c>
      <c r="EG583" s="143">
        <v>0</v>
      </c>
      <c r="EH583" s="143">
        <v>1</v>
      </c>
      <c r="EI583" s="143">
        <v>0</v>
      </c>
      <c r="EJ583">
        <v>1</v>
      </c>
      <c r="EK583">
        <v>0</v>
      </c>
      <c r="EL583" s="143">
        <v>0</v>
      </c>
      <c r="EM583" s="143">
        <v>0</v>
      </c>
      <c r="EN583" s="2">
        <v>0</v>
      </c>
      <c r="EP583" t="str">
        <f>IF(AND(AND(AND(OR($EC583=1,$EB583=1),OR($EH583=1,$EF583=1)),SUM($EA583:$EE583,$EK583)&gt;=3),SUM($EF583:$EJ583)&gt;=2),"Whole sector approach","")</f>
        <v/>
      </c>
      <c r="EQ583" t="str">
        <f>IF(AND(AND(OR($EC583=1,$EB583=1),AND($EH583=0,$EF583=0)),SUM($EA583:$EE583,$EK583)&gt;=3),"Ecosystem approach","")</f>
        <v/>
      </c>
      <c r="ER583" s="2" t="str">
        <f>IF(AND(AND(AND($EC583=0,$EB583=0),OR($EH583=1,$EF583=1)),SUM($EG583:$EJ583)&gt;=2),"Technology approach","")</f>
        <v>Technology approach</v>
      </c>
      <c r="ES583" t="str">
        <f>IF(AND($EC583+$EB583+$EE583+$EA583+$ED583+$EG583=0,$N583="included"),"C neutral forest and HWP assumption","")</f>
        <v/>
      </c>
      <c r="ET583" t="str">
        <f>IF(AND(AND(AND(AND($EC583=1,$EB583+$EA583+$EG583&gt;=1),$EF583=1),$EH583+$EI583+$ED583+$EE583&gt;=2),$N583="included"),"All C pools assumption","")</f>
        <v/>
      </c>
      <c r="EU583" t="str">
        <f>IF(AND($ED583+$EE583+$EI583+$EH583+$EF583=0,$N583="included"),"In-situ only assumption","")</f>
        <v/>
      </c>
      <c r="EV583" s="328" t="s">
        <v>5065</v>
      </c>
      <c r="EY583" t="str">
        <f>IF(ISNUMBER(BW583),IF(ABS(BW583-[4]QC_indicators!$B$2)&gt;3*[4]QC_indicators!$C$2,"C ratio",IF(ISNUMBER(CA583),IF(ABS(CA583-[4]QC_indicators!$B$1)&gt;3*[4]QC_indicators!$C$1,"DF","no"))),IF(ISNUMBER(CA583),IF(ABS(CA583-[4]QC_indicators!$B$1)&gt;3*[4]QC_indicators!$C$1,"DF","no")))</f>
        <v>no</v>
      </c>
      <c r="FA583" t="str">
        <f>IF(LEN($CY583)=0,"",IF(AND($CY583&lt;(-0.05),$ES583="C neutral forest and HWP assumption"),"Cneutral paradox",IF(AND($CY583&gt;0.05,$EU583="In-situ only assumption"),"In-situ only paradox","")))</f>
        <v/>
      </c>
      <c r="FD583" t="s">
        <v>5006</v>
      </c>
    </row>
    <row r="584" spans="1:160" ht="15" hidden="1" customHeight="1">
      <c r="D584" t="s">
        <v>927</v>
      </c>
      <c r="E584" t="s">
        <v>928</v>
      </c>
      <c r="G584" t="s">
        <v>929</v>
      </c>
      <c r="I584">
        <v>2002</v>
      </c>
      <c r="K584" s="288" t="s">
        <v>930</v>
      </c>
      <c r="M584" t="str">
        <f>LEFT($D584,FIND(",",$D584)-1)&amp;"_"&amp;I584&amp;L584</f>
        <v>Petersen_2002</v>
      </c>
      <c r="N584" t="s">
        <v>222</v>
      </c>
      <c r="O584" s="171" t="s">
        <v>508</v>
      </c>
      <c r="P584" s="141" t="s">
        <v>225</v>
      </c>
      <c r="Q584" s="317" t="s">
        <v>389</v>
      </c>
      <c r="R584" s="318" t="s">
        <v>1029</v>
      </c>
      <c r="S584" s="320" t="s">
        <v>5000</v>
      </c>
      <c r="T584" s="317" t="s">
        <v>5010</v>
      </c>
      <c r="U584" s="317" t="s">
        <v>931</v>
      </c>
      <c r="V584" s="253">
        <v>0</v>
      </c>
      <c r="W584" s="253">
        <v>0</v>
      </c>
      <c r="X584">
        <v>0</v>
      </c>
      <c r="Y584">
        <v>0</v>
      </c>
      <c r="Z584">
        <v>0</v>
      </c>
      <c r="AA584">
        <v>0</v>
      </c>
      <c r="AB584">
        <v>0</v>
      </c>
      <c r="AC584">
        <v>0</v>
      </c>
      <c r="AD584">
        <v>0</v>
      </c>
      <c r="AE584">
        <v>0</v>
      </c>
      <c r="AF584">
        <v>0</v>
      </c>
      <c r="AG584">
        <v>0</v>
      </c>
      <c r="AH584">
        <v>0</v>
      </c>
      <c r="AI584">
        <v>0</v>
      </c>
      <c r="AJ584">
        <v>0</v>
      </c>
      <c r="AK584">
        <v>0</v>
      </c>
      <c r="AL584">
        <v>0</v>
      </c>
      <c r="AM584">
        <v>1</v>
      </c>
      <c r="AN584">
        <v>0</v>
      </c>
      <c r="AO584">
        <v>0</v>
      </c>
      <c r="AP584">
        <v>0</v>
      </c>
      <c r="AQ584">
        <v>0</v>
      </c>
      <c r="AR584">
        <v>0</v>
      </c>
      <c r="AS584">
        <v>0</v>
      </c>
      <c r="AT584">
        <v>0</v>
      </c>
      <c r="AU584">
        <v>0</v>
      </c>
      <c r="AV584">
        <v>0</v>
      </c>
      <c r="AW584">
        <v>0</v>
      </c>
      <c r="AX584">
        <v>0</v>
      </c>
      <c r="AY584">
        <v>0</v>
      </c>
      <c r="AZ584" s="141">
        <f>COUNTIF(X584:AY584,"&lt;&gt;0")</f>
        <v>1</v>
      </c>
      <c r="BA584" s="141">
        <f>COUNTIF(X584:AN584,"&lt;&gt;0")</f>
        <v>1</v>
      </c>
      <c r="BB584">
        <f>COUNTIF(X584:AE584,"&lt;&gt;0")</f>
        <v>0</v>
      </c>
      <c r="BC584">
        <f>COUNTIF(AF584:AK584,"&lt;&gt;0")</f>
        <v>0</v>
      </c>
      <c r="BD584">
        <f>COUNTIF(AL584:AN584,"&lt;&gt;0")</f>
        <v>1</v>
      </c>
      <c r="BE584">
        <f>COUNTIF(AU584:AY584,"&lt;&gt;0")</f>
        <v>0</v>
      </c>
      <c r="BF584">
        <f>COUNTIF(AO584:AT584,"&lt;&gt;0")</f>
        <v>0</v>
      </c>
      <c r="BG584" t="str" cm="1">
        <f t="array" ref="BG584">IF(BA584=1,INDEX($X$7:$AN$7,MATCH(TRUE,INDEX($X584:$AY584&lt;&gt;0,),0)),IF(BA584=0,INDEX($AO$7:$AY$7,MATCH(1,$AO584:$AY584,0)),IF(BH584="Multiple strategies","mixed drivers",IF(BH584="Supply chain","multiple supply","multiple silviculture"))))</f>
        <v>technologies/design switch</v>
      </c>
      <c r="BH584" s="2" t="str" cm="1">
        <f t="array" ref="BH584">IF(COUNTIF(BB584:BD584,"&lt;&gt;0")=1,INDEX($X$4:$AY$4,MATCH(TRUE,INDEX($X584:$AY584&lt;&gt;0,),0)),IF(COUNTIF(BB584:BD584,"&lt;&gt;0")=0,INDEX($AO$4:$AY$4,MATCH(1,$AO584:$AY584,0)),"Multiple strategies"))</f>
        <v>Technology</v>
      </c>
      <c r="BI584" s="142" t="s">
        <v>229</v>
      </c>
      <c r="BJ584" t="s">
        <v>933</v>
      </c>
      <c r="BK584" t="s">
        <v>5002</v>
      </c>
      <c r="BL584" t="s">
        <v>5003</v>
      </c>
      <c r="BM584">
        <v>0</v>
      </c>
      <c r="BN584">
        <v>0.14000000000000001</v>
      </c>
      <c r="BO584" t="str">
        <f>IFERROR(BN584/BM584,"")</f>
        <v/>
      </c>
      <c r="BP584">
        <f>BN584-BM584</f>
        <v>0.14000000000000001</v>
      </c>
      <c r="BQ584">
        <f>BP584</f>
        <v>0.14000000000000001</v>
      </c>
      <c r="BR584" t="s">
        <v>232</v>
      </c>
      <c r="BS584" t="s">
        <v>5004</v>
      </c>
      <c r="BT584" s="317" t="s">
        <v>5005</v>
      </c>
      <c r="BU584">
        <v>-76</v>
      </c>
      <c r="BV584">
        <f>BU584+81</f>
        <v>5</v>
      </c>
      <c r="BW584" s="144">
        <f>BV584/BU584</f>
        <v>-6.5789473684210523E-2</v>
      </c>
      <c r="BX584">
        <f>BV584-BU584</f>
        <v>81</v>
      </c>
      <c r="BZ584">
        <f>BX584*10^-3</f>
        <v>8.1000000000000003E-2</v>
      </c>
      <c r="CA584">
        <f>IFERROR(BZ584/BQ584,"")</f>
        <v>0.57857142857142851</v>
      </c>
      <c r="CB584">
        <v>0</v>
      </c>
      <c r="CC584">
        <v>0</v>
      </c>
      <c r="CD584">
        <v>0</v>
      </c>
      <c r="CE584">
        <v>0</v>
      </c>
      <c r="CF584">
        <v>0</v>
      </c>
      <c r="CG584">
        <v>0</v>
      </c>
      <c r="CH584">
        <v>0</v>
      </c>
      <c r="CI584">
        <v>0</v>
      </c>
      <c r="CJ584">
        <v>0</v>
      </c>
      <c r="CK584">
        <v>0</v>
      </c>
      <c r="CL584">
        <v>0</v>
      </c>
      <c r="CM584">
        <v>0</v>
      </c>
      <c r="CN584">
        <v>0</v>
      </c>
      <c r="CO584">
        <v>0</v>
      </c>
      <c r="CP584" t="str">
        <f>IF($BN584&lt;$BM584,"refNeedCorrection","refOK")</f>
        <v>refOK</v>
      </c>
      <c r="CQ584">
        <f>IF($CP584="refOK",$BM584,$BN584)</f>
        <v>0</v>
      </c>
      <c r="CR584">
        <f>IF($CP584="refOK",$BN584,$BM584)</f>
        <v>0.14000000000000001</v>
      </c>
      <c r="CS584">
        <f>IF($CP584="refOK",$BQ584,-$BQ584)</f>
        <v>0.14000000000000001</v>
      </c>
      <c r="CT584">
        <f>IF(BI584="Roundwood",$CS584/2,$CS584)</f>
        <v>0.14000000000000001</v>
      </c>
      <c r="CU584">
        <f>IF($CP584="refOK",$BU584,$BV584)*IF($BR584="Emissions positive",-1,1)</f>
        <v>-76</v>
      </c>
      <c r="CV584">
        <f>IF($CP584="refOK",$BV584,$BU584)*IF($BR584="Emissions positive",-1,1)</f>
        <v>5</v>
      </c>
      <c r="CW584">
        <f>IF($CP584="refNeedCorrection",-BZ584,BZ584)*IF($BR584="Emissions positive",-1,1)</f>
        <v>8.1000000000000003E-2</v>
      </c>
      <c r="CX584">
        <f>IFERROR($CW584/$CS584,"")</f>
        <v>0.57857142857142851</v>
      </c>
      <c r="CY584">
        <f>IFERROR($CW584/$CS584,"")</f>
        <v>0.57857142857142851</v>
      </c>
      <c r="CZ584">
        <f>IFERROR($CW584/$CT584,"")</f>
        <v>0.57857142857142851</v>
      </c>
      <c r="DA584" s="2">
        <f>IFERROR((CV584-CU584)/ABS(CU584),"")</f>
        <v>1.0657894736842106</v>
      </c>
      <c r="DB584" s="1" t="s">
        <v>936</v>
      </c>
      <c r="DC584" s="317" t="str">
        <f>IF(OR($DB584="prd",$DB584="std",$DB584="cit"),"loc",IF(OR($DB584="eur",$DB584="reg",$DB584="coy"),"reg",$DB584))</f>
        <v>loc</v>
      </c>
      <c r="DD584" t="s">
        <v>264</v>
      </c>
      <c r="DG584">
        <v>50</v>
      </c>
      <c r="DH584" t="str">
        <f>IF(DG584=0,"0",IF(AND(DG584&gt;=1,DG584&lt;=30),"1-30",IF(AND(DG584&gt;30,DG584&lt;=70),"31-70",IF(AND(DG584&gt;70,DG584&lt;=100),"71-100",IF(DG584&gt;100,"+100")))))</f>
        <v>31-70</v>
      </c>
      <c r="DI584">
        <v>0</v>
      </c>
      <c r="DJ584">
        <v>0</v>
      </c>
      <c r="DK584">
        <v>0</v>
      </c>
      <c r="DL584">
        <v>1</v>
      </c>
      <c r="DM584">
        <v>0</v>
      </c>
      <c r="DN584">
        <f>SUM(DI584:DL584)</f>
        <v>1</v>
      </c>
      <c r="DO584" t="str">
        <f>IF(DN584=1,INDEX($DI$7:$DL$7,MATCH(1,$DI584:$DL584,0)),"mixedProduct")</f>
        <v>TimberInput</v>
      </c>
      <c r="DP584">
        <f>IF(DI584=1,DP$7,0)</f>
        <v>0</v>
      </c>
      <c r="DQ584">
        <f>IF(DJ584=1,DQ$7,0)</f>
        <v>0</v>
      </c>
      <c r="DR584">
        <f>IF(DK584=1,DR$7,0)</f>
        <v>0</v>
      </c>
      <c r="DS584" t="str">
        <f>IF(DL584=1,DS$7,0)</f>
        <v>Timber</v>
      </c>
      <c r="DT584">
        <v>1</v>
      </c>
      <c r="DU584">
        <v>0</v>
      </c>
      <c r="DV584">
        <v>0</v>
      </c>
      <c r="DW584">
        <v>0</v>
      </c>
      <c r="DX584">
        <v>0</v>
      </c>
      <c r="DY584">
        <f>SUM(DT584:DU584)</f>
        <v>1</v>
      </c>
      <c r="DZ584" s="143" t="str">
        <f>IF(DT584=1,"self-calculated DF",IF(DU584=1,"external DF used","explicit C balance"))</f>
        <v>self-calculated DF</v>
      </c>
      <c r="EA584" s="143">
        <v>0</v>
      </c>
      <c r="EB584" s="143">
        <v>0</v>
      </c>
      <c r="EC584" s="143">
        <v>0</v>
      </c>
      <c r="ED584" s="143">
        <v>0</v>
      </c>
      <c r="EE584" s="143">
        <v>1</v>
      </c>
      <c r="EF584" s="143">
        <v>1</v>
      </c>
      <c r="EG584" s="143">
        <v>0</v>
      </c>
      <c r="EH584" s="143">
        <v>1</v>
      </c>
      <c r="EI584" s="143">
        <v>0</v>
      </c>
      <c r="EJ584">
        <v>1</v>
      </c>
      <c r="EK584">
        <v>0</v>
      </c>
      <c r="EL584" s="143">
        <v>0</v>
      </c>
      <c r="EM584" s="143">
        <v>0</v>
      </c>
      <c r="EN584" s="2">
        <v>0</v>
      </c>
      <c r="EP584" t="str">
        <f>IF(AND(AND(AND(OR($EC584=1,$EB584=1),OR($EH584=1,$EF584=1)),SUM($EA584:$EE584,$EK584)&gt;=3),SUM($EF584:$EJ584)&gt;=2),"Whole sector approach","")</f>
        <v/>
      </c>
      <c r="EQ584" t="str">
        <f>IF(AND(AND(OR($EC584=1,$EB584=1),AND($EH584=0,$EF584=0)),SUM($EA584:$EE584,$EK584)&gt;=3),"Ecosystem approach","")</f>
        <v/>
      </c>
      <c r="ER584" s="2" t="str">
        <f>IF(AND(AND(AND($EC584=0,$EB584=0),OR($EH584=1,$EF584=1)),SUM($EG584:$EJ584)&gt;=2),"Technology approach","")</f>
        <v>Technology approach</v>
      </c>
      <c r="ES584" t="str">
        <f>IF(AND($EC584+$EB584+$EE584+$EA584+$ED584+$EG584=0,$N584="included"),"C neutral forest and HWP assumption","")</f>
        <v/>
      </c>
      <c r="ET584" t="str">
        <f>IF(AND(AND(AND(AND($EC584=1,$EB584+$EA584+$EG584&gt;=1),$EF584=1),$EH584+$EI584+$ED584+$EE584&gt;=2),$N584="included"),"All C pools assumption","")</f>
        <v/>
      </c>
      <c r="EU584" t="str">
        <f>IF(AND($ED584+$EE584+$EI584+$EH584+$EF584=0,$N584="included"),"In-situ only assumption","")</f>
        <v/>
      </c>
      <c r="EV584" s="328" t="s">
        <v>5065</v>
      </c>
      <c r="EY584" t="str">
        <f>IF(ISNUMBER(BW584),IF(ABS(BW584-[4]QC_indicators!$B$2)&gt;3*[4]QC_indicators!$C$2,"C ratio",IF(ISNUMBER(CA584),IF(ABS(CA584-[4]QC_indicators!$B$1)&gt;3*[4]QC_indicators!$C$1,"DF","no"))),IF(ISNUMBER(CA584),IF(ABS(CA584-[4]QC_indicators!$B$1)&gt;3*[4]QC_indicators!$C$1,"DF","no")))</f>
        <v>no</v>
      </c>
      <c r="FA584" t="str">
        <f>IF(LEN($CY584)=0,"",IF(AND($CY584&lt;(-0.05),$ES584="C neutral forest and HWP assumption"),"Cneutral paradox",IF(AND($CY584&gt;0.05,$EU584="In-situ only assumption"),"In-situ only paradox","")))</f>
        <v/>
      </c>
      <c r="FD584" t="s">
        <v>5006</v>
      </c>
    </row>
    <row r="585" spans="1:160" ht="15" hidden="1" customHeight="1">
      <c r="D585" t="s">
        <v>927</v>
      </c>
      <c r="E585" t="s">
        <v>928</v>
      </c>
      <c r="G585" t="s">
        <v>929</v>
      </c>
      <c r="I585">
        <v>2002</v>
      </c>
      <c r="K585" s="288" t="s">
        <v>930</v>
      </c>
      <c r="M585" t="str">
        <f>LEFT($D585,FIND(",",$D585)-1)&amp;"_"&amp;I585&amp;L585</f>
        <v>Petersen_2002</v>
      </c>
      <c r="N585" t="s">
        <v>222</v>
      </c>
      <c r="O585" s="171" t="s">
        <v>508</v>
      </c>
      <c r="P585" s="141" t="s">
        <v>225</v>
      </c>
      <c r="Q585" s="317" t="s">
        <v>389</v>
      </c>
      <c r="R585" s="318" t="s">
        <v>1029</v>
      </c>
      <c r="S585" s="320" t="s">
        <v>5000</v>
      </c>
      <c r="T585" s="317" t="s">
        <v>5001</v>
      </c>
      <c r="U585" s="317" t="s">
        <v>941</v>
      </c>
      <c r="V585" s="253">
        <v>0</v>
      </c>
      <c r="W585" s="253">
        <v>0</v>
      </c>
      <c r="X585">
        <v>0</v>
      </c>
      <c r="Y585">
        <v>0</v>
      </c>
      <c r="Z585">
        <v>0</v>
      </c>
      <c r="AA585">
        <v>0</v>
      </c>
      <c r="AB585">
        <v>0</v>
      </c>
      <c r="AC585">
        <v>0</v>
      </c>
      <c r="AD585">
        <v>0</v>
      </c>
      <c r="AE585">
        <v>0</v>
      </c>
      <c r="AF585">
        <v>0</v>
      </c>
      <c r="AG585">
        <v>0</v>
      </c>
      <c r="AH585">
        <v>0</v>
      </c>
      <c r="AI585">
        <v>0</v>
      </c>
      <c r="AJ585">
        <v>0</v>
      </c>
      <c r="AK585">
        <v>0</v>
      </c>
      <c r="AL585">
        <v>0</v>
      </c>
      <c r="AM585">
        <v>1</v>
      </c>
      <c r="AN585">
        <v>0</v>
      </c>
      <c r="AO585">
        <v>0</v>
      </c>
      <c r="AP585">
        <v>0</v>
      </c>
      <c r="AQ585">
        <v>0</v>
      </c>
      <c r="AR585">
        <v>0</v>
      </c>
      <c r="AS585">
        <v>0</v>
      </c>
      <c r="AT585">
        <v>0</v>
      </c>
      <c r="AU585">
        <v>0</v>
      </c>
      <c r="AV585">
        <v>0</v>
      </c>
      <c r="AW585">
        <v>0</v>
      </c>
      <c r="AX585">
        <v>0</v>
      </c>
      <c r="AY585">
        <v>0</v>
      </c>
      <c r="AZ585" s="141">
        <f>COUNTIF(X585:AY585,"&lt;&gt;0")</f>
        <v>1</v>
      </c>
      <c r="BA585" s="141">
        <f>COUNTIF(X585:AN585,"&lt;&gt;0")</f>
        <v>1</v>
      </c>
      <c r="BB585">
        <f>COUNTIF(X585:AE585,"&lt;&gt;0")</f>
        <v>0</v>
      </c>
      <c r="BC585">
        <f>COUNTIF(AF585:AK585,"&lt;&gt;0")</f>
        <v>0</v>
      </c>
      <c r="BD585">
        <f>COUNTIF(AL585:AN585,"&lt;&gt;0")</f>
        <v>1</v>
      </c>
      <c r="BE585">
        <f>COUNTIF(AU585:AY585,"&lt;&gt;0")</f>
        <v>0</v>
      </c>
      <c r="BF585">
        <f>COUNTIF(AO585:AT585,"&lt;&gt;0")</f>
        <v>0</v>
      </c>
      <c r="BG585" t="str" cm="1">
        <f t="array" ref="BG585">IF(BA585=1,INDEX($X$7:$AN$7,MATCH(TRUE,INDEX($X585:$AY585&lt;&gt;0,),0)),IF(BA585=0,INDEX($AO$7:$AY$7,MATCH(1,$AO585:$AY585,0)),IF(BH585="Multiple strategies","mixed drivers",IF(BH585="Supply chain","multiple supply","multiple silviculture"))))</f>
        <v>technologies/design switch</v>
      </c>
      <c r="BH585" s="2" t="str" cm="1">
        <f t="array" ref="BH585">IF(COUNTIF(BB585:BD585,"&lt;&gt;0")=1,INDEX($X$4:$AY$4,MATCH(TRUE,INDEX($X585:$AY585&lt;&gt;0,),0)),IF(COUNTIF(BB585:BD585,"&lt;&gt;0")=0,INDEX($AO$4:$AY$4,MATCH(1,$AO585:$AY585,0)),"Multiple strategies"))</f>
        <v>Technology</v>
      </c>
      <c r="BI585" s="142" t="s">
        <v>229</v>
      </c>
      <c r="BJ585" t="s">
        <v>933</v>
      </c>
      <c r="BK585" t="s">
        <v>5002</v>
      </c>
      <c r="BL585" t="s">
        <v>5003</v>
      </c>
      <c r="BM585">
        <v>0</v>
      </c>
      <c r="BN585">
        <v>0.14000000000000001</v>
      </c>
      <c r="BO585" t="str">
        <f>IFERROR(BN585/BM585,"")</f>
        <v/>
      </c>
      <c r="BP585">
        <f>BN585-BM585</f>
        <v>0.14000000000000001</v>
      </c>
      <c r="BQ585">
        <f>BP585</f>
        <v>0.14000000000000001</v>
      </c>
      <c r="BR585" t="s">
        <v>232</v>
      </c>
      <c r="BS585" t="s">
        <v>5004</v>
      </c>
      <c r="BT585" s="317" t="s">
        <v>5005</v>
      </c>
      <c r="BU585">
        <v>-45.5</v>
      </c>
      <c r="BV585">
        <f>BU585+81</f>
        <v>35.5</v>
      </c>
      <c r="BW585" s="144">
        <f>BV585/BU585</f>
        <v>-0.78021978021978022</v>
      </c>
      <c r="BX585">
        <f>BV585-BU585</f>
        <v>81</v>
      </c>
      <c r="BZ585">
        <f>BX585*10^-3</f>
        <v>8.1000000000000003E-2</v>
      </c>
      <c r="CA585">
        <f>IFERROR(BZ585/BQ585,"")</f>
        <v>0.57857142857142851</v>
      </c>
      <c r="CB585">
        <v>0</v>
      </c>
      <c r="CC585">
        <v>0</v>
      </c>
      <c r="CD585">
        <v>0</v>
      </c>
      <c r="CE585">
        <v>0</v>
      </c>
      <c r="CF585">
        <v>0</v>
      </c>
      <c r="CG585">
        <v>0</v>
      </c>
      <c r="CH585">
        <v>0</v>
      </c>
      <c r="CI585">
        <v>0</v>
      </c>
      <c r="CJ585">
        <v>0</v>
      </c>
      <c r="CK585">
        <v>0</v>
      </c>
      <c r="CL585">
        <v>0</v>
      </c>
      <c r="CM585">
        <v>0</v>
      </c>
      <c r="CN585">
        <v>0</v>
      </c>
      <c r="CO585">
        <v>0</v>
      </c>
      <c r="CP585" t="str">
        <f>IF($BN585&lt;$BM585,"refNeedCorrection","refOK")</f>
        <v>refOK</v>
      </c>
      <c r="CQ585">
        <f>IF($CP585="refOK",$BM585,$BN585)</f>
        <v>0</v>
      </c>
      <c r="CR585">
        <f>IF($CP585="refOK",$BN585,$BM585)</f>
        <v>0.14000000000000001</v>
      </c>
      <c r="CS585">
        <f>IF($CP585="refOK",$BQ585,-$BQ585)</f>
        <v>0.14000000000000001</v>
      </c>
      <c r="CT585">
        <f>IF(BI585="Roundwood",$CS585/2,$CS585)</f>
        <v>0.14000000000000001</v>
      </c>
      <c r="CU585">
        <f>IF($CP585="refOK",$BU585,$BV585)*IF($BR585="Emissions positive",-1,1)</f>
        <v>-45.5</v>
      </c>
      <c r="CV585">
        <f>IF($CP585="refOK",$BV585,$BU585)*IF($BR585="Emissions positive",-1,1)</f>
        <v>35.5</v>
      </c>
      <c r="CW585">
        <f>IF($CP585="refNeedCorrection",-BZ585,BZ585)*IF($BR585="Emissions positive",-1,1)</f>
        <v>8.1000000000000003E-2</v>
      </c>
      <c r="CX585">
        <f>IFERROR($CW585/$CS585,"")</f>
        <v>0.57857142857142851</v>
      </c>
      <c r="CY585">
        <f>IFERROR($CW585/$CS585,"")</f>
        <v>0.57857142857142851</v>
      </c>
      <c r="CZ585">
        <f>IFERROR($CW585/$CT585,"")</f>
        <v>0.57857142857142851</v>
      </c>
      <c r="DA585" s="2">
        <f>IFERROR((CV585-CU585)/ABS(CU585),"")</f>
        <v>1.7802197802197801</v>
      </c>
      <c r="DB585" s="1" t="s">
        <v>936</v>
      </c>
      <c r="DC585" s="317" t="str">
        <f>IF(OR($DB585="prd",$DB585="std",$DB585="cit"),"loc",IF(OR($DB585="eur",$DB585="reg",$DB585="coy"),"reg",$DB585))</f>
        <v>loc</v>
      </c>
      <c r="DD585" t="s">
        <v>264</v>
      </c>
      <c r="DG585">
        <v>50</v>
      </c>
      <c r="DH585" t="str">
        <f>IF(DG585=0,"0",IF(AND(DG585&gt;=1,DG585&lt;=30),"1-30",IF(AND(DG585&gt;30,DG585&lt;=70),"31-70",IF(AND(DG585&gt;70,DG585&lt;=100),"71-100",IF(DG585&gt;100,"+100")))))</f>
        <v>31-70</v>
      </c>
      <c r="DI585">
        <v>0</v>
      </c>
      <c r="DJ585">
        <v>0</v>
      </c>
      <c r="DK585">
        <v>0</v>
      </c>
      <c r="DL585">
        <v>1</v>
      </c>
      <c r="DM585">
        <v>0</v>
      </c>
      <c r="DN585">
        <f>SUM(DI585:DL585)</f>
        <v>1</v>
      </c>
      <c r="DO585" t="str">
        <f>IF(DN585=1,INDEX($DI$7:$DL$7,MATCH(1,$DI585:$DL585,0)),"mixedProduct")</f>
        <v>TimberInput</v>
      </c>
      <c r="DP585">
        <f>IF(DI585=1,DP$7,0)</f>
        <v>0</v>
      </c>
      <c r="DQ585">
        <f>IF(DJ585=1,DQ$7,0)</f>
        <v>0</v>
      </c>
      <c r="DR585">
        <f>IF(DK585=1,DR$7,0)</f>
        <v>0</v>
      </c>
      <c r="DS585" t="str">
        <f>IF(DL585=1,DS$7,0)</f>
        <v>Timber</v>
      </c>
      <c r="DT585">
        <v>1</v>
      </c>
      <c r="DU585">
        <v>0</v>
      </c>
      <c r="DV585">
        <v>0</v>
      </c>
      <c r="DW585">
        <v>0</v>
      </c>
      <c r="DX585">
        <v>0</v>
      </c>
      <c r="DY585">
        <f>SUM(DT585:DU585)</f>
        <v>1</v>
      </c>
      <c r="DZ585" s="143" t="str">
        <f>IF(DT585=1,"self-calculated DF",IF(DU585=1,"external DF used","explicit C balance"))</f>
        <v>self-calculated DF</v>
      </c>
      <c r="EA585" s="143">
        <v>0</v>
      </c>
      <c r="EB585" s="143">
        <v>0</v>
      </c>
      <c r="EC585" s="143">
        <v>0</v>
      </c>
      <c r="ED585" s="143">
        <v>0</v>
      </c>
      <c r="EE585" s="143">
        <v>1</v>
      </c>
      <c r="EF585" s="143">
        <v>1</v>
      </c>
      <c r="EG585" s="143">
        <v>0</v>
      </c>
      <c r="EH585" s="143">
        <v>1</v>
      </c>
      <c r="EI585" s="143">
        <v>0</v>
      </c>
      <c r="EJ585">
        <v>1</v>
      </c>
      <c r="EK585">
        <v>0</v>
      </c>
      <c r="EL585" s="143">
        <v>0</v>
      </c>
      <c r="EM585" s="143">
        <v>0</v>
      </c>
      <c r="EN585" s="2">
        <v>0</v>
      </c>
      <c r="EP585" t="str">
        <f>IF(AND(AND(AND(OR($EC585=1,$EB585=1),OR($EH585=1,$EF585=1)),SUM($EA585:$EE585,$EK585)&gt;=3),SUM($EF585:$EJ585)&gt;=2),"Whole sector approach","")</f>
        <v/>
      </c>
      <c r="EQ585" t="str">
        <f>IF(AND(AND(OR($EC585=1,$EB585=1),AND($EH585=0,$EF585=0)),SUM($EA585:$EE585,$EK585)&gt;=3),"Ecosystem approach","")</f>
        <v/>
      </c>
      <c r="ER585" s="2" t="str">
        <f>IF(AND(AND(AND($EC585=0,$EB585=0),OR($EH585=1,$EF585=1)),SUM($EG585:$EJ585)&gt;=2),"Technology approach","")</f>
        <v>Technology approach</v>
      </c>
      <c r="ES585" t="str">
        <f>IF(AND($EC585+$EB585+$EE585+$EA585+$ED585+$EG585=0,$N585="included"),"C neutral forest and HWP assumption","")</f>
        <v/>
      </c>
      <c r="ET585" t="str">
        <f>IF(AND(AND(AND(AND($EC585=1,$EB585+$EA585+$EG585&gt;=1),$EF585=1),$EH585+$EI585+$ED585+$EE585&gt;=2),$N585="included"),"All C pools assumption","")</f>
        <v/>
      </c>
      <c r="EU585" t="str">
        <f>IF(AND($ED585+$EE585+$EI585+$EH585+$EF585=0,$N585="included"),"In-situ only assumption","")</f>
        <v/>
      </c>
      <c r="EV585" s="328" t="s">
        <v>5065</v>
      </c>
      <c r="EY585" t="str">
        <f>IF(ISNUMBER(BW585),IF(ABS(BW585-[4]QC_indicators!$B$2)&gt;3*[4]QC_indicators!$C$2,"C ratio",IF(ISNUMBER(CA585),IF(ABS(CA585-[4]QC_indicators!$B$1)&gt;3*[4]QC_indicators!$C$1,"DF","no"))),IF(ISNUMBER(CA585),IF(ABS(CA585-[4]QC_indicators!$B$1)&gt;3*[4]QC_indicators!$C$1,"DF","no")))</f>
        <v>no</v>
      </c>
      <c r="FA585" t="str">
        <f>IF(LEN($CY585)=0,"",IF(AND($CY585&lt;(-0.05),$ES585="C neutral forest and HWP assumption"),"Cneutral paradox",IF(AND($CY585&gt;0.05,$EU585="In-situ only assumption"),"In-situ only paradox","")))</f>
        <v/>
      </c>
      <c r="FD585" t="s">
        <v>5006</v>
      </c>
    </row>
    <row r="586" spans="1:160" ht="15" hidden="1" customHeight="1">
      <c r="D586" t="s">
        <v>927</v>
      </c>
      <c r="E586" t="s">
        <v>928</v>
      </c>
      <c r="G586" t="s">
        <v>929</v>
      </c>
      <c r="I586">
        <v>2002</v>
      </c>
      <c r="K586" s="288" t="s">
        <v>930</v>
      </c>
      <c r="M586" t="str">
        <f>LEFT($D586,FIND(",",$D586)-1)&amp;"_"&amp;I586&amp;L586</f>
        <v>Petersen_2002</v>
      </c>
      <c r="N586" t="s">
        <v>222</v>
      </c>
      <c r="O586" s="171" t="s">
        <v>508</v>
      </c>
      <c r="P586" s="141" t="s">
        <v>225</v>
      </c>
      <c r="Q586" s="317" t="s">
        <v>389</v>
      </c>
      <c r="R586" s="318" t="s">
        <v>1029</v>
      </c>
      <c r="S586" s="320" t="s">
        <v>5000</v>
      </c>
      <c r="T586" s="317" t="s">
        <v>5001</v>
      </c>
      <c r="U586" s="317" t="s">
        <v>1422</v>
      </c>
      <c r="V586" s="253">
        <v>0</v>
      </c>
      <c r="W586" s="253">
        <v>0</v>
      </c>
      <c r="X586">
        <v>0</v>
      </c>
      <c r="Y586">
        <v>0</v>
      </c>
      <c r="Z586">
        <v>0</v>
      </c>
      <c r="AA586">
        <v>0</v>
      </c>
      <c r="AB586">
        <v>0</v>
      </c>
      <c r="AC586">
        <v>0</v>
      </c>
      <c r="AD586">
        <v>0</v>
      </c>
      <c r="AE586">
        <v>0</v>
      </c>
      <c r="AF586">
        <v>0</v>
      </c>
      <c r="AG586">
        <v>0</v>
      </c>
      <c r="AH586">
        <v>0</v>
      </c>
      <c r="AI586">
        <v>0</v>
      </c>
      <c r="AJ586">
        <v>0</v>
      </c>
      <c r="AK586">
        <v>0</v>
      </c>
      <c r="AL586">
        <v>0</v>
      </c>
      <c r="AM586">
        <v>1</v>
      </c>
      <c r="AN586">
        <v>0</v>
      </c>
      <c r="AO586">
        <v>0</v>
      </c>
      <c r="AP586">
        <v>0</v>
      </c>
      <c r="AQ586">
        <v>0</v>
      </c>
      <c r="AR586">
        <v>0</v>
      </c>
      <c r="AS586">
        <v>0</v>
      </c>
      <c r="AT586">
        <v>0</v>
      </c>
      <c r="AU586">
        <v>0</v>
      </c>
      <c r="AV586">
        <v>0</v>
      </c>
      <c r="AW586">
        <v>0</v>
      </c>
      <c r="AX586">
        <v>0</v>
      </c>
      <c r="AY586">
        <v>0</v>
      </c>
      <c r="AZ586" s="141">
        <f>COUNTIF(X586:AY586,"&lt;&gt;0")</f>
        <v>1</v>
      </c>
      <c r="BA586" s="141">
        <f>COUNTIF(X586:AN586,"&lt;&gt;0")</f>
        <v>1</v>
      </c>
      <c r="BB586">
        <f>COUNTIF(X586:AE586,"&lt;&gt;0")</f>
        <v>0</v>
      </c>
      <c r="BC586">
        <f>COUNTIF(AF586:AK586,"&lt;&gt;0")</f>
        <v>0</v>
      </c>
      <c r="BD586">
        <f>COUNTIF(AL586:AN586,"&lt;&gt;0")</f>
        <v>1</v>
      </c>
      <c r="BE586">
        <f>COUNTIF(AU586:AY586,"&lt;&gt;0")</f>
        <v>0</v>
      </c>
      <c r="BF586">
        <f>COUNTIF(AO586:AT586,"&lt;&gt;0")</f>
        <v>0</v>
      </c>
      <c r="BG586" t="str" cm="1">
        <f t="array" ref="BG586">IF(BA586=1,INDEX($X$7:$AN$7,MATCH(TRUE,INDEX($X586:$AY586&lt;&gt;0,),0)),IF(BA586=0,INDEX($AO$7:$AY$7,MATCH(1,$AO586:$AY586,0)),IF(BH586="Multiple strategies","mixed drivers",IF(BH586="Supply chain","multiple supply","multiple silviculture"))))</f>
        <v>technologies/design switch</v>
      </c>
      <c r="BH586" s="2" t="str" cm="1">
        <f t="array" ref="BH586">IF(COUNTIF(BB586:BD586,"&lt;&gt;0")=1,INDEX($X$4:$AY$4,MATCH(TRUE,INDEX($X586:$AY586&lt;&gt;0,),0)),IF(COUNTIF(BB586:BD586,"&lt;&gt;0")=0,INDEX($AO$4:$AY$4,MATCH(1,$AO586:$AY586,0)),"Multiple strategies"))</f>
        <v>Technology</v>
      </c>
      <c r="BI586" s="142" t="s">
        <v>229</v>
      </c>
      <c r="BJ586" t="s">
        <v>933</v>
      </c>
      <c r="BK586" t="s">
        <v>5002</v>
      </c>
      <c r="BL586" t="s">
        <v>5003</v>
      </c>
      <c r="BM586">
        <v>0</v>
      </c>
      <c r="BN586">
        <v>0.14000000000000001</v>
      </c>
      <c r="BO586" t="str">
        <f>IFERROR(BN586/BM586,"")</f>
        <v/>
      </c>
      <c r="BP586">
        <f>BN586-BM586</f>
        <v>0.14000000000000001</v>
      </c>
      <c r="BQ586">
        <f>BP586</f>
        <v>0.14000000000000001</v>
      </c>
      <c r="BR586" t="s">
        <v>232</v>
      </c>
      <c r="BS586" t="s">
        <v>5004</v>
      </c>
      <c r="BT586" s="317" t="s">
        <v>5005</v>
      </c>
      <c r="BU586">
        <v>-45.5</v>
      </c>
      <c r="BV586">
        <f>BU586+70</f>
        <v>24.5</v>
      </c>
      <c r="BW586" s="144">
        <f>BV586/BU586</f>
        <v>-0.53846153846153844</v>
      </c>
      <c r="BX586">
        <f>BV586-BU586</f>
        <v>70</v>
      </c>
      <c r="BZ586">
        <f>BX586*10^-3</f>
        <v>7.0000000000000007E-2</v>
      </c>
      <c r="CA586">
        <f>IFERROR(BZ586/BQ586,"")</f>
        <v>0.5</v>
      </c>
      <c r="CB586">
        <v>0</v>
      </c>
      <c r="CC586">
        <v>0</v>
      </c>
      <c r="CD586">
        <v>0</v>
      </c>
      <c r="CE586">
        <v>0</v>
      </c>
      <c r="CF586">
        <v>0</v>
      </c>
      <c r="CG586">
        <v>0</v>
      </c>
      <c r="CH586">
        <v>0</v>
      </c>
      <c r="CI586">
        <v>0</v>
      </c>
      <c r="CJ586">
        <v>0</v>
      </c>
      <c r="CK586">
        <v>0</v>
      </c>
      <c r="CL586">
        <v>0</v>
      </c>
      <c r="CM586">
        <v>0</v>
      </c>
      <c r="CN586">
        <v>0</v>
      </c>
      <c r="CO586">
        <v>0</v>
      </c>
      <c r="CP586" t="str">
        <f>IF($BN586&lt;$BM586,"refNeedCorrection","refOK")</f>
        <v>refOK</v>
      </c>
      <c r="CQ586">
        <f>IF($CP586="refOK",$BM586,$BN586)</f>
        <v>0</v>
      </c>
      <c r="CR586">
        <f>IF($CP586="refOK",$BN586,$BM586)</f>
        <v>0.14000000000000001</v>
      </c>
      <c r="CS586">
        <f>IF($CP586="refOK",$BQ586,-$BQ586)</f>
        <v>0.14000000000000001</v>
      </c>
      <c r="CT586">
        <f>IF(BI586="Roundwood",$CS586/2,$CS586)</f>
        <v>0.14000000000000001</v>
      </c>
      <c r="CU586">
        <f>IF($CP586="refOK",$BU586,$BV586)*IF($BR586="Emissions positive",-1,1)</f>
        <v>-45.5</v>
      </c>
      <c r="CV586">
        <f>IF($CP586="refOK",$BV586,$BU586)*IF($BR586="Emissions positive",-1,1)</f>
        <v>24.5</v>
      </c>
      <c r="CW586">
        <f>IF($CP586="refNeedCorrection",-BZ586,BZ586)*IF($BR586="Emissions positive",-1,1)</f>
        <v>7.0000000000000007E-2</v>
      </c>
      <c r="CX586">
        <f>IFERROR($CW586/$CS586,"")</f>
        <v>0.5</v>
      </c>
      <c r="CY586">
        <f>IFERROR($CW586/$CS586,"")</f>
        <v>0.5</v>
      </c>
      <c r="CZ586">
        <f>IFERROR($CW586/$CT586,"")</f>
        <v>0.5</v>
      </c>
      <c r="DA586" s="2">
        <f>IFERROR((CV586-CU586)/ABS(CU586),"")</f>
        <v>1.5384615384615385</v>
      </c>
      <c r="DB586" s="1" t="s">
        <v>936</v>
      </c>
      <c r="DC586" s="317" t="str">
        <f>IF(OR($DB586="prd",$DB586="std",$DB586="cit"),"loc",IF(OR($DB586="eur",$DB586="reg",$DB586="coy"),"reg",$DB586))</f>
        <v>loc</v>
      </c>
      <c r="DD586" t="s">
        <v>264</v>
      </c>
      <c r="DG586">
        <v>50</v>
      </c>
      <c r="DH586" t="str">
        <f>IF(DG586=0,"0",IF(AND(DG586&gt;=1,DG586&lt;=30),"1-30",IF(AND(DG586&gt;30,DG586&lt;=70),"31-70",IF(AND(DG586&gt;70,DG586&lt;=100),"71-100",IF(DG586&gt;100,"+100")))))</f>
        <v>31-70</v>
      </c>
      <c r="DI586">
        <v>0</v>
      </c>
      <c r="DJ586">
        <v>0</v>
      </c>
      <c r="DK586">
        <v>0</v>
      </c>
      <c r="DL586">
        <v>1</v>
      </c>
      <c r="DM586">
        <v>0</v>
      </c>
      <c r="DN586">
        <f>SUM(DI586:DL586)</f>
        <v>1</v>
      </c>
      <c r="DO586" t="str">
        <f>IF(DN586=1,INDEX($DI$7:$DL$7,MATCH(1,$DI586:$DL586,0)),"mixedProduct")</f>
        <v>TimberInput</v>
      </c>
      <c r="DP586">
        <f>IF(DI586=1,DP$7,0)</f>
        <v>0</v>
      </c>
      <c r="DQ586">
        <f>IF(DJ586=1,DQ$7,0)</f>
        <v>0</v>
      </c>
      <c r="DR586">
        <f>IF(DK586=1,DR$7,0)</f>
        <v>0</v>
      </c>
      <c r="DS586" t="str">
        <f>IF(DL586=1,DS$7,0)</f>
        <v>Timber</v>
      </c>
      <c r="DT586">
        <v>1</v>
      </c>
      <c r="DU586">
        <v>0</v>
      </c>
      <c r="DV586">
        <v>0</v>
      </c>
      <c r="DW586">
        <v>0</v>
      </c>
      <c r="DX586">
        <v>0</v>
      </c>
      <c r="DY586">
        <f>SUM(DT586:DU586)</f>
        <v>1</v>
      </c>
      <c r="DZ586" s="143" t="str">
        <f>IF(DT586=1,"self-calculated DF",IF(DU586=1,"external DF used","explicit C balance"))</f>
        <v>self-calculated DF</v>
      </c>
      <c r="EA586" s="143">
        <v>0</v>
      </c>
      <c r="EB586" s="143">
        <v>0</v>
      </c>
      <c r="EC586" s="143">
        <v>0</v>
      </c>
      <c r="ED586" s="143">
        <v>0</v>
      </c>
      <c r="EE586" s="143">
        <v>1</v>
      </c>
      <c r="EF586" s="143">
        <v>1</v>
      </c>
      <c r="EG586" s="143">
        <v>0</v>
      </c>
      <c r="EH586" s="143">
        <v>1</v>
      </c>
      <c r="EI586" s="143">
        <v>0</v>
      </c>
      <c r="EJ586">
        <v>1</v>
      </c>
      <c r="EK586">
        <v>0</v>
      </c>
      <c r="EL586" s="143">
        <v>0</v>
      </c>
      <c r="EM586" s="143">
        <v>0</v>
      </c>
      <c r="EN586" s="2">
        <v>0</v>
      </c>
      <c r="EP586" t="str">
        <f>IF(AND(AND(AND(OR($EC586=1,$EB586=1),OR($EH586=1,$EF586=1)),SUM($EA586:$EE586,$EK586)&gt;=3),SUM($EF586:$EJ586)&gt;=2),"Whole sector approach","")</f>
        <v/>
      </c>
      <c r="EQ586" t="str">
        <f>IF(AND(AND(OR($EC586=1,$EB586=1),AND($EH586=0,$EF586=0)),SUM($EA586:$EE586,$EK586)&gt;=3),"Ecosystem approach","")</f>
        <v/>
      </c>
      <c r="ER586" s="2" t="str">
        <f>IF(AND(AND(AND($EC586=0,$EB586=0),OR($EH586=1,$EF586=1)),SUM($EG586:$EJ586)&gt;=2),"Technology approach","")</f>
        <v>Technology approach</v>
      </c>
      <c r="ES586" t="str">
        <f>IF(AND($EC586+$EB586+$EE586+$EA586+$ED586+$EG586=0,$N586="included"),"C neutral forest and HWP assumption","")</f>
        <v/>
      </c>
      <c r="ET586" t="str">
        <f>IF(AND(AND(AND(AND($EC586=1,$EB586+$EA586+$EG586&gt;=1),$EF586=1),$EH586+$EI586+$ED586+$EE586&gt;=2),$N586="included"),"All C pools assumption","")</f>
        <v/>
      </c>
      <c r="EU586" t="str">
        <f>IF(AND($ED586+$EE586+$EI586+$EH586+$EF586=0,$N586="included"),"In-situ only assumption","")</f>
        <v/>
      </c>
      <c r="EV586" s="328" t="s">
        <v>5065</v>
      </c>
      <c r="EY586" t="str">
        <f>IF(ISNUMBER(BW586),IF(ABS(BW586-[4]QC_indicators!$B$2)&gt;3*[4]QC_indicators!$C$2,"C ratio",IF(ISNUMBER(CA586),IF(ABS(CA586-[4]QC_indicators!$B$1)&gt;3*[4]QC_indicators!$C$1,"DF","no"))),IF(ISNUMBER(CA586),IF(ABS(CA586-[4]QC_indicators!$B$1)&gt;3*[4]QC_indicators!$C$1,"DF","no")))</f>
        <v>no</v>
      </c>
      <c r="FA586" t="str">
        <f>IF(LEN($CY586)=0,"",IF(AND($CY586&lt;(-0.05),$ES586="C neutral forest and HWP assumption"),"Cneutral paradox",IF(AND($CY586&gt;0.05,$EU586="In-situ only assumption"),"In-situ only paradox","")))</f>
        <v/>
      </c>
      <c r="FD586" t="s">
        <v>5006</v>
      </c>
    </row>
    <row r="587" spans="1:160" ht="15" hidden="1" customHeight="1">
      <c r="D587" t="s">
        <v>927</v>
      </c>
      <c r="E587" t="s">
        <v>928</v>
      </c>
      <c r="G587" t="s">
        <v>929</v>
      </c>
      <c r="I587">
        <v>2002</v>
      </c>
      <c r="K587" s="288" t="s">
        <v>930</v>
      </c>
      <c r="M587" t="str">
        <f>LEFT($D587,FIND(",",$D587)-1)&amp;"_"&amp;I587&amp;L587</f>
        <v>Petersen_2002</v>
      </c>
      <c r="N587" t="s">
        <v>222</v>
      </c>
      <c r="O587" s="171" t="s">
        <v>508</v>
      </c>
      <c r="P587" s="141" t="s">
        <v>225</v>
      </c>
      <c r="Q587" s="317" t="s">
        <v>389</v>
      </c>
      <c r="R587" s="318" t="s">
        <v>1029</v>
      </c>
      <c r="S587" s="320" t="s">
        <v>5000</v>
      </c>
      <c r="T587" s="317" t="s">
        <v>5001</v>
      </c>
      <c r="U587" s="317" t="s">
        <v>932</v>
      </c>
      <c r="V587" s="253">
        <v>0</v>
      </c>
      <c r="W587" s="253">
        <v>0</v>
      </c>
      <c r="X587">
        <v>0</v>
      </c>
      <c r="Y587">
        <v>0</v>
      </c>
      <c r="Z587">
        <v>0</v>
      </c>
      <c r="AA587">
        <v>0</v>
      </c>
      <c r="AB587">
        <v>0</v>
      </c>
      <c r="AC587">
        <v>0</v>
      </c>
      <c r="AD587">
        <v>0</v>
      </c>
      <c r="AE587">
        <v>0</v>
      </c>
      <c r="AF587">
        <v>0</v>
      </c>
      <c r="AG587">
        <v>0</v>
      </c>
      <c r="AH587">
        <v>0</v>
      </c>
      <c r="AI587">
        <v>0</v>
      </c>
      <c r="AJ587">
        <v>0</v>
      </c>
      <c r="AK587">
        <v>0</v>
      </c>
      <c r="AL587">
        <v>0</v>
      </c>
      <c r="AM587">
        <v>1</v>
      </c>
      <c r="AN587">
        <v>0</v>
      </c>
      <c r="AO587">
        <v>0</v>
      </c>
      <c r="AP587">
        <v>0</v>
      </c>
      <c r="AQ587">
        <v>0</v>
      </c>
      <c r="AR587">
        <v>0</v>
      </c>
      <c r="AS587">
        <v>0</v>
      </c>
      <c r="AT587">
        <v>0</v>
      </c>
      <c r="AU587">
        <v>0</v>
      </c>
      <c r="AV587">
        <v>0</v>
      </c>
      <c r="AW587">
        <v>0</v>
      </c>
      <c r="AX587">
        <v>0</v>
      </c>
      <c r="AY587">
        <v>0</v>
      </c>
      <c r="AZ587" s="141">
        <f>COUNTIF(X587:AY587,"&lt;&gt;0")</f>
        <v>1</v>
      </c>
      <c r="BA587" s="141">
        <f>COUNTIF(X587:AN587,"&lt;&gt;0")</f>
        <v>1</v>
      </c>
      <c r="BB587">
        <f>COUNTIF(X587:AE587,"&lt;&gt;0")</f>
        <v>0</v>
      </c>
      <c r="BC587">
        <f>COUNTIF(AF587:AK587,"&lt;&gt;0")</f>
        <v>0</v>
      </c>
      <c r="BD587">
        <f>COUNTIF(AL587:AN587,"&lt;&gt;0")</f>
        <v>1</v>
      </c>
      <c r="BE587">
        <f>COUNTIF(AU587:AY587,"&lt;&gt;0")</f>
        <v>0</v>
      </c>
      <c r="BF587">
        <f>COUNTIF(AO587:AT587,"&lt;&gt;0")</f>
        <v>0</v>
      </c>
      <c r="BG587" t="str" cm="1">
        <f t="array" ref="BG587">IF(BA587=1,INDEX($X$7:$AN$7,MATCH(TRUE,INDEX($X587:$AY587&lt;&gt;0,),0)),IF(BA587=0,INDEX($AO$7:$AY$7,MATCH(1,$AO587:$AY587,0)),IF(BH587="Multiple strategies","mixed drivers",IF(BH587="Supply chain","multiple supply","multiple silviculture"))))</f>
        <v>technologies/design switch</v>
      </c>
      <c r="BH587" s="2" t="str" cm="1">
        <f t="array" ref="BH587">IF(COUNTIF(BB587:BD587,"&lt;&gt;0")=1,INDEX($X$4:$AY$4,MATCH(TRUE,INDEX($X587:$AY587&lt;&gt;0,),0)),IF(COUNTIF(BB587:BD587,"&lt;&gt;0")=0,INDEX($AO$4:$AY$4,MATCH(1,$AO587:$AY587,0)),"Multiple strategies"))</f>
        <v>Technology</v>
      </c>
      <c r="BI587" s="142" t="s">
        <v>229</v>
      </c>
      <c r="BJ587" t="s">
        <v>933</v>
      </c>
      <c r="BK587" t="s">
        <v>5002</v>
      </c>
      <c r="BL587" t="s">
        <v>5003</v>
      </c>
      <c r="BM587">
        <v>0</v>
      </c>
      <c r="BN587">
        <v>0.14000000000000001</v>
      </c>
      <c r="BO587" t="str">
        <f>IFERROR(BN587/BM587,"")</f>
        <v/>
      </c>
      <c r="BP587">
        <f>BN587-BM587</f>
        <v>0.14000000000000001</v>
      </c>
      <c r="BQ587">
        <f>BP587</f>
        <v>0.14000000000000001</v>
      </c>
      <c r="BR587" t="s">
        <v>232</v>
      </c>
      <c r="BS587" t="s">
        <v>5004</v>
      </c>
      <c r="BT587" s="317" t="s">
        <v>5005</v>
      </c>
      <c r="BU587">
        <v>-45.5</v>
      </c>
      <c r="BV587">
        <f>BU587+61</f>
        <v>15.5</v>
      </c>
      <c r="BW587" s="144">
        <f>BV587/BU587</f>
        <v>-0.34065934065934067</v>
      </c>
      <c r="BX587">
        <f>BV587-BU587</f>
        <v>61</v>
      </c>
      <c r="BZ587">
        <f>BX587*10^-3</f>
        <v>6.0999999999999999E-2</v>
      </c>
      <c r="CA587">
        <f>IFERROR(BZ587/BQ587,"")</f>
        <v>0.43571428571428567</v>
      </c>
      <c r="CB587">
        <v>0</v>
      </c>
      <c r="CC587">
        <v>0</v>
      </c>
      <c r="CD587">
        <v>0</v>
      </c>
      <c r="CE587">
        <v>0</v>
      </c>
      <c r="CF587">
        <v>0</v>
      </c>
      <c r="CG587">
        <v>0</v>
      </c>
      <c r="CH587">
        <v>0</v>
      </c>
      <c r="CI587">
        <v>0</v>
      </c>
      <c r="CJ587">
        <v>0</v>
      </c>
      <c r="CK587">
        <v>0</v>
      </c>
      <c r="CL587">
        <v>0</v>
      </c>
      <c r="CM587">
        <v>0</v>
      </c>
      <c r="CN587">
        <v>0</v>
      </c>
      <c r="CO587">
        <v>0</v>
      </c>
      <c r="CP587" t="str">
        <f>IF($BN587&lt;$BM587,"refNeedCorrection","refOK")</f>
        <v>refOK</v>
      </c>
      <c r="CQ587">
        <f>IF($CP587="refOK",$BM587,$BN587)</f>
        <v>0</v>
      </c>
      <c r="CR587">
        <f>IF($CP587="refOK",$BN587,$BM587)</f>
        <v>0.14000000000000001</v>
      </c>
      <c r="CS587">
        <f>IF($CP587="refOK",$BQ587,-$BQ587)</f>
        <v>0.14000000000000001</v>
      </c>
      <c r="CT587">
        <f>IF(BI587="Roundwood",$CS587/2,$CS587)</f>
        <v>0.14000000000000001</v>
      </c>
      <c r="CU587">
        <f>IF($CP587="refOK",$BU587,$BV587)*IF($BR587="Emissions positive",-1,1)</f>
        <v>-45.5</v>
      </c>
      <c r="CV587">
        <f>IF($CP587="refOK",$BV587,$BU587)*IF($BR587="Emissions positive",-1,1)</f>
        <v>15.5</v>
      </c>
      <c r="CW587">
        <f>IF($CP587="refNeedCorrection",-BZ587,BZ587)*IF($BR587="Emissions positive",-1,1)</f>
        <v>6.0999999999999999E-2</v>
      </c>
      <c r="CX587">
        <f>IFERROR($CW587/$CS587,"")</f>
        <v>0.43571428571428567</v>
      </c>
      <c r="CY587">
        <f>IFERROR($CW587/$CS587,"")</f>
        <v>0.43571428571428567</v>
      </c>
      <c r="CZ587">
        <f>IFERROR($CW587/$CT587,"")</f>
        <v>0.43571428571428567</v>
      </c>
      <c r="DA587" s="2">
        <f>IFERROR((CV587-CU587)/ABS(CU587),"")</f>
        <v>1.3406593406593406</v>
      </c>
      <c r="DB587" s="1" t="s">
        <v>936</v>
      </c>
      <c r="DC587" s="317" t="str">
        <f>IF(OR($DB587="prd",$DB587="std",$DB587="cit"),"loc",IF(OR($DB587="eur",$DB587="reg",$DB587="coy"),"reg",$DB587))</f>
        <v>loc</v>
      </c>
      <c r="DD587" t="s">
        <v>264</v>
      </c>
      <c r="DG587">
        <v>50</v>
      </c>
      <c r="DH587" t="str">
        <f>IF(DG587=0,"0",IF(AND(DG587&gt;=1,DG587&lt;=30),"1-30",IF(AND(DG587&gt;30,DG587&lt;=70),"31-70",IF(AND(DG587&gt;70,DG587&lt;=100),"71-100",IF(DG587&gt;100,"+100")))))</f>
        <v>31-70</v>
      </c>
      <c r="DI587">
        <v>0</v>
      </c>
      <c r="DJ587">
        <v>0</v>
      </c>
      <c r="DK587">
        <v>0</v>
      </c>
      <c r="DL587">
        <v>1</v>
      </c>
      <c r="DM587">
        <v>0</v>
      </c>
      <c r="DN587">
        <f>SUM(DI587:DL587)</f>
        <v>1</v>
      </c>
      <c r="DO587" t="str">
        <f>IF(DN587=1,INDEX($DI$7:$DL$7,MATCH(1,$DI587:$DL587,0)),"mixedProduct")</f>
        <v>TimberInput</v>
      </c>
      <c r="DP587">
        <f>IF(DI587=1,DP$7,0)</f>
        <v>0</v>
      </c>
      <c r="DQ587">
        <f>IF(DJ587=1,DQ$7,0)</f>
        <v>0</v>
      </c>
      <c r="DR587">
        <f>IF(DK587=1,DR$7,0)</f>
        <v>0</v>
      </c>
      <c r="DS587" t="str">
        <f>IF(DL587=1,DS$7,0)</f>
        <v>Timber</v>
      </c>
      <c r="DT587">
        <v>1</v>
      </c>
      <c r="DU587">
        <v>0</v>
      </c>
      <c r="DV587">
        <v>0</v>
      </c>
      <c r="DW587">
        <v>0</v>
      </c>
      <c r="DX587">
        <v>0</v>
      </c>
      <c r="DY587">
        <f>SUM(DT587:DU587)</f>
        <v>1</v>
      </c>
      <c r="DZ587" s="143" t="str">
        <f>IF(DT587=1,"self-calculated DF",IF(DU587=1,"external DF used","explicit C balance"))</f>
        <v>self-calculated DF</v>
      </c>
      <c r="EA587" s="143">
        <v>0</v>
      </c>
      <c r="EB587" s="143">
        <v>0</v>
      </c>
      <c r="EC587" s="143">
        <v>0</v>
      </c>
      <c r="ED587" s="143">
        <v>0</v>
      </c>
      <c r="EE587" s="143">
        <v>1</v>
      </c>
      <c r="EF587" s="143">
        <v>1</v>
      </c>
      <c r="EG587" s="143">
        <v>0</v>
      </c>
      <c r="EH587" s="143">
        <v>1</v>
      </c>
      <c r="EI587" s="143">
        <v>0</v>
      </c>
      <c r="EJ587">
        <v>1</v>
      </c>
      <c r="EK587">
        <v>0</v>
      </c>
      <c r="EL587" s="143">
        <v>0</v>
      </c>
      <c r="EM587" s="143">
        <v>0</v>
      </c>
      <c r="EN587" s="2">
        <v>0</v>
      </c>
      <c r="EP587" t="str">
        <f>IF(AND(AND(AND(OR($EC587=1,$EB587=1),OR($EH587=1,$EF587=1)),SUM($EA587:$EE587,$EK587)&gt;=3),SUM($EF587:$EJ587)&gt;=2),"Whole sector approach","")</f>
        <v/>
      </c>
      <c r="EQ587" t="str">
        <f>IF(AND(AND(OR($EC587=1,$EB587=1),AND($EH587=0,$EF587=0)),SUM($EA587:$EE587,$EK587)&gt;=3),"Ecosystem approach","")</f>
        <v/>
      </c>
      <c r="ER587" s="2" t="str">
        <f>IF(AND(AND(AND($EC587=0,$EB587=0),OR($EH587=1,$EF587=1)),SUM($EG587:$EJ587)&gt;=2),"Technology approach","")</f>
        <v>Technology approach</v>
      </c>
      <c r="ES587" t="str">
        <f>IF(AND($EC587+$EB587+$EE587+$EA587+$ED587+$EG587=0,$N587="included"),"C neutral forest and HWP assumption","")</f>
        <v/>
      </c>
      <c r="ET587" t="str">
        <f>IF(AND(AND(AND(AND($EC587=1,$EB587+$EA587+$EG587&gt;=1),$EF587=1),$EH587+$EI587+$ED587+$EE587&gt;=2),$N587="included"),"All C pools assumption","")</f>
        <v/>
      </c>
      <c r="EU587" t="str">
        <f>IF(AND($ED587+$EE587+$EI587+$EH587+$EF587=0,$N587="included"),"In-situ only assumption","")</f>
        <v/>
      </c>
      <c r="EV587" s="328" t="s">
        <v>5065</v>
      </c>
      <c r="EY587" t="str">
        <f>IF(ISNUMBER(BW587),IF(ABS(BW587-[4]QC_indicators!$B$2)&gt;3*[4]QC_indicators!$C$2,"C ratio",IF(ISNUMBER(CA587),IF(ABS(CA587-[4]QC_indicators!$B$1)&gt;3*[4]QC_indicators!$C$1,"DF","no"))),IF(ISNUMBER(CA587),IF(ABS(CA587-[4]QC_indicators!$B$1)&gt;3*[4]QC_indicators!$C$1,"DF","no")))</f>
        <v>no</v>
      </c>
      <c r="FA587" t="str">
        <f>IF(LEN($CY587)=0,"",IF(AND($CY587&lt;(-0.05),$ES587="C neutral forest and HWP assumption"),"Cneutral paradox",IF(AND($CY587&gt;0.05,$EU587="In-situ only assumption"),"In-situ only paradox","")))</f>
        <v/>
      </c>
      <c r="FD587" t="s">
        <v>5006</v>
      </c>
    </row>
    <row r="588" spans="1:160" ht="15" hidden="1" customHeight="1">
      <c r="D588" t="s">
        <v>927</v>
      </c>
      <c r="E588" t="s">
        <v>928</v>
      </c>
      <c r="G588" t="s">
        <v>929</v>
      </c>
      <c r="I588">
        <v>2002</v>
      </c>
      <c r="K588" s="288" t="s">
        <v>930</v>
      </c>
      <c r="M588" t="str">
        <f>LEFT($D588,FIND(",",$D588)-1)&amp;"_"&amp;I588&amp;L588</f>
        <v>Petersen_2002</v>
      </c>
      <c r="N588" t="s">
        <v>222</v>
      </c>
      <c r="O588" s="171" t="s">
        <v>508</v>
      </c>
      <c r="P588" s="141" t="s">
        <v>225</v>
      </c>
      <c r="Q588" s="317" t="s">
        <v>389</v>
      </c>
      <c r="R588" s="318" t="s">
        <v>1029</v>
      </c>
      <c r="S588" s="320" t="s">
        <v>5000</v>
      </c>
      <c r="T588" s="317" t="s">
        <v>5001</v>
      </c>
      <c r="U588" s="317" t="s">
        <v>931</v>
      </c>
      <c r="V588" s="253">
        <v>0</v>
      </c>
      <c r="W588" s="253">
        <v>0</v>
      </c>
      <c r="X588">
        <v>0</v>
      </c>
      <c r="Y588">
        <v>0</v>
      </c>
      <c r="Z588">
        <v>0</v>
      </c>
      <c r="AA588">
        <v>0</v>
      </c>
      <c r="AB588">
        <v>0</v>
      </c>
      <c r="AC588">
        <v>0</v>
      </c>
      <c r="AD588">
        <v>0</v>
      </c>
      <c r="AE588">
        <v>0</v>
      </c>
      <c r="AF588">
        <v>0</v>
      </c>
      <c r="AG588">
        <v>0</v>
      </c>
      <c r="AH588">
        <v>0</v>
      </c>
      <c r="AI588">
        <v>0</v>
      </c>
      <c r="AJ588">
        <v>0</v>
      </c>
      <c r="AK588">
        <v>0</v>
      </c>
      <c r="AL588">
        <v>0</v>
      </c>
      <c r="AM588">
        <v>1</v>
      </c>
      <c r="AN588">
        <v>0</v>
      </c>
      <c r="AO588">
        <v>0</v>
      </c>
      <c r="AP588">
        <v>0</v>
      </c>
      <c r="AQ588">
        <v>0</v>
      </c>
      <c r="AR588">
        <v>0</v>
      </c>
      <c r="AS588">
        <v>0</v>
      </c>
      <c r="AT588">
        <v>0</v>
      </c>
      <c r="AU588">
        <v>0</v>
      </c>
      <c r="AV588">
        <v>0</v>
      </c>
      <c r="AW588">
        <v>0</v>
      </c>
      <c r="AX588">
        <v>0</v>
      </c>
      <c r="AY588">
        <v>0</v>
      </c>
      <c r="AZ588" s="141">
        <f>COUNTIF(X588:AY588,"&lt;&gt;0")</f>
        <v>1</v>
      </c>
      <c r="BA588" s="141">
        <f>COUNTIF(X588:AN588,"&lt;&gt;0")</f>
        <v>1</v>
      </c>
      <c r="BB588">
        <f>COUNTIF(X588:AE588,"&lt;&gt;0")</f>
        <v>0</v>
      </c>
      <c r="BC588">
        <f>COUNTIF(AF588:AK588,"&lt;&gt;0")</f>
        <v>0</v>
      </c>
      <c r="BD588">
        <f>COUNTIF(AL588:AN588,"&lt;&gt;0")</f>
        <v>1</v>
      </c>
      <c r="BE588">
        <f>COUNTIF(AU588:AY588,"&lt;&gt;0")</f>
        <v>0</v>
      </c>
      <c r="BF588">
        <f>COUNTIF(AO588:AT588,"&lt;&gt;0")</f>
        <v>0</v>
      </c>
      <c r="BG588" t="str" cm="1">
        <f t="array" ref="BG588">IF(BA588=1,INDEX($X$7:$AN$7,MATCH(TRUE,INDEX($X588:$AY588&lt;&gt;0,),0)),IF(BA588=0,INDEX($AO$7:$AY$7,MATCH(1,$AO588:$AY588,0)),IF(BH588="Multiple strategies","mixed drivers",IF(BH588="Supply chain","multiple supply","multiple silviculture"))))</f>
        <v>technologies/design switch</v>
      </c>
      <c r="BH588" s="2" t="str" cm="1">
        <f t="array" ref="BH588">IF(COUNTIF(BB588:BD588,"&lt;&gt;0")=1,INDEX($X$4:$AY$4,MATCH(TRUE,INDEX($X588:$AY588&lt;&gt;0,),0)),IF(COUNTIF(BB588:BD588,"&lt;&gt;0")=0,INDEX($AO$4:$AY$4,MATCH(1,$AO588:$AY588,0)),"Multiple strategies"))</f>
        <v>Technology</v>
      </c>
      <c r="BI588" s="142" t="s">
        <v>229</v>
      </c>
      <c r="BJ588" t="s">
        <v>933</v>
      </c>
      <c r="BK588" t="s">
        <v>5002</v>
      </c>
      <c r="BL588" t="s">
        <v>5003</v>
      </c>
      <c r="BM588">
        <v>0</v>
      </c>
      <c r="BN588">
        <v>0.14000000000000001</v>
      </c>
      <c r="BO588" t="str">
        <f>IFERROR(BN588/BM588,"")</f>
        <v/>
      </c>
      <c r="BP588">
        <f>BN588-BM588</f>
        <v>0.14000000000000001</v>
      </c>
      <c r="BQ588">
        <f>BP588</f>
        <v>0.14000000000000001</v>
      </c>
      <c r="BR588" t="s">
        <v>232</v>
      </c>
      <c r="BS588" t="s">
        <v>5004</v>
      </c>
      <c r="BT588" s="317" t="s">
        <v>5005</v>
      </c>
      <c r="BU588">
        <v>-45.5</v>
      </c>
      <c r="BV588">
        <f>BU588+57</f>
        <v>11.5</v>
      </c>
      <c r="BW588" s="144">
        <f>BV588/BU588</f>
        <v>-0.25274725274725274</v>
      </c>
      <c r="BX588">
        <f>BV588-BU588</f>
        <v>57</v>
      </c>
      <c r="BZ588">
        <f>BX588*10^-3</f>
        <v>5.7000000000000002E-2</v>
      </c>
      <c r="CA588">
        <f>IFERROR(BZ588/BQ588,"")</f>
        <v>0.40714285714285714</v>
      </c>
      <c r="CB588">
        <v>0</v>
      </c>
      <c r="CC588">
        <v>0</v>
      </c>
      <c r="CD588">
        <v>0</v>
      </c>
      <c r="CE588">
        <v>0</v>
      </c>
      <c r="CF588">
        <v>0</v>
      </c>
      <c r="CG588">
        <v>0</v>
      </c>
      <c r="CH588">
        <v>0</v>
      </c>
      <c r="CI588">
        <v>0</v>
      </c>
      <c r="CJ588">
        <v>0</v>
      </c>
      <c r="CK588">
        <v>0</v>
      </c>
      <c r="CL588">
        <v>0</v>
      </c>
      <c r="CM588">
        <v>0</v>
      </c>
      <c r="CN588">
        <v>0</v>
      </c>
      <c r="CO588">
        <v>0</v>
      </c>
      <c r="CP588" t="str">
        <f>IF($BN588&lt;$BM588,"refNeedCorrection","refOK")</f>
        <v>refOK</v>
      </c>
      <c r="CQ588">
        <f>IF($CP588="refOK",$BM588,$BN588)</f>
        <v>0</v>
      </c>
      <c r="CR588">
        <f>IF($CP588="refOK",$BN588,$BM588)</f>
        <v>0.14000000000000001</v>
      </c>
      <c r="CS588">
        <f>IF($CP588="refOK",$BQ588,-$BQ588)</f>
        <v>0.14000000000000001</v>
      </c>
      <c r="CT588">
        <f>IF(BI588="Roundwood",$CS588/2,$CS588)</f>
        <v>0.14000000000000001</v>
      </c>
      <c r="CU588">
        <f>IF($CP588="refOK",$BU588,$BV588)*IF($BR588="Emissions positive",-1,1)</f>
        <v>-45.5</v>
      </c>
      <c r="CV588">
        <f>IF($CP588="refOK",$BV588,$BU588)*IF($BR588="Emissions positive",-1,1)</f>
        <v>11.5</v>
      </c>
      <c r="CW588">
        <f>IF($CP588="refNeedCorrection",-BZ588,BZ588)*IF($BR588="Emissions positive",-1,1)</f>
        <v>5.7000000000000002E-2</v>
      </c>
      <c r="CX588">
        <f>IFERROR($CW588/$CS588,"")</f>
        <v>0.40714285714285714</v>
      </c>
      <c r="CY588">
        <f>IFERROR($CW588/$CS588,"")</f>
        <v>0.40714285714285714</v>
      </c>
      <c r="CZ588">
        <f>IFERROR($CW588/$CT588,"")</f>
        <v>0.40714285714285714</v>
      </c>
      <c r="DA588" s="2">
        <f>IFERROR((CV588-CU588)/ABS(CU588),"")</f>
        <v>1.2527472527472527</v>
      </c>
      <c r="DB588" s="1" t="s">
        <v>936</v>
      </c>
      <c r="DC588" s="317" t="str">
        <f>IF(OR($DB588="prd",$DB588="std",$DB588="cit"),"loc",IF(OR($DB588="eur",$DB588="reg",$DB588="coy"),"reg",$DB588))</f>
        <v>loc</v>
      </c>
      <c r="DD588" t="s">
        <v>264</v>
      </c>
      <c r="DG588">
        <v>50</v>
      </c>
      <c r="DH588" t="str">
        <f>IF(DG588=0,"0",IF(AND(DG588&gt;=1,DG588&lt;=30),"1-30",IF(AND(DG588&gt;30,DG588&lt;=70),"31-70",IF(AND(DG588&gt;70,DG588&lt;=100),"71-100",IF(DG588&gt;100,"+100")))))</f>
        <v>31-70</v>
      </c>
      <c r="DI588">
        <v>0</v>
      </c>
      <c r="DJ588">
        <v>0</v>
      </c>
      <c r="DK588">
        <v>0</v>
      </c>
      <c r="DL588">
        <v>1</v>
      </c>
      <c r="DM588">
        <v>0</v>
      </c>
      <c r="DN588">
        <f>SUM(DI588:DL588)</f>
        <v>1</v>
      </c>
      <c r="DO588" t="str">
        <f>IF(DN588=1,INDEX($DI$7:$DL$7,MATCH(1,$DI588:$DL588,0)),"mixedProduct")</f>
        <v>TimberInput</v>
      </c>
      <c r="DP588">
        <f>IF(DI588=1,DP$7,0)</f>
        <v>0</v>
      </c>
      <c r="DQ588">
        <f>IF(DJ588=1,DQ$7,0)</f>
        <v>0</v>
      </c>
      <c r="DR588">
        <f>IF(DK588=1,DR$7,0)</f>
        <v>0</v>
      </c>
      <c r="DS588" t="str">
        <f>IF(DL588=1,DS$7,0)</f>
        <v>Timber</v>
      </c>
      <c r="DT588">
        <v>1</v>
      </c>
      <c r="DU588">
        <v>0</v>
      </c>
      <c r="DV588">
        <v>0</v>
      </c>
      <c r="DW588">
        <v>0</v>
      </c>
      <c r="DX588">
        <v>0</v>
      </c>
      <c r="DY588">
        <f>SUM(DT588:DU588)</f>
        <v>1</v>
      </c>
      <c r="DZ588" s="143" t="str">
        <f>IF(DT588=1,"self-calculated DF",IF(DU588=1,"external DF used","explicit C balance"))</f>
        <v>self-calculated DF</v>
      </c>
      <c r="EA588" s="143">
        <v>0</v>
      </c>
      <c r="EB588" s="143">
        <v>0</v>
      </c>
      <c r="EC588" s="143">
        <v>0</v>
      </c>
      <c r="ED588" s="143">
        <v>0</v>
      </c>
      <c r="EE588" s="143">
        <v>1</v>
      </c>
      <c r="EF588" s="143">
        <v>1</v>
      </c>
      <c r="EG588" s="143">
        <v>0</v>
      </c>
      <c r="EH588" s="143">
        <v>1</v>
      </c>
      <c r="EI588" s="143">
        <v>0</v>
      </c>
      <c r="EJ588">
        <v>1</v>
      </c>
      <c r="EK588">
        <v>0</v>
      </c>
      <c r="EL588" s="143">
        <v>0</v>
      </c>
      <c r="EM588" s="143">
        <v>0</v>
      </c>
      <c r="EN588" s="2">
        <v>0</v>
      </c>
      <c r="EP588" t="str">
        <f>IF(AND(AND(AND(OR($EC588=1,$EB588=1),OR($EH588=1,$EF588=1)),SUM($EA588:$EE588,$EK588)&gt;=3),SUM($EF588:$EJ588)&gt;=2),"Whole sector approach","")</f>
        <v/>
      </c>
      <c r="EQ588" t="str">
        <f>IF(AND(AND(OR($EC588=1,$EB588=1),AND($EH588=0,$EF588=0)),SUM($EA588:$EE588,$EK588)&gt;=3),"Ecosystem approach","")</f>
        <v/>
      </c>
      <c r="ER588" s="2" t="str">
        <f>IF(AND(AND(AND($EC588=0,$EB588=0),OR($EH588=1,$EF588=1)),SUM($EG588:$EJ588)&gt;=2),"Technology approach","")</f>
        <v>Technology approach</v>
      </c>
      <c r="ES588" t="str">
        <f>IF(AND($EC588+$EB588+$EE588+$EA588+$ED588+$EG588=0,$N588="included"),"C neutral forest and HWP assumption","")</f>
        <v/>
      </c>
      <c r="ET588" t="str">
        <f>IF(AND(AND(AND(AND($EC588=1,$EB588+$EA588+$EG588&gt;=1),$EF588=1),$EH588+$EI588+$ED588+$EE588&gt;=2),$N588="included"),"All C pools assumption","")</f>
        <v/>
      </c>
      <c r="EU588" t="str">
        <f>IF(AND($ED588+$EE588+$EI588+$EH588+$EF588=0,$N588="included"),"In-situ only assumption","")</f>
        <v/>
      </c>
      <c r="EV588" s="328" t="s">
        <v>5065</v>
      </c>
      <c r="EY588" t="str">
        <f>IF(ISNUMBER(BW588),IF(ABS(BW588-[4]QC_indicators!$B$2)&gt;3*[4]QC_indicators!$C$2,"C ratio",IF(ISNUMBER(CA588),IF(ABS(CA588-[4]QC_indicators!$B$1)&gt;3*[4]QC_indicators!$C$1,"DF","no"))),IF(ISNUMBER(CA588),IF(ABS(CA588-[4]QC_indicators!$B$1)&gt;3*[4]QC_indicators!$C$1,"DF","no")))</f>
        <v>no</v>
      </c>
      <c r="FA588" t="str">
        <f>IF(LEN($CY588)=0,"",IF(AND($CY588&lt;(-0.05),$ES588="C neutral forest and HWP assumption"),"Cneutral paradox",IF(AND($CY588&gt;0.05,$EU588="In-situ only assumption"),"In-situ only paradox","")))</f>
        <v/>
      </c>
      <c r="FD588" t="s">
        <v>5006</v>
      </c>
    </row>
    <row r="589" spans="1:160" ht="15" hidden="1" customHeight="1">
      <c r="D589" t="s">
        <v>927</v>
      </c>
      <c r="E589" t="s">
        <v>928</v>
      </c>
      <c r="G589" t="s">
        <v>929</v>
      </c>
      <c r="I589">
        <v>2002</v>
      </c>
      <c r="K589" s="288" t="s">
        <v>930</v>
      </c>
      <c r="M589" t="str">
        <f>LEFT($D589,FIND(",",$D589)-1)&amp;"_"&amp;I589&amp;L589</f>
        <v>Petersen_2002</v>
      </c>
      <c r="N589" t="s">
        <v>222</v>
      </c>
      <c r="O589" s="171" t="s">
        <v>508</v>
      </c>
      <c r="P589" s="141" t="s">
        <v>225</v>
      </c>
      <c r="Q589" s="317" t="s">
        <v>389</v>
      </c>
      <c r="R589" s="318" t="s">
        <v>1029</v>
      </c>
      <c r="S589" s="320" t="s">
        <v>5000</v>
      </c>
      <c r="T589" s="317" t="s">
        <v>5001</v>
      </c>
      <c r="U589" s="317" t="s">
        <v>937</v>
      </c>
      <c r="V589" s="253">
        <v>0</v>
      </c>
      <c r="W589" s="253">
        <v>0</v>
      </c>
      <c r="X589">
        <v>0</v>
      </c>
      <c r="Y589">
        <v>0</v>
      </c>
      <c r="Z589">
        <v>0</v>
      </c>
      <c r="AA589">
        <v>0</v>
      </c>
      <c r="AB589">
        <v>0</v>
      </c>
      <c r="AC589">
        <v>0</v>
      </c>
      <c r="AD589">
        <v>0</v>
      </c>
      <c r="AE589">
        <v>0</v>
      </c>
      <c r="AF589">
        <v>0</v>
      </c>
      <c r="AG589">
        <v>0</v>
      </c>
      <c r="AH589">
        <v>0</v>
      </c>
      <c r="AI589">
        <v>0</v>
      </c>
      <c r="AJ589">
        <v>0</v>
      </c>
      <c r="AK589">
        <v>0</v>
      </c>
      <c r="AL589">
        <v>0</v>
      </c>
      <c r="AM589">
        <v>1</v>
      </c>
      <c r="AN589">
        <v>0</v>
      </c>
      <c r="AO589">
        <v>0</v>
      </c>
      <c r="AP589">
        <v>0</v>
      </c>
      <c r="AQ589">
        <v>0</v>
      </c>
      <c r="AR589">
        <v>0</v>
      </c>
      <c r="AS589">
        <v>0</v>
      </c>
      <c r="AT589">
        <v>0</v>
      </c>
      <c r="AU589">
        <v>0</v>
      </c>
      <c r="AV589">
        <v>0</v>
      </c>
      <c r="AW589">
        <v>0</v>
      </c>
      <c r="AX589">
        <v>0</v>
      </c>
      <c r="AY589">
        <v>0</v>
      </c>
      <c r="AZ589" s="141">
        <f>COUNTIF(X589:AY589,"&lt;&gt;0")</f>
        <v>1</v>
      </c>
      <c r="BA589" s="141">
        <f>COUNTIF(X589:AN589,"&lt;&gt;0")</f>
        <v>1</v>
      </c>
      <c r="BB589">
        <f>COUNTIF(X589:AE589,"&lt;&gt;0")</f>
        <v>0</v>
      </c>
      <c r="BC589">
        <f>COUNTIF(AF589:AK589,"&lt;&gt;0")</f>
        <v>0</v>
      </c>
      <c r="BD589">
        <f>COUNTIF(AL589:AN589,"&lt;&gt;0")</f>
        <v>1</v>
      </c>
      <c r="BE589">
        <f>COUNTIF(AU589:AY589,"&lt;&gt;0")</f>
        <v>0</v>
      </c>
      <c r="BF589">
        <f>COUNTIF(AO589:AT589,"&lt;&gt;0")</f>
        <v>0</v>
      </c>
      <c r="BG589" t="str" cm="1">
        <f t="array" ref="BG589">IF(BA589=1,INDEX($X$7:$AN$7,MATCH(TRUE,INDEX($X589:$AY589&lt;&gt;0,),0)),IF(BA589=0,INDEX($AO$7:$AY$7,MATCH(1,$AO589:$AY589,0)),IF(BH589="Multiple strategies","mixed drivers",IF(BH589="Supply chain","multiple supply","multiple silviculture"))))</f>
        <v>technologies/design switch</v>
      </c>
      <c r="BH589" s="2" t="str" cm="1">
        <f t="array" ref="BH589">IF(COUNTIF(BB589:BD589,"&lt;&gt;0")=1,INDEX($X$4:$AY$4,MATCH(TRUE,INDEX($X589:$AY589&lt;&gt;0,),0)),IF(COUNTIF(BB589:BD589,"&lt;&gt;0")=0,INDEX($AO$4:$AY$4,MATCH(1,$AO589:$AY589,0)),"Multiple strategies"))</f>
        <v>Technology</v>
      </c>
      <c r="BI589" s="142" t="s">
        <v>229</v>
      </c>
      <c r="BJ589" t="s">
        <v>933</v>
      </c>
      <c r="BK589" t="s">
        <v>5002</v>
      </c>
      <c r="BL589" t="s">
        <v>5003</v>
      </c>
      <c r="BM589">
        <v>0</v>
      </c>
      <c r="BN589">
        <v>0.14000000000000001</v>
      </c>
      <c r="BO589" t="str">
        <f>IFERROR(BN589/BM589,"")</f>
        <v/>
      </c>
      <c r="BP589">
        <f>BN589-BM589</f>
        <v>0.14000000000000001</v>
      </c>
      <c r="BQ589">
        <f>BP589</f>
        <v>0.14000000000000001</v>
      </c>
      <c r="BR589" t="s">
        <v>232</v>
      </c>
      <c r="BS589" t="s">
        <v>5004</v>
      </c>
      <c r="BT589" s="317" t="s">
        <v>5005</v>
      </c>
      <c r="BU589">
        <v>-45.5</v>
      </c>
      <c r="BV589">
        <f>BU589+52</f>
        <v>6.5</v>
      </c>
      <c r="BW589" s="144">
        <f>BV589/BU589</f>
        <v>-0.14285714285714285</v>
      </c>
      <c r="BX589">
        <f>BV589-BU589</f>
        <v>52</v>
      </c>
      <c r="BZ589">
        <f>BX589*10^-3</f>
        <v>5.2000000000000005E-2</v>
      </c>
      <c r="CA589">
        <f>IFERROR(BZ589/BQ589,"")</f>
        <v>0.37142857142857144</v>
      </c>
      <c r="CB589">
        <v>0</v>
      </c>
      <c r="CC589">
        <v>0</v>
      </c>
      <c r="CD589">
        <v>0</v>
      </c>
      <c r="CE589">
        <v>0</v>
      </c>
      <c r="CF589">
        <v>0</v>
      </c>
      <c r="CG589">
        <v>0</v>
      </c>
      <c r="CH589">
        <v>0</v>
      </c>
      <c r="CI589">
        <v>0</v>
      </c>
      <c r="CJ589">
        <v>0</v>
      </c>
      <c r="CK589">
        <v>0</v>
      </c>
      <c r="CL589">
        <v>0</v>
      </c>
      <c r="CM589">
        <v>0</v>
      </c>
      <c r="CN589">
        <v>0</v>
      </c>
      <c r="CO589">
        <v>0</v>
      </c>
      <c r="CP589" t="str">
        <f>IF($BN589&lt;$BM589,"refNeedCorrection","refOK")</f>
        <v>refOK</v>
      </c>
      <c r="CQ589">
        <f>IF($CP589="refOK",$BM589,$BN589)</f>
        <v>0</v>
      </c>
      <c r="CR589">
        <f>IF($CP589="refOK",$BN589,$BM589)</f>
        <v>0.14000000000000001</v>
      </c>
      <c r="CS589">
        <f>IF($CP589="refOK",$BQ589,-$BQ589)</f>
        <v>0.14000000000000001</v>
      </c>
      <c r="CT589">
        <f>IF(BI589="Roundwood",$CS589/2,$CS589)</f>
        <v>0.14000000000000001</v>
      </c>
      <c r="CU589">
        <f>IF($CP589="refOK",$BU589,$BV589)*IF($BR589="Emissions positive",-1,1)</f>
        <v>-45.5</v>
      </c>
      <c r="CV589">
        <f>IF($CP589="refOK",$BV589,$BU589)*IF($BR589="Emissions positive",-1,1)</f>
        <v>6.5</v>
      </c>
      <c r="CW589">
        <f>IF($CP589="refNeedCorrection",-BZ589,BZ589)*IF($BR589="Emissions positive",-1,1)</f>
        <v>5.2000000000000005E-2</v>
      </c>
      <c r="CX589">
        <f>IFERROR($CW589/$CS589,"")</f>
        <v>0.37142857142857144</v>
      </c>
      <c r="CY589">
        <f>IFERROR($CW589/$CS589,"")</f>
        <v>0.37142857142857144</v>
      </c>
      <c r="CZ589">
        <f>IFERROR($CW589/$CT589,"")</f>
        <v>0.37142857142857144</v>
      </c>
      <c r="DA589" s="2">
        <f>IFERROR((CV589-CU589)/ABS(CU589),"")</f>
        <v>1.1428571428571428</v>
      </c>
      <c r="DB589" s="1" t="s">
        <v>936</v>
      </c>
      <c r="DC589" s="317" t="str">
        <f>IF(OR($DB589="prd",$DB589="std",$DB589="cit"),"loc",IF(OR($DB589="eur",$DB589="reg",$DB589="coy"),"reg",$DB589))</f>
        <v>loc</v>
      </c>
      <c r="DD589" t="s">
        <v>264</v>
      </c>
      <c r="DG589">
        <v>50</v>
      </c>
      <c r="DH589" t="str">
        <f>IF(DG589=0,"0",IF(AND(DG589&gt;=1,DG589&lt;=30),"1-30",IF(AND(DG589&gt;30,DG589&lt;=70),"31-70",IF(AND(DG589&gt;70,DG589&lt;=100),"71-100",IF(DG589&gt;100,"+100")))))</f>
        <v>31-70</v>
      </c>
      <c r="DI589">
        <v>0</v>
      </c>
      <c r="DJ589">
        <v>0</v>
      </c>
      <c r="DK589">
        <v>0</v>
      </c>
      <c r="DL589">
        <v>1</v>
      </c>
      <c r="DM589">
        <v>0</v>
      </c>
      <c r="DN589">
        <f>SUM(DI589:DL589)</f>
        <v>1</v>
      </c>
      <c r="DO589" t="str">
        <f>IF(DN589=1,INDEX($DI$7:$DL$7,MATCH(1,$DI589:$DL589,0)),"mixedProduct")</f>
        <v>TimberInput</v>
      </c>
      <c r="DP589">
        <f>IF(DI589=1,DP$7,0)</f>
        <v>0</v>
      </c>
      <c r="DQ589">
        <f>IF(DJ589=1,DQ$7,0)</f>
        <v>0</v>
      </c>
      <c r="DR589">
        <f>IF(DK589=1,DR$7,0)</f>
        <v>0</v>
      </c>
      <c r="DS589" t="str">
        <f>IF(DL589=1,DS$7,0)</f>
        <v>Timber</v>
      </c>
      <c r="DT589">
        <v>1</v>
      </c>
      <c r="DU589">
        <v>0</v>
      </c>
      <c r="DV589">
        <v>0</v>
      </c>
      <c r="DW589">
        <v>0</v>
      </c>
      <c r="DX589">
        <v>0</v>
      </c>
      <c r="DY589">
        <f>SUM(DT589:DU589)</f>
        <v>1</v>
      </c>
      <c r="DZ589" s="143" t="str">
        <f>IF(DT589=1,"self-calculated DF",IF(DU589=1,"external DF used","explicit C balance"))</f>
        <v>self-calculated DF</v>
      </c>
      <c r="EA589" s="143">
        <v>0</v>
      </c>
      <c r="EB589" s="143">
        <v>0</v>
      </c>
      <c r="EC589" s="143">
        <v>0</v>
      </c>
      <c r="ED589" s="143">
        <v>0</v>
      </c>
      <c r="EE589" s="143">
        <v>1</v>
      </c>
      <c r="EF589" s="143">
        <v>1</v>
      </c>
      <c r="EG589" s="143">
        <v>0</v>
      </c>
      <c r="EH589" s="143">
        <v>1</v>
      </c>
      <c r="EI589" s="143">
        <v>0</v>
      </c>
      <c r="EJ589">
        <v>1</v>
      </c>
      <c r="EK589">
        <v>0</v>
      </c>
      <c r="EL589" s="143">
        <v>0</v>
      </c>
      <c r="EM589" s="143">
        <v>0</v>
      </c>
      <c r="EN589" s="2">
        <v>0</v>
      </c>
      <c r="EP589" t="str">
        <f>IF(AND(AND(AND(OR($EC589=1,$EB589=1),OR($EH589=1,$EF589=1)),SUM($EA589:$EE589,$EK589)&gt;=3),SUM($EF589:$EJ589)&gt;=2),"Whole sector approach","")</f>
        <v/>
      </c>
      <c r="EQ589" t="str">
        <f>IF(AND(AND(OR($EC589=1,$EB589=1),AND($EH589=0,$EF589=0)),SUM($EA589:$EE589,$EK589)&gt;=3),"Ecosystem approach","")</f>
        <v/>
      </c>
      <c r="ER589" s="2" t="str">
        <f>IF(AND(AND(AND($EC589=0,$EB589=0),OR($EH589=1,$EF589=1)),SUM($EG589:$EJ589)&gt;=2),"Technology approach","")</f>
        <v>Technology approach</v>
      </c>
      <c r="ES589" t="str">
        <f>IF(AND($EC589+$EB589+$EE589+$EA589+$ED589+$EG589=0,$N589="included"),"C neutral forest and HWP assumption","")</f>
        <v/>
      </c>
      <c r="ET589" t="str">
        <f>IF(AND(AND(AND(AND($EC589=1,$EB589+$EA589+$EG589&gt;=1),$EF589=1),$EH589+$EI589+$ED589+$EE589&gt;=2),$N589="included"),"All C pools assumption","")</f>
        <v/>
      </c>
      <c r="EU589" t="str">
        <f>IF(AND($ED589+$EE589+$EI589+$EH589+$EF589=0,$N589="included"),"In-situ only assumption","")</f>
        <v/>
      </c>
      <c r="EV589" s="328" t="s">
        <v>5065</v>
      </c>
      <c r="EY589" t="str">
        <f>IF(ISNUMBER(BW589),IF(ABS(BW589-[4]QC_indicators!$B$2)&gt;3*[4]QC_indicators!$C$2,"C ratio",IF(ISNUMBER(CA589),IF(ABS(CA589-[4]QC_indicators!$B$1)&gt;3*[4]QC_indicators!$C$1,"DF","no"))),IF(ISNUMBER(CA589),IF(ABS(CA589-[4]QC_indicators!$B$1)&gt;3*[4]QC_indicators!$C$1,"DF","no")))</f>
        <v>no</v>
      </c>
      <c r="FA589" t="str">
        <f>IF(LEN($CY589)=0,"",IF(AND($CY589&lt;(-0.05),$ES589="C neutral forest and HWP assumption"),"Cneutral paradox",IF(AND($CY589&gt;0.05,$EU589="In-situ only assumption"),"In-situ only paradox","")))</f>
        <v/>
      </c>
      <c r="FD589" t="s">
        <v>5006</v>
      </c>
    </row>
    <row r="590" spans="1:160" ht="15" hidden="1" customHeight="1">
      <c r="D590" t="s">
        <v>927</v>
      </c>
      <c r="E590" t="s">
        <v>928</v>
      </c>
      <c r="G590" t="s">
        <v>929</v>
      </c>
      <c r="I590">
        <v>2002</v>
      </c>
      <c r="K590" s="288" t="s">
        <v>930</v>
      </c>
      <c r="M590" t="str">
        <f>LEFT($D590,FIND(",",$D590)-1)&amp;"_"&amp;I590&amp;L590</f>
        <v>Petersen_2002</v>
      </c>
      <c r="N590" t="s">
        <v>222</v>
      </c>
      <c r="O590" s="171" t="s">
        <v>508</v>
      </c>
      <c r="P590" s="141" t="s">
        <v>225</v>
      </c>
      <c r="Q590" s="317" t="s">
        <v>389</v>
      </c>
      <c r="R590" s="318" t="s">
        <v>1029</v>
      </c>
      <c r="S590" s="320" t="s">
        <v>5000</v>
      </c>
      <c r="T590" s="317" t="s">
        <v>5001</v>
      </c>
      <c r="U590" s="317" t="s">
        <v>5011</v>
      </c>
      <c r="V590" s="253">
        <v>0</v>
      </c>
      <c r="W590" s="253">
        <v>0</v>
      </c>
      <c r="X590">
        <v>0</v>
      </c>
      <c r="Y590">
        <v>0</v>
      </c>
      <c r="Z590">
        <v>0</v>
      </c>
      <c r="AA590">
        <v>0</v>
      </c>
      <c r="AB590">
        <v>0</v>
      </c>
      <c r="AC590">
        <v>0</v>
      </c>
      <c r="AD590">
        <v>0</v>
      </c>
      <c r="AE590">
        <v>0</v>
      </c>
      <c r="AF590">
        <v>0</v>
      </c>
      <c r="AG590">
        <v>0</v>
      </c>
      <c r="AH590">
        <v>0</v>
      </c>
      <c r="AI590">
        <v>0</v>
      </c>
      <c r="AJ590">
        <v>0</v>
      </c>
      <c r="AK590">
        <v>0</v>
      </c>
      <c r="AL590">
        <v>0</v>
      </c>
      <c r="AM590">
        <v>1</v>
      </c>
      <c r="AN590">
        <v>0</v>
      </c>
      <c r="AO590">
        <v>0</v>
      </c>
      <c r="AP590">
        <v>0</v>
      </c>
      <c r="AQ590">
        <v>0</v>
      </c>
      <c r="AR590">
        <v>0</v>
      </c>
      <c r="AS590">
        <v>0</v>
      </c>
      <c r="AT590">
        <v>0</v>
      </c>
      <c r="AU590">
        <v>0</v>
      </c>
      <c r="AV590">
        <v>0</v>
      </c>
      <c r="AW590">
        <v>0</v>
      </c>
      <c r="AX590">
        <v>0</v>
      </c>
      <c r="AY590">
        <v>0</v>
      </c>
      <c r="AZ590" s="141">
        <f>COUNTIF(X590:AY590,"&lt;&gt;0")</f>
        <v>1</v>
      </c>
      <c r="BA590" s="141">
        <f>COUNTIF(X590:AN590,"&lt;&gt;0")</f>
        <v>1</v>
      </c>
      <c r="BB590">
        <f>COUNTIF(X590:AE590,"&lt;&gt;0")</f>
        <v>0</v>
      </c>
      <c r="BC590">
        <f>COUNTIF(AF590:AK590,"&lt;&gt;0")</f>
        <v>0</v>
      </c>
      <c r="BD590">
        <f>COUNTIF(AL590:AN590,"&lt;&gt;0")</f>
        <v>1</v>
      </c>
      <c r="BE590">
        <f>COUNTIF(AU590:AY590,"&lt;&gt;0")</f>
        <v>0</v>
      </c>
      <c r="BF590">
        <f>COUNTIF(AO590:AT590,"&lt;&gt;0")</f>
        <v>0</v>
      </c>
      <c r="BG590" t="str" cm="1">
        <f t="array" ref="BG590">IF(BA590=1,INDEX($X$7:$AN$7,MATCH(TRUE,INDEX($X590:$AY590&lt;&gt;0,),0)),IF(BA590=0,INDEX($AO$7:$AY$7,MATCH(1,$AO590:$AY590,0)),IF(BH590="Multiple strategies","mixed drivers",IF(BH590="Supply chain","multiple supply","multiple silviculture"))))</f>
        <v>technologies/design switch</v>
      </c>
      <c r="BH590" s="2" t="str" cm="1">
        <f t="array" ref="BH590">IF(COUNTIF(BB590:BD590,"&lt;&gt;0")=1,INDEX($X$4:$AY$4,MATCH(TRUE,INDEX($X590:$AY590&lt;&gt;0,),0)),IF(COUNTIF(BB590:BD590,"&lt;&gt;0")=0,INDEX($AO$4:$AY$4,MATCH(1,$AO590:$AY590,0)),"Multiple strategies"))</f>
        <v>Technology</v>
      </c>
      <c r="BI590" s="142" t="s">
        <v>229</v>
      </c>
      <c r="BJ590" t="s">
        <v>933</v>
      </c>
      <c r="BK590" t="s">
        <v>5002</v>
      </c>
      <c r="BL590" t="s">
        <v>5003</v>
      </c>
      <c r="BM590">
        <v>0</v>
      </c>
      <c r="BN590">
        <v>0.14000000000000001</v>
      </c>
      <c r="BO590" t="str">
        <f>IFERROR(BN590/BM590,"")</f>
        <v/>
      </c>
      <c r="BP590">
        <f>BN590-BM590</f>
        <v>0.14000000000000001</v>
      </c>
      <c r="BQ590">
        <f>BP590</f>
        <v>0.14000000000000001</v>
      </c>
      <c r="BR590" t="s">
        <v>232</v>
      </c>
      <c r="BS590" t="s">
        <v>5004</v>
      </c>
      <c r="BT590" s="317" t="s">
        <v>5005</v>
      </c>
      <c r="BU590">
        <v>-45.5</v>
      </c>
      <c r="BV590">
        <f>BU590+50</f>
        <v>4.5</v>
      </c>
      <c r="BW590" s="144">
        <f>BV590/BU590</f>
        <v>-9.8901098901098897E-2</v>
      </c>
      <c r="BX590">
        <f>BV590-BU590</f>
        <v>50</v>
      </c>
      <c r="BZ590">
        <f>BX590*10^-3</f>
        <v>0.05</v>
      </c>
      <c r="CA590">
        <f>IFERROR(BZ590/BQ590,"")</f>
        <v>0.35714285714285715</v>
      </c>
      <c r="CB590">
        <v>0</v>
      </c>
      <c r="CC590">
        <v>0</v>
      </c>
      <c r="CD590">
        <v>0</v>
      </c>
      <c r="CE590">
        <v>0</v>
      </c>
      <c r="CF590">
        <v>0</v>
      </c>
      <c r="CG590">
        <v>0</v>
      </c>
      <c r="CH590">
        <v>0</v>
      </c>
      <c r="CI590">
        <v>0</v>
      </c>
      <c r="CJ590">
        <v>0</v>
      </c>
      <c r="CK590">
        <v>0</v>
      </c>
      <c r="CL590">
        <v>0</v>
      </c>
      <c r="CM590">
        <v>0</v>
      </c>
      <c r="CN590">
        <v>0</v>
      </c>
      <c r="CO590">
        <v>0</v>
      </c>
      <c r="CP590" t="str">
        <f>IF($BN590&lt;$BM590,"refNeedCorrection","refOK")</f>
        <v>refOK</v>
      </c>
      <c r="CQ590">
        <f>IF($CP590="refOK",$BM590,$BN590)</f>
        <v>0</v>
      </c>
      <c r="CR590">
        <f>IF($CP590="refOK",$BN590,$BM590)</f>
        <v>0.14000000000000001</v>
      </c>
      <c r="CS590">
        <f>IF($CP590="refOK",$BQ590,-$BQ590)</f>
        <v>0.14000000000000001</v>
      </c>
      <c r="CT590">
        <f>IF(BI590="Roundwood",$CS590/2,$CS590)</f>
        <v>0.14000000000000001</v>
      </c>
      <c r="CU590">
        <f>IF($CP590="refOK",$BU590,$BV590)*IF($BR590="Emissions positive",-1,1)</f>
        <v>-45.5</v>
      </c>
      <c r="CV590">
        <f>IF($CP590="refOK",$BV590,$BU590)*IF($BR590="Emissions positive",-1,1)</f>
        <v>4.5</v>
      </c>
      <c r="CW590">
        <f>IF($CP590="refNeedCorrection",-BZ590,BZ590)*IF($BR590="Emissions positive",-1,1)</f>
        <v>0.05</v>
      </c>
      <c r="CX590">
        <f>IFERROR($CW590/$CS590,"")</f>
        <v>0.35714285714285715</v>
      </c>
      <c r="CY590">
        <f>IFERROR($CW590/$CS590,"")</f>
        <v>0.35714285714285715</v>
      </c>
      <c r="CZ590">
        <f>IFERROR($CW590/$CT590,"")</f>
        <v>0.35714285714285715</v>
      </c>
      <c r="DA590" s="2">
        <f>IFERROR((CV590-CU590)/ABS(CU590),"")</f>
        <v>1.098901098901099</v>
      </c>
      <c r="DB590" s="1" t="s">
        <v>936</v>
      </c>
      <c r="DC590" s="317" t="str">
        <f>IF(OR($DB590="prd",$DB590="std",$DB590="cit"),"loc",IF(OR($DB590="eur",$DB590="reg",$DB590="coy"),"reg",$DB590))</f>
        <v>loc</v>
      </c>
      <c r="DD590" t="s">
        <v>264</v>
      </c>
      <c r="DG590">
        <v>50</v>
      </c>
      <c r="DH590" t="str">
        <f>IF(DG590=0,"0",IF(AND(DG590&gt;=1,DG590&lt;=30),"1-30",IF(AND(DG590&gt;30,DG590&lt;=70),"31-70",IF(AND(DG590&gt;70,DG590&lt;=100),"71-100",IF(DG590&gt;100,"+100")))))</f>
        <v>31-70</v>
      </c>
      <c r="DI590">
        <v>0</v>
      </c>
      <c r="DJ590">
        <v>0</v>
      </c>
      <c r="DK590">
        <v>0</v>
      </c>
      <c r="DL590">
        <v>1</v>
      </c>
      <c r="DM590">
        <v>0</v>
      </c>
      <c r="DN590">
        <f>SUM(DI590:DL590)</f>
        <v>1</v>
      </c>
      <c r="DO590" t="str">
        <f>IF(DN590=1,INDEX($DI$7:$DL$7,MATCH(1,$DI590:$DL590,0)),"mixedProduct")</f>
        <v>TimberInput</v>
      </c>
      <c r="DP590">
        <f>IF(DI590=1,DP$7,0)</f>
        <v>0</v>
      </c>
      <c r="DQ590">
        <f>IF(DJ590=1,DQ$7,0)</f>
        <v>0</v>
      </c>
      <c r="DR590">
        <f>IF(DK590=1,DR$7,0)</f>
        <v>0</v>
      </c>
      <c r="DS590" t="str">
        <f>IF(DL590=1,DS$7,0)</f>
        <v>Timber</v>
      </c>
      <c r="DT590">
        <v>1</v>
      </c>
      <c r="DU590">
        <v>0</v>
      </c>
      <c r="DV590">
        <v>0</v>
      </c>
      <c r="DW590">
        <v>0</v>
      </c>
      <c r="DX590">
        <v>0</v>
      </c>
      <c r="DY590">
        <f>SUM(DT590:DU590)</f>
        <v>1</v>
      </c>
      <c r="DZ590" s="143" t="str">
        <f>IF(DT590=1,"self-calculated DF",IF(DU590=1,"external DF used","explicit C balance"))</f>
        <v>self-calculated DF</v>
      </c>
      <c r="EA590" s="143">
        <v>0</v>
      </c>
      <c r="EB590" s="143">
        <v>0</v>
      </c>
      <c r="EC590" s="143">
        <v>0</v>
      </c>
      <c r="ED590" s="143">
        <v>0</v>
      </c>
      <c r="EE590" s="143">
        <v>1</v>
      </c>
      <c r="EF590" s="143">
        <v>1</v>
      </c>
      <c r="EG590" s="143">
        <v>0</v>
      </c>
      <c r="EH590" s="143">
        <v>1</v>
      </c>
      <c r="EI590" s="143">
        <v>0</v>
      </c>
      <c r="EJ590">
        <v>1</v>
      </c>
      <c r="EK590">
        <v>0</v>
      </c>
      <c r="EL590" s="143">
        <v>0</v>
      </c>
      <c r="EM590" s="143">
        <v>0</v>
      </c>
      <c r="EN590" s="2">
        <v>0</v>
      </c>
      <c r="EP590" t="str">
        <f>IF(AND(AND(AND(OR($EC590=1,$EB590=1),OR($EH590=1,$EF590=1)),SUM($EA590:$EE590,$EK590)&gt;=3),SUM($EF590:$EJ590)&gt;=2),"Whole sector approach","")</f>
        <v/>
      </c>
      <c r="EQ590" t="str">
        <f>IF(AND(AND(OR($EC590=1,$EB590=1),AND($EH590=0,$EF590=0)),SUM($EA590:$EE590,$EK590)&gt;=3),"Ecosystem approach","")</f>
        <v/>
      </c>
      <c r="ER590" s="2" t="str">
        <f>IF(AND(AND(AND($EC590=0,$EB590=0),OR($EH590=1,$EF590=1)),SUM($EG590:$EJ590)&gt;=2),"Technology approach","")</f>
        <v>Technology approach</v>
      </c>
      <c r="ES590" t="str">
        <f>IF(AND($EC590+$EB590+$EE590+$EA590+$ED590+$EG590=0,$N590="included"),"C neutral forest and HWP assumption","")</f>
        <v/>
      </c>
      <c r="ET590" t="str">
        <f>IF(AND(AND(AND(AND($EC590=1,$EB590+$EA590+$EG590&gt;=1),$EF590=1),$EH590+$EI590+$ED590+$EE590&gt;=2),$N590="included"),"All C pools assumption","")</f>
        <v/>
      </c>
      <c r="EU590" t="str">
        <f>IF(AND($ED590+$EE590+$EI590+$EH590+$EF590=0,$N590="included"),"In-situ only assumption","")</f>
        <v/>
      </c>
      <c r="EV590" s="328" t="s">
        <v>5065</v>
      </c>
      <c r="EY590" t="str">
        <f>IF(ISNUMBER(BW590),IF(ABS(BW590-[4]QC_indicators!$B$2)&gt;3*[4]QC_indicators!$C$2,"C ratio",IF(ISNUMBER(CA590),IF(ABS(CA590-[4]QC_indicators!$B$1)&gt;3*[4]QC_indicators!$C$1,"DF","no"))),IF(ISNUMBER(CA590),IF(ABS(CA590-[4]QC_indicators!$B$1)&gt;3*[4]QC_indicators!$C$1,"DF","no")))</f>
        <v>no</v>
      </c>
      <c r="FA590" t="str">
        <f>IF(LEN($CY590)=0,"",IF(AND($CY590&lt;(-0.05),$ES590="C neutral forest and HWP assumption"),"Cneutral paradox",IF(AND($CY590&gt;0.05,$EU590="In-situ only assumption"),"In-situ only paradox","")))</f>
        <v/>
      </c>
      <c r="FD590" t="s">
        <v>5006</v>
      </c>
    </row>
    <row r="591" spans="1:160" ht="15" hidden="1" customHeight="1">
      <c r="D591" t="s">
        <v>927</v>
      </c>
      <c r="E591" t="s">
        <v>928</v>
      </c>
      <c r="G591" t="s">
        <v>929</v>
      </c>
      <c r="I591">
        <v>2002</v>
      </c>
      <c r="K591" s="288" t="s">
        <v>930</v>
      </c>
      <c r="M591" t="str">
        <f>LEFT($D591,FIND(",",$D591)-1)&amp;"_"&amp;I591&amp;L591</f>
        <v>Petersen_2002</v>
      </c>
      <c r="N591" t="s">
        <v>222</v>
      </c>
      <c r="O591" s="171" t="s">
        <v>508</v>
      </c>
      <c r="P591" s="141" t="s">
        <v>225</v>
      </c>
      <c r="Q591" s="317" t="s">
        <v>389</v>
      </c>
      <c r="R591" s="318" t="s">
        <v>1029</v>
      </c>
      <c r="S591" s="320" t="s">
        <v>5000</v>
      </c>
      <c r="T591" s="317" t="s">
        <v>5009</v>
      </c>
      <c r="U591" s="317" t="s">
        <v>931</v>
      </c>
      <c r="V591" s="253">
        <v>0</v>
      </c>
      <c r="W591" s="253">
        <v>0</v>
      </c>
      <c r="X591">
        <v>0</v>
      </c>
      <c r="Y591">
        <v>0</v>
      </c>
      <c r="Z591">
        <v>0</v>
      </c>
      <c r="AA591">
        <v>0</v>
      </c>
      <c r="AB591">
        <v>0</v>
      </c>
      <c r="AC591">
        <v>0</v>
      </c>
      <c r="AD591">
        <v>0</v>
      </c>
      <c r="AE591">
        <v>0</v>
      </c>
      <c r="AF591">
        <v>0</v>
      </c>
      <c r="AG591">
        <v>0</v>
      </c>
      <c r="AH591">
        <v>0</v>
      </c>
      <c r="AI591">
        <v>0</v>
      </c>
      <c r="AJ591">
        <v>0</v>
      </c>
      <c r="AK591">
        <v>0</v>
      </c>
      <c r="AL591">
        <v>0</v>
      </c>
      <c r="AM591">
        <v>1</v>
      </c>
      <c r="AN591">
        <v>0</v>
      </c>
      <c r="AO591">
        <v>0</v>
      </c>
      <c r="AP591">
        <v>0</v>
      </c>
      <c r="AQ591">
        <v>0</v>
      </c>
      <c r="AR591">
        <v>0</v>
      </c>
      <c r="AS591">
        <v>0</v>
      </c>
      <c r="AT591">
        <v>0</v>
      </c>
      <c r="AU591">
        <v>0</v>
      </c>
      <c r="AV591">
        <v>0</v>
      </c>
      <c r="AW591">
        <v>0</v>
      </c>
      <c r="AX591">
        <v>0</v>
      </c>
      <c r="AY591">
        <v>0</v>
      </c>
      <c r="AZ591" s="141">
        <f>COUNTIF(X591:AY591,"&lt;&gt;0")</f>
        <v>1</v>
      </c>
      <c r="BA591" s="141">
        <f>COUNTIF(X591:AN591,"&lt;&gt;0")</f>
        <v>1</v>
      </c>
      <c r="BB591">
        <f>COUNTIF(X591:AE591,"&lt;&gt;0")</f>
        <v>0</v>
      </c>
      <c r="BC591">
        <f>COUNTIF(AF591:AK591,"&lt;&gt;0")</f>
        <v>0</v>
      </c>
      <c r="BD591">
        <f>COUNTIF(AL591:AN591,"&lt;&gt;0")</f>
        <v>1</v>
      </c>
      <c r="BE591">
        <f>COUNTIF(AU591:AY591,"&lt;&gt;0")</f>
        <v>0</v>
      </c>
      <c r="BF591">
        <f>COUNTIF(AO591:AT591,"&lt;&gt;0")</f>
        <v>0</v>
      </c>
      <c r="BG591" t="str" cm="1">
        <f t="array" ref="BG591">IF(BA591=1,INDEX($X$7:$AN$7,MATCH(TRUE,INDEX($X591:$AY591&lt;&gt;0,),0)),IF(BA591=0,INDEX($AO$7:$AY$7,MATCH(1,$AO591:$AY591,0)),IF(BH591="Multiple strategies","mixed drivers",IF(BH591="Supply chain","multiple supply","multiple silviculture"))))</f>
        <v>technologies/design switch</v>
      </c>
      <c r="BH591" s="2" t="str" cm="1">
        <f t="array" ref="BH591">IF(COUNTIF(BB591:BD591,"&lt;&gt;0")=1,INDEX($X$4:$AY$4,MATCH(TRUE,INDEX($X591:$AY591&lt;&gt;0,),0)),IF(COUNTIF(BB591:BD591,"&lt;&gt;0")=0,INDEX($AO$4:$AY$4,MATCH(1,$AO591:$AY591,0)),"Multiple strategies"))</f>
        <v>Technology</v>
      </c>
      <c r="BI591" s="142" t="s">
        <v>229</v>
      </c>
      <c r="BJ591" t="s">
        <v>933</v>
      </c>
      <c r="BK591" t="s">
        <v>5002</v>
      </c>
      <c r="BL591" t="s">
        <v>5003</v>
      </c>
      <c r="BM591">
        <v>0</v>
      </c>
      <c r="BN591">
        <v>0.14000000000000001</v>
      </c>
      <c r="BO591" t="str">
        <f>IFERROR(BN591/BM591,"")</f>
        <v/>
      </c>
      <c r="BP591">
        <f>BN591-BM591</f>
        <v>0.14000000000000001</v>
      </c>
      <c r="BQ591">
        <f>BP591</f>
        <v>0.14000000000000001</v>
      </c>
      <c r="BR591" t="s">
        <v>232</v>
      </c>
      <c r="BS591" t="s">
        <v>5004</v>
      </c>
      <c r="BT591" s="317" t="s">
        <v>5005</v>
      </c>
      <c r="BU591">
        <v>17</v>
      </c>
      <c r="BV591">
        <f>BU591-8</f>
        <v>9</v>
      </c>
      <c r="BW591" s="144">
        <f>BV591/BU591</f>
        <v>0.52941176470588236</v>
      </c>
      <c r="BX591">
        <f>BV591-BU591</f>
        <v>-8</v>
      </c>
      <c r="BZ591">
        <f>BX591*10^-3</f>
        <v>-8.0000000000000002E-3</v>
      </c>
      <c r="CA591">
        <f>IFERROR(BZ591/BQ591,"")</f>
        <v>-5.7142857142857141E-2</v>
      </c>
      <c r="CB591">
        <v>0</v>
      </c>
      <c r="CC591">
        <v>0</v>
      </c>
      <c r="CD591">
        <v>0</v>
      </c>
      <c r="CE591">
        <v>0</v>
      </c>
      <c r="CF591">
        <v>0</v>
      </c>
      <c r="CG591">
        <v>0</v>
      </c>
      <c r="CH591">
        <v>0</v>
      </c>
      <c r="CI591">
        <v>0</v>
      </c>
      <c r="CJ591">
        <v>0</v>
      </c>
      <c r="CK591">
        <v>0</v>
      </c>
      <c r="CL591">
        <v>0</v>
      </c>
      <c r="CM591">
        <v>0</v>
      </c>
      <c r="CN591">
        <v>0</v>
      </c>
      <c r="CO591">
        <v>0</v>
      </c>
      <c r="CP591" t="str">
        <f>IF($BN591&lt;$BM591,"refNeedCorrection","refOK")</f>
        <v>refOK</v>
      </c>
      <c r="CQ591">
        <f>IF($CP591="refOK",$BM591,$BN591)</f>
        <v>0</v>
      </c>
      <c r="CR591">
        <f>IF($CP591="refOK",$BN591,$BM591)</f>
        <v>0.14000000000000001</v>
      </c>
      <c r="CS591">
        <f>IF($CP591="refOK",$BQ591,-$BQ591)</f>
        <v>0.14000000000000001</v>
      </c>
      <c r="CT591">
        <f>IF(BI591="Roundwood",$CS591/2,$CS591)</f>
        <v>0.14000000000000001</v>
      </c>
      <c r="CU591">
        <f>IF($CP591="refOK",$BU591,$BV591)*IF($BR591="Emissions positive",-1,1)</f>
        <v>17</v>
      </c>
      <c r="CV591">
        <f>IF($CP591="refOK",$BV591,$BU591)*IF($BR591="Emissions positive",-1,1)</f>
        <v>9</v>
      </c>
      <c r="CW591">
        <f>IF($CP591="refNeedCorrection",-BZ591,BZ591)*IF($BR591="Emissions positive",-1,1)</f>
        <v>-8.0000000000000002E-3</v>
      </c>
      <c r="CX591">
        <f>IFERROR($CW591/$CS591,"")</f>
        <v>-5.7142857142857141E-2</v>
      </c>
      <c r="CY591">
        <f>IFERROR($CW591/$CS591,"")</f>
        <v>-5.7142857142857141E-2</v>
      </c>
      <c r="CZ591">
        <f>IFERROR($CW591/$CT591,"")</f>
        <v>-5.7142857142857141E-2</v>
      </c>
      <c r="DA591" s="2">
        <f>IFERROR((CV591-CU591)/ABS(CU591),"")</f>
        <v>-0.47058823529411764</v>
      </c>
      <c r="DB591" s="1" t="s">
        <v>936</v>
      </c>
      <c r="DC591" s="317" t="str">
        <f>IF(OR($DB591="prd",$DB591="std",$DB591="cit"),"loc",IF(OR($DB591="eur",$DB591="reg",$DB591="coy"),"reg",$DB591))</f>
        <v>loc</v>
      </c>
      <c r="DD591" t="s">
        <v>264</v>
      </c>
      <c r="DG591">
        <v>50</v>
      </c>
      <c r="DH591" t="str">
        <f>IF(DG591=0,"0",IF(AND(DG591&gt;=1,DG591&lt;=30),"1-30",IF(AND(DG591&gt;30,DG591&lt;=70),"31-70",IF(AND(DG591&gt;70,DG591&lt;=100),"71-100",IF(DG591&gt;100,"+100")))))</f>
        <v>31-70</v>
      </c>
      <c r="DI591">
        <v>0</v>
      </c>
      <c r="DJ591">
        <v>0</v>
      </c>
      <c r="DK591">
        <v>0</v>
      </c>
      <c r="DL591">
        <v>1</v>
      </c>
      <c r="DM591">
        <v>0</v>
      </c>
      <c r="DN591">
        <f>SUM(DI591:DL591)</f>
        <v>1</v>
      </c>
      <c r="DO591" t="str">
        <f>IF(DN591=1,INDEX($DI$7:$DL$7,MATCH(1,$DI591:$DL591,0)),"mixedProduct")</f>
        <v>TimberInput</v>
      </c>
      <c r="DP591">
        <f>IF(DI591=1,DP$7,0)</f>
        <v>0</v>
      </c>
      <c r="DQ591">
        <f>IF(DJ591=1,DQ$7,0)</f>
        <v>0</v>
      </c>
      <c r="DR591">
        <f>IF(DK591=1,DR$7,0)</f>
        <v>0</v>
      </c>
      <c r="DS591" t="str">
        <f>IF(DL591=1,DS$7,0)</f>
        <v>Timber</v>
      </c>
      <c r="DT591">
        <v>1</v>
      </c>
      <c r="DU591">
        <v>0</v>
      </c>
      <c r="DV591">
        <v>0</v>
      </c>
      <c r="DW591">
        <v>0</v>
      </c>
      <c r="DX591">
        <v>0</v>
      </c>
      <c r="DY591">
        <f>SUM(DT591:DU591)</f>
        <v>1</v>
      </c>
      <c r="DZ591" s="143" t="str">
        <f>IF(DT591=1,"self-calculated DF",IF(DU591=1,"external DF used","explicit C balance"))</f>
        <v>self-calculated DF</v>
      </c>
      <c r="EA591" s="143">
        <v>0</v>
      </c>
      <c r="EB591" s="143">
        <v>0</v>
      </c>
      <c r="EC591" s="143">
        <v>0</v>
      </c>
      <c r="ED591" s="143">
        <v>0</v>
      </c>
      <c r="EE591" s="143">
        <v>1</v>
      </c>
      <c r="EF591" s="143">
        <v>1</v>
      </c>
      <c r="EG591" s="143">
        <v>0</v>
      </c>
      <c r="EH591" s="143">
        <v>1</v>
      </c>
      <c r="EI591" s="143">
        <v>0</v>
      </c>
      <c r="EJ591">
        <v>1</v>
      </c>
      <c r="EK591">
        <v>0</v>
      </c>
      <c r="EL591" s="143">
        <v>0</v>
      </c>
      <c r="EM591" s="143">
        <v>0</v>
      </c>
      <c r="EN591" s="2">
        <v>0</v>
      </c>
      <c r="EP591" t="str">
        <f>IF(AND(AND(AND(OR($EC591=1,$EB591=1),OR($EH591=1,$EF591=1)),SUM($EA591:$EE591,$EK591)&gt;=3),SUM($EF591:$EJ591)&gt;=2),"Whole sector approach","")</f>
        <v/>
      </c>
      <c r="EQ591" t="str">
        <f>IF(AND(AND(OR($EC591=1,$EB591=1),AND($EH591=0,$EF591=0)),SUM($EA591:$EE591,$EK591)&gt;=3),"Ecosystem approach","")</f>
        <v/>
      </c>
      <c r="ER591" s="2" t="str">
        <f>IF(AND(AND(AND($EC591=0,$EB591=0),OR($EH591=1,$EF591=1)),SUM($EG591:$EJ591)&gt;=2),"Technology approach","")</f>
        <v>Technology approach</v>
      </c>
      <c r="ES591" t="str">
        <f>IF(AND($EC591+$EB591+$EE591+$EA591+$ED591+$EG591=0,$N591="included"),"C neutral forest and HWP assumption","")</f>
        <v/>
      </c>
      <c r="ET591" t="str">
        <f>IF(AND(AND(AND(AND($EC591=1,$EB591+$EA591+$EG591&gt;=1),$EF591=1),$EH591+$EI591+$ED591+$EE591&gt;=2),$N591="included"),"All C pools assumption","")</f>
        <v/>
      </c>
      <c r="EU591" t="str">
        <f>IF(AND($ED591+$EE591+$EI591+$EH591+$EF591=0,$N591="included"),"In-situ only assumption","")</f>
        <v/>
      </c>
      <c r="EV591" s="328" t="s">
        <v>5065</v>
      </c>
      <c r="EY591" t="str">
        <f>IF(ISNUMBER(BW591),IF(ABS(BW591-[4]QC_indicators!$B$2)&gt;3*[4]QC_indicators!$C$2,"C ratio",IF(ISNUMBER(CA591),IF(ABS(CA591-[4]QC_indicators!$B$1)&gt;3*[4]QC_indicators!$C$1,"DF","no"))),IF(ISNUMBER(CA591),IF(ABS(CA591-[4]QC_indicators!$B$1)&gt;3*[4]QC_indicators!$C$1,"DF","no")))</f>
        <v>no</v>
      </c>
      <c r="FA591" t="str">
        <f>IF(LEN($CY591)=0,"",IF(AND($CY591&lt;(-0.05),$ES591="C neutral forest and HWP assumption"),"Cneutral paradox",IF(AND($CY591&gt;0.05,$EU591="In-situ only assumption"),"In-situ only paradox","")))</f>
        <v/>
      </c>
      <c r="FD591" t="s">
        <v>5006</v>
      </c>
    </row>
    <row r="592" spans="1:160" ht="15" hidden="1" customHeight="1">
      <c r="D592" t="s">
        <v>927</v>
      </c>
      <c r="E592" t="s">
        <v>928</v>
      </c>
      <c r="G592" t="s">
        <v>929</v>
      </c>
      <c r="I592">
        <v>2002</v>
      </c>
      <c r="K592" s="288" t="s">
        <v>930</v>
      </c>
      <c r="M592" t="str">
        <f>LEFT($D592,FIND(",",$D592)-1)&amp;"_"&amp;I592&amp;L592</f>
        <v>Petersen_2002</v>
      </c>
      <c r="N592" t="s">
        <v>222</v>
      </c>
      <c r="O592" s="171" t="s">
        <v>508</v>
      </c>
      <c r="P592" s="141" t="s">
        <v>225</v>
      </c>
      <c r="Q592" s="317" t="s">
        <v>389</v>
      </c>
      <c r="R592" s="318" t="s">
        <v>1029</v>
      </c>
      <c r="S592" s="320" t="s">
        <v>5000</v>
      </c>
      <c r="T592" s="317" t="s">
        <v>5001</v>
      </c>
      <c r="U592" s="317" t="s">
        <v>5007</v>
      </c>
      <c r="V592" s="253">
        <v>0</v>
      </c>
      <c r="W592" s="253">
        <v>0</v>
      </c>
      <c r="X592">
        <v>0</v>
      </c>
      <c r="Y592">
        <v>0</v>
      </c>
      <c r="Z592">
        <v>0</v>
      </c>
      <c r="AA592">
        <v>0</v>
      </c>
      <c r="AB592">
        <v>0</v>
      </c>
      <c r="AC592">
        <v>0</v>
      </c>
      <c r="AD592">
        <v>0</v>
      </c>
      <c r="AE592">
        <v>0</v>
      </c>
      <c r="AF592">
        <v>0</v>
      </c>
      <c r="AG592">
        <v>0</v>
      </c>
      <c r="AH592">
        <v>0</v>
      </c>
      <c r="AI592">
        <v>0</v>
      </c>
      <c r="AJ592">
        <v>0</v>
      </c>
      <c r="AK592">
        <v>0</v>
      </c>
      <c r="AL592">
        <v>0</v>
      </c>
      <c r="AM592">
        <v>1</v>
      </c>
      <c r="AN592">
        <v>0</v>
      </c>
      <c r="AO592">
        <v>0</v>
      </c>
      <c r="AP592">
        <v>0</v>
      </c>
      <c r="AQ592">
        <v>0</v>
      </c>
      <c r="AR592">
        <v>0</v>
      </c>
      <c r="AS592">
        <v>0</v>
      </c>
      <c r="AT592">
        <v>0</v>
      </c>
      <c r="AU592">
        <v>0</v>
      </c>
      <c r="AV592">
        <v>0</v>
      </c>
      <c r="AW592">
        <v>0</v>
      </c>
      <c r="AX592">
        <v>0</v>
      </c>
      <c r="AY592">
        <v>0</v>
      </c>
      <c r="AZ592" s="141">
        <f>COUNTIF(X592:AY592,"&lt;&gt;0")</f>
        <v>1</v>
      </c>
      <c r="BA592" s="141">
        <f>COUNTIF(X592:AN592,"&lt;&gt;0")</f>
        <v>1</v>
      </c>
      <c r="BB592">
        <f>COUNTIF(X592:AE592,"&lt;&gt;0")</f>
        <v>0</v>
      </c>
      <c r="BC592">
        <f>COUNTIF(AF592:AK592,"&lt;&gt;0")</f>
        <v>0</v>
      </c>
      <c r="BD592">
        <f>COUNTIF(AL592:AN592,"&lt;&gt;0")</f>
        <v>1</v>
      </c>
      <c r="BE592">
        <f>COUNTIF(AU592:AY592,"&lt;&gt;0")</f>
        <v>0</v>
      </c>
      <c r="BF592">
        <f>COUNTIF(AO592:AT592,"&lt;&gt;0")</f>
        <v>0</v>
      </c>
      <c r="BG592" t="str" cm="1">
        <f t="array" ref="BG592">IF(BA592=1,INDEX($X$7:$AN$7,MATCH(TRUE,INDEX($X592:$AY592&lt;&gt;0,),0)),IF(BA592=0,INDEX($AO$7:$AY$7,MATCH(1,$AO592:$AY592,0)),IF(BH592="Multiple strategies","mixed drivers",IF(BH592="Supply chain","multiple supply","multiple silviculture"))))</f>
        <v>technologies/design switch</v>
      </c>
      <c r="BH592" s="2" t="str" cm="1">
        <f t="array" ref="BH592">IF(COUNTIF(BB592:BD592,"&lt;&gt;0")=1,INDEX($X$4:$AY$4,MATCH(TRUE,INDEX($X592:$AY592&lt;&gt;0,),0)),IF(COUNTIF(BB592:BD592,"&lt;&gt;0")=0,INDEX($AO$4:$AY$4,MATCH(1,$AO592:$AY592,0)),"Multiple strategies"))</f>
        <v>Technology</v>
      </c>
      <c r="BI592" s="142" t="s">
        <v>229</v>
      </c>
      <c r="BJ592" t="s">
        <v>933</v>
      </c>
      <c r="BK592" t="s">
        <v>5002</v>
      </c>
      <c r="BL592" t="s">
        <v>5003</v>
      </c>
      <c r="BM592">
        <v>0</v>
      </c>
      <c r="BN592">
        <v>0.14000000000000001</v>
      </c>
      <c r="BO592" t="str">
        <f>IFERROR(BN592/BM592,"")</f>
        <v/>
      </c>
      <c r="BP592">
        <f>BN592-BM592</f>
        <v>0.14000000000000001</v>
      </c>
      <c r="BQ592">
        <f>BP592</f>
        <v>0.14000000000000001</v>
      </c>
      <c r="BR592" t="s">
        <v>232</v>
      </c>
      <c r="BS592" t="s">
        <v>5004</v>
      </c>
      <c r="BT592" s="317" t="s">
        <v>5005</v>
      </c>
      <c r="BU592">
        <v>-45.5</v>
      </c>
      <c r="BV592">
        <f>BU592-107</f>
        <v>-152.5</v>
      </c>
      <c r="BW592" s="144">
        <f>BV592/BU592</f>
        <v>3.3516483516483517</v>
      </c>
      <c r="BX592">
        <f>BV592-BU592</f>
        <v>-107</v>
      </c>
      <c r="BZ592">
        <f>BX592*10^-3</f>
        <v>-0.107</v>
      </c>
      <c r="CA592">
        <f>IFERROR(BZ592/BQ592,"")</f>
        <v>-0.76428571428571423</v>
      </c>
      <c r="CB592">
        <v>0</v>
      </c>
      <c r="CC592">
        <v>0</v>
      </c>
      <c r="CD592">
        <v>0</v>
      </c>
      <c r="CE592">
        <v>0</v>
      </c>
      <c r="CF592">
        <v>0</v>
      </c>
      <c r="CG592">
        <v>0</v>
      </c>
      <c r="CH592">
        <v>0</v>
      </c>
      <c r="CI592">
        <v>0</v>
      </c>
      <c r="CJ592">
        <v>0</v>
      </c>
      <c r="CK592">
        <v>0</v>
      </c>
      <c r="CL592">
        <v>0</v>
      </c>
      <c r="CM592">
        <v>0</v>
      </c>
      <c r="CN592">
        <v>0</v>
      </c>
      <c r="CO592">
        <v>0</v>
      </c>
      <c r="CP592" t="str">
        <f>IF($BN592&lt;$BM592,"refNeedCorrection","refOK")</f>
        <v>refOK</v>
      </c>
      <c r="CQ592">
        <f>IF($CP592="refOK",$BM592,$BN592)</f>
        <v>0</v>
      </c>
      <c r="CR592">
        <f>IF($CP592="refOK",$BN592,$BM592)</f>
        <v>0.14000000000000001</v>
      </c>
      <c r="CS592">
        <f>IF($CP592="refOK",$BQ592,-$BQ592)</f>
        <v>0.14000000000000001</v>
      </c>
      <c r="CT592">
        <f>IF(BI592="Roundwood",$CS592/2,$CS592)</f>
        <v>0.14000000000000001</v>
      </c>
      <c r="CU592">
        <f>IF($CP592="refOK",$BU592,$BV592)*IF($BR592="Emissions positive",-1,1)</f>
        <v>-45.5</v>
      </c>
      <c r="CV592">
        <f>IF($CP592="refOK",$BV592,$BU592)*IF($BR592="Emissions positive",-1,1)</f>
        <v>-152.5</v>
      </c>
      <c r="CW592">
        <f>IF($CP592="refNeedCorrection",-BZ592,BZ592)*IF($BR592="Emissions positive",-1,1)</f>
        <v>-0.107</v>
      </c>
      <c r="CX592">
        <f>IFERROR($CW592/$CS592,"")</f>
        <v>-0.76428571428571423</v>
      </c>
      <c r="CY592">
        <f>IFERROR($CW592/$CS592,"")</f>
        <v>-0.76428571428571423</v>
      </c>
      <c r="CZ592">
        <f>IFERROR($CW592/$CT592,"")</f>
        <v>-0.76428571428571423</v>
      </c>
      <c r="DA592" s="2">
        <f>IFERROR((CV592-CU592)/ABS(CU592),"")</f>
        <v>-2.3516483516483517</v>
      </c>
      <c r="DB592" s="1" t="s">
        <v>936</v>
      </c>
      <c r="DC592" s="317" t="str">
        <f>IF(OR($DB592="prd",$DB592="std",$DB592="cit"),"loc",IF(OR($DB592="eur",$DB592="reg",$DB592="coy"),"reg",$DB592))</f>
        <v>loc</v>
      </c>
      <c r="DD592" t="s">
        <v>264</v>
      </c>
      <c r="DG592">
        <v>50</v>
      </c>
      <c r="DH592" t="str">
        <f>IF(DG592=0,"0",IF(AND(DG592&gt;=1,DG592&lt;=30),"1-30",IF(AND(DG592&gt;30,DG592&lt;=70),"31-70",IF(AND(DG592&gt;70,DG592&lt;=100),"71-100",IF(DG592&gt;100,"+100")))))</f>
        <v>31-70</v>
      </c>
      <c r="DI592">
        <v>0</v>
      </c>
      <c r="DJ592">
        <v>0</v>
      </c>
      <c r="DK592">
        <v>0</v>
      </c>
      <c r="DL592">
        <v>1</v>
      </c>
      <c r="DM592">
        <v>0</v>
      </c>
      <c r="DN592">
        <f>SUM(DI592:DL592)</f>
        <v>1</v>
      </c>
      <c r="DO592" t="str">
        <f>IF(DN592=1,INDEX($DI$7:$DL$7,MATCH(1,$DI592:$DL592,0)),"mixedProduct")</f>
        <v>TimberInput</v>
      </c>
      <c r="DP592">
        <f>IF(DI592=1,DP$7,0)</f>
        <v>0</v>
      </c>
      <c r="DQ592">
        <f>IF(DJ592=1,DQ$7,0)</f>
        <v>0</v>
      </c>
      <c r="DR592">
        <f>IF(DK592=1,DR$7,0)</f>
        <v>0</v>
      </c>
      <c r="DS592" t="str">
        <f>IF(DL592=1,DS$7,0)</f>
        <v>Timber</v>
      </c>
      <c r="DT592">
        <v>1</v>
      </c>
      <c r="DU592">
        <v>0</v>
      </c>
      <c r="DV592">
        <v>0</v>
      </c>
      <c r="DW592">
        <v>0</v>
      </c>
      <c r="DX592">
        <v>0</v>
      </c>
      <c r="DY592">
        <f>SUM(DT592:DU592)</f>
        <v>1</v>
      </c>
      <c r="DZ592" s="143" t="str">
        <f>IF(DT592=1,"self-calculated DF",IF(DU592=1,"external DF used","explicit C balance"))</f>
        <v>self-calculated DF</v>
      </c>
      <c r="EA592" s="143">
        <v>0</v>
      </c>
      <c r="EB592" s="143">
        <v>0</v>
      </c>
      <c r="EC592" s="143">
        <v>0</v>
      </c>
      <c r="ED592" s="143">
        <v>0</v>
      </c>
      <c r="EE592" s="143">
        <v>1</v>
      </c>
      <c r="EF592" s="143">
        <v>1</v>
      </c>
      <c r="EG592" s="143">
        <v>0</v>
      </c>
      <c r="EH592" s="143">
        <v>1</v>
      </c>
      <c r="EI592" s="143">
        <v>0</v>
      </c>
      <c r="EJ592">
        <v>1</v>
      </c>
      <c r="EK592">
        <v>0</v>
      </c>
      <c r="EL592" s="143">
        <v>0</v>
      </c>
      <c r="EM592" s="143">
        <v>0</v>
      </c>
      <c r="EN592" s="2">
        <v>0</v>
      </c>
      <c r="EP592" t="str">
        <f>IF(AND(AND(AND(OR($EC592=1,$EB592=1),OR($EH592=1,$EF592=1)),SUM($EA592:$EE592,$EK592)&gt;=3),SUM($EF592:$EJ592)&gt;=2),"Whole sector approach","")</f>
        <v/>
      </c>
      <c r="EQ592" t="str">
        <f>IF(AND(AND(OR($EC592=1,$EB592=1),AND($EH592=0,$EF592=0)),SUM($EA592:$EE592,$EK592)&gt;=3),"Ecosystem approach","")</f>
        <v/>
      </c>
      <c r="ER592" s="2" t="str">
        <f>IF(AND(AND(AND($EC592=0,$EB592=0),OR($EH592=1,$EF592=1)),SUM($EG592:$EJ592)&gt;=2),"Technology approach","")</f>
        <v>Technology approach</v>
      </c>
      <c r="ES592" t="str">
        <f>IF(AND($EC592+$EB592+$EE592+$EA592+$ED592+$EG592=0,$N592="included"),"C neutral forest and HWP assumption","")</f>
        <v/>
      </c>
      <c r="ET592" t="str">
        <f>IF(AND(AND(AND(AND($EC592=1,$EB592+$EA592+$EG592&gt;=1),$EF592=1),$EH592+$EI592+$ED592+$EE592&gt;=2),$N592="included"),"All C pools assumption","")</f>
        <v/>
      </c>
      <c r="EU592" t="str">
        <f>IF(AND($ED592+$EE592+$EI592+$EH592+$EF592=0,$N592="included"),"In-situ only assumption","")</f>
        <v/>
      </c>
      <c r="EV592" s="328" t="s">
        <v>5065</v>
      </c>
      <c r="EY592" t="str">
        <f>IF(ISNUMBER(BW592),IF(ABS(BW592-[4]QC_indicators!$B$2)&gt;3*[4]QC_indicators!$C$2,"C ratio",IF(ISNUMBER(CA592),IF(ABS(CA592-[4]QC_indicators!$B$1)&gt;3*[4]QC_indicators!$C$1,"DF","no"))),IF(ISNUMBER(CA592),IF(ABS(CA592-[4]QC_indicators!$B$1)&gt;3*[4]QC_indicators!$C$1,"DF","no")))</f>
        <v>no</v>
      </c>
      <c r="FA592" t="str">
        <f>IF(LEN($CY592)=0,"",IF(AND($CY592&lt;(-0.05),$ES592="C neutral forest and HWP assumption"),"Cneutral paradox",IF(AND($CY592&gt;0.05,$EU592="In-situ only assumption"),"In-situ only paradox","")))</f>
        <v/>
      </c>
      <c r="FD592" t="s">
        <v>5006</v>
      </c>
    </row>
    <row r="593" spans="1:160" ht="15" hidden="1" customHeight="1">
      <c r="D593" t="s">
        <v>927</v>
      </c>
      <c r="E593" t="s">
        <v>939</v>
      </c>
      <c r="G593" t="s">
        <v>680</v>
      </c>
      <c r="I593">
        <v>2003</v>
      </c>
      <c r="K593" s="288" t="s">
        <v>940</v>
      </c>
      <c r="M593" t="str">
        <f>LEFT($D593,FIND(",",$D593)-1)&amp;"_"&amp;I593&amp;L593</f>
        <v>Petersen_2003</v>
      </c>
      <c r="N593" t="s">
        <v>222</v>
      </c>
      <c r="O593" s="171" t="s">
        <v>508</v>
      </c>
      <c r="P593" s="141" t="s">
        <v>225</v>
      </c>
      <c r="Q593" s="317" t="s">
        <v>389</v>
      </c>
      <c r="R593" s="318" t="s">
        <v>1029</v>
      </c>
      <c r="S593" s="320" t="s">
        <v>5012</v>
      </c>
      <c r="T593" s="317" t="s">
        <v>5013</v>
      </c>
      <c r="U593" s="317" t="s">
        <v>5017</v>
      </c>
      <c r="V593" s="253">
        <v>0</v>
      </c>
      <c r="W593" s="253">
        <v>0</v>
      </c>
      <c r="X593">
        <v>0</v>
      </c>
      <c r="Y593">
        <v>0</v>
      </c>
      <c r="Z593">
        <v>0</v>
      </c>
      <c r="AA593">
        <v>0</v>
      </c>
      <c r="AB593">
        <v>0</v>
      </c>
      <c r="AC593">
        <v>0</v>
      </c>
      <c r="AD593">
        <v>0</v>
      </c>
      <c r="AE593">
        <v>0</v>
      </c>
      <c r="AF593">
        <v>0</v>
      </c>
      <c r="AG593">
        <v>0</v>
      </c>
      <c r="AH593">
        <v>0</v>
      </c>
      <c r="AI593">
        <v>0</v>
      </c>
      <c r="AJ593">
        <v>0</v>
      </c>
      <c r="AK593">
        <v>0</v>
      </c>
      <c r="AL593">
        <v>0</v>
      </c>
      <c r="AM593">
        <v>1</v>
      </c>
      <c r="AN593">
        <v>0</v>
      </c>
      <c r="AO593">
        <v>0</v>
      </c>
      <c r="AP593">
        <v>0</v>
      </c>
      <c r="AQ593">
        <v>0</v>
      </c>
      <c r="AR593">
        <v>0</v>
      </c>
      <c r="AS593">
        <v>0</v>
      </c>
      <c r="AT593">
        <v>0</v>
      </c>
      <c r="AU593">
        <v>0</v>
      </c>
      <c r="AV593">
        <v>0</v>
      </c>
      <c r="AW593">
        <v>0</v>
      </c>
      <c r="AX593">
        <v>0</v>
      </c>
      <c r="AY593">
        <v>0</v>
      </c>
      <c r="AZ593" s="141">
        <f>COUNTIF(X593:AY593,"&lt;&gt;0")</f>
        <v>1</v>
      </c>
      <c r="BA593" s="141">
        <f>COUNTIF(X593:AN593,"&lt;&gt;0")</f>
        <v>1</v>
      </c>
      <c r="BB593">
        <f>COUNTIF(X593:AE593,"&lt;&gt;0")</f>
        <v>0</v>
      </c>
      <c r="BC593">
        <f>COUNTIF(AF593:AK593,"&lt;&gt;0")</f>
        <v>0</v>
      </c>
      <c r="BD593">
        <f>COUNTIF(AL593:AN593,"&lt;&gt;0")</f>
        <v>1</v>
      </c>
      <c r="BE593">
        <f>COUNTIF(AU593:AY593,"&lt;&gt;0")</f>
        <v>0</v>
      </c>
      <c r="BF593">
        <f>COUNTIF(AO593:AT593,"&lt;&gt;0")</f>
        <v>0</v>
      </c>
      <c r="BG593" t="str">
        <f t="array" ref="BG593">IF(BA593=1,INDEX($X$7:$AN$7,MATCH(TRUE,INDEX($X593:$AY593&lt;&gt;0,),0)),IF(BA593=0,INDEX($AO$7:$AY$7,MATCH(1,$AO593:$AY593,0)),IF(BH593="Multiple strategies","mixed drivers",IF(BH593="Supply chain","multiple supply","multiple silviculture"))))</f>
        <v>technologies/design switch</v>
      </c>
      <c r="BH593" s="2" t="str">
        <f t="array" ref="BH593">IF(COUNTIF(BB593:BD593,"&lt;&gt;0")=1,INDEX($X$4:$AY$4,MATCH(TRUE,INDEX($X593:$AY593&lt;&gt;0,),0)),IF(COUNTIF(BB593:BD593,"&lt;&gt;0")=0,INDEX($AO$4:$AY$4,MATCH(1,$AO593:$AY593,0)),"Multiple strategies"))</f>
        <v>Technology</v>
      </c>
      <c r="BI593" s="142" t="s">
        <v>229</v>
      </c>
      <c r="BJ593" t="s">
        <v>933</v>
      </c>
      <c r="BK593" t="s">
        <v>942</v>
      </c>
      <c r="BL593" t="s">
        <v>498</v>
      </c>
      <c r="BM593">
        <v>0</v>
      </c>
      <c r="BN593">
        <v>1</v>
      </c>
      <c r="BO593" t="str">
        <f>IFERROR(BN593/BM593,"")</f>
        <v/>
      </c>
      <c r="BP593">
        <f>BN593-BM593</f>
        <v>1</v>
      </c>
      <c r="BQ593">
        <v>1</v>
      </c>
      <c r="BR593" t="s">
        <v>232</v>
      </c>
      <c r="BS593" t="s">
        <v>728</v>
      </c>
      <c r="BT593" s="317" t="s">
        <v>935</v>
      </c>
      <c r="BX593">
        <v>0.84599999999999997</v>
      </c>
      <c r="BZ593">
        <f>BX593</f>
        <v>0.84599999999999997</v>
      </c>
      <c r="CA593">
        <f>IFERROR(BZ593/BQ593,"")</f>
        <v>0.84599999999999997</v>
      </c>
      <c r="CB593">
        <v>0</v>
      </c>
      <c r="CC593">
        <v>0</v>
      </c>
      <c r="CD593">
        <v>0</v>
      </c>
      <c r="CE593">
        <v>0</v>
      </c>
      <c r="CF593">
        <v>0</v>
      </c>
      <c r="CG593">
        <v>0</v>
      </c>
      <c r="CH593">
        <v>0</v>
      </c>
      <c r="CI593">
        <v>0</v>
      </c>
      <c r="CJ593">
        <v>0</v>
      </c>
      <c r="CK593">
        <v>0</v>
      </c>
      <c r="CL593">
        <v>0</v>
      </c>
      <c r="CM593">
        <v>0</v>
      </c>
      <c r="CN593">
        <v>0</v>
      </c>
      <c r="CO593">
        <v>0</v>
      </c>
      <c r="CP593" t="str">
        <f>IF($BN593&lt;$BM593,"refNeedCorrection","refOK")</f>
        <v>refOK</v>
      </c>
      <c r="CQ593">
        <f>IF($CP593="refOK",$BM593,$BN593)</f>
        <v>0</v>
      </c>
      <c r="CR593">
        <f>IF($CP593="refOK",$BN593,$BM593)</f>
        <v>1</v>
      </c>
      <c r="CS593">
        <f>IF($CP593="refOK",$BQ593,-$BQ593)</f>
        <v>1</v>
      </c>
      <c r="CT593">
        <f>IF(BI593="Roundwood",$CS593/2,$CS593)</f>
        <v>1</v>
      </c>
      <c r="CU593">
        <f>IF($CP593="refOK",$BU593,$BV593)*IF($BR593="Emissions positive",-1,1)</f>
        <v>0</v>
      </c>
      <c r="CV593">
        <f>IF($CP593="refOK",$BV593,$BU593)*IF($BR593="Emissions positive",-1,1)</f>
        <v>0</v>
      </c>
      <c r="CW593">
        <f>IF($CP593="refNeedCorrection",-BZ593,BZ593)*IF($BR593="Emissions positive",-1,1)</f>
        <v>0.84599999999999997</v>
      </c>
      <c r="CX593">
        <f>IFERROR($CW593/$CS593,"")</f>
        <v>0.84599999999999997</v>
      </c>
      <c r="CY593">
        <f>IFERROR($CW593/$CS593,"")</f>
        <v>0.84599999999999997</v>
      </c>
      <c r="CZ593">
        <f>IFERROR($CW593/$CT593,"")</f>
        <v>0.84599999999999997</v>
      </c>
      <c r="DA593" s="2" t="str">
        <f>IFERROR((CV593-CU593)/ABS(CU593),"")</f>
        <v/>
      </c>
      <c r="DB593" s="1" t="s">
        <v>263</v>
      </c>
      <c r="DC593" s="317" t="str">
        <f>IF(OR($DB593="prd",$DB593="std",$DB593="cit"),"loc",IF(OR($DB593="eur",$DB593="reg",$DB593="coy"),"reg",$DB593))</f>
        <v>loc</v>
      </c>
      <c r="DD593" t="s">
        <v>264</v>
      </c>
      <c r="DF593" s="143"/>
      <c r="DG593" s="143">
        <v>90</v>
      </c>
      <c r="DH593" t="str">
        <f>IF(DG593=0,"0",IF(AND(DG593&gt;=1,DG593&lt;=30),"1-30",IF(AND(DG593&gt;30,DG593&lt;=70),"31-70",IF(AND(DG593&gt;70,DG593&lt;=100),"71-100",IF(DG593&gt;100,"+100")))))</f>
        <v>71-100</v>
      </c>
      <c r="DI593">
        <v>0</v>
      </c>
      <c r="DJ593">
        <v>0</v>
      </c>
      <c r="DK593">
        <v>0</v>
      </c>
      <c r="DL593">
        <v>1</v>
      </c>
      <c r="DM593">
        <v>0</v>
      </c>
      <c r="DN593">
        <f>SUM(DI593:DL593)</f>
        <v>1</v>
      </c>
      <c r="DO593" t="str">
        <f>IF(DN593=1,INDEX($DI$7:$DL$7,MATCH(1,$DI593:$DL593,0)),"mixedProduct")</f>
        <v>TimberInput</v>
      </c>
      <c r="DP593">
        <f>IF(DI593=1,DP$7,0)</f>
        <v>0</v>
      </c>
      <c r="DQ593">
        <f>IF(DJ593=1,DQ$7,0)</f>
        <v>0</v>
      </c>
      <c r="DR593">
        <f>IF(DK593=1,DR$7,0)</f>
        <v>0</v>
      </c>
      <c r="DS593" t="str">
        <f>IF(DL593=1,DS$7,0)</f>
        <v>Timber</v>
      </c>
      <c r="DT593">
        <v>1</v>
      </c>
      <c r="DU593">
        <v>0</v>
      </c>
      <c r="DV593">
        <v>0</v>
      </c>
      <c r="DW593">
        <v>0</v>
      </c>
      <c r="DX593">
        <v>0</v>
      </c>
      <c r="DY593">
        <f>SUM(DT593:DU593)</f>
        <v>1</v>
      </c>
      <c r="DZ593" s="143" t="str">
        <f>IF(DT593=1,"self-calculated DF",IF(DU593=1,"external DF used","explicit C balance"))</f>
        <v>self-calculated DF</v>
      </c>
      <c r="EA593">
        <v>0</v>
      </c>
      <c r="EB593">
        <v>0</v>
      </c>
      <c r="EC593" s="143">
        <v>0</v>
      </c>
      <c r="ED593" s="143">
        <v>0</v>
      </c>
      <c r="EE593" s="143">
        <v>1</v>
      </c>
      <c r="EF593" s="143">
        <v>1</v>
      </c>
      <c r="EG593">
        <v>0</v>
      </c>
      <c r="EH593" s="143">
        <v>1</v>
      </c>
      <c r="EI593" s="143">
        <v>0</v>
      </c>
      <c r="EJ593">
        <v>1</v>
      </c>
      <c r="EK593">
        <v>0</v>
      </c>
      <c r="EL593" s="143">
        <v>0</v>
      </c>
      <c r="EM593" s="143">
        <v>0</v>
      </c>
      <c r="EN593" s="2">
        <v>0</v>
      </c>
      <c r="EP593" t="str">
        <f>IF(AND(AND(AND(OR($EC593=1,$EB593=1),OR($EH593=1,$EF593=1)),SUM($EA593:$EE593,$EK593)&gt;=3),SUM($EF593:$EJ593)&gt;=2),"Whole sector approach","")</f>
        <v/>
      </c>
      <c r="EQ593" t="str">
        <f>IF(AND(AND(OR($EC593=1,$EB593=1),AND($EH593=0,$EF593=0)),SUM($EA593:$EE593,$EK593)&gt;=3),"Ecosystem approach","")</f>
        <v/>
      </c>
      <c r="ER593" s="2" t="str">
        <f>IF(AND(AND(AND($EC593=0,$EB593=0),OR($EH593=1,$EF593=1)),SUM($EG593:$EJ593)&gt;=2),"Technology approach","")</f>
        <v>Technology approach</v>
      </c>
      <c r="ES593" t="str">
        <f>IF(AND($EC593+$EB593+$EE593+$EA593+$ED593+$EG593=0,$N593="included"),"C neutral forest and HWP assumption","")</f>
        <v/>
      </c>
      <c r="ET593" t="str">
        <f>IF(AND(AND(AND(AND($EC593=1,$EB593+$EA593+$EG593&gt;=1),$EF593=1),$EH593+$EI593+$ED593+$EE593&gt;=2),$N593="included"),"All C pools assumption","")</f>
        <v/>
      </c>
      <c r="EU593" t="str">
        <f>IF(AND($ED593+$EE593+$EI593+$EH593+$EF593=0,$N593="included"),"In-situ only assumption","")</f>
        <v/>
      </c>
      <c r="EW593" t="s">
        <v>945</v>
      </c>
      <c r="EY593" t="str">
        <f>IF(ISNUMBER(BW593),IF(ABS(BW593-[7]QC_indicators!$B$2)&gt;3*[7]QC_indicators!$C$2,"C ratio",IF(ISNUMBER(CA593),IF(ABS(CA593-[7]QC_indicators!$B$1)&gt;3*[7]QC_indicators!$C$1,"DF","no"))),IF(ISNUMBER(CA593),IF(ABS(CA593-[7]QC_indicators!$B$1)&gt;3*[7]QC_indicators!$C$1,"DF","no")))</f>
        <v>no</v>
      </c>
      <c r="FA593" t="str">
        <f>IF(LEN($CY593)=0,"",IF(AND($CY593&lt;(-0.05),$ES593="C neutral forest and HWP assumption"),"Cneutral paradox",IF(AND($CY593&gt;0.05,$EU593="In-situ only assumption"),"In-situ only paradox","")))</f>
        <v/>
      </c>
      <c r="FB593" s="317" t="s">
        <v>944</v>
      </c>
      <c r="FD593" t="s">
        <v>5015</v>
      </c>
    </row>
    <row r="594" spans="1:160" ht="15" hidden="1" customHeight="1">
      <c r="D594" t="s">
        <v>927</v>
      </c>
      <c r="E594" t="s">
        <v>939</v>
      </c>
      <c r="G594" t="s">
        <v>680</v>
      </c>
      <c r="I594">
        <v>2003</v>
      </c>
      <c r="K594" s="288" t="s">
        <v>940</v>
      </c>
      <c r="M594" t="str">
        <f>LEFT($D594,FIND(",",$D594)-1)&amp;"_"&amp;I594&amp;L594</f>
        <v>Petersen_2003</v>
      </c>
      <c r="N594" t="s">
        <v>222</v>
      </c>
      <c r="O594" s="171" t="s">
        <v>508</v>
      </c>
      <c r="P594" s="141" t="s">
        <v>225</v>
      </c>
      <c r="Q594" s="317" t="s">
        <v>389</v>
      </c>
      <c r="R594" s="318" t="s">
        <v>1029</v>
      </c>
      <c r="S594" s="320" t="s">
        <v>5012</v>
      </c>
      <c r="T594" s="317" t="s">
        <v>5013</v>
      </c>
      <c r="U594" t="s">
        <v>5016</v>
      </c>
      <c r="V594" s="253">
        <v>0</v>
      </c>
      <c r="W594" s="253">
        <v>0</v>
      </c>
      <c r="X594">
        <v>0</v>
      </c>
      <c r="Y594">
        <v>0</v>
      </c>
      <c r="Z594">
        <v>0</v>
      </c>
      <c r="AA594">
        <v>0</v>
      </c>
      <c r="AB594">
        <v>0</v>
      </c>
      <c r="AC594">
        <v>0</v>
      </c>
      <c r="AD594">
        <v>0</v>
      </c>
      <c r="AE594">
        <v>0</v>
      </c>
      <c r="AF594">
        <v>0</v>
      </c>
      <c r="AG594">
        <v>0</v>
      </c>
      <c r="AH594">
        <v>0</v>
      </c>
      <c r="AI594">
        <v>0</v>
      </c>
      <c r="AJ594">
        <v>0</v>
      </c>
      <c r="AK594">
        <v>1</v>
      </c>
      <c r="AL594">
        <v>0</v>
      </c>
      <c r="AM594">
        <v>0</v>
      </c>
      <c r="AN594">
        <v>0</v>
      </c>
      <c r="AO594">
        <v>0</v>
      </c>
      <c r="AP594">
        <v>0</v>
      </c>
      <c r="AQ594">
        <v>0</v>
      </c>
      <c r="AR594">
        <v>0</v>
      </c>
      <c r="AS594">
        <v>0</v>
      </c>
      <c r="AT594">
        <v>0</v>
      </c>
      <c r="AU594">
        <v>0</v>
      </c>
      <c r="AV594">
        <v>0</v>
      </c>
      <c r="AW594">
        <v>0</v>
      </c>
      <c r="AX594">
        <v>0</v>
      </c>
      <c r="AY594">
        <v>0</v>
      </c>
      <c r="AZ594" s="141">
        <f>COUNTIF(X594:AY594,"&lt;&gt;0")</f>
        <v>1</v>
      </c>
      <c r="BA594" s="141">
        <f>COUNTIF(X594:AN594,"&lt;&gt;0")</f>
        <v>1</v>
      </c>
      <c r="BB594">
        <f>COUNTIF(X594:AE594,"&lt;&gt;0")</f>
        <v>0</v>
      </c>
      <c r="BC594">
        <f>COUNTIF(AF594:AK594,"&lt;&gt;0")</f>
        <v>1</v>
      </c>
      <c r="BD594">
        <f>COUNTIF(AL594:AN594,"&lt;&gt;0")</f>
        <v>0</v>
      </c>
      <c r="BE594">
        <f>COUNTIF(AU594:AY594,"&lt;&gt;0")</f>
        <v>0</v>
      </c>
      <c r="BF594">
        <f>COUNTIF(AO594:AT594,"&lt;&gt;0")</f>
        <v>0</v>
      </c>
      <c r="BG594" t="str">
        <f t="array" ref="BG594">IF(BA594=1,INDEX($X$7:$AN$7,MATCH(TRUE,INDEX($X594:$AY594&lt;&gt;0,),0)),IF(BA594=0,INDEX($AO$7:$AY$7,MATCH(1,$AO594:$AY594,0)),IF(BH594="Multiple strategies","mixed drivers",IF(BH594="Supply chain","multiple supply","multiple silviculture"))))</f>
        <v>products lifespan</v>
      </c>
      <c r="BH594" s="2" t="str">
        <f t="array" ref="BH594">IF(COUNTIF(BB594:BD594,"&lt;&gt;0")=1,INDEX($X$4:$AY$4,MATCH(TRUE,INDEX($X594:$AY594&lt;&gt;0,),0)),IF(COUNTIF(BB594:BD594,"&lt;&gt;0")=0,INDEX($AO$4:$AY$4,MATCH(1,$AO594:$AY594,0)),"Multiple strategies"))</f>
        <v>Supply chain</v>
      </c>
      <c r="BI594" s="142" t="s">
        <v>229</v>
      </c>
      <c r="BJ594" t="s">
        <v>933</v>
      </c>
      <c r="BK594" t="s">
        <v>942</v>
      </c>
      <c r="BL594" t="s">
        <v>498</v>
      </c>
      <c r="BM594">
        <v>1</v>
      </c>
      <c r="BN594">
        <v>1</v>
      </c>
      <c r="BO594">
        <f>IFERROR(BN594/BM594,"")</f>
        <v>1</v>
      </c>
      <c r="BP594">
        <f>BN594-BM594</f>
        <v>0</v>
      </c>
      <c r="BQ594">
        <v>1</v>
      </c>
      <c r="BR594" t="s">
        <v>232</v>
      </c>
      <c r="BS594" t="s">
        <v>728</v>
      </c>
      <c r="BT594" s="317" t="s">
        <v>935</v>
      </c>
      <c r="BX594">
        <v>0.7</v>
      </c>
      <c r="BZ594">
        <f>BX594</f>
        <v>0.7</v>
      </c>
      <c r="CA594">
        <f>IFERROR(BZ594/BQ594,"")</f>
        <v>0.7</v>
      </c>
      <c r="CB594">
        <v>0</v>
      </c>
      <c r="CC594">
        <v>0</v>
      </c>
      <c r="CD594">
        <v>0</v>
      </c>
      <c r="CE594">
        <v>0</v>
      </c>
      <c r="CF594">
        <v>0</v>
      </c>
      <c r="CG594">
        <v>0</v>
      </c>
      <c r="CH594">
        <v>0</v>
      </c>
      <c r="CI594">
        <v>0</v>
      </c>
      <c r="CJ594">
        <v>0</v>
      </c>
      <c r="CK594">
        <v>0</v>
      </c>
      <c r="CL594">
        <v>0</v>
      </c>
      <c r="CM594">
        <v>0</v>
      </c>
      <c r="CN594">
        <v>0</v>
      </c>
      <c r="CO594">
        <v>0</v>
      </c>
      <c r="CP594" t="str">
        <f>IF($BN594&lt;$BM594,"refNeedCorrection","refOK")</f>
        <v>refOK</v>
      </c>
      <c r="CQ594">
        <f>IF($CP594="refOK",$BM594,$BN594)</f>
        <v>1</v>
      </c>
      <c r="CR594">
        <f>IF($CP594="refOK",$BN594,$BM594)</f>
        <v>1</v>
      </c>
      <c r="CS594">
        <f>IF($CP594="refOK",$BQ594,-$BQ594)</f>
        <v>1</v>
      </c>
      <c r="CT594">
        <f>IF(BI594="Roundwood",$CS594/2,$CS594)</f>
        <v>1</v>
      </c>
      <c r="CU594">
        <f>IF($CP594="refOK",$BU594,$BV594)*IF($BR594="Emissions positive",-1,1)</f>
        <v>0</v>
      </c>
      <c r="CV594">
        <f>IF($CP594="refOK",$BV594,$BU594)*IF($BR594="Emissions positive",-1,1)</f>
        <v>0</v>
      </c>
      <c r="CW594">
        <f>IF($CP594="refNeedCorrection",-BZ594,BZ594)*IF($BR594="Emissions positive",-1,1)</f>
        <v>0.7</v>
      </c>
      <c r="CX594">
        <f>IFERROR($CW594/$CS594,"")</f>
        <v>0.7</v>
      </c>
      <c r="CY594">
        <f>IFERROR($CW594/$CS594,"")</f>
        <v>0.7</v>
      </c>
      <c r="CZ594">
        <f>IFERROR($CW594/$CT594,"")</f>
        <v>0.7</v>
      </c>
      <c r="DA594" s="2" t="str">
        <f>IFERROR((CV594-CU594)/ABS(CU594),"")</f>
        <v/>
      </c>
      <c r="DB594" s="1" t="s">
        <v>263</v>
      </c>
      <c r="DC594" s="317" t="str">
        <f>IF(OR($DB594="prd",$DB594="std",$DB594="cit"),"loc",IF(OR($DB594="eur",$DB594="reg",$DB594="coy"),"reg",$DB594))</f>
        <v>loc</v>
      </c>
      <c r="DD594" t="s">
        <v>264</v>
      </c>
      <c r="DF594" s="143"/>
      <c r="DG594" s="143">
        <v>45</v>
      </c>
      <c r="DH594" t="str">
        <f>IF(DG594=0,"0",IF(AND(DG594&gt;=1,DG594&lt;=30),"1-30",IF(AND(DG594&gt;30,DG594&lt;=70),"31-70",IF(AND(DG594&gt;70,DG594&lt;=100),"71-100",IF(DG594&gt;100,"+100")))))</f>
        <v>31-70</v>
      </c>
      <c r="DI594">
        <v>0</v>
      </c>
      <c r="DJ594">
        <v>0</v>
      </c>
      <c r="DK594">
        <v>0</v>
      </c>
      <c r="DL594">
        <v>1</v>
      </c>
      <c r="DM594">
        <v>0</v>
      </c>
      <c r="DN594">
        <f>SUM(DI594:DL594)</f>
        <v>1</v>
      </c>
      <c r="DO594" t="str">
        <f>IF(DN594=1,INDEX($DI$7:$DL$7,MATCH(1,$DI594:$DL594,0)),"mixedProduct")</f>
        <v>TimberInput</v>
      </c>
      <c r="DP594">
        <f>IF(DI594=1,DP$7,0)</f>
        <v>0</v>
      </c>
      <c r="DQ594">
        <f>IF(DJ594=1,DQ$7,0)</f>
        <v>0</v>
      </c>
      <c r="DR594">
        <f>IF(DK594=1,DR$7,0)</f>
        <v>0</v>
      </c>
      <c r="DS594" t="str">
        <f>IF(DL594=1,DS$7,0)</f>
        <v>Timber</v>
      </c>
      <c r="DT594">
        <v>1</v>
      </c>
      <c r="DU594">
        <v>0</v>
      </c>
      <c r="DV594">
        <v>0</v>
      </c>
      <c r="DW594">
        <v>0</v>
      </c>
      <c r="DX594">
        <v>0</v>
      </c>
      <c r="DY594">
        <f>SUM(DT594:DU594)</f>
        <v>1</v>
      </c>
      <c r="DZ594" s="143" t="str">
        <f>IF(DT594=1,"self-calculated DF",IF(DU594=1,"external DF used","explicit C balance"))</f>
        <v>self-calculated DF</v>
      </c>
      <c r="EA594" s="143">
        <v>0</v>
      </c>
      <c r="EB594" s="143">
        <v>0</v>
      </c>
      <c r="EC594" s="143">
        <v>0</v>
      </c>
      <c r="ED594" s="143">
        <v>0</v>
      </c>
      <c r="EE594" s="143">
        <v>1</v>
      </c>
      <c r="EF594" s="143">
        <v>1</v>
      </c>
      <c r="EG594" s="143">
        <v>0</v>
      </c>
      <c r="EH594" s="143">
        <v>1</v>
      </c>
      <c r="EI594" s="143">
        <v>0</v>
      </c>
      <c r="EJ594">
        <v>1</v>
      </c>
      <c r="EK594">
        <v>0</v>
      </c>
      <c r="EL594" s="143">
        <v>0</v>
      </c>
      <c r="EM594" s="143">
        <v>0</v>
      </c>
      <c r="EN594" s="2">
        <v>0</v>
      </c>
      <c r="EP594" t="str">
        <f>IF(AND(AND(AND(OR($EC594=1,$EB594=1),OR($EH594=1,$EF594=1)),SUM($EA594:$EE594,$EK594)&gt;=3),SUM($EF594:$EJ594)&gt;=2),"Whole sector approach","")</f>
        <v/>
      </c>
      <c r="EQ594" t="str">
        <f>IF(AND(AND(OR($EC594=1,$EB594=1),AND($EH594=0,$EF594=0)),SUM($EA594:$EE594,$EK594)&gt;=3),"Ecosystem approach","")</f>
        <v/>
      </c>
      <c r="ER594" s="2" t="str">
        <f>IF(AND(AND(AND($EC594=0,$EB594=0),OR($EH594=1,$EF594=1)),SUM($EG594:$EJ594)&gt;=2),"Technology approach","")</f>
        <v>Technology approach</v>
      </c>
      <c r="ES594" t="str">
        <f>IF(AND($EC594+$EB594+$EE594+$EA594+$ED594+$EG594=0,$N594="included"),"C neutral forest and HWP assumption","")</f>
        <v/>
      </c>
      <c r="ET594" t="str">
        <f>IF(AND(AND(AND(AND($EC594=1,$EB594+$EA594+$EG594&gt;=1),$EF594=1),$EH594+$EI594+$ED594+$EE594&gt;=2),$N594="included"),"All C pools assumption","")</f>
        <v/>
      </c>
      <c r="EU594" t="str">
        <f>IF(AND($ED594+$EE594+$EI594+$EH594+$EF594=0,$N594="included"),"In-situ only assumption","")</f>
        <v/>
      </c>
      <c r="EW594" t="s">
        <v>943</v>
      </c>
      <c r="EY594" t="str">
        <f>IF(ISNUMBER(BW594),IF(ABS(BW594-[7]QC_indicators!$B$2)&gt;3*[7]QC_indicators!$C$2,"C ratio",IF(ISNUMBER(CA594),IF(ABS(CA594-[7]QC_indicators!$B$1)&gt;3*[7]QC_indicators!$C$1,"DF","no"))),IF(ISNUMBER(CA594),IF(ABS(CA594-[7]QC_indicators!$B$1)&gt;3*[7]QC_indicators!$C$1,"DF","no")))</f>
        <v>no</v>
      </c>
      <c r="FA594" t="str">
        <f>IF(LEN($CY594)=0,"",IF(AND($CY594&lt;(-0.05),$ES594="C neutral forest and HWP assumption"),"Cneutral paradox",IF(AND($CY594&gt;0.05,$EU594="In-situ only assumption"),"In-situ only paradox","")))</f>
        <v/>
      </c>
      <c r="FB594" s="317" t="s">
        <v>944</v>
      </c>
      <c r="FD594" t="s">
        <v>5015</v>
      </c>
    </row>
    <row r="595" spans="1:160" ht="15" hidden="1" customHeight="1">
      <c r="D595" t="s">
        <v>927</v>
      </c>
      <c r="E595" t="s">
        <v>939</v>
      </c>
      <c r="G595" t="s">
        <v>680</v>
      </c>
      <c r="I595">
        <v>2003</v>
      </c>
      <c r="K595" s="288" t="s">
        <v>940</v>
      </c>
      <c r="M595" t="str">
        <f>LEFT($D595,FIND(",",$D595)-1)&amp;"_"&amp;I595&amp;L595</f>
        <v>Petersen_2003</v>
      </c>
      <c r="N595" t="s">
        <v>222</v>
      </c>
      <c r="O595" s="171" t="s">
        <v>508</v>
      </c>
      <c r="P595" s="141" t="s">
        <v>225</v>
      </c>
      <c r="Q595" s="317" t="s">
        <v>389</v>
      </c>
      <c r="R595" s="318" t="s">
        <v>1029</v>
      </c>
      <c r="S595" s="320" t="s">
        <v>5012</v>
      </c>
      <c r="T595" s="317" t="s">
        <v>5013</v>
      </c>
      <c r="U595" s="317" t="s">
        <v>5019</v>
      </c>
      <c r="V595" s="253">
        <v>0</v>
      </c>
      <c r="W595" s="253">
        <v>0</v>
      </c>
      <c r="X595">
        <v>0</v>
      </c>
      <c r="Y595">
        <v>0</v>
      </c>
      <c r="Z595">
        <v>0</v>
      </c>
      <c r="AA595">
        <v>0</v>
      </c>
      <c r="AB595">
        <v>0</v>
      </c>
      <c r="AC595">
        <v>0</v>
      </c>
      <c r="AD595">
        <v>0</v>
      </c>
      <c r="AE595">
        <v>0</v>
      </c>
      <c r="AF595">
        <v>0</v>
      </c>
      <c r="AG595">
        <v>0</v>
      </c>
      <c r="AH595">
        <v>0</v>
      </c>
      <c r="AI595">
        <v>0</v>
      </c>
      <c r="AJ595">
        <v>0</v>
      </c>
      <c r="AK595">
        <v>0</v>
      </c>
      <c r="AL595">
        <v>0</v>
      </c>
      <c r="AM595">
        <v>1</v>
      </c>
      <c r="AN595">
        <v>0</v>
      </c>
      <c r="AO595">
        <v>0</v>
      </c>
      <c r="AP595">
        <v>0</v>
      </c>
      <c r="AQ595">
        <v>0</v>
      </c>
      <c r="AR595">
        <v>0</v>
      </c>
      <c r="AS595">
        <v>0</v>
      </c>
      <c r="AT595">
        <v>0</v>
      </c>
      <c r="AU595">
        <v>0</v>
      </c>
      <c r="AV595">
        <v>0</v>
      </c>
      <c r="AW595">
        <v>0</v>
      </c>
      <c r="AX595">
        <v>0</v>
      </c>
      <c r="AY595">
        <v>0</v>
      </c>
      <c r="AZ595" s="141">
        <f>COUNTIF(X595:AY595,"&lt;&gt;0")</f>
        <v>1</v>
      </c>
      <c r="BA595" s="141">
        <f>COUNTIF(X595:AN595,"&lt;&gt;0")</f>
        <v>1</v>
      </c>
      <c r="BB595">
        <f>COUNTIF(X595:AE595,"&lt;&gt;0")</f>
        <v>0</v>
      </c>
      <c r="BC595">
        <f>COUNTIF(AF595:AK595,"&lt;&gt;0")</f>
        <v>0</v>
      </c>
      <c r="BD595">
        <f>COUNTIF(AL595:AN595,"&lt;&gt;0")</f>
        <v>1</v>
      </c>
      <c r="BE595">
        <f>COUNTIF(AU595:AY595,"&lt;&gt;0")</f>
        <v>0</v>
      </c>
      <c r="BF595">
        <f>COUNTIF(AO595:AT595,"&lt;&gt;0")</f>
        <v>0</v>
      </c>
      <c r="BG595" t="str">
        <f t="array" ref="BG595">IF(BA595=1,INDEX($X$7:$AN$7,MATCH(TRUE,INDEX($X595:$AY595&lt;&gt;0,),0)),IF(BA595=0,INDEX($AO$7:$AY$7,MATCH(1,$AO595:$AY595,0)),IF(BH595="Multiple strategies","mixed drivers",IF(BH595="Supply chain","multiple supply","multiple silviculture"))))</f>
        <v>technologies/design switch</v>
      </c>
      <c r="BH595" s="2" t="str">
        <f t="array" ref="BH595">IF(COUNTIF(BB595:BD595,"&lt;&gt;0")=1,INDEX($X$4:$AY$4,MATCH(TRUE,INDEX($X595:$AY595&lt;&gt;0,),0)),IF(COUNTIF(BB595:BD595,"&lt;&gt;0")=0,INDEX($AO$4:$AY$4,MATCH(1,$AO595:$AY595,0)),"Multiple strategies"))</f>
        <v>Technology</v>
      </c>
      <c r="BI595" s="142" t="s">
        <v>229</v>
      </c>
      <c r="BJ595" t="s">
        <v>933</v>
      </c>
      <c r="BK595" t="s">
        <v>942</v>
      </c>
      <c r="BL595" t="s">
        <v>498</v>
      </c>
      <c r="BM595">
        <v>0</v>
      </c>
      <c r="BN595">
        <v>1</v>
      </c>
      <c r="BO595" t="str">
        <f>IFERROR(BN595/BM595,"")</f>
        <v/>
      </c>
      <c r="BP595">
        <f>BN595-BM595</f>
        <v>1</v>
      </c>
      <c r="BQ595">
        <v>1</v>
      </c>
      <c r="BR595" t="s">
        <v>232</v>
      </c>
      <c r="BS595" t="s">
        <v>728</v>
      </c>
      <c r="BT595" s="317" t="s">
        <v>935</v>
      </c>
      <c r="BX595">
        <v>0.51100000000000001</v>
      </c>
      <c r="BZ595">
        <f>BX595</f>
        <v>0.51100000000000001</v>
      </c>
      <c r="CA595">
        <f>IFERROR(BZ595/BQ595,"")</f>
        <v>0.51100000000000001</v>
      </c>
      <c r="CB595">
        <v>0</v>
      </c>
      <c r="CC595">
        <v>0</v>
      </c>
      <c r="CD595">
        <v>0</v>
      </c>
      <c r="CE595">
        <v>0</v>
      </c>
      <c r="CF595">
        <v>0</v>
      </c>
      <c r="CG595">
        <v>0</v>
      </c>
      <c r="CH595">
        <v>0</v>
      </c>
      <c r="CI595">
        <v>0</v>
      </c>
      <c r="CJ595">
        <v>0</v>
      </c>
      <c r="CK595">
        <v>0</v>
      </c>
      <c r="CL595">
        <v>0</v>
      </c>
      <c r="CM595">
        <v>0</v>
      </c>
      <c r="CN595">
        <v>0</v>
      </c>
      <c r="CO595">
        <v>0</v>
      </c>
      <c r="CP595" t="str">
        <f>IF($BN595&lt;$BM595,"refNeedCorrection","refOK")</f>
        <v>refOK</v>
      </c>
      <c r="CQ595">
        <f>IF($CP595="refOK",$BM595,$BN595)</f>
        <v>0</v>
      </c>
      <c r="CR595">
        <f>IF($CP595="refOK",$BN595,$BM595)</f>
        <v>1</v>
      </c>
      <c r="CS595">
        <f>IF($CP595="refOK",$BQ595,-$BQ595)</f>
        <v>1</v>
      </c>
      <c r="CT595">
        <f>IF(BI595="Roundwood",$CS595/2,$CS595)</f>
        <v>1</v>
      </c>
      <c r="CU595">
        <f>IF($CP595="refOK",$BU595,$BV595)*IF($BR595="Emissions positive",-1,1)</f>
        <v>0</v>
      </c>
      <c r="CV595">
        <f>IF($CP595="refOK",$BV595,$BU595)*IF($BR595="Emissions positive",-1,1)</f>
        <v>0</v>
      </c>
      <c r="CW595">
        <f>IF($CP595="refNeedCorrection",-BZ595,BZ595)*IF($BR595="Emissions positive",-1,1)</f>
        <v>0.51100000000000001</v>
      </c>
      <c r="CX595">
        <f>IFERROR($CW595/$CS595,"")</f>
        <v>0.51100000000000001</v>
      </c>
      <c r="CY595">
        <f>IFERROR($CW595/$CS595,"")</f>
        <v>0.51100000000000001</v>
      </c>
      <c r="CZ595">
        <f>IFERROR($CW595/$CT595,"")</f>
        <v>0.51100000000000001</v>
      </c>
      <c r="DA595" s="2" t="str">
        <f>IFERROR((CV595-CU595)/ABS(CU595),"")</f>
        <v/>
      </c>
      <c r="DB595" s="1" t="s">
        <v>263</v>
      </c>
      <c r="DC595" s="317" t="str">
        <f>IF(OR($DB595="prd",$DB595="std",$DB595="cit"),"loc",IF(OR($DB595="eur",$DB595="reg",$DB595="coy"),"reg",$DB595))</f>
        <v>loc</v>
      </c>
      <c r="DD595" t="s">
        <v>264</v>
      </c>
      <c r="DF595" s="143"/>
      <c r="DG595" s="143">
        <v>45</v>
      </c>
      <c r="DH595" t="str">
        <f>IF(DG595=0,"0",IF(AND(DG595&gt;=1,DG595&lt;=30),"1-30",IF(AND(DG595&gt;30,DG595&lt;=70),"31-70",IF(AND(DG595&gt;70,DG595&lt;=100),"71-100",IF(DG595&gt;100,"+100")))))</f>
        <v>31-70</v>
      </c>
      <c r="DI595">
        <v>0</v>
      </c>
      <c r="DJ595">
        <v>0</v>
      </c>
      <c r="DK595">
        <v>0</v>
      </c>
      <c r="DL595">
        <v>1</v>
      </c>
      <c r="DM595">
        <v>0</v>
      </c>
      <c r="DN595">
        <f>SUM(DI595:DL595)</f>
        <v>1</v>
      </c>
      <c r="DO595" t="str">
        <f>IF(DN595=1,INDEX($DI$7:$DL$7,MATCH(1,$DI595:$DL595,0)),"mixedProduct")</f>
        <v>TimberInput</v>
      </c>
      <c r="DP595">
        <f>IF(DI595=1,DP$7,0)</f>
        <v>0</v>
      </c>
      <c r="DQ595">
        <f>IF(DJ595=1,DQ$7,0)</f>
        <v>0</v>
      </c>
      <c r="DR595">
        <f>IF(DK595=1,DR$7,0)</f>
        <v>0</v>
      </c>
      <c r="DS595" t="str">
        <f>IF(DL595=1,DS$7,0)</f>
        <v>Timber</v>
      </c>
      <c r="DT595">
        <v>1</v>
      </c>
      <c r="DU595">
        <v>0</v>
      </c>
      <c r="DV595">
        <v>0</v>
      </c>
      <c r="DW595">
        <v>0</v>
      </c>
      <c r="DX595">
        <v>0</v>
      </c>
      <c r="DY595">
        <f>SUM(DT595:DU595)</f>
        <v>1</v>
      </c>
      <c r="DZ595" s="143" t="str">
        <f>IF(DT595=1,"self-calculated DF",IF(DU595=1,"external DF used","explicit C balance"))</f>
        <v>self-calculated DF</v>
      </c>
      <c r="EA595" s="143">
        <v>0</v>
      </c>
      <c r="EB595" s="143">
        <v>0</v>
      </c>
      <c r="EC595" s="143">
        <v>0</v>
      </c>
      <c r="ED595" s="143">
        <v>0</v>
      </c>
      <c r="EE595" s="143">
        <v>1</v>
      </c>
      <c r="EF595" s="143">
        <v>1</v>
      </c>
      <c r="EG595" s="143">
        <v>0</v>
      </c>
      <c r="EH595" s="143">
        <v>1</v>
      </c>
      <c r="EI595" s="143">
        <v>0</v>
      </c>
      <c r="EJ595">
        <v>1</v>
      </c>
      <c r="EK595">
        <v>0</v>
      </c>
      <c r="EL595" s="143">
        <v>0</v>
      </c>
      <c r="EM595" s="143">
        <v>0</v>
      </c>
      <c r="EN595" s="2">
        <v>0</v>
      </c>
      <c r="EP595" t="str">
        <f>IF(AND(AND(AND(OR($EC595=1,$EB595=1),OR($EH595=1,$EF595=1)),SUM($EA595:$EE595,$EK595)&gt;=3),SUM($EF595:$EJ595)&gt;=2),"Whole sector approach","")</f>
        <v/>
      </c>
      <c r="EQ595" t="str">
        <f>IF(AND(AND(OR($EC595=1,$EB595=1),AND($EH595=0,$EF595=0)),SUM($EA595:$EE595,$EK595)&gt;=3),"Ecosystem approach","")</f>
        <v/>
      </c>
      <c r="ER595" s="2" t="str">
        <f>IF(AND(AND(AND($EC595=0,$EB595=0),OR($EH595=1,$EF595=1)),SUM($EG595:$EJ595)&gt;=2),"Technology approach","")</f>
        <v>Technology approach</v>
      </c>
      <c r="ES595" t="str">
        <f>IF(AND($EC595+$EB595+$EE595+$EA595+$ED595+$EG595=0,$N595="included"),"C neutral forest and HWP assumption","")</f>
        <v/>
      </c>
      <c r="ET595" t="str">
        <f>IF(AND(AND(AND(AND($EC595=1,$EB595+$EA595+$EG595&gt;=1),$EF595=1),$EH595+$EI595+$ED595+$EE595&gt;=2),$N595="included"),"All C pools assumption","")</f>
        <v/>
      </c>
      <c r="EU595" t="str">
        <f>IF(AND($ED595+$EE595+$EI595+$EH595+$EF595=0,$N595="included"),"In-situ only assumption","")</f>
        <v/>
      </c>
      <c r="EW595" t="s">
        <v>948</v>
      </c>
      <c r="EY595" t="str">
        <f>IF(ISNUMBER(BW595),IF(ABS(BW595-[7]QC_indicators!$B$2)&gt;3*[7]QC_indicators!$C$2,"C ratio",IF(ISNUMBER(CA595),IF(ABS(CA595-[7]QC_indicators!$B$1)&gt;3*[7]QC_indicators!$C$1,"DF","no"))),IF(ISNUMBER(CA595),IF(ABS(CA595-[7]QC_indicators!$B$1)&gt;3*[7]QC_indicators!$C$1,"DF","no")))</f>
        <v>no</v>
      </c>
      <c r="FA595" t="str">
        <f>IF(LEN($CY595)=0,"",IF(AND($CY595&lt;(-0.05),$ES595="C neutral forest and HWP assumption"),"Cneutral paradox",IF(AND($CY595&gt;0.05,$EU595="In-situ only assumption"),"In-situ only paradox","")))</f>
        <v/>
      </c>
      <c r="FB595" s="317" t="s">
        <v>944</v>
      </c>
      <c r="FD595" t="s">
        <v>5015</v>
      </c>
    </row>
    <row r="596" spans="1:160" ht="15" hidden="1" customHeight="1">
      <c r="D596" t="s">
        <v>927</v>
      </c>
      <c r="E596" t="s">
        <v>939</v>
      </c>
      <c r="G596" t="s">
        <v>680</v>
      </c>
      <c r="I596">
        <v>2003</v>
      </c>
      <c r="K596" s="288" t="s">
        <v>940</v>
      </c>
      <c r="M596" t="str">
        <f>LEFT($D596,FIND(",",$D596)-1)&amp;"_"&amp;I596&amp;L596</f>
        <v>Petersen_2003</v>
      </c>
      <c r="N596" t="s">
        <v>222</v>
      </c>
      <c r="O596" s="171" t="s">
        <v>508</v>
      </c>
      <c r="P596" s="141" t="s">
        <v>225</v>
      </c>
      <c r="Q596" s="317" t="s">
        <v>389</v>
      </c>
      <c r="R596" s="318" t="s">
        <v>1029</v>
      </c>
      <c r="S596" s="320" t="s">
        <v>5012</v>
      </c>
      <c r="T596" s="317" t="s">
        <v>5022</v>
      </c>
      <c r="U596" s="317" t="s">
        <v>5014</v>
      </c>
      <c r="V596" s="253">
        <v>0</v>
      </c>
      <c r="W596" s="253">
        <v>0</v>
      </c>
      <c r="X596">
        <v>0</v>
      </c>
      <c r="Y596">
        <v>0</v>
      </c>
      <c r="Z596">
        <v>0</v>
      </c>
      <c r="AA596">
        <v>0</v>
      </c>
      <c r="AB596">
        <v>0</v>
      </c>
      <c r="AC596">
        <v>0</v>
      </c>
      <c r="AD596">
        <v>0</v>
      </c>
      <c r="AE596">
        <v>0</v>
      </c>
      <c r="AF596">
        <v>0</v>
      </c>
      <c r="AG596">
        <v>0</v>
      </c>
      <c r="AH596">
        <v>0</v>
      </c>
      <c r="AI596">
        <v>0</v>
      </c>
      <c r="AJ596">
        <v>0</v>
      </c>
      <c r="AK596">
        <v>0</v>
      </c>
      <c r="AL596">
        <v>0</v>
      </c>
      <c r="AM596">
        <v>1</v>
      </c>
      <c r="AN596">
        <v>0</v>
      </c>
      <c r="AO596">
        <v>0</v>
      </c>
      <c r="AP596">
        <v>0</v>
      </c>
      <c r="AQ596">
        <v>0</v>
      </c>
      <c r="AR596">
        <v>0</v>
      </c>
      <c r="AS596">
        <v>0</v>
      </c>
      <c r="AT596">
        <v>0</v>
      </c>
      <c r="AU596">
        <v>0</v>
      </c>
      <c r="AV596">
        <v>0</v>
      </c>
      <c r="AW596">
        <v>0</v>
      </c>
      <c r="AX596">
        <v>0</v>
      </c>
      <c r="AY596">
        <v>0</v>
      </c>
      <c r="AZ596" s="141">
        <f>COUNTIF(X596:AY596,"&lt;&gt;0")</f>
        <v>1</v>
      </c>
      <c r="BA596" s="141">
        <f>COUNTIF(X596:AN596,"&lt;&gt;0")</f>
        <v>1</v>
      </c>
      <c r="BB596">
        <f>COUNTIF(X596:AE596,"&lt;&gt;0")</f>
        <v>0</v>
      </c>
      <c r="BC596">
        <f>COUNTIF(AF596:AK596,"&lt;&gt;0")</f>
        <v>0</v>
      </c>
      <c r="BD596">
        <f>COUNTIF(AL596:AN596,"&lt;&gt;0")</f>
        <v>1</v>
      </c>
      <c r="BE596">
        <f>COUNTIF(AU596:AY596,"&lt;&gt;0")</f>
        <v>0</v>
      </c>
      <c r="BF596">
        <f>COUNTIF(AO596:AT596,"&lt;&gt;0")</f>
        <v>0</v>
      </c>
      <c r="BG596" t="str">
        <f t="array" ref="BG596">IF(BA596=1,INDEX($X$7:$AN$7,MATCH(TRUE,INDEX($X596:$AY596&lt;&gt;0,),0)),IF(BA596=0,INDEX($AO$7:$AY$7,MATCH(1,$AO596:$AY596,0)),IF(BH596="Multiple strategies","mixed drivers",IF(BH596="Supply chain","multiple supply","multiple silviculture"))))</f>
        <v>technologies/design switch</v>
      </c>
      <c r="BH596" s="2" t="str">
        <f t="array" ref="BH596">IF(COUNTIF(BB596:BD596,"&lt;&gt;0")=1,INDEX($X$4:$AY$4,MATCH(TRUE,INDEX($X596:$AY596&lt;&gt;0,),0)),IF(COUNTIF(BB596:BD596,"&lt;&gt;0")=0,INDEX($AO$4:$AY$4,MATCH(1,$AO596:$AY596,0)),"Multiple strategies"))</f>
        <v>Technology</v>
      </c>
      <c r="BI596" s="142" t="s">
        <v>229</v>
      </c>
      <c r="BJ596" t="s">
        <v>933</v>
      </c>
      <c r="BK596" t="s">
        <v>942</v>
      </c>
      <c r="BL596" t="s">
        <v>498</v>
      </c>
      <c r="BM596">
        <v>0</v>
      </c>
      <c r="BN596">
        <v>1</v>
      </c>
      <c r="BO596" t="str">
        <f>IFERROR(BN596/BM596,"")</f>
        <v/>
      </c>
      <c r="BP596">
        <f>BN596-BM596</f>
        <v>1</v>
      </c>
      <c r="BQ596">
        <v>1</v>
      </c>
      <c r="BR596" t="s">
        <v>232</v>
      </c>
      <c r="BS596" t="s">
        <v>728</v>
      </c>
      <c r="BT596" s="317" t="s">
        <v>935</v>
      </c>
      <c r="BX596">
        <v>0.47299999999999998</v>
      </c>
      <c r="BZ596">
        <f>BX596</f>
        <v>0.47299999999999998</v>
      </c>
      <c r="CA596">
        <f>IFERROR(BZ596/BQ596,"")</f>
        <v>0.47299999999999998</v>
      </c>
      <c r="CB596">
        <v>0</v>
      </c>
      <c r="CC596">
        <v>0</v>
      </c>
      <c r="CD596">
        <v>0</v>
      </c>
      <c r="CE596">
        <v>0</v>
      </c>
      <c r="CF596">
        <v>0</v>
      </c>
      <c r="CG596">
        <v>0</v>
      </c>
      <c r="CH596">
        <v>0</v>
      </c>
      <c r="CI596">
        <v>0</v>
      </c>
      <c r="CJ596">
        <v>0</v>
      </c>
      <c r="CK596">
        <v>0</v>
      </c>
      <c r="CL596">
        <v>0</v>
      </c>
      <c r="CM596">
        <v>0</v>
      </c>
      <c r="CN596">
        <v>0</v>
      </c>
      <c r="CO596">
        <v>0</v>
      </c>
      <c r="CP596" t="str">
        <f>IF($BN596&lt;$BM596,"refNeedCorrection","refOK")</f>
        <v>refOK</v>
      </c>
      <c r="CQ596">
        <f>IF($CP596="refOK",$BM596,$BN596)</f>
        <v>0</v>
      </c>
      <c r="CR596">
        <f>IF($CP596="refOK",$BN596,$BM596)</f>
        <v>1</v>
      </c>
      <c r="CS596">
        <f>IF($CP596="refOK",$BQ596,-$BQ596)</f>
        <v>1</v>
      </c>
      <c r="CT596">
        <f>IF(BI596="Roundwood",$CS596/2,$CS596)</f>
        <v>1</v>
      </c>
      <c r="CU596">
        <f>IF($CP596="refOK",$BU596,$BV596)*IF($BR596="Emissions positive",-1,1)</f>
        <v>0</v>
      </c>
      <c r="CV596">
        <f>IF($CP596="refOK",$BV596,$BU596)*IF($BR596="Emissions positive",-1,1)</f>
        <v>0</v>
      </c>
      <c r="CW596">
        <f>IF($CP596="refNeedCorrection",-BZ596,BZ596)*IF($BR596="Emissions positive",-1,1)</f>
        <v>0.47299999999999998</v>
      </c>
      <c r="CX596">
        <f>IFERROR($CW596/$CS596,"")</f>
        <v>0.47299999999999998</v>
      </c>
      <c r="CY596">
        <f>IFERROR($CW596/$CS596,"")</f>
        <v>0.47299999999999998</v>
      </c>
      <c r="CZ596">
        <f>IFERROR($CW596/$CT596,"")</f>
        <v>0.47299999999999998</v>
      </c>
      <c r="DA596" s="2" t="str">
        <f>IFERROR((CV596-CU596)/ABS(CU596),"")</f>
        <v/>
      </c>
      <c r="DB596" s="1" t="s">
        <v>263</v>
      </c>
      <c r="DC596" s="317" t="str">
        <f>IF(OR($DB596="prd",$DB596="std",$DB596="cit"),"loc",IF(OR($DB596="eur",$DB596="reg",$DB596="coy"),"reg",$DB596))</f>
        <v>loc</v>
      </c>
      <c r="DD596" t="s">
        <v>264</v>
      </c>
      <c r="DF596" s="143"/>
      <c r="DG596" s="143">
        <v>45</v>
      </c>
      <c r="DH596" t="str">
        <f>IF(DG596=0,"0",IF(AND(DG596&gt;=1,DG596&lt;=30),"1-30",IF(AND(DG596&gt;30,DG596&lt;=70),"31-70",IF(AND(DG596&gt;70,DG596&lt;=100),"71-100",IF(DG596&gt;100,"+100")))))</f>
        <v>31-70</v>
      </c>
      <c r="DI596">
        <v>0</v>
      </c>
      <c r="DJ596">
        <v>0</v>
      </c>
      <c r="DK596">
        <v>0</v>
      </c>
      <c r="DL596">
        <v>1</v>
      </c>
      <c r="DM596">
        <v>0</v>
      </c>
      <c r="DN596">
        <f>SUM(DI596:DL596)</f>
        <v>1</v>
      </c>
      <c r="DO596" t="str">
        <f>IF(DN596=1,INDEX($DI$7:$DL$7,MATCH(1,$DI596:$DL596,0)),"mixedProduct")</f>
        <v>TimberInput</v>
      </c>
      <c r="DP596">
        <f>IF(DI596=1,DP$7,0)</f>
        <v>0</v>
      </c>
      <c r="DQ596">
        <f>IF(DJ596=1,DQ$7,0)</f>
        <v>0</v>
      </c>
      <c r="DR596">
        <f>IF(DK596=1,DR$7,0)</f>
        <v>0</v>
      </c>
      <c r="DS596" t="str">
        <f>IF(DL596=1,DS$7,0)</f>
        <v>Timber</v>
      </c>
      <c r="DT596">
        <v>1</v>
      </c>
      <c r="DU596">
        <v>0</v>
      </c>
      <c r="DV596">
        <v>0</v>
      </c>
      <c r="DW596">
        <v>0</v>
      </c>
      <c r="DX596">
        <v>0</v>
      </c>
      <c r="DY596">
        <f>SUM(DT596:DU596)</f>
        <v>1</v>
      </c>
      <c r="DZ596" s="143" t="str">
        <f>IF(DT596=1,"self-calculated DF",IF(DU596=1,"external DF used","explicit C balance"))</f>
        <v>self-calculated DF</v>
      </c>
      <c r="EA596" s="143">
        <v>0</v>
      </c>
      <c r="EB596" s="143">
        <v>0</v>
      </c>
      <c r="EC596" s="143">
        <v>0</v>
      </c>
      <c r="ED596" s="143">
        <v>0</v>
      </c>
      <c r="EE596" s="143">
        <v>1</v>
      </c>
      <c r="EF596" s="143">
        <v>1</v>
      </c>
      <c r="EG596" s="143">
        <v>0</v>
      </c>
      <c r="EH596" s="143">
        <v>1</v>
      </c>
      <c r="EI596" s="143">
        <v>0</v>
      </c>
      <c r="EJ596">
        <v>1</v>
      </c>
      <c r="EK596">
        <v>0</v>
      </c>
      <c r="EL596" s="143">
        <v>0</v>
      </c>
      <c r="EM596" s="143">
        <v>0</v>
      </c>
      <c r="EN596" s="2">
        <v>0</v>
      </c>
      <c r="EP596" t="str">
        <f>IF(AND(AND(AND(OR($EC596=1,$EB596=1),OR($EH596=1,$EF596=1)),SUM($EA596:$EE596,$EK596)&gt;=3),SUM($EF596:$EJ596)&gt;=2),"Whole sector approach","")</f>
        <v/>
      </c>
      <c r="EQ596" t="str">
        <f>IF(AND(AND(OR($EC596=1,$EB596=1),AND($EH596=0,$EF596=0)),SUM($EA596:$EE596,$EK596)&gt;=3),"Ecosystem approach","")</f>
        <v/>
      </c>
      <c r="ER596" s="2" t="str">
        <f>IF(AND(AND(AND($EC596=0,$EB596=0),OR($EH596=1,$EF596=1)),SUM($EG596:$EJ596)&gt;=2),"Technology approach","")</f>
        <v>Technology approach</v>
      </c>
      <c r="ES596" t="str">
        <f>IF(AND($EC596+$EB596+$EE596+$EA596+$ED596+$EG596=0,$N596="included"),"C neutral forest and HWP assumption","")</f>
        <v/>
      </c>
      <c r="ET596" t="str">
        <f>IF(AND(AND(AND(AND($EC596=1,$EB596+$EA596+$EG596&gt;=1),$EF596=1),$EH596+$EI596+$ED596+$EE596&gt;=2),$N596="included"),"All C pools assumption","")</f>
        <v/>
      </c>
      <c r="EU596" t="str">
        <f>IF(AND($ED596+$EE596+$EI596+$EH596+$EF596=0,$N596="included"),"In-situ only assumption","")</f>
        <v/>
      </c>
      <c r="EW596" t="s">
        <v>948</v>
      </c>
      <c r="EY596" t="str">
        <f>IF(ISNUMBER(BW596),IF(ABS(BW596-[7]QC_indicators!$B$2)&gt;3*[7]QC_indicators!$C$2,"C ratio",IF(ISNUMBER(CA596),IF(ABS(CA596-[7]QC_indicators!$B$1)&gt;3*[7]QC_indicators!$C$1,"DF","no"))),IF(ISNUMBER(CA596),IF(ABS(CA596-[7]QC_indicators!$B$1)&gt;3*[7]QC_indicators!$C$1,"DF","no")))</f>
        <v>no</v>
      </c>
      <c r="FA596" t="str">
        <f>IF(LEN($CY596)=0,"",IF(AND($CY596&lt;(-0.05),$ES596="C neutral forest and HWP assumption"),"Cneutral paradox",IF(AND($CY596&gt;0.05,$EU596="In-situ only assumption"),"In-situ only paradox","")))</f>
        <v/>
      </c>
      <c r="FB596" s="317" t="s">
        <v>944</v>
      </c>
      <c r="FD596" t="s">
        <v>5015</v>
      </c>
    </row>
    <row r="597" spans="1:160" ht="15" hidden="1" customHeight="1">
      <c r="D597" t="s">
        <v>927</v>
      </c>
      <c r="E597" t="s">
        <v>939</v>
      </c>
      <c r="G597" t="s">
        <v>680</v>
      </c>
      <c r="I597">
        <v>2003</v>
      </c>
      <c r="K597" s="288" t="s">
        <v>940</v>
      </c>
      <c r="M597" t="str">
        <f>LEFT($D597,FIND(",",$D597)-1)&amp;"_"&amp;I597&amp;L597</f>
        <v>Petersen_2003</v>
      </c>
      <c r="N597" t="s">
        <v>222</v>
      </c>
      <c r="O597" s="171" t="s">
        <v>508</v>
      </c>
      <c r="P597" s="141" t="s">
        <v>225</v>
      </c>
      <c r="Q597" s="317" t="s">
        <v>389</v>
      </c>
      <c r="R597" s="318" t="s">
        <v>1029</v>
      </c>
      <c r="S597" s="320" t="s">
        <v>5012</v>
      </c>
      <c r="T597" s="317" t="s">
        <v>5013</v>
      </c>
      <c r="U597" s="317" t="s">
        <v>5014</v>
      </c>
      <c r="V597" s="253">
        <v>0</v>
      </c>
      <c r="W597" s="253">
        <v>0</v>
      </c>
      <c r="X597">
        <v>0</v>
      </c>
      <c r="Y597">
        <v>0</v>
      </c>
      <c r="Z597">
        <v>0</v>
      </c>
      <c r="AA597">
        <v>0</v>
      </c>
      <c r="AB597">
        <v>0</v>
      </c>
      <c r="AC597">
        <v>0</v>
      </c>
      <c r="AD597">
        <v>0</v>
      </c>
      <c r="AE597">
        <v>0</v>
      </c>
      <c r="AF597">
        <v>0</v>
      </c>
      <c r="AG597">
        <v>0</v>
      </c>
      <c r="AH597">
        <v>0</v>
      </c>
      <c r="AI597">
        <v>0</v>
      </c>
      <c r="AJ597">
        <v>0</v>
      </c>
      <c r="AK597">
        <v>0</v>
      </c>
      <c r="AL597">
        <v>0</v>
      </c>
      <c r="AM597">
        <v>1</v>
      </c>
      <c r="AN597">
        <v>0</v>
      </c>
      <c r="AO597">
        <v>0</v>
      </c>
      <c r="AP597">
        <v>0</v>
      </c>
      <c r="AQ597">
        <v>0</v>
      </c>
      <c r="AR597">
        <v>0</v>
      </c>
      <c r="AS597">
        <v>0</v>
      </c>
      <c r="AT597">
        <v>0</v>
      </c>
      <c r="AU597">
        <v>0</v>
      </c>
      <c r="AV597">
        <v>0</v>
      </c>
      <c r="AW597">
        <v>0</v>
      </c>
      <c r="AX597">
        <v>0</v>
      </c>
      <c r="AY597">
        <v>0</v>
      </c>
      <c r="AZ597" s="141">
        <f>COUNTIF(X597:AY597,"&lt;&gt;0")</f>
        <v>1</v>
      </c>
      <c r="BA597" s="141">
        <f>COUNTIF(X597:AN597,"&lt;&gt;0")</f>
        <v>1</v>
      </c>
      <c r="BB597">
        <f>COUNTIF(X597:AE597,"&lt;&gt;0")</f>
        <v>0</v>
      </c>
      <c r="BC597">
        <f>COUNTIF(AF597:AK597,"&lt;&gt;0")</f>
        <v>0</v>
      </c>
      <c r="BD597">
        <f>COUNTIF(AL597:AN597,"&lt;&gt;0")</f>
        <v>1</v>
      </c>
      <c r="BE597">
        <f>COUNTIF(AU597:AY597,"&lt;&gt;0")</f>
        <v>0</v>
      </c>
      <c r="BF597">
        <f>COUNTIF(AO597:AT597,"&lt;&gt;0")</f>
        <v>0</v>
      </c>
      <c r="BG597" t="str">
        <f t="array" ref="BG597">IF(BA597=1,INDEX($X$7:$AN$7,MATCH(TRUE,INDEX($X597:$AY597&lt;&gt;0,),0)),IF(BA597=0,INDEX($AO$7:$AY$7,MATCH(1,$AO597:$AY597,0)),IF(BH597="Multiple strategies","mixed drivers",IF(BH597="Supply chain","multiple supply","multiple silviculture"))))</f>
        <v>technologies/design switch</v>
      </c>
      <c r="BH597" s="2" t="str">
        <f t="array" ref="BH597">IF(COUNTIF(BB597:BD597,"&lt;&gt;0")=1,INDEX($X$4:$AY$4,MATCH(TRUE,INDEX($X597:$AY597&lt;&gt;0,),0)),IF(COUNTIF(BB597:BD597,"&lt;&gt;0")=0,INDEX($AO$4:$AY$4,MATCH(1,$AO597:$AY597,0)),"Multiple strategies"))</f>
        <v>Technology</v>
      </c>
      <c r="BI597" s="142" t="s">
        <v>229</v>
      </c>
      <c r="BJ597" t="s">
        <v>933</v>
      </c>
      <c r="BK597" t="s">
        <v>942</v>
      </c>
      <c r="BL597" t="s">
        <v>498</v>
      </c>
      <c r="BM597">
        <v>1</v>
      </c>
      <c r="BN597">
        <v>1</v>
      </c>
      <c r="BO597">
        <f>IFERROR(BN597/BM597,"")</f>
        <v>1</v>
      </c>
      <c r="BP597">
        <f>BN597-BM597</f>
        <v>0</v>
      </c>
      <c r="BQ597">
        <v>1</v>
      </c>
      <c r="BR597" t="s">
        <v>232</v>
      </c>
      <c r="BS597" t="s">
        <v>728</v>
      </c>
      <c r="BT597" s="317" t="s">
        <v>935</v>
      </c>
      <c r="BX597">
        <v>0.39600000000000002</v>
      </c>
      <c r="BZ597">
        <f>BX597</f>
        <v>0.39600000000000002</v>
      </c>
      <c r="CA597">
        <f>IFERROR(BZ597/BQ597,"")</f>
        <v>0.39600000000000002</v>
      </c>
      <c r="CB597">
        <v>0</v>
      </c>
      <c r="CC597">
        <v>0</v>
      </c>
      <c r="CD597">
        <v>0</v>
      </c>
      <c r="CE597">
        <v>0</v>
      </c>
      <c r="CF597">
        <v>0</v>
      </c>
      <c r="CG597">
        <v>0</v>
      </c>
      <c r="CH597">
        <v>0</v>
      </c>
      <c r="CI597">
        <v>0</v>
      </c>
      <c r="CJ597">
        <v>0</v>
      </c>
      <c r="CK597">
        <v>0</v>
      </c>
      <c r="CL597">
        <v>0</v>
      </c>
      <c r="CM597">
        <v>0</v>
      </c>
      <c r="CN597">
        <v>0</v>
      </c>
      <c r="CO597">
        <v>0</v>
      </c>
      <c r="CP597" t="str">
        <f>IF($BN597&lt;$BM597,"refNeedCorrection","refOK")</f>
        <v>refOK</v>
      </c>
      <c r="CQ597">
        <f>IF($CP597="refOK",$BM597,$BN597)</f>
        <v>1</v>
      </c>
      <c r="CR597">
        <f>IF($CP597="refOK",$BN597,$BM597)</f>
        <v>1</v>
      </c>
      <c r="CS597">
        <f>IF($CP597="refOK",$BQ597,-$BQ597)</f>
        <v>1</v>
      </c>
      <c r="CT597">
        <f>IF(BI597="Roundwood",$CS597/2,$CS597)</f>
        <v>1</v>
      </c>
      <c r="CU597">
        <f>IF($CP597="refOK",$BU597,$BV597)*IF($BR597="Emissions positive",-1,1)</f>
        <v>0</v>
      </c>
      <c r="CV597">
        <f>IF($CP597="refOK",$BV597,$BU597)*IF($BR597="Emissions positive",-1,1)</f>
        <v>0</v>
      </c>
      <c r="CW597">
        <f>IF($CP597="refNeedCorrection",-BZ597,BZ597)*IF($BR597="Emissions positive",-1,1)</f>
        <v>0.39600000000000002</v>
      </c>
      <c r="CX597">
        <f>IFERROR($CW597/$CS597,"")</f>
        <v>0.39600000000000002</v>
      </c>
      <c r="CY597">
        <f>IFERROR($CW597/$CS597,"")</f>
        <v>0.39600000000000002</v>
      </c>
      <c r="CZ597">
        <f>IFERROR($CW597/$CT597,"")</f>
        <v>0.39600000000000002</v>
      </c>
      <c r="DA597" s="2" t="str">
        <f>IFERROR((CV597-CU597)/ABS(CU597),"")</f>
        <v/>
      </c>
      <c r="DB597" s="1" t="s">
        <v>263</v>
      </c>
      <c r="DC597" s="317" t="str">
        <f>IF(OR($DB597="prd",$DB597="std",$DB597="cit"),"loc",IF(OR($DB597="eur",$DB597="reg",$DB597="coy"),"reg",$DB597))</f>
        <v>loc</v>
      </c>
      <c r="DD597" t="s">
        <v>264</v>
      </c>
      <c r="DF597" s="143"/>
      <c r="DG597" s="143">
        <v>45</v>
      </c>
      <c r="DH597" t="str">
        <f>IF(DG597=0,"0",IF(AND(DG597&gt;=1,DG597&lt;=30),"1-30",IF(AND(DG597&gt;30,DG597&lt;=70),"31-70",IF(AND(DG597&gt;70,DG597&lt;=100),"71-100",IF(DG597&gt;100,"+100")))))</f>
        <v>31-70</v>
      </c>
      <c r="DI597">
        <v>0</v>
      </c>
      <c r="DJ597">
        <v>0</v>
      </c>
      <c r="DK597">
        <v>0</v>
      </c>
      <c r="DL597">
        <v>1</v>
      </c>
      <c r="DM597">
        <v>0</v>
      </c>
      <c r="DN597">
        <f>SUM(DI597:DL597)</f>
        <v>1</v>
      </c>
      <c r="DO597" t="str">
        <f>IF(DN597=1,INDEX($DI$7:$DL$7,MATCH(1,$DI597:$DL597,0)),"mixedProduct")</f>
        <v>TimberInput</v>
      </c>
      <c r="DP597">
        <f>IF(DI597=1,DP$7,0)</f>
        <v>0</v>
      </c>
      <c r="DQ597">
        <f>IF(DJ597=1,DQ$7,0)</f>
        <v>0</v>
      </c>
      <c r="DR597">
        <f>IF(DK597=1,DR$7,0)</f>
        <v>0</v>
      </c>
      <c r="DS597" t="str">
        <f>IF(DL597=1,DS$7,0)</f>
        <v>Timber</v>
      </c>
      <c r="DT597">
        <v>1</v>
      </c>
      <c r="DU597">
        <v>0</v>
      </c>
      <c r="DV597">
        <v>0</v>
      </c>
      <c r="DW597">
        <v>0</v>
      </c>
      <c r="DX597">
        <v>0</v>
      </c>
      <c r="DY597">
        <f>SUM(DT597:DU597)</f>
        <v>1</v>
      </c>
      <c r="DZ597" s="143" t="str">
        <f>IF(DT597=1,"self-calculated DF",IF(DU597=1,"external DF used","explicit C balance"))</f>
        <v>self-calculated DF</v>
      </c>
      <c r="EA597" s="143">
        <v>0</v>
      </c>
      <c r="EB597" s="143">
        <v>0</v>
      </c>
      <c r="EC597" s="143">
        <v>0</v>
      </c>
      <c r="ED597" s="143">
        <v>0</v>
      </c>
      <c r="EE597" s="143">
        <v>1</v>
      </c>
      <c r="EF597" s="143">
        <v>1</v>
      </c>
      <c r="EG597" s="143">
        <v>0</v>
      </c>
      <c r="EH597" s="143">
        <v>1</v>
      </c>
      <c r="EI597" s="143">
        <v>0</v>
      </c>
      <c r="EJ597">
        <v>1</v>
      </c>
      <c r="EK597">
        <v>0</v>
      </c>
      <c r="EL597" s="143">
        <v>0</v>
      </c>
      <c r="EM597" s="143">
        <v>0</v>
      </c>
      <c r="EN597" s="2">
        <v>0</v>
      </c>
      <c r="EP597" t="str">
        <f>IF(AND(AND(AND(OR($EC597=1,$EB597=1),OR($EH597=1,$EF597=1)),SUM($EA597:$EE597,$EK597)&gt;=3),SUM($EF597:$EJ597)&gt;=2),"Whole sector approach","")</f>
        <v/>
      </c>
      <c r="EQ597" t="str">
        <f>IF(AND(AND(OR($EC597=1,$EB597=1),AND($EH597=0,$EF597=0)),SUM($EA597:$EE597,$EK597)&gt;=3),"Ecosystem approach","")</f>
        <v/>
      </c>
      <c r="ER597" s="2" t="str">
        <f>IF(AND(AND(AND($EC597=0,$EB597=0),OR($EH597=1,$EF597=1)),SUM($EG597:$EJ597)&gt;=2),"Technology approach","")</f>
        <v>Technology approach</v>
      </c>
      <c r="ES597" t="str">
        <f>IF(AND($EC597+$EB597+$EE597+$EA597+$ED597+$EG597=0,$N597="included"),"C neutral forest and HWP assumption","")</f>
        <v/>
      </c>
      <c r="ET597" t="str">
        <f>IF(AND(AND(AND(AND($EC597=1,$EB597+$EA597+$EG597&gt;=1),$EF597=1),$EH597+$EI597+$ED597+$EE597&gt;=2),$N597="included"),"All C pools assumption","")</f>
        <v/>
      </c>
      <c r="EU597" t="str">
        <f>IF(AND($ED597+$EE597+$EI597+$EH597+$EF597=0,$N597="included"),"In-situ only assumption","")</f>
        <v/>
      </c>
      <c r="EW597" t="s">
        <v>943</v>
      </c>
      <c r="EY597" t="str">
        <f>IF(ISNUMBER(BW597),IF(ABS(BW597-[7]QC_indicators!$B$2)&gt;3*[7]QC_indicators!$C$2,"C ratio",IF(ISNUMBER(CA597),IF(ABS(CA597-[7]QC_indicators!$B$1)&gt;3*[7]QC_indicators!$C$1,"DF","no"))),IF(ISNUMBER(CA597),IF(ABS(CA597-[7]QC_indicators!$B$1)&gt;3*[7]QC_indicators!$C$1,"DF","no")))</f>
        <v>no</v>
      </c>
      <c r="FA597" t="str">
        <f>IF(LEN($CY597)=0,"",IF(AND($CY597&lt;(-0.05),$ES597="C neutral forest and HWP assumption"),"Cneutral paradox",IF(AND($CY597&gt;0.05,$EU597="In-situ only assumption"),"In-situ only paradox","")))</f>
        <v/>
      </c>
      <c r="FB597" s="317" t="s">
        <v>944</v>
      </c>
      <c r="FD597" t="s">
        <v>5015</v>
      </c>
    </row>
    <row r="598" spans="1:160" ht="15" hidden="1" customHeight="1">
      <c r="D598" t="s">
        <v>927</v>
      </c>
      <c r="E598" t="s">
        <v>939</v>
      </c>
      <c r="G598" t="s">
        <v>680</v>
      </c>
      <c r="I598">
        <v>2003</v>
      </c>
      <c r="K598" s="288" t="s">
        <v>940</v>
      </c>
      <c r="M598" t="str">
        <f>LEFT($D598,FIND(",",$D598)-1)&amp;"_"&amp;I598&amp;L598</f>
        <v>Petersen_2003</v>
      </c>
      <c r="N598" t="s">
        <v>222</v>
      </c>
      <c r="O598" s="171" t="s">
        <v>508</v>
      </c>
      <c r="P598" s="141" t="s">
        <v>225</v>
      </c>
      <c r="Q598" s="317" t="s">
        <v>389</v>
      </c>
      <c r="R598" s="318" t="s">
        <v>1029</v>
      </c>
      <c r="S598" s="320" t="s">
        <v>5012</v>
      </c>
      <c r="T598" s="317" t="s">
        <v>5013</v>
      </c>
      <c r="U598" s="317" t="s">
        <v>5025</v>
      </c>
      <c r="V598" s="253">
        <v>0</v>
      </c>
      <c r="W598" s="253">
        <v>0</v>
      </c>
      <c r="X598">
        <v>0</v>
      </c>
      <c r="Y598">
        <v>0</v>
      </c>
      <c r="Z598">
        <v>0</v>
      </c>
      <c r="AA598">
        <v>0</v>
      </c>
      <c r="AB598">
        <v>0</v>
      </c>
      <c r="AC598">
        <v>0</v>
      </c>
      <c r="AD598">
        <v>0</v>
      </c>
      <c r="AE598">
        <v>0</v>
      </c>
      <c r="AF598">
        <v>0</v>
      </c>
      <c r="AG598">
        <v>0</v>
      </c>
      <c r="AH598">
        <v>0</v>
      </c>
      <c r="AI598">
        <v>0</v>
      </c>
      <c r="AJ598">
        <v>0</v>
      </c>
      <c r="AK598">
        <v>0</v>
      </c>
      <c r="AL598">
        <v>0</v>
      </c>
      <c r="AM598">
        <v>1</v>
      </c>
      <c r="AN598">
        <v>0</v>
      </c>
      <c r="AO598">
        <v>0</v>
      </c>
      <c r="AP598">
        <v>0</v>
      </c>
      <c r="AQ598">
        <v>0</v>
      </c>
      <c r="AR598">
        <v>0</v>
      </c>
      <c r="AS598">
        <v>0</v>
      </c>
      <c r="AT598">
        <v>0</v>
      </c>
      <c r="AU598">
        <v>0</v>
      </c>
      <c r="AV598">
        <v>0</v>
      </c>
      <c r="AW598">
        <v>0</v>
      </c>
      <c r="AX598">
        <v>0</v>
      </c>
      <c r="AY598">
        <v>0</v>
      </c>
      <c r="AZ598" s="141">
        <f>COUNTIF(X598:AY598,"&lt;&gt;0")</f>
        <v>1</v>
      </c>
      <c r="BA598" s="141">
        <f>COUNTIF(X598:AN598,"&lt;&gt;0")</f>
        <v>1</v>
      </c>
      <c r="BB598">
        <f>COUNTIF(X598:AE598,"&lt;&gt;0")</f>
        <v>0</v>
      </c>
      <c r="BC598">
        <f>COUNTIF(AF598:AK598,"&lt;&gt;0")</f>
        <v>0</v>
      </c>
      <c r="BD598">
        <f>COUNTIF(AL598:AN598,"&lt;&gt;0")</f>
        <v>1</v>
      </c>
      <c r="BE598">
        <f>COUNTIF(AU598:AY598,"&lt;&gt;0")</f>
        <v>0</v>
      </c>
      <c r="BF598">
        <f>COUNTIF(AO598:AT598,"&lt;&gt;0")</f>
        <v>0</v>
      </c>
      <c r="BG598" t="str">
        <f t="array" ref="BG598">IF(BA598=1,INDEX($X$7:$AN$7,MATCH(TRUE,INDEX($X598:$AY598&lt;&gt;0,),0)),IF(BA598=0,INDEX($AO$7:$AY$7,MATCH(1,$AO598:$AY598,0)),IF(BH598="Multiple strategies","mixed drivers",IF(BH598="Supply chain","multiple supply","multiple silviculture"))))</f>
        <v>technologies/design switch</v>
      </c>
      <c r="BH598" s="2" t="str">
        <f t="array" ref="BH598">IF(COUNTIF(BB598:BD598,"&lt;&gt;0")=1,INDEX($X$4:$AY$4,MATCH(TRUE,INDEX($X598:$AY598&lt;&gt;0,),0)),IF(COUNTIF(BB598:BD598,"&lt;&gt;0")=0,INDEX($AO$4:$AY$4,MATCH(1,$AO598:$AY598,0)),"Multiple strategies"))</f>
        <v>Technology</v>
      </c>
      <c r="BI598" s="142" t="s">
        <v>229</v>
      </c>
      <c r="BJ598" t="s">
        <v>933</v>
      </c>
      <c r="BK598" t="s">
        <v>942</v>
      </c>
      <c r="BL598" t="s">
        <v>498</v>
      </c>
      <c r="BM598">
        <v>0</v>
      </c>
      <c r="BN598">
        <v>1</v>
      </c>
      <c r="BO598" t="str">
        <f>IFERROR(BN598/BM598,"")</f>
        <v/>
      </c>
      <c r="BP598">
        <f>BN598-BM598</f>
        <v>1</v>
      </c>
      <c r="BQ598">
        <v>1</v>
      </c>
      <c r="BR598" t="s">
        <v>232</v>
      </c>
      <c r="BS598" t="s">
        <v>728</v>
      </c>
      <c r="BT598" s="317" t="s">
        <v>935</v>
      </c>
      <c r="BX598">
        <v>0.39100000000000001</v>
      </c>
      <c r="BZ598">
        <f>BX598</f>
        <v>0.39100000000000001</v>
      </c>
      <c r="CA598">
        <f>IFERROR(BZ598/BQ598,"")</f>
        <v>0.39100000000000001</v>
      </c>
      <c r="CB598">
        <v>0</v>
      </c>
      <c r="CC598">
        <v>0</v>
      </c>
      <c r="CD598">
        <v>0</v>
      </c>
      <c r="CE598">
        <v>0</v>
      </c>
      <c r="CF598">
        <v>0</v>
      </c>
      <c r="CG598">
        <v>0</v>
      </c>
      <c r="CH598">
        <v>0</v>
      </c>
      <c r="CI598">
        <v>0</v>
      </c>
      <c r="CJ598">
        <v>0</v>
      </c>
      <c r="CK598">
        <v>0</v>
      </c>
      <c r="CL598">
        <v>0</v>
      </c>
      <c r="CM598">
        <v>0</v>
      </c>
      <c r="CN598">
        <v>0</v>
      </c>
      <c r="CO598">
        <v>0</v>
      </c>
      <c r="CP598" t="str">
        <f>IF($BN598&lt;$BM598,"refNeedCorrection","refOK")</f>
        <v>refOK</v>
      </c>
      <c r="CQ598">
        <f>IF($CP598="refOK",$BM598,$BN598)</f>
        <v>0</v>
      </c>
      <c r="CR598">
        <f>IF($CP598="refOK",$BN598,$BM598)</f>
        <v>1</v>
      </c>
      <c r="CS598">
        <f>IF($CP598="refOK",$BQ598,-$BQ598)</f>
        <v>1</v>
      </c>
      <c r="CT598">
        <f>IF(BI598="Roundwood",$CS598/2,$CS598)</f>
        <v>1</v>
      </c>
      <c r="CU598">
        <f>IF($CP598="refOK",$BU598,$BV598)*IF($BR598="Emissions positive",-1,1)</f>
        <v>0</v>
      </c>
      <c r="CV598">
        <f>IF($CP598="refOK",$BV598,$BU598)*IF($BR598="Emissions positive",-1,1)</f>
        <v>0</v>
      </c>
      <c r="CW598">
        <f>IF($CP598="refNeedCorrection",-BZ598,BZ598)*IF($BR598="Emissions positive",-1,1)</f>
        <v>0.39100000000000001</v>
      </c>
      <c r="CX598">
        <f>IFERROR($CW598/$CS598,"")</f>
        <v>0.39100000000000001</v>
      </c>
      <c r="CY598">
        <f>IFERROR($CW598/$CS598,"")</f>
        <v>0.39100000000000001</v>
      </c>
      <c r="CZ598">
        <f>IFERROR($CW598/$CT598,"")</f>
        <v>0.39100000000000001</v>
      </c>
      <c r="DA598" s="2" t="str">
        <f>IFERROR((CV598-CU598)/ABS(CU598),"")</f>
        <v/>
      </c>
      <c r="DB598" s="1" t="s">
        <v>263</v>
      </c>
      <c r="DC598" s="317" t="str">
        <f>IF(OR($DB598="prd",$DB598="std",$DB598="cit"),"loc",IF(OR($DB598="eur",$DB598="reg",$DB598="coy"),"reg",$DB598))</f>
        <v>loc</v>
      </c>
      <c r="DD598" t="s">
        <v>264</v>
      </c>
      <c r="DF598" s="143"/>
      <c r="DG598" s="143">
        <v>45</v>
      </c>
      <c r="DH598" t="str">
        <f>IF(DG598=0,"0",IF(AND(DG598&gt;=1,DG598&lt;=30),"1-30",IF(AND(DG598&gt;30,DG598&lt;=70),"31-70",IF(AND(DG598&gt;70,DG598&lt;=100),"71-100",IF(DG598&gt;100,"+100")))))</f>
        <v>31-70</v>
      </c>
      <c r="DI598">
        <v>0</v>
      </c>
      <c r="DJ598">
        <v>0</v>
      </c>
      <c r="DK598">
        <v>0</v>
      </c>
      <c r="DL598">
        <v>1</v>
      </c>
      <c r="DM598">
        <v>0</v>
      </c>
      <c r="DN598">
        <f>SUM(DI598:DL598)</f>
        <v>1</v>
      </c>
      <c r="DO598" t="str">
        <f>IF(DN598=1,INDEX($DI$7:$DL$7,MATCH(1,$DI598:$DL598,0)),"mixedProduct")</f>
        <v>TimberInput</v>
      </c>
      <c r="DP598">
        <f>IF(DI598=1,DP$7,0)</f>
        <v>0</v>
      </c>
      <c r="DQ598">
        <f>IF(DJ598=1,DQ$7,0)</f>
        <v>0</v>
      </c>
      <c r="DR598">
        <f>IF(DK598=1,DR$7,0)</f>
        <v>0</v>
      </c>
      <c r="DS598" t="str">
        <f>IF(DL598=1,DS$7,0)</f>
        <v>Timber</v>
      </c>
      <c r="DT598">
        <v>1</v>
      </c>
      <c r="DU598">
        <v>0</v>
      </c>
      <c r="DV598">
        <v>0</v>
      </c>
      <c r="DW598">
        <v>0</v>
      </c>
      <c r="DX598">
        <v>0</v>
      </c>
      <c r="DY598">
        <f>SUM(DT598:DU598)</f>
        <v>1</v>
      </c>
      <c r="DZ598" s="143" t="str">
        <f>IF(DT598=1,"self-calculated DF",IF(DU598=1,"external DF used","explicit C balance"))</f>
        <v>self-calculated DF</v>
      </c>
      <c r="EA598" s="143">
        <v>0</v>
      </c>
      <c r="EB598" s="143">
        <v>0</v>
      </c>
      <c r="EC598" s="143">
        <v>0</v>
      </c>
      <c r="ED598" s="143">
        <v>0</v>
      </c>
      <c r="EE598" s="143">
        <v>1</v>
      </c>
      <c r="EF598" s="143">
        <v>1</v>
      </c>
      <c r="EG598" s="143">
        <v>0</v>
      </c>
      <c r="EH598" s="143">
        <v>1</v>
      </c>
      <c r="EI598" s="143">
        <v>0</v>
      </c>
      <c r="EJ598">
        <v>1</v>
      </c>
      <c r="EK598">
        <v>0</v>
      </c>
      <c r="EL598" s="143">
        <v>0</v>
      </c>
      <c r="EM598" s="143">
        <v>0</v>
      </c>
      <c r="EN598" s="2">
        <v>0</v>
      </c>
      <c r="EP598" t="str">
        <f>IF(AND(AND(AND(OR($EC598=1,$EB598=1),OR($EH598=1,$EF598=1)),SUM($EA598:$EE598,$EK598)&gt;=3),SUM($EF598:$EJ598)&gt;=2),"Whole sector approach","")</f>
        <v/>
      </c>
      <c r="EQ598" t="str">
        <f>IF(AND(AND(OR($EC598=1,$EB598=1),AND($EH598=0,$EF598=0)),SUM($EA598:$EE598,$EK598)&gt;=3),"Ecosystem approach","")</f>
        <v/>
      </c>
      <c r="ER598" s="2" t="str">
        <f>IF(AND(AND(AND($EC598=0,$EB598=0),OR($EH598=1,$EF598=1)),SUM($EG598:$EJ598)&gt;=2),"Technology approach","")</f>
        <v>Technology approach</v>
      </c>
      <c r="ES598" t="str">
        <f>IF(AND($EC598+$EB598+$EE598+$EA598+$ED598+$EG598=0,$N598="included"),"C neutral forest and HWP assumption","")</f>
        <v/>
      </c>
      <c r="ET598" t="str">
        <f>IF(AND(AND(AND(AND($EC598=1,$EB598+$EA598+$EG598&gt;=1),$EF598=1),$EH598+$EI598+$ED598+$EE598&gt;=2),$N598="included"),"All C pools assumption","")</f>
        <v/>
      </c>
      <c r="EU598" t="str">
        <f>IF(AND($ED598+$EE598+$EI598+$EH598+$EF598=0,$N598="included"),"In-situ only assumption","")</f>
        <v/>
      </c>
      <c r="EW598" t="s">
        <v>948</v>
      </c>
      <c r="EY598" t="str">
        <f>IF(ISNUMBER(BW598),IF(ABS(BW598-[7]QC_indicators!$B$2)&gt;3*[7]QC_indicators!$C$2,"C ratio",IF(ISNUMBER(CA598),IF(ABS(CA598-[7]QC_indicators!$B$1)&gt;3*[7]QC_indicators!$C$1,"DF","no"))),IF(ISNUMBER(CA598),IF(ABS(CA598-[7]QC_indicators!$B$1)&gt;3*[7]QC_indicators!$C$1,"DF","no")))</f>
        <v>no</v>
      </c>
      <c r="FA598" t="str">
        <f>IF(LEN($CY598)=0,"",IF(AND($CY598&lt;(-0.05),$ES598="C neutral forest and HWP assumption"),"Cneutral paradox",IF(AND($CY598&gt;0.05,$EU598="In-situ only assumption"),"In-situ only paradox","")))</f>
        <v/>
      </c>
      <c r="FB598" s="317" t="s">
        <v>944</v>
      </c>
      <c r="FD598" t="s">
        <v>5015</v>
      </c>
    </row>
    <row r="599" spans="1:160" ht="15" hidden="1" customHeight="1">
      <c r="D599" t="s">
        <v>927</v>
      </c>
      <c r="E599" t="s">
        <v>939</v>
      </c>
      <c r="G599" t="s">
        <v>680</v>
      </c>
      <c r="I599">
        <v>2003</v>
      </c>
      <c r="K599" s="288" t="s">
        <v>940</v>
      </c>
      <c r="M599" t="str">
        <f>LEFT($D599,FIND(",",$D599)-1)&amp;"_"&amp;I599&amp;L599</f>
        <v>Petersen_2003</v>
      </c>
      <c r="N599" t="s">
        <v>222</v>
      </c>
      <c r="O599" s="171" t="s">
        <v>508</v>
      </c>
      <c r="P599" s="141" t="s">
        <v>225</v>
      </c>
      <c r="Q599" s="317" t="s">
        <v>389</v>
      </c>
      <c r="R599" s="318" t="s">
        <v>1029</v>
      </c>
      <c r="S599" s="320" t="s">
        <v>5012</v>
      </c>
      <c r="T599" s="317" t="s">
        <v>5021</v>
      </c>
      <c r="U599" s="317" t="s">
        <v>5014</v>
      </c>
      <c r="V599" s="253">
        <v>0</v>
      </c>
      <c r="W599" s="253">
        <v>0</v>
      </c>
      <c r="X599">
        <v>0</v>
      </c>
      <c r="Y599">
        <v>0</v>
      </c>
      <c r="Z599">
        <v>0</v>
      </c>
      <c r="AA599">
        <v>0</v>
      </c>
      <c r="AB599">
        <v>0</v>
      </c>
      <c r="AC599">
        <v>0</v>
      </c>
      <c r="AD599">
        <v>0</v>
      </c>
      <c r="AE599">
        <v>0</v>
      </c>
      <c r="AF599">
        <v>0</v>
      </c>
      <c r="AG599">
        <v>0</v>
      </c>
      <c r="AH599">
        <v>0</v>
      </c>
      <c r="AI599">
        <v>0</v>
      </c>
      <c r="AJ599">
        <v>0</v>
      </c>
      <c r="AK599">
        <v>0</v>
      </c>
      <c r="AL599">
        <v>0</v>
      </c>
      <c r="AM599">
        <v>1</v>
      </c>
      <c r="AN599">
        <v>0</v>
      </c>
      <c r="AO599">
        <v>0</v>
      </c>
      <c r="AP599">
        <v>0</v>
      </c>
      <c r="AQ599">
        <v>0</v>
      </c>
      <c r="AR599">
        <v>0</v>
      </c>
      <c r="AS599">
        <v>0</v>
      </c>
      <c r="AT599">
        <v>0</v>
      </c>
      <c r="AU599">
        <v>0</v>
      </c>
      <c r="AV599">
        <v>0</v>
      </c>
      <c r="AW599">
        <v>0</v>
      </c>
      <c r="AX599">
        <v>0</v>
      </c>
      <c r="AY599">
        <v>0</v>
      </c>
      <c r="AZ599" s="141">
        <f>COUNTIF(X599:AY599,"&lt;&gt;0")</f>
        <v>1</v>
      </c>
      <c r="BA599" s="141">
        <f>COUNTIF(X599:AN599,"&lt;&gt;0")</f>
        <v>1</v>
      </c>
      <c r="BB599">
        <f>COUNTIF(X599:AE599,"&lt;&gt;0")</f>
        <v>0</v>
      </c>
      <c r="BC599">
        <f>COUNTIF(AF599:AK599,"&lt;&gt;0")</f>
        <v>0</v>
      </c>
      <c r="BD599">
        <f>COUNTIF(AL599:AN599,"&lt;&gt;0")</f>
        <v>1</v>
      </c>
      <c r="BE599">
        <f>COUNTIF(AU599:AY599,"&lt;&gt;0")</f>
        <v>0</v>
      </c>
      <c r="BF599">
        <f>COUNTIF(AO599:AT599,"&lt;&gt;0")</f>
        <v>0</v>
      </c>
      <c r="BG599" t="str">
        <f t="array" ref="BG599">IF(BA599=1,INDEX($X$7:$AN$7,MATCH(TRUE,INDEX($X599:$AY599&lt;&gt;0,),0)),IF(BA599=0,INDEX($AO$7:$AY$7,MATCH(1,$AO599:$AY599,0)),IF(BH599="Multiple strategies","mixed drivers",IF(BH599="Supply chain","multiple supply","multiple silviculture"))))</f>
        <v>technologies/design switch</v>
      </c>
      <c r="BH599" s="2" t="str">
        <f t="array" ref="BH599">IF(COUNTIF(BB599:BD599,"&lt;&gt;0")=1,INDEX($X$4:$AY$4,MATCH(TRUE,INDEX($X599:$AY599&lt;&gt;0,),0)),IF(COUNTIF(BB599:BD599,"&lt;&gt;0")=0,INDEX($AO$4:$AY$4,MATCH(1,$AO599:$AY599,0)),"Multiple strategies"))</f>
        <v>Technology</v>
      </c>
      <c r="BI599" s="142" t="s">
        <v>229</v>
      </c>
      <c r="BJ599" t="s">
        <v>933</v>
      </c>
      <c r="BK599" t="s">
        <v>942</v>
      </c>
      <c r="BL599" t="s">
        <v>498</v>
      </c>
      <c r="BM599">
        <v>0</v>
      </c>
      <c r="BN599">
        <v>1</v>
      </c>
      <c r="BO599" t="str">
        <f>IFERROR(BN599/BM599,"")</f>
        <v/>
      </c>
      <c r="BP599">
        <f>BN599-BM599</f>
        <v>1</v>
      </c>
      <c r="BQ599">
        <v>1</v>
      </c>
      <c r="BR599" t="s">
        <v>232</v>
      </c>
      <c r="BS599" t="s">
        <v>728</v>
      </c>
      <c r="BT599" s="317" t="s">
        <v>935</v>
      </c>
      <c r="BX599">
        <v>0.33500000000000002</v>
      </c>
      <c r="BZ599">
        <f>BX599</f>
        <v>0.33500000000000002</v>
      </c>
      <c r="CA599">
        <f>IFERROR(BZ599/BQ599,"")</f>
        <v>0.33500000000000002</v>
      </c>
      <c r="CB599">
        <v>0</v>
      </c>
      <c r="CC599">
        <v>0</v>
      </c>
      <c r="CD599">
        <v>0</v>
      </c>
      <c r="CE599">
        <v>0</v>
      </c>
      <c r="CF599">
        <v>0</v>
      </c>
      <c r="CG599">
        <v>0</v>
      </c>
      <c r="CH599">
        <v>0</v>
      </c>
      <c r="CI599">
        <v>0</v>
      </c>
      <c r="CJ599">
        <v>0</v>
      </c>
      <c r="CK599">
        <v>0</v>
      </c>
      <c r="CL599">
        <v>0</v>
      </c>
      <c r="CM599">
        <v>0</v>
      </c>
      <c r="CN599">
        <v>0</v>
      </c>
      <c r="CO599">
        <v>0</v>
      </c>
      <c r="CP599" t="str">
        <f>IF($BN599&lt;$BM599,"refNeedCorrection","refOK")</f>
        <v>refOK</v>
      </c>
      <c r="CQ599">
        <f>IF($CP599="refOK",$BM599,$BN599)</f>
        <v>0</v>
      </c>
      <c r="CR599">
        <f>IF($CP599="refOK",$BN599,$BM599)</f>
        <v>1</v>
      </c>
      <c r="CS599">
        <f>IF($CP599="refOK",$BQ599,-$BQ599)</f>
        <v>1</v>
      </c>
      <c r="CT599">
        <f>IF(BI599="Roundwood",$CS599/2,$CS599)</f>
        <v>1</v>
      </c>
      <c r="CU599">
        <f>IF($CP599="refOK",$BU599,$BV599)*IF($BR599="Emissions positive",-1,1)</f>
        <v>0</v>
      </c>
      <c r="CV599">
        <f>IF($CP599="refOK",$BV599,$BU599)*IF($BR599="Emissions positive",-1,1)</f>
        <v>0</v>
      </c>
      <c r="CW599">
        <f>IF($CP599="refNeedCorrection",-BZ599,BZ599)*IF($BR599="Emissions positive",-1,1)</f>
        <v>0.33500000000000002</v>
      </c>
      <c r="CX599">
        <f>IFERROR($CW599/$CS599,"")</f>
        <v>0.33500000000000002</v>
      </c>
      <c r="CY599">
        <f>IFERROR($CW599/$CS599,"")</f>
        <v>0.33500000000000002</v>
      </c>
      <c r="CZ599">
        <f>IFERROR($CW599/$CT599,"")</f>
        <v>0.33500000000000002</v>
      </c>
      <c r="DA599" s="2" t="str">
        <f>IFERROR((CV599-CU599)/ABS(CU599),"")</f>
        <v/>
      </c>
      <c r="DB599" s="1" t="s">
        <v>263</v>
      </c>
      <c r="DC599" s="317" t="str">
        <f>IF(OR($DB599="prd",$DB599="std",$DB599="cit"),"loc",IF(OR($DB599="eur",$DB599="reg",$DB599="coy"),"reg",$DB599))</f>
        <v>loc</v>
      </c>
      <c r="DD599" t="s">
        <v>264</v>
      </c>
      <c r="DF599" s="143"/>
      <c r="DG599" s="143">
        <v>45</v>
      </c>
      <c r="DH599" t="str">
        <f>IF(DG599=0,"0",IF(AND(DG599&gt;=1,DG599&lt;=30),"1-30",IF(AND(DG599&gt;30,DG599&lt;=70),"31-70",IF(AND(DG599&gt;70,DG599&lt;=100),"71-100",IF(DG599&gt;100,"+100")))))</f>
        <v>31-70</v>
      </c>
      <c r="DI599">
        <v>0</v>
      </c>
      <c r="DJ599">
        <v>0</v>
      </c>
      <c r="DK599">
        <v>0</v>
      </c>
      <c r="DL599">
        <v>1</v>
      </c>
      <c r="DM599">
        <v>0</v>
      </c>
      <c r="DN599">
        <f>SUM(DI599:DL599)</f>
        <v>1</v>
      </c>
      <c r="DO599" t="str">
        <f>IF(DN599=1,INDEX($DI$7:$DL$7,MATCH(1,$DI599:$DL599,0)),"mixedProduct")</f>
        <v>TimberInput</v>
      </c>
      <c r="DP599">
        <f>IF(DI599=1,DP$7,0)</f>
        <v>0</v>
      </c>
      <c r="DQ599">
        <f>IF(DJ599=1,DQ$7,0)</f>
        <v>0</v>
      </c>
      <c r="DR599">
        <f>IF(DK599=1,DR$7,0)</f>
        <v>0</v>
      </c>
      <c r="DS599" t="str">
        <f>IF(DL599=1,DS$7,0)</f>
        <v>Timber</v>
      </c>
      <c r="DT599">
        <v>1</v>
      </c>
      <c r="DU599">
        <v>0</v>
      </c>
      <c r="DV599">
        <v>0</v>
      </c>
      <c r="DW599">
        <v>0</v>
      </c>
      <c r="DX599">
        <v>0</v>
      </c>
      <c r="DY599">
        <f>SUM(DT599:DU599)</f>
        <v>1</v>
      </c>
      <c r="DZ599" s="143" t="str">
        <f>IF(DT599=1,"self-calculated DF",IF(DU599=1,"external DF used","explicit C balance"))</f>
        <v>self-calculated DF</v>
      </c>
      <c r="EA599" s="143">
        <v>0</v>
      </c>
      <c r="EB599" s="143">
        <v>0</v>
      </c>
      <c r="EC599" s="143">
        <v>0</v>
      </c>
      <c r="ED599" s="143">
        <v>0</v>
      </c>
      <c r="EE599" s="143">
        <v>1</v>
      </c>
      <c r="EF599" s="143">
        <v>1</v>
      </c>
      <c r="EG599" s="143">
        <v>0</v>
      </c>
      <c r="EH599" s="143">
        <v>1</v>
      </c>
      <c r="EI599" s="143">
        <v>0</v>
      </c>
      <c r="EJ599">
        <v>1</v>
      </c>
      <c r="EK599">
        <v>0</v>
      </c>
      <c r="EL599" s="143">
        <v>0</v>
      </c>
      <c r="EM599" s="143">
        <v>0</v>
      </c>
      <c r="EN599" s="2">
        <v>0</v>
      </c>
      <c r="EP599" t="str">
        <f>IF(AND(AND(AND(OR($EC599=1,$EB599=1),OR($EH599=1,$EF599=1)),SUM($EA599:$EE599,$EK599)&gt;=3),SUM($EF599:$EJ599)&gt;=2),"Whole sector approach","")</f>
        <v/>
      </c>
      <c r="EQ599" t="str">
        <f>IF(AND(AND(OR($EC599=1,$EB599=1),AND($EH599=0,$EF599=0)),SUM($EA599:$EE599,$EK599)&gt;=3),"Ecosystem approach","")</f>
        <v/>
      </c>
      <c r="ER599" s="2" t="str">
        <f>IF(AND(AND(AND($EC599=0,$EB599=0),OR($EH599=1,$EF599=1)),SUM($EG599:$EJ599)&gt;=2),"Technology approach","")</f>
        <v>Technology approach</v>
      </c>
      <c r="ES599" t="str">
        <f>IF(AND($EC599+$EB599+$EE599+$EA599+$ED599+$EG599=0,$N599="included"),"C neutral forest and HWP assumption","")</f>
        <v/>
      </c>
      <c r="ET599" t="str">
        <f>IF(AND(AND(AND(AND($EC599=1,$EB599+$EA599+$EG599&gt;=1),$EF599=1),$EH599+$EI599+$ED599+$EE599&gt;=2),$N599="included"),"All C pools assumption","")</f>
        <v/>
      </c>
      <c r="EU599" t="str">
        <f>IF(AND($ED599+$EE599+$EI599+$EH599+$EF599=0,$N599="included"),"In-situ only assumption","")</f>
        <v/>
      </c>
      <c r="EW599" t="s">
        <v>948</v>
      </c>
      <c r="EY599" t="str">
        <f>IF(ISNUMBER(BW599),IF(ABS(BW599-[7]QC_indicators!$B$2)&gt;3*[7]QC_indicators!$C$2,"C ratio",IF(ISNUMBER(CA599),IF(ABS(CA599-[7]QC_indicators!$B$1)&gt;3*[7]QC_indicators!$C$1,"DF","no"))),IF(ISNUMBER(CA599),IF(ABS(CA599-[7]QC_indicators!$B$1)&gt;3*[7]QC_indicators!$C$1,"DF","no")))</f>
        <v>no</v>
      </c>
      <c r="FA599" t="str">
        <f>IF(LEN($CY599)=0,"",IF(AND($CY599&lt;(-0.05),$ES599="C neutral forest and HWP assumption"),"Cneutral paradox",IF(AND($CY599&gt;0.05,$EU599="In-situ only assumption"),"In-situ only paradox","")))</f>
        <v/>
      </c>
      <c r="FB599" s="317" t="s">
        <v>944</v>
      </c>
      <c r="FD599" t="s">
        <v>5015</v>
      </c>
    </row>
    <row r="600" spans="1:160" ht="15" hidden="1" customHeight="1">
      <c r="D600" t="s">
        <v>927</v>
      </c>
      <c r="E600" t="s">
        <v>939</v>
      </c>
      <c r="G600" t="s">
        <v>680</v>
      </c>
      <c r="I600">
        <v>2003</v>
      </c>
      <c r="K600" s="288" t="s">
        <v>940</v>
      </c>
      <c r="M600" t="str">
        <f>LEFT($D600,FIND(",",$D600)-1)&amp;"_"&amp;I600&amp;L600</f>
        <v>Petersen_2003</v>
      </c>
      <c r="N600" t="s">
        <v>222</v>
      </c>
      <c r="O600" s="171" t="s">
        <v>508</v>
      </c>
      <c r="P600" s="141" t="s">
        <v>225</v>
      </c>
      <c r="Q600" s="317" t="s">
        <v>389</v>
      </c>
      <c r="R600" s="318" t="s">
        <v>1029</v>
      </c>
      <c r="S600" s="320" t="s">
        <v>5012</v>
      </c>
      <c r="T600" s="317" t="s">
        <v>5013</v>
      </c>
      <c r="U600" s="317" t="s">
        <v>5020</v>
      </c>
      <c r="V600" s="253">
        <v>0</v>
      </c>
      <c r="W600" s="253">
        <v>0</v>
      </c>
      <c r="X600">
        <v>0</v>
      </c>
      <c r="Y600">
        <v>0</v>
      </c>
      <c r="Z600">
        <v>0</v>
      </c>
      <c r="AA600">
        <v>0</v>
      </c>
      <c r="AB600">
        <v>0</v>
      </c>
      <c r="AC600">
        <v>0</v>
      </c>
      <c r="AD600">
        <v>0</v>
      </c>
      <c r="AE600">
        <v>0</v>
      </c>
      <c r="AF600">
        <v>0</v>
      </c>
      <c r="AG600">
        <v>0</v>
      </c>
      <c r="AH600">
        <v>0</v>
      </c>
      <c r="AI600">
        <v>0</v>
      </c>
      <c r="AJ600">
        <v>0</v>
      </c>
      <c r="AK600">
        <v>0</v>
      </c>
      <c r="AL600">
        <v>0</v>
      </c>
      <c r="AM600">
        <v>1</v>
      </c>
      <c r="AN600">
        <v>0</v>
      </c>
      <c r="AO600">
        <v>0</v>
      </c>
      <c r="AP600">
        <v>0</v>
      </c>
      <c r="AQ600">
        <v>0</v>
      </c>
      <c r="AR600">
        <v>0</v>
      </c>
      <c r="AS600">
        <v>0</v>
      </c>
      <c r="AT600">
        <v>0</v>
      </c>
      <c r="AU600">
        <v>0</v>
      </c>
      <c r="AV600">
        <v>0</v>
      </c>
      <c r="AW600">
        <v>0</v>
      </c>
      <c r="AX600">
        <v>0</v>
      </c>
      <c r="AY600">
        <v>0</v>
      </c>
      <c r="AZ600" s="141">
        <f>COUNTIF(X600:AY600,"&lt;&gt;0")</f>
        <v>1</v>
      </c>
      <c r="BA600" s="141">
        <f>COUNTIF(X600:AN600,"&lt;&gt;0")</f>
        <v>1</v>
      </c>
      <c r="BB600">
        <f>COUNTIF(X600:AE600,"&lt;&gt;0")</f>
        <v>0</v>
      </c>
      <c r="BC600">
        <f>COUNTIF(AF600:AK600,"&lt;&gt;0")</f>
        <v>0</v>
      </c>
      <c r="BD600">
        <f>COUNTIF(AL600:AN600,"&lt;&gt;0")</f>
        <v>1</v>
      </c>
      <c r="BE600">
        <f>COUNTIF(AU600:AY600,"&lt;&gt;0")</f>
        <v>0</v>
      </c>
      <c r="BF600">
        <f>COUNTIF(AO600:AT600,"&lt;&gt;0")</f>
        <v>0</v>
      </c>
      <c r="BG600" t="str">
        <f t="array" ref="BG600">IF(BA600=1,INDEX($X$7:$AN$7,MATCH(TRUE,INDEX($X600:$AY600&lt;&gt;0,),0)),IF(BA600=0,INDEX($AO$7:$AY$7,MATCH(1,$AO600:$AY600,0)),IF(BH600="Multiple strategies","mixed drivers",IF(BH600="Supply chain","multiple supply","multiple silviculture"))))</f>
        <v>technologies/design switch</v>
      </c>
      <c r="BH600" s="2" t="str">
        <f t="array" ref="BH600">IF(COUNTIF(BB600:BD600,"&lt;&gt;0")=1,INDEX($X$4:$AY$4,MATCH(TRUE,INDEX($X600:$AY600&lt;&gt;0,),0)),IF(COUNTIF(BB600:BD600,"&lt;&gt;0")=0,INDEX($AO$4:$AY$4,MATCH(1,$AO600:$AY600,0)),"Multiple strategies"))</f>
        <v>Technology</v>
      </c>
      <c r="BI600" s="142" t="s">
        <v>229</v>
      </c>
      <c r="BJ600" t="s">
        <v>933</v>
      </c>
      <c r="BK600" t="s">
        <v>942</v>
      </c>
      <c r="BL600" t="s">
        <v>498</v>
      </c>
      <c r="BM600">
        <v>0</v>
      </c>
      <c r="BN600">
        <v>1</v>
      </c>
      <c r="BO600" t="str">
        <f>IFERROR(BN600/BM600,"")</f>
        <v/>
      </c>
      <c r="BP600">
        <f>BN600-BM600</f>
        <v>1</v>
      </c>
      <c r="BQ600">
        <v>1</v>
      </c>
      <c r="BR600" t="s">
        <v>232</v>
      </c>
      <c r="BS600" t="s">
        <v>728</v>
      </c>
      <c r="BT600" s="317" t="s">
        <v>935</v>
      </c>
      <c r="BX600">
        <v>0.32400000000000001</v>
      </c>
      <c r="BZ600">
        <f>BX600</f>
        <v>0.32400000000000001</v>
      </c>
      <c r="CA600">
        <f>IFERROR(BZ600/BQ600,"")</f>
        <v>0.32400000000000001</v>
      </c>
      <c r="CB600">
        <v>0</v>
      </c>
      <c r="CC600">
        <v>0</v>
      </c>
      <c r="CD600">
        <v>0</v>
      </c>
      <c r="CE600">
        <v>0</v>
      </c>
      <c r="CF600">
        <v>0</v>
      </c>
      <c r="CG600">
        <v>0</v>
      </c>
      <c r="CH600">
        <v>0</v>
      </c>
      <c r="CI600">
        <v>0</v>
      </c>
      <c r="CJ600">
        <v>0</v>
      </c>
      <c r="CK600">
        <v>0</v>
      </c>
      <c r="CL600">
        <v>0</v>
      </c>
      <c r="CM600">
        <v>0</v>
      </c>
      <c r="CN600">
        <v>0</v>
      </c>
      <c r="CO600">
        <v>0</v>
      </c>
      <c r="CP600" t="str">
        <f>IF($BN600&lt;$BM600,"refNeedCorrection","refOK")</f>
        <v>refOK</v>
      </c>
      <c r="CQ600">
        <f>IF($CP600="refOK",$BM600,$BN600)</f>
        <v>0</v>
      </c>
      <c r="CR600">
        <f>IF($CP600="refOK",$BN600,$BM600)</f>
        <v>1</v>
      </c>
      <c r="CS600">
        <f>IF($CP600="refOK",$BQ600,-$BQ600)</f>
        <v>1</v>
      </c>
      <c r="CT600">
        <f>IF(BI600="Roundwood",$CS600/2,$CS600)</f>
        <v>1</v>
      </c>
      <c r="CU600">
        <f>IF($CP600="refOK",$BU600,$BV600)*IF($BR600="Emissions positive",-1,1)</f>
        <v>0</v>
      </c>
      <c r="CV600">
        <f>IF($CP600="refOK",$BV600,$BU600)*IF($BR600="Emissions positive",-1,1)</f>
        <v>0</v>
      </c>
      <c r="CW600">
        <f>IF($CP600="refNeedCorrection",-BZ600,BZ600)*IF($BR600="Emissions positive",-1,1)</f>
        <v>0.32400000000000001</v>
      </c>
      <c r="CX600">
        <f>IFERROR($CW600/$CS600,"")</f>
        <v>0.32400000000000001</v>
      </c>
      <c r="CY600">
        <f>IFERROR($CW600/$CS600,"")</f>
        <v>0.32400000000000001</v>
      </c>
      <c r="CZ600">
        <f>IFERROR($CW600/$CT600,"")</f>
        <v>0.32400000000000001</v>
      </c>
      <c r="DA600" s="2" t="str">
        <f>IFERROR((CV600-CU600)/ABS(CU600),"")</f>
        <v/>
      </c>
      <c r="DB600" s="1" t="s">
        <v>263</v>
      </c>
      <c r="DC600" s="317" t="str">
        <f>IF(OR($DB600="prd",$DB600="std",$DB600="cit"),"loc",IF(OR($DB600="eur",$DB600="reg",$DB600="coy"),"reg",$DB600))</f>
        <v>loc</v>
      </c>
      <c r="DD600" t="s">
        <v>264</v>
      </c>
      <c r="DF600" s="143"/>
      <c r="DG600" s="143">
        <v>45</v>
      </c>
      <c r="DH600" t="str">
        <f>IF(DG600=0,"0",IF(AND(DG600&gt;=1,DG600&lt;=30),"1-30",IF(AND(DG600&gt;30,DG600&lt;=70),"31-70",IF(AND(DG600&gt;70,DG600&lt;=100),"71-100",IF(DG600&gt;100,"+100")))))</f>
        <v>31-70</v>
      </c>
      <c r="DI600">
        <v>0</v>
      </c>
      <c r="DJ600">
        <v>0</v>
      </c>
      <c r="DK600">
        <v>0</v>
      </c>
      <c r="DL600">
        <v>1</v>
      </c>
      <c r="DM600">
        <v>0</v>
      </c>
      <c r="DN600">
        <f>SUM(DI600:DL600)</f>
        <v>1</v>
      </c>
      <c r="DO600" t="str">
        <f>IF(DN600=1,INDEX($DI$7:$DL$7,MATCH(1,$DI600:$DL600,0)),"mixedProduct")</f>
        <v>TimberInput</v>
      </c>
      <c r="DP600">
        <f>IF(DI600=1,DP$7,0)</f>
        <v>0</v>
      </c>
      <c r="DQ600">
        <f>IF(DJ600=1,DQ$7,0)</f>
        <v>0</v>
      </c>
      <c r="DR600">
        <f>IF(DK600=1,DR$7,0)</f>
        <v>0</v>
      </c>
      <c r="DS600" t="str">
        <f>IF(DL600=1,DS$7,0)</f>
        <v>Timber</v>
      </c>
      <c r="DT600">
        <v>1</v>
      </c>
      <c r="DU600">
        <v>0</v>
      </c>
      <c r="DV600">
        <v>0</v>
      </c>
      <c r="DW600">
        <v>0</v>
      </c>
      <c r="DX600">
        <v>0</v>
      </c>
      <c r="DY600">
        <f>SUM(DT600:DU600)</f>
        <v>1</v>
      </c>
      <c r="DZ600" s="143" t="str">
        <f>IF(DT600=1,"self-calculated DF",IF(DU600=1,"external DF used","explicit C balance"))</f>
        <v>self-calculated DF</v>
      </c>
      <c r="EA600" s="143">
        <v>0</v>
      </c>
      <c r="EB600" s="143">
        <v>0</v>
      </c>
      <c r="EC600" s="143">
        <v>0</v>
      </c>
      <c r="ED600" s="143">
        <v>0</v>
      </c>
      <c r="EE600" s="143">
        <v>1</v>
      </c>
      <c r="EF600" s="143">
        <v>1</v>
      </c>
      <c r="EG600" s="143">
        <v>0</v>
      </c>
      <c r="EH600" s="143">
        <v>1</v>
      </c>
      <c r="EI600" s="143">
        <v>0</v>
      </c>
      <c r="EJ600">
        <v>1</v>
      </c>
      <c r="EK600">
        <v>0</v>
      </c>
      <c r="EL600" s="143">
        <v>0</v>
      </c>
      <c r="EM600" s="143">
        <v>0</v>
      </c>
      <c r="EN600" s="2">
        <v>0</v>
      </c>
      <c r="EP600" t="str">
        <f>IF(AND(AND(AND(OR($EC600=1,$EB600=1),OR($EH600=1,$EF600=1)),SUM($EA600:$EE600,$EK600)&gt;=3),SUM($EF600:$EJ600)&gt;=2),"Whole sector approach","")</f>
        <v/>
      </c>
      <c r="EQ600" t="str">
        <f>IF(AND(AND(OR($EC600=1,$EB600=1),AND($EH600=0,$EF600=0)),SUM($EA600:$EE600,$EK600)&gt;=3),"Ecosystem approach","")</f>
        <v/>
      </c>
      <c r="ER600" s="2" t="str">
        <f>IF(AND(AND(AND($EC600=0,$EB600=0),OR($EH600=1,$EF600=1)),SUM($EG600:$EJ600)&gt;=2),"Technology approach","")</f>
        <v>Technology approach</v>
      </c>
      <c r="ES600" t="str">
        <f>IF(AND($EC600+$EB600+$EE600+$EA600+$ED600+$EG600=0,$N600="included"),"C neutral forest and HWP assumption","")</f>
        <v/>
      </c>
      <c r="ET600" t="str">
        <f>IF(AND(AND(AND(AND($EC600=1,$EB600+$EA600+$EG600&gt;=1),$EF600=1),$EH600+$EI600+$ED600+$EE600&gt;=2),$N600="included"),"All C pools assumption","")</f>
        <v/>
      </c>
      <c r="EU600" t="str">
        <f>IF(AND($ED600+$EE600+$EI600+$EH600+$EF600=0,$N600="included"),"In-situ only assumption","")</f>
        <v/>
      </c>
      <c r="EW600" t="s">
        <v>948</v>
      </c>
      <c r="EY600" t="str">
        <f>IF(ISNUMBER(BW600),IF(ABS(BW600-[7]QC_indicators!$B$2)&gt;3*[7]QC_indicators!$C$2,"C ratio",IF(ISNUMBER(CA600),IF(ABS(CA600-[7]QC_indicators!$B$1)&gt;3*[7]QC_indicators!$C$1,"DF","no"))),IF(ISNUMBER(CA600),IF(ABS(CA600-[7]QC_indicators!$B$1)&gt;3*[7]QC_indicators!$C$1,"DF","no")))</f>
        <v>no</v>
      </c>
      <c r="FA600" t="str">
        <f>IF(LEN($CY600)=0,"",IF(AND($CY600&lt;(-0.05),$ES600="C neutral forest and HWP assumption"),"Cneutral paradox",IF(AND($CY600&gt;0.05,$EU600="In-situ only assumption"),"In-situ only paradox","")))</f>
        <v/>
      </c>
      <c r="FB600" s="317" t="s">
        <v>944</v>
      </c>
      <c r="FD600" t="s">
        <v>5015</v>
      </c>
    </row>
    <row r="601" spans="1:160" ht="15" hidden="1" customHeight="1">
      <c r="D601" t="s">
        <v>927</v>
      </c>
      <c r="E601" t="s">
        <v>939</v>
      </c>
      <c r="G601" t="s">
        <v>680</v>
      </c>
      <c r="I601">
        <v>2003</v>
      </c>
      <c r="K601" s="288" t="s">
        <v>940</v>
      </c>
      <c r="M601" t="str">
        <f>LEFT($D601,FIND(",",$D601)-1)&amp;"_"&amp;I601&amp;L601</f>
        <v>Petersen_2003</v>
      </c>
      <c r="N601" t="s">
        <v>222</v>
      </c>
      <c r="O601" s="171" t="s">
        <v>508</v>
      </c>
      <c r="P601" s="141" t="s">
        <v>225</v>
      </c>
      <c r="Q601" s="317" t="s">
        <v>389</v>
      </c>
      <c r="R601" s="318" t="s">
        <v>1029</v>
      </c>
      <c r="S601" s="320" t="s">
        <v>5012</v>
      </c>
      <c r="T601" s="317" t="s">
        <v>5026</v>
      </c>
      <c r="U601" s="317" t="s">
        <v>5014</v>
      </c>
      <c r="V601" s="253">
        <v>0</v>
      </c>
      <c r="W601" s="253">
        <v>0</v>
      </c>
      <c r="X601">
        <v>0</v>
      </c>
      <c r="Y601">
        <v>0</v>
      </c>
      <c r="Z601">
        <v>0</v>
      </c>
      <c r="AA601">
        <v>0</v>
      </c>
      <c r="AB601">
        <v>0</v>
      </c>
      <c r="AC601">
        <v>0</v>
      </c>
      <c r="AD601">
        <v>0</v>
      </c>
      <c r="AE601">
        <v>0</v>
      </c>
      <c r="AF601">
        <v>0</v>
      </c>
      <c r="AG601">
        <v>0</v>
      </c>
      <c r="AH601">
        <v>0</v>
      </c>
      <c r="AI601">
        <v>0</v>
      </c>
      <c r="AJ601">
        <v>0</v>
      </c>
      <c r="AK601">
        <v>0</v>
      </c>
      <c r="AL601">
        <v>0</v>
      </c>
      <c r="AM601">
        <v>1</v>
      </c>
      <c r="AN601">
        <v>0</v>
      </c>
      <c r="AO601">
        <v>0</v>
      </c>
      <c r="AP601">
        <v>0</v>
      </c>
      <c r="AQ601">
        <v>0</v>
      </c>
      <c r="AR601">
        <v>0</v>
      </c>
      <c r="AS601">
        <v>0</v>
      </c>
      <c r="AT601">
        <v>0</v>
      </c>
      <c r="AU601">
        <v>0</v>
      </c>
      <c r="AV601">
        <v>0</v>
      </c>
      <c r="AW601">
        <v>0</v>
      </c>
      <c r="AX601">
        <v>0</v>
      </c>
      <c r="AY601">
        <v>0</v>
      </c>
      <c r="AZ601" s="141">
        <f>COUNTIF(X601:AY601,"&lt;&gt;0")</f>
        <v>1</v>
      </c>
      <c r="BA601" s="141">
        <f>COUNTIF(X601:AN601,"&lt;&gt;0")</f>
        <v>1</v>
      </c>
      <c r="BB601">
        <f>COUNTIF(X601:AE601,"&lt;&gt;0")</f>
        <v>0</v>
      </c>
      <c r="BC601">
        <f>COUNTIF(AF601:AK601,"&lt;&gt;0")</f>
        <v>0</v>
      </c>
      <c r="BD601">
        <f>COUNTIF(AL601:AN601,"&lt;&gt;0")</f>
        <v>1</v>
      </c>
      <c r="BE601">
        <f>COUNTIF(AU601:AY601,"&lt;&gt;0")</f>
        <v>0</v>
      </c>
      <c r="BF601">
        <f>COUNTIF(AO601:AT601,"&lt;&gt;0")</f>
        <v>0</v>
      </c>
      <c r="BG601" t="str">
        <f t="array" ref="BG601">IF(BA601=1,INDEX($X$7:$AN$7,MATCH(TRUE,INDEX($X601:$AY601&lt;&gt;0,),0)),IF(BA601=0,INDEX($AO$7:$AY$7,MATCH(1,$AO601:$AY601,0)),IF(BH601="Multiple strategies","mixed drivers",IF(BH601="Supply chain","multiple supply","multiple silviculture"))))</f>
        <v>technologies/design switch</v>
      </c>
      <c r="BH601" s="2" t="str">
        <f t="array" ref="BH601">IF(COUNTIF(BB601:BD601,"&lt;&gt;0")=1,INDEX($X$4:$AY$4,MATCH(TRUE,INDEX($X601:$AY601&lt;&gt;0,),0)),IF(COUNTIF(BB601:BD601,"&lt;&gt;0")=0,INDEX($AO$4:$AY$4,MATCH(1,$AO601:$AY601,0)),"Multiple strategies"))</f>
        <v>Technology</v>
      </c>
      <c r="BI601" s="142" t="s">
        <v>229</v>
      </c>
      <c r="BJ601" t="s">
        <v>933</v>
      </c>
      <c r="BK601" t="s">
        <v>942</v>
      </c>
      <c r="BL601" t="s">
        <v>498</v>
      </c>
      <c r="BM601">
        <v>0</v>
      </c>
      <c r="BN601">
        <v>1</v>
      </c>
      <c r="BO601" t="str">
        <f>IFERROR(BN601/BM601,"")</f>
        <v/>
      </c>
      <c r="BP601">
        <f>BN601-BM601</f>
        <v>1</v>
      </c>
      <c r="BQ601">
        <v>1</v>
      </c>
      <c r="BR601" t="s">
        <v>232</v>
      </c>
      <c r="BS601" t="s">
        <v>728</v>
      </c>
      <c r="BT601" s="317" t="s">
        <v>935</v>
      </c>
      <c r="BX601">
        <v>0.308</v>
      </c>
      <c r="BZ601">
        <f>BX601</f>
        <v>0.308</v>
      </c>
      <c r="CA601">
        <f>IFERROR(BZ601/BQ601,"")</f>
        <v>0.308</v>
      </c>
      <c r="CB601">
        <v>0</v>
      </c>
      <c r="CC601">
        <v>0</v>
      </c>
      <c r="CD601">
        <v>0</v>
      </c>
      <c r="CE601">
        <v>0</v>
      </c>
      <c r="CF601">
        <v>0</v>
      </c>
      <c r="CG601">
        <v>0</v>
      </c>
      <c r="CH601">
        <v>0</v>
      </c>
      <c r="CI601">
        <v>0</v>
      </c>
      <c r="CJ601">
        <v>0</v>
      </c>
      <c r="CK601">
        <v>0</v>
      </c>
      <c r="CL601">
        <v>0</v>
      </c>
      <c r="CM601">
        <v>0</v>
      </c>
      <c r="CN601">
        <v>0</v>
      </c>
      <c r="CO601">
        <v>0</v>
      </c>
      <c r="CP601" t="str">
        <f>IF($BN601&lt;$BM601,"refNeedCorrection","refOK")</f>
        <v>refOK</v>
      </c>
      <c r="CQ601">
        <f>IF($CP601="refOK",$BM601,$BN601)</f>
        <v>0</v>
      </c>
      <c r="CR601">
        <f>IF($CP601="refOK",$BN601,$BM601)</f>
        <v>1</v>
      </c>
      <c r="CS601">
        <f>IF($CP601="refOK",$BQ601,-$BQ601)</f>
        <v>1</v>
      </c>
      <c r="CT601">
        <f>IF(BI601="Roundwood",$CS601/2,$CS601)</f>
        <v>1</v>
      </c>
      <c r="CU601">
        <f>IF($CP601="refOK",$BU601,$BV601)*IF($BR601="Emissions positive",-1,1)</f>
        <v>0</v>
      </c>
      <c r="CV601">
        <f>IF($CP601="refOK",$BV601,$BU601)*IF($BR601="Emissions positive",-1,1)</f>
        <v>0</v>
      </c>
      <c r="CW601">
        <f>IF($CP601="refNeedCorrection",-BZ601,BZ601)*IF($BR601="Emissions positive",-1,1)</f>
        <v>0.308</v>
      </c>
      <c r="CX601">
        <f>IFERROR($CW601/$CS601,"")</f>
        <v>0.308</v>
      </c>
      <c r="CY601">
        <f>IFERROR($CW601/$CS601,"")</f>
        <v>0.308</v>
      </c>
      <c r="CZ601">
        <f>IFERROR($CW601/$CT601,"")</f>
        <v>0.308</v>
      </c>
      <c r="DA601" s="2" t="str">
        <f>IFERROR((CV601-CU601)/ABS(CU601),"")</f>
        <v/>
      </c>
      <c r="DB601" s="1" t="s">
        <v>263</v>
      </c>
      <c r="DC601" s="317" t="str">
        <f>IF(OR($DB601="prd",$DB601="std",$DB601="cit"),"loc",IF(OR($DB601="eur",$DB601="reg",$DB601="coy"),"reg",$DB601))</f>
        <v>loc</v>
      </c>
      <c r="DD601" t="s">
        <v>264</v>
      </c>
      <c r="DF601" s="143"/>
      <c r="DG601" s="143">
        <v>45</v>
      </c>
      <c r="DH601" t="str">
        <f>IF(DG601=0,"0",IF(AND(DG601&gt;=1,DG601&lt;=30),"1-30",IF(AND(DG601&gt;30,DG601&lt;=70),"31-70",IF(AND(DG601&gt;70,DG601&lt;=100),"71-100",IF(DG601&gt;100,"+100")))))</f>
        <v>31-70</v>
      </c>
      <c r="DI601">
        <v>0</v>
      </c>
      <c r="DJ601">
        <v>0</v>
      </c>
      <c r="DK601">
        <v>0</v>
      </c>
      <c r="DL601">
        <v>1</v>
      </c>
      <c r="DM601">
        <v>0</v>
      </c>
      <c r="DN601">
        <f>SUM(DI601:DL601)</f>
        <v>1</v>
      </c>
      <c r="DO601" t="str">
        <f>IF(DN601=1,INDEX($DI$7:$DL$7,MATCH(1,$DI601:$DL601,0)),"mixedProduct")</f>
        <v>TimberInput</v>
      </c>
      <c r="DP601">
        <f>IF(DI601=1,DP$7,0)</f>
        <v>0</v>
      </c>
      <c r="DQ601">
        <f>IF(DJ601=1,DQ$7,0)</f>
        <v>0</v>
      </c>
      <c r="DR601">
        <f>IF(DK601=1,DR$7,0)</f>
        <v>0</v>
      </c>
      <c r="DS601" t="str">
        <f>IF(DL601=1,DS$7,0)</f>
        <v>Timber</v>
      </c>
      <c r="DT601">
        <v>1</v>
      </c>
      <c r="DU601">
        <v>0</v>
      </c>
      <c r="DV601">
        <v>0</v>
      </c>
      <c r="DW601">
        <v>0</v>
      </c>
      <c r="DX601">
        <v>0</v>
      </c>
      <c r="DY601">
        <f>SUM(DT601:DU601)</f>
        <v>1</v>
      </c>
      <c r="DZ601" s="143" t="str">
        <f>IF(DT601=1,"self-calculated DF",IF(DU601=1,"external DF used","explicit C balance"))</f>
        <v>self-calculated DF</v>
      </c>
      <c r="EA601" s="143">
        <v>0</v>
      </c>
      <c r="EB601" s="143">
        <v>0</v>
      </c>
      <c r="EC601" s="143">
        <v>0</v>
      </c>
      <c r="ED601" s="143">
        <v>0</v>
      </c>
      <c r="EE601" s="143">
        <v>1</v>
      </c>
      <c r="EF601" s="143">
        <v>1</v>
      </c>
      <c r="EG601" s="143">
        <v>0</v>
      </c>
      <c r="EH601" s="143">
        <v>1</v>
      </c>
      <c r="EI601" s="143">
        <v>0</v>
      </c>
      <c r="EJ601">
        <v>1</v>
      </c>
      <c r="EK601">
        <v>0</v>
      </c>
      <c r="EL601" s="143">
        <v>0</v>
      </c>
      <c r="EM601" s="143">
        <v>0</v>
      </c>
      <c r="EN601" s="2">
        <v>0</v>
      </c>
      <c r="EP601" t="str">
        <f>IF(AND(AND(AND(OR($EC601=1,$EB601=1),OR($EH601=1,$EF601=1)),SUM($EA601:$EE601,$EK601)&gt;=3),SUM($EF601:$EJ601)&gt;=2),"Whole sector approach","")</f>
        <v/>
      </c>
      <c r="EQ601" t="str">
        <f>IF(AND(AND(OR($EC601=1,$EB601=1),AND($EH601=0,$EF601=0)),SUM($EA601:$EE601,$EK601)&gt;=3),"Ecosystem approach","")</f>
        <v/>
      </c>
      <c r="ER601" s="2" t="str">
        <f>IF(AND(AND(AND($EC601=0,$EB601=0),OR($EH601=1,$EF601=1)),SUM($EG601:$EJ601)&gt;=2),"Technology approach","")</f>
        <v>Technology approach</v>
      </c>
      <c r="ES601" t="str">
        <f>IF(AND($EC601+$EB601+$EE601+$EA601+$ED601+$EG601=0,$N601="included"),"C neutral forest and HWP assumption","")</f>
        <v/>
      </c>
      <c r="ET601" t="str">
        <f>IF(AND(AND(AND(AND($EC601=1,$EB601+$EA601+$EG601&gt;=1),$EF601=1),$EH601+$EI601+$ED601+$EE601&gt;=2),$N601="included"),"All C pools assumption","")</f>
        <v/>
      </c>
      <c r="EU601" t="str">
        <f>IF(AND($ED601+$EE601+$EI601+$EH601+$EF601=0,$N601="included"),"In-situ only assumption","")</f>
        <v/>
      </c>
      <c r="EW601" t="s">
        <v>948</v>
      </c>
      <c r="EY601" t="str">
        <f>IF(ISNUMBER(BW601),IF(ABS(BW601-[7]QC_indicators!$B$2)&gt;3*[7]QC_indicators!$C$2,"C ratio",IF(ISNUMBER(CA601),IF(ABS(CA601-[7]QC_indicators!$B$1)&gt;3*[7]QC_indicators!$C$1,"DF","no"))),IF(ISNUMBER(CA601),IF(ABS(CA601-[7]QC_indicators!$B$1)&gt;3*[7]QC_indicators!$C$1,"DF","no")))</f>
        <v>no</v>
      </c>
      <c r="FA601" t="str">
        <f>IF(LEN($CY601)=0,"",IF(AND($CY601&lt;(-0.05),$ES601="C neutral forest and HWP assumption"),"Cneutral paradox",IF(AND($CY601&gt;0.05,$EU601="In-situ only assumption"),"In-situ only paradox","")))</f>
        <v/>
      </c>
      <c r="FB601" s="317" t="s">
        <v>944</v>
      </c>
      <c r="FD601" t="s">
        <v>5015</v>
      </c>
    </row>
    <row r="602" spans="1:160" ht="15" hidden="1" customHeight="1">
      <c r="D602" t="s">
        <v>927</v>
      </c>
      <c r="E602" t="s">
        <v>939</v>
      </c>
      <c r="G602" t="s">
        <v>680</v>
      </c>
      <c r="I602">
        <v>2003</v>
      </c>
      <c r="K602" s="288" t="s">
        <v>940</v>
      </c>
      <c r="M602" t="str">
        <f>LEFT($D602,FIND(",",$D602)-1)&amp;"_"&amp;I602&amp;L602</f>
        <v>Petersen_2003</v>
      </c>
      <c r="N602" t="s">
        <v>222</v>
      </c>
      <c r="O602" s="171" t="s">
        <v>508</v>
      </c>
      <c r="P602" s="141" t="s">
        <v>225</v>
      </c>
      <c r="Q602" s="317" t="s">
        <v>389</v>
      </c>
      <c r="R602" s="318" t="s">
        <v>1029</v>
      </c>
      <c r="S602" s="320" t="s">
        <v>5012</v>
      </c>
      <c r="T602" s="317" t="s">
        <v>5018</v>
      </c>
      <c r="U602" s="317" t="s">
        <v>5014</v>
      </c>
      <c r="V602" s="253">
        <v>0</v>
      </c>
      <c r="W602" s="253">
        <v>0</v>
      </c>
      <c r="X602">
        <v>0</v>
      </c>
      <c r="Y602">
        <v>0</v>
      </c>
      <c r="Z602">
        <v>0</v>
      </c>
      <c r="AA602">
        <v>0</v>
      </c>
      <c r="AB602">
        <v>0</v>
      </c>
      <c r="AC602">
        <v>0</v>
      </c>
      <c r="AD602">
        <v>0</v>
      </c>
      <c r="AE602">
        <v>0</v>
      </c>
      <c r="AF602">
        <v>0</v>
      </c>
      <c r="AG602">
        <v>0</v>
      </c>
      <c r="AH602">
        <v>0</v>
      </c>
      <c r="AI602">
        <v>0</v>
      </c>
      <c r="AJ602">
        <v>0</v>
      </c>
      <c r="AK602">
        <v>0</v>
      </c>
      <c r="AL602">
        <v>0</v>
      </c>
      <c r="AM602">
        <v>1</v>
      </c>
      <c r="AN602">
        <v>0</v>
      </c>
      <c r="AO602">
        <v>0</v>
      </c>
      <c r="AP602">
        <v>0</v>
      </c>
      <c r="AQ602">
        <v>0</v>
      </c>
      <c r="AR602">
        <v>0</v>
      </c>
      <c r="AS602">
        <v>0</v>
      </c>
      <c r="AT602">
        <v>0</v>
      </c>
      <c r="AU602">
        <v>0</v>
      </c>
      <c r="AV602">
        <v>0</v>
      </c>
      <c r="AW602">
        <v>0</v>
      </c>
      <c r="AX602">
        <v>0</v>
      </c>
      <c r="AY602">
        <v>0</v>
      </c>
      <c r="AZ602" s="141">
        <f>COUNTIF(X602:AY602,"&lt;&gt;0")</f>
        <v>1</v>
      </c>
      <c r="BA602" s="141">
        <f>COUNTIF(X602:AN602,"&lt;&gt;0")</f>
        <v>1</v>
      </c>
      <c r="BB602">
        <f>COUNTIF(X602:AE602,"&lt;&gt;0")</f>
        <v>0</v>
      </c>
      <c r="BC602">
        <f>COUNTIF(AF602:AK602,"&lt;&gt;0")</f>
        <v>0</v>
      </c>
      <c r="BD602">
        <f>COUNTIF(AL602:AN602,"&lt;&gt;0")</f>
        <v>1</v>
      </c>
      <c r="BE602">
        <f>COUNTIF(AU602:AY602,"&lt;&gt;0")</f>
        <v>0</v>
      </c>
      <c r="BF602">
        <f>COUNTIF(AO602:AT602,"&lt;&gt;0")</f>
        <v>0</v>
      </c>
      <c r="BG602" t="str">
        <f t="array" ref="BG602">IF(BA602=1,INDEX($X$7:$AN$7,MATCH(TRUE,INDEX($X602:$AY602&lt;&gt;0,),0)),IF(BA602=0,INDEX($AO$7:$AY$7,MATCH(1,$AO602:$AY602,0)),IF(BH602="Multiple strategies","mixed drivers",IF(BH602="Supply chain","multiple supply","multiple silviculture"))))</f>
        <v>technologies/design switch</v>
      </c>
      <c r="BH602" s="2" t="str">
        <f t="array" ref="BH602">IF(COUNTIF(BB602:BD602,"&lt;&gt;0")=1,INDEX($X$4:$AY$4,MATCH(TRUE,INDEX($X602:$AY602&lt;&gt;0,),0)),IF(COUNTIF(BB602:BD602,"&lt;&gt;0")=0,INDEX($AO$4:$AY$4,MATCH(1,$AO602:$AY602,0)),"Multiple strategies"))</f>
        <v>Technology</v>
      </c>
      <c r="BI602" s="142" t="s">
        <v>229</v>
      </c>
      <c r="BJ602" t="s">
        <v>933</v>
      </c>
      <c r="BK602" t="s">
        <v>942</v>
      </c>
      <c r="BL602" t="s">
        <v>498</v>
      </c>
      <c r="BM602">
        <v>0</v>
      </c>
      <c r="BN602">
        <v>1</v>
      </c>
      <c r="BO602" t="str">
        <f>IFERROR(BN602/BM602,"")</f>
        <v/>
      </c>
      <c r="BP602">
        <f>BN602-BM602</f>
        <v>1</v>
      </c>
      <c r="BQ602">
        <v>1</v>
      </c>
      <c r="BR602" t="s">
        <v>232</v>
      </c>
      <c r="BS602" t="s">
        <v>728</v>
      </c>
      <c r="BT602" s="317" t="s">
        <v>946</v>
      </c>
      <c r="BX602">
        <v>0.30599999999999999</v>
      </c>
      <c r="BZ602">
        <f>BX602</f>
        <v>0.30599999999999999</v>
      </c>
      <c r="CA602">
        <f>IFERROR(BZ602/BQ602,"")</f>
        <v>0.30599999999999999</v>
      </c>
      <c r="CB602">
        <v>0</v>
      </c>
      <c r="CC602">
        <v>0</v>
      </c>
      <c r="CD602">
        <v>0</v>
      </c>
      <c r="CE602">
        <v>0</v>
      </c>
      <c r="CF602">
        <v>0</v>
      </c>
      <c r="CG602">
        <v>0</v>
      </c>
      <c r="CH602">
        <v>0</v>
      </c>
      <c r="CI602">
        <v>0</v>
      </c>
      <c r="CJ602">
        <v>0</v>
      </c>
      <c r="CK602">
        <v>0</v>
      </c>
      <c r="CL602">
        <v>0</v>
      </c>
      <c r="CM602">
        <v>0</v>
      </c>
      <c r="CN602">
        <v>0</v>
      </c>
      <c r="CO602">
        <v>0</v>
      </c>
      <c r="CP602" t="str">
        <f>IF($BN602&lt;$BM602,"refNeedCorrection","refOK")</f>
        <v>refOK</v>
      </c>
      <c r="CQ602">
        <f>IF($CP602="refOK",$BM602,$BN602)</f>
        <v>0</v>
      </c>
      <c r="CR602">
        <f>IF($CP602="refOK",$BN602,$BM602)</f>
        <v>1</v>
      </c>
      <c r="CS602">
        <f>IF($CP602="refOK",$BQ602,-$BQ602)</f>
        <v>1</v>
      </c>
      <c r="CT602">
        <f>IF(BI602="Roundwood",$CS602/2,$CS602)</f>
        <v>1</v>
      </c>
      <c r="CU602">
        <f>IF($CP602="refOK",$BU602,$BV602)*IF($BR602="Emissions positive",-1,1)</f>
        <v>0</v>
      </c>
      <c r="CV602">
        <f>IF($CP602="refOK",$BV602,$BU602)*IF($BR602="Emissions positive",-1,1)</f>
        <v>0</v>
      </c>
      <c r="CW602">
        <f>IF($CP602="refNeedCorrection",-BZ602,BZ602)*IF($BR602="Emissions positive",-1,1)</f>
        <v>0.30599999999999999</v>
      </c>
      <c r="CX602">
        <f>IFERROR($CW602/$CS602,"")</f>
        <v>0.30599999999999999</v>
      </c>
      <c r="CY602">
        <f>IFERROR($CW602/$CS602,"")</f>
        <v>0.30599999999999999</v>
      </c>
      <c r="CZ602">
        <f>IFERROR($CW602/$CT602,"")</f>
        <v>0.30599999999999999</v>
      </c>
      <c r="DA602" s="2" t="str">
        <f>IFERROR((CV602-CU602)/ABS(CU602),"")</f>
        <v/>
      </c>
      <c r="DB602" s="1" t="s">
        <v>263</v>
      </c>
      <c r="DC602" s="317" t="str">
        <f>IF(OR($DB602="prd",$DB602="std",$DB602="cit"),"loc",IF(OR($DB602="eur",$DB602="reg",$DB602="coy"),"reg",$DB602))</f>
        <v>loc</v>
      </c>
      <c r="DD602" t="s">
        <v>264</v>
      </c>
      <c r="DF602" s="143"/>
      <c r="DG602" s="143">
        <v>45</v>
      </c>
      <c r="DH602" t="str">
        <f>IF(DG602=0,"0",IF(AND(DG602&gt;=1,DG602&lt;=30),"1-30",IF(AND(DG602&gt;30,DG602&lt;=70),"31-70",IF(AND(DG602&gt;70,DG602&lt;=100),"71-100",IF(DG602&gt;100,"+100")))))</f>
        <v>31-70</v>
      </c>
      <c r="DI602">
        <v>0</v>
      </c>
      <c r="DJ602">
        <v>0</v>
      </c>
      <c r="DK602">
        <v>0</v>
      </c>
      <c r="DL602">
        <v>1</v>
      </c>
      <c r="DM602">
        <v>0</v>
      </c>
      <c r="DN602">
        <f>SUM(DI602:DL602)</f>
        <v>1</v>
      </c>
      <c r="DO602" t="str">
        <f>IF(DN602=1,INDEX($DI$7:$DL$7,MATCH(1,$DI602:$DL602,0)),"mixedProduct")</f>
        <v>TimberInput</v>
      </c>
      <c r="DP602">
        <f>IF(DI602=1,DP$7,0)</f>
        <v>0</v>
      </c>
      <c r="DQ602">
        <f>IF(DJ602=1,DQ$7,0)</f>
        <v>0</v>
      </c>
      <c r="DR602">
        <f>IF(DK602=1,DR$7,0)</f>
        <v>0</v>
      </c>
      <c r="DS602" t="str">
        <f>IF(DL602=1,DS$7,0)</f>
        <v>Timber</v>
      </c>
      <c r="DT602">
        <v>1</v>
      </c>
      <c r="DU602">
        <v>0</v>
      </c>
      <c r="DV602">
        <v>0</v>
      </c>
      <c r="DW602">
        <v>0</v>
      </c>
      <c r="DX602">
        <v>0</v>
      </c>
      <c r="DY602">
        <f>SUM(DT602:DU602)</f>
        <v>1</v>
      </c>
      <c r="DZ602" s="143" t="str">
        <f>IF(DT602=1,"self-calculated DF",IF(DU602=1,"external DF used","explicit C balance"))</f>
        <v>self-calculated DF</v>
      </c>
      <c r="EA602" s="143">
        <v>0</v>
      </c>
      <c r="EB602" s="143">
        <v>0</v>
      </c>
      <c r="EC602" s="143">
        <v>0</v>
      </c>
      <c r="ED602" s="143">
        <v>0</v>
      </c>
      <c r="EE602" s="143">
        <v>1</v>
      </c>
      <c r="EF602" s="143">
        <v>1</v>
      </c>
      <c r="EG602" s="143">
        <v>0</v>
      </c>
      <c r="EH602" s="143">
        <v>1</v>
      </c>
      <c r="EI602" s="143">
        <v>0</v>
      </c>
      <c r="EJ602">
        <v>1</v>
      </c>
      <c r="EK602">
        <v>0</v>
      </c>
      <c r="EL602" s="143">
        <v>0</v>
      </c>
      <c r="EM602" s="143">
        <v>0</v>
      </c>
      <c r="EN602" s="2">
        <v>0</v>
      </c>
      <c r="EP602" t="str">
        <f>IF(AND(AND(AND(OR($EC602=1,$EB602=1),OR($EH602=1,$EF602=1)),SUM($EA602:$EE602,$EK602)&gt;=3),SUM($EF602:$EJ602)&gt;=2),"Whole sector approach","")</f>
        <v/>
      </c>
      <c r="EQ602" t="str">
        <f>IF(AND(AND(OR($EC602=1,$EB602=1),AND($EH602=0,$EF602=0)),SUM($EA602:$EE602,$EK602)&gt;=3),"Ecosystem approach","")</f>
        <v/>
      </c>
      <c r="ER602" s="2" t="str">
        <f>IF(AND(AND(AND($EC602=0,$EB602=0),OR($EH602=1,$EF602=1)),SUM($EG602:$EJ602)&gt;=2),"Technology approach","")</f>
        <v>Technology approach</v>
      </c>
      <c r="ES602" t="str">
        <f>IF(AND($EC602+$EB602+$EE602+$EA602+$ED602+$EG602=0,$N602="included"),"C neutral forest and HWP assumption","")</f>
        <v/>
      </c>
      <c r="ET602" t="str">
        <f>IF(AND(AND(AND(AND($EC602=1,$EB602+$EA602+$EG602&gt;=1),$EF602=1),$EH602+$EI602+$ED602+$EE602&gt;=2),$N602="included"),"All C pools assumption","")</f>
        <v/>
      </c>
      <c r="EU602" t="str">
        <f>IF(AND($ED602+$EE602+$EI602+$EH602+$EF602=0,$N602="included"),"In-situ only assumption","")</f>
        <v/>
      </c>
      <c r="EW602" t="s">
        <v>947</v>
      </c>
      <c r="EY602" t="str">
        <f>IF(ISNUMBER(BW602),IF(ABS(BW602-[7]QC_indicators!$B$2)&gt;3*[7]QC_indicators!$C$2,"C ratio",IF(ISNUMBER(CA602),IF(ABS(CA602-[7]QC_indicators!$B$1)&gt;3*[7]QC_indicators!$C$1,"DF","no"))),IF(ISNUMBER(CA602),IF(ABS(CA602-[7]QC_indicators!$B$1)&gt;3*[7]QC_indicators!$C$1,"DF","no")))</f>
        <v>no</v>
      </c>
      <c r="FA602" t="str">
        <f>IF(LEN($CY602)=0,"",IF(AND($CY602&lt;(-0.05),$ES602="C neutral forest and HWP assumption"),"Cneutral paradox",IF(AND($CY602&gt;0.05,$EU602="In-situ only assumption"),"In-situ only paradox","")))</f>
        <v/>
      </c>
      <c r="FB602" s="317" t="s">
        <v>944</v>
      </c>
      <c r="FD602" t="s">
        <v>5015</v>
      </c>
    </row>
    <row r="603" spans="1:160" ht="15" hidden="1" customHeight="1">
      <c r="D603" t="s">
        <v>927</v>
      </c>
      <c r="E603" t="s">
        <v>939</v>
      </c>
      <c r="G603" t="s">
        <v>680</v>
      </c>
      <c r="I603">
        <v>2003</v>
      </c>
      <c r="K603" s="288" t="s">
        <v>940</v>
      </c>
      <c r="M603" t="str">
        <f>LEFT($D603,FIND(",",$D603)-1)&amp;"_"&amp;I603&amp;L603</f>
        <v>Petersen_2003</v>
      </c>
      <c r="N603" t="s">
        <v>222</v>
      </c>
      <c r="O603" s="171" t="s">
        <v>508</v>
      </c>
      <c r="P603" s="141" t="s">
        <v>225</v>
      </c>
      <c r="Q603" s="317" t="s">
        <v>389</v>
      </c>
      <c r="R603" s="318" t="s">
        <v>1029</v>
      </c>
      <c r="S603" s="320" t="s">
        <v>5012</v>
      </c>
      <c r="T603" s="317" t="s">
        <v>5023</v>
      </c>
      <c r="U603" s="317" t="s">
        <v>5024</v>
      </c>
      <c r="V603" s="253">
        <v>0</v>
      </c>
      <c r="W603" s="253">
        <v>0</v>
      </c>
      <c r="X603">
        <v>0</v>
      </c>
      <c r="Y603">
        <v>0</v>
      </c>
      <c r="Z603">
        <v>0</v>
      </c>
      <c r="AA603">
        <v>0</v>
      </c>
      <c r="AB603">
        <v>0</v>
      </c>
      <c r="AC603">
        <v>0</v>
      </c>
      <c r="AD603">
        <v>0</v>
      </c>
      <c r="AE603">
        <v>0</v>
      </c>
      <c r="AF603">
        <v>0</v>
      </c>
      <c r="AG603">
        <v>0</v>
      </c>
      <c r="AH603">
        <v>0</v>
      </c>
      <c r="AI603">
        <v>0</v>
      </c>
      <c r="AJ603">
        <v>0</v>
      </c>
      <c r="AK603">
        <v>0</v>
      </c>
      <c r="AL603">
        <v>0</v>
      </c>
      <c r="AM603">
        <v>1</v>
      </c>
      <c r="AN603">
        <v>0</v>
      </c>
      <c r="AO603">
        <v>0</v>
      </c>
      <c r="AP603">
        <v>0</v>
      </c>
      <c r="AQ603">
        <v>0</v>
      </c>
      <c r="AR603">
        <v>0</v>
      </c>
      <c r="AS603">
        <v>0</v>
      </c>
      <c r="AT603">
        <v>0</v>
      </c>
      <c r="AU603">
        <v>0</v>
      </c>
      <c r="AV603">
        <v>0</v>
      </c>
      <c r="AW603">
        <v>0</v>
      </c>
      <c r="AX603">
        <v>0</v>
      </c>
      <c r="AY603">
        <v>0</v>
      </c>
      <c r="AZ603" s="141">
        <f>COUNTIF(X603:AY603,"&lt;&gt;0")</f>
        <v>1</v>
      </c>
      <c r="BA603" s="141">
        <f>COUNTIF(X603:AN603,"&lt;&gt;0")</f>
        <v>1</v>
      </c>
      <c r="BB603">
        <f>COUNTIF(X603:AE603,"&lt;&gt;0")</f>
        <v>0</v>
      </c>
      <c r="BC603">
        <f>COUNTIF(AF603:AK603,"&lt;&gt;0")</f>
        <v>0</v>
      </c>
      <c r="BD603">
        <f>COUNTIF(AL603:AN603,"&lt;&gt;0")</f>
        <v>1</v>
      </c>
      <c r="BE603">
        <f>COUNTIF(AU603:AY603,"&lt;&gt;0")</f>
        <v>0</v>
      </c>
      <c r="BF603">
        <f>COUNTIF(AO603:AT603,"&lt;&gt;0")</f>
        <v>0</v>
      </c>
      <c r="BG603" t="str">
        <f t="array" ref="BG603">IF(BA603=1,INDEX($X$7:$AN$7,MATCH(TRUE,INDEX($X603:$AY603&lt;&gt;0,),0)),IF(BA603=0,INDEX($AO$7:$AY$7,MATCH(1,$AO603:$AY603,0)),IF(BH603="Multiple strategies","mixed drivers",IF(BH603="Supply chain","multiple supply","multiple silviculture"))))</f>
        <v>technologies/design switch</v>
      </c>
      <c r="BH603" s="2" t="str">
        <f t="array" ref="BH603">IF(COUNTIF(BB603:BD603,"&lt;&gt;0")=1,INDEX($X$4:$AY$4,MATCH(TRUE,INDEX($X603:$AY603&lt;&gt;0,),0)),IF(COUNTIF(BB603:BD603,"&lt;&gt;0")=0,INDEX($AO$4:$AY$4,MATCH(1,$AO603:$AY603,0)),"Multiple strategies"))</f>
        <v>Technology</v>
      </c>
      <c r="BI603" s="142" t="s">
        <v>229</v>
      </c>
      <c r="BJ603" t="s">
        <v>933</v>
      </c>
      <c r="BK603" t="s">
        <v>942</v>
      </c>
      <c r="BL603" t="s">
        <v>498</v>
      </c>
      <c r="BM603">
        <v>0</v>
      </c>
      <c r="BN603">
        <v>1</v>
      </c>
      <c r="BO603" t="str">
        <f>IFERROR(BN603/BM603,"")</f>
        <v/>
      </c>
      <c r="BP603">
        <f>BN603-BM603</f>
        <v>1</v>
      </c>
      <c r="BQ603">
        <v>1</v>
      </c>
      <c r="BR603" t="s">
        <v>232</v>
      </c>
      <c r="BS603" t="s">
        <v>728</v>
      </c>
      <c r="BT603" s="317" t="s">
        <v>935</v>
      </c>
      <c r="BX603">
        <v>0.21099999999999999</v>
      </c>
      <c r="BZ603">
        <f>BX603</f>
        <v>0.21099999999999999</v>
      </c>
      <c r="CA603">
        <f>IFERROR(BZ603/BQ603,"")</f>
        <v>0.21099999999999999</v>
      </c>
      <c r="CB603">
        <v>0</v>
      </c>
      <c r="CC603">
        <v>0</v>
      </c>
      <c r="CD603">
        <v>0</v>
      </c>
      <c r="CE603">
        <v>0</v>
      </c>
      <c r="CF603">
        <v>0</v>
      </c>
      <c r="CG603">
        <v>0</v>
      </c>
      <c r="CH603">
        <v>0</v>
      </c>
      <c r="CI603">
        <v>0</v>
      </c>
      <c r="CJ603">
        <v>0</v>
      </c>
      <c r="CK603">
        <v>0</v>
      </c>
      <c r="CL603">
        <v>0</v>
      </c>
      <c r="CM603">
        <v>0</v>
      </c>
      <c r="CN603">
        <v>0</v>
      </c>
      <c r="CO603">
        <v>0</v>
      </c>
      <c r="CP603" t="str">
        <f>IF($BN603&lt;$BM603,"refNeedCorrection","refOK")</f>
        <v>refOK</v>
      </c>
      <c r="CQ603">
        <f>IF($CP603="refOK",$BM603,$BN603)</f>
        <v>0</v>
      </c>
      <c r="CR603">
        <f>IF($CP603="refOK",$BN603,$BM603)</f>
        <v>1</v>
      </c>
      <c r="CS603">
        <f>IF($CP603="refOK",$BQ603,-$BQ603)</f>
        <v>1</v>
      </c>
      <c r="CT603">
        <f>IF(BI603="Roundwood",$CS603/2,$CS603)</f>
        <v>1</v>
      </c>
      <c r="CU603">
        <f>IF($CP603="refOK",$BU603,$BV603)*IF($BR603="Emissions positive",-1,1)</f>
        <v>0</v>
      </c>
      <c r="CV603">
        <f>IF($CP603="refOK",$BV603,$BU603)*IF($BR603="Emissions positive",-1,1)</f>
        <v>0</v>
      </c>
      <c r="CW603">
        <f>IF($CP603="refNeedCorrection",-BZ603,BZ603)*IF($BR603="Emissions positive",-1,1)</f>
        <v>0.21099999999999999</v>
      </c>
      <c r="CX603">
        <f>IFERROR($CW603/$CS603,"")</f>
        <v>0.21099999999999999</v>
      </c>
      <c r="CY603">
        <f>IFERROR($CW603/$CS603,"")</f>
        <v>0.21099999999999999</v>
      </c>
      <c r="CZ603">
        <f>IFERROR($CW603/$CT603,"")</f>
        <v>0.21099999999999999</v>
      </c>
      <c r="DA603" s="2" t="str">
        <f>IFERROR((CV603-CU603)/ABS(CU603),"")</f>
        <v/>
      </c>
      <c r="DB603" s="1" t="s">
        <v>263</v>
      </c>
      <c r="DC603" s="317" t="str">
        <f>IF(OR($DB603="prd",$DB603="std",$DB603="cit"),"loc",IF(OR($DB603="eur",$DB603="reg",$DB603="coy"),"reg",$DB603))</f>
        <v>loc</v>
      </c>
      <c r="DD603" t="s">
        <v>264</v>
      </c>
      <c r="DF603" s="143"/>
      <c r="DG603" s="143">
        <v>45</v>
      </c>
      <c r="DH603" t="str">
        <f>IF(DG603=0,"0",IF(AND(DG603&gt;=1,DG603&lt;=30),"1-30",IF(AND(DG603&gt;30,DG603&lt;=70),"31-70",IF(AND(DG603&gt;70,DG603&lt;=100),"71-100",IF(DG603&gt;100,"+100")))))</f>
        <v>31-70</v>
      </c>
      <c r="DI603">
        <v>0</v>
      </c>
      <c r="DJ603">
        <v>0</v>
      </c>
      <c r="DK603">
        <v>0</v>
      </c>
      <c r="DL603">
        <v>1</v>
      </c>
      <c r="DM603">
        <v>0</v>
      </c>
      <c r="DN603">
        <f>SUM(DI603:DL603)</f>
        <v>1</v>
      </c>
      <c r="DO603" t="str">
        <f>IF(DN603=1,INDEX($DI$7:$DL$7,MATCH(1,$DI603:$DL603,0)),"mixedProduct")</f>
        <v>TimberInput</v>
      </c>
      <c r="DP603">
        <f>IF(DI603=1,DP$7,0)</f>
        <v>0</v>
      </c>
      <c r="DQ603">
        <f>IF(DJ603=1,DQ$7,0)</f>
        <v>0</v>
      </c>
      <c r="DR603">
        <f>IF(DK603=1,DR$7,0)</f>
        <v>0</v>
      </c>
      <c r="DS603" t="str">
        <f>IF(DL603=1,DS$7,0)</f>
        <v>Timber</v>
      </c>
      <c r="DT603">
        <v>1</v>
      </c>
      <c r="DU603">
        <v>0</v>
      </c>
      <c r="DV603">
        <v>0</v>
      </c>
      <c r="DW603">
        <v>0</v>
      </c>
      <c r="DX603">
        <v>0</v>
      </c>
      <c r="DY603">
        <f>SUM(DT603:DU603)</f>
        <v>1</v>
      </c>
      <c r="DZ603" s="143" t="str">
        <f>IF(DT603=1,"self-calculated DF",IF(DU603=1,"external DF used","explicit C balance"))</f>
        <v>self-calculated DF</v>
      </c>
      <c r="EA603" s="143">
        <v>0</v>
      </c>
      <c r="EB603" s="143">
        <v>0</v>
      </c>
      <c r="EC603" s="143">
        <v>0</v>
      </c>
      <c r="ED603" s="143">
        <v>0</v>
      </c>
      <c r="EE603" s="143">
        <v>1</v>
      </c>
      <c r="EF603" s="143">
        <v>1</v>
      </c>
      <c r="EG603" s="143">
        <v>0</v>
      </c>
      <c r="EH603" s="143">
        <v>1</v>
      </c>
      <c r="EI603" s="143">
        <v>0</v>
      </c>
      <c r="EJ603">
        <v>1</v>
      </c>
      <c r="EK603">
        <v>0</v>
      </c>
      <c r="EL603" s="143">
        <v>0</v>
      </c>
      <c r="EM603" s="143">
        <v>0</v>
      </c>
      <c r="EN603" s="2">
        <v>0</v>
      </c>
      <c r="EP603" t="str">
        <f>IF(AND(AND(AND(OR($EC603=1,$EB603=1),OR($EH603=1,$EF603=1)),SUM($EA603:$EE603,$EK603)&gt;=3),SUM($EF603:$EJ603)&gt;=2),"Whole sector approach","")</f>
        <v/>
      </c>
      <c r="EQ603" t="str">
        <f>IF(AND(AND(OR($EC603=1,$EB603=1),AND($EH603=0,$EF603=0)),SUM($EA603:$EE603,$EK603)&gt;=3),"Ecosystem approach","")</f>
        <v/>
      </c>
      <c r="ER603" s="2" t="str">
        <f>IF(AND(AND(AND($EC603=0,$EB603=0),OR($EH603=1,$EF603=1)),SUM($EG603:$EJ603)&gt;=2),"Technology approach","")</f>
        <v>Technology approach</v>
      </c>
      <c r="ES603" t="str">
        <f>IF(AND($EC603+$EB603+$EE603+$EA603+$ED603+$EG603=0,$N603="included"),"C neutral forest and HWP assumption","")</f>
        <v/>
      </c>
      <c r="ET603" t="str">
        <f>IF(AND(AND(AND(AND($EC603=1,$EB603+$EA603+$EG603&gt;=1),$EF603=1),$EH603+$EI603+$ED603+$EE603&gt;=2),$N603="included"),"All C pools assumption","")</f>
        <v/>
      </c>
      <c r="EU603" t="str">
        <f>IF(AND($ED603+$EE603+$EI603+$EH603+$EF603=0,$N603="included"),"In-situ only assumption","")</f>
        <v/>
      </c>
      <c r="EW603" t="s">
        <v>948</v>
      </c>
      <c r="EY603" t="str">
        <f>IF(ISNUMBER(BW603),IF(ABS(BW603-[7]QC_indicators!$B$2)&gt;3*[7]QC_indicators!$C$2,"C ratio",IF(ISNUMBER(CA603),IF(ABS(CA603-[7]QC_indicators!$B$1)&gt;3*[7]QC_indicators!$C$1,"DF","no"))),IF(ISNUMBER(CA603),IF(ABS(CA603-[7]QC_indicators!$B$1)&gt;3*[7]QC_indicators!$C$1,"DF","no")))</f>
        <v>no</v>
      </c>
      <c r="FA603" t="str">
        <f>IF(LEN($CY603)=0,"",IF(AND($CY603&lt;(-0.05),$ES603="C neutral forest and HWP assumption"),"Cneutral paradox",IF(AND($CY603&gt;0.05,$EU603="In-situ only assumption"),"In-situ only paradox","")))</f>
        <v/>
      </c>
      <c r="FB603" s="317" t="s">
        <v>944</v>
      </c>
      <c r="FD603" t="s">
        <v>5015</v>
      </c>
    </row>
    <row r="604" spans="1:160" ht="15" hidden="1" customHeight="1">
      <c r="A604" s="1" t="s">
        <v>601</v>
      </c>
      <c r="B604" t="s">
        <v>617</v>
      </c>
      <c r="C604" t="s">
        <v>618</v>
      </c>
      <c r="D604" t="s">
        <v>619</v>
      </c>
      <c r="E604" s="359" t="s">
        <v>620</v>
      </c>
      <c r="F604" t="s">
        <v>621</v>
      </c>
      <c r="G604" t="s">
        <v>607</v>
      </c>
      <c r="H604" t="s">
        <v>254</v>
      </c>
      <c r="I604">
        <v>2022</v>
      </c>
      <c r="J604">
        <v>1</v>
      </c>
      <c r="K604" t="s">
        <v>622</v>
      </c>
      <c r="M604" t="str">
        <f>LEFT($D604,FIND(",",$D604)-1)&amp;"_"&amp;I604&amp;L604</f>
        <v>Devenes_2022</v>
      </c>
      <c r="N604" t="s">
        <v>222</v>
      </c>
      <c r="O604" s="145" t="s">
        <v>223</v>
      </c>
      <c r="Q604" t="s">
        <v>389</v>
      </c>
      <c r="R604" s="251" t="s">
        <v>225</v>
      </c>
      <c r="S604" s="1" t="s">
        <v>623</v>
      </c>
      <c r="T604" t="s">
        <v>611</v>
      </c>
      <c r="U604" t="s">
        <v>627</v>
      </c>
      <c r="V604" s="253">
        <v>0</v>
      </c>
      <c r="W604" s="253">
        <v>0</v>
      </c>
      <c r="X604">
        <v>0</v>
      </c>
      <c r="Y604">
        <v>0</v>
      </c>
      <c r="Z604">
        <v>0</v>
      </c>
      <c r="AA604">
        <v>0</v>
      </c>
      <c r="AB604">
        <v>0</v>
      </c>
      <c r="AC604">
        <v>0</v>
      </c>
      <c r="AD604">
        <v>0</v>
      </c>
      <c r="AE604">
        <v>0</v>
      </c>
      <c r="AF604">
        <v>0</v>
      </c>
      <c r="AG604">
        <v>0</v>
      </c>
      <c r="AH604">
        <v>0</v>
      </c>
      <c r="AI604">
        <v>0</v>
      </c>
      <c r="AJ604">
        <v>0</v>
      </c>
      <c r="AK604">
        <v>0</v>
      </c>
      <c r="AL604">
        <v>0</v>
      </c>
      <c r="AM604">
        <v>1</v>
      </c>
      <c r="AN604">
        <v>0</v>
      </c>
      <c r="AO604">
        <v>0</v>
      </c>
      <c r="AP604">
        <v>0</v>
      </c>
      <c r="AQ604">
        <v>0</v>
      </c>
      <c r="AR604">
        <v>0</v>
      </c>
      <c r="AS604">
        <v>0</v>
      </c>
      <c r="AT604">
        <v>0</v>
      </c>
      <c r="AU604">
        <v>0</v>
      </c>
      <c r="AV604">
        <v>0</v>
      </c>
      <c r="AW604">
        <v>0</v>
      </c>
      <c r="AX604">
        <v>0</v>
      </c>
      <c r="AY604">
        <v>0</v>
      </c>
      <c r="AZ604" s="141">
        <f>COUNTIF(X604:AY604,"&lt;&gt;0")</f>
        <v>1</v>
      </c>
      <c r="BA604" s="141">
        <f>COUNTIF(X604:AN604,"&lt;&gt;0")</f>
        <v>1</v>
      </c>
      <c r="BB604">
        <f>COUNTIF(X604:AE604,"&lt;&gt;0")</f>
        <v>0</v>
      </c>
      <c r="BC604">
        <f>COUNTIF(AF604:AK604,"&lt;&gt;0")</f>
        <v>0</v>
      </c>
      <c r="BD604">
        <f>COUNTIF(AL604:AN604,"&lt;&gt;0")</f>
        <v>1</v>
      </c>
      <c r="BE604">
        <f>COUNTIF(AU604:AY604,"&lt;&gt;0")</f>
        <v>0</v>
      </c>
      <c r="BF604">
        <f>COUNTIF(AO604:AT604,"&lt;&gt;0")</f>
        <v>0</v>
      </c>
      <c r="BG604" t="str">
        <f t="array" ref="BG604">IF(BA604=1,INDEX($X$7:$AN$7,MATCH(TRUE,INDEX($X604:$AY604&lt;&gt;0,),0)),IF(BA604=0,INDEX($AO$7:$AY$7,MATCH(1,$AO604:$AY604,0)),IF(BH604="Multiple strategies","mixed drivers",IF(BH604="Supply chain","multiple supply","multiple silviculture"))))</f>
        <v>technologies/design switch</v>
      </c>
      <c r="BH604" s="2" t="str" cm="1">
        <f t="array" ref="BH604">IF(COUNTIF(BB604:BD604,"&lt;&gt;0")=1,INDEX($X$4:$AY$4,MATCH(TRUE,INDEX($X604:$AY604&lt;&gt;0,),0)),IF(COUNTIF(BB604:BD604,"&lt;&gt;0")=0,INDEX($AO$4:$AY$4,MATCH(1,$AO604:$AY604,0)),"Multiple strategies"))</f>
        <v>Technology</v>
      </c>
      <c r="BI604" s="1" t="s">
        <v>229</v>
      </c>
      <c r="BJ604" t="s">
        <v>625</v>
      </c>
      <c r="BK604" s="260" t="s">
        <v>2982</v>
      </c>
      <c r="BL604" s="260" t="s">
        <v>345</v>
      </c>
      <c r="BM604">
        <f>268+139+104</f>
        <v>511</v>
      </c>
      <c r="BN604">
        <f>179+195+12+360</f>
        <v>746</v>
      </c>
      <c r="BP604">
        <f>BN604-BM604</f>
        <v>235</v>
      </c>
      <c r="BQ604" s="256">
        <f>BP604*t_to_m3/1000</f>
        <v>0.47959183673469391</v>
      </c>
      <c r="BR604" t="s">
        <v>395</v>
      </c>
      <c r="BS604" s="256" t="s">
        <v>2981</v>
      </c>
      <c r="BT604" t="s">
        <v>397</v>
      </c>
      <c r="BU604">
        <v>275.89999999999998</v>
      </c>
      <c r="BV604">
        <v>814.2</v>
      </c>
      <c r="BW604" s="144">
        <f>IFERROR(BV604/BU604,"")</f>
        <v>2.951069227981153</v>
      </c>
      <c r="BX604">
        <f>BV604-BU604</f>
        <v>538.30000000000007</v>
      </c>
      <c r="BZ604">
        <f>BX604/1000</f>
        <v>0.53830000000000011</v>
      </c>
      <c r="CA604">
        <f>IFERROR(BZ604/BQ604,"")</f>
        <v>1.122412765957447</v>
      </c>
      <c r="CB604">
        <v>0</v>
      </c>
      <c r="CC604">
        <v>0</v>
      </c>
      <c r="CD604">
        <v>0</v>
      </c>
      <c r="CE604">
        <v>0</v>
      </c>
      <c r="CF604">
        <v>0</v>
      </c>
      <c r="CG604">
        <v>0</v>
      </c>
      <c r="CH604">
        <v>0</v>
      </c>
      <c r="CI604">
        <v>0</v>
      </c>
      <c r="CJ604">
        <v>0</v>
      </c>
      <c r="CK604">
        <v>0</v>
      </c>
      <c r="CL604">
        <v>0</v>
      </c>
      <c r="CM604">
        <v>0</v>
      </c>
      <c r="CN604">
        <v>0</v>
      </c>
      <c r="CO604">
        <v>0</v>
      </c>
      <c r="CP604" t="str">
        <f>IF($BN604&lt;$BM604,"refNeedCorrection","refOK")</f>
        <v>refOK</v>
      </c>
      <c r="CQ604"/>
      <c r="CR604"/>
      <c r="CS604">
        <f>IF($CP604="refOK",$BQ604,-$BQ604)</f>
        <v>0.47959183673469391</v>
      </c>
      <c r="CT604">
        <f>IF(BI604="Roundwood",$CS604/2,$CS604)</f>
        <v>0.47959183673469391</v>
      </c>
      <c r="CU604">
        <f>IF($CP604="refOK",$BU604,$BV604)*IF($BR604="Emissions positive",-1,1)</f>
        <v>-275.89999999999998</v>
      </c>
      <c r="CV604">
        <f>IF($CP604="refOK",$BV604,$BU604)*IF($BR604="Emissions positive",-1,1)</f>
        <v>-814.2</v>
      </c>
      <c r="CW604">
        <f>IF($CP604="refNeedCorrection",-BZ604,BZ604)*IF($BR604="Emissions positive",-1,1)</f>
        <v>-0.53830000000000011</v>
      </c>
      <c r="CX604">
        <f>IFERROR($CW604/$CS604,"")</f>
        <v>-1.122412765957447</v>
      </c>
      <c r="CY604">
        <f>IFERROR($CW604/$CS604,"")</f>
        <v>-1.122412765957447</v>
      </c>
      <c r="CZ604">
        <f>IFERROR($CW604/$CT604,"")</f>
        <v>-1.122412765957447</v>
      </c>
      <c r="DA604" s="2">
        <f>IFERROR((CV604-CU604)/ABS(CU604),"")</f>
        <v>-1.951069227981153</v>
      </c>
      <c r="DB604" s="1" t="s">
        <v>263</v>
      </c>
      <c r="DC604" t="str">
        <f>IF(OR($DB604="prd",$DB604="std",$DB604="cit"),"loc",IF(OR($DB604="eur",$DB604="reg",$DB604="coy"),"reg",$DB604))</f>
        <v>loc</v>
      </c>
      <c r="DD604" t="s">
        <v>626</v>
      </c>
      <c r="DG604">
        <v>0</v>
      </c>
      <c r="DH604" t="str">
        <f>IF(DG604=0,"0",IF(AND(DG604&gt;=1,DG604&lt;=30),"1-30",IF(AND(DG604&gt;30,DG604&lt;=70),"31-70",IF(AND(DG604&gt;70,DG604&lt;=100),"71-100",IF(DG604&gt;100,"+100")))))</f>
        <v>0</v>
      </c>
      <c r="DI604">
        <v>0</v>
      </c>
      <c r="DJ604">
        <v>0</v>
      </c>
      <c r="DK604">
        <v>0</v>
      </c>
      <c r="DL604">
        <v>1</v>
      </c>
      <c r="DM604">
        <v>0</v>
      </c>
      <c r="DN604">
        <f>SUM(DI604:DM604)</f>
        <v>1</v>
      </c>
      <c r="DO604" t="str">
        <f>IF(DN604=1,INDEX($DI$7:$DL$7,MATCH(1,$DI604:$DL604,0)),"mixedProduct")</f>
        <v>TimberInput</v>
      </c>
      <c r="DP604">
        <f>IF(DI604=1,DP$7,0)</f>
        <v>0</v>
      </c>
      <c r="DQ604">
        <f>IF(DJ604=1,DQ$7,0)</f>
        <v>0</v>
      </c>
      <c r="DR604">
        <f>IF(DK604=1,DR$7,0)</f>
        <v>0</v>
      </c>
      <c r="DS604" t="str">
        <f>IF(DL604=1,DS$7,0)</f>
        <v>Timber</v>
      </c>
      <c r="DT604">
        <v>0</v>
      </c>
      <c r="DU604">
        <v>0</v>
      </c>
      <c r="DV604">
        <v>0</v>
      </c>
      <c r="DW604">
        <v>0</v>
      </c>
      <c r="DX604">
        <v>0</v>
      </c>
      <c r="DY604">
        <f>SUM(DT604:DU604)</f>
        <v>0</v>
      </c>
      <c r="DZ604" t="str">
        <f>IF(DT604=1,"self-calculated DF",IF(DU604=1,"external DF used","explicit C balance"))</f>
        <v>explicit C balance</v>
      </c>
      <c r="EA604">
        <v>0</v>
      </c>
      <c r="EB604">
        <v>0</v>
      </c>
      <c r="EC604">
        <v>0</v>
      </c>
      <c r="ED604">
        <v>0</v>
      </c>
      <c r="EE604">
        <v>0</v>
      </c>
      <c r="EF604" s="143">
        <v>0</v>
      </c>
      <c r="EG604">
        <v>0</v>
      </c>
      <c r="EH604">
        <v>1</v>
      </c>
      <c r="EI604">
        <v>0</v>
      </c>
      <c r="EJ604">
        <v>0</v>
      </c>
      <c r="EK604">
        <v>0</v>
      </c>
      <c r="EL604">
        <v>0</v>
      </c>
      <c r="EM604">
        <v>0</v>
      </c>
      <c r="EN604" s="2">
        <v>0</v>
      </c>
      <c r="EP604" t="str">
        <f>IF(AND(AND(AND(OR($EC604=1,$EB604=1),OR($EH604=1,$EF604=1)),SUM($EA604:$EE604,$EK604)&gt;=3),SUM($EF604:$EJ604)&gt;=2),"Whole sector approach","")</f>
        <v/>
      </c>
      <c r="EQ604" t="str">
        <f>IF(AND(AND(OR($EC604=1,$EB604=1),AND($EH604=0,$EF604=0)),SUM($EA604:$EE604,$EK604)&gt;=4),"Ecosystem approach","")</f>
        <v/>
      </c>
      <c r="ER604" s="2" t="str">
        <f>IF(AND(AND(AND($EC604=0,$EB604=0),OR($EH604=1,$EF604=1)),SUM($EG604:$EJ604)&gt;=2),"Technology approach","")</f>
        <v/>
      </c>
      <c r="ES604" t="str">
        <f>IF(AND($EC604+$EB604+$EE604+$EA604+$ED604+$EG604=0,$N604="included"),"C neutral forest and HWP assumption","")</f>
        <v>C neutral forest and HWP assumption</v>
      </c>
      <c r="ET604" t="str">
        <f>IF(AND(AND(AND(AND($EC604=1,$EB604+$EA604+$EG604&gt;=1),$EF604=1),$EH604+$EI604+$ED604+$EE604&gt;=2),$N604="included"),"All C pools assumption","")</f>
        <v/>
      </c>
      <c r="EU604" t="str">
        <f>IF(AND($ED604+$EE604+$EI604+$EH604+$EF604=0,$N604="included"),"In-situ only assumption","")</f>
        <v/>
      </c>
      <c r="EY604" t="str">
        <f>IF(ISNUMBER(BW604),IF(ABS(BW604-[6]QC_indicators!$B$2)&gt;3*[6]QC_indicators!$C$2,"C ratio",IF(ISNUMBER(CA604),IF(ABS(CA604-[6]QC_indicators!$B$1)&gt;3*[6]QC_indicators!$C$1,"DF","no"))),IF(ISNUMBER(CA604),IF(ABS(CA604-[6]QC_indicators!$B$1)&gt;3*[6]QC_indicators!$C$1,"DF","no")))</f>
        <v>no</v>
      </c>
      <c r="FA604" t="str">
        <f>IF(LEN($CY604)=0,"",IF(AND($CY604&lt;(-0.05),$ES604="C neutral forest and HWP assumption"),"Cneutral paradox",IF(AND($CY604&gt;0.05,$EU604="In-situ only assumption"),"In-situ only paradox","")))</f>
        <v>Cneutral paradox</v>
      </c>
      <c r="FD604" s="260" t="s">
        <v>2948</v>
      </c>
    </row>
    <row r="605" spans="1:160" ht="15" hidden="1" customHeight="1">
      <c r="A605" s="1" t="s">
        <v>1654</v>
      </c>
      <c r="B605" t="s">
        <v>1655</v>
      </c>
      <c r="C605" t="s">
        <v>1656</v>
      </c>
      <c r="D605" t="s">
        <v>1657</v>
      </c>
      <c r="E605" t="s">
        <v>1658</v>
      </c>
      <c r="F605" t="s">
        <v>1659</v>
      </c>
      <c r="G605" t="s">
        <v>1660</v>
      </c>
      <c r="H605" t="s">
        <v>254</v>
      </c>
      <c r="I605">
        <v>2014</v>
      </c>
      <c r="J605">
        <v>15</v>
      </c>
      <c r="K605" t="s">
        <v>1661</v>
      </c>
      <c r="M605" t="str">
        <f>LEFT($D605,FIND(",",$D605)-1)&amp;"_"&amp;I605&amp;L605</f>
        <v>Kayo_2014</v>
      </c>
      <c r="N605" t="s">
        <v>222</v>
      </c>
      <c r="O605" s="171" t="s">
        <v>508</v>
      </c>
      <c r="P605" t="s">
        <v>924</v>
      </c>
      <c r="Q605" t="s">
        <v>389</v>
      </c>
      <c r="R605" s="258" t="s">
        <v>223</v>
      </c>
      <c r="S605" s="1" t="s">
        <v>1662</v>
      </c>
      <c r="T605" t="s">
        <v>1003</v>
      </c>
      <c r="U605" s="260" t="s">
        <v>2820</v>
      </c>
      <c r="V605" s="253">
        <v>0</v>
      </c>
      <c r="W605" s="253">
        <v>0</v>
      </c>
      <c r="X605">
        <v>0</v>
      </c>
      <c r="Y605">
        <v>0</v>
      </c>
      <c r="Z605">
        <v>0</v>
      </c>
      <c r="AA605">
        <v>0</v>
      </c>
      <c r="AB605">
        <v>0</v>
      </c>
      <c r="AC605">
        <v>0</v>
      </c>
      <c r="AD605">
        <v>0</v>
      </c>
      <c r="AE605">
        <v>0</v>
      </c>
      <c r="AF605">
        <v>0</v>
      </c>
      <c r="AG605">
        <v>0</v>
      </c>
      <c r="AH605">
        <v>1</v>
      </c>
      <c r="AI605">
        <v>0</v>
      </c>
      <c r="AJ605">
        <v>0</v>
      </c>
      <c r="AK605">
        <v>0</v>
      </c>
      <c r="AL605">
        <v>0</v>
      </c>
      <c r="AM605">
        <v>0</v>
      </c>
      <c r="AN605">
        <v>0</v>
      </c>
      <c r="AO605">
        <v>0</v>
      </c>
      <c r="AP605">
        <v>0</v>
      </c>
      <c r="AQ605">
        <v>0</v>
      </c>
      <c r="AR605">
        <v>0</v>
      </c>
      <c r="AS605">
        <v>0</v>
      </c>
      <c r="AT605">
        <v>0</v>
      </c>
      <c r="AU605">
        <v>0</v>
      </c>
      <c r="AV605">
        <v>0</v>
      </c>
      <c r="AW605">
        <v>0</v>
      </c>
      <c r="AX605">
        <v>0</v>
      </c>
      <c r="AY605">
        <v>0</v>
      </c>
      <c r="AZ605" s="141">
        <f>COUNTIF(X605:AY605,"&lt;&gt;0")</f>
        <v>1</v>
      </c>
      <c r="BA605" s="141">
        <f>COUNTIF(X605:AN605,"&lt;&gt;0")</f>
        <v>1</v>
      </c>
      <c r="BB605">
        <f>COUNTIF(X605:AE605,"&lt;&gt;0")</f>
        <v>0</v>
      </c>
      <c r="BC605">
        <f>COUNTIF(AF605:AK605,"&lt;&gt;0")</f>
        <v>1</v>
      </c>
      <c r="BD605">
        <f>COUNTIF(AL605:AN605,"&lt;&gt;0")</f>
        <v>0</v>
      </c>
      <c r="BE605">
        <f>COUNTIF(AU605:AY605,"&lt;&gt;0")</f>
        <v>0</v>
      </c>
      <c r="BF605">
        <f>COUNTIF(AO605:AT605,"&lt;&gt;0")</f>
        <v>0</v>
      </c>
      <c r="BG605" t="str">
        <f t="array" ref="BG605">IF(BA605=1,INDEX($X$7:$AN$7,MATCH(TRUE,INDEX($X605:$AY605&lt;&gt;0,),0)),IF(BA605=0,INDEX($AO$7:$AY$7,MATCH(1,$AO605:$AY605,0)),IF(BH605="Multiple strategies","mixed drivers",IF(BH605="Supply chain","multiple supply","multiple silviculture"))))</f>
        <v>supply chain organization</v>
      </c>
      <c r="BH605" s="2" t="str" cm="1">
        <f t="array" ref="BH605">IF(COUNTIF(BB605:BD605,"&lt;&gt;0")=1,INDEX($X$4:$AY$4,MATCH(TRUE,INDEX($X605:$AY605&lt;&gt;0,),0)),IF(COUNTIF(BB605:BD605,"&lt;&gt;0")=0,INDEX($AO$4:$AY$4,MATCH(1,$AO605:$AY605,0)),"Multiple strategies"))</f>
        <v>Supply chain</v>
      </c>
      <c r="BI605" s="1" t="s">
        <v>229</v>
      </c>
      <c r="BJ605" t="s">
        <v>1663</v>
      </c>
      <c r="BK605" s="260" t="s">
        <v>2821</v>
      </c>
      <c r="BL605" t="s">
        <v>1664</v>
      </c>
      <c r="BM605">
        <v>1700000.0000000002</v>
      </c>
      <c r="BN605">
        <v>2710000</v>
      </c>
      <c r="BO605" t="s">
        <v>531</v>
      </c>
      <c r="BP605">
        <f>BN605-BM605</f>
        <v>1009999.9999999998</v>
      </c>
      <c r="BQ605">
        <f>BP605</f>
        <v>1009999.9999999998</v>
      </c>
      <c r="BR605" t="s">
        <v>395</v>
      </c>
      <c r="BS605" s="260" t="s">
        <v>2822</v>
      </c>
      <c r="BT605" s="260" t="s">
        <v>2823</v>
      </c>
      <c r="BU605">
        <v>31.43</v>
      </c>
      <c r="BV605">
        <v>52.83</v>
      </c>
      <c r="BW605" s="144"/>
      <c r="BX605" s="152">
        <f>BV605-BU605</f>
        <v>21.4</v>
      </c>
      <c r="BZ605" s="152">
        <f>BX605*10^3*C_to_CO2</f>
        <v>78538</v>
      </c>
      <c r="CA605">
        <f>IFERROR(BZ605/BQ605,"")</f>
        <v>7.7760396039603982E-2</v>
      </c>
      <c r="CB605">
        <v>0</v>
      </c>
      <c r="CC605">
        <v>0</v>
      </c>
      <c r="CD605">
        <v>0</v>
      </c>
      <c r="CE605">
        <v>0</v>
      </c>
      <c r="CF605">
        <v>0</v>
      </c>
      <c r="CG605">
        <v>0</v>
      </c>
      <c r="CH605">
        <v>0</v>
      </c>
      <c r="CI605">
        <v>0</v>
      </c>
      <c r="CJ605">
        <v>0</v>
      </c>
      <c r="CK605">
        <v>0</v>
      </c>
      <c r="CL605">
        <v>0</v>
      </c>
      <c r="CM605">
        <v>0</v>
      </c>
      <c r="CN605">
        <v>0</v>
      </c>
      <c r="CO605">
        <v>0</v>
      </c>
      <c r="CP605" t="str">
        <f>IF($BN605&lt;$BM605,"refNeedCorrection","refOK")</f>
        <v>refOK</v>
      </c>
      <c r="CQ605">
        <f>IF($CP605="refOK",$BM605,$BN605)</f>
        <v>1700000.0000000002</v>
      </c>
      <c r="CR605">
        <f>IF($CP605="refOK",$BN605,$BM605)</f>
        <v>2710000</v>
      </c>
      <c r="CS605">
        <f>IF($CP605="refOK",$BQ605,-$BQ605)</f>
        <v>1009999.9999999998</v>
      </c>
      <c r="CT605">
        <f>IF(BI605="Roundwood",$CS605/2,$CS605)</f>
        <v>1009999.9999999998</v>
      </c>
      <c r="CU605">
        <f>IF($CP605="refOK",$BU605,$BV605)*IF($BR605="Emissions positive",-1,1)</f>
        <v>-31.43</v>
      </c>
      <c r="CV605">
        <f>IF($CP605="refOK",$BV605,$BU605)*IF($BR605="Emissions positive",-1,1)</f>
        <v>-52.83</v>
      </c>
      <c r="CW605">
        <f>IF($CP605="refNeedCorrection",-BZ605,BZ605)*IF($BR605="Emissions positive",-1,1)</f>
        <v>-78538</v>
      </c>
      <c r="CX605">
        <f>IFERROR($CW605/$CS605,"")</f>
        <v>-7.7760396039603982E-2</v>
      </c>
      <c r="CY605">
        <f>IFERROR($CW605/$CS605,"")</f>
        <v>-7.7760396039603982E-2</v>
      </c>
      <c r="CZ605">
        <f>IFERROR($CW605/$CT605,"")</f>
        <v>-7.7760396039603982E-2</v>
      </c>
      <c r="DA605" s="2">
        <f>IFERROR((CV605-CU605)/ABS(CU605),"")</f>
        <v>-0.68087814190264073</v>
      </c>
      <c r="DB605" s="1" t="s">
        <v>1074</v>
      </c>
      <c r="DC605" t="str">
        <f>IF(OR($DB605="prd",$DB605="std",$DB605="cit"),"loc",IF(OR($DB605="eur",$DB605="reg",$DB605="coy"),"reg",$DB605))</f>
        <v>reg</v>
      </c>
      <c r="DD605" t="s">
        <v>925</v>
      </c>
      <c r="DE605">
        <v>2050</v>
      </c>
      <c r="DF605">
        <v>2050</v>
      </c>
      <c r="DG605">
        <v>1</v>
      </c>
      <c r="DH605" t="str">
        <f>IF(DG605=0,"0",IF(AND(DG605&gt;=1,DG605&lt;=30),"1-30",IF(AND(DG605&gt;30,DG605&lt;=70),"31-70",IF(AND(DG605&gt;70,DG605&lt;=100),"71-100",IF(DG605&gt;100,"+100")))))</f>
        <v>1-30</v>
      </c>
      <c r="DI605">
        <v>0</v>
      </c>
      <c r="DJ605">
        <v>0</v>
      </c>
      <c r="DK605">
        <v>1</v>
      </c>
      <c r="DL605">
        <v>0</v>
      </c>
      <c r="DM605">
        <v>0</v>
      </c>
      <c r="DN605">
        <v>1</v>
      </c>
      <c r="DO605" t="str">
        <f>IF(DN605=1,INDEX($DI$7:$DL$7,MATCH(1,$DI605:$DL605,0)),"mixedProduct")</f>
        <v>PulpPaperInput</v>
      </c>
      <c r="DP605">
        <f>IF(DI605=1,DP$7,0)</f>
        <v>0</v>
      </c>
      <c r="DQ605">
        <f>IF(DJ605=1,DQ$7,0)</f>
        <v>0</v>
      </c>
      <c r="DR605" t="str">
        <f>IF(DK605=1,DR$7,0)</f>
        <v>Pulp/Paper</v>
      </c>
      <c r="DS605">
        <f>IF(DL605=1,DS$7,0)</f>
        <v>0</v>
      </c>
      <c r="DT605">
        <v>0</v>
      </c>
      <c r="DU605">
        <v>0</v>
      </c>
      <c r="DV605">
        <v>0</v>
      </c>
      <c r="DW605">
        <v>0</v>
      </c>
      <c r="DX605">
        <v>0</v>
      </c>
      <c r="DY605">
        <f>SUM(DT605:DU605)</f>
        <v>0</v>
      </c>
      <c r="DZ605" s="143" t="s">
        <v>926</v>
      </c>
      <c r="EA605">
        <v>0</v>
      </c>
      <c r="EB605">
        <v>0</v>
      </c>
      <c r="EC605">
        <v>0</v>
      </c>
      <c r="ED605">
        <v>0</v>
      </c>
      <c r="EE605">
        <v>0</v>
      </c>
      <c r="EF605" s="143">
        <v>0</v>
      </c>
      <c r="EG605">
        <v>0</v>
      </c>
      <c r="EH605">
        <v>1</v>
      </c>
      <c r="EI605">
        <v>0</v>
      </c>
      <c r="EJ605">
        <v>0</v>
      </c>
      <c r="EK605">
        <v>0</v>
      </c>
      <c r="EL605">
        <v>0</v>
      </c>
      <c r="EM605">
        <v>0</v>
      </c>
      <c r="EN605" s="2">
        <v>0</v>
      </c>
      <c r="EP605" t="str">
        <f>IF(AND(AND(AND(OR($EC605=1,$EB605=1),OR($EH605=1,$EF605=1)),SUM($EA605:$EE605,$EK605)&gt;=3),SUM($EF605:$EJ605)&gt;=2),"Whole sector approach","")</f>
        <v/>
      </c>
      <c r="EQ605" t="str">
        <f>IF(AND(AND(OR($EC605=1,$EB605=1),AND($EH605=0,$EF605=0)),SUM($EA605:$EE605,$EK605)&gt;=4),"Ecosystem approach","")</f>
        <v/>
      </c>
      <c r="ER605" s="2" t="str">
        <f>IF(AND(AND(AND($EC605=0,$EB605=0),OR($EH605=1,$EF605=1)),SUM($EG605:$EJ605)&gt;=2),"Technology approach","")</f>
        <v/>
      </c>
      <c r="ES605" t="str">
        <f>IF(AND($EC605+$EB605+$EE605+$EA605+$ED605+$EG605=0,$N605="included"),"C neutral forest and HWP assumption","")</f>
        <v>C neutral forest and HWP assumption</v>
      </c>
      <c r="ET605" t="str">
        <f>IF(AND(AND(AND(AND($EC605=1,$EB605+$EA605+$EG605&gt;=1),$EF605=1),$EH605+$EI605+$ED605+$EE605&gt;=2),$N605="included"),"All C pools assumption","")</f>
        <v/>
      </c>
      <c r="EU605" t="str">
        <f>IF(AND($ED605+$EE605+$EI605+$EH605+$EF605=0,$N605="included"),"In-situ only assumption","")</f>
        <v/>
      </c>
      <c r="EY605" t="str">
        <f>IF(ISNUMBER(BW605),IF(ABS(BW605-[2]QC_indicators!$B$2)&gt;3*[2]QC_indicators!$C$2,"C ratio",IF(ISNUMBER(CA605),IF(ABS(CA605-[2]QC_indicators!$B$1)&gt;3*[2]QC_indicators!$C$1,"DF","no"))),IF(ISNUMBER(CA605),IF(ABS(CA605-[2]QC_indicators!$B$1)&gt;3*[2]QC_indicators!$C$1,"DF","no")))</f>
        <v>no</v>
      </c>
      <c r="FA605" t="str">
        <f>IF(LEN($CY605)=0,"",IF(AND($CY605&lt;(-0.05),$ES605="C neutral forest and HWP assumption"),"Cneutral paradox",IF(AND($CY605&gt;0.05,$EU605="In-situ only assumption"),"In-situ only paradox","")))</f>
        <v>Cneutral paradox</v>
      </c>
      <c r="FD605" s="260" t="s">
        <v>2824</v>
      </c>
    </row>
    <row r="606" spans="1:160" ht="15" hidden="1" customHeight="1">
      <c r="A606" s="1" t="s">
        <v>549</v>
      </c>
      <c r="B606" t="s">
        <v>531</v>
      </c>
      <c r="C606" t="s">
        <v>1465</v>
      </c>
      <c r="D606" t="s">
        <v>1466</v>
      </c>
      <c r="E606" t="s">
        <v>1467</v>
      </c>
      <c r="F606" t="s">
        <v>1468</v>
      </c>
      <c r="G606" t="s">
        <v>554</v>
      </c>
      <c r="H606" t="s">
        <v>254</v>
      </c>
      <c r="I606">
        <v>2019</v>
      </c>
      <c r="J606">
        <v>15</v>
      </c>
      <c r="K606" t="s">
        <v>1469</v>
      </c>
      <c r="M606" t="str">
        <f>LEFT($D606,FIND(",",$D606)-1)&amp;"_"&amp;I606&amp;L606</f>
        <v>Geng_2019</v>
      </c>
      <c r="N606" t="s">
        <v>222</v>
      </c>
      <c r="O606" s="180" t="s">
        <v>225</v>
      </c>
      <c r="Q606" s="317" t="s">
        <v>256</v>
      </c>
      <c r="R606" s="318" t="s">
        <v>1029</v>
      </c>
      <c r="S606" s="1" t="s">
        <v>1470</v>
      </c>
      <c r="T606" t="s">
        <v>4933</v>
      </c>
      <c r="U606" t="s">
        <v>4934</v>
      </c>
      <c r="V606" s="253">
        <v>0</v>
      </c>
      <c r="W606" s="253">
        <v>0</v>
      </c>
      <c r="X606">
        <v>0</v>
      </c>
      <c r="Y606">
        <v>0</v>
      </c>
      <c r="Z606">
        <v>0</v>
      </c>
      <c r="AA606">
        <v>0</v>
      </c>
      <c r="AB606">
        <v>0</v>
      </c>
      <c r="AC606">
        <v>0</v>
      </c>
      <c r="AD606">
        <v>0</v>
      </c>
      <c r="AE606">
        <v>0</v>
      </c>
      <c r="AF606">
        <v>0</v>
      </c>
      <c r="AG606">
        <v>0</v>
      </c>
      <c r="AH606">
        <v>0</v>
      </c>
      <c r="AI606">
        <v>0</v>
      </c>
      <c r="AJ606">
        <v>0</v>
      </c>
      <c r="AK606">
        <v>0</v>
      </c>
      <c r="AL606">
        <v>0</v>
      </c>
      <c r="AM606">
        <v>1</v>
      </c>
      <c r="AN606">
        <v>0</v>
      </c>
      <c r="AO606">
        <v>0</v>
      </c>
      <c r="AP606">
        <v>0</v>
      </c>
      <c r="AQ606">
        <v>0</v>
      </c>
      <c r="AR606">
        <v>0</v>
      </c>
      <c r="AS606">
        <v>0</v>
      </c>
      <c r="AT606">
        <v>0</v>
      </c>
      <c r="AU606">
        <v>0</v>
      </c>
      <c r="AV606">
        <v>0</v>
      </c>
      <c r="AW606">
        <v>0</v>
      </c>
      <c r="AX606">
        <v>0</v>
      </c>
      <c r="AY606">
        <v>0</v>
      </c>
      <c r="AZ606" s="141">
        <f>COUNTIF(X606:AY606,"&lt;&gt;0")</f>
        <v>1</v>
      </c>
      <c r="BA606" s="141">
        <f>COUNTIF(X606:AN606,"&lt;&gt;0")</f>
        <v>1</v>
      </c>
      <c r="BB606">
        <f>COUNTIF(X606:AE606,"&lt;&gt;0")</f>
        <v>0</v>
      </c>
      <c r="BC606">
        <f>COUNTIF(AF606:AK606,"&lt;&gt;0")</f>
        <v>0</v>
      </c>
      <c r="BD606">
        <f>COUNTIF(AL606:AN606,"&lt;&gt;0")</f>
        <v>1</v>
      </c>
      <c r="BE606">
        <f>COUNTIF(AU606:AY606,"&lt;&gt;0")</f>
        <v>0</v>
      </c>
      <c r="BF606">
        <f>COUNTIF(AO606:AT606,"&lt;&gt;0")</f>
        <v>0</v>
      </c>
      <c r="BG606" t="str" cm="1">
        <f t="array" ref="BG606">IF(BA606=1,INDEX($X$7:$AN$7,MATCH(TRUE,INDEX($X606:$AY606&lt;&gt;0,),0)),IF(BA606=0,INDEX($AO$7:$AY$7,MATCH(1,$AO606:$AY606,0)),IF(BH606="Multiple strategies","mixed drivers",IF(BH606="Supply chain","multiple supply","multiple silviculture"))))</f>
        <v>technologies/design switch</v>
      </c>
      <c r="BH606" s="2" t="str" cm="1">
        <f t="array" ref="BH606">IF(COUNTIF(BB606:BD606,"&lt;&gt;0")=1,INDEX($X$4:$AY$4,MATCH(TRUE,INDEX($X606:$AY606&lt;&gt;0,),0)),IF(COUNTIF(BB606:BD606,"&lt;&gt;0")=0,INDEX($AO$4:$AY$4,MATCH(1,$AO606:$AY606,0)),"Multiple strategies"))</f>
        <v>Technology</v>
      </c>
      <c r="BI606" s="1" t="s">
        <v>229</v>
      </c>
      <c r="BJ606" t="s">
        <v>1471</v>
      </c>
      <c r="BK606" t="s">
        <v>424</v>
      </c>
      <c r="BL606" t="s">
        <v>1472</v>
      </c>
      <c r="BM606">
        <v>0</v>
      </c>
      <c r="BN606">
        <v>2.6</v>
      </c>
      <c r="BP606">
        <f>BN606-BM606</f>
        <v>2.6</v>
      </c>
      <c r="BQ606">
        <f>BP606*kg_to_m3</f>
        <v>5.3061224489795921E-3</v>
      </c>
      <c r="BR606" t="s">
        <v>232</v>
      </c>
      <c r="BS606" t="s">
        <v>424</v>
      </c>
      <c r="BT606" t="s">
        <v>1473</v>
      </c>
      <c r="BW606" s="144" t="str">
        <f>IFERROR(BV606/BU606,"")</f>
        <v/>
      </c>
      <c r="BX606">
        <v>-0.26</v>
      </c>
      <c r="BZ606">
        <f>BX606/1000</f>
        <v>-2.6000000000000003E-4</v>
      </c>
      <c r="CA606">
        <f>IFERROR(BZ606/BQ606,"")</f>
        <v>-4.9000000000000002E-2</v>
      </c>
      <c r="CB606">
        <v>0</v>
      </c>
      <c r="CC606">
        <v>0</v>
      </c>
      <c r="CD606">
        <v>0</v>
      </c>
      <c r="CE606">
        <v>0</v>
      </c>
      <c r="CF606">
        <v>0</v>
      </c>
      <c r="CG606">
        <v>0</v>
      </c>
      <c r="CH606">
        <v>0</v>
      </c>
      <c r="CI606">
        <v>0</v>
      </c>
      <c r="CJ606">
        <v>0</v>
      </c>
      <c r="CK606">
        <v>0</v>
      </c>
      <c r="CL606">
        <v>0</v>
      </c>
      <c r="CM606">
        <v>0</v>
      </c>
      <c r="CN606">
        <v>0</v>
      </c>
      <c r="CO606">
        <v>0</v>
      </c>
      <c r="CP606" t="str">
        <f>IF(BN606&lt;BM606,"refNeedCorrection","refOK")</f>
        <v>refOK</v>
      </c>
      <c r="CQ606">
        <f>IF($CP606="refOK",$BM606,$BN606)</f>
        <v>0</v>
      </c>
      <c r="CR606">
        <f>IF($CP606="refOK",$BN606,$BM606)</f>
        <v>2.6</v>
      </c>
      <c r="CS606">
        <f>IF($CP606="refOK",$BQ606,-$BQ606)</f>
        <v>5.3061224489795921E-3</v>
      </c>
      <c r="CT606">
        <f>IF(BI606="Roundwood",$CS606/2,$CS606)</f>
        <v>5.3061224489795921E-3</v>
      </c>
      <c r="CU606">
        <f>IF($CP606="refOK",$BU606,$BV606)*IF($BR606="Emissions positive",-1,1)</f>
        <v>0</v>
      </c>
      <c r="CV606">
        <f>IF($CP606="refOK",$BV606,$BU606)*IF($BR606="Emissions positive",-1,1)</f>
        <v>0</v>
      </c>
      <c r="CW606">
        <f>IF($CP606="refNeedCorrection",-BZ606,BZ606)*IF($BR606="Emissions positive",-1,1)</f>
        <v>-2.6000000000000003E-4</v>
      </c>
      <c r="CX606">
        <f>IFERROR($CW606/$CS606,"")</f>
        <v>-4.9000000000000002E-2</v>
      </c>
      <c r="CY606">
        <f>IFERROR($CW606/$CS606,"")</f>
        <v>-4.9000000000000002E-2</v>
      </c>
      <c r="CZ606">
        <f>IFERROR($CW606/$CT606,"")</f>
        <v>-4.9000000000000002E-2</v>
      </c>
      <c r="DA606" s="2" t="str">
        <f>IFERROR((CV606-CU606)/ABS(CU606),"")</f>
        <v/>
      </c>
      <c r="DB606" s="1" t="s">
        <v>1078</v>
      </c>
      <c r="DC606" s="317" t="str">
        <f>IF(OR($DB606="prd",$DB606="std",$DB606="cit"),"loc",IF(OR($DB606="eur",$DB606="reg",$DB606="coy"),"reg",$DB606))</f>
        <v>reg</v>
      </c>
      <c r="DD606" t="s">
        <v>677</v>
      </c>
      <c r="DE606">
        <v>2019</v>
      </c>
      <c r="DG606">
        <v>0</v>
      </c>
      <c r="DH606" t="str">
        <f>IF(DG606=0,"0",IF(AND(DG606&gt;=1,DG606&lt;=30),"1-30",IF(AND(DG606&gt;30,DG606&lt;=70),"31-70",IF(AND(DG606&gt;70,DG606&lt;=100),"71-100",IF(DG606&gt;100,"+100")))))</f>
        <v>0</v>
      </c>
      <c r="DI606">
        <v>0</v>
      </c>
      <c r="DJ606">
        <v>0</v>
      </c>
      <c r="DK606">
        <v>0</v>
      </c>
      <c r="DL606">
        <v>1</v>
      </c>
      <c r="DN606">
        <f>SUM(DI606:DL606)</f>
        <v>1</v>
      </c>
      <c r="DO606" t="str">
        <f>IF(DN606=1,INDEX($DI$7:$DL$7,MATCH(1,$DI606:$DL606,0)),"mixedProduct")</f>
        <v>TimberInput</v>
      </c>
      <c r="DP606">
        <f>IF(DI606=1,DP$7,0)</f>
        <v>0</v>
      </c>
      <c r="DQ606">
        <f>IF(DJ606=1,DQ$7,0)</f>
        <v>0</v>
      </c>
      <c r="DR606">
        <f>IF(DK606=1,DR$7,0)</f>
        <v>0</v>
      </c>
      <c r="DS606" t="str">
        <f>IF(DL606=1,DS$7,0)</f>
        <v>Timber</v>
      </c>
      <c r="DT606">
        <v>1</v>
      </c>
      <c r="DU606">
        <v>0</v>
      </c>
      <c r="DV606">
        <v>0</v>
      </c>
      <c r="DW606">
        <v>0</v>
      </c>
      <c r="DX606">
        <v>0</v>
      </c>
      <c r="DY606">
        <f>SUM(DT606:DU606)</f>
        <v>1</v>
      </c>
      <c r="DZ606" s="143" t="str">
        <f>IF(DT606=1,"self-calculated DF",IF(DU606=1,"external DF used","explicit C balance"))</f>
        <v>self-calculated DF</v>
      </c>
      <c r="EA606">
        <v>0</v>
      </c>
      <c r="EB606">
        <v>0</v>
      </c>
      <c r="EC606">
        <v>0</v>
      </c>
      <c r="ED606">
        <v>0</v>
      </c>
      <c r="EE606">
        <v>0</v>
      </c>
      <c r="EF606" s="143">
        <v>1</v>
      </c>
      <c r="EG606">
        <v>0</v>
      </c>
      <c r="EH606">
        <v>1</v>
      </c>
      <c r="EI606">
        <v>0</v>
      </c>
      <c r="EJ606">
        <v>0</v>
      </c>
      <c r="EK606">
        <v>0</v>
      </c>
      <c r="EL606">
        <v>0</v>
      </c>
      <c r="EM606">
        <v>0</v>
      </c>
      <c r="EN606" s="2">
        <v>0</v>
      </c>
      <c r="EP606" t="str">
        <f>IF(AND(AND(AND(OR($EC606=1,$EB606=1),OR($EH606=1,$EF606=1)),SUM($EA606:$EE606,$EK606)&gt;=3),SUM($EF606:$EJ606)&gt;=2),"Whole sector approach","")</f>
        <v/>
      </c>
      <c r="EQ606" t="str">
        <f>IF(AND(AND(OR($EC606=1,$EB606=1),AND($EH606=0,$EF606=0)),SUM($EA606:$EE606,$EK606)&gt;=3),"Ecosystem approach","")</f>
        <v/>
      </c>
      <c r="ER606" s="2" t="str">
        <f>IF(AND(AND(AND($EC606=0,$EB606=0),OR($EH606=1,$EF606=1)),SUM($EG606:$EJ606)&gt;=2),"Technology approach","")</f>
        <v/>
      </c>
      <c r="ES606" t="str">
        <f>IF(AND($EC606+$EB606+$EE606+$EA606+$ED606+$EG606=0,$N606="included"),"C neutral forest and HWP assumption","")</f>
        <v>C neutral forest and HWP assumption</v>
      </c>
      <c r="ET606" t="str">
        <f>IF(AND(AND(AND(AND($EC606=1,$EB606+$EA606+$EG606&gt;=1),$EF606=1),$EH606+$EI606+$ED606+$EE606&gt;=2),$N606="included"),"All C pools assumption","")</f>
        <v/>
      </c>
      <c r="EU606" t="str">
        <f>IF(AND($ED606+$EE606+$EI606+$EH606+$EF606=0,$N606="included"),"In-situ only assumption","")</f>
        <v/>
      </c>
      <c r="EW606" t="s">
        <v>1474</v>
      </c>
      <c r="EY606" t="str">
        <f>IF(ISNUMBER(BW606),IF(ABS(BW606-[4]QC_indicators!$B$2)&gt;3*[4]QC_indicators!$C$2,"C ratio",IF(ISNUMBER(CA606),IF(ABS(CA606-[4]QC_indicators!$B$1)&gt;3*[4]QC_indicators!$C$1,"DF","no"))),IF(ISNUMBER(CA606),IF(ABS(CA606-[4]QC_indicators!$B$1)&gt;3*[4]QC_indicators!$C$1,"DF","no")))</f>
        <v>no</v>
      </c>
      <c r="FA606" t="str">
        <f>IF(LEN($CY606)=0,"",IF(AND($CY606&lt;(-0.05),$ES606="C neutral forest and HWP assumption"),"Cneutral paradox",IF(AND($CY606&gt;0.05,$EU606="In-situ only assumption"),"In-situ only paradox","")))</f>
        <v/>
      </c>
      <c r="FB606" t="s">
        <v>1475</v>
      </c>
    </row>
    <row r="607" spans="1:160" ht="15" hidden="1" customHeight="1">
      <c r="A607" s="1" t="s">
        <v>643</v>
      </c>
      <c r="B607" t="s">
        <v>644</v>
      </c>
      <c r="C607" t="s">
        <v>645</v>
      </c>
      <c r="D607" t="s">
        <v>646</v>
      </c>
      <c r="E607" t="s">
        <v>647</v>
      </c>
      <c r="F607" t="s">
        <v>648</v>
      </c>
      <c r="G607" t="s">
        <v>649</v>
      </c>
      <c r="H607" t="s">
        <v>254</v>
      </c>
      <c r="I607">
        <v>2021</v>
      </c>
      <c r="J607">
        <v>1</v>
      </c>
      <c r="K607" t="s">
        <v>650</v>
      </c>
      <c r="M607" t="str">
        <f>LEFT($D607,FIND(",",$D607)-1)&amp;"_"&amp;I607&amp;L607</f>
        <v>Dolezal_2021</v>
      </c>
      <c r="N607" t="s">
        <v>222</v>
      </c>
      <c r="O607" s="145" t="s">
        <v>274</v>
      </c>
      <c r="Q607" t="s">
        <v>256</v>
      </c>
      <c r="R607" s="251" t="s">
        <v>225</v>
      </c>
      <c r="S607" s="1" t="s">
        <v>651</v>
      </c>
      <c r="T607" t="s">
        <v>652</v>
      </c>
      <c r="U607" t="s">
        <v>182</v>
      </c>
      <c r="V607" s="253">
        <v>0</v>
      </c>
      <c r="W607" s="253">
        <v>0</v>
      </c>
      <c r="X607">
        <v>0</v>
      </c>
      <c r="Y607">
        <v>0</v>
      </c>
      <c r="Z607">
        <v>0</v>
      </c>
      <c r="AA607">
        <v>0</v>
      </c>
      <c r="AB607">
        <v>0</v>
      </c>
      <c r="AC607">
        <v>0</v>
      </c>
      <c r="AD607">
        <v>0</v>
      </c>
      <c r="AE607">
        <v>0</v>
      </c>
      <c r="AF607">
        <v>0</v>
      </c>
      <c r="AG607">
        <v>0</v>
      </c>
      <c r="AH607">
        <v>0</v>
      </c>
      <c r="AI607">
        <v>0</v>
      </c>
      <c r="AJ607">
        <v>0</v>
      </c>
      <c r="AK607">
        <v>0</v>
      </c>
      <c r="AL607">
        <v>0</v>
      </c>
      <c r="AM607">
        <v>1</v>
      </c>
      <c r="AN607">
        <v>0</v>
      </c>
      <c r="AO607">
        <v>0</v>
      </c>
      <c r="AP607">
        <v>0</v>
      </c>
      <c r="AQ607">
        <v>0</v>
      </c>
      <c r="AR607">
        <v>0</v>
      </c>
      <c r="AS607">
        <v>0</v>
      </c>
      <c r="AT607">
        <v>0</v>
      </c>
      <c r="AU607">
        <v>0</v>
      </c>
      <c r="AV607">
        <v>0</v>
      </c>
      <c r="AW607">
        <v>0</v>
      </c>
      <c r="AX607">
        <v>0</v>
      </c>
      <c r="AY607">
        <v>0</v>
      </c>
      <c r="AZ607" s="141">
        <f>COUNTIF(X607:AY607,"&lt;&gt;0")</f>
        <v>1</v>
      </c>
      <c r="BA607" s="141">
        <f>COUNTIF(X607:AN607,"&lt;&gt;0")</f>
        <v>1</v>
      </c>
      <c r="BB607">
        <f>COUNTIF(X607:AE607,"&lt;&gt;0")</f>
        <v>0</v>
      </c>
      <c r="BC607">
        <f>COUNTIF(AF607:AK607,"&lt;&gt;0")</f>
        <v>0</v>
      </c>
      <c r="BD607">
        <f>COUNTIF(AL607:AN607,"&lt;&gt;0")</f>
        <v>1</v>
      </c>
      <c r="BE607">
        <f>COUNTIF(AU607:AY607,"&lt;&gt;0")</f>
        <v>0</v>
      </c>
      <c r="BF607">
        <f>COUNTIF(AO607:AT607,"&lt;&gt;0")</f>
        <v>0</v>
      </c>
      <c r="BG607" t="str">
        <f t="array" ref="BG607">IF(BA607=1,INDEX($X$7:$AN$7,MATCH(TRUE,INDEX($X607:$AY607&lt;&gt;0,),0)),IF(BA607=0,INDEX($AO$7:$AY$7,MATCH(1,$AO607:$AY607,0)),IF(BH607="Multiple strategies","mixed drivers",IF(BH607="Supply chain","multiple supply","multiple silviculture"))))</f>
        <v>technologies/design switch</v>
      </c>
      <c r="BH607" s="2" t="str" cm="1">
        <f t="array" ref="BH607">IF(COUNTIF(BB607:BD607,"&lt;&gt;0")=1,INDEX($X$4:$AY$4,MATCH(TRUE,INDEX($X607:$AY607&lt;&gt;0,),0)),IF(COUNTIF(BB607:BD607,"&lt;&gt;0")=0,INDEX($AO$4:$AY$4,MATCH(1,$AO607:$AY607,0)),"Multiple strategies"))</f>
        <v>Technology</v>
      </c>
      <c r="BI607" s="1" t="s">
        <v>229</v>
      </c>
      <c r="BJ607" s="260" t="s">
        <v>259</v>
      </c>
      <c r="BK607" s="260" t="s">
        <v>2987</v>
      </c>
      <c r="BL607" s="260" t="s">
        <v>638</v>
      </c>
      <c r="BM607" s="256">
        <v>0</v>
      </c>
      <c r="BN607" s="256">
        <v>528</v>
      </c>
      <c r="BO607" s="257"/>
      <c r="BP607" s="256">
        <f>BN607-BM607</f>
        <v>528</v>
      </c>
      <c r="BQ607" s="256">
        <f>BP607*t_to_m3</f>
        <v>1077.5510204081634</v>
      </c>
      <c r="BR607" s="256" t="s">
        <v>395</v>
      </c>
      <c r="BS607" s="256" t="s">
        <v>2988</v>
      </c>
      <c r="BT607" s="256" t="s">
        <v>2989</v>
      </c>
      <c r="BU607" s="256">
        <f>(57+1942+29)*3528.65</f>
        <v>7156102.2000000002</v>
      </c>
      <c r="BV607" s="256">
        <f>(51+1942+44)*3528.65</f>
        <v>7187860.0499999998</v>
      </c>
      <c r="BW607" s="144">
        <f>IFERROR(BV607/BU607,"")</f>
        <v>1.0044378698224852</v>
      </c>
      <c r="BX607">
        <f>BV607-BU607</f>
        <v>31757.849999999627</v>
      </c>
      <c r="BZ607">
        <f>BX607/1000</f>
        <v>31.757849999999628</v>
      </c>
      <c r="CA607">
        <f>IFERROR(BZ607/BQ607,"")</f>
        <v>2.947224715909056E-2</v>
      </c>
      <c r="CB607">
        <v>0</v>
      </c>
      <c r="CC607">
        <v>0</v>
      </c>
      <c r="CD607">
        <v>0</v>
      </c>
      <c r="CE607">
        <v>0</v>
      </c>
      <c r="CF607">
        <v>0</v>
      </c>
      <c r="CG607">
        <v>0</v>
      </c>
      <c r="CH607">
        <v>0</v>
      </c>
      <c r="CI607">
        <v>0</v>
      </c>
      <c r="CJ607">
        <v>0</v>
      </c>
      <c r="CK607">
        <v>0</v>
      </c>
      <c r="CL607">
        <v>0</v>
      </c>
      <c r="CM607">
        <v>0</v>
      </c>
      <c r="CN607">
        <v>0</v>
      </c>
      <c r="CO607">
        <v>0</v>
      </c>
      <c r="CP607" t="str">
        <f>IF($BN607&lt;$BM607,"refNeedCorrection","refOK")</f>
        <v>refOK</v>
      </c>
      <c r="CQ607">
        <f>IF($CP607="refNeedCorrection",BN607,BM607)</f>
        <v>0</v>
      </c>
      <c r="CR607">
        <f>IF($CP607="refNeedCorrection",BM607,BN607)</f>
        <v>528</v>
      </c>
      <c r="CS607">
        <f>IF($CP607="refOK",$BQ607,-$BQ607)</f>
        <v>1077.5510204081634</v>
      </c>
      <c r="CT607">
        <f>IF(BI607="Roundwood",$CS607/2,$CS607)</f>
        <v>1077.5510204081634</v>
      </c>
      <c r="CU607">
        <f>IF($CP607="refOK",$BU607,$BV607)*IF($BR607="Emissions positive",-1,1)</f>
        <v>-7156102.2000000002</v>
      </c>
      <c r="CV607">
        <f>IF($CP607="refOK",$BV607,$BU607)*IF($BR607="Emissions positive",-1,1)</f>
        <v>-7187860.0499999998</v>
      </c>
      <c r="CW607">
        <f>IF($CP607="refNeedCorrection",-BZ607,BZ607)*IF($BR607="Emissions positive",-1,1)</f>
        <v>-31.757849999999628</v>
      </c>
      <c r="CX607">
        <f>IFERROR($CW607/$CS607,"")</f>
        <v>-2.947224715909056E-2</v>
      </c>
      <c r="CY607">
        <f>IFERROR($CW607/$CS607,"")</f>
        <v>-2.947224715909056E-2</v>
      </c>
      <c r="CZ607">
        <f>IFERROR($CW607/$CT607,"")</f>
        <v>-2.947224715909056E-2</v>
      </c>
      <c r="DA607" s="2">
        <f>IFERROR((CV607-CU607)/ABS(CU607),"")</f>
        <v>-4.4378698224851552E-3</v>
      </c>
      <c r="DB607" s="1" t="s">
        <v>263</v>
      </c>
      <c r="DC607" t="str">
        <f>IF(OR($DB607="prd",$DB607="std",$DB607="cit"),"loc",IF(OR($DB607="eur",$DB607="reg",$DB607="coy"),"reg",$DB607))</f>
        <v>loc</v>
      </c>
      <c r="DD607" t="s">
        <v>653</v>
      </c>
      <c r="DG607">
        <v>100</v>
      </c>
      <c r="DH607" t="str">
        <f>IF(DG607=0,"0",IF(AND(DG607&gt;=1,DG607&lt;=30),"1-30",IF(AND(DG607&gt;30,DG607&lt;=70),"31-70",IF(AND(DG607&gt;70,DG607&lt;=100),"71-100",IF(DG607&gt;100,"+100")))))</f>
        <v>71-100</v>
      </c>
      <c r="DI607">
        <v>0</v>
      </c>
      <c r="DJ607">
        <v>0</v>
      </c>
      <c r="DK607">
        <v>0</v>
      </c>
      <c r="DL607">
        <v>1</v>
      </c>
      <c r="DN607">
        <f>SUM(DI607:DL607)</f>
        <v>1</v>
      </c>
      <c r="DO607" t="str">
        <f>IF(DN607=1,INDEX($DI$7:$DL$7,MATCH(1,$DI607:$DL607,0)),"mixedProduct")</f>
        <v>TimberInput</v>
      </c>
      <c r="DP607">
        <f>IF(DI607=1,DP$7,0)</f>
        <v>0</v>
      </c>
      <c r="DQ607">
        <f>IF(DJ607=1,DQ$7,0)</f>
        <v>0</v>
      </c>
      <c r="DR607">
        <f>IF(DK607=1,DR$7,0)</f>
        <v>0</v>
      </c>
      <c r="DS607" t="str">
        <f>IF(DL607=1,DS$7,0)</f>
        <v>Timber</v>
      </c>
      <c r="DT607">
        <v>0</v>
      </c>
      <c r="DU607">
        <v>0</v>
      </c>
      <c r="DV607">
        <v>0</v>
      </c>
      <c r="DW607">
        <v>0</v>
      </c>
      <c r="DX607">
        <v>0</v>
      </c>
      <c r="DY607">
        <f>SUM(DT607:DU607)</f>
        <v>0</v>
      </c>
      <c r="DZ607" s="143" t="str">
        <f>IF(DT607=1,"self-calculated DF",IF(DU607=1,"external DF used","explicit C balance"))</f>
        <v>explicit C balance</v>
      </c>
      <c r="EA607">
        <v>0</v>
      </c>
      <c r="EB607">
        <v>0</v>
      </c>
      <c r="EC607">
        <v>0</v>
      </c>
      <c r="ED607">
        <v>0</v>
      </c>
      <c r="EE607">
        <v>0</v>
      </c>
      <c r="EF607">
        <v>1</v>
      </c>
      <c r="EG607">
        <v>0</v>
      </c>
      <c r="EH607">
        <v>1</v>
      </c>
      <c r="EI607">
        <v>0</v>
      </c>
      <c r="EJ607">
        <v>1</v>
      </c>
      <c r="EK607" s="256">
        <v>0</v>
      </c>
      <c r="EL607" s="256">
        <v>0</v>
      </c>
      <c r="EM607">
        <v>0</v>
      </c>
      <c r="EN607" s="2">
        <v>0</v>
      </c>
      <c r="EP607" t="str">
        <f>IF(AND(AND(AND(OR($EC607=1,$EB607=1),OR($EH607=1,$EF607=1)),SUM($EA607:$EE607,$EK607)&gt;=3),SUM($EF607:$EJ607)&gt;=2),"Whole sector approach","")</f>
        <v/>
      </c>
      <c r="EQ607" t="str">
        <f>IF(AND(AND(OR($EC607=1,$EB607=1),AND($EH607=0,$EF607=0)),SUM($EA607:$EE607,$EK607)&gt;=4),"Ecosystem approach","")</f>
        <v/>
      </c>
      <c r="ER607" s="2" t="str">
        <f>IF(AND(AND(AND($EC607=0,$EB607=0),OR($EH607=1,$EF607=1)),SUM($EG607:$EJ607)&gt;=2),"Technology approach","")</f>
        <v>Technology approach</v>
      </c>
      <c r="ES607" t="str">
        <f>IF(AND($EC607+$EB607+$EE607+$EA607+$ED607+$EG607=0,$N607="included"),"C neutral forest and HWP assumption","")</f>
        <v>C neutral forest and HWP assumption</v>
      </c>
      <c r="ET607" t="str">
        <f>IF(AND(AND(AND(AND($EC607=1,$EB607+$EA607+$EG607&gt;=1),$EF607=1),$EH607+$EI607+$ED607+$EE607&gt;=2),$N607="included"),"All C pools assumption","")</f>
        <v/>
      </c>
      <c r="EU607" t="str">
        <f>IF(AND($ED607+$EE607+$EI607+$EH607+$EF607=0,$N607="included"),"In-situ only assumption","")</f>
        <v/>
      </c>
      <c r="EY607" t="str">
        <f>IF(ISNUMBER(BW607),IF(ABS(BW607-[6]QC_indicators!$B$2)&gt;3*[6]QC_indicators!$C$2,"C ratio",IF(ISNUMBER(CA607),IF(ABS(CA607-[6]QC_indicators!$B$1)&gt;3*[6]QC_indicators!$C$1,"DF","no"))),IF(ISNUMBER(CA607),IF(ABS(CA607-[6]QC_indicators!$B$1)&gt;3*[6]QC_indicators!$C$1,"DF","no")))</f>
        <v>no</v>
      </c>
      <c r="FA607" t="str">
        <f>IF(LEN($CY607)=0,"",IF(AND($CY607&lt;(-0.05),$ES607="C neutral forest and HWP assumption"),"Cneutral paradox",IF(AND($CY607&gt;0.05,$EU607="In-situ only assumption"),"In-situ only paradox","")))</f>
        <v/>
      </c>
      <c r="FD607" s="260" t="s">
        <v>2948</v>
      </c>
    </row>
    <row r="608" spans="1:160" ht="15" hidden="1" customHeight="1">
      <c r="A608" s="1" t="s">
        <v>1654</v>
      </c>
      <c r="B608" t="s">
        <v>1655</v>
      </c>
      <c r="C608" t="s">
        <v>1656</v>
      </c>
      <c r="D608" t="s">
        <v>1657</v>
      </c>
      <c r="E608" t="s">
        <v>1658</v>
      </c>
      <c r="F608" t="s">
        <v>1659</v>
      </c>
      <c r="G608" t="s">
        <v>1660</v>
      </c>
      <c r="H608" t="s">
        <v>254</v>
      </c>
      <c r="I608">
        <v>2014</v>
      </c>
      <c r="J608">
        <v>15</v>
      </c>
      <c r="K608" t="s">
        <v>1661</v>
      </c>
      <c r="M608" t="str">
        <f>LEFT($D608,FIND(",",$D608)-1)&amp;"_"&amp;I608&amp;L608</f>
        <v>Kayo_2014</v>
      </c>
      <c r="N608" t="s">
        <v>222</v>
      </c>
      <c r="O608" s="171" t="s">
        <v>508</v>
      </c>
      <c r="P608" t="s">
        <v>924</v>
      </c>
      <c r="Q608" t="s">
        <v>389</v>
      </c>
      <c r="R608" s="258" t="s">
        <v>223</v>
      </c>
      <c r="S608" s="1" t="s">
        <v>1662</v>
      </c>
      <c r="T608" t="s">
        <v>1003</v>
      </c>
      <c r="U608" s="260" t="s">
        <v>2820</v>
      </c>
      <c r="V608">
        <v>0</v>
      </c>
      <c r="W608">
        <v>0</v>
      </c>
      <c r="X608">
        <v>0</v>
      </c>
      <c r="Y608">
        <v>0</v>
      </c>
      <c r="Z608">
        <v>0</v>
      </c>
      <c r="AA608">
        <v>0</v>
      </c>
      <c r="AB608">
        <v>0</v>
      </c>
      <c r="AC608">
        <v>0</v>
      </c>
      <c r="AD608">
        <v>0</v>
      </c>
      <c r="AE608">
        <v>0</v>
      </c>
      <c r="AF608">
        <v>0</v>
      </c>
      <c r="AG608">
        <v>0</v>
      </c>
      <c r="AH608">
        <v>1</v>
      </c>
      <c r="AI608">
        <v>0</v>
      </c>
      <c r="AJ608">
        <v>0</v>
      </c>
      <c r="AK608">
        <v>0</v>
      </c>
      <c r="AL608">
        <v>0</v>
      </c>
      <c r="AM608">
        <v>0</v>
      </c>
      <c r="AN608">
        <v>0</v>
      </c>
      <c r="AO608">
        <v>0</v>
      </c>
      <c r="AP608">
        <v>0</v>
      </c>
      <c r="AQ608">
        <v>0</v>
      </c>
      <c r="AR608">
        <v>0</v>
      </c>
      <c r="AS608">
        <v>0</v>
      </c>
      <c r="AT608">
        <v>0</v>
      </c>
      <c r="AU608">
        <v>0</v>
      </c>
      <c r="AV608">
        <v>0</v>
      </c>
      <c r="AW608">
        <v>0</v>
      </c>
      <c r="AX608">
        <v>0</v>
      </c>
      <c r="AY608">
        <v>0</v>
      </c>
      <c r="AZ608" s="141">
        <f>COUNTIF(X608:AY608,"&lt;&gt;0")</f>
        <v>1</v>
      </c>
      <c r="BA608" s="141">
        <f>COUNTIF(X608:AN608,"&lt;&gt;0")</f>
        <v>1</v>
      </c>
      <c r="BB608">
        <f>COUNTIF(X608:AE608,"&lt;&gt;0")</f>
        <v>0</v>
      </c>
      <c r="BC608">
        <f>COUNTIF(AF608:AK608,"&lt;&gt;0")</f>
        <v>1</v>
      </c>
      <c r="BD608">
        <f>COUNTIF(AL608:AN608,"&lt;&gt;0")</f>
        <v>0</v>
      </c>
      <c r="BE608">
        <f>COUNTIF(AU608:AY608,"&lt;&gt;0")</f>
        <v>0</v>
      </c>
      <c r="BF608">
        <f>COUNTIF(AO608:AT608,"&lt;&gt;0")</f>
        <v>0</v>
      </c>
      <c r="BG608" t="str">
        <f t="array" ref="BG608">IF(BA608=1,INDEX($X$7:$AN$7,MATCH(TRUE,INDEX($X608:$AY608&lt;&gt;0,),0)),IF(BA608=0,INDEX($AO$7:$AY$7,MATCH(1,$AO608:$AY608,0)),IF(BH608="Multiple strategies","mixed drivers",IF(BH608="Supply chain","multiple supply","multiple silviculture"))))</f>
        <v>supply chain organization</v>
      </c>
      <c r="BH608" s="2" t="str" cm="1">
        <f t="array" ref="BH608">IF(COUNTIF(BB608:BD608,"&lt;&gt;0")=1,INDEX($X$4:$AY$4,MATCH(TRUE,INDEX($X608:$AY608&lt;&gt;0,),0)),IF(COUNTIF(BB608:BD608,"&lt;&gt;0")=0,INDEX($AO$4:$AY$4,MATCH(1,$AO608:$AY608,0)),"Multiple strategies"))</f>
        <v>Supply chain</v>
      </c>
      <c r="BI608" s="1" t="s">
        <v>229</v>
      </c>
      <c r="BJ608" t="s">
        <v>1663</v>
      </c>
      <c r="BK608" s="260" t="s">
        <v>2821</v>
      </c>
      <c r="BL608" t="s">
        <v>1664</v>
      </c>
      <c r="BM608">
        <v>18260000</v>
      </c>
      <c r="BN608">
        <v>27430000</v>
      </c>
      <c r="BO608" t="s">
        <v>531</v>
      </c>
      <c r="BP608">
        <f>BN608-BM608</f>
        <v>9170000</v>
      </c>
      <c r="BQ608">
        <f>BP608</f>
        <v>9170000</v>
      </c>
      <c r="BR608" t="s">
        <v>395</v>
      </c>
      <c r="BS608" s="260" t="s">
        <v>2822</v>
      </c>
      <c r="BT608" s="260" t="s">
        <v>2823</v>
      </c>
      <c r="BU608">
        <v>122.86</v>
      </c>
      <c r="BV608">
        <v>194.34</v>
      </c>
      <c r="BW608" s="144"/>
      <c r="BX608" s="152">
        <f>BV608-BU608</f>
        <v>71.48</v>
      </c>
      <c r="BZ608" s="152">
        <f>BX608*10^3*C_to_CO2</f>
        <v>262331.59999999998</v>
      </c>
      <c r="CA608">
        <f>IFERROR(BZ608/BQ608,"")</f>
        <v>2.860758996728462E-2</v>
      </c>
      <c r="CB608">
        <v>0</v>
      </c>
      <c r="CC608">
        <v>0</v>
      </c>
      <c r="CD608">
        <v>0</v>
      </c>
      <c r="CE608">
        <v>0</v>
      </c>
      <c r="CF608">
        <v>0</v>
      </c>
      <c r="CG608">
        <v>0</v>
      </c>
      <c r="CH608">
        <v>0</v>
      </c>
      <c r="CI608">
        <v>0</v>
      </c>
      <c r="CJ608">
        <v>0</v>
      </c>
      <c r="CK608">
        <v>0</v>
      </c>
      <c r="CL608">
        <v>0</v>
      </c>
      <c r="CM608">
        <v>0</v>
      </c>
      <c r="CN608">
        <v>0</v>
      </c>
      <c r="CO608">
        <v>0</v>
      </c>
      <c r="CP608" t="str">
        <f>IF($BN608&lt;$BM608,"refNeedCorrection","refOK")</f>
        <v>refOK</v>
      </c>
      <c r="CQ608">
        <f>IF($CP608="refOK",$BM608,$BN608)</f>
        <v>18260000</v>
      </c>
      <c r="CR608">
        <f>IF($CP608="refOK",$BN608,$BM608)</f>
        <v>27430000</v>
      </c>
      <c r="CS608">
        <f>IF($CP608="refOK",$BQ608,-$BQ608)</f>
        <v>9170000</v>
      </c>
      <c r="CT608">
        <f>IF(BI608="Roundwood",$CS608/2,$CS608)</f>
        <v>9170000</v>
      </c>
      <c r="CU608">
        <f>IF($CP608="refOK",$BV608,$BU608)*IF($BR608="Emissions positive",-1,1)</f>
        <v>-194.34</v>
      </c>
      <c r="CV608">
        <f>IF($CP608="refOK",$BU608,$BV608)*IF($BR608="Emissions positive",-1,1)</f>
        <v>-122.86</v>
      </c>
      <c r="CW608">
        <f>IF($CP608="refNeedCorrection",-BZ608,BZ608)*IF($BR608="Emissions positive",-1,1)</f>
        <v>-262331.59999999998</v>
      </c>
      <c r="CX608">
        <f>IFERROR($CW608/$CS608,"")</f>
        <v>-2.860758996728462E-2</v>
      </c>
      <c r="CY608">
        <f>IFERROR($CW608/$CS608,"")</f>
        <v>-2.860758996728462E-2</v>
      </c>
      <c r="CZ608">
        <f>IFERROR($CW608/$CT608,"")</f>
        <v>-2.860758996728462E-2</v>
      </c>
      <c r="DA608" s="2">
        <f>IFERROR((CV608-CU608)/ABS(CU608),"")</f>
        <v>0.3678089945456417</v>
      </c>
      <c r="DB608" s="1" t="s">
        <v>1074</v>
      </c>
      <c r="DC608" t="str">
        <f>IF(OR($DB608="prd",$DB608="std",$DB608="cit"),"loc",IF(OR($DB608="eur",$DB608="reg",$DB608="coy"),"reg",$DB608))</f>
        <v>reg</v>
      </c>
      <c r="DD608" t="s">
        <v>925</v>
      </c>
      <c r="DE608">
        <v>2050</v>
      </c>
      <c r="DF608">
        <v>2050</v>
      </c>
      <c r="DG608">
        <v>1</v>
      </c>
      <c r="DH608" t="str">
        <f>IF(DG608=0,"0",IF(AND(DG608&gt;=1,DG608&lt;=30),"1-30",IF(AND(DG608&gt;30,DG608&lt;=70),"31-70",IF(AND(DG608&gt;70,DG608&lt;=100),"71-100",IF(DG608&gt;100,"+100")))))</f>
        <v>1-30</v>
      </c>
      <c r="DI608">
        <v>0</v>
      </c>
      <c r="DJ608">
        <v>1</v>
      </c>
      <c r="DK608">
        <v>1</v>
      </c>
      <c r="DL608">
        <v>1</v>
      </c>
      <c r="DM608">
        <v>0</v>
      </c>
      <c r="DN608">
        <f>SUM(DI608:DM608)</f>
        <v>3</v>
      </c>
      <c r="DO608" t="str">
        <f>IF(DN608=1,INDEX($DI$7:$DL$7,MATCH(1,$DI608:$DL608,0)),"mixedProduct")</f>
        <v>mixedProduct</v>
      </c>
      <c r="DP608">
        <f>IF(DI608=1,DP$7,0)</f>
        <v>0</v>
      </c>
      <c r="DQ608" t="str">
        <f>IF(DJ608=1,DQ$7,0)</f>
        <v>Energy</v>
      </c>
      <c r="DR608" t="str">
        <f>IF(DK608=1,DR$7,0)</f>
        <v>Pulp/Paper</v>
      </c>
      <c r="DS608" t="str">
        <f>IF(DL608=1,DS$7,0)</f>
        <v>Timber</v>
      </c>
      <c r="DT608">
        <v>0</v>
      </c>
      <c r="DU608">
        <v>0</v>
      </c>
      <c r="DV608">
        <v>0</v>
      </c>
      <c r="DW608">
        <v>0</v>
      </c>
      <c r="DX608">
        <v>0</v>
      </c>
      <c r="DY608">
        <f>SUM(DT608:DU608)</f>
        <v>0</v>
      </c>
      <c r="DZ608" s="143" t="s">
        <v>926</v>
      </c>
      <c r="EA608">
        <v>0</v>
      </c>
      <c r="EB608">
        <v>0</v>
      </c>
      <c r="EC608">
        <v>0</v>
      </c>
      <c r="ED608">
        <v>0</v>
      </c>
      <c r="EE608">
        <v>0</v>
      </c>
      <c r="EF608" s="143">
        <v>0</v>
      </c>
      <c r="EG608">
        <v>0</v>
      </c>
      <c r="EH608">
        <v>1</v>
      </c>
      <c r="EI608">
        <v>0</v>
      </c>
      <c r="EJ608">
        <v>0</v>
      </c>
      <c r="EK608">
        <v>0</v>
      </c>
      <c r="EL608">
        <v>0</v>
      </c>
      <c r="EM608">
        <v>0</v>
      </c>
      <c r="EN608" s="2">
        <v>0</v>
      </c>
      <c r="EP608" t="str">
        <f>IF(AND(AND(AND(OR($EC608=1,$EB608=1),OR($EH608=1,$EF608=1)),SUM($EA608:$EE608,$EK608)&gt;=3),SUM($EF608:$EJ608)&gt;=2),"Whole sector approach","")</f>
        <v/>
      </c>
      <c r="EQ608" t="str">
        <f>IF(AND(AND(OR($EC608=1,$EB608=1),AND($EH608=0,$EF608=0)),SUM($EA608:$EE608,$EK608)&gt;=4),"Ecosystem approach","")</f>
        <v/>
      </c>
      <c r="ER608" s="2" t="str">
        <f>IF(AND(AND(AND($EC608=0,$EB608=0),OR($EH608=1,$EF608=1)),SUM($EG608:$EJ608)&gt;=2),"Technology approach","")</f>
        <v/>
      </c>
      <c r="ES608" t="str">
        <f>IF(AND($EC608+$EB608+$EE608+$EA608+$ED608+$EG608=0,$N608="included"),"C neutral forest and HWP assumption","")</f>
        <v>C neutral forest and HWP assumption</v>
      </c>
      <c r="ET608" t="str">
        <f>IF(AND(AND(AND(AND($EC608=1,$EB608+$EA608+$EG608&gt;=1),$EF608=1),$EH608+$EI608+$ED608+$EE608&gt;=2),$N608="included"),"All C pools assumption","")</f>
        <v/>
      </c>
      <c r="EU608" t="str">
        <f>IF(AND($ED608+$EE608+$EI608+$EH608+$EF608=0,$N608="included"),"In-situ only assumption","")</f>
        <v/>
      </c>
      <c r="EY608" t="str">
        <f>IF(ISNUMBER(BW608),IF(ABS(BW608-[2]QC_indicators!$B$2)&gt;3*[2]QC_indicators!$C$2,"C ratio",IF(ISNUMBER(CA608),IF(ABS(CA608-[2]QC_indicators!$B$1)&gt;3*[2]QC_indicators!$C$1,"DF","no"))),IF(ISNUMBER(CA608),IF(ABS(CA608-[2]QC_indicators!$B$1)&gt;3*[2]QC_indicators!$C$1,"DF","no")))</f>
        <v>no</v>
      </c>
      <c r="FA608" t="str">
        <f>IF(LEN($CY608)=0,"",IF(AND($CY608&lt;(-0.05),$ES608="C neutral forest and HWP assumption"),"Cneutral paradox",IF(AND($CY608&gt;0.05,$EU608="In-situ only assumption"),"In-situ only paradox","")))</f>
        <v/>
      </c>
      <c r="FD608" s="260" t="s">
        <v>2824</v>
      </c>
    </row>
    <row r="609" spans="1:161" ht="15" hidden="1" customHeight="1">
      <c r="A609" s="1" t="s">
        <v>1654</v>
      </c>
      <c r="B609" t="s">
        <v>1655</v>
      </c>
      <c r="C609" t="s">
        <v>1656</v>
      </c>
      <c r="D609" t="s">
        <v>1657</v>
      </c>
      <c r="E609" t="s">
        <v>1658</v>
      </c>
      <c r="F609" t="s">
        <v>1659</v>
      </c>
      <c r="G609" t="s">
        <v>1660</v>
      </c>
      <c r="H609" t="s">
        <v>254</v>
      </c>
      <c r="I609">
        <v>2014</v>
      </c>
      <c r="J609">
        <v>15</v>
      </c>
      <c r="K609" t="s">
        <v>1661</v>
      </c>
      <c r="M609" t="str">
        <f>LEFT($D609,FIND(",",$D609)-1)&amp;"_"&amp;I609&amp;L609</f>
        <v>Kayo_2014</v>
      </c>
      <c r="N609" t="s">
        <v>222</v>
      </c>
      <c r="O609" s="171" t="s">
        <v>508</v>
      </c>
      <c r="P609" t="s">
        <v>924</v>
      </c>
      <c r="Q609" t="s">
        <v>389</v>
      </c>
      <c r="R609" s="258" t="s">
        <v>223</v>
      </c>
      <c r="S609" s="1" t="s">
        <v>1662</v>
      </c>
      <c r="T609" t="s">
        <v>1003</v>
      </c>
      <c r="U609" s="260" t="s">
        <v>2820</v>
      </c>
      <c r="V609">
        <v>0</v>
      </c>
      <c r="W609">
        <v>0</v>
      </c>
      <c r="X609">
        <v>0</v>
      </c>
      <c r="Y609">
        <v>0</v>
      </c>
      <c r="Z609">
        <v>0</v>
      </c>
      <c r="AA609">
        <v>0</v>
      </c>
      <c r="AB609">
        <v>0</v>
      </c>
      <c r="AC609">
        <v>0</v>
      </c>
      <c r="AD609">
        <v>0</v>
      </c>
      <c r="AE609">
        <v>0</v>
      </c>
      <c r="AF609">
        <v>0</v>
      </c>
      <c r="AG609">
        <v>0</v>
      </c>
      <c r="AH609">
        <v>1</v>
      </c>
      <c r="AI609">
        <v>0</v>
      </c>
      <c r="AJ609">
        <v>0</v>
      </c>
      <c r="AK609">
        <v>0</v>
      </c>
      <c r="AL609">
        <v>0</v>
      </c>
      <c r="AM609">
        <v>0</v>
      </c>
      <c r="AN609">
        <v>0</v>
      </c>
      <c r="AO609">
        <v>0</v>
      </c>
      <c r="AP609">
        <v>0</v>
      </c>
      <c r="AQ609">
        <v>0</v>
      </c>
      <c r="AR609">
        <v>0</v>
      </c>
      <c r="AS609">
        <v>0</v>
      </c>
      <c r="AT609">
        <v>0</v>
      </c>
      <c r="AU609">
        <v>0</v>
      </c>
      <c r="AV609">
        <v>0</v>
      </c>
      <c r="AW609">
        <v>0</v>
      </c>
      <c r="AX609">
        <v>0</v>
      </c>
      <c r="AY609">
        <v>0</v>
      </c>
      <c r="AZ609" s="141">
        <f>COUNTIF(X609:AY609,"&lt;&gt;0")</f>
        <v>1</v>
      </c>
      <c r="BA609" s="141">
        <f>COUNTIF(X609:AN609,"&lt;&gt;0")</f>
        <v>1</v>
      </c>
      <c r="BB609">
        <f>COUNTIF(X609:AE609,"&lt;&gt;0")</f>
        <v>0</v>
      </c>
      <c r="BC609">
        <f>COUNTIF(AF609:AK609,"&lt;&gt;0")</f>
        <v>1</v>
      </c>
      <c r="BD609">
        <f>COUNTIF(AL609:AN609,"&lt;&gt;0")</f>
        <v>0</v>
      </c>
      <c r="BE609">
        <f>COUNTIF(AU609:AY609,"&lt;&gt;0")</f>
        <v>0</v>
      </c>
      <c r="BF609">
        <f>COUNTIF(AO609:AT609,"&lt;&gt;0")</f>
        <v>0</v>
      </c>
      <c r="BG609" t="str">
        <f t="array" ref="BG609">IF(BA609=1,INDEX($X$7:$AN$7,MATCH(TRUE,INDEX($X609:$AY609&lt;&gt;0,),0)),IF(BA609=0,INDEX($AO$7:$AY$7,MATCH(1,$AO609:$AY609,0)),IF(BH609="Multiple strategies","mixed drivers",IF(BH609="Supply chain","multiple supply","multiple silviculture"))))</f>
        <v>supply chain organization</v>
      </c>
      <c r="BH609" s="2" t="str" cm="1">
        <f t="array" ref="BH609">IF(COUNTIF(BB609:BD609,"&lt;&gt;0")=1,INDEX($X$4:$AY$4,MATCH(TRUE,INDEX($X609:$AY609&lt;&gt;0,),0)),IF(COUNTIF(BB609:BD609,"&lt;&gt;0")=0,INDEX($AO$4:$AY$4,MATCH(1,$AO609:$AY609,0)),"Multiple strategies"))</f>
        <v>Supply chain</v>
      </c>
      <c r="BI609" s="1" t="s">
        <v>229</v>
      </c>
      <c r="BJ609" t="s">
        <v>1663</v>
      </c>
      <c r="BK609" s="260" t="s">
        <v>2821</v>
      </c>
      <c r="BL609" t="s">
        <v>1664</v>
      </c>
      <c r="BM609">
        <v>7939999.9999999991</v>
      </c>
      <c r="BN609">
        <v>13270000</v>
      </c>
      <c r="BO609" t="s">
        <v>531</v>
      </c>
      <c r="BP609">
        <f>BN609-BM609</f>
        <v>5330000.0000000009</v>
      </c>
      <c r="BQ609">
        <f>BP609</f>
        <v>5330000.0000000009</v>
      </c>
      <c r="BR609" t="s">
        <v>395</v>
      </c>
      <c r="BS609" s="260" t="s">
        <v>2822</v>
      </c>
      <c r="BT609" s="260" t="s">
        <v>2823</v>
      </c>
      <c r="BU609">
        <v>48.57</v>
      </c>
      <c r="BV609">
        <v>80.19</v>
      </c>
      <c r="BW609" s="144"/>
      <c r="BX609" s="152">
        <f>BV609-BU609</f>
        <v>31.619999999999997</v>
      </c>
      <c r="BZ609" s="152">
        <f>BX609*10^3*C_to_CO2</f>
        <v>116045.39999999998</v>
      </c>
      <c r="CA609">
        <f>IFERROR(BZ609/BQ609,"")</f>
        <v>2.1772120075046898E-2</v>
      </c>
      <c r="CB609">
        <v>0</v>
      </c>
      <c r="CC609">
        <v>0</v>
      </c>
      <c r="CD609">
        <v>0</v>
      </c>
      <c r="CE609">
        <v>0</v>
      </c>
      <c r="CF609">
        <v>0</v>
      </c>
      <c r="CG609">
        <v>0</v>
      </c>
      <c r="CH609">
        <v>0</v>
      </c>
      <c r="CI609">
        <v>0</v>
      </c>
      <c r="CJ609">
        <v>0</v>
      </c>
      <c r="CK609">
        <v>0</v>
      </c>
      <c r="CL609">
        <v>0</v>
      </c>
      <c r="CM609">
        <v>0</v>
      </c>
      <c r="CN609">
        <v>0</v>
      </c>
      <c r="CO609">
        <v>0</v>
      </c>
      <c r="CP609" t="str">
        <f>IF($BN609&lt;$BM609,"refNeedCorrection","refOK")</f>
        <v>refOK</v>
      </c>
      <c r="CQ609">
        <f>IF($CP609="refOK",$BM609,$BN609)</f>
        <v>7939999.9999999991</v>
      </c>
      <c r="CR609">
        <f>IF($CP609="refOK",$BN609,$BM609)</f>
        <v>13270000</v>
      </c>
      <c r="CS609">
        <f>IF($CP609="refOK",$BQ609,-$BQ609)</f>
        <v>5330000.0000000009</v>
      </c>
      <c r="CT609">
        <f>IF(BI609="Roundwood",$CS609/2,$CS609)</f>
        <v>5330000.0000000009</v>
      </c>
      <c r="CU609">
        <f>IF($CP609="refOK",$BU609,$BV609)*IF($BR609="Emissions positive",-1,1)</f>
        <v>-48.57</v>
      </c>
      <c r="CV609">
        <f>IF($CP609="refOK",$BV609,$BU609)*IF($BR609="Emissions positive",-1,1)</f>
        <v>-80.19</v>
      </c>
      <c r="CW609">
        <f>IF($CP609="refNeedCorrection",-BZ609,BZ609)*IF($BR609="Emissions positive",-1,1)</f>
        <v>-116045.39999999998</v>
      </c>
      <c r="CX609">
        <f>IFERROR($CW609/$CS609,"")</f>
        <v>-2.1772120075046898E-2</v>
      </c>
      <c r="CY609">
        <f>IFERROR($CW609/$CS609,"")</f>
        <v>-2.1772120075046898E-2</v>
      </c>
      <c r="CZ609">
        <f>IFERROR($CW609/$CT609,"")</f>
        <v>-2.1772120075046898E-2</v>
      </c>
      <c r="DA609" s="2">
        <f>IFERROR((CV609-CU609)/ABS(CU609),"")</f>
        <v>-0.65101914762198887</v>
      </c>
      <c r="DB609" s="1" t="s">
        <v>1074</v>
      </c>
      <c r="DC609" t="str">
        <f>IF(OR($DB609="prd",$DB609="std",$DB609="cit"),"loc",IF(OR($DB609="eur",$DB609="reg",$DB609="coy"),"reg",$DB609))</f>
        <v>reg</v>
      </c>
      <c r="DD609" t="s">
        <v>925</v>
      </c>
      <c r="DE609">
        <v>2050</v>
      </c>
      <c r="DF609">
        <v>2050</v>
      </c>
      <c r="DG609">
        <v>1</v>
      </c>
      <c r="DH609" t="str">
        <f>IF(DG609=0,"0",IF(AND(DG609&gt;=1,DG609&lt;=30),"1-30",IF(AND(DG609&gt;30,DG609&lt;=70),"31-70",IF(AND(DG609&gt;70,DG609&lt;=100),"71-100",IF(DG609&gt;100,"+100")))))</f>
        <v>1-30</v>
      </c>
      <c r="DI609">
        <v>0</v>
      </c>
      <c r="DJ609">
        <v>0</v>
      </c>
      <c r="DK609">
        <v>0</v>
      </c>
      <c r="DL609">
        <v>1</v>
      </c>
      <c r="DM609">
        <v>0</v>
      </c>
      <c r="DN609">
        <v>1</v>
      </c>
      <c r="DO609" t="str">
        <f>IF(DN609=1,INDEX($DI$7:$DL$7,MATCH(1,$DI609:$DL609,0)),"mixedProduct")</f>
        <v>TimberInput</v>
      </c>
      <c r="DP609">
        <f>IF(DI609=1,DP$7,0)</f>
        <v>0</v>
      </c>
      <c r="DQ609">
        <f>IF(DJ609=1,DQ$7,0)</f>
        <v>0</v>
      </c>
      <c r="DR609">
        <f>IF(DK609=1,DR$7,0)</f>
        <v>0</v>
      </c>
      <c r="DS609" t="str">
        <f>IF(DL609=1,DS$7,0)</f>
        <v>Timber</v>
      </c>
      <c r="DT609">
        <v>0</v>
      </c>
      <c r="DU609">
        <v>0</v>
      </c>
      <c r="DV609">
        <v>0</v>
      </c>
      <c r="DW609">
        <v>0</v>
      </c>
      <c r="DX609">
        <v>0</v>
      </c>
      <c r="DY609">
        <f>SUM(DT609:DU609)</f>
        <v>0</v>
      </c>
      <c r="DZ609" s="143" t="s">
        <v>926</v>
      </c>
      <c r="EA609">
        <v>0</v>
      </c>
      <c r="EB609">
        <v>0</v>
      </c>
      <c r="EC609">
        <v>0</v>
      </c>
      <c r="ED609">
        <v>0</v>
      </c>
      <c r="EE609">
        <v>0</v>
      </c>
      <c r="EF609" s="143">
        <v>0</v>
      </c>
      <c r="EG609">
        <v>0</v>
      </c>
      <c r="EH609">
        <v>1</v>
      </c>
      <c r="EI609">
        <v>0</v>
      </c>
      <c r="EJ609">
        <v>0</v>
      </c>
      <c r="EK609">
        <v>0</v>
      </c>
      <c r="EL609">
        <v>0</v>
      </c>
      <c r="EM609">
        <v>0</v>
      </c>
      <c r="EN609" s="2">
        <v>0</v>
      </c>
      <c r="EP609" t="str">
        <f>IF(AND(AND(AND(OR($EC609=1,$EB609=1),OR($EH609=1,$EF609=1)),SUM($EA609:$EE609,$EK609)&gt;=3),SUM($EF609:$EJ609)&gt;=2),"Whole sector approach","")</f>
        <v/>
      </c>
      <c r="EQ609" t="str">
        <f>IF(AND(AND(OR($EC609=1,$EB609=1),AND($EH609=0,$EF609=0)),SUM($EA609:$EE609,$EK609)&gt;=4),"Ecosystem approach","")</f>
        <v/>
      </c>
      <c r="ER609" s="2" t="str">
        <f>IF(AND(AND(AND($EC609=0,$EB609=0),OR($EH609=1,$EF609=1)),SUM($EG609:$EJ609)&gt;=2),"Technology approach","")</f>
        <v/>
      </c>
      <c r="ES609" t="str">
        <f>IF(AND($EC609+$EB609+$EE609+$EA609+$ED609+$EG609=0,$N609="included"),"C neutral forest and HWP assumption","")</f>
        <v>C neutral forest and HWP assumption</v>
      </c>
      <c r="ET609" t="str">
        <f>IF(AND(AND(AND(AND($EC609=1,$EB609+$EA609+$EG609&gt;=1),$EF609=1),$EH609+$EI609+$ED609+$EE609&gt;=2),$N609="included"),"All C pools assumption","")</f>
        <v/>
      </c>
      <c r="EU609" t="str">
        <f>IF(AND($ED609+$EE609+$EI609+$EH609+$EF609=0,$N609="included"),"In-situ only assumption","")</f>
        <v/>
      </c>
      <c r="EY609" t="str">
        <f>IF(ISNUMBER(BW609),IF(ABS(BW609-[2]QC_indicators!$B$2)&gt;3*[2]QC_indicators!$C$2,"C ratio",IF(ISNUMBER(CA609),IF(ABS(CA609-[2]QC_indicators!$B$1)&gt;3*[2]QC_indicators!$C$1,"DF","no"))),IF(ISNUMBER(CA609),IF(ABS(CA609-[2]QC_indicators!$B$1)&gt;3*[2]QC_indicators!$C$1,"DF","no")))</f>
        <v>no</v>
      </c>
      <c r="FA609" t="str">
        <f>IF(LEN($CY609)=0,"",IF(AND($CY609&lt;(-0.05),$ES609="C neutral forest and HWP assumption"),"Cneutral paradox",IF(AND($CY609&gt;0.05,$EU609="In-situ only assumption"),"In-situ only paradox","")))</f>
        <v/>
      </c>
      <c r="FD609" s="260" t="s">
        <v>2824</v>
      </c>
    </row>
    <row r="610" spans="1:161" ht="15" hidden="1" customHeight="1">
      <c r="A610" s="1" t="s">
        <v>574</v>
      </c>
      <c r="B610" t="s">
        <v>1320</v>
      </c>
      <c r="C610" t="s">
        <v>1321</v>
      </c>
      <c r="D610" t="s">
        <v>1322</v>
      </c>
      <c r="E610" t="s">
        <v>1323</v>
      </c>
      <c r="F610" t="s">
        <v>1324</v>
      </c>
      <c r="G610" t="s">
        <v>580</v>
      </c>
      <c r="H610" t="s">
        <v>254</v>
      </c>
      <c r="I610">
        <v>2020</v>
      </c>
      <c r="J610">
        <v>12</v>
      </c>
      <c r="K610" t="s">
        <v>1325</v>
      </c>
      <c r="M610" t="str">
        <f>LEFT($D610,FIND(",",$D610)-1)&amp;"_"&amp;I610&amp;L610</f>
        <v>Elisa_2020</v>
      </c>
      <c r="N610" s="317" t="s">
        <v>222</v>
      </c>
      <c r="O610" s="171" t="s">
        <v>274</v>
      </c>
      <c r="P610" t="s">
        <v>223</v>
      </c>
      <c r="Q610" s="317" t="s">
        <v>389</v>
      </c>
      <c r="R610" s="318" t="s">
        <v>1029</v>
      </c>
      <c r="S610" s="154" t="s">
        <v>1326</v>
      </c>
      <c r="T610" s="319" t="s">
        <v>1327</v>
      </c>
      <c r="U610" s="143" t="s">
        <v>1328</v>
      </c>
      <c r="V610" s="253">
        <v>0</v>
      </c>
      <c r="W610" s="253">
        <v>0</v>
      </c>
      <c r="X610">
        <v>0</v>
      </c>
      <c r="Y610">
        <v>0</v>
      </c>
      <c r="Z610">
        <v>0</v>
      </c>
      <c r="AA610">
        <v>0</v>
      </c>
      <c r="AB610">
        <v>0</v>
      </c>
      <c r="AC610">
        <v>0</v>
      </c>
      <c r="AD610">
        <v>0</v>
      </c>
      <c r="AE610">
        <v>0</v>
      </c>
      <c r="AF610">
        <v>0</v>
      </c>
      <c r="AG610">
        <v>1</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s="141">
        <f>COUNTIF(X610:AY610,"&lt;&gt;0")</f>
        <v>1</v>
      </c>
      <c r="BA610" s="141">
        <f>COUNTIF(X610:AN610,"&lt;&gt;0")</f>
        <v>1</v>
      </c>
      <c r="BB610">
        <f>COUNTIF(X610:AE610,"&lt;&gt;0")</f>
        <v>0</v>
      </c>
      <c r="BC610">
        <f>COUNTIF(AF610:AK610,"&lt;&gt;0")</f>
        <v>1</v>
      </c>
      <c r="BD610">
        <f>COUNTIF(AL610:AN610,"&lt;&gt;0")</f>
        <v>0</v>
      </c>
      <c r="BE610">
        <f>COUNTIF(AU610:AY610,"&lt;&gt;0")</f>
        <v>0</v>
      </c>
      <c r="BF610">
        <f>COUNTIF(AO610:AT610,"&lt;&gt;0")</f>
        <v>0</v>
      </c>
      <c r="BG610" t="str" cm="1">
        <f t="array" ref="BG610">IF(BA610=1,INDEX($X$7:$AN$7,MATCH(TRUE,INDEX($X610:$AY610&lt;&gt;0,),0)),IF(BA610=0,INDEX($AO$7:$AY$7,MATCH(1,$AO610:$AY610,0)),IF(BH610="Multiple strategies","mixed drivers",IF(BH610="Supply chain","multiple supply","multiple silviculture"))))</f>
        <v>location of industry</v>
      </c>
      <c r="BH610" s="2" t="str" cm="1">
        <f t="array" ref="BH610">IF(COUNTIF(BB610:BD610,"&lt;&gt;0")=1,INDEX($X$4:$AY$4,MATCH(TRUE,INDEX($X610:$AY610&lt;&gt;0,),0)),IF(COUNTIF(BB610:BD610,"&lt;&gt;0")=0,INDEX($AO$4:$AY$4,MATCH(1,$AO610:$AY610,0)),"Multiple strategies"))</f>
        <v>Supply chain</v>
      </c>
      <c r="BI610" s="142" t="s">
        <v>321</v>
      </c>
      <c r="BJ610" s="160" t="s">
        <v>1329</v>
      </c>
      <c r="BK610" s="160" t="s">
        <v>1330</v>
      </c>
      <c r="BL610" s="143" t="s">
        <v>498</v>
      </c>
      <c r="BM610" s="143">
        <v>944</v>
      </c>
      <c r="BN610" s="143">
        <v>1600</v>
      </c>
      <c r="BO610">
        <f>IFERROR(BN612/BM610,"")</f>
        <v>12.471398305084746</v>
      </c>
      <c r="BP610">
        <f>BN610-BM610</f>
        <v>656</v>
      </c>
      <c r="BQ610" s="159">
        <f>BP610</f>
        <v>656</v>
      </c>
      <c r="BR610" s="155" t="s">
        <v>232</v>
      </c>
      <c r="BS610" s="155" t="s">
        <v>1331</v>
      </c>
      <c r="BT610" s="155" t="s">
        <v>805</v>
      </c>
      <c r="BU610" s="143" t="s">
        <v>1335</v>
      </c>
      <c r="BV610" t="s">
        <v>1336</v>
      </c>
      <c r="BW610" s="144">
        <f>BV610/BU610</f>
        <v>2.9552486135213476</v>
      </c>
      <c r="BX610">
        <f>BV610-BU610</f>
        <v>-13.5120241666667</v>
      </c>
      <c r="BZ610">
        <f>BX610</f>
        <v>-13.5120241666667</v>
      </c>
      <c r="CA610">
        <f>IFERROR(BZ610/BQ610,"")</f>
        <v>-2.05975978150407E-2</v>
      </c>
      <c r="CB610">
        <v>0</v>
      </c>
      <c r="CC610">
        <v>0</v>
      </c>
      <c r="CD610">
        <v>0</v>
      </c>
      <c r="CE610">
        <v>0</v>
      </c>
      <c r="CF610">
        <v>0</v>
      </c>
      <c r="CG610">
        <v>0</v>
      </c>
      <c r="CH610">
        <v>0</v>
      </c>
      <c r="CI610">
        <v>0</v>
      </c>
      <c r="CJ610">
        <v>0</v>
      </c>
      <c r="CK610">
        <v>0</v>
      </c>
      <c r="CL610">
        <v>0</v>
      </c>
      <c r="CM610">
        <v>0</v>
      </c>
      <c r="CN610">
        <v>0</v>
      </c>
      <c r="CO610">
        <v>0</v>
      </c>
      <c r="CP610" t="str">
        <f>IF($BN610&lt;$BM610,"refNeedCorrection","refOK")</f>
        <v>refOK</v>
      </c>
      <c r="CQ610">
        <f>IF($CP610="refOK",$BM610,$BN610)</f>
        <v>944</v>
      </c>
      <c r="CR610">
        <f>IF($CP610="refOK",$BN610,$BM610)</f>
        <v>1600</v>
      </c>
      <c r="CS610">
        <f>IF($CP610="refOK",$BQ610,-$BQ610)</f>
        <v>656</v>
      </c>
      <c r="CT610">
        <f>IF(BI610="Roundwood",$CS610/2,$CS610)</f>
        <v>328</v>
      </c>
      <c r="CU610">
        <f>IF($CP610="refOK",$BU610,$BV610)*IF($BR610="Emissions positive",-1,1)</f>
        <v>-6.9106424999999998</v>
      </c>
      <c r="CV610">
        <f>IF($CP610="refOK",$BV610,$BU610)*IF($BR610="Emissions positive",-1,1)</f>
        <v>-20.4226666666667</v>
      </c>
      <c r="CW610">
        <f>IF($CP610="refNeedCorrection",-BZ610,BZ610)*IF($BR610="Emissions positive",-1,1)</f>
        <v>-13.5120241666667</v>
      </c>
      <c r="CX610">
        <f>IFERROR($CW610/$CS610,"")</f>
        <v>-2.05975978150407E-2</v>
      </c>
      <c r="CY610">
        <f>IFERROR($CW610/$CS610,"")</f>
        <v>-2.05975978150407E-2</v>
      </c>
      <c r="CZ610">
        <f>IFERROR($CW610/$CT610,"")</f>
        <v>-4.1195195630081401E-2</v>
      </c>
      <c r="DA610" s="2">
        <f>IFERROR((CV610-CU610)/ABS(CU610),"")</f>
        <v>-1.9552486135213478</v>
      </c>
      <c r="DB610" s="320" t="s">
        <v>1334</v>
      </c>
      <c r="DC610" s="317" t="str">
        <f>IF(OR($DB610="prd",$DB610="std",$DB610="cit"),"loc",IF(OR($DB610="eur",$DB610="reg",$DB610="coy"),"reg",$DB610))</f>
        <v>reg</v>
      </c>
      <c r="DD610" s="321" t="s">
        <v>729</v>
      </c>
      <c r="DF610" s="143"/>
      <c r="DG610" s="143">
        <v>0</v>
      </c>
      <c r="DH610" t="str">
        <f>IF(DG610=0,"0",IF(AND(DG610&gt;=1,DG610&lt;=30),"1-30",IF(AND(DG610&gt;30,DG610&lt;=70),"31-70",IF(AND(DG610&gt;70,DG610&lt;=100),"71-100",IF(DG610&gt;100,"+100")))))</f>
        <v>0</v>
      </c>
      <c r="DI610">
        <v>0</v>
      </c>
      <c r="DJ610">
        <v>1</v>
      </c>
      <c r="DK610">
        <v>0</v>
      </c>
      <c r="DL610">
        <v>0</v>
      </c>
      <c r="DM610">
        <v>0</v>
      </c>
      <c r="DN610">
        <f>SUM(DI610:DM610)</f>
        <v>1</v>
      </c>
      <c r="DO610" t="str">
        <f>IF(DN610=1,INDEX($DI$7:$DL$7,MATCH(1,$DI610:$DL610,0)),"mixedProduct")</f>
        <v>EnergyInput</v>
      </c>
      <c r="DP610">
        <f>IF(DI610=1,DP$7,0)</f>
        <v>0</v>
      </c>
      <c r="DQ610" t="str">
        <f>IF(DJ610=1,DQ$7,0)</f>
        <v>Energy</v>
      </c>
      <c r="DR610">
        <f>IF(DK610=1,DR$7,0)</f>
        <v>0</v>
      </c>
      <c r="DS610">
        <f>IF(DL610=1,DS$7,0)</f>
        <v>0</v>
      </c>
      <c r="DT610">
        <v>0</v>
      </c>
      <c r="DU610" s="143">
        <v>0</v>
      </c>
      <c r="DV610" s="143">
        <v>0</v>
      </c>
      <c r="DW610">
        <v>0</v>
      </c>
      <c r="DX610" s="143">
        <v>0</v>
      </c>
      <c r="DY610">
        <f>SUM(DT610:DU610)</f>
        <v>0</v>
      </c>
      <c r="DZ610" s="143" t="str">
        <f>IF(DT610=1,"self-calculated DF",IF(DU610=1,"external DF used","explicit C balance"))</f>
        <v>explicit C balance</v>
      </c>
      <c r="EA610" s="143">
        <v>0</v>
      </c>
      <c r="EB610" s="143">
        <v>0</v>
      </c>
      <c r="EC610" s="143">
        <v>0</v>
      </c>
      <c r="ED610" s="143">
        <v>0</v>
      </c>
      <c r="EE610">
        <v>0</v>
      </c>
      <c r="EF610" s="143">
        <v>0</v>
      </c>
      <c r="EG610" s="143">
        <v>0</v>
      </c>
      <c r="EH610" s="143">
        <v>1</v>
      </c>
      <c r="EI610" s="143">
        <v>0</v>
      </c>
      <c r="EJ610">
        <v>1</v>
      </c>
      <c r="EK610">
        <v>0</v>
      </c>
      <c r="EL610" s="143">
        <v>0</v>
      </c>
      <c r="EM610" s="143">
        <v>0</v>
      </c>
      <c r="EN610" s="2">
        <v>0</v>
      </c>
      <c r="EP610" t="str">
        <f>IF(AND(AND(AND(OR($EC610=1,$EB610=1),OR($EH610=1,$EF610=1)),SUM($EA610:$EE610,$EK610)&gt;=3),SUM($EF610:$EJ610)&gt;=2),"Whole sector approach","")</f>
        <v/>
      </c>
      <c r="EQ610" t="str">
        <f>IF(AND(AND(OR($EC610=1,$EB610=1),AND($EH610=0,$EF610=0)),SUM($EA610:$EE610,$EK610)&gt;=3),"Ecosystem approach","")</f>
        <v/>
      </c>
      <c r="ER610" s="2" t="str">
        <f>IF(AND(AND(AND($EC610=0,$EB610=0),OR($EH610=1,$EF610=1)),SUM($EG610:$EJ610)&gt;=2),"Technology approach","")</f>
        <v>Technology approach</v>
      </c>
      <c r="ES610" t="str">
        <f>IF(AND($EC610+$EB610+$EE610+$EA610+$ED610+$EG610=0,$N610="included"),"C neutral forest and HWP assumption","")</f>
        <v>C neutral forest and HWP assumption</v>
      </c>
      <c r="ET610" t="str">
        <f>IF(AND(AND(AND(AND($EC610=1,$EB610+$EA610+$EG610&gt;=1),$EF610=1),$EH610+$EI610+$ED610+$EE610&gt;=2),$N610="included"),"All C pools assumption","")</f>
        <v/>
      </c>
      <c r="EU610" t="str">
        <f>IF(AND($ED610+$EE610+$EI610+$EH610+$EF610=0,$N610="included"),"In-situ only assumption","")</f>
        <v/>
      </c>
      <c r="EY610" t="str">
        <f>IF(ISNUMBER(BW610),IF(ABS(BW610-[4]QC_indicators!$B$2)&gt;3*[4]QC_indicators!$C$2,"C ratio",IF(ISNUMBER(CA610),IF(ABS(CA610-[4]QC_indicators!$B$1)&gt;3*[4]QC_indicators!$C$1,"DF","no"))),IF(ISNUMBER(CA610),IF(ABS(CA610-[4]QC_indicators!$B$1)&gt;3*[4]QC_indicators!$C$1,"DF","no")))</f>
        <v>no</v>
      </c>
      <c r="FA610" t="str">
        <f>IF(LEN($CY610)=0,"",IF(AND($CY610&lt;(-0.05),$ES610="C neutral forest and HWP assumption"),"Cneutral paradox",IF(AND($CY610&gt;0.05,$EU610="In-situ only assumption"),"In-situ only paradox","")))</f>
        <v/>
      </c>
      <c r="FB610" s="149"/>
    </row>
    <row r="611" spans="1:161" ht="15" hidden="1" customHeight="1">
      <c r="A611" s="1" t="s">
        <v>574</v>
      </c>
      <c r="B611" t="s">
        <v>1320</v>
      </c>
      <c r="C611" t="s">
        <v>1321</v>
      </c>
      <c r="D611" t="s">
        <v>1322</v>
      </c>
      <c r="E611" t="s">
        <v>1323</v>
      </c>
      <c r="F611" t="s">
        <v>1324</v>
      </c>
      <c r="G611" t="s">
        <v>580</v>
      </c>
      <c r="H611" t="s">
        <v>254</v>
      </c>
      <c r="I611">
        <v>2020</v>
      </c>
      <c r="J611">
        <v>12</v>
      </c>
      <c r="K611" t="s">
        <v>1325</v>
      </c>
      <c r="M611" t="str">
        <f>LEFT($D611,FIND(",",$D611)-1)&amp;"_"&amp;I611&amp;L611</f>
        <v>Elisa_2020</v>
      </c>
      <c r="N611" s="317" t="s">
        <v>222</v>
      </c>
      <c r="O611" s="171" t="s">
        <v>274</v>
      </c>
      <c r="P611" t="s">
        <v>223</v>
      </c>
      <c r="Q611" s="317" t="s">
        <v>389</v>
      </c>
      <c r="R611" s="318" t="s">
        <v>1029</v>
      </c>
      <c r="S611" s="154" t="s">
        <v>1326</v>
      </c>
      <c r="T611" s="319" t="s">
        <v>1327</v>
      </c>
      <c r="U611" s="143" t="s">
        <v>1337</v>
      </c>
      <c r="V611" s="253">
        <v>0</v>
      </c>
      <c r="W611" s="253">
        <v>0</v>
      </c>
      <c r="X611">
        <v>0</v>
      </c>
      <c r="Y611">
        <v>0</v>
      </c>
      <c r="Z611">
        <v>0</v>
      </c>
      <c r="AA611">
        <v>0</v>
      </c>
      <c r="AB611">
        <v>0</v>
      </c>
      <c r="AC611">
        <v>0</v>
      </c>
      <c r="AD611">
        <v>0</v>
      </c>
      <c r="AE611">
        <v>0</v>
      </c>
      <c r="AF611">
        <v>0</v>
      </c>
      <c r="AG611">
        <v>1</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s="141">
        <f>COUNTIF(X611:AY611,"&lt;&gt;0")</f>
        <v>1</v>
      </c>
      <c r="BA611" s="141">
        <f>COUNTIF(X611:AN611,"&lt;&gt;0")</f>
        <v>1</v>
      </c>
      <c r="BB611">
        <f>COUNTIF(X611:AE611,"&lt;&gt;0")</f>
        <v>0</v>
      </c>
      <c r="BC611">
        <f>COUNTIF(AF611:AK611,"&lt;&gt;0")</f>
        <v>1</v>
      </c>
      <c r="BD611">
        <f>COUNTIF(AL611:AN611,"&lt;&gt;0")</f>
        <v>0</v>
      </c>
      <c r="BE611">
        <f>COUNTIF(AU611:AY611,"&lt;&gt;0")</f>
        <v>0</v>
      </c>
      <c r="BF611">
        <f>COUNTIF(AO611:AT611,"&lt;&gt;0")</f>
        <v>0</v>
      </c>
      <c r="BG611" t="str" cm="1">
        <f t="array" ref="BG611">IF(BA611=1,INDEX($X$7:$AN$7,MATCH(TRUE,INDEX($X611:$AY611&lt;&gt;0,),0)),IF(BA611=0,INDEX($AO$7:$AY$7,MATCH(1,$AO611:$AY611,0)),IF(BH611="Multiple strategies","mixed drivers",IF(BH611="Supply chain","multiple supply","multiple silviculture"))))</f>
        <v>location of industry</v>
      </c>
      <c r="BH611" s="2" t="str" cm="1">
        <f t="array" ref="BH611">IF(COUNTIF(BB611:BD611,"&lt;&gt;0")=1,INDEX($X$4:$AY$4,MATCH(TRUE,INDEX($X611:$AY611&lt;&gt;0,),0)),IF(COUNTIF(BB611:BD611,"&lt;&gt;0")=0,INDEX($AO$4:$AY$4,MATCH(1,$AO611:$AY611,0)),"Multiple strategies"))</f>
        <v>Supply chain</v>
      </c>
      <c r="BI611" s="142" t="s">
        <v>321</v>
      </c>
      <c r="BJ611" s="160" t="s">
        <v>1329</v>
      </c>
      <c r="BK611" s="160" t="s">
        <v>1330</v>
      </c>
      <c r="BL611" s="143" t="s">
        <v>498</v>
      </c>
      <c r="BM611" s="143">
        <v>944</v>
      </c>
      <c r="BN611" s="143">
        <v>1525</v>
      </c>
      <c r="BO611">
        <f>IFERROR(BN613/BM611,"")</f>
        <v>1.9239406779661017E-2</v>
      </c>
      <c r="BP611">
        <f>BN611-BM611</f>
        <v>581</v>
      </c>
      <c r="BQ611" s="159">
        <f>BP611</f>
        <v>581</v>
      </c>
      <c r="BR611" s="155" t="s">
        <v>232</v>
      </c>
      <c r="BS611" s="155" t="s">
        <v>1331</v>
      </c>
      <c r="BT611" s="155" t="s">
        <v>805</v>
      </c>
      <c r="BU611" s="143" t="s">
        <v>1335</v>
      </c>
      <c r="BV611" t="s">
        <v>1339</v>
      </c>
      <c r="BW611" s="144">
        <f>BV611/BU611</f>
        <v>2.6740052671577788</v>
      </c>
      <c r="BX611">
        <f>BV611-BU611</f>
        <v>-11.5684519444444</v>
      </c>
      <c r="BZ611">
        <f>BX611</f>
        <v>-11.5684519444444</v>
      </c>
      <c r="CA611">
        <f>IFERROR(BZ611/BQ611,"")</f>
        <v>-1.9911277012813079E-2</v>
      </c>
      <c r="CB611">
        <v>0</v>
      </c>
      <c r="CC611">
        <v>0</v>
      </c>
      <c r="CD611">
        <v>0</v>
      </c>
      <c r="CE611">
        <v>0</v>
      </c>
      <c r="CF611">
        <v>0</v>
      </c>
      <c r="CG611">
        <v>0</v>
      </c>
      <c r="CH611">
        <v>0</v>
      </c>
      <c r="CI611">
        <v>0</v>
      </c>
      <c r="CJ611">
        <v>0</v>
      </c>
      <c r="CK611">
        <v>0</v>
      </c>
      <c r="CL611">
        <v>0</v>
      </c>
      <c r="CM611">
        <v>0</v>
      </c>
      <c r="CN611">
        <v>0</v>
      </c>
      <c r="CO611">
        <v>0</v>
      </c>
      <c r="CP611" t="str">
        <f>IF($BN611&lt;$BM611,"refNeedCorrection","refOK")</f>
        <v>refOK</v>
      </c>
      <c r="CQ611">
        <f>IF($CP611="refOK",$BM611,$BN611)</f>
        <v>944</v>
      </c>
      <c r="CR611">
        <f>IF($CP611="refOK",$BN611,$BM611)</f>
        <v>1525</v>
      </c>
      <c r="CS611">
        <f>IF($CP611="refOK",$BQ611,-$BQ611)</f>
        <v>581</v>
      </c>
      <c r="CT611">
        <f>IF(BI611="Roundwood",$CS611/2,$CS611)</f>
        <v>290.5</v>
      </c>
      <c r="CU611">
        <f>IF($CP611="refOK",$BU611,$BV611)*IF($BR611="Emissions positive",-1,1)</f>
        <v>-6.9106424999999998</v>
      </c>
      <c r="CV611">
        <f>IF($CP611="refOK",$BV611,$BU611)*IF($BR611="Emissions positive",-1,1)</f>
        <v>-18.479094444444399</v>
      </c>
      <c r="CW611">
        <f>IF($CP611="refNeedCorrection",-BZ611,BZ611)*IF($BR611="Emissions positive",-1,1)</f>
        <v>-11.5684519444444</v>
      </c>
      <c r="CX611">
        <f>IFERROR($CW611/$CS611,"")</f>
        <v>-1.9911277012813079E-2</v>
      </c>
      <c r="CY611">
        <f>IFERROR($CW611/$CS611,"")</f>
        <v>-1.9911277012813079E-2</v>
      </c>
      <c r="CZ611">
        <f>IFERROR($CW611/$CT611,"")</f>
        <v>-3.9822554025626157E-2</v>
      </c>
      <c r="DA611" s="2">
        <f>IFERROR((CV611-CU611)/ABS(CU611),"")</f>
        <v>-1.6740052671577788</v>
      </c>
      <c r="DB611" s="320" t="s">
        <v>1334</v>
      </c>
      <c r="DC611" s="317" t="str">
        <f>IF(OR($DB611="prd",$DB611="std",$DB611="cit"),"loc",IF(OR($DB611="eur",$DB611="reg",$DB611="coy"),"reg",$DB611))</f>
        <v>reg</v>
      </c>
      <c r="DD611" s="321" t="s">
        <v>729</v>
      </c>
      <c r="DF611" s="143"/>
      <c r="DG611" s="143">
        <v>0</v>
      </c>
      <c r="DH611" t="str">
        <f>IF(DG611=0,"0",IF(AND(DG611&gt;=1,DG611&lt;=30),"1-30",IF(AND(DG611&gt;30,DG611&lt;=70),"31-70",IF(AND(DG611&gt;70,DG611&lt;=100),"71-100",IF(DG611&gt;100,"+100")))))</f>
        <v>0</v>
      </c>
      <c r="DI611">
        <v>0</v>
      </c>
      <c r="DJ611">
        <v>1</v>
      </c>
      <c r="DK611">
        <v>0</v>
      </c>
      <c r="DL611">
        <v>0</v>
      </c>
      <c r="DM611">
        <v>0</v>
      </c>
      <c r="DN611">
        <f>SUM(DI611:DM611)</f>
        <v>1</v>
      </c>
      <c r="DO611" t="str">
        <f>IF(DN611=1,INDEX($DI$7:$DL$7,MATCH(1,$DI611:$DL611,0)),"mixedProduct")</f>
        <v>EnergyInput</v>
      </c>
      <c r="DP611">
        <f>IF(DI611=1,DP$7,0)</f>
        <v>0</v>
      </c>
      <c r="DQ611" t="str">
        <f>IF(DJ611=1,DQ$7,0)</f>
        <v>Energy</v>
      </c>
      <c r="DR611">
        <f>IF(DK611=1,DR$7,0)</f>
        <v>0</v>
      </c>
      <c r="DS611">
        <f>IF(DL611=1,DS$7,0)</f>
        <v>0</v>
      </c>
      <c r="DT611">
        <v>0</v>
      </c>
      <c r="DU611" s="143">
        <v>0</v>
      </c>
      <c r="DV611" s="143">
        <v>0</v>
      </c>
      <c r="DW611">
        <v>0</v>
      </c>
      <c r="DX611" s="143">
        <v>0</v>
      </c>
      <c r="DY611">
        <f>SUM(DT611:DU611)</f>
        <v>0</v>
      </c>
      <c r="DZ611" s="143" t="str">
        <f>IF(DT611=1,"self-calculated DF",IF(DU611=1,"external DF used","explicit C balance"))</f>
        <v>explicit C balance</v>
      </c>
      <c r="EA611" s="143">
        <v>0</v>
      </c>
      <c r="EB611" s="143">
        <v>0</v>
      </c>
      <c r="EC611" s="143">
        <v>0</v>
      </c>
      <c r="ED611" s="143">
        <v>0</v>
      </c>
      <c r="EE611">
        <v>0</v>
      </c>
      <c r="EF611" s="143">
        <v>0</v>
      </c>
      <c r="EG611" s="143">
        <v>0</v>
      </c>
      <c r="EH611" s="143">
        <v>1</v>
      </c>
      <c r="EI611" s="143">
        <v>0</v>
      </c>
      <c r="EJ611">
        <v>1</v>
      </c>
      <c r="EK611">
        <v>0</v>
      </c>
      <c r="EL611" s="143">
        <v>0</v>
      </c>
      <c r="EM611" s="143">
        <v>0</v>
      </c>
      <c r="EN611" s="2">
        <v>0</v>
      </c>
      <c r="EP611" t="str">
        <f>IF(AND(AND(AND(OR($EC611=1,$EB611=1),OR($EH611=1,$EF611=1)),SUM($EA611:$EE611,$EK611)&gt;=3),SUM($EF611:$EJ611)&gt;=2),"Whole sector approach","")</f>
        <v/>
      </c>
      <c r="EQ611" t="str">
        <f>IF(AND(AND(OR($EC611=1,$EB611=1),AND($EH611=0,$EF611=0)),SUM($EA611:$EE611,$EK611)&gt;=3),"Ecosystem approach","")</f>
        <v/>
      </c>
      <c r="ER611" s="2" t="str">
        <f>IF(AND(AND(AND($EC611=0,$EB611=0),OR($EH611=1,$EF611=1)),SUM($EG611:$EJ611)&gt;=2),"Technology approach","")</f>
        <v>Technology approach</v>
      </c>
      <c r="ES611" t="str">
        <f>IF(AND($EC611+$EB611+$EE611+$EA611+$ED611+$EG611=0,$N611="included"),"C neutral forest and HWP assumption","")</f>
        <v>C neutral forest and HWP assumption</v>
      </c>
      <c r="ET611" t="str">
        <f>IF(AND(AND(AND(AND($EC611=1,$EB611+$EA611+$EG611&gt;=1),$EF611=1),$EH611+$EI611+$ED611+$EE611&gt;=2),$N611="included"),"All C pools assumption","")</f>
        <v/>
      </c>
      <c r="EU611" t="str">
        <f>IF(AND($ED611+$EE611+$EI611+$EH611+$EF611=0,$N611="included"),"In-situ only assumption","")</f>
        <v/>
      </c>
      <c r="EY611" t="str">
        <f>IF(ISNUMBER(BW611),IF(ABS(BW611-[4]QC_indicators!$B$2)&gt;3*[4]QC_indicators!$C$2,"C ratio",IF(ISNUMBER(CA611),IF(ABS(CA611-[4]QC_indicators!$B$1)&gt;3*[4]QC_indicators!$C$1,"DF","no"))),IF(ISNUMBER(CA611),IF(ABS(CA611-[4]QC_indicators!$B$1)&gt;3*[4]QC_indicators!$C$1,"DF","no")))</f>
        <v>no</v>
      </c>
      <c r="FA611" t="str">
        <f>IF(LEN($CY611)=0,"",IF(AND($CY611&lt;(-0.05),$ES611="C neutral forest and HWP assumption"),"Cneutral paradox",IF(AND($CY611&gt;0.05,$EU611="In-situ only assumption"),"In-situ only paradox","")))</f>
        <v/>
      </c>
      <c r="FB611" s="149"/>
    </row>
    <row r="612" spans="1:161" ht="15" hidden="1" customHeight="1">
      <c r="A612" s="1" t="s">
        <v>574</v>
      </c>
      <c r="B612" t="s">
        <v>1320</v>
      </c>
      <c r="C612" t="s">
        <v>1321</v>
      </c>
      <c r="D612" t="s">
        <v>1322</v>
      </c>
      <c r="E612" t="s">
        <v>1323</v>
      </c>
      <c r="F612" t="s">
        <v>1324</v>
      </c>
      <c r="G612" t="s">
        <v>580</v>
      </c>
      <c r="H612" t="s">
        <v>254</v>
      </c>
      <c r="I612">
        <v>2020</v>
      </c>
      <c r="J612">
        <v>12</v>
      </c>
      <c r="K612" t="s">
        <v>1325</v>
      </c>
      <c r="M612" t="str">
        <f>LEFT($D612,FIND(",",$D612)-1)&amp;"_"&amp;I612&amp;L612</f>
        <v>Elisa_2020</v>
      </c>
      <c r="N612" s="317" t="s">
        <v>222</v>
      </c>
      <c r="O612" s="171" t="s">
        <v>274</v>
      </c>
      <c r="P612" t="s">
        <v>223</v>
      </c>
      <c r="Q612" s="317" t="s">
        <v>389</v>
      </c>
      <c r="R612" s="318" t="s">
        <v>1029</v>
      </c>
      <c r="S612" s="154" t="s">
        <v>1326</v>
      </c>
      <c r="T612" s="319" t="s">
        <v>1327</v>
      </c>
      <c r="U612" s="143" t="s">
        <v>1355</v>
      </c>
      <c r="V612" s="253">
        <v>0</v>
      </c>
      <c r="W612" s="253">
        <v>0</v>
      </c>
      <c r="X612">
        <v>0</v>
      </c>
      <c r="Y612">
        <v>0</v>
      </c>
      <c r="Z612">
        <v>0</v>
      </c>
      <c r="AA612">
        <v>0</v>
      </c>
      <c r="AB612">
        <v>0</v>
      </c>
      <c r="AC612">
        <v>0</v>
      </c>
      <c r="AD612">
        <v>0</v>
      </c>
      <c r="AE612">
        <v>0</v>
      </c>
      <c r="AF612">
        <v>0</v>
      </c>
      <c r="AG612">
        <v>1</v>
      </c>
      <c r="AH612">
        <v>0</v>
      </c>
      <c r="AI612">
        <v>0</v>
      </c>
      <c r="AJ612">
        <v>0</v>
      </c>
      <c r="AK612">
        <v>0</v>
      </c>
      <c r="AL612">
        <v>0</v>
      </c>
      <c r="AM612">
        <v>1</v>
      </c>
      <c r="AN612">
        <v>0</v>
      </c>
      <c r="AO612">
        <v>0</v>
      </c>
      <c r="AP612">
        <v>0</v>
      </c>
      <c r="AQ612">
        <v>0</v>
      </c>
      <c r="AR612">
        <v>0</v>
      </c>
      <c r="AS612">
        <v>0</v>
      </c>
      <c r="AT612">
        <v>0</v>
      </c>
      <c r="AU612">
        <v>0</v>
      </c>
      <c r="AV612">
        <v>0</v>
      </c>
      <c r="AW612">
        <v>0</v>
      </c>
      <c r="AX612">
        <v>0</v>
      </c>
      <c r="AY612">
        <v>0</v>
      </c>
      <c r="AZ612" s="141">
        <f>COUNTIF(X612:AY612,"&lt;&gt;0")</f>
        <v>2</v>
      </c>
      <c r="BA612" s="141">
        <f>COUNTIF(X612:AN612,"&lt;&gt;0")</f>
        <v>2</v>
      </c>
      <c r="BB612">
        <f>COUNTIF(X612:AE612,"&lt;&gt;0")</f>
        <v>0</v>
      </c>
      <c r="BC612">
        <f>COUNTIF(AF612:AK612,"&lt;&gt;0")</f>
        <v>1</v>
      </c>
      <c r="BD612">
        <f>COUNTIF(AL612:AN612,"&lt;&gt;0")</f>
        <v>1</v>
      </c>
      <c r="BE612">
        <f>COUNTIF(AU612:AY612,"&lt;&gt;0")</f>
        <v>0</v>
      </c>
      <c r="BF612">
        <f>COUNTIF(AO612:AT612,"&lt;&gt;0")</f>
        <v>0</v>
      </c>
      <c r="BG612" t="str" cm="1">
        <f t="array" ref="BG612">IF(BA612=1,INDEX($X$7:$AN$7,MATCH(TRUE,INDEX($X612:$AY612&lt;&gt;0,),0)),IF(BA612=0,INDEX($AO$7:$AY$7,MATCH(1,$AO612:$AY612,0)),IF(BH612="Multiple strategies","mixed drivers",IF(BH612="Supply chain","multiple supply","multiple silviculture"))))</f>
        <v>mixed drivers</v>
      </c>
      <c r="BH612" s="2" t="str" cm="1">
        <f t="array" ref="BH612">IF(COUNTIF(BB612:BD612,"&lt;&gt;0")=1,INDEX($X$4:$AY$4,MATCH(TRUE,INDEX($X612:$AY612&lt;&gt;0,),0)),IF(COUNTIF(BB612:BD612,"&lt;&gt;0")=0,INDEX($AO$4:$AY$4,MATCH(1,$AO612:$AY612,0)),"Multiple strategies"))</f>
        <v>Multiple strategies</v>
      </c>
      <c r="BI612" s="142" t="s">
        <v>321</v>
      </c>
      <c r="BJ612" s="160" t="s">
        <v>1329</v>
      </c>
      <c r="BK612" s="160" t="s">
        <v>1330</v>
      </c>
      <c r="BL612" s="143" t="s">
        <v>498</v>
      </c>
      <c r="BM612" s="143">
        <v>944</v>
      </c>
      <c r="BN612" s="143">
        <v>11773</v>
      </c>
      <c r="BO612">
        <f>IFERROR(BN614/BM612,"")</f>
        <v>21.1864406779661</v>
      </c>
      <c r="BP612">
        <f>BN612-BM612</f>
        <v>10829</v>
      </c>
      <c r="BQ612" s="159">
        <f>BP612</f>
        <v>10829</v>
      </c>
      <c r="BR612" s="155" t="s">
        <v>232</v>
      </c>
      <c r="BS612" s="155" t="s">
        <v>1331</v>
      </c>
      <c r="BT612" s="155" t="s">
        <v>805</v>
      </c>
      <c r="BU612" s="143" t="s">
        <v>1335</v>
      </c>
      <c r="BV612" t="s">
        <v>1357</v>
      </c>
      <c r="BW612" s="144">
        <f>BV612/BU612</f>
        <v>15.816594959634072</v>
      </c>
      <c r="BX612">
        <f>BV612-BU612</f>
        <v>-102.392190833333</v>
      </c>
      <c r="BZ612">
        <f>BX612</f>
        <v>-102.392190833333</v>
      </c>
      <c r="CA612">
        <f>IFERROR(BZ612/BQ612,"")</f>
        <v>-9.4553689937513161E-3</v>
      </c>
      <c r="CB612">
        <v>0</v>
      </c>
      <c r="CC612">
        <v>0</v>
      </c>
      <c r="CD612">
        <v>0</v>
      </c>
      <c r="CE612">
        <v>0</v>
      </c>
      <c r="CF612">
        <v>0</v>
      </c>
      <c r="CG612">
        <v>0</v>
      </c>
      <c r="CH612">
        <v>0</v>
      </c>
      <c r="CI612">
        <v>0</v>
      </c>
      <c r="CJ612">
        <v>0</v>
      </c>
      <c r="CK612">
        <v>0</v>
      </c>
      <c r="CL612">
        <v>0</v>
      </c>
      <c r="CM612">
        <v>0</v>
      </c>
      <c r="CN612">
        <v>0</v>
      </c>
      <c r="CO612">
        <v>0</v>
      </c>
      <c r="CP612" t="str">
        <f>IF($BN612&lt;$BM612,"refNeedCorrection","refOK")</f>
        <v>refOK</v>
      </c>
      <c r="CQ612">
        <f>IF($CP612="refOK",$BM612,$BN612)</f>
        <v>944</v>
      </c>
      <c r="CR612">
        <f>IF($CP612="refOK",$BN612,$BM612)</f>
        <v>11773</v>
      </c>
      <c r="CS612">
        <f>IF($CP612="refOK",$BQ612,-$BQ612)</f>
        <v>10829</v>
      </c>
      <c r="CT612">
        <f>IF(BI612="Roundwood",$CS612/2,$CS612)</f>
        <v>5414.5</v>
      </c>
      <c r="CU612">
        <f>IF($CP612="refOK",$BU612,$BV612)*IF($BR612="Emissions positive",-1,1)</f>
        <v>-6.9106424999999998</v>
      </c>
      <c r="CV612">
        <f>IF($CP612="refOK",$BV612,$BU612)*IF($BR612="Emissions positive",-1,1)</f>
        <v>-109.302833333333</v>
      </c>
      <c r="CW612">
        <f>IF($CP612="refNeedCorrection",-BZ612,BZ612)*IF($BR612="Emissions positive",-1,1)</f>
        <v>-102.392190833333</v>
      </c>
      <c r="CX612">
        <f>IFERROR($CW612/$CS612,"")</f>
        <v>-9.4553689937513161E-3</v>
      </c>
      <c r="CY612">
        <f>IFERROR($CW612/$CS612,"")</f>
        <v>-9.4553689937513161E-3</v>
      </c>
      <c r="CZ612">
        <f>IFERROR($CW612/$CT612,"")</f>
        <v>-1.8910737987502632E-2</v>
      </c>
      <c r="DA612" s="2">
        <f>IFERROR((CV612-CU612)/ABS(CU612),"")</f>
        <v>-14.816594959634072</v>
      </c>
      <c r="DB612" s="320" t="s">
        <v>1334</v>
      </c>
      <c r="DC612" s="317" t="str">
        <f>IF(OR($DB612="prd",$DB612="std",$DB612="cit"),"loc",IF(OR($DB612="eur",$DB612="reg",$DB612="coy"),"reg",$DB612))</f>
        <v>reg</v>
      </c>
      <c r="DD612" s="321" t="s">
        <v>729</v>
      </c>
      <c r="DF612" s="143"/>
      <c r="DG612" s="143">
        <v>0</v>
      </c>
      <c r="DH612" t="str">
        <f>IF(DG612=0,"0",IF(AND(DG612&gt;=1,DG612&lt;=30),"1-30",IF(AND(DG612&gt;30,DG612&lt;=70),"31-70",IF(AND(DG612&gt;70,DG612&lt;=100),"71-100",IF(DG612&gt;100,"+100")))))</f>
        <v>0</v>
      </c>
      <c r="DI612">
        <v>0</v>
      </c>
      <c r="DJ612">
        <v>1</v>
      </c>
      <c r="DK612">
        <v>0</v>
      </c>
      <c r="DL612">
        <v>0</v>
      </c>
      <c r="DM612">
        <v>0</v>
      </c>
      <c r="DN612">
        <f>SUM(DI612:DM612)</f>
        <v>1</v>
      </c>
      <c r="DO612" t="str">
        <f>IF(DN612=1,INDEX($DI$7:$DL$7,MATCH(1,$DI612:$DL612,0)),"mixedProduct")</f>
        <v>EnergyInput</v>
      </c>
      <c r="DP612">
        <f>IF(DI612=1,DP$7,0)</f>
        <v>0</v>
      </c>
      <c r="DQ612" t="str">
        <f>IF(DJ612=1,DQ$7,0)</f>
        <v>Energy</v>
      </c>
      <c r="DR612">
        <f>IF(DK612=1,DR$7,0)</f>
        <v>0</v>
      </c>
      <c r="DS612">
        <f>IF(DL612=1,DS$7,0)</f>
        <v>0</v>
      </c>
      <c r="DT612">
        <v>0</v>
      </c>
      <c r="DU612" s="143">
        <v>0</v>
      </c>
      <c r="DV612" s="143">
        <v>0</v>
      </c>
      <c r="DW612">
        <v>0</v>
      </c>
      <c r="DX612" s="143">
        <v>0</v>
      </c>
      <c r="DY612">
        <f>SUM(DT612:DU612)</f>
        <v>0</v>
      </c>
      <c r="DZ612" s="143" t="str">
        <f>IF(DT612=1,"self-calculated DF",IF(DU612=1,"external DF used","explicit C balance"))</f>
        <v>explicit C balance</v>
      </c>
      <c r="EA612" s="143">
        <v>0</v>
      </c>
      <c r="EB612" s="143">
        <v>0</v>
      </c>
      <c r="EC612" s="143">
        <v>0</v>
      </c>
      <c r="ED612" s="143">
        <v>0</v>
      </c>
      <c r="EE612">
        <v>0</v>
      </c>
      <c r="EF612" s="143">
        <v>0</v>
      </c>
      <c r="EG612" s="143">
        <v>0</v>
      </c>
      <c r="EH612" s="143">
        <v>1</v>
      </c>
      <c r="EI612" s="143">
        <v>0</v>
      </c>
      <c r="EJ612">
        <v>1</v>
      </c>
      <c r="EK612">
        <v>0</v>
      </c>
      <c r="EL612" s="143">
        <v>0</v>
      </c>
      <c r="EM612" s="143">
        <v>0</v>
      </c>
      <c r="EN612" s="2">
        <v>0</v>
      </c>
      <c r="EP612" t="str">
        <f>IF(AND(AND(AND(OR($EC612=1,$EB612=1),OR($EH612=1,$EF612=1)),SUM($EA612:$EE612,$EK612)&gt;=3),SUM($EF612:$EJ612)&gt;=2),"Whole sector approach","")</f>
        <v/>
      </c>
      <c r="EQ612" t="str">
        <f>IF(AND(AND(OR($EC612=1,$EB612=1),AND($EH612=0,$EF612=0)),SUM($EA612:$EE612,$EK612)&gt;=3),"Ecosystem approach","")</f>
        <v/>
      </c>
      <c r="ER612" s="2" t="str">
        <f>IF(AND(AND(AND($EC612=0,$EB612=0),OR($EH612=1,$EF612=1)),SUM($EG612:$EJ612)&gt;=2),"Technology approach","")</f>
        <v>Technology approach</v>
      </c>
      <c r="ES612" t="str">
        <f>IF(AND($EC612+$EB612+$EE612+$EA612+$ED612+$EG612=0,$N612="included"),"C neutral forest and HWP assumption","")</f>
        <v>C neutral forest and HWP assumption</v>
      </c>
      <c r="ET612" t="str">
        <f>IF(AND(AND(AND(AND($EC612=1,$EB612+$EA612+$EG612&gt;=1),$EF612=1),$EH612+$EI612+$ED612+$EE612&gt;=2),$N612="included"),"All C pools assumption","")</f>
        <v/>
      </c>
      <c r="EU612" t="str">
        <f>IF(AND($ED612+$EE612+$EI612+$EH612+$EF612=0,$N612="included"),"In-situ only assumption","")</f>
        <v/>
      </c>
      <c r="EY612" t="str">
        <f>IF(ISNUMBER(BW612),IF(ABS(BW612-[4]QC_indicators!$B$2)&gt;3*[4]QC_indicators!$C$2,"C ratio",IF(ISNUMBER(CA612),IF(ABS(CA612-[4]QC_indicators!$B$1)&gt;3*[4]QC_indicators!$C$1,"DF","no"))),IF(ISNUMBER(CA612),IF(ABS(CA612-[4]QC_indicators!$B$1)&gt;3*[4]QC_indicators!$C$1,"DF","no")))</f>
        <v>no</v>
      </c>
      <c r="FA612" t="str">
        <f>IF(LEN($CY612)=0,"",IF(AND($CY612&lt;(-0.05),$ES612="C neutral forest and HWP assumption"),"Cneutral paradox",IF(AND($CY612&gt;0.05,$EU612="In-situ only assumption"),"In-situ only paradox","")))</f>
        <v/>
      </c>
      <c r="FB612" s="149"/>
    </row>
    <row r="613" spans="1:161" ht="15" hidden="1" customHeight="1">
      <c r="A613" s="1" t="s">
        <v>586</v>
      </c>
      <c r="B613" t="s">
        <v>587</v>
      </c>
      <c r="C613" t="s">
        <v>588</v>
      </c>
      <c r="D613" t="s">
        <v>589</v>
      </c>
      <c r="E613" t="s">
        <v>590</v>
      </c>
      <c r="F613" t="s">
        <v>591</v>
      </c>
      <c r="G613" t="s">
        <v>592</v>
      </c>
      <c r="H613" t="s">
        <v>254</v>
      </c>
      <c r="I613">
        <v>2022</v>
      </c>
      <c r="J613">
        <v>15</v>
      </c>
      <c r="K613" t="s">
        <v>593</v>
      </c>
      <c r="M613" t="str">
        <f>LEFT($D613,FIND(",",$D613)-1)&amp;"_"&amp;I613&amp;L613</f>
        <v>Dani_2022</v>
      </c>
      <c r="N613" t="s">
        <v>222</v>
      </c>
      <c r="O613" s="145" t="s">
        <v>223</v>
      </c>
      <c r="Q613" t="s">
        <v>389</v>
      </c>
      <c r="R613" s="251" t="s">
        <v>225</v>
      </c>
      <c r="S613" s="1" t="s">
        <v>594</v>
      </c>
      <c r="T613" t="s">
        <v>595</v>
      </c>
      <c r="U613" t="s">
        <v>596</v>
      </c>
      <c r="V613" s="253">
        <v>0</v>
      </c>
      <c r="W613" s="253">
        <v>0</v>
      </c>
      <c r="X613">
        <v>0</v>
      </c>
      <c r="Y613">
        <v>0</v>
      </c>
      <c r="Z613">
        <v>0</v>
      </c>
      <c r="AA613">
        <v>0</v>
      </c>
      <c r="AB613">
        <v>0</v>
      </c>
      <c r="AC613">
        <v>0</v>
      </c>
      <c r="AD613">
        <v>0</v>
      </c>
      <c r="AE613">
        <v>0</v>
      </c>
      <c r="AF613">
        <v>0</v>
      </c>
      <c r="AG613">
        <v>0</v>
      </c>
      <c r="AH613">
        <v>0</v>
      </c>
      <c r="AI613">
        <v>0</v>
      </c>
      <c r="AJ613">
        <v>0</v>
      </c>
      <c r="AK613">
        <v>0</v>
      </c>
      <c r="AL613">
        <v>0</v>
      </c>
      <c r="AM613">
        <v>1</v>
      </c>
      <c r="AN613">
        <v>0</v>
      </c>
      <c r="AO613">
        <v>0</v>
      </c>
      <c r="AP613">
        <v>0</v>
      </c>
      <c r="AQ613">
        <v>0</v>
      </c>
      <c r="AR613">
        <v>0</v>
      </c>
      <c r="AS613">
        <v>0</v>
      </c>
      <c r="AT613">
        <v>0</v>
      </c>
      <c r="AU613">
        <v>0</v>
      </c>
      <c r="AV613">
        <v>0</v>
      </c>
      <c r="AW613">
        <v>0</v>
      </c>
      <c r="AX613">
        <v>0</v>
      </c>
      <c r="AY613">
        <v>0</v>
      </c>
      <c r="AZ613" s="141">
        <f>COUNTIF(X613:AY613,"&lt;&gt;0")</f>
        <v>1</v>
      </c>
      <c r="BA613" s="141">
        <f>COUNTIF(X613:AN613,"&lt;&gt;0")</f>
        <v>1</v>
      </c>
      <c r="BB613">
        <f>COUNTIF(X613:AE613,"&lt;&gt;0")</f>
        <v>0</v>
      </c>
      <c r="BC613">
        <f>COUNTIF(AF613:AK613,"&lt;&gt;0")</f>
        <v>0</v>
      </c>
      <c r="BD613">
        <f>COUNTIF(AL613:AN613,"&lt;&gt;0")</f>
        <v>1</v>
      </c>
      <c r="BE613">
        <f>COUNTIF(AU613:AY613,"&lt;&gt;0")</f>
        <v>0</v>
      </c>
      <c r="BF613">
        <f>COUNTIF(AO613:AT613,"&lt;&gt;0")</f>
        <v>0</v>
      </c>
      <c r="BG613" t="str">
        <f t="array" ref="BG613">IF(BA613=1,INDEX($X$7:$AN$7,MATCH(TRUE,INDEX($X613:$AY613&lt;&gt;0,),0)),IF(BA613=0,INDEX($AO$7:$AY$7,MATCH(1,$AO613:$AY613,0)),IF(BH613="Multiple strategies","mixed drivers",IF(BH613="Supply chain","multiple supply","multiple silviculture"))))</f>
        <v>technologies/design switch</v>
      </c>
      <c r="BH613" s="2" t="str" cm="1">
        <f t="array" ref="BH613">IF(COUNTIF(BB613:BD613,"&lt;&gt;0")=1,INDEX($X$4:$AY$4,MATCH(TRUE,INDEX($X613:$AY613&lt;&gt;0,),0)),IF(COUNTIF(BB613:BD613,"&lt;&gt;0")=0,INDEX($AO$4:$AY$4,MATCH(1,$AO613:$AY613,0)),"Multiple strategies"))</f>
        <v>Technology</v>
      </c>
      <c r="BI613" s="1" t="s">
        <v>229</v>
      </c>
      <c r="BJ613" t="s">
        <v>597</v>
      </c>
      <c r="BK613" t="s">
        <v>424</v>
      </c>
      <c r="BL613" t="s">
        <v>498</v>
      </c>
      <c r="BM613">
        <f>0.041+0.652</f>
        <v>0.69300000000000006</v>
      </c>
      <c r="BN613">
        <f>0.298+2.905+0.284+3.758+0.808+6.645+2.786+0.678</f>
        <v>18.161999999999999</v>
      </c>
      <c r="BP613">
        <f>BN613-BM613</f>
        <v>17.468999999999998</v>
      </c>
      <c r="BQ613">
        <f>BP613</f>
        <v>17.468999999999998</v>
      </c>
      <c r="BR613" t="s">
        <v>395</v>
      </c>
      <c r="BS613" s="337" t="s">
        <v>2979</v>
      </c>
      <c r="BT613" t="s">
        <v>599</v>
      </c>
      <c r="BU613">
        <f>146*(-1.53)</f>
        <v>-223.38</v>
      </c>
      <c r="BV613" s="144">
        <f>107*(-0.74)</f>
        <v>-79.179999999999993</v>
      </c>
      <c r="BW613" s="144">
        <f>IFERROR(BV613/BU613,"")</f>
        <v>0.3544632464858089</v>
      </c>
      <c r="BX613">
        <f>BV613-BU613</f>
        <v>144.19999999999999</v>
      </c>
      <c r="BZ613">
        <f>BX613/1000</f>
        <v>0.14419999999999999</v>
      </c>
      <c r="CA613">
        <f>IFERROR(BZ613/BQ613,"")</f>
        <v>8.2546224740969731E-3</v>
      </c>
      <c r="CB613">
        <v>0</v>
      </c>
      <c r="CC613">
        <v>0</v>
      </c>
      <c r="CD613">
        <v>0</v>
      </c>
      <c r="CE613">
        <v>0</v>
      </c>
      <c r="CF613">
        <v>0</v>
      </c>
      <c r="CG613">
        <v>0</v>
      </c>
      <c r="CH613">
        <v>0</v>
      </c>
      <c r="CI613">
        <v>0</v>
      </c>
      <c r="CJ613">
        <v>0</v>
      </c>
      <c r="CK613">
        <v>0</v>
      </c>
      <c r="CL613">
        <v>0</v>
      </c>
      <c r="CM613">
        <v>0</v>
      </c>
      <c r="CN613">
        <v>0</v>
      </c>
      <c r="CO613">
        <v>0</v>
      </c>
      <c r="CP613" t="str">
        <f>IF($BN613&lt;$BM613,"refNeedCorrection","refOK")</f>
        <v>refOK</v>
      </c>
      <c r="CQ613"/>
      <c r="CR613"/>
      <c r="CS613">
        <f>IF($CP613="refOK",$BQ613,-$BQ613)</f>
        <v>17.468999999999998</v>
      </c>
      <c r="CT613">
        <f>IF(BI613="Roundwood",$CS613/2,$CS613)</f>
        <v>17.468999999999998</v>
      </c>
      <c r="CU613">
        <f>IF($CP613="refOK",$BU613,$BV613)*IF($BR613="Emissions positive",-1,1)</f>
        <v>223.38</v>
      </c>
      <c r="CV613">
        <f>IF($CP613="refOK",$BV613,$BU613)*IF($BR613="Emissions positive",-1,1)</f>
        <v>79.179999999999993</v>
      </c>
      <c r="CW613">
        <f>IF($CP613="refNeedCorrection",-BZ613,BZ613)*IF($BR613="Emissions positive",-1,1)</f>
        <v>-0.14419999999999999</v>
      </c>
      <c r="CX613">
        <f>IFERROR($CW613/$CS613,"")</f>
        <v>-8.2546224740969731E-3</v>
      </c>
      <c r="CY613">
        <f>IFERROR($CW613/$CS613,"")</f>
        <v>-8.2546224740969731E-3</v>
      </c>
      <c r="CZ613">
        <f>IFERROR($CW613/$CT613,"")</f>
        <v>-8.2546224740969731E-3</v>
      </c>
      <c r="DA613" s="2">
        <f>IFERROR((CV613-CU613)/ABS(CU613),"")</f>
        <v>-0.64553675351419104</v>
      </c>
      <c r="DB613" s="1" t="s">
        <v>263</v>
      </c>
      <c r="DC613" t="str">
        <f>IF(OR($DB613="prd",$DB613="std",$DB613="cit"),"loc",IF(OR($DB613="eur",$DB613="reg",$DB613="coy"),"reg",$DB613))</f>
        <v>loc</v>
      </c>
      <c r="DD613" t="s">
        <v>600</v>
      </c>
      <c r="DG613">
        <v>0</v>
      </c>
      <c r="DH613" t="str">
        <f>IF(DG613=0,"0",IF(AND(DG613&gt;=1,DG613&lt;=30),"1-30",IF(AND(DG613&gt;30,DG613&lt;=70),"31-70",IF(AND(DG613&gt;70,DG613&lt;=100),"71-100",IF(DG613&gt;100,"+100")))))</f>
        <v>0</v>
      </c>
      <c r="DI613">
        <v>0</v>
      </c>
      <c r="DJ613">
        <v>0</v>
      </c>
      <c r="DK613">
        <v>0</v>
      </c>
      <c r="DL613">
        <v>1</v>
      </c>
      <c r="DM613">
        <v>0</v>
      </c>
      <c r="DN613">
        <f>SUM(DI613:DM613)</f>
        <v>1</v>
      </c>
      <c r="DO613" t="str">
        <f>IF(DN613=1,INDEX($DI$7:$DL$7,MATCH(1,$DI613:$DL613,0)),"mixedProduct")</f>
        <v>TimberInput</v>
      </c>
      <c r="DP613">
        <f>IF(DI613=1,DP$7,0)</f>
        <v>0</v>
      </c>
      <c r="DQ613">
        <f>IF(DJ613=1,DQ$7,0)</f>
        <v>0</v>
      </c>
      <c r="DR613">
        <f>IF(DK613=1,DR$7,0)</f>
        <v>0</v>
      </c>
      <c r="DS613" t="str">
        <f>IF(DL613=1,DS$7,0)</f>
        <v>Timber</v>
      </c>
      <c r="DT613">
        <v>0</v>
      </c>
      <c r="DU613">
        <v>0</v>
      </c>
      <c r="DV613">
        <v>0</v>
      </c>
      <c r="DW613">
        <v>0</v>
      </c>
      <c r="DX613">
        <v>0</v>
      </c>
      <c r="DY613">
        <f>SUM(DT613:DU613)</f>
        <v>0</v>
      </c>
      <c r="DZ613" t="str">
        <f>IF(DT613=1,"self-calculated DF",IF(DU613=1,"external DF used","explicit C balance"))</f>
        <v>explicit C balance</v>
      </c>
      <c r="EA613">
        <v>0</v>
      </c>
      <c r="EB613">
        <v>0</v>
      </c>
      <c r="EC613">
        <v>0</v>
      </c>
      <c r="ED613">
        <v>0</v>
      </c>
      <c r="EE613">
        <v>0</v>
      </c>
      <c r="EF613" s="260">
        <v>1</v>
      </c>
      <c r="EG613">
        <v>0</v>
      </c>
      <c r="EH613">
        <v>0</v>
      </c>
      <c r="EI613">
        <v>0</v>
      </c>
      <c r="EJ613">
        <v>0</v>
      </c>
      <c r="EK613">
        <v>0</v>
      </c>
      <c r="EL613">
        <v>0</v>
      </c>
      <c r="EM613">
        <v>0</v>
      </c>
      <c r="EN613" s="2">
        <v>0</v>
      </c>
      <c r="EP613" t="str">
        <f>IF(AND(AND(AND(OR($EC613=1,$EB613=1),OR($EH613=1,$EF613=1)),SUM($EA613:$EE613,$EK613)&gt;=3),SUM($EF613:$EJ613)&gt;=2),"Whole sector approach","")</f>
        <v/>
      </c>
      <c r="EQ613" t="str">
        <f>IF(AND(AND(OR($EC613=1,$EB613=1),AND($EH613=0,$EF613=0)),SUM($EA613:$EE613,$EK613)&gt;=4),"Ecosystem approach","")</f>
        <v/>
      </c>
      <c r="ER613" s="2" t="str">
        <f>IF(AND(AND(AND($EC613=0,$EB613=0),OR($EH613=1,$EF613=1)),SUM($EG613:$EJ613)&gt;=2),"Technology approach","")</f>
        <v/>
      </c>
      <c r="ES613" t="str">
        <f>IF(AND($EC613+$EB613+$EE613+$EA613+$ED613+$EG613=0,$N613="included"),"C neutral forest and HWP assumption","")</f>
        <v>C neutral forest and HWP assumption</v>
      </c>
      <c r="ET613" t="str">
        <f>IF(AND(AND(AND(AND($EC613=1,$EB613+$EA613+$EG613&gt;=1),$EF613=1),$EH613+$EI613+$ED613+$EE613&gt;=2),$N613="included"),"All C pools assumption","")</f>
        <v/>
      </c>
      <c r="EU613" t="str">
        <f>IF(AND($ED613+$EE613+$EI613+$EH613+$EF613=0,$N613="included"),"In-situ only assumption","")</f>
        <v/>
      </c>
      <c r="EY613" t="str">
        <f>IF(ISNUMBER(BW613),IF(ABS(BW613-[6]QC_indicators!$B$2)&gt;3*[6]QC_indicators!$C$2,"C ratio",IF(ISNUMBER(CA613),IF(ABS(CA613-[6]QC_indicators!$B$1)&gt;3*[6]QC_indicators!$C$1,"DF","no"))),IF(ISNUMBER(CA613),IF(ABS(CA613-[6]QC_indicators!$B$1)&gt;3*[6]QC_indicators!$C$1,"DF","no")))</f>
        <v>no</v>
      </c>
      <c r="FA613" t="str">
        <f>IF(LEN($CY613)=0,"",IF(AND($CY613&lt;(-0.05),$ES613="C neutral forest and HWP assumption"),"Cneutral paradox",IF(AND($CY613&gt;0.05,$EU613="In-situ only assumption"),"In-situ only paradox","")))</f>
        <v/>
      </c>
      <c r="FD613" s="260" t="s">
        <v>2948</v>
      </c>
    </row>
    <row r="614" spans="1:161" ht="15" hidden="1" customHeight="1">
      <c r="A614" s="1" t="s">
        <v>574</v>
      </c>
      <c r="B614" t="s">
        <v>1320</v>
      </c>
      <c r="C614" t="s">
        <v>1321</v>
      </c>
      <c r="D614" t="s">
        <v>1322</v>
      </c>
      <c r="E614" t="s">
        <v>1323</v>
      </c>
      <c r="F614" t="s">
        <v>1324</v>
      </c>
      <c r="G614" t="s">
        <v>580</v>
      </c>
      <c r="H614" t="s">
        <v>254</v>
      </c>
      <c r="I614">
        <v>2020</v>
      </c>
      <c r="J614">
        <v>12</v>
      </c>
      <c r="K614" t="s">
        <v>1325</v>
      </c>
      <c r="M614" t="str">
        <f>LEFT($D614,FIND(",",$D614)-1)&amp;"_"&amp;I614&amp;L614</f>
        <v>Elisa_2020</v>
      </c>
      <c r="N614" s="317" t="s">
        <v>222</v>
      </c>
      <c r="O614" s="171" t="s">
        <v>274</v>
      </c>
      <c r="P614" t="s">
        <v>223</v>
      </c>
      <c r="Q614" s="317" t="s">
        <v>389</v>
      </c>
      <c r="R614" s="318" t="s">
        <v>1029</v>
      </c>
      <c r="S614" s="154" t="s">
        <v>1326</v>
      </c>
      <c r="T614" s="319" t="s">
        <v>1327</v>
      </c>
      <c r="U614" s="143" t="s">
        <v>1340</v>
      </c>
      <c r="V614" s="253">
        <v>0</v>
      </c>
      <c r="W614" s="253">
        <v>0</v>
      </c>
      <c r="X614">
        <v>0</v>
      </c>
      <c r="Y614">
        <v>0</v>
      </c>
      <c r="Z614">
        <v>0</v>
      </c>
      <c r="AA614">
        <v>0</v>
      </c>
      <c r="AB614">
        <v>0</v>
      </c>
      <c r="AC614">
        <v>0</v>
      </c>
      <c r="AD614">
        <v>0</v>
      </c>
      <c r="AE614">
        <v>0</v>
      </c>
      <c r="AF614">
        <v>0</v>
      </c>
      <c r="AG614">
        <v>1</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s="141">
        <f>COUNTIF(X614:AY614,"&lt;&gt;0")</f>
        <v>1</v>
      </c>
      <c r="BA614" s="141">
        <f>COUNTIF(X614:AN614,"&lt;&gt;0")</f>
        <v>1</v>
      </c>
      <c r="BB614">
        <f>COUNTIF(X614:AE614,"&lt;&gt;0")</f>
        <v>0</v>
      </c>
      <c r="BC614">
        <f>COUNTIF(AF614:AK614,"&lt;&gt;0")</f>
        <v>1</v>
      </c>
      <c r="BD614">
        <f>COUNTIF(AL614:AN614,"&lt;&gt;0")</f>
        <v>0</v>
      </c>
      <c r="BE614">
        <f>COUNTIF(AU614:AY614,"&lt;&gt;0")</f>
        <v>0</v>
      </c>
      <c r="BF614">
        <f>COUNTIF(AO614:AT614,"&lt;&gt;0")</f>
        <v>0</v>
      </c>
      <c r="BG614" t="str" cm="1">
        <f t="array" ref="BG614">IF(BA614=1,INDEX($X$7:$AN$7,MATCH(TRUE,INDEX($X614:$AY614&lt;&gt;0,),0)),IF(BA614=0,INDEX($AO$7:$AY$7,MATCH(1,$AO614:$AY614,0)),IF(BH614="Multiple strategies","mixed drivers",IF(BH614="Supply chain","multiple supply","multiple silviculture"))))</f>
        <v>location of industry</v>
      </c>
      <c r="BH614" s="2" t="str" cm="1">
        <f t="array" ref="BH614">IF(COUNTIF(BB614:BD614,"&lt;&gt;0")=1,INDEX($X$4:$AY$4,MATCH(TRUE,INDEX($X614:$AY614&lt;&gt;0,),0)),IF(COUNTIF(BB614:BD614,"&lt;&gt;0")=0,INDEX($AO$4:$AY$4,MATCH(1,$AO614:$AY614,0)),"Multiple strategies"))</f>
        <v>Supply chain</v>
      </c>
      <c r="BI614" s="142" t="s">
        <v>321</v>
      </c>
      <c r="BJ614" s="160" t="s">
        <v>1329</v>
      </c>
      <c r="BK614" s="160" t="s">
        <v>1330</v>
      </c>
      <c r="BL614" s="143" t="s">
        <v>498</v>
      </c>
      <c r="BM614" s="143">
        <v>944</v>
      </c>
      <c r="BN614" s="143">
        <v>20000</v>
      </c>
      <c r="BO614">
        <f>IFERROR(BN616/BM614,"")</f>
        <v>7.4078389830508478</v>
      </c>
      <c r="BP614">
        <f>BN614-BM614</f>
        <v>19056</v>
      </c>
      <c r="BQ614" s="159">
        <f>BP614</f>
        <v>19056</v>
      </c>
      <c r="BR614" s="155" t="s">
        <v>232</v>
      </c>
      <c r="BS614" s="155" t="s">
        <v>1331</v>
      </c>
      <c r="BT614" s="155" t="s">
        <v>805</v>
      </c>
      <c r="BU614" s="143" t="s">
        <v>1335</v>
      </c>
      <c r="BV614" t="s">
        <v>1342</v>
      </c>
      <c r="BW614" s="144">
        <f>BV614/BU614</f>
        <v>23.665189838233854</v>
      </c>
      <c r="BX614">
        <f>BV614-BU614</f>
        <v>-156.631024166667</v>
      </c>
      <c r="BZ614">
        <f>BX614</f>
        <v>-156.631024166667</v>
      </c>
      <c r="CA614">
        <f>IFERROR(BZ614/BQ614,"")</f>
        <v>-8.2195121833893263E-3</v>
      </c>
      <c r="CB614">
        <v>0</v>
      </c>
      <c r="CC614">
        <v>0</v>
      </c>
      <c r="CD614">
        <v>0</v>
      </c>
      <c r="CE614">
        <v>0</v>
      </c>
      <c r="CF614">
        <v>0</v>
      </c>
      <c r="CG614">
        <v>0</v>
      </c>
      <c r="CH614">
        <v>0</v>
      </c>
      <c r="CI614">
        <v>0</v>
      </c>
      <c r="CJ614">
        <v>0</v>
      </c>
      <c r="CK614">
        <v>0</v>
      </c>
      <c r="CL614">
        <v>0</v>
      </c>
      <c r="CM614">
        <v>0</v>
      </c>
      <c r="CN614">
        <v>0</v>
      </c>
      <c r="CO614">
        <v>0</v>
      </c>
      <c r="CP614" t="str">
        <f>IF($BN614&lt;$BM614,"refNeedCorrection","refOK")</f>
        <v>refOK</v>
      </c>
      <c r="CQ614">
        <f>IF($CP614="refOK",$BM614,$BN614)</f>
        <v>944</v>
      </c>
      <c r="CR614">
        <f>IF($CP614="refOK",$BN614,$BM614)</f>
        <v>20000</v>
      </c>
      <c r="CS614">
        <f>IF($CP614="refOK",$BQ614,-$BQ614)</f>
        <v>19056</v>
      </c>
      <c r="CT614">
        <f>IF(BI614="Roundwood",$CS614/2,$CS614)</f>
        <v>9528</v>
      </c>
      <c r="CU614">
        <f>IF($CP614="refOK",$BU614,$BV614)*IF($BR614="Emissions positive",-1,1)</f>
        <v>-6.9106424999999998</v>
      </c>
      <c r="CV614">
        <f>IF($CP614="refOK",$BV614,$BU614)*IF($BR614="Emissions positive",-1,1)</f>
        <v>-163.541666666667</v>
      </c>
      <c r="CW614">
        <f>IF($CP614="refNeedCorrection",-BZ614,BZ614)*IF($BR614="Emissions positive",-1,1)</f>
        <v>-156.631024166667</v>
      </c>
      <c r="CX614">
        <f>IFERROR($CW614/$CS614,"")</f>
        <v>-8.2195121833893263E-3</v>
      </c>
      <c r="CY614">
        <f>IFERROR($CW614/$CS614,"")</f>
        <v>-8.2195121833893263E-3</v>
      </c>
      <c r="CZ614">
        <f>IFERROR($CW614/$CT614,"")</f>
        <v>-1.6439024366778653E-2</v>
      </c>
      <c r="DA614" s="2">
        <f>IFERROR((CV614-CU614)/ABS(CU614),"")</f>
        <v>-22.665189838233857</v>
      </c>
      <c r="DB614" s="320" t="s">
        <v>1334</v>
      </c>
      <c r="DC614" s="317" t="str">
        <f>IF(OR($DB614="prd",$DB614="std",$DB614="cit"),"loc",IF(OR($DB614="eur",$DB614="reg",$DB614="coy"),"reg",$DB614))</f>
        <v>reg</v>
      </c>
      <c r="DD614" s="321" t="s">
        <v>729</v>
      </c>
      <c r="DF614" s="143"/>
      <c r="DG614" s="143">
        <v>0</v>
      </c>
      <c r="DH614" t="str">
        <f>IF(DG614=0,"0",IF(AND(DG614&gt;=1,DG614&lt;=30),"1-30",IF(AND(DG614&gt;30,DG614&lt;=70),"31-70",IF(AND(DG614&gt;70,DG614&lt;=100),"71-100",IF(DG614&gt;100,"+100")))))</f>
        <v>0</v>
      </c>
      <c r="DI614">
        <v>0</v>
      </c>
      <c r="DJ614">
        <v>1</v>
      </c>
      <c r="DK614">
        <v>0</v>
      </c>
      <c r="DL614">
        <v>0</v>
      </c>
      <c r="DM614">
        <v>0</v>
      </c>
      <c r="DN614">
        <f>SUM(DI614:DM614)</f>
        <v>1</v>
      </c>
      <c r="DO614" t="str">
        <f>IF(DN614=1,INDEX($DI$7:$DL$7,MATCH(1,$DI614:$DL614,0)),"mixedProduct")</f>
        <v>EnergyInput</v>
      </c>
      <c r="DP614">
        <f>IF(DI614=1,DP$7,0)</f>
        <v>0</v>
      </c>
      <c r="DQ614" t="str">
        <f>IF(DJ614=1,DQ$7,0)</f>
        <v>Energy</v>
      </c>
      <c r="DR614">
        <f>IF(DK614=1,DR$7,0)</f>
        <v>0</v>
      </c>
      <c r="DS614">
        <f>IF(DL614=1,DS$7,0)</f>
        <v>0</v>
      </c>
      <c r="DT614">
        <v>0</v>
      </c>
      <c r="DU614" s="143">
        <v>0</v>
      </c>
      <c r="DV614" s="143">
        <v>0</v>
      </c>
      <c r="DW614">
        <v>0</v>
      </c>
      <c r="DX614" s="143">
        <v>0</v>
      </c>
      <c r="DY614">
        <f>SUM(DT614:DU614)</f>
        <v>0</v>
      </c>
      <c r="DZ614" s="143" t="str">
        <f>IF(DT614=1,"self-calculated DF",IF(DU614=1,"external DF used","explicit C balance"))</f>
        <v>explicit C balance</v>
      </c>
      <c r="EA614" s="143">
        <v>0</v>
      </c>
      <c r="EB614" s="143">
        <v>0</v>
      </c>
      <c r="EC614" s="143">
        <v>0</v>
      </c>
      <c r="ED614" s="143">
        <v>0</v>
      </c>
      <c r="EE614">
        <v>0</v>
      </c>
      <c r="EF614" s="143">
        <v>0</v>
      </c>
      <c r="EG614" s="143">
        <v>0</v>
      </c>
      <c r="EH614" s="143">
        <v>1</v>
      </c>
      <c r="EI614" s="143">
        <v>0</v>
      </c>
      <c r="EJ614">
        <v>1</v>
      </c>
      <c r="EK614">
        <v>0</v>
      </c>
      <c r="EL614" s="143">
        <v>0</v>
      </c>
      <c r="EM614" s="143">
        <v>0</v>
      </c>
      <c r="EN614" s="2">
        <v>0</v>
      </c>
      <c r="EP614" t="str">
        <f>IF(AND(AND(AND(OR($EC614=1,$EB614=1),OR($EH614=1,$EF614=1)),SUM($EA614:$EE614,$EK614)&gt;=3),SUM($EF614:$EJ614)&gt;=2),"Whole sector approach","")</f>
        <v/>
      </c>
      <c r="EQ614" t="str">
        <f>IF(AND(AND(OR($EC614=1,$EB614=1),AND($EH614=0,$EF614=0)),SUM($EA614:$EE614,$EK614)&gt;=3),"Ecosystem approach","")</f>
        <v/>
      </c>
      <c r="ER614" s="2" t="str">
        <f>IF(AND(AND(AND($EC614=0,$EB614=0),OR($EH614=1,$EF614=1)),SUM($EG614:$EJ614)&gt;=2),"Technology approach","")</f>
        <v>Technology approach</v>
      </c>
      <c r="ES614" t="str">
        <f>IF(AND($EC614+$EB614+$EE614+$EA614+$ED614+$EG614=0,$N614="included"),"C neutral forest and HWP assumption","")</f>
        <v>C neutral forest and HWP assumption</v>
      </c>
      <c r="ET614" t="str">
        <f>IF(AND(AND(AND(AND($EC614=1,$EB614+$EA614+$EG614&gt;=1),$EF614=1),$EH614+$EI614+$ED614+$EE614&gt;=2),$N614="included"),"All C pools assumption","")</f>
        <v/>
      </c>
      <c r="EU614" t="str">
        <f>IF(AND($ED614+$EE614+$EI614+$EH614+$EF614=0,$N614="included"),"In-situ only assumption","")</f>
        <v/>
      </c>
      <c r="EY614" t="str">
        <f>IF(ISNUMBER(BW614),IF(ABS(BW614-[4]QC_indicators!$B$2)&gt;3*[4]QC_indicators!$C$2,"C ratio",IF(ISNUMBER(CA614),IF(ABS(CA614-[4]QC_indicators!$B$1)&gt;3*[4]QC_indicators!$C$1,"DF","no"))),IF(ISNUMBER(CA614),IF(ABS(CA614-[4]QC_indicators!$B$1)&gt;3*[4]QC_indicators!$C$1,"DF","no")))</f>
        <v>no</v>
      </c>
      <c r="FA614" t="str">
        <f>IF(LEN($CY614)=0,"",IF(AND($CY614&lt;(-0.05),$ES614="C neutral forest and HWP assumption"),"Cneutral paradox",IF(AND($CY614&gt;0.05,$EU614="In-situ only assumption"),"In-situ only paradox","")))</f>
        <v/>
      </c>
      <c r="FB614" s="149"/>
    </row>
    <row r="615" spans="1:161" ht="15" hidden="1" customHeight="1">
      <c r="A615" s="1" t="s">
        <v>1654</v>
      </c>
      <c r="B615" t="s">
        <v>1655</v>
      </c>
      <c r="C615" t="s">
        <v>1656</v>
      </c>
      <c r="D615" t="s">
        <v>1657</v>
      </c>
      <c r="E615" t="s">
        <v>1658</v>
      </c>
      <c r="F615" t="s">
        <v>1659</v>
      </c>
      <c r="G615" t="s">
        <v>1660</v>
      </c>
      <c r="H615" t="s">
        <v>254</v>
      </c>
      <c r="I615">
        <v>2014</v>
      </c>
      <c r="J615">
        <v>15</v>
      </c>
      <c r="K615" t="s">
        <v>1661</v>
      </c>
      <c r="M615" t="str">
        <f>LEFT($D615,FIND(",",$D615)-1)&amp;"_"&amp;I615&amp;L615</f>
        <v>Kayo_2014</v>
      </c>
      <c r="N615" t="s">
        <v>222</v>
      </c>
      <c r="O615" s="171" t="s">
        <v>508</v>
      </c>
      <c r="P615" t="s">
        <v>924</v>
      </c>
      <c r="Q615" t="s">
        <v>389</v>
      </c>
      <c r="R615" s="258" t="s">
        <v>223</v>
      </c>
      <c r="S615" s="1" t="s">
        <v>1662</v>
      </c>
      <c r="T615" t="s">
        <v>1003</v>
      </c>
      <c r="U615" s="260" t="s">
        <v>2820</v>
      </c>
      <c r="V615">
        <v>0</v>
      </c>
      <c r="W615">
        <v>0</v>
      </c>
      <c r="X615">
        <v>0</v>
      </c>
      <c r="Y615">
        <v>0</v>
      </c>
      <c r="Z615">
        <v>0</v>
      </c>
      <c r="AA615">
        <v>0</v>
      </c>
      <c r="AB615">
        <v>0</v>
      </c>
      <c r="AC615">
        <v>0</v>
      </c>
      <c r="AD615">
        <v>0</v>
      </c>
      <c r="AE615">
        <v>0</v>
      </c>
      <c r="AF615">
        <v>0</v>
      </c>
      <c r="AG615">
        <v>0</v>
      </c>
      <c r="AH615">
        <v>1</v>
      </c>
      <c r="AI615">
        <v>0</v>
      </c>
      <c r="AJ615">
        <v>0</v>
      </c>
      <c r="AK615">
        <v>0</v>
      </c>
      <c r="AL615">
        <v>0</v>
      </c>
      <c r="AM615">
        <v>0</v>
      </c>
      <c r="AN615">
        <v>0</v>
      </c>
      <c r="AO615">
        <v>0</v>
      </c>
      <c r="AP615">
        <v>0</v>
      </c>
      <c r="AQ615">
        <v>0</v>
      </c>
      <c r="AR615">
        <v>0</v>
      </c>
      <c r="AS615">
        <v>0</v>
      </c>
      <c r="AT615">
        <v>0</v>
      </c>
      <c r="AU615">
        <v>0</v>
      </c>
      <c r="AV615">
        <v>0</v>
      </c>
      <c r="AW615">
        <v>0</v>
      </c>
      <c r="AX615">
        <v>0</v>
      </c>
      <c r="AY615">
        <v>0</v>
      </c>
      <c r="AZ615" s="141">
        <f>COUNTIF(X615:AY615,"&lt;&gt;0")</f>
        <v>1</v>
      </c>
      <c r="BA615" s="141">
        <f>COUNTIF(X615:AN615,"&lt;&gt;0")</f>
        <v>1</v>
      </c>
      <c r="BB615">
        <f>COUNTIF(X615:AE615,"&lt;&gt;0")</f>
        <v>0</v>
      </c>
      <c r="BC615">
        <f>COUNTIF(AF615:AK615,"&lt;&gt;0")</f>
        <v>1</v>
      </c>
      <c r="BD615">
        <f>COUNTIF(AL615:AN615,"&lt;&gt;0")</f>
        <v>0</v>
      </c>
      <c r="BE615">
        <f>COUNTIF(AU615:AY615,"&lt;&gt;0")</f>
        <v>0</v>
      </c>
      <c r="BF615">
        <f>COUNTIF(AO615:AT615,"&lt;&gt;0")</f>
        <v>0</v>
      </c>
      <c r="BG615" t="str">
        <f t="array" ref="BG615">IF(BA615=1,INDEX($X$7:$AN$7,MATCH(TRUE,INDEX($X615:$AY615&lt;&gt;0,),0)),IF(BA615=0,INDEX($AO$7:$AY$7,MATCH(1,$AO615:$AY615,0)),IF(BH615="Multiple strategies","mixed drivers",IF(BH615="Supply chain","multiple supply","multiple silviculture"))))</f>
        <v>supply chain organization</v>
      </c>
      <c r="BH615" s="2" t="str" cm="1">
        <f t="array" ref="BH615">IF(COUNTIF(BB615:BD615,"&lt;&gt;0")=1,INDEX($X$4:$AY$4,MATCH(TRUE,INDEX($X615:$AY615&lt;&gt;0,),0)),IF(COUNTIF(BB615:BD615,"&lt;&gt;0")=0,INDEX($AO$4:$AY$4,MATCH(1,$AO615:$AY615,0)),"Multiple strategies"))</f>
        <v>Supply chain</v>
      </c>
      <c r="BI615" s="1" t="s">
        <v>229</v>
      </c>
      <c r="BJ615" t="s">
        <v>1663</v>
      </c>
      <c r="BK615" s="260" t="s">
        <v>2821</v>
      </c>
      <c r="BL615" t="s">
        <v>1664</v>
      </c>
      <c r="BM615">
        <v>8620000.0000000019</v>
      </c>
      <c r="BN615">
        <v>11450000.000000002</v>
      </c>
      <c r="BO615" t="s">
        <v>531</v>
      </c>
      <c r="BP615">
        <f>BN615-BM615</f>
        <v>2830000</v>
      </c>
      <c r="BQ615">
        <f>BP615</f>
        <v>2830000</v>
      </c>
      <c r="BR615" t="s">
        <v>395</v>
      </c>
      <c r="BS615" s="260" t="s">
        <v>2822</v>
      </c>
      <c r="BT615" s="260" t="s">
        <v>2823</v>
      </c>
      <c r="BU615">
        <v>21.43</v>
      </c>
      <c r="BV615">
        <v>26.42</v>
      </c>
      <c r="BW615" s="144"/>
      <c r="BX615" s="152">
        <f>BV615-BU615</f>
        <v>4.990000000000002</v>
      </c>
      <c r="BZ615" s="152">
        <f>BX615*10^3*C_to_CO2</f>
        <v>18313.300000000007</v>
      </c>
      <c r="CA615">
        <f>IFERROR(BZ615/BQ615,"")</f>
        <v>6.4711307420494725E-3</v>
      </c>
      <c r="CB615">
        <v>0</v>
      </c>
      <c r="CC615">
        <v>0</v>
      </c>
      <c r="CD615">
        <v>0</v>
      </c>
      <c r="CE615">
        <v>0</v>
      </c>
      <c r="CF615">
        <v>0</v>
      </c>
      <c r="CG615">
        <v>0</v>
      </c>
      <c r="CH615">
        <v>0</v>
      </c>
      <c r="CI615">
        <v>0</v>
      </c>
      <c r="CJ615">
        <v>0</v>
      </c>
      <c r="CK615">
        <v>0</v>
      </c>
      <c r="CL615">
        <v>0</v>
      </c>
      <c r="CM615">
        <v>0</v>
      </c>
      <c r="CN615">
        <v>0</v>
      </c>
      <c r="CO615">
        <v>0</v>
      </c>
      <c r="CP615" t="str">
        <f>IF($BN615&lt;$BM615,"refNeedCorrection","refOK")</f>
        <v>refOK</v>
      </c>
      <c r="CQ615">
        <f>IF($CP615="refOK",$BM615,$BN615)</f>
        <v>8620000.0000000019</v>
      </c>
      <c r="CR615">
        <f>IF($CP615="refOK",$BN615,$BM615)</f>
        <v>11450000.000000002</v>
      </c>
      <c r="CS615">
        <f>IF($CP615="refOK",$BQ615,-$BQ615)</f>
        <v>2830000</v>
      </c>
      <c r="CT615">
        <f>IF(BI615="Roundwood",$CS615/2,$CS615)</f>
        <v>2830000</v>
      </c>
      <c r="CU615">
        <f>IF($CP615="refOK",$BU615,$BV615)*IF($BR615="Emissions positive",-1,1)</f>
        <v>-21.43</v>
      </c>
      <c r="CV615">
        <f>IF($CP615="refOK",$BV615,$BU615)*IF($BR615="Emissions positive",-1,1)</f>
        <v>-26.42</v>
      </c>
      <c r="CW615">
        <f>IF($CP615="refNeedCorrection",-BZ615,BZ615)*IF($BR615="Emissions positive",-1,1)</f>
        <v>-18313.300000000007</v>
      </c>
      <c r="CX615">
        <f>IFERROR($CW615/$CS615,"")</f>
        <v>-6.4711307420494725E-3</v>
      </c>
      <c r="CY615">
        <f>IFERROR($CW615/$CS615,"")</f>
        <v>-6.4711307420494725E-3</v>
      </c>
      <c r="CZ615">
        <f>IFERROR($CW615/$CT615,"")</f>
        <v>-6.4711307420494725E-3</v>
      </c>
      <c r="DA615" s="2">
        <f>IFERROR((CV615-CU615)/ABS(CU615),"")</f>
        <v>-0.23285114325711628</v>
      </c>
      <c r="DB615" s="1" t="s">
        <v>1074</v>
      </c>
      <c r="DC615" t="str">
        <f>IF(OR($DB615="prd",$DB615="std",$DB615="cit"),"loc",IF(OR($DB615="eur",$DB615="reg",$DB615="coy"),"reg",$DB615))</f>
        <v>reg</v>
      </c>
      <c r="DD615" t="s">
        <v>925</v>
      </c>
      <c r="DE615">
        <v>2050</v>
      </c>
      <c r="DF615">
        <v>2050</v>
      </c>
      <c r="DG615">
        <v>1</v>
      </c>
      <c r="DH615" t="str">
        <f>IF(DG615=0,"0",IF(AND(DG615&gt;=1,DG615&lt;=30),"1-30",IF(AND(DG615&gt;30,DG615&lt;=70),"31-70",IF(AND(DG615&gt;70,DG615&lt;=100),"71-100",IF(DG615&gt;100,"+100")))))</f>
        <v>1-30</v>
      </c>
      <c r="DI615">
        <v>0</v>
      </c>
      <c r="DJ615">
        <v>1</v>
      </c>
      <c r="DK615">
        <v>0</v>
      </c>
      <c r="DL615">
        <v>0</v>
      </c>
      <c r="DM615">
        <v>0</v>
      </c>
      <c r="DN615">
        <v>1</v>
      </c>
      <c r="DO615" t="str">
        <f>IF(DN615=1,INDEX($DI$7:$DL$7,MATCH(1,$DI615:$DL615,0)),"mixedProduct")</f>
        <v>EnergyInput</v>
      </c>
      <c r="DP615">
        <f>IF(DI615=1,DP$7,0)</f>
        <v>0</v>
      </c>
      <c r="DQ615" t="str">
        <f>IF(DJ615=1,DQ$7,0)</f>
        <v>Energy</v>
      </c>
      <c r="DR615">
        <f>IF(DK615=1,DR$7,0)</f>
        <v>0</v>
      </c>
      <c r="DS615">
        <f>IF(DL615=1,DS$7,0)</f>
        <v>0</v>
      </c>
      <c r="DT615">
        <v>0</v>
      </c>
      <c r="DU615">
        <v>0</v>
      </c>
      <c r="DV615">
        <v>0</v>
      </c>
      <c r="DW615">
        <v>0</v>
      </c>
      <c r="DX615">
        <v>0</v>
      </c>
      <c r="DY615">
        <f>SUM(DT615:DU615)</f>
        <v>0</v>
      </c>
      <c r="DZ615" s="143" t="s">
        <v>926</v>
      </c>
      <c r="EA615">
        <v>0</v>
      </c>
      <c r="EB615">
        <v>0</v>
      </c>
      <c r="EC615">
        <v>0</v>
      </c>
      <c r="ED615">
        <v>0</v>
      </c>
      <c r="EE615">
        <v>0</v>
      </c>
      <c r="EF615" s="143">
        <v>0</v>
      </c>
      <c r="EG615">
        <v>0</v>
      </c>
      <c r="EH615">
        <v>1</v>
      </c>
      <c r="EI615">
        <v>0</v>
      </c>
      <c r="EJ615">
        <v>0</v>
      </c>
      <c r="EK615">
        <v>0</v>
      </c>
      <c r="EL615">
        <v>0</v>
      </c>
      <c r="EM615">
        <v>0</v>
      </c>
      <c r="EN615" s="2">
        <v>0</v>
      </c>
      <c r="EP615" t="str">
        <f>IF(AND(AND(AND(OR($EC615=1,$EB615=1),OR($EH615=1,$EF615=1)),SUM($EA615:$EE615,$EK615)&gt;=3),SUM($EF615:$EJ615)&gt;=2),"Whole sector approach","")</f>
        <v/>
      </c>
      <c r="EQ615" t="str">
        <f>IF(AND(AND(OR($EC615=1,$EB615=1),AND($EH615=0,$EF615=0)),SUM($EA615:$EE615,$EK615)&gt;=4),"Ecosystem approach","")</f>
        <v/>
      </c>
      <c r="ER615" s="2" t="str">
        <f>IF(AND(AND(AND($EC615=0,$EB615=0),OR($EH615=1,$EF615=1)),SUM($EG615:$EJ615)&gt;=2),"Technology approach","")</f>
        <v/>
      </c>
      <c r="ES615" t="str">
        <f>IF(AND($EC615+$EB615+$EE615+$EA615+$ED615+$EG615=0,$N615="included"),"C neutral forest and HWP assumption","")</f>
        <v>C neutral forest and HWP assumption</v>
      </c>
      <c r="ET615" t="str">
        <f>IF(AND(AND(AND(AND($EC615=1,$EB615+$EA615+$EG615&gt;=1),$EF615=1),$EH615+$EI615+$ED615+$EE615&gt;=2),$N615="included"),"All C pools assumption","")</f>
        <v/>
      </c>
      <c r="EU615" t="str">
        <f>IF(AND($ED615+$EE615+$EI615+$EH615+$EF615=0,$N615="included"),"In-situ only assumption","")</f>
        <v/>
      </c>
      <c r="EY615" t="str">
        <f>IF(ISNUMBER(BW615),IF(ABS(BW615-[2]QC_indicators!$B$2)&gt;3*[2]QC_indicators!$C$2,"C ratio",IF(ISNUMBER(CA615),IF(ABS(CA615-[2]QC_indicators!$B$1)&gt;3*[2]QC_indicators!$C$1,"DF","no"))),IF(ISNUMBER(CA615),IF(ABS(CA615-[2]QC_indicators!$B$1)&gt;3*[2]QC_indicators!$C$1,"DF","no")))</f>
        <v>no</v>
      </c>
      <c r="FA615" t="str">
        <f>IF(LEN($CY615)=0,"",IF(AND($CY615&lt;(-0.05),$ES615="C neutral forest and HWP assumption"),"Cneutral paradox",IF(AND($CY615&gt;0.05,$EU615="In-situ only assumption"),"In-situ only paradox","")))</f>
        <v/>
      </c>
      <c r="FD615" s="260" t="s">
        <v>2824</v>
      </c>
    </row>
    <row r="616" spans="1:161" ht="15" hidden="1" customHeight="1">
      <c r="A616" s="1" t="s">
        <v>574</v>
      </c>
      <c r="B616" t="s">
        <v>1320</v>
      </c>
      <c r="C616" t="s">
        <v>1321</v>
      </c>
      <c r="D616" t="s">
        <v>1322</v>
      </c>
      <c r="E616" t="s">
        <v>1323</v>
      </c>
      <c r="F616" t="s">
        <v>1324</v>
      </c>
      <c r="G616" t="s">
        <v>580</v>
      </c>
      <c r="H616" t="s">
        <v>254</v>
      </c>
      <c r="I616">
        <v>2020</v>
      </c>
      <c r="J616">
        <v>12</v>
      </c>
      <c r="K616" t="s">
        <v>1325</v>
      </c>
      <c r="M616" t="str">
        <f>LEFT($D616,FIND(",",$D616)-1)&amp;"_"&amp;I616&amp;L616</f>
        <v>Elisa_2020</v>
      </c>
      <c r="N616" s="317" t="s">
        <v>222</v>
      </c>
      <c r="O616" s="171" t="s">
        <v>274</v>
      </c>
      <c r="P616" t="s">
        <v>223</v>
      </c>
      <c r="Q616" s="317" t="s">
        <v>389</v>
      </c>
      <c r="R616" s="318" t="s">
        <v>1029</v>
      </c>
      <c r="S616" s="154" t="s">
        <v>1326</v>
      </c>
      <c r="T616" s="319" t="s">
        <v>1327</v>
      </c>
      <c r="U616" s="143" t="s">
        <v>1343</v>
      </c>
      <c r="V616" s="253">
        <v>0</v>
      </c>
      <c r="W616" s="253">
        <v>0</v>
      </c>
      <c r="X616">
        <v>0</v>
      </c>
      <c r="Y616">
        <v>0</v>
      </c>
      <c r="Z616">
        <v>0</v>
      </c>
      <c r="AA616">
        <v>0</v>
      </c>
      <c r="AB616">
        <v>0</v>
      </c>
      <c r="AC616">
        <v>0</v>
      </c>
      <c r="AD616">
        <v>0</v>
      </c>
      <c r="AE616">
        <v>0</v>
      </c>
      <c r="AF616">
        <v>0</v>
      </c>
      <c r="AG616">
        <v>1</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s="141">
        <f>COUNTIF(X616:AY616,"&lt;&gt;0")</f>
        <v>1</v>
      </c>
      <c r="BA616" s="141">
        <f>COUNTIF(X616:AN616,"&lt;&gt;0")</f>
        <v>1</v>
      </c>
      <c r="BB616">
        <f>COUNTIF(X616:AE616,"&lt;&gt;0")</f>
        <v>0</v>
      </c>
      <c r="BC616">
        <f>COUNTIF(AF616:AK616,"&lt;&gt;0")</f>
        <v>1</v>
      </c>
      <c r="BD616">
        <f>COUNTIF(AL616:AN616,"&lt;&gt;0")</f>
        <v>0</v>
      </c>
      <c r="BE616">
        <f>COUNTIF(AU616:AY616,"&lt;&gt;0")</f>
        <v>0</v>
      </c>
      <c r="BF616">
        <f>COUNTIF(AO616:AT616,"&lt;&gt;0")</f>
        <v>0</v>
      </c>
      <c r="BG616" t="str" cm="1">
        <f t="array" ref="BG616">IF(BA616=1,INDEX($X$7:$AN$7,MATCH(TRUE,INDEX($X616:$AY616&lt;&gt;0,),0)),IF(BA616=0,INDEX($AO$7:$AY$7,MATCH(1,$AO616:$AY616,0)),IF(BH616="Multiple strategies","mixed drivers",IF(BH616="Supply chain","multiple supply","multiple silviculture"))))</f>
        <v>location of industry</v>
      </c>
      <c r="BH616" s="2" t="str" cm="1">
        <f t="array" ref="BH616">IF(COUNTIF(BB616:BD616,"&lt;&gt;0")=1,INDEX($X$4:$AY$4,MATCH(TRUE,INDEX($X616:$AY616&lt;&gt;0,),0)),IF(COUNTIF(BB616:BD616,"&lt;&gt;0")=0,INDEX($AO$4:$AY$4,MATCH(1,$AO616:$AY616,0)),"Multiple strategies"))</f>
        <v>Supply chain</v>
      </c>
      <c r="BI616" s="142" t="s">
        <v>321</v>
      </c>
      <c r="BJ616" s="160" t="s">
        <v>1329</v>
      </c>
      <c r="BK616" s="160" t="s">
        <v>1330</v>
      </c>
      <c r="BL616" s="143" t="s">
        <v>498</v>
      </c>
      <c r="BM616" s="143">
        <v>944</v>
      </c>
      <c r="BN616" s="143">
        <v>6993</v>
      </c>
      <c r="BO616">
        <f>IFERROR(BN618/BM616,"")</f>
        <v>11501588.983050847</v>
      </c>
      <c r="BP616">
        <f>BN616-BM616</f>
        <v>6049</v>
      </c>
      <c r="BQ616" s="159">
        <f>BP616</f>
        <v>6049</v>
      </c>
      <c r="BR616" s="155" t="s">
        <v>232</v>
      </c>
      <c r="BS616" s="155" t="s">
        <v>1331</v>
      </c>
      <c r="BT616" s="155" t="s">
        <v>805</v>
      </c>
      <c r="BU616" s="143" t="s">
        <v>1335</v>
      </c>
      <c r="BV616" t="s">
        <v>1345</v>
      </c>
      <c r="BW616" s="144">
        <f>BV616/BU616</f>
        <v>6.6543901107764007</v>
      </c>
      <c r="BX616">
        <f>BV616-BU616</f>
        <v>-39.075468611111098</v>
      </c>
      <c r="BZ616">
        <f>BX616</f>
        <v>-39.075468611111098</v>
      </c>
      <c r="CA616">
        <f>IFERROR(BZ616/BQ616,"")</f>
        <v>-6.459822881651694E-3</v>
      </c>
      <c r="CB616">
        <v>0</v>
      </c>
      <c r="CC616">
        <v>0</v>
      </c>
      <c r="CD616">
        <v>0</v>
      </c>
      <c r="CE616">
        <v>0</v>
      </c>
      <c r="CF616">
        <v>0</v>
      </c>
      <c r="CG616">
        <v>0</v>
      </c>
      <c r="CH616">
        <v>0</v>
      </c>
      <c r="CI616">
        <v>0</v>
      </c>
      <c r="CJ616">
        <v>0</v>
      </c>
      <c r="CK616">
        <v>0</v>
      </c>
      <c r="CL616">
        <v>0</v>
      </c>
      <c r="CM616">
        <v>0</v>
      </c>
      <c r="CN616">
        <v>0</v>
      </c>
      <c r="CO616">
        <v>0</v>
      </c>
      <c r="CP616" t="str">
        <f>IF($BN616&lt;$BM616,"refNeedCorrection","refOK")</f>
        <v>refOK</v>
      </c>
      <c r="CQ616">
        <f>IF($CP616="refOK",$BM616,$BN616)</f>
        <v>944</v>
      </c>
      <c r="CR616">
        <f>IF($CP616="refOK",$BN616,$BM616)</f>
        <v>6993</v>
      </c>
      <c r="CS616">
        <f>IF($CP616="refOK",$BQ616,-$BQ616)</f>
        <v>6049</v>
      </c>
      <c r="CT616">
        <f>IF(BI616="Roundwood",$CS616/2,$CS616)</f>
        <v>3024.5</v>
      </c>
      <c r="CU616">
        <f>IF($CP616="refOK",$BU616,$BV616)*IF($BR616="Emissions positive",-1,1)</f>
        <v>-6.9106424999999998</v>
      </c>
      <c r="CV616">
        <f>IF($CP616="refOK",$BV616,$BU616)*IF($BR616="Emissions positive",-1,1)</f>
        <v>-45.9861111111111</v>
      </c>
      <c r="CW616">
        <f>IF($CP616="refNeedCorrection",-BZ616,BZ616)*IF($BR616="Emissions positive",-1,1)</f>
        <v>-39.075468611111098</v>
      </c>
      <c r="CX616">
        <f>IFERROR($CW616/$CS616,"")</f>
        <v>-6.459822881651694E-3</v>
      </c>
      <c r="CY616">
        <f>IFERROR($CW616/$CS616,"")</f>
        <v>-6.459822881651694E-3</v>
      </c>
      <c r="CZ616">
        <f>IFERROR($CW616/$CT616,"")</f>
        <v>-1.2919645763303388E-2</v>
      </c>
      <c r="DA616" s="2">
        <f>IFERROR((CV616-CU616)/ABS(CU616),"")</f>
        <v>-5.6543901107763999</v>
      </c>
      <c r="DB616" s="320" t="s">
        <v>1334</v>
      </c>
      <c r="DC616" s="317" t="str">
        <f>IF(OR($DB616="prd",$DB616="std",$DB616="cit"),"loc",IF(OR($DB616="eur",$DB616="reg",$DB616="coy"),"reg",$DB616))</f>
        <v>reg</v>
      </c>
      <c r="DD616" s="321" t="s">
        <v>729</v>
      </c>
      <c r="DF616" s="143"/>
      <c r="DG616" s="143">
        <v>0</v>
      </c>
      <c r="DH616" t="str">
        <f>IF(DG616=0,"0",IF(AND(DG616&gt;=1,DG616&lt;=30),"1-30",IF(AND(DG616&gt;30,DG616&lt;=70),"31-70",IF(AND(DG616&gt;70,DG616&lt;=100),"71-100",IF(DG616&gt;100,"+100")))))</f>
        <v>0</v>
      </c>
      <c r="DI616">
        <v>0</v>
      </c>
      <c r="DJ616">
        <v>1</v>
      </c>
      <c r="DK616">
        <v>0</v>
      </c>
      <c r="DL616">
        <v>0</v>
      </c>
      <c r="DM616">
        <v>0</v>
      </c>
      <c r="DN616">
        <f>SUM(DI616:DM616)</f>
        <v>1</v>
      </c>
      <c r="DO616" t="str">
        <f>IF(DN616=1,INDEX($DI$7:$DL$7,MATCH(1,$DI616:$DL616,0)),"mixedProduct")</f>
        <v>EnergyInput</v>
      </c>
      <c r="DP616">
        <f>IF(DI616=1,DP$7,0)</f>
        <v>0</v>
      </c>
      <c r="DQ616" t="str">
        <f>IF(DJ616=1,DQ$7,0)</f>
        <v>Energy</v>
      </c>
      <c r="DR616">
        <f>IF(DK616=1,DR$7,0)</f>
        <v>0</v>
      </c>
      <c r="DS616">
        <f>IF(DL616=1,DS$7,0)</f>
        <v>0</v>
      </c>
      <c r="DT616">
        <v>0</v>
      </c>
      <c r="DU616" s="143">
        <v>0</v>
      </c>
      <c r="DV616" s="143">
        <v>0</v>
      </c>
      <c r="DW616">
        <v>0</v>
      </c>
      <c r="DX616" s="143">
        <v>0</v>
      </c>
      <c r="DY616">
        <f>SUM(DT616:DU616)</f>
        <v>0</v>
      </c>
      <c r="DZ616" s="143" t="str">
        <f>IF(DT616=1,"self-calculated DF",IF(DU616=1,"external DF used","explicit C balance"))</f>
        <v>explicit C balance</v>
      </c>
      <c r="EA616" s="143">
        <v>0</v>
      </c>
      <c r="EB616" s="143">
        <v>0</v>
      </c>
      <c r="EC616" s="143">
        <v>0</v>
      </c>
      <c r="ED616" s="143">
        <v>0</v>
      </c>
      <c r="EE616">
        <v>0</v>
      </c>
      <c r="EF616" s="143">
        <v>0</v>
      </c>
      <c r="EG616" s="143">
        <v>0</v>
      </c>
      <c r="EH616" s="143">
        <v>1</v>
      </c>
      <c r="EI616" s="143">
        <v>0</v>
      </c>
      <c r="EJ616">
        <v>1</v>
      </c>
      <c r="EK616">
        <v>0</v>
      </c>
      <c r="EL616" s="143">
        <v>0</v>
      </c>
      <c r="EM616" s="143">
        <v>0</v>
      </c>
      <c r="EN616" s="2">
        <v>0</v>
      </c>
      <c r="EP616" t="str">
        <f>IF(AND(AND(AND(OR($EC616=1,$EB616=1),OR($EH616=1,$EF616=1)),SUM($EA616:$EE616,$EK616)&gt;=3),SUM($EF616:$EJ616)&gt;=2),"Whole sector approach","")</f>
        <v/>
      </c>
      <c r="EQ616" t="str">
        <f>IF(AND(AND(OR($EC616=1,$EB616=1),AND($EH616=0,$EF616=0)),SUM($EA616:$EE616,$EK616)&gt;=3),"Ecosystem approach","")</f>
        <v/>
      </c>
      <c r="ER616" s="2" t="str">
        <f>IF(AND(AND(AND($EC616=0,$EB616=0),OR($EH616=1,$EF616=1)),SUM($EG616:$EJ616)&gt;=2),"Technology approach","")</f>
        <v>Technology approach</v>
      </c>
      <c r="ES616" t="str">
        <f>IF(AND($EC616+$EB616+$EE616+$EA616+$ED616+$EG616=0,$N616="included"),"C neutral forest and HWP assumption","")</f>
        <v>C neutral forest and HWP assumption</v>
      </c>
      <c r="ET616" t="str">
        <f>IF(AND(AND(AND(AND($EC616=1,$EB616+$EA616+$EG616&gt;=1),$EF616=1),$EH616+$EI616+$ED616+$EE616&gt;=2),$N616="included"),"All C pools assumption","")</f>
        <v/>
      </c>
      <c r="EU616" t="str">
        <f>IF(AND($ED616+$EE616+$EI616+$EH616+$EF616=0,$N616="included"),"In-situ only assumption","")</f>
        <v/>
      </c>
      <c r="EY616" t="str">
        <f>IF(ISNUMBER(BW616),IF(ABS(BW616-[4]QC_indicators!$B$2)&gt;3*[4]QC_indicators!$C$2,"C ratio",IF(ISNUMBER(CA616),IF(ABS(CA616-[4]QC_indicators!$B$1)&gt;3*[4]QC_indicators!$C$1,"DF","no"))),IF(ISNUMBER(CA616),IF(ABS(CA616-[4]QC_indicators!$B$1)&gt;3*[4]QC_indicators!$C$1,"DF","no")))</f>
        <v>no</v>
      </c>
      <c r="FA616" t="str">
        <f>IF(LEN($CY616)=0,"",IF(AND($CY616&lt;(-0.05),$ES616="C neutral forest and HWP assumption"),"Cneutral paradox",IF(AND($CY616&gt;0.05,$EU616="In-situ only assumption"),"In-situ only paradox","")))</f>
        <v/>
      </c>
      <c r="FB616" s="149"/>
    </row>
    <row r="617" spans="1:161" ht="15" hidden="1" customHeight="1">
      <c r="A617" s="1" t="s">
        <v>574</v>
      </c>
      <c r="B617" t="s">
        <v>1320</v>
      </c>
      <c r="C617" t="s">
        <v>1321</v>
      </c>
      <c r="D617" t="s">
        <v>1322</v>
      </c>
      <c r="E617" t="s">
        <v>1323</v>
      </c>
      <c r="F617" t="s">
        <v>1324</v>
      </c>
      <c r="G617" t="s">
        <v>580</v>
      </c>
      <c r="H617" t="s">
        <v>254</v>
      </c>
      <c r="I617">
        <v>2020</v>
      </c>
      <c r="J617">
        <v>12</v>
      </c>
      <c r="K617" t="s">
        <v>1325</v>
      </c>
      <c r="M617" t="str">
        <f>LEFT($D617,FIND(",",$D617)-1)&amp;"_"&amp;I617&amp;L617</f>
        <v>Elisa_2020</v>
      </c>
      <c r="N617" s="317" t="s">
        <v>222</v>
      </c>
      <c r="O617" s="171" t="s">
        <v>274</v>
      </c>
      <c r="P617" t="s">
        <v>223</v>
      </c>
      <c r="Q617" s="317" t="s">
        <v>389</v>
      </c>
      <c r="R617" s="318" t="s">
        <v>1029</v>
      </c>
      <c r="S617" s="154" t="s">
        <v>1326</v>
      </c>
      <c r="T617" s="319" t="s">
        <v>1327</v>
      </c>
      <c r="U617" s="143" t="s">
        <v>1346</v>
      </c>
      <c r="V617" s="253">
        <v>0</v>
      </c>
      <c r="W617" s="253">
        <v>0</v>
      </c>
      <c r="X617">
        <v>0</v>
      </c>
      <c r="Y617">
        <v>0</v>
      </c>
      <c r="Z617">
        <v>0</v>
      </c>
      <c r="AA617">
        <v>0</v>
      </c>
      <c r="AB617">
        <v>0</v>
      </c>
      <c r="AC617">
        <v>0</v>
      </c>
      <c r="AD617">
        <v>0</v>
      </c>
      <c r="AE617">
        <v>0</v>
      </c>
      <c r="AF617">
        <v>0</v>
      </c>
      <c r="AG617">
        <v>1</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s="141">
        <f>COUNTIF(X617:AY617,"&lt;&gt;0")</f>
        <v>1</v>
      </c>
      <c r="BA617" s="141">
        <f>COUNTIF(X617:AN617,"&lt;&gt;0")</f>
        <v>1</v>
      </c>
      <c r="BB617">
        <f>COUNTIF(X617:AE617,"&lt;&gt;0")</f>
        <v>0</v>
      </c>
      <c r="BC617">
        <f>COUNTIF(AF617:AK617,"&lt;&gt;0")</f>
        <v>1</v>
      </c>
      <c r="BD617">
        <f>COUNTIF(AL617:AN617,"&lt;&gt;0")</f>
        <v>0</v>
      </c>
      <c r="BE617">
        <f>COUNTIF(AU617:AY617,"&lt;&gt;0")</f>
        <v>0</v>
      </c>
      <c r="BF617">
        <f>COUNTIF(AO617:AT617,"&lt;&gt;0")</f>
        <v>0</v>
      </c>
      <c r="BG617" t="str" cm="1">
        <f t="array" ref="BG617">IF(BA617=1,INDEX($X$7:$AN$7,MATCH(TRUE,INDEX($X617:$AY617&lt;&gt;0,),0)),IF(BA617=0,INDEX($AO$7:$AY$7,MATCH(1,$AO617:$AY617,0)),IF(BH617="Multiple strategies","mixed drivers",IF(BH617="Supply chain","multiple supply","multiple silviculture"))))</f>
        <v>location of industry</v>
      </c>
      <c r="BH617" s="2" t="str" cm="1">
        <f t="array" ref="BH617">IF(COUNTIF(BB617:BD617,"&lt;&gt;0")=1,INDEX($X$4:$AY$4,MATCH(TRUE,INDEX($X617:$AY617&lt;&gt;0,),0)),IF(COUNTIF(BB617:BD617,"&lt;&gt;0")=0,INDEX($AO$4:$AY$4,MATCH(1,$AO617:$AY617,0)),"Multiple strategies"))</f>
        <v>Supply chain</v>
      </c>
      <c r="BI617" s="142" t="s">
        <v>321</v>
      </c>
      <c r="BJ617" s="160" t="s">
        <v>1329</v>
      </c>
      <c r="BK617" s="160" t="s">
        <v>1330</v>
      </c>
      <c r="BL617" s="143" t="s">
        <v>498</v>
      </c>
      <c r="BM617" s="143">
        <v>944</v>
      </c>
      <c r="BN617" s="143">
        <v>1600</v>
      </c>
      <c r="BO617">
        <f>IFERROR(BN619/BM617,"")</f>
        <v>11501588.983050847</v>
      </c>
      <c r="BP617">
        <f>BN617-BM617</f>
        <v>656</v>
      </c>
      <c r="BQ617" s="159">
        <f>BP617</f>
        <v>656</v>
      </c>
      <c r="BR617" s="155" t="s">
        <v>232</v>
      </c>
      <c r="BS617" s="155" t="s">
        <v>1331</v>
      </c>
      <c r="BT617" s="155" t="s">
        <v>805</v>
      </c>
      <c r="BU617" s="143" t="s">
        <v>1335</v>
      </c>
      <c r="BV617" t="s">
        <v>1348</v>
      </c>
      <c r="BW617" s="144">
        <f>BV617/BU617</f>
        <v>1.588532148461999</v>
      </c>
      <c r="BX617">
        <f>BV617-BU617</f>
        <v>-4.0671352777777994</v>
      </c>
      <c r="BZ617">
        <f>BX617</f>
        <v>-4.0671352777777994</v>
      </c>
      <c r="CA617">
        <f>IFERROR(BZ617/BQ617,"")</f>
        <v>-6.1999013380759135E-3</v>
      </c>
      <c r="CB617">
        <v>0</v>
      </c>
      <c r="CC617">
        <v>0</v>
      </c>
      <c r="CD617">
        <v>0</v>
      </c>
      <c r="CE617">
        <v>0</v>
      </c>
      <c r="CF617">
        <v>0</v>
      </c>
      <c r="CG617">
        <v>0</v>
      </c>
      <c r="CH617">
        <v>0</v>
      </c>
      <c r="CI617">
        <v>0</v>
      </c>
      <c r="CJ617">
        <v>0</v>
      </c>
      <c r="CK617">
        <v>0</v>
      </c>
      <c r="CL617">
        <v>0</v>
      </c>
      <c r="CM617">
        <v>0</v>
      </c>
      <c r="CN617">
        <v>0</v>
      </c>
      <c r="CO617">
        <v>0</v>
      </c>
      <c r="CP617" t="str">
        <f>IF($BN617&lt;$BM617,"refNeedCorrection","refOK")</f>
        <v>refOK</v>
      </c>
      <c r="CQ617">
        <f>IF($CP617="refOK",$BM617,$BN617)</f>
        <v>944</v>
      </c>
      <c r="CR617">
        <f>IF($CP617="refOK",$BN617,$BM617)</f>
        <v>1600</v>
      </c>
      <c r="CS617">
        <f>IF($CP617="refOK",$BQ617,-$BQ617)</f>
        <v>656</v>
      </c>
      <c r="CT617">
        <f>IF(BI617="Roundwood",$CS617/2,$CS617)</f>
        <v>328</v>
      </c>
      <c r="CU617">
        <f>IF($CP617="refOK",$BU617,$BV617)*IF($BR617="Emissions positive",-1,1)</f>
        <v>-6.9106424999999998</v>
      </c>
      <c r="CV617">
        <f>IF($CP617="refOK",$BV617,$BU617)*IF($BR617="Emissions positive",-1,1)</f>
        <v>-10.977777777777799</v>
      </c>
      <c r="CW617">
        <f>IF($CP617="refNeedCorrection",-BZ617,BZ617)*IF($BR617="Emissions positive",-1,1)</f>
        <v>-4.0671352777777994</v>
      </c>
      <c r="CX617">
        <f>IFERROR($CW617/$CS617,"")</f>
        <v>-6.1999013380759135E-3</v>
      </c>
      <c r="CY617">
        <f>IFERROR($CW617/$CS617,"")</f>
        <v>-6.1999013380759135E-3</v>
      </c>
      <c r="CZ617">
        <f>IFERROR($CW617/$CT617,"")</f>
        <v>-1.2399802676151827E-2</v>
      </c>
      <c r="DA617" s="2">
        <f>IFERROR((CV617-CU617)/ABS(CU617),"")</f>
        <v>-0.58853214846199897</v>
      </c>
      <c r="DB617" s="320" t="s">
        <v>1334</v>
      </c>
      <c r="DC617" s="317" t="str">
        <f>IF(OR($DB617="prd",$DB617="std",$DB617="cit"),"loc",IF(OR($DB617="eur",$DB617="reg",$DB617="coy"),"reg",$DB617))</f>
        <v>reg</v>
      </c>
      <c r="DD617" s="321" t="s">
        <v>729</v>
      </c>
      <c r="DF617" s="143"/>
      <c r="DG617" s="143">
        <v>0</v>
      </c>
      <c r="DH617" t="str">
        <f>IF(DG617=0,"0",IF(AND(DG617&gt;=1,DG617&lt;=30),"1-30",IF(AND(DG617&gt;30,DG617&lt;=70),"31-70",IF(AND(DG617&gt;70,DG617&lt;=100),"71-100",IF(DG617&gt;100,"+100")))))</f>
        <v>0</v>
      </c>
      <c r="DI617">
        <v>0</v>
      </c>
      <c r="DJ617">
        <v>1</v>
      </c>
      <c r="DK617">
        <v>0</v>
      </c>
      <c r="DL617">
        <v>0</v>
      </c>
      <c r="DM617">
        <v>0</v>
      </c>
      <c r="DN617">
        <f>SUM(DI617:DM617)</f>
        <v>1</v>
      </c>
      <c r="DO617" t="str">
        <f>IF(DN617=1,INDEX($DI$7:$DL$7,MATCH(1,$DI617:$DL617,0)),"mixedProduct")</f>
        <v>EnergyInput</v>
      </c>
      <c r="DP617">
        <f>IF(DI617=1,DP$7,0)</f>
        <v>0</v>
      </c>
      <c r="DQ617" t="str">
        <f>IF(DJ617=1,DQ$7,0)</f>
        <v>Energy</v>
      </c>
      <c r="DR617">
        <f>IF(DK617=1,DR$7,0)</f>
        <v>0</v>
      </c>
      <c r="DS617">
        <f>IF(DL617=1,DS$7,0)</f>
        <v>0</v>
      </c>
      <c r="DT617">
        <v>0</v>
      </c>
      <c r="DU617" s="143">
        <v>0</v>
      </c>
      <c r="DV617" s="143">
        <v>0</v>
      </c>
      <c r="DW617">
        <v>0</v>
      </c>
      <c r="DX617" s="143">
        <v>0</v>
      </c>
      <c r="DY617">
        <f>SUM(DT617:DU617)</f>
        <v>0</v>
      </c>
      <c r="DZ617" s="143" t="str">
        <f>IF(DT617=1,"self-calculated DF",IF(DU617=1,"external DF used","explicit C balance"))</f>
        <v>explicit C balance</v>
      </c>
      <c r="EA617" s="143">
        <v>0</v>
      </c>
      <c r="EB617" s="143">
        <v>0</v>
      </c>
      <c r="EC617" s="143">
        <v>0</v>
      </c>
      <c r="ED617" s="143">
        <v>0</v>
      </c>
      <c r="EE617">
        <v>0</v>
      </c>
      <c r="EF617" s="143">
        <v>0</v>
      </c>
      <c r="EG617" s="143">
        <v>0</v>
      </c>
      <c r="EH617" s="143">
        <v>1</v>
      </c>
      <c r="EI617" s="143">
        <v>0</v>
      </c>
      <c r="EJ617">
        <v>1</v>
      </c>
      <c r="EK617">
        <v>0</v>
      </c>
      <c r="EL617" s="143">
        <v>0</v>
      </c>
      <c r="EM617" s="143">
        <v>0</v>
      </c>
      <c r="EN617" s="2">
        <v>0</v>
      </c>
      <c r="EP617" t="str">
        <f>IF(AND(AND(AND(OR($EC617=1,$EB617=1),OR($EH617=1,$EF617=1)),SUM($EA617:$EE617,$EK617)&gt;=3),SUM($EF617:$EJ617)&gt;=2),"Whole sector approach","")</f>
        <v/>
      </c>
      <c r="EQ617" t="str">
        <f>IF(AND(AND(OR($EC617=1,$EB617=1),AND($EH617=0,$EF617=0)),SUM($EA617:$EE617,$EK617)&gt;=3),"Ecosystem approach","")</f>
        <v/>
      </c>
      <c r="ER617" s="2" t="str">
        <f>IF(AND(AND(AND($EC617=0,$EB617=0),OR($EH617=1,$EF617=1)),SUM($EG617:$EJ617)&gt;=2),"Technology approach","")</f>
        <v>Technology approach</v>
      </c>
      <c r="ES617" t="str">
        <f>IF(AND($EC617+$EB617+$EE617+$EA617+$ED617+$EG617=0,$N617="included"),"C neutral forest and HWP assumption","")</f>
        <v>C neutral forest and HWP assumption</v>
      </c>
      <c r="ET617" t="str">
        <f>IF(AND(AND(AND(AND($EC617=1,$EB617+$EA617+$EG617&gt;=1),$EF617=1),$EH617+$EI617+$ED617+$EE617&gt;=2),$N617="included"),"All C pools assumption","")</f>
        <v/>
      </c>
      <c r="EU617" t="str">
        <f>IF(AND($ED617+$EE617+$EI617+$EH617+$EF617=0,$N617="included"),"In-situ only assumption","")</f>
        <v/>
      </c>
      <c r="EY617" t="str">
        <f>IF(ISNUMBER(BW617),IF(ABS(BW617-[4]QC_indicators!$B$2)&gt;3*[4]QC_indicators!$C$2,"C ratio",IF(ISNUMBER(CA617),IF(ABS(CA617-[4]QC_indicators!$B$1)&gt;3*[4]QC_indicators!$C$1,"DF","no"))),IF(ISNUMBER(CA617),IF(ABS(CA617-[4]QC_indicators!$B$1)&gt;3*[4]QC_indicators!$C$1,"DF","no")))</f>
        <v>no</v>
      </c>
      <c r="FA617" t="str">
        <f>IF(LEN($CY617)=0,"",IF(AND($CY617&lt;(-0.05),$ES617="C neutral forest and HWP assumption"),"Cneutral paradox",IF(AND($CY617&gt;0.05,$EU617="In-situ only assumption"),"In-situ only paradox","")))</f>
        <v/>
      </c>
      <c r="FB617" s="149"/>
    </row>
    <row r="618" spans="1:161" ht="15" hidden="1" customHeight="1">
      <c r="A618" s="1" t="s">
        <v>1233</v>
      </c>
      <c r="B618" t="s">
        <v>1904</v>
      </c>
      <c r="C618" t="s">
        <v>1905</v>
      </c>
      <c r="D618" t="s">
        <v>1906</v>
      </c>
      <c r="E618" t="s">
        <v>1907</v>
      </c>
      <c r="F618" t="s">
        <v>1908</v>
      </c>
      <c r="G618" t="s">
        <v>1239</v>
      </c>
      <c r="H618" t="s">
        <v>1484</v>
      </c>
      <c r="I618">
        <v>2004</v>
      </c>
      <c r="J618">
        <v>53</v>
      </c>
      <c r="K618" t="s">
        <v>1909</v>
      </c>
      <c r="M618" t="str">
        <f>LEFT($D618,FIND(",",$D618)-1)&amp;"_"&amp;I618&amp;L618</f>
        <v>Phat_2004</v>
      </c>
      <c r="N618" t="s">
        <v>222</v>
      </c>
      <c r="O618" s="171" t="s">
        <v>508</v>
      </c>
      <c r="P618" s="141" t="s">
        <v>225</v>
      </c>
      <c r="Q618" t="s">
        <v>389</v>
      </c>
      <c r="R618" s="2" t="s">
        <v>274</v>
      </c>
      <c r="S618" s="1" t="s">
        <v>1910</v>
      </c>
      <c r="T618" t="s">
        <v>1911</v>
      </c>
      <c r="U618" t="s">
        <v>1912</v>
      </c>
      <c r="V618" s="253">
        <v>0</v>
      </c>
      <c r="W618" s="253">
        <v>0</v>
      </c>
      <c r="X618">
        <v>0</v>
      </c>
      <c r="Y618">
        <v>0</v>
      </c>
      <c r="Z618">
        <v>0</v>
      </c>
      <c r="AA618">
        <v>1</v>
      </c>
      <c r="AB618">
        <v>0</v>
      </c>
      <c r="AC618">
        <v>0</v>
      </c>
      <c r="AD618">
        <v>0</v>
      </c>
      <c r="AE618">
        <v>0</v>
      </c>
      <c r="AF618">
        <v>1</v>
      </c>
      <c r="AG618">
        <v>0</v>
      </c>
      <c r="AH618">
        <v>0</v>
      </c>
      <c r="AI618">
        <v>0</v>
      </c>
      <c r="AJ618">
        <v>0</v>
      </c>
      <c r="AK618">
        <v>0</v>
      </c>
      <c r="AM618">
        <v>0</v>
      </c>
      <c r="AN618">
        <v>0</v>
      </c>
      <c r="AO618">
        <v>0</v>
      </c>
      <c r="AP618">
        <v>0</v>
      </c>
      <c r="AQ618">
        <v>0</v>
      </c>
      <c r="AR618">
        <v>0</v>
      </c>
      <c r="AS618">
        <v>0</v>
      </c>
      <c r="AT618">
        <v>0</v>
      </c>
      <c r="AU618">
        <v>0</v>
      </c>
      <c r="AV618">
        <v>0</v>
      </c>
      <c r="AW618">
        <v>0</v>
      </c>
      <c r="AX618">
        <v>0</v>
      </c>
      <c r="AY618">
        <v>0</v>
      </c>
      <c r="AZ618" s="141">
        <f>COUNTIF(X618:AY618,"&lt;&gt;0")</f>
        <v>3</v>
      </c>
      <c r="BA618" s="141">
        <f>COUNTIF(X618:AN618,"&lt;&gt;0")</f>
        <v>3</v>
      </c>
      <c r="BB618">
        <f>COUNTIF(X618:AE618,"&lt;&gt;0")</f>
        <v>1</v>
      </c>
      <c r="BC618">
        <f>COUNTIF(AF618:AK618,"&lt;&gt;0")</f>
        <v>1</v>
      </c>
      <c r="BD618">
        <f>COUNTIF(AL618:AN618,"&lt;&gt;0")</f>
        <v>1</v>
      </c>
      <c r="BE618">
        <f>COUNTIF(AU618:AY618,"&lt;&gt;0")</f>
        <v>0</v>
      </c>
      <c r="BF618">
        <f>COUNTIF(AO618:AT618,"&lt;&gt;0")</f>
        <v>0</v>
      </c>
      <c r="BG618" t="str">
        <f t="array" ref="BG618">IF(BA618=1,INDEX($X$7:$AN$7,MATCH(TRUE,INDEX($X618:$AY618&lt;&gt;0,),0)),IF(BA618=0,INDEX($AO$7:$AY$7,MATCH(1,$AO618:$AY618,0)),IF(BH618="Multiple strategies","mixed drivers",IF(BH618="Supply chain","multiple supply","multiple silviculture"))))</f>
        <v>mixed drivers</v>
      </c>
      <c r="BH618" s="2" t="str" cm="1">
        <f t="array" ref="BH618">IF(COUNTIF(BB618:BD618,"&lt;&gt;0")=1,INDEX($X$4:$AY$4,MATCH(TRUE,INDEX($X618:$AY618&lt;&gt;0,),0)),IF(COUNTIF(BB618:BD618,"&lt;&gt;0")=0,INDEX($AO$4:$AY$4,MATCH(1,$AO618:$AY618,0)),"Multiple strategies"))</f>
        <v>Multiple strategies</v>
      </c>
      <c r="BI618" s="142" t="s">
        <v>321</v>
      </c>
      <c r="BJ618" t="s">
        <v>1913</v>
      </c>
      <c r="BK618" t="s">
        <v>1914</v>
      </c>
      <c r="BL618" t="s">
        <v>498</v>
      </c>
      <c r="BM618">
        <v>5865000000</v>
      </c>
      <c r="BN618">
        <v>10857500000</v>
      </c>
      <c r="BO618">
        <f>IFERROR(BN618/BM618,"")</f>
        <v>1.851236146632566</v>
      </c>
      <c r="BP618">
        <f>BN618-BM618</f>
        <v>4992500000</v>
      </c>
      <c r="BQ618">
        <f>BN618-BM618</f>
        <v>4992500000</v>
      </c>
      <c r="BR618" t="s">
        <v>232</v>
      </c>
      <c r="BS618" s="260" t="s">
        <v>1919</v>
      </c>
      <c r="BT618" t="s">
        <v>1915</v>
      </c>
      <c r="BU618">
        <v>8.9</v>
      </c>
      <c r="BV618">
        <v>4.3</v>
      </c>
      <c r="BW618" s="144"/>
      <c r="BX618">
        <f>(BV618-BU618)*1000000000</f>
        <v>-4600000000.000001</v>
      </c>
      <c r="BZ618">
        <f>BX618*C_to_CO2</f>
        <v>-16882000000.000004</v>
      </c>
      <c r="CA618">
        <f>IFERROR(BZ618/BQ618,"")</f>
        <v>-3.3814722083124695</v>
      </c>
      <c r="CB618">
        <v>0</v>
      </c>
      <c r="CC618">
        <v>0</v>
      </c>
      <c r="CD618">
        <v>0</v>
      </c>
      <c r="CE618">
        <v>0</v>
      </c>
      <c r="CF618">
        <v>0</v>
      </c>
      <c r="CG618">
        <v>0</v>
      </c>
      <c r="CH618">
        <v>0</v>
      </c>
      <c r="CI618">
        <v>0</v>
      </c>
      <c r="CJ618">
        <v>0</v>
      </c>
      <c r="CK618">
        <v>0</v>
      </c>
      <c r="CL618">
        <v>0</v>
      </c>
      <c r="CM618">
        <v>0</v>
      </c>
      <c r="CN618">
        <v>0</v>
      </c>
      <c r="CO618">
        <v>0</v>
      </c>
      <c r="CP618" t="str">
        <f>IF($BN618&lt;$BM618,"refNeedCorrection","refOK")</f>
        <v>refOK</v>
      </c>
      <c r="CQ618">
        <f>IF($CP618="refOK",$BM618,$BN618)</f>
        <v>5865000000</v>
      </c>
      <c r="CR618">
        <f>IF($CP618="refOK",$BN618,$BM618)</f>
        <v>10857500000</v>
      </c>
      <c r="CS618">
        <f>IF($CP618="refOK",$BQ618,-$BQ618)</f>
        <v>4992500000</v>
      </c>
      <c r="CT618">
        <f>IF(BI618="Roundwood",$CS618/2,$CS618)</f>
        <v>2496250000</v>
      </c>
      <c r="CU618">
        <f>IF($CP618="refOK",$BU618,$BV618)*IF($BR618="Emissions positive",-1,1)</f>
        <v>8.9</v>
      </c>
      <c r="CV618">
        <f>IF($CP618="refOK",$BV618,$BU618)*IF($BR618="Emissions positive",-1,1)</f>
        <v>4.3</v>
      </c>
      <c r="CW618">
        <f>IF($CP618="refNeedCorrection",-BZ618,BZ618)*IF($BR618="Emissions positive",-1,1)</f>
        <v>-16882000000.000004</v>
      </c>
      <c r="CX618">
        <f>IFERROR($CW618/$CS618,"")</f>
        <v>-3.3814722083124695</v>
      </c>
      <c r="CY618">
        <f>IFERROR($CW618/$CS618,"")</f>
        <v>-3.3814722083124695</v>
      </c>
      <c r="CZ618">
        <f>IFERROR($CW618/$CT618,"")</f>
        <v>-6.7629444166249391</v>
      </c>
      <c r="DA618" s="2">
        <f>IFERROR((CV618-CU618)/ABS(CU618),"")</f>
        <v>-0.5168539325842697</v>
      </c>
      <c r="DB618" s="1" t="s">
        <v>1074</v>
      </c>
      <c r="DC618" t="str">
        <f>IF(OR($DB618="prd",$DB618="std",$DB618="cit"),"loc",IF(OR($DB618="eur",$DB618="reg",$DB618="coy"),"reg",$DB618))</f>
        <v>reg</v>
      </c>
      <c r="DD618" t="s">
        <v>1916</v>
      </c>
      <c r="DE618">
        <v>2000</v>
      </c>
      <c r="DF618">
        <v>2050</v>
      </c>
      <c r="DG618">
        <v>50</v>
      </c>
      <c r="DH618" t="str">
        <f>IF(DG618=0,"0",IF(AND(DG618&gt;=1,DG618&lt;=30),"1-30",IF(AND(DG618&gt;30,DG618&lt;=70),"31-70",IF(AND(DG618&gt;70,DG618&lt;=100),"71-100",IF(DG618&gt;100,"+100")))))</f>
        <v>31-70</v>
      </c>
      <c r="DI618">
        <v>1</v>
      </c>
      <c r="DJ618">
        <v>0</v>
      </c>
      <c r="DK618">
        <v>0</v>
      </c>
      <c r="DL618">
        <v>0</v>
      </c>
      <c r="DN618">
        <f>SUM(DI618:DL618)</f>
        <v>1</v>
      </c>
      <c r="DO618" t="str">
        <f>IF(DN618=1,INDEX($DI$7:$DL$7,MATCH(1,$DI618:$DL618,0)),"mixedProduct")</f>
        <v>UpstreamInput</v>
      </c>
      <c r="DP618" t="str">
        <f>IF(DI618=1,DP$7,0)</f>
        <v>Upstream</v>
      </c>
      <c r="DQ618">
        <f>IF(DJ618=1,DQ$7,0)</f>
        <v>0</v>
      </c>
      <c r="DR618">
        <f>IF(DK618=1,DR$7,0)</f>
        <v>0</v>
      </c>
      <c r="DS618">
        <f>IF(DL618=1,DS$7,0)</f>
        <v>0</v>
      </c>
      <c r="DT618">
        <v>0</v>
      </c>
      <c r="DU618">
        <v>0</v>
      </c>
      <c r="DV618">
        <v>0</v>
      </c>
      <c r="DW618">
        <v>0</v>
      </c>
      <c r="DX618">
        <v>0</v>
      </c>
      <c r="DY618">
        <f>SUM(DT618:DU618)</f>
        <v>0</v>
      </c>
      <c r="DZ618" s="143" t="str">
        <f>IF(DT618=1,"self-calculated DF",IF(DU618=1,"external DF used","explicit C balance"))</f>
        <v>explicit C balance</v>
      </c>
      <c r="EA618">
        <v>0</v>
      </c>
      <c r="EB618">
        <v>0</v>
      </c>
      <c r="EC618">
        <v>1</v>
      </c>
      <c r="ED618">
        <v>1</v>
      </c>
      <c r="EE618">
        <v>1</v>
      </c>
      <c r="EF618" s="143">
        <v>0</v>
      </c>
      <c r="EG618">
        <v>0</v>
      </c>
      <c r="EH618">
        <v>0</v>
      </c>
      <c r="EI618">
        <v>0</v>
      </c>
      <c r="EJ618">
        <v>0</v>
      </c>
      <c r="EK618">
        <v>0</v>
      </c>
      <c r="EL618" s="143">
        <v>0</v>
      </c>
      <c r="EM618" s="143">
        <v>1</v>
      </c>
      <c r="EN618" s="2">
        <v>0</v>
      </c>
      <c r="EP618" t="str">
        <f>IF(AND(AND(AND(OR($EC618=1,$EB618=1),OR($EH618=1,$EF618=1)),SUM($EA618:$EE618,$EK618)&gt;=3),SUM($EF618:$EJ618)&gt;=2),"Whole sector approach","")</f>
        <v/>
      </c>
      <c r="EQ618" t="str">
        <f>IF(AND(AND(OR($EC618=1,$EB618=1),AND($EH618=0,$EF618=0)),SUM($EA618:$EE618,$EK618)&gt;=4),"Ecosystem approach","")</f>
        <v/>
      </c>
      <c r="ER618" s="2" t="str">
        <f>IF(AND(AND(AND($EC618=0,$EB618=0),OR($EH618=1,$EF618=1)),SUM($EG618:$EJ618)&gt;=2),"Technology approach","")</f>
        <v/>
      </c>
      <c r="ES618" t="str">
        <f>IF(AND($EC618+$EB618+$EE618+$EA618+$ED618+$EG618=0,$N618="included"),"C neutral forest and HWP assumption","")</f>
        <v/>
      </c>
      <c r="ET618" t="str">
        <f>IF(AND(AND(AND(AND($EC618=1,$EB618+$EA618+$EG618&gt;=1),$EF618=1),$EH618+$EI618+$ED618+$EE618&gt;=2),$N618="included"),"All C pools assumption","")</f>
        <v/>
      </c>
      <c r="EU618" t="str">
        <f>IF(AND($ED618+$EE618+$EI618+$EH618+$EF618=0,$N618="included"),"In-situ only assumption","")</f>
        <v/>
      </c>
      <c r="EY618" t="str">
        <f>IF(ISNUMBER(BW618),IF(ABS(BW618-[3]QC_indicators!$B$2)&gt;3*[3]QC_indicators!$C$2,"C ratio",IF(ISNUMBER(CA618),IF(ABS(CA618-[3]QC_indicators!$B$1)&gt;3*[3]QC_indicators!$C$1,"DF","no"))),IF(ISNUMBER(CA618),IF(ABS(CA618-[3]QC_indicators!$B$1)&gt;3*[3]QC_indicators!$C$1,"DF","no")))</f>
        <v>no</v>
      </c>
      <c r="FA618" t="str">
        <f>IF(LEN($CY618)=0,"",IF(AND($CY618&lt;(-0.05),$ES618="C neutral forest and HWP assumption"),"Cneutral paradox",IF(AND($CY618&gt;0.05,$EU618="In-situ only assumption"),"In-situ only paradox","")))</f>
        <v/>
      </c>
      <c r="FD618" s="260" t="s">
        <v>2946</v>
      </c>
      <c r="FE618" s="260"/>
    </row>
    <row r="619" spans="1:161" ht="15" hidden="1" customHeight="1">
      <c r="A619" s="1" t="s">
        <v>1233</v>
      </c>
      <c r="B619" t="s">
        <v>1904</v>
      </c>
      <c r="C619" t="s">
        <v>1905</v>
      </c>
      <c r="D619" t="s">
        <v>1906</v>
      </c>
      <c r="E619" t="s">
        <v>1907</v>
      </c>
      <c r="F619" t="s">
        <v>1908</v>
      </c>
      <c r="G619" t="s">
        <v>1239</v>
      </c>
      <c r="H619" t="s">
        <v>1484</v>
      </c>
      <c r="I619">
        <v>2004</v>
      </c>
      <c r="J619">
        <v>53</v>
      </c>
      <c r="K619" t="s">
        <v>1909</v>
      </c>
      <c r="M619" t="str">
        <f>LEFT($D619,FIND(",",$D619)-1)&amp;"_"&amp;I619&amp;L619</f>
        <v>Phat_2004</v>
      </c>
      <c r="N619" t="s">
        <v>222</v>
      </c>
      <c r="O619" s="171" t="s">
        <v>508</v>
      </c>
      <c r="P619" s="141" t="s">
        <v>225</v>
      </c>
      <c r="Q619" t="s">
        <v>389</v>
      </c>
      <c r="R619" s="2" t="s">
        <v>274</v>
      </c>
      <c r="S619" s="1" t="s">
        <v>1917</v>
      </c>
      <c r="T619" t="s">
        <v>1918</v>
      </c>
      <c r="U619" t="s">
        <v>1912</v>
      </c>
      <c r="V619" s="253">
        <v>0</v>
      </c>
      <c r="W619" s="253">
        <v>0</v>
      </c>
      <c r="X619">
        <v>0</v>
      </c>
      <c r="Y619">
        <v>0</v>
      </c>
      <c r="Z619">
        <v>0</v>
      </c>
      <c r="AA619">
        <v>1</v>
      </c>
      <c r="AB619">
        <v>0</v>
      </c>
      <c r="AC619">
        <v>0</v>
      </c>
      <c r="AD619">
        <v>0</v>
      </c>
      <c r="AE619">
        <v>0</v>
      </c>
      <c r="AF619">
        <v>1</v>
      </c>
      <c r="AG619">
        <v>0</v>
      </c>
      <c r="AH619">
        <v>0</v>
      </c>
      <c r="AI619">
        <v>0</v>
      </c>
      <c r="AJ619">
        <v>0</v>
      </c>
      <c r="AK619">
        <v>0</v>
      </c>
      <c r="AL619">
        <v>1</v>
      </c>
      <c r="AM619">
        <v>0</v>
      </c>
      <c r="AN619">
        <v>0</v>
      </c>
      <c r="AO619">
        <v>0</v>
      </c>
      <c r="AP619">
        <v>0</v>
      </c>
      <c r="AQ619">
        <v>0</v>
      </c>
      <c r="AR619">
        <v>0</v>
      </c>
      <c r="AS619">
        <v>0</v>
      </c>
      <c r="AT619">
        <v>0</v>
      </c>
      <c r="AU619">
        <v>0</v>
      </c>
      <c r="AV619">
        <v>0</v>
      </c>
      <c r="AW619">
        <v>0</v>
      </c>
      <c r="AX619">
        <v>0</v>
      </c>
      <c r="AY619">
        <v>0</v>
      </c>
      <c r="AZ619" s="141">
        <f>COUNTIF(X619:AY619,"&lt;&gt;0")</f>
        <v>3</v>
      </c>
      <c r="BA619" s="141">
        <f>COUNTIF(X619:AN619,"&lt;&gt;0")</f>
        <v>3</v>
      </c>
      <c r="BB619">
        <f>COUNTIF(X619:AE619,"&lt;&gt;0")</f>
        <v>1</v>
      </c>
      <c r="BC619">
        <f>COUNTIF(AF619:AK619,"&lt;&gt;0")</f>
        <v>1</v>
      </c>
      <c r="BD619">
        <f>COUNTIF(AL619:AN619,"&lt;&gt;0")</f>
        <v>1</v>
      </c>
      <c r="BE619">
        <f>COUNTIF(AU619:AY619,"&lt;&gt;0")</f>
        <v>0</v>
      </c>
      <c r="BF619">
        <f>COUNTIF(AO619:AT619,"&lt;&gt;0")</f>
        <v>0</v>
      </c>
      <c r="BG619" t="str">
        <f t="array" ref="BG619">IF(BA619=1,INDEX($X$7:$AN$7,MATCH(TRUE,INDEX($X619:$AY619&lt;&gt;0,),0)),IF(BA619=0,INDEX($AO$7:$AY$7,MATCH(1,$AO619:$AY619,0)),IF(BH619="Multiple strategies","mixed drivers",IF(BH619="Supply chain","multiple supply","multiple silviculture"))))</f>
        <v>mixed drivers</v>
      </c>
      <c r="BH619" s="2" t="str" cm="1">
        <f t="array" ref="BH619">IF(COUNTIF(BB619:BD619,"&lt;&gt;0")=1,INDEX($X$4:$AY$4,MATCH(TRUE,INDEX($X619:$AY619&lt;&gt;0,),0)),IF(COUNTIF(BB619:BD619,"&lt;&gt;0")=0,INDEX($AO$4:$AY$4,MATCH(1,$AO619:$AY619,0)),"Multiple strategies"))</f>
        <v>Multiple strategies</v>
      </c>
      <c r="BI619" s="142" t="s">
        <v>321</v>
      </c>
      <c r="BJ619" t="s">
        <v>1913</v>
      </c>
      <c r="BK619" t="s">
        <v>1914</v>
      </c>
      <c r="BL619" t="s">
        <v>498</v>
      </c>
      <c r="BM619">
        <v>7280000000</v>
      </c>
      <c r="BN619">
        <v>10857500000</v>
      </c>
      <c r="BO619">
        <f>IFERROR(BN619/BM619,"")</f>
        <v>1.4914148351648351</v>
      </c>
      <c r="BP619">
        <f>BN619-BM619</f>
        <v>3577500000</v>
      </c>
      <c r="BQ619">
        <f>BN619-BM619</f>
        <v>3577500000</v>
      </c>
      <c r="BR619" t="s">
        <v>232</v>
      </c>
      <c r="BS619" t="s">
        <v>1919</v>
      </c>
      <c r="BT619" t="s">
        <v>1915</v>
      </c>
      <c r="BU619">
        <v>9.8000000000000007</v>
      </c>
      <c r="BV619">
        <v>4.3</v>
      </c>
      <c r="BW619" s="144"/>
      <c r="BX619">
        <f>(BV619-BU619)*1000000000</f>
        <v>-5500000000.000001</v>
      </c>
      <c r="BZ619">
        <f>BX619*C_to_CO2</f>
        <v>-20185000000.000004</v>
      </c>
      <c r="CA619">
        <f>IFERROR(BZ619/BQ619,"")</f>
        <v>-5.6422082459818323</v>
      </c>
      <c r="CB619">
        <v>0</v>
      </c>
      <c r="CC619">
        <v>0</v>
      </c>
      <c r="CD619">
        <v>0</v>
      </c>
      <c r="CE619">
        <v>0</v>
      </c>
      <c r="CF619">
        <v>0</v>
      </c>
      <c r="CG619">
        <v>0</v>
      </c>
      <c r="CH619">
        <v>0</v>
      </c>
      <c r="CI619">
        <v>0</v>
      </c>
      <c r="CJ619">
        <v>0</v>
      </c>
      <c r="CK619">
        <v>0</v>
      </c>
      <c r="CL619">
        <v>0</v>
      </c>
      <c r="CM619">
        <v>0</v>
      </c>
      <c r="CN619">
        <v>0</v>
      </c>
      <c r="CO619">
        <v>0</v>
      </c>
      <c r="CP619" t="str">
        <f>IF($BN619&lt;$BM619,"refNeedCorrection","refOK")</f>
        <v>refOK</v>
      </c>
      <c r="CQ619">
        <f>IF($CP619="refOK",$BM619,$BN619)</f>
        <v>7280000000</v>
      </c>
      <c r="CR619">
        <f>IF($CP619="refOK",$BN619,$BM619)</f>
        <v>10857500000</v>
      </c>
      <c r="CS619">
        <f>IF($CP619="refOK",$BQ619,-$BQ619)</f>
        <v>3577500000</v>
      </c>
      <c r="CT619">
        <f>IF(BI619="Roundwood",$CS619/2,$CS619)</f>
        <v>1788750000</v>
      </c>
      <c r="CU619">
        <f>IF($CP619="refOK",$BU619,$BV619)*IF($BR619="Emissions positive",-1,1)</f>
        <v>9.8000000000000007</v>
      </c>
      <c r="CV619">
        <f>IF($CP619="refOK",$BV619,$BU619)*IF($BR619="Emissions positive",-1,1)</f>
        <v>4.3</v>
      </c>
      <c r="CW619">
        <f>IF($CP619="refNeedCorrection",-BZ619,BZ619)*IF($BR619="Emissions positive",-1,1)</f>
        <v>-20185000000.000004</v>
      </c>
      <c r="CX619">
        <f>IFERROR($CW619/$CS619,"")</f>
        <v>-5.6422082459818323</v>
      </c>
      <c r="CY619">
        <f>IFERROR($CW619/$CS619,"")</f>
        <v>-5.6422082459818323</v>
      </c>
      <c r="CZ619">
        <f>IFERROR($CW619/$CT619,"")</f>
        <v>-11.284416491963665</v>
      </c>
      <c r="DA619" s="2">
        <f>IFERROR((CV619-CU619)/ABS(CU619),"")</f>
        <v>-0.56122448979591844</v>
      </c>
      <c r="DB619" s="1" t="s">
        <v>1074</v>
      </c>
      <c r="DC619" t="str">
        <f>IF(OR($DB619="prd",$DB619="std",$DB619="cit"),"loc",IF(OR($DB619="eur",$DB619="reg",$DB619="coy"),"reg",$DB619))</f>
        <v>reg</v>
      </c>
      <c r="DD619" t="s">
        <v>1916</v>
      </c>
      <c r="DE619">
        <v>2000</v>
      </c>
      <c r="DF619">
        <v>2050</v>
      </c>
      <c r="DG619">
        <v>50</v>
      </c>
      <c r="DH619" t="str">
        <f>IF(DG619=0,"0",IF(AND(DG619&gt;=1,DG619&lt;=30),"1-30",IF(AND(DG619&gt;30,DG619&lt;=70),"31-70",IF(AND(DG619&gt;70,DG619&lt;=100),"71-100",IF(DG619&gt;100,"+100")))))</f>
        <v>31-70</v>
      </c>
      <c r="DI619">
        <v>1</v>
      </c>
      <c r="DJ619">
        <v>0</v>
      </c>
      <c r="DK619">
        <v>0</v>
      </c>
      <c r="DL619">
        <v>0</v>
      </c>
      <c r="DN619">
        <f>SUM(DI619:DL619)</f>
        <v>1</v>
      </c>
      <c r="DO619" t="str">
        <f>IF(DN619=1,INDEX($DI$7:$DL$7,MATCH(1,$DI619:$DL619,0)),"mixedProduct")</f>
        <v>UpstreamInput</v>
      </c>
      <c r="DP619" t="str">
        <f>IF(DI619=1,DP$7,0)</f>
        <v>Upstream</v>
      </c>
      <c r="DQ619">
        <f>IF(DJ619=1,DQ$7,0)</f>
        <v>0</v>
      </c>
      <c r="DR619">
        <f>IF(DK619=1,DR$7,0)</f>
        <v>0</v>
      </c>
      <c r="DS619">
        <f>IF(DL619=1,DS$7,0)</f>
        <v>0</v>
      </c>
      <c r="DT619">
        <v>0</v>
      </c>
      <c r="DU619">
        <v>0</v>
      </c>
      <c r="DV619">
        <v>0</v>
      </c>
      <c r="DW619">
        <v>0</v>
      </c>
      <c r="DX619">
        <v>0</v>
      </c>
      <c r="DY619">
        <f>SUM(DT619:DU619)</f>
        <v>0</v>
      </c>
      <c r="DZ619" s="143" t="str">
        <f>IF(DT619=1,"self-calculated DF",IF(DU619=1,"external DF used","explicit C balance"))</f>
        <v>explicit C balance</v>
      </c>
      <c r="EA619">
        <v>0</v>
      </c>
      <c r="EB619">
        <v>0</v>
      </c>
      <c r="EC619">
        <v>1</v>
      </c>
      <c r="ED619">
        <v>1</v>
      </c>
      <c r="EE619">
        <v>1</v>
      </c>
      <c r="EF619" s="143">
        <v>0</v>
      </c>
      <c r="EG619">
        <v>0</v>
      </c>
      <c r="EH619">
        <v>0</v>
      </c>
      <c r="EI619">
        <v>0</v>
      </c>
      <c r="EJ619">
        <v>0</v>
      </c>
      <c r="EK619">
        <v>0</v>
      </c>
      <c r="EL619" s="143">
        <v>0</v>
      </c>
      <c r="EM619" s="143">
        <v>1</v>
      </c>
      <c r="EN619" s="2">
        <v>0</v>
      </c>
      <c r="EP619" t="str">
        <f>IF(AND(AND(AND(OR($EC619=1,$EB619=1),OR($EH619=1,$EF619=1)),SUM($EA619:$EE619,$EK619)&gt;=3),SUM($EF619:$EJ619)&gt;=2),"Whole sector approach","")</f>
        <v/>
      </c>
      <c r="EQ619" t="str">
        <f>IF(AND(AND(OR($EC619=1,$EB619=1),AND($EH619=0,$EF619=0)),SUM($EA619:$EE619,$EK619)&gt;=4),"Ecosystem approach","")</f>
        <v/>
      </c>
      <c r="ER619" s="2" t="str">
        <f>IF(AND(AND(AND($EC619=0,$EB619=0),OR($EH619=1,$EF619=1)),SUM($EG619:$EJ619)&gt;=2),"Technology approach","")</f>
        <v/>
      </c>
      <c r="ES619" t="str">
        <f>IF(AND($EC619+$EB619+$EE619+$EA619+$ED619+$EG619=0,$N619="included"),"C neutral forest and HWP assumption","")</f>
        <v/>
      </c>
      <c r="ET619" t="str">
        <f>IF(AND(AND(AND(AND($EC619=1,$EB619+$EA619+$EG619&gt;=1),$EF619=1),$EH619+$EI619+$ED619+$EE619&gt;=2),$N619="included"),"All C pools assumption","")</f>
        <v/>
      </c>
      <c r="EU619" t="str">
        <f>IF(AND($ED619+$EE619+$EI619+$EH619+$EF619=0,$N619="included"),"In-situ only assumption","")</f>
        <v/>
      </c>
      <c r="EY619" t="str">
        <f>IF(ISNUMBER(BW619),IF(ABS(BW619-[3]QC_indicators!$B$2)&gt;3*[3]QC_indicators!$C$2,"C ratio",IF(ISNUMBER(CA619),IF(ABS(CA619-[3]QC_indicators!$B$1)&gt;3*[3]QC_indicators!$C$1,"DF","no"))),IF(ISNUMBER(CA619),IF(ABS(CA619-[3]QC_indicators!$B$1)&gt;3*[3]QC_indicators!$C$1,"DF","no")))</f>
        <v>no</v>
      </c>
      <c r="FA619" t="str">
        <f>IF(LEN($CY619)=0,"",IF(AND($CY619&lt;(-0.05),$ES619="C neutral forest and HWP assumption"),"Cneutral paradox",IF(AND($CY619&gt;0.05,$EU619="In-situ only assumption"),"In-situ only paradox","")))</f>
        <v/>
      </c>
      <c r="FD619" s="260" t="s">
        <v>2946</v>
      </c>
      <c r="FE619" s="260"/>
    </row>
    <row r="620" spans="1:161" ht="15" hidden="1" customHeight="1">
      <c r="D620" t="s">
        <v>719</v>
      </c>
      <c r="E620" t="s">
        <v>720</v>
      </c>
      <c r="G620" t="s">
        <v>721</v>
      </c>
      <c r="I620">
        <v>2005</v>
      </c>
      <c r="K620" s="156" t="s">
        <v>722</v>
      </c>
      <c r="M620" t="str">
        <f>LEFT($D620,FIND(",",$D620)-1)&amp;"_"&amp;I620&amp;L620</f>
        <v>Gustavsson_2005</v>
      </c>
      <c r="N620" t="s">
        <v>222</v>
      </c>
      <c r="O620" t="s">
        <v>223</v>
      </c>
      <c r="Q620" t="s">
        <v>256</v>
      </c>
      <c r="R620" s="251" t="s">
        <v>225</v>
      </c>
      <c r="S620" s="1" t="s">
        <v>723</v>
      </c>
      <c r="T620" t="s">
        <v>724</v>
      </c>
      <c r="U620" s="260" t="s">
        <v>725</v>
      </c>
      <c r="V620" s="253">
        <v>0</v>
      </c>
      <c r="W620" s="253">
        <v>0</v>
      </c>
      <c r="X620">
        <v>0</v>
      </c>
      <c r="Y620">
        <v>0</v>
      </c>
      <c r="Z620">
        <v>0</v>
      </c>
      <c r="AA620">
        <v>1</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s="141">
        <f>COUNTIF(X620:AY620,"&lt;&gt;0")</f>
        <v>1</v>
      </c>
      <c r="BA620" s="141">
        <f>COUNTIF(X620:AN620,"&lt;&gt;0")</f>
        <v>1</v>
      </c>
      <c r="BB620">
        <f>COUNTIF(X620:AE620,"&lt;&gt;0")</f>
        <v>1</v>
      </c>
      <c r="BC620">
        <f>COUNTIF(AF620:AK620,"&lt;&gt;0")</f>
        <v>0</v>
      </c>
      <c r="BD620">
        <f>COUNTIF(AL620:AN620,"&lt;&gt;0")</f>
        <v>0</v>
      </c>
      <c r="BE620">
        <f>COUNTIF(AU620:AY620,"&lt;&gt;0")</f>
        <v>0</v>
      </c>
      <c r="BF620">
        <f>COUNTIF(AO620:AT620,"&lt;&gt;0")</f>
        <v>0</v>
      </c>
      <c r="BG620" t="str">
        <f t="array" ref="BG620">IF(BA620=1,INDEX($X$7:$AN$7,MATCH(TRUE,INDEX($X620:$AY620&lt;&gt;0,),0)),IF(BA620=0,INDEX($AO$7:$AY$7,MATCH(1,$AO620:$AY620,0)),IF(BH620="Multiple strategies","mixed drivers",IF(BH620="Supply chain","multiple supply","multiple silviculture"))))</f>
        <v xml:space="preserve">cutting intensity </v>
      </c>
      <c r="BH620" s="2" t="str" cm="1">
        <f t="array" ref="BH620">IF(COUNTIF(BB620:BD620,"&lt;&gt;0")=1,INDEX($X$4:$AY$4,MATCH(TRUE,INDEX($X620:$AY620&lt;&gt;0,),0)),IF(COUNTIF(BB620:BD620,"&lt;&gt;0")=0,INDEX($AO$4:$AY$4,MATCH(1,$AO620:$AY620,0)),"Multiple strategies"))</f>
        <v>Silviculture for removals</v>
      </c>
      <c r="BI620" s="259" t="s">
        <v>321</v>
      </c>
      <c r="BJ620" s="260" t="s">
        <v>726</v>
      </c>
      <c r="BK620" s="256" t="s">
        <v>424</v>
      </c>
      <c r="BL620" s="260" t="s">
        <v>727</v>
      </c>
      <c r="BM620" s="260">
        <v>166.8</v>
      </c>
      <c r="BN620" s="260">
        <v>207.5</v>
      </c>
      <c r="BO620" s="260">
        <f>BN620/BM620</f>
        <v>1.2440047961630694</v>
      </c>
      <c r="BP620" s="260">
        <f>BN620-BM620</f>
        <v>40.699999999999989</v>
      </c>
      <c r="BQ620" s="260">
        <f>BP620*t_to_m3</f>
        <v>83.06122448979589</v>
      </c>
      <c r="BR620" t="s">
        <v>232</v>
      </c>
      <c r="BS620" s="335" t="s">
        <v>3008</v>
      </c>
      <c r="BT620" t="s">
        <v>442</v>
      </c>
      <c r="BU620" s="260">
        <v>26.2</v>
      </c>
      <c r="BV620" s="151">
        <v>44.2</v>
      </c>
      <c r="BX620">
        <v>18.000000000000004</v>
      </c>
      <c r="BZ620">
        <f>BX620*C_to_CO2</f>
        <v>66.060000000000016</v>
      </c>
      <c r="CA620">
        <f>IFERROR(BZ620/BQ620,"")</f>
        <v>0.79531695331695373</v>
      </c>
      <c r="CB620" s="143">
        <v>0</v>
      </c>
      <c r="CC620" s="143">
        <v>0</v>
      </c>
      <c r="CD620" s="143">
        <v>0</v>
      </c>
      <c r="CE620" s="143">
        <v>0</v>
      </c>
      <c r="CF620" s="143">
        <v>0</v>
      </c>
      <c r="CG620" s="143">
        <v>0</v>
      </c>
      <c r="CH620" s="143">
        <v>0</v>
      </c>
      <c r="CI620" s="143">
        <v>0</v>
      </c>
      <c r="CJ620" s="143">
        <v>0</v>
      </c>
      <c r="CK620" s="143">
        <v>0</v>
      </c>
      <c r="CL620" s="143">
        <v>0</v>
      </c>
      <c r="CM620" s="143">
        <v>0</v>
      </c>
      <c r="CN620" s="143">
        <v>0</v>
      </c>
      <c r="CO620">
        <v>0</v>
      </c>
      <c r="CP620" t="str">
        <f>IF($BN620&lt;$BM620,"refNeedCorrection","refOK")</f>
        <v>refOK</v>
      </c>
      <c r="CQ620">
        <f>IF($CP620="refOK",$BM620,$BN620)</f>
        <v>166.8</v>
      </c>
      <c r="CR620">
        <f>IF($CP620="refOK",$BN620,$BM620)</f>
        <v>207.5</v>
      </c>
      <c r="CS620">
        <f>IF($CP620="refOK",$BQ620,-$BQ620)</f>
        <v>83.06122448979589</v>
      </c>
      <c r="CT620">
        <f>IF(BI620="Roundwood",$CS620/2,$CS620)</f>
        <v>41.530612244897945</v>
      </c>
      <c r="CU620">
        <f>IF($CP620="refOK",$BU620,$BV620)*IF($BR620="Emissions positive",-1,1)</f>
        <v>26.2</v>
      </c>
      <c r="CV620">
        <f>IF($CP620="refOK",$BV620,$BU620)*IF($BR620="Emissions positive",-1,1)</f>
        <v>44.2</v>
      </c>
      <c r="CW620">
        <f>IF($CP620="refNeedCorrection",-BZ620,BZ620)*IF($BR620="Emissions positive",-1,1)</f>
        <v>66.060000000000016</v>
      </c>
      <c r="CX620">
        <f>IFERROR($CW620/$CS620,"")</f>
        <v>0.79531695331695373</v>
      </c>
      <c r="CY620">
        <f>IFERROR($CW620/$CS620,"")</f>
        <v>0.79531695331695373</v>
      </c>
      <c r="CZ620">
        <f>IFERROR($CW620/$CT620,"")</f>
        <v>1.5906339066339075</v>
      </c>
      <c r="DA620" s="2">
        <f>IFERROR((CV620-CU620)/ABS(CU620),"")</f>
        <v>0.68702290076335892</v>
      </c>
      <c r="DB620" s="1" t="s">
        <v>263</v>
      </c>
      <c r="DC620" t="str">
        <f>IF(OR($DB620="prd",$DB620="std",$DB620="cit"),"loc",IF(OR($DB620="eur",$DB620="reg",$DB620="coy"),"reg",$DB620))</f>
        <v>loc</v>
      </c>
      <c r="DD620" t="s">
        <v>729</v>
      </c>
      <c r="DF620" s="143"/>
      <c r="DG620" s="143">
        <v>0</v>
      </c>
      <c r="DH620" t="str">
        <f>IF(DG620=0,"0",IF(AND(DG620&gt;=1,DG620&lt;=30),"1-30",IF(AND(DG620&gt;30,DG620&lt;=70),"31-70",IF(AND(DG620&gt;70,DG620&lt;=100),"71-100",IF(DG620&gt;100,"+100")))))</f>
        <v>0</v>
      </c>
      <c r="DI620">
        <v>0</v>
      </c>
      <c r="DJ620">
        <v>0</v>
      </c>
      <c r="DK620">
        <v>0</v>
      </c>
      <c r="DL620">
        <v>1</v>
      </c>
      <c r="DN620">
        <f>SUM(DI620:DL620)</f>
        <v>1</v>
      </c>
      <c r="DO620" t="str">
        <f>IF(DN620=1,INDEX($DI$7:$DL$7,MATCH(1,$DI620:$DL620,0)),"mixedProduct")</f>
        <v>TimberInput</v>
      </c>
      <c r="DP620">
        <f>IF(DI620=1,DP$7,0)</f>
        <v>0</v>
      </c>
      <c r="DQ620">
        <f>IF(DJ620=1,DQ$7,0)</f>
        <v>0</v>
      </c>
      <c r="DR620">
        <f>IF(DK620=1,DR$7,0)</f>
        <v>0</v>
      </c>
      <c r="DS620" t="str">
        <f>IF(DL620=1,DS$7,0)</f>
        <v>Timber</v>
      </c>
      <c r="DT620">
        <v>1</v>
      </c>
      <c r="DU620" s="143">
        <v>0</v>
      </c>
      <c r="DV620" s="143">
        <v>0</v>
      </c>
      <c r="DW620">
        <v>0</v>
      </c>
      <c r="DX620" s="143">
        <v>0</v>
      </c>
      <c r="DY620">
        <f>SUM(DT620:DU620)</f>
        <v>1</v>
      </c>
      <c r="DZ620" s="143" t="str">
        <f>IF(DT620=1,"self-calculated DF",IF(DU620=1,"external DF used","explicit C balance"))</f>
        <v>self-calculated DF</v>
      </c>
      <c r="EA620" s="143">
        <v>0</v>
      </c>
      <c r="EB620" s="260">
        <v>1</v>
      </c>
      <c r="EC620" s="260">
        <v>1</v>
      </c>
      <c r="ED620" s="260">
        <v>0</v>
      </c>
      <c r="EE620" s="260">
        <v>0</v>
      </c>
      <c r="EF620" s="260">
        <v>1</v>
      </c>
      <c r="EG620" s="260">
        <v>1</v>
      </c>
      <c r="EH620" s="260">
        <v>1</v>
      </c>
      <c r="EI620" s="143">
        <v>0</v>
      </c>
      <c r="EJ620">
        <v>0</v>
      </c>
      <c r="EK620">
        <v>0</v>
      </c>
      <c r="EL620" s="143">
        <v>0</v>
      </c>
      <c r="EM620" s="143">
        <v>0</v>
      </c>
      <c r="EN620" s="2">
        <v>0</v>
      </c>
      <c r="EP620" t="str">
        <f>IF(AND(AND(AND(OR($EC620=1,$EB620=1),OR($EH620=1,$EF620=1)),SUM($EA620:$EE620,$EK620)&gt;=3),SUM($EF620:$EJ620)&gt;=2),"Whole sector approach","")</f>
        <v/>
      </c>
      <c r="EQ620" t="str">
        <f>IF(AND(AND(OR($EC620=1,$EB620=1),AND($EH620=0,$EF620=0)),SUM($EA620:$EE620,$EK620)&gt;=4),"Ecosystem approach","")</f>
        <v/>
      </c>
      <c r="ER620" s="2" t="str">
        <f>IF(AND(AND(AND($EC620=0,$EB620=0),OR($EH620=1,$EF620=1)),SUM($EG620:$EJ620)&gt;=2),"Technology approach","")</f>
        <v/>
      </c>
      <c r="ES620" t="str">
        <f>IF(AND($EC620+$EB620+$EE620+$EA620+$ED620+$EG620=0,$N620="included"),"C neutral forest and HWP assumption","")</f>
        <v/>
      </c>
      <c r="ET620" t="str">
        <f>IF(AND(AND(AND(AND($EC620=1,$EB620+$EA620+$EG620&gt;=1),$EF620=1),$EH620+$EI620+$ED620+$EE620&gt;=2),$N620="included"),"All C pools assumption","")</f>
        <v/>
      </c>
      <c r="EU620" t="str">
        <f>IF(AND($ED620+$EE620+$EI620+$EH620+$EF620=0,$N620="included"),"In-situ only assumption","")</f>
        <v/>
      </c>
      <c r="EY620" t="str">
        <f>IF(ISNUMBER(BW620),IF(ABS(BW620-[6]QC_indicators!$B$2)&gt;3*[6]QC_indicators!$C$2,"C ratio",IF(ISNUMBER(CA620),IF(ABS(CA620-[6]QC_indicators!$B$1)&gt;3*[6]QC_indicators!$C$1,"DF","no"))),IF(ISNUMBER(CA620),IF(ABS(CA620-[6]QC_indicators!$B$1)&gt;3*[6]QC_indicators!$C$1,"DF","no")))</f>
        <v>no</v>
      </c>
      <c r="FA620" t="str">
        <f>IF(LEN($CY620)=0,"",IF(AND($CY620&lt;(-0.05),$ES620="C neutral forest and HWP assumption"),"Cneutral paradox",IF(AND($CY620&gt;0.05,$EU620="In-situ only assumption"),"In-situ only paradox","")))</f>
        <v/>
      </c>
      <c r="FB620" s="149" t="s">
        <v>349</v>
      </c>
      <c r="FD620" s="260" t="s">
        <v>2948</v>
      </c>
    </row>
    <row r="621" spans="1:161" ht="15" hidden="1" customHeight="1">
      <c r="D621" t="s">
        <v>719</v>
      </c>
      <c r="E621" t="s">
        <v>720</v>
      </c>
      <c r="G621" t="s">
        <v>721</v>
      </c>
      <c r="I621">
        <v>2005</v>
      </c>
      <c r="K621" s="156" t="s">
        <v>722</v>
      </c>
      <c r="M621" t="str">
        <f>LEFT($D621,FIND(",",$D621)-1)&amp;"_"&amp;I621&amp;L621</f>
        <v>Gustavsson_2005</v>
      </c>
      <c r="N621" t="s">
        <v>222</v>
      </c>
      <c r="O621" t="s">
        <v>223</v>
      </c>
      <c r="Q621" t="s">
        <v>256</v>
      </c>
      <c r="R621" s="251" t="s">
        <v>225</v>
      </c>
      <c r="S621" s="1" t="s">
        <v>735</v>
      </c>
      <c r="T621" t="s">
        <v>736</v>
      </c>
      <c r="U621" s="260" t="s">
        <v>737</v>
      </c>
      <c r="V621" s="253">
        <v>0</v>
      </c>
      <c r="W621" s="253">
        <v>0</v>
      </c>
      <c r="X621">
        <v>0</v>
      </c>
      <c r="Y621">
        <v>0</v>
      </c>
      <c r="Z621">
        <v>0</v>
      </c>
      <c r="AA621">
        <v>0</v>
      </c>
      <c r="AB621">
        <v>0</v>
      </c>
      <c r="AC621">
        <v>0</v>
      </c>
      <c r="AD621">
        <v>0</v>
      </c>
      <c r="AE621">
        <v>1</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s="141">
        <f>COUNTIF(X621:AY621,"&lt;&gt;0")</f>
        <v>1</v>
      </c>
      <c r="BA621" s="141">
        <f>COUNTIF(X621:AN621,"&lt;&gt;0")</f>
        <v>1</v>
      </c>
      <c r="BB621">
        <f>COUNTIF(X621:AE621,"&lt;&gt;0")</f>
        <v>1</v>
      </c>
      <c r="BC621">
        <f>COUNTIF(AF621:AK621,"&lt;&gt;0")</f>
        <v>0</v>
      </c>
      <c r="BD621">
        <f>COUNTIF(AL621:AN621,"&lt;&gt;0")</f>
        <v>0</v>
      </c>
      <c r="BE621">
        <f>COUNTIF(AU621:AY621,"&lt;&gt;0")</f>
        <v>0</v>
      </c>
      <c r="BF621">
        <f>COUNTIF(AO621:AT621,"&lt;&gt;0")</f>
        <v>0</v>
      </c>
      <c r="BG621" t="str">
        <f t="array" ref="BG621">IF(BA621=1,INDEX($X$7:$AN$7,MATCH(TRUE,INDEX($X621:$AY621&lt;&gt;0,),0)),IF(BA621=0,INDEX($AO$7:$AY$7,MATCH(1,$AO621:$AY621,0)),IF(BH621="Multiple strategies","mixed drivers",IF(BH621="Supply chain","multiple supply","multiple silviculture"))))</f>
        <v>site fertility</v>
      </c>
      <c r="BH621" s="2" t="str" cm="1">
        <f t="array" ref="BH621">IF(COUNTIF(BB621:BD621,"&lt;&gt;0")=1,INDEX($X$4:$AY$4,MATCH(TRUE,INDEX($X621:$AY621&lt;&gt;0,),0)),IF(COUNTIF(BB621:BD621,"&lt;&gt;0")=0,INDEX($AO$4:$AY$4,MATCH(1,$AO621:$AY621,0)),"Multiple strategies"))</f>
        <v>Silviculture for productivity</v>
      </c>
      <c r="BI621" s="259" t="s">
        <v>321</v>
      </c>
      <c r="BJ621" s="260" t="s">
        <v>726</v>
      </c>
      <c r="BK621" s="260" t="s">
        <v>3011</v>
      </c>
      <c r="BL621" s="260" t="s">
        <v>727</v>
      </c>
      <c r="BM621" s="260">
        <v>107.6</v>
      </c>
      <c r="BN621" s="260">
        <v>107.6</v>
      </c>
      <c r="BO621" s="260">
        <f>BN621/BM621</f>
        <v>1</v>
      </c>
      <c r="BP621" s="260">
        <f>BN621-BM621</f>
        <v>0</v>
      </c>
      <c r="BQ621" s="260">
        <f>BP621*t_to_m3</f>
        <v>0</v>
      </c>
      <c r="BR621" t="s">
        <v>232</v>
      </c>
      <c r="BS621" s="335" t="s">
        <v>3008</v>
      </c>
      <c r="BT621" t="s">
        <v>442</v>
      </c>
      <c r="BU621" s="260">
        <v>16.5</v>
      </c>
      <c r="BV621" s="260">
        <v>-9.1</v>
      </c>
      <c r="BX621">
        <v>-25.6</v>
      </c>
      <c r="BZ621">
        <f>BX621*C_to_CO2</f>
        <v>-93.951999999999998</v>
      </c>
      <c r="CA621" t="str">
        <f>IFERROR(BZ621/BQ621,"")</f>
        <v/>
      </c>
      <c r="CB621" s="143">
        <v>0</v>
      </c>
      <c r="CC621" s="143">
        <v>0</v>
      </c>
      <c r="CD621" s="143">
        <v>0</v>
      </c>
      <c r="CE621" s="143">
        <v>0</v>
      </c>
      <c r="CF621" s="143">
        <v>0</v>
      </c>
      <c r="CG621" s="143">
        <v>0</v>
      </c>
      <c r="CH621" s="143">
        <v>0</v>
      </c>
      <c r="CI621" s="143">
        <v>0</v>
      </c>
      <c r="CJ621" s="143">
        <v>0</v>
      </c>
      <c r="CK621" s="143">
        <v>0</v>
      </c>
      <c r="CL621" s="143">
        <v>0</v>
      </c>
      <c r="CM621" s="143">
        <v>0</v>
      </c>
      <c r="CN621" s="143">
        <v>0</v>
      </c>
      <c r="CO621">
        <v>0</v>
      </c>
      <c r="CP621" t="str">
        <f>IF($BN621&lt;$BM621,"refNeedCorrection","refOK")</f>
        <v>refOK</v>
      </c>
      <c r="CQ621">
        <f>IF($CP621="refOK",$BM621,$BN621)</f>
        <v>107.6</v>
      </c>
      <c r="CR621">
        <f>IF($CP621="refOK",$BN621,$BM621)</f>
        <v>107.6</v>
      </c>
      <c r="CS621">
        <f>IF($CP621="refOK",$BQ621,-$BQ621)</f>
        <v>0</v>
      </c>
      <c r="CT621">
        <f>IF(BI621="Roundwood",$CS621/2,$CS621)</f>
        <v>0</v>
      </c>
      <c r="CU621">
        <f>IF($CP621="refOK",$BU621,$BV621)*IF($BR621="Emissions positive",-1,1)</f>
        <v>16.5</v>
      </c>
      <c r="CV621">
        <f>IF($CP621="refOK",$BV621,$BU621)*IF($BR621="Emissions positive",-1,1)</f>
        <v>-9.1</v>
      </c>
      <c r="CW621">
        <f>IF($CP621="refNeedCorrection",-BZ621,BZ621)*IF($BR621="Emissions positive",-1,1)</f>
        <v>-93.951999999999998</v>
      </c>
      <c r="CX621" t="str">
        <f>IFERROR($CW621/$CS621,"")</f>
        <v/>
      </c>
      <c r="CY621" t="str">
        <f>IFERROR($CW621/$CS621,"")</f>
        <v/>
      </c>
      <c r="CZ621" t="str">
        <f>IFERROR($CW621/$CT621,"")</f>
        <v/>
      </c>
      <c r="DA621" s="2">
        <f>IFERROR((CV621-CU621)/ABS(CU621),"")</f>
        <v>-1.5515151515151515</v>
      </c>
      <c r="DB621" s="1" t="s">
        <v>263</v>
      </c>
      <c r="DC621" t="str">
        <f>IF(OR($DB621="prd",$DB621="std",$DB621="cit"),"loc",IF(OR($DB621="eur",$DB621="reg",$DB621="coy"),"reg",$DB621))</f>
        <v>loc</v>
      </c>
      <c r="DD621" t="s">
        <v>729</v>
      </c>
      <c r="DF621" s="143"/>
      <c r="DG621" s="143">
        <v>0</v>
      </c>
      <c r="DH621" t="str">
        <f>IF(DG621=0,"0",IF(AND(DG621&gt;=1,DG621&lt;=30),"1-30",IF(AND(DG621&gt;30,DG621&lt;=70),"31-70",IF(AND(DG621&gt;70,DG621&lt;=100),"71-100",IF(DG621&gt;100,"+100")))))</f>
        <v>0</v>
      </c>
      <c r="DI621">
        <v>0</v>
      </c>
      <c r="DJ621">
        <v>0</v>
      </c>
      <c r="DK621">
        <v>0</v>
      </c>
      <c r="DL621">
        <v>1</v>
      </c>
      <c r="DN621">
        <f>SUM(DI621:DL621)</f>
        <v>1</v>
      </c>
      <c r="DO621" t="str">
        <f>IF(DN621=1,INDEX($DI$7:$DL$7,MATCH(1,$DI621:$DL621,0)),"mixedProduct")</f>
        <v>TimberInput</v>
      </c>
      <c r="DP621">
        <f>IF(DI621=1,DP$7,0)</f>
        <v>0</v>
      </c>
      <c r="DQ621">
        <f>IF(DJ621=1,DQ$7,0)</f>
        <v>0</v>
      </c>
      <c r="DR621">
        <f>IF(DK621=1,DR$7,0)</f>
        <v>0</v>
      </c>
      <c r="DS621" t="str">
        <f>IF(DL621=1,DS$7,0)</f>
        <v>Timber</v>
      </c>
      <c r="DT621">
        <v>1</v>
      </c>
      <c r="DU621" s="143">
        <v>0</v>
      </c>
      <c r="DV621" s="143">
        <v>0</v>
      </c>
      <c r="DW621">
        <v>0</v>
      </c>
      <c r="DX621" s="143">
        <v>0</v>
      </c>
      <c r="DY621">
        <f>SUM(DT621:DU621)</f>
        <v>1</v>
      </c>
      <c r="DZ621" s="143" t="str">
        <f>IF(DT621=1,"self-calculated DF",IF(DU621=1,"external DF used","explicit C balance"))</f>
        <v>self-calculated DF</v>
      </c>
      <c r="EA621" s="143">
        <v>0</v>
      </c>
      <c r="EB621" s="260">
        <v>1</v>
      </c>
      <c r="EC621" s="260">
        <v>1</v>
      </c>
      <c r="ED621" s="260">
        <v>0</v>
      </c>
      <c r="EE621" s="260">
        <v>0</v>
      </c>
      <c r="EF621" s="260">
        <v>1</v>
      </c>
      <c r="EG621" s="260">
        <v>1</v>
      </c>
      <c r="EH621" s="260">
        <v>1</v>
      </c>
      <c r="EI621" s="143">
        <v>0</v>
      </c>
      <c r="EJ621">
        <v>0</v>
      </c>
      <c r="EK621">
        <v>0</v>
      </c>
      <c r="EL621" s="143">
        <v>0</v>
      </c>
      <c r="EM621" s="143">
        <v>0</v>
      </c>
      <c r="EN621" s="2">
        <v>0</v>
      </c>
      <c r="EP621" t="str">
        <f>IF(AND(AND(AND(OR($EC621=1,$EB621=1),OR($EH621=1,$EF621=1)),SUM($EA621:$EE621,$EK621)&gt;=3),SUM($EF621:$EJ621)&gt;=2),"Whole sector approach","")</f>
        <v/>
      </c>
      <c r="EQ621" t="str">
        <f>IF(AND(AND(OR($EC621=1,$EB621=1),AND($EH621=0,$EF621=0)),SUM($EA621:$EE621,$EK621)&gt;=4),"Ecosystem approach","")</f>
        <v/>
      </c>
      <c r="ER621" s="2" t="str">
        <f>IF(AND(AND(AND($EC621=0,$EB621=0),OR($EH621=1,$EF621=1)),SUM($EG621:$EJ621)&gt;=2),"Technology approach","")</f>
        <v/>
      </c>
      <c r="ES621" t="str">
        <f>IF(AND($EC621+$EB621+$EE621+$EA621+$ED621+$EG621=0,$N621="included"),"C neutral forest and HWP assumption","")</f>
        <v/>
      </c>
      <c r="ET621" t="str">
        <f>IF(AND(AND(AND(AND($EC621=1,$EB621+$EA621+$EG621&gt;=1),$EF621=1),$EH621+$EI621+$ED621+$EE621&gt;=2),$N621="included"),"All C pools assumption","")</f>
        <v/>
      </c>
      <c r="EU621" t="str">
        <f>IF(AND($ED621+$EE621+$EI621+$EH621+$EF621=0,$N621="included"),"In-situ only assumption","")</f>
        <v/>
      </c>
      <c r="EY621" t="b">
        <f>IF(ISNUMBER(BW621),IF(ABS(BW621-[6]QC_indicators!$B$2)&gt;3*[6]QC_indicators!$C$2,"C ratio",IF(ISNUMBER(CA621),IF(ABS(CA621-[6]QC_indicators!$B$1)&gt;3*[6]QC_indicators!$C$1,"DF","no"))),IF(ISNUMBER(CA621),IF(ABS(CA621-[6]QC_indicators!$B$1)&gt;3*[6]QC_indicators!$C$1,"DF","no")))</f>
        <v>0</v>
      </c>
      <c r="FA621" t="str">
        <f>IF(LEN($CY621)=0,"",IF(AND($CY621&lt;(-0.05),$ES621="C neutral forest and HWP assumption"),"Cneutral paradox",IF(AND($CY621&gt;0.05,$EU621="In-situ only assumption"),"In-situ only paradox","")))</f>
        <v/>
      </c>
      <c r="FB621" s="149" t="s">
        <v>349</v>
      </c>
      <c r="FD621" s="260" t="s">
        <v>2948</v>
      </c>
    </row>
    <row r="622" spans="1:161" ht="15" hidden="1" customHeight="1">
      <c r="D622" t="s">
        <v>719</v>
      </c>
      <c r="E622" t="s">
        <v>720</v>
      </c>
      <c r="G622" t="s">
        <v>721</v>
      </c>
      <c r="I622">
        <v>2005</v>
      </c>
      <c r="K622" s="156" t="s">
        <v>722</v>
      </c>
      <c r="M622" t="str">
        <f>LEFT($D622,FIND(",",$D622)-1)&amp;"_"&amp;I622&amp;L622</f>
        <v>Gustavsson_2005</v>
      </c>
      <c r="N622" t="s">
        <v>222</v>
      </c>
      <c r="O622" t="s">
        <v>223</v>
      </c>
      <c r="Q622" t="s">
        <v>256</v>
      </c>
      <c r="R622" s="251" t="s">
        <v>225</v>
      </c>
      <c r="S622" s="1" t="s">
        <v>732</v>
      </c>
      <c r="T622" t="s">
        <v>733</v>
      </c>
      <c r="U622" s="260" t="s">
        <v>734</v>
      </c>
      <c r="V622" s="253">
        <v>0</v>
      </c>
      <c r="W622" s="253">
        <v>0</v>
      </c>
      <c r="X622">
        <v>0</v>
      </c>
      <c r="Y622">
        <v>0</v>
      </c>
      <c r="Z622">
        <v>0</v>
      </c>
      <c r="AA622">
        <v>0</v>
      </c>
      <c r="AB622">
        <v>0</v>
      </c>
      <c r="AC622">
        <v>0</v>
      </c>
      <c r="AD622">
        <v>0</v>
      </c>
      <c r="AE622">
        <v>0</v>
      </c>
      <c r="AF622">
        <v>0</v>
      </c>
      <c r="AG622">
        <v>1</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s="141">
        <f>COUNTIF(X622:AY622,"&lt;&gt;0")</f>
        <v>1</v>
      </c>
      <c r="BA622" s="141">
        <f>COUNTIF(X622:AN622,"&lt;&gt;0")</f>
        <v>1</v>
      </c>
      <c r="BB622">
        <f>COUNTIF(X622:AE622,"&lt;&gt;0")</f>
        <v>0</v>
      </c>
      <c r="BC622">
        <f>COUNTIF(AF622:AK622,"&lt;&gt;0")</f>
        <v>1</v>
      </c>
      <c r="BD622">
        <f>COUNTIF(AL622:AN622,"&lt;&gt;0")</f>
        <v>0</v>
      </c>
      <c r="BE622">
        <f>COUNTIF(AU622:AY622,"&lt;&gt;0")</f>
        <v>0</v>
      </c>
      <c r="BF622">
        <f>COUNTIF(AO622:AT622,"&lt;&gt;0")</f>
        <v>0</v>
      </c>
      <c r="BG622" t="str">
        <f t="array" ref="BG622">IF(BA622=1,INDEX($X$7:$AN$7,MATCH(TRUE,INDEX($X622:$AY622&lt;&gt;0,),0)),IF(BA622=0,INDEX($AO$7:$AY$7,MATCH(1,$AO622:$AY622,0)),IF(BH622="Multiple strategies","mixed drivers",IF(BH622="Supply chain","multiple supply","multiple silviculture"))))</f>
        <v>location of industry</v>
      </c>
      <c r="BH622" s="2" t="str" cm="1">
        <f t="array" ref="BH622">IF(COUNTIF(BB622:BD622,"&lt;&gt;0")=1,INDEX($X$4:$AY$4,MATCH(TRUE,INDEX($X622:$AY622&lt;&gt;0,),0)),IF(COUNTIF(BB622:BD622,"&lt;&gt;0")=0,INDEX($AO$4:$AY$4,MATCH(1,$AO622:$AY622,0)),"Multiple strategies"))</f>
        <v>Supply chain</v>
      </c>
      <c r="BI622" s="259" t="s">
        <v>229</v>
      </c>
      <c r="BJ622" s="260" t="s">
        <v>726</v>
      </c>
      <c r="BK622" s="256" t="s">
        <v>424</v>
      </c>
      <c r="BL622" s="260" t="s">
        <v>727</v>
      </c>
      <c r="BM622" s="260">
        <v>80.5</v>
      </c>
      <c r="BN622" s="260">
        <v>80.5</v>
      </c>
      <c r="BO622" s="260">
        <f>BN622/BM622</f>
        <v>1</v>
      </c>
      <c r="BP622" s="260">
        <f>BN622-BM622</f>
        <v>0</v>
      </c>
      <c r="BQ622" s="260">
        <f>BP622*t_to_m3</f>
        <v>0</v>
      </c>
      <c r="BR622" t="s">
        <v>232</v>
      </c>
      <c r="BS622" s="335" t="s">
        <v>3008</v>
      </c>
      <c r="BT622" t="s">
        <v>442</v>
      </c>
      <c r="BU622" s="260">
        <v>44.2</v>
      </c>
      <c r="BV622" s="151">
        <v>36.700000000000003</v>
      </c>
      <c r="BX622">
        <v>-7.5</v>
      </c>
      <c r="BZ622">
        <f>BX622*C_to_CO2</f>
        <v>-27.524999999999999</v>
      </c>
      <c r="CA622" t="str">
        <f>IFERROR(BZ622/BQ622,"")</f>
        <v/>
      </c>
      <c r="CB622" s="143">
        <v>0</v>
      </c>
      <c r="CC622" s="143">
        <v>0</v>
      </c>
      <c r="CD622" s="143">
        <v>0</v>
      </c>
      <c r="CE622" s="143">
        <v>0</v>
      </c>
      <c r="CF622" s="143">
        <v>0</v>
      </c>
      <c r="CG622" s="143">
        <v>0</v>
      </c>
      <c r="CH622" s="143">
        <v>0</v>
      </c>
      <c r="CI622" s="143">
        <v>0</v>
      </c>
      <c r="CJ622" s="143">
        <v>0</v>
      </c>
      <c r="CK622" s="143">
        <v>0</v>
      </c>
      <c r="CL622" s="143">
        <v>0</v>
      </c>
      <c r="CM622" s="143">
        <v>0</v>
      </c>
      <c r="CN622" s="143">
        <v>0</v>
      </c>
      <c r="CO622">
        <v>0</v>
      </c>
      <c r="CP622" t="str">
        <f>IF($BN622&lt;$BM622,"refNeedCorrection","refOK")</f>
        <v>refOK</v>
      </c>
      <c r="CQ622">
        <f>IF($CP622="refOK",$BM622,$BN622)</f>
        <v>80.5</v>
      </c>
      <c r="CR622">
        <f>IF($CP622="refOK",$BN622,$BM622)</f>
        <v>80.5</v>
      </c>
      <c r="CS622">
        <f>IF($CP622="refOK",$BQ622,-$BQ622)</f>
        <v>0</v>
      </c>
      <c r="CT622">
        <f>IF(BI622="Roundwood",$CS622/2,$CS622)</f>
        <v>0</v>
      </c>
      <c r="CU622">
        <f>IF($CP622="refOK",$BU622,$BV622)*IF($BR622="Emissions positive",-1,1)</f>
        <v>44.2</v>
      </c>
      <c r="CV622">
        <f>IF($CP622="refOK",$BV622,$BU622)*IF($BR622="Emissions positive",-1,1)</f>
        <v>36.700000000000003</v>
      </c>
      <c r="CW622">
        <f>IF($CP622="refNeedCorrection",-BZ622,BZ622)*IF($BR622="Emissions positive",-1,1)</f>
        <v>-27.524999999999999</v>
      </c>
      <c r="CX622" t="str">
        <f>IFERROR($CW622/$CS622,"")</f>
        <v/>
      </c>
      <c r="CY622" t="str">
        <f>IFERROR($CW622/$CS622,"")</f>
        <v/>
      </c>
      <c r="CZ622" t="str">
        <f>IFERROR($CW622/$CT622,"")</f>
        <v/>
      </c>
      <c r="DA622" s="2">
        <f>IFERROR((CV622-CU622)/ABS(CU622),"")</f>
        <v>-0.16968325791855202</v>
      </c>
      <c r="DB622" s="1" t="s">
        <v>263</v>
      </c>
      <c r="DC622" t="str">
        <f>IF(OR($DB622="prd",$DB622="std",$DB622="cit"),"loc",IF(OR($DB622="eur",$DB622="reg",$DB622="coy"),"reg",$DB622))</f>
        <v>loc</v>
      </c>
      <c r="DD622" t="s">
        <v>729</v>
      </c>
      <c r="DF622" s="143"/>
      <c r="DG622" s="143">
        <v>0</v>
      </c>
      <c r="DH622" t="str">
        <f>IF(DG622=0,"0",IF(AND(DG622&gt;=1,DG622&lt;=30),"1-30",IF(AND(DG622&gt;30,DG622&lt;=70),"31-70",IF(AND(DG622&gt;70,DG622&lt;=100),"71-100",IF(DG622&gt;100,"+100")))))</f>
        <v>0</v>
      </c>
      <c r="DI622">
        <v>0</v>
      </c>
      <c r="DJ622">
        <v>0</v>
      </c>
      <c r="DK622">
        <v>0</v>
      </c>
      <c r="DL622">
        <v>1</v>
      </c>
      <c r="DN622">
        <f>SUM(DI622:DL622)</f>
        <v>1</v>
      </c>
      <c r="DO622" t="str">
        <f>IF(DN622=1,INDEX($DI$7:$DL$7,MATCH(1,$DI622:$DL622,0)),"mixedProduct")</f>
        <v>TimberInput</v>
      </c>
      <c r="DP622">
        <f>IF(DI622=1,DP$7,0)</f>
        <v>0</v>
      </c>
      <c r="DQ622">
        <f>IF(DJ622=1,DQ$7,0)</f>
        <v>0</v>
      </c>
      <c r="DR622">
        <f>IF(DK622=1,DR$7,0)</f>
        <v>0</v>
      </c>
      <c r="DS622" t="str">
        <f>IF(DL622=1,DS$7,0)</f>
        <v>Timber</v>
      </c>
      <c r="DT622">
        <v>1</v>
      </c>
      <c r="DU622" s="143">
        <v>0</v>
      </c>
      <c r="DV622" s="143">
        <v>0</v>
      </c>
      <c r="DW622">
        <v>0</v>
      </c>
      <c r="DX622" s="143">
        <v>0</v>
      </c>
      <c r="DY622">
        <f>SUM(DT622:DU622)</f>
        <v>1</v>
      </c>
      <c r="DZ622" s="143" t="str">
        <f>IF(DT622=1,"self-calculated DF",IF(DU622=1,"external DF used","explicit C balance"))</f>
        <v>self-calculated DF</v>
      </c>
      <c r="EA622" s="143">
        <v>0</v>
      </c>
      <c r="EB622" s="260">
        <v>1</v>
      </c>
      <c r="EC622" s="260">
        <v>1</v>
      </c>
      <c r="ED622" s="260">
        <v>0</v>
      </c>
      <c r="EE622" s="260">
        <v>0</v>
      </c>
      <c r="EF622" s="260">
        <v>1</v>
      </c>
      <c r="EG622" s="260">
        <v>1</v>
      </c>
      <c r="EH622" s="260">
        <v>1</v>
      </c>
      <c r="EI622" s="143">
        <v>0</v>
      </c>
      <c r="EJ622">
        <v>0</v>
      </c>
      <c r="EK622">
        <v>0</v>
      </c>
      <c r="EL622" s="143">
        <v>0</v>
      </c>
      <c r="EM622" s="143">
        <v>0</v>
      </c>
      <c r="EN622" s="2">
        <v>0</v>
      </c>
      <c r="EP622" t="str">
        <f>IF(AND(AND(AND(OR($EC622=1,$EB622=1),OR($EH622=1,$EF622=1)),SUM($EA622:$EE622,$EK622)&gt;=3),SUM($EF622:$EJ622)&gt;=2),"Whole sector approach","")</f>
        <v/>
      </c>
      <c r="EQ622" t="str">
        <f>IF(AND(AND(OR($EC622=1,$EB622=1),AND($EH622=0,$EF622=0)),SUM($EA622:$EE622,$EK622)&gt;=4),"Ecosystem approach","")</f>
        <v/>
      </c>
      <c r="ER622" s="2" t="str">
        <f>IF(AND(AND(AND($EC622=0,$EB622=0),OR($EH622=1,$EF622=1)),SUM($EG622:$EJ622)&gt;=2),"Technology approach","")</f>
        <v/>
      </c>
      <c r="ES622" t="str">
        <f>IF(AND($EC622+$EB622+$EE622+$EA622+$ED622+$EG622=0,$N622="included"),"C neutral forest and HWP assumption","")</f>
        <v/>
      </c>
      <c r="ET622" t="str">
        <f>IF(AND(AND(AND(AND($EC622=1,$EB622+$EA622+$EG622&gt;=1),$EF622=1),$EH622+$EI622+$ED622+$EE622&gt;=2),$N622="included"),"All C pools assumption","")</f>
        <v/>
      </c>
      <c r="EU622" t="str">
        <f>IF(AND($ED622+$EE622+$EI622+$EH622+$EF622=0,$N622="included"),"In-situ only assumption","")</f>
        <v/>
      </c>
      <c r="EY622" t="b">
        <f>IF(ISNUMBER(BW622),IF(ABS(BW622-[6]QC_indicators!$B$2)&gt;3*[6]QC_indicators!$C$2,"C ratio",IF(ISNUMBER(CA622),IF(ABS(CA622-[6]QC_indicators!$B$1)&gt;3*[6]QC_indicators!$C$1,"DF","no"))),IF(ISNUMBER(CA622),IF(ABS(CA622-[6]QC_indicators!$B$1)&gt;3*[6]QC_indicators!$C$1,"DF","no")))</f>
        <v>0</v>
      </c>
      <c r="FA622" t="str">
        <f>IF(LEN($CY622)=0,"",IF(AND($CY622&lt;(-0.05),$ES622="C neutral forest and HWP assumption"),"Cneutral paradox",IF(AND($CY622&gt;0.05,$EU622="In-situ only assumption"),"In-situ only paradox","")))</f>
        <v/>
      </c>
      <c r="FB622" s="149" t="s">
        <v>349</v>
      </c>
      <c r="FD622" s="260" t="s">
        <v>2948</v>
      </c>
    </row>
    <row r="623" spans="1:161" ht="15" hidden="1" customHeight="1">
      <c r="D623" t="s">
        <v>719</v>
      </c>
      <c r="E623" t="s">
        <v>720</v>
      </c>
      <c r="G623" t="s">
        <v>721</v>
      </c>
      <c r="I623">
        <v>2005</v>
      </c>
      <c r="K623" s="156" t="s">
        <v>722</v>
      </c>
      <c r="M623" t="str">
        <f>LEFT($D623,FIND(",",$D623)-1)&amp;"_"&amp;I623&amp;L623</f>
        <v>Gustavsson_2005</v>
      </c>
      <c r="N623" t="s">
        <v>222</v>
      </c>
      <c r="O623" t="s">
        <v>223</v>
      </c>
      <c r="Q623" t="s">
        <v>256</v>
      </c>
      <c r="R623" s="251" t="s">
        <v>225</v>
      </c>
      <c r="S623" s="1" t="s">
        <v>738</v>
      </c>
      <c r="T623" t="s">
        <v>739</v>
      </c>
      <c r="U623" s="260" t="s">
        <v>740</v>
      </c>
      <c r="V623" s="253">
        <v>0</v>
      </c>
      <c r="W623" s="253">
        <v>0</v>
      </c>
      <c r="X623">
        <v>0</v>
      </c>
      <c r="Y623">
        <v>0</v>
      </c>
      <c r="Z623">
        <v>0</v>
      </c>
      <c r="AA623">
        <v>0</v>
      </c>
      <c r="AB623">
        <v>0</v>
      </c>
      <c r="AC623">
        <v>0</v>
      </c>
      <c r="AD623">
        <v>0</v>
      </c>
      <c r="AE623">
        <v>0</v>
      </c>
      <c r="AF623">
        <v>0</v>
      </c>
      <c r="AG623">
        <v>0</v>
      </c>
      <c r="AH623">
        <v>0</v>
      </c>
      <c r="AI623">
        <v>0</v>
      </c>
      <c r="AJ623">
        <v>0</v>
      </c>
      <c r="AK623">
        <v>0</v>
      </c>
      <c r="AL623">
        <v>0</v>
      </c>
      <c r="AM623">
        <v>1</v>
      </c>
      <c r="AN623">
        <v>0</v>
      </c>
      <c r="AO623">
        <v>0</v>
      </c>
      <c r="AP623">
        <v>0</v>
      </c>
      <c r="AQ623">
        <v>0</v>
      </c>
      <c r="AR623">
        <v>0</v>
      </c>
      <c r="AS623">
        <v>0</v>
      </c>
      <c r="AT623">
        <v>0</v>
      </c>
      <c r="AU623">
        <v>0</v>
      </c>
      <c r="AV623">
        <v>0</v>
      </c>
      <c r="AW623">
        <v>0</v>
      </c>
      <c r="AX623">
        <v>0</v>
      </c>
      <c r="AY623">
        <v>0</v>
      </c>
      <c r="AZ623" s="141">
        <f>COUNTIF(X623:AY623,"&lt;&gt;0")</f>
        <v>1</v>
      </c>
      <c r="BA623" s="141">
        <f>COUNTIF(X623:AN623,"&lt;&gt;0")</f>
        <v>1</v>
      </c>
      <c r="BB623">
        <f>COUNTIF(X623:AE623,"&lt;&gt;0")</f>
        <v>0</v>
      </c>
      <c r="BC623">
        <f>COUNTIF(AF623:AK623,"&lt;&gt;0")</f>
        <v>0</v>
      </c>
      <c r="BD623">
        <f>COUNTIF(AL623:AN623,"&lt;&gt;0")</f>
        <v>1</v>
      </c>
      <c r="BE623">
        <f>COUNTIF(AU623:AY623,"&lt;&gt;0")</f>
        <v>0</v>
      </c>
      <c r="BF623">
        <f>COUNTIF(AO623:AT623,"&lt;&gt;0")</f>
        <v>0</v>
      </c>
      <c r="BG623" t="str">
        <f t="array" ref="BG623">IF(BA623=1,INDEX($X$7:$AN$7,MATCH(TRUE,INDEX($X623:$AY623&lt;&gt;0,),0)),IF(BA623=0,INDEX($AO$7:$AY$7,MATCH(1,$AO623:$AY623,0)),IF(BH623="Multiple strategies","mixed drivers",IF(BH623="Supply chain","multiple supply","multiple silviculture"))))</f>
        <v>technologies/design switch</v>
      </c>
      <c r="BH623" s="2" t="str" cm="1">
        <f t="array" ref="BH623">IF(COUNTIF(BB623:BD623,"&lt;&gt;0")=1,INDEX($X$4:$AY$4,MATCH(TRUE,INDEX($X623:$AY623&lt;&gt;0,),0)),IF(COUNTIF(BB623:BD623,"&lt;&gt;0")=0,INDEX($AO$4:$AY$4,MATCH(1,$AO623:$AY623,0)),"Multiple strategies"))</f>
        <v>Technology</v>
      </c>
      <c r="BI623" s="259" t="s">
        <v>229</v>
      </c>
      <c r="BJ623" s="260" t="s">
        <v>741</v>
      </c>
      <c r="BK623" s="256" t="s">
        <v>424</v>
      </c>
      <c r="BL623" s="260" t="s">
        <v>742</v>
      </c>
      <c r="BM623" s="260">
        <v>56.4</v>
      </c>
      <c r="BN623" s="260">
        <v>80.5</v>
      </c>
      <c r="BO623" s="260">
        <f>BN623/BM623</f>
        <v>1.4273049645390072</v>
      </c>
      <c r="BP623" s="260">
        <f>BN623-BM623</f>
        <v>24.1</v>
      </c>
      <c r="BQ623" s="260">
        <f>BP623*t_to_m3</f>
        <v>49.183673469387756</v>
      </c>
      <c r="BR623" t="s">
        <v>232</v>
      </c>
      <c r="BS623" s="335" t="s">
        <v>3008</v>
      </c>
      <c r="BT623" t="s">
        <v>442</v>
      </c>
      <c r="BU623" s="260">
        <v>-9.1</v>
      </c>
      <c r="BV623" s="151">
        <v>44.2</v>
      </c>
      <c r="BX623">
        <f>BV623-BU623</f>
        <v>53.300000000000004</v>
      </c>
      <c r="BZ623">
        <f>BX623*C_to_CO2</f>
        <v>195.61100000000002</v>
      </c>
      <c r="CA623">
        <f>IFERROR(BZ623/BQ623,"")</f>
        <v>3.9771531120331951</v>
      </c>
      <c r="CB623" s="143">
        <v>0</v>
      </c>
      <c r="CC623" s="143">
        <v>0</v>
      </c>
      <c r="CD623" s="143">
        <v>0</v>
      </c>
      <c r="CE623" s="143">
        <v>0</v>
      </c>
      <c r="CF623" s="143">
        <v>0</v>
      </c>
      <c r="CG623" s="143">
        <v>0</v>
      </c>
      <c r="CH623" s="143">
        <v>0</v>
      </c>
      <c r="CI623" s="143">
        <v>0</v>
      </c>
      <c r="CJ623" s="143">
        <v>0</v>
      </c>
      <c r="CK623" s="143">
        <v>0</v>
      </c>
      <c r="CL623" s="143">
        <v>0</v>
      </c>
      <c r="CM623" s="143">
        <v>0</v>
      </c>
      <c r="CN623" s="143">
        <v>0</v>
      </c>
      <c r="CO623">
        <v>0</v>
      </c>
      <c r="CP623" t="str">
        <f>IF($BN623&lt;$BM623,"refNeedCorrection","refOK")</f>
        <v>refOK</v>
      </c>
      <c r="CQ623">
        <f>IF($CP623="refOK",$BM623,$BN623)</f>
        <v>56.4</v>
      </c>
      <c r="CR623">
        <f>IF($CP623="refOK",$BN623,$BM623)</f>
        <v>80.5</v>
      </c>
      <c r="CS623">
        <f>IF($CP623="refOK",$BQ623,-$BQ623)</f>
        <v>49.183673469387756</v>
      </c>
      <c r="CT623">
        <f>IF(BI623="Roundwood",$CS623/2,$CS623)</f>
        <v>49.183673469387756</v>
      </c>
      <c r="CU623">
        <f>IF($CP623="refOK",$BU623,$BV623)*IF($BR623="Emissions positive",-1,1)</f>
        <v>-9.1</v>
      </c>
      <c r="CV623">
        <f>IF($CP623="refOK",$BV623,$BU623)*IF($BR623="Emissions positive",-1,1)</f>
        <v>44.2</v>
      </c>
      <c r="CW623">
        <f>IF($CP623="refNeedCorrection",-BZ623,BZ623)*IF($BR623="Emissions positive",-1,1)</f>
        <v>195.61100000000002</v>
      </c>
      <c r="CX623">
        <f>IFERROR($CW623/$CS623,"")</f>
        <v>3.9771531120331951</v>
      </c>
      <c r="CY623">
        <f>IFERROR($CW623/$CS623,"")</f>
        <v>3.9771531120331951</v>
      </c>
      <c r="CZ623">
        <f>IFERROR($CW623/$CT623,"")</f>
        <v>3.9771531120331951</v>
      </c>
      <c r="DA623" s="2">
        <f>IFERROR((CV623-CU623)/ABS(CU623),"")</f>
        <v>5.8571428571428577</v>
      </c>
      <c r="DB623" s="1" t="s">
        <v>263</v>
      </c>
      <c r="DC623" t="str">
        <f>IF(OR($DB623="prd",$DB623="std",$DB623="cit"),"loc",IF(OR($DB623="eur",$DB623="reg",$DB623="coy"),"reg",$DB623))</f>
        <v>loc</v>
      </c>
      <c r="DD623" t="s">
        <v>729</v>
      </c>
      <c r="DF623" s="143"/>
      <c r="DG623" s="143">
        <v>0</v>
      </c>
      <c r="DH623" t="str">
        <f>IF(DG623=0,"0",IF(AND(DG623&gt;=1,DG623&lt;=30),"1-30",IF(AND(DG623&gt;30,DG623&lt;=70),"31-70",IF(AND(DG623&gt;70,DG623&lt;=100),"71-100",IF(DG623&gt;100,"+100")))))</f>
        <v>0</v>
      </c>
      <c r="DI623">
        <v>0</v>
      </c>
      <c r="DJ623">
        <v>0</v>
      </c>
      <c r="DK623">
        <v>0</v>
      </c>
      <c r="DL623">
        <v>1</v>
      </c>
      <c r="DN623">
        <f>SUM(DI623:DL623)</f>
        <v>1</v>
      </c>
      <c r="DO623" t="str">
        <f>IF(DN623=1,INDEX($DI$7:$DL$7,MATCH(1,$DI623:$DL623,0)),"mixedProduct")</f>
        <v>TimberInput</v>
      </c>
      <c r="DP623">
        <f>IF(DI623=1,DP$7,0)</f>
        <v>0</v>
      </c>
      <c r="DQ623">
        <f>IF(DJ623=1,DQ$7,0)</f>
        <v>0</v>
      </c>
      <c r="DR623">
        <f>IF(DK623=1,DR$7,0)</f>
        <v>0</v>
      </c>
      <c r="DS623" t="str">
        <f>IF(DL623=1,DS$7,0)</f>
        <v>Timber</v>
      </c>
      <c r="DT623">
        <v>1</v>
      </c>
      <c r="DU623" s="143">
        <v>0</v>
      </c>
      <c r="DV623" s="143">
        <v>0</v>
      </c>
      <c r="DW623">
        <v>0</v>
      </c>
      <c r="DX623" s="143">
        <v>0</v>
      </c>
      <c r="DY623">
        <f>SUM(DT623:DU623)</f>
        <v>1</v>
      </c>
      <c r="DZ623" s="143" t="str">
        <f>IF(DT623=1,"self-calculated DF",IF(DU623=1,"external DF used","explicit C balance"))</f>
        <v>self-calculated DF</v>
      </c>
      <c r="EA623" s="143">
        <v>0</v>
      </c>
      <c r="EB623" s="260">
        <v>1</v>
      </c>
      <c r="EC623" s="260">
        <v>0</v>
      </c>
      <c r="ED623" s="260">
        <v>0</v>
      </c>
      <c r="EE623" s="260">
        <v>0</v>
      </c>
      <c r="EF623" s="260">
        <v>1</v>
      </c>
      <c r="EG623" s="260">
        <v>1</v>
      </c>
      <c r="EH623" s="260">
        <v>1</v>
      </c>
      <c r="EI623" s="143">
        <v>0</v>
      </c>
      <c r="EJ623">
        <v>0</v>
      </c>
      <c r="EK623">
        <v>0</v>
      </c>
      <c r="EL623" s="143">
        <v>0</v>
      </c>
      <c r="EM623" s="143">
        <v>0</v>
      </c>
      <c r="EN623" s="2">
        <v>0</v>
      </c>
      <c r="EP623" t="str">
        <f>IF(AND(AND(AND(OR($EC623=1,$EB623=1),OR($EH623=1,$EF623=1)),SUM($EA623:$EE623,$EK623)&gt;=3),SUM($EF623:$EJ623)&gt;=2),"Whole sector approach","")</f>
        <v/>
      </c>
      <c r="EQ623" t="str">
        <f>IF(AND(AND(OR($EC623=1,$EB623=1),AND($EH623=0,$EF623=0)),SUM($EA623:$EE623,$EK623)&gt;=4),"Ecosystem approach","")</f>
        <v/>
      </c>
      <c r="ER623" s="2" t="str">
        <f>IF(AND(AND(AND($EC623=0,$EB623=0),OR($EH623=1,$EF623=1)),SUM($EG623:$EJ623)&gt;=2),"Technology approach","")</f>
        <v/>
      </c>
      <c r="ES623" t="str">
        <f>IF(AND($EC623+$EB623+$EE623+$EA623+$ED623+$EG623=0,$N623="included"),"C neutral forest and HWP assumption","")</f>
        <v/>
      </c>
      <c r="ET623" t="str">
        <f>IF(AND(AND(AND(AND($EC623=1,$EB623+$EA623+$EG623&gt;=1),$EF623=1),$EH623+$EI623+$ED623+$EE623&gt;=2),$N623="included"),"All C pools assumption","")</f>
        <v/>
      </c>
      <c r="EU623" t="str">
        <f>IF(AND($ED623+$EE623+$EI623+$EH623+$EF623=0,$N623="included"),"In-situ only assumption","")</f>
        <v/>
      </c>
      <c r="EY623" t="str">
        <f>IF(ISNUMBER(BW623),IF(ABS(BW623-[6]QC_indicators!$B$2)&gt;3*[6]QC_indicators!$C$2,"C ratio",IF(ISNUMBER(CA623),IF(ABS(CA623-[6]QC_indicators!$B$1)&gt;3*[6]QC_indicators!$C$1,"DF","no"))),IF(ISNUMBER(CA623),IF(ABS(CA623-[6]QC_indicators!$B$1)&gt;3*[6]QC_indicators!$C$1,"DF","no")))</f>
        <v>no</v>
      </c>
      <c r="FA623" t="str">
        <f>IF(LEN($CY623)=0,"",IF(AND($CY623&lt;(-0.05),$ES623="C neutral forest and HWP assumption"),"Cneutral paradox",IF(AND($CY623&gt;0.05,$EU623="In-situ only assumption"),"In-situ only paradox","")))</f>
        <v/>
      </c>
      <c r="FB623" s="149" t="s">
        <v>349</v>
      </c>
      <c r="FD623" s="260" t="s">
        <v>2948</v>
      </c>
    </row>
    <row r="624" spans="1:161" ht="15" hidden="1" customHeight="1">
      <c r="D624" t="s">
        <v>719</v>
      </c>
      <c r="E624" t="s">
        <v>720</v>
      </c>
      <c r="G624" t="s">
        <v>721</v>
      </c>
      <c r="I624">
        <v>2005</v>
      </c>
      <c r="K624" s="156" t="s">
        <v>722</v>
      </c>
      <c r="M624" t="str">
        <f>LEFT($D624,FIND(",",$D624)-1)&amp;"_"&amp;I624&amp;L624</f>
        <v>Gustavsson_2005</v>
      </c>
      <c r="N624" t="s">
        <v>222</v>
      </c>
      <c r="O624" t="s">
        <v>223</v>
      </c>
      <c r="Q624" t="s">
        <v>256</v>
      </c>
      <c r="R624" s="251" t="s">
        <v>225</v>
      </c>
      <c r="S624" s="1" t="s">
        <v>738</v>
      </c>
      <c r="T624" t="s">
        <v>739</v>
      </c>
      <c r="U624" s="260" t="s">
        <v>740</v>
      </c>
      <c r="V624" s="253">
        <v>0</v>
      </c>
      <c r="W624" s="253">
        <v>0</v>
      </c>
      <c r="X624">
        <v>0</v>
      </c>
      <c r="Y624">
        <v>0</v>
      </c>
      <c r="Z624">
        <v>0</v>
      </c>
      <c r="AA624">
        <v>0</v>
      </c>
      <c r="AB624">
        <v>0</v>
      </c>
      <c r="AC624">
        <v>0</v>
      </c>
      <c r="AD624">
        <v>0</v>
      </c>
      <c r="AE624">
        <v>0</v>
      </c>
      <c r="AF624">
        <v>0</v>
      </c>
      <c r="AG624">
        <v>0</v>
      </c>
      <c r="AH624">
        <v>0</v>
      </c>
      <c r="AI624">
        <v>0</v>
      </c>
      <c r="AJ624">
        <v>0</v>
      </c>
      <c r="AK624">
        <v>0</v>
      </c>
      <c r="AL624">
        <v>0</v>
      </c>
      <c r="AM624">
        <v>1</v>
      </c>
      <c r="AN624">
        <v>0</v>
      </c>
      <c r="AO624">
        <v>0</v>
      </c>
      <c r="AP624">
        <v>0</v>
      </c>
      <c r="AQ624">
        <v>0</v>
      </c>
      <c r="AR624">
        <v>0</v>
      </c>
      <c r="AS624">
        <v>0</v>
      </c>
      <c r="AT624">
        <v>0</v>
      </c>
      <c r="AU624">
        <v>0</v>
      </c>
      <c r="AV624">
        <v>0</v>
      </c>
      <c r="AW624">
        <v>0</v>
      </c>
      <c r="AX624">
        <v>0</v>
      </c>
      <c r="AY624">
        <v>0</v>
      </c>
      <c r="AZ624" s="141">
        <f>COUNTIF(X624:AY624,"&lt;&gt;0")</f>
        <v>1</v>
      </c>
      <c r="BA624" s="141">
        <f>COUNTIF(X624:AN624,"&lt;&gt;0")</f>
        <v>1</v>
      </c>
      <c r="BB624">
        <f>COUNTIF(X624:AE624,"&lt;&gt;0")</f>
        <v>0</v>
      </c>
      <c r="BC624">
        <f>COUNTIF(AF624:AK624,"&lt;&gt;0")</f>
        <v>0</v>
      </c>
      <c r="BD624">
        <f>COUNTIF(AL624:AN624,"&lt;&gt;0")</f>
        <v>1</v>
      </c>
      <c r="BE624">
        <f>COUNTIF(AU624:AY624,"&lt;&gt;0")</f>
        <v>0</v>
      </c>
      <c r="BF624">
        <f>COUNTIF(AO624:AT624,"&lt;&gt;0")</f>
        <v>0</v>
      </c>
      <c r="BG624" t="str">
        <f t="array" ref="BG624">IF(BA624=1,INDEX($X$7:$AN$7,MATCH(TRUE,INDEX($X624:$AY624&lt;&gt;0,),0)),IF(BA624=0,INDEX($AO$7:$AY$7,MATCH(1,$AO624:$AY624,0)),IF(BH624="Multiple strategies","mixed drivers",IF(BH624="Supply chain","multiple supply","multiple silviculture"))))</f>
        <v>technologies/design switch</v>
      </c>
      <c r="BH624" s="2" t="str" cm="1">
        <f t="array" ref="BH624">IF(COUNTIF(BB624:BD624,"&lt;&gt;0")=1,INDEX($X$4:$AY$4,MATCH(TRUE,INDEX($X624:$AY624&lt;&gt;0,),0)),IF(COUNTIF(BB624:BD624,"&lt;&gt;0")=0,INDEX($AO$4:$AY$4,MATCH(1,$AO624:$AY624,0)),"Multiple strategies"))</f>
        <v>Technology</v>
      </c>
      <c r="BI624" s="259" t="s">
        <v>229</v>
      </c>
      <c r="BJ624" s="260" t="s">
        <v>741</v>
      </c>
      <c r="BK624" s="256" t="s">
        <v>424</v>
      </c>
      <c r="BL624" s="260" t="s">
        <v>742</v>
      </c>
      <c r="BM624" s="260">
        <v>56.4</v>
      </c>
      <c r="BN624" s="260">
        <v>80.5</v>
      </c>
      <c r="BO624" s="260">
        <f>BN624/BM624</f>
        <v>1.4273049645390072</v>
      </c>
      <c r="BP624" s="260">
        <f>BN624-BM624</f>
        <v>24.1</v>
      </c>
      <c r="BQ624" s="260">
        <f>BP624*t_to_m3</f>
        <v>49.183673469387756</v>
      </c>
      <c r="BR624" t="s">
        <v>232</v>
      </c>
      <c r="BS624" s="335" t="s">
        <v>3013</v>
      </c>
      <c r="BT624" t="s">
        <v>442</v>
      </c>
      <c r="BU624" s="260">
        <v>18</v>
      </c>
      <c r="BV624" s="151">
        <v>45.8</v>
      </c>
      <c r="BX624">
        <f>BV624-BU624</f>
        <v>27.799999999999997</v>
      </c>
      <c r="BZ624">
        <f>BX624*C_to_CO2</f>
        <v>102.02599999999998</v>
      </c>
      <c r="CA624">
        <f>IFERROR(BZ624/BQ624,"")</f>
        <v>2.0743875518672197</v>
      </c>
      <c r="CB624" s="143">
        <v>0</v>
      </c>
      <c r="CC624" s="143">
        <v>0</v>
      </c>
      <c r="CD624" s="143">
        <v>0</v>
      </c>
      <c r="CE624" s="143">
        <v>0</v>
      </c>
      <c r="CF624" s="143">
        <v>0</v>
      </c>
      <c r="CG624" s="143">
        <v>0</v>
      </c>
      <c r="CH624" s="143">
        <v>0</v>
      </c>
      <c r="CI624" s="143">
        <v>0</v>
      </c>
      <c r="CJ624" s="143">
        <v>0</v>
      </c>
      <c r="CK624" s="143">
        <v>0</v>
      </c>
      <c r="CL624" s="143">
        <v>0</v>
      </c>
      <c r="CM624" s="143">
        <v>0</v>
      </c>
      <c r="CN624" s="143">
        <v>0</v>
      </c>
      <c r="CO624">
        <v>0</v>
      </c>
      <c r="CP624" t="str">
        <f>IF($BN624&lt;$BM624,"refNeedCorrection","refOK")</f>
        <v>refOK</v>
      </c>
      <c r="CQ624">
        <f>IF($CP624="refOK",$BM624,$BN624)</f>
        <v>56.4</v>
      </c>
      <c r="CR624">
        <f>IF($CP624="refOK",$BN624,$BM624)</f>
        <v>80.5</v>
      </c>
      <c r="CS624">
        <f>IF($CP624="refOK",$BQ624,-$BQ624)</f>
        <v>49.183673469387756</v>
      </c>
      <c r="CT624">
        <f>IF(BI624="Roundwood",$CS624/2,$CS624)</f>
        <v>49.183673469387756</v>
      </c>
      <c r="CU624">
        <f>IF($CP624="refOK",$BU624,$BV624)*IF($BR624="Emissions positive",-1,1)</f>
        <v>18</v>
      </c>
      <c r="CV624">
        <f>IF($CP624="refOK",$BV624,$BU624)*IF($BR624="Emissions positive",-1,1)</f>
        <v>45.8</v>
      </c>
      <c r="CW624">
        <f>IF($CP624="refNeedCorrection",-BZ624,BZ624)*IF($BR624="Emissions positive",-1,1)</f>
        <v>102.02599999999998</v>
      </c>
      <c r="CX624">
        <f>IFERROR($CW624/$CS624,"")</f>
        <v>2.0743875518672197</v>
      </c>
      <c r="CY624">
        <f>IFERROR($CW624/$CS624,"")</f>
        <v>2.0743875518672197</v>
      </c>
      <c r="CZ624">
        <f>IFERROR($CW624/$CT624,"")</f>
        <v>2.0743875518672197</v>
      </c>
      <c r="DA624" s="2">
        <f>IFERROR((CV624-CU624)/ABS(CU624),"")</f>
        <v>1.5444444444444443</v>
      </c>
      <c r="DB624" s="1" t="s">
        <v>263</v>
      </c>
      <c r="DC624" t="str">
        <f>IF(OR($DB624="prd",$DB624="std",$DB624="cit"),"loc",IF(OR($DB624="eur",$DB624="reg",$DB624="coy"),"reg",$DB624))</f>
        <v>loc</v>
      </c>
      <c r="DD624" t="s">
        <v>729</v>
      </c>
      <c r="DF624" s="143"/>
      <c r="DG624" s="143">
        <v>0</v>
      </c>
      <c r="DH624" t="str">
        <f>IF(DG624=0,"0",IF(AND(DG624&gt;=1,DG624&lt;=30),"1-30",IF(AND(DG624&gt;30,DG624&lt;=70),"31-70",IF(AND(DG624&gt;70,DG624&lt;=100),"71-100",IF(DG624&gt;100,"+100")))))</f>
        <v>0</v>
      </c>
      <c r="DI624">
        <v>0</v>
      </c>
      <c r="DJ624">
        <v>0</v>
      </c>
      <c r="DK624">
        <v>0</v>
      </c>
      <c r="DL624">
        <v>1</v>
      </c>
      <c r="DN624">
        <f>SUM(DI624:DL624)</f>
        <v>1</v>
      </c>
      <c r="DO624" t="str">
        <f>IF(DN624=1,INDEX($DI$7:$DL$7,MATCH(1,$DI624:$DL624,0)),"mixedProduct")</f>
        <v>TimberInput</v>
      </c>
      <c r="DP624">
        <f>IF(DI624=1,DP$7,0)</f>
        <v>0</v>
      </c>
      <c r="DQ624">
        <f>IF(DJ624=1,DQ$7,0)</f>
        <v>0</v>
      </c>
      <c r="DR624">
        <f>IF(DK624=1,DR$7,0)</f>
        <v>0</v>
      </c>
      <c r="DS624" t="str">
        <f>IF(DL624=1,DS$7,0)</f>
        <v>Timber</v>
      </c>
      <c r="DT624">
        <v>1</v>
      </c>
      <c r="DU624" s="143">
        <v>0</v>
      </c>
      <c r="DV624" s="143">
        <v>0</v>
      </c>
      <c r="DW624">
        <v>0</v>
      </c>
      <c r="DX624" s="143">
        <v>0</v>
      </c>
      <c r="DY624">
        <f>SUM(DT624:DU624)</f>
        <v>1</v>
      </c>
      <c r="DZ624" s="143" t="str">
        <f>IF(DT624=1,"self-calculated DF",IF(DU624=1,"external DF used","explicit C balance"))</f>
        <v>self-calculated DF</v>
      </c>
      <c r="EA624" s="143">
        <v>0</v>
      </c>
      <c r="EB624" s="260">
        <v>1</v>
      </c>
      <c r="EC624" s="260">
        <v>1</v>
      </c>
      <c r="ED624" s="260">
        <v>0</v>
      </c>
      <c r="EE624" s="260">
        <v>0</v>
      </c>
      <c r="EF624" s="260">
        <v>1</v>
      </c>
      <c r="EG624" s="260">
        <v>0</v>
      </c>
      <c r="EH624" s="260">
        <v>1</v>
      </c>
      <c r="EI624" s="143">
        <v>0</v>
      </c>
      <c r="EJ624">
        <v>0</v>
      </c>
      <c r="EK624">
        <v>0</v>
      </c>
      <c r="EL624" s="143">
        <v>0</v>
      </c>
      <c r="EM624" s="143">
        <v>0</v>
      </c>
      <c r="EN624" s="2">
        <v>0</v>
      </c>
      <c r="EP624" t="str">
        <f>IF(AND(AND(AND(OR($EC624=1,$EB624=1),OR($EH624=1,$EF624=1)),SUM($EA624:$EE624,$EK624)&gt;=3),SUM($EF624:$EJ624)&gt;=2),"Whole sector approach","")</f>
        <v/>
      </c>
      <c r="EQ624" t="str">
        <f>IF(AND(AND(OR($EC624=1,$EB624=1),AND($EH624=0,$EF624=0)),SUM($EA624:$EE624,$EK624)&gt;=4),"Ecosystem approach","")</f>
        <v/>
      </c>
      <c r="ER624" s="2" t="str">
        <f>IF(AND(AND(AND($EC624=0,$EB624=0),OR($EH624=1,$EF624=1)),SUM($EG624:$EJ624)&gt;=2),"Technology approach","")</f>
        <v/>
      </c>
      <c r="ES624" t="str">
        <f>IF(AND($EC624+$EB624+$EE624+$EA624+$ED624+$EG624=0,$N624="included"),"C neutral forest and HWP assumption","")</f>
        <v/>
      </c>
      <c r="ET624" t="str">
        <f>IF(AND(AND(AND(AND($EC624=1,$EB624+$EA624+$EG624&gt;=1),$EF624=1),$EH624+$EI624+$ED624+$EE624&gt;=2),$N624="included"),"All C pools assumption","")</f>
        <v/>
      </c>
      <c r="EU624" t="str">
        <f>IF(AND($ED624+$EE624+$EI624+$EH624+$EF624=0,$N624="included"),"In-situ only assumption","")</f>
        <v/>
      </c>
      <c r="EY624" t="str">
        <f>IF(ISNUMBER(BW624),IF(ABS(BW624-[6]QC_indicators!$B$2)&gt;3*[6]QC_indicators!$C$2,"C ratio",IF(ISNUMBER(CA624),IF(ABS(CA624-[6]QC_indicators!$B$1)&gt;3*[6]QC_indicators!$C$1,"DF","no"))),IF(ISNUMBER(CA624),IF(ABS(CA624-[6]QC_indicators!$B$1)&gt;3*[6]QC_indicators!$C$1,"DF","no")))</f>
        <v>no</v>
      </c>
      <c r="FA624" t="str">
        <f>IF(LEN($CY624)=0,"",IF(AND($CY624&lt;(-0.05),$ES624="C neutral forest and HWP assumption"),"Cneutral paradox",IF(AND($CY624&gt;0.05,$EU624="In-situ only assumption"),"In-situ only paradox","")))</f>
        <v/>
      </c>
      <c r="FB624" s="149" t="s">
        <v>349</v>
      </c>
      <c r="FD624" s="260" t="s">
        <v>2948</v>
      </c>
    </row>
    <row r="625" spans="1:160" ht="15" hidden="1" customHeight="1">
      <c r="D625" t="s">
        <v>719</v>
      </c>
      <c r="E625" t="s">
        <v>720</v>
      </c>
      <c r="G625" t="s">
        <v>721</v>
      </c>
      <c r="I625">
        <v>2005</v>
      </c>
      <c r="K625" s="156" t="s">
        <v>722</v>
      </c>
      <c r="M625" t="str">
        <f>LEFT($D625,FIND(",",$D625)-1)&amp;"_"&amp;I625&amp;L625</f>
        <v>Gustavsson_2005</v>
      </c>
      <c r="N625" t="s">
        <v>222</v>
      </c>
      <c r="O625" t="s">
        <v>223</v>
      </c>
      <c r="Q625" t="s">
        <v>256</v>
      </c>
      <c r="R625" s="251" t="s">
        <v>225</v>
      </c>
      <c r="S625" s="1" t="s">
        <v>738</v>
      </c>
      <c r="T625" t="s">
        <v>739</v>
      </c>
      <c r="U625" s="260" t="s">
        <v>740</v>
      </c>
      <c r="V625" s="253">
        <v>0</v>
      </c>
      <c r="W625" s="253">
        <v>0</v>
      </c>
      <c r="X625">
        <v>0</v>
      </c>
      <c r="Y625">
        <v>0</v>
      </c>
      <c r="Z625">
        <v>0</v>
      </c>
      <c r="AA625">
        <v>0</v>
      </c>
      <c r="AB625">
        <v>0</v>
      </c>
      <c r="AC625">
        <v>0</v>
      </c>
      <c r="AD625">
        <v>0</v>
      </c>
      <c r="AE625">
        <v>0</v>
      </c>
      <c r="AF625">
        <v>0</v>
      </c>
      <c r="AG625">
        <v>0</v>
      </c>
      <c r="AH625">
        <v>0</v>
      </c>
      <c r="AI625">
        <v>0</v>
      </c>
      <c r="AJ625">
        <v>0</v>
      </c>
      <c r="AK625">
        <v>0</v>
      </c>
      <c r="AL625">
        <v>0</v>
      </c>
      <c r="AM625">
        <v>1</v>
      </c>
      <c r="AN625">
        <v>0</v>
      </c>
      <c r="AO625">
        <v>0</v>
      </c>
      <c r="AP625">
        <v>0</v>
      </c>
      <c r="AQ625">
        <v>0</v>
      </c>
      <c r="AR625">
        <v>0</v>
      </c>
      <c r="AS625">
        <v>0</v>
      </c>
      <c r="AT625">
        <v>0</v>
      </c>
      <c r="AU625">
        <v>0</v>
      </c>
      <c r="AV625">
        <v>0</v>
      </c>
      <c r="AW625">
        <v>0</v>
      </c>
      <c r="AX625">
        <v>0</v>
      </c>
      <c r="AY625">
        <v>0</v>
      </c>
      <c r="AZ625" s="141">
        <f>COUNTIF(X625:AY625,"&lt;&gt;0")</f>
        <v>1</v>
      </c>
      <c r="BA625" s="141">
        <f>COUNTIF(X625:AN625,"&lt;&gt;0")</f>
        <v>1</v>
      </c>
      <c r="BB625">
        <f>COUNTIF(X625:AE625,"&lt;&gt;0")</f>
        <v>0</v>
      </c>
      <c r="BC625">
        <f>COUNTIF(AF625:AK625,"&lt;&gt;0")</f>
        <v>0</v>
      </c>
      <c r="BD625">
        <f>COUNTIF(AL625:AN625,"&lt;&gt;0")</f>
        <v>1</v>
      </c>
      <c r="BE625">
        <f>COUNTIF(AU625:AY625,"&lt;&gt;0")</f>
        <v>0</v>
      </c>
      <c r="BF625">
        <f>COUNTIF(AO625:AT625,"&lt;&gt;0")</f>
        <v>0</v>
      </c>
      <c r="BG625" t="str">
        <f t="array" ref="BG625">IF(BA625=1,INDEX($X$7:$AN$7,MATCH(TRUE,INDEX($X625:$AY625&lt;&gt;0,),0)),IF(BA625=0,INDEX($AO$7:$AY$7,MATCH(1,$AO625:$AY625,0)),IF(BH625="Multiple strategies","mixed drivers",IF(BH625="Supply chain","multiple supply","multiple silviculture"))))</f>
        <v>technologies/design switch</v>
      </c>
      <c r="BH625" s="2" t="str" cm="1">
        <f t="array" ref="BH625">IF(COUNTIF(BB625:BD625,"&lt;&gt;0")=1,INDEX($X$4:$AY$4,MATCH(TRUE,INDEX($X625:$AY625&lt;&gt;0,),0)),IF(COUNTIF(BB625:BD625,"&lt;&gt;0")=0,INDEX($AO$4:$AY$4,MATCH(1,$AO625:$AY625,0)),"Multiple strategies"))</f>
        <v>Technology</v>
      </c>
      <c r="BI625" s="259" t="s">
        <v>229</v>
      </c>
      <c r="BJ625" s="260" t="s">
        <v>741</v>
      </c>
      <c r="BK625" s="256" t="s">
        <v>424</v>
      </c>
      <c r="BL625" s="260" t="s">
        <v>742</v>
      </c>
      <c r="BM625" s="260">
        <v>56.4</v>
      </c>
      <c r="BN625" s="260">
        <v>80.5</v>
      </c>
      <c r="BO625" s="260">
        <f>BN625/BM625</f>
        <v>1.4273049645390072</v>
      </c>
      <c r="BP625" s="260">
        <f>BN625-BM625</f>
        <v>24.1</v>
      </c>
      <c r="BQ625" s="260">
        <f>BP625*t_to_m3</f>
        <v>49.183673469387756</v>
      </c>
      <c r="BR625" t="s">
        <v>232</v>
      </c>
      <c r="BS625" s="335" t="s">
        <v>3008</v>
      </c>
      <c r="BT625" t="s">
        <v>442</v>
      </c>
      <c r="BU625" s="260">
        <v>16.5</v>
      </c>
      <c r="BV625" s="151">
        <v>44.2</v>
      </c>
      <c r="BX625">
        <v>27.700000000000003</v>
      </c>
      <c r="BZ625">
        <f>BX625*C_to_CO2</f>
        <v>101.65900000000001</v>
      </c>
      <c r="CA625">
        <f>IFERROR(BZ625/BQ625,"")</f>
        <v>2.0669257261410787</v>
      </c>
      <c r="CB625" s="143">
        <v>0</v>
      </c>
      <c r="CC625" s="143">
        <v>0</v>
      </c>
      <c r="CD625" s="143">
        <v>0</v>
      </c>
      <c r="CE625" s="143">
        <v>0</v>
      </c>
      <c r="CF625" s="143">
        <v>0</v>
      </c>
      <c r="CG625" s="143">
        <v>0</v>
      </c>
      <c r="CH625" s="143">
        <v>0</v>
      </c>
      <c r="CI625" s="143">
        <v>0</v>
      </c>
      <c r="CJ625" s="143">
        <v>0</v>
      </c>
      <c r="CK625" s="143">
        <v>0</v>
      </c>
      <c r="CL625" s="143">
        <v>0</v>
      </c>
      <c r="CM625" s="143">
        <v>0</v>
      </c>
      <c r="CN625" s="143">
        <v>0</v>
      </c>
      <c r="CO625">
        <v>0</v>
      </c>
      <c r="CP625" t="str">
        <f>IF($BN625&lt;$BM625,"refNeedCorrection","refOK")</f>
        <v>refOK</v>
      </c>
      <c r="CQ625">
        <f>IF($CP625="refOK",$BM625,$BN625)</f>
        <v>56.4</v>
      </c>
      <c r="CR625">
        <f>IF($CP625="refOK",$BN625,$BM625)</f>
        <v>80.5</v>
      </c>
      <c r="CS625">
        <f>IF($CP625="refOK",$BQ625,-$BQ625)</f>
        <v>49.183673469387756</v>
      </c>
      <c r="CT625">
        <f>IF(BI625="Roundwood",$CS625/2,$CS625)</f>
        <v>49.183673469387756</v>
      </c>
      <c r="CU625">
        <f>IF($CP625="refOK",$BU625,$BV625)*IF($BR625="Emissions positive",-1,1)</f>
        <v>16.5</v>
      </c>
      <c r="CV625">
        <f>IF($CP625="refOK",$BV625,$BU625)*IF($BR625="Emissions positive",-1,1)</f>
        <v>44.2</v>
      </c>
      <c r="CW625">
        <f>IF($CP625="refNeedCorrection",-BZ625,BZ625)*IF($BR625="Emissions positive",-1,1)</f>
        <v>101.65900000000001</v>
      </c>
      <c r="CX625">
        <f>IFERROR($CW625/$CS625,"")</f>
        <v>2.0669257261410787</v>
      </c>
      <c r="CY625">
        <f>IFERROR($CW625/$CS625,"")</f>
        <v>2.0669257261410787</v>
      </c>
      <c r="CZ625">
        <f>IFERROR($CW625/$CT625,"")</f>
        <v>2.0669257261410787</v>
      </c>
      <c r="DA625" s="2">
        <f>IFERROR((CV625-CU625)/ABS(CU625),"")</f>
        <v>1.6787878787878789</v>
      </c>
      <c r="DB625" s="1" t="s">
        <v>263</v>
      </c>
      <c r="DC625" t="str">
        <f>IF(OR($DB625="prd",$DB625="std",$DB625="cit"),"loc",IF(OR($DB625="eur",$DB625="reg",$DB625="coy"),"reg",$DB625))</f>
        <v>loc</v>
      </c>
      <c r="DD625" t="s">
        <v>729</v>
      </c>
      <c r="DF625" s="143"/>
      <c r="DG625" s="143">
        <v>0</v>
      </c>
      <c r="DH625" t="str">
        <f>IF(DG625=0,"0",IF(AND(DG625&gt;=1,DG625&lt;=30),"1-30",IF(AND(DG625&gt;30,DG625&lt;=70),"31-70",IF(AND(DG625&gt;70,DG625&lt;=100),"71-100",IF(DG625&gt;100,"+100")))))</f>
        <v>0</v>
      </c>
      <c r="DI625">
        <v>0</v>
      </c>
      <c r="DJ625">
        <v>0</v>
      </c>
      <c r="DK625">
        <v>0</v>
      </c>
      <c r="DL625">
        <v>1</v>
      </c>
      <c r="DN625">
        <f>SUM(DI625:DL625)</f>
        <v>1</v>
      </c>
      <c r="DO625" t="str">
        <f>IF(DN625=1,INDEX($DI$7:$DL$7,MATCH(1,$DI625:$DL625,0)),"mixedProduct")</f>
        <v>TimberInput</v>
      </c>
      <c r="DP625">
        <f>IF(DI625=1,DP$7,0)</f>
        <v>0</v>
      </c>
      <c r="DQ625">
        <f>IF(DJ625=1,DQ$7,0)</f>
        <v>0</v>
      </c>
      <c r="DR625">
        <f>IF(DK625=1,DR$7,0)</f>
        <v>0</v>
      </c>
      <c r="DS625" t="str">
        <f>IF(DL625=1,DS$7,0)</f>
        <v>Timber</v>
      </c>
      <c r="DT625">
        <v>1</v>
      </c>
      <c r="DU625" s="143">
        <v>0</v>
      </c>
      <c r="DV625" s="143">
        <v>0</v>
      </c>
      <c r="DW625">
        <v>0</v>
      </c>
      <c r="DX625" s="143">
        <v>0</v>
      </c>
      <c r="DY625">
        <f>SUM(DT625:DU625)</f>
        <v>1</v>
      </c>
      <c r="DZ625" s="143" t="str">
        <f>IF(DT625=1,"self-calculated DF",IF(DU625=1,"external DF used","explicit C balance"))</f>
        <v>self-calculated DF</v>
      </c>
      <c r="EA625" s="143">
        <v>0</v>
      </c>
      <c r="EB625" s="260">
        <v>1</v>
      </c>
      <c r="EC625" s="260">
        <v>1</v>
      </c>
      <c r="ED625" s="260">
        <v>0</v>
      </c>
      <c r="EE625" s="260">
        <v>0</v>
      </c>
      <c r="EF625" s="260">
        <v>1</v>
      </c>
      <c r="EG625" s="260">
        <v>1</v>
      </c>
      <c r="EH625" s="260">
        <v>1</v>
      </c>
      <c r="EI625" s="143">
        <v>0</v>
      </c>
      <c r="EJ625">
        <v>0</v>
      </c>
      <c r="EK625">
        <v>0</v>
      </c>
      <c r="EL625" s="143">
        <v>0</v>
      </c>
      <c r="EM625" s="143">
        <v>0</v>
      </c>
      <c r="EN625" s="2">
        <v>0</v>
      </c>
      <c r="EP625" t="str">
        <f>IF(AND(AND(AND(OR($EC625=1,$EB625=1),OR($EH625=1,$EF625=1)),SUM($EA625:$EE625,$EK625)&gt;=3),SUM($EF625:$EJ625)&gt;=2),"Whole sector approach","")</f>
        <v/>
      </c>
      <c r="EQ625" t="str">
        <f>IF(AND(AND(OR($EC625=1,$EB625=1),AND($EH625=0,$EF625=0)),SUM($EA625:$EE625,$EK625)&gt;=4),"Ecosystem approach","")</f>
        <v/>
      </c>
      <c r="ER625" s="2" t="str">
        <f>IF(AND(AND(AND($EC625=0,$EB625=0),OR($EH625=1,$EF625=1)),SUM($EG625:$EJ625)&gt;=2),"Technology approach","")</f>
        <v/>
      </c>
      <c r="ES625" t="str">
        <f>IF(AND($EC625+$EB625+$EE625+$EA625+$ED625+$EG625=0,$N625="included"),"C neutral forest and HWP assumption","")</f>
        <v/>
      </c>
      <c r="ET625" t="str">
        <f>IF(AND(AND(AND(AND($EC625=1,$EB625+$EA625+$EG625&gt;=1),$EF625=1),$EH625+$EI625+$ED625+$EE625&gt;=2),$N625="included"),"All C pools assumption","")</f>
        <v/>
      </c>
      <c r="EU625" t="str">
        <f>IF(AND($ED625+$EE625+$EI625+$EH625+$EF625=0,$N625="included"),"In-situ only assumption","")</f>
        <v/>
      </c>
      <c r="EY625" t="str">
        <f>IF(ISNUMBER(BW625),IF(ABS(BW625-[6]QC_indicators!$B$2)&gt;3*[6]QC_indicators!$C$2,"C ratio",IF(ISNUMBER(CA625),IF(ABS(CA625-[6]QC_indicators!$B$1)&gt;3*[6]QC_indicators!$C$1,"DF","no"))),IF(ISNUMBER(CA625),IF(ABS(CA625-[6]QC_indicators!$B$1)&gt;3*[6]QC_indicators!$C$1,"DF","no")))</f>
        <v>no</v>
      </c>
      <c r="FA625" t="str">
        <f>IF(LEN($CY625)=0,"",IF(AND($CY625&lt;(-0.05),$ES625="C neutral forest and HWP assumption"),"Cneutral paradox",IF(AND($CY625&gt;0.05,$EU625="In-situ only assumption"),"In-situ only paradox","")))</f>
        <v/>
      </c>
      <c r="FB625" s="149" t="s">
        <v>349</v>
      </c>
      <c r="FD625" s="260" t="s">
        <v>2948</v>
      </c>
    </row>
    <row r="626" spans="1:160" ht="15" hidden="1" customHeight="1">
      <c r="D626" t="s">
        <v>719</v>
      </c>
      <c r="E626" t="s">
        <v>720</v>
      </c>
      <c r="G626" t="s">
        <v>721</v>
      </c>
      <c r="I626">
        <v>2005</v>
      </c>
      <c r="K626" s="156" t="s">
        <v>722</v>
      </c>
      <c r="M626" t="str">
        <f>LEFT($D626,FIND(",",$D626)-1)&amp;"_"&amp;I626&amp;L626</f>
        <v>Gustavsson_2005</v>
      </c>
      <c r="N626" t="s">
        <v>222</v>
      </c>
      <c r="O626" t="s">
        <v>223</v>
      </c>
      <c r="Q626" t="s">
        <v>256</v>
      </c>
      <c r="R626" s="251" t="s">
        <v>225</v>
      </c>
      <c r="S626" s="1" t="s">
        <v>738</v>
      </c>
      <c r="T626" t="s">
        <v>739</v>
      </c>
      <c r="U626" s="260" t="s">
        <v>740</v>
      </c>
      <c r="V626" s="253">
        <v>0</v>
      </c>
      <c r="W626" s="253">
        <v>0</v>
      </c>
      <c r="X626">
        <v>0</v>
      </c>
      <c r="Y626">
        <v>0</v>
      </c>
      <c r="Z626">
        <v>0</v>
      </c>
      <c r="AA626">
        <v>0</v>
      </c>
      <c r="AB626">
        <v>0</v>
      </c>
      <c r="AC626">
        <v>0</v>
      </c>
      <c r="AD626">
        <v>0</v>
      </c>
      <c r="AE626">
        <v>0</v>
      </c>
      <c r="AF626">
        <v>0</v>
      </c>
      <c r="AG626">
        <v>0</v>
      </c>
      <c r="AH626">
        <v>0</v>
      </c>
      <c r="AI626">
        <v>0</v>
      </c>
      <c r="AJ626">
        <v>0</v>
      </c>
      <c r="AK626">
        <v>0</v>
      </c>
      <c r="AL626">
        <v>0</v>
      </c>
      <c r="AM626">
        <v>1</v>
      </c>
      <c r="AN626">
        <v>0</v>
      </c>
      <c r="AO626">
        <v>0</v>
      </c>
      <c r="AP626">
        <v>0</v>
      </c>
      <c r="AQ626">
        <v>0</v>
      </c>
      <c r="AR626">
        <v>0</v>
      </c>
      <c r="AS626">
        <v>0</v>
      </c>
      <c r="AT626">
        <v>0</v>
      </c>
      <c r="AU626">
        <v>0</v>
      </c>
      <c r="AV626">
        <v>0</v>
      </c>
      <c r="AW626">
        <v>0</v>
      </c>
      <c r="AX626">
        <v>0</v>
      </c>
      <c r="AY626">
        <v>0</v>
      </c>
      <c r="AZ626" s="141">
        <f>COUNTIF(X626:AY626,"&lt;&gt;0")</f>
        <v>1</v>
      </c>
      <c r="BA626" s="141">
        <f>COUNTIF(X626:AN626,"&lt;&gt;0")</f>
        <v>1</v>
      </c>
      <c r="BB626">
        <f>COUNTIF(X626:AE626,"&lt;&gt;0")</f>
        <v>0</v>
      </c>
      <c r="BC626">
        <f>COUNTIF(AF626:AK626,"&lt;&gt;0")</f>
        <v>0</v>
      </c>
      <c r="BD626">
        <f>COUNTIF(AL626:AN626,"&lt;&gt;0")</f>
        <v>1</v>
      </c>
      <c r="BE626">
        <f>COUNTIF(AU626:AY626,"&lt;&gt;0")</f>
        <v>0</v>
      </c>
      <c r="BF626">
        <f>COUNTIF(AO626:AT626,"&lt;&gt;0")</f>
        <v>0</v>
      </c>
      <c r="BG626" t="str">
        <f t="array" ref="BG626">IF(BA626=1,INDEX($X$7:$AN$7,MATCH(TRUE,INDEX($X626:$AY626&lt;&gt;0,),0)),IF(BA626=0,INDEX($AO$7:$AY$7,MATCH(1,$AO626:$AY626,0)),IF(BH626="Multiple strategies","mixed drivers",IF(BH626="Supply chain","multiple supply","multiple silviculture"))))</f>
        <v>technologies/design switch</v>
      </c>
      <c r="BH626" s="2" t="str" cm="1">
        <f t="array" ref="BH626">IF(COUNTIF(BB626:BD626,"&lt;&gt;0")=1,INDEX($X$4:$AY$4,MATCH(TRUE,INDEX($X626:$AY626&lt;&gt;0,),0)),IF(COUNTIF(BB626:BD626,"&lt;&gt;0")=0,INDEX($AO$4:$AY$4,MATCH(1,$AO626:$AY626,0)),"Multiple strategies"))</f>
        <v>Technology</v>
      </c>
      <c r="BI626" s="259" t="s">
        <v>229</v>
      </c>
      <c r="BJ626" s="260" t="s">
        <v>741</v>
      </c>
      <c r="BK626" s="256" t="s">
        <v>424</v>
      </c>
      <c r="BL626" s="260" t="s">
        <v>727</v>
      </c>
      <c r="BM626" s="260">
        <v>56.4</v>
      </c>
      <c r="BN626" s="260">
        <v>80.5</v>
      </c>
      <c r="BO626" s="260">
        <f>BN626/BM626</f>
        <v>1.4273049645390072</v>
      </c>
      <c r="BP626" s="260">
        <f>BN626-BM626</f>
        <v>24.1</v>
      </c>
      <c r="BQ626" s="260">
        <f>BP626*t_to_m3</f>
        <v>49.183673469387756</v>
      </c>
      <c r="BR626" t="s">
        <v>232</v>
      </c>
      <c r="BS626" s="335" t="s">
        <v>3012</v>
      </c>
      <c r="BT626" t="s">
        <v>442</v>
      </c>
      <c r="BU626" s="260">
        <v>76.2</v>
      </c>
      <c r="BV626" s="151">
        <v>97.9</v>
      </c>
      <c r="BX626">
        <f>BV626-BU626</f>
        <v>21.700000000000003</v>
      </c>
      <c r="BZ626">
        <f>BX626*C_to_CO2</f>
        <v>79.63900000000001</v>
      </c>
      <c r="CA626">
        <f>IFERROR(BZ626/BQ626,"")</f>
        <v>1.6192161825726143</v>
      </c>
      <c r="CB626" s="143">
        <v>0</v>
      </c>
      <c r="CC626" s="143">
        <v>0</v>
      </c>
      <c r="CD626" s="143">
        <v>0</v>
      </c>
      <c r="CE626" s="143">
        <v>0</v>
      </c>
      <c r="CF626" s="143">
        <v>0</v>
      </c>
      <c r="CG626" s="143">
        <v>0</v>
      </c>
      <c r="CH626" s="143">
        <v>0</v>
      </c>
      <c r="CI626" s="143">
        <v>0</v>
      </c>
      <c r="CJ626" s="143">
        <v>0</v>
      </c>
      <c r="CK626" s="143">
        <v>0</v>
      </c>
      <c r="CL626" s="143">
        <v>0</v>
      </c>
      <c r="CM626" s="143">
        <v>0</v>
      </c>
      <c r="CN626" s="143">
        <v>0</v>
      </c>
      <c r="CO626">
        <v>0</v>
      </c>
      <c r="CP626" t="str">
        <f>IF($BN626&lt;$BM626,"refNeedCorrection","refOK")</f>
        <v>refOK</v>
      </c>
      <c r="CQ626">
        <f>IF($CP626="refOK",$BM626,$BN626)</f>
        <v>56.4</v>
      </c>
      <c r="CR626">
        <f>IF($CP626="refOK",$BN626,$BM626)</f>
        <v>80.5</v>
      </c>
      <c r="CS626">
        <f>IF($CP626="refOK",$BQ626,-$BQ626)</f>
        <v>49.183673469387756</v>
      </c>
      <c r="CT626">
        <f>IF(BI626="Roundwood",$CS626/2,$CS626)</f>
        <v>49.183673469387756</v>
      </c>
      <c r="CU626">
        <f>IF($CP626="refOK",$BU626,$BV626)*IF($BR626="Emissions positive",-1,1)</f>
        <v>76.2</v>
      </c>
      <c r="CV626">
        <f>IF($CP626="refOK",$BV626,$BU626)*IF($BR626="Emissions positive",-1,1)</f>
        <v>97.9</v>
      </c>
      <c r="CW626">
        <f>IF($CP626="refNeedCorrection",-BZ626,BZ626)*IF($BR626="Emissions positive",-1,1)</f>
        <v>79.63900000000001</v>
      </c>
      <c r="CX626">
        <f>IFERROR($CW626/$CS626,"")</f>
        <v>1.6192161825726143</v>
      </c>
      <c r="CY626">
        <f>IFERROR($CW626/$CS626,"")</f>
        <v>1.6192161825726143</v>
      </c>
      <c r="CZ626">
        <f>IFERROR($CW626/$CT626,"")</f>
        <v>1.6192161825726143</v>
      </c>
      <c r="DA626" s="2">
        <f>IFERROR((CV626-CU626)/ABS(CU626),"")</f>
        <v>0.28477690288713914</v>
      </c>
      <c r="DB626" s="1" t="s">
        <v>263</v>
      </c>
      <c r="DC626" t="str">
        <f>IF(OR($DB626="prd",$DB626="std",$DB626="cit"),"loc",IF(OR($DB626="eur",$DB626="reg",$DB626="coy"),"reg",$DB626))</f>
        <v>loc</v>
      </c>
      <c r="DD626" t="s">
        <v>729</v>
      </c>
      <c r="DF626" s="143"/>
      <c r="DG626" s="143">
        <v>0</v>
      </c>
      <c r="DH626" t="str">
        <f>IF(DG626=0,"0",IF(AND(DG626&gt;=1,DG626&lt;=30),"1-30",IF(AND(DG626&gt;30,DG626&lt;=70),"31-70",IF(AND(DG626&gt;70,DG626&lt;=100),"71-100",IF(DG626&gt;100,"+100")))))</f>
        <v>0</v>
      </c>
      <c r="DI626">
        <v>0</v>
      </c>
      <c r="DJ626">
        <v>0</v>
      </c>
      <c r="DK626">
        <v>0</v>
      </c>
      <c r="DL626">
        <v>1</v>
      </c>
      <c r="DN626">
        <f>SUM(DI626:DL626)</f>
        <v>1</v>
      </c>
      <c r="DO626" t="str">
        <f>IF(DN626=1,INDEX($DI$7:$DL$7,MATCH(1,$DI626:$DL626,0)),"mixedProduct")</f>
        <v>TimberInput</v>
      </c>
      <c r="DP626">
        <f>IF(DI626=1,DP$7,0)</f>
        <v>0</v>
      </c>
      <c r="DQ626">
        <f>IF(DJ626=1,DQ$7,0)</f>
        <v>0</v>
      </c>
      <c r="DR626">
        <f>IF(DK626=1,DR$7,0)</f>
        <v>0</v>
      </c>
      <c r="DS626" t="str">
        <f>IF(DL626=1,DS$7,0)</f>
        <v>Timber</v>
      </c>
      <c r="DT626">
        <v>1</v>
      </c>
      <c r="DU626" s="143">
        <v>0</v>
      </c>
      <c r="DV626" s="143">
        <v>0</v>
      </c>
      <c r="DW626">
        <v>0</v>
      </c>
      <c r="DX626" s="143">
        <v>0</v>
      </c>
      <c r="DY626">
        <f>SUM(DT626:DU626)</f>
        <v>1</v>
      </c>
      <c r="DZ626" s="143" t="str">
        <f>IF(DT626=1,"self-calculated DF",IF(DU626=1,"external DF used","explicit C balance"))</f>
        <v>self-calculated DF</v>
      </c>
      <c r="EA626" s="143">
        <v>0</v>
      </c>
      <c r="EB626" s="260">
        <v>1</v>
      </c>
      <c r="EC626" s="260">
        <v>1</v>
      </c>
      <c r="ED626" s="260">
        <v>0</v>
      </c>
      <c r="EE626" s="260">
        <v>0</v>
      </c>
      <c r="EF626" s="260">
        <v>1</v>
      </c>
      <c r="EG626" s="260">
        <v>1</v>
      </c>
      <c r="EH626" s="260">
        <v>0</v>
      </c>
      <c r="EI626" s="143">
        <v>0</v>
      </c>
      <c r="EJ626">
        <v>0</v>
      </c>
      <c r="EK626">
        <v>0</v>
      </c>
      <c r="EL626" s="143">
        <v>0</v>
      </c>
      <c r="EM626" s="143">
        <v>0</v>
      </c>
      <c r="EN626" s="2">
        <v>0</v>
      </c>
      <c r="EP626" t="str">
        <f>IF(AND(AND(AND(OR($EC626=1,$EB626=1),OR($EH626=1,$EF626=1)),SUM($EA626:$EE626,$EK626)&gt;=3),SUM($EF626:$EJ626)&gt;=2),"Whole sector approach","")</f>
        <v/>
      </c>
      <c r="EQ626" t="str">
        <f>IF(AND(AND(OR($EC626=1,$EB626=1),AND($EH626=0,$EF626=0)),SUM($EA626:$EE626,$EK626)&gt;=4),"Ecosystem approach","")</f>
        <v/>
      </c>
      <c r="ER626" s="2" t="str">
        <f>IF(AND(AND(AND($EC626=0,$EB626=0),OR($EH626=1,$EF626=1)),SUM($EG626:$EJ626)&gt;=2),"Technology approach","")</f>
        <v/>
      </c>
      <c r="ES626" t="str">
        <f>IF(AND($EC626+$EB626+$EE626+$EA626+$ED626+$EG626=0,$N626="included"),"C neutral forest and HWP assumption","")</f>
        <v/>
      </c>
      <c r="ET626" t="str">
        <f>IF(AND(AND(AND(AND($EC626=1,$EB626+$EA626+$EG626&gt;=1),$EF626=1),$EH626+$EI626+$ED626+$EE626&gt;=2),$N626="included"),"All C pools assumption","")</f>
        <v/>
      </c>
      <c r="EU626" t="str">
        <f>IF(AND($ED626+$EE626+$EI626+$EH626+$EF626=0,$N626="included"),"In-situ only assumption","")</f>
        <v/>
      </c>
      <c r="EY626" t="str">
        <f>IF(ISNUMBER(BW626),IF(ABS(BW626-[6]QC_indicators!$B$2)&gt;3*[6]QC_indicators!$C$2,"C ratio",IF(ISNUMBER(CA626),IF(ABS(CA626-[6]QC_indicators!$B$1)&gt;3*[6]QC_indicators!$C$1,"DF","no"))),IF(ISNUMBER(CA626),IF(ABS(CA626-[6]QC_indicators!$B$1)&gt;3*[6]QC_indicators!$C$1,"DF","no")))</f>
        <v>no</v>
      </c>
      <c r="FA626" t="str">
        <f>IF(LEN($CY626)=0,"",IF(AND($CY626&lt;(-0.05),$ES626="C neutral forest and HWP assumption"),"Cneutral paradox",IF(AND($CY626&gt;0.05,$EU626="In-situ only assumption"),"In-situ only paradox","")))</f>
        <v/>
      </c>
      <c r="FB626" s="149" t="s">
        <v>349</v>
      </c>
      <c r="FD626" s="260" t="s">
        <v>2948</v>
      </c>
    </row>
    <row r="627" spans="1:160" ht="15" hidden="1" customHeight="1">
      <c r="D627" t="s">
        <v>719</v>
      </c>
      <c r="E627" t="s">
        <v>720</v>
      </c>
      <c r="G627" t="s">
        <v>721</v>
      </c>
      <c r="I627">
        <v>2005</v>
      </c>
      <c r="K627" s="156" t="s">
        <v>722</v>
      </c>
      <c r="M627" t="str">
        <f>LEFT($D627,FIND(",",$D627)-1)&amp;"_"&amp;I627&amp;L627</f>
        <v>Gustavsson_2005</v>
      </c>
      <c r="N627" t="s">
        <v>222</v>
      </c>
      <c r="O627" t="s">
        <v>223</v>
      </c>
      <c r="Q627" t="s">
        <v>256</v>
      </c>
      <c r="R627" s="251" t="s">
        <v>225</v>
      </c>
      <c r="S627" s="1" t="s">
        <v>731</v>
      </c>
      <c r="T627" t="s">
        <v>724</v>
      </c>
      <c r="U627" s="260" t="s">
        <v>725</v>
      </c>
      <c r="V627" s="253">
        <v>0</v>
      </c>
      <c r="W627" s="253">
        <v>0</v>
      </c>
      <c r="X627">
        <v>0</v>
      </c>
      <c r="Y627">
        <v>0</v>
      </c>
      <c r="Z627">
        <v>0</v>
      </c>
      <c r="AA627">
        <v>0</v>
      </c>
      <c r="AB627">
        <v>0</v>
      </c>
      <c r="AC627">
        <v>0</v>
      </c>
      <c r="AD627">
        <v>0</v>
      </c>
      <c r="AE627">
        <v>0</v>
      </c>
      <c r="AF627">
        <v>0</v>
      </c>
      <c r="AG627">
        <v>0</v>
      </c>
      <c r="AH627">
        <v>0</v>
      </c>
      <c r="AI627">
        <v>0</v>
      </c>
      <c r="AJ627">
        <v>1</v>
      </c>
      <c r="AK627">
        <v>0</v>
      </c>
      <c r="AL627">
        <v>0</v>
      </c>
      <c r="AM627">
        <v>0</v>
      </c>
      <c r="AN627">
        <v>0</v>
      </c>
      <c r="AO627">
        <v>0</v>
      </c>
      <c r="AP627">
        <v>0</v>
      </c>
      <c r="AQ627">
        <v>0</v>
      </c>
      <c r="AR627">
        <v>0</v>
      </c>
      <c r="AS627">
        <v>0</v>
      </c>
      <c r="AT627">
        <v>0</v>
      </c>
      <c r="AU627">
        <v>0</v>
      </c>
      <c r="AV627">
        <v>0</v>
      </c>
      <c r="AW627">
        <v>0</v>
      </c>
      <c r="AX627">
        <v>0</v>
      </c>
      <c r="AY627">
        <v>0</v>
      </c>
      <c r="AZ627" s="141">
        <f>COUNTIF(X627:AY627,"&lt;&gt;0")</f>
        <v>1</v>
      </c>
      <c r="BA627" s="141">
        <f>COUNTIF(X627:AN627,"&lt;&gt;0")</f>
        <v>1</v>
      </c>
      <c r="BB627">
        <f>COUNTIF(X627:AE627,"&lt;&gt;0")</f>
        <v>0</v>
      </c>
      <c r="BC627">
        <f>COUNTIF(AF627:AK627,"&lt;&gt;0")</f>
        <v>1</v>
      </c>
      <c r="BD627">
        <f>COUNTIF(AL627:AN627,"&lt;&gt;0")</f>
        <v>0</v>
      </c>
      <c r="BE627">
        <f>COUNTIF(AU627:AY627,"&lt;&gt;0")</f>
        <v>0</v>
      </c>
      <c r="BF627">
        <f>COUNTIF(AO627:AT627,"&lt;&gt;0")</f>
        <v>0</v>
      </c>
      <c r="BG627" t="str">
        <f t="array" ref="BG627">IF(BA627=1,INDEX($X$7:$AN$7,MATCH(TRUE,INDEX($X627:$AY627&lt;&gt;0,),0)),IF(BA627=0,INDEX($AO$7:$AY$7,MATCH(1,$AO627:$AY627,0)),IF(BH627="Multiple strategies","mixed drivers",IF(BH627="Supply chain","multiple supply","multiple silviculture"))))</f>
        <v xml:space="preserve">end of life disposal </v>
      </c>
      <c r="BH627" s="2" t="str" cm="1">
        <f t="array" ref="BH627">IF(COUNTIF(BB627:BD627,"&lt;&gt;0")=1,INDEX($X$4:$AY$4,MATCH(TRUE,INDEX($X627:$AY627&lt;&gt;0,),0)),IF(COUNTIF(BB627:BD627,"&lt;&gt;0")=0,INDEX($AO$4:$AY$4,MATCH(1,$AO627:$AY627,0)),"Multiple strategies"))</f>
        <v>Supply chain</v>
      </c>
      <c r="BI627" s="259" t="s">
        <v>321</v>
      </c>
      <c r="BJ627" s="260" t="s">
        <v>726</v>
      </c>
      <c r="BK627" s="256" t="s">
        <v>3010</v>
      </c>
      <c r="BL627" s="260" t="s">
        <v>727</v>
      </c>
      <c r="BM627" s="260">
        <f>BN627-8.9</f>
        <v>198.6</v>
      </c>
      <c r="BN627" s="260">
        <v>207.5</v>
      </c>
      <c r="BO627" s="260">
        <f>BN627/BM627</f>
        <v>1.0448136958710976</v>
      </c>
      <c r="BP627" s="260">
        <f>BN627-BM627</f>
        <v>8.9000000000000057</v>
      </c>
      <c r="BQ627" s="260">
        <f>BP627*t_to_m3</f>
        <v>18.163265306122462</v>
      </c>
      <c r="BR627" t="s">
        <v>232</v>
      </c>
      <c r="BS627" s="335" t="s">
        <v>3008</v>
      </c>
      <c r="BT627" t="s">
        <v>442</v>
      </c>
      <c r="BU627" s="260">
        <v>39.299999999999997</v>
      </c>
      <c r="BV627" s="151">
        <v>44.2</v>
      </c>
      <c r="BX627">
        <v>4.9000000000000057</v>
      </c>
      <c r="BZ627">
        <f>BX627*C_to_CO2</f>
        <v>17.983000000000022</v>
      </c>
      <c r="CA627">
        <f>IFERROR(BZ627/BQ627,"")</f>
        <v>0.99007528089887697</v>
      </c>
      <c r="CB627" s="143">
        <v>0</v>
      </c>
      <c r="CC627" s="143">
        <v>0</v>
      </c>
      <c r="CD627" s="143">
        <v>0</v>
      </c>
      <c r="CE627" s="143">
        <v>0</v>
      </c>
      <c r="CF627" s="143">
        <v>0</v>
      </c>
      <c r="CG627" s="143">
        <v>0</v>
      </c>
      <c r="CH627" s="143">
        <v>0</v>
      </c>
      <c r="CI627" s="143">
        <v>0</v>
      </c>
      <c r="CJ627" s="143">
        <v>0</v>
      </c>
      <c r="CK627" s="143">
        <v>0</v>
      </c>
      <c r="CL627" s="143">
        <v>0</v>
      </c>
      <c r="CM627" s="143">
        <v>0</v>
      </c>
      <c r="CN627" s="143">
        <v>0</v>
      </c>
      <c r="CO627">
        <v>0</v>
      </c>
      <c r="CP627" t="str">
        <f>IF($BN627&lt;$BM627,"refNeedCorrection","refOK")</f>
        <v>refOK</v>
      </c>
      <c r="CQ627">
        <f>IF($CP627="refOK",$BM627,$BN627)</f>
        <v>198.6</v>
      </c>
      <c r="CR627">
        <f>IF($CP627="refOK",$BN627,$BM627)</f>
        <v>207.5</v>
      </c>
      <c r="CS627">
        <f>IF($CP627="refOK",$BQ627,-$BQ627)</f>
        <v>18.163265306122462</v>
      </c>
      <c r="CT627">
        <f>IF(BI627="Roundwood",$CS627/2,$CS627)</f>
        <v>9.0816326530612308</v>
      </c>
      <c r="CU627">
        <f>IF($CP627="refOK",$BU627,$BV627)*IF($BR627="Emissions positive",-1,1)</f>
        <v>39.299999999999997</v>
      </c>
      <c r="CV627">
        <f>IF($CP627="refOK",$BV627,$BU627)*IF($BR627="Emissions positive",-1,1)</f>
        <v>44.2</v>
      </c>
      <c r="CW627">
        <f>IF($CP627="refNeedCorrection",-BZ627,BZ627)*IF($BR627="Emissions positive",-1,1)</f>
        <v>17.983000000000022</v>
      </c>
      <c r="CX627">
        <f>IFERROR($CW627/$CS627,"")</f>
        <v>0.99007528089887697</v>
      </c>
      <c r="CY627">
        <f>IFERROR($CW627/$CS627,"")</f>
        <v>0.99007528089887697</v>
      </c>
      <c r="CZ627">
        <f>IFERROR($CW627/$CT627,"")</f>
        <v>1.9801505617977539</v>
      </c>
      <c r="DA627" s="2">
        <f>IFERROR((CV627-CU627)/ABS(CU627),"")</f>
        <v>0.12468193384223934</v>
      </c>
      <c r="DB627" s="1" t="s">
        <v>263</v>
      </c>
      <c r="DC627" t="str">
        <f>IF(OR($DB627="prd",$DB627="std",$DB627="cit"),"loc",IF(OR($DB627="eur",$DB627="reg",$DB627="coy"),"reg",$DB627))</f>
        <v>loc</v>
      </c>
      <c r="DD627" t="s">
        <v>729</v>
      </c>
      <c r="DF627" s="143"/>
      <c r="DG627" s="143">
        <v>0</v>
      </c>
      <c r="DH627" t="str">
        <f>IF(DG627=0,"0",IF(AND(DG627&gt;=1,DG627&lt;=30),"1-30",IF(AND(DG627&gt;30,DG627&lt;=70),"31-70",IF(AND(DG627&gt;70,DG627&lt;=100),"71-100",IF(DG627&gt;100,"+100")))))</f>
        <v>0</v>
      </c>
      <c r="DI627">
        <v>0</v>
      </c>
      <c r="DJ627">
        <v>0</v>
      </c>
      <c r="DK627">
        <v>0</v>
      </c>
      <c r="DL627">
        <v>1</v>
      </c>
      <c r="DN627">
        <f>SUM(DI627:DL627)</f>
        <v>1</v>
      </c>
      <c r="DO627" t="str">
        <f>IF(DN627=1,INDEX($DI$7:$DL$7,MATCH(1,$DI627:$DL627,0)),"mixedProduct")</f>
        <v>TimberInput</v>
      </c>
      <c r="DP627">
        <f>IF(DI627=1,DP$7,0)</f>
        <v>0</v>
      </c>
      <c r="DQ627">
        <f>IF(DJ627=1,DQ$7,0)</f>
        <v>0</v>
      </c>
      <c r="DR627">
        <f>IF(DK627=1,DR$7,0)</f>
        <v>0</v>
      </c>
      <c r="DS627" t="str">
        <f>IF(DL627=1,DS$7,0)</f>
        <v>Timber</v>
      </c>
      <c r="DT627">
        <v>1</v>
      </c>
      <c r="DU627" s="143">
        <v>0</v>
      </c>
      <c r="DV627" s="143">
        <v>0</v>
      </c>
      <c r="DW627">
        <v>0</v>
      </c>
      <c r="DX627" s="143">
        <v>0</v>
      </c>
      <c r="DY627">
        <f>SUM(DT627:DU627)</f>
        <v>1</v>
      </c>
      <c r="DZ627" s="143" t="str">
        <f>IF(DT627=1,"self-calculated DF",IF(DU627=1,"external DF used","explicit C balance"))</f>
        <v>self-calculated DF</v>
      </c>
      <c r="EA627" s="143">
        <v>0</v>
      </c>
      <c r="EB627" s="260">
        <v>1</v>
      </c>
      <c r="EC627" s="260">
        <v>1</v>
      </c>
      <c r="ED627" s="260">
        <v>0</v>
      </c>
      <c r="EE627" s="260">
        <v>0</v>
      </c>
      <c r="EF627" s="260">
        <v>1</v>
      </c>
      <c r="EG627" s="260">
        <v>1</v>
      </c>
      <c r="EH627" s="260">
        <v>1</v>
      </c>
      <c r="EI627" s="143">
        <v>0</v>
      </c>
      <c r="EJ627">
        <v>0</v>
      </c>
      <c r="EK627">
        <v>0</v>
      </c>
      <c r="EL627" s="143">
        <v>0</v>
      </c>
      <c r="EM627" s="143">
        <v>0</v>
      </c>
      <c r="EN627" s="2">
        <v>0</v>
      </c>
      <c r="EP627" t="str">
        <f>IF(AND(AND(AND(OR($EC627=1,$EB627=1),OR($EH627=1,$EF627=1)),SUM($EA627:$EE627,$EK627)&gt;=3),SUM($EF627:$EJ627)&gt;=2),"Whole sector approach","")</f>
        <v/>
      </c>
      <c r="EQ627" t="str">
        <f>IF(AND(AND(OR($EC627=1,$EB627=1),AND($EH627=0,$EF627=0)),SUM($EA627:$EE627,$EK627)&gt;=4),"Ecosystem approach","")</f>
        <v/>
      </c>
      <c r="ER627" s="2" t="str">
        <f>IF(AND(AND(AND($EC627=0,$EB627=0),OR($EH627=1,$EF627=1)),SUM($EG627:$EJ627)&gt;=2),"Technology approach","")</f>
        <v/>
      </c>
      <c r="ES627" t="str">
        <f>IF(AND($EC627+$EB627+$EE627+$EA627+$ED627+$EG627=0,$N627="included"),"C neutral forest and HWP assumption","")</f>
        <v/>
      </c>
      <c r="ET627" t="str">
        <f>IF(AND(AND(AND(AND($EC627=1,$EB627+$EA627+$EG627&gt;=1),$EF627=1),$EH627+$EI627+$ED627+$EE627&gt;=2),$N627="included"),"All C pools assumption","")</f>
        <v/>
      </c>
      <c r="EU627" t="str">
        <f>IF(AND($ED627+$EE627+$EI627+$EH627+$EF627=0,$N627="included"),"In-situ only assumption","")</f>
        <v/>
      </c>
      <c r="EY627" t="str">
        <f>IF(ISNUMBER(BW627),IF(ABS(BW627-[6]QC_indicators!$B$2)&gt;3*[6]QC_indicators!$C$2,"C ratio",IF(ISNUMBER(CA627),IF(ABS(CA627-[6]QC_indicators!$B$1)&gt;3*[6]QC_indicators!$C$1,"DF","no"))),IF(ISNUMBER(CA627),IF(ABS(CA627-[6]QC_indicators!$B$1)&gt;3*[6]QC_indicators!$C$1,"DF","no")))</f>
        <v>no</v>
      </c>
      <c r="FA627" t="str">
        <f>IF(LEN($CY627)=0,"",IF(AND($CY627&lt;(-0.05),$ES627="C neutral forest and HWP assumption"),"Cneutral paradox",IF(AND($CY627&gt;0.05,$EU627="In-situ only assumption"),"In-situ only paradox","")))</f>
        <v/>
      </c>
      <c r="FB627" s="149" t="s">
        <v>349</v>
      </c>
      <c r="FD627" s="260" t="s">
        <v>2948</v>
      </c>
    </row>
    <row r="628" spans="1:160" ht="15" hidden="1" customHeight="1">
      <c r="D628" t="s">
        <v>719</v>
      </c>
      <c r="E628" t="s">
        <v>720</v>
      </c>
      <c r="G628" t="s">
        <v>721</v>
      </c>
      <c r="I628">
        <v>2005</v>
      </c>
      <c r="K628" s="156" t="s">
        <v>722</v>
      </c>
      <c r="M628" t="str">
        <f>LEFT($D628,FIND(",",$D628)-1)&amp;"_"&amp;I628&amp;L628</f>
        <v>Gustavsson_2005</v>
      </c>
      <c r="N628" t="s">
        <v>222</v>
      </c>
      <c r="O628" t="s">
        <v>223</v>
      </c>
      <c r="Q628" t="s">
        <v>256</v>
      </c>
      <c r="R628" s="251" t="s">
        <v>225</v>
      </c>
      <c r="S628" s="1" t="s">
        <v>730</v>
      </c>
      <c r="T628" t="s">
        <v>724</v>
      </c>
      <c r="U628" s="260" t="s">
        <v>725</v>
      </c>
      <c r="V628" s="253">
        <v>0</v>
      </c>
      <c r="W628" s="253">
        <v>0</v>
      </c>
      <c r="X628">
        <v>0</v>
      </c>
      <c r="Y628">
        <v>0</v>
      </c>
      <c r="Z628">
        <v>0</v>
      </c>
      <c r="AA628">
        <v>0</v>
      </c>
      <c r="AB628">
        <v>0</v>
      </c>
      <c r="AC628">
        <v>0</v>
      </c>
      <c r="AD628">
        <v>0</v>
      </c>
      <c r="AE628">
        <v>0</v>
      </c>
      <c r="AF628">
        <v>0</v>
      </c>
      <c r="AG628">
        <v>0</v>
      </c>
      <c r="AH628">
        <v>0</v>
      </c>
      <c r="AI628">
        <v>0</v>
      </c>
      <c r="AJ628">
        <v>1</v>
      </c>
      <c r="AK628">
        <v>0</v>
      </c>
      <c r="AL628">
        <v>0</v>
      </c>
      <c r="AM628">
        <v>0</v>
      </c>
      <c r="AN628">
        <v>0</v>
      </c>
      <c r="AO628">
        <v>0</v>
      </c>
      <c r="AP628">
        <v>0</v>
      </c>
      <c r="AQ628">
        <v>0</v>
      </c>
      <c r="AR628">
        <v>0</v>
      </c>
      <c r="AS628">
        <v>0</v>
      </c>
      <c r="AT628">
        <v>0</v>
      </c>
      <c r="AU628">
        <v>0</v>
      </c>
      <c r="AV628">
        <v>0</v>
      </c>
      <c r="AW628">
        <v>0</v>
      </c>
      <c r="AX628">
        <v>0</v>
      </c>
      <c r="AY628">
        <v>0</v>
      </c>
      <c r="AZ628" s="141">
        <f>COUNTIF(X628:AY628,"&lt;&gt;0")</f>
        <v>1</v>
      </c>
      <c r="BA628" s="141">
        <f>COUNTIF(X628:AN628,"&lt;&gt;0")</f>
        <v>1</v>
      </c>
      <c r="BB628">
        <f>COUNTIF(X628:AE628,"&lt;&gt;0")</f>
        <v>0</v>
      </c>
      <c r="BC628">
        <f>COUNTIF(AF628:AK628,"&lt;&gt;0")</f>
        <v>1</v>
      </c>
      <c r="BD628">
        <f>COUNTIF(AL628:AN628,"&lt;&gt;0")</f>
        <v>0</v>
      </c>
      <c r="BE628">
        <f>COUNTIF(AU628:AY628,"&lt;&gt;0")</f>
        <v>0</v>
      </c>
      <c r="BF628">
        <f>COUNTIF(AO628:AT628,"&lt;&gt;0")</f>
        <v>0</v>
      </c>
      <c r="BG628" t="str">
        <f t="array" ref="BG628">IF(BA628=1,INDEX($X$7:$AN$7,MATCH(TRUE,INDEX($X628:$AY628&lt;&gt;0,),0)),IF(BA628=0,INDEX($AO$7:$AY$7,MATCH(1,$AO628:$AY628,0)),IF(BH628="Multiple strategies","mixed drivers",IF(BH628="Supply chain","multiple supply","multiple silviculture"))))</f>
        <v xml:space="preserve">end of life disposal </v>
      </c>
      <c r="BH628" s="2" t="str" cm="1">
        <f t="array" ref="BH628">IF(COUNTIF(BB628:BD628,"&lt;&gt;0")=1,INDEX($X$4:$AY$4,MATCH(TRUE,INDEX($X628:$AY628&lt;&gt;0,),0)),IF(COUNTIF(BB628:BD628,"&lt;&gt;0")=0,INDEX($AO$4:$AY$4,MATCH(1,$AO628:$AY628,0)),"Multiple strategies"))</f>
        <v>Supply chain</v>
      </c>
      <c r="BI628" s="259" t="s">
        <v>321</v>
      </c>
      <c r="BJ628" s="260" t="s">
        <v>726</v>
      </c>
      <c r="BK628" s="256" t="s">
        <v>3009</v>
      </c>
      <c r="BL628" s="260" t="s">
        <v>727</v>
      </c>
      <c r="BM628" s="260">
        <f>BN628-8.2-69.1</f>
        <v>130.20000000000002</v>
      </c>
      <c r="BN628" s="260">
        <v>207.5</v>
      </c>
      <c r="BO628" s="260">
        <f>BN628/BM628</f>
        <v>1.5937019969278032</v>
      </c>
      <c r="BP628" s="260">
        <f>BN628-BM628</f>
        <v>77.299999999999983</v>
      </c>
      <c r="BQ628" s="260">
        <f>BP628*t_to_m3</f>
        <v>157.7551020408163</v>
      </c>
      <c r="BR628" t="s">
        <v>232</v>
      </c>
      <c r="BS628" s="335" t="s">
        <v>3008</v>
      </c>
      <c r="BT628" t="s">
        <v>442</v>
      </c>
      <c r="BU628" s="260">
        <v>10.7</v>
      </c>
      <c r="BV628" s="151">
        <v>44.2</v>
      </c>
      <c r="BX628">
        <v>33.5</v>
      </c>
      <c r="BZ628">
        <f>BX628*C_to_CO2</f>
        <v>122.94499999999999</v>
      </c>
      <c r="CA628">
        <f>IFERROR(BZ628/BQ628,"")</f>
        <v>0.77934087968952148</v>
      </c>
      <c r="CB628" s="143">
        <v>0</v>
      </c>
      <c r="CC628" s="143">
        <v>0</v>
      </c>
      <c r="CD628" s="143">
        <v>0</v>
      </c>
      <c r="CE628" s="143">
        <v>0</v>
      </c>
      <c r="CF628" s="143">
        <v>0</v>
      </c>
      <c r="CG628" s="143">
        <v>0</v>
      </c>
      <c r="CH628" s="143">
        <v>0</v>
      </c>
      <c r="CI628" s="143">
        <v>0</v>
      </c>
      <c r="CJ628" s="143">
        <v>0</v>
      </c>
      <c r="CK628" s="143">
        <v>0</v>
      </c>
      <c r="CL628" s="143">
        <v>0</v>
      </c>
      <c r="CM628" s="143">
        <v>0</v>
      </c>
      <c r="CN628" s="143">
        <v>0</v>
      </c>
      <c r="CO628">
        <v>0</v>
      </c>
      <c r="CP628" t="str">
        <f>IF($BN628&lt;$BM628,"refNeedCorrection","refOK")</f>
        <v>refOK</v>
      </c>
      <c r="CQ628">
        <f>IF($CP628="refOK",$BM628,$BN628)</f>
        <v>130.20000000000002</v>
      </c>
      <c r="CR628">
        <f>IF($CP628="refOK",$BN628,$BM628)</f>
        <v>207.5</v>
      </c>
      <c r="CS628">
        <f>IF($CP628="refOK",$BQ628,-$BQ628)</f>
        <v>157.7551020408163</v>
      </c>
      <c r="CT628">
        <f>IF(BI628="Roundwood",$CS628/2,$CS628)</f>
        <v>78.877551020408148</v>
      </c>
      <c r="CU628">
        <f>IF($CP628="refOK",$BU628,$BV628)*IF($BR628="Emissions positive",-1,1)</f>
        <v>10.7</v>
      </c>
      <c r="CV628">
        <f>IF($CP628="refOK",$BV628,$BU628)*IF($BR628="Emissions positive",-1,1)</f>
        <v>44.2</v>
      </c>
      <c r="CW628">
        <f>IF($CP628="refNeedCorrection",-BZ628,BZ628)*IF($BR628="Emissions positive",-1,1)</f>
        <v>122.94499999999999</v>
      </c>
      <c r="CX628">
        <f>IFERROR($CW628/$CS628,"")</f>
        <v>0.77934087968952148</v>
      </c>
      <c r="CY628">
        <f>IFERROR($CW628/$CS628,"")</f>
        <v>0.77934087968952148</v>
      </c>
      <c r="CZ628">
        <f>IFERROR($CW628/$CT628,"")</f>
        <v>1.558681759379043</v>
      </c>
      <c r="DA628" s="2">
        <f>IFERROR((CV628-CU628)/ABS(CU628),"")</f>
        <v>3.1308411214953273</v>
      </c>
      <c r="DB628" s="1" t="s">
        <v>263</v>
      </c>
      <c r="DC628" t="str">
        <f>IF(OR($DB628="prd",$DB628="std",$DB628="cit"),"loc",IF(OR($DB628="eur",$DB628="reg",$DB628="coy"),"reg",$DB628))</f>
        <v>loc</v>
      </c>
      <c r="DD628" t="s">
        <v>729</v>
      </c>
      <c r="DF628" s="143"/>
      <c r="DG628" s="143">
        <v>0</v>
      </c>
      <c r="DH628" t="str">
        <f>IF(DG628=0,"0",IF(AND(DG628&gt;=1,DG628&lt;=30),"1-30",IF(AND(DG628&gt;30,DG628&lt;=70),"31-70",IF(AND(DG628&gt;70,DG628&lt;=100),"71-100",IF(DG628&gt;100,"+100")))))</f>
        <v>0</v>
      </c>
      <c r="DI628">
        <v>0</v>
      </c>
      <c r="DJ628">
        <v>0</v>
      </c>
      <c r="DK628">
        <v>0</v>
      </c>
      <c r="DL628">
        <v>1</v>
      </c>
      <c r="DN628">
        <f>SUM(DI628:DL628)</f>
        <v>1</v>
      </c>
      <c r="DO628" t="str">
        <f>IF(DN628=1,INDEX($DI$7:$DL$7,MATCH(1,$DI628:$DL628,0)),"mixedProduct")</f>
        <v>TimberInput</v>
      </c>
      <c r="DP628">
        <f>IF(DI628=1,DP$7,0)</f>
        <v>0</v>
      </c>
      <c r="DQ628">
        <f>IF(DJ628=1,DQ$7,0)</f>
        <v>0</v>
      </c>
      <c r="DR628">
        <f>IF(DK628=1,DR$7,0)</f>
        <v>0</v>
      </c>
      <c r="DS628" t="str">
        <f>IF(DL628=1,DS$7,0)</f>
        <v>Timber</v>
      </c>
      <c r="DT628">
        <v>1</v>
      </c>
      <c r="DU628" s="143">
        <v>0</v>
      </c>
      <c r="DV628" s="143">
        <v>0</v>
      </c>
      <c r="DW628">
        <v>0</v>
      </c>
      <c r="DX628" s="143">
        <v>0</v>
      </c>
      <c r="DY628">
        <f>SUM(DT628:DU628)</f>
        <v>1</v>
      </c>
      <c r="DZ628" s="143" t="str">
        <f>IF(DT628=1,"self-calculated DF",IF(DU628=1,"external DF used","explicit C balance"))</f>
        <v>self-calculated DF</v>
      </c>
      <c r="EA628" s="143">
        <v>0</v>
      </c>
      <c r="EB628" s="260">
        <v>1</v>
      </c>
      <c r="EC628" s="260">
        <v>1</v>
      </c>
      <c r="ED628" s="260">
        <v>0</v>
      </c>
      <c r="EE628" s="260">
        <v>0</v>
      </c>
      <c r="EF628" s="260">
        <v>1</v>
      </c>
      <c r="EG628" s="260">
        <v>1</v>
      </c>
      <c r="EH628" s="260">
        <v>1</v>
      </c>
      <c r="EI628" s="143">
        <v>0</v>
      </c>
      <c r="EJ628">
        <v>0</v>
      </c>
      <c r="EK628">
        <v>0</v>
      </c>
      <c r="EL628" s="143">
        <v>0</v>
      </c>
      <c r="EM628" s="143">
        <v>0</v>
      </c>
      <c r="EN628" s="2">
        <v>0</v>
      </c>
      <c r="EP628" t="str">
        <f>IF(AND(AND(AND(OR($EC628=1,$EB628=1),OR($EH628=1,$EF628=1)),SUM($EA628:$EE628,$EK628)&gt;=3),SUM($EF628:$EJ628)&gt;=2),"Whole sector approach","")</f>
        <v/>
      </c>
      <c r="EQ628" t="str">
        <f>IF(AND(AND(OR($EC628=1,$EB628=1),AND($EH628=0,$EF628=0)),SUM($EA628:$EE628,$EK628)&gt;=4),"Ecosystem approach","")</f>
        <v/>
      </c>
      <c r="ER628" s="2" t="str">
        <f>IF(AND(AND(AND($EC628=0,$EB628=0),OR($EH628=1,$EF628=1)),SUM($EG628:$EJ628)&gt;=2),"Technology approach","")</f>
        <v/>
      </c>
      <c r="ES628" t="str">
        <f>IF(AND($EC628+$EB628+$EE628+$EA628+$ED628+$EG628=0,$N628="included"),"C neutral forest and HWP assumption","")</f>
        <v/>
      </c>
      <c r="ET628" t="str">
        <f>IF(AND(AND(AND(AND($EC628=1,$EB628+$EA628+$EG628&gt;=1),$EF628=1),$EH628+$EI628+$ED628+$EE628&gt;=2),$N628="included"),"All C pools assumption","")</f>
        <v/>
      </c>
      <c r="EU628" t="str">
        <f>IF(AND($ED628+$EE628+$EI628+$EH628+$EF628=0,$N628="included"),"In-situ only assumption","")</f>
        <v/>
      </c>
      <c r="EY628" t="str">
        <f>IF(ISNUMBER(BW628),IF(ABS(BW628-[6]QC_indicators!$B$2)&gt;3*[6]QC_indicators!$C$2,"C ratio",IF(ISNUMBER(CA628),IF(ABS(CA628-[6]QC_indicators!$B$1)&gt;3*[6]QC_indicators!$C$1,"DF","no"))),IF(ISNUMBER(CA628),IF(ABS(CA628-[6]QC_indicators!$B$1)&gt;3*[6]QC_indicators!$C$1,"DF","no")))</f>
        <v>no</v>
      </c>
      <c r="FA628" t="str">
        <f>IF(LEN($CY628)=0,"",IF(AND($CY628&lt;(-0.05),$ES628="C neutral forest and HWP assumption"),"Cneutral paradox",IF(AND($CY628&gt;0.05,$EU628="In-situ only assumption"),"In-situ only paradox","")))</f>
        <v/>
      </c>
      <c r="FB628" s="149" t="s">
        <v>349</v>
      </c>
      <c r="FD628" s="260" t="s">
        <v>2948</v>
      </c>
    </row>
    <row r="629" spans="1:160" ht="15" hidden="1" customHeight="1">
      <c r="A629" s="1" t="s">
        <v>574</v>
      </c>
      <c r="B629" t="s">
        <v>1320</v>
      </c>
      <c r="C629" t="s">
        <v>1321</v>
      </c>
      <c r="D629" t="s">
        <v>1322</v>
      </c>
      <c r="E629" t="s">
        <v>1323</v>
      </c>
      <c r="F629" t="s">
        <v>1324</v>
      </c>
      <c r="G629" t="s">
        <v>580</v>
      </c>
      <c r="H629" t="s">
        <v>254</v>
      </c>
      <c r="I629">
        <v>2020</v>
      </c>
      <c r="J629">
        <v>12</v>
      </c>
      <c r="K629" t="s">
        <v>1325</v>
      </c>
      <c r="M629" t="str">
        <f>LEFT($D629,FIND(",",$D629)-1)&amp;"_"&amp;I629&amp;L629</f>
        <v>Elisa_2020</v>
      </c>
      <c r="N629" s="317" t="s">
        <v>222</v>
      </c>
      <c r="O629" s="171" t="s">
        <v>274</v>
      </c>
      <c r="P629" t="s">
        <v>223</v>
      </c>
      <c r="Q629" s="317" t="s">
        <v>389</v>
      </c>
      <c r="R629" s="318" t="s">
        <v>1029</v>
      </c>
      <c r="S629" s="154" t="s">
        <v>1326</v>
      </c>
      <c r="T629" s="319" t="s">
        <v>1327</v>
      </c>
      <c r="U629" s="143" t="s">
        <v>985</v>
      </c>
      <c r="V629" s="253">
        <v>0</v>
      </c>
      <c r="W629" s="253">
        <v>0</v>
      </c>
      <c r="X629">
        <v>0</v>
      </c>
      <c r="Y629">
        <v>0</v>
      </c>
      <c r="Z629">
        <v>0</v>
      </c>
      <c r="AA629">
        <v>0</v>
      </c>
      <c r="AB629">
        <v>0</v>
      </c>
      <c r="AC629">
        <v>0</v>
      </c>
      <c r="AD629">
        <v>0</v>
      </c>
      <c r="AE629">
        <v>0</v>
      </c>
      <c r="AF629">
        <v>0</v>
      </c>
      <c r="AG629">
        <v>1</v>
      </c>
      <c r="AH629">
        <v>0</v>
      </c>
      <c r="AI629">
        <v>0</v>
      </c>
      <c r="AJ629">
        <v>0</v>
      </c>
      <c r="AK629">
        <v>0</v>
      </c>
      <c r="AL629">
        <v>0</v>
      </c>
      <c r="AM629">
        <v>1</v>
      </c>
      <c r="AN629">
        <v>0</v>
      </c>
      <c r="AO629">
        <v>0</v>
      </c>
      <c r="AP629">
        <v>0</v>
      </c>
      <c r="AQ629">
        <v>0</v>
      </c>
      <c r="AR629">
        <v>0</v>
      </c>
      <c r="AS629">
        <v>0</v>
      </c>
      <c r="AT629">
        <v>0</v>
      </c>
      <c r="AU629">
        <v>0</v>
      </c>
      <c r="AV629">
        <v>0</v>
      </c>
      <c r="AW629">
        <v>0</v>
      </c>
      <c r="AX629">
        <v>0</v>
      </c>
      <c r="AY629">
        <v>0</v>
      </c>
      <c r="AZ629" s="141">
        <f>COUNTIF(X629:AY629,"&lt;&gt;0")</f>
        <v>2</v>
      </c>
      <c r="BA629" s="141">
        <f>COUNTIF(X629:AN629,"&lt;&gt;0")</f>
        <v>2</v>
      </c>
      <c r="BB629">
        <f>COUNTIF(X629:AE629,"&lt;&gt;0")</f>
        <v>0</v>
      </c>
      <c r="BC629">
        <f>COUNTIF(AF629:AK629,"&lt;&gt;0")</f>
        <v>1</v>
      </c>
      <c r="BD629">
        <f>COUNTIF(AL629:AN629,"&lt;&gt;0")</f>
        <v>1</v>
      </c>
      <c r="BE629">
        <f>COUNTIF(AU629:AY629,"&lt;&gt;0")</f>
        <v>0</v>
      </c>
      <c r="BF629">
        <f>COUNTIF(AO629:AT629,"&lt;&gt;0")</f>
        <v>0</v>
      </c>
      <c r="BG629" t="str" cm="1">
        <f t="array" ref="BG629">IF(BA629=1,INDEX($X$7:$AN$7,MATCH(TRUE,INDEX($X629:$AY629&lt;&gt;0,),0)),IF(BA629=0,INDEX($AO$7:$AY$7,MATCH(1,$AO629:$AY629,0)),IF(BH629="Multiple strategies","mixed drivers",IF(BH629="Supply chain","multiple supply","multiple silviculture"))))</f>
        <v>mixed drivers</v>
      </c>
      <c r="BH629" s="2" t="str" cm="1">
        <f t="array" ref="BH629">IF(COUNTIF(BB629:BD629,"&lt;&gt;0")=1,INDEX($X$4:$AY$4,MATCH(TRUE,INDEX($X629:$AY629&lt;&gt;0,),0)),IF(COUNTIF(BB629:BD629,"&lt;&gt;0")=0,INDEX($AO$4:$AY$4,MATCH(1,$AO629:$AY629,0)),"Multiple strategies"))</f>
        <v>Multiple strategies</v>
      </c>
      <c r="BI629" s="142" t="s">
        <v>321</v>
      </c>
      <c r="BJ629" s="160" t="s">
        <v>1329</v>
      </c>
      <c r="BK629" s="160" t="s">
        <v>1330</v>
      </c>
      <c r="BL629" s="143" t="s">
        <v>498</v>
      </c>
      <c r="BM629" s="143">
        <v>944</v>
      </c>
      <c r="BN629" s="143">
        <v>13245</v>
      </c>
      <c r="BO629">
        <f>IFERROR(BN631/BM629,"")</f>
        <v>5.9494693351718085E-3</v>
      </c>
      <c r="BP629">
        <f>BN629-BM629</f>
        <v>12301</v>
      </c>
      <c r="BQ629" s="159">
        <f>BP629</f>
        <v>12301</v>
      </c>
      <c r="BR629" s="155" t="s">
        <v>232</v>
      </c>
      <c r="BS629" s="155" t="s">
        <v>1331</v>
      </c>
      <c r="BT629" s="155" t="s">
        <v>805</v>
      </c>
      <c r="BU629" s="143" t="s">
        <v>1335</v>
      </c>
      <c r="BV629" t="s">
        <v>1359</v>
      </c>
      <c r="BW629" s="144">
        <f>BV629/BU629</f>
        <v>11.69090524747398</v>
      </c>
      <c r="BX629">
        <f>BV629-BU629</f>
        <v>-73.881024166666705</v>
      </c>
      <c r="BZ629">
        <f>BX629</f>
        <v>-73.881024166666705</v>
      </c>
      <c r="CA629">
        <f>IFERROR(BZ629/BQ629,"")</f>
        <v>-6.0060990298891719E-3</v>
      </c>
      <c r="CB629">
        <v>0</v>
      </c>
      <c r="CC629">
        <v>0</v>
      </c>
      <c r="CD629">
        <v>0</v>
      </c>
      <c r="CE629">
        <v>0</v>
      </c>
      <c r="CF629">
        <v>0</v>
      </c>
      <c r="CG629">
        <v>0</v>
      </c>
      <c r="CH629">
        <v>0</v>
      </c>
      <c r="CI629">
        <v>0</v>
      </c>
      <c r="CJ629">
        <v>0</v>
      </c>
      <c r="CK629">
        <v>0</v>
      </c>
      <c r="CL629">
        <v>0</v>
      </c>
      <c r="CM629">
        <v>0</v>
      </c>
      <c r="CN629">
        <v>0</v>
      </c>
      <c r="CO629">
        <v>0</v>
      </c>
      <c r="CP629" t="str">
        <f>IF($BN629&lt;$BM629,"refNeedCorrection","refOK")</f>
        <v>refOK</v>
      </c>
      <c r="CQ629">
        <f>IF($CP629="refOK",$BM629,$BN629)</f>
        <v>944</v>
      </c>
      <c r="CR629">
        <f>IF($CP629="refOK",$BN629,$BM629)</f>
        <v>13245</v>
      </c>
      <c r="CS629">
        <f>IF($CP629="refOK",$BQ629,-$BQ629)</f>
        <v>12301</v>
      </c>
      <c r="CT629">
        <f>IF(BI629="Roundwood",$CS629/2,$CS629)</f>
        <v>6150.5</v>
      </c>
      <c r="CU629">
        <f>IF($CP629="refOK",$BU629,$BV629)*IF($BR629="Emissions positive",-1,1)</f>
        <v>-6.9106424999999998</v>
      </c>
      <c r="CV629">
        <f>IF($CP629="refOK",$BV629,$BU629)*IF($BR629="Emissions positive",-1,1)</f>
        <v>-80.7916666666667</v>
      </c>
      <c r="CW629">
        <f>IF($CP629="refNeedCorrection",-BZ629,BZ629)*IF($BR629="Emissions positive",-1,1)</f>
        <v>-73.881024166666705</v>
      </c>
      <c r="CX629">
        <f>IFERROR($CW629/$CS629,"")</f>
        <v>-6.0060990298891719E-3</v>
      </c>
      <c r="CY629">
        <f>IFERROR($CW629/$CS629,"")</f>
        <v>-6.0060990298891719E-3</v>
      </c>
      <c r="CZ629">
        <f>IFERROR($CW629/$CT629,"")</f>
        <v>-1.2012198059778344E-2</v>
      </c>
      <c r="DA629" s="2">
        <f>IFERROR((CV629-CU629)/ABS(CU629),"")</f>
        <v>-10.69090524747398</v>
      </c>
      <c r="DB629" s="320" t="s">
        <v>1334</v>
      </c>
      <c r="DC629" s="317" t="str">
        <f>IF(OR($DB629="prd",$DB629="std",$DB629="cit"),"loc",IF(OR($DB629="eur",$DB629="reg",$DB629="coy"),"reg",$DB629))</f>
        <v>reg</v>
      </c>
      <c r="DD629" s="321" t="s">
        <v>729</v>
      </c>
      <c r="DF629" s="143"/>
      <c r="DG629" s="143">
        <v>0</v>
      </c>
      <c r="DH629" t="str">
        <f>IF(DG629=0,"0",IF(AND(DG629&gt;=1,DG629&lt;=30),"1-30",IF(AND(DG629&gt;30,DG629&lt;=70),"31-70",IF(AND(DG629&gt;70,DG629&lt;=100),"71-100",IF(DG629&gt;100,"+100")))))</f>
        <v>0</v>
      </c>
      <c r="DI629">
        <v>0</v>
      </c>
      <c r="DJ629">
        <v>1</v>
      </c>
      <c r="DK629">
        <v>0</v>
      </c>
      <c r="DL629">
        <v>0</v>
      </c>
      <c r="DM629">
        <v>0</v>
      </c>
      <c r="DN629">
        <f>SUM(DI629:DM629)</f>
        <v>1</v>
      </c>
      <c r="DO629" t="str">
        <f>IF(DN629=1,INDEX($DI$7:$DL$7,MATCH(1,$DI629:$DL629,0)),"mixedProduct")</f>
        <v>EnergyInput</v>
      </c>
      <c r="DP629">
        <f>IF(DI629=1,DP$7,0)</f>
        <v>0</v>
      </c>
      <c r="DQ629" t="str">
        <f>IF(DJ629=1,DQ$7,0)</f>
        <v>Energy</v>
      </c>
      <c r="DR629">
        <f>IF(DK629=1,DR$7,0)</f>
        <v>0</v>
      </c>
      <c r="DS629">
        <f>IF(DL629=1,DS$7,0)</f>
        <v>0</v>
      </c>
      <c r="DT629">
        <v>0</v>
      </c>
      <c r="DU629" s="143">
        <v>0</v>
      </c>
      <c r="DV629" s="143">
        <v>0</v>
      </c>
      <c r="DW629">
        <v>0</v>
      </c>
      <c r="DX629" s="143">
        <v>0</v>
      </c>
      <c r="DY629">
        <f>SUM(DT629:DU629)</f>
        <v>0</v>
      </c>
      <c r="DZ629" s="143" t="str">
        <f>IF(DT629=1,"self-calculated DF",IF(DU629=1,"external DF used","explicit C balance"))</f>
        <v>explicit C balance</v>
      </c>
      <c r="EA629" s="143">
        <v>0</v>
      </c>
      <c r="EB629" s="143">
        <v>0</v>
      </c>
      <c r="EC629" s="143">
        <v>0</v>
      </c>
      <c r="ED629" s="143">
        <v>0</v>
      </c>
      <c r="EE629">
        <v>0</v>
      </c>
      <c r="EF629" s="143">
        <v>0</v>
      </c>
      <c r="EG629" s="143">
        <v>0</v>
      </c>
      <c r="EH629" s="143">
        <v>1</v>
      </c>
      <c r="EI629" s="143">
        <v>0</v>
      </c>
      <c r="EJ629">
        <v>1</v>
      </c>
      <c r="EK629">
        <v>0</v>
      </c>
      <c r="EL629" s="143">
        <v>0</v>
      </c>
      <c r="EM629" s="143">
        <v>0</v>
      </c>
      <c r="EN629" s="2">
        <v>0</v>
      </c>
      <c r="EP629" t="str">
        <f>IF(AND(AND(AND(OR($EC629=1,$EB629=1),OR($EH629=1,$EF629=1)),SUM($EA629:$EE629,$EK629)&gt;=3),SUM($EF629:$EJ629)&gt;=2),"Whole sector approach","")</f>
        <v/>
      </c>
      <c r="EQ629" t="str">
        <f>IF(AND(AND(OR($EC629=1,$EB629=1),AND($EH629=0,$EF629=0)),SUM($EA629:$EE629,$EK629)&gt;=3),"Ecosystem approach","")</f>
        <v/>
      </c>
      <c r="ER629" s="2" t="str">
        <f>IF(AND(AND(AND($EC629=0,$EB629=0),OR($EH629=1,$EF629=1)),SUM($EG629:$EJ629)&gt;=2),"Technology approach","")</f>
        <v>Technology approach</v>
      </c>
      <c r="ES629" t="str">
        <f>IF(AND($EC629+$EB629+$EE629+$EA629+$ED629+$EG629=0,$N629="included"),"C neutral forest and HWP assumption","")</f>
        <v>C neutral forest and HWP assumption</v>
      </c>
      <c r="ET629" t="str">
        <f>IF(AND(AND(AND(AND($EC629=1,$EB629+$EA629+$EG629&gt;=1),$EF629=1),$EH629+$EI629+$ED629+$EE629&gt;=2),$N629="included"),"All C pools assumption","")</f>
        <v/>
      </c>
      <c r="EU629" t="str">
        <f>IF(AND($ED629+$EE629+$EI629+$EH629+$EF629=0,$N629="included"),"In-situ only assumption","")</f>
        <v/>
      </c>
      <c r="EY629" t="str">
        <f>IF(ISNUMBER(BW629),IF(ABS(BW629-[4]QC_indicators!$B$2)&gt;3*[4]QC_indicators!$C$2,"C ratio",IF(ISNUMBER(CA629),IF(ABS(CA629-[4]QC_indicators!$B$1)&gt;3*[4]QC_indicators!$C$1,"DF","no"))),IF(ISNUMBER(CA629),IF(ABS(CA629-[4]QC_indicators!$B$1)&gt;3*[4]QC_indicators!$C$1,"DF","no")))</f>
        <v>no</v>
      </c>
      <c r="FA629" t="str">
        <f>IF(LEN($CY629)=0,"",IF(AND($CY629&lt;(-0.05),$ES629="C neutral forest and HWP assumption"),"Cneutral paradox",IF(AND($CY629&gt;0.05,$EU629="In-situ only assumption"),"In-situ only paradox","")))</f>
        <v/>
      </c>
      <c r="FB629" s="149"/>
    </row>
    <row r="630" spans="1:160" ht="15" hidden="1" customHeight="1">
      <c r="A630" s="1" t="s">
        <v>1874</v>
      </c>
      <c r="D630" t="s">
        <v>2176</v>
      </c>
      <c r="E630" t="s">
        <v>2177</v>
      </c>
      <c r="G630" t="s">
        <v>2178</v>
      </c>
      <c r="I630">
        <v>2005</v>
      </c>
      <c r="K630" t="s">
        <v>2179</v>
      </c>
      <c r="M630" t="str">
        <f>LEFT($D630,FIND(",",$D630)-1)&amp;"_"&amp;I630&amp;L630</f>
        <v>Werner_2005</v>
      </c>
      <c r="N630" t="s">
        <v>222</v>
      </c>
      <c r="O630" s="145" t="s">
        <v>225</v>
      </c>
      <c r="Q630" t="s">
        <v>256</v>
      </c>
      <c r="R630" s="258" t="s">
        <v>223</v>
      </c>
      <c r="S630" s="1" t="s">
        <v>2180</v>
      </c>
      <c r="T630" t="s">
        <v>2181</v>
      </c>
      <c r="U630" t="s">
        <v>2182</v>
      </c>
      <c r="V630" s="253">
        <v>0</v>
      </c>
      <c r="W630" s="253">
        <v>0</v>
      </c>
      <c r="X630" s="143">
        <v>0</v>
      </c>
      <c r="Y630" s="143">
        <v>0</v>
      </c>
      <c r="Z630" s="143">
        <v>0</v>
      </c>
      <c r="AA630" s="143">
        <v>0</v>
      </c>
      <c r="AB630" s="143">
        <v>0</v>
      </c>
      <c r="AC630" s="143">
        <v>0</v>
      </c>
      <c r="AD630" s="143">
        <v>0</v>
      </c>
      <c r="AE630" s="143">
        <v>0</v>
      </c>
      <c r="AF630" s="143">
        <v>0</v>
      </c>
      <c r="AG630" s="143">
        <v>0</v>
      </c>
      <c r="AH630" s="143">
        <v>0</v>
      </c>
      <c r="AI630" s="143">
        <v>0</v>
      </c>
      <c r="AJ630" s="143">
        <v>0</v>
      </c>
      <c r="AK630" s="143">
        <v>0</v>
      </c>
      <c r="AL630" s="143">
        <v>0</v>
      </c>
      <c r="AM630" s="143">
        <v>1</v>
      </c>
      <c r="AN630" s="143">
        <v>0</v>
      </c>
      <c r="AO630" s="143">
        <v>0</v>
      </c>
      <c r="AP630" s="143">
        <v>0</v>
      </c>
      <c r="AQ630" s="143">
        <v>0</v>
      </c>
      <c r="AR630" s="143">
        <v>0</v>
      </c>
      <c r="AS630" s="143">
        <v>0</v>
      </c>
      <c r="AT630" s="143">
        <v>0</v>
      </c>
      <c r="AU630" s="143">
        <v>0</v>
      </c>
      <c r="AV630" s="143">
        <v>0</v>
      </c>
      <c r="AW630" s="143">
        <v>0</v>
      </c>
      <c r="AX630" s="143">
        <v>0</v>
      </c>
      <c r="AY630" s="143">
        <v>0</v>
      </c>
      <c r="AZ630" s="141">
        <f>COUNTIF(X630:AY630,"&lt;&gt;0")</f>
        <v>1</v>
      </c>
      <c r="BA630" s="141">
        <f>COUNTIF(X630:AN630,"&lt;&gt;0")</f>
        <v>1</v>
      </c>
      <c r="BB630">
        <f>COUNTIF(X630:AE630,"&lt;&gt;0")</f>
        <v>0</v>
      </c>
      <c r="BC630">
        <f>COUNTIF(AF630:AK630,"&lt;&gt;0")</f>
        <v>0</v>
      </c>
      <c r="BD630">
        <f>COUNTIF(AL630:AN630,"&lt;&gt;0")</f>
        <v>1</v>
      </c>
      <c r="BE630">
        <f>COUNTIF(AU630:AY630,"&lt;&gt;0")</f>
        <v>0</v>
      </c>
      <c r="BF630">
        <f>COUNTIF(AO630:AT630,"&lt;&gt;0")</f>
        <v>0</v>
      </c>
      <c r="BG630" t="str">
        <f t="array" ref="BG630">IF(BA630=1,INDEX($X$7:$AN$7,MATCH(TRUE,INDEX($X630:$AY630&lt;&gt;0,),0)),IF(BA630=0,INDEX($AO$7:$AY$7,MATCH(1,$AO630:$AY630,0)),IF(BH630="Multiple strategies","mixed drivers",IF(BH630="Supply chain","multiple supply","multiple silviculture"))))</f>
        <v>technologies/design switch</v>
      </c>
      <c r="BH630" s="2" t="str" cm="1">
        <f t="array" ref="BH630">IF(COUNTIF(BB630:BD630,"&lt;&gt;0")=1,INDEX($X$4:$AY$4,MATCH(TRUE,INDEX($X630:$AY630&lt;&gt;0,),0)),IF(COUNTIF(BB630:BD630,"&lt;&gt;0")=0,INDEX($AO$4:$AY$4,MATCH(1,$AO630:$AY630,0)),"Multiple strategies"))</f>
        <v>Technology</v>
      </c>
      <c r="BI630" s="1" t="s">
        <v>321</v>
      </c>
      <c r="BJ630" t="s">
        <v>2183</v>
      </c>
      <c r="BL630" t="s">
        <v>2184</v>
      </c>
      <c r="BM630">
        <v>2.73</v>
      </c>
      <c r="BN630">
        <v>3.54</v>
      </c>
      <c r="BP630">
        <f>BN630-BM630</f>
        <v>0.81</v>
      </c>
      <c r="BQ630">
        <f>BP630*10^6</f>
        <v>810000</v>
      </c>
      <c r="BR630" t="s">
        <v>232</v>
      </c>
      <c r="BT630" t="s">
        <v>2185</v>
      </c>
      <c r="BU630">
        <v>0</v>
      </c>
      <c r="BV630">
        <f>126/130</f>
        <v>0.96923076923076923</v>
      </c>
      <c r="BW630" s="144" t="str">
        <f>IFERROR(BV630/BU630,"")</f>
        <v/>
      </c>
      <c r="BX630">
        <f>BV630-BU630</f>
        <v>0.96923076923076923</v>
      </c>
      <c r="BZ630">
        <f>BX630*10^6</f>
        <v>969230.76923076925</v>
      </c>
      <c r="CA630">
        <f>IFERROR(BZ630/BQ630,"")</f>
        <v>1.1965811965811965</v>
      </c>
      <c r="CB630" s="143">
        <v>0</v>
      </c>
      <c r="CC630" s="143">
        <v>0</v>
      </c>
      <c r="CD630" s="143">
        <v>0</v>
      </c>
      <c r="CE630" s="143">
        <v>0</v>
      </c>
      <c r="CF630" s="143">
        <v>0</v>
      </c>
      <c r="CG630" s="143">
        <v>0</v>
      </c>
      <c r="CH630" s="143">
        <v>0</v>
      </c>
      <c r="CI630" s="143">
        <v>0</v>
      </c>
      <c r="CJ630" s="143">
        <v>0</v>
      </c>
      <c r="CK630" s="143">
        <v>0</v>
      </c>
      <c r="CL630" s="143">
        <v>0</v>
      </c>
      <c r="CM630" s="143">
        <v>0</v>
      </c>
      <c r="CN630" s="143">
        <v>0</v>
      </c>
      <c r="CO630" s="143">
        <v>0</v>
      </c>
      <c r="CP630" t="str">
        <f>IF(BN630&lt;BM630,"refNeedCorrection","refOK")</f>
        <v>refOK</v>
      </c>
      <c r="CQ630">
        <f>IF($CP630="refOK",$BM630,$BN630)</f>
        <v>2.73</v>
      </c>
      <c r="CR630">
        <f>IF($CP630="refOK",$BN630,$BM630)</f>
        <v>3.54</v>
      </c>
      <c r="CS630">
        <f>IF($CP630="refOK",$BQ630,-$BQ630)</f>
        <v>810000</v>
      </c>
      <c r="CT630">
        <f>IF(BI630="Roundwood",$CS630/2,$CS630)</f>
        <v>405000</v>
      </c>
      <c r="CU630">
        <f>IF($CP630="refOK",$BU630,$BV630)*IF($BR630="Emissions positive",-1,1)</f>
        <v>0</v>
      </c>
      <c r="CV630">
        <f>IF($CP630="refOK",$BV630,$BU630)*IF($BR630="Emissions positive",-1,1)</f>
        <v>0.96923076923076923</v>
      </c>
      <c r="CW630">
        <f>IF($CP630="refNeedCorrection",-BZ630,BZ630)*IF($BR630="Emissions positive",-1,1)</f>
        <v>969230.76923076925</v>
      </c>
      <c r="CX630">
        <f>IFERROR($CW630/$CS630,"")</f>
        <v>1.1965811965811965</v>
      </c>
      <c r="CY630">
        <f>IFERROR($CW630/$CS630,"")</f>
        <v>1.1965811965811965</v>
      </c>
      <c r="CZ630">
        <f>IFERROR($CW630/$CT630,"")</f>
        <v>2.3931623931623931</v>
      </c>
      <c r="DA630" s="2" t="str">
        <f>IFERROR((CV630-CU630)/ABS(CU630),"")</f>
        <v/>
      </c>
      <c r="DB630" s="1" t="s">
        <v>1078</v>
      </c>
      <c r="DC630" t="str">
        <f>IF(OR($DB630="prd",$DB630="std",$DB630="cit"),"loc",IF(OR($DB630="eur",$DB630="reg",$DB630="coy"),"reg",$DB630))</f>
        <v>reg</v>
      </c>
      <c r="DD630" t="s">
        <v>626</v>
      </c>
      <c r="DE630">
        <v>2000</v>
      </c>
      <c r="DF630">
        <v>2130</v>
      </c>
      <c r="DG630">
        <f>DF630-DE630</f>
        <v>130</v>
      </c>
      <c r="DH630" t="str">
        <f>IF(DG630=0,"0",IF(AND(DG630&gt;=1,DG630&lt;=30),"1-30",IF(AND(DG630&gt;30,DG630&lt;=70),"31-70",IF(AND(DG630&gt;70,DG630&lt;=100),"71-100",IF(DG630&gt;100,"+100")))))</f>
        <v>+100</v>
      </c>
      <c r="DI630">
        <v>0</v>
      </c>
      <c r="DJ630">
        <v>0</v>
      </c>
      <c r="DK630">
        <v>0</v>
      </c>
      <c r="DL630">
        <v>1</v>
      </c>
      <c r="DM630">
        <v>0</v>
      </c>
      <c r="DN630">
        <f>SUM(DI630:DL630)</f>
        <v>1</v>
      </c>
      <c r="DO630" t="str">
        <f>IF(DN630=1,INDEX($DI$7:$DL$7,MATCH(1,$DI630:$DL630,0)),"mixedProduct")</f>
        <v>TimberInput</v>
      </c>
      <c r="DP630">
        <f>IF(DI630=1,DP$7,0)</f>
        <v>0</v>
      </c>
      <c r="DQ630">
        <f>IF(DJ630=1,DQ$7,0)</f>
        <v>0</v>
      </c>
      <c r="DR630">
        <f>IF(DK630=1,DR$7,0)</f>
        <v>0</v>
      </c>
      <c r="DS630" t="str">
        <f>IF(DL630=1,DS$7,0)</f>
        <v>Timber</v>
      </c>
      <c r="DT630">
        <v>1</v>
      </c>
      <c r="DU630" s="143">
        <v>0</v>
      </c>
      <c r="DV630">
        <v>0</v>
      </c>
      <c r="DW630">
        <v>0</v>
      </c>
      <c r="DX630">
        <v>0</v>
      </c>
      <c r="DY630">
        <f>SUM(DT630:DU630)</f>
        <v>1</v>
      </c>
      <c r="DZ630" s="143" t="str">
        <f>IF(DT630=1,"self-calculated DF",IF(DU630=1,"external DF used","explicit C balance"))</f>
        <v>self-calculated DF</v>
      </c>
      <c r="EA630" s="143">
        <v>0</v>
      </c>
      <c r="EB630" s="143">
        <v>0</v>
      </c>
      <c r="EC630" s="143">
        <v>0</v>
      </c>
      <c r="ED630" s="143">
        <v>1</v>
      </c>
      <c r="EE630" s="143">
        <v>0</v>
      </c>
      <c r="EF630" s="143">
        <v>0</v>
      </c>
      <c r="EG630" s="143">
        <v>0</v>
      </c>
      <c r="EH630" s="143">
        <v>1</v>
      </c>
      <c r="EI630" s="143">
        <v>0</v>
      </c>
      <c r="EJ630" s="143">
        <v>1</v>
      </c>
      <c r="EK630" s="143">
        <v>0</v>
      </c>
      <c r="EL630" s="143">
        <v>0</v>
      </c>
      <c r="EM630" s="143">
        <v>0</v>
      </c>
      <c r="EN630" s="192">
        <v>0</v>
      </c>
      <c r="EP630" t="str">
        <f>IF(AND(AND(AND(OR($EC630=1,$EB630=1),OR($EH630=1,$EF630=1)),SUM($EA630:$EE630,$EK630)&gt;=3),SUM($EF630:$EJ630)&gt;=2),"Whole sector approach","")</f>
        <v/>
      </c>
      <c r="EQ630" t="str">
        <f>IF(AND(AND(OR($EC630=1,$EB630=1),AND($EH630=0,$EF630=0)),SUM($EA630:$EE630,$EK630)&gt;=4),"Ecosystem approach","")</f>
        <v/>
      </c>
      <c r="ER630" s="2" t="str">
        <f>IF(AND(AND(AND($EC630=0,$EB630=0),OR($EH630=1,$EF630=1)),SUM($EG630:$EJ630)&gt;=2),"Technology approach","")</f>
        <v>Technology approach</v>
      </c>
      <c r="ES630" t="str">
        <f>IF(AND($EC630+$EB630+$EE630+$EA630+$ED630+$EG630=0,$N630="included"),"C neutral forest and HWP assumption","")</f>
        <v/>
      </c>
      <c r="ET630" t="str">
        <f>IF(AND(AND(AND(AND($EC630=1,$EB630+$EA630+$EG630&gt;=1),$EF630=1),$EH630+$EI630+$ED630+$EE630&gt;=2),$N630="included"),"All C pools assumption","")</f>
        <v/>
      </c>
      <c r="EU630" t="str">
        <f>IF(AND($ED630+$EE630+$EI630+$EH630+$EF630=0,$N630="included"),"In-situ only assumption","")</f>
        <v/>
      </c>
      <c r="EV630" s="328" t="s">
        <v>5065</v>
      </c>
      <c r="EW630" t="s">
        <v>2186</v>
      </c>
      <c r="EY630" t="str">
        <f>IF(ISNUMBER(BW630),IF(ABS(BW630-[2]QC_indicators!$B$2)&gt;3*[2]QC_indicators!$C$2,"C ratio",IF(ISNUMBER(CA630),IF(ABS(CA630-[2]QC_indicators!$B$1)&gt;3*[2]QC_indicators!$C$1,"DF","no"))),IF(ISNUMBER(CA630),IF(ABS(CA630-[2]QC_indicators!$B$1)&gt;3*[2]QC_indicators!$C$1,"DF","no")))</f>
        <v>no</v>
      </c>
      <c r="EZ630" t="s">
        <v>1039</v>
      </c>
      <c r="FA630" t="str">
        <f>IF(LEN($CY630)=0,"",IF(AND($CY630&lt;(-0.05),$ES630="C neutral forest and HWP assumption"),"Cneutral paradox",IF(AND($CY630&gt;0.05,$EU630="In-situ only assumption"),"In-situ only paradox","")))</f>
        <v/>
      </c>
      <c r="FB630" t="s">
        <v>2187</v>
      </c>
      <c r="FD630" s="260" t="s">
        <v>2948</v>
      </c>
    </row>
    <row r="631" spans="1:160" ht="15" hidden="1" customHeight="1">
      <c r="A631" s="1" t="s">
        <v>1079</v>
      </c>
      <c r="B631" t="s">
        <v>1080</v>
      </c>
      <c r="C631" t="s">
        <v>1081</v>
      </c>
      <c r="D631" t="s">
        <v>1082</v>
      </c>
      <c r="E631" t="s">
        <v>1083</v>
      </c>
      <c r="F631" t="s">
        <v>1084</v>
      </c>
      <c r="G631" t="s">
        <v>1085</v>
      </c>
      <c r="I631">
        <v>2006</v>
      </c>
      <c r="K631" t="s">
        <v>1086</v>
      </c>
      <c r="M631" t="str">
        <f>LEFT($D631,FIND(",",$D631)-1)&amp;"_"&amp;I631&amp;L631</f>
        <v>Backeus_2006</v>
      </c>
      <c r="N631" t="s">
        <v>222</v>
      </c>
      <c r="O631" s="140" t="s">
        <v>274</v>
      </c>
      <c r="Q631" t="s">
        <v>224</v>
      </c>
      <c r="R631" s="251" t="s">
        <v>223</v>
      </c>
      <c r="S631" s="259" t="s">
        <v>2767</v>
      </c>
      <c r="T631" t="s">
        <v>1094</v>
      </c>
      <c r="U631" t="s">
        <v>1088</v>
      </c>
      <c r="V631" s="253">
        <v>0</v>
      </c>
      <c r="W631" s="253">
        <v>0</v>
      </c>
      <c r="X631">
        <v>0</v>
      </c>
      <c r="Y631">
        <v>0</v>
      </c>
      <c r="Z631">
        <v>0</v>
      </c>
      <c r="AA631">
        <v>1</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1</v>
      </c>
      <c r="AY631">
        <v>0</v>
      </c>
      <c r="AZ631" s="141">
        <f>COUNTIF(X631:AY631,"&lt;&gt;0")</f>
        <v>2</v>
      </c>
      <c r="BA631" s="141">
        <f>COUNTIF(X631:AN631,"&lt;&gt;0")</f>
        <v>1</v>
      </c>
      <c r="BB631">
        <f>COUNTIF(X631:AE631,"&lt;&gt;0")</f>
        <v>1</v>
      </c>
      <c r="BC631">
        <f>COUNTIF(AF631:AK631,"&lt;&gt;0")</f>
        <v>0</v>
      </c>
      <c r="BD631">
        <f>COUNTIF(AL631:AN631,"&lt;&gt;0")</f>
        <v>0</v>
      </c>
      <c r="BE631">
        <f>COUNTIF(AU631:AY631,"&lt;&gt;0")</f>
        <v>1</v>
      </c>
      <c r="BF631">
        <f>COUNTIF(AO631:AT631,"&lt;&gt;0")</f>
        <v>0</v>
      </c>
      <c r="BG631" t="str">
        <f t="array" ref="BG631">IF(BA631=1,INDEX($X$7:$AN$7,MATCH(TRUE,INDEX($X631:$AY631&lt;&gt;0,),0)),IF(BA631=0,INDEX($AO$7:$AY$7,MATCH(1,$AO631:$AY631,0)),IF(BH631="Multiple strategies","mixed drivers",IF(BH631="Supply chain","multiple supply","multiple silviculture"))))</f>
        <v xml:space="preserve">cutting intensity </v>
      </c>
      <c r="BH631" s="2" t="str" cm="1">
        <f t="array" ref="BH631">IF(COUNTIF(BB631:BD631,"&lt;&gt;0")=1,INDEX($X$4:$AY$4,MATCH(TRUE,INDEX($X631:$AY631&lt;&gt;0,),0)),IF(COUNTIF(BB631:BD631,"&lt;&gt;0")=0,INDEX($AO$4:$AY$4,MATCH(1,$AO631:$AY631,0)),"Multiple strategies"))</f>
        <v>Silviculture for removals</v>
      </c>
      <c r="BI631" s="1" t="s">
        <v>229</v>
      </c>
      <c r="BJ631" t="s">
        <v>229</v>
      </c>
      <c r="BK631" s="260" t="s">
        <v>687</v>
      </c>
      <c r="BL631" t="s">
        <v>1089</v>
      </c>
      <c r="BM631">
        <v>0</v>
      </c>
      <c r="BN631">
        <v>5.6162990524021872</v>
      </c>
      <c r="BP631">
        <f>BN631-BM631</f>
        <v>5.6162990524021872</v>
      </c>
      <c r="BQ631" s="143">
        <f>BP631*10^6</f>
        <v>5616299.0524021871</v>
      </c>
      <c r="BR631" s="143" t="s">
        <v>232</v>
      </c>
      <c r="BS631" s="143" t="s">
        <v>767</v>
      </c>
      <c r="BT631" s="152" t="s">
        <v>1090</v>
      </c>
      <c r="BU631" s="152">
        <v>2.0588235294117601</v>
      </c>
      <c r="BV631" s="152">
        <v>1.5434782608695652</v>
      </c>
      <c r="BW631" s="144">
        <f>IFERROR(BV631/BU631,"")</f>
        <v>0.74968944099379053</v>
      </c>
      <c r="BX631">
        <f>BV631-BU631</f>
        <v>-0.51534526854219487</v>
      </c>
      <c r="BZ631">
        <f>BX631*10^6*C_to_CO2</f>
        <v>-1891317.1355498552</v>
      </c>
      <c r="CA631">
        <f>IFERROR(BZ631/BQ631,"")</f>
        <v>-0.33675506199067273</v>
      </c>
      <c r="CB631">
        <v>0</v>
      </c>
      <c r="CC631">
        <v>0</v>
      </c>
      <c r="CD631">
        <v>0</v>
      </c>
      <c r="CE631">
        <v>0</v>
      </c>
      <c r="CF631">
        <v>0</v>
      </c>
      <c r="CG631">
        <v>0</v>
      </c>
      <c r="CH631">
        <v>0</v>
      </c>
      <c r="CI631">
        <v>0</v>
      </c>
      <c r="CJ631">
        <v>0</v>
      </c>
      <c r="CK631">
        <v>0</v>
      </c>
      <c r="CL631">
        <v>0</v>
      </c>
      <c r="CM631">
        <v>0</v>
      </c>
      <c r="CN631">
        <v>0</v>
      </c>
      <c r="CO631">
        <v>0</v>
      </c>
      <c r="CP631" t="str">
        <f>IF($BN631&lt;$BM631,"refNeedCorrection","refOK")</f>
        <v>refOK</v>
      </c>
      <c r="CQ631">
        <f>IF($CP631="refOK",$BM631,$BN631)</f>
        <v>0</v>
      </c>
      <c r="CR631">
        <f>IF($CP631="refOK",$BN631,$BM631)</f>
        <v>5.6162990524021872</v>
      </c>
      <c r="CS631">
        <f>IF($CP631="refOK",$BQ631,-$BQ631)</f>
        <v>5616299.0524021871</v>
      </c>
      <c r="CT631">
        <f>IF(BI631="Roundwood",$CS631/2,$CS631)</f>
        <v>5616299.0524021871</v>
      </c>
      <c r="CU631" t="e">
        <f>IF($CP631="refOK",#REF!,$BV631)*IF($BR631="Emissions positive",-1,1)</f>
        <v>#REF!</v>
      </c>
      <c r="CV631">
        <f>IF($CP631="refOK",$BV631,#REF!)*IF($BR631="Emissions positive",-1,1)</f>
        <v>1.5434782608695652</v>
      </c>
      <c r="CW631">
        <f>IF($CP631="refNeedCorrection",-BZ631,BZ631)*IF($BR631="Emissions positive",-1,1)</f>
        <v>-1891317.1355498552</v>
      </c>
      <c r="CX631">
        <f>IFERROR($CW631/$CS631,"")</f>
        <v>-0.33675506199067273</v>
      </c>
      <c r="CY631">
        <f>IFERROR($CW631/$CS631,"")</f>
        <v>-0.33675506199067273</v>
      </c>
      <c r="CZ631">
        <f>IFERROR($CW631/$CT631,"")</f>
        <v>-0.33675506199067273</v>
      </c>
      <c r="DA631" s="2" t="str">
        <f>IFERROR((CV631-CU631)/ABS(CU631),"")</f>
        <v/>
      </c>
      <c r="DB631" s="1" t="s">
        <v>1074</v>
      </c>
      <c r="DC631" t="str">
        <f>IF(OR($DB631="prd",$DB631="std",$DB631="cit"),"loc",IF(OR($DB631="eur",$DB631="reg",$DB631="coy"),"reg",$DB631))</f>
        <v>reg</v>
      </c>
      <c r="DD631" t="s">
        <v>444</v>
      </c>
      <c r="DG631">
        <v>100</v>
      </c>
      <c r="DH631" t="str">
        <f>IF(DG631=0,"0",IF(AND(DG631&gt;=1,DG631&lt;=30),"1-30",IF(AND(DG631&gt;30,DG631&lt;=70),"31-70",IF(AND(DG631&gt;70,DG631&lt;=100),"71-100",IF(DG631&gt;100,"+100")))))</f>
        <v>71-100</v>
      </c>
      <c r="DI631">
        <v>0</v>
      </c>
      <c r="DJ631">
        <v>1</v>
      </c>
      <c r="DK631">
        <v>1</v>
      </c>
      <c r="DL631">
        <v>1</v>
      </c>
      <c r="DN631">
        <f>SUM(DI631:DL631)</f>
        <v>3</v>
      </c>
      <c r="DO631" t="str">
        <f>IF(DN631=1,INDEX($DI$7:$DL$7,MATCH(1,$DI631:$DL631,0)),"mixedProduct")</f>
        <v>mixedProduct</v>
      </c>
      <c r="DP631">
        <f>IF(DI631=1,DP$7,0)</f>
        <v>0</v>
      </c>
      <c r="DQ631" t="str">
        <f>IF(DJ631=1,DQ$7,0)</f>
        <v>Energy</v>
      </c>
      <c r="DR631" t="str">
        <f>IF(DK631=1,DR$7,0)</f>
        <v>Pulp/Paper</v>
      </c>
      <c r="DS631" t="str">
        <f>IF(DL631=1,DS$7,0)</f>
        <v>Timber</v>
      </c>
      <c r="DT631">
        <v>1</v>
      </c>
      <c r="DU631">
        <v>0</v>
      </c>
      <c r="DV631">
        <v>0</v>
      </c>
      <c r="DW631">
        <v>0</v>
      </c>
      <c r="DX631">
        <v>0</v>
      </c>
      <c r="DY631">
        <f>SUM(DT631:DU631)</f>
        <v>1</v>
      </c>
      <c r="DZ631" s="143" t="str">
        <f>IF(DT631=1,"self-calculated DF",IF(DU631=1,"external DF used","explicit C balance"))</f>
        <v>self-calculated DF</v>
      </c>
      <c r="EA631">
        <v>0</v>
      </c>
      <c r="EB631">
        <v>1</v>
      </c>
      <c r="EC631">
        <v>1</v>
      </c>
      <c r="ED631">
        <v>0</v>
      </c>
      <c r="EE631">
        <v>0</v>
      </c>
      <c r="EF631" s="143">
        <v>1</v>
      </c>
      <c r="EG631">
        <v>0</v>
      </c>
      <c r="EH631">
        <v>0</v>
      </c>
      <c r="EI631">
        <v>0</v>
      </c>
      <c r="EJ631">
        <v>0</v>
      </c>
      <c r="EK631">
        <v>1</v>
      </c>
      <c r="EL631">
        <v>1</v>
      </c>
      <c r="EM631">
        <v>0</v>
      </c>
      <c r="EN631" s="2">
        <v>0</v>
      </c>
      <c r="EP631" t="str">
        <f>IF(AND(AND(AND(OR($EC631=1,$EB631=1),OR($EH631=1,$EF631=1)),SUM($EA631:$EE631,$EK631)&gt;=3),SUM($EF631:$EJ631)&gt;=2),"Whole sector approach","")</f>
        <v/>
      </c>
      <c r="EQ631" t="str">
        <f>IF(AND(AND(OR($EC631=1,$EB631=1),AND($EH631=0,$EF631=0)),SUM($EA631:$EE631,$EK631)&gt;=4),"Ecosystem approach","")</f>
        <v/>
      </c>
      <c r="ER631" s="2" t="str">
        <f>IF(AND(AND(AND($EC631=0,$EB631=0),OR($EH631=1,$EF631=1)),SUM($EG631:$EJ631)&gt;=2),"Technology approach","")</f>
        <v/>
      </c>
      <c r="ES631" t="str">
        <f>IF(AND($EC631+$EB631+$EE631+$EA631+$ED631+$EG631=0,$N631="included"),"C neutral forest and HWP assumption","")</f>
        <v/>
      </c>
      <c r="ET631" t="str">
        <f>IF(AND(AND(AND(AND($EC631=1,$EB631+$EA631+$EG631&gt;=1),$EF631=1),$EH631+$EI631+$ED631+$EE631&gt;=2),$N631="included"),"All C pools assumption","")</f>
        <v/>
      </c>
      <c r="EU631" t="str">
        <f>IF(AND($ED631+$EE631+$EI631+$EH631+$EF631=0,$N631="included"),"In-situ only assumption","")</f>
        <v/>
      </c>
      <c r="EY631" t="str">
        <f>IF(ISNUMBER(BW631),IF(ABS(BW631-[2]QC_indicators!$B$2)&gt;3*[2]QC_indicators!$C$2,"C ratio",IF(ISNUMBER(CA631),IF(ABS(CA631-[2]QC_indicators!$B$1)&gt;3*[2]QC_indicators!$C$1,"DF","no"))),IF(ISNUMBER(CA631),IF(ABS(CA631-[2]QC_indicators!$B$1)&gt;3*[2]QC_indicators!$C$1,"DF","no")))</f>
        <v>no</v>
      </c>
      <c r="EZ631" t="s">
        <v>286</v>
      </c>
      <c r="FA631" t="str">
        <f>IF(LEN($CY631)=0,"",IF(AND($CY631&lt;(-0.05),$ES631="C neutral forest and HWP assumption"),"Cneutral paradox",IF(AND($CY631&gt;0.05,$EU631="In-situ only assumption"),"In-situ only paradox","")))</f>
        <v/>
      </c>
      <c r="FD631" s="260" t="s">
        <v>2768</v>
      </c>
    </row>
    <row r="632" spans="1:160" ht="15" customHeight="1">
      <c r="A632" s="1" t="s">
        <v>1079</v>
      </c>
      <c r="B632" t="s">
        <v>1080</v>
      </c>
      <c r="C632" t="s">
        <v>1081</v>
      </c>
      <c r="D632" t="s">
        <v>1082</v>
      </c>
      <c r="E632" t="s">
        <v>1083</v>
      </c>
      <c r="F632" t="s">
        <v>1084</v>
      </c>
      <c r="G632" t="s">
        <v>1085</v>
      </c>
      <c r="I632">
        <v>2006</v>
      </c>
      <c r="K632" t="s">
        <v>1086</v>
      </c>
      <c r="M632" t="str">
        <f>LEFT($D632,FIND(",",$D632)-1)&amp;"_"&amp;I632&amp;L632</f>
        <v>Backeus_2006</v>
      </c>
      <c r="N632" t="s">
        <v>222</v>
      </c>
      <c r="O632" s="140" t="s">
        <v>274</v>
      </c>
      <c r="Q632" t="s">
        <v>224</v>
      </c>
      <c r="R632" s="251" t="s">
        <v>223</v>
      </c>
      <c r="S632" s="259" t="s">
        <v>2767</v>
      </c>
      <c r="T632" t="s">
        <v>1094</v>
      </c>
      <c r="U632" t="s">
        <v>1088</v>
      </c>
      <c r="V632" s="253">
        <v>0</v>
      </c>
      <c r="W632" s="253">
        <v>0</v>
      </c>
      <c r="X632">
        <v>0</v>
      </c>
      <c r="Y632">
        <v>0</v>
      </c>
      <c r="Z632">
        <v>0</v>
      </c>
      <c r="AA632">
        <v>1</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1</v>
      </c>
      <c r="AY632">
        <v>0</v>
      </c>
      <c r="AZ632" s="141">
        <f>COUNTIF(X632:AY632,"&lt;&gt;0")</f>
        <v>2</v>
      </c>
      <c r="BA632" s="141">
        <f>COUNTIF(X632:AN632,"&lt;&gt;0")</f>
        <v>1</v>
      </c>
      <c r="BB632">
        <f>COUNTIF(X632:AE632,"&lt;&gt;0")</f>
        <v>1</v>
      </c>
      <c r="BC632">
        <f>COUNTIF(AF632:AK632,"&lt;&gt;0")</f>
        <v>0</v>
      </c>
      <c r="BD632">
        <f>COUNTIF(AL632:AN632,"&lt;&gt;0")</f>
        <v>0</v>
      </c>
      <c r="BE632">
        <f>COUNTIF(AU632:AY632,"&lt;&gt;0")</f>
        <v>1</v>
      </c>
      <c r="BF632">
        <f>COUNTIF(AO632:AT632,"&lt;&gt;0")</f>
        <v>0</v>
      </c>
      <c r="BG632" t="str">
        <f t="array" ref="BG632">IF(BA632=1,INDEX($X$7:$AN$7,MATCH(TRUE,INDEX($X632:$AY632&lt;&gt;0,),0)),IF(BA632=0,INDEX($AO$7:$AY$7,MATCH(1,$AO632:$AY632,0)),IF(BH632="Multiple strategies","mixed drivers",IF(BH632="Supply chain","multiple supply","multiple silviculture"))))</f>
        <v xml:space="preserve">cutting intensity </v>
      </c>
      <c r="BH632" s="2" t="str" cm="1">
        <f t="array" ref="BH632">IF(COUNTIF(BB632:BD632,"&lt;&gt;0")=1,INDEX($X$4:$AY$4,MATCH(TRUE,INDEX($X632:$AY632&lt;&gt;0,),0)),IF(COUNTIF(BB632:BD632,"&lt;&gt;0")=0,INDEX($AO$4:$AY$4,MATCH(1,$AO632:$AY632,0)),"Multiple strategies"))</f>
        <v>Silviculture for removals</v>
      </c>
      <c r="BI632" s="1" t="s">
        <v>229</v>
      </c>
      <c r="BJ632" t="s">
        <v>229</v>
      </c>
      <c r="BK632" s="260" t="s">
        <v>687</v>
      </c>
      <c r="BL632" t="s">
        <v>1089</v>
      </c>
      <c r="BM632">
        <v>0</v>
      </c>
      <c r="BN632">
        <v>5.6162990524021872</v>
      </c>
      <c r="BP632">
        <f>BN632-BM632</f>
        <v>5.6162990524021872</v>
      </c>
      <c r="BQ632" s="143">
        <f>BP632*10^6</f>
        <v>5616299.0524021871</v>
      </c>
      <c r="BR632" s="143" t="s">
        <v>232</v>
      </c>
      <c r="BS632" s="143" t="s">
        <v>767</v>
      </c>
      <c r="BT632" s="152" t="s">
        <v>1090</v>
      </c>
      <c r="BU632" s="152">
        <v>2.04</v>
      </c>
      <c r="BV632" s="152">
        <v>1.47058823529411</v>
      </c>
      <c r="BW632" s="144">
        <f>IFERROR(BV632/BU631,"")</f>
        <v>0.71428571428571219</v>
      </c>
      <c r="BX632">
        <f>BV632-BU632</f>
        <v>-0.56941176470589006</v>
      </c>
      <c r="BZ632">
        <f>BX632*10^6*C_to_CO2</f>
        <v>-2089741.1764706166</v>
      </c>
      <c r="CA632">
        <f>IFERROR(BZ632/BQ632,"")</f>
        <v>-0.37208509678215917</v>
      </c>
      <c r="CB632">
        <v>0</v>
      </c>
      <c r="CC632">
        <v>0</v>
      </c>
      <c r="CD632">
        <v>0</v>
      </c>
      <c r="CE632">
        <v>0</v>
      </c>
      <c r="CF632">
        <v>0</v>
      </c>
      <c r="CG632">
        <v>0</v>
      </c>
      <c r="CH632">
        <v>0</v>
      </c>
      <c r="CI632">
        <v>0</v>
      </c>
      <c r="CJ632">
        <v>0</v>
      </c>
      <c r="CK632">
        <v>0</v>
      </c>
      <c r="CL632">
        <v>0</v>
      </c>
      <c r="CM632">
        <v>0</v>
      </c>
      <c r="CN632">
        <v>0</v>
      </c>
      <c r="CO632">
        <v>0</v>
      </c>
      <c r="CP632" t="str">
        <f>IF($BN632&lt;$BM632,"refNeedCorrection","refOK")</f>
        <v>refOK</v>
      </c>
      <c r="CQ632">
        <f>IF($CP632="refOK",$BM632,$BN632)</f>
        <v>0</v>
      </c>
      <c r="CR632">
        <f>IF($CP632="refOK",$BN632,$BM632)</f>
        <v>5.6162990524021872</v>
      </c>
      <c r="CS632">
        <f>IF($CP632="refOK",$BQ632,-$BQ632)</f>
        <v>5616299.0524021871</v>
      </c>
      <c r="CT632">
        <f>IF(BI632="Roundwood",$CS632/2,$CS632)</f>
        <v>5616299.0524021871</v>
      </c>
      <c r="CU632">
        <f>IF($CP632="refOK",$BU631,$BV632)*IF($BR632="Emissions positive",-1,1)</f>
        <v>2.0588235294117601</v>
      </c>
      <c r="CV632">
        <f>IF($CP632="refOK",$BV632,$BU631)*IF($BR632="Emissions positive",-1,1)</f>
        <v>1.47058823529411</v>
      </c>
      <c r="CW632">
        <f>IF($CP632="refNeedCorrection",-BZ632,BZ632)*IF($BR632="Emissions positive",-1,1)</f>
        <v>-2089741.1764706166</v>
      </c>
      <c r="CX632">
        <f>IFERROR($CW632/$CS632,"")</f>
        <v>-0.37208509678215917</v>
      </c>
      <c r="CY632">
        <f>IFERROR($CW632/$CS632,"")</f>
        <v>-0.37208509678215917</v>
      </c>
      <c r="CZ632">
        <f>IFERROR($CW632/$CT632,"")</f>
        <v>-0.37208509678215917</v>
      </c>
      <c r="DA632" s="2">
        <f>IFERROR((CV632-CU632)/ABS(CU632),"")</f>
        <v>-0.28571428571428781</v>
      </c>
      <c r="DB632" s="1" t="s">
        <v>1074</v>
      </c>
      <c r="DC632" t="str">
        <f>IF(OR($DB632="prd",$DB632="std",$DB632="cit"),"loc",IF(OR($DB632="eur",$DB632="reg",$DB632="coy"),"reg",$DB632))</f>
        <v>reg</v>
      </c>
      <c r="DD632" t="s">
        <v>444</v>
      </c>
      <c r="DG632">
        <v>100</v>
      </c>
      <c r="DH632" t="str">
        <f>IF(DG632=0,"0",IF(AND(DG632&gt;=1,DG632&lt;=30),"1-30",IF(AND(DG632&gt;30,DG632&lt;=70),"31-70",IF(AND(DG632&gt;70,DG632&lt;=100),"71-100",IF(DG632&gt;100,"+100")))))</f>
        <v>71-100</v>
      </c>
      <c r="DI632">
        <v>0</v>
      </c>
      <c r="DJ632">
        <v>1</v>
      </c>
      <c r="DK632">
        <v>1</v>
      </c>
      <c r="DL632">
        <v>1</v>
      </c>
      <c r="DN632">
        <f>SUM(DI632:DL632)</f>
        <v>3</v>
      </c>
      <c r="DO632" t="str">
        <f>IF(DN632=1,INDEX($DI$7:$DL$7,MATCH(1,$DI632:$DL632,0)),"mixedProduct")</f>
        <v>mixedProduct</v>
      </c>
      <c r="DP632">
        <f>IF(DI632=1,DP$7,0)</f>
        <v>0</v>
      </c>
      <c r="DQ632" t="str">
        <f>IF(DJ632=1,DQ$7,0)</f>
        <v>Energy</v>
      </c>
      <c r="DR632" t="str">
        <f>IF(DK632=1,DR$7,0)</f>
        <v>Pulp/Paper</v>
      </c>
      <c r="DS632" t="str">
        <f>IF(DL632=1,DS$7,0)</f>
        <v>Timber</v>
      </c>
      <c r="DT632">
        <v>0</v>
      </c>
      <c r="DU632">
        <v>0</v>
      </c>
      <c r="DV632">
        <v>0</v>
      </c>
      <c r="DW632">
        <v>0</v>
      </c>
      <c r="DX632">
        <v>0</v>
      </c>
      <c r="DY632">
        <f>SUM(DT632:DU632)</f>
        <v>0</v>
      </c>
      <c r="DZ632" s="143" t="str">
        <f>IF(DT632=1,"self-calculated DF",IF(DU632=1,"external DF used","explicit C balance"))</f>
        <v>explicit C balance</v>
      </c>
      <c r="EA632">
        <v>0</v>
      </c>
      <c r="EB632">
        <v>1</v>
      </c>
      <c r="EC632">
        <v>1</v>
      </c>
      <c r="ED632">
        <v>0</v>
      </c>
      <c r="EE632">
        <v>0</v>
      </c>
      <c r="EF632" s="143">
        <v>0</v>
      </c>
      <c r="EG632">
        <v>0</v>
      </c>
      <c r="EH632">
        <v>0</v>
      </c>
      <c r="EI632">
        <v>0</v>
      </c>
      <c r="EJ632">
        <v>0</v>
      </c>
      <c r="EK632">
        <v>1</v>
      </c>
      <c r="EL632">
        <v>1</v>
      </c>
      <c r="EM632">
        <v>0</v>
      </c>
      <c r="EN632" s="2">
        <v>0</v>
      </c>
      <c r="EP632" t="str">
        <f>IF(AND(AND(AND(OR($EC632=1,$EB632=1),OR($EH632=1,$EF632=1)),SUM($EA632:$EE632,$EK632)&gt;=3),SUM($EF632:$EJ632)&gt;=2),"Whole sector approach","")</f>
        <v/>
      </c>
      <c r="EQ632" t="str">
        <f>IF(AND(AND(OR($EC632=1,$EB632=1),AND($EH632=0,$EF632=0)),SUM($EA632:$EE632,$EK632)&gt;=4),"Ecosystem approach","")</f>
        <v/>
      </c>
      <c r="ER632" s="2" t="str">
        <f>IF(AND(AND(AND($EC632=0,$EB632=0),OR($EH632=1,$EF632=1)),SUM($EG632:$EJ632)&gt;=2),"Technology approach","")</f>
        <v/>
      </c>
      <c r="ES632" t="str">
        <f>IF(AND($EC632+$EB632+$EE632+$EA632+$ED632+$EG632=0,$N632="included"),"C neutral forest and HWP assumption","")</f>
        <v/>
      </c>
      <c r="ET632" t="str">
        <f>IF(AND(AND(AND(AND($EC632=1,$EB632+$EA632+$EG632&gt;=1),$EF632=1),$EH632+$EI632+$ED632+$EE632&gt;=2),$N632="included"),"All C pools assumption","")</f>
        <v/>
      </c>
      <c r="EU632" t="str">
        <f>IF(AND($ED632+$EE632+$EI632+$EH632+$EF632=0,$N632="included"),"In-situ only assumption","")</f>
        <v>In-situ only assumption</v>
      </c>
      <c r="EY632" t="str">
        <f>IF(ISNUMBER(BW632),IF(ABS(BW632-[2]QC_indicators!$B$2)&gt;3*[2]QC_indicators!$C$2,"C ratio",IF(ISNUMBER(CA632),IF(ABS(CA632-[2]QC_indicators!$B$1)&gt;3*[2]QC_indicators!$C$1,"DF","no"))),IF(ISNUMBER(CA632),IF(ABS(CA632-[2]QC_indicators!$B$1)&gt;3*[2]QC_indicators!$C$1,"DF","no")))</f>
        <v>no</v>
      </c>
      <c r="EZ632" t="s">
        <v>286</v>
      </c>
      <c r="FA632" t="str">
        <f>IF(LEN($CY632)=0,"",IF(AND($CY632&lt;(-0.05),$ES632="C neutral forest and HWP assumption"),"Cneutral paradox",IF(AND($CY632&gt;0.05,$EU632="In-situ only assumption"),"In-situ only paradox","")))</f>
        <v/>
      </c>
      <c r="FD632" s="260" t="s">
        <v>2768</v>
      </c>
    </row>
    <row r="633" spans="1:160" ht="15" hidden="1" customHeight="1">
      <c r="A633" s="1" t="s">
        <v>1079</v>
      </c>
      <c r="B633" t="s">
        <v>1080</v>
      </c>
      <c r="C633" t="s">
        <v>1081</v>
      </c>
      <c r="D633" t="s">
        <v>1082</v>
      </c>
      <c r="E633" t="s">
        <v>1083</v>
      </c>
      <c r="F633" t="s">
        <v>1084</v>
      </c>
      <c r="G633" t="s">
        <v>1085</v>
      </c>
      <c r="I633">
        <v>2006</v>
      </c>
      <c r="K633" t="s">
        <v>1086</v>
      </c>
      <c r="M633" t="str">
        <f>LEFT($D633,FIND(",",$D633)-1)&amp;"_"&amp;I633&amp;L633</f>
        <v>Backeus_2006</v>
      </c>
      <c r="N633" t="s">
        <v>222</v>
      </c>
      <c r="O633" s="140" t="s">
        <v>274</v>
      </c>
      <c r="Q633" t="s">
        <v>224</v>
      </c>
      <c r="R633" s="251" t="s">
        <v>223</v>
      </c>
      <c r="S633" s="259" t="s">
        <v>2767</v>
      </c>
      <c r="T633" t="s">
        <v>1093</v>
      </c>
      <c r="U633" t="s">
        <v>1088</v>
      </c>
      <c r="V633" s="253">
        <v>0</v>
      </c>
      <c r="W633" s="253">
        <v>0</v>
      </c>
      <c r="X633">
        <v>0</v>
      </c>
      <c r="Y633">
        <v>0</v>
      </c>
      <c r="Z633">
        <v>0</v>
      </c>
      <c r="AA633">
        <v>1</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1</v>
      </c>
      <c r="AY633">
        <v>0</v>
      </c>
      <c r="AZ633" s="141">
        <f>COUNTIF(X633:AY633,"&lt;&gt;0")</f>
        <v>2</v>
      </c>
      <c r="BA633" s="141">
        <f>COUNTIF(X633:AN633,"&lt;&gt;0")</f>
        <v>1</v>
      </c>
      <c r="BB633">
        <f>COUNTIF(X633:AE633,"&lt;&gt;0")</f>
        <v>1</v>
      </c>
      <c r="BC633">
        <f>COUNTIF(AF633:AK633,"&lt;&gt;0")</f>
        <v>0</v>
      </c>
      <c r="BD633">
        <f>COUNTIF(AL633:AN633,"&lt;&gt;0")</f>
        <v>0</v>
      </c>
      <c r="BE633">
        <f>COUNTIF(AU633:AY633,"&lt;&gt;0")</f>
        <v>1</v>
      </c>
      <c r="BF633">
        <f>COUNTIF(AO633:AT633,"&lt;&gt;0")</f>
        <v>0</v>
      </c>
      <c r="BG633" t="str">
        <f t="array" ref="BG633">IF(BA633=1,INDEX($X$7:$AN$7,MATCH(TRUE,INDEX($X633:$AY633&lt;&gt;0,),0)),IF(BA633=0,INDEX($AO$7:$AY$7,MATCH(1,$AO633:$AY633,0)),IF(BH633="Multiple strategies","mixed drivers",IF(BH633="Supply chain","multiple supply","multiple silviculture"))))</f>
        <v xml:space="preserve">cutting intensity </v>
      </c>
      <c r="BH633" s="2" t="str" cm="1">
        <f t="array" ref="BH633">IF(COUNTIF(BB633:BD633,"&lt;&gt;0")=1,INDEX($X$4:$AY$4,MATCH(TRUE,INDEX($X633:$AY633&lt;&gt;0,),0)),IF(COUNTIF(BB633:BD633,"&lt;&gt;0")=0,INDEX($AO$4:$AY$4,MATCH(1,$AO633:$AY633,0)),"Multiple strategies"))</f>
        <v>Silviculture for removals</v>
      </c>
      <c r="BI633" s="1" t="s">
        <v>229</v>
      </c>
      <c r="BJ633" t="s">
        <v>229</v>
      </c>
      <c r="BK633" s="260" t="s">
        <v>687</v>
      </c>
      <c r="BL633" t="s">
        <v>1089</v>
      </c>
      <c r="BM633">
        <v>1.8154092996757019</v>
      </c>
      <c r="BN633">
        <v>5.6162990524021872</v>
      </c>
      <c r="BO633">
        <f>BN633/BM633</f>
        <v>3.0936819886322398</v>
      </c>
      <c r="BP633">
        <f>BN633-BM633</f>
        <v>3.8008897527264853</v>
      </c>
      <c r="BQ633" s="143">
        <f>BP633*10^6</f>
        <v>3800889.7527264855</v>
      </c>
      <c r="BR633" s="143" t="s">
        <v>232</v>
      </c>
      <c r="BS633" s="143" t="s">
        <v>767</v>
      </c>
      <c r="BT633" s="152" t="s">
        <v>1090</v>
      </c>
      <c r="BU633" s="152">
        <v>2.0289855072463769</v>
      </c>
      <c r="BV633" s="152">
        <v>1.5434782608695652</v>
      </c>
      <c r="BW633" s="144">
        <f>IFERROR(BV633/BU633,"")</f>
        <v>0.76071428571428568</v>
      </c>
      <c r="BX633">
        <f>BV633-BU633</f>
        <v>-0.48550724637681175</v>
      </c>
      <c r="BZ633">
        <f>BX633*10^6*C_to_CO2</f>
        <v>-1781811.5942028991</v>
      </c>
      <c r="CA633">
        <f>IFERROR(BZ633/BQ633,"")</f>
        <v>-0.46878802336341258</v>
      </c>
      <c r="CB633">
        <v>0</v>
      </c>
      <c r="CC633">
        <v>0</v>
      </c>
      <c r="CD633">
        <v>0</v>
      </c>
      <c r="CE633">
        <v>0</v>
      </c>
      <c r="CF633">
        <v>0</v>
      </c>
      <c r="CG633">
        <v>0</v>
      </c>
      <c r="CH633">
        <v>0</v>
      </c>
      <c r="CI633">
        <v>0</v>
      </c>
      <c r="CJ633">
        <v>0</v>
      </c>
      <c r="CK633">
        <v>0</v>
      </c>
      <c r="CL633">
        <v>0</v>
      </c>
      <c r="CM633">
        <v>0</v>
      </c>
      <c r="CN633">
        <v>0</v>
      </c>
      <c r="CO633">
        <v>0</v>
      </c>
      <c r="CP633" t="str">
        <f>IF($BN633&lt;$BM633,"refNeedCorrection","refOK")</f>
        <v>refOK</v>
      </c>
      <c r="CQ633">
        <f>IF($CP633="refOK",$BM633,$BN633)</f>
        <v>1.8154092996757019</v>
      </c>
      <c r="CR633">
        <f>IF($CP633="refOK",$BN633,$BM633)</f>
        <v>5.6162990524021872</v>
      </c>
      <c r="CS633">
        <f>IF($CP633="refOK",$BQ633,-$BQ633)</f>
        <v>3800889.7527264855</v>
      </c>
      <c r="CT633">
        <f>IF(BI633="Roundwood",$CS633/2,$CS633)</f>
        <v>3800889.7527264855</v>
      </c>
      <c r="CU633">
        <f>IF($CP633="refOK",$BU633,$BV633)*IF($BR633="Emissions positive",-1,1)</f>
        <v>2.0289855072463769</v>
      </c>
      <c r="CV633">
        <f>IF($CP633="refOK",$BV633,$BU633)*IF($BR633="Emissions positive",-1,1)</f>
        <v>1.5434782608695652</v>
      </c>
      <c r="CW633">
        <f>IF($CP633="refNeedCorrection",-BZ633,BZ633)*IF($BR633="Emissions positive",-1,1)</f>
        <v>-1781811.5942028991</v>
      </c>
      <c r="CX633">
        <f>IFERROR($CW633/$CS633,"")</f>
        <v>-0.46878802336341258</v>
      </c>
      <c r="CY633">
        <f>IFERROR($CW633/$CS633,"")</f>
        <v>-0.46878802336341258</v>
      </c>
      <c r="CZ633">
        <f>IFERROR($CW633/$CT633,"")</f>
        <v>-0.46878802336341258</v>
      </c>
      <c r="DA633" s="2">
        <f>IFERROR((CV633-CU633)/ABS(CU633),"")</f>
        <v>-0.23928571428571435</v>
      </c>
      <c r="DB633" s="1" t="s">
        <v>1074</v>
      </c>
      <c r="DC633" t="str">
        <f>IF(OR($DB633="prd",$DB633="std",$DB633="cit"),"loc",IF(OR($DB633="eur",$DB633="reg",$DB633="coy"),"reg",$DB633))</f>
        <v>reg</v>
      </c>
      <c r="DD633" t="s">
        <v>444</v>
      </c>
      <c r="DG633">
        <v>100</v>
      </c>
      <c r="DH633" t="str">
        <f>IF(DG633=0,"0",IF(AND(DG633&gt;=1,DG633&lt;=30),"1-30",IF(AND(DG633&gt;30,DG633&lt;=70),"31-70",IF(AND(DG633&gt;70,DG633&lt;=100),"71-100",IF(DG633&gt;100,"+100")))))</f>
        <v>71-100</v>
      </c>
      <c r="DI633">
        <v>0</v>
      </c>
      <c r="DJ633">
        <v>1</v>
      </c>
      <c r="DK633">
        <v>1</v>
      </c>
      <c r="DL633">
        <v>1</v>
      </c>
      <c r="DN633">
        <f>SUM(DI633:DL633)</f>
        <v>3</v>
      </c>
      <c r="DO633" t="str">
        <f>IF(DN633=1,INDEX($DI$7:$DL$7,MATCH(1,$DI633:$DL633,0)),"mixedProduct")</f>
        <v>mixedProduct</v>
      </c>
      <c r="DP633">
        <f>IF(DI633=1,DP$7,0)</f>
        <v>0</v>
      </c>
      <c r="DQ633" t="str">
        <f>IF(DJ633=1,DQ$7,0)</f>
        <v>Energy</v>
      </c>
      <c r="DR633" t="str">
        <f>IF(DK633=1,DR$7,0)</f>
        <v>Pulp/Paper</v>
      </c>
      <c r="DS633" t="str">
        <f>IF(DL633=1,DS$7,0)</f>
        <v>Timber</v>
      </c>
      <c r="DT633">
        <v>1</v>
      </c>
      <c r="DU633">
        <v>0</v>
      </c>
      <c r="DV633">
        <v>0</v>
      </c>
      <c r="DW633">
        <v>0</v>
      </c>
      <c r="DX633">
        <v>0</v>
      </c>
      <c r="DY633">
        <f>SUM(DT633:DU633)</f>
        <v>1</v>
      </c>
      <c r="DZ633" s="143" t="str">
        <f>IF(DT633=1,"self-calculated DF",IF(DU633=1,"external DF used","explicit C balance"))</f>
        <v>self-calculated DF</v>
      </c>
      <c r="EA633">
        <v>0</v>
      </c>
      <c r="EB633">
        <v>1</v>
      </c>
      <c r="EC633">
        <v>1</v>
      </c>
      <c r="ED633">
        <v>0</v>
      </c>
      <c r="EE633">
        <v>0</v>
      </c>
      <c r="EF633" s="143">
        <v>1</v>
      </c>
      <c r="EG633">
        <v>0</v>
      </c>
      <c r="EH633">
        <v>0</v>
      </c>
      <c r="EI633">
        <v>0</v>
      </c>
      <c r="EJ633">
        <v>0</v>
      </c>
      <c r="EK633">
        <v>1</v>
      </c>
      <c r="EL633">
        <v>1</v>
      </c>
      <c r="EM633">
        <v>0</v>
      </c>
      <c r="EN633" s="2">
        <v>0</v>
      </c>
      <c r="EP633" t="str">
        <f>IF(AND(AND(AND(OR($EC633=1,$EB633=1),OR($EH633=1,$EF633=1)),SUM($EA633:$EE633,$EK633)&gt;=3),SUM($EF633:$EJ633)&gt;=2),"Whole sector approach","")</f>
        <v/>
      </c>
      <c r="EQ633" t="str">
        <f>IF(AND(AND(OR($EC633=1,$EB633=1),AND($EH633=0,$EF633=0)),SUM($EA633:$EE633,$EK633)&gt;=4),"Ecosystem approach","")</f>
        <v/>
      </c>
      <c r="ER633" s="2" t="str">
        <f>IF(AND(AND(AND($EC633=0,$EB633=0),OR($EH633=1,$EF633=1)),SUM($EG633:$EJ633)&gt;=2),"Technology approach","")</f>
        <v/>
      </c>
      <c r="ES633" t="str">
        <f>IF(AND($EC633+$EB633+$EE633+$EA633+$ED633+$EG633=0,$N633="included"),"C neutral forest and HWP assumption","")</f>
        <v/>
      </c>
      <c r="ET633" t="str">
        <f>IF(AND(AND(AND(AND($EC633=1,$EB633+$EA633+$EG633&gt;=1),$EF633=1),$EH633+$EI633+$ED633+$EE633&gt;=2),$N633="included"),"All C pools assumption","")</f>
        <v/>
      </c>
      <c r="EU633" t="str">
        <f>IF(AND($ED633+$EE633+$EI633+$EH633+$EF633=0,$N633="included"),"In-situ only assumption","")</f>
        <v/>
      </c>
      <c r="EY633" t="str">
        <f>IF(ISNUMBER(BW633),IF(ABS(BW633-[2]QC_indicators!$B$2)&gt;3*[2]QC_indicators!$C$2,"C ratio",IF(ISNUMBER(CA633),IF(ABS(CA633-[2]QC_indicators!$B$1)&gt;3*[2]QC_indicators!$C$1,"DF","no"))),IF(ISNUMBER(CA633),IF(ABS(CA633-[2]QC_indicators!$B$1)&gt;3*[2]QC_indicators!$C$1,"DF","no")))</f>
        <v>no</v>
      </c>
      <c r="EZ633" t="s">
        <v>286</v>
      </c>
      <c r="FA633" t="str">
        <f>IF(LEN($CY633)=0,"",IF(AND($CY633&lt;(-0.05),$ES633="C neutral forest and HWP assumption"),"Cneutral paradox",IF(AND($CY633&gt;0.05,$EU633="In-situ only assumption"),"In-situ only paradox","")))</f>
        <v/>
      </c>
      <c r="FD633" s="260" t="s">
        <v>2768</v>
      </c>
    </row>
    <row r="634" spans="1:160" ht="15" customHeight="1">
      <c r="A634" s="1" t="s">
        <v>1079</v>
      </c>
      <c r="B634" t="s">
        <v>1080</v>
      </c>
      <c r="C634" t="s">
        <v>1081</v>
      </c>
      <c r="D634" t="s">
        <v>1082</v>
      </c>
      <c r="E634" t="s">
        <v>1083</v>
      </c>
      <c r="F634" t="s">
        <v>1084</v>
      </c>
      <c r="G634" t="s">
        <v>1085</v>
      </c>
      <c r="I634">
        <v>2006</v>
      </c>
      <c r="K634" t="s">
        <v>1086</v>
      </c>
      <c r="M634" t="str">
        <f>LEFT($D634,FIND(",",$D634)-1)&amp;"_"&amp;I634&amp;L634</f>
        <v>Backeus_2006</v>
      </c>
      <c r="N634" t="s">
        <v>222</v>
      </c>
      <c r="O634" s="140" t="s">
        <v>274</v>
      </c>
      <c r="Q634" t="s">
        <v>224</v>
      </c>
      <c r="R634" s="251" t="s">
        <v>223</v>
      </c>
      <c r="S634" s="259" t="s">
        <v>2767</v>
      </c>
      <c r="T634" t="s">
        <v>1093</v>
      </c>
      <c r="U634" t="s">
        <v>1088</v>
      </c>
      <c r="V634" s="253">
        <v>0</v>
      </c>
      <c r="W634" s="253">
        <v>0</v>
      </c>
      <c r="X634">
        <v>0</v>
      </c>
      <c r="Y634">
        <v>0</v>
      </c>
      <c r="Z634">
        <v>0</v>
      </c>
      <c r="AA634">
        <v>1</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1</v>
      </c>
      <c r="AY634">
        <v>0</v>
      </c>
      <c r="AZ634" s="141">
        <f>COUNTIF(X634:AY634,"&lt;&gt;0")</f>
        <v>2</v>
      </c>
      <c r="BA634" s="141">
        <f>COUNTIF(X634:AN634,"&lt;&gt;0")</f>
        <v>1</v>
      </c>
      <c r="BB634">
        <f>COUNTIF(X634:AE634,"&lt;&gt;0")</f>
        <v>1</v>
      </c>
      <c r="BC634">
        <f>COUNTIF(AF634:AK634,"&lt;&gt;0")</f>
        <v>0</v>
      </c>
      <c r="BD634">
        <f>COUNTIF(AL634:AN634,"&lt;&gt;0")</f>
        <v>0</v>
      </c>
      <c r="BE634">
        <f>COUNTIF(AU634:AY634,"&lt;&gt;0")</f>
        <v>1</v>
      </c>
      <c r="BF634">
        <f>COUNTIF(AO634:AT634,"&lt;&gt;0")</f>
        <v>0</v>
      </c>
      <c r="BG634" t="str">
        <f t="array" ref="BG634">IF(BA634=1,INDEX($X$7:$AN$7,MATCH(TRUE,INDEX($X634:$AY634&lt;&gt;0,),0)),IF(BA634=0,INDEX($AO$7:$AY$7,MATCH(1,$AO634:$AY634,0)),IF(BH634="Multiple strategies","mixed drivers",IF(BH634="Supply chain","multiple supply","multiple silviculture"))))</f>
        <v xml:space="preserve">cutting intensity </v>
      </c>
      <c r="BH634" s="2" t="str" cm="1">
        <f t="array" ref="BH634">IF(COUNTIF(BB634:BD634,"&lt;&gt;0")=1,INDEX($X$4:$AY$4,MATCH(TRUE,INDEX($X634:$AY634&lt;&gt;0,),0)),IF(COUNTIF(BB634:BD634,"&lt;&gt;0")=0,INDEX($AO$4:$AY$4,MATCH(1,$AO634:$AY634,0)),"Multiple strategies"))</f>
        <v>Silviculture for removals</v>
      </c>
      <c r="BI634" s="1" t="s">
        <v>229</v>
      </c>
      <c r="BJ634" t="s">
        <v>229</v>
      </c>
      <c r="BK634" s="260" t="s">
        <v>687</v>
      </c>
      <c r="BL634" t="s">
        <v>1089</v>
      </c>
      <c r="BM634">
        <v>1.8154092996757019</v>
      </c>
      <c r="BN634">
        <v>5.6162990524021872</v>
      </c>
      <c r="BO634">
        <f>BN634/BM634</f>
        <v>3.0936819886322398</v>
      </c>
      <c r="BP634">
        <f>BN634-BM634</f>
        <v>3.8008897527264853</v>
      </c>
      <c r="BQ634" s="143">
        <f>BP634*10^6</f>
        <v>3800889.7527264855</v>
      </c>
      <c r="BR634" s="143" t="s">
        <v>232</v>
      </c>
      <c r="BS634" s="143" t="s">
        <v>767</v>
      </c>
      <c r="BT634" s="152" t="s">
        <v>1090</v>
      </c>
      <c r="BU634" s="152">
        <v>1.98823529411764</v>
      </c>
      <c r="BV634" s="152">
        <v>1.47058823529411</v>
      </c>
      <c r="BW634" s="144">
        <f>IFERROR(BV634/BU634,"")</f>
        <v>0.73964497041419996</v>
      </c>
      <c r="BX634">
        <f>BV634-BU634</f>
        <v>-0.51764705882353002</v>
      </c>
      <c r="BZ634">
        <f>BX634*10^6*C_to_CO2</f>
        <v>-1899764.7058823551</v>
      </c>
      <c r="CA634">
        <f>IFERROR(BZ634/BQ634,"")</f>
        <v>-0.49982104966859414</v>
      </c>
      <c r="CB634">
        <v>0</v>
      </c>
      <c r="CC634">
        <v>0</v>
      </c>
      <c r="CD634">
        <v>0</v>
      </c>
      <c r="CE634">
        <v>0</v>
      </c>
      <c r="CF634">
        <v>0</v>
      </c>
      <c r="CG634">
        <v>0</v>
      </c>
      <c r="CH634">
        <v>0</v>
      </c>
      <c r="CI634">
        <v>0</v>
      </c>
      <c r="CJ634">
        <v>0</v>
      </c>
      <c r="CK634">
        <v>0</v>
      </c>
      <c r="CL634">
        <v>0</v>
      </c>
      <c r="CM634">
        <v>0</v>
      </c>
      <c r="CN634">
        <v>0</v>
      </c>
      <c r="CO634">
        <v>0</v>
      </c>
      <c r="CP634" t="str">
        <f>IF($BN634&lt;$BM634,"refNeedCorrection","refOK")</f>
        <v>refOK</v>
      </c>
      <c r="CQ634">
        <f>IF($CP634="refOK",$BM634,$BN634)</f>
        <v>1.8154092996757019</v>
      </c>
      <c r="CR634">
        <f>IF($CP634="refOK",$BN634,$BM634)</f>
        <v>5.6162990524021872</v>
      </c>
      <c r="CS634">
        <f>IF($CP634="refOK",$BQ634,-$BQ634)</f>
        <v>3800889.7527264855</v>
      </c>
      <c r="CT634">
        <f>IF(BI634="Roundwood",$CS634/2,$CS634)</f>
        <v>3800889.7527264855</v>
      </c>
      <c r="CU634">
        <f>IF($CP634="refOK",$BU634,$BV634)*IF($BR634="Emissions positive",-1,1)</f>
        <v>1.98823529411764</v>
      </c>
      <c r="CV634">
        <f>IF($CP634="refOK",$BV634,$BU634)*IF($BR634="Emissions positive",-1,1)</f>
        <v>1.47058823529411</v>
      </c>
      <c r="CW634">
        <f>IF($CP634="refNeedCorrection",-BZ634,BZ634)*IF($BR634="Emissions positive",-1,1)</f>
        <v>-1899764.7058823551</v>
      </c>
      <c r="CX634">
        <f>IFERROR($CW634/$CS634,"")</f>
        <v>-0.49982104966859414</v>
      </c>
      <c r="CY634">
        <f>IFERROR($CW634/$CS634,"")</f>
        <v>-0.49982104966859414</v>
      </c>
      <c r="CZ634">
        <f>IFERROR($CW634/$CT634,"")</f>
        <v>-0.49982104966859414</v>
      </c>
      <c r="DA634" s="2">
        <f>IFERROR((CV634-CU634)/ABS(CU634),"")</f>
        <v>-0.26035502958580004</v>
      </c>
      <c r="DB634" s="1" t="s">
        <v>1074</v>
      </c>
      <c r="DC634" t="str">
        <f>IF(OR($DB634="prd",$DB634="std",$DB634="cit"),"loc",IF(OR($DB634="eur",$DB634="reg",$DB634="coy"),"reg",$DB634))</f>
        <v>reg</v>
      </c>
      <c r="DD634" t="s">
        <v>444</v>
      </c>
      <c r="DG634">
        <v>100</v>
      </c>
      <c r="DH634" t="str">
        <f>IF(DG634=0,"0",IF(AND(DG634&gt;=1,DG634&lt;=30),"1-30",IF(AND(DG634&gt;30,DG634&lt;=70),"31-70",IF(AND(DG634&gt;70,DG634&lt;=100),"71-100",IF(DG634&gt;100,"+100")))))</f>
        <v>71-100</v>
      </c>
      <c r="DI634">
        <v>0</v>
      </c>
      <c r="DJ634">
        <v>1</v>
      </c>
      <c r="DK634">
        <v>1</v>
      </c>
      <c r="DL634">
        <v>1</v>
      </c>
      <c r="DN634">
        <f>SUM(DI634:DL634)</f>
        <v>3</v>
      </c>
      <c r="DO634" t="str">
        <f>IF(DN634=1,INDEX($DI$7:$DL$7,MATCH(1,$DI634:$DL634,0)),"mixedProduct")</f>
        <v>mixedProduct</v>
      </c>
      <c r="DP634">
        <f>IF(DI634=1,DP$7,0)</f>
        <v>0</v>
      </c>
      <c r="DQ634" t="str">
        <f>IF(DJ634=1,DQ$7,0)</f>
        <v>Energy</v>
      </c>
      <c r="DR634" t="str">
        <f>IF(DK634=1,DR$7,0)</f>
        <v>Pulp/Paper</v>
      </c>
      <c r="DS634" t="str">
        <f>IF(DL634=1,DS$7,0)</f>
        <v>Timber</v>
      </c>
      <c r="DT634">
        <v>0</v>
      </c>
      <c r="DU634">
        <v>0</v>
      </c>
      <c r="DV634">
        <v>0</v>
      </c>
      <c r="DW634">
        <v>0</v>
      </c>
      <c r="DX634">
        <v>0</v>
      </c>
      <c r="DY634">
        <f>SUM(DT634:DU634)</f>
        <v>0</v>
      </c>
      <c r="DZ634" s="143" t="str">
        <f>IF(DT634=1,"self-calculated DF",IF(DU634=1,"external DF used","explicit C balance"))</f>
        <v>explicit C balance</v>
      </c>
      <c r="EA634">
        <v>0</v>
      </c>
      <c r="EB634">
        <v>1</v>
      </c>
      <c r="EC634">
        <v>1</v>
      </c>
      <c r="ED634">
        <v>0</v>
      </c>
      <c r="EE634">
        <v>0</v>
      </c>
      <c r="EF634" s="143">
        <v>0</v>
      </c>
      <c r="EG634">
        <v>0</v>
      </c>
      <c r="EH634">
        <v>0</v>
      </c>
      <c r="EI634">
        <v>0</v>
      </c>
      <c r="EJ634">
        <v>0</v>
      </c>
      <c r="EK634">
        <v>1</v>
      </c>
      <c r="EL634">
        <v>1</v>
      </c>
      <c r="EM634">
        <v>0</v>
      </c>
      <c r="EN634" s="2">
        <v>0</v>
      </c>
      <c r="EP634" t="str">
        <f>IF(AND(AND(AND(OR($EC634=1,$EB634=1),OR($EH634=1,$EF634=1)),SUM($EA634:$EE634,$EK634)&gt;=3),SUM($EF634:$EJ634)&gt;=2),"Whole sector approach","")</f>
        <v/>
      </c>
      <c r="EQ634" t="str">
        <f>IF(AND(AND(OR($EC634=1,$EB634=1),AND($EH634=0,$EF634=0)),SUM($EA634:$EE634,$EK634)&gt;=4),"Ecosystem approach","")</f>
        <v/>
      </c>
      <c r="ER634" s="2" t="str">
        <f>IF(AND(AND(AND($EC634=0,$EB634=0),OR($EH634=1,$EF634=1)),SUM($EG634:$EJ634)&gt;=2),"Technology approach","")</f>
        <v/>
      </c>
      <c r="ES634" t="str">
        <f>IF(AND($EC634+$EB634+$EE634+$EA634+$ED634+$EG634=0,$N634="included"),"C neutral forest and HWP assumption","")</f>
        <v/>
      </c>
      <c r="ET634" t="str">
        <f>IF(AND(AND(AND(AND($EC634=1,$EB634+$EA634+$EG634&gt;=1),$EF634=1),$EH634+$EI634+$ED634+$EE634&gt;=2),$N634="included"),"All C pools assumption","")</f>
        <v/>
      </c>
      <c r="EU634" t="str">
        <f>IF(AND($ED634+$EE634+$EI634+$EH634+$EF634=0,$N634="included"),"In-situ only assumption","")</f>
        <v>In-situ only assumption</v>
      </c>
      <c r="EY634" t="str">
        <f>IF(ISNUMBER(BW634),IF(ABS(BW634-[2]QC_indicators!$B$2)&gt;3*[2]QC_indicators!$C$2,"C ratio",IF(ISNUMBER(CA634),IF(ABS(CA634-[2]QC_indicators!$B$1)&gt;3*[2]QC_indicators!$C$1,"DF","no"))),IF(ISNUMBER(CA634),IF(ABS(CA634-[2]QC_indicators!$B$1)&gt;3*[2]QC_indicators!$C$1,"DF","no")))</f>
        <v>no</v>
      </c>
      <c r="EZ634" t="s">
        <v>286</v>
      </c>
      <c r="FA634" t="str">
        <f>IF(LEN($CY634)=0,"",IF(AND($CY634&lt;(-0.05),$ES634="C neutral forest and HWP assumption"),"Cneutral paradox",IF(AND($CY634&gt;0.05,$EU634="In-situ only assumption"),"In-situ only paradox","")))</f>
        <v/>
      </c>
      <c r="FD634" s="260" t="s">
        <v>2768</v>
      </c>
    </row>
    <row r="635" spans="1:160" ht="15" hidden="1" customHeight="1">
      <c r="A635" s="1" t="s">
        <v>1079</v>
      </c>
      <c r="B635" t="s">
        <v>1080</v>
      </c>
      <c r="C635" t="s">
        <v>1081</v>
      </c>
      <c r="D635" t="s">
        <v>1082</v>
      </c>
      <c r="E635" t="s">
        <v>1083</v>
      </c>
      <c r="F635" t="s">
        <v>1084</v>
      </c>
      <c r="G635" t="s">
        <v>1085</v>
      </c>
      <c r="I635">
        <v>2006</v>
      </c>
      <c r="K635" t="s">
        <v>1086</v>
      </c>
      <c r="M635" t="str">
        <f>LEFT($D635,FIND(",",$D635)-1)&amp;"_"&amp;I635&amp;L635</f>
        <v>Backeus_2006</v>
      </c>
      <c r="N635" t="s">
        <v>222</v>
      </c>
      <c r="O635" s="140" t="s">
        <v>274</v>
      </c>
      <c r="Q635" t="s">
        <v>224</v>
      </c>
      <c r="R635" s="251" t="s">
        <v>223</v>
      </c>
      <c r="S635" s="259" t="s">
        <v>2767</v>
      </c>
      <c r="T635" t="s">
        <v>1092</v>
      </c>
      <c r="U635" t="s">
        <v>1088</v>
      </c>
      <c r="V635" s="253">
        <v>0</v>
      </c>
      <c r="W635" s="253">
        <v>0</v>
      </c>
      <c r="X635">
        <v>0</v>
      </c>
      <c r="Y635">
        <v>0</v>
      </c>
      <c r="Z635">
        <v>0</v>
      </c>
      <c r="AA635">
        <v>1</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1</v>
      </c>
      <c r="AY635">
        <v>0</v>
      </c>
      <c r="AZ635" s="141">
        <f>COUNTIF(X635:AY635,"&lt;&gt;0")</f>
        <v>2</v>
      </c>
      <c r="BA635" s="141">
        <f>COUNTIF(X635:AN635,"&lt;&gt;0")</f>
        <v>1</v>
      </c>
      <c r="BB635">
        <f>COUNTIF(X635:AE635,"&lt;&gt;0")</f>
        <v>1</v>
      </c>
      <c r="BC635">
        <f>COUNTIF(AF635:AK635,"&lt;&gt;0")</f>
        <v>0</v>
      </c>
      <c r="BD635">
        <f>COUNTIF(AL635:AN635,"&lt;&gt;0")</f>
        <v>0</v>
      </c>
      <c r="BE635">
        <f>COUNTIF(AU635:AY635,"&lt;&gt;0")</f>
        <v>1</v>
      </c>
      <c r="BF635">
        <f>COUNTIF(AO635:AT635,"&lt;&gt;0")</f>
        <v>0</v>
      </c>
      <c r="BG635" t="str">
        <f t="array" ref="BG635">IF(BA635=1,INDEX($X$7:$AN$7,MATCH(TRUE,INDEX($X635:$AY635&lt;&gt;0,),0)),IF(BA635=0,INDEX($AO$7:$AY$7,MATCH(1,$AO635:$AY635,0)),IF(BH635="Multiple strategies","mixed drivers",IF(BH635="Supply chain","multiple supply","multiple silviculture"))))</f>
        <v xml:space="preserve">cutting intensity </v>
      </c>
      <c r="BH635" s="2" t="str" cm="1">
        <f t="array" ref="BH635">IF(COUNTIF(BB635:BD635,"&lt;&gt;0")=1,INDEX($X$4:$AY$4,MATCH(TRUE,INDEX($X635:$AY635&lt;&gt;0,),0)),IF(COUNTIF(BB635:BD635,"&lt;&gt;0")=0,INDEX($AO$4:$AY$4,MATCH(1,$AO635:$AY635,0)),"Multiple strategies"))</f>
        <v>Silviculture for removals</v>
      </c>
      <c r="BI635" s="1" t="s">
        <v>229</v>
      </c>
      <c r="BJ635" t="s">
        <v>229</v>
      </c>
      <c r="BK635" s="260" t="s">
        <v>687</v>
      </c>
      <c r="BL635" t="s">
        <v>1089</v>
      </c>
      <c r="BM635">
        <v>5.0343605295810514</v>
      </c>
      <c r="BN635">
        <v>5.6162990524021872</v>
      </c>
      <c r="BO635">
        <f>BN635/BM635</f>
        <v>1.1155933349234255</v>
      </c>
      <c r="BP635">
        <f>BN635-BM635</f>
        <v>0.58193852282113578</v>
      </c>
      <c r="BQ635" s="143">
        <f>BP635*10^6</f>
        <v>581938.52282113582</v>
      </c>
      <c r="BR635" s="143" t="s">
        <v>232</v>
      </c>
      <c r="BS635" s="143" t="s">
        <v>767</v>
      </c>
      <c r="BT635" s="152" t="s">
        <v>1090</v>
      </c>
      <c r="BU635" s="152">
        <v>1.6666666666666667</v>
      </c>
      <c r="BV635" s="152">
        <v>1.5434782608695652</v>
      </c>
      <c r="BW635" s="144">
        <f>IFERROR(BV635/BU635,"")</f>
        <v>0.92608695652173911</v>
      </c>
      <c r="BX635">
        <f>BV635-BU635</f>
        <v>-0.12318840579710155</v>
      </c>
      <c r="BZ635">
        <f>BX635*10^6*C_to_CO2</f>
        <v>-452101.44927536271</v>
      </c>
      <c r="CA635">
        <f>IFERROR(BZ635/BQ635,"")</f>
        <v>-0.77688867731879008</v>
      </c>
      <c r="CB635">
        <v>0</v>
      </c>
      <c r="CC635">
        <v>0</v>
      </c>
      <c r="CD635">
        <v>0</v>
      </c>
      <c r="CE635">
        <v>0</v>
      </c>
      <c r="CF635">
        <v>0</v>
      </c>
      <c r="CG635">
        <v>0</v>
      </c>
      <c r="CH635">
        <v>0</v>
      </c>
      <c r="CI635">
        <v>0</v>
      </c>
      <c r="CJ635">
        <v>0</v>
      </c>
      <c r="CK635">
        <v>0</v>
      </c>
      <c r="CL635">
        <v>0</v>
      </c>
      <c r="CM635">
        <v>0</v>
      </c>
      <c r="CN635">
        <v>0</v>
      </c>
      <c r="CO635">
        <v>0</v>
      </c>
      <c r="CP635" t="str">
        <f>IF($BN635&lt;$BM635,"refNeedCorrection","refOK")</f>
        <v>refOK</v>
      </c>
      <c r="CQ635">
        <f>IF($CP635="refOK",$BM635,$BN635)</f>
        <v>5.0343605295810514</v>
      </c>
      <c r="CR635">
        <f>IF($CP635="refOK",$BN635,$BM635)</f>
        <v>5.6162990524021872</v>
      </c>
      <c r="CS635">
        <f>IF($CP635="refOK",$BQ635,-$BQ635)</f>
        <v>581938.52282113582</v>
      </c>
      <c r="CT635">
        <f>IF(BI635="Roundwood",$CS635/2,$CS635)</f>
        <v>581938.52282113582</v>
      </c>
      <c r="CU635">
        <f>IF($CP635="refOK",$BU635,$BV635)*IF($BR635="Emissions positive",-1,1)</f>
        <v>1.6666666666666667</v>
      </c>
      <c r="CV635">
        <f>IF($CP635="refOK",$BV635,$BU635)*IF($BR635="Emissions positive",-1,1)</f>
        <v>1.5434782608695652</v>
      </c>
      <c r="CW635">
        <f>IF($CP635="refNeedCorrection",-BZ635,BZ635)*IF($BR635="Emissions positive",-1,1)</f>
        <v>-452101.44927536271</v>
      </c>
      <c r="CX635">
        <f>IFERROR($CW635/$CS635,"")</f>
        <v>-0.77688867731879008</v>
      </c>
      <c r="CY635">
        <f>IFERROR($CW635/$CS635,"")</f>
        <v>-0.77688867731879008</v>
      </c>
      <c r="CZ635">
        <f>IFERROR($CW635/$CT635,"")</f>
        <v>-0.77688867731879008</v>
      </c>
      <c r="DA635" s="2">
        <f>IFERROR((CV635-CU635)/ABS(CU635),"")</f>
        <v>-7.3913043478260929E-2</v>
      </c>
      <c r="DB635" s="1" t="s">
        <v>1074</v>
      </c>
      <c r="DC635" t="str">
        <f>IF(OR($DB635="prd",$DB635="std",$DB635="cit"),"loc",IF(OR($DB635="eur",$DB635="reg",$DB635="coy"),"reg",$DB635))</f>
        <v>reg</v>
      </c>
      <c r="DD635" t="s">
        <v>444</v>
      </c>
      <c r="DG635">
        <v>100</v>
      </c>
      <c r="DH635" t="str">
        <f>IF(DG635=0,"0",IF(AND(DG635&gt;=1,DG635&lt;=30),"1-30",IF(AND(DG635&gt;30,DG635&lt;=70),"31-70",IF(AND(DG635&gt;70,DG635&lt;=100),"71-100",IF(DG635&gt;100,"+100")))))</f>
        <v>71-100</v>
      </c>
      <c r="DI635">
        <v>0</v>
      </c>
      <c r="DJ635">
        <v>1</v>
      </c>
      <c r="DK635">
        <v>1</v>
      </c>
      <c r="DL635">
        <v>1</v>
      </c>
      <c r="DN635">
        <f>SUM(DI635:DL635)</f>
        <v>3</v>
      </c>
      <c r="DO635" t="str">
        <f>IF(DN635=1,INDEX($DI$7:$DL$7,MATCH(1,$DI635:$DL635,0)),"mixedProduct")</f>
        <v>mixedProduct</v>
      </c>
      <c r="DP635">
        <f>IF(DI635=1,DP$7,0)</f>
        <v>0</v>
      </c>
      <c r="DQ635" t="str">
        <f>IF(DJ635=1,DQ$7,0)</f>
        <v>Energy</v>
      </c>
      <c r="DR635" t="str">
        <f>IF(DK635=1,DR$7,0)</f>
        <v>Pulp/Paper</v>
      </c>
      <c r="DS635" t="str">
        <f>IF(DL635=1,DS$7,0)</f>
        <v>Timber</v>
      </c>
      <c r="DT635">
        <v>1</v>
      </c>
      <c r="DU635">
        <v>0</v>
      </c>
      <c r="DV635">
        <v>0</v>
      </c>
      <c r="DW635">
        <v>0</v>
      </c>
      <c r="DX635">
        <v>0</v>
      </c>
      <c r="DY635">
        <f>SUM(DT635:DU635)</f>
        <v>1</v>
      </c>
      <c r="DZ635" s="143" t="str">
        <f>IF(DT635=1,"self-calculated DF",IF(DU635=1,"external DF used","explicit C balance"))</f>
        <v>self-calculated DF</v>
      </c>
      <c r="EA635">
        <v>0</v>
      </c>
      <c r="EB635">
        <v>1</v>
      </c>
      <c r="EC635">
        <v>1</v>
      </c>
      <c r="ED635">
        <v>0</v>
      </c>
      <c r="EE635">
        <v>0</v>
      </c>
      <c r="EF635" s="143">
        <v>1</v>
      </c>
      <c r="EG635">
        <v>0</v>
      </c>
      <c r="EH635">
        <v>0</v>
      </c>
      <c r="EI635">
        <v>0</v>
      </c>
      <c r="EJ635">
        <v>0</v>
      </c>
      <c r="EK635">
        <v>1</v>
      </c>
      <c r="EL635">
        <v>1</v>
      </c>
      <c r="EM635">
        <v>0</v>
      </c>
      <c r="EN635" s="2">
        <v>0</v>
      </c>
      <c r="EP635" t="str">
        <f>IF(AND(AND(AND(OR($EC635=1,$EB635=1),OR($EH635=1,$EF635=1)),SUM($EA635:$EE635,$EK635)&gt;=3),SUM($EF635:$EJ635)&gt;=2),"Whole sector approach","")</f>
        <v/>
      </c>
      <c r="EQ635" t="str">
        <f>IF(AND(AND(OR($EC635=1,$EB635=1),AND($EH635=0,$EF635=0)),SUM($EA635:$EE635,$EK635)&gt;=4),"Ecosystem approach","")</f>
        <v/>
      </c>
      <c r="ER635" s="2" t="str">
        <f>IF(AND(AND(AND($EC635=0,$EB635=0),OR($EH635=1,$EF635=1)),SUM($EG635:$EJ635)&gt;=2),"Technology approach","")</f>
        <v/>
      </c>
      <c r="ES635" t="str">
        <f>IF(AND($EC635+$EB635+$EE635+$EA635+$ED635+$EG635=0,$N635="included"),"C neutral forest and HWP assumption","")</f>
        <v/>
      </c>
      <c r="ET635" t="str">
        <f>IF(AND(AND(AND(AND($EC635=1,$EB635+$EA635+$EG635&gt;=1),$EF635=1),$EH635+$EI635+$ED635+$EE635&gt;=2),$N635="included"),"All C pools assumption","")</f>
        <v/>
      </c>
      <c r="EU635" t="str">
        <f>IF(AND($ED635+$EE635+$EI635+$EH635+$EF635=0,$N635="included"),"In-situ only assumption","")</f>
        <v/>
      </c>
      <c r="EY635" t="str">
        <f>IF(ISNUMBER(BW635),IF(ABS(BW635-[2]QC_indicators!$B$2)&gt;3*[2]QC_indicators!$C$2,"C ratio",IF(ISNUMBER(CA635),IF(ABS(CA635-[2]QC_indicators!$B$1)&gt;3*[2]QC_indicators!$C$1,"DF","no"))),IF(ISNUMBER(CA635),IF(ABS(CA635-[2]QC_indicators!$B$1)&gt;3*[2]QC_indicators!$C$1,"DF","no")))</f>
        <v>no</v>
      </c>
      <c r="EZ635" t="s">
        <v>286</v>
      </c>
      <c r="FA635" t="str">
        <f>IF(LEN($CY635)=0,"",IF(AND($CY635&lt;(-0.05),$ES635="C neutral forest and HWP assumption"),"Cneutral paradox",IF(AND($CY635&gt;0.05,$EU635="In-situ only assumption"),"In-situ only paradox","")))</f>
        <v/>
      </c>
      <c r="FD635" s="260" t="s">
        <v>2768</v>
      </c>
    </row>
    <row r="636" spans="1:160" ht="15" customHeight="1">
      <c r="A636" s="1" t="s">
        <v>1079</v>
      </c>
      <c r="B636" t="s">
        <v>1080</v>
      </c>
      <c r="C636" t="s">
        <v>1081</v>
      </c>
      <c r="D636" t="s">
        <v>1082</v>
      </c>
      <c r="E636" t="s">
        <v>1083</v>
      </c>
      <c r="F636" t="s">
        <v>1084</v>
      </c>
      <c r="G636" t="s">
        <v>1085</v>
      </c>
      <c r="I636">
        <v>2006</v>
      </c>
      <c r="K636" t="s">
        <v>1086</v>
      </c>
      <c r="M636" t="str">
        <f>LEFT($D636,FIND(",",$D636)-1)&amp;"_"&amp;I636&amp;L636</f>
        <v>Backeus_2006</v>
      </c>
      <c r="N636" t="s">
        <v>222</v>
      </c>
      <c r="O636" s="140" t="s">
        <v>274</v>
      </c>
      <c r="Q636" t="s">
        <v>224</v>
      </c>
      <c r="R636" s="251" t="s">
        <v>223</v>
      </c>
      <c r="S636" s="259" t="s">
        <v>2767</v>
      </c>
      <c r="T636" t="s">
        <v>1092</v>
      </c>
      <c r="U636" t="s">
        <v>1088</v>
      </c>
      <c r="V636" s="253">
        <v>0</v>
      </c>
      <c r="W636" s="253">
        <v>0</v>
      </c>
      <c r="X636">
        <v>0</v>
      </c>
      <c r="Y636">
        <v>0</v>
      </c>
      <c r="Z636">
        <v>0</v>
      </c>
      <c r="AA636">
        <v>1</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1</v>
      </c>
      <c r="AY636">
        <v>0</v>
      </c>
      <c r="AZ636" s="141">
        <f>COUNTIF(X636:AY636,"&lt;&gt;0")</f>
        <v>2</v>
      </c>
      <c r="BA636" s="141">
        <f>COUNTIF(X636:AN636,"&lt;&gt;0")</f>
        <v>1</v>
      </c>
      <c r="BB636">
        <f>COUNTIF(X636:AE636,"&lt;&gt;0")</f>
        <v>1</v>
      </c>
      <c r="BC636">
        <f>COUNTIF(AF636:AK636,"&lt;&gt;0")</f>
        <v>0</v>
      </c>
      <c r="BD636">
        <f>COUNTIF(AL636:AN636,"&lt;&gt;0")</f>
        <v>0</v>
      </c>
      <c r="BE636">
        <f>COUNTIF(AU636:AY636,"&lt;&gt;0")</f>
        <v>1</v>
      </c>
      <c r="BF636">
        <f>COUNTIF(AO636:AT636,"&lt;&gt;0")</f>
        <v>0</v>
      </c>
      <c r="BG636" t="str">
        <f t="array" ref="BG636">IF(BA636=1,INDEX($X$7:$AN$7,MATCH(TRUE,INDEX($X636:$AY636&lt;&gt;0,),0)),IF(BA636=0,INDEX($AO$7:$AY$7,MATCH(1,$AO636:$AY636,0)),IF(BH636="Multiple strategies","mixed drivers",IF(BH636="Supply chain","multiple supply","multiple silviculture"))))</f>
        <v xml:space="preserve">cutting intensity </v>
      </c>
      <c r="BH636" s="2" t="str" cm="1">
        <f t="array" ref="BH636">IF(COUNTIF(BB636:BD636,"&lt;&gt;0")=1,INDEX($X$4:$AY$4,MATCH(TRUE,INDEX($X636:$AY636&lt;&gt;0,),0)),IF(COUNTIF(BB636:BD636,"&lt;&gt;0")=0,INDEX($AO$4:$AY$4,MATCH(1,$AO636:$AY636,0)),"Multiple strategies"))</f>
        <v>Silviculture for removals</v>
      </c>
      <c r="BI636" s="1" t="s">
        <v>229</v>
      </c>
      <c r="BJ636" t="s">
        <v>229</v>
      </c>
      <c r="BK636" s="260" t="s">
        <v>687</v>
      </c>
      <c r="BL636" t="s">
        <v>1089</v>
      </c>
      <c r="BM636">
        <v>5.0343605295810514</v>
      </c>
      <c r="BN636">
        <v>5.6162990524021872</v>
      </c>
      <c r="BO636">
        <f>BN636/BM636</f>
        <v>1.1155933349234255</v>
      </c>
      <c r="BP636">
        <f>BN636-BM636</f>
        <v>0.58193852282113578</v>
      </c>
      <c r="BQ636" s="143">
        <f>BP636*10^6</f>
        <v>581938.52282113582</v>
      </c>
      <c r="BR636" s="143" t="s">
        <v>232</v>
      </c>
      <c r="BS636" s="143" t="s">
        <v>767</v>
      </c>
      <c r="BT636" s="152" t="s">
        <v>1090</v>
      </c>
      <c r="BU636" s="152">
        <v>1.5941176470588201</v>
      </c>
      <c r="BV636" s="152">
        <v>1.47058823529411</v>
      </c>
      <c r="BW636" s="144">
        <f>IFERROR(BV636/BU636,"")</f>
        <v>0.92250922509224809</v>
      </c>
      <c r="BX636">
        <f>BV636-BU636</f>
        <v>-0.12352941176471011</v>
      </c>
      <c r="BZ636">
        <f>BX636*10^6*C_to_CO2</f>
        <v>-453352.94117648609</v>
      </c>
      <c r="CA636">
        <f>IFERROR(BZ636/BQ636,"")</f>
        <v>-0.77903923421104793</v>
      </c>
      <c r="CB636">
        <v>0</v>
      </c>
      <c r="CC636">
        <v>0</v>
      </c>
      <c r="CD636">
        <v>0</v>
      </c>
      <c r="CE636">
        <v>0</v>
      </c>
      <c r="CF636">
        <v>0</v>
      </c>
      <c r="CG636">
        <v>0</v>
      </c>
      <c r="CH636">
        <v>0</v>
      </c>
      <c r="CI636">
        <v>0</v>
      </c>
      <c r="CJ636">
        <v>0</v>
      </c>
      <c r="CK636">
        <v>0</v>
      </c>
      <c r="CL636">
        <v>0</v>
      </c>
      <c r="CM636">
        <v>0</v>
      </c>
      <c r="CN636">
        <v>0</v>
      </c>
      <c r="CO636">
        <v>0</v>
      </c>
      <c r="CP636" t="str">
        <f>IF($BN636&lt;$BM636,"refNeedCorrection","refOK")</f>
        <v>refOK</v>
      </c>
      <c r="CQ636">
        <f>IF($CP636="refOK",$BM636,$BN636)</f>
        <v>5.0343605295810514</v>
      </c>
      <c r="CR636">
        <f>IF($CP636="refOK",$BN636,$BM636)</f>
        <v>5.6162990524021872</v>
      </c>
      <c r="CS636">
        <f>IF($CP636="refOK",$BQ636,-$BQ636)</f>
        <v>581938.52282113582</v>
      </c>
      <c r="CT636">
        <f>IF(BI636="Roundwood",$CS636/2,$CS636)</f>
        <v>581938.52282113582</v>
      </c>
      <c r="CU636">
        <f>IF($CP636="refOK",$BU636,$BV636)*IF($BR636="Emissions positive",-1,1)</f>
        <v>1.5941176470588201</v>
      </c>
      <c r="CV636">
        <f>IF($CP636="refOK",$BV636,$BU636)*IF($BR636="Emissions positive",-1,1)</f>
        <v>1.47058823529411</v>
      </c>
      <c r="CW636">
        <f>IF($CP636="refNeedCorrection",-BZ636,BZ636)*IF($BR636="Emissions positive",-1,1)</f>
        <v>-453352.94117648609</v>
      </c>
      <c r="CX636">
        <f>IFERROR($CW636/$CS636,"")</f>
        <v>-0.77903923421104793</v>
      </c>
      <c r="CY636">
        <f>IFERROR($CW636/$CS636,"")</f>
        <v>-0.77903923421104793</v>
      </c>
      <c r="CZ636">
        <f>IFERROR($CW636/$CT636,"")</f>
        <v>-0.77903923421104793</v>
      </c>
      <c r="DA636" s="2">
        <f>IFERROR((CV636-CU636)/ABS(CU636),"")</f>
        <v>-7.74907749077519E-2</v>
      </c>
      <c r="DB636" s="1" t="s">
        <v>1074</v>
      </c>
      <c r="DC636" t="str">
        <f>IF(OR($DB636="prd",$DB636="std",$DB636="cit"),"loc",IF(OR($DB636="eur",$DB636="reg",$DB636="coy"),"reg",$DB636))</f>
        <v>reg</v>
      </c>
      <c r="DD636" t="s">
        <v>444</v>
      </c>
      <c r="DG636">
        <v>100</v>
      </c>
      <c r="DH636" t="str">
        <f>IF(DG636=0,"0",IF(AND(DG636&gt;=1,DG636&lt;=30),"1-30",IF(AND(DG636&gt;30,DG636&lt;=70),"31-70",IF(AND(DG636&gt;70,DG636&lt;=100),"71-100",IF(DG636&gt;100,"+100")))))</f>
        <v>71-100</v>
      </c>
      <c r="DI636">
        <v>0</v>
      </c>
      <c r="DJ636">
        <v>1</v>
      </c>
      <c r="DK636">
        <v>1</v>
      </c>
      <c r="DL636">
        <v>1</v>
      </c>
      <c r="DN636">
        <f>SUM(DI636:DL636)</f>
        <v>3</v>
      </c>
      <c r="DO636" t="str">
        <f>IF(DN636=1,INDEX($DI$7:$DL$7,MATCH(1,$DI636:$DL636,0)),"mixedProduct")</f>
        <v>mixedProduct</v>
      </c>
      <c r="DP636">
        <f>IF(DI636=1,DP$7,0)</f>
        <v>0</v>
      </c>
      <c r="DQ636" t="str">
        <f>IF(DJ636=1,DQ$7,0)</f>
        <v>Energy</v>
      </c>
      <c r="DR636" t="str">
        <f>IF(DK636=1,DR$7,0)</f>
        <v>Pulp/Paper</v>
      </c>
      <c r="DS636" t="str">
        <f>IF(DL636=1,DS$7,0)</f>
        <v>Timber</v>
      </c>
      <c r="DT636">
        <v>0</v>
      </c>
      <c r="DU636">
        <v>0</v>
      </c>
      <c r="DV636">
        <v>0</v>
      </c>
      <c r="DW636">
        <v>0</v>
      </c>
      <c r="DX636">
        <v>0</v>
      </c>
      <c r="DY636">
        <f>SUM(DT636:DU636)</f>
        <v>0</v>
      </c>
      <c r="DZ636" s="143" t="str">
        <f>IF(DT636=1,"self-calculated DF",IF(DU636=1,"external DF used","explicit C balance"))</f>
        <v>explicit C balance</v>
      </c>
      <c r="EA636">
        <v>0</v>
      </c>
      <c r="EB636">
        <v>1</v>
      </c>
      <c r="EC636">
        <v>1</v>
      </c>
      <c r="ED636">
        <v>0</v>
      </c>
      <c r="EE636">
        <v>0</v>
      </c>
      <c r="EF636" s="143">
        <v>0</v>
      </c>
      <c r="EG636">
        <v>0</v>
      </c>
      <c r="EH636">
        <v>0</v>
      </c>
      <c r="EI636">
        <v>0</v>
      </c>
      <c r="EJ636">
        <v>0</v>
      </c>
      <c r="EK636">
        <v>1</v>
      </c>
      <c r="EL636">
        <v>1</v>
      </c>
      <c r="EM636">
        <v>0</v>
      </c>
      <c r="EN636" s="2">
        <v>0</v>
      </c>
      <c r="EP636" t="str">
        <f>IF(AND(AND(AND(OR($EC636=1,$EB636=1),OR($EH636=1,$EF636=1)),SUM($EA636:$EE636,$EK636)&gt;=3),SUM($EF636:$EJ636)&gt;=2),"Whole sector approach","")</f>
        <v/>
      </c>
      <c r="EQ636" t="str">
        <f>IF(AND(AND(OR($EC636=1,$EB636=1),AND($EH636=0,$EF636=0)),SUM($EA636:$EE636,$EK636)&gt;=4),"Ecosystem approach","")</f>
        <v/>
      </c>
      <c r="ER636" s="2" t="str">
        <f>IF(AND(AND(AND($EC636=0,$EB636=0),OR($EH636=1,$EF636=1)),SUM($EG636:$EJ636)&gt;=2),"Technology approach","")</f>
        <v/>
      </c>
      <c r="ES636" t="str">
        <f>IF(AND($EC636+$EB636+$EE636+$EA636+$ED636+$EG636=0,$N636="included"),"C neutral forest and HWP assumption","")</f>
        <v/>
      </c>
      <c r="ET636" t="str">
        <f>IF(AND(AND(AND(AND($EC636=1,$EB636+$EA636+$EG636&gt;=1),$EF636=1),$EH636+$EI636+$ED636+$EE636&gt;=2),$N636="included"),"All C pools assumption","")</f>
        <v/>
      </c>
      <c r="EU636" t="str">
        <f>IF(AND($ED636+$EE636+$EI636+$EH636+$EF636=0,$N636="included"),"In-situ only assumption","")</f>
        <v>In-situ only assumption</v>
      </c>
      <c r="EY636" t="str">
        <f>IF(ISNUMBER(BW636),IF(ABS(BW636-[2]QC_indicators!$B$2)&gt;3*[2]QC_indicators!$C$2,"C ratio",IF(ISNUMBER(CA636),IF(ABS(CA636-[2]QC_indicators!$B$1)&gt;3*[2]QC_indicators!$C$1,"DF","no"))),IF(ISNUMBER(CA636),IF(ABS(CA636-[2]QC_indicators!$B$1)&gt;3*[2]QC_indicators!$C$1,"DF","no")))</f>
        <v>no</v>
      </c>
      <c r="EZ636" t="s">
        <v>286</v>
      </c>
      <c r="FA636" t="str">
        <f>IF(LEN($CY636)=0,"",IF(AND($CY636&lt;(-0.05),$ES636="C neutral forest and HWP assumption"),"Cneutral paradox",IF(AND($CY636&gt;0.05,$EU636="In-situ only assumption"),"In-situ only paradox","")))</f>
        <v/>
      </c>
      <c r="FD636" s="260" t="s">
        <v>2768</v>
      </c>
    </row>
    <row r="637" spans="1:160" ht="15" hidden="1" customHeight="1">
      <c r="A637" s="1" t="s">
        <v>1079</v>
      </c>
      <c r="B637" t="s">
        <v>1080</v>
      </c>
      <c r="C637" t="s">
        <v>1081</v>
      </c>
      <c r="D637" t="s">
        <v>1082</v>
      </c>
      <c r="E637" t="s">
        <v>1083</v>
      </c>
      <c r="F637" t="s">
        <v>1084</v>
      </c>
      <c r="G637" t="s">
        <v>1085</v>
      </c>
      <c r="I637">
        <v>2006</v>
      </c>
      <c r="K637" t="s">
        <v>1086</v>
      </c>
      <c r="M637" t="str">
        <f>LEFT($D637,FIND(",",$D637)-1)&amp;"_"&amp;I637&amp;L637</f>
        <v>Backeus_2006</v>
      </c>
      <c r="N637" t="s">
        <v>222</v>
      </c>
      <c r="O637" s="140" t="s">
        <v>274</v>
      </c>
      <c r="Q637" t="s">
        <v>224</v>
      </c>
      <c r="R637" s="251" t="s">
        <v>223</v>
      </c>
      <c r="S637" s="259" t="s">
        <v>2767</v>
      </c>
      <c r="T637" t="s">
        <v>1091</v>
      </c>
      <c r="U637" t="s">
        <v>1088</v>
      </c>
      <c r="V637" s="253">
        <v>0</v>
      </c>
      <c r="W637" s="253">
        <v>0</v>
      </c>
      <c r="X637">
        <v>0</v>
      </c>
      <c r="Y637">
        <v>0</v>
      </c>
      <c r="Z637">
        <v>0</v>
      </c>
      <c r="AA637">
        <v>1</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1</v>
      </c>
      <c r="AY637">
        <v>0</v>
      </c>
      <c r="AZ637" s="141">
        <f>COUNTIF(X637:AY637,"&lt;&gt;0")</f>
        <v>2</v>
      </c>
      <c r="BA637" s="141">
        <f>COUNTIF(X637:AN637,"&lt;&gt;0")</f>
        <v>1</v>
      </c>
      <c r="BB637">
        <f>COUNTIF(X637:AE637,"&lt;&gt;0")</f>
        <v>1</v>
      </c>
      <c r="BC637">
        <f>COUNTIF(AF637:AK637,"&lt;&gt;0")</f>
        <v>0</v>
      </c>
      <c r="BD637">
        <f>COUNTIF(AL637:AN637,"&lt;&gt;0")</f>
        <v>0</v>
      </c>
      <c r="BE637">
        <f>COUNTIF(AU637:AY637,"&lt;&gt;0")</f>
        <v>1</v>
      </c>
      <c r="BF637">
        <f>COUNTIF(AO637:AT637,"&lt;&gt;0")</f>
        <v>0</v>
      </c>
      <c r="BG637" t="str">
        <f t="array" ref="BG637">IF(BA637=1,INDEX($X$7:$AN$7,MATCH(TRUE,INDEX($X637:$AY637&lt;&gt;0,),0)),IF(BA637=0,INDEX($AO$7:$AY$7,MATCH(1,$AO637:$AY637,0)),IF(BH637="Multiple strategies","mixed drivers",IF(BH637="Supply chain","multiple supply","multiple silviculture"))))</f>
        <v xml:space="preserve">cutting intensity </v>
      </c>
      <c r="BH637" s="2" t="str" cm="1">
        <f t="array" ref="BH637">IF(COUNTIF(BB637:BD637,"&lt;&gt;0")=1,INDEX($X$4:$AY$4,MATCH(TRUE,INDEX($X637:$AY637&lt;&gt;0,),0)),IF(COUNTIF(BB637:BD637,"&lt;&gt;0")=0,INDEX($AO$4:$AY$4,MATCH(1,$AO637:$AY637,0)),"Multiple strategies"))</f>
        <v>Silviculture for removals</v>
      </c>
      <c r="BI637" s="1" t="s">
        <v>229</v>
      </c>
      <c r="BJ637" t="s">
        <v>229</v>
      </c>
      <c r="BK637" s="260" t="s">
        <v>687</v>
      </c>
      <c r="BL637" t="s">
        <v>1089</v>
      </c>
      <c r="BM637">
        <v>5.5285511609750859</v>
      </c>
      <c r="BN637">
        <v>5.6162990524021872</v>
      </c>
      <c r="BO637">
        <f>BN637/BM637</f>
        <v>1.0158717698131285</v>
      </c>
      <c r="BP637">
        <f>BN637-BM637</f>
        <v>8.7747891427101266E-2</v>
      </c>
      <c r="BQ637" s="143">
        <f>BP637*10^6</f>
        <v>87747.891427101262</v>
      </c>
      <c r="BR637" s="143" t="s">
        <v>232</v>
      </c>
      <c r="BS637" s="143" t="s">
        <v>767</v>
      </c>
      <c r="BT637" s="152" t="s">
        <v>1090</v>
      </c>
      <c r="BU637" s="152">
        <v>1.5797101449275361</v>
      </c>
      <c r="BV637" s="152">
        <v>1.5434782608695652</v>
      </c>
      <c r="BW637" s="144">
        <f>IFERROR(BV637/BU637,"")</f>
        <v>0.97706422018348627</v>
      </c>
      <c r="BX637">
        <f>BV637-BU637</f>
        <v>-3.6231884057970953E-2</v>
      </c>
      <c r="BZ637">
        <f>BX637*10^6*C_to_CO2</f>
        <v>-132971.0144927534</v>
      </c>
      <c r="CA637">
        <f>IFERROR(BZ637/BQ637,"")</f>
        <v>-1.5153756099452529</v>
      </c>
      <c r="CB637">
        <v>0</v>
      </c>
      <c r="CC637">
        <v>0</v>
      </c>
      <c r="CD637">
        <v>0</v>
      </c>
      <c r="CE637">
        <v>0</v>
      </c>
      <c r="CF637">
        <v>0</v>
      </c>
      <c r="CG637">
        <v>0</v>
      </c>
      <c r="CH637">
        <v>0</v>
      </c>
      <c r="CI637">
        <v>0</v>
      </c>
      <c r="CJ637">
        <v>0</v>
      </c>
      <c r="CK637">
        <v>0</v>
      </c>
      <c r="CL637">
        <v>0</v>
      </c>
      <c r="CM637">
        <v>0</v>
      </c>
      <c r="CN637">
        <v>0</v>
      </c>
      <c r="CO637">
        <v>0</v>
      </c>
      <c r="CP637" t="str">
        <f>IF($BN637&lt;$BM637,"refNeedCorrection","refOK")</f>
        <v>refOK</v>
      </c>
      <c r="CQ637">
        <f>IF($CP637="refOK",$BM637,$BN637)</f>
        <v>5.5285511609750859</v>
      </c>
      <c r="CR637">
        <f>IF($CP637="refOK",$BN637,$BM637)</f>
        <v>5.6162990524021872</v>
      </c>
      <c r="CS637">
        <f>IF($CP637="refOK",$BQ637,-$BQ637)</f>
        <v>87747.891427101262</v>
      </c>
      <c r="CT637">
        <f>IF(BI637="Roundwood",$CS637/2,$CS637)</f>
        <v>87747.891427101262</v>
      </c>
      <c r="CU637">
        <f>IF($CP637="refOK",$BU637,$BV637)*IF($BR637="Emissions positive",-1,1)</f>
        <v>1.5797101449275361</v>
      </c>
      <c r="CV637">
        <f>IF($CP637="refOK",$BV637,$BU637)*IF($BR637="Emissions positive",-1,1)</f>
        <v>1.5434782608695652</v>
      </c>
      <c r="CW637">
        <f>IF($CP637="refNeedCorrection",-BZ637,BZ637)*IF($BR637="Emissions positive",-1,1)</f>
        <v>-132971.0144927534</v>
      </c>
      <c r="CX637">
        <f>IFERROR($CW637/$CS637,"")</f>
        <v>-1.5153756099452529</v>
      </c>
      <c r="CY637">
        <f>IFERROR($CW637/$CS637,"")</f>
        <v>-1.5153756099452529</v>
      </c>
      <c r="CZ637">
        <f>IFERROR($CW637/$CT637,"")</f>
        <v>-1.5153756099452529</v>
      </c>
      <c r="DA637" s="2">
        <f>IFERROR((CV637-CU637)/ABS(CU637),"")</f>
        <v>-2.2935779816513725E-2</v>
      </c>
      <c r="DB637" s="1" t="s">
        <v>1074</v>
      </c>
      <c r="DC637" t="str">
        <f>IF(OR($DB637="prd",$DB637="std",$DB637="cit"),"loc",IF(OR($DB637="eur",$DB637="reg",$DB637="coy"),"reg",$DB637))</f>
        <v>reg</v>
      </c>
      <c r="DD637" t="s">
        <v>444</v>
      </c>
      <c r="DG637">
        <v>100</v>
      </c>
      <c r="DH637" t="str">
        <f>IF(DG637=0,"0",IF(AND(DG637&gt;=1,DG637&lt;=30),"1-30",IF(AND(DG637&gt;30,DG637&lt;=70),"31-70",IF(AND(DG637&gt;70,DG637&lt;=100),"71-100",IF(DG637&gt;100,"+100")))))</f>
        <v>71-100</v>
      </c>
      <c r="DI637">
        <v>0</v>
      </c>
      <c r="DJ637">
        <v>1</v>
      </c>
      <c r="DK637">
        <v>1</v>
      </c>
      <c r="DL637">
        <v>1</v>
      </c>
      <c r="DN637">
        <f>SUM(DI637:DL637)</f>
        <v>3</v>
      </c>
      <c r="DO637" t="str">
        <f>IF(DN637=1,INDEX($DI$7:$DL$7,MATCH(1,$DI637:$DL637,0)),"mixedProduct")</f>
        <v>mixedProduct</v>
      </c>
      <c r="DP637">
        <f>IF(DI637=1,DP$7,0)</f>
        <v>0</v>
      </c>
      <c r="DQ637" t="str">
        <f>IF(DJ637=1,DQ$7,0)</f>
        <v>Energy</v>
      </c>
      <c r="DR637" t="str">
        <f>IF(DK637=1,DR$7,0)</f>
        <v>Pulp/Paper</v>
      </c>
      <c r="DS637" t="str">
        <f>IF(DL637=1,DS$7,0)</f>
        <v>Timber</v>
      </c>
      <c r="DT637">
        <v>1</v>
      </c>
      <c r="DU637">
        <v>0</v>
      </c>
      <c r="DV637">
        <v>0</v>
      </c>
      <c r="DW637">
        <v>0</v>
      </c>
      <c r="DX637">
        <v>0</v>
      </c>
      <c r="DY637">
        <f>SUM(DT637:DU637)</f>
        <v>1</v>
      </c>
      <c r="DZ637" s="143" t="str">
        <f>IF(DT637=1,"self-calculated DF",IF(DU637=1,"external DF used","explicit C balance"))</f>
        <v>self-calculated DF</v>
      </c>
      <c r="EA637">
        <v>0</v>
      </c>
      <c r="EB637">
        <v>1</v>
      </c>
      <c r="EC637">
        <v>1</v>
      </c>
      <c r="ED637">
        <v>0</v>
      </c>
      <c r="EE637">
        <v>0</v>
      </c>
      <c r="EF637" s="143">
        <v>1</v>
      </c>
      <c r="EG637">
        <v>0</v>
      </c>
      <c r="EH637">
        <v>0</v>
      </c>
      <c r="EI637">
        <v>0</v>
      </c>
      <c r="EJ637">
        <v>0</v>
      </c>
      <c r="EK637">
        <v>1</v>
      </c>
      <c r="EL637">
        <v>1</v>
      </c>
      <c r="EM637">
        <v>0</v>
      </c>
      <c r="EN637" s="2">
        <v>0</v>
      </c>
      <c r="EP637" t="str">
        <f>IF(AND(AND(AND(OR($EC637=1,$EB637=1),OR($EH637=1,$EF637=1)),SUM($EA637:$EE637,$EK637)&gt;=3),SUM($EF637:$EJ637)&gt;=2),"Whole sector approach","")</f>
        <v/>
      </c>
      <c r="EQ637" t="str">
        <f>IF(AND(AND(OR($EC637=1,$EB637=1),AND($EH637=0,$EF637=0)),SUM($EA637:$EE637,$EK637)&gt;=4),"Ecosystem approach","")</f>
        <v/>
      </c>
      <c r="ER637" s="2" t="str">
        <f>IF(AND(AND(AND($EC637=0,$EB637=0),OR($EH637=1,$EF637=1)),SUM($EG637:$EJ637)&gt;=2),"Technology approach","")</f>
        <v/>
      </c>
      <c r="ES637" t="str">
        <f>IF(AND($EC637+$EB637+$EE637+$EA637+$ED637+$EG637=0,$N637="included"),"C neutral forest and HWP assumption","")</f>
        <v/>
      </c>
      <c r="ET637" t="str">
        <f>IF(AND(AND(AND(AND($EC637=1,$EB637+$EA637+$EG637&gt;=1),$EF637=1),$EH637+$EI637+$ED637+$EE637&gt;=2),$N637="included"),"All C pools assumption","")</f>
        <v/>
      </c>
      <c r="EU637" t="str">
        <f>IF(AND($ED637+$EE637+$EI637+$EH637+$EF637=0,$N637="included"),"In-situ only assumption","")</f>
        <v/>
      </c>
      <c r="EY637" t="str">
        <f>IF(ISNUMBER(BW637),IF(ABS(BW637-[2]QC_indicators!$B$2)&gt;3*[2]QC_indicators!$C$2,"C ratio",IF(ISNUMBER(CA637),IF(ABS(CA637-[2]QC_indicators!$B$1)&gt;3*[2]QC_indicators!$C$1,"DF","no"))),IF(ISNUMBER(CA637),IF(ABS(CA637-[2]QC_indicators!$B$1)&gt;3*[2]QC_indicators!$C$1,"DF","no")))</f>
        <v>no</v>
      </c>
      <c r="EZ637" t="s">
        <v>286</v>
      </c>
      <c r="FA637" t="str">
        <f>IF(LEN($CY637)=0,"",IF(AND($CY637&lt;(-0.05),$ES637="C neutral forest and HWP assumption"),"Cneutral paradox",IF(AND($CY637&gt;0.05,$EU637="In-situ only assumption"),"In-situ only paradox","")))</f>
        <v/>
      </c>
      <c r="FD637" s="260" t="s">
        <v>2768</v>
      </c>
    </row>
    <row r="638" spans="1:160" ht="15" customHeight="1">
      <c r="A638" s="1" t="s">
        <v>1079</v>
      </c>
      <c r="B638" t="s">
        <v>1080</v>
      </c>
      <c r="C638" t="s">
        <v>1081</v>
      </c>
      <c r="D638" t="s">
        <v>1082</v>
      </c>
      <c r="E638" t="s">
        <v>1083</v>
      </c>
      <c r="F638" t="s">
        <v>1084</v>
      </c>
      <c r="G638" t="s">
        <v>1085</v>
      </c>
      <c r="I638">
        <v>2006</v>
      </c>
      <c r="K638" t="s">
        <v>1086</v>
      </c>
      <c r="M638" t="str">
        <f>LEFT($D638,FIND(",",$D638)-1)&amp;"_"&amp;I638&amp;L638</f>
        <v>Backeus_2006</v>
      </c>
      <c r="N638" t="s">
        <v>222</v>
      </c>
      <c r="O638" s="140" t="s">
        <v>274</v>
      </c>
      <c r="Q638" t="s">
        <v>224</v>
      </c>
      <c r="R638" s="251" t="s">
        <v>223</v>
      </c>
      <c r="S638" s="259" t="s">
        <v>2767</v>
      </c>
      <c r="T638" t="s">
        <v>1091</v>
      </c>
      <c r="U638" t="s">
        <v>1088</v>
      </c>
      <c r="V638" s="253">
        <v>0</v>
      </c>
      <c r="W638" s="253">
        <v>0</v>
      </c>
      <c r="X638">
        <v>0</v>
      </c>
      <c r="Y638">
        <v>0</v>
      </c>
      <c r="Z638">
        <v>0</v>
      </c>
      <c r="AA638">
        <v>1</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1</v>
      </c>
      <c r="AY638">
        <v>0</v>
      </c>
      <c r="AZ638" s="141">
        <f>COUNTIF(X638:AY638,"&lt;&gt;0")</f>
        <v>2</v>
      </c>
      <c r="BA638" s="141">
        <f>COUNTIF(X638:AN638,"&lt;&gt;0")</f>
        <v>1</v>
      </c>
      <c r="BB638">
        <f>COUNTIF(X638:AE638,"&lt;&gt;0")</f>
        <v>1</v>
      </c>
      <c r="BC638">
        <f>COUNTIF(AF638:AK638,"&lt;&gt;0")</f>
        <v>0</v>
      </c>
      <c r="BD638">
        <f>COUNTIF(AL638:AN638,"&lt;&gt;0")</f>
        <v>0</v>
      </c>
      <c r="BE638">
        <f>COUNTIF(AU638:AY638,"&lt;&gt;0")</f>
        <v>1</v>
      </c>
      <c r="BF638">
        <f>COUNTIF(AO638:AT638,"&lt;&gt;0")</f>
        <v>0</v>
      </c>
      <c r="BG638" t="str">
        <f t="array" ref="BG638">IF(BA638=1,INDEX($X$7:$AN$7,MATCH(TRUE,INDEX($X638:$AY638&lt;&gt;0,),0)),IF(BA638=0,INDEX($AO$7:$AY$7,MATCH(1,$AO638:$AY638,0)),IF(BH638="Multiple strategies","mixed drivers",IF(BH638="Supply chain","multiple supply","multiple silviculture"))))</f>
        <v xml:space="preserve">cutting intensity </v>
      </c>
      <c r="BH638" s="2" t="str" cm="1">
        <f t="array" ref="BH638">IF(COUNTIF(BB638:BD638,"&lt;&gt;0")=1,INDEX($X$4:$AY$4,MATCH(TRUE,INDEX($X638:$AY638&lt;&gt;0,),0)),IF(COUNTIF(BB638:BD638,"&lt;&gt;0")=0,INDEX($AO$4:$AY$4,MATCH(1,$AO638:$AY638,0)),"Multiple strategies"))</f>
        <v>Silviculture for removals</v>
      </c>
      <c r="BI638" s="1" t="s">
        <v>229</v>
      </c>
      <c r="BJ638" t="s">
        <v>229</v>
      </c>
      <c r="BK638" s="260" t="s">
        <v>687</v>
      </c>
      <c r="BL638" t="s">
        <v>1089</v>
      </c>
      <c r="BM638">
        <v>5.5285511609750859</v>
      </c>
      <c r="BN638">
        <v>5.6162990524021872</v>
      </c>
      <c r="BO638">
        <f>BN638/BM638</f>
        <v>1.0158717698131285</v>
      </c>
      <c r="BP638">
        <f>BN638-BM638</f>
        <v>8.7747891427101266E-2</v>
      </c>
      <c r="BQ638" s="143">
        <f>BP638*10^6</f>
        <v>87747.891427101262</v>
      </c>
      <c r="BR638" s="143" t="s">
        <v>232</v>
      </c>
      <c r="BS638" s="143" t="s">
        <v>767</v>
      </c>
      <c r="BT638" s="152" t="s">
        <v>1090</v>
      </c>
      <c r="BU638" s="152">
        <v>1.51176470588235</v>
      </c>
      <c r="BV638" s="152">
        <v>1.47058823529411</v>
      </c>
      <c r="BW638" s="144">
        <f>IFERROR(BV638/BU638,"")</f>
        <v>0.97276264591439365</v>
      </c>
      <c r="BX638">
        <f>BV638-BU638</f>
        <v>-4.1176470588240033E-2</v>
      </c>
      <c r="BZ638">
        <f>BX638*10^6*C_to_CO2</f>
        <v>-151117.6470588409</v>
      </c>
      <c r="CA638">
        <f>IFERROR(BZ638/BQ638,"")</f>
        <v>-1.7221798108321</v>
      </c>
      <c r="CB638">
        <v>0</v>
      </c>
      <c r="CC638">
        <v>0</v>
      </c>
      <c r="CD638">
        <v>0</v>
      </c>
      <c r="CE638">
        <v>0</v>
      </c>
      <c r="CF638">
        <v>0</v>
      </c>
      <c r="CG638">
        <v>0</v>
      </c>
      <c r="CH638">
        <v>0</v>
      </c>
      <c r="CI638">
        <v>0</v>
      </c>
      <c r="CJ638">
        <v>0</v>
      </c>
      <c r="CK638">
        <v>0</v>
      </c>
      <c r="CL638">
        <v>0</v>
      </c>
      <c r="CM638">
        <v>0</v>
      </c>
      <c r="CN638">
        <v>0</v>
      </c>
      <c r="CO638">
        <v>0</v>
      </c>
      <c r="CP638" t="str">
        <f>IF($BN638&lt;$BM638,"refNeedCorrection","refOK")</f>
        <v>refOK</v>
      </c>
      <c r="CQ638">
        <f>IF($CP638="refOK",$BM638,$BN638)</f>
        <v>5.5285511609750859</v>
      </c>
      <c r="CR638">
        <f>IF($CP638="refOK",$BN638,$BM638)</f>
        <v>5.6162990524021872</v>
      </c>
      <c r="CS638">
        <f>IF($CP638="refOK",$BQ638,-$BQ638)</f>
        <v>87747.891427101262</v>
      </c>
      <c r="CT638">
        <f>IF(BI638="Roundwood",$CS638/2,$CS638)</f>
        <v>87747.891427101262</v>
      </c>
      <c r="CU638">
        <f>IF($CP638="refOK",$BU638,$BV638)*IF($BR638="Emissions positive",-1,1)</f>
        <v>1.51176470588235</v>
      </c>
      <c r="CV638">
        <f>IF($CP638="refOK",$BV638,$BU638)*IF($BR638="Emissions positive",-1,1)</f>
        <v>1.47058823529411</v>
      </c>
      <c r="CW638">
        <f>IF($CP638="refNeedCorrection",-BZ638,BZ638)*IF($BR638="Emissions positive",-1,1)</f>
        <v>-151117.6470588409</v>
      </c>
      <c r="CX638">
        <f>IFERROR($CW638/$CS638,"")</f>
        <v>-1.7221798108321</v>
      </c>
      <c r="CY638">
        <f>IFERROR($CW638/$CS638,"")</f>
        <v>-1.7221798108321</v>
      </c>
      <c r="CZ638">
        <f>IFERROR($CW638/$CT638,"")</f>
        <v>-1.7221798108321</v>
      </c>
      <c r="DA638" s="2">
        <f>IFERROR((CV638-CU638)/ABS(CU638),"")</f>
        <v>-2.7237354085606302E-2</v>
      </c>
      <c r="DB638" s="1" t="s">
        <v>1074</v>
      </c>
      <c r="DC638" t="str">
        <f>IF(OR($DB638="prd",$DB638="std",$DB638="cit"),"loc",IF(OR($DB638="eur",$DB638="reg",$DB638="coy"),"reg",$DB638))</f>
        <v>reg</v>
      </c>
      <c r="DD638" t="s">
        <v>444</v>
      </c>
      <c r="DG638">
        <v>100</v>
      </c>
      <c r="DH638" t="str">
        <f>IF(DG638=0,"0",IF(AND(DG638&gt;=1,DG638&lt;=30),"1-30",IF(AND(DG638&gt;30,DG638&lt;=70),"31-70",IF(AND(DG638&gt;70,DG638&lt;=100),"71-100",IF(DG638&gt;100,"+100")))))</f>
        <v>71-100</v>
      </c>
      <c r="DI638">
        <v>0</v>
      </c>
      <c r="DJ638">
        <v>1</v>
      </c>
      <c r="DK638">
        <v>1</v>
      </c>
      <c r="DL638">
        <v>1</v>
      </c>
      <c r="DN638">
        <f>SUM(DI638:DL638)</f>
        <v>3</v>
      </c>
      <c r="DO638" t="str">
        <f>IF(DN638=1,INDEX($DI$7:$DL$7,MATCH(1,$DI638:$DL638,0)),"mixedProduct")</f>
        <v>mixedProduct</v>
      </c>
      <c r="DP638">
        <f>IF(DI638=1,DP$7,0)</f>
        <v>0</v>
      </c>
      <c r="DQ638" t="str">
        <f>IF(DJ638=1,DQ$7,0)</f>
        <v>Energy</v>
      </c>
      <c r="DR638" t="str">
        <f>IF(DK638=1,DR$7,0)</f>
        <v>Pulp/Paper</v>
      </c>
      <c r="DS638" t="str">
        <f>IF(DL638=1,DS$7,0)</f>
        <v>Timber</v>
      </c>
      <c r="DT638">
        <v>0</v>
      </c>
      <c r="DU638">
        <v>0</v>
      </c>
      <c r="DV638">
        <v>0</v>
      </c>
      <c r="DW638">
        <v>0</v>
      </c>
      <c r="DX638">
        <v>0</v>
      </c>
      <c r="DY638">
        <f>SUM(DT638:DU638)</f>
        <v>0</v>
      </c>
      <c r="DZ638" s="143" t="str">
        <f>IF(DT638=1,"self-calculated DF",IF(DU638=1,"external DF used","explicit C balance"))</f>
        <v>explicit C balance</v>
      </c>
      <c r="EA638">
        <v>0</v>
      </c>
      <c r="EB638">
        <v>1</v>
      </c>
      <c r="EC638">
        <v>1</v>
      </c>
      <c r="ED638">
        <v>0</v>
      </c>
      <c r="EE638">
        <v>0</v>
      </c>
      <c r="EF638" s="143">
        <v>0</v>
      </c>
      <c r="EG638">
        <v>0</v>
      </c>
      <c r="EH638">
        <v>0</v>
      </c>
      <c r="EI638">
        <v>0</v>
      </c>
      <c r="EJ638">
        <v>0</v>
      </c>
      <c r="EK638">
        <v>1</v>
      </c>
      <c r="EL638">
        <v>1</v>
      </c>
      <c r="EM638">
        <v>0</v>
      </c>
      <c r="EN638" s="2">
        <v>0</v>
      </c>
      <c r="EP638" t="str">
        <f>IF(AND(AND(AND(OR($EC638=1,$EB638=1),OR($EH638=1,$EF638=1)),SUM($EA638:$EE638,$EK638)&gt;=3),SUM($EF638:$EJ638)&gt;=2),"Whole sector approach","")</f>
        <v/>
      </c>
      <c r="EQ638" t="str">
        <f>IF(AND(AND(OR($EC638=1,$EB638=1),AND($EH638=0,$EF638=0)),SUM($EA638:$EE638,$EK638)&gt;=4),"Ecosystem approach","")</f>
        <v/>
      </c>
      <c r="ER638" s="2" t="str">
        <f>IF(AND(AND(AND($EC638=0,$EB638=0),OR($EH638=1,$EF638=1)),SUM($EG638:$EJ638)&gt;=2),"Technology approach","")</f>
        <v/>
      </c>
      <c r="ES638" t="str">
        <f>IF(AND($EC638+$EB638+$EE638+$EA638+$ED638+$EG638=0,$N638="included"),"C neutral forest and HWP assumption","")</f>
        <v/>
      </c>
      <c r="ET638" t="str">
        <f>IF(AND(AND(AND(AND($EC638=1,$EB638+$EA638+$EG638&gt;=1),$EF638=1),$EH638+$EI638+$ED638+$EE638&gt;=2),$N638="included"),"All C pools assumption","")</f>
        <v/>
      </c>
      <c r="EU638" t="str">
        <f>IF(AND($ED638+$EE638+$EI638+$EH638+$EF638=0,$N638="included"),"In-situ only assumption","")</f>
        <v>In-situ only assumption</v>
      </c>
      <c r="EY638" t="str">
        <f>IF(ISNUMBER(BW638),IF(ABS(BW638-[2]QC_indicators!$B$2)&gt;3*[2]QC_indicators!$C$2,"C ratio",IF(ISNUMBER(CA638),IF(ABS(CA638-[2]QC_indicators!$B$1)&gt;3*[2]QC_indicators!$C$1,"DF","no"))),IF(ISNUMBER(CA638),IF(ABS(CA638-[2]QC_indicators!$B$1)&gt;3*[2]QC_indicators!$C$1,"DF","no")))</f>
        <v>no</v>
      </c>
      <c r="EZ638" t="s">
        <v>286</v>
      </c>
      <c r="FA638" t="str">
        <f>IF(LEN($CY638)=0,"",IF(AND($CY638&lt;(-0.05),$ES638="C neutral forest and HWP assumption"),"Cneutral paradox",IF(AND($CY638&gt;0.05,$EU638="In-situ only assumption"),"In-situ only paradox","")))</f>
        <v/>
      </c>
      <c r="FD638" s="260" t="s">
        <v>2768</v>
      </c>
    </row>
    <row r="639" spans="1:160" ht="15" hidden="1" customHeight="1">
      <c r="A639" s="1" t="s">
        <v>1079</v>
      </c>
      <c r="B639" t="s">
        <v>1080</v>
      </c>
      <c r="C639" t="s">
        <v>1081</v>
      </c>
      <c r="D639" t="s">
        <v>1082</v>
      </c>
      <c r="E639" t="s">
        <v>1083</v>
      </c>
      <c r="F639" t="s">
        <v>1084</v>
      </c>
      <c r="G639" t="s">
        <v>1085</v>
      </c>
      <c r="I639">
        <v>2006</v>
      </c>
      <c r="K639" t="s">
        <v>1086</v>
      </c>
      <c r="M639" t="str">
        <f>LEFT($D639,FIND(",",$D639)-1)&amp;"_"&amp;I639&amp;L639</f>
        <v>Backeus_2006</v>
      </c>
      <c r="N639" t="s">
        <v>222</v>
      </c>
      <c r="O639" s="140" t="s">
        <v>274</v>
      </c>
      <c r="Q639" t="s">
        <v>224</v>
      </c>
      <c r="R639" s="251" t="s">
        <v>223</v>
      </c>
      <c r="S639" s="259" t="s">
        <v>2767</v>
      </c>
      <c r="T639" t="s">
        <v>1087</v>
      </c>
      <c r="U639" t="s">
        <v>1088</v>
      </c>
      <c r="V639" s="253">
        <v>0</v>
      </c>
      <c r="W639" s="253">
        <v>0</v>
      </c>
      <c r="X639">
        <v>0</v>
      </c>
      <c r="Y639">
        <v>0</v>
      </c>
      <c r="Z639">
        <v>0</v>
      </c>
      <c r="AA639">
        <v>1</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1</v>
      </c>
      <c r="AY639">
        <v>0</v>
      </c>
      <c r="AZ639" s="141">
        <f>COUNTIF(X639:AY639,"&lt;&gt;0")</f>
        <v>2</v>
      </c>
      <c r="BA639" s="141">
        <f>COUNTIF(X639:AN639,"&lt;&gt;0")</f>
        <v>1</v>
      </c>
      <c r="BB639">
        <f>COUNTIF(X639:AE639,"&lt;&gt;0")</f>
        <v>1</v>
      </c>
      <c r="BC639">
        <f>COUNTIF(AF639:AK639,"&lt;&gt;0")</f>
        <v>0</v>
      </c>
      <c r="BD639">
        <f>COUNTIF(AL639:AN639,"&lt;&gt;0")</f>
        <v>0</v>
      </c>
      <c r="BE639">
        <f>COUNTIF(AU639:AY639,"&lt;&gt;0")</f>
        <v>1</v>
      </c>
      <c r="BF639">
        <f>COUNTIF(AO639:AT639,"&lt;&gt;0")</f>
        <v>0</v>
      </c>
      <c r="BG639" t="str">
        <f t="array" ref="BG639">IF(BA639=1,INDEX($X$7:$AN$7,MATCH(TRUE,INDEX($X639:$AY639&lt;&gt;0,),0)),IF(BA639=0,INDEX($AO$7:$AY$7,MATCH(1,$AO639:$AY639,0)),IF(BH639="Multiple strategies","mixed drivers",IF(BH639="Supply chain","multiple supply","multiple silviculture"))))</f>
        <v xml:space="preserve">cutting intensity </v>
      </c>
      <c r="BH639" s="2" t="str" cm="1">
        <f t="array" ref="BH639">IF(COUNTIF(BB639:BD639,"&lt;&gt;0")=1,INDEX($X$4:$AY$4,MATCH(TRUE,INDEX($X639:$AY639&lt;&gt;0,),0)),IF(COUNTIF(BB639:BD639,"&lt;&gt;0")=0,INDEX($AO$4:$AY$4,MATCH(1,$AO639:$AY639,0)),"Multiple strategies"))</f>
        <v>Silviculture for removals</v>
      </c>
      <c r="BI639" s="1" t="s">
        <v>229</v>
      </c>
      <c r="BJ639" t="s">
        <v>229</v>
      </c>
      <c r="BK639" s="260" t="s">
        <v>687</v>
      </c>
      <c r="BL639" t="s">
        <v>1089</v>
      </c>
      <c r="BM639">
        <v>5.5978179484354129</v>
      </c>
      <c r="BN639">
        <v>5.6162990524021872</v>
      </c>
      <c r="BO639">
        <f>BN639/BM639</f>
        <v>1.0033014835668137</v>
      </c>
      <c r="BP639">
        <f>BN639-BM639</f>
        <v>1.848110396677427E-2</v>
      </c>
      <c r="BQ639" s="143">
        <f>BP639*10^6</f>
        <v>18481.10396677427</v>
      </c>
      <c r="BR639" s="143" t="s">
        <v>232</v>
      </c>
      <c r="BS639" s="143" t="s">
        <v>767</v>
      </c>
      <c r="BT639" s="152" t="s">
        <v>1090</v>
      </c>
      <c r="BU639" s="152">
        <v>1.5579710144927537</v>
      </c>
      <c r="BV639" s="152">
        <v>1.5434782608695701</v>
      </c>
      <c r="BW639" s="144">
        <f>IFERROR(BV639/BU639,"")</f>
        <v>0.99069767441860779</v>
      </c>
      <c r="BX639">
        <f>BV639-BU639</f>
        <v>-1.4492753623183585E-2</v>
      </c>
      <c r="BZ639">
        <f>BX639*10^6*C_to_CO2</f>
        <v>-53188.40579708376</v>
      </c>
      <c r="CA639">
        <f>IFERROR(BZ639/BQ639,"")</f>
        <v>-2.8779885602454827</v>
      </c>
      <c r="CB639">
        <v>0</v>
      </c>
      <c r="CC639">
        <v>0</v>
      </c>
      <c r="CD639">
        <v>0</v>
      </c>
      <c r="CE639">
        <v>0</v>
      </c>
      <c r="CF639">
        <v>0</v>
      </c>
      <c r="CG639">
        <v>0</v>
      </c>
      <c r="CH639">
        <v>0</v>
      </c>
      <c r="CI639">
        <v>0</v>
      </c>
      <c r="CJ639">
        <v>0</v>
      </c>
      <c r="CK639">
        <v>0</v>
      </c>
      <c r="CL639">
        <v>0</v>
      </c>
      <c r="CM639">
        <v>0</v>
      </c>
      <c r="CN639">
        <v>0</v>
      </c>
      <c r="CO639">
        <v>0</v>
      </c>
      <c r="CP639" t="str">
        <f>IF($BN639&lt;$BM639,"refNeedCorrection","refOK")</f>
        <v>refOK</v>
      </c>
      <c r="CQ639">
        <f>IF($CP639="refOK",$BM639,$BN639)</f>
        <v>5.5978179484354129</v>
      </c>
      <c r="CR639">
        <f>IF($CP639="refOK",$BN639,$BM639)</f>
        <v>5.6162990524021872</v>
      </c>
      <c r="CS639">
        <f>IF($CP639="refOK",$BQ639,-$BQ639)</f>
        <v>18481.10396677427</v>
      </c>
      <c r="CT639">
        <f>IF(BI639="Roundwood",$CS639/2,$CS639)</f>
        <v>18481.10396677427</v>
      </c>
      <c r="CU639">
        <f>IF($CP639="refOK",$BU639,$BV639)*IF($BR639="Emissions positive",-1,1)</f>
        <v>1.5579710144927537</v>
      </c>
      <c r="CV639">
        <f>IF($CP639="refOK",$BV639,$BU639)*IF($BR639="Emissions positive",-1,1)</f>
        <v>1.5434782608695701</v>
      </c>
      <c r="CW639">
        <f>IF($CP639="refNeedCorrection",-BZ639,BZ639)*IF($BR639="Emissions positive",-1,1)</f>
        <v>-53188.40579708376</v>
      </c>
      <c r="CX639">
        <f>IFERROR($CW639/$CS639,"")</f>
        <v>-2.8779885602454827</v>
      </c>
      <c r="CY639">
        <f>IFERROR($CW639/$CS639,"")</f>
        <v>-2.8779885602454827</v>
      </c>
      <c r="CZ639">
        <f>IFERROR($CW639/$CT639,"")</f>
        <v>-2.8779885602454827</v>
      </c>
      <c r="DA639" s="2">
        <f>IFERROR((CV639-CU639)/ABS(CU639),"")</f>
        <v>-9.302325581392254E-3</v>
      </c>
      <c r="DB639" s="1" t="s">
        <v>1074</v>
      </c>
      <c r="DC639" t="str">
        <f>IF(OR($DB639="prd",$DB639="std",$DB639="cit"),"loc",IF(OR($DB639="eur",$DB639="reg",$DB639="coy"),"reg",$DB639))</f>
        <v>reg</v>
      </c>
      <c r="DD639" t="s">
        <v>444</v>
      </c>
      <c r="DG639">
        <v>100</v>
      </c>
      <c r="DH639" t="str">
        <f>IF(DG639=0,"0",IF(AND(DG639&gt;=1,DG639&lt;=30),"1-30",IF(AND(DG639&gt;30,DG639&lt;=70),"31-70",IF(AND(DG639&gt;70,DG639&lt;=100),"71-100",IF(DG639&gt;100,"+100")))))</f>
        <v>71-100</v>
      </c>
      <c r="DI639">
        <v>0</v>
      </c>
      <c r="DJ639">
        <v>1</v>
      </c>
      <c r="DK639">
        <v>1</v>
      </c>
      <c r="DL639">
        <v>1</v>
      </c>
      <c r="DN639">
        <f>SUM(DI639:DL639)</f>
        <v>3</v>
      </c>
      <c r="DO639" t="str">
        <f>IF(DN639=1,INDEX($DI$7:$DL$7,MATCH(1,$DI639:$DL639,0)),"mixedProduct")</f>
        <v>mixedProduct</v>
      </c>
      <c r="DP639">
        <f>IF(DI639=1,DP$7,0)</f>
        <v>0</v>
      </c>
      <c r="DQ639" t="str">
        <f>IF(DJ639=1,DQ$7,0)</f>
        <v>Energy</v>
      </c>
      <c r="DR639" t="str">
        <f>IF(DK639=1,DR$7,0)</f>
        <v>Pulp/Paper</v>
      </c>
      <c r="DS639" t="str">
        <f>IF(DL639=1,DS$7,0)</f>
        <v>Timber</v>
      </c>
      <c r="DT639">
        <v>1</v>
      </c>
      <c r="DU639">
        <v>0</v>
      </c>
      <c r="DV639">
        <v>0</v>
      </c>
      <c r="DW639">
        <v>0</v>
      </c>
      <c r="DX639">
        <v>0</v>
      </c>
      <c r="DY639">
        <f>SUM(DT639:DU639)</f>
        <v>1</v>
      </c>
      <c r="DZ639" s="143" t="str">
        <f>IF(DT639=1,"self-calculated DF",IF(DU639=1,"external DF used","explicit C balance"))</f>
        <v>self-calculated DF</v>
      </c>
      <c r="EA639">
        <v>0</v>
      </c>
      <c r="EB639">
        <v>1</v>
      </c>
      <c r="EC639">
        <v>1</v>
      </c>
      <c r="ED639">
        <v>0</v>
      </c>
      <c r="EE639">
        <v>0</v>
      </c>
      <c r="EF639" s="143">
        <v>1</v>
      </c>
      <c r="EG639">
        <v>0</v>
      </c>
      <c r="EH639">
        <v>0</v>
      </c>
      <c r="EI639">
        <v>0</v>
      </c>
      <c r="EJ639">
        <v>0</v>
      </c>
      <c r="EK639">
        <v>1</v>
      </c>
      <c r="EL639">
        <v>1</v>
      </c>
      <c r="EM639">
        <v>0</v>
      </c>
      <c r="EN639" s="2">
        <v>0</v>
      </c>
      <c r="EP639" t="str">
        <f>IF(AND(AND(AND(OR($EC639=1,$EB639=1),OR($EH639=1,$EF639=1)),SUM($EA639:$EE639,$EK639)&gt;=3),SUM($EF639:$EJ639)&gt;=2),"Whole sector approach","")</f>
        <v/>
      </c>
      <c r="EQ639" t="str">
        <f>IF(AND(AND(OR($EC639=1,$EB639=1),AND($EH639=0,$EF639=0)),SUM($EA639:$EE639,$EK639)&gt;=4),"Ecosystem approach","")</f>
        <v/>
      </c>
      <c r="ER639" s="2" t="str">
        <f>IF(AND(AND(AND($EC639=0,$EB639=0),OR($EH639=1,$EF639=1)),SUM($EG639:$EJ639)&gt;=2),"Technology approach","")</f>
        <v/>
      </c>
      <c r="ES639" t="str">
        <f>IF(AND($EC639+$EB639+$EE639+$EA639+$ED639+$EG639=0,$N639="included"),"C neutral forest and HWP assumption","")</f>
        <v/>
      </c>
      <c r="ET639" t="str">
        <f>IF(AND(AND(AND(AND($EC639=1,$EB639+$EA639+$EG639&gt;=1),$EF639=1),$EH639+$EI639+$ED639+$EE639&gt;=2),$N639="included"),"All C pools assumption","")</f>
        <v/>
      </c>
      <c r="EU639" t="str">
        <f>IF(AND($ED639+$EE639+$EI639+$EH639+$EF639=0,$N639="included"),"In-situ only assumption","")</f>
        <v/>
      </c>
      <c r="EY639" t="str">
        <f>IF(ISNUMBER(BW639),IF(ABS(BW639-[2]QC_indicators!$B$2)&gt;3*[2]QC_indicators!$C$2,"C ratio",IF(ISNUMBER(CA639),IF(ABS(CA639-[2]QC_indicators!$B$1)&gt;3*[2]QC_indicators!$C$1,"DF","no"))),IF(ISNUMBER(CA639),IF(ABS(CA639-[2]QC_indicators!$B$1)&gt;3*[2]QC_indicators!$C$1,"DF","no")))</f>
        <v>no</v>
      </c>
      <c r="EZ639" t="s">
        <v>286</v>
      </c>
      <c r="FA639" t="str">
        <f>IF(LEN($CY639)=0,"",IF(AND($CY639&lt;(-0.05),$ES639="C neutral forest and HWP assumption"),"Cneutral paradox",IF(AND($CY639&gt;0.05,$EU639="In-situ only assumption"),"In-situ only paradox","")))</f>
        <v/>
      </c>
      <c r="FD639" s="260" t="s">
        <v>2768</v>
      </c>
    </row>
    <row r="640" spans="1:160" ht="15" customHeight="1">
      <c r="A640" s="1" t="s">
        <v>1079</v>
      </c>
      <c r="B640" t="s">
        <v>1080</v>
      </c>
      <c r="C640" t="s">
        <v>1081</v>
      </c>
      <c r="D640" t="s">
        <v>1082</v>
      </c>
      <c r="E640" t="s">
        <v>1083</v>
      </c>
      <c r="F640" t="s">
        <v>1084</v>
      </c>
      <c r="G640" t="s">
        <v>1085</v>
      </c>
      <c r="I640">
        <v>2006</v>
      </c>
      <c r="K640" t="s">
        <v>1086</v>
      </c>
      <c r="M640" t="str">
        <f>LEFT($D640,FIND(",",$D640)-1)&amp;"_"&amp;I640&amp;L640</f>
        <v>Backeus_2006</v>
      </c>
      <c r="N640" t="s">
        <v>222</v>
      </c>
      <c r="O640" s="140" t="s">
        <v>274</v>
      </c>
      <c r="Q640" t="s">
        <v>224</v>
      </c>
      <c r="R640" s="251" t="s">
        <v>223</v>
      </c>
      <c r="S640" s="259" t="s">
        <v>2767</v>
      </c>
      <c r="T640" t="s">
        <v>1087</v>
      </c>
      <c r="U640" t="s">
        <v>1088</v>
      </c>
      <c r="V640" s="253">
        <v>0</v>
      </c>
      <c r="W640" s="253">
        <v>0</v>
      </c>
      <c r="X640">
        <v>0</v>
      </c>
      <c r="Y640">
        <v>0</v>
      </c>
      <c r="Z640">
        <v>0</v>
      </c>
      <c r="AA640">
        <v>1</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1</v>
      </c>
      <c r="AY640">
        <v>0</v>
      </c>
      <c r="AZ640" s="141">
        <f>COUNTIF(X640:AY640,"&lt;&gt;0")</f>
        <v>2</v>
      </c>
      <c r="BA640" s="141">
        <f>COUNTIF(X640:AN640,"&lt;&gt;0")</f>
        <v>1</v>
      </c>
      <c r="BB640">
        <f>COUNTIF(X640:AE640,"&lt;&gt;0")</f>
        <v>1</v>
      </c>
      <c r="BC640">
        <f>COUNTIF(AF640:AK640,"&lt;&gt;0")</f>
        <v>0</v>
      </c>
      <c r="BD640">
        <f>COUNTIF(AL640:AN640,"&lt;&gt;0")</f>
        <v>0</v>
      </c>
      <c r="BE640">
        <f>COUNTIF(AU640:AY640,"&lt;&gt;0")</f>
        <v>1</v>
      </c>
      <c r="BF640">
        <f>COUNTIF(AO640:AT640,"&lt;&gt;0")</f>
        <v>0</v>
      </c>
      <c r="BG640" t="str">
        <f t="array" ref="BG640">IF(BA640=1,INDEX($X$7:$AN$7,MATCH(TRUE,INDEX($X640:$AY640&lt;&gt;0,),0)),IF(BA640=0,INDEX($AO$7:$AY$7,MATCH(1,$AO640:$AY640,0)),IF(BH640="Multiple strategies","mixed drivers",IF(BH640="Supply chain","multiple supply","multiple silviculture"))))</f>
        <v xml:space="preserve">cutting intensity </v>
      </c>
      <c r="BH640" s="2" t="str" cm="1">
        <f t="array" ref="BH640">IF(COUNTIF(BB640:BD640,"&lt;&gt;0")=1,INDEX($X$4:$AY$4,MATCH(TRUE,INDEX($X640:$AY640&lt;&gt;0,),0)),IF(COUNTIF(BB640:BD640,"&lt;&gt;0")=0,INDEX($AO$4:$AY$4,MATCH(1,$AO640:$AY640,0)),"Multiple strategies"))</f>
        <v>Silviculture for removals</v>
      </c>
      <c r="BI640" s="1" t="s">
        <v>229</v>
      </c>
      <c r="BJ640" t="s">
        <v>229</v>
      </c>
      <c r="BK640" s="260" t="s">
        <v>687</v>
      </c>
      <c r="BL640" t="s">
        <v>1089</v>
      </c>
      <c r="BM640">
        <v>5.5978179484354129</v>
      </c>
      <c r="BN640">
        <v>5.6162990524021872</v>
      </c>
      <c r="BO640">
        <f>BN640/BM640</f>
        <v>1.0033014835668137</v>
      </c>
      <c r="BP640">
        <f>BN640-BM640</f>
        <v>1.848110396677427E-2</v>
      </c>
      <c r="BQ640" s="143">
        <f>BP640*10^6</f>
        <v>18481.10396677427</v>
      </c>
      <c r="BR640" s="143" t="s">
        <v>232</v>
      </c>
      <c r="BS640" s="143" t="s">
        <v>767</v>
      </c>
      <c r="BT640" s="152" t="s">
        <v>1090</v>
      </c>
      <c r="BU640" s="152">
        <v>1.48823529411764</v>
      </c>
      <c r="BV640" s="152">
        <v>1.47058823529411</v>
      </c>
      <c r="BW640" s="144">
        <f>IFERROR(BV640/BU640,"")</f>
        <v>0.98814229249011809</v>
      </c>
      <c r="BX640">
        <f>BV640-BU640</f>
        <v>-1.7647058823530015E-2</v>
      </c>
      <c r="BZ640">
        <f>BX640*10^6*C_to_CO2</f>
        <v>-64764.705882355156</v>
      </c>
      <c r="CA640">
        <f>IFERROR(BZ640/BQ640,"")</f>
        <v>-3.5043743057119614</v>
      </c>
      <c r="CB640">
        <v>0</v>
      </c>
      <c r="CC640">
        <v>0</v>
      </c>
      <c r="CD640">
        <v>0</v>
      </c>
      <c r="CE640">
        <v>0</v>
      </c>
      <c r="CF640">
        <v>0</v>
      </c>
      <c r="CG640">
        <v>0</v>
      </c>
      <c r="CH640">
        <v>0</v>
      </c>
      <c r="CI640">
        <v>0</v>
      </c>
      <c r="CJ640">
        <v>0</v>
      </c>
      <c r="CK640">
        <v>0</v>
      </c>
      <c r="CL640">
        <v>0</v>
      </c>
      <c r="CM640">
        <v>0</v>
      </c>
      <c r="CN640">
        <v>0</v>
      </c>
      <c r="CO640">
        <v>0</v>
      </c>
      <c r="CP640" t="str">
        <f>IF($BN640&lt;$BM640,"refNeedCorrection","refOK")</f>
        <v>refOK</v>
      </c>
      <c r="CQ640">
        <f>IF($CP640="refOK",$BM640,$BN640)</f>
        <v>5.5978179484354129</v>
      </c>
      <c r="CR640">
        <f>IF($CP640="refOK",$BN640,$BM640)</f>
        <v>5.6162990524021872</v>
      </c>
      <c r="CS640">
        <f>IF($CP640="refOK",$BQ640,-$BQ640)</f>
        <v>18481.10396677427</v>
      </c>
      <c r="CT640">
        <f>IF(BI640="Roundwood",$CS640/2,$CS640)</f>
        <v>18481.10396677427</v>
      </c>
      <c r="CU640">
        <f>IF($CP640="refOK",$BU640,$BV640)*IF($BR640="Emissions positive",-1,1)</f>
        <v>1.48823529411764</v>
      </c>
      <c r="CV640">
        <f>IF($CP640="refOK",$BV640,$BU640)*IF($BR640="Emissions positive",-1,1)</f>
        <v>1.47058823529411</v>
      </c>
      <c r="CW640">
        <f>IF($CP640="refNeedCorrection",-BZ640,BZ640)*IF($BR640="Emissions positive",-1,1)</f>
        <v>-64764.705882355156</v>
      </c>
      <c r="CX640">
        <f>IFERROR($CW640/$CS640,"")</f>
        <v>-3.5043743057119614</v>
      </c>
      <c r="CY640">
        <f>IFERROR($CW640/$CS640,"")</f>
        <v>-3.5043743057119614</v>
      </c>
      <c r="CZ640">
        <f>IFERROR($CW640/$CT640,"")</f>
        <v>-3.5043743057119614</v>
      </c>
      <c r="DA640" s="2">
        <f>IFERROR((CV640-CU640)/ABS(CU640),"")</f>
        <v>-1.1857707509881885E-2</v>
      </c>
      <c r="DB640" s="1" t="s">
        <v>1074</v>
      </c>
      <c r="DC640" t="str">
        <f>IF(OR($DB640="prd",$DB640="std",$DB640="cit"),"loc",IF(OR($DB640="eur",$DB640="reg",$DB640="coy"),"reg",$DB640))</f>
        <v>reg</v>
      </c>
      <c r="DD640" t="s">
        <v>444</v>
      </c>
      <c r="DG640">
        <v>100</v>
      </c>
      <c r="DH640" t="str">
        <f>IF(DG640=0,"0",IF(AND(DG640&gt;=1,DG640&lt;=30),"1-30",IF(AND(DG640&gt;30,DG640&lt;=70),"31-70",IF(AND(DG640&gt;70,DG640&lt;=100),"71-100",IF(DG640&gt;100,"+100")))))</f>
        <v>71-100</v>
      </c>
      <c r="DI640">
        <v>0</v>
      </c>
      <c r="DJ640">
        <v>1</v>
      </c>
      <c r="DK640">
        <v>1</v>
      </c>
      <c r="DL640">
        <v>1</v>
      </c>
      <c r="DN640">
        <f>SUM(DI640:DL640)</f>
        <v>3</v>
      </c>
      <c r="DO640" t="str">
        <f>IF(DN640=1,INDEX($DI$7:$DL$7,MATCH(1,$DI640:$DL640,0)),"mixedProduct")</f>
        <v>mixedProduct</v>
      </c>
      <c r="DP640">
        <f>IF(DI640=1,DP$7,0)</f>
        <v>0</v>
      </c>
      <c r="DQ640" t="str">
        <f>IF(DJ640=1,DQ$7,0)</f>
        <v>Energy</v>
      </c>
      <c r="DR640" t="str">
        <f>IF(DK640=1,DR$7,0)</f>
        <v>Pulp/Paper</v>
      </c>
      <c r="DS640" t="str">
        <f>IF(DL640=1,DS$7,0)</f>
        <v>Timber</v>
      </c>
      <c r="DT640">
        <v>0</v>
      </c>
      <c r="DU640">
        <v>0</v>
      </c>
      <c r="DV640">
        <v>0</v>
      </c>
      <c r="DW640">
        <v>0</v>
      </c>
      <c r="DX640">
        <v>0</v>
      </c>
      <c r="DY640">
        <f>SUM(DT640:DU640)</f>
        <v>0</v>
      </c>
      <c r="DZ640" s="143" t="str">
        <f>IF(DT640=1,"self-calculated DF",IF(DU640=1,"external DF used","explicit C balance"))</f>
        <v>explicit C balance</v>
      </c>
      <c r="EA640">
        <v>0</v>
      </c>
      <c r="EB640">
        <v>1</v>
      </c>
      <c r="EC640">
        <v>1</v>
      </c>
      <c r="ED640">
        <v>0</v>
      </c>
      <c r="EE640">
        <v>0</v>
      </c>
      <c r="EF640" s="143">
        <v>0</v>
      </c>
      <c r="EG640">
        <v>0</v>
      </c>
      <c r="EH640">
        <v>0</v>
      </c>
      <c r="EI640">
        <v>0</v>
      </c>
      <c r="EJ640">
        <v>0</v>
      </c>
      <c r="EK640">
        <v>1</v>
      </c>
      <c r="EL640">
        <v>1</v>
      </c>
      <c r="EM640">
        <v>0</v>
      </c>
      <c r="EN640" s="2">
        <v>0</v>
      </c>
      <c r="EP640" t="str">
        <f>IF(AND(AND(AND(OR($EC640=1,$EB640=1),OR($EH640=1,$EF640=1)),SUM($EA640:$EE640,$EK640)&gt;=3),SUM($EF640:$EJ640)&gt;=2),"Whole sector approach","")</f>
        <v/>
      </c>
      <c r="EQ640" t="str">
        <f>IF(AND(AND(OR($EC640=1,$EB640=1),AND($EH640=0,$EF640=0)),SUM($EA640:$EE640,$EK640)&gt;=4),"Ecosystem approach","")</f>
        <v/>
      </c>
      <c r="ER640" s="2" t="str">
        <f>IF(AND(AND(AND($EC640=0,$EB640=0),OR($EH640=1,$EF640=1)),SUM($EG640:$EJ640)&gt;=2),"Technology approach","")</f>
        <v/>
      </c>
      <c r="ES640" t="str">
        <f>IF(AND($EC640+$EB640+$EE640+$EA640+$ED640+$EG640=0,$N640="included"),"C neutral forest and HWP assumption","")</f>
        <v/>
      </c>
      <c r="ET640" t="str">
        <f>IF(AND(AND(AND(AND($EC640=1,$EB640+$EA640+$EG640&gt;=1),$EF640=1),$EH640+$EI640+$ED640+$EE640&gt;=2),$N640="included"),"All C pools assumption","")</f>
        <v/>
      </c>
      <c r="EU640" t="str">
        <f>IF(AND($ED640+$EE640+$EI640+$EH640+$EF640=0,$N640="included"),"In-situ only assumption","")</f>
        <v>In-situ only assumption</v>
      </c>
      <c r="EY640" t="str">
        <f>IF(ISNUMBER(BW640),IF(ABS(BW640-[2]QC_indicators!$B$2)&gt;3*[2]QC_indicators!$C$2,"C ratio",IF(ISNUMBER(CA640),IF(ABS(CA640-[2]QC_indicators!$B$1)&gt;3*[2]QC_indicators!$C$1,"DF","no"))),IF(ISNUMBER(CA640),IF(ABS(CA640-[2]QC_indicators!$B$1)&gt;3*[2]QC_indicators!$C$1,"DF","no")))</f>
        <v>no</v>
      </c>
      <c r="EZ640" t="s">
        <v>286</v>
      </c>
      <c r="FA640" t="str">
        <f>IF(LEN($CY640)=0,"",IF(AND($CY640&lt;(-0.05),$ES640="C neutral forest and HWP assumption"),"Cneutral paradox",IF(AND($CY640&gt;0.05,$EU640="In-situ only assumption"),"In-situ only paradox","")))</f>
        <v/>
      </c>
      <c r="FD640" s="260" t="s">
        <v>2768</v>
      </c>
    </row>
    <row r="641" spans="4:160" ht="15" hidden="1" customHeight="1">
      <c r="D641" t="s">
        <v>743</v>
      </c>
      <c r="E641" t="s">
        <v>744</v>
      </c>
      <c r="G641" t="s">
        <v>745</v>
      </c>
      <c r="I641">
        <v>2006</v>
      </c>
      <c r="K641" s="289" t="s">
        <v>746</v>
      </c>
      <c r="M641" t="str">
        <f>LEFT($D641,FIND(",",$D641)-1)&amp;"_"&amp;I641&amp;L641</f>
        <v>Gustavsson_2006</v>
      </c>
      <c r="N641" t="s">
        <v>222</v>
      </c>
      <c r="O641" t="s">
        <v>223</v>
      </c>
      <c r="Q641" s="317" t="s">
        <v>256</v>
      </c>
      <c r="R641" s="318" t="s">
        <v>1029</v>
      </c>
      <c r="S641" s="320" t="s">
        <v>4975</v>
      </c>
      <c r="T641" t="s">
        <v>739</v>
      </c>
      <c r="U641" s="143" t="s">
        <v>740</v>
      </c>
      <c r="V641">
        <v>0</v>
      </c>
      <c r="W641">
        <v>0</v>
      </c>
      <c r="X641">
        <v>0</v>
      </c>
      <c r="Y641">
        <v>2</v>
      </c>
      <c r="Z641">
        <v>0</v>
      </c>
      <c r="AA641">
        <v>0</v>
      </c>
      <c r="AB641">
        <v>0</v>
      </c>
      <c r="AC641">
        <v>0</v>
      </c>
      <c r="AD641">
        <v>0</v>
      </c>
      <c r="AE641">
        <v>0</v>
      </c>
      <c r="AF641">
        <v>0</v>
      </c>
      <c r="AG641">
        <v>0</v>
      </c>
      <c r="AH641">
        <v>0</v>
      </c>
      <c r="AI641">
        <v>0</v>
      </c>
      <c r="AJ641">
        <v>0</v>
      </c>
      <c r="AK641">
        <v>0</v>
      </c>
      <c r="AL641">
        <v>0</v>
      </c>
      <c r="AM641">
        <v>1</v>
      </c>
      <c r="AN641">
        <v>0</v>
      </c>
      <c r="AO641">
        <v>0</v>
      </c>
      <c r="AP641">
        <v>0</v>
      </c>
      <c r="AQ641">
        <v>0</v>
      </c>
      <c r="AR641">
        <v>0</v>
      </c>
      <c r="AS641">
        <v>0</v>
      </c>
      <c r="AT641">
        <v>0</v>
      </c>
      <c r="AU641">
        <v>0</v>
      </c>
      <c r="AV641">
        <v>0</v>
      </c>
      <c r="AW641">
        <v>0</v>
      </c>
      <c r="AX641">
        <v>0</v>
      </c>
      <c r="AY641">
        <v>0</v>
      </c>
      <c r="AZ641" s="141">
        <f>COUNTIF(X641:AY641,"&lt;&gt;0")</f>
        <v>2</v>
      </c>
      <c r="BA641" s="141">
        <f>COUNTIF(X641:AN641,"&lt;&gt;0")</f>
        <v>2</v>
      </c>
      <c r="BB641">
        <f>COUNTIF(X641:AE641,"&lt;&gt;0")</f>
        <v>1</v>
      </c>
      <c r="BC641">
        <f>COUNTIF(AF641:AK641,"&lt;&gt;0")</f>
        <v>0</v>
      </c>
      <c r="BD641">
        <f>COUNTIF(AL641:AN641,"&lt;&gt;0")</f>
        <v>1</v>
      </c>
      <c r="BE641">
        <f>COUNTIF(AU641:AY641,"&lt;&gt;0")</f>
        <v>0</v>
      </c>
      <c r="BF641">
        <f>COUNTIF(AO641:AT641,"&lt;&gt;0")</f>
        <v>0</v>
      </c>
      <c r="BG641" t="str" cm="1">
        <f t="array" ref="BG641">IF(BA641=1,INDEX($X$7:$AN$7,MATCH(TRUE,INDEX($X641:$AY641&lt;&gt;0,),0)),IF(BA641=0,INDEX($AO$7:$AY$7,MATCH(1,$AO641:$AY641,0)),IF(BH641="Multiple strategies","mixed drivers",IF(BH641="Supply chain","multiple supply","multiple silviculture"))))</f>
        <v>mixed drivers</v>
      </c>
      <c r="BH641" s="2" t="str" cm="1">
        <f t="array" ref="BH641">IF(COUNTIF(BB641:BD641,"&lt;&gt;0")=1,INDEX($X$4:$AY$4,MATCH(TRUE,INDEX($X641:$AY641&lt;&gt;0,),0)),IF(COUNTIF(BB641:BD641,"&lt;&gt;0")=0,INDEX($AO$4:$AY$4,MATCH(1,$AO641:$AY641,0)),"Multiple strategies"))</f>
        <v>Multiple strategies</v>
      </c>
      <c r="BI641" s="142" t="s">
        <v>229</v>
      </c>
      <c r="BJ641" t="s">
        <v>393</v>
      </c>
      <c r="BK641" s="317" t="s">
        <v>747</v>
      </c>
      <c r="BL641" s="143" t="s">
        <v>748</v>
      </c>
      <c r="BM641">
        <v>70</v>
      </c>
      <c r="BN641" s="143">
        <v>98</v>
      </c>
      <c r="BO641">
        <f>BN641/BM641</f>
        <v>1.4</v>
      </c>
      <c r="BP641">
        <f>BN641-BM641</f>
        <v>28</v>
      </c>
      <c r="BQ641" s="143">
        <f>BP641*t_to_m3</f>
        <v>57.142857142857146</v>
      </c>
      <c r="BR641" s="317" t="s">
        <v>232</v>
      </c>
      <c r="BS641" s="155" t="s">
        <v>749</v>
      </c>
      <c r="BT641" t="s">
        <v>442</v>
      </c>
      <c r="BU641" s="143">
        <f>-120.5</f>
        <v>-120.5</v>
      </c>
      <c r="BV641" s="151">
        <v>-103</v>
      </c>
      <c r="BW641" s="144">
        <f>IFERROR(BV641/BU641,"")</f>
        <v>0.85477178423236511</v>
      </c>
      <c r="BX641">
        <f>BV641-BU641</f>
        <v>17.5</v>
      </c>
      <c r="BZ641">
        <f>BX641*C_to_CO2</f>
        <v>64.224999999999994</v>
      </c>
      <c r="CA641">
        <f>IFERROR(BZ641/BQ641,"")</f>
        <v>1.1239374999999998</v>
      </c>
      <c r="CB641" s="143">
        <v>0</v>
      </c>
      <c r="CC641" s="143">
        <v>0</v>
      </c>
      <c r="CD641" s="143">
        <v>0</v>
      </c>
      <c r="CE641" s="143">
        <v>0</v>
      </c>
      <c r="CF641" s="143">
        <v>0</v>
      </c>
      <c r="CG641" s="143">
        <v>0</v>
      </c>
      <c r="CH641" s="143">
        <v>0</v>
      </c>
      <c r="CI641" s="143">
        <v>0</v>
      </c>
      <c r="CJ641" s="143">
        <v>0</v>
      </c>
      <c r="CK641" s="143">
        <v>0</v>
      </c>
      <c r="CL641" s="143">
        <v>0</v>
      </c>
      <c r="CM641" s="143">
        <v>0</v>
      </c>
      <c r="CN641" s="143">
        <v>0</v>
      </c>
      <c r="CO641">
        <v>0</v>
      </c>
      <c r="CP641" t="str">
        <f>IF($BN641&lt;$BM641,"refNeedCorrection","refOK")</f>
        <v>refOK</v>
      </c>
      <c r="CQ641">
        <f>IF($CP641="refOK",$BM641,$BN641)</f>
        <v>70</v>
      </c>
      <c r="CR641">
        <f>IF($CP641="refOK",$BN641,$BM641)</f>
        <v>98</v>
      </c>
      <c r="CS641">
        <f>IF($CP641="refOK",$BQ641,-$BQ641)</f>
        <v>57.142857142857146</v>
      </c>
      <c r="CT641">
        <f>IF(BI641="Roundwood",$CS641/2,$CS641)</f>
        <v>57.142857142857146</v>
      </c>
      <c r="CU641">
        <f>IF($CP641="refOK",$BU641,$BV641)*IF($BR641="Emissions positive",-1,1)</f>
        <v>-120.5</v>
      </c>
      <c r="CV641">
        <f>IF($CP641="refOK",$BV641,$BU641)*IF($BR641="Emissions positive",-1,1)</f>
        <v>-103</v>
      </c>
      <c r="CW641">
        <f>IF($CP641="refNeedCorrection",-BZ641,BZ641)*IF($BR641="Emissions positive",-1,1)</f>
        <v>64.224999999999994</v>
      </c>
      <c r="CX641">
        <f>IFERROR($CW641/$CS641,"")</f>
        <v>1.1239374999999998</v>
      </c>
      <c r="CY641">
        <f>IFERROR($CW641/$CS641,"")</f>
        <v>1.1239374999999998</v>
      </c>
      <c r="CZ641">
        <f>IFERROR($CW641/$CT641,"")</f>
        <v>1.1239374999999998</v>
      </c>
      <c r="DA641" s="2">
        <f>IFERROR((CV641-CU641)/ABS(CU641),"")</f>
        <v>0.14522821576763487</v>
      </c>
      <c r="DB641" s="1" t="s">
        <v>263</v>
      </c>
      <c r="DC641" s="317" t="str">
        <f>IF(OR($DB641="prd",$DB641="std",$DB641="cit"),"loc",IF(OR($DB641="eur",$DB641="reg",$DB641="coy"),"reg",$DB641))</f>
        <v>loc</v>
      </c>
      <c r="DD641" t="s">
        <v>444</v>
      </c>
      <c r="DF641" s="143"/>
      <c r="DG641" s="143">
        <v>0</v>
      </c>
      <c r="DH641" t="str">
        <f>IF(DG641=0,"0",IF(AND(DG641&gt;=1,DG641&lt;=30),"1-30",IF(AND(DG641&gt;30,DG641&lt;=70),"31-70",IF(AND(DG641&gt;70,DG641&lt;=100),"71-100",IF(DG641&gt;100,"+100")))))</f>
        <v>0</v>
      </c>
      <c r="DI641">
        <v>0</v>
      </c>
      <c r="DJ641">
        <v>0</v>
      </c>
      <c r="DK641">
        <v>0</v>
      </c>
      <c r="DL641">
        <v>1</v>
      </c>
      <c r="DN641">
        <f>SUM(DI641:DL641)</f>
        <v>1</v>
      </c>
      <c r="DO641" t="str">
        <f>IF(DN641=1,INDEX($DI$7:$DL$7,MATCH(1,$DI641:$DL641,0)),"mixedProduct")</f>
        <v>TimberInput</v>
      </c>
      <c r="DP641">
        <f>IF(DI641=1,DP$7,0)</f>
        <v>0</v>
      </c>
      <c r="DQ641">
        <f>IF(DJ641=1,DQ$7,0)</f>
        <v>0</v>
      </c>
      <c r="DR641">
        <f>IF(DK641=1,DR$7,0)</f>
        <v>0</v>
      </c>
      <c r="DS641" t="str">
        <f>IF(DL641=1,DS$7,0)</f>
        <v>Timber</v>
      </c>
      <c r="DT641">
        <v>1</v>
      </c>
      <c r="DU641" s="143">
        <v>0</v>
      </c>
      <c r="DV641" s="143">
        <v>0</v>
      </c>
      <c r="DW641">
        <v>0</v>
      </c>
      <c r="DX641" s="143">
        <v>0</v>
      </c>
      <c r="DY641">
        <f>SUM(DT641:DU641)</f>
        <v>1</v>
      </c>
      <c r="DZ641" s="143" t="str">
        <f>IF(DT641=1,"self-calculated DF",IF(DU641=1,"external DF used","explicit C balance"))</f>
        <v>self-calculated DF</v>
      </c>
      <c r="EA641" s="143">
        <v>0</v>
      </c>
      <c r="EB641" s="143">
        <v>1</v>
      </c>
      <c r="EC641" s="143">
        <v>1</v>
      </c>
      <c r="ED641" s="143">
        <v>1</v>
      </c>
      <c r="EE641">
        <v>0</v>
      </c>
      <c r="EF641" s="143">
        <v>1</v>
      </c>
      <c r="EG641" s="143">
        <v>1</v>
      </c>
      <c r="EH641" s="143">
        <v>1</v>
      </c>
      <c r="EI641" s="143">
        <v>0</v>
      </c>
      <c r="EJ641">
        <v>0</v>
      </c>
      <c r="EK641">
        <v>0</v>
      </c>
      <c r="EL641" s="143">
        <v>0</v>
      </c>
      <c r="EM641" s="143">
        <v>0</v>
      </c>
      <c r="EN641" s="2">
        <v>0</v>
      </c>
      <c r="EP641" t="str">
        <f>IF(AND(AND(AND(OR($EC641=1,$EB641=1),OR($EH641=1,$EF641=1)),SUM($EA641:$EE641,$EK641)&gt;=3),SUM($EF641:$EJ641)&gt;=2),"Whole sector approach","")</f>
        <v>Whole sector approach</v>
      </c>
      <c r="EQ641" t="str">
        <f>IF(AND(AND(OR($EC641=1,$EB641=1),AND($EH641=0,$EF641=0)),SUM($EA641:$EE641,$EK641)&gt;=3),"Ecosystem approach","")</f>
        <v/>
      </c>
      <c r="ER641" s="2" t="str">
        <f>IF(AND(AND(AND($EC641=0,$EB641=0),OR($EH641=1,$EF641=1)),SUM($EG641:$EJ641)&gt;=2),"Technology approach","")</f>
        <v/>
      </c>
      <c r="ES641" t="str">
        <f>IF(AND($EC641+$EB641+$EE641+$EA641+$ED641+$EG641=0,$N641="included"),"C neutral forest and HWP assumption","")</f>
        <v/>
      </c>
      <c r="ET641" t="str">
        <f>IF(AND(AND(AND(AND($EC641=1,$EB641+$EA641+$EG641&gt;=1),$EF641=1),$EH641+$EI641+$ED641+$EE641&gt;=2),$N641="included"),"All C pools assumption","")</f>
        <v>All C pools assumption</v>
      </c>
      <c r="EU641" t="str">
        <f>IF(AND($ED641+$EE641+$EI641+$EH641+$EF641=0,$N641="included"),"In-situ only assumption","")</f>
        <v/>
      </c>
      <c r="EV641" s="328" t="s">
        <v>5065</v>
      </c>
      <c r="EY641" t="str">
        <f>IF(ISNUMBER(BW641),IF(ABS(BW641-[4]QC_indicators!$B$2)&gt;3*[4]QC_indicators!$C$2,"C ratio",IF(ISNUMBER(CA641),IF(ABS(CA641-[4]QC_indicators!$B$1)&gt;3*[4]QC_indicators!$C$1,"DF","no"))),IF(ISNUMBER(CA641),IF(ABS(CA641-[4]QC_indicators!$B$1)&gt;3*[4]QC_indicators!$C$1,"DF","no")))</f>
        <v>no</v>
      </c>
      <c r="FA641" t="str">
        <f>IF(LEN($CY641)=0,"",IF(AND($CY641&lt;(-0.05),$ES641="C neutral forest and HWP assumption"),"Cneutral paradox",IF(AND($CY641&gt;0.05,$EU641="In-situ only assumption"),"In-situ only paradox","")))</f>
        <v/>
      </c>
      <c r="FB641" s="319" t="s">
        <v>349</v>
      </c>
      <c r="FD641" t="s">
        <v>4972</v>
      </c>
    </row>
    <row r="642" spans="4:160" ht="15" hidden="1" customHeight="1">
      <c r="D642" t="s">
        <v>743</v>
      </c>
      <c r="E642" t="s">
        <v>744</v>
      </c>
      <c r="G642" t="s">
        <v>745</v>
      </c>
      <c r="I642">
        <v>2006</v>
      </c>
      <c r="K642" s="289" t="s">
        <v>746</v>
      </c>
      <c r="M642" t="str">
        <f>LEFT($D642,FIND(",",$D642)-1)&amp;"_"&amp;I642&amp;L642</f>
        <v>Gustavsson_2006</v>
      </c>
      <c r="N642" t="s">
        <v>222</v>
      </c>
      <c r="O642" t="s">
        <v>223</v>
      </c>
      <c r="Q642" s="317" t="s">
        <v>256</v>
      </c>
      <c r="R642" s="318" t="s">
        <v>1029</v>
      </c>
      <c r="S642" s="320" t="s">
        <v>4977</v>
      </c>
      <c r="T642" t="s">
        <v>739</v>
      </c>
      <c r="U642" s="143" t="s">
        <v>740</v>
      </c>
      <c r="V642">
        <v>0</v>
      </c>
      <c r="W642">
        <v>0</v>
      </c>
      <c r="X642">
        <v>0</v>
      </c>
      <c r="Y642">
        <v>2</v>
      </c>
      <c r="Z642">
        <v>0</v>
      </c>
      <c r="AA642">
        <v>0</v>
      </c>
      <c r="AB642">
        <v>0</v>
      </c>
      <c r="AC642">
        <v>0</v>
      </c>
      <c r="AD642">
        <v>0</v>
      </c>
      <c r="AE642">
        <v>0</v>
      </c>
      <c r="AF642">
        <v>0</v>
      </c>
      <c r="AG642">
        <v>0</v>
      </c>
      <c r="AH642">
        <v>0</v>
      </c>
      <c r="AI642">
        <v>0</v>
      </c>
      <c r="AJ642">
        <v>0</v>
      </c>
      <c r="AK642">
        <v>0</v>
      </c>
      <c r="AL642">
        <v>0</v>
      </c>
      <c r="AM642">
        <v>1</v>
      </c>
      <c r="AN642">
        <v>0</v>
      </c>
      <c r="AO642">
        <v>0</v>
      </c>
      <c r="AP642">
        <v>0</v>
      </c>
      <c r="AQ642">
        <v>0</v>
      </c>
      <c r="AR642">
        <v>0</v>
      </c>
      <c r="AS642">
        <v>0</v>
      </c>
      <c r="AT642">
        <v>0</v>
      </c>
      <c r="AU642">
        <v>0</v>
      </c>
      <c r="AV642">
        <v>0</v>
      </c>
      <c r="AW642">
        <v>0</v>
      </c>
      <c r="AX642">
        <v>0</v>
      </c>
      <c r="AY642">
        <v>0</v>
      </c>
      <c r="AZ642" s="141">
        <f>COUNTIF(X642:AY642,"&lt;&gt;0")</f>
        <v>2</v>
      </c>
      <c r="BA642" s="141">
        <f>COUNTIF(X642:AN642,"&lt;&gt;0")</f>
        <v>2</v>
      </c>
      <c r="BB642">
        <f>COUNTIF(X642:AE642,"&lt;&gt;0")</f>
        <v>1</v>
      </c>
      <c r="BC642">
        <f>COUNTIF(AF642:AK642,"&lt;&gt;0")</f>
        <v>0</v>
      </c>
      <c r="BD642">
        <f>COUNTIF(AL642:AN642,"&lt;&gt;0")</f>
        <v>1</v>
      </c>
      <c r="BE642">
        <f>COUNTIF(AU642:AY642,"&lt;&gt;0")</f>
        <v>0</v>
      </c>
      <c r="BF642">
        <f>COUNTIF(AO642:AT642,"&lt;&gt;0")</f>
        <v>0</v>
      </c>
      <c r="BG642" t="str" cm="1">
        <f t="array" ref="BG642">IF(BA642=1,INDEX($X$7:$AN$7,MATCH(TRUE,INDEX($X642:$AY642&lt;&gt;0,),0)),IF(BA642=0,INDEX($AO$7:$AY$7,MATCH(1,$AO642:$AY642,0)),IF(BH642="Multiple strategies","mixed drivers",IF(BH642="Supply chain","multiple supply","multiple silviculture"))))</f>
        <v>mixed drivers</v>
      </c>
      <c r="BH642" s="2" t="str" cm="1">
        <f t="array" ref="BH642">IF(COUNTIF(BB642:BD642,"&lt;&gt;0")=1,INDEX($X$4:$AY$4,MATCH(TRUE,INDEX($X642:$AY642&lt;&gt;0,),0)),IF(COUNTIF(BB642:BD642,"&lt;&gt;0")=0,INDEX($AO$4:$AY$4,MATCH(1,$AO642:$AY642,0)),"Multiple strategies"))</f>
        <v>Multiple strategies</v>
      </c>
      <c r="BI642" s="142" t="s">
        <v>229</v>
      </c>
      <c r="BJ642" t="s">
        <v>393</v>
      </c>
      <c r="BK642" s="317" t="s">
        <v>747</v>
      </c>
      <c r="BL642" s="143" t="s">
        <v>748</v>
      </c>
      <c r="BM642">
        <v>70</v>
      </c>
      <c r="BN642" s="143">
        <v>98</v>
      </c>
      <c r="BO642">
        <f>BN642/BM642</f>
        <v>1.4</v>
      </c>
      <c r="BP642">
        <f>BN642-BM642</f>
        <v>28</v>
      </c>
      <c r="BQ642" s="143">
        <f>BP642*t_to_m3</f>
        <v>57.142857142857146</v>
      </c>
      <c r="BR642" s="317" t="s">
        <v>232</v>
      </c>
      <c r="BS642" s="155" t="s">
        <v>749</v>
      </c>
      <c r="BT642" t="s">
        <v>442</v>
      </c>
      <c r="BU642" s="143">
        <f>-119.3</f>
        <v>-119.3</v>
      </c>
      <c r="BV642" s="151">
        <v>-115.1</v>
      </c>
      <c r="BW642" s="144">
        <f>IFERROR(BV642/BU642,"")</f>
        <v>0.96479463537300925</v>
      </c>
      <c r="BX642">
        <f>BV642-BU642</f>
        <v>4.2000000000000028</v>
      </c>
      <c r="BZ642">
        <f>BX642*C_to_CO2</f>
        <v>15.41400000000001</v>
      </c>
      <c r="CA642">
        <f>IFERROR(BZ642/BQ642,"")</f>
        <v>0.26974500000000018</v>
      </c>
      <c r="CB642" s="143">
        <v>0</v>
      </c>
      <c r="CC642" s="143">
        <v>0</v>
      </c>
      <c r="CD642" s="143">
        <v>0</v>
      </c>
      <c r="CE642" s="143">
        <v>0</v>
      </c>
      <c r="CF642" s="143">
        <v>0</v>
      </c>
      <c r="CG642" s="143">
        <v>0</v>
      </c>
      <c r="CH642" s="143">
        <v>0</v>
      </c>
      <c r="CI642" s="143">
        <v>0</v>
      </c>
      <c r="CJ642" s="143">
        <v>0</v>
      </c>
      <c r="CK642" s="143">
        <v>0</v>
      </c>
      <c r="CL642" s="143">
        <v>0</v>
      </c>
      <c r="CM642" s="143">
        <v>0</v>
      </c>
      <c r="CN642" s="143">
        <v>0</v>
      </c>
      <c r="CO642">
        <v>0</v>
      </c>
      <c r="CP642" t="str">
        <f>IF($BN642&lt;$BM642,"refNeedCorrection","refOK")</f>
        <v>refOK</v>
      </c>
      <c r="CQ642">
        <f>IF($CP642="refOK",$BM642,$BN642)</f>
        <v>70</v>
      </c>
      <c r="CR642">
        <f>IF($CP642="refOK",$BN642,$BM642)</f>
        <v>98</v>
      </c>
      <c r="CS642">
        <f>IF($CP642="refOK",$BQ642,-$BQ642)</f>
        <v>57.142857142857146</v>
      </c>
      <c r="CT642">
        <f>IF(BI642="Roundwood",$CS642/2,$CS642)</f>
        <v>57.142857142857146</v>
      </c>
      <c r="CU642">
        <f>IF($CP642="refOK",$BU642,$BV642)*IF($BR642="Emissions positive",-1,1)</f>
        <v>-119.3</v>
      </c>
      <c r="CV642">
        <f>IF($CP642="refOK",$BV642,$BU642)*IF($BR642="Emissions positive",-1,1)</f>
        <v>-115.1</v>
      </c>
      <c r="CW642">
        <f>IF($CP642="refNeedCorrection",-BZ642,BZ642)*IF($BR642="Emissions positive",-1,1)</f>
        <v>15.41400000000001</v>
      </c>
      <c r="CX642">
        <f>IFERROR($CW642/$CS642,"")</f>
        <v>0.26974500000000018</v>
      </c>
      <c r="CY642">
        <f>IFERROR($CW642/$CS642,"")</f>
        <v>0.26974500000000018</v>
      </c>
      <c r="CZ642">
        <f>IFERROR($CW642/$CT642,"")</f>
        <v>0.26974500000000018</v>
      </c>
      <c r="DA642" s="2">
        <f>IFERROR((CV642-CU642)/ABS(CU642),"")</f>
        <v>3.5205364626990802E-2</v>
      </c>
      <c r="DB642" s="1" t="s">
        <v>263</v>
      </c>
      <c r="DC642" s="317" t="str">
        <f>IF(OR($DB642="prd",$DB642="std",$DB642="cit"),"loc",IF(OR($DB642="eur",$DB642="reg",$DB642="coy"),"reg",$DB642))</f>
        <v>loc</v>
      </c>
      <c r="DD642" t="s">
        <v>444</v>
      </c>
      <c r="DF642" s="143"/>
      <c r="DG642" s="143">
        <v>0</v>
      </c>
      <c r="DH642" t="str">
        <f>IF(DG642=0,"0",IF(AND(DG642&gt;=1,DG642&lt;=30),"1-30",IF(AND(DG642&gt;30,DG642&lt;=70),"31-70",IF(AND(DG642&gt;70,DG642&lt;=100),"71-100",IF(DG642&gt;100,"+100")))))</f>
        <v>0</v>
      </c>
      <c r="DI642">
        <v>0</v>
      </c>
      <c r="DJ642">
        <v>0</v>
      </c>
      <c r="DK642">
        <v>0</v>
      </c>
      <c r="DL642">
        <v>1</v>
      </c>
      <c r="DN642">
        <f>SUM(DI642:DL642)</f>
        <v>1</v>
      </c>
      <c r="DO642" t="str">
        <f>IF(DN642=1,INDEX($DI$7:$DL$7,MATCH(1,$DI642:$DL642,0)),"mixedProduct")</f>
        <v>TimberInput</v>
      </c>
      <c r="DP642">
        <f>IF(DI642=1,DP$7,0)</f>
        <v>0</v>
      </c>
      <c r="DQ642">
        <f>IF(DJ642=1,DQ$7,0)</f>
        <v>0</v>
      </c>
      <c r="DR642">
        <f>IF(DK642=1,DR$7,0)</f>
        <v>0</v>
      </c>
      <c r="DS642" t="str">
        <f>IF(DL642=1,DS$7,0)</f>
        <v>Timber</v>
      </c>
      <c r="DT642">
        <v>1</v>
      </c>
      <c r="DU642" s="143">
        <v>0</v>
      </c>
      <c r="DV642" s="143">
        <v>0</v>
      </c>
      <c r="DW642">
        <v>0</v>
      </c>
      <c r="DX642" s="143">
        <v>0</v>
      </c>
      <c r="DY642">
        <f>SUM(DT642:DU642)</f>
        <v>1</v>
      </c>
      <c r="DZ642" s="143" t="str">
        <f>IF(DT642=1,"self-calculated DF",IF(DU642=1,"external DF used","explicit C balance"))</f>
        <v>self-calculated DF</v>
      </c>
      <c r="EA642" s="143">
        <v>0</v>
      </c>
      <c r="EB642" s="143">
        <v>1</v>
      </c>
      <c r="EC642" s="143">
        <v>1</v>
      </c>
      <c r="ED642" s="143">
        <v>1</v>
      </c>
      <c r="EE642">
        <v>0</v>
      </c>
      <c r="EF642" s="143">
        <v>1</v>
      </c>
      <c r="EG642" s="143">
        <v>1</v>
      </c>
      <c r="EH642" s="143">
        <v>1</v>
      </c>
      <c r="EI642" s="143">
        <v>0</v>
      </c>
      <c r="EJ642">
        <v>0</v>
      </c>
      <c r="EK642">
        <v>0</v>
      </c>
      <c r="EL642" s="143">
        <v>0</v>
      </c>
      <c r="EM642" s="143">
        <v>0</v>
      </c>
      <c r="EN642" s="2">
        <v>0</v>
      </c>
      <c r="EP642" t="str">
        <f>IF(AND(AND(AND(OR($EC642=1,$EB642=1),OR($EH642=1,$EF642=1)),SUM($EA642:$EE642,$EK642)&gt;=3),SUM($EF642:$EJ642)&gt;=2),"Whole sector approach","")</f>
        <v>Whole sector approach</v>
      </c>
      <c r="EQ642" t="str">
        <f>IF(AND(AND(OR($EC642=1,$EB642=1),AND($EH642=0,$EF642=0)),SUM($EA642:$EE642,$EK642)&gt;=3),"Ecosystem approach","")</f>
        <v/>
      </c>
      <c r="ER642" s="2" t="str">
        <f>IF(AND(AND(AND($EC642=0,$EB642=0),OR($EH642=1,$EF642=1)),SUM($EG642:$EJ642)&gt;=2),"Technology approach","")</f>
        <v/>
      </c>
      <c r="ES642" t="str">
        <f>IF(AND($EC642+$EB642+$EE642+$EA642+$ED642+$EG642=0,$N642="included"),"C neutral forest and HWP assumption","")</f>
        <v/>
      </c>
      <c r="ET642" t="str">
        <f>IF(AND(AND(AND(AND($EC642=1,$EB642+$EA642+$EG642&gt;=1),$EF642=1),$EH642+$EI642+$ED642+$EE642&gt;=2),$N642="included"),"All C pools assumption","")</f>
        <v>All C pools assumption</v>
      </c>
      <c r="EU642" t="str">
        <f>IF(AND($ED642+$EE642+$EI642+$EH642+$EF642=0,$N642="included"),"In-situ only assumption","")</f>
        <v/>
      </c>
      <c r="EV642" s="328" t="s">
        <v>5065</v>
      </c>
      <c r="EY642" t="str">
        <f>IF(ISNUMBER(BW642),IF(ABS(BW642-[4]QC_indicators!$B$2)&gt;3*[4]QC_indicators!$C$2,"C ratio",IF(ISNUMBER(CA642),IF(ABS(CA642-[4]QC_indicators!$B$1)&gt;3*[4]QC_indicators!$C$1,"DF","no"))),IF(ISNUMBER(CA642),IF(ABS(CA642-[4]QC_indicators!$B$1)&gt;3*[4]QC_indicators!$C$1,"DF","no")))</f>
        <v>no</v>
      </c>
      <c r="FA642" t="str">
        <f>IF(LEN($CY642)=0,"",IF(AND($CY642&lt;(-0.05),$ES642="C neutral forest and HWP assumption"),"Cneutral paradox",IF(AND($CY642&gt;0.05,$EU642="In-situ only assumption"),"In-situ only paradox","")))</f>
        <v/>
      </c>
      <c r="FB642" s="319" t="s">
        <v>349</v>
      </c>
      <c r="FD642" t="s">
        <v>4972</v>
      </c>
    </row>
    <row r="643" spans="4:160" ht="15" hidden="1" customHeight="1">
      <c r="D643" t="s">
        <v>743</v>
      </c>
      <c r="E643" t="s">
        <v>744</v>
      </c>
      <c r="G643" t="s">
        <v>745</v>
      </c>
      <c r="I643">
        <v>2006</v>
      </c>
      <c r="K643" s="289" t="s">
        <v>746</v>
      </c>
      <c r="M643" t="str">
        <f>LEFT($D643,FIND(",",$D643)-1)&amp;"_"&amp;I643&amp;L643</f>
        <v>Gustavsson_2006</v>
      </c>
      <c r="N643" t="s">
        <v>222</v>
      </c>
      <c r="O643" t="s">
        <v>223</v>
      </c>
      <c r="Q643" s="317" t="s">
        <v>256</v>
      </c>
      <c r="R643" s="318" t="s">
        <v>1029</v>
      </c>
      <c r="S643" s="320" t="s">
        <v>750</v>
      </c>
      <c r="T643" t="s">
        <v>739</v>
      </c>
      <c r="U643" s="143" t="s">
        <v>740</v>
      </c>
      <c r="V643">
        <v>0</v>
      </c>
      <c r="W643">
        <v>0</v>
      </c>
      <c r="X643">
        <v>0</v>
      </c>
      <c r="Y643">
        <v>2</v>
      </c>
      <c r="Z643">
        <v>0</v>
      </c>
      <c r="AA643">
        <v>0</v>
      </c>
      <c r="AB643">
        <v>0</v>
      </c>
      <c r="AC643">
        <v>0</v>
      </c>
      <c r="AD643">
        <v>0</v>
      </c>
      <c r="AE643">
        <v>0</v>
      </c>
      <c r="AF643">
        <v>0</v>
      </c>
      <c r="AG643">
        <v>0</v>
      </c>
      <c r="AH643">
        <v>0</v>
      </c>
      <c r="AI643">
        <v>0</v>
      </c>
      <c r="AJ643">
        <v>0</v>
      </c>
      <c r="AK643">
        <v>0</v>
      </c>
      <c r="AL643">
        <v>0</v>
      </c>
      <c r="AM643">
        <v>1</v>
      </c>
      <c r="AN643">
        <v>0</v>
      </c>
      <c r="AO643">
        <v>0</v>
      </c>
      <c r="AP643">
        <v>0</v>
      </c>
      <c r="AQ643">
        <v>0</v>
      </c>
      <c r="AR643">
        <v>0</v>
      </c>
      <c r="AS643">
        <v>0</v>
      </c>
      <c r="AT643">
        <v>0</v>
      </c>
      <c r="AU643">
        <v>0</v>
      </c>
      <c r="AV643">
        <v>0</v>
      </c>
      <c r="AW643">
        <v>0</v>
      </c>
      <c r="AX643">
        <v>0</v>
      </c>
      <c r="AY643">
        <v>0</v>
      </c>
      <c r="AZ643" s="141">
        <f>COUNTIF(X643:AY643,"&lt;&gt;0")</f>
        <v>2</v>
      </c>
      <c r="BA643" s="141">
        <f>COUNTIF(X643:AN643,"&lt;&gt;0")</f>
        <v>2</v>
      </c>
      <c r="BB643">
        <f>COUNTIF(X643:AE643,"&lt;&gt;0")</f>
        <v>1</v>
      </c>
      <c r="BC643">
        <f>COUNTIF(AF643:AK643,"&lt;&gt;0")</f>
        <v>0</v>
      </c>
      <c r="BD643">
        <f>COUNTIF(AL643:AN643,"&lt;&gt;0")</f>
        <v>1</v>
      </c>
      <c r="BE643">
        <f>COUNTIF(AU643:AY643,"&lt;&gt;0")</f>
        <v>0</v>
      </c>
      <c r="BF643">
        <f>COUNTIF(AO643:AT643,"&lt;&gt;0")</f>
        <v>0</v>
      </c>
      <c r="BG643" t="str" cm="1">
        <f t="array" ref="BG643">IF(BA643=1,INDEX($X$7:$AN$7,MATCH(TRUE,INDEX($X643:$AY643&lt;&gt;0,),0)),IF(BA643=0,INDEX($AO$7:$AY$7,MATCH(1,$AO643:$AY643,0)),IF(BH643="Multiple strategies","mixed drivers",IF(BH643="Supply chain","multiple supply","multiple silviculture"))))</f>
        <v>mixed drivers</v>
      </c>
      <c r="BH643" s="2" t="str" cm="1">
        <f t="array" ref="BH643">IF(COUNTIF(BB643:BD643,"&lt;&gt;0")=1,INDEX($X$4:$AY$4,MATCH(TRUE,INDEX($X643:$AY643&lt;&gt;0,),0)),IF(COUNTIF(BB643:BD643,"&lt;&gt;0")=0,INDEX($AO$4:$AY$4,MATCH(1,$AO643:$AY643,0)),"Multiple strategies"))</f>
        <v>Multiple strategies</v>
      </c>
      <c r="BI643" s="142" t="s">
        <v>229</v>
      </c>
      <c r="BJ643" t="s">
        <v>393</v>
      </c>
      <c r="BK643" s="317" t="s">
        <v>747</v>
      </c>
      <c r="BL643" s="143" t="s">
        <v>748</v>
      </c>
      <c r="BM643">
        <v>32</v>
      </c>
      <c r="BN643" s="143">
        <v>145</v>
      </c>
      <c r="BO643">
        <f>BN643/BM643</f>
        <v>4.53125</v>
      </c>
      <c r="BP643">
        <f>BN643-BM643</f>
        <v>113</v>
      </c>
      <c r="BQ643" s="143">
        <f>BP643*t_to_m3</f>
        <v>230.61224489795919</v>
      </c>
      <c r="BR643" s="317" t="s">
        <v>232</v>
      </c>
      <c r="BS643" s="155" t="s">
        <v>749</v>
      </c>
      <c r="BT643" t="s">
        <v>442</v>
      </c>
      <c r="BU643" s="143">
        <v>-119.4</v>
      </c>
      <c r="BV643" s="151">
        <v>-136.69999999999999</v>
      </c>
      <c r="BW643" s="144">
        <f>IFERROR(BV643/BU643,"")</f>
        <v>1.1448911222780569</v>
      </c>
      <c r="BX643">
        <f>BV643-BU643</f>
        <v>-17.299999999999983</v>
      </c>
      <c r="BZ643">
        <f>BX643*C_to_CO2</f>
        <v>-63.490999999999936</v>
      </c>
      <c r="CA643">
        <f>IFERROR(BZ643/BQ643,"")</f>
        <v>-0.2753149557522121</v>
      </c>
      <c r="CB643" s="143">
        <v>0</v>
      </c>
      <c r="CC643" s="143">
        <v>0</v>
      </c>
      <c r="CD643" s="143">
        <v>0</v>
      </c>
      <c r="CE643" s="143">
        <v>0</v>
      </c>
      <c r="CF643" s="143">
        <v>0</v>
      </c>
      <c r="CG643" s="143">
        <v>0</v>
      </c>
      <c r="CH643" s="143">
        <v>0</v>
      </c>
      <c r="CI643" s="143">
        <v>0</v>
      </c>
      <c r="CJ643" s="143">
        <v>0</v>
      </c>
      <c r="CK643" s="143">
        <v>0</v>
      </c>
      <c r="CL643" s="143">
        <v>0</v>
      </c>
      <c r="CM643" s="143">
        <v>0</v>
      </c>
      <c r="CN643" s="143">
        <v>0</v>
      </c>
      <c r="CO643">
        <v>0</v>
      </c>
      <c r="CP643" t="str">
        <f>IF($BN643&lt;$BM643,"refNeedCorrection","refOK")</f>
        <v>refOK</v>
      </c>
      <c r="CQ643">
        <f>IF($CP643="refOK",$BM643,$BN643)</f>
        <v>32</v>
      </c>
      <c r="CR643">
        <f>IF($CP643="refOK",$BN643,$BM643)</f>
        <v>145</v>
      </c>
      <c r="CS643">
        <f>IF($CP643="refOK",$BQ643,-$BQ643)</f>
        <v>230.61224489795919</v>
      </c>
      <c r="CT643">
        <f>IF(BI643="Roundwood",$CS643/2,$CS643)</f>
        <v>230.61224489795919</v>
      </c>
      <c r="CU643">
        <f>IF($CP643="refOK",$BU643,$BV643)*IF($BR643="Emissions positive",-1,1)</f>
        <v>-119.4</v>
      </c>
      <c r="CV643">
        <f>IF($CP643="refOK",$BV643,$BU643)*IF($BR643="Emissions positive",-1,1)</f>
        <v>-136.69999999999999</v>
      </c>
      <c r="CW643">
        <f>IF($CP643="refNeedCorrection",-BZ643,BZ643)*IF($BR643="Emissions positive",-1,1)</f>
        <v>-63.490999999999936</v>
      </c>
      <c r="CX643">
        <f>IFERROR($CW643/$CS643,"")</f>
        <v>-0.2753149557522121</v>
      </c>
      <c r="CY643">
        <f>IFERROR($CW643/$CS643,"")</f>
        <v>-0.2753149557522121</v>
      </c>
      <c r="CZ643">
        <f>IFERROR($CW643/$CT643,"")</f>
        <v>-0.2753149557522121</v>
      </c>
      <c r="DA643" s="2">
        <f>IFERROR((CV643-CU643)/ABS(CU643),"")</f>
        <v>-0.14489112227805681</v>
      </c>
      <c r="DB643" s="1" t="s">
        <v>263</v>
      </c>
      <c r="DC643" s="317" t="str">
        <f>IF(OR($DB643="prd",$DB643="std",$DB643="cit"),"loc",IF(OR($DB643="eur",$DB643="reg",$DB643="coy"),"reg",$DB643))</f>
        <v>loc</v>
      </c>
      <c r="DD643" t="s">
        <v>235</v>
      </c>
      <c r="DF643" s="143"/>
      <c r="DG643" s="143">
        <v>0</v>
      </c>
      <c r="DH643" t="str">
        <f>IF(DG643=0,"0",IF(AND(DG643&gt;=1,DG643&lt;=30),"1-30",IF(AND(DG643&gt;30,DG643&lt;=70),"31-70",IF(AND(DG643&gt;70,DG643&lt;=100),"71-100",IF(DG643&gt;100,"+100")))))</f>
        <v>0</v>
      </c>
      <c r="DI643">
        <v>0</v>
      </c>
      <c r="DJ643">
        <v>0</v>
      </c>
      <c r="DK643">
        <v>0</v>
      </c>
      <c r="DL643">
        <v>1</v>
      </c>
      <c r="DN643">
        <f>SUM(DI643:DL643)</f>
        <v>1</v>
      </c>
      <c r="DO643" t="str">
        <f>IF(DN643=1,INDEX($DI$7:$DL$7,MATCH(1,$DI643:$DL643,0)),"mixedProduct")</f>
        <v>TimberInput</v>
      </c>
      <c r="DP643">
        <f>IF(DI643=1,DP$7,0)</f>
        <v>0</v>
      </c>
      <c r="DQ643">
        <f>IF(DJ643=1,DQ$7,0)</f>
        <v>0</v>
      </c>
      <c r="DR643">
        <f>IF(DK643=1,DR$7,0)</f>
        <v>0</v>
      </c>
      <c r="DS643" t="str">
        <f>IF(DL643=1,DS$7,0)</f>
        <v>Timber</v>
      </c>
      <c r="DT643">
        <v>1</v>
      </c>
      <c r="DU643" s="143">
        <v>0</v>
      </c>
      <c r="DV643" s="143">
        <v>0</v>
      </c>
      <c r="DW643">
        <v>0</v>
      </c>
      <c r="DX643" s="143">
        <v>0</v>
      </c>
      <c r="DY643">
        <f>SUM(DT643:DU643)</f>
        <v>1</v>
      </c>
      <c r="DZ643" s="143" t="str">
        <f>IF(DT643=1,"self-calculated DF",IF(DU643=1,"external DF used","explicit C balance"))</f>
        <v>self-calculated DF</v>
      </c>
      <c r="EA643" s="143">
        <v>0</v>
      </c>
      <c r="EB643" s="143">
        <v>1</v>
      </c>
      <c r="EC643" s="143">
        <v>1</v>
      </c>
      <c r="ED643" s="143">
        <v>1</v>
      </c>
      <c r="EE643">
        <v>0</v>
      </c>
      <c r="EF643" s="143">
        <v>1</v>
      </c>
      <c r="EG643" s="143">
        <v>1</v>
      </c>
      <c r="EH643" s="143">
        <v>1</v>
      </c>
      <c r="EI643" s="143">
        <v>0</v>
      </c>
      <c r="EJ643">
        <v>0</v>
      </c>
      <c r="EK643">
        <v>0</v>
      </c>
      <c r="EL643" s="143">
        <v>0</v>
      </c>
      <c r="EM643" s="143">
        <v>0</v>
      </c>
      <c r="EN643" s="2">
        <v>0</v>
      </c>
      <c r="EP643" t="str">
        <f>IF(AND(AND(AND(OR($EC643=1,$EB643=1),OR($EH643=1,$EF643=1)),SUM($EA643:$EE643,$EK643)&gt;=3),SUM($EF643:$EJ643)&gt;=2),"Whole sector approach","")</f>
        <v>Whole sector approach</v>
      </c>
      <c r="EQ643" t="str">
        <f>IF(AND(AND(OR($EC643=1,$EB643=1),AND($EH643=0,$EF643=0)),SUM($EA643:$EE643,$EK643)&gt;=3),"Ecosystem approach","")</f>
        <v/>
      </c>
      <c r="ER643" s="2" t="str">
        <f>IF(AND(AND(AND($EC643=0,$EB643=0),OR($EH643=1,$EF643=1)),SUM($EG643:$EJ643)&gt;=2),"Technology approach","")</f>
        <v/>
      </c>
      <c r="ES643" t="str">
        <f>IF(AND($EC643+$EB643+$EE643+$EA643+$ED643+$EG643=0,$N643="included"),"C neutral forest and HWP assumption","")</f>
        <v/>
      </c>
      <c r="ET643" t="str">
        <f>IF(AND(AND(AND(AND($EC643=1,$EB643+$EA643+$EG643&gt;=1),$EF643=1),$EH643+$EI643+$ED643+$EE643&gt;=2),$N643="included"),"All C pools assumption","")</f>
        <v>All C pools assumption</v>
      </c>
      <c r="EU643" t="str">
        <f>IF(AND($ED643+$EE643+$EI643+$EH643+$EF643=0,$N643="included"),"In-situ only assumption","")</f>
        <v/>
      </c>
      <c r="EV643" s="328" t="s">
        <v>5065</v>
      </c>
      <c r="EY643" t="str">
        <f>IF(ISNUMBER(BW643),IF(ABS(BW643-[4]QC_indicators!$B$2)&gt;3*[4]QC_indicators!$C$2,"C ratio",IF(ISNUMBER(CA643),IF(ABS(CA643-[4]QC_indicators!$B$1)&gt;3*[4]QC_indicators!$C$1,"DF","no"))),IF(ISNUMBER(CA643),IF(ABS(CA643-[4]QC_indicators!$B$1)&gt;3*[4]QC_indicators!$C$1,"DF","no")))</f>
        <v>no</v>
      </c>
      <c r="FA643" t="str">
        <f>IF(LEN($CY643)=0,"",IF(AND($CY643&lt;(-0.05),$ES643="C neutral forest and HWP assumption"),"Cneutral paradox",IF(AND($CY643&gt;0.05,$EU643="In-situ only assumption"),"In-situ only paradox","")))</f>
        <v/>
      </c>
      <c r="FB643" s="319" t="s">
        <v>349</v>
      </c>
      <c r="FD643" t="s">
        <v>4972</v>
      </c>
    </row>
    <row r="644" spans="4:160" ht="15" hidden="1" customHeight="1">
      <c r="D644" t="s">
        <v>743</v>
      </c>
      <c r="E644" t="s">
        <v>744</v>
      </c>
      <c r="G644" t="s">
        <v>745</v>
      </c>
      <c r="I644">
        <v>2006</v>
      </c>
      <c r="K644" s="289" t="s">
        <v>746</v>
      </c>
      <c r="M644" t="str">
        <f>LEFT($D644,FIND(",",$D644)-1)&amp;"_"&amp;I644&amp;L644</f>
        <v>Gustavsson_2006</v>
      </c>
      <c r="N644" t="s">
        <v>222</v>
      </c>
      <c r="O644" t="s">
        <v>223</v>
      </c>
      <c r="Q644" s="317" t="s">
        <v>256</v>
      </c>
      <c r="R644" s="318" t="s">
        <v>1029</v>
      </c>
      <c r="S644" s="320" t="s">
        <v>4973</v>
      </c>
      <c r="T644" t="s">
        <v>739</v>
      </c>
      <c r="U644" s="143" t="s">
        <v>740</v>
      </c>
      <c r="V644">
        <v>0</v>
      </c>
      <c r="W644">
        <v>0</v>
      </c>
      <c r="X644">
        <v>0</v>
      </c>
      <c r="Y644">
        <v>2</v>
      </c>
      <c r="Z644">
        <v>0</v>
      </c>
      <c r="AA644">
        <v>0</v>
      </c>
      <c r="AB644">
        <v>0</v>
      </c>
      <c r="AC644">
        <v>0</v>
      </c>
      <c r="AD644">
        <v>0</v>
      </c>
      <c r="AE644">
        <v>0</v>
      </c>
      <c r="AF644">
        <v>0</v>
      </c>
      <c r="AG644">
        <v>0</v>
      </c>
      <c r="AH644">
        <v>0</v>
      </c>
      <c r="AI644">
        <v>0</v>
      </c>
      <c r="AJ644">
        <v>0</v>
      </c>
      <c r="AK644">
        <v>0</v>
      </c>
      <c r="AL644">
        <v>0</v>
      </c>
      <c r="AM644">
        <v>1</v>
      </c>
      <c r="AN644">
        <v>0</v>
      </c>
      <c r="AO644">
        <v>0</v>
      </c>
      <c r="AP644">
        <v>0</v>
      </c>
      <c r="AQ644">
        <v>0</v>
      </c>
      <c r="AR644">
        <v>0</v>
      </c>
      <c r="AS644">
        <v>0</v>
      </c>
      <c r="AT644">
        <v>0</v>
      </c>
      <c r="AU644">
        <v>0</v>
      </c>
      <c r="AV644">
        <v>0</v>
      </c>
      <c r="AW644">
        <v>0</v>
      </c>
      <c r="AX644">
        <v>0</v>
      </c>
      <c r="AY644">
        <v>0</v>
      </c>
      <c r="AZ644" s="141">
        <f>COUNTIF(X644:AY644,"&lt;&gt;0")</f>
        <v>2</v>
      </c>
      <c r="BA644" s="141">
        <f>COUNTIF(X644:AN644,"&lt;&gt;0")</f>
        <v>2</v>
      </c>
      <c r="BB644">
        <f>COUNTIF(X644:AE644,"&lt;&gt;0")</f>
        <v>1</v>
      </c>
      <c r="BC644">
        <f>COUNTIF(AF644:AK644,"&lt;&gt;0")</f>
        <v>0</v>
      </c>
      <c r="BD644">
        <f>COUNTIF(AL644:AN644,"&lt;&gt;0")</f>
        <v>1</v>
      </c>
      <c r="BE644">
        <f>COUNTIF(AU644:AY644,"&lt;&gt;0")</f>
        <v>0</v>
      </c>
      <c r="BF644">
        <f>COUNTIF(AO644:AT644,"&lt;&gt;0")</f>
        <v>0</v>
      </c>
      <c r="BG644" t="str" cm="1">
        <f t="array" ref="BG644">IF(BA644=1,INDEX($X$7:$AN$7,MATCH(TRUE,INDEX($X644:$AY644&lt;&gt;0,),0)),IF(BA644=0,INDEX($AO$7:$AY$7,MATCH(1,$AO644:$AY644,0)),IF(BH644="Multiple strategies","mixed drivers",IF(BH644="Supply chain","multiple supply","multiple silviculture"))))</f>
        <v>mixed drivers</v>
      </c>
      <c r="BH644" s="2" t="str" cm="1">
        <f t="array" ref="BH644">IF(COUNTIF(BB644:BD644,"&lt;&gt;0")=1,INDEX($X$4:$AY$4,MATCH(TRUE,INDEX($X644:$AY644&lt;&gt;0,),0)),IF(COUNTIF(BB644:BD644,"&lt;&gt;0")=0,INDEX($AO$4:$AY$4,MATCH(1,$AO644:$AY644,0)),"Multiple strategies"))</f>
        <v>Multiple strategies</v>
      </c>
      <c r="BI644" s="142" t="s">
        <v>229</v>
      </c>
      <c r="BJ644" t="s">
        <v>393</v>
      </c>
      <c r="BK644" s="317" t="s">
        <v>747</v>
      </c>
      <c r="BL644" s="143" t="s">
        <v>748</v>
      </c>
      <c r="BM644">
        <v>32</v>
      </c>
      <c r="BN644" s="143">
        <v>145</v>
      </c>
      <c r="BO644">
        <f>BN644/BM644</f>
        <v>4.53125</v>
      </c>
      <c r="BP644">
        <f>BN644-BM644</f>
        <v>113</v>
      </c>
      <c r="BQ644" s="143">
        <f>BP644*t_to_m3</f>
        <v>230.61224489795919</v>
      </c>
      <c r="BR644" s="317" t="s">
        <v>232</v>
      </c>
      <c r="BS644" s="155" t="s">
        <v>749</v>
      </c>
      <c r="BT644" t="s">
        <v>442</v>
      </c>
      <c r="BU644" s="143">
        <v>-110.9</v>
      </c>
      <c r="BV644" s="151">
        <v>-157</v>
      </c>
      <c r="BW644" s="144">
        <f>IFERROR(BV644/BU644,"")</f>
        <v>1.4156898106402163</v>
      </c>
      <c r="BX644">
        <f>BV644-BU644</f>
        <v>-46.099999999999994</v>
      </c>
      <c r="BZ644">
        <f>BX644*C_to_CO2</f>
        <v>-169.18699999999998</v>
      </c>
      <c r="CA644">
        <f>IFERROR(BZ644/BQ644,"")</f>
        <v>-0.73364274336283175</v>
      </c>
      <c r="CB644" s="143">
        <v>0</v>
      </c>
      <c r="CC644" s="143">
        <v>0</v>
      </c>
      <c r="CD644" s="143">
        <v>0</v>
      </c>
      <c r="CE644" s="143">
        <v>0</v>
      </c>
      <c r="CF644" s="143">
        <v>0</v>
      </c>
      <c r="CG644" s="143">
        <v>0</v>
      </c>
      <c r="CH644" s="143">
        <v>0</v>
      </c>
      <c r="CI644" s="143">
        <v>0</v>
      </c>
      <c r="CJ644" s="143">
        <v>0</v>
      </c>
      <c r="CK644" s="143">
        <v>0</v>
      </c>
      <c r="CL644" s="143">
        <v>0</v>
      </c>
      <c r="CM644" s="143">
        <v>0</v>
      </c>
      <c r="CN644" s="143">
        <v>0</v>
      </c>
      <c r="CO644">
        <v>0</v>
      </c>
      <c r="CP644" t="str">
        <f>IF($BN644&lt;$BM644,"refNeedCorrection","refOK")</f>
        <v>refOK</v>
      </c>
      <c r="CQ644">
        <f>IF($CP644="refOK",$BM644,$BN644)</f>
        <v>32</v>
      </c>
      <c r="CR644">
        <f>IF($CP644="refOK",$BN644,$BM644)</f>
        <v>145</v>
      </c>
      <c r="CS644">
        <f>IF($CP644="refOK",$BQ644,-$BQ644)</f>
        <v>230.61224489795919</v>
      </c>
      <c r="CT644">
        <f>IF(BI644="Roundwood",$CS644/2,$CS644)</f>
        <v>230.61224489795919</v>
      </c>
      <c r="CU644">
        <f>IF($CP644="refOK",$BU644,$BV644)*IF($BR644="Emissions positive",-1,1)</f>
        <v>-110.9</v>
      </c>
      <c r="CV644">
        <f>IF($CP644="refOK",$BV644,$BU644)*IF($BR644="Emissions positive",-1,1)</f>
        <v>-157</v>
      </c>
      <c r="CW644">
        <f>IF($CP644="refNeedCorrection",-BZ644,BZ644)*IF($BR644="Emissions positive",-1,1)</f>
        <v>-169.18699999999998</v>
      </c>
      <c r="CX644">
        <f>IFERROR($CW644/$CS644,"")</f>
        <v>-0.73364274336283175</v>
      </c>
      <c r="CY644">
        <f>IFERROR($CW644/$CS644,"")</f>
        <v>-0.73364274336283175</v>
      </c>
      <c r="CZ644">
        <f>IFERROR($CW644/$CT644,"")</f>
        <v>-0.73364274336283175</v>
      </c>
      <c r="DA644" s="2">
        <f>IFERROR((CV644-CU644)/ABS(CU644),"")</f>
        <v>-0.41568981064021632</v>
      </c>
      <c r="DB644" s="1" t="s">
        <v>263</v>
      </c>
      <c r="DC644" s="317" t="str">
        <f>IF(OR($DB644="prd",$DB644="std",$DB644="cit"),"loc",IF(OR($DB644="eur",$DB644="reg",$DB644="coy"),"reg",$DB644))</f>
        <v>loc</v>
      </c>
      <c r="DD644" t="s">
        <v>235</v>
      </c>
      <c r="DF644" s="143"/>
      <c r="DG644" s="143">
        <v>0</v>
      </c>
      <c r="DH644" t="str">
        <f>IF(DG644=0,"0",IF(AND(DG644&gt;=1,DG644&lt;=30),"1-30",IF(AND(DG644&gt;30,DG644&lt;=70),"31-70",IF(AND(DG644&gt;70,DG644&lt;=100),"71-100",IF(DG644&gt;100,"+100")))))</f>
        <v>0</v>
      </c>
      <c r="DI644">
        <v>0</v>
      </c>
      <c r="DJ644">
        <v>0</v>
      </c>
      <c r="DK644">
        <v>0</v>
      </c>
      <c r="DL644">
        <v>1</v>
      </c>
      <c r="DN644">
        <f>SUM(DI644:DL644)</f>
        <v>1</v>
      </c>
      <c r="DO644" t="str">
        <f>IF(DN644=1,INDEX($DI$7:$DL$7,MATCH(1,$DI644:$DL644,0)),"mixedProduct")</f>
        <v>TimberInput</v>
      </c>
      <c r="DP644">
        <f>IF(DI644=1,DP$7,0)</f>
        <v>0</v>
      </c>
      <c r="DQ644">
        <f>IF(DJ644=1,DQ$7,0)</f>
        <v>0</v>
      </c>
      <c r="DR644">
        <f>IF(DK644=1,DR$7,0)</f>
        <v>0</v>
      </c>
      <c r="DS644" t="str">
        <f>IF(DL644=1,DS$7,0)</f>
        <v>Timber</v>
      </c>
      <c r="DT644">
        <v>1</v>
      </c>
      <c r="DU644" s="143">
        <v>0</v>
      </c>
      <c r="DV644" s="143">
        <v>0</v>
      </c>
      <c r="DW644">
        <v>0</v>
      </c>
      <c r="DX644" s="143">
        <v>0</v>
      </c>
      <c r="DY644">
        <f>SUM(DT644:DU644)</f>
        <v>1</v>
      </c>
      <c r="DZ644" s="143" t="str">
        <f>IF(DT644=1,"self-calculated DF",IF(DU644=1,"external DF used","explicit C balance"))</f>
        <v>self-calculated DF</v>
      </c>
      <c r="EA644" s="143">
        <v>0</v>
      </c>
      <c r="EB644" s="143">
        <v>1</v>
      </c>
      <c r="EC644" s="143">
        <v>1</v>
      </c>
      <c r="ED644" s="143">
        <v>1</v>
      </c>
      <c r="EE644">
        <v>0</v>
      </c>
      <c r="EF644" s="143">
        <v>1</v>
      </c>
      <c r="EG644" s="143">
        <v>1</v>
      </c>
      <c r="EH644" s="143">
        <v>1</v>
      </c>
      <c r="EI644" s="143">
        <v>0</v>
      </c>
      <c r="EJ644">
        <v>0</v>
      </c>
      <c r="EK644">
        <v>0</v>
      </c>
      <c r="EL644" s="143">
        <v>0</v>
      </c>
      <c r="EM644" s="143">
        <v>0</v>
      </c>
      <c r="EN644" s="2">
        <v>0</v>
      </c>
      <c r="EP644" t="str">
        <f>IF(AND(AND(AND(OR($EC644=1,$EB644=1),OR($EH644=1,$EF644=1)),SUM($EA644:$EE644,$EK644)&gt;=3),SUM($EF644:$EJ644)&gt;=2),"Whole sector approach","")</f>
        <v>Whole sector approach</v>
      </c>
      <c r="EQ644" t="str">
        <f>IF(AND(AND(OR($EC644=1,$EB644=1),AND($EH644=0,$EF644=0)),SUM($EA644:$EE644,$EK644)&gt;=3),"Ecosystem approach","")</f>
        <v/>
      </c>
      <c r="ER644" s="2" t="str">
        <f>IF(AND(AND(AND($EC644=0,$EB644=0),OR($EH644=1,$EF644=1)),SUM($EG644:$EJ644)&gt;=2),"Technology approach","")</f>
        <v/>
      </c>
      <c r="ES644" t="str">
        <f>IF(AND($EC644+$EB644+$EE644+$EA644+$ED644+$EG644=0,$N644="included"),"C neutral forest and HWP assumption","")</f>
        <v/>
      </c>
      <c r="ET644" t="str">
        <f>IF(AND(AND(AND(AND($EC644=1,$EB644+$EA644+$EG644&gt;=1),$EF644=1),$EH644+$EI644+$ED644+$EE644&gt;=2),$N644="included"),"All C pools assumption","")</f>
        <v>All C pools assumption</v>
      </c>
      <c r="EU644" t="str">
        <f>IF(AND($ED644+$EE644+$EI644+$EH644+$EF644=0,$N644="included"),"In-situ only assumption","")</f>
        <v/>
      </c>
      <c r="EV644" s="328" t="s">
        <v>5065</v>
      </c>
      <c r="EY644" t="str">
        <f>IF(ISNUMBER(BW644),IF(ABS(BW644-[4]QC_indicators!$B$2)&gt;3*[4]QC_indicators!$C$2,"C ratio",IF(ISNUMBER(CA644),IF(ABS(CA644-[4]QC_indicators!$B$1)&gt;3*[4]QC_indicators!$C$1,"DF","no"))),IF(ISNUMBER(CA644),IF(ABS(CA644-[4]QC_indicators!$B$1)&gt;3*[4]QC_indicators!$C$1,"DF","no")))</f>
        <v>no</v>
      </c>
      <c r="FA644" t="str">
        <f>IF(LEN($CY644)=0,"",IF(AND($CY644&lt;(-0.05),$ES644="C neutral forest and HWP assumption"),"Cneutral paradox",IF(AND($CY644&gt;0.05,$EU644="In-situ only assumption"),"In-situ only paradox","")))</f>
        <v/>
      </c>
      <c r="FB644" s="319" t="s">
        <v>349</v>
      </c>
      <c r="FD644" t="s">
        <v>4972</v>
      </c>
    </row>
    <row r="645" spans="4:160" ht="15" hidden="1" customHeight="1">
      <c r="D645" t="s">
        <v>743</v>
      </c>
      <c r="E645" t="s">
        <v>744</v>
      </c>
      <c r="G645" t="s">
        <v>745</v>
      </c>
      <c r="I645">
        <v>2006</v>
      </c>
      <c r="K645" s="289" t="s">
        <v>746</v>
      </c>
      <c r="M645" t="str">
        <f>LEFT($D645,FIND(",",$D645)-1)&amp;"_"&amp;I645&amp;L645</f>
        <v>Gustavsson_2006</v>
      </c>
      <c r="N645" t="s">
        <v>222</v>
      </c>
      <c r="O645" t="s">
        <v>223</v>
      </c>
      <c r="Q645" s="317" t="s">
        <v>256</v>
      </c>
      <c r="R645" s="318" t="s">
        <v>1029</v>
      </c>
      <c r="S645" s="320" t="s">
        <v>750</v>
      </c>
      <c r="T645" t="s">
        <v>739</v>
      </c>
      <c r="U645" s="143" t="s">
        <v>740</v>
      </c>
      <c r="V645">
        <v>0</v>
      </c>
      <c r="W645">
        <v>0</v>
      </c>
      <c r="X645">
        <v>0</v>
      </c>
      <c r="Y645">
        <v>2</v>
      </c>
      <c r="Z645">
        <v>0</v>
      </c>
      <c r="AA645">
        <v>0</v>
      </c>
      <c r="AB645">
        <v>0</v>
      </c>
      <c r="AC645">
        <v>0</v>
      </c>
      <c r="AD645">
        <v>0</v>
      </c>
      <c r="AE645">
        <v>0</v>
      </c>
      <c r="AF645">
        <v>0</v>
      </c>
      <c r="AG645">
        <v>0</v>
      </c>
      <c r="AH645">
        <v>0</v>
      </c>
      <c r="AI645">
        <v>0</v>
      </c>
      <c r="AJ645">
        <v>0</v>
      </c>
      <c r="AK645">
        <v>0</v>
      </c>
      <c r="AL645">
        <v>0</v>
      </c>
      <c r="AM645">
        <v>1</v>
      </c>
      <c r="AN645">
        <v>0</v>
      </c>
      <c r="AO645">
        <v>0</v>
      </c>
      <c r="AP645">
        <v>0</v>
      </c>
      <c r="AQ645">
        <v>0</v>
      </c>
      <c r="AR645">
        <v>0</v>
      </c>
      <c r="AS645">
        <v>0</v>
      </c>
      <c r="AT645">
        <v>0</v>
      </c>
      <c r="AU645">
        <v>0</v>
      </c>
      <c r="AV645">
        <v>0</v>
      </c>
      <c r="AW645">
        <v>0</v>
      </c>
      <c r="AX645">
        <v>0</v>
      </c>
      <c r="AY645">
        <v>0</v>
      </c>
      <c r="AZ645" s="141">
        <f>COUNTIF(X645:AY645,"&lt;&gt;0")</f>
        <v>2</v>
      </c>
      <c r="BA645" s="141">
        <f>COUNTIF(X645:AN645,"&lt;&gt;0")</f>
        <v>2</v>
      </c>
      <c r="BB645">
        <f>COUNTIF(X645:AE645,"&lt;&gt;0")</f>
        <v>1</v>
      </c>
      <c r="BC645">
        <f>COUNTIF(AF645:AK645,"&lt;&gt;0")</f>
        <v>0</v>
      </c>
      <c r="BD645">
        <f>COUNTIF(AL645:AN645,"&lt;&gt;0")</f>
        <v>1</v>
      </c>
      <c r="BE645">
        <f>COUNTIF(AU645:AY645,"&lt;&gt;0")</f>
        <v>0</v>
      </c>
      <c r="BF645">
        <f>COUNTIF(AO645:AT645,"&lt;&gt;0")</f>
        <v>0</v>
      </c>
      <c r="BG645" t="str" cm="1">
        <f t="array" ref="BG645">IF(BA645=1,INDEX($X$7:$AN$7,MATCH(TRUE,INDEX($X645:$AY645&lt;&gt;0,),0)),IF(BA645=0,INDEX($AO$7:$AY$7,MATCH(1,$AO645:$AY645,0)),IF(BH645="Multiple strategies","mixed drivers",IF(BH645="Supply chain","multiple supply","multiple silviculture"))))</f>
        <v>mixed drivers</v>
      </c>
      <c r="BH645" s="2" t="str" cm="1">
        <f t="array" ref="BH645">IF(COUNTIF(BB645:BD645,"&lt;&gt;0")=1,INDEX($X$4:$AY$4,MATCH(TRUE,INDEX($X645:$AY645&lt;&gt;0,),0)),IF(COUNTIF(BB645:BD645,"&lt;&gt;0")=0,INDEX($AO$4:$AY$4,MATCH(1,$AO645:$AY645,0)),"Multiple strategies"))</f>
        <v>Multiple strategies</v>
      </c>
      <c r="BI645" s="142" t="s">
        <v>229</v>
      </c>
      <c r="BJ645" t="s">
        <v>393</v>
      </c>
      <c r="BK645" s="317" t="s">
        <v>747</v>
      </c>
      <c r="BL645" s="143" t="s">
        <v>748</v>
      </c>
      <c r="BM645">
        <v>32</v>
      </c>
      <c r="BN645" s="143">
        <v>145</v>
      </c>
      <c r="BO645">
        <f>BN645/BM645</f>
        <v>4.53125</v>
      </c>
      <c r="BP645">
        <f>BN645-BM645</f>
        <v>113</v>
      </c>
      <c r="BQ645" s="143">
        <f>BP645*t_to_m3</f>
        <v>230.61224489795919</v>
      </c>
      <c r="BR645" s="317" t="s">
        <v>232</v>
      </c>
      <c r="BS645" s="155" t="s">
        <v>749</v>
      </c>
      <c r="BT645" t="s">
        <v>442</v>
      </c>
      <c r="BU645" s="143">
        <f>-41.7+13.1</f>
        <v>-28.6</v>
      </c>
      <c r="BV645" s="151">
        <f>-212.9+59.5</f>
        <v>-153.4</v>
      </c>
      <c r="BW645" s="144">
        <f>IFERROR(BV645/BU645,"")</f>
        <v>5.3636363636363633</v>
      </c>
      <c r="BX645">
        <f>BV645-BU645</f>
        <v>-124.80000000000001</v>
      </c>
      <c r="BZ645">
        <f>BX645*C_to_CO2</f>
        <v>-458.01600000000002</v>
      </c>
      <c r="CA645">
        <f>IFERROR(BZ645/BQ645,"")</f>
        <v>-1.9860870796460177</v>
      </c>
      <c r="CB645" s="143">
        <v>0</v>
      </c>
      <c r="CC645" s="143">
        <v>0</v>
      </c>
      <c r="CD645" s="143">
        <v>0</v>
      </c>
      <c r="CE645" s="143">
        <v>0</v>
      </c>
      <c r="CF645" s="143">
        <v>0</v>
      </c>
      <c r="CG645" s="143">
        <v>0</v>
      </c>
      <c r="CH645" s="143">
        <v>0</v>
      </c>
      <c r="CI645" s="143">
        <v>0</v>
      </c>
      <c r="CJ645" s="143">
        <v>0</v>
      </c>
      <c r="CK645" s="143">
        <v>0</v>
      </c>
      <c r="CL645" s="143">
        <v>0</v>
      </c>
      <c r="CM645" s="143">
        <v>0</v>
      </c>
      <c r="CN645" s="143">
        <v>0</v>
      </c>
      <c r="CO645">
        <v>0</v>
      </c>
      <c r="CP645" t="str">
        <f>IF($BN645&lt;$BM645,"refNeedCorrection","refOK")</f>
        <v>refOK</v>
      </c>
      <c r="CQ645">
        <f>IF($CP645="refOK",$BM645,$BN645)</f>
        <v>32</v>
      </c>
      <c r="CR645">
        <f>IF($CP645="refOK",$BN645,$BM645)</f>
        <v>145</v>
      </c>
      <c r="CS645">
        <f>IF($CP645="refOK",$BQ645,-$BQ645)</f>
        <v>230.61224489795919</v>
      </c>
      <c r="CT645">
        <f>IF(BI645="Roundwood",$CS645/2,$CS645)</f>
        <v>230.61224489795919</v>
      </c>
      <c r="CU645">
        <f>IF($CP645="refOK",$BU645,$BV645)*IF($BR645="Emissions positive",-1,1)</f>
        <v>-28.6</v>
      </c>
      <c r="CV645">
        <f>IF($CP645="refOK",$BV645,$BU645)*IF($BR645="Emissions positive",-1,1)</f>
        <v>-153.4</v>
      </c>
      <c r="CW645">
        <f>IF($CP645="refNeedCorrection",-BZ645,BZ645)*IF($BR645="Emissions positive",-1,1)</f>
        <v>-458.01600000000002</v>
      </c>
      <c r="CX645">
        <f>IFERROR($CW645/$CS645,"")</f>
        <v>-1.9860870796460177</v>
      </c>
      <c r="CY645">
        <f>IFERROR($CW645/$CS645,"")</f>
        <v>-1.9860870796460177</v>
      </c>
      <c r="CZ645">
        <f>IFERROR($CW645/$CT645,"")</f>
        <v>-1.9860870796460177</v>
      </c>
      <c r="DA645" s="2">
        <f>IFERROR((CV645-CU645)/ABS(CU645),"")</f>
        <v>-4.3636363636363642</v>
      </c>
      <c r="DB645" s="1" t="s">
        <v>263</v>
      </c>
      <c r="DC645" s="317" t="str">
        <f>IF(OR($DB645="prd",$DB645="std",$DB645="cit"),"loc",IF(OR($DB645="eur",$DB645="reg",$DB645="coy"),"reg",$DB645))</f>
        <v>loc</v>
      </c>
      <c r="DD645" t="s">
        <v>235</v>
      </c>
      <c r="DF645" s="143"/>
      <c r="DG645" s="143">
        <v>0</v>
      </c>
      <c r="DH645" t="str">
        <f>IF(DG645=0,"0",IF(AND(DG645&gt;=1,DG645&lt;=30),"1-30",IF(AND(DG645&gt;30,DG645&lt;=70),"31-70",IF(AND(DG645&gt;70,DG645&lt;=100),"71-100",IF(DG645&gt;100,"+100")))))</f>
        <v>0</v>
      </c>
      <c r="DI645">
        <v>0</v>
      </c>
      <c r="DJ645">
        <v>0</v>
      </c>
      <c r="DK645">
        <v>0</v>
      </c>
      <c r="DL645">
        <v>1</v>
      </c>
      <c r="DN645">
        <f>SUM(DI645:DL645)</f>
        <v>1</v>
      </c>
      <c r="DO645" t="str">
        <f>IF(DN645=1,INDEX($DI$7:$DL$7,MATCH(1,$DI645:$DL645,0)),"mixedProduct")</f>
        <v>TimberInput</v>
      </c>
      <c r="DP645">
        <f>IF(DI645=1,DP$7,0)</f>
        <v>0</v>
      </c>
      <c r="DQ645">
        <f>IF(DJ645=1,DQ$7,0)</f>
        <v>0</v>
      </c>
      <c r="DR645">
        <f>IF(DK645=1,DR$7,0)</f>
        <v>0</v>
      </c>
      <c r="DS645" t="str">
        <f>IF(DL645=1,DS$7,0)</f>
        <v>Timber</v>
      </c>
      <c r="DT645">
        <v>1</v>
      </c>
      <c r="DU645" s="143">
        <v>0</v>
      </c>
      <c r="DV645" s="143">
        <v>0</v>
      </c>
      <c r="DW645">
        <v>0</v>
      </c>
      <c r="DX645" s="143">
        <v>0</v>
      </c>
      <c r="DY645">
        <f>SUM(DT645:DU645)</f>
        <v>1</v>
      </c>
      <c r="DZ645" s="143" t="str">
        <f>IF(DT645=1,"self-calculated DF",IF(DU645=1,"external DF used","explicit C balance"))</f>
        <v>self-calculated DF</v>
      </c>
      <c r="EA645" s="143">
        <v>0</v>
      </c>
      <c r="EB645" s="143">
        <v>1</v>
      </c>
      <c r="EC645" s="143">
        <v>1</v>
      </c>
      <c r="ED645" s="143">
        <v>1</v>
      </c>
      <c r="EE645">
        <v>0</v>
      </c>
      <c r="EF645" s="143">
        <v>0</v>
      </c>
      <c r="EG645" s="143">
        <v>0</v>
      </c>
      <c r="EH645" s="143">
        <v>0</v>
      </c>
      <c r="EI645" s="143">
        <v>0</v>
      </c>
      <c r="EJ645">
        <v>0</v>
      </c>
      <c r="EK645">
        <v>0</v>
      </c>
      <c r="EL645" s="143">
        <v>0</v>
      </c>
      <c r="EM645" s="143">
        <v>0</v>
      </c>
      <c r="EN645" s="2">
        <v>0</v>
      </c>
      <c r="EP645" t="str">
        <f>IF(AND(AND(AND(OR($EC645=1,$EB645=1),OR($EH645=1,$EF645=1)),SUM($EA645:$EE645,$EK645)&gt;=3),SUM($EF645:$EJ645)&gt;=2),"Whole sector approach","")</f>
        <v/>
      </c>
      <c r="EQ645" t="str">
        <f>IF(AND(AND(OR($EC645=1,$EB645=1),AND($EH645=0,$EF645=0)),SUM($EA645:$EE645,$EK645)&gt;=3),"Ecosystem approach","")</f>
        <v>Ecosystem approach</v>
      </c>
      <c r="ER645" s="2" t="str">
        <f>IF(AND(AND(AND($EC645=0,$EB645=0),OR($EH645=1,$EF645=1)),SUM($EG645:$EJ645)&gt;=2),"Technology approach","")</f>
        <v/>
      </c>
      <c r="ES645" t="str">
        <f>IF(AND($EC645+$EB645+$EE645+$EA645+$ED645+$EG645=0,$N645="included"),"C neutral forest and HWP assumption","")</f>
        <v/>
      </c>
      <c r="ET645" t="str">
        <f>IF(AND(AND(AND(AND($EC645=1,$EB645+$EA645+$EG645&gt;=1),$EF645=1),$EH645+$EI645+$ED645+$EE645&gt;=2),$N645="included"),"All C pools assumption","")</f>
        <v/>
      </c>
      <c r="EU645" t="str">
        <f>IF(AND($ED645+$EE645+$EI645+$EH645+$EF645=0,$N645="included"),"In-situ only assumption","")</f>
        <v/>
      </c>
      <c r="EV645" s="328" t="s">
        <v>5065</v>
      </c>
      <c r="EY645" t="str">
        <f>IF(ISNUMBER(BW645),IF(ABS(BW645-[4]QC_indicators!$B$2)&gt;3*[4]QC_indicators!$C$2,"C ratio",IF(ISNUMBER(CA645),IF(ABS(CA645-[4]QC_indicators!$B$1)&gt;3*[4]QC_indicators!$C$1,"DF","no"))),IF(ISNUMBER(CA645),IF(ABS(CA645-[4]QC_indicators!$B$1)&gt;3*[4]QC_indicators!$C$1,"DF","no")))</f>
        <v>no</v>
      </c>
      <c r="FA645" t="str">
        <f>IF(LEN($CY645)=0,"",IF(AND($CY645&lt;(-0.05),$ES645="C neutral forest and HWP assumption"),"Cneutral paradox",IF(AND($CY645&gt;0.05,$EU645="In-situ only assumption"),"In-situ only paradox","")))</f>
        <v/>
      </c>
      <c r="FB645" s="319" t="s">
        <v>349</v>
      </c>
      <c r="FD645" t="s">
        <v>4972</v>
      </c>
    </row>
    <row r="646" spans="4:160" ht="15" hidden="1" customHeight="1">
      <c r="D646" t="s">
        <v>743</v>
      </c>
      <c r="E646" t="s">
        <v>744</v>
      </c>
      <c r="G646" t="s">
        <v>745</v>
      </c>
      <c r="I646">
        <v>2006</v>
      </c>
      <c r="K646" s="289" t="s">
        <v>746</v>
      </c>
      <c r="M646" t="str">
        <f>LEFT($D646,FIND(",",$D646)-1)&amp;"_"&amp;I646&amp;L646</f>
        <v>Gustavsson_2006</v>
      </c>
      <c r="N646" t="s">
        <v>222</v>
      </c>
      <c r="O646" t="s">
        <v>223</v>
      </c>
      <c r="Q646" s="317" t="s">
        <v>256</v>
      </c>
      <c r="R646" s="318" t="s">
        <v>1029</v>
      </c>
      <c r="S646" s="320" t="s">
        <v>4973</v>
      </c>
      <c r="T646" t="s">
        <v>739</v>
      </c>
      <c r="U646" s="143" t="s">
        <v>740</v>
      </c>
      <c r="V646">
        <v>0</v>
      </c>
      <c r="W646">
        <v>0</v>
      </c>
      <c r="X646">
        <v>0</v>
      </c>
      <c r="Y646">
        <v>2</v>
      </c>
      <c r="Z646">
        <v>0</v>
      </c>
      <c r="AA646">
        <v>0</v>
      </c>
      <c r="AB646">
        <v>0</v>
      </c>
      <c r="AC646">
        <v>0</v>
      </c>
      <c r="AD646">
        <v>0</v>
      </c>
      <c r="AE646">
        <v>0</v>
      </c>
      <c r="AF646">
        <v>0</v>
      </c>
      <c r="AG646">
        <v>0</v>
      </c>
      <c r="AH646">
        <v>0</v>
      </c>
      <c r="AI646">
        <v>0</v>
      </c>
      <c r="AJ646">
        <v>0</v>
      </c>
      <c r="AK646">
        <v>0</v>
      </c>
      <c r="AL646">
        <v>0</v>
      </c>
      <c r="AM646">
        <v>1</v>
      </c>
      <c r="AN646">
        <v>0</v>
      </c>
      <c r="AO646">
        <v>0</v>
      </c>
      <c r="AP646">
        <v>0</v>
      </c>
      <c r="AQ646">
        <v>0</v>
      </c>
      <c r="AR646">
        <v>0</v>
      </c>
      <c r="AS646">
        <v>0</v>
      </c>
      <c r="AT646">
        <v>0</v>
      </c>
      <c r="AU646">
        <v>0</v>
      </c>
      <c r="AV646">
        <v>0</v>
      </c>
      <c r="AW646">
        <v>0</v>
      </c>
      <c r="AX646">
        <v>0</v>
      </c>
      <c r="AY646">
        <v>0</v>
      </c>
      <c r="AZ646" s="141">
        <f>COUNTIF(X646:AY646,"&lt;&gt;0")</f>
        <v>2</v>
      </c>
      <c r="BA646" s="141">
        <f>COUNTIF(X646:AN646,"&lt;&gt;0")</f>
        <v>2</v>
      </c>
      <c r="BB646">
        <f>COUNTIF(X646:AE646,"&lt;&gt;0")</f>
        <v>1</v>
      </c>
      <c r="BC646">
        <f>COUNTIF(AF646:AK646,"&lt;&gt;0")</f>
        <v>0</v>
      </c>
      <c r="BD646">
        <f>COUNTIF(AL646:AN646,"&lt;&gt;0")</f>
        <v>1</v>
      </c>
      <c r="BE646">
        <f>COUNTIF(AU646:AY646,"&lt;&gt;0")</f>
        <v>0</v>
      </c>
      <c r="BF646">
        <f>COUNTIF(AO646:AT646,"&lt;&gt;0")</f>
        <v>0</v>
      </c>
      <c r="BG646" t="str" cm="1">
        <f t="array" ref="BG646">IF(BA646=1,INDEX($X$7:$AN$7,MATCH(TRUE,INDEX($X646:$AY646&lt;&gt;0,),0)),IF(BA646=0,INDEX($AO$7:$AY$7,MATCH(1,$AO646:$AY646,0)),IF(BH646="Multiple strategies","mixed drivers",IF(BH646="Supply chain","multiple supply","multiple silviculture"))))</f>
        <v>mixed drivers</v>
      </c>
      <c r="BH646" s="2" t="str" cm="1">
        <f t="array" ref="BH646">IF(COUNTIF(BB646:BD646,"&lt;&gt;0")=1,INDEX($X$4:$AY$4,MATCH(TRUE,INDEX($X646:$AY646&lt;&gt;0,),0)),IF(COUNTIF(BB646:BD646,"&lt;&gt;0")=0,INDEX($AO$4:$AY$4,MATCH(1,$AO646:$AY646,0)),"Multiple strategies"))</f>
        <v>Multiple strategies</v>
      </c>
      <c r="BI646" s="142" t="s">
        <v>229</v>
      </c>
      <c r="BJ646" t="s">
        <v>393</v>
      </c>
      <c r="BK646" s="317" t="s">
        <v>747</v>
      </c>
      <c r="BL646" s="143" t="s">
        <v>748</v>
      </c>
      <c r="BM646">
        <v>32</v>
      </c>
      <c r="BN646" s="143">
        <v>145</v>
      </c>
      <c r="BO646">
        <f>BN646/BM646</f>
        <v>4.53125</v>
      </c>
      <c r="BP646">
        <f>BN646-BM646</f>
        <v>113</v>
      </c>
      <c r="BQ646" s="143">
        <f>BP646*t_to_m3</f>
        <v>230.61224489795919</v>
      </c>
      <c r="BR646" s="317" t="s">
        <v>232</v>
      </c>
      <c r="BS646" s="155" t="s">
        <v>749</v>
      </c>
      <c r="BT646" t="s">
        <v>442</v>
      </c>
      <c r="BU646" s="143">
        <f>-41.7+13.1</f>
        <v>-28.6</v>
      </c>
      <c r="BV646" s="151">
        <f>-212.9+59.5</f>
        <v>-153.4</v>
      </c>
      <c r="BW646" s="144">
        <f>IFERROR(BV646/BU646,"")</f>
        <v>5.3636363636363633</v>
      </c>
      <c r="BX646">
        <f>BV646-BU646</f>
        <v>-124.80000000000001</v>
      </c>
      <c r="BZ646">
        <f>BX646*C_to_CO2</f>
        <v>-458.01600000000002</v>
      </c>
      <c r="CA646">
        <f>IFERROR(BZ646/BQ646,"")</f>
        <v>-1.9860870796460177</v>
      </c>
      <c r="CB646" s="143">
        <v>0</v>
      </c>
      <c r="CC646" s="143">
        <v>0</v>
      </c>
      <c r="CD646" s="143">
        <v>0</v>
      </c>
      <c r="CE646" s="143">
        <v>0</v>
      </c>
      <c r="CF646" s="143">
        <v>0</v>
      </c>
      <c r="CG646" s="143">
        <v>0</v>
      </c>
      <c r="CH646" s="143">
        <v>0</v>
      </c>
      <c r="CI646" s="143">
        <v>0</v>
      </c>
      <c r="CJ646" s="143">
        <v>0</v>
      </c>
      <c r="CK646" s="143">
        <v>0</v>
      </c>
      <c r="CL646" s="143">
        <v>0</v>
      </c>
      <c r="CM646" s="143">
        <v>0</v>
      </c>
      <c r="CN646" s="143">
        <v>0</v>
      </c>
      <c r="CO646">
        <v>0</v>
      </c>
      <c r="CP646" t="str">
        <f>IF($BN646&lt;$BM646,"refNeedCorrection","refOK")</f>
        <v>refOK</v>
      </c>
      <c r="CQ646">
        <f>IF($CP646="refOK",$BM646,$BN646)</f>
        <v>32</v>
      </c>
      <c r="CR646">
        <f>IF($CP646="refOK",$BN646,$BM646)</f>
        <v>145</v>
      </c>
      <c r="CS646">
        <f>IF($CP646="refOK",$BQ646,-$BQ646)</f>
        <v>230.61224489795919</v>
      </c>
      <c r="CT646">
        <f>IF(BI646="Roundwood",$CS646/2,$CS646)</f>
        <v>230.61224489795919</v>
      </c>
      <c r="CU646">
        <f>IF($CP646="refOK",$BU646,$BV646)*IF($BR646="Emissions positive",-1,1)</f>
        <v>-28.6</v>
      </c>
      <c r="CV646">
        <f>IF($CP646="refOK",$BV646,$BU646)*IF($BR646="Emissions positive",-1,1)</f>
        <v>-153.4</v>
      </c>
      <c r="CW646">
        <f>IF($CP646="refNeedCorrection",-BZ646,BZ646)*IF($BR646="Emissions positive",-1,1)</f>
        <v>-458.01600000000002</v>
      </c>
      <c r="CX646">
        <f>IFERROR($CW646/$CS646,"")</f>
        <v>-1.9860870796460177</v>
      </c>
      <c r="CY646">
        <f>IFERROR($CW646/$CS646,"")</f>
        <v>-1.9860870796460177</v>
      </c>
      <c r="CZ646">
        <f>IFERROR($CW646/$CT646,"")</f>
        <v>-1.9860870796460177</v>
      </c>
      <c r="DA646" s="2">
        <f>IFERROR((CV646-CU646)/ABS(CU646),"")</f>
        <v>-4.3636363636363642</v>
      </c>
      <c r="DB646" s="1" t="s">
        <v>263</v>
      </c>
      <c r="DC646" s="317" t="str">
        <f>IF(OR($DB646="prd",$DB646="std",$DB646="cit"),"loc",IF(OR($DB646="eur",$DB646="reg",$DB646="coy"),"reg",$DB646))</f>
        <v>loc</v>
      </c>
      <c r="DD646" t="s">
        <v>235</v>
      </c>
      <c r="DF646" s="143"/>
      <c r="DG646" s="143">
        <v>0</v>
      </c>
      <c r="DH646" t="str">
        <f>IF(DG646=0,"0",IF(AND(DG646&gt;=1,DG646&lt;=30),"1-30",IF(AND(DG646&gt;30,DG646&lt;=70),"31-70",IF(AND(DG646&gt;70,DG646&lt;=100),"71-100",IF(DG646&gt;100,"+100")))))</f>
        <v>0</v>
      </c>
      <c r="DI646">
        <v>0</v>
      </c>
      <c r="DJ646">
        <v>0</v>
      </c>
      <c r="DK646">
        <v>0</v>
      </c>
      <c r="DL646">
        <v>1</v>
      </c>
      <c r="DN646">
        <f>SUM(DI646:DL646)</f>
        <v>1</v>
      </c>
      <c r="DO646" t="str">
        <f>IF(DN646=1,INDEX($DI$7:$DL$7,MATCH(1,$DI646:$DL646,0)),"mixedProduct")</f>
        <v>TimberInput</v>
      </c>
      <c r="DP646">
        <f>IF(DI646=1,DP$7,0)</f>
        <v>0</v>
      </c>
      <c r="DQ646">
        <f>IF(DJ646=1,DQ$7,0)</f>
        <v>0</v>
      </c>
      <c r="DR646">
        <f>IF(DK646=1,DR$7,0)</f>
        <v>0</v>
      </c>
      <c r="DS646" t="str">
        <f>IF(DL646=1,DS$7,0)</f>
        <v>Timber</v>
      </c>
      <c r="DT646">
        <v>1</v>
      </c>
      <c r="DU646" s="143">
        <v>0</v>
      </c>
      <c r="DV646" s="143">
        <v>0</v>
      </c>
      <c r="DW646">
        <v>0</v>
      </c>
      <c r="DX646" s="143">
        <v>0</v>
      </c>
      <c r="DY646">
        <f>SUM(DT646:DU646)</f>
        <v>1</v>
      </c>
      <c r="DZ646" s="143" t="str">
        <f>IF(DT646=1,"self-calculated DF",IF(DU646=1,"external DF used","explicit C balance"))</f>
        <v>self-calculated DF</v>
      </c>
      <c r="EA646" s="143">
        <v>0</v>
      </c>
      <c r="EB646" s="143">
        <v>1</v>
      </c>
      <c r="EC646" s="143">
        <v>1</v>
      </c>
      <c r="ED646" s="143">
        <v>1</v>
      </c>
      <c r="EE646">
        <v>0</v>
      </c>
      <c r="EF646" s="143">
        <v>0</v>
      </c>
      <c r="EG646" s="143">
        <v>0</v>
      </c>
      <c r="EH646" s="143">
        <v>0</v>
      </c>
      <c r="EI646" s="143">
        <v>0</v>
      </c>
      <c r="EJ646">
        <v>0</v>
      </c>
      <c r="EK646">
        <v>0</v>
      </c>
      <c r="EL646" s="143">
        <v>0</v>
      </c>
      <c r="EM646" s="143">
        <v>0</v>
      </c>
      <c r="EN646" s="2">
        <v>0</v>
      </c>
      <c r="EP646" t="str">
        <f>IF(AND(AND(AND(OR($EC646=1,$EB646=1),OR($EH646=1,$EF646=1)),SUM($EA646:$EE646,$EK646)&gt;=3),SUM($EF646:$EJ646)&gt;=2),"Whole sector approach","")</f>
        <v/>
      </c>
      <c r="EQ646" t="str">
        <f>IF(AND(AND(OR($EC646=1,$EB646=1),AND($EH646=0,$EF646=0)),SUM($EA646:$EE646,$EK646)&gt;=3),"Ecosystem approach","")</f>
        <v>Ecosystem approach</v>
      </c>
      <c r="ER646" s="2" t="str">
        <f>IF(AND(AND(AND($EC646=0,$EB646=0),OR($EH646=1,$EF646=1)),SUM($EG646:$EJ646)&gt;=2),"Technology approach","")</f>
        <v/>
      </c>
      <c r="ES646" t="str">
        <f>IF(AND($EC646+$EB646+$EE646+$EA646+$ED646+$EG646=0,$N646="included"),"C neutral forest and HWP assumption","")</f>
        <v/>
      </c>
      <c r="ET646" t="str">
        <f>IF(AND(AND(AND(AND($EC646=1,$EB646+$EA646+$EG646&gt;=1),$EF646=1),$EH646+$EI646+$ED646+$EE646&gt;=2),$N646="included"),"All C pools assumption","")</f>
        <v/>
      </c>
      <c r="EU646" t="str">
        <f>IF(AND($ED646+$EE646+$EI646+$EH646+$EF646=0,$N646="included"),"In-situ only assumption","")</f>
        <v/>
      </c>
      <c r="EV646" s="328" t="s">
        <v>5065</v>
      </c>
      <c r="EY646" t="str">
        <f>IF(ISNUMBER(BW646),IF(ABS(BW646-[4]QC_indicators!$B$2)&gt;3*[4]QC_indicators!$C$2,"C ratio",IF(ISNUMBER(CA646),IF(ABS(CA646-[4]QC_indicators!$B$1)&gt;3*[4]QC_indicators!$C$1,"DF","no"))),IF(ISNUMBER(CA646),IF(ABS(CA646-[4]QC_indicators!$B$1)&gt;3*[4]QC_indicators!$C$1,"DF","no")))</f>
        <v>no</v>
      </c>
      <c r="FA646" t="str">
        <f>IF(LEN($CY646)=0,"",IF(AND($CY646&lt;(-0.05),$ES646="C neutral forest and HWP assumption"),"Cneutral paradox",IF(AND($CY646&gt;0.05,$EU646="In-situ only assumption"),"In-situ only paradox","")))</f>
        <v/>
      </c>
      <c r="FB646" s="319" t="s">
        <v>349</v>
      </c>
      <c r="FD646" t="s">
        <v>4972</v>
      </c>
    </row>
    <row r="647" spans="4:160" ht="15" hidden="1" customHeight="1">
      <c r="D647" t="s">
        <v>743</v>
      </c>
      <c r="E647" t="s">
        <v>744</v>
      </c>
      <c r="G647" t="s">
        <v>745</v>
      </c>
      <c r="I647">
        <v>2006</v>
      </c>
      <c r="K647" s="289" t="s">
        <v>746</v>
      </c>
      <c r="M647" t="str">
        <f>LEFT($D647,FIND(",",$D647)-1)&amp;"_"&amp;I647&amp;L647</f>
        <v>Gustavsson_2006</v>
      </c>
      <c r="N647" t="s">
        <v>222</v>
      </c>
      <c r="O647" t="s">
        <v>223</v>
      </c>
      <c r="Q647" s="317" t="s">
        <v>256</v>
      </c>
      <c r="R647" s="318" t="s">
        <v>1029</v>
      </c>
      <c r="S647" s="320" t="s">
        <v>4975</v>
      </c>
      <c r="T647" t="s">
        <v>739</v>
      </c>
      <c r="U647" s="143" t="s">
        <v>740</v>
      </c>
      <c r="V647">
        <v>0</v>
      </c>
      <c r="W647">
        <v>0</v>
      </c>
      <c r="X647">
        <v>0</v>
      </c>
      <c r="Y647">
        <v>2</v>
      </c>
      <c r="Z647">
        <v>0</v>
      </c>
      <c r="AA647">
        <v>0</v>
      </c>
      <c r="AB647">
        <v>0</v>
      </c>
      <c r="AC647">
        <v>0</v>
      </c>
      <c r="AD647">
        <v>0</v>
      </c>
      <c r="AE647">
        <v>0</v>
      </c>
      <c r="AF647">
        <v>0</v>
      </c>
      <c r="AG647">
        <v>0</v>
      </c>
      <c r="AH647">
        <v>0</v>
      </c>
      <c r="AI647">
        <v>0</v>
      </c>
      <c r="AJ647">
        <v>0</v>
      </c>
      <c r="AK647">
        <v>0</v>
      </c>
      <c r="AL647">
        <v>0</v>
      </c>
      <c r="AM647">
        <v>1</v>
      </c>
      <c r="AN647">
        <v>0</v>
      </c>
      <c r="AO647">
        <v>0</v>
      </c>
      <c r="AP647">
        <v>0</v>
      </c>
      <c r="AQ647">
        <v>0</v>
      </c>
      <c r="AR647">
        <v>0</v>
      </c>
      <c r="AS647">
        <v>0</v>
      </c>
      <c r="AT647">
        <v>0</v>
      </c>
      <c r="AU647">
        <v>0</v>
      </c>
      <c r="AV647">
        <v>0</v>
      </c>
      <c r="AW647">
        <v>0</v>
      </c>
      <c r="AX647">
        <v>0</v>
      </c>
      <c r="AY647">
        <v>0</v>
      </c>
      <c r="AZ647" s="141">
        <f>COUNTIF(X647:AY647,"&lt;&gt;0")</f>
        <v>2</v>
      </c>
      <c r="BA647" s="141">
        <f>COUNTIF(X647:AN647,"&lt;&gt;0")</f>
        <v>2</v>
      </c>
      <c r="BB647">
        <f>COUNTIF(X647:AE647,"&lt;&gt;0")</f>
        <v>1</v>
      </c>
      <c r="BC647">
        <f>COUNTIF(AF647:AK647,"&lt;&gt;0")</f>
        <v>0</v>
      </c>
      <c r="BD647">
        <f>COUNTIF(AL647:AN647,"&lt;&gt;0")</f>
        <v>1</v>
      </c>
      <c r="BE647">
        <f>COUNTIF(AU647:AY647,"&lt;&gt;0")</f>
        <v>0</v>
      </c>
      <c r="BF647">
        <f>COUNTIF(AO647:AT647,"&lt;&gt;0")</f>
        <v>0</v>
      </c>
      <c r="BG647" t="str" cm="1">
        <f t="array" ref="BG647">IF(BA647=1,INDEX($X$7:$AN$7,MATCH(TRUE,INDEX($X647:$AY647&lt;&gt;0,),0)),IF(BA647=0,INDEX($AO$7:$AY$7,MATCH(1,$AO647:$AY647,0)),IF(BH647="Multiple strategies","mixed drivers",IF(BH647="Supply chain","multiple supply","multiple silviculture"))))</f>
        <v>mixed drivers</v>
      </c>
      <c r="BH647" s="2" t="str" cm="1">
        <f t="array" ref="BH647">IF(COUNTIF(BB647:BD647,"&lt;&gt;0")=1,INDEX($X$4:$AY$4,MATCH(TRUE,INDEX($X647:$AY647&lt;&gt;0,),0)),IF(COUNTIF(BB647:BD647,"&lt;&gt;0")=0,INDEX($AO$4:$AY$4,MATCH(1,$AO647:$AY647,0)),"Multiple strategies"))</f>
        <v>Multiple strategies</v>
      </c>
      <c r="BI647" s="142" t="s">
        <v>229</v>
      </c>
      <c r="BJ647" t="s">
        <v>393</v>
      </c>
      <c r="BK647" s="317" t="s">
        <v>747</v>
      </c>
      <c r="BL647" s="143" t="s">
        <v>748</v>
      </c>
      <c r="BM647">
        <v>70</v>
      </c>
      <c r="BN647" s="143">
        <v>98</v>
      </c>
      <c r="BO647">
        <f>BN647/BM647</f>
        <v>1.4</v>
      </c>
      <c r="BP647">
        <f>BN647-BM647</f>
        <v>28</v>
      </c>
      <c r="BQ647" s="143">
        <f>BP647*t_to_m3</f>
        <v>57.142857142857146</v>
      </c>
      <c r="BR647" s="317" t="s">
        <v>232</v>
      </c>
      <c r="BS647" s="155" t="s">
        <v>749</v>
      </c>
      <c r="BT647" t="s">
        <v>442</v>
      </c>
      <c r="BU647" s="143">
        <f>-93.1+28.2</f>
        <v>-64.899999999999991</v>
      </c>
      <c r="BV647" s="151">
        <f>-144.3+40.3</f>
        <v>-104.00000000000001</v>
      </c>
      <c r="BW647" s="144">
        <f>IFERROR(BV647/BU647,"")</f>
        <v>1.602465331278891</v>
      </c>
      <c r="BX647">
        <f>BV647-BU647</f>
        <v>-39.100000000000023</v>
      </c>
      <c r="BZ647">
        <f>BX647*C_to_CO2</f>
        <v>-143.49700000000007</v>
      </c>
      <c r="CA647">
        <f>IFERROR(BZ647/BQ647,"")</f>
        <v>-2.5111975000000011</v>
      </c>
      <c r="CB647" s="143">
        <v>0</v>
      </c>
      <c r="CC647" s="143">
        <v>0</v>
      </c>
      <c r="CD647" s="143">
        <v>0</v>
      </c>
      <c r="CE647" s="143">
        <v>0</v>
      </c>
      <c r="CF647" s="143">
        <v>0</v>
      </c>
      <c r="CG647" s="143">
        <v>0</v>
      </c>
      <c r="CH647" s="143">
        <v>0</v>
      </c>
      <c r="CI647" s="143">
        <v>0</v>
      </c>
      <c r="CJ647" s="143">
        <v>0</v>
      </c>
      <c r="CK647" s="143">
        <v>0</v>
      </c>
      <c r="CL647" s="143">
        <v>0</v>
      </c>
      <c r="CM647" s="143">
        <v>0</v>
      </c>
      <c r="CN647" s="143">
        <v>0</v>
      </c>
      <c r="CO647">
        <v>0</v>
      </c>
      <c r="CP647" t="str">
        <f>IF($BN647&lt;$BM647,"refNeedCorrection","refOK")</f>
        <v>refOK</v>
      </c>
      <c r="CQ647">
        <f>IF($CP647="refOK",$BM647,$BN647)</f>
        <v>70</v>
      </c>
      <c r="CR647">
        <f>IF($CP647="refOK",$BN647,$BM647)</f>
        <v>98</v>
      </c>
      <c r="CS647">
        <f>IF($CP647="refOK",$BQ647,-$BQ647)</f>
        <v>57.142857142857146</v>
      </c>
      <c r="CT647">
        <f>IF(BI647="Roundwood",$CS647/2,$CS647)</f>
        <v>57.142857142857146</v>
      </c>
      <c r="CU647">
        <f>IF($CP647="refOK",$BU647,$BV647)*IF($BR647="Emissions positive",-1,1)</f>
        <v>-64.899999999999991</v>
      </c>
      <c r="CV647">
        <f>IF($CP647="refOK",$BV647,$BU647)*IF($BR647="Emissions positive",-1,1)</f>
        <v>-104.00000000000001</v>
      </c>
      <c r="CW647">
        <f>IF($CP647="refNeedCorrection",-BZ647,BZ647)*IF($BR647="Emissions positive",-1,1)</f>
        <v>-143.49700000000007</v>
      </c>
      <c r="CX647">
        <f>IFERROR($CW647/$CS647,"")</f>
        <v>-2.5111975000000011</v>
      </c>
      <c r="CY647">
        <f>IFERROR($CW647/$CS647,"")</f>
        <v>-2.5111975000000011</v>
      </c>
      <c r="CZ647">
        <f>IFERROR($CW647/$CT647,"")</f>
        <v>-2.5111975000000011</v>
      </c>
      <c r="DA647" s="2">
        <f>IFERROR((CV647-CU647)/ABS(CU647),"")</f>
        <v>-0.60246533127889101</v>
      </c>
      <c r="DB647" s="1" t="s">
        <v>263</v>
      </c>
      <c r="DC647" s="317" t="str">
        <f>IF(OR($DB647="prd",$DB647="std",$DB647="cit"),"loc",IF(OR($DB647="eur",$DB647="reg",$DB647="coy"),"reg",$DB647))</f>
        <v>loc</v>
      </c>
      <c r="DD647" t="s">
        <v>444</v>
      </c>
      <c r="DF647" s="143"/>
      <c r="DG647" s="143">
        <v>0</v>
      </c>
      <c r="DH647" t="str">
        <f>IF(DG647=0,"0",IF(AND(DG647&gt;=1,DG647&lt;=30),"1-30",IF(AND(DG647&gt;30,DG647&lt;=70),"31-70",IF(AND(DG647&gt;70,DG647&lt;=100),"71-100",IF(DG647&gt;100,"+100")))))</f>
        <v>0</v>
      </c>
      <c r="DI647">
        <v>0</v>
      </c>
      <c r="DJ647">
        <v>0</v>
      </c>
      <c r="DK647">
        <v>0</v>
      </c>
      <c r="DL647">
        <v>1</v>
      </c>
      <c r="DN647">
        <f>SUM(DI647:DL647)</f>
        <v>1</v>
      </c>
      <c r="DO647" t="str">
        <f>IF(DN647=1,INDEX($DI$7:$DL$7,MATCH(1,$DI647:$DL647,0)),"mixedProduct")</f>
        <v>TimberInput</v>
      </c>
      <c r="DP647">
        <f>IF(DI647=1,DP$7,0)</f>
        <v>0</v>
      </c>
      <c r="DQ647">
        <f>IF(DJ647=1,DQ$7,0)</f>
        <v>0</v>
      </c>
      <c r="DR647">
        <f>IF(DK647=1,DR$7,0)</f>
        <v>0</v>
      </c>
      <c r="DS647" t="str">
        <f>IF(DL647=1,DS$7,0)</f>
        <v>Timber</v>
      </c>
      <c r="DT647">
        <v>1</v>
      </c>
      <c r="DU647" s="143">
        <v>0</v>
      </c>
      <c r="DV647" s="143">
        <v>0</v>
      </c>
      <c r="DW647">
        <v>0</v>
      </c>
      <c r="DX647" s="143">
        <v>0</v>
      </c>
      <c r="DY647">
        <f>SUM(DT647:DU647)</f>
        <v>1</v>
      </c>
      <c r="DZ647" s="143" t="str">
        <f>IF(DT647=1,"self-calculated DF",IF(DU647=1,"external DF used","explicit C balance"))</f>
        <v>self-calculated DF</v>
      </c>
      <c r="EA647" s="143">
        <v>0</v>
      </c>
      <c r="EB647" s="143">
        <v>1</v>
      </c>
      <c r="EC647" s="143">
        <v>1</v>
      </c>
      <c r="ED647" s="143">
        <v>1</v>
      </c>
      <c r="EE647">
        <v>0</v>
      </c>
      <c r="EF647" s="143">
        <v>0</v>
      </c>
      <c r="EG647" s="143">
        <v>0</v>
      </c>
      <c r="EH647" s="143">
        <v>0</v>
      </c>
      <c r="EI647" s="143">
        <v>0</v>
      </c>
      <c r="EJ647">
        <v>0</v>
      </c>
      <c r="EK647">
        <v>0</v>
      </c>
      <c r="EL647" s="143">
        <v>0</v>
      </c>
      <c r="EM647" s="143">
        <v>0</v>
      </c>
      <c r="EN647" s="2">
        <v>0</v>
      </c>
      <c r="EP647" t="str">
        <f>IF(AND(AND(AND(OR($EC647=1,$EB647=1),OR($EH647=1,$EF647=1)),SUM($EA647:$EE647,$EK647)&gt;=3),SUM($EF647:$EJ647)&gt;=2),"Whole sector approach","")</f>
        <v/>
      </c>
      <c r="EQ647" t="str">
        <f>IF(AND(AND(OR($EC647=1,$EB647=1),AND($EH647=0,$EF647=0)),SUM($EA647:$EE647,$EK647)&gt;=3),"Ecosystem approach","")</f>
        <v>Ecosystem approach</v>
      </c>
      <c r="ER647" s="2" t="str">
        <f>IF(AND(AND(AND($EC647=0,$EB647=0),OR($EH647=1,$EF647=1)),SUM($EG647:$EJ647)&gt;=2),"Technology approach","")</f>
        <v/>
      </c>
      <c r="ES647" t="str">
        <f>IF(AND($EC647+$EB647+$EE647+$EA647+$ED647+$EG647=0,$N647="included"),"C neutral forest and HWP assumption","")</f>
        <v/>
      </c>
      <c r="ET647" t="str">
        <f>IF(AND(AND(AND(AND($EC647=1,$EB647+$EA647+$EG647&gt;=1),$EF647=1),$EH647+$EI647+$ED647+$EE647&gt;=2),$N647="included"),"All C pools assumption","")</f>
        <v/>
      </c>
      <c r="EU647" t="str">
        <f>IF(AND($ED647+$EE647+$EI647+$EH647+$EF647=0,$N647="included"),"In-situ only assumption","")</f>
        <v/>
      </c>
      <c r="EV647" s="328" t="s">
        <v>5065</v>
      </c>
      <c r="EY647" t="str">
        <f>IF(ISNUMBER(BW647),IF(ABS(BW647-[4]QC_indicators!$B$2)&gt;3*[4]QC_indicators!$C$2,"C ratio",IF(ISNUMBER(CA647),IF(ABS(CA647-[4]QC_indicators!$B$1)&gt;3*[4]QC_indicators!$C$1,"DF","no"))),IF(ISNUMBER(CA647),IF(ABS(CA647-[4]QC_indicators!$B$1)&gt;3*[4]QC_indicators!$C$1,"DF","no")))</f>
        <v>no</v>
      </c>
      <c r="FA647" t="str">
        <f>IF(LEN($CY647)=0,"",IF(AND($CY647&lt;(-0.05),$ES647="C neutral forest and HWP assumption"),"Cneutral paradox",IF(AND($CY647&gt;0.05,$EU647="In-situ only assumption"),"In-situ only paradox","")))</f>
        <v/>
      </c>
      <c r="FB647" s="319" t="s">
        <v>349</v>
      </c>
      <c r="FD647" t="s">
        <v>4972</v>
      </c>
    </row>
    <row r="648" spans="4:160" ht="15" hidden="1" customHeight="1">
      <c r="D648" t="s">
        <v>743</v>
      </c>
      <c r="E648" t="s">
        <v>744</v>
      </c>
      <c r="G648" t="s">
        <v>745</v>
      </c>
      <c r="I648">
        <v>2006</v>
      </c>
      <c r="K648" s="289" t="s">
        <v>746</v>
      </c>
      <c r="M648" t="str">
        <f>LEFT($D648,FIND(",",$D648)-1)&amp;"_"&amp;I648&amp;L648</f>
        <v>Gustavsson_2006</v>
      </c>
      <c r="N648" t="s">
        <v>222</v>
      </c>
      <c r="O648" t="s">
        <v>223</v>
      </c>
      <c r="Q648" s="317" t="s">
        <v>256</v>
      </c>
      <c r="R648" s="318" t="s">
        <v>1029</v>
      </c>
      <c r="S648" s="320" t="s">
        <v>4977</v>
      </c>
      <c r="T648" t="s">
        <v>739</v>
      </c>
      <c r="U648" s="143" t="s">
        <v>740</v>
      </c>
      <c r="V648">
        <v>0</v>
      </c>
      <c r="W648">
        <v>0</v>
      </c>
      <c r="X648">
        <v>0</v>
      </c>
      <c r="Y648">
        <v>2</v>
      </c>
      <c r="Z648">
        <v>0</v>
      </c>
      <c r="AA648">
        <v>0</v>
      </c>
      <c r="AB648">
        <v>0</v>
      </c>
      <c r="AC648">
        <v>0</v>
      </c>
      <c r="AD648">
        <v>0</v>
      </c>
      <c r="AE648">
        <v>0</v>
      </c>
      <c r="AF648">
        <v>0</v>
      </c>
      <c r="AG648">
        <v>0</v>
      </c>
      <c r="AH648">
        <v>0</v>
      </c>
      <c r="AI648">
        <v>0</v>
      </c>
      <c r="AJ648">
        <v>0</v>
      </c>
      <c r="AK648">
        <v>0</v>
      </c>
      <c r="AL648">
        <v>0</v>
      </c>
      <c r="AM648">
        <v>1</v>
      </c>
      <c r="AN648">
        <v>0</v>
      </c>
      <c r="AO648">
        <v>0</v>
      </c>
      <c r="AP648">
        <v>0</v>
      </c>
      <c r="AQ648">
        <v>0</v>
      </c>
      <c r="AR648">
        <v>0</v>
      </c>
      <c r="AS648">
        <v>0</v>
      </c>
      <c r="AT648">
        <v>0</v>
      </c>
      <c r="AU648">
        <v>0</v>
      </c>
      <c r="AV648">
        <v>0</v>
      </c>
      <c r="AW648">
        <v>0</v>
      </c>
      <c r="AX648">
        <v>0</v>
      </c>
      <c r="AY648">
        <v>0</v>
      </c>
      <c r="AZ648" s="141">
        <f>COUNTIF(X648:AY648,"&lt;&gt;0")</f>
        <v>2</v>
      </c>
      <c r="BA648" s="141">
        <f>COUNTIF(X648:AN648,"&lt;&gt;0")</f>
        <v>2</v>
      </c>
      <c r="BB648">
        <f>COUNTIF(X648:AE648,"&lt;&gt;0")</f>
        <v>1</v>
      </c>
      <c r="BC648">
        <f>COUNTIF(AF648:AK648,"&lt;&gt;0")</f>
        <v>0</v>
      </c>
      <c r="BD648">
        <f>COUNTIF(AL648:AN648,"&lt;&gt;0")</f>
        <v>1</v>
      </c>
      <c r="BE648">
        <f>COUNTIF(AU648:AY648,"&lt;&gt;0")</f>
        <v>0</v>
      </c>
      <c r="BF648">
        <f>COUNTIF(AO648:AT648,"&lt;&gt;0")</f>
        <v>0</v>
      </c>
      <c r="BG648" t="str" cm="1">
        <f t="array" ref="BG648">IF(BA648=1,INDEX($X$7:$AN$7,MATCH(TRUE,INDEX($X648:$AY648&lt;&gt;0,),0)),IF(BA648=0,INDEX($AO$7:$AY$7,MATCH(1,$AO648:$AY648,0)),IF(BH648="Multiple strategies","mixed drivers",IF(BH648="Supply chain","multiple supply","multiple silviculture"))))</f>
        <v>mixed drivers</v>
      </c>
      <c r="BH648" s="2" t="str" cm="1">
        <f t="array" ref="BH648">IF(COUNTIF(BB648:BD648,"&lt;&gt;0")=1,INDEX($X$4:$AY$4,MATCH(TRUE,INDEX($X648:$AY648&lt;&gt;0,),0)),IF(COUNTIF(BB648:BD648,"&lt;&gt;0")=0,INDEX($AO$4:$AY$4,MATCH(1,$AO648:$AY648,0)),"Multiple strategies"))</f>
        <v>Multiple strategies</v>
      </c>
      <c r="BI648" s="142" t="s">
        <v>229</v>
      </c>
      <c r="BJ648" t="s">
        <v>393</v>
      </c>
      <c r="BK648" s="317" t="s">
        <v>747</v>
      </c>
      <c r="BL648" s="143" t="s">
        <v>748</v>
      </c>
      <c r="BM648">
        <v>70</v>
      </c>
      <c r="BN648" s="143">
        <v>98</v>
      </c>
      <c r="BO648">
        <f>BN648/BM648</f>
        <v>1.4</v>
      </c>
      <c r="BP648">
        <f>BN648-BM648</f>
        <v>28</v>
      </c>
      <c r="BQ648" s="143">
        <f>BP648*t_to_m3</f>
        <v>57.142857142857146</v>
      </c>
      <c r="BR648" s="317" t="s">
        <v>232</v>
      </c>
      <c r="BS648" s="155" t="s">
        <v>749</v>
      </c>
      <c r="BT648" t="s">
        <v>442</v>
      </c>
      <c r="BU648" s="143">
        <f>-93.1+28.2</f>
        <v>-64.899999999999991</v>
      </c>
      <c r="BV648" s="151">
        <f>-144.3+40.3</f>
        <v>-104.00000000000001</v>
      </c>
      <c r="BW648" s="144">
        <f>IFERROR(BV648/BU648,"")</f>
        <v>1.602465331278891</v>
      </c>
      <c r="BX648">
        <f>BV648-BU648</f>
        <v>-39.100000000000023</v>
      </c>
      <c r="BZ648">
        <f>BX648*C_to_CO2</f>
        <v>-143.49700000000007</v>
      </c>
      <c r="CA648">
        <f>IFERROR(BZ648/BQ648,"")</f>
        <v>-2.5111975000000011</v>
      </c>
      <c r="CB648" s="143">
        <v>0</v>
      </c>
      <c r="CC648" s="143">
        <v>0</v>
      </c>
      <c r="CD648" s="143">
        <v>0</v>
      </c>
      <c r="CE648" s="143">
        <v>0</v>
      </c>
      <c r="CF648" s="143">
        <v>0</v>
      </c>
      <c r="CG648" s="143">
        <v>0</v>
      </c>
      <c r="CH648" s="143">
        <v>0</v>
      </c>
      <c r="CI648" s="143">
        <v>0</v>
      </c>
      <c r="CJ648" s="143">
        <v>0</v>
      </c>
      <c r="CK648" s="143">
        <v>0</v>
      </c>
      <c r="CL648" s="143">
        <v>0</v>
      </c>
      <c r="CM648" s="143">
        <v>0</v>
      </c>
      <c r="CN648" s="143">
        <v>0</v>
      </c>
      <c r="CO648">
        <v>0</v>
      </c>
      <c r="CP648" t="str">
        <f>IF($BN648&lt;$BM648,"refNeedCorrection","refOK")</f>
        <v>refOK</v>
      </c>
      <c r="CQ648">
        <f>IF($CP648="refOK",$BM648,$BN648)</f>
        <v>70</v>
      </c>
      <c r="CR648">
        <f>IF($CP648="refOK",$BN648,$BM648)</f>
        <v>98</v>
      </c>
      <c r="CS648">
        <f>IF($CP648="refOK",$BQ648,-$BQ648)</f>
        <v>57.142857142857146</v>
      </c>
      <c r="CT648">
        <f>IF(BI648="Roundwood",$CS648/2,$CS648)</f>
        <v>57.142857142857146</v>
      </c>
      <c r="CU648">
        <f>IF($CP648="refOK",$BU648,$BV648)*IF($BR648="Emissions positive",-1,1)</f>
        <v>-64.899999999999991</v>
      </c>
      <c r="CV648">
        <f>IF($CP648="refOK",$BV648,$BU648)*IF($BR648="Emissions positive",-1,1)</f>
        <v>-104.00000000000001</v>
      </c>
      <c r="CW648">
        <f>IF($CP648="refNeedCorrection",-BZ648,BZ648)*IF($BR648="Emissions positive",-1,1)</f>
        <v>-143.49700000000007</v>
      </c>
      <c r="CX648">
        <f>IFERROR($CW648/$CS648,"")</f>
        <v>-2.5111975000000011</v>
      </c>
      <c r="CY648">
        <f>IFERROR($CW648/$CS648,"")</f>
        <v>-2.5111975000000011</v>
      </c>
      <c r="CZ648">
        <f>IFERROR($CW648/$CT648,"")</f>
        <v>-2.5111975000000011</v>
      </c>
      <c r="DA648" s="2">
        <f>IFERROR((CV648-CU648)/ABS(CU648),"")</f>
        <v>-0.60246533127889101</v>
      </c>
      <c r="DB648" s="1" t="s">
        <v>263</v>
      </c>
      <c r="DC648" s="317" t="str">
        <f>IF(OR($DB648="prd",$DB648="std",$DB648="cit"),"loc",IF(OR($DB648="eur",$DB648="reg",$DB648="coy"),"reg",$DB648))</f>
        <v>loc</v>
      </c>
      <c r="DD648" t="s">
        <v>444</v>
      </c>
      <c r="DF648" s="143"/>
      <c r="DG648" s="143">
        <v>0</v>
      </c>
      <c r="DH648" t="str">
        <f>IF(DG648=0,"0",IF(AND(DG648&gt;=1,DG648&lt;=30),"1-30",IF(AND(DG648&gt;30,DG648&lt;=70),"31-70",IF(AND(DG648&gt;70,DG648&lt;=100),"71-100",IF(DG648&gt;100,"+100")))))</f>
        <v>0</v>
      </c>
      <c r="DI648">
        <v>0</v>
      </c>
      <c r="DJ648">
        <v>0</v>
      </c>
      <c r="DK648">
        <v>0</v>
      </c>
      <c r="DL648">
        <v>1</v>
      </c>
      <c r="DN648">
        <f>SUM(DI648:DL648)</f>
        <v>1</v>
      </c>
      <c r="DO648" t="str">
        <f>IF(DN648=1,INDEX($DI$7:$DL$7,MATCH(1,$DI648:$DL648,0)),"mixedProduct")</f>
        <v>TimberInput</v>
      </c>
      <c r="DP648">
        <f>IF(DI648=1,DP$7,0)</f>
        <v>0</v>
      </c>
      <c r="DQ648">
        <f>IF(DJ648=1,DQ$7,0)</f>
        <v>0</v>
      </c>
      <c r="DR648">
        <f>IF(DK648=1,DR$7,0)</f>
        <v>0</v>
      </c>
      <c r="DS648" t="str">
        <f>IF(DL648=1,DS$7,0)</f>
        <v>Timber</v>
      </c>
      <c r="DT648">
        <v>1</v>
      </c>
      <c r="DU648" s="143">
        <v>0</v>
      </c>
      <c r="DV648" s="143">
        <v>0</v>
      </c>
      <c r="DW648">
        <v>0</v>
      </c>
      <c r="DX648" s="143">
        <v>0</v>
      </c>
      <c r="DY648">
        <f>SUM(DT648:DU648)</f>
        <v>1</v>
      </c>
      <c r="DZ648" s="143" t="str">
        <f>IF(DT648=1,"self-calculated DF",IF(DU648=1,"external DF used","explicit C balance"))</f>
        <v>self-calculated DF</v>
      </c>
      <c r="EA648" s="143">
        <v>0</v>
      </c>
      <c r="EB648" s="143">
        <v>1</v>
      </c>
      <c r="EC648" s="143">
        <v>1</v>
      </c>
      <c r="ED648" s="143">
        <v>1</v>
      </c>
      <c r="EE648">
        <v>0</v>
      </c>
      <c r="EF648" s="143">
        <v>0</v>
      </c>
      <c r="EG648" s="143">
        <v>0</v>
      </c>
      <c r="EH648" s="143">
        <v>0</v>
      </c>
      <c r="EI648" s="143">
        <v>0</v>
      </c>
      <c r="EJ648">
        <v>0</v>
      </c>
      <c r="EK648">
        <v>0</v>
      </c>
      <c r="EL648" s="143">
        <v>0</v>
      </c>
      <c r="EM648" s="143">
        <v>0</v>
      </c>
      <c r="EN648" s="2">
        <v>0</v>
      </c>
      <c r="EP648" t="str">
        <f>IF(AND(AND(AND(OR($EC648=1,$EB648=1),OR($EH648=1,$EF648=1)),SUM($EA648:$EE648,$EK648)&gt;=3),SUM($EF648:$EJ648)&gt;=2),"Whole sector approach","")</f>
        <v/>
      </c>
      <c r="EQ648" t="str">
        <f>IF(AND(AND(OR($EC648=1,$EB648=1),AND($EH648=0,$EF648=0)),SUM($EA648:$EE648,$EK648)&gt;=3),"Ecosystem approach","")</f>
        <v>Ecosystem approach</v>
      </c>
      <c r="ER648" s="2" t="str">
        <f>IF(AND(AND(AND($EC648=0,$EB648=0),OR($EH648=1,$EF648=1)),SUM($EG648:$EJ648)&gt;=2),"Technology approach","")</f>
        <v/>
      </c>
      <c r="ES648" t="str">
        <f>IF(AND($EC648+$EB648+$EE648+$EA648+$ED648+$EG648=0,$N648="included"),"C neutral forest and HWP assumption","")</f>
        <v/>
      </c>
      <c r="ET648" t="str">
        <f>IF(AND(AND(AND(AND($EC648=1,$EB648+$EA648+$EG648&gt;=1),$EF648=1),$EH648+$EI648+$ED648+$EE648&gt;=2),$N648="included"),"All C pools assumption","")</f>
        <v/>
      </c>
      <c r="EU648" t="str">
        <f>IF(AND($ED648+$EE648+$EI648+$EH648+$EF648=0,$N648="included"),"In-situ only assumption","")</f>
        <v/>
      </c>
      <c r="EV648" s="328" t="s">
        <v>5065</v>
      </c>
      <c r="EY648" t="str">
        <f>IF(ISNUMBER(BW648),IF(ABS(BW648-[4]QC_indicators!$B$2)&gt;3*[4]QC_indicators!$C$2,"C ratio",IF(ISNUMBER(CA648),IF(ABS(CA648-[4]QC_indicators!$B$1)&gt;3*[4]QC_indicators!$C$1,"DF","no"))),IF(ISNUMBER(CA648),IF(ABS(CA648-[4]QC_indicators!$B$1)&gt;3*[4]QC_indicators!$C$1,"DF","no")))</f>
        <v>no</v>
      </c>
      <c r="FA648" t="str">
        <f>IF(LEN($CY648)=0,"",IF(AND($CY648&lt;(-0.05),$ES648="C neutral forest and HWP assumption"),"Cneutral paradox",IF(AND($CY648&gt;0.05,$EU648="In-situ only assumption"),"In-situ only paradox","")))</f>
        <v/>
      </c>
      <c r="FB648" s="319" t="s">
        <v>349</v>
      </c>
      <c r="FD648" t="s">
        <v>4972</v>
      </c>
    </row>
    <row r="649" spans="4:160" ht="15" customHeight="1">
      <c r="D649" t="s">
        <v>743</v>
      </c>
      <c r="E649" t="s">
        <v>744</v>
      </c>
      <c r="G649" t="s">
        <v>745</v>
      </c>
      <c r="I649">
        <v>2006</v>
      </c>
      <c r="K649" s="289" t="s">
        <v>746</v>
      </c>
      <c r="M649" t="str">
        <f>LEFT($D649,FIND(",",$D649)-1)&amp;"_"&amp;I649&amp;L649</f>
        <v>Gustavsson_2006</v>
      </c>
      <c r="N649" t="s">
        <v>222</v>
      </c>
      <c r="O649" t="s">
        <v>223</v>
      </c>
      <c r="Q649" s="317" t="s">
        <v>256</v>
      </c>
      <c r="R649" s="318" t="s">
        <v>1029</v>
      </c>
      <c r="S649" s="320" t="s">
        <v>750</v>
      </c>
      <c r="T649" t="s">
        <v>739</v>
      </c>
      <c r="U649" s="143" t="s">
        <v>740</v>
      </c>
      <c r="V649">
        <v>0</v>
      </c>
      <c r="W649">
        <v>0</v>
      </c>
      <c r="X649">
        <v>0</v>
      </c>
      <c r="Y649">
        <v>2</v>
      </c>
      <c r="Z649">
        <v>0</v>
      </c>
      <c r="AA649">
        <v>0</v>
      </c>
      <c r="AB649">
        <v>0</v>
      </c>
      <c r="AC649">
        <v>0</v>
      </c>
      <c r="AD649">
        <v>0</v>
      </c>
      <c r="AE649">
        <v>0</v>
      </c>
      <c r="AF649">
        <v>0</v>
      </c>
      <c r="AG649">
        <v>0</v>
      </c>
      <c r="AH649">
        <v>0</v>
      </c>
      <c r="AI649">
        <v>0</v>
      </c>
      <c r="AJ649">
        <v>0</v>
      </c>
      <c r="AK649">
        <v>0</v>
      </c>
      <c r="AL649">
        <v>0</v>
      </c>
      <c r="AM649">
        <v>1</v>
      </c>
      <c r="AN649">
        <v>0</v>
      </c>
      <c r="AO649">
        <v>0</v>
      </c>
      <c r="AP649">
        <v>0</v>
      </c>
      <c r="AQ649">
        <v>0</v>
      </c>
      <c r="AR649">
        <v>0</v>
      </c>
      <c r="AS649">
        <v>0</v>
      </c>
      <c r="AT649">
        <v>0</v>
      </c>
      <c r="AU649">
        <v>0</v>
      </c>
      <c r="AV649">
        <v>0</v>
      </c>
      <c r="AW649">
        <v>0</v>
      </c>
      <c r="AX649">
        <v>0</v>
      </c>
      <c r="AY649">
        <v>0</v>
      </c>
      <c r="AZ649" s="141">
        <f>COUNTIF(X649:AY649,"&lt;&gt;0")</f>
        <v>2</v>
      </c>
      <c r="BA649" s="141">
        <f>COUNTIF(X649:AN649,"&lt;&gt;0")</f>
        <v>2</v>
      </c>
      <c r="BB649">
        <f>COUNTIF(X649:AE649,"&lt;&gt;0")</f>
        <v>1</v>
      </c>
      <c r="BC649">
        <f>COUNTIF(AF649:AK649,"&lt;&gt;0")</f>
        <v>0</v>
      </c>
      <c r="BD649">
        <f>COUNTIF(AL649:AN649,"&lt;&gt;0")</f>
        <v>1</v>
      </c>
      <c r="BE649">
        <f>COUNTIF(AU649:AY649,"&lt;&gt;0")</f>
        <v>0</v>
      </c>
      <c r="BF649">
        <f>COUNTIF(AO649:AT649,"&lt;&gt;0")</f>
        <v>0</v>
      </c>
      <c r="BG649" t="str" cm="1">
        <f t="array" ref="BG649">IF(BA649=1,INDEX($X$7:$AN$7,MATCH(TRUE,INDEX($X649:$AY649&lt;&gt;0,),0)),IF(BA649=0,INDEX($AO$7:$AY$7,MATCH(1,$AO649:$AY649,0)),IF(BH649="Multiple strategies","mixed drivers",IF(BH649="Supply chain","multiple supply","multiple silviculture"))))</f>
        <v>mixed drivers</v>
      </c>
      <c r="BH649" s="2" t="str" cm="1">
        <f t="array" ref="BH649">IF(COUNTIF(BB649:BD649,"&lt;&gt;0")=1,INDEX($X$4:$AY$4,MATCH(TRUE,INDEX($X649:$AY649&lt;&gt;0,),0)),IF(COUNTIF(BB649:BD649,"&lt;&gt;0")=0,INDEX($AO$4:$AY$4,MATCH(1,$AO649:$AY649,0)),"Multiple strategies"))</f>
        <v>Multiple strategies</v>
      </c>
      <c r="BI649" s="142" t="s">
        <v>229</v>
      </c>
      <c r="BJ649" t="s">
        <v>393</v>
      </c>
      <c r="BK649" s="317" t="s">
        <v>747</v>
      </c>
      <c r="BL649" s="143" t="s">
        <v>748</v>
      </c>
      <c r="BM649">
        <v>32</v>
      </c>
      <c r="BN649" s="143">
        <v>145</v>
      </c>
      <c r="BO649">
        <f>BN649/BM649</f>
        <v>4.53125</v>
      </c>
      <c r="BP649">
        <f>BN649-BM649</f>
        <v>113</v>
      </c>
      <c r="BQ649" s="143">
        <f>BP649*t_to_m3</f>
        <v>230.61224489795919</v>
      </c>
      <c r="BR649" s="317" t="s">
        <v>232</v>
      </c>
      <c r="BS649" s="155" t="s">
        <v>749</v>
      </c>
      <c r="BT649" t="s">
        <v>442</v>
      </c>
      <c r="BU649" s="143">
        <v>-41.7</v>
      </c>
      <c r="BV649" s="151">
        <v>-212.9</v>
      </c>
      <c r="BW649" s="144">
        <f>IFERROR(BV649/BU649,"")</f>
        <v>5.1055155875299763</v>
      </c>
      <c r="BX649">
        <f>BV649-BU649</f>
        <v>-171.2</v>
      </c>
      <c r="BZ649">
        <f>BX649*C_to_CO2</f>
        <v>-628.30399999999997</v>
      </c>
      <c r="CA649">
        <f>IFERROR(BZ649/BQ649,"")</f>
        <v>-2.7245040707964598</v>
      </c>
      <c r="CB649" s="143">
        <v>0</v>
      </c>
      <c r="CC649" s="143">
        <v>0</v>
      </c>
      <c r="CD649" s="143">
        <v>0</v>
      </c>
      <c r="CE649" s="143">
        <v>0</v>
      </c>
      <c r="CF649" s="143">
        <v>0</v>
      </c>
      <c r="CG649" s="143">
        <v>0</v>
      </c>
      <c r="CH649" s="143">
        <v>0</v>
      </c>
      <c r="CI649" s="143">
        <v>0</v>
      </c>
      <c r="CJ649" s="143">
        <v>0</v>
      </c>
      <c r="CK649" s="143">
        <v>0</v>
      </c>
      <c r="CL649" s="143">
        <v>0</v>
      </c>
      <c r="CM649" s="143">
        <v>0</v>
      </c>
      <c r="CN649" s="143">
        <v>0</v>
      </c>
      <c r="CO649">
        <v>0</v>
      </c>
      <c r="CP649" t="str">
        <f>IF($BN649&lt;$BM649,"refNeedCorrection","refOK")</f>
        <v>refOK</v>
      </c>
      <c r="CQ649">
        <f>IF($CP649="refOK",$BM649,$BN649)</f>
        <v>32</v>
      </c>
      <c r="CR649">
        <f>IF($CP649="refOK",$BN649,$BM649)</f>
        <v>145</v>
      </c>
      <c r="CS649">
        <f>IF($CP649="refOK",$BQ649,-$BQ649)</f>
        <v>230.61224489795919</v>
      </c>
      <c r="CT649">
        <f>IF(BI649="Roundwood",$CS649/2,$CS649)</f>
        <v>230.61224489795919</v>
      </c>
      <c r="CU649">
        <f>IF($CP649="refOK",$BU649,$BV649)*IF($BR649="Emissions positive",-1,1)</f>
        <v>-41.7</v>
      </c>
      <c r="CV649">
        <f>IF($CP649="refOK",$BV649,$BU649)*IF($BR649="Emissions positive",-1,1)</f>
        <v>-212.9</v>
      </c>
      <c r="CW649">
        <f>IF($CP649="refNeedCorrection",-BZ649,BZ649)*IF($BR649="Emissions positive",-1,1)</f>
        <v>-628.30399999999997</v>
      </c>
      <c r="CX649">
        <f>IFERROR($CW649/$CS649,"")</f>
        <v>-2.7245040707964598</v>
      </c>
      <c r="CY649">
        <f>IFERROR($CW649/$CS649,"")</f>
        <v>-2.7245040707964598</v>
      </c>
      <c r="CZ649">
        <f>IFERROR($CW649/$CT649,"")</f>
        <v>-2.7245040707964598</v>
      </c>
      <c r="DA649" s="2">
        <f>IFERROR((CV649-CU649)/ABS(CU649),"")</f>
        <v>-4.1055155875299754</v>
      </c>
      <c r="DB649" s="1" t="s">
        <v>263</v>
      </c>
      <c r="DC649" s="317" t="str">
        <f>IF(OR($DB649="prd",$DB649="std",$DB649="cit"),"loc",IF(OR($DB649="eur",$DB649="reg",$DB649="coy"),"reg",$DB649))</f>
        <v>loc</v>
      </c>
      <c r="DD649" t="s">
        <v>235</v>
      </c>
      <c r="DF649" s="143"/>
      <c r="DG649" s="143">
        <v>0</v>
      </c>
      <c r="DH649" t="str">
        <f>IF(DG649=0,"0",IF(AND(DG649&gt;=1,DG649&lt;=30),"1-30",IF(AND(DG649&gt;30,DG649&lt;=70),"31-70",IF(AND(DG649&gt;70,DG649&lt;=100),"71-100",IF(DG649&gt;100,"+100")))))</f>
        <v>0</v>
      </c>
      <c r="DI649">
        <v>0</v>
      </c>
      <c r="DJ649">
        <v>0</v>
      </c>
      <c r="DK649">
        <v>0</v>
      </c>
      <c r="DL649">
        <v>1</v>
      </c>
      <c r="DN649">
        <f>SUM(DI649:DL649)</f>
        <v>1</v>
      </c>
      <c r="DO649" t="str">
        <f>IF(DN649=1,INDEX($DI$7:$DL$7,MATCH(1,$DI649:$DL649,0)),"mixedProduct")</f>
        <v>TimberInput</v>
      </c>
      <c r="DP649">
        <f>IF(DI649=1,DP$7,0)</f>
        <v>0</v>
      </c>
      <c r="DQ649">
        <f>IF(DJ649=1,DQ$7,0)</f>
        <v>0</v>
      </c>
      <c r="DR649">
        <f>IF(DK649=1,DR$7,0)</f>
        <v>0</v>
      </c>
      <c r="DS649" t="str">
        <f>IF(DL649=1,DS$7,0)</f>
        <v>Timber</v>
      </c>
      <c r="DT649">
        <v>1</v>
      </c>
      <c r="DU649" s="143">
        <v>0</v>
      </c>
      <c r="DV649" s="143">
        <v>0</v>
      </c>
      <c r="DW649">
        <v>0</v>
      </c>
      <c r="DX649" s="143">
        <v>0</v>
      </c>
      <c r="DY649">
        <f>SUM(DT649:DU649)</f>
        <v>1</v>
      </c>
      <c r="DZ649" s="143" t="str">
        <f>IF(DT649=1,"self-calculated DF",IF(DU649=1,"external DF used","explicit C balance"))</f>
        <v>self-calculated DF</v>
      </c>
      <c r="EA649" s="143">
        <v>0</v>
      </c>
      <c r="EB649" s="143">
        <v>1</v>
      </c>
      <c r="EC649" s="143">
        <v>1</v>
      </c>
      <c r="ED649" s="143">
        <v>0</v>
      </c>
      <c r="EE649">
        <v>0</v>
      </c>
      <c r="EF649" s="143">
        <v>0</v>
      </c>
      <c r="EG649" s="143">
        <v>0</v>
      </c>
      <c r="EH649" s="143">
        <v>0</v>
      </c>
      <c r="EI649" s="143">
        <v>0</v>
      </c>
      <c r="EJ649">
        <v>0</v>
      </c>
      <c r="EK649">
        <v>0</v>
      </c>
      <c r="EL649" s="143">
        <v>0</v>
      </c>
      <c r="EM649" s="143">
        <v>0</v>
      </c>
      <c r="EN649" s="2">
        <v>0</v>
      </c>
      <c r="EP649" t="str">
        <f>IF(AND(AND(AND(OR($EC649=1,$EB649=1),OR($EH649=1,$EF649=1)),SUM($EA649:$EE649,$EK649)&gt;=3),SUM($EF649:$EJ649)&gt;=2),"Whole sector approach","")</f>
        <v/>
      </c>
      <c r="EQ649" t="str">
        <f>IF(AND(AND(OR($EC649=1,$EB649=1),AND($EH649=0,$EF649=0)),SUM($EA649:$EE649,$EK649)&gt;=3),"Ecosystem approach","")</f>
        <v/>
      </c>
      <c r="ER649" s="2" t="str">
        <f>IF(AND(AND(AND($EC649=0,$EB649=0),OR($EH649=1,$EF649=1)),SUM($EG649:$EJ649)&gt;=2),"Technology approach","")</f>
        <v/>
      </c>
      <c r="ES649" t="str">
        <f>IF(AND($EC649+$EB649+$EE649+$EA649+$ED649+$EG649=0,$N649="included"),"C neutral forest and HWP assumption","")</f>
        <v/>
      </c>
      <c r="ET649" t="str">
        <f>IF(AND(AND(AND(AND($EC649=1,$EB649+$EA649+$EG649&gt;=1),$EF649=1),$EH649+$EI649+$ED649+$EE649&gt;=2),$N649="included"),"All C pools assumption","")</f>
        <v/>
      </c>
      <c r="EU649" t="str">
        <f>IF(AND($ED649+$EE649+$EI649+$EH649+$EF649=0,$N649="included"),"In-situ only assumption","")</f>
        <v>In-situ only assumption</v>
      </c>
      <c r="EV649" s="328" t="s">
        <v>5065</v>
      </c>
      <c r="EY649" t="str">
        <f>IF(ISNUMBER(BW649),IF(ABS(BW649-[4]QC_indicators!$B$2)&gt;3*[4]QC_indicators!$C$2,"C ratio",IF(ISNUMBER(CA649),IF(ABS(CA649-[4]QC_indicators!$B$1)&gt;3*[4]QC_indicators!$C$1,"DF","no"))),IF(ISNUMBER(CA649),IF(ABS(CA649-[4]QC_indicators!$B$1)&gt;3*[4]QC_indicators!$C$1,"DF","no")))</f>
        <v>no</v>
      </c>
      <c r="FA649" t="str">
        <f>IF(LEN($CY649)=0,"",IF(AND($CY649&lt;(-0.05),$ES649="C neutral forest and HWP assumption"),"Cneutral paradox",IF(AND($CY649&gt;0.05,$EU649="In-situ only assumption"),"In-situ only paradox","")))</f>
        <v/>
      </c>
      <c r="FB649" s="319" t="s">
        <v>349</v>
      </c>
      <c r="FD649" t="s">
        <v>4972</v>
      </c>
    </row>
    <row r="650" spans="4:160" ht="15" customHeight="1">
      <c r="D650" t="s">
        <v>743</v>
      </c>
      <c r="E650" t="s">
        <v>744</v>
      </c>
      <c r="G650" t="s">
        <v>745</v>
      </c>
      <c r="I650">
        <v>2006</v>
      </c>
      <c r="K650" s="289" t="s">
        <v>746</v>
      </c>
      <c r="M650" t="str">
        <f>LEFT($D650,FIND(",",$D650)-1)&amp;"_"&amp;I650&amp;L650</f>
        <v>Gustavsson_2006</v>
      </c>
      <c r="N650" t="s">
        <v>222</v>
      </c>
      <c r="O650" t="s">
        <v>223</v>
      </c>
      <c r="Q650" s="317" t="s">
        <v>256</v>
      </c>
      <c r="R650" s="318" t="s">
        <v>1029</v>
      </c>
      <c r="S650" s="320" t="s">
        <v>4973</v>
      </c>
      <c r="T650" t="s">
        <v>739</v>
      </c>
      <c r="U650" s="143" t="s">
        <v>740</v>
      </c>
      <c r="V650">
        <v>0</v>
      </c>
      <c r="W650">
        <v>0</v>
      </c>
      <c r="X650">
        <v>0</v>
      </c>
      <c r="Y650">
        <v>2</v>
      </c>
      <c r="Z650">
        <v>0</v>
      </c>
      <c r="AA650">
        <v>0</v>
      </c>
      <c r="AB650">
        <v>0</v>
      </c>
      <c r="AC650">
        <v>0</v>
      </c>
      <c r="AD650">
        <v>0</v>
      </c>
      <c r="AE650">
        <v>0</v>
      </c>
      <c r="AF650">
        <v>0</v>
      </c>
      <c r="AG650">
        <v>0</v>
      </c>
      <c r="AH650">
        <v>0</v>
      </c>
      <c r="AI650">
        <v>0</v>
      </c>
      <c r="AJ650">
        <v>0</v>
      </c>
      <c r="AK650">
        <v>0</v>
      </c>
      <c r="AL650">
        <v>0</v>
      </c>
      <c r="AM650">
        <v>1</v>
      </c>
      <c r="AN650">
        <v>0</v>
      </c>
      <c r="AO650">
        <v>0</v>
      </c>
      <c r="AP650">
        <v>0</v>
      </c>
      <c r="AQ650">
        <v>0</v>
      </c>
      <c r="AR650">
        <v>0</v>
      </c>
      <c r="AS650">
        <v>0</v>
      </c>
      <c r="AT650">
        <v>0</v>
      </c>
      <c r="AU650">
        <v>0</v>
      </c>
      <c r="AV650">
        <v>0</v>
      </c>
      <c r="AW650">
        <v>0</v>
      </c>
      <c r="AX650">
        <v>0</v>
      </c>
      <c r="AY650">
        <v>0</v>
      </c>
      <c r="AZ650" s="141">
        <f>COUNTIF(X650:AY650,"&lt;&gt;0")</f>
        <v>2</v>
      </c>
      <c r="BA650" s="141">
        <f>COUNTIF(X650:AN650,"&lt;&gt;0")</f>
        <v>2</v>
      </c>
      <c r="BB650">
        <f>COUNTIF(X650:AE650,"&lt;&gt;0")</f>
        <v>1</v>
      </c>
      <c r="BC650">
        <f>COUNTIF(AF650:AK650,"&lt;&gt;0")</f>
        <v>0</v>
      </c>
      <c r="BD650">
        <f>COUNTIF(AL650:AN650,"&lt;&gt;0")</f>
        <v>1</v>
      </c>
      <c r="BE650">
        <f>COUNTIF(AU650:AY650,"&lt;&gt;0")</f>
        <v>0</v>
      </c>
      <c r="BF650">
        <f>COUNTIF(AO650:AT650,"&lt;&gt;0")</f>
        <v>0</v>
      </c>
      <c r="BG650" t="str" cm="1">
        <f t="array" ref="BG650">IF(BA650=1,INDEX($X$7:$AN$7,MATCH(TRUE,INDEX($X650:$AY650&lt;&gt;0,),0)),IF(BA650=0,INDEX($AO$7:$AY$7,MATCH(1,$AO650:$AY650,0)),IF(BH650="Multiple strategies","mixed drivers",IF(BH650="Supply chain","multiple supply","multiple silviculture"))))</f>
        <v>mixed drivers</v>
      </c>
      <c r="BH650" s="2" t="str" cm="1">
        <f t="array" ref="BH650">IF(COUNTIF(BB650:BD650,"&lt;&gt;0")=1,INDEX($X$4:$AY$4,MATCH(TRUE,INDEX($X650:$AY650&lt;&gt;0,),0)),IF(COUNTIF(BB650:BD650,"&lt;&gt;0")=0,INDEX($AO$4:$AY$4,MATCH(1,$AO650:$AY650,0)),"Multiple strategies"))</f>
        <v>Multiple strategies</v>
      </c>
      <c r="BI650" s="142" t="s">
        <v>229</v>
      </c>
      <c r="BJ650" t="s">
        <v>393</v>
      </c>
      <c r="BK650" s="317" t="s">
        <v>747</v>
      </c>
      <c r="BL650" s="143" t="s">
        <v>748</v>
      </c>
      <c r="BM650">
        <v>32</v>
      </c>
      <c r="BN650" s="143">
        <v>145</v>
      </c>
      <c r="BO650">
        <f>BN650/BM650</f>
        <v>4.53125</v>
      </c>
      <c r="BP650">
        <f>BN650-BM650</f>
        <v>113</v>
      </c>
      <c r="BQ650" s="143">
        <f>BP650*t_to_m3</f>
        <v>230.61224489795919</v>
      </c>
      <c r="BR650" s="317" t="s">
        <v>232</v>
      </c>
      <c r="BS650" s="155" t="s">
        <v>749</v>
      </c>
      <c r="BT650" t="s">
        <v>442</v>
      </c>
      <c r="BU650" s="143">
        <v>-41.7</v>
      </c>
      <c r="BV650" s="151">
        <v>-212.9</v>
      </c>
      <c r="BW650" s="144">
        <f>IFERROR(BV650/BU650,"")</f>
        <v>5.1055155875299763</v>
      </c>
      <c r="BX650">
        <f>BV650-BU650</f>
        <v>-171.2</v>
      </c>
      <c r="BZ650">
        <f>BX650*C_to_CO2</f>
        <v>-628.30399999999997</v>
      </c>
      <c r="CA650">
        <f>IFERROR(BZ650/BQ650,"")</f>
        <v>-2.7245040707964598</v>
      </c>
      <c r="CB650" s="143">
        <v>0</v>
      </c>
      <c r="CC650" s="143">
        <v>0</v>
      </c>
      <c r="CD650" s="143">
        <v>0</v>
      </c>
      <c r="CE650" s="143">
        <v>0</v>
      </c>
      <c r="CF650" s="143">
        <v>0</v>
      </c>
      <c r="CG650" s="143">
        <v>0</v>
      </c>
      <c r="CH650" s="143">
        <v>0</v>
      </c>
      <c r="CI650" s="143">
        <v>0</v>
      </c>
      <c r="CJ650" s="143">
        <v>0</v>
      </c>
      <c r="CK650" s="143">
        <v>0</v>
      </c>
      <c r="CL650" s="143">
        <v>0</v>
      </c>
      <c r="CM650" s="143">
        <v>0</v>
      </c>
      <c r="CN650" s="143">
        <v>0</v>
      </c>
      <c r="CO650">
        <v>0</v>
      </c>
      <c r="CP650" t="str">
        <f>IF($BN650&lt;$BM650,"refNeedCorrection","refOK")</f>
        <v>refOK</v>
      </c>
      <c r="CQ650">
        <f>IF($CP650="refOK",$BM650,$BN650)</f>
        <v>32</v>
      </c>
      <c r="CR650">
        <f>IF($CP650="refOK",$BN650,$BM650)</f>
        <v>145</v>
      </c>
      <c r="CS650">
        <f>IF($CP650="refOK",$BQ650,-$BQ650)</f>
        <v>230.61224489795919</v>
      </c>
      <c r="CT650">
        <f>IF(BI650="Roundwood",$CS650/2,$CS650)</f>
        <v>230.61224489795919</v>
      </c>
      <c r="CU650">
        <f>IF($CP650="refOK",$BU650,$BV650)*IF($BR650="Emissions positive",-1,1)</f>
        <v>-41.7</v>
      </c>
      <c r="CV650">
        <f>IF($CP650="refOK",$BV650,$BU650)*IF($BR650="Emissions positive",-1,1)</f>
        <v>-212.9</v>
      </c>
      <c r="CW650">
        <f>IF($CP650="refNeedCorrection",-BZ650,BZ650)*IF($BR650="Emissions positive",-1,1)</f>
        <v>-628.30399999999997</v>
      </c>
      <c r="CX650">
        <f>IFERROR($CW650/$CS650,"")</f>
        <v>-2.7245040707964598</v>
      </c>
      <c r="CY650">
        <f>IFERROR($CW650/$CS650,"")</f>
        <v>-2.7245040707964598</v>
      </c>
      <c r="CZ650">
        <f>IFERROR($CW650/$CT650,"")</f>
        <v>-2.7245040707964598</v>
      </c>
      <c r="DA650" s="2">
        <f>IFERROR((CV650-CU650)/ABS(CU650),"")</f>
        <v>-4.1055155875299754</v>
      </c>
      <c r="DB650" s="1" t="s">
        <v>263</v>
      </c>
      <c r="DC650" s="317" t="str">
        <f>IF(OR($DB650="prd",$DB650="std",$DB650="cit"),"loc",IF(OR($DB650="eur",$DB650="reg",$DB650="coy"),"reg",$DB650))</f>
        <v>loc</v>
      </c>
      <c r="DD650" t="s">
        <v>235</v>
      </c>
      <c r="DF650" s="143"/>
      <c r="DG650" s="143">
        <v>0</v>
      </c>
      <c r="DH650" t="str">
        <f>IF(DG650=0,"0",IF(AND(DG650&gt;=1,DG650&lt;=30),"1-30",IF(AND(DG650&gt;30,DG650&lt;=70),"31-70",IF(AND(DG650&gt;70,DG650&lt;=100),"71-100",IF(DG650&gt;100,"+100")))))</f>
        <v>0</v>
      </c>
      <c r="DI650">
        <v>0</v>
      </c>
      <c r="DJ650">
        <v>0</v>
      </c>
      <c r="DK650">
        <v>0</v>
      </c>
      <c r="DL650">
        <v>1</v>
      </c>
      <c r="DN650">
        <f>SUM(DI650:DL650)</f>
        <v>1</v>
      </c>
      <c r="DO650" t="str">
        <f>IF(DN650=1,INDEX($DI$7:$DL$7,MATCH(1,$DI650:$DL650,0)),"mixedProduct")</f>
        <v>TimberInput</v>
      </c>
      <c r="DP650">
        <f>IF(DI650=1,DP$7,0)</f>
        <v>0</v>
      </c>
      <c r="DQ650">
        <f>IF(DJ650=1,DQ$7,0)</f>
        <v>0</v>
      </c>
      <c r="DR650">
        <f>IF(DK650=1,DR$7,0)</f>
        <v>0</v>
      </c>
      <c r="DS650" t="str">
        <f>IF(DL650=1,DS$7,0)</f>
        <v>Timber</v>
      </c>
      <c r="DT650">
        <v>1</v>
      </c>
      <c r="DU650" s="143">
        <v>0</v>
      </c>
      <c r="DV650" s="143">
        <v>0</v>
      </c>
      <c r="DW650">
        <v>0</v>
      </c>
      <c r="DX650" s="143">
        <v>0</v>
      </c>
      <c r="DY650">
        <f>SUM(DT650:DU650)</f>
        <v>1</v>
      </c>
      <c r="DZ650" s="143" t="str">
        <f>IF(DT650=1,"self-calculated DF",IF(DU650=1,"external DF used","explicit C balance"))</f>
        <v>self-calculated DF</v>
      </c>
      <c r="EA650" s="143">
        <v>0</v>
      </c>
      <c r="EB650" s="143">
        <v>1</v>
      </c>
      <c r="EC650" s="143">
        <v>1</v>
      </c>
      <c r="ED650" s="143">
        <v>0</v>
      </c>
      <c r="EE650">
        <v>0</v>
      </c>
      <c r="EF650" s="143">
        <v>0</v>
      </c>
      <c r="EG650" s="143">
        <v>0</v>
      </c>
      <c r="EH650" s="143">
        <v>0</v>
      </c>
      <c r="EI650" s="143">
        <v>0</v>
      </c>
      <c r="EJ650">
        <v>0</v>
      </c>
      <c r="EK650">
        <v>0</v>
      </c>
      <c r="EL650" s="143">
        <v>0</v>
      </c>
      <c r="EM650" s="143">
        <v>0</v>
      </c>
      <c r="EN650" s="2">
        <v>0</v>
      </c>
      <c r="EP650" t="str">
        <f>IF(AND(AND(AND(OR($EC650=1,$EB650=1),OR($EH650=1,$EF650=1)),SUM($EA650:$EE650,$EK650)&gt;=3),SUM($EF650:$EJ650)&gt;=2),"Whole sector approach","")</f>
        <v/>
      </c>
      <c r="EQ650" t="str">
        <f>IF(AND(AND(OR($EC650=1,$EB650=1),AND($EH650=0,$EF650=0)),SUM($EA650:$EE650,$EK650)&gt;=3),"Ecosystem approach","")</f>
        <v/>
      </c>
      <c r="ER650" s="2" t="str">
        <f>IF(AND(AND(AND($EC650=0,$EB650=0),OR($EH650=1,$EF650=1)),SUM($EG650:$EJ650)&gt;=2),"Technology approach","")</f>
        <v/>
      </c>
      <c r="ES650" t="str">
        <f>IF(AND($EC650+$EB650+$EE650+$EA650+$ED650+$EG650=0,$N650="included"),"C neutral forest and HWP assumption","")</f>
        <v/>
      </c>
      <c r="ET650" t="str">
        <f>IF(AND(AND(AND(AND($EC650=1,$EB650+$EA650+$EG650&gt;=1),$EF650=1),$EH650+$EI650+$ED650+$EE650&gt;=2),$N650="included"),"All C pools assumption","")</f>
        <v/>
      </c>
      <c r="EU650" t="str">
        <f>IF(AND($ED650+$EE650+$EI650+$EH650+$EF650=0,$N650="included"),"In-situ only assumption","")</f>
        <v>In-situ only assumption</v>
      </c>
      <c r="EV650" s="328" t="s">
        <v>5065</v>
      </c>
      <c r="EY650" t="str">
        <f>IF(ISNUMBER(BW650),IF(ABS(BW650-[4]QC_indicators!$B$2)&gt;3*[4]QC_indicators!$C$2,"C ratio",IF(ISNUMBER(CA650),IF(ABS(CA650-[4]QC_indicators!$B$1)&gt;3*[4]QC_indicators!$C$1,"DF","no"))),IF(ISNUMBER(CA650),IF(ABS(CA650-[4]QC_indicators!$B$1)&gt;3*[4]QC_indicators!$C$1,"DF","no")))</f>
        <v>no</v>
      </c>
      <c r="FA650" t="str">
        <f>IF(LEN($CY650)=0,"",IF(AND($CY650&lt;(-0.05),$ES650="C neutral forest and HWP assumption"),"Cneutral paradox",IF(AND($CY650&gt;0.05,$EU650="In-situ only assumption"),"In-situ only paradox","")))</f>
        <v/>
      </c>
      <c r="FB650" s="319" t="s">
        <v>349</v>
      </c>
      <c r="FD650" t="s">
        <v>4972</v>
      </c>
    </row>
    <row r="651" spans="4:160" ht="15" customHeight="1">
      <c r="D651" t="s">
        <v>743</v>
      </c>
      <c r="E651" t="s">
        <v>744</v>
      </c>
      <c r="G651" t="s">
        <v>745</v>
      </c>
      <c r="I651">
        <v>2006</v>
      </c>
      <c r="K651" s="289" t="s">
        <v>746</v>
      </c>
      <c r="M651" t="str">
        <f>LEFT($D651,FIND(",",$D651)-1)&amp;"_"&amp;I651&amp;L651</f>
        <v>Gustavsson_2006</v>
      </c>
      <c r="N651" t="s">
        <v>222</v>
      </c>
      <c r="O651" t="s">
        <v>223</v>
      </c>
      <c r="Q651" s="317" t="s">
        <v>256</v>
      </c>
      <c r="R651" s="318" t="s">
        <v>1029</v>
      </c>
      <c r="S651" s="320" t="s">
        <v>4975</v>
      </c>
      <c r="T651" t="s">
        <v>739</v>
      </c>
      <c r="U651" s="143" t="s">
        <v>740</v>
      </c>
      <c r="V651">
        <v>0</v>
      </c>
      <c r="W651">
        <v>0</v>
      </c>
      <c r="X651">
        <v>0</v>
      </c>
      <c r="Y651">
        <v>2</v>
      </c>
      <c r="Z651">
        <v>0</v>
      </c>
      <c r="AA651">
        <v>0</v>
      </c>
      <c r="AB651">
        <v>0</v>
      </c>
      <c r="AC651">
        <v>0</v>
      </c>
      <c r="AD651">
        <v>0</v>
      </c>
      <c r="AE651">
        <v>0</v>
      </c>
      <c r="AF651">
        <v>0</v>
      </c>
      <c r="AG651">
        <v>0</v>
      </c>
      <c r="AH651">
        <v>0</v>
      </c>
      <c r="AI651">
        <v>0</v>
      </c>
      <c r="AJ651">
        <v>0</v>
      </c>
      <c r="AK651">
        <v>0</v>
      </c>
      <c r="AL651">
        <v>0</v>
      </c>
      <c r="AM651">
        <v>1</v>
      </c>
      <c r="AN651">
        <v>0</v>
      </c>
      <c r="AO651">
        <v>0</v>
      </c>
      <c r="AP651">
        <v>0</v>
      </c>
      <c r="AQ651">
        <v>0</v>
      </c>
      <c r="AR651">
        <v>0</v>
      </c>
      <c r="AS651">
        <v>0</v>
      </c>
      <c r="AT651">
        <v>0</v>
      </c>
      <c r="AU651">
        <v>0</v>
      </c>
      <c r="AV651">
        <v>0</v>
      </c>
      <c r="AW651">
        <v>0</v>
      </c>
      <c r="AX651">
        <v>0</v>
      </c>
      <c r="AY651">
        <v>0</v>
      </c>
      <c r="AZ651" s="141">
        <f>COUNTIF(X651:AY651,"&lt;&gt;0")</f>
        <v>2</v>
      </c>
      <c r="BA651" s="141">
        <f>COUNTIF(X651:AN651,"&lt;&gt;0")</f>
        <v>2</v>
      </c>
      <c r="BB651">
        <f>COUNTIF(X651:AE651,"&lt;&gt;0")</f>
        <v>1</v>
      </c>
      <c r="BC651">
        <f>COUNTIF(AF651:AK651,"&lt;&gt;0")</f>
        <v>0</v>
      </c>
      <c r="BD651">
        <f>COUNTIF(AL651:AN651,"&lt;&gt;0")</f>
        <v>1</v>
      </c>
      <c r="BE651">
        <f>COUNTIF(AU651:AY651,"&lt;&gt;0")</f>
        <v>0</v>
      </c>
      <c r="BF651">
        <f>COUNTIF(AO651:AT651,"&lt;&gt;0")</f>
        <v>0</v>
      </c>
      <c r="BG651" t="str" cm="1">
        <f t="array" ref="BG651">IF(BA651=1,INDEX($X$7:$AN$7,MATCH(TRUE,INDEX($X651:$AY651&lt;&gt;0,),0)),IF(BA651=0,INDEX($AO$7:$AY$7,MATCH(1,$AO651:$AY651,0)),IF(BH651="Multiple strategies","mixed drivers",IF(BH651="Supply chain","multiple supply","multiple silviculture"))))</f>
        <v>mixed drivers</v>
      </c>
      <c r="BH651" s="2" t="str" cm="1">
        <f t="array" ref="BH651">IF(COUNTIF(BB651:BD651,"&lt;&gt;0")=1,INDEX($X$4:$AY$4,MATCH(TRUE,INDEX($X651:$AY651&lt;&gt;0,),0)),IF(COUNTIF(BB651:BD651,"&lt;&gt;0")=0,INDEX($AO$4:$AY$4,MATCH(1,$AO651:$AY651,0)),"Multiple strategies"))</f>
        <v>Multiple strategies</v>
      </c>
      <c r="BI651" s="142" t="s">
        <v>229</v>
      </c>
      <c r="BJ651" t="s">
        <v>393</v>
      </c>
      <c r="BK651" s="317" t="s">
        <v>747</v>
      </c>
      <c r="BL651" s="143" t="s">
        <v>748</v>
      </c>
      <c r="BM651">
        <v>70</v>
      </c>
      <c r="BN651" s="143">
        <v>98</v>
      </c>
      <c r="BO651">
        <f>BN651/BM651</f>
        <v>1.4</v>
      </c>
      <c r="BP651">
        <f>BN651-BM651</f>
        <v>28</v>
      </c>
      <c r="BQ651" s="143">
        <f>BP651*t_to_m3</f>
        <v>57.142857142857146</v>
      </c>
      <c r="BR651" s="317" t="s">
        <v>232</v>
      </c>
      <c r="BS651" s="155" t="s">
        <v>749</v>
      </c>
      <c r="BT651" t="s">
        <v>442</v>
      </c>
      <c r="BU651" s="143">
        <f>-93.1</f>
        <v>-93.1</v>
      </c>
      <c r="BV651" s="151">
        <v>-144.30000000000001</v>
      </c>
      <c r="BW651" s="144">
        <f>IFERROR(BV651/BU651,"")</f>
        <v>1.5499462943071969</v>
      </c>
      <c r="BX651">
        <f>BV651-BU651</f>
        <v>-51.200000000000017</v>
      </c>
      <c r="BZ651">
        <f>BX651*C_to_CO2</f>
        <v>-187.90400000000005</v>
      </c>
      <c r="CA651">
        <f>IFERROR(BZ651/BQ651,"")</f>
        <v>-3.2883200000000006</v>
      </c>
      <c r="CB651" s="143">
        <v>0</v>
      </c>
      <c r="CC651" s="143">
        <v>0</v>
      </c>
      <c r="CD651" s="143">
        <v>0</v>
      </c>
      <c r="CE651" s="143">
        <v>0</v>
      </c>
      <c r="CF651" s="143">
        <v>0</v>
      </c>
      <c r="CG651" s="143">
        <v>0</v>
      </c>
      <c r="CH651" s="143">
        <v>0</v>
      </c>
      <c r="CI651" s="143">
        <v>0</v>
      </c>
      <c r="CJ651" s="143">
        <v>0</v>
      </c>
      <c r="CK651" s="143">
        <v>0</v>
      </c>
      <c r="CL651" s="143">
        <v>0</v>
      </c>
      <c r="CM651" s="143">
        <v>0</v>
      </c>
      <c r="CN651" s="143">
        <v>0</v>
      </c>
      <c r="CO651">
        <v>0</v>
      </c>
      <c r="CP651" t="str">
        <f>IF($BN651&lt;$BM651,"refNeedCorrection","refOK")</f>
        <v>refOK</v>
      </c>
      <c r="CQ651">
        <f>IF($CP651="refOK",$BM651,$BN651)</f>
        <v>70</v>
      </c>
      <c r="CR651">
        <f>IF($CP651="refOK",$BN651,$BM651)</f>
        <v>98</v>
      </c>
      <c r="CS651">
        <f>IF($CP651="refOK",$BQ651,-$BQ651)</f>
        <v>57.142857142857146</v>
      </c>
      <c r="CT651">
        <f>IF(BI651="Roundwood",$CS651/2,$CS651)</f>
        <v>57.142857142857146</v>
      </c>
      <c r="CU651">
        <f>IF($CP651="refOK",$BU651,$BV651)*IF($BR651="Emissions positive",-1,1)</f>
        <v>-93.1</v>
      </c>
      <c r="CV651">
        <f>IF($CP651="refOK",$BV651,$BU651)*IF($BR651="Emissions positive",-1,1)</f>
        <v>-144.30000000000001</v>
      </c>
      <c r="CW651">
        <f>IF($CP651="refNeedCorrection",-BZ651,BZ651)*IF($BR651="Emissions positive",-1,1)</f>
        <v>-187.90400000000005</v>
      </c>
      <c r="CX651">
        <f>IFERROR($CW651/$CS651,"")</f>
        <v>-3.2883200000000006</v>
      </c>
      <c r="CY651">
        <f>IFERROR($CW651/$CS651,"")</f>
        <v>-3.2883200000000006</v>
      </c>
      <c r="CZ651">
        <f>IFERROR($CW651/$CT651,"")</f>
        <v>-3.2883200000000006</v>
      </c>
      <c r="DA651" s="2">
        <f>IFERROR((CV651-CU651)/ABS(CU651),"")</f>
        <v>-0.54994629430719677</v>
      </c>
      <c r="DB651" s="1" t="s">
        <v>263</v>
      </c>
      <c r="DC651" s="317" t="str">
        <f>IF(OR($DB651="prd",$DB651="std",$DB651="cit"),"loc",IF(OR($DB651="eur",$DB651="reg",$DB651="coy"),"reg",$DB651))</f>
        <v>loc</v>
      </c>
      <c r="DD651" t="s">
        <v>444</v>
      </c>
      <c r="DF651" s="143"/>
      <c r="DG651" s="143">
        <v>0</v>
      </c>
      <c r="DH651" t="str">
        <f>IF(DG651=0,"0",IF(AND(DG651&gt;=1,DG651&lt;=30),"1-30",IF(AND(DG651&gt;30,DG651&lt;=70),"31-70",IF(AND(DG651&gt;70,DG651&lt;=100),"71-100",IF(DG651&gt;100,"+100")))))</f>
        <v>0</v>
      </c>
      <c r="DI651">
        <v>0</v>
      </c>
      <c r="DJ651">
        <v>0</v>
      </c>
      <c r="DK651">
        <v>0</v>
      </c>
      <c r="DL651">
        <v>1</v>
      </c>
      <c r="DN651">
        <f>SUM(DI651:DL651)</f>
        <v>1</v>
      </c>
      <c r="DO651" t="str">
        <f>IF(DN651=1,INDEX($DI$7:$DL$7,MATCH(1,$DI651:$DL651,0)),"mixedProduct")</f>
        <v>TimberInput</v>
      </c>
      <c r="DP651">
        <f>IF(DI651=1,DP$7,0)</f>
        <v>0</v>
      </c>
      <c r="DQ651">
        <f>IF(DJ651=1,DQ$7,0)</f>
        <v>0</v>
      </c>
      <c r="DR651">
        <f>IF(DK651=1,DR$7,0)</f>
        <v>0</v>
      </c>
      <c r="DS651" t="str">
        <f>IF(DL651=1,DS$7,0)</f>
        <v>Timber</v>
      </c>
      <c r="DT651">
        <v>1</v>
      </c>
      <c r="DU651" s="143">
        <v>0</v>
      </c>
      <c r="DV651" s="143">
        <v>0</v>
      </c>
      <c r="DW651">
        <v>0</v>
      </c>
      <c r="DX651" s="143">
        <v>0</v>
      </c>
      <c r="DY651">
        <f>SUM(DT651:DU651)</f>
        <v>1</v>
      </c>
      <c r="DZ651" s="143" t="str">
        <f>IF(DT651=1,"self-calculated DF",IF(DU651=1,"external DF used","explicit C balance"))</f>
        <v>self-calculated DF</v>
      </c>
      <c r="EA651" s="143">
        <v>0</v>
      </c>
      <c r="EB651" s="143">
        <v>1</v>
      </c>
      <c r="EC651" s="143">
        <v>1</v>
      </c>
      <c r="ED651" s="143">
        <v>0</v>
      </c>
      <c r="EE651">
        <v>0</v>
      </c>
      <c r="EF651" s="143">
        <v>0</v>
      </c>
      <c r="EG651" s="143">
        <v>0</v>
      </c>
      <c r="EH651" s="143">
        <v>0</v>
      </c>
      <c r="EI651" s="143">
        <v>0</v>
      </c>
      <c r="EJ651">
        <v>0</v>
      </c>
      <c r="EK651">
        <v>0</v>
      </c>
      <c r="EL651" s="143">
        <v>0</v>
      </c>
      <c r="EM651" s="143">
        <v>0</v>
      </c>
      <c r="EN651" s="2">
        <v>0</v>
      </c>
      <c r="EP651" t="str">
        <f>IF(AND(AND(AND(OR($EC651=1,$EB651=1),OR($EH651=1,$EF651=1)),SUM($EA651:$EE651,$EK651)&gt;=3),SUM($EF651:$EJ651)&gt;=2),"Whole sector approach","")</f>
        <v/>
      </c>
      <c r="EQ651" t="str">
        <f>IF(AND(AND(OR($EC651=1,$EB651=1),AND($EH651=0,$EF651=0)),SUM($EA651:$EE651,$EK651)&gt;=3),"Ecosystem approach","")</f>
        <v/>
      </c>
      <c r="ER651" s="2" t="str">
        <f>IF(AND(AND(AND($EC651=0,$EB651=0),OR($EH651=1,$EF651=1)),SUM($EG651:$EJ651)&gt;=2),"Technology approach","")</f>
        <v/>
      </c>
      <c r="ES651" t="str">
        <f>IF(AND($EC651+$EB651+$EE651+$EA651+$ED651+$EG651=0,$N651="included"),"C neutral forest and HWP assumption","")</f>
        <v/>
      </c>
      <c r="ET651" t="str">
        <f>IF(AND(AND(AND(AND($EC651=1,$EB651+$EA651+$EG651&gt;=1),$EF651=1),$EH651+$EI651+$ED651+$EE651&gt;=2),$N651="included"),"All C pools assumption","")</f>
        <v/>
      </c>
      <c r="EU651" t="str">
        <f>IF(AND($ED651+$EE651+$EI651+$EH651+$EF651=0,$N651="included"),"In-situ only assumption","")</f>
        <v>In-situ only assumption</v>
      </c>
      <c r="EV651" s="328" t="s">
        <v>5065</v>
      </c>
      <c r="EY651" t="str">
        <f>IF(ISNUMBER(BW651),IF(ABS(BW651-[4]QC_indicators!$B$2)&gt;3*[4]QC_indicators!$C$2,"C ratio",IF(ISNUMBER(CA651),IF(ABS(CA651-[4]QC_indicators!$B$1)&gt;3*[4]QC_indicators!$C$1,"DF","no"))),IF(ISNUMBER(CA651),IF(ABS(CA651-[4]QC_indicators!$B$1)&gt;3*[4]QC_indicators!$C$1,"DF","no")))</f>
        <v>no</v>
      </c>
      <c r="FA651" t="str">
        <f>IF(LEN($CY651)=0,"",IF(AND($CY651&lt;(-0.05),$ES651="C neutral forest and HWP assumption"),"Cneutral paradox",IF(AND($CY651&gt;0.05,$EU651="In-situ only assumption"),"In-situ only paradox","")))</f>
        <v/>
      </c>
      <c r="FB651" s="319" t="s">
        <v>349</v>
      </c>
      <c r="FD651" t="s">
        <v>4972</v>
      </c>
    </row>
    <row r="652" spans="4:160" ht="15" customHeight="1">
      <c r="D652" t="s">
        <v>743</v>
      </c>
      <c r="E652" t="s">
        <v>744</v>
      </c>
      <c r="G652" t="s">
        <v>745</v>
      </c>
      <c r="I652">
        <v>2006</v>
      </c>
      <c r="K652" s="289" t="s">
        <v>746</v>
      </c>
      <c r="M652" t="str">
        <f>LEFT($D652,FIND(",",$D652)-1)&amp;"_"&amp;I652&amp;L652</f>
        <v>Gustavsson_2006</v>
      </c>
      <c r="N652" t="s">
        <v>222</v>
      </c>
      <c r="O652" t="s">
        <v>223</v>
      </c>
      <c r="Q652" s="317" t="s">
        <v>256</v>
      </c>
      <c r="R652" s="318" t="s">
        <v>1029</v>
      </c>
      <c r="S652" s="320" t="s">
        <v>4977</v>
      </c>
      <c r="T652" t="s">
        <v>739</v>
      </c>
      <c r="U652" s="143" t="s">
        <v>740</v>
      </c>
      <c r="V652">
        <v>0</v>
      </c>
      <c r="W652">
        <v>0</v>
      </c>
      <c r="X652">
        <v>0</v>
      </c>
      <c r="Y652">
        <v>2</v>
      </c>
      <c r="Z652">
        <v>0</v>
      </c>
      <c r="AA652">
        <v>0</v>
      </c>
      <c r="AB652">
        <v>0</v>
      </c>
      <c r="AC652">
        <v>0</v>
      </c>
      <c r="AD652">
        <v>0</v>
      </c>
      <c r="AE652">
        <v>0</v>
      </c>
      <c r="AF652">
        <v>0</v>
      </c>
      <c r="AG652">
        <v>0</v>
      </c>
      <c r="AH652">
        <v>0</v>
      </c>
      <c r="AI652">
        <v>0</v>
      </c>
      <c r="AJ652">
        <v>0</v>
      </c>
      <c r="AK652">
        <v>0</v>
      </c>
      <c r="AL652">
        <v>0</v>
      </c>
      <c r="AM652">
        <v>1</v>
      </c>
      <c r="AN652">
        <v>0</v>
      </c>
      <c r="AO652">
        <v>0</v>
      </c>
      <c r="AP652">
        <v>0</v>
      </c>
      <c r="AQ652">
        <v>0</v>
      </c>
      <c r="AR652">
        <v>0</v>
      </c>
      <c r="AS652">
        <v>0</v>
      </c>
      <c r="AT652">
        <v>0</v>
      </c>
      <c r="AU652">
        <v>0</v>
      </c>
      <c r="AV652">
        <v>0</v>
      </c>
      <c r="AW652">
        <v>0</v>
      </c>
      <c r="AX652">
        <v>0</v>
      </c>
      <c r="AY652">
        <v>0</v>
      </c>
      <c r="AZ652" s="141">
        <f>COUNTIF(X652:AY652,"&lt;&gt;0")</f>
        <v>2</v>
      </c>
      <c r="BA652" s="141">
        <f>COUNTIF(X652:AN652,"&lt;&gt;0")</f>
        <v>2</v>
      </c>
      <c r="BB652">
        <f>COUNTIF(X652:AE652,"&lt;&gt;0")</f>
        <v>1</v>
      </c>
      <c r="BC652">
        <f>COUNTIF(AF652:AK652,"&lt;&gt;0")</f>
        <v>0</v>
      </c>
      <c r="BD652">
        <f>COUNTIF(AL652:AN652,"&lt;&gt;0")</f>
        <v>1</v>
      </c>
      <c r="BE652">
        <f>COUNTIF(AU652:AY652,"&lt;&gt;0")</f>
        <v>0</v>
      </c>
      <c r="BF652">
        <f>COUNTIF(AO652:AT652,"&lt;&gt;0")</f>
        <v>0</v>
      </c>
      <c r="BG652" t="str" cm="1">
        <f t="array" ref="BG652">IF(BA652=1,INDEX($X$7:$AN$7,MATCH(TRUE,INDEX($X652:$AY652&lt;&gt;0,),0)),IF(BA652=0,INDEX($AO$7:$AY$7,MATCH(1,$AO652:$AY652,0)),IF(BH652="Multiple strategies","mixed drivers",IF(BH652="Supply chain","multiple supply","multiple silviculture"))))</f>
        <v>mixed drivers</v>
      </c>
      <c r="BH652" s="2" t="str" cm="1">
        <f t="array" ref="BH652">IF(COUNTIF(BB652:BD652,"&lt;&gt;0")=1,INDEX($X$4:$AY$4,MATCH(TRUE,INDEX($X652:$AY652&lt;&gt;0,),0)),IF(COUNTIF(BB652:BD652,"&lt;&gt;0")=0,INDEX($AO$4:$AY$4,MATCH(1,$AO652:$AY652,0)),"Multiple strategies"))</f>
        <v>Multiple strategies</v>
      </c>
      <c r="BI652" s="142" t="s">
        <v>229</v>
      </c>
      <c r="BJ652" t="s">
        <v>393</v>
      </c>
      <c r="BK652" s="317" t="s">
        <v>747</v>
      </c>
      <c r="BL652" s="143" t="s">
        <v>748</v>
      </c>
      <c r="BM652">
        <v>70</v>
      </c>
      <c r="BN652" s="143">
        <v>98</v>
      </c>
      <c r="BO652">
        <f>BN652/BM652</f>
        <v>1.4</v>
      </c>
      <c r="BP652">
        <f>BN652-BM652</f>
        <v>28</v>
      </c>
      <c r="BQ652" s="143">
        <f>BP652*t_to_m3</f>
        <v>57.142857142857146</v>
      </c>
      <c r="BR652" s="317" t="s">
        <v>232</v>
      </c>
      <c r="BS652" s="155" t="s">
        <v>749</v>
      </c>
      <c r="BT652" t="s">
        <v>442</v>
      </c>
      <c r="BU652" s="143">
        <f>-93.1</f>
        <v>-93.1</v>
      </c>
      <c r="BV652" s="151">
        <v>-144.30000000000001</v>
      </c>
      <c r="BW652" s="144">
        <f>IFERROR(BV652/BU652,"")</f>
        <v>1.5499462943071969</v>
      </c>
      <c r="BX652">
        <f>BV652-BU652</f>
        <v>-51.200000000000017</v>
      </c>
      <c r="BZ652">
        <f>BX652*C_to_CO2</f>
        <v>-187.90400000000005</v>
      </c>
      <c r="CA652">
        <f>IFERROR(BZ652/BQ652,"")</f>
        <v>-3.2883200000000006</v>
      </c>
      <c r="CB652" s="143">
        <v>0</v>
      </c>
      <c r="CC652" s="143">
        <v>0</v>
      </c>
      <c r="CD652" s="143">
        <v>0</v>
      </c>
      <c r="CE652" s="143">
        <v>0</v>
      </c>
      <c r="CF652" s="143">
        <v>0</v>
      </c>
      <c r="CG652" s="143">
        <v>0</v>
      </c>
      <c r="CH652" s="143">
        <v>0</v>
      </c>
      <c r="CI652" s="143">
        <v>0</v>
      </c>
      <c r="CJ652" s="143">
        <v>0</v>
      </c>
      <c r="CK652" s="143">
        <v>0</v>
      </c>
      <c r="CL652" s="143">
        <v>0</v>
      </c>
      <c r="CM652" s="143">
        <v>0</v>
      </c>
      <c r="CN652" s="143">
        <v>0</v>
      </c>
      <c r="CO652">
        <v>0</v>
      </c>
      <c r="CP652" t="str">
        <f>IF($BN652&lt;$BM652,"refNeedCorrection","refOK")</f>
        <v>refOK</v>
      </c>
      <c r="CQ652">
        <f>IF($CP652="refOK",$BM652,$BN652)</f>
        <v>70</v>
      </c>
      <c r="CR652">
        <f>IF($CP652="refOK",$BN652,$BM652)</f>
        <v>98</v>
      </c>
      <c r="CS652">
        <f>IF($CP652="refOK",$BQ652,-$BQ652)</f>
        <v>57.142857142857146</v>
      </c>
      <c r="CT652">
        <f>IF(BI652="Roundwood",$CS652/2,$CS652)</f>
        <v>57.142857142857146</v>
      </c>
      <c r="CU652">
        <f>IF($CP652="refOK",$BU652,$BV652)*IF($BR652="Emissions positive",-1,1)</f>
        <v>-93.1</v>
      </c>
      <c r="CV652">
        <f>IF($CP652="refOK",$BV652,$BU652)*IF($BR652="Emissions positive",-1,1)</f>
        <v>-144.30000000000001</v>
      </c>
      <c r="CW652">
        <f>IF($CP652="refNeedCorrection",-BZ652,BZ652)*IF($BR652="Emissions positive",-1,1)</f>
        <v>-187.90400000000005</v>
      </c>
      <c r="CX652">
        <f>IFERROR($CW652/$CS652,"")</f>
        <v>-3.2883200000000006</v>
      </c>
      <c r="CY652">
        <f>IFERROR($CW652/$CS652,"")</f>
        <v>-3.2883200000000006</v>
      </c>
      <c r="CZ652">
        <f>IFERROR($CW652/$CT652,"")</f>
        <v>-3.2883200000000006</v>
      </c>
      <c r="DA652" s="2">
        <f>IFERROR((CV652-CU652)/ABS(CU652),"")</f>
        <v>-0.54994629430719677</v>
      </c>
      <c r="DB652" s="1" t="s">
        <v>263</v>
      </c>
      <c r="DC652" s="317" t="str">
        <f>IF(OR($DB652="prd",$DB652="std",$DB652="cit"),"loc",IF(OR($DB652="eur",$DB652="reg",$DB652="coy"),"reg",$DB652))</f>
        <v>loc</v>
      </c>
      <c r="DD652" t="s">
        <v>444</v>
      </c>
      <c r="DF652" s="143"/>
      <c r="DG652" s="143">
        <v>0</v>
      </c>
      <c r="DH652" t="str">
        <f>IF(DG652=0,"0",IF(AND(DG652&gt;=1,DG652&lt;=30),"1-30",IF(AND(DG652&gt;30,DG652&lt;=70),"31-70",IF(AND(DG652&gt;70,DG652&lt;=100),"71-100",IF(DG652&gt;100,"+100")))))</f>
        <v>0</v>
      </c>
      <c r="DI652">
        <v>0</v>
      </c>
      <c r="DJ652">
        <v>0</v>
      </c>
      <c r="DK652">
        <v>0</v>
      </c>
      <c r="DL652">
        <v>1</v>
      </c>
      <c r="DN652">
        <f>SUM(DI652:DL652)</f>
        <v>1</v>
      </c>
      <c r="DO652" t="str">
        <f>IF(DN652=1,INDEX($DI$7:$DL$7,MATCH(1,$DI652:$DL652,0)),"mixedProduct")</f>
        <v>TimberInput</v>
      </c>
      <c r="DP652">
        <f>IF(DI652=1,DP$7,0)</f>
        <v>0</v>
      </c>
      <c r="DQ652">
        <f>IF(DJ652=1,DQ$7,0)</f>
        <v>0</v>
      </c>
      <c r="DR652">
        <f>IF(DK652=1,DR$7,0)</f>
        <v>0</v>
      </c>
      <c r="DS652" t="str">
        <f>IF(DL652=1,DS$7,0)</f>
        <v>Timber</v>
      </c>
      <c r="DT652">
        <v>1</v>
      </c>
      <c r="DU652" s="143">
        <v>0</v>
      </c>
      <c r="DV652" s="143">
        <v>0</v>
      </c>
      <c r="DW652">
        <v>0</v>
      </c>
      <c r="DX652" s="143">
        <v>0</v>
      </c>
      <c r="DY652">
        <f>SUM(DT652:DU652)</f>
        <v>1</v>
      </c>
      <c r="DZ652" s="143" t="str">
        <f>IF(DT652=1,"self-calculated DF",IF(DU652=1,"external DF used","explicit C balance"))</f>
        <v>self-calculated DF</v>
      </c>
      <c r="EA652" s="143">
        <v>0</v>
      </c>
      <c r="EB652" s="143">
        <v>1</v>
      </c>
      <c r="EC652" s="143">
        <v>1</v>
      </c>
      <c r="ED652" s="143">
        <v>0</v>
      </c>
      <c r="EE652">
        <v>0</v>
      </c>
      <c r="EF652" s="143">
        <v>0</v>
      </c>
      <c r="EG652" s="143">
        <v>0</v>
      </c>
      <c r="EH652" s="143">
        <v>0</v>
      </c>
      <c r="EI652" s="143">
        <v>0</v>
      </c>
      <c r="EJ652">
        <v>0</v>
      </c>
      <c r="EK652">
        <v>0</v>
      </c>
      <c r="EL652" s="143">
        <v>0</v>
      </c>
      <c r="EM652" s="143">
        <v>0</v>
      </c>
      <c r="EN652" s="2">
        <v>0</v>
      </c>
      <c r="EP652" t="str">
        <f>IF(AND(AND(AND(OR($EC652=1,$EB652=1),OR($EH652=1,$EF652=1)),SUM($EA652:$EE652,$EK652)&gt;=3),SUM($EF652:$EJ652)&gt;=2),"Whole sector approach","")</f>
        <v/>
      </c>
      <c r="EQ652" t="str">
        <f>IF(AND(AND(OR($EC652=1,$EB652=1),AND($EH652=0,$EF652=0)),SUM($EA652:$EE652,$EK652)&gt;=3),"Ecosystem approach","")</f>
        <v/>
      </c>
      <c r="ER652" s="2" t="str">
        <f>IF(AND(AND(AND($EC652=0,$EB652=0),OR($EH652=1,$EF652=1)),SUM($EG652:$EJ652)&gt;=2),"Technology approach","")</f>
        <v/>
      </c>
      <c r="ES652" t="str">
        <f>IF(AND($EC652+$EB652+$EE652+$EA652+$ED652+$EG652=0,$N652="included"),"C neutral forest and HWP assumption","")</f>
        <v/>
      </c>
      <c r="ET652" t="str">
        <f>IF(AND(AND(AND(AND($EC652=1,$EB652+$EA652+$EG652&gt;=1),$EF652=1),$EH652+$EI652+$ED652+$EE652&gt;=2),$N652="included"),"All C pools assumption","")</f>
        <v/>
      </c>
      <c r="EU652" t="str">
        <f>IF(AND($ED652+$EE652+$EI652+$EH652+$EF652=0,$N652="included"),"In-situ only assumption","")</f>
        <v>In-situ only assumption</v>
      </c>
      <c r="EV652" s="328" t="s">
        <v>5065</v>
      </c>
      <c r="EY652" t="str">
        <f>IF(ISNUMBER(BW652),IF(ABS(BW652-[4]QC_indicators!$B$2)&gt;3*[4]QC_indicators!$C$2,"C ratio",IF(ISNUMBER(CA652),IF(ABS(CA652-[4]QC_indicators!$B$1)&gt;3*[4]QC_indicators!$C$1,"DF","no"))),IF(ISNUMBER(CA652),IF(ABS(CA652-[4]QC_indicators!$B$1)&gt;3*[4]QC_indicators!$C$1,"DF","no")))</f>
        <v>no</v>
      </c>
      <c r="FA652" t="str">
        <f>IF(LEN($CY652)=0,"",IF(AND($CY652&lt;(-0.05),$ES652="C neutral forest and HWP assumption"),"Cneutral paradox",IF(AND($CY652&gt;0.05,$EU652="In-situ only assumption"),"In-situ only paradox","")))</f>
        <v/>
      </c>
      <c r="FB652" s="319" t="s">
        <v>349</v>
      </c>
      <c r="FD652" t="s">
        <v>4972</v>
      </c>
    </row>
    <row r="653" spans="4:160" ht="15" customHeight="1">
      <c r="D653" t="s">
        <v>743</v>
      </c>
      <c r="E653" s="333" t="s">
        <v>744</v>
      </c>
      <c r="G653" t="s">
        <v>745</v>
      </c>
      <c r="I653">
        <v>2006</v>
      </c>
      <c r="K653" s="289" t="s">
        <v>746</v>
      </c>
      <c r="M653" t="str">
        <f>LEFT($D653,FIND(",",$D653)-1)&amp;"_"&amp;I653&amp;L653</f>
        <v>Gustavsson_2006</v>
      </c>
      <c r="N653" t="s">
        <v>222</v>
      </c>
      <c r="O653" t="s">
        <v>223</v>
      </c>
      <c r="Q653" s="317" t="s">
        <v>256</v>
      </c>
      <c r="R653" s="318" t="s">
        <v>1029</v>
      </c>
      <c r="S653" s="320" t="s">
        <v>751</v>
      </c>
      <c r="T653" t="s">
        <v>739</v>
      </c>
      <c r="U653" s="143" t="s">
        <v>740</v>
      </c>
      <c r="V653" s="253">
        <v>0</v>
      </c>
      <c r="W653" s="253">
        <v>0</v>
      </c>
      <c r="X653">
        <v>0</v>
      </c>
      <c r="Y653">
        <v>0</v>
      </c>
      <c r="Z653">
        <v>0</v>
      </c>
      <c r="AA653">
        <v>0</v>
      </c>
      <c r="AB653">
        <v>0</v>
      </c>
      <c r="AC653">
        <v>0</v>
      </c>
      <c r="AD653">
        <v>0</v>
      </c>
      <c r="AE653">
        <v>0</v>
      </c>
      <c r="AF653">
        <v>0</v>
      </c>
      <c r="AG653">
        <v>0</v>
      </c>
      <c r="AH653">
        <v>0</v>
      </c>
      <c r="AI653">
        <v>0</v>
      </c>
      <c r="AJ653">
        <v>0</v>
      </c>
      <c r="AK653">
        <v>0</v>
      </c>
      <c r="AL653">
        <v>0</v>
      </c>
      <c r="AM653">
        <v>1</v>
      </c>
      <c r="AN653">
        <v>0</v>
      </c>
      <c r="AO653">
        <v>0</v>
      </c>
      <c r="AP653">
        <v>0</v>
      </c>
      <c r="AQ653">
        <v>0</v>
      </c>
      <c r="AR653">
        <v>0</v>
      </c>
      <c r="AS653">
        <v>0</v>
      </c>
      <c r="AT653">
        <v>0</v>
      </c>
      <c r="AU653">
        <v>0</v>
      </c>
      <c r="AV653">
        <v>0</v>
      </c>
      <c r="AW653">
        <v>0</v>
      </c>
      <c r="AX653">
        <v>0</v>
      </c>
      <c r="AY653">
        <v>0</v>
      </c>
      <c r="AZ653" s="141">
        <f>COUNTIF(X653:AY653,"&lt;&gt;0")</f>
        <v>1</v>
      </c>
      <c r="BA653" s="141">
        <f>COUNTIF(X653:AN653,"&lt;&gt;0")</f>
        <v>1</v>
      </c>
      <c r="BB653">
        <f>COUNTIF(X653:AE653,"&lt;&gt;0")</f>
        <v>0</v>
      </c>
      <c r="BC653">
        <f>COUNTIF(AF653:AK653,"&lt;&gt;0")</f>
        <v>0</v>
      </c>
      <c r="BD653">
        <f>COUNTIF(AL653:AN653,"&lt;&gt;0")</f>
        <v>1</v>
      </c>
      <c r="BE653">
        <f>COUNTIF(AU653:AY653,"&lt;&gt;0")</f>
        <v>0</v>
      </c>
      <c r="BF653">
        <f>COUNTIF(AO653:AT653,"&lt;&gt;0")</f>
        <v>0</v>
      </c>
      <c r="BG653" t="str" cm="1">
        <f t="array" ref="BG653">IF(BA653=1,INDEX($X$7:$AN$7,MATCH(TRUE,INDEX($X653:$AY653&lt;&gt;0,),0)),IF(BA653=0,INDEX($AO$7:$AY$7,MATCH(1,$AO653:$AY653,0)),IF(BH653="Multiple strategies","mixed drivers",IF(BH653="Supply chain","multiple supply","multiple silviculture"))))</f>
        <v>technologies/design switch</v>
      </c>
      <c r="BH653" s="2" t="str" cm="1">
        <f t="array" ref="BH653">IF(COUNTIF(BB653:BD653,"&lt;&gt;0")=1,INDEX($X$4:$AY$4,MATCH(TRUE,INDEX($X653:$AY653&lt;&gt;0,),0)),IF(COUNTIF(BB653:BD653,"&lt;&gt;0")=0,INDEX($AO$4:$AY$4,MATCH(1,$AO653:$AY653,0)),"Multiple strategies"))</f>
        <v>Technology</v>
      </c>
      <c r="BI653" s="142" t="s">
        <v>229</v>
      </c>
      <c r="BJ653" t="s">
        <v>393</v>
      </c>
      <c r="BK653" s="317" t="s">
        <v>747</v>
      </c>
      <c r="BL653" s="143" t="s">
        <v>748</v>
      </c>
      <c r="BM653">
        <v>145</v>
      </c>
      <c r="BN653" s="143">
        <v>145</v>
      </c>
      <c r="BO653">
        <f>BN653/BM653</f>
        <v>1</v>
      </c>
      <c r="BP653">
        <f>BN653-BM653</f>
        <v>0</v>
      </c>
      <c r="BQ653" s="143">
        <f>BP653*t_to_m3</f>
        <v>0</v>
      </c>
      <c r="BR653" s="317" t="s">
        <v>232</v>
      </c>
      <c r="BS653" s="155" t="s">
        <v>749</v>
      </c>
      <c r="BT653" t="s">
        <v>442</v>
      </c>
      <c r="BU653" s="143">
        <v>-212.9</v>
      </c>
      <c r="BV653" s="151">
        <v>-212.9</v>
      </c>
      <c r="BW653" s="144">
        <f>IFERROR(BV653/BU653,"")</f>
        <v>1</v>
      </c>
      <c r="BX653">
        <f>BV653-BU653</f>
        <v>0</v>
      </c>
      <c r="BZ653">
        <f>BX653*C_to_CO2</f>
        <v>0</v>
      </c>
      <c r="CA653" t="str">
        <f>IFERROR(BZ653/BQ653,"")</f>
        <v/>
      </c>
      <c r="CB653" s="143">
        <v>0</v>
      </c>
      <c r="CC653" s="143">
        <v>0</v>
      </c>
      <c r="CD653" s="143">
        <v>0</v>
      </c>
      <c r="CE653" s="143">
        <v>0</v>
      </c>
      <c r="CF653" s="143">
        <v>0</v>
      </c>
      <c r="CG653" s="143">
        <v>0</v>
      </c>
      <c r="CH653" s="143">
        <v>0</v>
      </c>
      <c r="CI653" s="143">
        <v>0</v>
      </c>
      <c r="CJ653" s="143">
        <v>0</v>
      </c>
      <c r="CK653" s="143">
        <v>0</v>
      </c>
      <c r="CL653" s="143">
        <v>0</v>
      </c>
      <c r="CM653" s="143">
        <v>0</v>
      </c>
      <c r="CN653" s="143">
        <v>0</v>
      </c>
      <c r="CO653">
        <v>0</v>
      </c>
      <c r="CP653" t="str">
        <f>IF($BN653&lt;$BM653,"refNeedCorrection","refOK")</f>
        <v>refOK</v>
      </c>
      <c r="CQ653">
        <f>IF($CP653="refOK",$BM653,$BN653)</f>
        <v>145</v>
      </c>
      <c r="CR653">
        <f>IF($CP653="refOK",$BN653,$BM653)</f>
        <v>145</v>
      </c>
      <c r="CS653">
        <f>IF($CP653="refOK",$BQ653,-$BQ653)</f>
        <v>0</v>
      </c>
      <c r="CT653">
        <f>IF(BI653="Roundwood",$CS653/2,$CS653)</f>
        <v>0</v>
      </c>
      <c r="CU653">
        <f>IF($CP653="refOK",$BU653,$BV653)*IF($BR653="Emissions positive",-1,1)</f>
        <v>-212.9</v>
      </c>
      <c r="CV653">
        <f>IF($CP653="refOK",$BV653,$BU653)*IF($BR653="Emissions positive",-1,1)</f>
        <v>-212.9</v>
      </c>
      <c r="CW653">
        <f>IF($CP653="refNeedCorrection",-BZ653,BZ653)*IF($BR653="Emissions positive",-1,1)</f>
        <v>0</v>
      </c>
      <c r="CX653" t="str">
        <f>IFERROR($CW653/$CS653,"")</f>
        <v/>
      </c>
      <c r="CY653" t="str">
        <f>IFERROR($CW653/$CS653,"")</f>
        <v/>
      </c>
      <c r="CZ653" t="str">
        <f>IFERROR($CW653/$CT653,"")</f>
        <v/>
      </c>
      <c r="DA653" s="2">
        <f>IFERROR((CV653-CU653)/ABS(CU653),"")</f>
        <v>0</v>
      </c>
      <c r="DB653" s="1" t="s">
        <v>263</v>
      </c>
      <c r="DC653" s="317" t="str">
        <f>IF(OR($DB653="prd",$DB653="std",$DB653="cit"),"loc",IF(OR($DB653="eur",$DB653="reg",$DB653="coy"),"reg",$DB653))</f>
        <v>loc</v>
      </c>
      <c r="DD653" t="s">
        <v>235</v>
      </c>
      <c r="DF653" s="143"/>
      <c r="DG653" s="143">
        <v>0</v>
      </c>
      <c r="DH653" t="str">
        <f>IF(DG653=0,"0",IF(AND(DG653&gt;=1,DG653&lt;=30),"1-30",IF(AND(DG653&gt;30,DG653&lt;=70),"31-70",IF(AND(DG653&gt;70,DG653&lt;=100),"71-100",IF(DG653&gt;100,"+100")))))</f>
        <v>0</v>
      </c>
      <c r="DI653">
        <v>0</v>
      </c>
      <c r="DJ653">
        <v>1</v>
      </c>
      <c r="DK653">
        <v>0</v>
      </c>
      <c r="DL653">
        <v>1</v>
      </c>
      <c r="DN653">
        <f>SUM(DI653:DL653)</f>
        <v>2</v>
      </c>
      <c r="DO653" t="str">
        <f>IF(DN653=1,INDEX($DI$7:$DL$7,MATCH(1,$DI653:$DL653,0)),"mixedProduct")</f>
        <v>mixedProduct</v>
      </c>
      <c r="DP653">
        <f>IF(DI653=1,DP$7,0)</f>
        <v>0</v>
      </c>
      <c r="DQ653" t="str">
        <f>IF(DJ653=1,DQ$7,0)</f>
        <v>Energy</v>
      </c>
      <c r="DR653">
        <f>IF(DK653=1,DR$7,0)</f>
        <v>0</v>
      </c>
      <c r="DS653" t="str">
        <f>IF(DL653=1,DS$7,0)</f>
        <v>Timber</v>
      </c>
      <c r="DT653">
        <v>1</v>
      </c>
      <c r="DU653" s="143">
        <v>0</v>
      </c>
      <c r="DV653" s="143">
        <v>0</v>
      </c>
      <c r="DW653">
        <v>0</v>
      </c>
      <c r="DX653" s="143">
        <v>0</v>
      </c>
      <c r="DY653">
        <f>SUM(DT653:DU653)</f>
        <v>1</v>
      </c>
      <c r="DZ653" s="143" t="str">
        <f>IF(DT653=1,"self-calculated DF",IF(DU653=1,"external DF used","explicit C balance"))</f>
        <v>self-calculated DF</v>
      </c>
      <c r="EA653" s="143">
        <v>0</v>
      </c>
      <c r="EB653" s="143">
        <v>1</v>
      </c>
      <c r="EC653" s="143">
        <v>1</v>
      </c>
      <c r="ED653" s="143">
        <v>0</v>
      </c>
      <c r="EE653">
        <v>0</v>
      </c>
      <c r="EF653" s="143">
        <v>0</v>
      </c>
      <c r="EG653" s="143">
        <v>0</v>
      </c>
      <c r="EH653" s="143">
        <v>0</v>
      </c>
      <c r="EI653" s="143">
        <v>0</v>
      </c>
      <c r="EJ653">
        <v>0</v>
      </c>
      <c r="EK653">
        <v>0</v>
      </c>
      <c r="EL653" s="143">
        <v>0</v>
      </c>
      <c r="EM653" s="143">
        <v>0</v>
      </c>
      <c r="EN653" s="2">
        <v>0</v>
      </c>
      <c r="EP653" t="str">
        <f>IF(AND(AND(AND(OR($EC653=1,$EB653=1),OR($EH653=1,$EF653=1)),SUM($EA653:$EE653,$EK653)&gt;=3),SUM($EF653:$EJ653)&gt;=2),"Whole sector approach","")</f>
        <v/>
      </c>
      <c r="EQ653" t="str">
        <f>IF(AND(AND(OR($EC653=1,$EB653=1),AND($EH653=0,$EF653=0)),SUM($EA653:$EE653,$EK653)&gt;=3),"Ecosystem approach","")</f>
        <v/>
      </c>
      <c r="ER653" s="2" t="str">
        <f>IF(AND(AND(AND($EC653=0,$EB653=0),OR($EH653=1,$EF653=1)),SUM($EG653:$EJ653)&gt;=2),"Technology approach","")</f>
        <v/>
      </c>
      <c r="ES653" t="str">
        <f>IF(AND($EC653+$EB653+$EE653+$EA653+$ED653+$EG653=0,$N653="included"),"C neutral forest and HWP assumption","")</f>
        <v/>
      </c>
      <c r="ET653" t="str">
        <f>IF(AND(AND(AND(AND($EC653=1,$EB653+$EA653+$EG653&gt;=1),$EF653=1),$EH653+$EI653+$ED653+$EE653&gt;=2),$N653="included"),"All C pools assumption","")</f>
        <v/>
      </c>
      <c r="EU653" t="str">
        <f>IF(AND($ED653+$EE653+$EI653+$EH653+$EF653=0,$N653="included"),"In-situ only assumption","")</f>
        <v>In-situ only assumption</v>
      </c>
      <c r="EV653" s="328" t="s">
        <v>5065</v>
      </c>
      <c r="EY653" t="b">
        <f>IF(ISNUMBER(BW653),IF(ABS(BW653-[4]QC_indicators!$B$2)&gt;3*[4]QC_indicators!$C$2,"C ratio",IF(ISNUMBER(CA653),IF(ABS(CA653-[4]QC_indicators!$B$1)&gt;3*[4]QC_indicators!$C$1,"DF","no"))),IF(ISNUMBER(CA653),IF(ABS(CA653-[4]QC_indicators!$B$1)&gt;3*[4]QC_indicators!$C$1,"DF","no")))</f>
        <v>0</v>
      </c>
      <c r="FA653" t="str">
        <f>IF(LEN($CY653)=0,"",IF(AND($CY653&lt;(-0.05),$ES653="C neutral forest and HWP assumption"),"Cneutral paradox",IF(AND($CY653&gt;0.05,$EU653="In-situ only assumption"),"In-situ only paradox","")))</f>
        <v/>
      </c>
      <c r="FB653" s="319" t="s">
        <v>349</v>
      </c>
      <c r="FD653" t="s">
        <v>4972</v>
      </c>
    </row>
    <row r="654" spans="4:160" ht="15" customHeight="1">
      <c r="D654" t="s">
        <v>743</v>
      </c>
      <c r="E654" t="s">
        <v>744</v>
      </c>
      <c r="G654" t="s">
        <v>745</v>
      </c>
      <c r="I654">
        <v>2006</v>
      </c>
      <c r="K654" s="289" t="s">
        <v>746</v>
      </c>
      <c r="M654" t="str">
        <f>LEFT($D654,FIND(",",$D654)-1)&amp;"_"&amp;I654&amp;L654</f>
        <v>Gustavsson_2006</v>
      </c>
      <c r="N654" t="s">
        <v>222</v>
      </c>
      <c r="O654" t="s">
        <v>223</v>
      </c>
      <c r="Q654" s="317" t="s">
        <v>256</v>
      </c>
      <c r="R654" s="318" t="s">
        <v>1029</v>
      </c>
      <c r="S654" s="320" t="s">
        <v>4974</v>
      </c>
      <c r="T654" t="s">
        <v>739</v>
      </c>
      <c r="U654" s="143" t="s">
        <v>740</v>
      </c>
      <c r="V654" s="253">
        <v>0</v>
      </c>
      <c r="W654" s="253">
        <v>0</v>
      </c>
      <c r="X654">
        <v>0</v>
      </c>
      <c r="Y654">
        <v>0</v>
      </c>
      <c r="Z654">
        <v>0</v>
      </c>
      <c r="AA654">
        <v>0</v>
      </c>
      <c r="AB654">
        <v>0</v>
      </c>
      <c r="AC654">
        <v>0</v>
      </c>
      <c r="AD654">
        <v>0</v>
      </c>
      <c r="AE654">
        <v>0</v>
      </c>
      <c r="AF654">
        <v>0</v>
      </c>
      <c r="AG654">
        <v>0</v>
      </c>
      <c r="AH654">
        <v>0</v>
      </c>
      <c r="AI654">
        <v>0</v>
      </c>
      <c r="AJ654">
        <v>0</v>
      </c>
      <c r="AK654">
        <v>0</v>
      </c>
      <c r="AL654">
        <v>0</v>
      </c>
      <c r="AM654">
        <v>1</v>
      </c>
      <c r="AN654">
        <v>0</v>
      </c>
      <c r="AO654">
        <v>0</v>
      </c>
      <c r="AP654">
        <v>0</v>
      </c>
      <c r="AQ654">
        <v>0</v>
      </c>
      <c r="AR654">
        <v>0</v>
      </c>
      <c r="AS654">
        <v>0</v>
      </c>
      <c r="AT654">
        <v>0</v>
      </c>
      <c r="AU654">
        <v>0</v>
      </c>
      <c r="AV654">
        <v>0</v>
      </c>
      <c r="AW654">
        <v>0</v>
      </c>
      <c r="AX654">
        <v>0</v>
      </c>
      <c r="AY654">
        <v>0</v>
      </c>
      <c r="AZ654" s="141">
        <f>COUNTIF(X654:AY654,"&lt;&gt;0")</f>
        <v>1</v>
      </c>
      <c r="BA654" s="141">
        <f>COUNTIF(X654:AN654,"&lt;&gt;0")</f>
        <v>1</v>
      </c>
      <c r="BB654">
        <f>COUNTIF(X654:AE654,"&lt;&gt;0")</f>
        <v>0</v>
      </c>
      <c r="BC654">
        <f>COUNTIF(AF654:AK654,"&lt;&gt;0")</f>
        <v>0</v>
      </c>
      <c r="BD654">
        <f>COUNTIF(AL654:AN654,"&lt;&gt;0")</f>
        <v>1</v>
      </c>
      <c r="BE654">
        <f>COUNTIF(AU654:AY654,"&lt;&gt;0")</f>
        <v>0</v>
      </c>
      <c r="BF654">
        <f>COUNTIF(AO654:AT654,"&lt;&gt;0")</f>
        <v>0</v>
      </c>
      <c r="BG654" t="str" cm="1">
        <f t="array" ref="BG654">IF(BA654=1,INDEX($X$7:$AN$7,MATCH(TRUE,INDEX($X654:$AY654&lt;&gt;0,),0)),IF(BA654=0,INDEX($AO$7:$AY$7,MATCH(1,$AO654:$AY654,0)),IF(BH654="Multiple strategies","mixed drivers",IF(BH654="Supply chain","multiple supply","multiple silviculture"))))</f>
        <v>technologies/design switch</v>
      </c>
      <c r="BH654" s="2" t="str" cm="1">
        <f t="array" ref="BH654">IF(COUNTIF(BB654:BD654,"&lt;&gt;0")=1,INDEX($X$4:$AY$4,MATCH(TRUE,INDEX($X654:$AY654&lt;&gt;0,),0)),IF(COUNTIF(BB654:BD654,"&lt;&gt;0")=0,INDEX($AO$4:$AY$4,MATCH(1,$AO654:$AY654,0)),"Multiple strategies"))</f>
        <v>Technology</v>
      </c>
      <c r="BI654" s="142" t="s">
        <v>229</v>
      </c>
      <c r="BJ654" t="s">
        <v>393</v>
      </c>
      <c r="BK654" s="317" t="s">
        <v>747</v>
      </c>
      <c r="BL654" s="143" t="s">
        <v>748</v>
      </c>
      <c r="BM654">
        <v>145</v>
      </c>
      <c r="BN654" s="143">
        <v>145</v>
      </c>
      <c r="BO654">
        <f>BN654/BM654</f>
        <v>1</v>
      </c>
      <c r="BP654">
        <f>BN654-BM654</f>
        <v>0</v>
      </c>
      <c r="BQ654" s="143">
        <f>BP654*t_to_m3</f>
        <v>0</v>
      </c>
      <c r="BR654" s="317" t="s">
        <v>232</v>
      </c>
      <c r="BS654" s="155" t="s">
        <v>749</v>
      </c>
      <c r="BT654" t="s">
        <v>442</v>
      </c>
      <c r="BU654" s="143">
        <v>-212.9</v>
      </c>
      <c r="BV654" s="151">
        <v>-212.9</v>
      </c>
      <c r="BW654" s="144">
        <f>IFERROR(BV654/BU654,"")</f>
        <v>1</v>
      </c>
      <c r="BX654">
        <f>BV654-BU654</f>
        <v>0</v>
      </c>
      <c r="BZ654">
        <f>BX654*C_to_CO2</f>
        <v>0</v>
      </c>
      <c r="CA654" t="str">
        <f>IFERROR(BZ654/BQ654,"")</f>
        <v/>
      </c>
      <c r="CB654" s="143">
        <v>0</v>
      </c>
      <c r="CC654" s="143">
        <v>0</v>
      </c>
      <c r="CD654" s="143">
        <v>0</v>
      </c>
      <c r="CE654" s="143">
        <v>0</v>
      </c>
      <c r="CF654" s="143">
        <v>0</v>
      </c>
      <c r="CG654" s="143">
        <v>0</v>
      </c>
      <c r="CH654" s="143">
        <v>0</v>
      </c>
      <c r="CI654" s="143">
        <v>0</v>
      </c>
      <c r="CJ654" s="143">
        <v>0</v>
      </c>
      <c r="CK654" s="143">
        <v>0</v>
      </c>
      <c r="CL654" s="143">
        <v>0</v>
      </c>
      <c r="CM654" s="143">
        <v>0</v>
      </c>
      <c r="CN654" s="143">
        <v>0</v>
      </c>
      <c r="CO654">
        <v>0</v>
      </c>
      <c r="CP654" t="str">
        <f>IF($BN654&lt;$BM654,"refNeedCorrection","refOK")</f>
        <v>refOK</v>
      </c>
      <c r="CQ654">
        <f>IF($CP654="refOK",$BM654,$BN654)</f>
        <v>145</v>
      </c>
      <c r="CR654">
        <f>IF($CP654="refOK",$BN654,$BM654)</f>
        <v>145</v>
      </c>
      <c r="CS654">
        <f>IF($CP654="refOK",$BQ654,-$BQ654)</f>
        <v>0</v>
      </c>
      <c r="CT654">
        <f>IF(BI654="Roundwood",$CS654/2,$CS654)</f>
        <v>0</v>
      </c>
      <c r="CU654">
        <f>IF($CP654="refOK",$BU654,$BV654)*IF($BR654="Emissions positive",-1,1)</f>
        <v>-212.9</v>
      </c>
      <c r="CV654">
        <f>IF($CP654="refOK",$BV654,$BU654)*IF($BR654="Emissions positive",-1,1)</f>
        <v>-212.9</v>
      </c>
      <c r="CW654">
        <f>IF($CP654="refNeedCorrection",-BZ654,BZ654)*IF($BR654="Emissions positive",-1,1)</f>
        <v>0</v>
      </c>
      <c r="CX654" t="str">
        <f>IFERROR($CW654/$CS654,"")</f>
        <v/>
      </c>
      <c r="CY654" t="str">
        <f>IFERROR($CW654/$CS654,"")</f>
        <v/>
      </c>
      <c r="CZ654" t="str">
        <f>IFERROR($CW654/$CT654,"")</f>
        <v/>
      </c>
      <c r="DA654" s="2">
        <f>IFERROR((CV654-CU654)/ABS(CU654),"")</f>
        <v>0</v>
      </c>
      <c r="DB654" s="1" t="s">
        <v>263</v>
      </c>
      <c r="DC654" s="317" t="str">
        <f>IF(OR($DB654="prd",$DB654="std",$DB654="cit"),"loc",IF(OR($DB654="eur",$DB654="reg",$DB654="coy"),"reg",$DB654))</f>
        <v>loc</v>
      </c>
      <c r="DD654" t="s">
        <v>235</v>
      </c>
      <c r="DF654" s="143"/>
      <c r="DG654" s="143">
        <v>0</v>
      </c>
      <c r="DH654" t="str">
        <f>IF(DG654=0,"0",IF(AND(DG654&gt;=1,DG654&lt;=30),"1-30",IF(AND(DG654&gt;30,DG654&lt;=70),"31-70",IF(AND(DG654&gt;70,DG654&lt;=100),"71-100",IF(DG654&gt;100,"+100")))))</f>
        <v>0</v>
      </c>
      <c r="DI654">
        <v>0</v>
      </c>
      <c r="DJ654">
        <v>1</v>
      </c>
      <c r="DK654">
        <v>0</v>
      </c>
      <c r="DL654">
        <v>1</v>
      </c>
      <c r="DN654">
        <f>SUM(DI654:DL654)</f>
        <v>2</v>
      </c>
      <c r="DO654" t="str">
        <f>IF(DN654=1,INDEX($DI$7:$DL$7,MATCH(1,$DI654:$DL654,0)),"mixedProduct")</f>
        <v>mixedProduct</v>
      </c>
      <c r="DP654">
        <f>IF(DI654=1,DP$7,0)</f>
        <v>0</v>
      </c>
      <c r="DQ654" t="str">
        <f>IF(DJ654=1,DQ$7,0)</f>
        <v>Energy</v>
      </c>
      <c r="DR654">
        <f>IF(DK654=1,DR$7,0)</f>
        <v>0</v>
      </c>
      <c r="DS654" t="str">
        <f>IF(DL654=1,DS$7,0)</f>
        <v>Timber</v>
      </c>
      <c r="DT654">
        <v>1</v>
      </c>
      <c r="DU654" s="143">
        <v>0</v>
      </c>
      <c r="DV654" s="143">
        <v>0</v>
      </c>
      <c r="DW654">
        <v>0</v>
      </c>
      <c r="DX654" s="143">
        <v>0</v>
      </c>
      <c r="DY654">
        <f>SUM(DT654:DU654)</f>
        <v>1</v>
      </c>
      <c r="DZ654" s="143" t="str">
        <f>IF(DT654=1,"self-calculated DF",IF(DU654=1,"external DF used","explicit C balance"))</f>
        <v>self-calculated DF</v>
      </c>
      <c r="EA654" s="143">
        <v>0</v>
      </c>
      <c r="EB654" s="143">
        <v>1</v>
      </c>
      <c r="EC654" s="143">
        <v>1</v>
      </c>
      <c r="ED654" s="143">
        <v>0</v>
      </c>
      <c r="EE654">
        <v>0</v>
      </c>
      <c r="EF654" s="143">
        <v>0</v>
      </c>
      <c r="EG654" s="143">
        <v>0</v>
      </c>
      <c r="EH654" s="143">
        <v>0</v>
      </c>
      <c r="EI654" s="143">
        <v>0</v>
      </c>
      <c r="EJ654">
        <v>0</v>
      </c>
      <c r="EK654">
        <v>0</v>
      </c>
      <c r="EL654" s="143">
        <v>0</v>
      </c>
      <c r="EM654" s="143">
        <v>0</v>
      </c>
      <c r="EN654" s="2">
        <v>0</v>
      </c>
      <c r="EP654" t="str">
        <f>IF(AND(AND(AND(OR($EC654=1,$EB654=1),OR($EH654=1,$EF654=1)),SUM($EA654:$EE654,$EK654)&gt;=3),SUM($EF654:$EJ654)&gt;=2),"Whole sector approach","")</f>
        <v/>
      </c>
      <c r="EQ654" t="str">
        <f>IF(AND(AND(OR($EC654=1,$EB654=1),AND($EH654=0,$EF654=0)),SUM($EA654:$EE654,$EK654)&gt;=3),"Ecosystem approach","")</f>
        <v/>
      </c>
      <c r="ER654" s="2" t="str">
        <f>IF(AND(AND(AND($EC654=0,$EB654=0),OR($EH654=1,$EF654=1)),SUM($EG654:$EJ654)&gt;=2),"Technology approach","")</f>
        <v/>
      </c>
      <c r="ES654" t="str">
        <f>IF(AND($EC654+$EB654+$EE654+$EA654+$ED654+$EG654=0,$N654="included"),"C neutral forest and HWP assumption","")</f>
        <v/>
      </c>
      <c r="ET654" t="str">
        <f>IF(AND(AND(AND(AND($EC654=1,$EB654+$EA654+$EG654&gt;=1),$EF654=1),$EH654+$EI654+$ED654+$EE654&gt;=2),$N654="included"),"All C pools assumption","")</f>
        <v/>
      </c>
      <c r="EU654" t="str">
        <f>IF(AND($ED654+$EE654+$EI654+$EH654+$EF654=0,$N654="included"),"In-situ only assumption","")</f>
        <v>In-situ only assumption</v>
      </c>
      <c r="EV654" s="328" t="s">
        <v>5065</v>
      </c>
      <c r="EY654" t="b">
        <f>IF(ISNUMBER(BW654),IF(ABS(BW654-[4]QC_indicators!$B$2)&gt;3*[4]QC_indicators!$C$2,"C ratio",IF(ISNUMBER(CA654),IF(ABS(CA654-[4]QC_indicators!$B$1)&gt;3*[4]QC_indicators!$C$1,"DF","no"))),IF(ISNUMBER(CA654),IF(ABS(CA654-[4]QC_indicators!$B$1)&gt;3*[4]QC_indicators!$C$1,"DF","no")))</f>
        <v>0</v>
      </c>
      <c r="FA654" t="str">
        <f>IF(LEN($CY654)=0,"",IF(AND($CY654&lt;(-0.05),$ES654="C neutral forest and HWP assumption"),"Cneutral paradox",IF(AND($CY654&gt;0.05,$EU654="In-situ only assumption"),"In-situ only paradox","")))</f>
        <v/>
      </c>
      <c r="FB654" s="319" t="s">
        <v>349</v>
      </c>
      <c r="FD654" t="s">
        <v>4972</v>
      </c>
    </row>
    <row r="655" spans="4:160" ht="15" customHeight="1">
      <c r="D655" t="s">
        <v>743</v>
      </c>
      <c r="E655" t="s">
        <v>744</v>
      </c>
      <c r="G655" t="s">
        <v>745</v>
      </c>
      <c r="I655">
        <v>2006</v>
      </c>
      <c r="K655" s="289" t="s">
        <v>746</v>
      </c>
      <c r="M655" t="str">
        <f>LEFT($D655,FIND(",",$D655)-1)&amp;"_"&amp;I655&amp;L655</f>
        <v>Gustavsson_2006</v>
      </c>
      <c r="N655" t="s">
        <v>222</v>
      </c>
      <c r="O655" t="s">
        <v>223</v>
      </c>
      <c r="Q655" s="317" t="s">
        <v>256</v>
      </c>
      <c r="R655" s="318" t="s">
        <v>1029</v>
      </c>
      <c r="S655" s="320" t="s">
        <v>4976</v>
      </c>
      <c r="T655" t="s">
        <v>739</v>
      </c>
      <c r="U655" s="143" t="s">
        <v>740</v>
      </c>
      <c r="V655" s="253">
        <v>0</v>
      </c>
      <c r="W655" s="253">
        <v>0</v>
      </c>
      <c r="X655">
        <v>0</v>
      </c>
      <c r="Y655">
        <v>0</v>
      </c>
      <c r="Z655">
        <v>0</v>
      </c>
      <c r="AA655">
        <v>0</v>
      </c>
      <c r="AB655">
        <v>0</v>
      </c>
      <c r="AC655">
        <v>0</v>
      </c>
      <c r="AD655">
        <v>0</v>
      </c>
      <c r="AE655">
        <v>0</v>
      </c>
      <c r="AF655">
        <v>0</v>
      </c>
      <c r="AG655">
        <v>0</v>
      </c>
      <c r="AH655">
        <v>0</v>
      </c>
      <c r="AI655">
        <v>0</v>
      </c>
      <c r="AJ655">
        <v>0</v>
      </c>
      <c r="AK655">
        <v>0</v>
      </c>
      <c r="AL655">
        <v>0</v>
      </c>
      <c r="AM655">
        <v>1</v>
      </c>
      <c r="AN655">
        <v>0</v>
      </c>
      <c r="AO655">
        <v>0</v>
      </c>
      <c r="AP655">
        <v>0</v>
      </c>
      <c r="AQ655">
        <v>0</v>
      </c>
      <c r="AR655">
        <v>0</v>
      </c>
      <c r="AS655">
        <v>0</v>
      </c>
      <c r="AT655">
        <v>0</v>
      </c>
      <c r="AU655">
        <v>0</v>
      </c>
      <c r="AV655">
        <v>0</v>
      </c>
      <c r="AW655">
        <v>0</v>
      </c>
      <c r="AX655">
        <v>0</v>
      </c>
      <c r="AY655">
        <v>0</v>
      </c>
      <c r="AZ655" s="141">
        <f>COUNTIF(X655:AY655,"&lt;&gt;0")</f>
        <v>1</v>
      </c>
      <c r="BA655" s="141">
        <f>COUNTIF(X655:AN655,"&lt;&gt;0")</f>
        <v>1</v>
      </c>
      <c r="BB655">
        <f>COUNTIF(X655:AE655,"&lt;&gt;0")</f>
        <v>0</v>
      </c>
      <c r="BC655">
        <f>COUNTIF(AF655:AK655,"&lt;&gt;0")</f>
        <v>0</v>
      </c>
      <c r="BD655">
        <f>COUNTIF(AL655:AN655,"&lt;&gt;0")</f>
        <v>1</v>
      </c>
      <c r="BE655">
        <f>COUNTIF(AU655:AY655,"&lt;&gt;0")</f>
        <v>0</v>
      </c>
      <c r="BF655">
        <f>COUNTIF(AO655:AT655,"&lt;&gt;0")</f>
        <v>0</v>
      </c>
      <c r="BG655" t="str" cm="1">
        <f t="array" ref="BG655">IF(BA655=1,INDEX($X$7:$AN$7,MATCH(TRUE,INDEX($X655:$AY655&lt;&gt;0,),0)),IF(BA655=0,INDEX($AO$7:$AY$7,MATCH(1,$AO655:$AY655,0)),IF(BH655="Multiple strategies","mixed drivers",IF(BH655="Supply chain","multiple supply","multiple silviculture"))))</f>
        <v>technologies/design switch</v>
      </c>
      <c r="BH655" s="2" t="str" cm="1">
        <f t="array" ref="BH655">IF(COUNTIF(BB655:BD655,"&lt;&gt;0")=1,INDEX($X$4:$AY$4,MATCH(TRUE,INDEX($X655:$AY655&lt;&gt;0,),0)),IF(COUNTIF(BB655:BD655,"&lt;&gt;0")=0,INDEX($AO$4:$AY$4,MATCH(1,$AO655:$AY655,0)),"Multiple strategies"))</f>
        <v>Technology</v>
      </c>
      <c r="BI655" s="142" t="s">
        <v>229</v>
      </c>
      <c r="BJ655" t="s">
        <v>393</v>
      </c>
      <c r="BK655" s="317" t="s">
        <v>747</v>
      </c>
      <c r="BL655" s="143" t="s">
        <v>748</v>
      </c>
      <c r="BM655">
        <v>98</v>
      </c>
      <c r="BN655" s="143">
        <v>98</v>
      </c>
      <c r="BO655">
        <f>BN655/BM655</f>
        <v>1</v>
      </c>
      <c r="BP655">
        <f>BN655-BM655</f>
        <v>0</v>
      </c>
      <c r="BQ655" s="143">
        <f>BP655*t_to_m3</f>
        <v>0</v>
      </c>
      <c r="BR655" s="317" t="s">
        <v>232</v>
      </c>
      <c r="BS655" s="155" t="s">
        <v>749</v>
      </c>
      <c r="BT655" t="s">
        <v>442</v>
      </c>
      <c r="BU655" s="143">
        <f>-144.3</f>
        <v>-144.30000000000001</v>
      </c>
      <c r="BV655" s="151">
        <v>-144.30000000000001</v>
      </c>
      <c r="BW655" s="144">
        <f>IFERROR(BV655/BU655,"")</f>
        <v>1</v>
      </c>
      <c r="BX655">
        <f>BV655-BU655</f>
        <v>0</v>
      </c>
      <c r="BZ655">
        <f>BX655*C_to_CO2</f>
        <v>0</v>
      </c>
      <c r="CA655" t="str">
        <f>IFERROR(BZ655/BQ655,"")</f>
        <v/>
      </c>
      <c r="CB655" s="143">
        <v>0</v>
      </c>
      <c r="CC655" s="143">
        <v>0</v>
      </c>
      <c r="CD655" s="143">
        <v>0</v>
      </c>
      <c r="CE655" s="143">
        <v>0</v>
      </c>
      <c r="CF655" s="143">
        <v>0</v>
      </c>
      <c r="CG655" s="143">
        <v>0</v>
      </c>
      <c r="CH655" s="143">
        <v>0</v>
      </c>
      <c r="CI655" s="143">
        <v>0</v>
      </c>
      <c r="CJ655" s="143">
        <v>0</v>
      </c>
      <c r="CK655" s="143">
        <v>0</v>
      </c>
      <c r="CL655" s="143">
        <v>0</v>
      </c>
      <c r="CM655" s="143">
        <v>0</v>
      </c>
      <c r="CN655" s="143">
        <v>0</v>
      </c>
      <c r="CO655">
        <v>0</v>
      </c>
      <c r="CP655" t="str">
        <f>IF($BN655&lt;$BM655,"refNeedCorrection","refOK")</f>
        <v>refOK</v>
      </c>
      <c r="CQ655">
        <f>IF($CP655="refOK",$BM655,$BN655)</f>
        <v>98</v>
      </c>
      <c r="CR655">
        <f>IF($CP655="refOK",$BN655,$BM655)</f>
        <v>98</v>
      </c>
      <c r="CS655">
        <f>IF($CP655="refOK",$BQ655,-$BQ655)</f>
        <v>0</v>
      </c>
      <c r="CT655">
        <f>IF(BI655="Roundwood",$CS655/2,$CS655)</f>
        <v>0</v>
      </c>
      <c r="CU655">
        <f>IF($CP655="refOK",$BU655,$BV655)*IF($BR655="Emissions positive",-1,1)</f>
        <v>-144.30000000000001</v>
      </c>
      <c r="CV655">
        <f>IF($CP655="refOK",$BV655,$BU655)*IF($BR655="Emissions positive",-1,1)</f>
        <v>-144.30000000000001</v>
      </c>
      <c r="CW655">
        <f>IF($CP655="refNeedCorrection",-BZ655,BZ655)*IF($BR655="Emissions positive",-1,1)</f>
        <v>0</v>
      </c>
      <c r="CX655" t="str">
        <f>IFERROR($CW655/$CS655,"")</f>
        <v/>
      </c>
      <c r="CY655" t="str">
        <f>IFERROR($CW655/$CS655,"")</f>
        <v/>
      </c>
      <c r="CZ655" t="str">
        <f>IFERROR($CW655/$CT655,"")</f>
        <v/>
      </c>
      <c r="DA655" s="2">
        <f>IFERROR((CV655-CU655)/ABS(CU655),"")</f>
        <v>0</v>
      </c>
      <c r="DB655" s="1" t="s">
        <v>263</v>
      </c>
      <c r="DC655" s="317" t="str">
        <f>IF(OR($DB655="prd",$DB655="std",$DB655="cit"),"loc",IF(OR($DB655="eur",$DB655="reg",$DB655="coy"),"reg",$DB655))</f>
        <v>loc</v>
      </c>
      <c r="DD655" t="s">
        <v>444</v>
      </c>
      <c r="DF655" s="143"/>
      <c r="DG655" s="143">
        <v>0</v>
      </c>
      <c r="DH655" t="str">
        <f>IF(DG655=0,"0",IF(AND(DG655&gt;=1,DG655&lt;=30),"1-30",IF(AND(DG655&gt;30,DG655&lt;=70),"31-70",IF(AND(DG655&gt;70,DG655&lt;=100),"71-100",IF(DG655&gt;100,"+100")))))</f>
        <v>0</v>
      </c>
      <c r="DI655">
        <v>0</v>
      </c>
      <c r="DJ655">
        <v>1</v>
      </c>
      <c r="DK655">
        <v>0</v>
      </c>
      <c r="DL655">
        <v>1</v>
      </c>
      <c r="DN655">
        <f>SUM(DI655:DL655)</f>
        <v>2</v>
      </c>
      <c r="DO655" t="str">
        <f>IF(DN655=1,INDEX($DI$7:$DL$7,MATCH(1,$DI655:$DL655,0)),"mixedProduct")</f>
        <v>mixedProduct</v>
      </c>
      <c r="DP655">
        <f>IF(DI655=1,DP$7,0)</f>
        <v>0</v>
      </c>
      <c r="DQ655" t="str">
        <f>IF(DJ655=1,DQ$7,0)</f>
        <v>Energy</v>
      </c>
      <c r="DR655">
        <f>IF(DK655=1,DR$7,0)</f>
        <v>0</v>
      </c>
      <c r="DS655" t="str">
        <f>IF(DL655=1,DS$7,0)</f>
        <v>Timber</v>
      </c>
      <c r="DT655">
        <v>1</v>
      </c>
      <c r="DU655" s="143">
        <v>0</v>
      </c>
      <c r="DV655" s="143">
        <v>0</v>
      </c>
      <c r="DW655">
        <v>0</v>
      </c>
      <c r="DX655" s="143">
        <v>0</v>
      </c>
      <c r="DY655">
        <f>SUM(DT655:DU655)</f>
        <v>1</v>
      </c>
      <c r="DZ655" s="143" t="str">
        <f>IF(DT655=1,"self-calculated DF",IF(DU655=1,"external DF used","explicit C balance"))</f>
        <v>self-calculated DF</v>
      </c>
      <c r="EA655" s="143">
        <v>0</v>
      </c>
      <c r="EB655" s="143">
        <v>1</v>
      </c>
      <c r="EC655" s="143">
        <v>1</v>
      </c>
      <c r="ED655" s="143">
        <v>0</v>
      </c>
      <c r="EE655">
        <v>0</v>
      </c>
      <c r="EF655" s="143">
        <v>0</v>
      </c>
      <c r="EG655" s="143">
        <v>0</v>
      </c>
      <c r="EH655" s="143">
        <v>0</v>
      </c>
      <c r="EI655" s="143">
        <v>0</v>
      </c>
      <c r="EJ655">
        <v>0</v>
      </c>
      <c r="EK655">
        <v>0</v>
      </c>
      <c r="EL655" s="143">
        <v>0</v>
      </c>
      <c r="EM655" s="143">
        <v>0</v>
      </c>
      <c r="EN655" s="2">
        <v>0</v>
      </c>
      <c r="EP655" t="str">
        <f>IF(AND(AND(AND(OR($EC655=1,$EB655=1),OR($EH655=1,$EF655=1)),SUM($EA655:$EE655,$EK655)&gt;=3),SUM($EF655:$EJ655)&gt;=2),"Whole sector approach","")</f>
        <v/>
      </c>
      <c r="EQ655" t="str">
        <f>IF(AND(AND(OR($EC655=1,$EB655=1),AND($EH655=0,$EF655=0)),SUM($EA655:$EE655,$EK655)&gt;=3),"Ecosystem approach","")</f>
        <v/>
      </c>
      <c r="ER655" s="2" t="str">
        <f>IF(AND(AND(AND($EC655=0,$EB655=0),OR($EH655=1,$EF655=1)),SUM($EG655:$EJ655)&gt;=2),"Technology approach","")</f>
        <v/>
      </c>
      <c r="ES655" t="str">
        <f>IF(AND($EC655+$EB655+$EE655+$EA655+$ED655+$EG655=0,$N655="included"),"C neutral forest and HWP assumption","")</f>
        <v/>
      </c>
      <c r="ET655" t="str">
        <f>IF(AND(AND(AND(AND($EC655=1,$EB655+$EA655+$EG655&gt;=1),$EF655=1),$EH655+$EI655+$ED655+$EE655&gt;=2),$N655="included"),"All C pools assumption","")</f>
        <v/>
      </c>
      <c r="EU655" t="str">
        <f>IF(AND($ED655+$EE655+$EI655+$EH655+$EF655=0,$N655="included"),"In-situ only assumption","")</f>
        <v>In-situ only assumption</v>
      </c>
      <c r="EV655" s="328" t="s">
        <v>5065</v>
      </c>
      <c r="EY655" t="b">
        <f>IF(ISNUMBER(BW655),IF(ABS(BW655-[4]QC_indicators!$B$2)&gt;3*[4]QC_indicators!$C$2,"C ratio",IF(ISNUMBER(CA655),IF(ABS(CA655-[4]QC_indicators!$B$1)&gt;3*[4]QC_indicators!$C$1,"DF","no"))),IF(ISNUMBER(CA655),IF(ABS(CA655-[4]QC_indicators!$B$1)&gt;3*[4]QC_indicators!$C$1,"DF","no")))</f>
        <v>0</v>
      </c>
      <c r="FA655" t="str">
        <f>IF(LEN($CY655)=0,"",IF(AND($CY655&lt;(-0.05),$ES655="C neutral forest and HWP assumption"),"Cneutral paradox",IF(AND($CY655&gt;0.05,$EU655="In-situ only assumption"),"In-situ only paradox","")))</f>
        <v/>
      </c>
      <c r="FB655" s="319" t="s">
        <v>349</v>
      </c>
      <c r="FD655" t="s">
        <v>4972</v>
      </c>
    </row>
    <row r="656" spans="4:160" ht="15" customHeight="1">
      <c r="D656" t="s">
        <v>743</v>
      </c>
      <c r="E656" t="s">
        <v>744</v>
      </c>
      <c r="G656" t="s">
        <v>745</v>
      </c>
      <c r="I656">
        <v>2006</v>
      </c>
      <c r="K656" s="289" t="s">
        <v>746</v>
      </c>
      <c r="M656" t="str">
        <f>LEFT($D656,FIND(",",$D656)-1)&amp;"_"&amp;I656&amp;L656</f>
        <v>Gustavsson_2006</v>
      </c>
      <c r="N656" t="s">
        <v>222</v>
      </c>
      <c r="O656" t="s">
        <v>223</v>
      </c>
      <c r="Q656" s="317" t="s">
        <v>256</v>
      </c>
      <c r="R656" s="318" t="s">
        <v>1029</v>
      </c>
      <c r="S656" s="320" t="s">
        <v>4978</v>
      </c>
      <c r="T656" t="s">
        <v>739</v>
      </c>
      <c r="U656" s="143" t="s">
        <v>740</v>
      </c>
      <c r="V656" s="253">
        <v>0</v>
      </c>
      <c r="W656" s="253">
        <v>0</v>
      </c>
      <c r="X656">
        <v>0</v>
      </c>
      <c r="Y656">
        <v>0</v>
      </c>
      <c r="Z656">
        <v>0</v>
      </c>
      <c r="AA656">
        <v>0</v>
      </c>
      <c r="AB656">
        <v>0</v>
      </c>
      <c r="AC656">
        <v>0</v>
      </c>
      <c r="AD656">
        <v>0</v>
      </c>
      <c r="AE656">
        <v>0</v>
      </c>
      <c r="AF656">
        <v>0</v>
      </c>
      <c r="AG656">
        <v>0</v>
      </c>
      <c r="AH656">
        <v>0</v>
      </c>
      <c r="AI656">
        <v>0</v>
      </c>
      <c r="AJ656">
        <v>0</v>
      </c>
      <c r="AK656">
        <v>0</v>
      </c>
      <c r="AL656">
        <v>0</v>
      </c>
      <c r="AM656">
        <v>1</v>
      </c>
      <c r="AN656">
        <v>0</v>
      </c>
      <c r="AO656">
        <v>0</v>
      </c>
      <c r="AP656">
        <v>0</v>
      </c>
      <c r="AQ656">
        <v>0</v>
      </c>
      <c r="AR656">
        <v>0</v>
      </c>
      <c r="AS656">
        <v>0</v>
      </c>
      <c r="AT656">
        <v>0</v>
      </c>
      <c r="AU656">
        <v>0</v>
      </c>
      <c r="AV656">
        <v>0</v>
      </c>
      <c r="AW656">
        <v>0</v>
      </c>
      <c r="AX656">
        <v>0</v>
      </c>
      <c r="AY656">
        <v>0</v>
      </c>
      <c r="AZ656" s="141">
        <f>COUNTIF(X656:AY656,"&lt;&gt;0")</f>
        <v>1</v>
      </c>
      <c r="BA656" s="141">
        <f>COUNTIF(X656:AN656,"&lt;&gt;0")</f>
        <v>1</v>
      </c>
      <c r="BB656">
        <f>COUNTIF(X656:AE656,"&lt;&gt;0")</f>
        <v>0</v>
      </c>
      <c r="BC656">
        <f>COUNTIF(AF656:AK656,"&lt;&gt;0")</f>
        <v>0</v>
      </c>
      <c r="BD656">
        <f>COUNTIF(AL656:AN656,"&lt;&gt;0")</f>
        <v>1</v>
      </c>
      <c r="BE656">
        <f>COUNTIF(AU656:AY656,"&lt;&gt;0")</f>
        <v>0</v>
      </c>
      <c r="BF656">
        <f>COUNTIF(AO656:AT656,"&lt;&gt;0")</f>
        <v>0</v>
      </c>
      <c r="BG656" t="str" cm="1">
        <f t="array" ref="BG656">IF(BA656=1,INDEX($X$7:$AN$7,MATCH(TRUE,INDEX($X656:$AY656&lt;&gt;0,),0)),IF(BA656=0,INDEX($AO$7:$AY$7,MATCH(1,$AO656:$AY656,0)),IF(BH656="Multiple strategies","mixed drivers",IF(BH656="Supply chain","multiple supply","multiple silviculture"))))</f>
        <v>technologies/design switch</v>
      </c>
      <c r="BH656" s="2" t="str" cm="1">
        <f t="array" ref="BH656">IF(COUNTIF(BB656:BD656,"&lt;&gt;0")=1,INDEX($X$4:$AY$4,MATCH(TRUE,INDEX($X656:$AY656&lt;&gt;0,),0)),IF(COUNTIF(BB656:BD656,"&lt;&gt;0")=0,INDEX($AO$4:$AY$4,MATCH(1,$AO656:$AY656,0)),"Multiple strategies"))</f>
        <v>Technology</v>
      </c>
      <c r="BI656" s="142" t="s">
        <v>229</v>
      </c>
      <c r="BJ656" t="s">
        <v>393</v>
      </c>
      <c r="BK656" s="317" t="s">
        <v>747</v>
      </c>
      <c r="BL656" s="143" t="s">
        <v>748</v>
      </c>
      <c r="BM656">
        <v>98</v>
      </c>
      <c r="BN656" s="143">
        <v>98</v>
      </c>
      <c r="BO656">
        <f>BN656/BM656</f>
        <v>1</v>
      </c>
      <c r="BP656">
        <f>BN656-BM656</f>
        <v>0</v>
      </c>
      <c r="BQ656" s="143">
        <f>BP656*t_to_m3</f>
        <v>0</v>
      </c>
      <c r="BR656" s="317" t="s">
        <v>232</v>
      </c>
      <c r="BS656" s="155" t="s">
        <v>749</v>
      </c>
      <c r="BT656" t="s">
        <v>442</v>
      </c>
      <c r="BU656" s="143">
        <f>-144.3</f>
        <v>-144.30000000000001</v>
      </c>
      <c r="BV656" s="151">
        <v>-144.30000000000001</v>
      </c>
      <c r="BW656" s="144">
        <f>IFERROR(BV656/BU656,"")</f>
        <v>1</v>
      </c>
      <c r="BX656">
        <f>BV656-BU656</f>
        <v>0</v>
      </c>
      <c r="BZ656">
        <f>BX656*C_to_CO2</f>
        <v>0</v>
      </c>
      <c r="CA656" t="str">
        <f>IFERROR(BZ656/BQ656,"")</f>
        <v/>
      </c>
      <c r="CB656" s="143">
        <v>0</v>
      </c>
      <c r="CC656" s="143">
        <v>0</v>
      </c>
      <c r="CD656" s="143">
        <v>0</v>
      </c>
      <c r="CE656" s="143">
        <v>0</v>
      </c>
      <c r="CF656" s="143">
        <v>0</v>
      </c>
      <c r="CG656" s="143">
        <v>0</v>
      </c>
      <c r="CH656" s="143">
        <v>0</v>
      </c>
      <c r="CI656" s="143">
        <v>0</v>
      </c>
      <c r="CJ656" s="143">
        <v>0</v>
      </c>
      <c r="CK656" s="143">
        <v>0</v>
      </c>
      <c r="CL656" s="143">
        <v>0</v>
      </c>
      <c r="CM656" s="143">
        <v>0</v>
      </c>
      <c r="CN656" s="143">
        <v>0</v>
      </c>
      <c r="CO656">
        <v>0</v>
      </c>
      <c r="CP656" t="str">
        <f>IF($BN656&lt;$BM656,"refNeedCorrection","refOK")</f>
        <v>refOK</v>
      </c>
      <c r="CQ656">
        <f>IF($CP656="refOK",$BM656,$BN656)</f>
        <v>98</v>
      </c>
      <c r="CR656">
        <f>IF($CP656="refOK",$BN656,$BM656)</f>
        <v>98</v>
      </c>
      <c r="CS656">
        <f>IF($CP656="refOK",$BQ656,-$BQ656)</f>
        <v>0</v>
      </c>
      <c r="CT656">
        <f>IF(BI656="Roundwood",$CS656/2,$CS656)</f>
        <v>0</v>
      </c>
      <c r="CU656">
        <f>IF($CP656="refOK",$BU656,$BV656)*IF($BR656="Emissions positive",-1,1)</f>
        <v>-144.30000000000001</v>
      </c>
      <c r="CV656">
        <f>IF($CP656="refOK",$BV656,$BU656)*IF($BR656="Emissions positive",-1,1)</f>
        <v>-144.30000000000001</v>
      </c>
      <c r="CW656">
        <f>IF($CP656="refNeedCorrection",-BZ656,BZ656)*IF($BR656="Emissions positive",-1,1)</f>
        <v>0</v>
      </c>
      <c r="CX656" t="str">
        <f>IFERROR($CW656/$CS656,"")</f>
        <v/>
      </c>
      <c r="CY656" t="str">
        <f>IFERROR($CW656/$CS656,"")</f>
        <v/>
      </c>
      <c r="CZ656" t="str">
        <f>IFERROR($CW656/$CT656,"")</f>
        <v/>
      </c>
      <c r="DA656" s="2">
        <f>IFERROR((CV656-CU656)/ABS(CU656),"")</f>
        <v>0</v>
      </c>
      <c r="DB656" s="1" t="s">
        <v>263</v>
      </c>
      <c r="DC656" s="317" t="str">
        <f>IF(OR($DB656="prd",$DB656="std",$DB656="cit"),"loc",IF(OR($DB656="eur",$DB656="reg",$DB656="coy"),"reg",$DB656))</f>
        <v>loc</v>
      </c>
      <c r="DD656" t="s">
        <v>444</v>
      </c>
      <c r="DF656" s="143"/>
      <c r="DG656" s="143">
        <v>0</v>
      </c>
      <c r="DH656" t="str">
        <f>IF(DG656=0,"0",IF(AND(DG656&gt;=1,DG656&lt;=30),"1-30",IF(AND(DG656&gt;30,DG656&lt;=70),"31-70",IF(AND(DG656&gt;70,DG656&lt;=100),"71-100",IF(DG656&gt;100,"+100")))))</f>
        <v>0</v>
      </c>
      <c r="DI656">
        <v>0</v>
      </c>
      <c r="DJ656">
        <v>1</v>
      </c>
      <c r="DK656">
        <v>0</v>
      </c>
      <c r="DL656">
        <v>1</v>
      </c>
      <c r="DN656">
        <f>SUM(DI656:DL656)</f>
        <v>2</v>
      </c>
      <c r="DO656" t="str">
        <f>IF(DN656=1,INDEX($DI$7:$DL$7,MATCH(1,$DI656:$DL656,0)),"mixedProduct")</f>
        <v>mixedProduct</v>
      </c>
      <c r="DP656">
        <f>IF(DI656=1,DP$7,0)</f>
        <v>0</v>
      </c>
      <c r="DQ656" t="str">
        <f>IF(DJ656=1,DQ$7,0)</f>
        <v>Energy</v>
      </c>
      <c r="DR656">
        <f>IF(DK656=1,DR$7,0)</f>
        <v>0</v>
      </c>
      <c r="DS656" t="str">
        <f>IF(DL656=1,DS$7,0)</f>
        <v>Timber</v>
      </c>
      <c r="DT656">
        <v>1</v>
      </c>
      <c r="DU656" s="143">
        <v>0</v>
      </c>
      <c r="DV656" s="143">
        <v>0</v>
      </c>
      <c r="DW656">
        <v>0</v>
      </c>
      <c r="DX656" s="143">
        <v>0</v>
      </c>
      <c r="DY656">
        <f>SUM(DT656:DU656)</f>
        <v>1</v>
      </c>
      <c r="DZ656" s="143" t="str">
        <f>IF(DT656=1,"self-calculated DF",IF(DU656=1,"external DF used","explicit C balance"))</f>
        <v>self-calculated DF</v>
      </c>
      <c r="EA656" s="143">
        <v>0</v>
      </c>
      <c r="EB656" s="143">
        <v>1</v>
      </c>
      <c r="EC656" s="143">
        <v>1</v>
      </c>
      <c r="ED656" s="143">
        <v>0</v>
      </c>
      <c r="EE656">
        <v>0</v>
      </c>
      <c r="EF656" s="143">
        <v>0</v>
      </c>
      <c r="EG656" s="143">
        <v>0</v>
      </c>
      <c r="EH656" s="143">
        <v>0</v>
      </c>
      <c r="EI656" s="143">
        <v>0</v>
      </c>
      <c r="EJ656">
        <v>0</v>
      </c>
      <c r="EK656">
        <v>0</v>
      </c>
      <c r="EL656" s="143">
        <v>0</v>
      </c>
      <c r="EM656" s="143">
        <v>0</v>
      </c>
      <c r="EN656" s="2">
        <v>0</v>
      </c>
      <c r="EP656" t="str">
        <f>IF(AND(AND(AND(OR($EC656=1,$EB656=1),OR($EH656=1,$EF656=1)),SUM($EA656:$EE656,$EK656)&gt;=3),SUM($EF656:$EJ656)&gt;=2),"Whole sector approach","")</f>
        <v/>
      </c>
      <c r="EQ656" t="str">
        <f>IF(AND(AND(OR($EC656=1,$EB656=1),AND($EH656=0,$EF656=0)),SUM($EA656:$EE656,$EK656)&gt;=3),"Ecosystem approach","")</f>
        <v/>
      </c>
      <c r="ER656" s="2" t="str">
        <f>IF(AND(AND(AND($EC656=0,$EB656=0),OR($EH656=1,$EF656=1)),SUM($EG656:$EJ656)&gt;=2),"Technology approach","")</f>
        <v/>
      </c>
      <c r="ES656" t="str">
        <f>IF(AND($EC656+$EB656+$EE656+$EA656+$ED656+$EG656=0,$N656="included"),"C neutral forest and HWP assumption","")</f>
        <v/>
      </c>
      <c r="ET656" t="str">
        <f>IF(AND(AND(AND(AND($EC656=1,$EB656+$EA656+$EG656&gt;=1),$EF656=1),$EH656+$EI656+$ED656+$EE656&gt;=2),$N656="included"),"All C pools assumption","")</f>
        <v/>
      </c>
      <c r="EU656" t="str">
        <f>IF(AND($ED656+$EE656+$EI656+$EH656+$EF656=0,$N656="included"),"In-situ only assumption","")</f>
        <v>In-situ only assumption</v>
      </c>
      <c r="EV656" s="328" t="s">
        <v>5065</v>
      </c>
      <c r="EY656" t="b">
        <f>IF(ISNUMBER(BW656),IF(ABS(BW656-[4]QC_indicators!$B$2)&gt;3*[4]QC_indicators!$C$2,"C ratio",IF(ISNUMBER(CA656),IF(ABS(CA656-[4]QC_indicators!$B$1)&gt;3*[4]QC_indicators!$C$1,"DF","no"))),IF(ISNUMBER(CA656),IF(ABS(CA656-[4]QC_indicators!$B$1)&gt;3*[4]QC_indicators!$C$1,"DF","no")))</f>
        <v>0</v>
      </c>
      <c r="FA656" t="str">
        <f>IF(LEN($CY656)=0,"",IF(AND($CY656&lt;(-0.05),$ES656="C neutral forest and HWP assumption"),"Cneutral paradox",IF(AND($CY656&gt;0.05,$EU656="In-situ only assumption"),"In-situ only paradox","")))</f>
        <v/>
      </c>
      <c r="FB656" s="319" t="s">
        <v>349</v>
      </c>
      <c r="FD656" t="s">
        <v>4972</v>
      </c>
    </row>
    <row r="657" spans="4:160" ht="18" hidden="1" customHeight="1">
      <c r="D657" t="s">
        <v>743</v>
      </c>
      <c r="E657" t="s">
        <v>744</v>
      </c>
      <c r="G657" t="s">
        <v>745</v>
      </c>
      <c r="I657">
        <v>2006</v>
      </c>
      <c r="K657" s="289" t="s">
        <v>746</v>
      </c>
      <c r="M657" t="str">
        <f>LEFT($D657,FIND(",",$D657)-1)&amp;"_"&amp;I657&amp;L657</f>
        <v>Gustavsson_2006</v>
      </c>
      <c r="N657" t="s">
        <v>222</v>
      </c>
      <c r="O657" t="s">
        <v>223</v>
      </c>
      <c r="Q657" s="317" t="s">
        <v>256</v>
      </c>
      <c r="R657" s="318" t="s">
        <v>1029</v>
      </c>
      <c r="S657" s="320" t="s">
        <v>4976</v>
      </c>
      <c r="T657" t="s">
        <v>739</v>
      </c>
      <c r="U657" s="143" t="s">
        <v>740</v>
      </c>
      <c r="V657" s="253">
        <v>0</v>
      </c>
      <c r="W657" s="253">
        <v>0</v>
      </c>
      <c r="X657">
        <v>0</v>
      </c>
      <c r="Y657">
        <v>0</v>
      </c>
      <c r="Z657">
        <v>0</v>
      </c>
      <c r="AA657">
        <v>0</v>
      </c>
      <c r="AB657">
        <v>0</v>
      </c>
      <c r="AC657">
        <v>0</v>
      </c>
      <c r="AD657">
        <v>0</v>
      </c>
      <c r="AE657">
        <v>0</v>
      </c>
      <c r="AF657">
        <v>0</v>
      </c>
      <c r="AG657">
        <v>0</v>
      </c>
      <c r="AH657">
        <v>0</v>
      </c>
      <c r="AI657">
        <v>0</v>
      </c>
      <c r="AJ657">
        <v>0</v>
      </c>
      <c r="AK657">
        <v>0</v>
      </c>
      <c r="AL657">
        <v>0</v>
      </c>
      <c r="AM657">
        <v>1</v>
      </c>
      <c r="AN657">
        <v>0</v>
      </c>
      <c r="AO657">
        <v>0</v>
      </c>
      <c r="AP657">
        <v>0</v>
      </c>
      <c r="AQ657">
        <v>0</v>
      </c>
      <c r="AR657">
        <v>0</v>
      </c>
      <c r="AS657">
        <v>0</v>
      </c>
      <c r="AT657">
        <v>0</v>
      </c>
      <c r="AU657">
        <v>0</v>
      </c>
      <c r="AV657">
        <v>0</v>
      </c>
      <c r="AW657">
        <v>0</v>
      </c>
      <c r="AX657">
        <v>0</v>
      </c>
      <c r="AY657">
        <v>0</v>
      </c>
      <c r="AZ657" s="141">
        <f>COUNTIF(X657:AY657,"&lt;&gt;0")</f>
        <v>1</v>
      </c>
      <c r="BA657" s="141">
        <f>COUNTIF(X657:AN657,"&lt;&gt;0")</f>
        <v>1</v>
      </c>
      <c r="BB657">
        <f>COUNTIF(X657:AE657,"&lt;&gt;0")</f>
        <v>0</v>
      </c>
      <c r="BC657">
        <f>COUNTIF(AF657:AK657,"&lt;&gt;0")</f>
        <v>0</v>
      </c>
      <c r="BD657">
        <f>COUNTIF(AL657:AN657,"&lt;&gt;0")</f>
        <v>1</v>
      </c>
      <c r="BE657">
        <f>COUNTIF(AU657:AY657,"&lt;&gt;0")</f>
        <v>0</v>
      </c>
      <c r="BF657">
        <f>COUNTIF(AO657:AT657,"&lt;&gt;0")</f>
        <v>0</v>
      </c>
      <c r="BG657" t="str" cm="1">
        <f t="array" ref="BG657">IF(BA657=1,INDEX($X$7:$AN$7,MATCH(TRUE,INDEX($X657:$AY657&lt;&gt;0,),0)),IF(BA657=0,INDEX($AO$7:$AY$7,MATCH(1,$AO657:$AY657,0)),IF(BH657="Multiple strategies","mixed drivers",IF(BH657="Supply chain","multiple supply","multiple silviculture"))))</f>
        <v>technologies/design switch</v>
      </c>
      <c r="BH657" s="2" t="str" cm="1">
        <f t="array" ref="BH657">IF(COUNTIF(BB657:BD657,"&lt;&gt;0")=1,INDEX($X$4:$AY$4,MATCH(TRUE,INDEX($X657:$AY657&lt;&gt;0,),0)),IF(COUNTIF(BB657:BD657,"&lt;&gt;0")=0,INDEX($AO$4:$AY$4,MATCH(1,$AO657:$AY657,0)),"Multiple strategies"))</f>
        <v>Technology</v>
      </c>
      <c r="BI657" s="142" t="s">
        <v>229</v>
      </c>
      <c r="BJ657" t="s">
        <v>393</v>
      </c>
      <c r="BK657" s="317" t="s">
        <v>747</v>
      </c>
      <c r="BL657" s="143" t="s">
        <v>748</v>
      </c>
      <c r="BM657">
        <v>98</v>
      </c>
      <c r="BN657" s="143">
        <v>98</v>
      </c>
      <c r="BO657">
        <f>BN657/BM657</f>
        <v>1</v>
      </c>
      <c r="BP657">
        <f>BN657-BM657</f>
        <v>0</v>
      </c>
      <c r="BQ657" s="143">
        <f>BP657*t_to_m3</f>
        <v>0</v>
      </c>
      <c r="BR657" s="317" t="s">
        <v>232</v>
      </c>
      <c r="BS657" s="155" t="s">
        <v>749</v>
      </c>
      <c r="BT657" t="s">
        <v>442</v>
      </c>
      <c r="BU657" s="143">
        <f>-144.3+28.2</f>
        <v>-116.10000000000001</v>
      </c>
      <c r="BV657" s="151">
        <f>-144.3+40.3</f>
        <v>-104.00000000000001</v>
      </c>
      <c r="BW657" s="144">
        <f>IFERROR(BV657/BU657,"")</f>
        <v>0.89577950043066323</v>
      </c>
      <c r="BX657">
        <f>BV657-BU657</f>
        <v>12.099999999999994</v>
      </c>
      <c r="BZ657">
        <f>BX657*C_to_CO2</f>
        <v>44.406999999999975</v>
      </c>
      <c r="CA657" t="str">
        <f>IFERROR(BZ657/BQ657,"")</f>
        <v/>
      </c>
      <c r="CB657" s="143">
        <v>0</v>
      </c>
      <c r="CC657" s="143">
        <v>0</v>
      </c>
      <c r="CD657" s="143">
        <v>0</v>
      </c>
      <c r="CE657" s="143">
        <v>0</v>
      </c>
      <c r="CF657" s="143">
        <v>0</v>
      </c>
      <c r="CG657" s="143">
        <v>0</v>
      </c>
      <c r="CH657" s="143">
        <v>0</v>
      </c>
      <c r="CI657" s="143">
        <v>0</v>
      </c>
      <c r="CJ657" s="143">
        <v>0</v>
      </c>
      <c r="CK657" s="143">
        <v>0</v>
      </c>
      <c r="CL657" s="143">
        <v>0</v>
      </c>
      <c r="CM657" s="143">
        <v>0</v>
      </c>
      <c r="CN657" s="143">
        <v>0</v>
      </c>
      <c r="CO657">
        <v>0</v>
      </c>
      <c r="CP657" t="str">
        <f>IF($BN657&lt;$BM657,"refNeedCorrection","refOK")</f>
        <v>refOK</v>
      </c>
      <c r="CQ657">
        <f>IF($CP657="refOK",$BM657,$BN657)</f>
        <v>98</v>
      </c>
      <c r="CR657">
        <f>IF($CP657="refOK",$BN657,$BM657)</f>
        <v>98</v>
      </c>
      <c r="CS657">
        <f>IF($CP657="refOK",$BQ657,-$BQ657)</f>
        <v>0</v>
      </c>
      <c r="CT657">
        <f>IF(BI657="Roundwood",$CS657/2,$CS657)</f>
        <v>0</v>
      </c>
      <c r="CU657">
        <f>IF($CP657="refOK",$BU657,$BV657)*IF($BR657="Emissions positive",-1,1)</f>
        <v>-116.10000000000001</v>
      </c>
      <c r="CV657">
        <f>IF($CP657="refOK",$BV657,$BU657)*IF($BR657="Emissions positive",-1,1)</f>
        <v>-104.00000000000001</v>
      </c>
      <c r="CW657">
        <f>IF($CP657="refNeedCorrection",-BZ657,BZ657)*IF($BR657="Emissions positive",-1,1)</f>
        <v>44.406999999999975</v>
      </c>
      <c r="CX657" t="str">
        <f>IFERROR($CW657/$CS657,"")</f>
        <v/>
      </c>
      <c r="CY657" t="str">
        <f>IFERROR($CW657/$CS657,"")</f>
        <v/>
      </c>
      <c r="CZ657" t="str">
        <f>IFERROR($CW657/$CT657,"")</f>
        <v/>
      </c>
      <c r="DA657" s="2">
        <f>IFERROR((CV657-CU657)/ABS(CU657),"")</f>
        <v>0.10422049956933672</v>
      </c>
      <c r="DB657" s="1" t="s">
        <v>263</v>
      </c>
      <c r="DC657" s="317" t="str">
        <f>IF(OR($DB657="prd",$DB657="std",$DB657="cit"),"loc",IF(OR($DB657="eur",$DB657="reg",$DB657="coy"),"reg",$DB657))</f>
        <v>loc</v>
      </c>
      <c r="DD657" t="s">
        <v>444</v>
      </c>
      <c r="DF657" s="143"/>
      <c r="DG657" s="143">
        <v>0</v>
      </c>
      <c r="DH657" t="str">
        <f>IF(DG657=0,"0",IF(AND(DG657&gt;=1,DG657&lt;=30),"1-30",IF(AND(DG657&gt;30,DG657&lt;=70),"31-70",IF(AND(DG657&gt;70,DG657&lt;=100),"71-100",IF(DG657&gt;100,"+100")))))</f>
        <v>0</v>
      </c>
      <c r="DI657">
        <v>0</v>
      </c>
      <c r="DJ657">
        <v>1</v>
      </c>
      <c r="DK657">
        <v>0</v>
      </c>
      <c r="DL657">
        <v>1</v>
      </c>
      <c r="DN657">
        <f>SUM(DI657:DL657)</f>
        <v>2</v>
      </c>
      <c r="DO657" t="str">
        <f>IF(DN657=1,INDEX($DI$7:$DL$7,MATCH(1,$DI657:$DL657,0)),"mixedProduct")</f>
        <v>mixedProduct</v>
      </c>
      <c r="DP657">
        <f>IF(DI657=1,DP$7,0)</f>
        <v>0</v>
      </c>
      <c r="DQ657" t="str">
        <f>IF(DJ657=1,DQ$7,0)</f>
        <v>Energy</v>
      </c>
      <c r="DR657">
        <f>IF(DK657=1,DR$7,0)</f>
        <v>0</v>
      </c>
      <c r="DS657" t="str">
        <f>IF(DL657=1,DS$7,0)</f>
        <v>Timber</v>
      </c>
      <c r="DT657">
        <v>1</v>
      </c>
      <c r="DU657" s="143">
        <v>0</v>
      </c>
      <c r="DV657" s="143">
        <v>0</v>
      </c>
      <c r="DW657">
        <v>0</v>
      </c>
      <c r="DX657" s="143">
        <v>0</v>
      </c>
      <c r="DY657">
        <f>SUM(DT657:DU657)</f>
        <v>1</v>
      </c>
      <c r="DZ657" s="143" t="str">
        <f>IF(DT657=1,"self-calculated DF",IF(DU657=1,"external DF used","explicit C balance"))</f>
        <v>self-calculated DF</v>
      </c>
      <c r="EA657" s="143">
        <v>0</v>
      </c>
      <c r="EB657" s="143">
        <v>1</v>
      </c>
      <c r="EC657" s="143">
        <v>1</v>
      </c>
      <c r="ED657" s="143">
        <v>1</v>
      </c>
      <c r="EE657">
        <v>0</v>
      </c>
      <c r="EF657" s="143">
        <v>0</v>
      </c>
      <c r="EG657" s="143">
        <v>0</v>
      </c>
      <c r="EH657" s="143">
        <v>0</v>
      </c>
      <c r="EI657" s="143">
        <v>0</v>
      </c>
      <c r="EJ657">
        <v>0</v>
      </c>
      <c r="EK657">
        <v>0</v>
      </c>
      <c r="EL657" s="143">
        <v>0</v>
      </c>
      <c r="EM657" s="143">
        <v>0</v>
      </c>
      <c r="EN657" s="2">
        <v>0</v>
      </c>
      <c r="EP657" t="str">
        <f>IF(AND(AND(AND(OR($EC657=1,$EB657=1),OR($EH657=1,$EF657=1)),SUM($EA657:$EE657,$EK657)&gt;=3),SUM($EF657:$EJ657)&gt;=2),"Whole sector approach","")</f>
        <v/>
      </c>
      <c r="EQ657" t="str">
        <f>IF(AND(AND(OR($EC657=1,$EB657=1),AND($EH657=0,$EF657=0)),SUM($EA657:$EE657,$EK657)&gt;=3),"Ecosystem approach","")</f>
        <v>Ecosystem approach</v>
      </c>
      <c r="ER657" s="2" t="str">
        <f>IF(AND(AND(AND($EC657=0,$EB657=0),OR($EH657=1,$EF657=1)),SUM($EG657:$EJ657)&gt;=2),"Technology approach","")</f>
        <v/>
      </c>
      <c r="ES657" t="str">
        <f>IF(AND($EC657+$EB657+$EE657+$EA657+$ED657+$EG657=0,$N657="included"),"C neutral forest and HWP assumption","")</f>
        <v/>
      </c>
      <c r="ET657" t="str">
        <f>IF(AND(AND(AND(AND($EC657=1,$EB657+$EA657+$EG657&gt;=1),$EF657=1),$EH657+$EI657+$ED657+$EE657&gt;=2),$N657="included"),"All C pools assumption","")</f>
        <v/>
      </c>
      <c r="EU657" t="str">
        <f>IF(AND($ED657+$EE657+$EI657+$EH657+$EF657=0,$N657="included"),"In-situ only assumption","")</f>
        <v/>
      </c>
      <c r="EV657" s="328" t="s">
        <v>5065</v>
      </c>
      <c r="EY657" t="b">
        <f>IF(ISNUMBER(BW657),IF(ABS(BW657-[4]QC_indicators!$B$2)&gt;3*[4]QC_indicators!$C$2,"C ratio",IF(ISNUMBER(CA657),IF(ABS(CA657-[4]QC_indicators!$B$1)&gt;3*[4]QC_indicators!$C$1,"DF","no"))),IF(ISNUMBER(CA657),IF(ABS(CA657-[4]QC_indicators!$B$1)&gt;3*[4]QC_indicators!$C$1,"DF","no")))</f>
        <v>0</v>
      </c>
      <c r="FA657" t="str">
        <f>IF(LEN($CY657)=0,"",IF(AND($CY657&lt;(-0.05),$ES657="C neutral forest and HWP assumption"),"Cneutral paradox",IF(AND($CY657&gt;0.05,$EU657="In-situ only assumption"),"In-situ only paradox","")))</f>
        <v/>
      </c>
      <c r="FB657" s="319" t="s">
        <v>349</v>
      </c>
      <c r="FD657" t="s">
        <v>4972</v>
      </c>
    </row>
    <row r="658" spans="4:160" ht="15" hidden="1" customHeight="1">
      <c r="D658" t="s">
        <v>743</v>
      </c>
      <c r="E658" t="s">
        <v>744</v>
      </c>
      <c r="G658" t="s">
        <v>745</v>
      </c>
      <c r="I658">
        <v>2006</v>
      </c>
      <c r="K658" s="289" t="s">
        <v>746</v>
      </c>
      <c r="M658" t="str">
        <f>LEFT($D658,FIND(",",$D658)-1)&amp;"_"&amp;I658&amp;L658</f>
        <v>Gustavsson_2006</v>
      </c>
      <c r="N658" t="s">
        <v>222</v>
      </c>
      <c r="O658" t="s">
        <v>223</v>
      </c>
      <c r="Q658" s="317" t="s">
        <v>256</v>
      </c>
      <c r="R658" s="318" t="s">
        <v>1029</v>
      </c>
      <c r="S658" s="320" t="s">
        <v>4978</v>
      </c>
      <c r="T658" t="s">
        <v>739</v>
      </c>
      <c r="U658" s="143" t="s">
        <v>740</v>
      </c>
      <c r="V658" s="253">
        <v>0</v>
      </c>
      <c r="W658" s="253">
        <v>0</v>
      </c>
      <c r="X658">
        <v>0</v>
      </c>
      <c r="Y658">
        <v>0</v>
      </c>
      <c r="Z658">
        <v>0</v>
      </c>
      <c r="AA658">
        <v>0</v>
      </c>
      <c r="AB658">
        <v>0</v>
      </c>
      <c r="AC658">
        <v>0</v>
      </c>
      <c r="AD658">
        <v>0</v>
      </c>
      <c r="AE658">
        <v>0</v>
      </c>
      <c r="AF658">
        <v>0</v>
      </c>
      <c r="AG658">
        <v>0</v>
      </c>
      <c r="AH658">
        <v>0</v>
      </c>
      <c r="AI658">
        <v>0</v>
      </c>
      <c r="AJ658">
        <v>0</v>
      </c>
      <c r="AK658">
        <v>0</v>
      </c>
      <c r="AL658">
        <v>0</v>
      </c>
      <c r="AM658">
        <v>1</v>
      </c>
      <c r="AN658">
        <v>0</v>
      </c>
      <c r="AO658">
        <v>0</v>
      </c>
      <c r="AP658">
        <v>0</v>
      </c>
      <c r="AQ658">
        <v>0</v>
      </c>
      <c r="AR658">
        <v>0</v>
      </c>
      <c r="AS658">
        <v>0</v>
      </c>
      <c r="AT658">
        <v>0</v>
      </c>
      <c r="AU658">
        <v>0</v>
      </c>
      <c r="AV658">
        <v>0</v>
      </c>
      <c r="AW658">
        <v>0</v>
      </c>
      <c r="AX658">
        <v>0</v>
      </c>
      <c r="AY658">
        <v>0</v>
      </c>
      <c r="AZ658" s="141">
        <f>COUNTIF(X658:AY658,"&lt;&gt;0")</f>
        <v>1</v>
      </c>
      <c r="BA658" s="141">
        <f>COUNTIF(X658:AN658,"&lt;&gt;0")</f>
        <v>1</v>
      </c>
      <c r="BB658">
        <f>COUNTIF(X658:AE658,"&lt;&gt;0")</f>
        <v>0</v>
      </c>
      <c r="BC658">
        <f>COUNTIF(AF658:AK658,"&lt;&gt;0")</f>
        <v>0</v>
      </c>
      <c r="BD658">
        <f>COUNTIF(AL658:AN658,"&lt;&gt;0")</f>
        <v>1</v>
      </c>
      <c r="BE658">
        <f>COUNTIF(AU658:AY658,"&lt;&gt;0")</f>
        <v>0</v>
      </c>
      <c r="BF658">
        <f>COUNTIF(AO658:AT658,"&lt;&gt;0")</f>
        <v>0</v>
      </c>
      <c r="BG658" t="str" cm="1">
        <f t="array" ref="BG658">IF(BA658=1,INDEX($X$7:$AN$7,MATCH(TRUE,INDEX($X658:$AY658&lt;&gt;0,),0)),IF(BA658=0,INDEX($AO$7:$AY$7,MATCH(1,$AO658:$AY658,0)),IF(BH658="Multiple strategies","mixed drivers",IF(BH658="Supply chain","multiple supply","multiple silviculture"))))</f>
        <v>technologies/design switch</v>
      </c>
      <c r="BH658" s="2" t="str" cm="1">
        <f t="array" ref="BH658">IF(COUNTIF(BB658:BD658,"&lt;&gt;0")=1,INDEX($X$4:$AY$4,MATCH(TRUE,INDEX($X658:$AY658&lt;&gt;0,),0)),IF(COUNTIF(BB658:BD658,"&lt;&gt;0")=0,INDEX($AO$4:$AY$4,MATCH(1,$AO658:$AY658,0)),"Multiple strategies"))</f>
        <v>Technology</v>
      </c>
      <c r="BI658" s="142" t="s">
        <v>229</v>
      </c>
      <c r="BJ658" t="s">
        <v>393</v>
      </c>
      <c r="BK658" s="317" t="s">
        <v>747</v>
      </c>
      <c r="BL658" s="143" t="s">
        <v>748</v>
      </c>
      <c r="BM658">
        <v>98</v>
      </c>
      <c r="BN658" s="143">
        <v>98</v>
      </c>
      <c r="BO658">
        <f>BN658/BM658</f>
        <v>1</v>
      </c>
      <c r="BP658">
        <f>BN658-BM658</f>
        <v>0</v>
      </c>
      <c r="BQ658" s="143">
        <f>BP658*t_to_m3</f>
        <v>0</v>
      </c>
      <c r="BR658" s="317" t="s">
        <v>232</v>
      </c>
      <c r="BS658" s="155" t="s">
        <v>749</v>
      </c>
      <c r="BT658" t="s">
        <v>442</v>
      </c>
      <c r="BU658" s="143">
        <f>-144.3+28.2</f>
        <v>-116.10000000000001</v>
      </c>
      <c r="BV658" s="151">
        <f>-144.3+40.3</f>
        <v>-104.00000000000001</v>
      </c>
      <c r="BW658" s="144">
        <f>IFERROR(BV658/BU658,"")</f>
        <v>0.89577950043066323</v>
      </c>
      <c r="BX658">
        <f>BV658-BU658</f>
        <v>12.099999999999994</v>
      </c>
      <c r="BZ658">
        <f>BX658*C_to_CO2</f>
        <v>44.406999999999975</v>
      </c>
      <c r="CA658" t="str">
        <f>IFERROR(BZ658/BQ658,"")</f>
        <v/>
      </c>
      <c r="CB658" s="143">
        <v>0</v>
      </c>
      <c r="CC658" s="143">
        <v>0</v>
      </c>
      <c r="CD658" s="143">
        <v>0</v>
      </c>
      <c r="CE658" s="143">
        <v>0</v>
      </c>
      <c r="CF658" s="143">
        <v>0</v>
      </c>
      <c r="CG658" s="143">
        <v>0</v>
      </c>
      <c r="CH658" s="143">
        <v>0</v>
      </c>
      <c r="CI658" s="143">
        <v>0</v>
      </c>
      <c r="CJ658" s="143">
        <v>0</v>
      </c>
      <c r="CK658" s="143">
        <v>0</v>
      </c>
      <c r="CL658" s="143">
        <v>0</v>
      </c>
      <c r="CM658" s="143">
        <v>0</v>
      </c>
      <c r="CN658" s="143">
        <v>0</v>
      </c>
      <c r="CO658">
        <v>0</v>
      </c>
      <c r="CP658" t="str">
        <f>IF($BN658&lt;$BM658,"refNeedCorrection","refOK")</f>
        <v>refOK</v>
      </c>
      <c r="CQ658">
        <f>IF($CP658="refOK",$BM658,$BN658)</f>
        <v>98</v>
      </c>
      <c r="CR658">
        <f>IF($CP658="refOK",$BN658,$BM658)</f>
        <v>98</v>
      </c>
      <c r="CS658">
        <f>IF($CP658="refOK",$BQ658,-$BQ658)</f>
        <v>0</v>
      </c>
      <c r="CT658">
        <f>IF(BI658="Roundwood",$CS658/2,$CS658)</f>
        <v>0</v>
      </c>
      <c r="CU658">
        <f>IF($CP658="refOK",$BU658,$BV658)*IF($BR658="Emissions positive",-1,1)</f>
        <v>-116.10000000000001</v>
      </c>
      <c r="CV658">
        <f>IF($CP658="refOK",$BV658,$BU658)*IF($BR658="Emissions positive",-1,1)</f>
        <v>-104.00000000000001</v>
      </c>
      <c r="CW658">
        <f>IF($CP658="refNeedCorrection",-BZ658,BZ658)*IF($BR658="Emissions positive",-1,1)</f>
        <v>44.406999999999975</v>
      </c>
      <c r="CX658" t="str">
        <f>IFERROR($CW658/$CS658,"")</f>
        <v/>
      </c>
      <c r="CY658" t="str">
        <f>IFERROR($CW658/$CS658,"")</f>
        <v/>
      </c>
      <c r="CZ658" t="str">
        <f>IFERROR($CW658/$CT658,"")</f>
        <v/>
      </c>
      <c r="DA658" s="2">
        <f>IFERROR((CV658-CU658)/ABS(CU658),"")</f>
        <v>0.10422049956933672</v>
      </c>
      <c r="DB658" s="1" t="s">
        <v>263</v>
      </c>
      <c r="DC658" s="317" t="str">
        <f>IF(OR($DB658="prd",$DB658="std",$DB658="cit"),"loc",IF(OR($DB658="eur",$DB658="reg",$DB658="coy"),"reg",$DB658))</f>
        <v>loc</v>
      </c>
      <c r="DD658" t="s">
        <v>444</v>
      </c>
      <c r="DF658" s="143"/>
      <c r="DG658" s="143">
        <v>0</v>
      </c>
      <c r="DH658" t="str">
        <f>IF(DG658=0,"0",IF(AND(DG658&gt;=1,DG658&lt;=30),"1-30",IF(AND(DG658&gt;30,DG658&lt;=70),"31-70",IF(AND(DG658&gt;70,DG658&lt;=100),"71-100",IF(DG658&gt;100,"+100")))))</f>
        <v>0</v>
      </c>
      <c r="DI658">
        <v>0</v>
      </c>
      <c r="DJ658">
        <v>1</v>
      </c>
      <c r="DK658">
        <v>0</v>
      </c>
      <c r="DL658">
        <v>1</v>
      </c>
      <c r="DN658">
        <f>SUM(DI658:DL658)</f>
        <v>2</v>
      </c>
      <c r="DO658" t="str">
        <f>IF(DN658=1,INDEX($DI$7:$DL$7,MATCH(1,$DI658:$DL658,0)),"mixedProduct")</f>
        <v>mixedProduct</v>
      </c>
      <c r="DP658">
        <f>IF(DI658=1,DP$7,0)</f>
        <v>0</v>
      </c>
      <c r="DQ658" t="str">
        <f>IF(DJ658=1,DQ$7,0)</f>
        <v>Energy</v>
      </c>
      <c r="DR658">
        <f>IF(DK658=1,DR$7,0)</f>
        <v>0</v>
      </c>
      <c r="DS658" t="str">
        <f>IF(DL658=1,DS$7,0)</f>
        <v>Timber</v>
      </c>
      <c r="DT658">
        <v>1</v>
      </c>
      <c r="DU658" s="143">
        <v>0</v>
      </c>
      <c r="DV658" s="143">
        <v>0</v>
      </c>
      <c r="DW658">
        <v>0</v>
      </c>
      <c r="DX658" s="143">
        <v>0</v>
      </c>
      <c r="DY658">
        <f>SUM(DT658:DU658)</f>
        <v>1</v>
      </c>
      <c r="DZ658" s="143" t="str">
        <f>IF(DT658=1,"self-calculated DF",IF(DU658=1,"external DF used","explicit C balance"))</f>
        <v>self-calculated DF</v>
      </c>
      <c r="EA658" s="143">
        <v>0</v>
      </c>
      <c r="EB658" s="143">
        <v>1</v>
      </c>
      <c r="EC658" s="143">
        <v>1</v>
      </c>
      <c r="ED658" s="143">
        <v>1</v>
      </c>
      <c r="EE658">
        <v>0</v>
      </c>
      <c r="EF658" s="143">
        <v>0</v>
      </c>
      <c r="EG658" s="143">
        <v>0</v>
      </c>
      <c r="EH658" s="143">
        <v>0</v>
      </c>
      <c r="EI658" s="143">
        <v>0</v>
      </c>
      <c r="EJ658">
        <v>0</v>
      </c>
      <c r="EK658">
        <v>0</v>
      </c>
      <c r="EL658" s="143">
        <v>0</v>
      </c>
      <c r="EM658" s="143">
        <v>0</v>
      </c>
      <c r="EN658" s="2">
        <v>0</v>
      </c>
      <c r="EP658" t="str">
        <f>IF(AND(AND(AND(OR($EC658=1,$EB658=1),OR($EH658=1,$EF658=1)),SUM($EA658:$EE658,$EK658)&gt;=3),SUM($EF658:$EJ658)&gt;=2),"Whole sector approach","")</f>
        <v/>
      </c>
      <c r="EQ658" t="str">
        <f>IF(AND(AND(OR($EC658=1,$EB658=1),AND($EH658=0,$EF658=0)),SUM($EA658:$EE658,$EK658)&gt;=3),"Ecosystem approach","")</f>
        <v>Ecosystem approach</v>
      </c>
      <c r="ER658" s="2" t="str">
        <f>IF(AND(AND(AND($EC658=0,$EB658=0),OR($EH658=1,$EF658=1)),SUM($EG658:$EJ658)&gt;=2),"Technology approach","")</f>
        <v/>
      </c>
      <c r="ES658" t="str">
        <f>IF(AND($EC658+$EB658+$EE658+$EA658+$ED658+$EG658=0,$N658="included"),"C neutral forest and HWP assumption","")</f>
        <v/>
      </c>
      <c r="ET658" t="str">
        <f>IF(AND(AND(AND(AND($EC658=1,$EB658+$EA658+$EG658&gt;=1),$EF658=1),$EH658+$EI658+$ED658+$EE658&gt;=2),$N658="included"),"All C pools assumption","")</f>
        <v/>
      </c>
      <c r="EU658" t="str">
        <f>IF(AND($ED658+$EE658+$EI658+$EH658+$EF658=0,$N658="included"),"In-situ only assumption","")</f>
        <v/>
      </c>
      <c r="EV658" s="328" t="s">
        <v>5065</v>
      </c>
      <c r="EY658" t="b">
        <f>IF(ISNUMBER(BW658),IF(ABS(BW658-[4]QC_indicators!$B$2)&gt;3*[4]QC_indicators!$C$2,"C ratio",IF(ISNUMBER(CA658),IF(ABS(CA658-[4]QC_indicators!$B$1)&gt;3*[4]QC_indicators!$C$1,"DF","no"))),IF(ISNUMBER(CA658),IF(ABS(CA658-[4]QC_indicators!$B$1)&gt;3*[4]QC_indicators!$C$1,"DF","no")))</f>
        <v>0</v>
      </c>
      <c r="FA658" t="str">
        <f>IF(LEN($CY658)=0,"",IF(AND($CY658&lt;(-0.05),$ES658="C neutral forest and HWP assumption"),"Cneutral paradox",IF(AND($CY658&gt;0.05,$EU658="In-situ only assumption"),"In-situ only paradox","")))</f>
        <v/>
      </c>
      <c r="FB658" s="319" t="s">
        <v>349</v>
      </c>
      <c r="FD658" t="s">
        <v>4972</v>
      </c>
    </row>
    <row r="659" spans="4:160" ht="15" hidden="1" customHeight="1">
      <c r="D659" t="s">
        <v>743</v>
      </c>
      <c r="E659" t="s">
        <v>744</v>
      </c>
      <c r="G659" t="s">
        <v>745</v>
      </c>
      <c r="I659">
        <v>2006</v>
      </c>
      <c r="K659" s="289" t="s">
        <v>746</v>
      </c>
      <c r="M659" t="str">
        <f>LEFT($D659,FIND(",",$D659)-1)&amp;"_"&amp;I659&amp;L659</f>
        <v>Gustavsson_2006</v>
      </c>
      <c r="N659" t="s">
        <v>222</v>
      </c>
      <c r="O659" t="s">
        <v>223</v>
      </c>
      <c r="Q659" s="317" t="s">
        <v>256</v>
      </c>
      <c r="R659" s="318" t="s">
        <v>1029</v>
      </c>
      <c r="S659" s="320" t="s">
        <v>751</v>
      </c>
      <c r="T659" t="s">
        <v>739</v>
      </c>
      <c r="U659" s="143" t="s">
        <v>740</v>
      </c>
      <c r="V659" s="253">
        <v>0</v>
      </c>
      <c r="W659" s="253">
        <v>0</v>
      </c>
      <c r="X659">
        <v>0</v>
      </c>
      <c r="Y659">
        <v>0</v>
      </c>
      <c r="Z659">
        <v>0</v>
      </c>
      <c r="AA659">
        <v>0</v>
      </c>
      <c r="AB659">
        <v>0</v>
      </c>
      <c r="AC659">
        <v>0</v>
      </c>
      <c r="AD659">
        <v>0</v>
      </c>
      <c r="AE659">
        <v>0</v>
      </c>
      <c r="AF659">
        <v>0</v>
      </c>
      <c r="AG659">
        <v>0</v>
      </c>
      <c r="AH659">
        <v>0</v>
      </c>
      <c r="AI659">
        <v>0</v>
      </c>
      <c r="AJ659">
        <v>0</v>
      </c>
      <c r="AK659">
        <v>0</v>
      </c>
      <c r="AL659">
        <v>0</v>
      </c>
      <c r="AM659">
        <v>1</v>
      </c>
      <c r="AN659">
        <v>0</v>
      </c>
      <c r="AO659">
        <v>0</v>
      </c>
      <c r="AP659">
        <v>0</v>
      </c>
      <c r="AQ659">
        <v>0</v>
      </c>
      <c r="AR659">
        <v>0</v>
      </c>
      <c r="AS659">
        <v>0</v>
      </c>
      <c r="AT659">
        <v>0</v>
      </c>
      <c r="AU659">
        <v>0</v>
      </c>
      <c r="AV659">
        <v>0</v>
      </c>
      <c r="AW659">
        <v>0</v>
      </c>
      <c r="AX659">
        <v>0</v>
      </c>
      <c r="AY659">
        <v>0</v>
      </c>
      <c r="AZ659" s="141">
        <f>COUNTIF(X659:AY659,"&lt;&gt;0")</f>
        <v>1</v>
      </c>
      <c r="BA659" s="141">
        <f>COUNTIF(X659:AN659,"&lt;&gt;0")</f>
        <v>1</v>
      </c>
      <c r="BB659">
        <f>COUNTIF(X659:AE659,"&lt;&gt;0")</f>
        <v>0</v>
      </c>
      <c r="BC659">
        <f>COUNTIF(AF659:AK659,"&lt;&gt;0")</f>
        <v>0</v>
      </c>
      <c r="BD659">
        <f>COUNTIF(AL659:AN659,"&lt;&gt;0")</f>
        <v>1</v>
      </c>
      <c r="BE659">
        <f>COUNTIF(AU659:AY659,"&lt;&gt;0")</f>
        <v>0</v>
      </c>
      <c r="BF659">
        <f>COUNTIF(AO659:AT659,"&lt;&gt;0")</f>
        <v>0</v>
      </c>
      <c r="BG659" t="str" cm="1">
        <f t="array" ref="BG659">IF(BA659=1,INDEX($X$7:$AN$7,MATCH(TRUE,INDEX($X659:$AY659&lt;&gt;0,),0)),IF(BA659=0,INDEX($AO$7:$AY$7,MATCH(1,$AO659:$AY659,0)),IF(BH659="Multiple strategies","mixed drivers",IF(BH659="Supply chain","multiple supply","multiple silviculture"))))</f>
        <v>technologies/design switch</v>
      </c>
      <c r="BH659" s="2" t="str" cm="1">
        <f t="array" ref="BH659">IF(COUNTIF(BB659:BD659,"&lt;&gt;0")=1,INDEX($X$4:$AY$4,MATCH(TRUE,INDEX($X659:$AY659&lt;&gt;0,),0)),IF(COUNTIF(BB659:BD659,"&lt;&gt;0")=0,INDEX($AO$4:$AY$4,MATCH(1,$AO659:$AY659,0)),"Multiple strategies"))</f>
        <v>Technology</v>
      </c>
      <c r="BI659" s="142" t="s">
        <v>229</v>
      </c>
      <c r="BJ659" t="s">
        <v>393</v>
      </c>
      <c r="BK659" s="317" t="s">
        <v>747</v>
      </c>
      <c r="BL659" s="143" t="s">
        <v>748</v>
      </c>
      <c r="BM659">
        <v>145</v>
      </c>
      <c r="BN659" s="143">
        <v>145</v>
      </c>
      <c r="BO659">
        <f>BN659/BM659</f>
        <v>1</v>
      </c>
      <c r="BP659">
        <f>BN659-BM659</f>
        <v>0</v>
      </c>
      <c r="BQ659" s="143">
        <f>BP659*t_to_m3</f>
        <v>0</v>
      </c>
      <c r="BR659" s="317" t="s">
        <v>232</v>
      </c>
      <c r="BS659" s="155" t="s">
        <v>749</v>
      </c>
      <c r="BT659" t="s">
        <v>442</v>
      </c>
      <c r="BU659" s="143">
        <f>-212.9+13.1</f>
        <v>-199.8</v>
      </c>
      <c r="BV659" s="151">
        <f>-212.9+59.5</f>
        <v>-153.4</v>
      </c>
      <c r="BW659" s="144">
        <f>IFERROR(BV659/BU659,"")</f>
        <v>0.76776776776776778</v>
      </c>
      <c r="BX659">
        <f>BV659-BU659</f>
        <v>46.400000000000006</v>
      </c>
      <c r="BZ659">
        <f>BX659*C_to_CO2</f>
        <v>170.28800000000001</v>
      </c>
      <c r="CA659" t="str">
        <f>IFERROR(BZ659/BQ659,"")</f>
        <v/>
      </c>
      <c r="CB659" s="143">
        <v>0</v>
      </c>
      <c r="CC659" s="143">
        <v>0</v>
      </c>
      <c r="CD659" s="143">
        <v>0</v>
      </c>
      <c r="CE659" s="143">
        <v>0</v>
      </c>
      <c r="CF659" s="143">
        <v>0</v>
      </c>
      <c r="CG659" s="143">
        <v>0</v>
      </c>
      <c r="CH659" s="143">
        <v>0</v>
      </c>
      <c r="CI659" s="143">
        <v>0</v>
      </c>
      <c r="CJ659" s="143">
        <v>0</v>
      </c>
      <c r="CK659" s="143">
        <v>0</v>
      </c>
      <c r="CL659" s="143">
        <v>0</v>
      </c>
      <c r="CM659" s="143">
        <v>0</v>
      </c>
      <c r="CN659" s="143">
        <v>0</v>
      </c>
      <c r="CO659">
        <v>0</v>
      </c>
      <c r="CP659" t="str">
        <f>IF($BN659&lt;$BM659,"refNeedCorrection","refOK")</f>
        <v>refOK</v>
      </c>
      <c r="CQ659">
        <f>IF($CP659="refOK",$BM659,$BN659)</f>
        <v>145</v>
      </c>
      <c r="CR659">
        <f>IF($CP659="refOK",$BN659,$BM659)</f>
        <v>145</v>
      </c>
      <c r="CS659">
        <f>IF($CP659="refOK",$BQ659,-$BQ659)</f>
        <v>0</v>
      </c>
      <c r="CT659">
        <f>IF(BI659="Roundwood",$CS659/2,$CS659)</f>
        <v>0</v>
      </c>
      <c r="CU659">
        <f>IF($CP659="refOK",$BU659,$BV659)*IF($BR659="Emissions positive",-1,1)</f>
        <v>-199.8</v>
      </c>
      <c r="CV659">
        <f>IF($CP659="refOK",$BV659,$BU659)*IF($BR659="Emissions positive",-1,1)</f>
        <v>-153.4</v>
      </c>
      <c r="CW659">
        <f>IF($CP659="refNeedCorrection",-BZ659,BZ659)*IF($BR659="Emissions positive",-1,1)</f>
        <v>170.28800000000001</v>
      </c>
      <c r="CX659" t="str">
        <f>IFERROR($CW659/$CS659,"")</f>
        <v/>
      </c>
      <c r="CY659" t="str">
        <f>IFERROR($CW659/$CS659,"")</f>
        <v/>
      </c>
      <c r="CZ659" t="str">
        <f>IFERROR($CW659/$CT659,"")</f>
        <v/>
      </c>
      <c r="DA659" s="2">
        <f>IFERROR((CV659-CU659)/ABS(CU659),"")</f>
        <v>0.23223223223223224</v>
      </c>
      <c r="DB659" s="1" t="s">
        <v>263</v>
      </c>
      <c r="DC659" s="317" t="str">
        <f>IF(OR($DB659="prd",$DB659="std",$DB659="cit"),"loc",IF(OR($DB659="eur",$DB659="reg",$DB659="coy"),"reg",$DB659))</f>
        <v>loc</v>
      </c>
      <c r="DD659" t="s">
        <v>235</v>
      </c>
      <c r="DF659" s="143"/>
      <c r="DG659" s="143">
        <v>0</v>
      </c>
      <c r="DH659" t="str">
        <f>IF(DG659=0,"0",IF(AND(DG659&gt;=1,DG659&lt;=30),"1-30",IF(AND(DG659&gt;30,DG659&lt;=70),"31-70",IF(AND(DG659&gt;70,DG659&lt;=100),"71-100",IF(DG659&gt;100,"+100")))))</f>
        <v>0</v>
      </c>
      <c r="DI659">
        <v>0</v>
      </c>
      <c r="DJ659">
        <v>1</v>
      </c>
      <c r="DK659">
        <v>0</v>
      </c>
      <c r="DL659">
        <v>1</v>
      </c>
      <c r="DN659">
        <f>SUM(DI659:DL659)</f>
        <v>2</v>
      </c>
      <c r="DO659" t="str">
        <f>IF(DN659=1,INDEX($DI$7:$DL$7,MATCH(1,$DI659:$DL659,0)),"mixedProduct")</f>
        <v>mixedProduct</v>
      </c>
      <c r="DP659">
        <f>IF(DI659=1,DP$7,0)</f>
        <v>0</v>
      </c>
      <c r="DQ659" t="str">
        <f>IF(DJ659=1,DQ$7,0)</f>
        <v>Energy</v>
      </c>
      <c r="DR659">
        <f>IF(DK659=1,DR$7,0)</f>
        <v>0</v>
      </c>
      <c r="DS659" t="str">
        <f>IF(DL659=1,DS$7,0)</f>
        <v>Timber</v>
      </c>
      <c r="DT659">
        <v>1</v>
      </c>
      <c r="DU659" s="143">
        <v>0</v>
      </c>
      <c r="DV659" s="143">
        <v>0</v>
      </c>
      <c r="DW659">
        <v>0</v>
      </c>
      <c r="DX659" s="143">
        <v>0</v>
      </c>
      <c r="DY659">
        <f>SUM(DT659:DU659)</f>
        <v>1</v>
      </c>
      <c r="DZ659" s="143" t="str">
        <f>IF(DT659=1,"self-calculated DF",IF(DU659=1,"external DF used","explicit C balance"))</f>
        <v>self-calculated DF</v>
      </c>
      <c r="EA659" s="143">
        <v>0</v>
      </c>
      <c r="EB659" s="143">
        <v>1</v>
      </c>
      <c r="EC659" s="143">
        <v>1</v>
      </c>
      <c r="ED659" s="143">
        <v>1</v>
      </c>
      <c r="EE659">
        <v>0</v>
      </c>
      <c r="EF659" s="143">
        <v>0</v>
      </c>
      <c r="EG659" s="143">
        <v>0</v>
      </c>
      <c r="EH659" s="143">
        <v>0</v>
      </c>
      <c r="EI659" s="143">
        <v>0</v>
      </c>
      <c r="EJ659">
        <v>0</v>
      </c>
      <c r="EK659">
        <v>0</v>
      </c>
      <c r="EL659" s="143">
        <v>0</v>
      </c>
      <c r="EM659" s="143">
        <v>0</v>
      </c>
      <c r="EN659" s="2">
        <v>0</v>
      </c>
      <c r="EP659" t="str">
        <f>IF(AND(AND(AND(OR($EC659=1,$EB659=1),OR($EH659=1,$EF659=1)),SUM($EA659:$EE659,$EK659)&gt;=3),SUM($EF659:$EJ659)&gt;=2),"Whole sector approach","")</f>
        <v/>
      </c>
      <c r="EQ659" t="str">
        <f>IF(AND(AND(OR($EC659=1,$EB659=1),AND($EH659=0,$EF659=0)),SUM($EA659:$EE659,$EK659)&gt;=3),"Ecosystem approach","")</f>
        <v>Ecosystem approach</v>
      </c>
      <c r="ER659" s="2" t="str">
        <f>IF(AND(AND(AND($EC659=0,$EB659=0),OR($EH659=1,$EF659=1)),SUM($EG659:$EJ659)&gt;=2),"Technology approach","")</f>
        <v/>
      </c>
      <c r="ES659" t="str">
        <f>IF(AND($EC659+$EB659+$EE659+$EA659+$ED659+$EG659=0,$N659="included"),"C neutral forest and HWP assumption","")</f>
        <v/>
      </c>
      <c r="ET659" t="str">
        <f>IF(AND(AND(AND(AND($EC659=1,$EB659+$EA659+$EG659&gt;=1),$EF659=1),$EH659+$EI659+$ED659+$EE659&gt;=2),$N659="included"),"All C pools assumption","")</f>
        <v/>
      </c>
      <c r="EU659" t="str">
        <f>IF(AND($ED659+$EE659+$EI659+$EH659+$EF659=0,$N659="included"),"In-situ only assumption","")</f>
        <v/>
      </c>
      <c r="EV659" s="328" t="s">
        <v>5065</v>
      </c>
      <c r="EY659" t="b">
        <f>IF(ISNUMBER(BW659),IF(ABS(BW659-[4]QC_indicators!$B$2)&gt;3*[4]QC_indicators!$C$2,"C ratio",IF(ISNUMBER(CA659),IF(ABS(CA659-[4]QC_indicators!$B$1)&gt;3*[4]QC_indicators!$C$1,"DF","no"))),IF(ISNUMBER(CA659),IF(ABS(CA659-[4]QC_indicators!$B$1)&gt;3*[4]QC_indicators!$C$1,"DF","no")))</f>
        <v>0</v>
      </c>
      <c r="FA659" t="str">
        <f>IF(LEN($CY659)=0,"",IF(AND($CY659&lt;(-0.05),$ES659="C neutral forest and HWP assumption"),"Cneutral paradox",IF(AND($CY659&gt;0.05,$EU659="In-situ only assumption"),"In-situ only paradox","")))</f>
        <v/>
      </c>
      <c r="FB659" s="319" t="s">
        <v>349</v>
      </c>
      <c r="FD659" t="s">
        <v>4972</v>
      </c>
    </row>
    <row r="660" spans="4:160" ht="15" hidden="1" customHeight="1">
      <c r="D660" t="s">
        <v>743</v>
      </c>
      <c r="E660" t="s">
        <v>744</v>
      </c>
      <c r="G660" t="s">
        <v>745</v>
      </c>
      <c r="I660">
        <v>2006</v>
      </c>
      <c r="K660" s="289" t="s">
        <v>746</v>
      </c>
      <c r="M660" t="str">
        <f>LEFT($D660,FIND(",",$D660)-1)&amp;"_"&amp;I660&amp;L660</f>
        <v>Gustavsson_2006</v>
      </c>
      <c r="N660" t="s">
        <v>222</v>
      </c>
      <c r="O660" t="s">
        <v>223</v>
      </c>
      <c r="Q660" s="317" t="s">
        <v>256</v>
      </c>
      <c r="R660" s="318" t="s">
        <v>1029</v>
      </c>
      <c r="S660" s="320" t="s">
        <v>4974</v>
      </c>
      <c r="T660" t="s">
        <v>739</v>
      </c>
      <c r="U660" s="143" t="s">
        <v>740</v>
      </c>
      <c r="V660" s="253">
        <v>0</v>
      </c>
      <c r="W660" s="253">
        <v>0</v>
      </c>
      <c r="X660">
        <v>0</v>
      </c>
      <c r="Y660">
        <v>0</v>
      </c>
      <c r="Z660">
        <v>0</v>
      </c>
      <c r="AA660">
        <v>0</v>
      </c>
      <c r="AB660">
        <v>0</v>
      </c>
      <c r="AC660">
        <v>0</v>
      </c>
      <c r="AD660">
        <v>0</v>
      </c>
      <c r="AE660">
        <v>0</v>
      </c>
      <c r="AF660">
        <v>0</v>
      </c>
      <c r="AG660">
        <v>0</v>
      </c>
      <c r="AH660">
        <v>0</v>
      </c>
      <c r="AI660">
        <v>0</v>
      </c>
      <c r="AJ660">
        <v>0</v>
      </c>
      <c r="AK660">
        <v>0</v>
      </c>
      <c r="AL660">
        <v>0</v>
      </c>
      <c r="AM660">
        <v>1</v>
      </c>
      <c r="AN660">
        <v>0</v>
      </c>
      <c r="AO660">
        <v>0</v>
      </c>
      <c r="AP660">
        <v>0</v>
      </c>
      <c r="AQ660">
        <v>0</v>
      </c>
      <c r="AR660">
        <v>0</v>
      </c>
      <c r="AS660">
        <v>0</v>
      </c>
      <c r="AT660">
        <v>0</v>
      </c>
      <c r="AU660">
        <v>0</v>
      </c>
      <c r="AV660">
        <v>0</v>
      </c>
      <c r="AW660">
        <v>0</v>
      </c>
      <c r="AX660">
        <v>0</v>
      </c>
      <c r="AY660">
        <v>0</v>
      </c>
      <c r="AZ660" s="141">
        <f>COUNTIF(X660:AY660,"&lt;&gt;0")</f>
        <v>1</v>
      </c>
      <c r="BA660" s="141">
        <f>COUNTIF(X660:AN660,"&lt;&gt;0")</f>
        <v>1</v>
      </c>
      <c r="BB660">
        <f>COUNTIF(X660:AE660,"&lt;&gt;0")</f>
        <v>0</v>
      </c>
      <c r="BC660">
        <f>COUNTIF(AF660:AK660,"&lt;&gt;0")</f>
        <v>0</v>
      </c>
      <c r="BD660">
        <f>COUNTIF(AL660:AN660,"&lt;&gt;0")</f>
        <v>1</v>
      </c>
      <c r="BE660">
        <f>COUNTIF(AU660:AY660,"&lt;&gt;0")</f>
        <v>0</v>
      </c>
      <c r="BF660">
        <f>COUNTIF(AO660:AT660,"&lt;&gt;0")</f>
        <v>0</v>
      </c>
      <c r="BG660" t="str" cm="1">
        <f t="array" ref="BG660">IF(BA660=1,INDEX($X$7:$AN$7,MATCH(TRUE,INDEX($X660:$AY660&lt;&gt;0,),0)),IF(BA660=0,INDEX($AO$7:$AY$7,MATCH(1,$AO660:$AY660,0)),IF(BH660="Multiple strategies","mixed drivers",IF(BH660="Supply chain","multiple supply","multiple silviculture"))))</f>
        <v>technologies/design switch</v>
      </c>
      <c r="BH660" s="2" t="str" cm="1">
        <f t="array" ref="BH660">IF(COUNTIF(BB660:BD660,"&lt;&gt;0")=1,INDEX($X$4:$AY$4,MATCH(TRUE,INDEX($X660:$AY660&lt;&gt;0,),0)),IF(COUNTIF(BB660:BD660,"&lt;&gt;0")=0,INDEX($AO$4:$AY$4,MATCH(1,$AO660:$AY660,0)),"Multiple strategies"))</f>
        <v>Technology</v>
      </c>
      <c r="BI660" s="142" t="s">
        <v>229</v>
      </c>
      <c r="BJ660" t="s">
        <v>393</v>
      </c>
      <c r="BK660" s="317" t="s">
        <v>747</v>
      </c>
      <c r="BL660" s="143" t="s">
        <v>748</v>
      </c>
      <c r="BM660">
        <v>145</v>
      </c>
      <c r="BN660" s="143">
        <v>145</v>
      </c>
      <c r="BO660">
        <f>BN660/BM660</f>
        <v>1</v>
      </c>
      <c r="BP660">
        <f>BN660-BM660</f>
        <v>0</v>
      </c>
      <c r="BQ660" s="143">
        <f>BP660*t_to_m3</f>
        <v>0</v>
      </c>
      <c r="BR660" s="317" t="s">
        <v>232</v>
      </c>
      <c r="BS660" s="155" t="s">
        <v>749</v>
      </c>
      <c r="BT660" t="s">
        <v>442</v>
      </c>
      <c r="BU660" s="143">
        <f>-212.9+13.1</f>
        <v>-199.8</v>
      </c>
      <c r="BV660" s="151">
        <f>-212.9+59.5</f>
        <v>-153.4</v>
      </c>
      <c r="BW660" s="144">
        <f>IFERROR(BV660/BU660,"")</f>
        <v>0.76776776776776778</v>
      </c>
      <c r="BX660">
        <f>BV660-BU660</f>
        <v>46.400000000000006</v>
      </c>
      <c r="BZ660">
        <f>BX660*C_to_CO2</f>
        <v>170.28800000000001</v>
      </c>
      <c r="CA660" t="str">
        <f>IFERROR(BZ660/BQ660,"")</f>
        <v/>
      </c>
      <c r="CB660" s="143">
        <v>0</v>
      </c>
      <c r="CC660" s="143">
        <v>0</v>
      </c>
      <c r="CD660" s="143">
        <v>0</v>
      </c>
      <c r="CE660" s="143">
        <v>0</v>
      </c>
      <c r="CF660" s="143">
        <v>0</v>
      </c>
      <c r="CG660" s="143">
        <v>0</v>
      </c>
      <c r="CH660" s="143">
        <v>0</v>
      </c>
      <c r="CI660" s="143">
        <v>0</v>
      </c>
      <c r="CJ660" s="143">
        <v>0</v>
      </c>
      <c r="CK660" s="143">
        <v>0</v>
      </c>
      <c r="CL660" s="143">
        <v>0</v>
      </c>
      <c r="CM660" s="143">
        <v>0</v>
      </c>
      <c r="CN660" s="143">
        <v>0</v>
      </c>
      <c r="CO660">
        <v>0</v>
      </c>
      <c r="CP660" t="str">
        <f>IF($BN660&lt;$BM660,"refNeedCorrection","refOK")</f>
        <v>refOK</v>
      </c>
      <c r="CQ660">
        <f>IF($CP660="refOK",$BM660,$BN660)</f>
        <v>145</v>
      </c>
      <c r="CR660">
        <f>IF($CP660="refOK",$BN660,$BM660)</f>
        <v>145</v>
      </c>
      <c r="CS660">
        <f>IF($CP660="refOK",$BQ660,-$BQ660)</f>
        <v>0</v>
      </c>
      <c r="CT660">
        <f>IF(BI660="Roundwood",$CS660/2,$CS660)</f>
        <v>0</v>
      </c>
      <c r="CU660">
        <f>IF($CP660="refOK",$BU660,$BV660)*IF($BR660="Emissions positive",-1,1)</f>
        <v>-199.8</v>
      </c>
      <c r="CV660">
        <f>IF($CP660="refOK",$BV660,$BU660)*IF($BR660="Emissions positive",-1,1)</f>
        <v>-153.4</v>
      </c>
      <c r="CW660">
        <f>IF($CP660="refNeedCorrection",-BZ660,BZ660)*IF($BR660="Emissions positive",-1,1)</f>
        <v>170.28800000000001</v>
      </c>
      <c r="CX660" t="str">
        <f>IFERROR($CW660/$CS660,"")</f>
        <v/>
      </c>
      <c r="CY660" t="str">
        <f>IFERROR($CW660/$CS660,"")</f>
        <v/>
      </c>
      <c r="CZ660" t="str">
        <f>IFERROR($CW660/$CT660,"")</f>
        <v/>
      </c>
      <c r="DA660" s="2">
        <f>IFERROR((CV660-CU660)/ABS(CU660),"")</f>
        <v>0.23223223223223224</v>
      </c>
      <c r="DB660" s="1" t="s">
        <v>263</v>
      </c>
      <c r="DC660" s="317" t="str">
        <f>IF(OR($DB660="prd",$DB660="std",$DB660="cit"),"loc",IF(OR($DB660="eur",$DB660="reg",$DB660="coy"),"reg",$DB660))</f>
        <v>loc</v>
      </c>
      <c r="DD660" t="s">
        <v>235</v>
      </c>
      <c r="DF660" s="143"/>
      <c r="DG660" s="143">
        <v>0</v>
      </c>
      <c r="DH660" t="str">
        <f>IF(DG660=0,"0",IF(AND(DG660&gt;=1,DG660&lt;=30),"1-30",IF(AND(DG660&gt;30,DG660&lt;=70),"31-70",IF(AND(DG660&gt;70,DG660&lt;=100),"71-100",IF(DG660&gt;100,"+100")))))</f>
        <v>0</v>
      </c>
      <c r="DI660">
        <v>0</v>
      </c>
      <c r="DJ660">
        <v>1</v>
      </c>
      <c r="DK660">
        <v>0</v>
      </c>
      <c r="DL660">
        <v>1</v>
      </c>
      <c r="DN660">
        <f>SUM(DI660:DL660)</f>
        <v>2</v>
      </c>
      <c r="DO660" t="str">
        <f>IF(DN660=1,INDEX($DI$7:$DL$7,MATCH(1,$DI660:$DL660,0)),"mixedProduct")</f>
        <v>mixedProduct</v>
      </c>
      <c r="DP660">
        <f>IF(DI660=1,DP$7,0)</f>
        <v>0</v>
      </c>
      <c r="DQ660" t="str">
        <f>IF(DJ660=1,DQ$7,0)</f>
        <v>Energy</v>
      </c>
      <c r="DR660">
        <f>IF(DK660=1,DR$7,0)</f>
        <v>0</v>
      </c>
      <c r="DS660" t="str">
        <f>IF(DL660=1,DS$7,0)</f>
        <v>Timber</v>
      </c>
      <c r="DT660">
        <v>1</v>
      </c>
      <c r="DU660" s="143">
        <v>0</v>
      </c>
      <c r="DV660" s="143">
        <v>0</v>
      </c>
      <c r="DW660">
        <v>0</v>
      </c>
      <c r="DX660" s="143">
        <v>0</v>
      </c>
      <c r="DY660">
        <f>SUM(DT660:DU660)</f>
        <v>1</v>
      </c>
      <c r="DZ660" s="143" t="str">
        <f>IF(DT660=1,"self-calculated DF",IF(DU660=1,"external DF used","explicit C balance"))</f>
        <v>self-calculated DF</v>
      </c>
      <c r="EA660" s="143">
        <v>0</v>
      </c>
      <c r="EB660" s="143">
        <v>1</v>
      </c>
      <c r="EC660" s="143">
        <v>1</v>
      </c>
      <c r="ED660" s="143">
        <v>1</v>
      </c>
      <c r="EE660">
        <v>0</v>
      </c>
      <c r="EF660" s="143">
        <v>0</v>
      </c>
      <c r="EG660" s="143">
        <v>0</v>
      </c>
      <c r="EH660" s="143">
        <v>0</v>
      </c>
      <c r="EI660" s="143">
        <v>0</v>
      </c>
      <c r="EJ660">
        <v>0</v>
      </c>
      <c r="EK660">
        <v>0</v>
      </c>
      <c r="EL660" s="143">
        <v>0</v>
      </c>
      <c r="EM660" s="143">
        <v>0</v>
      </c>
      <c r="EN660" s="2">
        <v>0</v>
      </c>
      <c r="EP660" t="str">
        <f>IF(AND(AND(AND(OR($EC660=1,$EB660=1),OR($EH660=1,$EF660=1)),SUM($EA660:$EE660,$EK660)&gt;=3),SUM($EF660:$EJ660)&gt;=2),"Whole sector approach","")</f>
        <v/>
      </c>
      <c r="EQ660" t="str">
        <f>IF(AND(AND(OR($EC660=1,$EB660=1),AND($EH660=0,$EF660=0)),SUM($EA660:$EE660,$EK660)&gt;=3),"Ecosystem approach","")</f>
        <v>Ecosystem approach</v>
      </c>
      <c r="ER660" s="2" t="str">
        <f>IF(AND(AND(AND($EC660=0,$EB660=0),OR($EH660=1,$EF660=1)),SUM($EG660:$EJ660)&gt;=2),"Technology approach","")</f>
        <v/>
      </c>
      <c r="ES660" t="str">
        <f>IF(AND($EC660+$EB660+$EE660+$EA660+$ED660+$EG660=0,$N660="included"),"C neutral forest and HWP assumption","")</f>
        <v/>
      </c>
      <c r="ET660" t="str">
        <f>IF(AND(AND(AND(AND($EC660=1,$EB660+$EA660+$EG660&gt;=1),$EF660=1),$EH660+$EI660+$ED660+$EE660&gt;=2),$N660="included"),"All C pools assumption","")</f>
        <v/>
      </c>
      <c r="EU660" t="str">
        <f>IF(AND($ED660+$EE660+$EI660+$EH660+$EF660=0,$N660="included"),"In-situ only assumption","")</f>
        <v/>
      </c>
      <c r="EV660" s="328" t="s">
        <v>5065</v>
      </c>
      <c r="EY660" t="b">
        <f>IF(ISNUMBER(BW660),IF(ABS(BW660-[4]QC_indicators!$B$2)&gt;3*[4]QC_indicators!$C$2,"C ratio",IF(ISNUMBER(CA660),IF(ABS(CA660-[4]QC_indicators!$B$1)&gt;3*[4]QC_indicators!$C$1,"DF","no"))),IF(ISNUMBER(CA660),IF(ABS(CA660-[4]QC_indicators!$B$1)&gt;3*[4]QC_indicators!$C$1,"DF","no")))</f>
        <v>0</v>
      </c>
      <c r="FA660" t="str">
        <f>IF(LEN($CY660)=0,"",IF(AND($CY660&lt;(-0.05),$ES660="C neutral forest and HWP assumption"),"Cneutral paradox",IF(AND($CY660&gt;0.05,$EU660="In-situ only assumption"),"In-situ only paradox","")))</f>
        <v/>
      </c>
      <c r="FB660" s="319" t="s">
        <v>349</v>
      </c>
      <c r="FD660" t="s">
        <v>4972</v>
      </c>
    </row>
    <row r="661" spans="4:160" ht="15" hidden="1" customHeight="1">
      <c r="D661" t="s">
        <v>743</v>
      </c>
      <c r="E661" t="s">
        <v>744</v>
      </c>
      <c r="G661" t="s">
        <v>745</v>
      </c>
      <c r="I661">
        <v>2006</v>
      </c>
      <c r="K661" s="289" t="s">
        <v>746</v>
      </c>
      <c r="M661" t="str">
        <f>LEFT($D661,FIND(",",$D661)-1)&amp;"_"&amp;I661&amp;L661</f>
        <v>Gustavsson_2006</v>
      </c>
      <c r="N661" t="s">
        <v>222</v>
      </c>
      <c r="O661" t="s">
        <v>223</v>
      </c>
      <c r="Q661" s="317" t="s">
        <v>256</v>
      </c>
      <c r="R661" s="318" t="s">
        <v>1029</v>
      </c>
      <c r="S661" s="320" t="s">
        <v>751</v>
      </c>
      <c r="T661" t="s">
        <v>739</v>
      </c>
      <c r="U661" s="143" t="s">
        <v>740</v>
      </c>
      <c r="V661" s="253">
        <v>0</v>
      </c>
      <c r="W661" s="253">
        <v>0</v>
      </c>
      <c r="X661">
        <v>0</v>
      </c>
      <c r="Y661">
        <v>0</v>
      </c>
      <c r="Z661">
        <v>0</v>
      </c>
      <c r="AA661">
        <v>0</v>
      </c>
      <c r="AB661">
        <v>0</v>
      </c>
      <c r="AC661">
        <v>0</v>
      </c>
      <c r="AD661">
        <v>0</v>
      </c>
      <c r="AE661">
        <v>0</v>
      </c>
      <c r="AF661">
        <v>0</v>
      </c>
      <c r="AG661">
        <v>0</v>
      </c>
      <c r="AH661">
        <v>0</v>
      </c>
      <c r="AI661">
        <v>0</v>
      </c>
      <c r="AJ661">
        <v>0</v>
      </c>
      <c r="AK661">
        <v>0</v>
      </c>
      <c r="AL661">
        <v>0</v>
      </c>
      <c r="AM661">
        <v>1</v>
      </c>
      <c r="AN661">
        <v>0</v>
      </c>
      <c r="AO661">
        <v>0</v>
      </c>
      <c r="AP661">
        <v>0</v>
      </c>
      <c r="AQ661">
        <v>0</v>
      </c>
      <c r="AR661">
        <v>0</v>
      </c>
      <c r="AS661">
        <v>0</v>
      </c>
      <c r="AT661">
        <v>0</v>
      </c>
      <c r="AU661">
        <v>0</v>
      </c>
      <c r="AV661">
        <v>0</v>
      </c>
      <c r="AW661">
        <v>0</v>
      </c>
      <c r="AX661">
        <v>0</v>
      </c>
      <c r="AY661">
        <v>0</v>
      </c>
      <c r="AZ661" s="141">
        <f>COUNTIF(X661:AY661,"&lt;&gt;0")</f>
        <v>1</v>
      </c>
      <c r="BA661" s="141">
        <f>COUNTIF(X661:AN661,"&lt;&gt;0")</f>
        <v>1</v>
      </c>
      <c r="BB661">
        <f>COUNTIF(X661:AE661,"&lt;&gt;0")</f>
        <v>0</v>
      </c>
      <c r="BC661">
        <f>COUNTIF(AF661:AK661,"&lt;&gt;0")</f>
        <v>0</v>
      </c>
      <c r="BD661">
        <f>COUNTIF(AL661:AN661,"&lt;&gt;0")</f>
        <v>1</v>
      </c>
      <c r="BE661">
        <f>COUNTIF(AU661:AY661,"&lt;&gt;0")</f>
        <v>0</v>
      </c>
      <c r="BF661">
        <f>COUNTIF(AO661:AT661,"&lt;&gt;0")</f>
        <v>0</v>
      </c>
      <c r="BG661" t="str" cm="1">
        <f t="array" ref="BG661">IF(BA661=1,INDEX($X$7:$AN$7,MATCH(TRUE,INDEX($X661:$AY661&lt;&gt;0,),0)),IF(BA661=0,INDEX($AO$7:$AY$7,MATCH(1,$AO661:$AY661,0)),IF(BH661="Multiple strategies","mixed drivers",IF(BH661="Supply chain","multiple supply","multiple silviculture"))))</f>
        <v>technologies/design switch</v>
      </c>
      <c r="BH661" s="2" t="str" cm="1">
        <f t="array" ref="BH661">IF(COUNTIF(BB661:BD661,"&lt;&gt;0")=1,INDEX($X$4:$AY$4,MATCH(TRUE,INDEX($X661:$AY661&lt;&gt;0,),0)),IF(COUNTIF(BB661:BD661,"&lt;&gt;0")=0,INDEX($AO$4:$AY$4,MATCH(1,$AO661:$AY661,0)),"Multiple strategies"))</f>
        <v>Technology</v>
      </c>
      <c r="BI661" s="142" t="s">
        <v>229</v>
      </c>
      <c r="BJ661" t="s">
        <v>393</v>
      </c>
      <c r="BK661" s="317" t="s">
        <v>747</v>
      </c>
      <c r="BL661" s="143" t="s">
        <v>748</v>
      </c>
      <c r="BM661">
        <v>145</v>
      </c>
      <c r="BN661" s="143">
        <v>145</v>
      </c>
      <c r="BO661">
        <f>BN661/BM661</f>
        <v>1</v>
      </c>
      <c r="BP661">
        <f>BN661-BM661</f>
        <v>0</v>
      </c>
      <c r="BQ661" s="143">
        <f>BP661*t_to_m3</f>
        <v>0</v>
      </c>
      <c r="BR661" s="317" t="s">
        <v>232</v>
      </c>
      <c r="BS661" s="155" t="s">
        <v>749</v>
      </c>
      <c r="BT661" t="s">
        <v>442</v>
      </c>
      <c r="BU661" s="143">
        <f>-180.2</f>
        <v>-180.2</v>
      </c>
      <c r="BV661" s="151">
        <v>-136.69999999999999</v>
      </c>
      <c r="BW661" s="144">
        <f>IFERROR(BV661/BU661,"")</f>
        <v>0.75860155382907879</v>
      </c>
      <c r="BX661">
        <f>BV661-BU661</f>
        <v>43.5</v>
      </c>
      <c r="BZ661">
        <f>BX661*C_to_CO2</f>
        <v>159.64500000000001</v>
      </c>
      <c r="CA661" t="str">
        <f>IFERROR(BZ661/BQ661,"")</f>
        <v/>
      </c>
      <c r="CB661" s="143">
        <v>0</v>
      </c>
      <c r="CC661" s="143">
        <v>0</v>
      </c>
      <c r="CD661" s="143">
        <v>0</v>
      </c>
      <c r="CE661" s="143">
        <v>0</v>
      </c>
      <c r="CF661" s="143">
        <v>0</v>
      </c>
      <c r="CG661" s="143">
        <v>0</v>
      </c>
      <c r="CH661" s="143">
        <v>0</v>
      </c>
      <c r="CI661" s="143">
        <v>0</v>
      </c>
      <c r="CJ661" s="143">
        <v>0</v>
      </c>
      <c r="CK661" s="143">
        <v>0</v>
      </c>
      <c r="CL661" s="143">
        <v>0</v>
      </c>
      <c r="CM661" s="143">
        <v>0</v>
      </c>
      <c r="CN661" s="143">
        <v>0</v>
      </c>
      <c r="CO661">
        <v>0</v>
      </c>
      <c r="CP661" t="str">
        <f>IF($BN661&lt;$BM661,"refNeedCorrection","refOK")</f>
        <v>refOK</v>
      </c>
      <c r="CQ661">
        <f>IF($CP661="refOK",$BM661,$BN661)</f>
        <v>145</v>
      </c>
      <c r="CR661">
        <f>IF($CP661="refOK",$BN661,$BM661)</f>
        <v>145</v>
      </c>
      <c r="CS661">
        <f>IF($CP661="refOK",$BQ661,-$BQ661)</f>
        <v>0</v>
      </c>
      <c r="CT661">
        <f>IF(BI661="Roundwood",$CS661/2,$CS661)</f>
        <v>0</v>
      </c>
      <c r="CU661">
        <f>IF($CP661="refOK",$BU661,$BV661)*IF($BR661="Emissions positive",-1,1)</f>
        <v>-180.2</v>
      </c>
      <c r="CV661">
        <f>IF($CP661="refOK",$BV661,$BU661)*IF($BR661="Emissions positive",-1,1)</f>
        <v>-136.69999999999999</v>
      </c>
      <c r="CW661">
        <f>IF($CP661="refNeedCorrection",-BZ661,BZ661)*IF($BR661="Emissions positive",-1,1)</f>
        <v>159.64500000000001</v>
      </c>
      <c r="CX661" t="str">
        <f>IFERROR($CW661/$CS661,"")</f>
        <v/>
      </c>
      <c r="CY661" t="str">
        <f>IFERROR($CW661/$CS661,"")</f>
        <v/>
      </c>
      <c r="CZ661" t="str">
        <f>IFERROR($CW661/$CT661,"")</f>
        <v/>
      </c>
      <c r="DA661" s="2">
        <f>IFERROR((CV661-CU661)/ABS(CU661),"")</f>
        <v>0.24139844617092121</v>
      </c>
      <c r="DB661" s="1" t="s">
        <v>263</v>
      </c>
      <c r="DC661" s="317" t="str">
        <f>IF(OR($DB661="prd",$DB661="std",$DB661="cit"),"loc",IF(OR($DB661="eur",$DB661="reg",$DB661="coy"),"reg",$DB661))</f>
        <v>loc</v>
      </c>
      <c r="DD661" t="s">
        <v>235</v>
      </c>
      <c r="DF661" s="143"/>
      <c r="DG661" s="143">
        <v>0</v>
      </c>
      <c r="DH661" t="str">
        <f>IF(DG661=0,"0",IF(AND(DG661&gt;=1,DG661&lt;=30),"1-30",IF(AND(DG661&gt;30,DG661&lt;=70),"31-70",IF(AND(DG661&gt;70,DG661&lt;=100),"71-100",IF(DG661&gt;100,"+100")))))</f>
        <v>0</v>
      </c>
      <c r="DI661">
        <v>0</v>
      </c>
      <c r="DJ661">
        <v>1</v>
      </c>
      <c r="DK661">
        <v>0</v>
      </c>
      <c r="DL661">
        <v>1</v>
      </c>
      <c r="DN661">
        <f>SUM(DI661:DL661)</f>
        <v>2</v>
      </c>
      <c r="DO661" t="str">
        <f>IF(DN661=1,INDEX($DI$7:$DL$7,MATCH(1,$DI661:$DL661,0)),"mixedProduct")</f>
        <v>mixedProduct</v>
      </c>
      <c r="DP661">
        <f>IF(DI661=1,DP$7,0)</f>
        <v>0</v>
      </c>
      <c r="DQ661" t="str">
        <f>IF(DJ661=1,DQ$7,0)</f>
        <v>Energy</v>
      </c>
      <c r="DR661">
        <f>IF(DK661=1,DR$7,0)</f>
        <v>0</v>
      </c>
      <c r="DS661" t="str">
        <f>IF(DL661=1,DS$7,0)</f>
        <v>Timber</v>
      </c>
      <c r="DT661">
        <v>1</v>
      </c>
      <c r="DU661" s="143">
        <v>0</v>
      </c>
      <c r="DV661" s="143">
        <v>0</v>
      </c>
      <c r="DW661">
        <v>0</v>
      </c>
      <c r="DX661" s="143">
        <v>0</v>
      </c>
      <c r="DY661">
        <f>SUM(DT661:DU661)</f>
        <v>1</v>
      </c>
      <c r="DZ661" s="143" t="str">
        <f>IF(DT661=1,"self-calculated DF",IF(DU661=1,"external DF used","explicit C balance"))</f>
        <v>self-calculated DF</v>
      </c>
      <c r="EA661" s="143">
        <v>0</v>
      </c>
      <c r="EB661" s="143">
        <v>1</v>
      </c>
      <c r="EC661" s="143">
        <v>1</v>
      </c>
      <c r="ED661" s="143">
        <v>1</v>
      </c>
      <c r="EE661">
        <v>0</v>
      </c>
      <c r="EF661" s="143">
        <v>1</v>
      </c>
      <c r="EG661" s="143">
        <v>1</v>
      </c>
      <c r="EH661" s="143">
        <v>1</v>
      </c>
      <c r="EI661" s="143">
        <v>0</v>
      </c>
      <c r="EJ661">
        <v>0</v>
      </c>
      <c r="EK661">
        <v>0</v>
      </c>
      <c r="EL661" s="143">
        <v>0</v>
      </c>
      <c r="EM661" s="143">
        <v>0</v>
      </c>
      <c r="EN661" s="2">
        <v>0</v>
      </c>
      <c r="EP661" t="str">
        <f>IF(AND(AND(AND(OR($EC661=1,$EB661=1),OR($EH661=1,$EF661=1)),SUM($EA661:$EE661,$EK661)&gt;=3),SUM($EF661:$EJ661)&gt;=2),"Whole sector approach","")</f>
        <v>Whole sector approach</v>
      </c>
      <c r="EQ661" t="str">
        <f>IF(AND(AND(OR($EC661=1,$EB661=1),AND($EH661=0,$EF661=0)),SUM($EA661:$EE661,$EK661)&gt;=3),"Ecosystem approach","")</f>
        <v/>
      </c>
      <c r="ER661" s="2" t="str">
        <f>IF(AND(AND(AND($EC661=0,$EB661=0),OR($EH661=1,$EF661=1)),SUM($EG661:$EJ661)&gt;=2),"Technology approach","")</f>
        <v/>
      </c>
      <c r="ES661" t="str">
        <f>IF(AND($EC661+$EB661+$EE661+$EA661+$ED661+$EG661=0,$N661="included"),"C neutral forest and HWP assumption","")</f>
        <v/>
      </c>
      <c r="ET661" t="str">
        <f>IF(AND(AND(AND(AND($EC661=1,$EB661+$EA661+$EG661&gt;=1),$EF661=1),$EH661+$EI661+$ED661+$EE661&gt;=2),$N661="included"),"All C pools assumption","")</f>
        <v>All C pools assumption</v>
      </c>
      <c r="EU661" t="str">
        <f>IF(AND($ED661+$EE661+$EI661+$EH661+$EF661=0,$N661="included"),"In-situ only assumption","")</f>
        <v/>
      </c>
      <c r="EV661" s="328" t="s">
        <v>5065</v>
      </c>
      <c r="EY661" t="b">
        <f>IF(ISNUMBER(BW661),IF(ABS(BW661-[4]QC_indicators!$B$2)&gt;3*[4]QC_indicators!$C$2,"C ratio",IF(ISNUMBER(CA661),IF(ABS(CA661-[4]QC_indicators!$B$1)&gt;3*[4]QC_indicators!$C$1,"DF","no"))),IF(ISNUMBER(CA661),IF(ABS(CA661-[4]QC_indicators!$B$1)&gt;3*[4]QC_indicators!$C$1,"DF","no")))</f>
        <v>0</v>
      </c>
      <c r="FA661" t="str">
        <f>IF(LEN($CY661)=0,"",IF(AND($CY661&lt;(-0.05),$ES661="C neutral forest and HWP assumption"),"Cneutral paradox",IF(AND($CY661&gt;0.05,$EU661="In-situ only assumption"),"In-situ only paradox","")))</f>
        <v/>
      </c>
      <c r="FB661" s="319" t="s">
        <v>349</v>
      </c>
      <c r="FD661" t="s">
        <v>4972</v>
      </c>
    </row>
    <row r="662" spans="4:160" ht="15" hidden="1" customHeight="1">
      <c r="D662" t="s">
        <v>743</v>
      </c>
      <c r="E662" t="s">
        <v>744</v>
      </c>
      <c r="G662" t="s">
        <v>745</v>
      </c>
      <c r="I662">
        <v>2006</v>
      </c>
      <c r="K662" s="289" t="s">
        <v>746</v>
      </c>
      <c r="M662" t="str">
        <f>LEFT($D662,FIND(",",$D662)-1)&amp;"_"&amp;I662&amp;L662</f>
        <v>Gustavsson_2006</v>
      </c>
      <c r="N662" t="s">
        <v>222</v>
      </c>
      <c r="O662" t="s">
        <v>223</v>
      </c>
      <c r="Q662" s="317" t="s">
        <v>256</v>
      </c>
      <c r="R662" s="318" t="s">
        <v>1029</v>
      </c>
      <c r="S662" s="320" t="s">
        <v>4978</v>
      </c>
      <c r="T662" t="s">
        <v>739</v>
      </c>
      <c r="U662" s="143" t="s">
        <v>740</v>
      </c>
      <c r="V662" s="253">
        <v>0</v>
      </c>
      <c r="W662" s="253">
        <v>0</v>
      </c>
      <c r="X662">
        <v>0</v>
      </c>
      <c r="Y662">
        <v>0</v>
      </c>
      <c r="Z662">
        <v>0</v>
      </c>
      <c r="AA662">
        <v>0</v>
      </c>
      <c r="AB662">
        <v>0</v>
      </c>
      <c r="AC662">
        <v>0</v>
      </c>
      <c r="AD662">
        <v>0</v>
      </c>
      <c r="AE662">
        <v>0</v>
      </c>
      <c r="AF662">
        <v>0</v>
      </c>
      <c r="AG662">
        <v>0</v>
      </c>
      <c r="AH662">
        <v>0</v>
      </c>
      <c r="AI662">
        <v>0</v>
      </c>
      <c r="AJ662">
        <v>0</v>
      </c>
      <c r="AK662">
        <v>0</v>
      </c>
      <c r="AL662">
        <v>0</v>
      </c>
      <c r="AM662">
        <v>1</v>
      </c>
      <c r="AN662">
        <v>0</v>
      </c>
      <c r="AO662">
        <v>0</v>
      </c>
      <c r="AP662">
        <v>0</v>
      </c>
      <c r="AQ662">
        <v>0</v>
      </c>
      <c r="AR662">
        <v>0</v>
      </c>
      <c r="AS662">
        <v>0</v>
      </c>
      <c r="AT662">
        <v>0</v>
      </c>
      <c r="AU662">
        <v>0</v>
      </c>
      <c r="AV662">
        <v>0</v>
      </c>
      <c r="AW662">
        <v>0</v>
      </c>
      <c r="AX662">
        <v>0</v>
      </c>
      <c r="AY662">
        <v>0</v>
      </c>
      <c r="AZ662" s="141">
        <f>COUNTIF(X662:AY662,"&lt;&gt;0")</f>
        <v>1</v>
      </c>
      <c r="BA662" s="141">
        <f>COUNTIF(X662:AN662,"&lt;&gt;0")</f>
        <v>1</v>
      </c>
      <c r="BB662">
        <f>COUNTIF(X662:AE662,"&lt;&gt;0")</f>
        <v>0</v>
      </c>
      <c r="BC662">
        <f>COUNTIF(AF662:AK662,"&lt;&gt;0")</f>
        <v>0</v>
      </c>
      <c r="BD662">
        <f>COUNTIF(AL662:AN662,"&lt;&gt;0")</f>
        <v>1</v>
      </c>
      <c r="BE662">
        <f>COUNTIF(AU662:AY662,"&lt;&gt;0")</f>
        <v>0</v>
      </c>
      <c r="BF662">
        <f>COUNTIF(AO662:AT662,"&lt;&gt;0")</f>
        <v>0</v>
      </c>
      <c r="BG662" t="str" cm="1">
        <f t="array" ref="BG662">IF(BA662=1,INDEX($X$7:$AN$7,MATCH(TRUE,INDEX($X662:$AY662&lt;&gt;0,),0)),IF(BA662=0,INDEX($AO$7:$AY$7,MATCH(1,$AO662:$AY662,0)),IF(BH662="Multiple strategies","mixed drivers",IF(BH662="Supply chain","multiple supply","multiple silviculture"))))</f>
        <v>technologies/design switch</v>
      </c>
      <c r="BH662" s="2" t="str" cm="1">
        <f t="array" ref="BH662">IF(COUNTIF(BB662:BD662,"&lt;&gt;0")=1,INDEX($X$4:$AY$4,MATCH(TRUE,INDEX($X662:$AY662&lt;&gt;0,),0)),IF(COUNTIF(BB662:BD662,"&lt;&gt;0")=0,INDEX($AO$4:$AY$4,MATCH(1,$AO662:$AY662,0)),"Multiple strategies"))</f>
        <v>Technology</v>
      </c>
      <c r="BI662" s="142" t="s">
        <v>229</v>
      </c>
      <c r="BJ662" t="s">
        <v>393</v>
      </c>
      <c r="BK662" s="317" t="s">
        <v>747</v>
      </c>
      <c r="BL662" s="143" t="s">
        <v>748</v>
      </c>
      <c r="BM662">
        <v>98</v>
      </c>
      <c r="BN662" s="143">
        <v>98</v>
      </c>
      <c r="BO662">
        <f>BN662/BM662</f>
        <v>1</v>
      </c>
      <c r="BP662">
        <f>BN662-BM662</f>
        <v>0</v>
      </c>
      <c r="BQ662" s="143">
        <f>BP662*t_to_m3</f>
        <v>0</v>
      </c>
      <c r="BR662" s="317" t="s">
        <v>232</v>
      </c>
      <c r="BS662" s="155" t="s">
        <v>749</v>
      </c>
      <c r="BT662" t="s">
        <v>442</v>
      </c>
      <c r="BU662" s="143">
        <f>-151.8</f>
        <v>-151.80000000000001</v>
      </c>
      <c r="BV662" s="151">
        <v>-115.1</v>
      </c>
      <c r="BW662" s="144">
        <f>IFERROR(BV662/BU662,"")</f>
        <v>0.75823451910408424</v>
      </c>
      <c r="BX662">
        <f>BV662-BU662</f>
        <v>36.700000000000017</v>
      </c>
      <c r="BZ662">
        <f>BX662*C_to_CO2</f>
        <v>134.68900000000005</v>
      </c>
      <c r="CA662" t="str">
        <f>IFERROR(BZ662/BQ662,"")</f>
        <v/>
      </c>
      <c r="CB662" s="143">
        <v>0</v>
      </c>
      <c r="CC662" s="143">
        <v>0</v>
      </c>
      <c r="CD662" s="143">
        <v>0</v>
      </c>
      <c r="CE662" s="143">
        <v>0</v>
      </c>
      <c r="CF662" s="143">
        <v>0</v>
      </c>
      <c r="CG662" s="143">
        <v>0</v>
      </c>
      <c r="CH662" s="143">
        <v>0</v>
      </c>
      <c r="CI662" s="143">
        <v>0</v>
      </c>
      <c r="CJ662" s="143">
        <v>0</v>
      </c>
      <c r="CK662" s="143">
        <v>0</v>
      </c>
      <c r="CL662" s="143">
        <v>0</v>
      </c>
      <c r="CM662" s="143">
        <v>0</v>
      </c>
      <c r="CN662" s="143">
        <v>0</v>
      </c>
      <c r="CO662">
        <v>0</v>
      </c>
      <c r="CP662" t="str">
        <f>IF($BN662&lt;$BM662,"refNeedCorrection","refOK")</f>
        <v>refOK</v>
      </c>
      <c r="CQ662">
        <f>IF($CP662="refOK",$BM662,$BN662)</f>
        <v>98</v>
      </c>
      <c r="CR662">
        <f>IF($CP662="refOK",$BN662,$BM662)</f>
        <v>98</v>
      </c>
      <c r="CS662">
        <f>IF($CP662="refOK",$BQ662,-$BQ662)</f>
        <v>0</v>
      </c>
      <c r="CT662">
        <f>IF(BI662="Roundwood",$CS662/2,$CS662)</f>
        <v>0</v>
      </c>
      <c r="CU662">
        <f>IF($CP662="refOK",$BU662,$BV662)*IF($BR662="Emissions positive",-1,1)</f>
        <v>-151.80000000000001</v>
      </c>
      <c r="CV662">
        <f>IF($CP662="refOK",$BV662,$BU662)*IF($BR662="Emissions positive",-1,1)</f>
        <v>-115.1</v>
      </c>
      <c r="CW662">
        <f>IF($CP662="refNeedCorrection",-BZ662,BZ662)*IF($BR662="Emissions positive",-1,1)</f>
        <v>134.68900000000005</v>
      </c>
      <c r="CX662" t="str">
        <f>IFERROR($CW662/$CS662,"")</f>
        <v/>
      </c>
      <c r="CY662" t="str">
        <f>IFERROR($CW662/$CS662,"")</f>
        <v/>
      </c>
      <c r="CZ662" t="str">
        <f>IFERROR($CW662/$CT662,"")</f>
        <v/>
      </c>
      <c r="DA662" s="2">
        <f>IFERROR((CV662-CU662)/ABS(CU662),"")</f>
        <v>0.24176548089591576</v>
      </c>
      <c r="DB662" s="1" t="s">
        <v>263</v>
      </c>
      <c r="DC662" s="317" t="str">
        <f>IF(OR($DB662="prd",$DB662="std",$DB662="cit"),"loc",IF(OR($DB662="eur",$DB662="reg",$DB662="coy"),"reg",$DB662))</f>
        <v>loc</v>
      </c>
      <c r="DD662" t="s">
        <v>444</v>
      </c>
      <c r="DF662" s="143"/>
      <c r="DG662" s="143">
        <v>0</v>
      </c>
      <c r="DH662" t="str">
        <f>IF(DG662=0,"0",IF(AND(DG662&gt;=1,DG662&lt;=30),"1-30",IF(AND(DG662&gt;30,DG662&lt;=70),"31-70",IF(AND(DG662&gt;70,DG662&lt;=100),"71-100",IF(DG662&gt;100,"+100")))))</f>
        <v>0</v>
      </c>
      <c r="DI662">
        <v>0</v>
      </c>
      <c r="DJ662">
        <v>1</v>
      </c>
      <c r="DK662">
        <v>0</v>
      </c>
      <c r="DL662">
        <v>1</v>
      </c>
      <c r="DN662">
        <f>SUM(DI662:DL662)</f>
        <v>2</v>
      </c>
      <c r="DO662" t="str">
        <f>IF(DN662=1,INDEX($DI$7:$DL$7,MATCH(1,$DI662:$DL662,0)),"mixedProduct")</f>
        <v>mixedProduct</v>
      </c>
      <c r="DP662">
        <f>IF(DI662=1,DP$7,0)</f>
        <v>0</v>
      </c>
      <c r="DQ662" t="str">
        <f>IF(DJ662=1,DQ$7,0)</f>
        <v>Energy</v>
      </c>
      <c r="DR662">
        <f>IF(DK662=1,DR$7,0)</f>
        <v>0</v>
      </c>
      <c r="DS662" t="str">
        <f>IF(DL662=1,DS$7,0)</f>
        <v>Timber</v>
      </c>
      <c r="DT662">
        <v>1</v>
      </c>
      <c r="DU662" s="143">
        <v>0</v>
      </c>
      <c r="DV662" s="143">
        <v>0</v>
      </c>
      <c r="DW662">
        <v>0</v>
      </c>
      <c r="DX662" s="143">
        <v>0</v>
      </c>
      <c r="DY662">
        <f>SUM(DT662:DU662)</f>
        <v>1</v>
      </c>
      <c r="DZ662" s="143" t="str">
        <f>IF(DT662=1,"self-calculated DF",IF(DU662=1,"external DF used","explicit C balance"))</f>
        <v>self-calculated DF</v>
      </c>
      <c r="EA662" s="143">
        <v>0</v>
      </c>
      <c r="EB662" s="143">
        <v>1</v>
      </c>
      <c r="EC662" s="143">
        <v>1</v>
      </c>
      <c r="ED662" s="143">
        <v>1</v>
      </c>
      <c r="EE662">
        <v>0</v>
      </c>
      <c r="EF662" s="143">
        <v>1</v>
      </c>
      <c r="EG662" s="143">
        <v>1</v>
      </c>
      <c r="EH662" s="143">
        <v>1</v>
      </c>
      <c r="EI662" s="143">
        <v>0</v>
      </c>
      <c r="EJ662">
        <v>0</v>
      </c>
      <c r="EK662">
        <v>0</v>
      </c>
      <c r="EL662" s="143">
        <v>0</v>
      </c>
      <c r="EM662" s="143">
        <v>0</v>
      </c>
      <c r="EN662" s="2">
        <v>0</v>
      </c>
      <c r="EP662" t="str">
        <f>IF(AND(AND(AND(OR($EC662=1,$EB662=1),OR($EH662=1,$EF662=1)),SUM($EA662:$EE662,$EK662)&gt;=3),SUM($EF662:$EJ662)&gt;=2),"Whole sector approach","")</f>
        <v>Whole sector approach</v>
      </c>
      <c r="EQ662" t="str">
        <f>IF(AND(AND(OR($EC662=1,$EB662=1),AND($EH662=0,$EF662=0)),SUM($EA662:$EE662,$EK662)&gt;=3),"Ecosystem approach","")</f>
        <v/>
      </c>
      <c r="ER662" s="2" t="str">
        <f>IF(AND(AND(AND($EC662=0,$EB662=0),OR($EH662=1,$EF662=1)),SUM($EG662:$EJ662)&gt;=2),"Technology approach","")</f>
        <v/>
      </c>
      <c r="ES662" t="str">
        <f>IF(AND($EC662+$EB662+$EE662+$EA662+$ED662+$EG662=0,$N662="included"),"C neutral forest and HWP assumption","")</f>
        <v/>
      </c>
      <c r="ET662" t="str">
        <f>IF(AND(AND(AND(AND($EC662=1,$EB662+$EA662+$EG662&gt;=1),$EF662=1),$EH662+$EI662+$ED662+$EE662&gt;=2),$N662="included"),"All C pools assumption","")</f>
        <v>All C pools assumption</v>
      </c>
      <c r="EU662" t="str">
        <f>IF(AND($ED662+$EE662+$EI662+$EH662+$EF662=0,$N662="included"),"In-situ only assumption","")</f>
        <v/>
      </c>
      <c r="EV662" s="328" t="s">
        <v>5065</v>
      </c>
      <c r="EY662" t="b">
        <f>IF(ISNUMBER(BW662),IF(ABS(BW662-[4]QC_indicators!$B$2)&gt;3*[4]QC_indicators!$C$2,"C ratio",IF(ISNUMBER(CA662),IF(ABS(CA662-[4]QC_indicators!$B$1)&gt;3*[4]QC_indicators!$C$1,"DF","no"))),IF(ISNUMBER(CA662),IF(ABS(CA662-[4]QC_indicators!$B$1)&gt;3*[4]QC_indicators!$C$1,"DF","no")))</f>
        <v>0</v>
      </c>
      <c r="FA662" t="str">
        <f>IF(LEN($CY662)=0,"",IF(AND($CY662&lt;(-0.05),$ES662="C neutral forest and HWP assumption"),"Cneutral paradox",IF(AND($CY662&gt;0.05,$EU662="In-situ only assumption"),"In-situ only paradox","")))</f>
        <v/>
      </c>
      <c r="FB662" s="319" t="s">
        <v>349</v>
      </c>
      <c r="FD662" t="s">
        <v>4972</v>
      </c>
    </row>
    <row r="663" spans="4:160" ht="15" hidden="1" customHeight="1">
      <c r="D663" t="s">
        <v>743</v>
      </c>
      <c r="E663" t="s">
        <v>744</v>
      </c>
      <c r="G663" t="s">
        <v>745</v>
      </c>
      <c r="I663">
        <v>2006</v>
      </c>
      <c r="K663" s="289" t="s">
        <v>746</v>
      </c>
      <c r="M663" t="str">
        <f>LEFT($D663,FIND(",",$D663)-1)&amp;"_"&amp;I663&amp;L663</f>
        <v>Gustavsson_2006</v>
      </c>
      <c r="N663" t="s">
        <v>222</v>
      </c>
      <c r="O663" t="s">
        <v>223</v>
      </c>
      <c r="Q663" s="317" t="s">
        <v>256</v>
      </c>
      <c r="R663" s="318" t="s">
        <v>1029</v>
      </c>
      <c r="S663" s="320" t="s">
        <v>4976</v>
      </c>
      <c r="T663" t="s">
        <v>739</v>
      </c>
      <c r="U663" s="143" t="s">
        <v>740</v>
      </c>
      <c r="V663" s="253">
        <v>0</v>
      </c>
      <c r="W663" s="253">
        <v>0</v>
      </c>
      <c r="X663">
        <v>0</v>
      </c>
      <c r="Y663">
        <v>0</v>
      </c>
      <c r="Z663">
        <v>0</v>
      </c>
      <c r="AA663">
        <v>0</v>
      </c>
      <c r="AB663">
        <v>0</v>
      </c>
      <c r="AC663">
        <v>0</v>
      </c>
      <c r="AD663">
        <v>0</v>
      </c>
      <c r="AE663">
        <v>0</v>
      </c>
      <c r="AF663">
        <v>0</v>
      </c>
      <c r="AG663">
        <v>0</v>
      </c>
      <c r="AH663">
        <v>0</v>
      </c>
      <c r="AI663">
        <v>0</v>
      </c>
      <c r="AJ663">
        <v>0</v>
      </c>
      <c r="AK663">
        <v>0</v>
      </c>
      <c r="AL663">
        <v>0</v>
      </c>
      <c r="AM663">
        <v>1</v>
      </c>
      <c r="AN663">
        <v>0</v>
      </c>
      <c r="AO663">
        <v>0</v>
      </c>
      <c r="AP663">
        <v>0</v>
      </c>
      <c r="AQ663">
        <v>0</v>
      </c>
      <c r="AR663">
        <v>0</v>
      </c>
      <c r="AS663">
        <v>0</v>
      </c>
      <c r="AT663">
        <v>0</v>
      </c>
      <c r="AU663">
        <v>0</v>
      </c>
      <c r="AV663">
        <v>0</v>
      </c>
      <c r="AW663">
        <v>0</v>
      </c>
      <c r="AX663">
        <v>0</v>
      </c>
      <c r="AY663">
        <v>0</v>
      </c>
      <c r="AZ663" s="141">
        <f>COUNTIF(X663:AY663,"&lt;&gt;0")</f>
        <v>1</v>
      </c>
      <c r="BA663" s="141">
        <f>COUNTIF(X663:AN663,"&lt;&gt;0")</f>
        <v>1</v>
      </c>
      <c r="BB663">
        <f>COUNTIF(X663:AE663,"&lt;&gt;0")</f>
        <v>0</v>
      </c>
      <c r="BC663">
        <f>COUNTIF(AF663:AK663,"&lt;&gt;0")</f>
        <v>0</v>
      </c>
      <c r="BD663">
        <f>COUNTIF(AL663:AN663,"&lt;&gt;0")</f>
        <v>1</v>
      </c>
      <c r="BE663">
        <f>COUNTIF(AU663:AY663,"&lt;&gt;0")</f>
        <v>0</v>
      </c>
      <c r="BF663">
        <f>COUNTIF(AO663:AT663,"&lt;&gt;0")</f>
        <v>0</v>
      </c>
      <c r="BG663" t="str" cm="1">
        <f t="array" ref="BG663">IF(BA663=1,INDEX($X$7:$AN$7,MATCH(TRUE,INDEX($X663:$AY663&lt;&gt;0,),0)),IF(BA663=0,INDEX($AO$7:$AY$7,MATCH(1,$AO663:$AY663,0)),IF(BH663="Multiple strategies","mixed drivers",IF(BH663="Supply chain","multiple supply","multiple silviculture"))))</f>
        <v>technologies/design switch</v>
      </c>
      <c r="BH663" s="2" t="str" cm="1">
        <f t="array" ref="BH663">IF(COUNTIF(BB663:BD663,"&lt;&gt;0")=1,INDEX($X$4:$AY$4,MATCH(TRUE,INDEX($X663:$AY663&lt;&gt;0,),0)),IF(COUNTIF(BB663:BD663,"&lt;&gt;0")=0,INDEX($AO$4:$AY$4,MATCH(1,$AO663:$AY663,0)),"Multiple strategies"))</f>
        <v>Technology</v>
      </c>
      <c r="BI663" s="142" t="s">
        <v>229</v>
      </c>
      <c r="BJ663" t="s">
        <v>393</v>
      </c>
      <c r="BK663" s="317" t="s">
        <v>747</v>
      </c>
      <c r="BL663" s="143" t="s">
        <v>748</v>
      </c>
      <c r="BM663">
        <v>98</v>
      </c>
      <c r="BN663" s="143">
        <v>98</v>
      </c>
      <c r="BO663">
        <f>BN663/BM663</f>
        <v>1</v>
      </c>
      <c r="BP663">
        <f>BN663-BM663</f>
        <v>0</v>
      </c>
      <c r="BQ663" s="143">
        <f>BP663*t_to_m3</f>
        <v>0</v>
      </c>
      <c r="BR663" s="317" t="s">
        <v>232</v>
      </c>
      <c r="BS663" s="155" t="s">
        <v>749</v>
      </c>
      <c r="BT663" t="s">
        <v>442</v>
      </c>
      <c r="BU663" s="143">
        <f>-138.7</f>
        <v>-138.69999999999999</v>
      </c>
      <c r="BV663" s="151">
        <v>-103</v>
      </c>
      <c r="BW663" s="144">
        <f>IFERROR(BV663/BU663,"")</f>
        <v>0.74260994953136272</v>
      </c>
      <c r="BX663">
        <f>BV663-BU663</f>
        <v>35.699999999999989</v>
      </c>
      <c r="BZ663">
        <f>BX663*C_to_CO2</f>
        <v>131.01899999999995</v>
      </c>
      <c r="CA663" t="str">
        <f>IFERROR(BZ663/BQ663,"")</f>
        <v/>
      </c>
      <c r="CB663" s="143">
        <v>0</v>
      </c>
      <c r="CC663" s="143">
        <v>0</v>
      </c>
      <c r="CD663" s="143">
        <v>0</v>
      </c>
      <c r="CE663" s="143">
        <v>0</v>
      </c>
      <c r="CF663" s="143">
        <v>0</v>
      </c>
      <c r="CG663" s="143">
        <v>0</v>
      </c>
      <c r="CH663" s="143">
        <v>0</v>
      </c>
      <c r="CI663" s="143">
        <v>0</v>
      </c>
      <c r="CJ663" s="143">
        <v>0</v>
      </c>
      <c r="CK663" s="143">
        <v>0</v>
      </c>
      <c r="CL663" s="143">
        <v>0</v>
      </c>
      <c r="CM663" s="143">
        <v>0</v>
      </c>
      <c r="CN663" s="143">
        <v>0</v>
      </c>
      <c r="CO663">
        <v>0</v>
      </c>
      <c r="CP663" t="str">
        <f>IF($BN663&lt;$BM663,"refNeedCorrection","refOK")</f>
        <v>refOK</v>
      </c>
      <c r="CQ663">
        <f>IF($CP663="refOK",$BM663,$BN663)</f>
        <v>98</v>
      </c>
      <c r="CR663">
        <f>IF($CP663="refOK",$BN663,$BM663)</f>
        <v>98</v>
      </c>
      <c r="CS663">
        <f>IF($CP663="refOK",$BQ663,-$BQ663)</f>
        <v>0</v>
      </c>
      <c r="CT663">
        <f>IF(BI663="Roundwood",$CS663/2,$CS663)</f>
        <v>0</v>
      </c>
      <c r="CU663">
        <f>IF($CP663="refOK",$BU663,$BV663)*IF($BR663="Emissions positive",-1,1)</f>
        <v>-138.69999999999999</v>
      </c>
      <c r="CV663">
        <f>IF($CP663="refOK",$BV663,$BU663)*IF($BR663="Emissions positive",-1,1)</f>
        <v>-103</v>
      </c>
      <c r="CW663">
        <f>IF($CP663="refNeedCorrection",-BZ663,BZ663)*IF($BR663="Emissions positive",-1,1)</f>
        <v>131.01899999999995</v>
      </c>
      <c r="CX663" t="str">
        <f>IFERROR($CW663/$CS663,"")</f>
        <v/>
      </c>
      <c r="CY663" t="str">
        <f>IFERROR($CW663/$CS663,"")</f>
        <v/>
      </c>
      <c r="CZ663" t="str">
        <f>IFERROR($CW663/$CT663,"")</f>
        <v/>
      </c>
      <c r="DA663" s="2">
        <f>IFERROR((CV663-CU663)/ABS(CU663),"")</f>
        <v>0.25739005046863728</v>
      </c>
      <c r="DB663" s="1" t="s">
        <v>263</v>
      </c>
      <c r="DC663" s="317" t="str">
        <f>IF(OR($DB663="prd",$DB663="std",$DB663="cit"),"loc",IF(OR($DB663="eur",$DB663="reg",$DB663="coy"),"reg",$DB663))</f>
        <v>loc</v>
      </c>
      <c r="DD663" t="s">
        <v>444</v>
      </c>
      <c r="DF663" s="143"/>
      <c r="DG663" s="143">
        <v>0</v>
      </c>
      <c r="DH663" t="str">
        <f>IF(DG663=0,"0",IF(AND(DG663&gt;=1,DG663&lt;=30),"1-30",IF(AND(DG663&gt;30,DG663&lt;=70),"31-70",IF(AND(DG663&gt;70,DG663&lt;=100),"71-100",IF(DG663&gt;100,"+100")))))</f>
        <v>0</v>
      </c>
      <c r="DI663">
        <v>0</v>
      </c>
      <c r="DJ663">
        <v>1</v>
      </c>
      <c r="DK663">
        <v>0</v>
      </c>
      <c r="DL663">
        <v>1</v>
      </c>
      <c r="DN663">
        <f>SUM(DI663:DL663)</f>
        <v>2</v>
      </c>
      <c r="DO663" t="str">
        <f>IF(DN663=1,INDEX($DI$7:$DL$7,MATCH(1,$DI663:$DL663,0)),"mixedProduct")</f>
        <v>mixedProduct</v>
      </c>
      <c r="DP663">
        <f>IF(DI663=1,DP$7,0)</f>
        <v>0</v>
      </c>
      <c r="DQ663" t="str">
        <f>IF(DJ663=1,DQ$7,0)</f>
        <v>Energy</v>
      </c>
      <c r="DR663">
        <f>IF(DK663=1,DR$7,0)</f>
        <v>0</v>
      </c>
      <c r="DS663" t="str">
        <f>IF(DL663=1,DS$7,0)</f>
        <v>Timber</v>
      </c>
      <c r="DT663">
        <v>1</v>
      </c>
      <c r="DU663" s="143">
        <v>0</v>
      </c>
      <c r="DV663" s="143">
        <v>0</v>
      </c>
      <c r="DW663">
        <v>0</v>
      </c>
      <c r="DX663" s="143">
        <v>0</v>
      </c>
      <c r="DY663">
        <f>SUM(DT663:DU663)</f>
        <v>1</v>
      </c>
      <c r="DZ663" s="143" t="str">
        <f>IF(DT663=1,"self-calculated DF",IF(DU663=1,"external DF used","explicit C balance"))</f>
        <v>self-calculated DF</v>
      </c>
      <c r="EA663" s="143">
        <v>0</v>
      </c>
      <c r="EB663" s="143">
        <v>1</v>
      </c>
      <c r="EC663" s="143">
        <v>1</v>
      </c>
      <c r="ED663" s="143">
        <v>1</v>
      </c>
      <c r="EE663">
        <v>0</v>
      </c>
      <c r="EF663" s="143">
        <v>1</v>
      </c>
      <c r="EG663" s="143">
        <v>1</v>
      </c>
      <c r="EH663" s="143">
        <v>1</v>
      </c>
      <c r="EI663" s="143">
        <v>0</v>
      </c>
      <c r="EJ663">
        <v>0</v>
      </c>
      <c r="EK663">
        <v>0</v>
      </c>
      <c r="EL663" s="143">
        <v>0</v>
      </c>
      <c r="EM663" s="143">
        <v>0</v>
      </c>
      <c r="EN663" s="2">
        <v>0</v>
      </c>
      <c r="EP663" t="str">
        <f>IF(AND(AND(AND(OR($EC663=1,$EB663=1),OR($EH663=1,$EF663=1)),SUM($EA663:$EE663,$EK663)&gt;=3),SUM($EF663:$EJ663)&gt;=2),"Whole sector approach","")</f>
        <v>Whole sector approach</v>
      </c>
      <c r="EQ663" t="str">
        <f>IF(AND(AND(OR($EC663=1,$EB663=1),AND($EH663=0,$EF663=0)),SUM($EA663:$EE663,$EK663)&gt;=3),"Ecosystem approach","")</f>
        <v/>
      </c>
      <c r="ER663" s="2" t="str">
        <f>IF(AND(AND(AND($EC663=0,$EB663=0),OR($EH663=1,$EF663=1)),SUM($EG663:$EJ663)&gt;=2),"Technology approach","")</f>
        <v/>
      </c>
      <c r="ES663" t="str">
        <f>IF(AND($EC663+$EB663+$EE663+$EA663+$ED663+$EG663=0,$N663="included"),"C neutral forest and HWP assumption","")</f>
        <v/>
      </c>
      <c r="ET663" t="str">
        <f>IF(AND(AND(AND(AND($EC663=1,$EB663+$EA663+$EG663&gt;=1),$EF663=1),$EH663+$EI663+$ED663+$EE663&gt;=2),$N663="included"),"All C pools assumption","")</f>
        <v>All C pools assumption</v>
      </c>
      <c r="EU663" t="str">
        <f>IF(AND($ED663+$EE663+$EI663+$EH663+$EF663=0,$N663="included"),"In-situ only assumption","")</f>
        <v/>
      </c>
      <c r="EV663" s="328" t="s">
        <v>5065</v>
      </c>
      <c r="EY663" t="b">
        <f>IF(ISNUMBER(BW663),IF(ABS(BW663-[4]QC_indicators!$B$2)&gt;3*[4]QC_indicators!$C$2,"C ratio",IF(ISNUMBER(CA663),IF(ABS(CA663-[4]QC_indicators!$B$1)&gt;3*[4]QC_indicators!$C$1,"DF","no"))),IF(ISNUMBER(CA663),IF(ABS(CA663-[4]QC_indicators!$B$1)&gt;3*[4]QC_indicators!$C$1,"DF","no")))</f>
        <v>0</v>
      </c>
      <c r="FA663" t="str">
        <f>IF(LEN($CY663)=0,"",IF(AND($CY663&lt;(-0.05),$ES663="C neutral forest and HWP assumption"),"Cneutral paradox",IF(AND($CY663&gt;0.05,$EU663="In-situ only assumption"),"In-situ only paradox","")))</f>
        <v/>
      </c>
      <c r="FB663" s="319" t="s">
        <v>349</v>
      </c>
      <c r="FD663" t="s">
        <v>4972</v>
      </c>
    </row>
    <row r="664" spans="4:160" ht="15" hidden="1" customHeight="1">
      <c r="D664" t="s">
        <v>743</v>
      </c>
      <c r="E664" t="s">
        <v>744</v>
      </c>
      <c r="G664" t="s">
        <v>745</v>
      </c>
      <c r="I664">
        <v>2006</v>
      </c>
      <c r="K664" s="289" t="s">
        <v>746</v>
      </c>
      <c r="M664" t="str">
        <f>LEFT($D664,FIND(",",$D664)-1)&amp;"_"&amp;I664&amp;L664</f>
        <v>Gustavsson_2006</v>
      </c>
      <c r="N664" t="s">
        <v>222</v>
      </c>
      <c r="O664" t="s">
        <v>223</v>
      </c>
      <c r="Q664" s="317" t="s">
        <v>256</v>
      </c>
      <c r="R664" s="318" t="s">
        <v>1029</v>
      </c>
      <c r="S664" s="320" t="s">
        <v>4974</v>
      </c>
      <c r="T664" t="s">
        <v>739</v>
      </c>
      <c r="U664" s="143" t="s">
        <v>740</v>
      </c>
      <c r="V664" s="253">
        <v>0</v>
      </c>
      <c r="W664" s="253">
        <v>0</v>
      </c>
      <c r="X664">
        <v>0</v>
      </c>
      <c r="Y664">
        <v>0</v>
      </c>
      <c r="Z664">
        <v>0</v>
      </c>
      <c r="AA664">
        <v>0</v>
      </c>
      <c r="AB664">
        <v>0</v>
      </c>
      <c r="AC664">
        <v>0</v>
      </c>
      <c r="AD664">
        <v>0</v>
      </c>
      <c r="AE664">
        <v>0</v>
      </c>
      <c r="AF664">
        <v>0</v>
      </c>
      <c r="AG664">
        <v>0</v>
      </c>
      <c r="AH664">
        <v>0</v>
      </c>
      <c r="AI664">
        <v>0</v>
      </c>
      <c r="AJ664">
        <v>0</v>
      </c>
      <c r="AK664">
        <v>0</v>
      </c>
      <c r="AL664">
        <v>0</v>
      </c>
      <c r="AM664">
        <v>1</v>
      </c>
      <c r="AN664">
        <v>0</v>
      </c>
      <c r="AO664">
        <v>0</v>
      </c>
      <c r="AP664">
        <v>0</v>
      </c>
      <c r="AQ664">
        <v>0</v>
      </c>
      <c r="AR664">
        <v>0</v>
      </c>
      <c r="AS664">
        <v>0</v>
      </c>
      <c r="AT664">
        <v>0</v>
      </c>
      <c r="AU664">
        <v>0</v>
      </c>
      <c r="AV664">
        <v>0</v>
      </c>
      <c r="AW664">
        <v>0</v>
      </c>
      <c r="AX664">
        <v>0</v>
      </c>
      <c r="AY664">
        <v>0</v>
      </c>
      <c r="AZ664" s="141">
        <f>COUNTIF(X664:AY664,"&lt;&gt;0")</f>
        <v>1</v>
      </c>
      <c r="BA664" s="141">
        <f>COUNTIF(X664:AN664,"&lt;&gt;0")</f>
        <v>1</v>
      </c>
      <c r="BB664">
        <f>COUNTIF(X664:AE664,"&lt;&gt;0")</f>
        <v>0</v>
      </c>
      <c r="BC664">
        <f>COUNTIF(AF664:AK664,"&lt;&gt;0")</f>
        <v>0</v>
      </c>
      <c r="BD664">
        <f>COUNTIF(AL664:AN664,"&lt;&gt;0")</f>
        <v>1</v>
      </c>
      <c r="BE664">
        <f>COUNTIF(AU664:AY664,"&lt;&gt;0")</f>
        <v>0</v>
      </c>
      <c r="BF664">
        <f>COUNTIF(AO664:AT664,"&lt;&gt;0")</f>
        <v>0</v>
      </c>
      <c r="BG664" t="str" cm="1">
        <f t="array" ref="BG664">IF(BA664=1,INDEX($X$7:$AN$7,MATCH(TRUE,INDEX($X664:$AY664&lt;&gt;0,),0)),IF(BA664=0,INDEX($AO$7:$AY$7,MATCH(1,$AO664:$AY664,0)),IF(BH664="Multiple strategies","mixed drivers",IF(BH664="Supply chain","multiple supply","multiple silviculture"))))</f>
        <v>technologies/design switch</v>
      </c>
      <c r="BH664" s="2" t="str" cm="1">
        <f t="array" ref="BH664">IF(COUNTIF(BB664:BD664,"&lt;&gt;0")=1,INDEX($X$4:$AY$4,MATCH(TRUE,INDEX($X664:$AY664&lt;&gt;0,),0)),IF(COUNTIF(BB664:BD664,"&lt;&gt;0")=0,INDEX($AO$4:$AY$4,MATCH(1,$AO664:$AY664,0)),"Multiple strategies"))</f>
        <v>Technology</v>
      </c>
      <c r="BI664" s="142" t="s">
        <v>229</v>
      </c>
      <c r="BJ664" t="s">
        <v>393</v>
      </c>
      <c r="BK664" s="317" t="s">
        <v>747</v>
      </c>
      <c r="BL664" s="143" t="s">
        <v>748</v>
      </c>
      <c r="BM664">
        <v>145</v>
      </c>
      <c r="BN664" s="143">
        <v>145</v>
      </c>
      <c r="BO664">
        <f>BN664/BM664</f>
        <v>1</v>
      </c>
      <c r="BP664">
        <f>BN664-BM664</f>
        <v>0</v>
      </c>
      <c r="BQ664" s="143">
        <f>BP664*t_to_m3</f>
        <v>0</v>
      </c>
      <c r="BR664" s="317" t="s">
        <v>232</v>
      </c>
      <c r="BS664" s="155" t="s">
        <v>749</v>
      </c>
      <c r="BT664" t="s">
        <v>442</v>
      </c>
      <c r="BU664" s="143">
        <f>-219.7</f>
        <v>-219.7</v>
      </c>
      <c r="BV664" s="151">
        <v>-157</v>
      </c>
      <c r="BW664" s="144">
        <f>IFERROR(BV664/BU664,"")</f>
        <v>0.71461083295402827</v>
      </c>
      <c r="BX664">
        <f>BV664-BU664</f>
        <v>62.699999999999989</v>
      </c>
      <c r="BZ664">
        <f>BX664*C_to_CO2</f>
        <v>230.10899999999995</v>
      </c>
      <c r="CA664" t="str">
        <f>IFERROR(BZ664/BQ664,"")</f>
        <v/>
      </c>
      <c r="CB664" s="143">
        <v>0</v>
      </c>
      <c r="CC664" s="143">
        <v>0</v>
      </c>
      <c r="CD664" s="143">
        <v>0</v>
      </c>
      <c r="CE664" s="143">
        <v>0</v>
      </c>
      <c r="CF664" s="143">
        <v>0</v>
      </c>
      <c r="CG664" s="143">
        <v>0</v>
      </c>
      <c r="CH664" s="143">
        <v>0</v>
      </c>
      <c r="CI664" s="143">
        <v>0</v>
      </c>
      <c r="CJ664" s="143">
        <v>0</v>
      </c>
      <c r="CK664" s="143">
        <v>0</v>
      </c>
      <c r="CL664" s="143">
        <v>0</v>
      </c>
      <c r="CM664" s="143">
        <v>0</v>
      </c>
      <c r="CN664" s="143">
        <v>0</v>
      </c>
      <c r="CO664">
        <v>0</v>
      </c>
      <c r="CP664" t="str">
        <f>IF($BN664&lt;$BM664,"refNeedCorrection","refOK")</f>
        <v>refOK</v>
      </c>
      <c r="CQ664">
        <f>IF($CP664="refOK",$BM664,$BN664)</f>
        <v>145</v>
      </c>
      <c r="CR664">
        <f>IF($CP664="refOK",$BN664,$BM664)</f>
        <v>145</v>
      </c>
      <c r="CS664">
        <f>IF($CP664="refOK",$BQ664,-$BQ664)</f>
        <v>0</v>
      </c>
      <c r="CT664">
        <f>IF(BI664="Roundwood",$CS664/2,$CS664)</f>
        <v>0</v>
      </c>
      <c r="CU664">
        <f>IF($CP664="refOK",$BU664,$BV664)*IF($BR664="Emissions positive",-1,1)</f>
        <v>-219.7</v>
      </c>
      <c r="CV664">
        <f>IF($CP664="refOK",$BV664,$BU664)*IF($BR664="Emissions positive",-1,1)</f>
        <v>-157</v>
      </c>
      <c r="CW664">
        <f>IF($CP664="refNeedCorrection",-BZ664,BZ664)*IF($BR664="Emissions positive",-1,1)</f>
        <v>230.10899999999995</v>
      </c>
      <c r="CX664" t="str">
        <f>IFERROR($CW664/$CS664,"")</f>
        <v/>
      </c>
      <c r="CY664" t="str">
        <f>IFERROR($CW664/$CS664,"")</f>
        <v/>
      </c>
      <c r="CZ664" t="str">
        <f>IFERROR($CW664/$CT664,"")</f>
        <v/>
      </c>
      <c r="DA664" s="2">
        <f>IFERROR((CV664-CU664)/ABS(CU664),"")</f>
        <v>0.28538916704597173</v>
      </c>
      <c r="DB664" s="1" t="s">
        <v>263</v>
      </c>
      <c r="DC664" s="317" t="str">
        <f>IF(OR($DB664="prd",$DB664="std",$DB664="cit"),"loc",IF(OR($DB664="eur",$DB664="reg",$DB664="coy"),"reg",$DB664))</f>
        <v>loc</v>
      </c>
      <c r="DD664" t="s">
        <v>235</v>
      </c>
      <c r="DF664" s="143"/>
      <c r="DG664" s="143">
        <v>0</v>
      </c>
      <c r="DH664" t="str">
        <f>IF(DG664=0,"0",IF(AND(DG664&gt;=1,DG664&lt;=30),"1-30",IF(AND(DG664&gt;30,DG664&lt;=70),"31-70",IF(AND(DG664&gt;70,DG664&lt;=100),"71-100",IF(DG664&gt;100,"+100")))))</f>
        <v>0</v>
      </c>
      <c r="DI664">
        <v>0</v>
      </c>
      <c r="DJ664">
        <v>1</v>
      </c>
      <c r="DK664">
        <v>0</v>
      </c>
      <c r="DL664">
        <v>1</v>
      </c>
      <c r="DN664">
        <f>SUM(DI664:DL664)</f>
        <v>2</v>
      </c>
      <c r="DO664" t="str">
        <f>IF(DN664=1,INDEX($DI$7:$DL$7,MATCH(1,$DI664:$DL664,0)),"mixedProduct")</f>
        <v>mixedProduct</v>
      </c>
      <c r="DP664">
        <f>IF(DI664=1,DP$7,0)</f>
        <v>0</v>
      </c>
      <c r="DQ664" t="str">
        <f>IF(DJ664=1,DQ$7,0)</f>
        <v>Energy</v>
      </c>
      <c r="DR664">
        <f>IF(DK664=1,DR$7,0)</f>
        <v>0</v>
      </c>
      <c r="DS664" t="str">
        <f>IF(DL664=1,DS$7,0)</f>
        <v>Timber</v>
      </c>
      <c r="DT664">
        <v>1</v>
      </c>
      <c r="DU664" s="143">
        <v>0</v>
      </c>
      <c r="DV664" s="143">
        <v>0</v>
      </c>
      <c r="DW664">
        <v>0</v>
      </c>
      <c r="DX664" s="143">
        <v>0</v>
      </c>
      <c r="DY664">
        <f>SUM(DT664:DU664)</f>
        <v>1</v>
      </c>
      <c r="DZ664" s="143" t="str">
        <f>IF(DT664=1,"self-calculated DF",IF(DU664=1,"external DF used","explicit C balance"))</f>
        <v>self-calculated DF</v>
      </c>
      <c r="EA664" s="143">
        <v>0</v>
      </c>
      <c r="EB664" s="143">
        <v>1</v>
      </c>
      <c r="EC664" s="143">
        <v>1</v>
      </c>
      <c r="ED664" s="143">
        <v>1</v>
      </c>
      <c r="EE664">
        <v>0</v>
      </c>
      <c r="EF664" s="143">
        <v>1</v>
      </c>
      <c r="EG664" s="143">
        <v>1</v>
      </c>
      <c r="EH664" s="143">
        <v>1</v>
      </c>
      <c r="EI664" s="143">
        <v>0</v>
      </c>
      <c r="EJ664">
        <v>0</v>
      </c>
      <c r="EK664">
        <v>0</v>
      </c>
      <c r="EL664" s="143">
        <v>0</v>
      </c>
      <c r="EM664" s="143">
        <v>0</v>
      </c>
      <c r="EN664" s="2">
        <v>0</v>
      </c>
      <c r="EP664" t="str">
        <f>IF(AND(AND(AND(OR($EC664=1,$EB664=1),OR($EH664=1,$EF664=1)),SUM($EA664:$EE664,$EK664)&gt;=3),SUM($EF664:$EJ664)&gt;=2),"Whole sector approach","")</f>
        <v>Whole sector approach</v>
      </c>
      <c r="EQ664" t="str">
        <f>IF(AND(AND(OR($EC664=1,$EB664=1),AND($EH664=0,$EF664=0)),SUM($EA664:$EE664,$EK664)&gt;=3),"Ecosystem approach","")</f>
        <v/>
      </c>
      <c r="ER664" s="2" t="str">
        <f>IF(AND(AND(AND($EC664=0,$EB664=0),OR($EH664=1,$EF664=1)),SUM($EG664:$EJ664)&gt;=2),"Technology approach","")</f>
        <v/>
      </c>
      <c r="ES664" t="str">
        <f>IF(AND($EC664+$EB664+$EE664+$EA664+$ED664+$EG664=0,$N664="included"),"C neutral forest and HWP assumption","")</f>
        <v/>
      </c>
      <c r="ET664" t="str">
        <f>IF(AND(AND(AND(AND($EC664=1,$EB664+$EA664+$EG664&gt;=1),$EF664=1),$EH664+$EI664+$ED664+$EE664&gt;=2),$N664="included"),"All C pools assumption","")</f>
        <v>All C pools assumption</v>
      </c>
      <c r="EU664" t="str">
        <f>IF(AND($ED664+$EE664+$EI664+$EH664+$EF664=0,$N664="included"),"In-situ only assumption","")</f>
        <v/>
      </c>
      <c r="EV664" s="328" t="s">
        <v>5065</v>
      </c>
      <c r="EY664" t="b">
        <f>IF(ISNUMBER(BW664),IF(ABS(BW664-[4]QC_indicators!$B$2)&gt;3*[4]QC_indicators!$C$2,"C ratio",IF(ISNUMBER(CA664),IF(ABS(CA664-[4]QC_indicators!$B$1)&gt;3*[4]QC_indicators!$C$1,"DF","no"))),IF(ISNUMBER(CA664),IF(ABS(CA664-[4]QC_indicators!$B$1)&gt;3*[4]QC_indicators!$C$1,"DF","no")))</f>
        <v>0</v>
      </c>
      <c r="FA664" t="str">
        <f>IF(LEN($CY664)=0,"",IF(AND($CY664&lt;(-0.05),$ES664="C neutral forest and HWP assumption"),"Cneutral paradox",IF(AND($CY664&gt;0.05,$EU664="In-situ only assumption"),"In-situ only paradox","")))</f>
        <v/>
      </c>
      <c r="FB664" s="319" t="s">
        <v>349</v>
      </c>
      <c r="FD664" t="s">
        <v>4972</v>
      </c>
    </row>
    <row r="665" spans="4:160" ht="15" hidden="1" customHeight="1">
      <c r="D665" t="s">
        <v>678</v>
      </c>
      <c r="E665" t="s">
        <v>679</v>
      </c>
      <c r="G665" t="s">
        <v>680</v>
      </c>
      <c r="I665">
        <v>2007</v>
      </c>
      <c r="K665" s="288" t="s">
        <v>681</v>
      </c>
      <c r="M665" t="str">
        <f>LEFT($D665,FIND(",",$D665)-1)&amp;"_"&amp;I665&amp;L665</f>
        <v>Eriksson_2007</v>
      </c>
      <c r="N665" t="s">
        <v>222</v>
      </c>
      <c r="O665" t="s">
        <v>223</v>
      </c>
      <c r="Q665" s="317" t="s">
        <v>256</v>
      </c>
      <c r="R665" s="318" t="s">
        <v>1029</v>
      </c>
      <c r="S665" s="1" t="s">
        <v>682</v>
      </c>
      <c r="T665" t="s">
        <v>4926</v>
      </c>
      <c r="U665" s="143" t="s">
        <v>4929</v>
      </c>
      <c r="V665" s="253">
        <v>0</v>
      </c>
      <c r="W665" s="253">
        <v>0</v>
      </c>
      <c r="X665">
        <v>0</v>
      </c>
      <c r="Y665">
        <v>0</v>
      </c>
      <c r="Z665">
        <v>0</v>
      </c>
      <c r="AA665">
        <v>0</v>
      </c>
      <c r="AB665">
        <v>0</v>
      </c>
      <c r="AC665">
        <v>0</v>
      </c>
      <c r="AD665">
        <v>0</v>
      </c>
      <c r="AE665">
        <v>0</v>
      </c>
      <c r="AF665">
        <v>0</v>
      </c>
      <c r="AG665">
        <v>0</v>
      </c>
      <c r="AH665">
        <v>0</v>
      </c>
      <c r="AI665">
        <v>0</v>
      </c>
      <c r="AJ665">
        <v>0</v>
      </c>
      <c r="AK665">
        <v>0</v>
      </c>
      <c r="AL665">
        <v>0</v>
      </c>
      <c r="AM665">
        <v>1</v>
      </c>
      <c r="AN665">
        <v>0</v>
      </c>
      <c r="AO665">
        <v>0</v>
      </c>
      <c r="AP665">
        <v>0</v>
      </c>
      <c r="AQ665">
        <v>0</v>
      </c>
      <c r="AR665">
        <v>0</v>
      </c>
      <c r="AS665">
        <v>0</v>
      </c>
      <c r="AT665">
        <v>0</v>
      </c>
      <c r="AU665">
        <v>0</v>
      </c>
      <c r="AV665">
        <v>0</v>
      </c>
      <c r="AW665">
        <v>0</v>
      </c>
      <c r="AX665">
        <v>0</v>
      </c>
      <c r="AY665">
        <v>0</v>
      </c>
      <c r="AZ665" s="141">
        <f>COUNTIF(X665:AY665,"&lt;&gt;0")</f>
        <v>1</v>
      </c>
      <c r="BA665" s="141">
        <f>COUNTIF(X665:AN665,"&lt;&gt;0")</f>
        <v>1</v>
      </c>
      <c r="BB665">
        <f>COUNTIF(X665:AE665,"&lt;&gt;0")</f>
        <v>0</v>
      </c>
      <c r="BC665">
        <f>COUNTIF(AF665:AK665,"&lt;&gt;0")</f>
        <v>0</v>
      </c>
      <c r="BD665">
        <f>COUNTIF(AL665:AN665,"&lt;&gt;0")</f>
        <v>1</v>
      </c>
      <c r="BE665">
        <f>COUNTIF(AU665:AY665,"&lt;&gt;0")</f>
        <v>0</v>
      </c>
      <c r="BF665">
        <f>COUNTIF(AO665:AT665,"&lt;&gt;0")</f>
        <v>0</v>
      </c>
      <c r="BG665" t="str" cm="1">
        <f t="array" ref="BG665">IF(BA665=1,INDEX($X$7:$AN$7,MATCH(TRUE,INDEX($X665:$AY665&lt;&gt;0,),0)),IF(BA665=0,INDEX($AO$7:$AY$7,MATCH(1,$AO665:$AY665,0)),IF(BH665="Multiple strategies","mixed drivers",IF(BH665="Supply chain","multiple supply","multiple silviculture"))))</f>
        <v>technologies/design switch</v>
      </c>
      <c r="BH665" s="2" t="str" cm="1">
        <f t="array" ref="BH665">IF(COUNTIF(BB665:BD665,"&lt;&gt;0")=1,INDEX($X$4:$AY$4,MATCH(TRUE,INDEX($X665:$AY665&lt;&gt;0,),0)),IF(COUNTIF(BB665:BD665,"&lt;&gt;0")=0,INDEX($AO$4:$AY$4,MATCH(1,$AO665:$AY665,0)),"Multiple strategies"))</f>
        <v>Technology</v>
      </c>
      <c r="BI665" s="142" t="s">
        <v>321</v>
      </c>
      <c r="BJ665" t="s">
        <v>684</v>
      </c>
      <c r="BK665" s="317" t="s">
        <v>685</v>
      </c>
      <c r="BL665" s="143" t="s">
        <v>691</v>
      </c>
      <c r="BM665">
        <v>7.7</v>
      </c>
      <c r="BN665" s="143">
        <v>7.7</v>
      </c>
      <c r="BO665" s="143">
        <f>BN665/BM665</f>
        <v>1</v>
      </c>
      <c r="BP665">
        <f>BN665-BM665</f>
        <v>0</v>
      </c>
      <c r="BQ665" s="143">
        <f>BP665</f>
        <v>0</v>
      </c>
      <c r="BR665" t="s">
        <v>232</v>
      </c>
      <c r="BS665" s="153" t="s">
        <v>687</v>
      </c>
      <c r="BT665" t="s">
        <v>688</v>
      </c>
      <c r="BU665" s="151">
        <v>1.1535031847133761</v>
      </c>
      <c r="BV665" s="151">
        <v>2.1216560509554099</v>
      </c>
      <c r="BW665">
        <f>BV665/BU665</f>
        <v>1.8393152954168928</v>
      </c>
      <c r="BX665">
        <f>BV665-BU665</f>
        <v>0.96815286624203378</v>
      </c>
      <c r="BZ665">
        <f>BX665*C_to_CO2</f>
        <v>3.5531210191082638</v>
      </c>
      <c r="CA665" t="str">
        <f>IFERROR(BZ665/BQ665,"")</f>
        <v/>
      </c>
      <c r="CB665" s="143">
        <v>0</v>
      </c>
      <c r="CC665" s="143">
        <v>0</v>
      </c>
      <c r="CD665" s="143">
        <v>0</v>
      </c>
      <c r="CE665" s="143">
        <v>0</v>
      </c>
      <c r="CF665" s="143">
        <v>0</v>
      </c>
      <c r="CG665" s="143">
        <v>0</v>
      </c>
      <c r="CH665" s="143">
        <v>0</v>
      </c>
      <c r="CI665" s="143">
        <v>0</v>
      </c>
      <c r="CJ665" s="143">
        <v>0</v>
      </c>
      <c r="CK665" s="143">
        <v>0</v>
      </c>
      <c r="CL665" s="143">
        <v>0</v>
      </c>
      <c r="CM665" s="143">
        <v>0</v>
      </c>
      <c r="CN665" s="143">
        <v>0</v>
      </c>
      <c r="CO665">
        <v>0</v>
      </c>
      <c r="CP665" t="str">
        <f>IF($BN665&lt;$BM665,"refNeedCorrection","refOK")</f>
        <v>refOK</v>
      </c>
      <c r="CQ665">
        <f>IF($CP665="refOK",$BM665,$BN665)</f>
        <v>7.7</v>
      </c>
      <c r="CR665">
        <f>IF($CP665="refOK",$BN665,$BM665)</f>
        <v>7.7</v>
      </c>
      <c r="CS665">
        <f>IF($CP665="refOK",$BQ665,-$BQ665)</f>
        <v>0</v>
      </c>
      <c r="CT665">
        <f>IF(BI665="Roundwood",$CS665/2,$CS665)</f>
        <v>0</v>
      </c>
      <c r="CU665">
        <f>IF($CP665="refOK",$BU665,$BV665)*IF($BR665="Emissions positive",-1,1)</f>
        <v>1.1535031847133761</v>
      </c>
      <c r="CV665">
        <f>IF($CP665="refOK",$BV665,$BU665)*IF($BR665="Emissions positive",-1,1)</f>
        <v>2.1216560509554099</v>
      </c>
      <c r="CW665">
        <f>IF($CP665="refNeedCorrection",-BZ665,BZ665)*IF($BR665="Emissions positive",-1,1)</f>
        <v>3.5531210191082638</v>
      </c>
      <c r="CX665" t="str">
        <f>IFERROR($CW665/$CS665,"")</f>
        <v/>
      </c>
      <c r="CY665" t="str">
        <f>IFERROR($CW665/$CS665,"")</f>
        <v/>
      </c>
      <c r="CZ665" t="str">
        <f>IFERROR($CW665/$CT665,"")</f>
        <v/>
      </c>
      <c r="DA665" s="2">
        <f>IFERROR((CV665-CU665)/ABS(CU665),"")</f>
        <v>0.83931529541689265</v>
      </c>
      <c r="DB665" s="1" t="s">
        <v>234</v>
      </c>
      <c r="DC665" s="317" t="str">
        <f>IF(OR($DB665="prd",$DB665="std",$DB665="cit"),"loc",IF(OR($DB665="eur",$DB665="reg",$DB665="coy"),"reg",$DB665))</f>
        <v>loc</v>
      </c>
      <c r="DD665" t="s">
        <v>264</v>
      </c>
      <c r="DF665" s="143"/>
      <c r="DG665" s="143">
        <v>300</v>
      </c>
      <c r="DH665" t="str">
        <f>IF(DG665=0,"0",IF(AND(DG665&gt;=1,DG665&lt;=30),"1-30",IF(AND(DG665&gt;30,DG665&lt;=70),"31-70",IF(AND(DG665&gt;70,DG665&lt;=100),"71-100",IF(DG665&gt;100,"+100")))))</f>
        <v>+100</v>
      </c>
      <c r="DI665">
        <v>0</v>
      </c>
      <c r="DJ665">
        <v>1</v>
      </c>
      <c r="DK665">
        <v>0</v>
      </c>
      <c r="DL665">
        <v>1</v>
      </c>
      <c r="DN665">
        <f>SUM(DI665:DL665)</f>
        <v>2</v>
      </c>
      <c r="DO665" t="str">
        <f>IF(DN665=1,INDEX($DI$7:$DL$7,MATCH(1,$DI665:$DL665,0)),"mixedProduct")</f>
        <v>mixedProduct</v>
      </c>
      <c r="DP665">
        <f>IF(DI665=1,DP$7,0)</f>
        <v>0</v>
      </c>
      <c r="DQ665" t="str">
        <f>IF(DJ665=1,DQ$7,0)</f>
        <v>Energy</v>
      </c>
      <c r="DR665">
        <f>IF(DK665=1,DR$7,0)</f>
        <v>0</v>
      </c>
      <c r="DS665" t="str">
        <f>IF(DL665=1,DS$7,0)</f>
        <v>Timber</v>
      </c>
      <c r="DT665">
        <v>1</v>
      </c>
      <c r="DU665" s="143">
        <v>0</v>
      </c>
      <c r="DV665" s="143">
        <v>0</v>
      </c>
      <c r="DW665">
        <v>0</v>
      </c>
      <c r="DX665" s="143">
        <v>0</v>
      </c>
      <c r="DY665">
        <f>SUM(DT665:DU665)</f>
        <v>1</v>
      </c>
      <c r="DZ665" s="143" t="str">
        <f>IF(DT665=1,"self-calculated DF",IF(DU665=1,"external DF used","explicit C balance"))</f>
        <v>self-calculated DF</v>
      </c>
      <c r="EA665" s="143">
        <v>1</v>
      </c>
      <c r="EB665" s="143">
        <v>1</v>
      </c>
      <c r="EC665" s="143">
        <v>1</v>
      </c>
      <c r="ED665" s="143">
        <v>0</v>
      </c>
      <c r="EE665">
        <v>0</v>
      </c>
      <c r="EF665" s="143">
        <v>1</v>
      </c>
      <c r="EG665" s="143">
        <v>1</v>
      </c>
      <c r="EH665" s="143">
        <v>1</v>
      </c>
      <c r="EI665" s="143">
        <v>0</v>
      </c>
      <c r="EJ665">
        <v>0</v>
      </c>
      <c r="EK665">
        <v>1</v>
      </c>
      <c r="EL665" s="143">
        <v>0</v>
      </c>
      <c r="EM665" s="143">
        <v>0</v>
      </c>
      <c r="EN665" s="2">
        <v>0</v>
      </c>
      <c r="EP665" t="str">
        <f>IF(AND(AND(AND(OR($EC665=1,$EB665=1),OR($EH665=1,$EF665=1)),SUM($EA665:$EE665,$EK665)&gt;=3),SUM($EF665:$EJ665)&gt;=2),"Whole sector approach","")</f>
        <v>Whole sector approach</v>
      </c>
      <c r="EQ665" t="str">
        <f>IF(AND(AND(OR($EC665=1,$EB665=1),AND($EH665=0,$EF665=0)),SUM($EA665:$EE665,$EK665)&gt;=3),"Ecosystem approach","")</f>
        <v/>
      </c>
      <c r="ER665" s="2" t="str">
        <f>IF(AND(AND(AND($EC665=0,$EB665=0),OR($EH665=1,$EF665=1)),SUM($EG665:$EJ665)&gt;=2),"Technology approach","")</f>
        <v/>
      </c>
      <c r="ES665" t="str">
        <f>IF(AND($EC665+$EB665+$EE665+$EA665+$ED665+$EG665=0,$N665="included"),"C neutral forest and HWP assumption","")</f>
        <v/>
      </c>
      <c r="ET665" t="str">
        <f>IF(AND(AND(AND(AND($EC665=1,$EB665+$EA665+$EG665&gt;=1),$EF665=1),$EH665+$EI665+$ED665+$EE665&gt;=2),$N665="included"),"All C pools assumption","")</f>
        <v/>
      </c>
      <c r="EU665" t="str">
        <f>IF(AND($ED665+$EE665+$EI665+$EH665+$EF665=0,$N665="included"),"In-situ only assumption","")</f>
        <v/>
      </c>
      <c r="EY665" t="b">
        <f>IF(ISNUMBER(BW665),IF(ABS(BW665-[4]QC_indicators!$B$2)&gt;3*[4]QC_indicators!$C$2,"C ratio",IF(ISNUMBER(CA665),IF(ABS(CA665-[4]QC_indicators!$B$1)&gt;3*[4]QC_indicators!$C$1,"DF","no"))),IF(ISNUMBER(CA665),IF(ABS(CA665-[4]QC_indicators!$B$1)&gt;3*[4]QC_indicators!$C$1,"DF","no")))</f>
        <v>0</v>
      </c>
      <c r="FA665" t="str">
        <f>IF(LEN($CY665)=0,"",IF(AND($CY665&lt;(-0.05),$ES665="C neutral forest and HWP assumption"),"Cneutral paradox",IF(AND($CY665&gt;0.05,$EU665="In-situ only assumption"),"In-situ only paradox","")))</f>
        <v/>
      </c>
      <c r="FB665" s="317" t="s">
        <v>692</v>
      </c>
      <c r="FD665" s="317" t="s">
        <v>4924</v>
      </c>
    </row>
    <row r="666" spans="4:160" ht="15" hidden="1" customHeight="1">
      <c r="D666" t="s">
        <v>678</v>
      </c>
      <c r="E666" t="s">
        <v>679</v>
      </c>
      <c r="G666" t="s">
        <v>680</v>
      </c>
      <c r="I666">
        <v>2007</v>
      </c>
      <c r="K666" s="288" t="s">
        <v>681</v>
      </c>
      <c r="M666" t="str">
        <f>LEFT($D666,FIND(",",$D666)-1)&amp;"_"&amp;I666&amp;L666</f>
        <v>Eriksson_2007</v>
      </c>
      <c r="N666" t="s">
        <v>222</v>
      </c>
      <c r="O666" t="s">
        <v>223</v>
      </c>
      <c r="Q666" s="317" t="s">
        <v>256</v>
      </c>
      <c r="R666" s="318" t="s">
        <v>1029</v>
      </c>
      <c r="S666" s="1" t="s">
        <v>682</v>
      </c>
      <c r="T666" t="s">
        <v>4922</v>
      </c>
      <c r="U666" s="143" t="s">
        <v>4928</v>
      </c>
      <c r="V666" s="253">
        <v>0</v>
      </c>
      <c r="W666" s="253">
        <v>0</v>
      </c>
      <c r="X666">
        <v>0</v>
      </c>
      <c r="Y666">
        <v>0</v>
      </c>
      <c r="Z666">
        <v>0</v>
      </c>
      <c r="AA666">
        <v>0</v>
      </c>
      <c r="AB666">
        <v>0</v>
      </c>
      <c r="AC666">
        <v>0</v>
      </c>
      <c r="AD666">
        <v>0</v>
      </c>
      <c r="AE666">
        <v>0</v>
      </c>
      <c r="AF666">
        <v>0</v>
      </c>
      <c r="AG666">
        <v>0</v>
      </c>
      <c r="AH666">
        <v>0</v>
      </c>
      <c r="AI666">
        <v>0</v>
      </c>
      <c r="AJ666">
        <v>0</v>
      </c>
      <c r="AK666">
        <v>0</v>
      </c>
      <c r="AL666">
        <v>0</v>
      </c>
      <c r="AM666">
        <v>1</v>
      </c>
      <c r="AN666">
        <v>0</v>
      </c>
      <c r="AO666">
        <v>0</v>
      </c>
      <c r="AP666">
        <v>0</v>
      </c>
      <c r="AQ666">
        <v>0</v>
      </c>
      <c r="AR666">
        <v>0</v>
      </c>
      <c r="AS666">
        <v>0</v>
      </c>
      <c r="AT666">
        <v>0</v>
      </c>
      <c r="AU666">
        <v>0</v>
      </c>
      <c r="AV666">
        <v>0</v>
      </c>
      <c r="AW666">
        <v>0</v>
      </c>
      <c r="AX666">
        <v>0</v>
      </c>
      <c r="AY666">
        <v>0</v>
      </c>
      <c r="AZ666" s="141">
        <f>COUNTIF(X666:AY666,"&lt;&gt;0")</f>
        <v>1</v>
      </c>
      <c r="BA666" s="141">
        <f>COUNTIF(X666:AN666,"&lt;&gt;0")</f>
        <v>1</v>
      </c>
      <c r="BB666">
        <f>COUNTIF(X666:AE666,"&lt;&gt;0")</f>
        <v>0</v>
      </c>
      <c r="BC666">
        <f>COUNTIF(AF666:AK666,"&lt;&gt;0")</f>
        <v>0</v>
      </c>
      <c r="BD666">
        <f>COUNTIF(AL666:AN666,"&lt;&gt;0")</f>
        <v>1</v>
      </c>
      <c r="BE666">
        <f>COUNTIF(AU666:AY666,"&lt;&gt;0")</f>
        <v>0</v>
      </c>
      <c r="BF666">
        <f>COUNTIF(AO666:AT666,"&lt;&gt;0")</f>
        <v>0</v>
      </c>
      <c r="BG666" t="str" cm="1">
        <f t="array" ref="BG666">IF(BA666=1,INDEX($X$7:$AN$7,MATCH(TRUE,INDEX($X666:$AY666&lt;&gt;0,),0)),IF(BA666=0,INDEX($AO$7:$AY$7,MATCH(1,$AO666:$AY666,0)),IF(BH666="Multiple strategies","mixed drivers",IF(BH666="Supply chain","multiple supply","multiple silviculture"))))</f>
        <v>technologies/design switch</v>
      </c>
      <c r="BH666" s="2" t="str" cm="1">
        <f t="array" ref="BH666">IF(COUNTIF(BB666:BD666,"&lt;&gt;0")=1,INDEX($X$4:$AY$4,MATCH(TRUE,INDEX($X666:$AY666&lt;&gt;0,),0)),IF(COUNTIF(BB666:BD666,"&lt;&gt;0")=0,INDEX($AO$4:$AY$4,MATCH(1,$AO666:$AY666,0)),"Multiple strategies"))</f>
        <v>Technology</v>
      </c>
      <c r="BI666" s="142" t="s">
        <v>321</v>
      </c>
      <c r="BJ666" t="s">
        <v>684</v>
      </c>
      <c r="BK666" s="317" t="s">
        <v>685</v>
      </c>
      <c r="BL666" s="143" t="s">
        <v>691</v>
      </c>
      <c r="BM666">
        <v>7.3</v>
      </c>
      <c r="BN666" s="143">
        <v>7.3</v>
      </c>
      <c r="BO666" s="143">
        <f>BN666/BM666</f>
        <v>1</v>
      </c>
      <c r="BP666">
        <f>BN666-BM666</f>
        <v>0</v>
      </c>
      <c r="BQ666" s="143">
        <f>BP666</f>
        <v>0</v>
      </c>
      <c r="BR666" t="s">
        <v>232</v>
      </c>
      <c r="BS666" s="153" t="s">
        <v>687</v>
      </c>
      <c r="BT666" t="s">
        <v>688</v>
      </c>
      <c r="BU666" s="151">
        <v>1.0464755838641187</v>
      </c>
      <c r="BV666" s="151">
        <v>1.9764118895965965</v>
      </c>
      <c r="BW666">
        <f>BV666/BU666</f>
        <v>1.8886364097465909</v>
      </c>
      <c r="BX666">
        <f>BV666-BU666</f>
        <v>0.92993630573247787</v>
      </c>
      <c r="BZ666">
        <f>BX666*C_to_CO2</f>
        <v>3.4128662420381937</v>
      </c>
      <c r="CA666" t="str">
        <f>IFERROR(BZ666/BQ666,"")</f>
        <v/>
      </c>
      <c r="CB666" s="143">
        <v>0</v>
      </c>
      <c r="CC666" s="143">
        <v>0</v>
      </c>
      <c r="CD666" s="143">
        <v>0</v>
      </c>
      <c r="CE666" s="143">
        <v>0</v>
      </c>
      <c r="CF666" s="143">
        <v>0</v>
      </c>
      <c r="CG666" s="143">
        <v>0</v>
      </c>
      <c r="CH666" s="143">
        <v>0</v>
      </c>
      <c r="CI666" s="143">
        <v>0</v>
      </c>
      <c r="CJ666" s="143">
        <v>0</v>
      </c>
      <c r="CK666" s="143">
        <v>0</v>
      </c>
      <c r="CL666" s="143">
        <v>0</v>
      </c>
      <c r="CM666" s="143">
        <v>0</v>
      </c>
      <c r="CN666" s="143">
        <v>0</v>
      </c>
      <c r="CO666">
        <v>0</v>
      </c>
      <c r="CP666" t="str">
        <f>IF($BN666&lt;$BM666,"refNeedCorrection","refOK")</f>
        <v>refOK</v>
      </c>
      <c r="CQ666">
        <f>IF($CP666="refOK",$BM666,$BN666)</f>
        <v>7.3</v>
      </c>
      <c r="CR666">
        <f>IF($CP666="refOK",$BN666,$BM666)</f>
        <v>7.3</v>
      </c>
      <c r="CS666">
        <f>IF($CP666="refOK",$BQ666,-$BQ666)</f>
        <v>0</v>
      </c>
      <c r="CT666">
        <f>IF(BI666="Roundwood",$CS666/2,$CS666)</f>
        <v>0</v>
      </c>
      <c r="CU666">
        <f>IF($CP666="refOK",$BU666,$BV666)*IF($BR666="Emissions positive",-1,1)</f>
        <v>1.0464755838641187</v>
      </c>
      <c r="CV666">
        <f>IF($CP666="refOK",$BV666,$BU666)*IF($BR666="Emissions positive",-1,1)</f>
        <v>1.9764118895965965</v>
      </c>
      <c r="CW666">
        <f>IF($CP666="refNeedCorrection",-BZ666,BZ666)*IF($BR666="Emissions positive",-1,1)</f>
        <v>3.4128662420381937</v>
      </c>
      <c r="CX666" t="str">
        <f>IFERROR($CW666/$CS666,"")</f>
        <v/>
      </c>
      <c r="CY666" t="str">
        <f>IFERROR($CW666/$CS666,"")</f>
        <v/>
      </c>
      <c r="CZ666" t="str">
        <f>IFERROR($CW666/$CT666,"")</f>
        <v/>
      </c>
      <c r="DA666" s="2">
        <f>IFERROR((CV666-CU666)/ABS(CU666),"")</f>
        <v>0.88863640974659086</v>
      </c>
      <c r="DB666" s="1" t="s">
        <v>234</v>
      </c>
      <c r="DC666" s="317" t="str">
        <f>IF(OR($DB666="prd",$DB666="std",$DB666="cit"),"loc",IF(OR($DB666="eur",$DB666="reg",$DB666="coy"),"reg",$DB666))</f>
        <v>loc</v>
      </c>
      <c r="DD666" t="s">
        <v>264</v>
      </c>
      <c r="DF666" s="143"/>
      <c r="DG666" s="143">
        <v>300</v>
      </c>
      <c r="DH666" t="str">
        <f>IF(DG666=0,"0",IF(AND(DG666&gt;=1,DG666&lt;=30),"1-30",IF(AND(DG666&gt;30,DG666&lt;=70),"31-70",IF(AND(DG666&gt;70,DG666&lt;=100),"71-100",IF(DG666&gt;100,"+100")))))</f>
        <v>+100</v>
      </c>
      <c r="DI666">
        <v>0</v>
      </c>
      <c r="DJ666">
        <v>1</v>
      </c>
      <c r="DK666">
        <v>0</v>
      </c>
      <c r="DL666">
        <v>1</v>
      </c>
      <c r="DN666">
        <f>SUM(DI666:DL666)</f>
        <v>2</v>
      </c>
      <c r="DO666" t="str">
        <f>IF(DN666=1,INDEX($DI$7:$DL$7,MATCH(1,$DI666:$DL666,0)),"mixedProduct")</f>
        <v>mixedProduct</v>
      </c>
      <c r="DP666">
        <f>IF(DI666=1,DP$7,0)</f>
        <v>0</v>
      </c>
      <c r="DQ666" t="str">
        <f>IF(DJ666=1,DQ$7,0)</f>
        <v>Energy</v>
      </c>
      <c r="DR666">
        <f>IF(DK666=1,DR$7,0)</f>
        <v>0</v>
      </c>
      <c r="DS666" t="str">
        <f>IF(DL666=1,DS$7,0)</f>
        <v>Timber</v>
      </c>
      <c r="DT666">
        <v>1</v>
      </c>
      <c r="DU666" s="143">
        <v>0</v>
      </c>
      <c r="DV666" s="143">
        <v>0</v>
      </c>
      <c r="DW666">
        <v>0</v>
      </c>
      <c r="DX666" s="143">
        <v>0</v>
      </c>
      <c r="DY666">
        <f>SUM(DT666:DU666)</f>
        <v>1</v>
      </c>
      <c r="DZ666" s="143" t="str">
        <f>IF(DT666=1,"self-calculated DF",IF(DU666=1,"external DF used","explicit C balance"))</f>
        <v>self-calculated DF</v>
      </c>
      <c r="EA666" s="143">
        <v>1</v>
      </c>
      <c r="EB666" s="143">
        <v>1</v>
      </c>
      <c r="EC666" s="143">
        <v>1</v>
      </c>
      <c r="ED666" s="143">
        <v>0</v>
      </c>
      <c r="EE666">
        <v>0</v>
      </c>
      <c r="EF666" s="143">
        <v>1</v>
      </c>
      <c r="EG666" s="143">
        <v>1</v>
      </c>
      <c r="EH666" s="143">
        <v>1</v>
      </c>
      <c r="EI666" s="143">
        <v>0</v>
      </c>
      <c r="EJ666">
        <v>0</v>
      </c>
      <c r="EK666">
        <v>1</v>
      </c>
      <c r="EL666" s="143">
        <v>0</v>
      </c>
      <c r="EM666" s="143">
        <v>0</v>
      </c>
      <c r="EN666" s="2">
        <v>0</v>
      </c>
      <c r="EP666" t="str">
        <f>IF(AND(AND(AND(OR($EC666=1,$EB666=1),OR($EH666=1,$EF666=1)),SUM($EA666:$EE666,$EK666)&gt;=3),SUM($EF666:$EJ666)&gt;=2),"Whole sector approach","")</f>
        <v>Whole sector approach</v>
      </c>
      <c r="EQ666" t="str">
        <f>IF(AND(AND(OR($EC666=1,$EB666=1),AND($EH666=0,$EF666=0)),SUM($EA666:$EE666,$EK666)&gt;=3),"Ecosystem approach","")</f>
        <v/>
      </c>
      <c r="ER666" s="2" t="str">
        <f>IF(AND(AND(AND($EC666=0,$EB666=0),OR($EH666=1,$EF666=1)),SUM($EG666:$EJ666)&gt;=2),"Technology approach","")</f>
        <v/>
      </c>
      <c r="ES666" t="str">
        <f>IF(AND($EC666+$EB666+$EE666+$EA666+$ED666+$EG666=0,$N666="included"),"C neutral forest and HWP assumption","")</f>
        <v/>
      </c>
      <c r="ET666" t="str">
        <f>IF(AND(AND(AND(AND($EC666=1,$EB666+$EA666+$EG666&gt;=1),$EF666=1),$EH666+$EI666+$ED666+$EE666&gt;=2),$N666="included"),"All C pools assumption","")</f>
        <v/>
      </c>
      <c r="EU666" t="str">
        <f>IF(AND($ED666+$EE666+$EI666+$EH666+$EF666=0,$N666="included"),"In-situ only assumption","")</f>
        <v/>
      </c>
      <c r="EY666" t="b">
        <f>IF(ISNUMBER(BW666),IF(ABS(BW666-[4]QC_indicators!$B$2)&gt;3*[4]QC_indicators!$C$2,"C ratio",IF(ISNUMBER(CA666),IF(ABS(CA666-[4]QC_indicators!$B$1)&gt;3*[4]QC_indicators!$C$1,"DF","no"))),IF(ISNUMBER(CA666),IF(ABS(CA666-[4]QC_indicators!$B$1)&gt;3*[4]QC_indicators!$C$1,"DF","no")))</f>
        <v>0</v>
      </c>
      <c r="FA666" t="str">
        <f>IF(LEN($CY666)=0,"",IF(AND($CY666&lt;(-0.05),$ES666="C neutral forest and HWP assumption"),"Cneutral paradox",IF(AND($CY666&gt;0.05,$EU666="In-situ only assumption"),"In-situ only paradox","")))</f>
        <v/>
      </c>
      <c r="FB666" s="317" t="s">
        <v>692</v>
      </c>
      <c r="FD666" s="317" t="s">
        <v>4924</v>
      </c>
    </row>
    <row r="667" spans="4:160" ht="15" hidden="1" customHeight="1">
      <c r="D667" t="s">
        <v>678</v>
      </c>
      <c r="E667" t="s">
        <v>679</v>
      </c>
      <c r="G667" t="s">
        <v>680</v>
      </c>
      <c r="I667">
        <v>2007</v>
      </c>
      <c r="K667" s="288" t="s">
        <v>681</v>
      </c>
      <c r="M667" t="str">
        <f>LEFT($D667,FIND(",",$D667)-1)&amp;"_"&amp;I667&amp;L667</f>
        <v>Eriksson_2007</v>
      </c>
      <c r="N667" t="s">
        <v>222</v>
      </c>
      <c r="O667" t="s">
        <v>223</v>
      </c>
      <c r="Q667" s="317" t="s">
        <v>256</v>
      </c>
      <c r="R667" s="318" t="s">
        <v>1029</v>
      </c>
      <c r="S667" s="1" t="s">
        <v>682</v>
      </c>
      <c r="T667" t="s">
        <v>4927</v>
      </c>
      <c r="U667" s="143" t="s">
        <v>4930</v>
      </c>
      <c r="V667" s="253">
        <v>0</v>
      </c>
      <c r="W667" s="253">
        <v>0</v>
      </c>
      <c r="X667">
        <v>0</v>
      </c>
      <c r="Y667">
        <v>0</v>
      </c>
      <c r="Z667">
        <v>0</v>
      </c>
      <c r="AA667">
        <v>0</v>
      </c>
      <c r="AB667">
        <v>0</v>
      </c>
      <c r="AC667">
        <v>0</v>
      </c>
      <c r="AD667">
        <v>0</v>
      </c>
      <c r="AE667">
        <v>0</v>
      </c>
      <c r="AF667">
        <v>0</v>
      </c>
      <c r="AG667">
        <v>0</v>
      </c>
      <c r="AH667">
        <v>0</v>
      </c>
      <c r="AI667">
        <v>0</v>
      </c>
      <c r="AJ667">
        <v>0</v>
      </c>
      <c r="AK667">
        <v>0</v>
      </c>
      <c r="AL667">
        <v>0</v>
      </c>
      <c r="AM667">
        <v>1</v>
      </c>
      <c r="AN667">
        <v>0</v>
      </c>
      <c r="AO667">
        <v>0</v>
      </c>
      <c r="AP667">
        <v>0</v>
      </c>
      <c r="AQ667">
        <v>0</v>
      </c>
      <c r="AR667">
        <v>0</v>
      </c>
      <c r="AS667">
        <v>0</v>
      </c>
      <c r="AT667">
        <v>0</v>
      </c>
      <c r="AU667">
        <v>0</v>
      </c>
      <c r="AV667">
        <v>0</v>
      </c>
      <c r="AW667">
        <v>0</v>
      </c>
      <c r="AX667">
        <v>0</v>
      </c>
      <c r="AY667">
        <v>0</v>
      </c>
      <c r="AZ667" s="141">
        <f>COUNTIF(X667:AY667,"&lt;&gt;0")</f>
        <v>1</v>
      </c>
      <c r="BA667" s="141">
        <f>COUNTIF(X667:AN667,"&lt;&gt;0")</f>
        <v>1</v>
      </c>
      <c r="BB667">
        <f>COUNTIF(X667:AE667,"&lt;&gt;0")</f>
        <v>0</v>
      </c>
      <c r="BC667">
        <f>COUNTIF(AF667:AK667,"&lt;&gt;0")</f>
        <v>0</v>
      </c>
      <c r="BD667">
        <f>COUNTIF(AL667:AN667,"&lt;&gt;0")</f>
        <v>1</v>
      </c>
      <c r="BE667">
        <f>COUNTIF(AU667:AY667,"&lt;&gt;0")</f>
        <v>0</v>
      </c>
      <c r="BF667">
        <f>COUNTIF(AO667:AT667,"&lt;&gt;0")</f>
        <v>0</v>
      </c>
      <c r="BG667" t="str" cm="1">
        <f t="array" ref="BG667">IF(BA667=1,INDEX($X$7:$AN$7,MATCH(TRUE,INDEX($X667:$AY667&lt;&gt;0,),0)),IF(BA667=0,INDEX($AO$7:$AY$7,MATCH(1,$AO667:$AY667,0)),IF(BH667="Multiple strategies","mixed drivers",IF(BH667="Supply chain","multiple supply","multiple silviculture"))))</f>
        <v>technologies/design switch</v>
      </c>
      <c r="BH667" s="2" t="str" cm="1">
        <f t="array" ref="BH667">IF(COUNTIF(BB667:BD667,"&lt;&gt;0")=1,INDEX($X$4:$AY$4,MATCH(TRUE,INDEX($X667:$AY667&lt;&gt;0,),0)),IF(COUNTIF(BB667:BD667,"&lt;&gt;0")=0,INDEX($AO$4:$AY$4,MATCH(1,$AO667:$AY667,0)),"Multiple strategies"))</f>
        <v>Technology</v>
      </c>
      <c r="BI667" s="142" t="s">
        <v>321</v>
      </c>
      <c r="BJ667" t="s">
        <v>684</v>
      </c>
      <c r="BK667" s="317" t="s">
        <v>685</v>
      </c>
      <c r="BL667" s="143" t="s">
        <v>686</v>
      </c>
      <c r="BM667">
        <v>10</v>
      </c>
      <c r="BN667" s="143">
        <v>10</v>
      </c>
      <c r="BO667" s="143">
        <f>BN667/BM667</f>
        <v>1</v>
      </c>
      <c r="BP667">
        <f>BN667-BM667</f>
        <v>0</v>
      </c>
      <c r="BQ667" s="143">
        <f>BP667</f>
        <v>0</v>
      </c>
      <c r="BR667" t="s">
        <v>232</v>
      </c>
      <c r="BS667" s="153" t="s">
        <v>687</v>
      </c>
      <c r="BT667" s="141" t="s">
        <v>688</v>
      </c>
      <c r="BU667" s="151">
        <v>1.3428025477707</v>
      </c>
      <c r="BV667" s="151">
        <v>2.7185987261146396</v>
      </c>
      <c r="BW667">
        <f>BV667/BU667</f>
        <v>2.0245707238402364</v>
      </c>
      <c r="BX667">
        <f>BV667-BU667</f>
        <v>1.3757961783439396</v>
      </c>
      <c r="BZ667">
        <f>BX667*C_to_CO2</f>
        <v>5.0491719745222587</v>
      </c>
      <c r="CA667" t="str">
        <f>IFERROR(BZ667/BQ667,"")</f>
        <v/>
      </c>
      <c r="CB667" s="143">
        <v>0</v>
      </c>
      <c r="CC667" s="143">
        <v>0</v>
      </c>
      <c r="CD667" s="143">
        <v>0</v>
      </c>
      <c r="CE667" s="143">
        <v>0</v>
      </c>
      <c r="CF667" s="143">
        <v>0</v>
      </c>
      <c r="CG667" s="143">
        <v>0</v>
      </c>
      <c r="CH667" s="143">
        <v>0</v>
      </c>
      <c r="CI667" s="143">
        <v>0</v>
      </c>
      <c r="CJ667" s="143">
        <v>0</v>
      </c>
      <c r="CK667" s="143">
        <v>0</v>
      </c>
      <c r="CL667" s="143">
        <v>0</v>
      </c>
      <c r="CM667" s="143">
        <v>0</v>
      </c>
      <c r="CN667" s="143">
        <v>0</v>
      </c>
      <c r="CO667">
        <v>0</v>
      </c>
      <c r="CP667" t="str">
        <f>IF($BN667&lt;$BM667,"refNeedCorrection","refOK")</f>
        <v>refOK</v>
      </c>
      <c r="CQ667">
        <f>IF($CP667="refOK",$BM667,$BN667)</f>
        <v>10</v>
      </c>
      <c r="CR667">
        <f>IF($CP667="refOK",$BN667,$BM667)</f>
        <v>10</v>
      </c>
      <c r="CS667">
        <f>IF($CP667="refOK",$BQ667,-$BQ667)</f>
        <v>0</v>
      </c>
      <c r="CT667">
        <f>IF(BI667="Roundwood",$CS667/2,$CS667)</f>
        <v>0</v>
      </c>
      <c r="CU667">
        <f>IF($CP667="refOK",$BU667,$BV667)*IF($BR667="Emissions positive",-1,1)</f>
        <v>1.3428025477707</v>
      </c>
      <c r="CV667">
        <f>IF($CP667="refOK",$BV667,$BU667)*IF($BR667="Emissions positive",-1,1)</f>
        <v>2.7185987261146396</v>
      </c>
      <c r="CW667">
        <f>IF($CP667="refNeedCorrection",-BZ667,BZ667)*IF($BR667="Emissions positive",-1,1)</f>
        <v>5.0491719745222587</v>
      </c>
      <c r="CX667" t="str">
        <f>IFERROR($CW667/$CS667,"")</f>
        <v/>
      </c>
      <c r="CY667" t="str">
        <f>IFERROR($CW667/$CS667,"")</f>
        <v/>
      </c>
      <c r="CZ667" t="str">
        <f>IFERROR($CW667/$CT667,"")</f>
        <v/>
      </c>
      <c r="DA667" s="2">
        <f>IFERROR((CV667-CU667)/ABS(CU667),"")</f>
        <v>1.0245707238402364</v>
      </c>
      <c r="DB667" s="1" t="s">
        <v>234</v>
      </c>
      <c r="DC667" s="317" t="str">
        <f>IF(OR($DB667="prd",$DB667="std",$DB667="cit"),"loc",IF(OR($DB667="eur",$DB667="reg",$DB667="coy"),"reg",$DB667))</f>
        <v>loc</v>
      </c>
      <c r="DD667" t="s">
        <v>264</v>
      </c>
      <c r="DF667" s="143"/>
      <c r="DG667" s="143">
        <v>300</v>
      </c>
      <c r="DH667" t="str">
        <f>IF(DG667=0,"0",IF(AND(DG667&gt;=1,DG667&lt;=30),"1-30",IF(AND(DG667&gt;30,DG667&lt;=70),"31-70",IF(AND(DG667&gt;70,DG667&lt;=100),"71-100",IF(DG667&gt;100,"+100")))))</f>
        <v>+100</v>
      </c>
      <c r="DI667">
        <v>0</v>
      </c>
      <c r="DJ667">
        <v>1</v>
      </c>
      <c r="DK667">
        <v>0</v>
      </c>
      <c r="DL667">
        <v>1</v>
      </c>
      <c r="DN667">
        <f>SUM(DI667:DL667)</f>
        <v>2</v>
      </c>
      <c r="DO667" t="str">
        <f>IF(DN667=1,INDEX($DI$7:$DL$7,MATCH(1,$DI667:$DL667,0)),"mixedProduct")</f>
        <v>mixedProduct</v>
      </c>
      <c r="DP667">
        <f>IF(DI667=1,DP$7,0)</f>
        <v>0</v>
      </c>
      <c r="DQ667" t="str">
        <f>IF(DJ667=1,DQ$7,0)</f>
        <v>Energy</v>
      </c>
      <c r="DR667">
        <f>IF(DK667=1,DR$7,0)</f>
        <v>0</v>
      </c>
      <c r="DS667" t="str">
        <f>IF(DL667=1,DS$7,0)</f>
        <v>Timber</v>
      </c>
      <c r="DT667">
        <v>1</v>
      </c>
      <c r="DU667" s="143">
        <v>0</v>
      </c>
      <c r="DV667" s="143">
        <v>0</v>
      </c>
      <c r="DW667">
        <v>0</v>
      </c>
      <c r="DX667" s="143">
        <v>0</v>
      </c>
      <c r="DY667">
        <f>SUM(DT667:DU667)</f>
        <v>1</v>
      </c>
      <c r="DZ667" s="143" t="str">
        <f>IF(DT667=1,"self-calculated DF",IF(DU667=1,"external DF used","explicit C balance"))</f>
        <v>self-calculated DF</v>
      </c>
      <c r="EA667" s="143">
        <v>1</v>
      </c>
      <c r="EB667" s="143">
        <v>1</v>
      </c>
      <c r="EC667" s="143">
        <v>1</v>
      </c>
      <c r="ED667" s="143">
        <v>0</v>
      </c>
      <c r="EE667">
        <v>0</v>
      </c>
      <c r="EF667" s="143">
        <v>1</v>
      </c>
      <c r="EG667" s="143">
        <v>1</v>
      </c>
      <c r="EH667" s="143">
        <v>1</v>
      </c>
      <c r="EI667" s="143">
        <v>0</v>
      </c>
      <c r="EJ667">
        <v>0</v>
      </c>
      <c r="EK667">
        <v>1</v>
      </c>
      <c r="EL667" s="143">
        <v>0</v>
      </c>
      <c r="EM667" s="143">
        <v>0</v>
      </c>
      <c r="EN667" s="2">
        <v>0</v>
      </c>
      <c r="EP667" t="str">
        <f>IF(AND(AND(AND(OR($EC667=1,$EB667=1),OR($EH667=1,$EF667=1)),SUM($EA667:$EE667,$EK667)&gt;=3),SUM($EF667:$EJ667)&gt;=2),"Whole sector approach","")</f>
        <v>Whole sector approach</v>
      </c>
      <c r="EQ667" t="str">
        <f>IF(AND(AND(OR($EC667=1,$EB667=1),AND($EH667=0,$EF667=0)),SUM($EA667:$EE667,$EK667)&gt;=3),"Ecosystem approach","")</f>
        <v/>
      </c>
      <c r="ER667" s="2" t="str">
        <f>IF(AND(AND(AND($EC667=0,$EB667=0),OR($EH667=1,$EF667=1)),SUM($EG667:$EJ667)&gt;=2),"Technology approach","")</f>
        <v/>
      </c>
      <c r="ES667" t="str">
        <f>IF(AND($EC667+$EB667+$EE667+$EA667+$ED667+$EG667=0,$N667="included"),"C neutral forest and HWP assumption","")</f>
        <v/>
      </c>
      <c r="ET667" t="str">
        <f>IF(AND(AND(AND(AND($EC667=1,$EB667+$EA667+$EG667&gt;=1),$EF667=1),$EH667+$EI667+$ED667+$EE667&gt;=2),$N667="included"),"All C pools assumption","")</f>
        <v/>
      </c>
      <c r="EU667" t="str">
        <f>IF(AND($ED667+$EE667+$EI667+$EH667+$EF667=0,$N667="included"),"In-situ only assumption","")</f>
        <v/>
      </c>
      <c r="EY667" t="b">
        <f>IF(ISNUMBER(BW667),IF(ABS(BW667-[4]QC_indicators!$B$2)&gt;3*[4]QC_indicators!$C$2,"C ratio",IF(ISNUMBER(CA667),IF(ABS(CA667-[4]QC_indicators!$B$1)&gt;3*[4]QC_indicators!$C$1,"DF","no"))),IF(ISNUMBER(CA667),IF(ABS(CA667-[4]QC_indicators!$B$1)&gt;3*[4]QC_indicators!$C$1,"DF","no")))</f>
        <v>0</v>
      </c>
      <c r="FA667" t="str">
        <f>IF(LEN($CY667)=0,"",IF(AND($CY667&lt;(-0.05),$ES667="C neutral forest and HWP assumption"),"Cneutral paradox",IF(AND($CY667&gt;0.05,$EU667="In-situ only assumption"),"In-situ only paradox","")))</f>
        <v/>
      </c>
      <c r="FB667" s="317" t="s">
        <v>689</v>
      </c>
      <c r="FD667" s="317" t="s">
        <v>4924</v>
      </c>
    </row>
    <row r="668" spans="4:160" ht="15" hidden="1" customHeight="1">
      <c r="D668" t="s">
        <v>678</v>
      </c>
      <c r="E668" t="s">
        <v>679</v>
      </c>
      <c r="G668" t="s">
        <v>680</v>
      </c>
      <c r="I668">
        <v>2007</v>
      </c>
      <c r="K668" s="288" t="s">
        <v>681</v>
      </c>
      <c r="M668" t="str">
        <f>LEFT($D668,FIND(",",$D668)-1)&amp;"_"&amp;I668&amp;L668</f>
        <v>Eriksson_2007</v>
      </c>
      <c r="N668" t="s">
        <v>222</v>
      </c>
      <c r="O668" t="s">
        <v>223</v>
      </c>
      <c r="Q668" s="317" t="s">
        <v>256</v>
      </c>
      <c r="R668" s="318" t="s">
        <v>1029</v>
      </c>
      <c r="S668" s="1" t="s">
        <v>682</v>
      </c>
      <c r="T668" t="s">
        <v>4922</v>
      </c>
      <c r="U668" s="143" t="s">
        <v>4923</v>
      </c>
      <c r="V668" s="253">
        <v>0</v>
      </c>
      <c r="W668" s="253">
        <v>0</v>
      </c>
      <c r="X668">
        <v>0</v>
      </c>
      <c r="Y668">
        <v>0</v>
      </c>
      <c r="Z668">
        <v>0</v>
      </c>
      <c r="AA668">
        <v>1</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s="141">
        <f>COUNTIF(X668:AY668,"&lt;&gt;0")</f>
        <v>1</v>
      </c>
      <c r="BA668" s="141">
        <f>COUNTIF(X668:AN668,"&lt;&gt;0")</f>
        <v>1</v>
      </c>
      <c r="BB668">
        <f>COUNTIF(X668:AE668,"&lt;&gt;0")</f>
        <v>1</v>
      </c>
      <c r="BC668">
        <f>COUNTIF(AF668:AK668,"&lt;&gt;0")</f>
        <v>0</v>
      </c>
      <c r="BD668">
        <f>COUNTIF(AL668:AN668,"&lt;&gt;0")</f>
        <v>0</v>
      </c>
      <c r="BE668">
        <f>COUNTIF(AU668:AY668,"&lt;&gt;0")</f>
        <v>0</v>
      </c>
      <c r="BF668">
        <f>COUNTIF(AO668:AT668,"&lt;&gt;0")</f>
        <v>0</v>
      </c>
      <c r="BG668" t="str" cm="1">
        <f t="array" ref="BG668">IF(BA668=1,INDEX($X$7:$AN$7,MATCH(TRUE,INDEX($X668:$AY668&lt;&gt;0,),0)),IF(BA668=0,INDEX($AO$7:$AY$7,MATCH(1,$AO668:$AY668,0)),IF(BH668="Multiple strategies","mixed drivers",IF(BH668="Supply chain","multiple supply","multiple silviculture"))))</f>
        <v xml:space="preserve">cutting intensity </v>
      </c>
      <c r="BH668" s="2" t="str" cm="1">
        <f t="array" ref="BH668">IF(COUNTIF(BB668:BD668,"&lt;&gt;0")=1,INDEX($X$4:$AY$4,MATCH(TRUE,INDEX($X668:$AY668&lt;&gt;0,),0)),IF(COUNTIF(BB668:BD668,"&lt;&gt;0")=0,INDEX($AO$4:$AY$4,MATCH(1,$AO668:$AY668,0)),"Multiple strategies"))</f>
        <v>Silviculture for removals</v>
      </c>
      <c r="BI668" s="142" t="s">
        <v>321</v>
      </c>
      <c r="BJ668" t="s">
        <v>684</v>
      </c>
      <c r="BK668" s="317" t="s">
        <v>685</v>
      </c>
      <c r="BL668" s="143" t="s">
        <v>691</v>
      </c>
      <c r="BM668">
        <v>7.3</v>
      </c>
      <c r="BN668" s="143">
        <v>9.7333333333333361</v>
      </c>
      <c r="BO668" s="143">
        <f>BN668/BM668</f>
        <v>1.3333333333333337</v>
      </c>
      <c r="BP668">
        <f>BN668-BM668</f>
        <v>2.4333333333333362</v>
      </c>
      <c r="BQ668" s="143">
        <f>BP668</f>
        <v>2.4333333333333362</v>
      </c>
      <c r="BR668" t="s">
        <v>232</v>
      </c>
      <c r="BS668" s="153" t="s">
        <v>687</v>
      </c>
      <c r="BT668" t="s">
        <v>688</v>
      </c>
      <c r="BU668" s="151">
        <v>1.0464755838641187</v>
      </c>
      <c r="BV668" s="151">
        <v>1.2120806794055197</v>
      </c>
      <c r="BW668">
        <f>BV668/BU668</f>
        <v>1.1582503195439142</v>
      </c>
      <c r="BX668">
        <f>BV668-BU668</f>
        <v>0.16560509554140102</v>
      </c>
      <c r="BZ668">
        <f>BX668*C_to_CO2</f>
        <v>0.60777070063694172</v>
      </c>
      <c r="CA668">
        <f>IFERROR(BZ668/BQ668,"")</f>
        <v>0.24976878108367437</v>
      </c>
      <c r="CB668" s="143">
        <v>0</v>
      </c>
      <c r="CC668" s="143">
        <v>0</v>
      </c>
      <c r="CD668" s="143">
        <v>0</v>
      </c>
      <c r="CE668" s="143">
        <v>0</v>
      </c>
      <c r="CF668" s="143">
        <v>0</v>
      </c>
      <c r="CG668" s="143">
        <v>0</v>
      </c>
      <c r="CH668" s="143">
        <v>0</v>
      </c>
      <c r="CI668" s="143">
        <v>0</v>
      </c>
      <c r="CJ668" s="143">
        <v>0</v>
      </c>
      <c r="CK668" s="143">
        <v>0</v>
      </c>
      <c r="CL668" s="143">
        <v>0</v>
      </c>
      <c r="CM668" s="143">
        <v>0</v>
      </c>
      <c r="CN668" s="143">
        <v>0</v>
      </c>
      <c r="CO668">
        <v>0</v>
      </c>
      <c r="CP668" t="str">
        <f>IF($BN668&lt;$BM668,"refNeedCorrection","refOK")</f>
        <v>refOK</v>
      </c>
      <c r="CQ668">
        <f>IF($CP668="refOK",$BM668,$BN668)</f>
        <v>7.3</v>
      </c>
      <c r="CR668">
        <f>IF($CP668="refOK",$BN668,$BM668)</f>
        <v>9.7333333333333361</v>
      </c>
      <c r="CS668">
        <f>IF($CP668="refOK",$BQ668,-$BQ668)</f>
        <v>2.4333333333333362</v>
      </c>
      <c r="CT668">
        <f>IF(BI668="Roundwood",$CS668/2,$CS668)</f>
        <v>1.2166666666666681</v>
      </c>
      <c r="CU668">
        <f>IF($CP668="refOK",$BU668,$BV668)*IF($BR668="Emissions positive",-1,1)</f>
        <v>1.0464755838641187</v>
      </c>
      <c r="CV668">
        <f>IF($CP668="refOK",$BV668,$BU668)*IF($BR668="Emissions positive",-1,1)</f>
        <v>1.2120806794055197</v>
      </c>
      <c r="CW668">
        <f>IF($CP668="refNeedCorrection",-BZ668,BZ668)*IF($BR668="Emissions positive",-1,1)</f>
        <v>0.60777070063694172</v>
      </c>
      <c r="CX668">
        <f>IFERROR($CW668/$CS668,"")</f>
        <v>0.24976878108367437</v>
      </c>
      <c r="CY668">
        <f>IFERROR($CW668/$CS668,"")</f>
        <v>0.24976878108367437</v>
      </c>
      <c r="CZ668">
        <f>IFERROR($CW668/$CT668,"")</f>
        <v>0.49953756216734874</v>
      </c>
      <c r="DA668" s="2">
        <f>IFERROR((CV668-CU668)/ABS(CU668),"")</f>
        <v>0.15825031954391425</v>
      </c>
      <c r="DB668" s="1" t="s">
        <v>234</v>
      </c>
      <c r="DC668" s="317" t="str">
        <f>IF(OR($DB668="prd",$DB668="std",$DB668="cit"),"loc",IF(OR($DB668="eur",$DB668="reg",$DB668="coy"),"reg",$DB668))</f>
        <v>loc</v>
      </c>
      <c r="DD668" t="s">
        <v>264</v>
      </c>
      <c r="DF668" s="143"/>
      <c r="DG668" s="143">
        <v>300</v>
      </c>
      <c r="DH668" t="str">
        <f>IF(DG668=0,"0",IF(AND(DG668&gt;=1,DG668&lt;=30),"1-30",IF(AND(DG668&gt;30,DG668&lt;=70),"31-70",IF(AND(DG668&gt;70,DG668&lt;=100),"71-100",IF(DG668&gt;100,"+100")))))</f>
        <v>+100</v>
      </c>
      <c r="DI668">
        <v>0</v>
      </c>
      <c r="DJ668">
        <v>1</v>
      </c>
      <c r="DK668">
        <v>0</v>
      </c>
      <c r="DL668">
        <v>0</v>
      </c>
      <c r="DN668">
        <f>SUM(DI668:DL668)</f>
        <v>1</v>
      </c>
      <c r="DO668" t="str">
        <f>IF(DN668=1,INDEX($DI$7:$DL$7,MATCH(1,$DI668:$DL668,0)),"mixedProduct")</f>
        <v>EnergyInput</v>
      </c>
      <c r="DP668">
        <f>IF(DI668=1,DP$7,0)</f>
        <v>0</v>
      </c>
      <c r="DQ668" t="str">
        <f>IF(DJ668=1,DQ$7,0)</f>
        <v>Energy</v>
      </c>
      <c r="DR668">
        <f>IF(DK668=1,DR$7,0)</f>
        <v>0</v>
      </c>
      <c r="DS668">
        <f>IF(DL668=1,DS$7,0)</f>
        <v>0</v>
      </c>
      <c r="DT668">
        <v>1</v>
      </c>
      <c r="DU668" s="143">
        <v>0</v>
      </c>
      <c r="DV668" s="143">
        <v>0</v>
      </c>
      <c r="DW668">
        <v>0</v>
      </c>
      <c r="DX668" s="143">
        <v>0</v>
      </c>
      <c r="DY668">
        <f>SUM(DT668:DU668)</f>
        <v>1</v>
      </c>
      <c r="DZ668" s="143" t="str">
        <f>IF(DT668=1,"self-calculated DF",IF(DU668=1,"external DF used","explicit C balance"))</f>
        <v>self-calculated DF</v>
      </c>
      <c r="EA668" s="143">
        <v>1</v>
      </c>
      <c r="EB668" s="143">
        <v>1</v>
      </c>
      <c r="EC668" s="143">
        <v>1</v>
      </c>
      <c r="ED668" s="143">
        <v>0</v>
      </c>
      <c r="EE668">
        <v>0</v>
      </c>
      <c r="EF668" s="143">
        <v>1</v>
      </c>
      <c r="EG668" s="143">
        <v>1</v>
      </c>
      <c r="EH668" s="143">
        <v>1</v>
      </c>
      <c r="EI668" s="143">
        <v>0</v>
      </c>
      <c r="EJ668">
        <v>0</v>
      </c>
      <c r="EK668">
        <v>1</v>
      </c>
      <c r="EL668" s="143">
        <v>0</v>
      </c>
      <c r="EM668" s="143">
        <v>0</v>
      </c>
      <c r="EN668" s="2">
        <v>0</v>
      </c>
      <c r="EP668" t="str">
        <f>IF(AND(AND(AND(OR($EC668=1,$EB668=1),OR($EH668=1,$EF668=1)),SUM($EA668:$EE668,$EK668)&gt;=3),SUM($EF668:$EJ668)&gt;=2),"Whole sector approach","")</f>
        <v>Whole sector approach</v>
      </c>
      <c r="EQ668" t="str">
        <f>IF(AND(AND(OR($EC668=1,$EB668=1),AND($EH668=0,$EF668=0)),SUM($EA668:$EE668,$EK668)&gt;=3),"Ecosystem approach","")</f>
        <v/>
      </c>
      <c r="ER668" s="2" t="str">
        <f>IF(AND(AND(AND($EC668=0,$EB668=0),OR($EH668=1,$EF668=1)),SUM($EG668:$EJ668)&gt;=2),"Technology approach","")</f>
        <v/>
      </c>
      <c r="ES668" t="str">
        <f>IF(AND($EC668+$EB668+$EE668+$EA668+$ED668+$EG668=0,$N668="included"),"C neutral forest and HWP assumption","")</f>
        <v/>
      </c>
      <c r="ET668" t="str">
        <f>IF(AND(AND(AND(AND($EC668=1,$EB668+$EA668+$EG668&gt;=1),$EF668=1),$EH668+$EI668+$ED668+$EE668&gt;=2),$N668="included"),"All C pools assumption","")</f>
        <v/>
      </c>
      <c r="EU668" t="str">
        <f>IF(AND($ED668+$EE668+$EI668+$EH668+$EF668=0,$N668="included"),"In-situ only assumption","")</f>
        <v/>
      </c>
      <c r="EY668" t="str">
        <f>IF(ISNUMBER(BW668),IF(ABS(BW668-[4]QC_indicators!$B$2)&gt;3*[4]QC_indicators!$C$2,"C ratio",IF(ISNUMBER(CA668),IF(ABS(CA668-[4]QC_indicators!$B$1)&gt;3*[4]QC_indicators!$C$1,"DF","no"))),IF(ISNUMBER(CA668),IF(ABS(CA668-[4]QC_indicators!$B$1)&gt;3*[4]QC_indicators!$C$1,"DF","no")))</f>
        <v>no</v>
      </c>
      <c r="FA668" t="str">
        <f>IF(LEN($CY668)=0,"",IF(AND($CY668&lt;(-0.05),$ES668="C neutral forest and HWP assumption"),"Cneutral paradox",IF(AND($CY668&gt;0.05,$EU668="In-situ only assumption"),"In-situ only paradox","")))</f>
        <v/>
      </c>
      <c r="FB668" s="317" t="s">
        <v>692</v>
      </c>
      <c r="FD668" s="317" t="s">
        <v>4924</v>
      </c>
    </row>
    <row r="669" spans="4:160" ht="15" hidden="1" customHeight="1">
      <c r="D669" t="s">
        <v>678</v>
      </c>
      <c r="E669" t="s">
        <v>679</v>
      </c>
      <c r="G669" t="s">
        <v>680</v>
      </c>
      <c r="I669">
        <v>2007</v>
      </c>
      <c r="K669" s="288" t="s">
        <v>681</v>
      </c>
      <c r="M669" t="str">
        <f>LEFT($D669,FIND(",",$D669)-1)&amp;"_"&amp;I669&amp;L669</f>
        <v>Eriksson_2007</v>
      </c>
      <c r="N669" t="s">
        <v>222</v>
      </c>
      <c r="O669" t="s">
        <v>223</v>
      </c>
      <c r="Q669" s="317" t="s">
        <v>256</v>
      </c>
      <c r="R669" s="318" t="s">
        <v>1029</v>
      </c>
      <c r="S669" s="1" t="s">
        <v>682</v>
      </c>
      <c r="T669" t="s">
        <v>4922</v>
      </c>
      <c r="U669" s="143" t="s">
        <v>4925</v>
      </c>
      <c r="V669" s="253">
        <v>0</v>
      </c>
      <c r="W669" s="253">
        <v>0</v>
      </c>
      <c r="X669">
        <v>0</v>
      </c>
      <c r="Y669">
        <v>0</v>
      </c>
      <c r="Z669">
        <v>0</v>
      </c>
      <c r="AA669">
        <v>1</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s="141">
        <f>COUNTIF(X669:AY669,"&lt;&gt;0")</f>
        <v>1</v>
      </c>
      <c r="BA669" s="141">
        <f>COUNTIF(X669:AN669,"&lt;&gt;0")</f>
        <v>1</v>
      </c>
      <c r="BB669">
        <f>COUNTIF(X669:AE669,"&lt;&gt;0")</f>
        <v>1</v>
      </c>
      <c r="BC669">
        <f>COUNTIF(AF669:AK669,"&lt;&gt;0")</f>
        <v>0</v>
      </c>
      <c r="BD669">
        <f>COUNTIF(AL669:AN669,"&lt;&gt;0")</f>
        <v>0</v>
      </c>
      <c r="BE669">
        <f>COUNTIF(AU669:AY669,"&lt;&gt;0")</f>
        <v>0</v>
      </c>
      <c r="BF669">
        <f>COUNTIF(AO669:AT669,"&lt;&gt;0")</f>
        <v>0</v>
      </c>
      <c r="BG669" t="str" cm="1">
        <f t="array" ref="BG669">IF(BA669=1,INDEX($X$7:$AN$7,MATCH(TRUE,INDEX($X669:$AY669&lt;&gt;0,),0)),IF(BA669=0,INDEX($AO$7:$AY$7,MATCH(1,$AO669:$AY669,0)),IF(BH669="Multiple strategies","mixed drivers",IF(BH669="Supply chain","multiple supply","multiple silviculture"))))</f>
        <v xml:space="preserve">cutting intensity </v>
      </c>
      <c r="BH669" s="2" t="str" cm="1">
        <f t="array" ref="BH669">IF(COUNTIF(BB669:BD669,"&lt;&gt;0")=1,INDEX($X$4:$AY$4,MATCH(TRUE,INDEX($X669:$AY669&lt;&gt;0,),0)),IF(COUNTIF(BB669:BD669,"&lt;&gt;0")=0,INDEX($AO$4:$AY$4,MATCH(1,$AO669:$AY669,0)),"Multiple strategies"))</f>
        <v>Silviculture for removals</v>
      </c>
      <c r="BI669" s="142" t="s">
        <v>321</v>
      </c>
      <c r="BJ669" t="s">
        <v>684</v>
      </c>
      <c r="BK669" s="317" t="s">
        <v>685</v>
      </c>
      <c r="BL669" s="143" t="s">
        <v>691</v>
      </c>
      <c r="BM669">
        <v>7.3</v>
      </c>
      <c r="BN669" s="143">
        <v>11.355555555555558</v>
      </c>
      <c r="BO669" s="143">
        <f>BN669/BM669</f>
        <v>1.5555555555555558</v>
      </c>
      <c r="BP669">
        <f>BN669-BM669</f>
        <v>4.055555555555558</v>
      </c>
      <c r="BQ669" s="143">
        <f>BP669</f>
        <v>4.055555555555558</v>
      </c>
      <c r="BR669" t="s">
        <v>232</v>
      </c>
      <c r="BS669" s="153" t="s">
        <v>687</v>
      </c>
      <c r="BT669" t="s">
        <v>688</v>
      </c>
      <c r="BU669" s="151">
        <v>1.0464755838641187</v>
      </c>
      <c r="BV669" s="151">
        <v>1.3139915074309967</v>
      </c>
      <c r="BW669">
        <f>BV669/BU669</f>
        <v>1.255635131570938</v>
      </c>
      <c r="BX669">
        <f>BV669-BU669</f>
        <v>0.26751592356687803</v>
      </c>
      <c r="BZ669">
        <f>BX669*C_to_CO2</f>
        <v>0.98178343949044233</v>
      </c>
      <c r="CA669">
        <f>IFERROR(BZ669/BQ669,"")</f>
        <v>0.24208358781956096</v>
      </c>
      <c r="CB669" s="143">
        <v>0</v>
      </c>
      <c r="CC669" s="143">
        <v>0</v>
      </c>
      <c r="CD669" s="143">
        <v>0</v>
      </c>
      <c r="CE669" s="143">
        <v>0</v>
      </c>
      <c r="CF669" s="143">
        <v>0</v>
      </c>
      <c r="CG669" s="143">
        <v>0</v>
      </c>
      <c r="CH669" s="143">
        <v>0</v>
      </c>
      <c r="CI669" s="143">
        <v>0</v>
      </c>
      <c r="CJ669" s="143">
        <v>0</v>
      </c>
      <c r="CK669" s="143">
        <v>0</v>
      </c>
      <c r="CL669" s="143">
        <v>0</v>
      </c>
      <c r="CM669" s="143">
        <v>0</v>
      </c>
      <c r="CN669" s="143">
        <v>0</v>
      </c>
      <c r="CO669">
        <v>0</v>
      </c>
      <c r="CP669" t="str">
        <f>IF($BN669&lt;$BM669,"refNeedCorrection","refOK")</f>
        <v>refOK</v>
      </c>
      <c r="CQ669">
        <f>IF($CP669="refOK",$BM669,$BN669)</f>
        <v>7.3</v>
      </c>
      <c r="CR669">
        <f>IF($CP669="refOK",$BN669,$BM669)</f>
        <v>11.355555555555558</v>
      </c>
      <c r="CS669">
        <f>IF($CP669="refOK",$BQ669,-$BQ669)</f>
        <v>4.055555555555558</v>
      </c>
      <c r="CT669">
        <f>IF(BI669="Roundwood",$CS669/2,$CS669)</f>
        <v>2.027777777777779</v>
      </c>
      <c r="CU669">
        <f>IF($CP669="refOK",$BU669,$BV669)*IF($BR669="Emissions positive",-1,1)</f>
        <v>1.0464755838641187</v>
      </c>
      <c r="CV669">
        <f>IF($CP669="refOK",$BV669,$BU669)*IF($BR669="Emissions positive",-1,1)</f>
        <v>1.3139915074309967</v>
      </c>
      <c r="CW669">
        <f>IF($CP669="refNeedCorrection",-BZ669,BZ669)*IF($BR669="Emissions positive",-1,1)</f>
        <v>0.98178343949044233</v>
      </c>
      <c r="CX669">
        <f>IFERROR($CW669/$CS669,"")</f>
        <v>0.24208358781956096</v>
      </c>
      <c r="CY669">
        <f>IFERROR($CW669/$CS669,"")</f>
        <v>0.24208358781956096</v>
      </c>
      <c r="CZ669">
        <f>IFERROR($CW669/$CT669,"")</f>
        <v>0.48416717563912193</v>
      </c>
      <c r="DA669" s="2">
        <f>IFERROR((CV669-CU669)/ABS(CU669),"")</f>
        <v>0.25563513157093792</v>
      </c>
      <c r="DB669" s="1" t="s">
        <v>234</v>
      </c>
      <c r="DC669" s="317" t="str">
        <f>IF(OR($DB669="prd",$DB669="std",$DB669="cit"),"loc",IF(OR($DB669="eur",$DB669="reg",$DB669="coy"),"reg",$DB669))</f>
        <v>loc</v>
      </c>
      <c r="DD669" t="s">
        <v>264</v>
      </c>
      <c r="DF669" s="143"/>
      <c r="DG669" s="143">
        <v>300</v>
      </c>
      <c r="DH669" t="str">
        <f>IF(DG669=0,"0",IF(AND(DG669&gt;=1,DG669&lt;=30),"1-30",IF(AND(DG669&gt;30,DG669&lt;=70),"31-70",IF(AND(DG669&gt;70,DG669&lt;=100),"71-100",IF(DG669&gt;100,"+100")))))</f>
        <v>+100</v>
      </c>
      <c r="DI669">
        <v>0</v>
      </c>
      <c r="DJ669">
        <v>1</v>
      </c>
      <c r="DK669">
        <v>0</v>
      </c>
      <c r="DL669">
        <v>0</v>
      </c>
      <c r="DN669">
        <f>SUM(DI669:DL669)</f>
        <v>1</v>
      </c>
      <c r="DO669" t="str">
        <f>IF(DN669=1,INDEX($DI$7:$DL$7,MATCH(1,$DI669:$DL669,0)),"mixedProduct")</f>
        <v>EnergyInput</v>
      </c>
      <c r="DP669">
        <f>IF(DI669=1,DP$7,0)</f>
        <v>0</v>
      </c>
      <c r="DQ669" t="str">
        <f>IF(DJ669=1,DQ$7,0)</f>
        <v>Energy</v>
      </c>
      <c r="DR669">
        <f>IF(DK669=1,DR$7,0)</f>
        <v>0</v>
      </c>
      <c r="DS669">
        <f>IF(DL669=1,DS$7,0)</f>
        <v>0</v>
      </c>
      <c r="DT669">
        <v>1</v>
      </c>
      <c r="DU669" s="143">
        <v>0</v>
      </c>
      <c r="DV669" s="143">
        <v>0</v>
      </c>
      <c r="DW669">
        <v>0</v>
      </c>
      <c r="DX669" s="143">
        <v>0</v>
      </c>
      <c r="DY669">
        <f>SUM(DT669:DU669)</f>
        <v>1</v>
      </c>
      <c r="DZ669" s="143" t="str">
        <f>IF(DT669=1,"self-calculated DF",IF(DU669=1,"external DF used","explicit C balance"))</f>
        <v>self-calculated DF</v>
      </c>
      <c r="EA669" s="143">
        <v>1</v>
      </c>
      <c r="EB669" s="143">
        <v>1</v>
      </c>
      <c r="EC669" s="143">
        <v>1</v>
      </c>
      <c r="ED669" s="143">
        <v>0</v>
      </c>
      <c r="EE669">
        <v>0</v>
      </c>
      <c r="EF669" s="143">
        <v>1</v>
      </c>
      <c r="EG669" s="143">
        <v>1</v>
      </c>
      <c r="EH669" s="143">
        <v>1</v>
      </c>
      <c r="EI669" s="143">
        <v>0</v>
      </c>
      <c r="EJ669">
        <v>0</v>
      </c>
      <c r="EK669">
        <v>1</v>
      </c>
      <c r="EL669" s="143">
        <v>0</v>
      </c>
      <c r="EM669" s="143">
        <v>0</v>
      </c>
      <c r="EN669" s="2">
        <v>0</v>
      </c>
      <c r="EP669" t="str">
        <f>IF(AND(AND(AND(OR($EC669=1,$EB669=1),OR($EH669=1,$EF669=1)),SUM($EA669:$EE669,$EK669)&gt;=3),SUM($EF669:$EJ669)&gt;=2),"Whole sector approach","")</f>
        <v>Whole sector approach</v>
      </c>
      <c r="EQ669" t="str">
        <f>IF(AND(AND(OR($EC669=1,$EB669=1),AND($EH669=0,$EF669=0)),SUM($EA669:$EE669,$EK669)&gt;=3),"Ecosystem approach","")</f>
        <v/>
      </c>
      <c r="ER669" s="2" t="str">
        <f>IF(AND(AND(AND($EC669=0,$EB669=0),OR($EH669=1,$EF669=1)),SUM($EG669:$EJ669)&gt;=2),"Technology approach","")</f>
        <v/>
      </c>
      <c r="ES669" t="str">
        <f>IF(AND($EC669+$EB669+$EE669+$EA669+$ED669+$EG669=0,$N669="included"),"C neutral forest and HWP assumption","")</f>
        <v/>
      </c>
      <c r="ET669" t="str">
        <f>IF(AND(AND(AND(AND($EC669=1,$EB669+$EA669+$EG669&gt;=1),$EF669=1),$EH669+$EI669+$ED669+$EE669&gt;=2),$N669="included"),"All C pools assumption","")</f>
        <v/>
      </c>
      <c r="EU669" t="str">
        <f>IF(AND($ED669+$EE669+$EI669+$EH669+$EF669=0,$N669="included"),"In-situ only assumption","")</f>
        <v/>
      </c>
      <c r="EY669" t="str">
        <f>IF(ISNUMBER(BW669),IF(ABS(BW669-[4]QC_indicators!$B$2)&gt;3*[4]QC_indicators!$C$2,"C ratio",IF(ISNUMBER(CA669),IF(ABS(CA669-[4]QC_indicators!$B$1)&gt;3*[4]QC_indicators!$C$1,"DF","no"))),IF(ISNUMBER(CA669),IF(ABS(CA669-[4]QC_indicators!$B$1)&gt;3*[4]QC_indicators!$C$1,"DF","no")))</f>
        <v>no</v>
      </c>
      <c r="FA669" t="str">
        <f>IF(LEN($CY669)=0,"",IF(AND($CY669&lt;(-0.05),$ES669="C neutral forest and HWP assumption"),"Cneutral paradox",IF(AND($CY669&gt;0.05,$EU669="In-situ only assumption"),"In-situ only paradox","")))</f>
        <v/>
      </c>
      <c r="FB669" s="317" t="s">
        <v>692</v>
      </c>
      <c r="FD669" s="317" t="s">
        <v>4924</v>
      </c>
    </row>
    <row r="670" spans="4:160" ht="15" customHeight="1">
      <c r="D670" t="s">
        <v>678</v>
      </c>
      <c r="E670" t="s">
        <v>679</v>
      </c>
      <c r="G670" t="s">
        <v>680</v>
      </c>
      <c r="I670">
        <v>2007</v>
      </c>
      <c r="K670" s="288" t="s">
        <v>681</v>
      </c>
      <c r="M670" t="str">
        <f>LEFT($D670,FIND(",",$D670)-1)&amp;"_"&amp;I670&amp;L670</f>
        <v>Eriksson_2007</v>
      </c>
      <c r="N670" t="s">
        <v>222</v>
      </c>
      <c r="O670" t="s">
        <v>223</v>
      </c>
      <c r="Q670" s="317" t="s">
        <v>256</v>
      </c>
      <c r="R670" s="318" t="s">
        <v>1029</v>
      </c>
      <c r="S670" s="1" t="s">
        <v>682</v>
      </c>
      <c r="T670" t="s">
        <v>4922</v>
      </c>
      <c r="U670" s="143" t="s">
        <v>4923</v>
      </c>
      <c r="V670" s="253">
        <v>0</v>
      </c>
      <c r="W670" s="253">
        <v>0</v>
      </c>
      <c r="X670">
        <v>0</v>
      </c>
      <c r="Y670">
        <v>0</v>
      </c>
      <c r="Z670">
        <v>0</v>
      </c>
      <c r="AA670">
        <v>1</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s="141">
        <f>COUNTIF(X670:AY670,"&lt;&gt;0")</f>
        <v>1</v>
      </c>
      <c r="BA670" s="141">
        <f>COUNTIF(X670:AN670,"&lt;&gt;0")</f>
        <v>1</v>
      </c>
      <c r="BB670">
        <f>COUNTIF(X670:AE670,"&lt;&gt;0")</f>
        <v>1</v>
      </c>
      <c r="BC670">
        <f>COUNTIF(AF670:AK670,"&lt;&gt;0")</f>
        <v>0</v>
      </c>
      <c r="BD670">
        <f>COUNTIF(AL670:AN670,"&lt;&gt;0")</f>
        <v>0</v>
      </c>
      <c r="BE670">
        <f>COUNTIF(AU670:AY670,"&lt;&gt;0")</f>
        <v>0</v>
      </c>
      <c r="BF670">
        <f>COUNTIF(AO670:AT670,"&lt;&gt;0")</f>
        <v>0</v>
      </c>
      <c r="BG670" t="str" cm="1">
        <f t="array" ref="BG670">IF(BA670=1,INDEX($X$7:$AN$7,MATCH(TRUE,INDEX($X670:$AY670&lt;&gt;0,),0)),IF(BA670=0,INDEX($AO$7:$AY$7,MATCH(1,$AO670:$AY670,0)),IF(BH670="Multiple strategies","mixed drivers",IF(BH670="Supply chain","multiple supply","multiple silviculture"))))</f>
        <v xml:space="preserve">cutting intensity </v>
      </c>
      <c r="BH670" s="2" t="str" cm="1">
        <f t="array" ref="BH670">IF(COUNTIF(BB670:BD670,"&lt;&gt;0")=1,INDEX($X$4:$AY$4,MATCH(TRUE,INDEX($X670:$AY670&lt;&gt;0,),0)),IF(COUNTIF(BB670:BD670,"&lt;&gt;0")=0,INDEX($AO$4:$AY$4,MATCH(1,$AO670:$AY670,0)),"Multiple strategies"))</f>
        <v>Silviculture for removals</v>
      </c>
      <c r="BI670" s="142" t="s">
        <v>321</v>
      </c>
      <c r="BJ670" t="s">
        <v>684</v>
      </c>
      <c r="BK670" s="317" t="s">
        <v>685</v>
      </c>
      <c r="BL670" s="143" t="s">
        <v>686</v>
      </c>
      <c r="BM670">
        <v>7.3</v>
      </c>
      <c r="BN670" s="143">
        <v>9.7333333333333361</v>
      </c>
      <c r="BO670" s="143">
        <f>BN670/BM670</f>
        <v>1.3333333333333337</v>
      </c>
      <c r="BP670">
        <f>BN670-BM670</f>
        <v>2.4333333333333362</v>
      </c>
      <c r="BQ670" s="143">
        <f>BP670</f>
        <v>2.4333333333333362</v>
      </c>
      <c r="BR670" t="s">
        <v>232</v>
      </c>
      <c r="BS670" s="153" t="s">
        <v>687</v>
      </c>
      <c r="BT670" s="141" t="s">
        <v>688</v>
      </c>
      <c r="BU670" s="151">
        <v>0.47322717622080668</v>
      </c>
      <c r="BV670" s="151">
        <v>0.44774946921443665</v>
      </c>
      <c r="BW670">
        <f>BV670/BU670</f>
        <v>0.94616178383956084</v>
      </c>
      <c r="BX670">
        <f>BV670-BU670</f>
        <v>-2.5477707006370032E-2</v>
      </c>
      <c r="BZ670">
        <f>BX670*C_to_CO2</f>
        <v>-9.3503184713378013E-2</v>
      </c>
      <c r="CA670">
        <f>IFERROR(BZ670/BQ670,"")</f>
        <v>-3.842596632056626E-2</v>
      </c>
      <c r="CB670" s="143">
        <v>0</v>
      </c>
      <c r="CC670" s="143">
        <v>0</v>
      </c>
      <c r="CD670" s="143">
        <v>0</v>
      </c>
      <c r="CE670" s="143">
        <v>0</v>
      </c>
      <c r="CF670" s="143">
        <v>0</v>
      </c>
      <c r="CG670" s="143">
        <v>0</v>
      </c>
      <c r="CH670" s="143">
        <v>0</v>
      </c>
      <c r="CI670" s="143">
        <v>0</v>
      </c>
      <c r="CJ670" s="143">
        <v>0</v>
      </c>
      <c r="CK670" s="143">
        <v>0</v>
      </c>
      <c r="CL670" s="143">
        <v>0</v>
      </c>
      <c r="CM670" s="143">
        <v>0</v>
      </c>
      <c r="CN670" s="143">
        <v>0</v>
      </c>
      <c r="CO670">
        <v>0</v>
      </c>
      <c r="CP670" t="str">
        <f>IF($BN670&lt;$BM670,"refNeedCorrection","refOK")</f>
        <v>refOK</v>
      </c>
      <c r="CQ670">
        <f>IF($CP670="refOK",$BM670,$BN670)</f>
        <v>7.3</v>
      </c>
      <c r="CR670">
        <f>IF($CP670="refOK",$BN670,$BM670)</f>
        <v>9.7333333333333361</v>
      </c>
      <c r="CS670">
        <f>IF($CP670="refOK",$BQ670,-$BQ670)</f>
        <v>2.4333333333333362</v>
      </c>
      <c r="CT670">
        <f>IF(BI670="Roundwood",$CS670/2,$CS670)</f>
        <v>1.2166666666666681</v>
      </c>
      <c r="CU670">
        <f>IF($CP670="refOK",$BU670,$BV670)*IF($BR670="Emissions positive",-1,1)</f>
        <v>0.47322717622080668</v>
      </c>
      <c r="CV670">
        <f>IF($CP670="refOK",$BV670,$BU670)*IF($BR670="Emissions positive",-1,1)</f>
        <v>0.44774946921443665</v>
      </c>
      <c r="CW670">
        <f>IF($CP670="refNeedCorrection",-BZ670,BZ670)*IF($BR670="Emissions positive",-1,1)</f>
        <v>-9.3503184713378013E-2</v>
      </c>
      <c r="CX670">
        <f>IFERROR($CW670/$CS670,"")</f>
        <v>-3.842596632056626E-2</v>
      </c>
      <c r="CY670">
        <f>IFERROR($CW670/$CS670,"")</f>
        <v>-3.842596632056626E-2</v>
      </c>
      <c r="CZ670">
        <f>IFERROR($CW670/$CT670,"")</f>
        <v>-7.685193264113252E-2</v>
      </c>
      <c r="DA670" s="2">
        <f>IFERROR((CV670-CU670)/ABS(CU670),"")</f>
        <v>-5.3838216160439177E-2</v>
      </c>
      <c r="DB670" s="1" t="s">
        <v>234</v>
      </c>
      <c r="DC670" s="317" t="str">
        <f>IF(OR($DB670="prd",$DB670="std",$DB670="cit"),"loc",IF(OR($DB670="eur",$DB670="reg",$DB670="coy"),"reg",$DB670))</f>
        <v>loc</v>
      </c>
      <c r="DD670" t="s">
        <v>264</v>
      </c>
      <c r="DF670" s="143"/>
      <c r="DG670" s="143">
        <v>300</v>
      </c>
      <c r="DH670" t="str">
        <f>IF(DG670=0,"0",IF(AND(DG670&gt;=1,DG670&lt;=30),"1-30",IF(AND(DG670&gt;30,DG670&lt;=70),"31-70",IF(AND(DG670&gt;70,DG670&lt;=100),"71-100",IF(DG670&gt;100,"+100")))))</f>
        <v>+100</v>
      </c>
      <c r="DI670">
        <v>0</v>
      </c>
      <c r="DJ670">
        <v>1</v>
      </c>
      <c r="DK670">
        <v>0</v>
      </c>
      <c r="DL670">
        <v>0</v>
      </c>
      <c r="DN670">
        <f>SUM(DI670:DL670)</f>
        <v>1</v>
      </c>
      <c r="DO670" t="str">
        <f>IF(DN670=1,INDEX($DI$7:$DL$7,MATCH(1,$DI670:$DL670,0)),"mixedProduct")</f>
        <v>EnergyInput</v>
      </c>
      <c r="DP670">
        <f>IF(DI670=1,DP$7,0)</f>
        <v>0</v>
      </c>
      <c r="DQ670" t="str">
        <f>IF(DJ670=1,DQ$7,0)</f>
        <v>Energy</v>
      </c>
      <c r="DR670">
        <f>IF(DK670=1,DR$7,0)</f>
        <v>0</v>
      </c>
      <c r="DS670">
        <f>IF(DL670=1,DS$7,0)</f>
        <v>0</v>
      </c>
      <c r="DT670">
        <v>1</v>
      </c>
      <c r="DU670" s="143">
        <v>0</v>
      </c>
      <c r="DV670" s="143">
        <v>0</v>
      </c>
      <c r="DW670">
        <v>0</v>
      </c>
      <c r="DX670" s="143">
        <v>0</v>
      </c>
      <c r="DY670">
        <f>SUM(DT670:DU670)</f>
        <v>1</v>
      </c>
      <c r="DZ670" s="143" t="str">
        <f>IF(DT670=1,"self-calculated DF",IF(DU670=1,"external DF used","explicit C balance"))</f>
        <v>self-calculated DF</v>
      </c>
      <c r="EA670" s="143">
        <v>1</v>
      </c>
      <c r="EB670" s="143">
        <v>1</v>
      </c>
      <c r="EC670" s="143">
        <v>1</v>
      </c>
      <c r="ED670" s="143">
        <v>0</v>
      </c>
      <c r="EE670">
        <v>0</v>
      </c>
      <c r="EF670" s="143">
        <v>0</v>
      </c>
      <c r="EG670" s="143">
        <v>0</v>
      </c>
      <c r="EH670" s="143">
        <v>0</v>
      </c>
      <c r="EI670" s="143">
        <v>0</v>
      </c>
      <c r="EJ670">
        <v>0</v>
      </c>
      <c r="EK670">
        <v>1</v>
      </c>
      <c r="EL670" s="143">
        <v>0</v>
      </c>
      <c r="EM670" s="143">
        <v>0</v>
      </c>
      <c r="EN670" s="2">
        <v>0</v>
      </c>
      <c r="EP670" t="str">
        <f>IF(AND(AND(AND(OR($EC670=1,$EB670=1),OR($EH670=1,$EF670=1)),SUM($EA670:$EE670,$EK670)&gt;=3),SUM($EF670:$EJ670)&gt;=2),"Whole sector approach","")</f>
        <v/>
      </c>
      <c r="EQ670" t="str">
        <f>IF(AND(AND(OR($EC670=1,$EB670=1),AND($EH670=0,$EF670=0)),SUM($EA670:$EE670,$EK670)&gt;=3),"Ecosystem approach","")</f>
        <v>Ecosystem approach</v>
      </c>
      <c r="ER670" s="2" t="str">
        <f>IF(AND(AND(AND($EC670=0,$EB670=0),OR($EH670=1,$EF670=1)),SUM($EG670:$EJ670)&gt;=2),"Technology approach","")</f>
        <v/>
      </c>
      <c r="ES670" t="str">
        <f>IF(AND($EC670+$EB670+$EE670+$EA670+$ED670+$EG670=0,$N670="included"),"C neutral forest and HWP assumption","")</f>
        <v/>
      </c>
      <c r="ET670" t="str">
        <f>IF(AND(AND(AND(AND($EC670=1,$EB670+$EA670+$EG670&gt;=1),$EF670=1),$EH670+$EI670+$ED670+$EE670&gt;=2),$N670="included"),"All C pools assumption","")</f>
        <v/>
      </c>
      <c r="EU670" t="str">
        <f>IF(AND($ED670+$EE670+$EI670+$EH670+$EF670=0,$N670="included"),"In-situ only assumption","")</f>
        <v>In-situ only assumption</v>
      </c>
      <c r="EY670" t="str">
        <f>IF(ISNUMBER(BW670),IF(ABS(BW670-[4]QC_indicators!$B$2)&gt;3*[4]QC_indicators!$C$2,"C ratio",IF(ISNUMBER(CA670),IF(ABS(CA670-[4]QC_indicators!$B$1)&gt;3*[4]QC_indicators!$C$1,"DF","no"))),IF(ISNUMBER(CA670),IF(ABS(CA670-[4]QC_indicators!$B$1)&gt;3*[4]QC_indicators!$C$1,"DF","no")))</f>
        <v>no</v>
      </c>
      <c r="FA670" t="str">
        <f>IF(LEN($CY670)=0,"",IF(AND($CY670&lt;(-0.05),$ES670="C neutral forest and HWP assumption"),"Cneutral paradox",IF(AND($CY670&gt;0.05,$EU670="In-situ only assumption"),"In-situ only paradox","")))</f>
        <v/>
      </c>
      <c r="FB670" s="317" t="s">
        <v>689</v>
      </c>
      <c r="FD670" s="317" t="s">
        <v>4924</v>
      </c>
    </row>
    <row r="671" spans="4:160" ht="15" customHeight="1">
      <c r="D671" t="s">
        <v>678</v>
      </c>
      <c r="E671" t="s">
        <v>679</v>
      </c>
      <c r="G671" t="s">
        <v>680</v>
      </c>
      <c r="I671">
        <v>2007</v>
      </c>
      <c r="K671" s="288" t="s">
        <v>681</v>
      </c>
      <c r="M671" t="str">
        <f>LEFT($D671,FIND(",",$D671)-1)&amp;"_"&amp;I671&amp;L671</f>
        <v>Eriksson_2007</v>
      </c>
      <c r="N671" t="s">
        <v>222</v>
      </c>
      <c r="O671" t="s">
        <v>223</v>
      </c>
      <c r="Q671" s="317" t="s">
        <v>256</v>
      </c>
      <c r="R671" s="318" t="s">
        <v>1029</v>
      </c>
      <c r="S671" s="1" t="s">
        <v>682</v>
      </c>
      <c r="T671" t="s">
        <v>4922</v>
      </c>
      <c r="U671" s="143" t="s">
        <v>4925</v>
      </c>
      <c r="V671" s="253">
        <v>0</v>
      </c>
      <c r="W671" s="253">
        <v>0</v>
      </c>
      <c r="X671">
        <v>0</v>
      </c>
      <c r="Y671">
        <v>0</v>
      </c>
      <c r="Z671">
        <v>0</v>
      </c>
      <c r="AA671">
        <v>1</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s="141">
        <f>COUNTIF(X671:AY671,"&lt;&gt;0")</f>
        <v>1</v>
      </c>
      <c r="BA671" s="141">
        <f>COUNTIF(X671:AN671,"&lt;&gt;0")</f>
        <v>1</v>
      </c>
      <c r="BB671">
        <f>COUNTIF(X671:AE671,"&lt;&gt;0")</f>
        <v>1</v>
      </c>
      <c r="BC671">
        <f>COUNTIF(AF671:AK671,"&lt;&gt;0")</f>
        <v>0</v>
      </c>
      <c r="BD671">
        <f>COUNTIF(AL671:AN671,"&lt;&gt;0")</f>
        <v>0</v>
      </c>
      <c r="BE671">
        <f>COUNTIF(AU671:AY671,"&lt;&gt;0")</f>
        <v>0</v>
      </c>
      <c r="BF671">
        <f>COUNTIF(AO671:AT671,"&lt;&gt;0")</f>
        <v>0</v>
      </c>
      <c r="BG671" t="str" cm="1">
        <f t="array" ref="BG671">IF(BA671=1,INDEX($X$7:$AN$7,MATCH(TRUE,INDEX($X671:$AY671&lt;&gt;0,),0)),IF(BA671=0,INDEX($AO$7:$AY$7,MATCH(1,$AO671:$AY671,0)),IF(BH671="Multiple strategies","mixed drivers",IF(BH671="Supply chain","multiple supply","multiple silviculture"))))</f>
        <v xml:space="preserve">cutting intensity </v>
      </c>
      <c r="BH671" s="2" t="str" cm="1">
        <f t="array" ref="BH671">IF(COUNTIF(BB671:BD671,"&lt;&gt;0")=1,INDEX($X$4:$AY$4,MATCH(TRUE,INDEX($X671:$AY671&lt;&gt;0,),0)),IF(COUNTIF(BB671:BD671,"&lt;&gt;0")=0,INDEX($AO$4:$AY$4,MATCH(1,$AO671:$AY671,0)),"Multiple strategies"))</f>
        <v>Silviculture for removals</v>
      </c>
      <c r="BI671" s="142" t="s">
        <v>321</v>
      </c>
      <c r="BJ671" t="s">
        <v>684</v>
      </c>
      <c r="BK671" s="317" t="s">
        <v>685</v>
      </c>
      <c r="BL671" s="143" t="s">
        <v>686</v>
      </c>
      <c r="BM671">
        <v>7.3</v>
      </c>
      <c r="BN671" s="143">
        <v>11.355555555555558</v>
      </c>
      <c r="BO671" s="143">
        <f>BN671/BM671</f>
        <v>1.5555555555555558</v>
      </c>
      <c r="BP671">
        <f>BN671-BM671</f>
        <v>4.055555555555558</v>
      </c>
      <c r="BQ671" s="143">
        <f>BP671</f>
        <v>4.055555555555558</v>
      </c>
      <c r="BR671" t="s">
        <v>232</v>
      </c>
      <c r="BS671" s="153" t="s">
        <v>687</v>
      </c>
      <c r="BT671" s="141" t="s">
        <v>688</v>
      </c>
      <c r="BU671" s="151">
        <v>0.47322717622080668</v>
      </c>
      <c r="BV671" s="151">
        <v>0.42227176220806661</v>
      </c>
      <c r="BW671">
        <f>BV671/BU671</f>
        <v>0.89232356767912169</v>
      </c>
      <c r="BX671">
        <f>BV671-BU671</f>
        <v>-5.0955414012740063E-2</v>
      </c>
      <c r="BZ671">
        <f>BX671*C_to_CO2</f>
        <v>-0.18700636942675603</v>
      </c>
      <c r="CA671">
        <f>IFERROR(BZ671/BQ671,"")</f>
        <v>-4.611115958467954E-2</v>
      </c>
      <c r="CB671" s="143">
        <v>0</v>
      </c>
      <c r="CC671" s="143">
        <v>0</v>
      </c>
      <c r="CD671" s="143">
        <v>0</v>
      </c>
      <c r="CE671" s="143">
        <v>0</v>
      </c>
      <c r="CF671" s="143">
        <v>0</v>
      </c>
      <c r="CG671" s="143">
        <v>0</v>
      </c>
      <c r="CH671" s="143">
        <v>0</v>
      </c>
      <c r="CI671" s="143">
        <v>0</v>
      </c>
      <c r="CJ671" s="143">
        <v>0</v>
      </c>
      <c r="CK671" s="143">
        <v>0</v>
      </c>
      <c r="CL671" s="143">
        <v>0</v>
      </c>
      <c r="CM671" s="143">
        <v>0</v>
      </c>
      <c r="CN671" s="143">
        <v>0</v>
      </c>
      <c r="CO671">
        <v>0</v>
      </c>
      <c r="CP671" t="str">
        <f>IF($BN671&lt;$BM671,"refNeedCorrection","refOK")</f>
        <v>refOK</v>
      </c>
      <c r="CQ671">
        <f>IF($CP671="refOK",$BM671,$BN671)</f>
        <v>7.3</v>
      </c>
      <c r="CR671">
        <f>IF($CP671="refOK",$BN671,$BM671)</f>
        <v>11.355555555555558</v>
      </c>
      <c r="CS671">
        <f>IF($CP671="refOK",$BQ671,-$BQ671)</f>
        <v>4.055555555555558</v>
      </c>
      <c r="CT671">
        <f>IF(BI671="Roundwood",$CS671/2,$CS671)</f>
        <v>2.027777777777779</v>
      </c>
      <c r="CU671">
        <f>IF($CP671="refOK",$BU671,$BV671)*IF($BR671="Emissions positive",-1,1)</f>
        <v>0.47322717622080668</v>
      </c>
      <c r="CV671">
        <f>IF($CP671="refOK",$BV671,$BU671)*IF($BR671="Emissions positive",-1,1)</f>
        <v>0.42227176220806661</v>
      </c>
      <c r="CW671">
        <f>IF($CP671="refNeedCorrection",-BZ671,BZ671)*IF($BR671="Emissions positive",-1,1)</f>
        <v>-0.18700636942675603</v>
      </c>
      <c r="CX671">
        <f>IFERROR($CW671/$CS671,"")</f>
        <v>-4.611115958467954E-2</v>
      </c>
      <c r="CY671">
        <f>IFERROR($CW671/$CS671,"")</f>
        <v>-4.611115958467954E-2</v>
      </c>
      <c r="CZ671">
        <f>IFERROR($CW671/$CT671,"")</f>
        <v>-9.2222319169359079E-2</v>
      </c>
      <c r="DA671" s="2">
        <f>IFERROR((CV671-CU671)/ABS(CU671),"")</f>
        <v>-0.10767643232087835</v>
      </c>
      <c r="DB671" s="1" t="s">
        <v>234</v>
      </c>
      <c r="DC671" s="317" t="str">
        <f>IF(OR($DB671="prd",$DB671="std",$DB671="cit"),"loc",IF(OR($DB671="eur",$DB671="reg",$DB671="coy"),"reg",$DB671))</f>
        <v>loc</v>
      </c>
      <c r="DD671" t="s">
        <v>264</v>
      </c>
      <c r="DF671" s="143"/>
      <c r="DG671" s="143">
        <v>300</v>
      </c>
      <c r="DH671" t="str">
        <f>IF(DG671=0,"0",IF(AND(DG671&gt;=1,DG671&lt;=30),"1-30",IF(AND(DG671&gt;30,DG671&lt;=70),"31-70",IF(AND(DG671&gt;70,DG671&lt;=100),"71-100",IF(DG671&gt;100,"+100")))))</f>
        <v>+100</v>
      </c>
      <c r="DI671">
        <v>0</v>
      </c>
      <c r="DJ671">
        <v>1</v>
      </c>
      <c r="DK671">
        <v>0</v>
      </c>
      <c r="DL671">
        <v>0</v>
      </c>
      <c r="DN671">
        <f>SUM(DI671:DL671)</f>
        <v>1</v>
      </c>
      <c r="DO671" t="str">
        <f>IF(DN671=1,INDEX($DI$7:$DL$7,MATCH(1,$DI671:$DL671,0)),"mixedProduct")</f>
        <v>EnergyInput</v>
      </c>
      <c r="DP671">
        <f>IF(DI671=1,DP$7,0)</f>
        <v>0</v>
      </c>
      <c r="DQ671" t="str">
        <f>IF(DJ671=1,DQ$7,0)</f>
        <v>Energy</v>
      </c>
      <c r="DR671">
        <f>IF(DK671=1,DR$7,0)</f>
        <v>0</v>
      </c>
      <c r="DS671">
        <f>IF(DL671=1,DS$7,0)</f>
        <v>0</v>
      </c>
      <c r="DT671">
        <v>1</v>
      </c>
      <c r="DU671" s="143">
        <v>0</v>
      </c>
      <c r="DV671" s="143">
        <v>0</v>
      </c>
      <c r="DW671">
        <v>0</v>
      </c>
      <c r="DX671" s="143">
        <v>0</v>
      </c>
      <c r="DY671">
        <f>SUM(DT671:DU671)</f>
        <v>1</v>
      </c>
      <c r="DZ671" s="143" t="str">
        <f>IF(DT671=1,"self-calculated DF",IF(DU671=1,"external DF used","explicit C balance"))</f>
        <v>self-calculated DF</v>
      </c>
      <c r="EA671" s="143">
        <v>1</v>
      </c>
      <c r="EB671" s="143">
        <v>1</v>
      </c>
      <c r="EC671" s="143">
        <v>1</v>
      </c>
      <c r="ED671" s="143">
        <v>0</v>
      </c>
      <c r="EE671">
        <v>0</v>
      </c>
      <c r="EF671" s="143">
        <v>0</v>
      </c>
      <c r="EG671" s="143">
        <v>0</v>
      </c>
      <c r="EH671" s="143">
        <v>0</v>
      </c>
      <c r="EI671" s="143">
        <v>0</v>
      </c>
      <c r="EJ671">
        <v>0</v>
      </c>
      <c r="EK671">
        <v>1</v>
      </c>
      <c r="EL671" s="143">
        <v>0</v>
      </c>
      <c r="EM671" s="143">
        <v>0</v>
      </c>
      <c r="EN671" s="2">
        <v>0</v>
      </c>
      <c r="EP671" t="str">
        <f>IF(AND(AND(AND(OR($EC671=1,$EB671=1),OR($EH671=1,$EF671=1)),SUM($EA671:$EE671,$EK671)&gt;=3),SUM($EF671:$EJ671)&gt;=2),"Whole sector approach","")</f>
        <v/>
      </c>
      <c r="EQ671" t="str">
        <f>IF(AND(AND(OR($EC671=1,$EB671=1),AND($EH671=0,$EF671=0)),SUM($EA671:$EE671,$EK671)&gt;=3),"Ecosystem approach","")</f>
        <v>Ecosystem approach</v>
      </c>
      <c r="ER671" s="2" t="str">
        <f>IF(AND(AND(AND($EC671=0,$EB671=0),OR($EH671=1,$EF671=1)),SUM($EG671:$EJ671)&gt;=2),"Technology approach","")</f>
        <v/>
      </c>
      <c r="ES671" t="str">
        <f>IF(AND($EC671+$EB671+$EE671+$EA671+$ED671+$EG671=0,$N671="included"),"C neutral forest and HWP assumption","")</f>
        <v/>
      </c>
      <c r="ET671" t="str">
        <f>IF(AND(AND(AND(AND($EC671=1,$EB671+$EA671+$EG671&gt;=1),$EF671=1),$EH671+$EI671+$ED671+$EE671&gt;=2),$N671="included"),"All C pools assumption","")</f>
        <v/>
      </c>
      <c r="EU671" t="str">
        <f>IF(AND($ED671+$EE671+$EI671+$EH671+$EF671=0,$N671="included"),"In-situ only assumption","")</f>
        <v>In-situ only assumption</v>
      </c>
      <c r="EY671" t="str">
        <f>IF(ISNUMBER(BW671),IF(ABS(BW671-[4]QC_indicators!$B$2)&gt;3*[4]QC_indicators!$C$2,"C ratio",IF(ISNUMBER(CA671),IF(ABS(CA671-[4]QC_indicators!$B$1)&gt;3*[4]QC_indicators!$C$1,"DF","no"))),IF(ISNUMBER(CA671),IF(ABS(CA671-[4]QC_indicators!$B$1)&gt;3*[4]QC_indicators!$C$1,"DF","no")))</f>
        <v>no</v>
      </c>
      <c r="FA671" t="str">
        <f>IF(LEN($CY671)=0,"",IF(AND($CY671&lt;(-0.05),$ES671="C neutral forest and HWP assumption"),"Cneutral paradox",IF(AND($CY671&gt;0.05,$EU671="In-situ only assumption"),"In-situ only paradox","")))</f>
        <v/>
      </c>
      <c r="FB671" s="317" t="s">
        <v>689</v>
      </c>
      <c r="FD671" s="317" t="s">
        <v>4924</v>
      </c>
    </row>
    <row r="672" spans="4:160" ht="15" customHeight="1">
      <c r="D672" t="s">
        <v>678</v>
      </c>
      <c r="E672" t="s">
        <v>679</v>
      </c>
      <c r="G672" t="s">
        <v>680</v>
      </c>
      <c r="I672">
        <v>2007</v>
      </c>
      <c r="K672" s="288" t="s">
        <v>681</v>
      </c>
      <c r="M672" t="str">
        <f>LEFT($D672,FIND(",",$D672)-1)&amp;"_"&amp;I672&amp;L672</f>
        <v>Eriksson_2007</v>
      </c>
      <c r="N672" t="s">
        <v>222</v>
      </c>
      <c r="O672" t="s">
        <v>223</v>
      </c>
      <c r="Q672" s="317" t="s">
        <v>256</v>
      </c>
      <c r="R672" s="318" t="s">
        <v>1029</v>
      </c>
      <c r="S672" s="1" t="s">
        <v>682</v>
      </c>
      <c r="T672" t="s">
        <v>4922</v>
      </c>
      <c r="U672" s="143" t="s">
        <v>4926</v>
      </c>
      <c r="V672" s="253">
        <v>0</v>
      </c>
      <c r="W672" s="253">
        <v>0</v>
      </c>
      <c r="X672">
        <v>0</v>
      </c>
      <c r="Y672">
        <v>0</v>
      </c>
      <c r="Z672">
        <v>0</v>
      </c>
      <c r="AA672">
        <v>0</v>
      </c>
      <c r="AB672">
        <v>0</v>
      </c>
      <c r="AC672">
        <v>1</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s="141">
        <f>COUNTIF(X672:AY672,"&lt;&gt;0")</f>
        <v>1</v>
      </c>
      <c r="BA672" s="141">
        <f>COUNTIF(X672:AN672,"&lt;&gt;0")</f>
        <v>1</v>
      </c>
      <c r="BB672">
        <f>COUNTIF(X672:AE672,"&lt;&gt;0")</f>
        <v>1</v>
      </c>
      <c r="BC672">
        <f>COUNTIF(AF672:AK672,"&lt;&gt;0")</f>
        <v>0</v>
      </c>
      <c r="BD672">
        <f>COUNTIF(AL672:AN672,"&lt;&gt;0")</f>
        <v>0</v>
      </c>
      <c r="BE672">
        <f>COUNTIF(AU672:AY672,"&lt;&gt;0")</f>
        <v>0</v>
      </c>
      <c r="BF672">
        <f>COUNTIF(AO672:AT672,"&lt;&gt;0")</f>
        <v>0</v>
      </c>
      <c r="BG672" t="str" cm="1">
        <f t="array" ref="BG672">IF(BA672=1,INDEX($X$7:$AN$7,MATCH(TRUE,INDEX($X672:$AY672&lt;&gt;0,),0)),IF(BA672=0,INDEX($AO$7:$AY$7,MATCH(1,$AO672:$AY672,0)),IF(BH672="Multiple strategies","mixed drivers",IF(BH672="Supply chain","multiple supply","multiple silviculture"))))</f>
        <v>plantation density</v>
      </c>
      <c r="BH672" s="2" t="str" cm="1">
        <f t="array" ref="BH672">IF(COUNTIF(BB672:BD672,"&lt;&gt;0")=1,INDEX($X$4:$AY$4,MATCH(TRUE,INDEX($X672:$AY672&lt;&gt;0,),0)),IF(COUNTIF(BB672:BD672,"&lt;&gt;0")=0,INDEX($AO$4:$AY$4,MATCH(1,$AO672:$AY672,0)),"Multiple strategies"))</f>
        <v>Silviculture for productivity</v>
      </c>
      <c r="BI672" s="142" t="s">
        <v>321</v>
      </c>
      <c r="BJ672" t="s">
        <v>684</v>
      </c>
      <c r="BK672" s="317" t="s">
        <v>685</v>
      </c>
      <c r="BL672" s="143" t="s">
        <v>686</v>
      </c>
      <c r="BM672">
        <v>7.3</v>
      </c>
      <c r="BN672" s="143">
        <v>7.7</v>
      </c>
      <c r="BO672" s="143">
        <f>BN672/BM672</f>
        <v>1.0547945205479452</v>
      </c>
      <c r="BP672">
        <f>BN672-BM672</f>
        <v>0.40000000000000036</v>
      </c>
      <c r="BQ672" s="143">
        <f>BP672</f>
        <v>0.40000000000000036</v>
      </c>
      <c r="BR672" t="s">
        <v>232</v>
      </c>
      <c r="BS672" s="153" t="s">
        <v>687</v>
      </c>
      <c r="BT672" s="141" t="s">
        <v>688</v>
      </c>
      <c r="BU672" s="151">
        <v>0.47322717622080668</v>
      </c>
      <c r="BV672" s="151">
        <v>0.51656050955414001</v>
      </c>
      <c r="BW672">
        <f>BV672/BU672</f>
        <v>1.0915698326528782</v>
      </c>
      <c r="BX672">
        <f>BV672-BU672</f>
        <v>4.3333333333333335E-2</v>
      </c>
      <c r="BZ672">
        <f>BX672*C_to_CO2</f>
        <v>0.15903333333333333</v>
      </c>
      <c r="CA672">
        <f>IFERROR(BZ672/BQ672,"")</f>
        <v>0.39758333333333296</v>
      </c>
      <c r="CB672" s="143">
        <v>0</v>
      </c>
      <c r="CC672" s="143">
        <v>0</v>
      </c>
      <c r="CD672" s="143">
        <v>0</v>
      </c>
      <c r="CE672" s="143">
        <v>0</v>
      </c>
      <c r="CF672" s="143">
        <v>0</v>
      </c>
      <c r="CG672" s="143">
        <v>0</v>
      </c>
      <c r="CH672" s="143">
        <v>0</v>
      </c>
      <c r="CI672" s="143">
        <v>0</v>
      </c>
      <c r="CJ672" s="143">
        <v>0</v>
      </c>
      <c r="CK672" s="143">
        <v>0</v>
      </c>
      <c r="CL672" s="143">
        <v>0</v>
      </c>
      <c r="CM672" s="143">
        <v>0</v>
      </c>
      <c r="CN672" s="143">
        <v>0</v>
      </c>
      <c r="CO672">
        <v>0</v>
      </c>
      <c r="CP672" t="str">
        <f>IF($BN672&lt;$BM672,"refNeedCorrection","refOK")</f>
        <v>refOK</v>
      </c>
      <c r="CQ672">
        <f>IF($CP672="refOK",$BM672,$BN672)</f>
        <v>7.3</v>
      </c>
      <c r="CR672">
        <f>IF($CP672="refOK",$BN672,$BM672)</f>
        <v>7.7</v>
      </c>
      <c r="CS672">
        <f>IF($CP672="refOK",$BQ672,-$BQ672)</f>
        <v>0.40000000000000036</v>
      </c>
      <c r="CT672">
        <f>IF(BI672="Roundwood",$CS672/2,$CS672)</f>
        <v>0.20000000000000018</v>
      </c>
      <c r="CU672">
        <f>IF($CP672="refOK",$BU672,$BV672)*IF($BR672="Emissions positive",-1,1)</f>
        <v>0.47322717622080668</v>
      </c>
      <c r="CV672">
        <f>IF($CP672="refOK",$BV672,$BU672)*IF($BR672="Emissions positive",-1,1)</f>
        <v>0.51656050955414001</v>
      </c>
      <c r="CW672">
        <f>IF($CP672="refNeedCorrection",-BZ672,BZ672)*IF($BR672="Emissions positive",-1,1)</f>
        <v>0.15903333333333333</v>
      </c>
      <c r="CX672">
        <f>IFERROR($CW672/$CS672,"")</f>
        <v>0.39758333333333296</v>
      </c>
      <c r="CY672">
        <f>IFERROR($CW672/$CS672,"")</f>
        <v>0.39758333333333296</v>
      </c>
      <c r="CZ672">
        <f>IFERROR($CW672/$CT672,"")</f>
        <v>0.79516666666666591</v>
      </c>
      <c r="DA672" s="2">
        <f>IFERROR((CV672-CU672)/ABS(CU672),"")</f>
        <v>9.156983265287813E-2</v>
      </c>
      <c r="DB672" s="1" t="s">
        <v>234</v>
      </c>
      <c r="DC672" s="317" t="str">
        <f>IF(OR($DB672="prd",$DB672="std",$DB672="cit"),"loc",IF(OR($DB672="eur",$DB672="reg",$DB672="coy"),"reg",$DB672))</f>
        <v>loc</v>
      </c>
      <c r="DD672" t="s">
        <v>264</v>
      </c>
      <c r="DF672" s="143"/>
      <c r="DG672" s="143">
        <v>300</v>
      </c>
      <c r="DH672" t="str">
        <f>IF(DG672=0,"0",IF(AND(DG672&gt;=1,DG672&lt;=30),"1-30",IF(AND(DG672&gt;30,DG672&lt;=70),"31-70",IF(AND(DG672&gt;70,DG672&lt;=100),"71-100",IF(DG672&gt;100,"+100")))))</f>
        <v>+100</v>
      </c>
      <c r="DI672">
        <v>0</v>
      </c>
      <c r="DJ672">
        <v>1</v>
      </c>
      <c r="DK672">
        <v>0</v>
      </c>
      <c r="DL672">
        <v>0</v>
      </c>
      <c r="DN672">
        <f>SUM(DI672:DL672)</f>
        <v>1</v>
      </c>
      <c r="DO672" t="str">
        <f>IF(DN672=1,INDEX($DI$7:$DL$7,MATCH(1,$DI672:$DL672,0)),"mixedProduct")</f>
        <v>EnergyInput</v>
      </c>
      <c r="DP672">
        <f>IF(DI672=1,DP$7,0)</f>
        <v>0</v>
      </c>
      <c r="DQ672" t="str">
        <f>IF(DJ672=1,DQ$7,0)</f>
        <v>Energy</v>
      </c>
      <c r="DR672">
        <f>IF(DK672=1,DR$7,0)</f>
        <v>0</v>
      </c>
      <c r="DS672">
        <f>IF(DL672=1,DS$7,0)</f>
        <v>0</v>
      </c>
      <c r="DT672">
        <v>1</v>
      </c>
      <c r="DU672" s="143">
        <v>0</v>
      </c>
      <c r="DV672" s="143">
        <v>0</v>
      </c>
      <c r="DW672">
        <v>0</v>
      </c>
      <c r="DX672" s="143">
        <v>0</v>
      </c>
      <c r="DY672">
        <f>SUM(DT672:DU672)</f>
        <v>1</v>
      </c>
      <c r="DZ672" s="143" t="str">
        <f>IF(DT672=1,"self-calculated DF",IF(DU672=1,"external DF used","explicit C balance"))</f>
        <v>self-calculated DF</v>
      </c>
      <c r="EA672" s="143">
        <v>1</v>
      </c>
      <c r="EB672" s="143">
        <v>1</v>
      </c>
      <c r="EC672" s="143">
        <v>1</v>
      </c>
      <c r="ED672" s="143">
        <v>0</v>
      </c>
      <c r="EE672">
        <v>0</v>
      </c>
      <c r="EF672" s="143">
        <v>0</v>
      </c>
      <c r="EG672" s="143">
        <v>0</v>
      </c>
      <c r="EH672" s="143">
        <v>0</v>
      </c>
      <c r="EI672" s="143">
        <v>0</v>
      </c>
      <c r="EJ672">
        <v>0</v>
      </c>
      <c r="EK672">
        <v>1</v>
      </c>
      <c r="EL672" s="143">
        <v>0</v>
      </c>
      <c r="EM672" s="143">
        <v>0</v>
      </c>
      <c r="EN672" s="2">
        <v>0</v>
      </c>
      <c r="EP672" t="str">
        <f>IF(AND(AND(AND(OR($EC672=1,$EB672=1),OR($EH672=1,$EF672=1)),SUM($EA672:$EE672,$EK672)&gt;=3),SUM($EF672:$EJ672)&gt;=2),"Whole sector approach","")</f>
        <v/>
      </c>
      <c r="EQ672" t="str">
        <f>IF(AND(AND(OR($EC672=1,$EB672=1),AND($EH672=0,$EF672=0)),SUM($EA672:$EE672,$EK672)&gt;=3),"Ecosystem approach","")</f>
        <v>Ecosystem approach</v>
      </c>
      <c r="ER672" s="2" t="str">
        <f>IF(AND(AND(AND($EC672=0,$EB672=0),OR($EH672=1,$EF672=1)),SUM($EG672:$EJ672)&gt;=2),"Technology approach","")</f>
        <v/>
      </c>
      <c r="ES672" t="str">
        <f>IF(AND($EC672+$EB672+$EE672+$EA672+$ED672+$EG672=0,$N672="included"),"C neutral forest and HWP assumption","")</f>
        <v/>
      </c>
      <c r="ET672" t="str">
        <f>IF(AND(AND(AND(AND($EC672=1,$EB672+$EA672+$EG672&gt;=1),$EF672=1),$EH672+$EI672+$ED672+$EE672&gt;=2),$N672="included"),"All C pools assumption","")</f>
        <v/>
      </c>
      <c r="EU672" t="str">
        <f>IF(AND($ED672+$EE672+$EI672+$EH672+$EF672=0,$N672="included"),"In-situ only assumption","")</f>
        <v>In-situ only assumption</v>
      </c>
      <c r="EY672" t="str">
        <f>IF(ISNUMBER(BW672),IF(ABS(BW672-[4]QC_indicators!$B$2)&gt;3*[4]QC_indicators!$C$2,"C ratio",IF(ISNUMBER(CA672),IF(ABS(CA672-[4]QC_indicators!$B$1)&gt;3*[4]QC_indicators!$C$1,"DF","no"))),IF(ISNUMBER(CA672),IF(ABS(CA672-[4]QC_indicators!$B$1)&gt;3*[4]QC_indicators!$C$1,"DF","no")))</f>
        <v>no</v>
      </c>
      <c r="FA672" t="str">
        <f>IF(LEN($CY672)=0,"",IF(AND($CY672&lt;(-0.05),$ES672="C neutral forest and HWP assumption"),"Cneutral paradox",IF(AND($CY672&gt;0.05,$EU672="In-situ only assumption"),"In-situ only paradox","")))</f>
        <v>In-situ only paradox</v>
      </c>
      <c r="FB672" s="317" t="s">
        <v>689</v>
      </c>
      <c r="FD672" s="317" t="s">
        <v>4924</v>
      </c>
    </row>
    <row r="673" spans="1:160" ht="15" customHeight="1">
      <c r="D673" t="s">
        <v>678</v>
      </c>
      <c r="E673" t="s">
        <v>679</v>
      </c>
      <c r="G673" t="s">
        <v>680</v>
      </c>
      <c r="I673">
        <v>2007</v>
      </c>
      <c r="K673" s="288" t="s">
        <v>681</v>
      </c>
      <c r="M673" t="str">
        <f>LEFT($D673,FIND(",",$D673)-1)&amp;"_"&amp;I673&amp;L673</f>
        <v>Eriksson_2007</v>
      </c>
      <c r="N673" t="s">
        <v>222</v>
      </c>
      <c r="O673" t="s">
        <v>223</v>
      </c>
      <c r="Q673" s="317" t="s">
        <v>256</v>
      </c>
      <c r="R673" s="318" t="s">
        <v>1029</v>
      </c>
      <c r="S673" s="1" t="s">
        <v>682</v>
      </c>
      <c r="T673" t="s">
        <v>4922</v>
      </c>
      <c r="U673" s="143" t="s">
        <v>4927</v>
      </c>
      <c r="V673" s="253">
        <v>0</v>
      </c>
      <c r="W673" s="253">
        <v>0</v>
      </c>
      <c r="X673">
        <v>0</v>
      </c>
      <c r="Y673">
        <v>0</v>
      </c>
      <c r="Z673">
        <v>0</v>
      </c>
      <c r="AA673">
        <v>0</v>
      </c>
      <c r="AB673">
        <v>0</v>
      </c>
      <c r="AC673">
        <v>0</v>
      </c>
      <c r="AD673">
        <v>1</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s="141">
        <f>COUNTIF(X673:AY673,"&lt;&gt;0")</f>
        <v>1</v>
      </c>
      <c r="BA673" s="141">
        <f>COUNTIF(X673:AN673,"&lt;&gt;0")</f>
        <v>1</v>
      </c>
      <c r="BB673">
        <f>COUNTIF(X673:AE673,"&lt;&gt;0")</f>
        <v>1</v>
      </c>
      <c r="BC673">
        <f>COUNTIF(AF673:AK673,"&lt;&gt;0")</f>
        <v>0</v>
      </c>
      <c r="BD673">
        <f>COUNTIF(AL673:AN673,"&lt;&gt;0")</f>
        <v>0</v>
      </c>
      <c r="BE673">
        <f>COUNTIF(AU673:AY673,"&lt;&gt;0")</f>
        <v>0</v>
      </c>
      <c r="BF673">
        <f>COUNTIF(AO673:AT673,"&lt;&gt;0")</f>
        <v>0</v>
      </c>
      <c r="BG673" t="str" cm="1">
        <f t="array" ref="BG673">IF(BA673=1,INDEX($X$7:$AN$7,MATCH(TRUE,INDEX($X673:$AY673&lt;&gt;0,),0)),IF(BA673=0,INDEX($AO$7:$AY$7,MATCH(1,$AO673:$AY673,0)),IF(BH673="Multiple strategies","mixed drivers",IF(BH673="Supply chain","multiple supply","multiple silviculture"))))</f>
        <v>fertilisation</v>
      </c>
      <c r="BH673" s="2" t="str" cm="1">
        <f t="array" ref="BH673">IF(COUNTIF(BB673:BD673,"&lt;&gt;0")=1,INDEX($X$4:$AY$4,MATCH(TRUE,INDEX($X673:$AY673&lt;&gt;0,),0)),IF(COUNTIF(BB673:BD673,"&lt;&gt;0")=0,INDEX($AO$4:$AY$4,MATCH(1,$AO673:$AY673,0)),"Multiple strategies"))</f>
        <v>Silviculture for productivity</v>
      </c>
      <c r="BI673" s="142" t="s">
        <v>321</v>
      </c>
      <c r="BJ673" t="s">
        <v>684</v>
      </c>
      <c r="BK673" s="317" t="s">
        <v>685</v>
      </c>
      <c r="BL673" s="143" t="s">
        <v>691</v>
      </c>
      <c r="BM673">
        <v>7.3</v>
      </c>
      <c r="BN673" s="143">
        <v>10</v>
      </c>
      <c r="BO673" s="143">
        <f>BN673/BM673</f>
        <v>1.3698630136986301</v>
      </c>
      <c r="BP673">
        <f>BN673-BM673</f>
        <v>2.7</v>
      </c>
      <c r="BQ673" s="143">
        <f>BP673</f>
        <v>2.7</v>
      </c>
      <c r="BR673" t="s">
        <v>232</v>
      </c>
      <c r="BS673" s="153" t="s">
        <v>687</v>
      </c>
      <c r="BT673" t="s">
        <v>688</v>
      </c>
      <c r="BU673" s="151">
        <v>0.47322717622080668</v>
      </c>
      <c r="BV673" s="151">
        <v>0.56573248407643395</v>
      </c>
      <c r="BW673">
        <f>BV673/BU673</f>
        <v>1.1954775898425252</v>
      </c>
      <c r="BX673">
        <f>BV673-BU673</f>
        <v>9.2505307855627272E-2</v>
      </c>
      <c r="BZ673">
        <f>BX673*C_to_CO2</f>
        <v>0.33949447983015207</v>
      </c>
      <c r="CA673">
        <f>IFERROR(BZ673/BQ673,"")</f>
        <v>0.12573869623338965</v>
      </c>
      <c r="CB673" s="143">
        <v>0</v>
      </c>
      <c r="CC673" s="143">
        <v>0</v>
      </c>
      <c r="CD673" s="143">
        <v>0</v>
      </c>
      <c r="CE673" s="143">
        <v>0</v>
      </c>
      <c r="CF673" s="143">
        <v>0</v>
      </c>
      <c r="CG673" s="143">
        <v>0</v>
      </c>
      <c r="CH673" s="143">
        <v>0</v>
      </c>
      <c r="CI673" s="143">
        <v>0</v>
      </c>
      <c r="CJ673" s="143">
        <v>0</v>
      </c>
      <c r="CK673" s="143">
        <v>0</v>
      </c>
      <c r="CL673" s="143">
        <v>0</v>
      </c>
      <c r="CM673" s="143">
        <v>0</v>
      </c>
      <c r="CN673" s="143">
        <v>0</v>
      </c>
      <c r="CO673">
        <v>0</v>
      </c>
      <c r="CP673" t="str">
        <f>IF($BN673&lt;$BM673,"refNeedCorrection","refOK")</f>
        <v>refOK</v>
      </c>
      <c r="CQ673">
        <f>IF($CP673="refOK",$BM673,$BN673)</f>
        <v>7.3</v>
      </c>
      <c r="CR673">
        <f>IF($CP673="refOK",$BN673,$BM673)</f>
        <v>10</v>
      </c>
      <c r="CS673">
        <f>IF($CP673="refOK",$BQ673,-$BQ673)</f>
        <v>2.7</v>
      </c>
      <c r="CT673">
        <f>IF(BI673="Roundwood",$CS673/2,$CS673)</f>
        <v>1.35</v>
      </c>
      <c r="CU673">
        <f>IF($CP673="refOK",$BU673,$BV673)*IF($BR673="Emissions positive",-1,1)</f>
        <v>0.47322717622080668</v>
      </c>
      <c r="CV673">
        <f>IF($CP673="refOK",$BV673,$BU673)*IF($BR673="Emissions positive",-1,1)</f>
        <v>0.56573248407643395</v>
      </c>
      <c r="CW673">
        <f>IF($CP673="refNeedCorrection",-BZ673,BZ673)*IF($BR673="Emissions positive",-1,1)</f>
        <v>0.33949447983015207</v>
      </c>
      <c r="CX673">
        <f>IFERROR($CW673/$CS673,"")</f>
        <v>0.12573869623338965</v>
      </c>
      <c r="CY673">
        <f>IFERROR($CW673/$CS673,"")</f>
        <v>0.12573869623338965</v>
      </c>
      <c r="CZ673">
        <f>IFERROR($CW673/$CT673,"")</f>
        <v>0.2514773924667793</v>
      </c>
      <c r="DA673" s="2">
        <f>IFERROR((CV673-CU673)/ABS(CU673),"")</f>
        <v>0.19547758984252525</v>
      </c>
      <c r="DB673" s="1" t="s">
        <v>234</v>
      </c>
      <c r="DC673" s="317" t="str">
        <f>IF(OR($DB673="prd",$DB673="std",$DB673="cit"),"loc",IF(OR($DB673="eur",$DB673="reg",$DB673="coy"),"reg",$DB673))</f>
        <v>loc</v>
      </c>
      <c r="DD673" t="s">
        <v>264</v>
      </c>
      <c r="DF673" s="143"/>
      <c r="DG673" s="143">
        <v>300</v>
      </c>
      <c r="DH673" t="str">
        <f>IF(DG673=0,"0",IF(AND(DG673&gt;=1,DG673&lt;=30),"1-30",IF(AND(DG673&gt;30,DG673&lt;=70),"31-70",IF(AND(DG673&gt;70,DG673&lt;=100),"71-100",IF(DG673&gt;100,"+100")))))</f>
        <v>+100</v>
      </c>
      <c r="DI673">
        <v>0</v>
      </c>
      <c r="DJ673">
        <v>1</v>
      </c>
      <c r="DK673">
        <v>0</v>
      </c>
      <c r="DL673">
        <v>0</v>
      </c>
      <c r="DN673">
        <f>SUM(DI673:DL673)</f>
        <v>1</v>
      </c>
      <c r="DO673" t="str">
        <f>IF(DN673=1,INDEX($DI$7:$DL$7,MATCH(1,$DI673:$DL673,0)),"mixedProduct")</f>
        <v>EnergyInput</v>
      </c>
      <c r="DP673">
        <f>IF(DI673=1,DP$7,0)</f>
        <v>0</v>
      </c>
      <c r="DQ673" t="str">
        <f>IF(DJ673=1,DQ$7,0)</f>
        <v>Energy</v>
      </c>
      <c r="DR673">
        <f>IF(DK673=1,DR$7,0)</f>
        <v>0</v>
      </c>
      <c r="DS673">
        <f>IF(DL673=1,DS$7,0)</f>
        <v>0</v>
      </c>
      <c r="DT673">
        <v>1</v>
      </c>
      <c r="DU673" s="143">
        <v>0</v>
      </c>
      <c r="DV673" s="143">
        <v>0</v>
      </c>
      <c r="DW673">
        <v>0</v>
      </c>
      <c r="DX673" s="143">
        <v>0</v>
      </c>
      <c r="DY673">
        <f>SUM(DT673:DU673)</f>
        <v>1</v>
      </c>
      <c r="DZ673" s="143" t="str">
        <f>IF(DT673=1,"self-calculated DF",IF(DU673=1,"external DF used","explicit C balance"))</f>
        <v>self-calculated DF</v>
      </c>
      <c r="EA673" s="143">
        <v>1</v>
      </c>
      <c r="EB673" s="143">
        <v>1</v>
      </c>
      <c r="EC673" s="143">
        <v>1</v>
      </c>
      <c r="ED673" s="143">
        <v>0</v>
      </c>
      <c r="EE673">
        <v>0</v>
      </c>
      <c r="EF673" s="143">
        <v>0</v>
      </c>
      <c r="EG673" s="143">
        <v>0</v>
      </c>
      <c r="EH673" s="143">
        <v>0</v>
      </c>
      <c r="EI673" s="143">
        <v>0</v>
      </c>
      <c r="EJ673">
        <v>0</v>
      </c>
      <c r="EK673">
        <v>1</v>
      </c>
      <c r="EL673" s="143">
        <v>0</v>
      </c>
      <c r="EM673" s="143">
        <v>0</v>
      </c>
      <c r="EN673" s="2">
        <v>0</v>
      </c>
      <c r="EP673" t="str">
        <f>IF(AND(AND(AND(OR($EC673=1,$EB673=1),OR($EH673=1,$EF673=1)),SUM($EA673:$EE673,$EK673)&gt;=3),SUM($EF673:$EJ673)&gt;=2),"Whole sector approach","")</f>
        <v/>
      </c>
      <c r="EQ673" t="str">
        <f>IF(AND(AND(OR($EC673=1,$EB673=1),AND($EH673=0,$EF673=0)),SUM($EA673:$EE673,$EK673)&gt;=3),"Ecosystem approach","")</f>
        <v>Ecosystem approach</v>
      </c>
      <c r="ER673" s="2" t="str">
        <f>IF(AND(AND(AND($EC673=0,$EB673=0),OR($EH673=1,$EF673=1)),SUM($EG673:$EJ673)&gt;=2),"Technology approach","")</f>
        <v/>
      </c>
      <c r="ES673" t="str">
        <f>IF(AND($EC673+$EB673+$EE673+$EA673+$ED673+$EG673=0,$N673="included"),"C neutral forest and HWP assumption","")</f>
        <v/>
      </c>
      <c r="ET673" t="str">
        <f>IF(AND(AND(AND(AND($EC673=1,$EB673+$EA673+$EG673&gt;=1),$EF673=1),$EH673+$EI673+$ED673+$EE673&gt;=2),$N673="included"),"All C pools assumption","")</f>
        <v/>
      </c>
      <c r="EU673" t="str">
        <f>IF(AND($ED673+$EE673+$EI673+$EH673+$EF673=0,$N673="included"),"In-situ only assumption","")</f>
        <v>In-situ only assumption</v>
      </c>
      <c r="EY673" t="str">
        <f>IF(ISNUMBER(BW673),IF(ABS(BW673-[4]QC_indicators!$B$2)&gt;3*[4]QC_indicators!$C$2,"C ratio",IF(ISNUMBER(CA673),IF(ABS(CA673-[4]QC_indicators!$B$1)&gt;3*[4]QC_indicators!$C$1,"DF","no"))),IF(ISNUMBER(CA673),IF(ABS(CA673-[4]QC_indicators!$B$1)&gt;3*[4]QC_indicators!$C$1,"DF","no")))</f>
        <v>no</v>
      </c>
      <c r="FA673" t="str">
        <f>IF(LEN($CY673)=0,"",IF(AND($CY673&lt;(-0.05),$ES673="C neutral forest and HWP assumption"),"Cneutral paradox",IF(AND($CY673&gt;0.05,$EU673="In-situ only assumption"),"In-situ only paradox","")))</f>
        <v>In-situ only paradox</v>
      </c>
      <c r="FB673" s="317" t="s">
        <v>692</v>
      </c>
      <c r="FD673" s="317" t="s">
        <v>4924</v>
      </c>
    </row>
    <row r="674" spans="1:160" ht="15" hidden="1" customHeight="1">
      <c r="D674" t="s">
        <v>678</v>
      </c>
      <c r="E674" t="s">
        <v>679</v>
      </c>
      <c r="G674" t="s">
        <v>680</v>
      </c>
      <c r="I674">
        <v>2007</v>
      </c>
      <c r="K674" s="288" t="s">
        <v>681</v>
      </c>
      <c r="M674" t="str">
        <f>LEFT($D674,FIND(",",$D674)-1)&amp;"_"&amp;I674&amp;L674</f>
        <v>Eriksson_2007</v>
      </c>
      <c r="N674" t="s">
        <v>222</v>
      </c>
      <c r="O674" t="s">
        <v>223</v>
      </c>
      <c r="Q674" s="317" t="s">
        <v>256</v>
      </c>
      <c r="R674" s="318" t="s">
        <v>1029</v>
      </c>
      <c r="S674" s="1" t="s">
        <v>682</v>
      </c>
      <c r="T674" t="s">
        <v>4922</v>
      </c>
      <c r="U674" s="143" t="s">
        <v>4926</v>
      </c>
      <c r="V674" s="253">
        <v>0</v>
      </c>
      <c r="W674" s="253">
        <v>0</v>
      </c>
      <c r="X674">
        <v>0</v>
      </c>
      <c r="Y674">
        <v>0</v>
      </c>
      <c r="Z674">
        <v>0</v>
      </c>
      <c r="AA674">
        <v>0</v>
      </c>
      <c r="AB674">
        <v>0</v>
      </c>
      <c r="AC674">
        <v>1</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s="141">
        <f>COUNTIF(X674:AY674,"&lt;&gt;0")</f>
        <v>1</v>
      </c>
      <c r="BA674" s="141">
        <f>COUNTIF(X674:AN674,"&lt;&gt;0")</f>
        <v>1</v>
      </c>
      <c r="BB674">
        <f>COUNTIF(X674:AE674,"&lt;&gt;0")</f>
        <v>1</v>
      </c>
      <c r="BC674">
        <f>COUNTIF(AF674:AK674,"&lt;&gt;0")</f>
        <v>0</v>
      </c>
      <c r="BD674">
        <f>COUNTIF(AL674:AN674,"&lt;&gt;0")</f>
        <v>0</v>
      </c>
      <c r="BE674">
        <f>COUNTIF(AU674:AY674,"&lt;&gt;0")</f>
        <v>0</v>
      </c>
      <c r="BF674">
        <f>COUNTIF(AO674:AT674,"&lt;&gt;0")</f>
        <v>0</v>
      </c>
      <c r="BG674" t="str" cm="1">
        <f t="array" ref="BG674">IF(BA674=1,INDEX($X$7:$AN$7,MATCH(TRUE,INDEX($X674:$AY674&lt;&gt;0,),0)),IF(BA674=0,INDEX($AO$7:$AY$7,MATCH(1,$AO674:$AY674,0)),IF(BH674="Multiple strategies","mixed drivers",IF(BH674="Supply chain","multiple supply","multiple silviculture"))))</f>
        <v>plantation density</v>
      </c>
      <c r="BH674" s="2" t="str" cm="1">
        <f t="array" ref="BH674">IF(COUNTIF(BB674:BD674,"&lt;&gt;0")=1,INDEX($X$4:$AY$4,MATCH(TRUE,INDEX($X674:$AY674&lt;&gt;0,),0)),IF(COUNTIF(BB674:BD674,"&lt;&gt;0")=0,INDEX($AO$4:$AY$4,MATCH(1,$AO674:$AY674,0)),"Multiple strategies"))</f>
        <v>Silviculture for productivity</v>
      </c>
      <c r="BI674" s="142" t="s">
        <v>321</v>
      </c>
      <c r="BJ674" t="s">
        <v>684</v>
      </c>
      <c r="BK674" s="317" t="s">
        <v>685</v>
      </c>
      <c r="BL674" s="143" t="s">
        <v>686</v>
      </c>
      <c r="BM674">
        <v>7.3</v>
      </c>
      <c r="BN674" s="143">
        <v>7.7</v>
      </c>
      <c r="BO674" s="143">
        <f>BN674/BM674</f>
        <v>1.0547945205479452</v>
      </c>
      <c r="BP674">
        <f>BN674-BM674</f>
        <v>0.40000000000000036</v>
      </c>
      <c r="BQ674" s="143">
        <f>BP674</f>
        <v>0.40000000000000036</v>
      </c>
      <c r="BR674" t="s">
        <v>232</v>
      </c>
      <c r="BS674" s="153" t="s">
        <v>687</v>
      </c>
      <c r="BT674" s="141" t="s">
        <v>688</v>
      </c>
      <c r="BU674" s="151">
        <v>1.0464755838641187</v>
      </c>
      <c r="BV674" s="151">
        <v>1.1535031847133761</v>
      </c>
      <c r="BW674">
        <f>BV674/BU674</f>
        <v>1.1022743411308817</v>
      </c>
      <c r="BX674">
        <f>BV674-BU674</f>
        <v>0.10702760084925744</v>
      </c>
      <c r="BZ674">
        <f>BX674*C_to_CO2</f>
        <v>0.3927912951167748</v>
      </c>
      <c r="CA674">
        <f>IFERROR(BZ674/BQ674,"")</f>
        <v>0.98197823779193616</v>
      </c>
      <c r="CB674" s="143">
        <v>0</v>
      </c>
      <c r="CC674" s="143">
        <v>0</v>
      </c>
      <c r="CD674" s="143">
        <v>0</v>
      </c>
      <c r="CE674" s="143">
        <v>0</v>
      </c>
      <c r="CF674" s="143">
        <v>0</v>
      </c>
      <c r="CG674" s="143">
        <v>0</v>
      </c>
      <c r="CH674" s="143">
        <v>0</v>
      </c>
      <c r="CI674" s="143">
        <v>0</v>
      </c>
      <c r="CJ674" s="143">
        <v>0</v>
      </c>
      <c r="CK674" s="143">
        <v>0</v>
      </c>
      <c r="CL674" s="143">
        <v>0</v>
      </c>
      <c r="CM674" s="143">
        <v>0</v>
      </c>
      <c r="CN674" s="143">
        <v>0</v>
      </c>
      <c r="CO674">
        <v>0</v>
      </c>
      <c r="CP674" t="str">
        <f>IF($BN674&lt;$BM674,"refNeedCorrection","refOK")</f>
        <v>refOK</v>
      </c>
      <c r="CQ674">
        <f>IF($CP674="refOK",$BM674,$BN674)</f>
        <v>7.3</v>
      </c>
      <c r="CR674">
        <f>IF($CP674="refOK",$BN674,$BM674)</f>
        <v>7.7</v>
      </c>
      <c r="CS674">
        <f>IF($CP674="refOK",$BQ674,-$BQ674)</f>
        <v>0.40000000000000036</v>
      </c>
      <c r="CT674">
        <f>IF(BI674="Roundwood",$CS674/2,$CS674)</f>
        <v>0.20000000000000018</v>
      </c>
      <c r="CU674">
        <f>IF($CP674="refOK",$BU674,$BV674)*IF($BR674="Emissions positive",-1,1)</f>
        <v>1.0464755838641187</v>
      </c>
      <c r="CV674">
        <f>IF($CP674="refOK",$BV674,$BU674)*IF($BR674="Emissions positive",-1,1)</f>
        <v>1.1535031847133761</v>
      </c>
      <c r="CW674">
        <f>IF($CP674="refNeedCorrection",-BZ674,BZ674)*IF($BR674="Emissions positive",-1,1)</f>
        <v>0.3927912951167748</v>
      </c>
      <c r="CX674">
        <f>IFERROR($CW674/$CS674,"")</f>
        <v>0.98197823779193616</v>
      </c>
      <c r="CY674">
        <f>IFERROR($CW674/$CS674,"")</f>
        <v>0.98197823779193616</v>
      </c>
      <c r="CZ674">
        <f>IFERROR($CW674/$CT674,"")</f>
        <v>1.9639564755838723</v>
      </c>
      <c r="DA674" s="2">
        <f>IFERROR((CV674-CU674)/ABS(CU674),"")</f>
        <v>0.10227434113088167</v>
      </c>
      <c r="DB674" s="1" t="s">
        <v>234</v>
      </c>
      <c r="DC674" s="317" t="str">
        <f>IF(OR($DB674="prd",$DB674="std",$DB674="cit"),"loc",IF(OR($DB674="eur",$DB674="reg",$DB674="coy"),"reg",$DB674))</f>
        <v>loc</v>
      </c>
      <c r="DD674" t="s">
        <v>264</v>
      </c>
      <c r="DF674" s="143"/>
      <c r="DG674" s="143">
        <v>300</v>
      </c>
      <c r="DH674" t="str">
        <f>IF(DG674=0,"0",IF(AND(DG674&gt;=1,DG674&lt;=30),"1-30",IF(AND(DG674&gt;30,DG674&lt;=70),"31-70",IF(AND(DG674&gt;70,DG674&lt;=100),"71-100",IF(DG674&gt;100,"+100")))))</f>
        <v>+100</v>
      </c>
      <c r="DI674">
        <v>0</v>
      </c>
      <c r="DJ674">
        <v>1</v>
      </c>
      <c r="DK674">
        <v>0</v>
      </c>
      <c r="DL674">
        <v>0</v>
      </c>
      <c r="DN674">
        <f>SUM(DI674:DL674)</f>
        <v>1</v>
      </c>
      <c r="DO674" t="str">
        <f>IF(DN674=1,INDEX($DI$7:$DL$7,MATCH(1,$DI674:$DL674,0)),"mixedProduct")</f>
        <v>EnergyInput</v>
      </c>
      <c r="DP674">
        <f>IF(DI674=1,DP$7,0)</f>
        <v>0</v>
      </c>
      <c r="DQ674" t="str">
        <f>IF(DJ674=1,DQ$7,0)</f>
        <v>Energy</v>
      </c>
      <c r="DR674">
        <f>IF(DK674=1,DR$7,0)</f>
        <v>0</v>
      </c>
      <c r="DS674">
        <f>IF(DL674=1,DS$7,0)</f>
        <v>0</v>
      </c>
      <c r="DT674">
        <v>1</v>
      </c>
      <c r="DU674" s="143">
        <v>0</v>
      </c>
      <c r="DV674" s="143">
        <v>0</v>
      </c>
      <c r="DW674">
        <v>0</v>
      </c>
      <c r="DX674" s="143">
        <v>0</v>
      </c>
      <c r="DY674">
        <f>SUM(DT674:DU674)</f>
        <v>1</v>
      </c>
      <c r="DZ674" s="143" t="str">
        <f>IF(DT674=1,"self-calculated DF",IF(DU674=1,"external DF used","explicit C balance"))</f>
        <v>self-calculated DF</v>
      </c>
      <c r="EA674" s="143">
        <v>1</v>
      </c>
      <c r="EB674" s="143">
        <v>1</v>
      </c>
      <c r="EC674" s="143">
        <v>1</v>
      </c>
      <c r="ED674" s="143">
        <v>0</v>
      </c>
      <c r="EE674">
        <v>0</v>
      </c>
      <c r="EF674" s="143">
        <v>1</v>
      </c>
      <c r="EG674" s="143">
        <v>1</v>
      </c>
      <c r="EH674" s="143">
        <v>1</v>
      </c>
      <c r="EI674" s="143">
        <v>0</v>
      </c>
      <c r="EJ674">
        <v>0</v>
      </c>
      <c r="EK674">
        <v>1</v>
      </c>
      <c r="EL674" s="143">
        <v>0</v>
      </c>
      <c r="EM674" s="143">
        <v>0</v>
      </c>
      <c r="EN674" s="2">
        <v>0</v>
      </c>
      <c r="EP674" t="str">
        <f>IF(AND(AND(AND(OR($EC674=1,$EB674=1),OR($EH674=1,$EF674=1)),SUM($EA674:$EE674,$EK674)&gt;=3),SUM($EF674:$EJ674)&gt;=2),"Whole sector approach","")</f>
        <v>Whole sector approach</v>
      </c>
      <c r="EQ674" t="str">
        <f>IF(AND(AND(OR($EC674=1,$EB674=1),AND($EH674=0,$EF674=0)),SUM($EA674:$EE674,$EK674)&gt;=3),"Ecosystem approach","")</f>
        <v/>
      </c>
      <c r="ER674" s="2" t="str">
        <f>IF(AND(AND(AND($EC674=0,$EB674=0),OR($EH674=1,$EF674=1)),SUM($EG674:$EJ674)&gt;=2),"Technology approach","")</f>
        <v/>
      </c>
      <c r="ES674" t="str">
        <f>IF(AND($EC674+$EB674+$EE674+$EA674+$ED674+$EG674=0,$N674="included"),"C neutral forest and HWP assumption","")</f>
        <v/>
      </c>
      <c r="ET674" t="str">
        <f>IF(AND(AND(AND(AND($EC674=1,$EB674+$EA674+$EG674&gt;=1),$EF674=1),$EH674+$EI674+$ED674+$EE674&gt;=2),$N674="included"),"All C pools assumption","")</f>
        <v/>
      </c>
      <c r="EU674" t="str">
        <f>IF(AND($ED674+$EE674+$EI674+$EH674+$EF674=0,$N674="included"),"In-situ only assumption","")</f>
        <v/>
      </c>
      <c r="EY674" t="str">
        <f>IF(ISNUMBER(BW674),IF(ABS(BW674-[4]QC_indicators!$B$2)&gt;3*[4]QC_indicators!$C$2,"C ratio",IF(ISNUMBER(CA674),IF(ABS(CA674-[4]QC_indicators!$B$1)&gt;3*[4]QC_indicators!$C$1,"DF","no"))),IF(ISNUMBER(CA674),IF(ABS(CA674-[4]QC_indicators!$B$1)&gt;3*[4]QC_indicators!$C$1,"DF","no")))</f>
        <v>no</v>
      </c>
      <c r="FA674" t="str">
        <f>IF(LEN($CY674)=0,"",IF(AND($CY674&lt;(-0.05),$ES674="C neutral forest and HWP assumption"),"Cneutral paradox",IF(AND($CY674&gt;0.05,$EU674="In-situ only assumption"),"In-situ only paradox","")))</f>
        <v/>
      </c>
      <c r="FB674" s="317" t="s">
        <v>689</v>
      </c>
      <c r="FD674" s="317" t="s">
        <v>4924</v>
      </c>
    </row>
    <row r="675" spans="1:160" ht="15" hidden="1" customHeight="1">
      <c r="D675" t="s">
        <v>678</v>
      </c>
      <c r="E675" t="s">
        <v>679</v>
      </c>
      <c r="G675" t="s">
        <v>680</v>
      </c>
      <c r="I675">
        <v>2007</v>
      </c>
      <c r="K675" s="288" t="s">
        <v>681</v>
      </c>
      <c r="M675" t="str">
        <f>LEFT($D675,FIND(",",$D675)-1)&amp;"_"&amp;I675&amp;L675</f>
        <v>Eriksson_2007</v>
      </c>
      <c r="N675" t="s">
        <v>222</v>
      </c>
      <c r="O675" t="s">
        <v>223</v>
      </c>
      <c r="Q675" s="317" t="s">
        <v>256</v>
      </c>
      <c r="R675" s="318" t="s">
        <v>1029</v>
      </c>
      <c r="S675" s="1" t="s">
        <v>682</v>
      </c>
      <c r="T675" t="s">
        <v>4922</v>
      </c>
      <c r="U675" s="143" t="s">
        <v>4927</v>
      </c>
      <c r="V675" s="253">
        <v>0</v>
      </c>
      <c r="W675" s="253">
        <v>0</v>
      </c>
      <c r="X675">
        <v>0</v>
      </c>
      <c r="Y675">
        <v>0</v>
      </c>
      <c r="Z675">
        <v>0</v>
      </c>
      <c r="AA675">
        <v>0</v>
      </c>
      <c r="AB675">
        <v>0</v>
      </c>
      <c r="AC675">
        <v>0</v>
      </c>
      <c r="AD675">
        <v>1</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s="141">
        <f>COUNTIF(X675:AY675,"&lt;&gt;0")</f>
        <v>1</v>
      </c>
      <c r="BA675" s="141">
        <f>COUNTIF(X675:AN675,"&lt;&gt;0")</f>
        <v>1</v>
      </c>
      <c r="BB675">
        <f>COUNTIF(X675:AE675,"&lt;&gt;0")</f>
        <v>1</v>
      </c>
      <c r="BC675">
        <f>COUNTIF(AF675:AK675,"&lt;&gt;0")</f>
        <v>0</v>
      </c>
      <c r="BD675">
        <f>COUNTIF(AL675:AN675,"&lt;&gt;0")</f>
        <v>0</v>
      </c>
      <c r="BE675">
        <f>COUNTIF(AU675:AY675,"&lt;&gt;0")</f>
        <v>0</v>
      </c>
      <c r="BF675">
        <f>COUNTIF(AO675:AT675,"&lt;&gt;0")</f>
        <v>0</v>
      </c>
      <c r="BG675" t="str" cm="1">
        <f t="array" ref="BG675">IF(BA675=1,INDEX($X$7:$AN$7,MATCH(TRUE,INDEX($X675:$AY675&lt;&gt;0,),0)),IF(BA675=0,INDEX($AO$7:$AY$7,MATCH(1,$AO675:$AY675,0)),IF(BH675="Multiple strategies","mixed drivers",IF(BH675="Supply chain","multiple supply","multiple silviculture"))))</f>
        <v>fertilisation</v>
      </c>
      <c r="BH675" s="2" t="str" cm="1">
        <f t="array" ref="BH675">IF(COUNTIF(BB675:BD675,"&lt;&gt;0")=1,INDEX($X$4:$AY$4,MATCH(TRUE,INDEX($X675:$AY675&lt;&gt;0,),0)),IF(COUNTIF(BB675:BD675,"&lt;&gt;0")=0,INDEX($AO$4:$AY$4,MATCH(1,$AO675:$AY675,0)),"Multiple strategies"))</f>
        <v>Silviculture for productivity</v>
      </c>
      <c r="BI675" s="142" t="s">
        <v>321</v>
      </c>
      <c r="BJ675" t="s">
        <v>684</v>
      </c>
      <c r="BK675" s="317" t="s">
        <v>685</v>
      </c>
      <c r="BL675" s="143" t="s">
        <v>686</v>
      </c>
      <c r="BM675">
        <v>7.3</v>
      </c>
      <c r="BN675" s="143">
        <v>10</v>
      </c>
      <c r="BO675" s="143">
        <f>BN675/BM675</f>
        <v>1.3698630136986301</v>
      </c>
      <c r="BP675">
        <f>BN675-BM675</f>
        <v>2.7</v>
      </c>
      <c r="BQ675" s="143">
        <f>BP675</f>
        <v>2.7</v>
      </c>
      <c r="BR675" t="s">
        <v>232</v>
      </c>
      <c r="BS675" s="153" t="s">
        <v>687</v>
      </c>
      <c r="BT675" s="141" t="s">
        <v>688</v>
      </c>
      <c r="BU675" s="151">
        <v>1.0464755838641187</v>
      </c>
      <c r="BV675" s="151">
        <v>1.3428025477707</v>
      </c>
      <c r="BW675">
        <f>BV675/BU675</f>
        <v>1.2831666294710784</v>
      </c>
      <c r="BX675">
        <f>BV675-BU675</f>
        <v>0.29632696390658131</v>
      </c>
      <c r="BZ675">
        <f>BX675*C_to_CO2</f>
        <v>1.0875199575371535</v>
      </c>
      <c r="CA675">
        <f>IFERROR(BZ675/BQ675,"")</f>
        <v>0.40278516945820497</v>
      </c>
      <c r="CB675" s="143">
        <v>0</v>
      </c>
      <c r="CC675" s="143">
        <v>0</v>
      </c>
      <c r="CD675" s="143">
        <v>0</v>
      </c>
      <c r="CE675" s="143">
        <v>0</v>
      </c>
      <c r="CF675" s="143">
        <v>0</v>
      </c>
      <c r="CG675" s="143">
        <v>0</v>
      </c>
      <c r="CH675" s="143">
        <v>0</v>
      </c>
      <c r="CI675" s="143">
        <v>0</v>
      </c>
      <c r="CJ675" s="143">
        <v>0</v>
      </c>
      <c r="CK675" s="143">
        <v>0</v>
      </c>
      <c r="CL675" s="143">
        <v>0</v>
      </c>
      <c r="CM675" s="143">
        <v>0</v>
      </c>
      <c r="CN675" s="143">
        <v>0</v>
      </c>
      <c r="CO675">
        <v>0</v>
      </c>
      <c r="CP675" t="str">
        <f>IF($BN675&lt;$BM675,"refNeedCorrection","refOK")</f>
        <v>refOK</v>
      </c>
      <c r="CQ675">
        <f>IF($CP675="refOK",$BM675,$BN675)</f>
        <v>7.3</v>
      </c>
      <c r="CR675">
        <f>IF($CP675="refOK",$BN675,$BM675)</f>
        <v>10</v>
      </c>
      <c r="CS675">
        <f>IF($CP675="refOK",$BQ675,-$BQ675)</f>
        <v>2.7</v>
      </c>
      <c r="CT675">
        <f>IF(BI675="Roundwood",$CS675/2,$CS675)</f>
        <v>1.35</v>
      </c>
      <c r="CU675">
        <f>IF($CP675="refOK",$BU675,$BV675)*IF($BR675="Emissions positive",-1,1)</f>
        <v>1.0464755838641187</v>
      </c>
      <c r="CV675">
        <f>IF($CP675="refOK",$BV675,$BU675)*IF($BR675="Emissions positive",-1,1)</f>
        <v>1.3428025477707</v>
      </c>
      <c r="CW675">
        <f>IF($CP675="refNeedCorrection",-BZ675,BZ675)*IF($BR675="Emissions positive",-1,1)</f>
        <v>1.0875199575371535</v>
      </c>
      <c r="CX675">
        <f>IFERROR($CW675/$CS675,"")</f>
        <v>0.40278516945820497</v>
      </c>
      <c r="CY675">
        <f>IFERROR($CW675/$CS675,"")</f>
        <v>0.40278516945820497</v>
      </c>
      <c r="CZ675">
        <f>IFERROR($CW675/$CT675,"")</f>
        <v>0.80557033891640994</v>
      </c>
      <c r="DA675" s="2">
        <f>IFERROR((CV675-CU675)/ABS(CU675),"")</f>
        <v>0.2831666294710784</v>
      </c>
      <c r="DB675" s="1" t="s">
        <v>234</v>
      </c>
      <c r="DC675" s="317" t="str">
        <f>IF(OR($DB675="prd",$DB675="std",$DB675="cit"),"loc",IF(OR($DB675="eur",$DB675="reg",$DB675="coy"),"reg",$DB675))</f>
        <v>loc</v>
      </c>
      <c r="DD675" t="s">
        <v>264</v>
      </c>
      <c r="DF675" s="143"/>
      <c r="DG675" s="143">
        <v>300</v>
      </c>
      <c r="DH675" t="str">
        <f>IF(DG675=0,"0",IF(AND(DG675&gt;=1,DG675&lt;=30),"1-30",IF(AND(DG675&gt;30,DG675&lt;=70),"31-70",IF(AND(DG675&gt;70,DG675&lt;=100),"71-100",IF(DG675&gt;100,"+100")))))</f>
        <v>+100</v>
      </c>
      <c r="DI675">
        <v>0</v>
      </c>
      <c r="DJ675">
        <v>1</v>
      </c>
      <c r="DK675">
        <v>0</v>
      </c>
      <c r="DL675">
        <v>0</v>
      </c>
      <c r="DN675">
        <f>SUM(DI675:DL675)</f>
        <v>1</v>
      </c>
      <c r="DO675" t="str">
        <f>IF(DN675=1,INDEX($DI$7:$DL$7,MATCH(1,$DI675:$DL675,0)),"mixedProduct")</f>
        <v>EnergyInput</v>
      </c>
      <c r="DP675">
        <f>IF(DI675=1,DP$7,0)</f>
        <v>0</v>
      </c>
      <c r="DQ675" t="str">
        <f>IF(DJ675=1,DQ$7,0)</f>
        <v>Energy</v>
      </c>
      <c r="DR675">
        <f>IF(DK675=1,DR$7,0)</f>
        <v>0</v>
      </c>
      <c r="DS675">
        <f>IF(DL675=1,DS$7,0)</f>
        <v>0</v>
      </c>
      <c r="DT675">
        <v>1</v>
      </c>
      <c r="DU675" s="143">
        <v>0</v>
      </c>
      <c r="DV675" s="143">
        <v>0</v>
      </c>
      <c r="DW675">
        <v>0</v>
      </c>
      <c r="DX675" s="143">
        <v>0</v>
      </c>
      <c r="DY675">
        <f>SUM(DT675:DU675)</f>
        <v>1</v>
      </c>
      <c r="DZ675" s="143" t="str">
        <f>IF(DT675=1,"self-calculated DF",IF(DU675=1,"external DF used","explicit C balance"))</f>
        <v>self-calculated DF</v>
      </c>
      <c r="EA675" s="143">
        <v>1</v>
      </c>
      <c r="EB675" s="143">
        <v>1</v>
      </c>
      <c r="EC675" s="143">
        <v>1</v>
      </c>
      <c r="ED675" s="143">
        <v>0</v>
      </c>
      <c r="EE675">
        <v>0</v>
      </c>
      <c r="EF675" s="143">
        <v>1</v>
      </c>
      <c r="EG675" s="143">
        <v>1</v>
      </c>
      <c r="EH675" s="143">
        <v>1</v>
      </c>
      <c r="EI675" s="143">
        <v>0</v>
      </c>
      <c r="EJ675">
        <v>0</v>
      </c>
      <c r="EK675">
        <v>1</v>
      </c>
      <c r="EL675" s="143">
        <v>0</v>
      </c>
      <c r="EM675" s="143">
        <v>0</v>
      </c>
      <c r="EN675" s="2">
        <v>0</v>
      </c>
      <c r="EP675" t="str">
        <f>IF(AND(AND(AND(OR($EC675=1,$EB675=1),OR($EH675=1,$EF675=1)),SUM($EA675:$EE675,$EK675)&gt;=3),SUM($EF675:$EJ675)&gt;=2),"Whole sector approach","")</f>
        <v>Whole sector approach</v>
      </c>
      <c r="EQ675" t="str">
        <f>IF(AND(AND(OR($EC675=1,$EB675=1),AND($EH675=0,$EF675=0)),SUM($EA675:$EE675,$EK675)&gt;=3),"Ecosystem approach","")</f>
        <v/>
      </c>
      <c r="ER675" s="2" t="str">
        <f>IF(AND(AND(AND($EC675=0,$EB675=0),OR($EH675=1,$EF675=1)),SUM($EG675:$EJ675)&gt;=2),"Technology approach","")</f>
        <v/>
      </c>
      <c r="ES675" t="str">
        <f>IF(AND($EC675+$EB675+$EE675+$EA675+$ED675+$EG675=0,$N675="included"),"C neutral forest and HWP assumption","")</f>
        <v/>
      </c>
      <c r="ET675" t="str">
        <f>IF(AND(AND(AND(AND($EC675=1,$EB675+$EA675+$EG675&gt;=1),$EF675=1),$EH675+$EI675+$ED675+$EE675&gt;=2),$N675="included"),"All C pools assumption","")</f>
        <v/>
      </c>
      <c r="EU675" t="str">
        <f>IF(AND($ED675+$EE675+$EI675+$EH675+$EF675=0,$N675="included"),"In-situ only assumption","")</f>
        <v/>
      </c>
      <c r="EY675" t="str">
        <f>IF(ISNUMBER(BW675),IF(ABS(BW675-[4]QC_indicators!$B$2)&gt;3*[4]QC_indicators!$C$2,"C ratio",IF(ISNUMBER(CA675),IF(ABS(CA675-[4]QC_indicators!$B$1)&gt;3*[4]QC_indicators!$C$1,"DF","no"))),IF(ISNUMBER(CA675),IF(ABS(CA675-[4]QC_indicators!$B$1)&gt;3*[4]QC_indicators!$C$1,"DF","no")))</f>
        <v>no</v>
      </c>
      <c r="FA675" t="str">
        <f>IF(LEN($CY675)=0,"",IF(AND($CY675&lt;(-0.05),$ES675="C neutral forest and HWP assumption"),"Cneutral paradox",IF(AND($CY675&gt;0.05,$EU675="In-situ only assumption"),"In-situ only paradox","")))</f>
        <v/>
      </c>
      <c r="FB675" s="317" t="s">
        <v>689</v>
      </c>
      <c r="FD675" s="317" t="s">
        <v>4924</v>
      </c>
    </row>
    <row r="676" spans="1:160" ht="15" hidden="1" customHeight="1">
      <c r="D676" t="s">
        <v>1508</v>
      </c>
      <c r="E676" t="s">
        <v>1509</v>
      </c>
      <c r="G676" t="s">
        <v>1510</v>
      </c>
      <c r="I676">
        <v>2007</v>
      </c>
      <c r="K676" t="s">
        <v>1511</v>
      </c>
      <c r="M676" t="str">
        <f>LEFT($D676,FIND(",",$D676)-1)&amp;"_"&amp;I676&amp;L676</f>
        <v>Gustavsson_2007</v>
      </c>
      <c r="N676" t="s">
        <v>222</v>
      </c>
      <c r="O676" t="s">
        <v>223</v>
      </c>
      <c r="Q676" t="s">
        <v>256</v>
      </c>
      <c r="R676" s="264" t="s">
        <v>274</v>
      </c>
      <c r="S676" s="1" t="s">
        <v>1512</v>
      </c>
      <c r="T676" t="s">
        <v>739</v>
      </c>
      <c r="U676" s="143" t="s">
        <v>1513</v>
      </c>
      <c r="V676" s="253">
        <v>0</v>
      </c>
      <c r="W676" s="253">
        <v>0</v>
      </c>
      <c r="X676">
        <v>0</v>
      </c>
      <c r="Y676">
        <v>0</v>
      </c>
      <c r="Z676">
        <v>0</v>
      </c>
      <c r="AA676">
        <v>0</v>
      </c>
      <c r="AB676">
        <v>0</v>
      </c>
      <c r="AC676">
        <v>0</v>
      </c>
      <c r="AD676">
        <v>0</v>
      </c>
      <c r="AE676">
        <v>0</v>
      </c>
      <c r="AF676">
        <v>0</v>
      </c>
      <c r="AG676">
        <v>0</v>
      </c>
      <c r="AH676">
        <v>0</v>
      </c>
      <c r="AI676">
        <v>0</v>
      </c>
      <c r="AJ676">
        <v>0</v>
      </c>
      <c r="AK676">
        <v>0</v>
      </c>
      <c r="AL676">
        <v>0</v>
      </c>
      <c r="AM676">
        <v>1</v>
      </c>
      <c r="AN676">
        <v>0</v>
      </c>
      <c r="AO676">
        <v>0</v>
      </c>
      <c r="AP676">
        <v>0</v>
      </c>
      <c r="AQ676">
        <v>0</v>
      </c>
      <c r="AR676">
        <v>0</v>
      </c>
      <c r="AS676">
        <v>0</v>
      </c>
      <c r="AT676">
        <v>0</v>
      </c>
      <c r="AU676">
        <v>0</v>
      </c>
      <c r="AV676">
        <v>0</v>
      </c>
      <c r="AW676">
        <v>0</v>
      </c>
      <c r="AX676">
        <v>0</v>
      </c>
      <c r="AY676">
        <v>0</v>
      </c>
      <c r="AZ676" s="141">
        <f>COUNTIF(X676:AY676,"&lt;&gt;0")</f>
        <v>1</v>
      </c>
      <c r="BA676" s="141">
        <f>COUNTIF(X676:AN676,"&lt;&gt;0")</f>
        <v>1</v>
      </c>
      <c r="BB676">
        <f>COUNTIF(X676:AE676,"&lt;&gt;0")</f>
        <v>0</v>
      </c>
      <c r="BC676">
        <f>COUNTIF(AF676:AK676,"&lt;&gt;0")</f>
        <v>0</v>
      </c>
      <c r="BD676">
        <f>COUNTIF(AL676:AN676,"&lt;&gt;0")</f>
        <v>1</v>
      </c>
      <c r="BE676">
        <f>COUNTIF(AU676:AY676,"&lt;&gt;0")</f>
        <v>0</v>
      </c>
      <c r="BF676">
        <f>COUNTIF(AO676:AT676,"&lt;&gt;0")</f>
        <v>0</v>
      </c>
      <c r="BG676" t="str">
        <f t="array" ref="BG676">IF(BA676=1,INDEX($X$7:$AN$7,MATCH(TRUE,INDEX($X676:$AY676&lt;&gt;0,),0)),IF(BA676=0,INDEX($AO$7:$AY$7,MATCH(1,$AO676:$AY676,0)),IF(BH676="Multiple strategies","mixed drivers",IF(BH676="Supply chain","multiple supply","multiple silviculture"))))</f>
        <v>technologies/design switch</v>
      </c>
      <c r="BH676" s="2" t="str" cm="1">
        <f t="array" ref="BH676">IF(COUNTIF(BB676:BD676,"&lt;&gt;0")=1,INDEX($X$4:$AY$4,MATCH(TRUE,INDEX($X676:$AY676&lt;&gt;0,),0)),IF(COUNTIF(BB676:BD676,"&lt;&gt;0")=0,INDEX($AO$4:$AY$4,MATCH(1,$AO676:$AY676,0)),"Multiple strategies"))</f>
        <v>Technology</v>
      </c>
      <c r="BI676" s="142" t="s">
        <v>229</v>
      </c>
      <c r="BJ676" t="s">
        <v>1514</v>
      </c>
      <c r="BK676" s="260" t="s">
        <v>987</v>
      </c>
      <c r="BL676" s="143" t="s">
        <v>2940</v>
      </c>
      <c r="BM676">
        <v>0</v>
      </c>
      <c r="BN676" s="143">
        <v>16.100000000000001</v>
      </c>
      <c r="BO676" s="143"/>
      <c r="BP676">
        <f>BN676-BM676</f>
        <v>16.100000000000001</v>
      </c>
      <c r="BQ676" s="143">
        <f>1000*BN676/15.3/400</f>
        <v>2.630718954248366</v>
      </c>
      <c r="BR676" t="s">
        <v>232</v>
      </c>
      <c r="BS676" s="155"/>
      <c r="BT676" t="s">
        <v>907</v>
      </c>
      <c r="BU676" s="143">
        <v>-1</v>
      </c>
      <c r="BV676" s="151">
        <v>0</v>
      </c>
      <c r="BW676">
        <v>0</v>
      </c>
      <c r="BX676">
        <v>1</v>
      </c>
      <c r="BZ676">
        <f>BX676*C_to_CO2</f>
        <v>3.67</v>
      </c>
      <c r="CA676">
        <f>IFERROR(BZ676/BQ676,"")</f>
        <v>1.3950559006211181</v>
      </c>
      <c r="CB676" s="143">
        <v>0</v>
      </c>
      <c r="CC676" s="143">
        <v>0</v>
      </c>
      <c r="CD676" s="143">
        <v>0</v>
      </c>
      <c r="CE676" s="143">
        <v>0</v>
      </c>
      <c r="CF676" s="143">
        <v>0</v>
      </c>
      <c r="CG676" s="143">
        <v>0</v>
      </c>
      <c r="CH676" s="143">
        <v>0</v>
      </c>
      <c r="CI676" s="143">
        <v>0</v>
      </c>
      <c r="CJ676" s="143">
        <v>0</v>
      </c>
      <c r="CK676" s="143">
        <v>0</v>
      </c>
      <c r="CL676" s="143">
        <v>0</v>
      </c>
      <c r="CM676" s="143">
        <v>0</v>
      </c>
      <c r="CN676" s="143">
        <v>0</v>
      </c>
      <c r="CO676">
        <v>1</v>
      </c>
      <c r="CP676" t="str">
        <f>IF($BN676&lt;$BM676,"refNeedCorrection","refOK")</f>
        <v>refOK</v>
      </c>
      <c r="CQ676">
        <f>IF($CP676="refOK",$BM676,$BN676)</f>
        <v>0</v>
      </c>
      <c r="CR676">
        <f>IF($CP676="refOK",$BN676,$BM676)</f>
        <v>16.100000000000001</v>
      </c>
      <c r="CS676">
        <f>IF($CP676="refOK",$BQ676,-$BQ676)</f>
        <v>2.630718954248366</v>
      </c>
      <c r="CT676">
        <f>IF(BI676="Roundwood",$CS676/2,$CS676)</f>
        <v>2.630718954248366</v>
      </c>
      <c r="CU676">
        <f>IF($CP676="refOK",$BU676,$BV676)*IF($BR676="Emissions positive",-1,1)</f>
        <v>-1</v>
      </c>
      <c r="CV676">
        <f>IF($CP676="refOK",$BV676,$BU676)*IF($BR676="Emissions positive",-1,1)</f>
        <v>0</v>
      </c>
      <c r="CW676">
        <f>IF($CP676="refNeedCorrection",-BZ676,BZ676)*IF($BR676="Emissions positive",-1,1)</f>
        <v>3.67</v>
      </c>
      <c r="CX676">
        <f>IFERROR($CW676/$CS676,"")</f>
        <v>1.3950559006211181</v>
      </c>
      <c r="CY676">
        <f>IFERROR($CW676/$CS676,"")</f>
        <v>1.3950559006211181</v>
      </c>
      <c r="CZ676">
        <f>IFERROR($CW676/$CT676,"")</f>
        <v>1.3950559006211181</v>
      </c>
      <c r="DA676" s="2">
        <f>IFERROR((CV676-CU676)/ABS(CU676),"")</f>
        <v>1</v>
      </c>
      <c r="DB676" s="1" t="s">
        <v>1078</v>
      </c>
      <c r="DC676" t="str">
        <f>IF(OR($DB676="prd",$DB676="std",$DB676="cit"),"loc",IF(OR($DB676="eur",$DB676="reg",$DB676="coy"),"reg",$DB676))</f>
        <v>reg</v>
      </c>
      <c r="DD676" t="s">
        <v>444</v>
      </c>
      <c r="DF676" s="143"/>
      <c r="DG676" s="143">
        <v>0</v>
      </c>
      <c r="DH676" t="str">
        <f>IF(DG676=0,"0",IF(AND(DG676&gt;=1,DG676&lt;=30),"1-30",IF(AND(DG676&gt;30,DG676&lt;=70),"31-70",IF(AND(DG676&gt;70,DG676&lt;=100),"71-100",IF(DG676&gt;100,"+100")))))</f>
        <v>0</v>
      </c>
      <c r="DI676">
        <v>0</v>
      </c>
      <c r="DJ676">
        <v>0</v>
      </c>
      <c r="DK676">
        <v>0</v>
      </c>
      <c r="DL676">
        <v>1</v>
      </c>
      <c r="DN676">
        <f>SUM(DI676:DL676)</f>
        <v>1</v>
      </c>
      <c r="DO676" t="str">
        <f>IF(DN676=1,INDEX($DI$7:$DL$7,MATCH(1,$DI676:$DL676,0)),"mixedProduct")</f>
        <v>TimberInput</v>
      </c>
      <c r="DP676">
        <f>IF(DI676=1,DP$7,0)</f>
        <v>0</v>
      </c>
      <c r="DQ676">
        <f>IF(DJ676=1,DQ$7,0)</f>
        <v>0</v>
      </c>
      <c r="DR676">
        <f>IF(DK676=1,DR$7,0)</f>
        <v>0</v>
      </c>
      <c r="DS676" t="str">
        <f>IF(DL676=1,DS$7,0)</f>
        <v>Timber</v>
      </c>
      <c r="DT676">
        <v>0</v>
      </c>
      <c r="DU676" s="143">
        <v>0</v>
      </c>
      <c r="DV676" s="143">
        <v>0</v>
      </c>
      <c r="DW676">
        <v>0</v>
      </c>
      <c r="DX676" s="143">
        <v>0</v>
      </c>
      <c r="DY676">
        <f>SUM(DT676:DU676)</f>
        <v>0</v>
      </c>
      <c r="DZ676" s="143" t="str">
        <f>IF(DT676=1,"self-calculated DF",IF(DU676=1,"external DF used","explicit C balance"))</f>
        <v>explicit C balance</v>
      </c>
      <c r="EA676" s="143">
        <v>0</v>
      </c>
      <c r="EB676" s="143">
        <v>0</v>
      </c>
      <c r="EC676" s="143">
        <v>0</v>
      </c>
      <c r="ED676" s="143">
        <v>1</v>
      </c>
      <c r="EE676">
        <v>0</v>
      </c>
      <c r="EF676" s="143">
        <v>0</v>
      </c>
      <c r="EG676" s="143">
        <v>0</v>
      </c>
      <c r="EH676" s="143">
        <v>1</v>
      </c>
      <c r="EI676" s="143">
        <v>0</v>
      </c>
      <c r="EJ676">
        <v>0</v>
      </c>
      <c r="EK676">
        <v>0</v>
      </c>
      <c r="EL676" s="143">
        <v>0</v>
      </c>
      <c r="EM676" s="143">
        <v>0</v>
      </c>
      <c r="EN676" s="2">
        <v>0</v>
      </c>
      <c r="EP676" t="str">
        <f>IF(AND(AND(AND(OR($EC676=1,$EB676=1),OR($EH676=1,$EF676=1)),SUM($EA676:$EE676,$EK676)&gt;=3),SUM($EF676:$EJ676)&gt;=2),"Whole sector approach","")</f>
        <v/>
      </c>
      <c r="EQ676" t="str">
        <f>IF(AND(AND(OR($EC676=1,$EB676=1),AND($EH676=0,$EF676=0)),SUM($EA676:$EE676,$EK676)&gt;=4),"Ecosystem approach","")</f>
        <v/>
      </c>
      <c r="ER676" s="2" t="str">
        <f>IF(AND(AND(AND($EC676=0,$EB676=0),OR($EH676=1,$EF676=1)),SUM($EG676:$EJ676)&gt;=2),"Technology approach","")</f>
        <v/>
      </c>
      <c r="ES676" t="str">
        <f>IF(AND($EC676+$EB676+$EE676+$EA676+$ED676+$EG676=0,$N676="included"),"C neutral forest and HWP assumption","")</f>
        <v/>
      </c>
      <c r="ET676" t="str">
        <f>IF(AND(AND(AND(AND($EC676=1,$EB676+$EA676+$EG676&gt;=1),$EF676=1),$EH676+$EI676+$ED676+$EE676&gt;=2),$N676="included"),"All C pools assumption","")</f>
        <v/>
      </c>
      <c r="EU676" t="str">
        <f>IF(AND($ED676+$EE676+$EI676+$EH676+$EF676=0,$N676="included"),"In-situ only assumption","")</f>
        <v/>
      </c>
      <c r="EY676" t="str">
        <f>IF(ISNUMBER(BW676),IF(ABS(BW676-[3]QC_indicators!$B$2)&gt;3*[3]QC_indicators!$C$2,"C ratio",IF(ISNUMBER(CA676),IF(ABS(CA676-[3]QC_indicators!$B$1)&gt;3*[3]QC_indicators!$C$1,"DF","no"))),IF(ISNUMBER(CA676),IF(ABS(CA676-[3]QC_indicators!$B$1)&gt;3*[3]QC_indicators!$C$1,"DF","no")))</f>
        <v>no</v>
      </c>
      <c r="FA676" t="str">
        <f>IF(LEN($CY676)=0,"",IF(AND($CY676&lt;(-0.05),$ES676="C neutral forest and HWP assumption"),"Cneutral paradox",IF(AND($CY676&gt;0.05,$EU676="In-situ only assumption"),"In-situ only paradox","")))</f>
        <v/>
      </c>
      <c r="FB676" s="149" t="s">
        <v>349</v>
      </c>
      <c r="FD676" s="260" t="s">
        <v>2941</v>
      </c>
    </row>
    <row r="677" spans="1:160" ht="15" hidden="1" customHeight="1">
      <c r="A677" s="1" t="s">
        <v>574</v>
      </c>
      <c r="B677" t="s">
        <v>1320</v>
      </c>
      <c r="C677" t="s">
        <v>1321</v>
      </c>
      <c r="D677" t="s">
        <v>1322</v>
      </c>
      <c r="E677" t="s">
        <v>1323</v>
      </c>
      <c r="F677" t="s">
        <v>1324</v>
      </c>
      <c r="G677" t="s">
        <v>580</v>
      </c>
      <c r="H677" t="s">
        <v>254</v>
      </c>
      <c r="I677">
        <v>2020</v>
      </c>
      <c r="J677">
        <v>12</v>
      </c>
      <c r="K677" t="s">
        <v>1325</v>
      </c>
      <c r="M677" t="str">
        <f>LEFT($D677,FIND(",",$D677)-1)&amp;"_"&amp;I677&amp;L677</f>
        <v>Elisa_2020</v>
      </c>
      <c r="N677" s="317" t="s">
        <v>222</v>
      </c>
      <c r="O677" s="171" t="s">
        <v>274</v>
      </c>
      <c r="P677" t="s">
        <v>223</v>
      </c>
      <c r="Q677" s="317" t="s">
        <v>389</v>
      </c>
      <c r="R677" s="318" t="s">
        <v>1029</v>
      </c>
      <c r="S677" s="154" t="s">
        <v>1326</v>
      </c>
      <c r="T677" s="319" t="s">
        <v>1327</v>
      </c>
      <c r="U677" s="143" t="s">
        <v>1360</v>
      </c>
      <c r="V677" s="253">
        <v>0</v>
      </c>
      <c r="W677" s="253">
        <v>0</v>
      </c>
      <c r="X677">
        <v>0</v>
      </c>
      <c r="Y677">
        <v>0</v>
      </c>
      <c r="Z677">
        <v>0</v>
      </c>
      <c r="AA677">
        <v>0</v>
      </c>
      <c r="AB677">
        <v>0</v>
      </c>
      <c r="AC677">
        <v>0</v>
      </c>
      <c r="AD677">
        <v>0</v>
      </c>
      <c r="AE677">
        <v>0</v>
      </c>
      <c r="AF677">
        <v>0</v>
      </c>
      <c r="AG677">
        <v>1</v>
      </c>
      <c r="AH677">
        <v>0</v>
      </c>
      <c r="AI677">
        <v>0</v>
      </c>
      <c r="AJ677">
        <v>0</v>
      </c>
      <c r="AK677">
        <v>0</v>
      </c>
      <c r="AL677">
        <v>0</v>
      </c>
      <c r="AM677">
        <v>1</v>
      </c>
      <c r="AN677">
        <v>0</v>
      </c>
      <c r="AO677">
        <v>0</v>
      </c>
      <c r="AP677">
        <v>0</v>
      </c>
      <c r="AQ677">
        <v>0</v>
      </c>
      <c r="AR677">
        <v>0</v>
      </c>
      <c r="AS677">
        <v>0</v>
      </c>
      <c r="AT677">
        <v>0</v>
      </c>
      <c r="AU677">
        <v>0</v>
      </c>
      <c r="AV677">
        <v>0</v>
      </c>
      <c r="AW677">
        <v>0</v>
      </c>
      <c r="AX677">
        <v>0</v>
      </c>
      <c r="AY677">
        <v>0</v>
      </c>
      <c r="AZ677" s="141">
        <f>COUNTIF(X677:AY677,"&lt;&gt;0")</f>
        <v>2</v>
      </c>
      <c r="BA677" s="141">
        <f>COUNTIF(X677:AN677,"&lt;&gt;0")</f>
        <v>2</v>
      </c>
      <c r="BB677">
        <f>COUNTIF(X677:AE677,"&lt;&gt;0")</f>
        <v>0</v>
      </c>
      <c r="BC677">
        <f>COUNTIF(AF677:AK677,"&lt;&gt;0")</f>
        <v>1</v>
      </c>
      <c r="BD677">
        <f>COUNTIF(AL677:AN677,"&lt;&gt;0")</f>
        <v>1</v>
      </c>
      <c r="BE677">
        <f>COUNTIF(AU677:AY677,"&lt;&gt;0")</f>
        <v>0</v>
      </c>
      <c r="BF677">
        <f>COUNTIF(AO677:AT677,"&lt;&gt;0")</f>
        <v>0</v>
      </c>
      <c r="BG677" t="str" cm="1">
        <f t="array" ref="BG677">IF(BA677=1,INDEX($X$7:$AN$7,MATCH(TRUE,INDEX($X677:$AY677&lt;&gt;0,),0)),IF(BA677=0,INDEX($AO$7:$AY$7,MATCH(1,$AO677:$AY677,0)),IF(BH677="Multiple strategies","mixed drivers",IF(BH677="Supply chain","multiple supply","multiple silviculture"))))</f>
        <v>mixed drivers</v>
      </c>
      <c r="BH677" s="2" t="str" cm="1">
        <f t="array" ref="BH677">IF(COUNTIF(BB677:BD677,"&lt;&gt;0")=1,INDEX($X$4:$AY$4,MATCH(TRUE,INDEX($X677:$AY677&lt;&gt;0,),0)),IF(COUNTIF(BB677:BD677,"&lt;&gt;0")=0,INDEX($AO$4:$AY$4,MATCH(1,$AO677:$AY677,0)),"Multiple strategies"))</f>
        <v>Multiple strategies</v>
      </c>
      <c r="BI677" s="142" t="s">
        <v>321</v>
      </c>
      <c r="BJ677" s="160" t="s">
        <v>1329</v>
      </c>
      <c r="BK677" s="160" t="s">
        <v>1330</v>
      </c>
      <c r="BL677" s="143" t="s">
        <v>498</v>
      </c>
      <c r="BM677" s="143">
        <v>944</v>
      </c>
      <c r="BN677" s="143">
        <v>4000</v>
      </c>
      <c r="BO677">
        <f>IFERROR(BN679/BM677,"")</f>
        <v>21.1864406779661</v>
      </c>
      <c r="BP677">
        <f>BN677-BM677</f>
        <v>3056</v>
      </c>
      <c r="BQ677" s="159">
        <f>BP677</f>
        <v>3056</v>
      </c>
      <c r="BR677" s="155" t="s">
        <v>232</v>
      </c>
      <c r="BS677" s="155" t="s">
        <v>1331</v>
      </c>
      <c r="BT677" s="155" t="s">
        <v>805</v>
      </c>
      <c r="BU677" s="143" t="s">
        <v>1335</v>
      </c>
      <c r="BV677" t="s">
        <v>1364</v>
      </c>
      <c r="BW677" s="144">
        <f>BV677/BU677</f>
        <v>3.2919959403999846</v>
      </c>
      <c r="BX677">
        <f>BV677-BU677</f>
        <v>-15.8391645555556</v>
      </c>
      <c r="BZ677">
        <f>BX677</f>
        <v>-15.8391645555556</v>
      </c>
      <c r="CA677">
        <f>IFERROR(BZ677/BQ677,"")</f>
        <v>-5.1829726948807589E-3</v>
      </c>
      <c r="CB677">
        <v>0</v>
      </c>
      <c r="CC677">
        <v>0</v>
      </c>
      <c r="CD677">
        <v>0</v>
      </c>
      <c r="CE677">
        <v>0</v>
      </c>
      <c r="CF677">
        <v>0</v>
      </c>
      <c r="CG677">
        <v>0</v>
      </c>
      <c r="CH677">
        <v>0</v>
      </c>
      <c r="CI677">
        <v>0</v>
      </c>
      <c r="CJ677">
        <v>0</v>
      </c>
      <c r="CK677">
        <v>0</v>
      </c>
      <c r="CL677">
        <v>0</v>
      </c>
      <c r="CM677">
        <v>0</v>
      </c>
      <c r="CN677">
        <v>0</v>
      </c>
      <c r="CO677">
        <v>0</v>
      </c>
      <c r="CP677" t="str">
        <f>IF($BN677&lt;$BM677,"refNeedCorrection","refOK")</f>
        <v>refOK</v>
      </c>
      <c r="CQ677">
        <f>IF($CP677="refOK",$BM677,$BN677)</f>
        <v>944</v>
      </c>
      <c r="CR677">
        <f>IF($CP677="refOK",$BN677,$BM677)</f>
        <v>4000</v>
      </c>
      <c r="CS677">
        <f>IF($CP677="refOK",$BQ677,-$BQ677)</f>
        <v>3056</v>
      </c>
      <c r="CT677">
        <f>IF(BI677="Roundwood",$CS677/2,$CS677)</f>
        <v>1528</v>
      </c>
      <c r="CU677">
        <f>IF($CP677="refOK",$BU677,$BV677)*IF($BR677="Emissions positive",-1,1)</f>
        <v>-6.9106424999999998</v>
      </c>
      <c r="CV677">
        <f>IF($CP677="refOK",$BV677,$BU677)*IF($BR677="Emissions positive",-1,1)</f>
        <v>-22.7498070555556</v>
      </c>
      <c r="CW677">
        <f>IF($CP677="refNeedCorrection",-BZ677,BZ677)*IF($BR677="Emissions positive",-1,1)</f>
        <v>-15.8391645555556</v>
      </c>
      <c r="CX677">
        <f>IFERROR($CW677/$CS677,"")</f>
        <v>-5.1829726948807589E-3</v>
      </c>
      <c r="CY677">
        <f>IFERROR($CW677/$CS677,"")</f>
        <v>-5.1829726948807589E-3</v>
      </c>
      <c r="CZ677">
        <f>IFERROR($CW677/$CT677,"")</f>
        <v>-1.0365945389761518E-2</v>
      </c>
      <c r="DA677" s="2">
        <f>IFERROR((CV677-CU677)/ABS(CU677),"")</f>
        <v>-2.2919959403999846</v>
      </c>
      <c r="DB677" s="320" t="s">
        <v>1334</v>
      </c>
      <c r="DC677" s="317" t="str">
        <f>IF(OR($DB677="prd",$DB677="std",$DB677="cit"),"loc",IF(OR($DB677="eur",$DB677="reg",$DB677="coy"),"reg",$DB677))</f>
        <v>reg</v>
      </c>
      <c r="DD677" s="321" t="s">
        <v>729</v>
      </c>
      <c r="DF677" s="143"/>
      <c r="DG677" s="143">
        <v>0</v>
      </c>
      <c r="DH677" t="str">
        <f>IF(DG677=0,"0",IF(AND(DG677&gt;=1,DG677&lt;=30),"1-30",IF(AND(DG677&gt;30,DG677&lt;=70),"31-70",IF(AND(DG677&gt;70,DG677&lt;=100),"71-100",IF(DG677&gt;100,"+100")))))</f>
        <v>0</v>
      </c>
      <c r="DI677">
        <v>0</v>
      </c>
      <c r="DJ677">
        <v>1</v>
      </c>
      <c r="DK677">
        <v>0</v>
      </c>
      <c r="DL677">
        <v>0</v>
      </c>
      <c r="DM677">
        <v>0</v>
      </c>
      <c r="DN677">
        <f>SUM(DI677:DM677)</f>
        <v>1</v>
      </c>
      <c r="DO677" t="str">
        <f>IF(DN677=1,INDEX($DI$7:$DL$7,MATCH(1,$DI677:$DL677,0)),"mixedProduct")</f>
        <v>EnergyInput</v>
      </c>
      <c r="DP677">
        <f>IF(DI677=1,DP$7,0)</f>
        <v>0</v>
      </c>
      <c r="DQ677" t="str">
        <f>IF(DJ677=1,DQ$7,0)</f>
        <v>Energy</v>
      </c>
      <c r="DR677">
        <f>IF(DK677=1,DR$7,0)</f>
        <v>0</v>
      </c>
      <c r="DS677">
        <f>IF(DL677=1,DS$7,0)</f>
        <v>0</v>
      </c>
      <c r="DT677">
        <v>0</v>
      </c>
      <c r="DU677" s="143">
        <v>0</v>
      </c>
      <c r="DV677" s="143">
        <v>0</v>
      </c>
      <c r="DW677">
        <v>0</v>
      </c>
      <c r="DX677" s="143">
        <v>0</v>
      </c>
      <c r="DY677">
        <f>SUM(DT677:DU677)</f>
        <v>0</v>
      </c>
      <c r="DZ677" s="143" t="str">
        <f>IF(DT677=1,"self-calculated DF",IF(DU677=1,"external DF used","explicit C balance"))</f>
        <v>explicit C balance</v>
      </c>
      <c r="EA677" s="143">
        <v>0</v>
      </c>
      <c r="EB677" s="143">
        <v>0</v>
      </c>
      <c r="EC677" s="143">
        <v>0</v>
      </c>
      <c r="ED677" s="143">
        <v>0</v>
      </c>
      <c r="EE677">
        <v>0</v>
      </c>
      <c r="EF677" s="143">
        <v>0</v>
      </c>
      <c r="EG677" s="143">
        <v>0</v>
      </c>
      <c r="EH677" s="143">
        <v>1</v>
      </c>
      <c r="EI677" s="143">
        <v>0</v>
      </c>
      <c r="EJ677">
        <v>1</v>
      </c>
      <c r="EK677">
        <v>0</v>
      </c>
      <c r="EL677" s="143">
        <v>0</v>
      </c>
      <c r="EM677" s="143">
        <v>0</v>
      </c>
      <c r="EN677" s="2">
        <v>0</v>
      </c>
      <c r="EP677" t="str">
        <f>IF(AND(AND(AND(OR($EC677=1,$EB677=1),OR($EH677=1,$EF677=1)),SUM($EA677:$EE677,$EK677)&gt;=3),SUM($EF677:$EJ677)&gt;=2),"Whole sector approach","")</f>
        <v/>
      </c>
      <c r="EQ677" t="str">
        <f>IF(AND(AND(OR($EC677=1,$EB677=1),AND($EH677=0,$EF677=0)),SUM($EA677:$EE677,$EK677)&gt;=3),"Ecosystem approach","")</f>
        <v/>
      </c>
      <c r="ER677" s="2" t="str">
        <f>IF(AND(AND(AND($EC677=0,$EB677=0),OR($EH677=1,$EF677=1)),SUM($EG677:$EJ677)&gt;=2),"Technology approach","")</f>
        <v>Technology approach</v>
      </c>
      <c r="ES677" t="str">
        <f>IF(AND($EC677+$EB677+$EE677+$EA677+$ED677+$EG677=0,$N677="included"),"C neutral forest and HWP assumption","")</f>
        <v>C neutral forest and HWP assumption</v>
      </c>
      <c r="ET677" t="str">
        <f>IF(AND(AND(AND(AND($EC677=1,$EB677+$EA677+$EG677&gt;=1),$EF677=1),$EH677+$EI677+$ED677+$EE677&gt;=2),$N677="included"),"All C pools assumption","")</f>
        <v/>
      </c>
      <c r="EU677" t="str">
        <f>IF(AND($ED677+$EE677+$EI677+$EH677+$EF677=0,$N677="included"),"In-situ only assumption","")</f>
        <v/>
      </c>
      <c r="EY677" t="str">
        <f>IF(ISNUMBER(BW677),IF(ABS(BW677-[4]QC_indicators!$B$2)&gt;3*[4]QC_indicators!$C$2,"C ratio",IF(ISNUMBER(CA677),IF(ABS(CA677-[4]QC_indicators!$B$1)&gt;3*[4]QC_indicators!$C$1,"DF","no"))),IF(ISNUMBER(CA677),IF(ABS(CA677-[4]QC_indicators!$B$1)&gt;3*[4]QC_indicators!$C$1,"DF","no")))</f>
        <v>no</v>
      </c>
      <c r="FA677" t="str">
        <f>IF(LEN($CY677)=0,"",IF(AND($CY677&lt;(-0.05),$ES677="C neutral forest and HWP assumption"),"Cneutral paradox",IF(AND($CY677&gt;0.05,$EU677="In-situ only assumption"),"In-situ only paradox","")))</f>
        <v/>
      </c>
      <c r="FB677" s="149"/>
    </row>
    <row r="678" spans="1:160" ht="15" hidden="1" customHeight="1">
      <c r="A678" s="1" t="s">
        <v>574</v>
      </c>
      <c r="B678" t="s">
        <v>1320</v>
      </c>
      <c r="C678" t="s">
        <v>1321</v>
      </c>
      <c r="D678" t="s">
        <v>1322</v>
      </c>
      <c r="E678" t="s">
        <v>1323</v>
      </c>
      <c r="F678" t="s">
        <v>1324</v>
      </c>
      <c r="G678" t="s">
        <v>580</v>
      </c>
      <c r="H678" t="s">
        <v>254</v>
      </c>
      <c r="I678">
        <v>2020</v>
      </c>
      <c r="J678">
        <v>12</v>
      </c>
      <c r="K678" t="s">
        <v>1325</v>
      </c>
      <c r="M678" t="str">
        <f>LEFT($D678,FIND(",",$D678)-1)&amp;"_"&amp;I678&amp;L678</f>
        <v>Elisa_2020</v>
      </c>
      <c r="N678" s="317" t="s">
        <v>222</v>
      </c>
      <c r="O678" s="171" t="s">
        <v>274</v>
      </c>
      <c r="P678" t="s">
        <v>223</v>
      </c>
      <c r="Q678" s="317" t="s">
        <v>389</v>
      </c>
      <c r="R678" s="318" t="s">
        <v>1029</v>
      </c>
      <c r="S678" s="154" t="s">
        <v>1326</v>
      </c>
      <c r="T678" s="319" t="s">
        <v>1327</v>
      </c>
      <c r="U678" s="143" t="s">
        <v>1362</v>
      </c>
      <c r="V678" s="253">
        <v>0</v>
      </c>
      <c r="W678" s="253">
        <v>0</v>
      </c>
      <c r="X678">
        <v>0</v>
      </c>
      <c r="Y678">
        <v>0</v>
      </c>
      <c r="Z678">
        <v>0</v>
      </c>
      <c r="AA678">
        <v>0</v>
      </c>
      <c r="AB678">
        <v>0</v>
      </c>
      <c r="AC678">
        <v>0</v>
      </c>
      <c r="AD678">
        <v>0</v>
      </c>
      <c r="AE678">
        <v>0</v>
      </c>
      <c r="AF678">
        <v>0</v>
      </c>
      <c r="AG678">
        <v>1</v>
      </c>
      <c r="AH678">
        <v>0</v>
      </c>
      <c r="AI678">
        <v>0</v>
      </c>
      <c r="AJ678">
        <v>0</v>
      </c>
      <c r="AK678">
        <v>0</v>
      </c>
      <c r="AL678">
        <v>0</v>
      </c>
      <c r="AM678">
        <v>1</v>
      </c>
      <c r="AN678">
        <v>0</v>
      </c>
      <c r="AO678">
        <v>0</v>
      </c>
      <c r="AP678">
        <v>0</v>
      </c>
      <c r="AQ678">
        <v>0</v>
      </c>
      <c r="AR678">
        <v>0</v>
      </c>
      <c r="AS678">
        <v>0</v>
      </c>
      <c r="AT678">
        <v>0</v>
      </c>
      <c r="AU678">
        <v>0</v>
      </c>
      <c r="AV678">
        <v>0</v>
      </c>
      <c r="AW678">
        <v>0</v>
      </c>
      <c r="AX678">
        <v>0</v>
      </c>
      <c r="AY678">
        <v>0</v>
      </c>
      <c r="AZ678" s="141">
        <f>COUNTIF(X678:AY678,"&lt;&gt;0")</f>
        <v>2</v>
      </c>
      <c r="BA678" s="141">
        <f>COUNTIF(X678:AN678,"&lt;&gt;0")</f>
        <v>2</v>
      </c>
      <c r="BB678">
        <f>COUNTIF(X678:AE678,"&lt;&gt;0")</f>
        <v>0</v>
      </c>
      <c r="BC678">
        <f>COUNTIF(AF678:AK678,"&lt;&gt;0")</f>
        <v>1</v>
      </c>
      <c r="BD678">
        <f>COUNTIF(AL678:AN678,"&lt;&gt;0")</f>
        <v>1</v>
      </c>
      <c r="BE678">
        <f>COUNTIF(AU678:AY678,"&lt;&gt;0")</f>
        <v>0</v>
      </c>
      <c r="BF678">
        <f>COUNTIF(AO678:AT678,"&lt;&gt;0")</f>
        <v>0</v>
      </c>
      <c r="BG678" t="str" cm="1">
        <f t="array" ref="BG678">IF(BA678=1,INDEX($X$7:$AN$7,MATCH(TRUE,INDEX($X678:$AY678&lt;&gt;0,),0)),IF(BA678=0,INDEX($AO$7:$AY$7,MATCH(1,$AO678:$AY678,0)),IF(BH678="Multiple strategies","mixed drivers",IF(BH678="Supply chain","multiple supply","multiple silviculture"))))</f>
        <v>mixed drivers</v>
      </c>
      <c r="BH678" s="2" t="str" cm="1">
        <f t="array" ref="BH678">IF(COUNTIF(BB678:BD678,"&lt;&gt;0")=1,INDEX($X$4:$AY$4,MATCH(TRUE,INDEX($X678:$AY678&lt;&gt;0,),0)),IF(COUNTIF(BB678:BD678,"&lt;&gt;0")=0,INDEX($AO$4:$AY$4,MATCH(1,$AO678:$AY678,0)),"Multiple strategies"))</f>
        <v>Multiple strategies</v>
      </c>
      <c r="BI678" s="142" t="s">
        <v>321</v>
      </c>
      <c r="BJ678" s="160" t="s">
        <v>1329</v>
      </c>
      <c r="BK678" s="160" t="s">
        <v>1330</v>
      </c>
      <c r="BL678" s="143" t="s">
        <v>498</v>
      </c>
      <c r="BM678" s="143">
        <v>944</v>
      </c>
      <c r="BN678" s="143">
        <v>4500</v>
      </c>
      <c r="BO678">
        <f>IFERROR(BN680/BM678,"")</f>
        <v>5.1239406779661021</v>
      </c>
      <c r="BP678">
        <f>BN678-BM678</f>
        <v>3556</v>
      </c>
      <c r="BQ678" s="159">
        <f>BP678</f>
        <v>3556</v>
      </c>
      <c r="BR678" s="155" t="s">
        <v>232</v>
      </c>
      <c r="BS678" s="155" t="s">
        <v>1331</v>
      </c>
      <c r="BT678" s="155" t="s">
        <v>805</v>
      </c>
      <c r="BU678" s="143" t="s">
        <v>1335</v>
      </c>
      <c r="BV678" t="s">
        <v>1365</v>
      </c>
      <c r="BW678" s="144">
        <f>BV678/BU678</f>
        <v>3.6235173984666837</v>
      </c>
      <c r="BX678">
        <f>BV678-BU678</f>
        <v>-18.130190833333302</v>
      </c>
      <c r="BZ678">
        <f>BX678</f>
        <v>-18.130190833333302</v>
      </c>
      <c r="CA678">
        <f>IFERROR(BZ678/BQ678,"")</f>
        <v>-5.0984788620172389E-3</v>
      </c>
      <c r="CB678">
        <v>0</v>
      </c>
      <c r="CC678">
        <v>0</v>
      </c>
      <c r="CD678">
        <v>0</v>
      </c>
      <c r="CE678">
        <v>0</v>
      </c>
      <c r="CF678">
        <v>0</v>
      </c>
      <c r="CG678">
        <v>0</v>
      </c>
      <c r="CH678">
        <v>0</v>
      </c>
      <c r="CI678">
        <v>0</v>
      </c>
      <c r="CJ678">
        <v>0</v>
      </c>
      <c r="CK678">
        <v>0</v>
      </c>
      <c r="CL678">
        <v>0</v>
      </c>
      <c r="CM678">
        <v>0</v>
      </c>
      <c r="CN678">
        <v>0</v>
      </c>
      <c r="CO678">
        <v>0</v>
      </c>
      <c r="CP678" t="str">
        <f>IF($BN678&lt;$BM678,"refNeedCorrection","refOK")</f>
        <v>refOK</v>
      </c>
      <c r="CQ678">
        <f>IF($CP678="refOK",$BM678,$BN678)</f>
        <v>944</v>
      </c>
      <c r="CR678">
        <f>IF($CP678="refOK",$BN678,$BM678)</f>
        <v>4500</v>
      </c>
      <c r="CS678">
        <f>IF($CP678="refOK",$BQ678,-$BQ678)</f>
        <v>3556</v>
      </c>
      <c r="CT678">
        <f>IF(BI678="Roundwood",$CS678/2,$CS678)</f>
        <v>1778</v>
      </c>
      <c r="CU678">
        <f>IF($CP678="refOK",$BU678,$BV678)*IF($BR678="Emissions positive",-1,1)</f>
        <v>-6.9106424999999998</v>
      </c>
      <c r="CV678">
        <f>IF($CP678="refOK",$BV678,$BU678)*IF($BR678="Emissions positive",-1,1)</f>
        <v>-25.0408333333333</v>
      </c>
      <c r="CW678">
        <f>IF($CP678="refNeedCorrection",-BZ678,BZ678)*IF($BR678="Emissions positive",-1,1)</f>
        <v>-18.130190833333302</v>
      </c>
      <c r="CX678">
        <f>IFERROR($CW678/$CS678,"")</f>
        <v>-5.0984788620172389E-3</v>
      </c>
      <c r="CY678">
        <f>IFERROR($CW678/$CS678,"")</f>
        <v>-5.0984788620172389E-3</v>
      </c>
      <c r="CZ678">
        <f>IFERROR($CW678/$CT678,"")</f>
        <v>-1.0196957724034478E-2</v>
      </c>
      <c r="DA678" s="2">
        <f>IFERROR((CV678-CU678)/ABS(CU678),"")</f>
        <v>-2.6235173984666842</v>
      </c>
      <c r="DB678" s="320" t="s">
        <v>1334</v>
      </c>
      <c r="DC678" s="317" t="str">
        <f>IF(OR($DB678="prd",$DB678="std",$DB678="cit"),"loc",IF(OR($DB678="eur",$DB678="reg",$DB678="coy"),"reg",$DB678))</f>
        <v>reg</v>
      </c>
      <c r="DD678" s="321" t="s">
        <v>729</v>
      </c>
      <c r="DF678" s="143"/>
      <c r="DG678" s="143">
        <v>0</v>
      </c>
      <c r="DH678" t="str">
        <f>IF(DG678=0,"0",IF(AND(DG678&gt;=1,DG678&lt;=30),"1-30",IF(AND(DG678&gt;30,DG678&lt;=70),"31-70",IF(AND(DG678&gt;70,DG678&lt;=100),"71-100",IF(DG678&gt;100,"+100")))))</f>
        <v>0</v>
      </c>
      <c r="DI678">
        <v>0</v>
      </c>
      <c r="DJ678">
        <v>1</v>
      </c>
      <c r="DK678">
        <v>0</v>
      </c>
      <c r="DL678">
        <v>0</v>
      </c>
      <c r="DM678">
        <v>0</v>
      </c>
      <c r="DN678">
        <f>SUM(DI678:DM678)</f>
        <v>1</v>
      </c>
      <c r="DO678" t="str">
        <f>IF(DN678=1,INDEX($DI$7:$DL$7,MATCH(1,$DI678:$DL678,0)),"mixedProduct")</f>
        <v>EnergyInput</v>
      </c>
      <c r="DP678">
        <f>IF(DI678=1,DP$7,0)</f>
        <v>0</v>
      </c>
      <c r="DQ678" t="str">
        <f>IF(DJ678=1,DQ$7,0)</f>
        <v>Energy</v>
      </c>
      <c r="DR678">
        <f>IF(DK678=1,DR$7,0)</f>
        <v>0</v>
      </c>
      <c r="DS678">
        <f>IF(DL678=1,DS$7,0)</f>
        <v>0</v>
      </c>
      <c r="DT678">
        <v>0</v>
      </c>
      <c r="DU678" s="143">
        <v>0</v>
      </c>
      <c r="DV678" s="143">
        <v>0</v>
      </c>
      <c r="DW678">
        <v>0</v>
      </c>
      <c r="DX678" s="143">
        <v>0</v>
      </c>
      <c r="DY678">
        <f>SUM(DT678:DU678)</f>
        <v>0</v>
      </c>
      <c r="DZ678" s="143" t="str">
        <f>IF(DT678=1,"self-calculated DF",IF(DU678=1,"external DF used","explicit C balance"))</f>
        <v>explicit C balance</v>
      </c>
      <c r="EA678" s="143">
        <v>0</v>
      </c>
      <c r="EB678" s="143">
        <v>0</v>
      </c>
      <c r="EC678" s="143">
        <v>0</v>
      </c>
      <c r="ED678" s="143">
        <v>0</v>
      </c>
      <c r="EE678">
        <v>0</v>
      </c>
      <c r="EF678" s="143">
        <v>0</v>
      </c>
      <c r="EG678" s="143">
        <v>0</v>
      </c>
      <c r="EH678" s="143">
        <v>1</v>
      </c>
      <c r="EI678" s="143">
        <v>0</v>
      </c>
      <c r="EJ678">
        <v>1</v>
      </c>
      <c r="EK678">
        <v>0</v>
      </c>
      <c r="EL678" s="143">
        <v>0</v>
      </c>
      <c r="EM678" s="143">
        <v>0</v>
      </c>
      <c r="EN678" s="2">
        <v>0</v>
      </c>
      <c r="EP678" t="str">
        <f>IF(AND(AND(AND(OR($EC678=1,$EB678=1),OR($EH678=1,$EF678=1)),SUM($EA678:$EE678,$EK678)&gt;=3),SUM($EF678:$EJ678)&gt;=2),"Whole sector approach","")</f>
        <v/>
      </c>
      <c r="EQ678" t="str">
        <f>IF(AND(AND(OR($EC678=1,$EB678=1),AND($EH678=0,$EF678=0)),SUM($EA678:$EE678,$EK678)&gt;=3),"Ecosystem approach","")</f>
        <v/>
      </c>
      <c r="ER678" s="2" t="str">
        <f>IF(AND(AND(AND($EC678=0,$EB678=0),OR($EH678=1,$EF678=1)),SUM($EG678:$EJ678)&gt;=2),"Technology approach","")</f>
        <v>Technology approach</v>
      </c>
      <c r="ES678" t="str">
        <f>IF(AND($EC678+$EB678+$EE678+$EA678+$ED678+$EG678=0,$N678="included"),"C neutral forest and HWP assumption","")</f>
        <v>C neutral forest and HWP assumption</v>
      </c>
      <c r="ET678" t="str">
        <f>IF(AND(AND(AND(AND($EC678=1,$EB678+$EA678+$EG678&gt;=1),$EF678=1),$EH678+$EI678+$ED678+$EE678&gt;=2),$N678="included"),"All C pools assumption","")</f>
        <v/>
      </c>
      <c r="EU678" t="str">
        <f>IF(AND($ED678+$EE678+$EI678+$EH678+$EF678=0,$N678="included"),"In-situ only assumption","")</f>
        <v/>
      </c>
      <c r="EY678" t="str">
        <f>IF(ISNUMBER(BW678),IF(ABS(BW678-[4]QC_indicators!$B$2)&gt;3*[4]QC_indicators!$C$2,"C ratio",IF(ISNUMBER(CA678),IF(ABS(CA678-[4]QC_indicators!$B$1)&gt;3*[4]QC_indicators!$C$1,"DF","no"))),IF(ISNUMBER(CA678),IF(ABS(CA678-[4]QC_indicators!$B$1)&gt;3*[4]QC_indicators!$C$1,"DF","no")))</f>
        <v>no</v>
      </c>
      <c r="FA678" t="str">
        <f>IF(LEN($CY678)=0,"",IF(AND($CY678&lt;(-0.05),$ES678="C neutral forest and HWP assumption"),"Cneutral paradox",IF(AND($CY678&gt;0.05,$EU678="In-situ only assumption"),"In-situ only paradox","")))</f>
        <v/>
      </c>
      <c r="FB678" s="149"/>
    </row>
    <row r="679" spans="1:160" ht="15" hidden="1" customHeight="1">
      <c r="A679" s="1" t="s">
        <v>574</v>
      </c>
      <c r="B679" t="s">
        <v>1320</v>
      </c>
      <c r="C679" t="s">
        <v>1321</v>
      </c>
      <c r="D679" t="s">
        <v>1322</v>
      </c>
      <c r="E679" t="s">
        <v>1323</v>
      </c>
      <c r="F679" t="s">
        <v>1324</v>
      </c>
      <c r="G679" t="s">
        <v>580</v>
      </c>
      <c r="H679" t="s">
        <v>254</v>
      </c>
      <c r="I679">
        <v>2020</v>
      </c>
      <c r="J679">
        <v>12</v>
      </c>
      <c r="K679" t="s">
        <v>1325</v>
      </c>
      <c r="M679" t="str">
        <f>LEFT($D679,FIND(",",$D679)-1)&amp;"_"&amp;I679&amp;L679</f>
        <v>Elisa_2020</v>
      </c>
      <c r="N679" s="317" t="s">
        <v>222</v>
      </c>
      <c r="O679" s="171" t="s">
        <v>274</v>
      </c>
      <c r="P679" t="s">
        <v>223</v>
      </c>
      <c r="Q679" s="317" t="s">
        <v>389</v>
      </c>
      <c r="R679" s="318" t="s">
        <v>1029</v>
      </c>
      <c r="S679" s="154" t="s">
        <v>1326</v>
      </c>
      <c r="T679" s="319" t="s">
        <v>1327</v>
      </c>
      <c r="U679" s="143" t="s">
        <v>1366</v>
      </c>
      <c r="V679" s="253">
        <v>0</v>
      </c>
      <c r="W679" s="253">
        <v>0</v>
      </c>
      <c r="X679">
        <v>0</v>
      </c>
      <c r="Y679">
        <v>0</v>
      </c>
      <c r="Z679">
        <v>0</v>
      </c>
      <c r="AA679">
        <v>0</v>
      </c>
      <c r="AB679">
        <v>0</v>
      </c>
      <c r="AC679">
        <v>0</v>
      </c>
      <c r="AD679">
        <v>0</v>
      </c>
      <c r="AE679">
        <v>0</v>
      </c>
      <c r="AF679">
        <v>0</v>
      </c>
      <c r="AG679">
        <v>1</v>
      </c>
      <c r="AH679">
        <v>0</v>
      </c>
      <c r="AI679">
        <v>0</v>
      </c>
      <c r="AJ679">
        <v>0</v>
      </c>
      <c r="AK679">
        <v>0</v>
      </c>
      <c r="AL679">
        <v>0</v>
      </c>
      <c r="AM679">
        <v>1</v>
      </c>
      <c r="AN679">
        <v>0</v>
      </c>
      <c r="AO679">
        <v>0</v>
      </c>
      <c r="AP679">
        <v>0</v>
      </c>
      <c r="AQ679">
        <v>0</v>
      </c>
      <c r="AR679">
        <v>0</v>
      </c>
      <c r="AS679">
        <v>0</v>
      </c>
      <c r="AT679">
        <v>0</v>
      </c>
      <c r="AU679">
        <v>0</v>
      </c>
      <c r="AV679">
        <v>0</v>
      </c>
      <c r="AW679">
        <v>0</v>
      </c>
      <c r="AX679">
        <v>0</v>
      </c>
      <c r="AY679">
        <v>0</v>
      </c>
      <c r="AZ679" s="141">
        <f>COUNTIF(X679:AY679,"&lt;&gt;0")</f>
        <v>2</v>
      </c>
      <c r="BA679" s="141">
        <f>COUNTIF(X679:AN679,"&lt;&gt;0")</f>
        <v>2</v>
      </c>
      <c r="BB679">
        <f>COUNTIF(X679:AE679,"&lt;&gt;0")</f>
        <v>0</v>
      </c>
      <c r="BC679">
        <f>COUNTIF(AF679:AK679,"&lt;&gt;0")</f>
        <v>1</v>
      </c>
      <c r="BD679">
        <f>COUNTIF(AL679:AN679,"&lt;&gt;0")</f>
        <v>1</v>
      </c>
      <c r="BE679">
        <f>COUNTIF(AU679:AY679,"&lt;&gt;0")</f>
        <v>0</v>
      </c>
      <c r="BF679">
        <f>COUNTIF(AO679:AT679,"&lt;&gt;0")</f>
        <v>0</v>
      </c>
      <c r="BG679" t="str" cm="1">
        <f t="array" ref="BG679">IF(BA679=1,INDEX($X$7:$AN$7,MATCH(TRUE,INDEX($X679:$AY679&lt;&gt;0,),0)),IF(BA679=0,INDEX($AO$7:$AY$7,MATCH(1,$AO679:$AY679,0)),IF(BH679="Multiple strategies","mixed drivers",IF(BH679="Supply chain","multiple supply","multiple silviculture"))))</f>
        <v>mixed drivers</v>
      </c>
      <c r="BH679" s="2" t="str" cm="1">
        <f t="array" ref="BH679">IF(COUNTIF(BB679:BD679,"&lt;&gt;0")=1,INDEX($X$4:$AY$4,MATCH(TRUE,INDEX($X679:$AY679&lt;&gt;0,),0)),IF(COUNTIF(BB679:BD679,"&lt;&gt;0")=0,INDEX($AO$4:$AY$4,MATCH(1,$AO679:$AY679,0)),"Multiple strategies"))</f>
        <v>Multiple strategies</v>
      </c>
      <c r="BI679" s="142" t="s">
        <v>321</v>
      </c>
      <c r="BJ679" s="160" t="s">
        <v>1329</v>
      </c>
      <c r="BK679" s="160" t="s">
        <v>1330</v>
      </c>
      <c r="BL679" s="143" t="s">
        <v>498</v>
      </c>
      <c r="BM679" s="143">
        <v>944</v>
      </c>
      <c r="BN679" s="143">
        <v>20000</v>
      </c>
      <c r="BO679">
        <f>IFERROR(BN681/BM679,"")</f>
        <v>143.7415254237288</v>
      </c>
      <c r="BP679">
        <f>BN679-BM679</f>
        <v>19056</v>
      </c>
      <c r="BQ679" s="159">
        <f>BP679</f>
        <v>19056</v>
      </c>
      <c r="BR679" s="155" t="s">
        <v>232</v>
      </c>
      <c r="BS679" s="155" t="s">
        <v>1331</v>
      </c>
      <c r="BT679" s="155" t="s">
        <v>805</v>
      </c>
      <c r="BU679" s="143" t="s">
        <v>1335</v>
      </c>
      <c r="BV679" t="s">
        <v>1370</v>
      </c>
      <c r="BW679" s="144">
        <f>BV679/BU679</f>
        <v>14.351077583114263</v>
      </c>
      <c r="BX679">
        <f>BV679-BU679</f>
        <v>-92.264524166666703</v>
      </c>
      <c r="BZ679">
        <f>BX679</f>
        <v>-92.264524166666703</v>
      </c>
      <c r="CA679">
        <f>IFERROR(BZ679/BQ679,"")</f>
        <v>-4.8417571456059356E-3</v>
      </c>
      <c r="CB679">
        <v>0</v>
      </c>
      <c r="CC679">
        <v>0</v>
      </c>
      <c r="CD679">
        <v>0</v>
      </c>
      <c r="CE679">
        <v>0</v>
      </c>
      <c r="CF679">
        <v>0</v>
      </c>
      <c r="CG679">
        <v>0</v>
      </c>
      <c r="CH679">
        <v>0</v>
      </c>
      <c r="CI679">
        <v>0</v>
      </c>
      <c r="CJ679">
        <v>0</v>
      </c>
      <c r="CK679">
        <v>0</v>
      </c>
      <c r="CL679">
        <v>0</v>
      </c>
      <c r="CM679">
        <v>0</v>
      </c>
      <c r="CN679">
        <v>0</v>
      </c>
      <c r="CO679">
        <v>0</v>
      </c>
      <c r="CP679" t="str">
        <f>IF($BN679&lt;$BM679,"refNeedCorrection","refOK")</f>
        <v>refOK</v>
      </c>
      <c r="CQ679">
        <f>IF($CP679="refOK",$BM679,$BN679)</f>
        <v>944</v>
      </c>
      <c r="CR679">
        <f>IF($CP679="refOK",$BN679,$BM679)</f>
        <v>20000</v>
      </c>
      <c r="CS679">
        <f>IF($CP679="refOK",$BQ679,-$BQ679)</f>
        <v>19056</v>
      </c>
      <c r="CT679">
        <f>IF(BI679="Roundwood",$CS679/2,$CS679)</f>
        <v>9528</v>
      </c>
      <c r="CU679">
        <f>IF($CP679="refOK",$BU679,$BV679)*IF($BR679="Emissions positive",-1,1)</f>
        <v>-6.9106424999999998</v>
      </c>
      <c r="CV679">
        <f>IF($CP679="refOK",$BV679,$BU679)*IF($BR679="Emissions positive",-1,1)</f>
        <v>-99.175166666666698</v>
      </c>
      <c r="CW679">
        <f>IF($CP679="refNeedCorrection",-BZ679,BZ679)*IF($BR679="Emissions positive",-1,1)</f>
        <v>-92.264524166666703</v>
      </c>
      <c r="CX679">
        <f>IFERROR($CW679/$CS679,"")</f>
        <v>-4.8417571456059356E-3</v>
      </c>
      <c r="CY679">
        <f>IFERROR($CW679/$CS679,"")</f>
        <v>-4.8417571456059356E-3</v>
      </c>
      <c r="CZ679">
        <f>IFERROR($CW679/$CT679,"")</f>
        <v>-9.6835142912118713E-3</v>
      </c>
      <c r="DA679" s="2">
        <f>IFERROR((CV679-CU679)/ABS(CU679),"")</f>
        <v>-13.351077583114263</v>
      </c>
      <c r="DB679" s="320" t="s">
        <v>1334</v>
      </c>
      <c r="DC679" s="317" t="str">
        <f>IF(OR($DB679="prd",$DB679="std",$DB679="cit"),"loc",IF(OR($DB679="eur",$DB679="reg",$DB679="coy"),"reg",$DB679))</f>
        <v>reg</v>
      </c>
      <c r="DD679" s="321" t="s">
        <v>729</v>
      </c>
      <c r="DF679" s="143"/>
      <c r="DG679" s="143">
        <v>0</v>
      </c>
      <c r="DH679" t="str">
        <f>IF(DG679=0,"0",IF(AND(DG679&gt;=1,DG679&lt;=30),"1-30",IF(AND(DG679&gt;30,DG679&lt;=70),"31-70",IF(AND(DG679&gt;70,DG679&lt;=100),"71-100",IF(DG679&gt;100,"+100")))))</f>
        <v>0</v>
      </c>
      <c r="DI679">
        <v>0</v>
      </c>
      <c r="DJ679">
        <v>1</v>
      </c>
      <c r="DK679">
        <v>0</v>
      </c>
      <c r="DL679">
        <v>0</v>
      </c>
      <c r="DM679">
        <v>0</v>
      </c>
      <c r="DN679">
        <f>SUM(DI679:DM679)</f>
        <v>1</v>
      </c>
      <c r="DO679" t="str">
        <f>IF(DN679=1,INDEX($DI$7:$DL$7,MATCH(1,$DI679:$DL679,0)),"mixedProduct")</f>
        <v>EnergyInput</v>
      </c>
      <c r="DP679">
        <f>IF(DI679=1,DP$7,0)</f>
        <v>0</v>
      </c>
      <c r="DQ679" t="str">
        <f>IF(DJ679=1,DQ$7,0)</f>
        <v>Energy</v>
      </c>
      <c r="DR679">
        <f>IF(DK679=1,DR$7,0)</f>
        <v>0</v>
      </c>
      <c r="DS679">
        <f>IF(DL679=1,DS$7,0)</f>
        <v>0</v>
      </c>
      <c r="DT679">
        <v>0</v>
      </c>
      <c r="DU679" s="143">
        <v>0</v>
      </c>
      <c r="DV679" s="143">
        <v>0</v>
      </c>
      <c r="DW679">
        <v>0</v>
      </c>
      <c r="DX679" s="143">
        <v>0</v>
      </c>
      <c r="DY679">
        <f>SUM(DT679:DU679)</f>
        <v>0</v>
      </c>
      <c r="DZ679" s="143" t="str">
        <f>IF(DT679=1,"self-calculated DF",IF(DU679=1,"external DF used","explicit C balance"))</f>
        <v>explicit C balance</v>
      </c>
      <c r="EA679" s="143">
        <v>0</v>
      </c>
      <c r="EB679" s="143">
        <v>0</v>
      </c>
      <c r="EC679" s="143">
        <v>0</v>
      </c>
      <c r="ED679" s="143">
        <v>0</v>
      </c>
      <c r="EE679">
        <v>0</v>
      </c>
      <c r="EF679" s="143">
        <v>0</v>
      </c>
      <c r="EG679" s="143">
        <v>0</v>
      </c>
      <c r="EH679" s="143">
        <v>1</v>
      </c>
      <c r="EI679" s="143">
        <v>0</v>
      </c>
      <c r="EJ679">
        <v>1</v>
      </c>
      <c r="EK679">
        <v>0</v>
      </c>
      <c r="EL679" s="143">
        <v>0</v>
      </c>
      <c r="EM679" s="143">
        <v>0</v>
      </c>
      <c r="EN679" s="2">
        <v>0</v>
      </c>
      <c r="EP679" t="str">
        <f>IF(AND(AND(AND(OR($EC679=1,$EB679=1),OR($EH679=1,$EF679=1)),SUM($EA679:$EE679,$EK679)&gt;=3),SUM($EF679:$EJ679)&gt;=2),"Whole sector approach","")</f>
        <v/>
      </c>
      <c r="EQ679" t="str">
        <f>IF(AND(AND(OR($EC679=1,$EB679=1),AND($EH679=0,$EF679=0)),SUM($EA679:$EE679,$EK679)&gt;=3),"Ecosystem approach","")</f>
        <v/>
      </c>
      <c r="ER679" s="2" t="str">
        <f>IF(AND(AND(AND($EC679=0,$EB679=0),OR($EH679=1,$EF679=1)),SUM($EG679:$EJ679)&gt;=2),"Technology approach","")</f>
        <v>Technology approach</v>
      </c>
      <c r="ES679" t="str">
        <f>IF(AND($EC679+$EB679+$EE679+$EA679+$ED679+$EG679=0,$N679="included"),"C neutral forest and HWP assumption","")</f>
        <v>C neutral forest and HWP assumption</v>
      </c>
      <c r="ET679" t="str">
        <f>IF(AND(AND(AND(AND($EC679=1,$EB679+$EA679+$EG679&gt;=1),$EF679=1),$EH679+$EI679+$ED679+$EE679&gt;=2),$N679="included"),"All C pools assumption","")</f>
        <v/>
      </c>
      <c r="EU679" t="str">
        <f>IF(AND($ED679+$EE679+$EI679+$EH679+$EF679=0,$N679="included"),"In-situ only assumption","")</f>
        <v/>
      </c>
      <c r="EY679" t="str">
        <f>IF(ISNUMBER(BW679),IF(ABS(BW679-[4]QC_indicators!$B$2)&gt;3*[4]QC_indicators!$C$2,"C ratio",IF(ISNUMBER(CA679),IF(ABS(CA679-[4]QC_indicators!$B$1)&gt;3*[4]QC_indicators!$C$1,"DF","no"))),IF(ISNUMBER(CA679),IF(ABS(CA679-[4]QC_indicators!$B$1)&gt;3*[4]QC_indicators!$C$1,"DF","no")))</f>
        <v>no</v>
      </c>
      <c r="FA679" t="str">
        <f>IF(LEN($CY679)=0,"",IF(AND($CY679&lt;(-0.05),$ES679="C neutral forest and HWP assumption"),"Cneutral paradox",IF(AND($CY679&gt;0.05,$EU679="In-situ only assumption"),"In-situ only paradox","")))</f>
        <v/>
      </c>
      <c r="FB679" s="149"/>
    </row>
    <row r="680" spans="1:160" ht="15" hidden="1" customHeight="1">
      <c r="A680" s="1" t="s">
        <v>574</v>
      </c>
      <c r="B680" t="s">
        <v>1320</v>
      </c>
      <c r="C680" t="s">
        <v>1321</v>
      </c>
      <c r="D680" t="s">
        <v>1322</v>
      </c>
      <c r="E680" t="s">
        <v>1323</v>
      </c>
      <c r="F680" t="s">
        <v>1324</v>
      </c>
      <c r="G680" t="s">
        <v>580</v>
      </c>
      <c r="H680" t="s">
        <v>254</v>
      </c>
      <c r="I680">
        <v>2020</v>
      </c>
      <c r="J680">
        <v>12</v>
      </c>
      <c r="K680" t="s">
        <v>1325</v>
      </c>
      <c r="M680" t="str">
        <f>LEFT($D680,FIND(",",$D680)-1)&amp;"_"&amp;I680&amp;L680</f>
        <v>Elisa_2020</v>
      </c>
      <c r="N680" s="317" t="s">
        <v>222</v>
      </c>
      <c r="O680" s="171" t="s">
        <v>274</v>
      </c>
      <c r="P680" t="s">
        <v>223</v>
      </c>
      <c r="Q680" s="317" t="s">
        <v>389</v>
      </c>
      <c r="R680" s="318" t="s">
        <v>1029</v>
      </c>
      <c r="S680" s="154" t="s">
        <v>1326</v>
      </c>
      <c r="T680" s="319" t="s">
        <v>1327</v>
      </c>
      <c r="U680" s="143" t="s">
        <v>1368</v>
      </c>
      <c r="V680" s="253">
        <v>0</v>
      </c>
      <c r="W680" s="253">
        <v>0</v>
      </c>
      <c r="X680">
        <v>0</v>
      </c>
      <c r="Y680">
        <v>0</v>
      </c>
      <c r="Z680">
        <v>0</v>
      </c>
      <c r="AA680">
        <v>0</v>
      </c>
      <c r="AB680">
        <v>0</v>
      </c>
      <c r="AC680">
        <v>0</v>
      </c>
      <c r="AD680">
        <v>0</v>
      </c>
      <c r="AE680">
        <v>0</v>
      </c>
      <c r="AF680">
        <v>0</v>
      </c>
      <c r="AG680">
        <v>1</v>
      </c>
      <c r="AH680">
        <v>0</v>
      </c>
      <c r="AI680">
        <v>0</v>
      </c>
      <c r="AJ680">
        <v>0</v>
      </c>
      <c r="AK680">
        <v>0</v>
      </c>
      <c r="AL680">
        <v>0</v>
      </c>
      <c r="AM680">
        <v>1</v>
      </c>
      <c r="AN680">
        <v>0</v>
      </c>
      <c r="AO680">
        <v>0</v>
      </c>
      <c r="AP680">
        <v>0</v>
      </c>
      <c r="AQ680">
        <v>0</v>
      </c>
      <c r="AR680">
        <v>0</v>
      </c>
      <c r="AS680">
        <v>0</v>
      </c>
      <c r="AT680">
        <v>0</v>
      </c>
      <c r="AU680">
        <v>0</v>
      </c>
      <c r="AV680">
        <v>0</v>
      </c>
      <c r="AW680">
        <v>0</v>
      </c>
      <c r="AX680">
        <v>0</v>
      </c>
      <c r="AY680">
        <v>0</v>
      </c>
      <c r="AZ680" s="141">
        <f>COUNTIF(X680:AY680,"&lt;&gt;0")</f>
        <v>2</v>
      </c>
      <c r="BA680" s="141">
        <f>COUNTIF(X680:AN680,"&lt;&gt;0")</f>
        <v>2</v>
      </c>
      <c r="BB680">
        <f>COUNTIF(X680:AE680,"&lt;&gt;0")</f>
        <v>0</v>
      </c>
      <c r="BC680">
        <f>COUNTIF(AF680:AK680,"&lt;&gt;0")</f>
        <v>1</v>
      </c>
      <c r="BD680">
        <f>COUNTIF(AL680:AN680,"&lt;&gt;0")</f>
        <v>1</v>
      </c>
      <c r="BE680">
        <f>COUNTIF(AU680:AY680,"&lt;&gt;0")</f>
        <v>0</v>
      </c>
      <c r="BF680">
        <f>COUNTIF(AO680:AT680,"&lt;&gt;0")</f>
        <v>0</v>
      </c>
      <c r="BG680" t="str" cm="1">
        <f t="array" ref="BG680">IF(BA680=1,INDEX($X$7:$AN$7,MATCH(TRUE,INDEX($X680:$AY680&lt;&gt;0,),0)),IF(BA680=0,INDEX($AO$7:$AY$7,MATCH(1,$AO680:$AY680,0)),IF(BH680="Multiple strategies","mixed drivers",IF(BH680="Supply chain","multiple supply","multiple silviculture"))))</f>
        <v>mixed drivers</v>
      </c>
      <c r="BH680" s="2" t="str" cm="1">
        <f t="array" ref="BH680">IF(COUNTIF(BB680:BD680,"&lt;&gt;0")=1,INDEX($X$4:$AY$4,MATCH(TRUE,INDEX($X680:$AY680&lt;&gt;0,),0)),IF(COUNTIF(BB680:BD680,"&lt;&gt;0")=0,INDEX($AO$4:$AY$4,MATCH(1,$AO680:$AY680,0)),"Multiple strategies"))</f>
        <v>Multiple strategies</v>
      </c>
      <c r="BI680" s="142" t="s">
        <v>321</v>
      </c>
      <c r="BJ680" s="160" t="s">
        <v>1329</v>
      </c>
      <c r="BK680" s="160" t="s">
        <v>1330</v>
      </c>
      <c r="BL680" s="143" t="s">
        <v>498</v>
      </c>
      <c r="BM680" s="143">
        <v>944</v>
      </c>
      <c r="BN680" s="143">
        <v>4837</v>
      </c>
      <c r="BO680">
        <f>IFERROR(BN682/BM680,"")</f>
        <v>1.9239406779661017E-2</v>
      </c>
      <c r="BP680">
        <f>BN680-BM680</f>
        <v>3893</v>
      </c>
      <c r="BQ680" s="159">
        <f>BP680</f>
        <v>3893</v>
      </c>
      <c r="BR680" s="155" t="s">
        <v>232</v>
      </c>
      <c r="BS680" s="155" t="s">
        <v>1331</v>
      </c>
      <c r="BT680" s="155" t="s">
        <v>805</v>
      </c>
      <c r="BU680" s="143" t="s">
        <v>1335</v>
      </c>
      <c r="BV680" t="s">
        <v>1371</v>
      </c>
      <c r="BW680" s="144">
        <f>BV680/BU680</f>
        <v>3.680938301564102</v>
      </c>
      <c r="BX680">
        <f>BV680-BU680</f>
        <v>-18.527006166666702</v>
      </c>
      <c r="BZ680">
        <f>BX680</f>
        <v>-18.527006166666702</v>
      </c>
      <c r="CA680">
        <f>IFERROR(BZ680/BQ680,"")</f>
        <v>-4.7590562976282304E-3</v>
      </c>
      <c r="CB680">
        <v>0</v>
      </c>
      <c r="CC680">
        <v>0</v>
      </c>
      <c r="CD680">
        <v>0</v>
      </c>
      <c r="CE680">
        <v>0</v>
      </c>
      <c r="CF680">
        <v>0</v>
      </c>
      <c r="CG680">
        <v>0</v>
      </c>
      <c r="CH680">
        <v>0</v>
      </c>
      <c r="CI680">
        <v>0</v>
      </c>
      <c r="CJ680">
        <v>0</v>
      </c>
      <c r="CK680">
        <v>0</v>
      </c>
      <c r="CL680">
        <v>0</v>
      </c>
      <c r="CM680">
        <v>0</v>
      </c>
      <c r="CN680">
        <v>0</v>
      </c>
      <c r="CO680">
        <v>0</v>
      </c>
      <c r="CP680" t="str">
        <f>IF($BN680&lt;$BM680,"refNeedCorrection","refOK")</f>
        <v>refOK</v>
      </c>
      <c r="CQ680">
        <f>IF($CP680="refOK",$BM680,$BN680)</f>
        <v>944</v>
      </c>
      <c r="CR680">
        <f>IF($CP680="refOK",$BN680,$BM680)</f>
        <v>4837</v>
      </c>
      <c r="CS680">
        <f>IF($CP680="refOK",$BQ680,-$BQ680)</f>
        <v>3893</v>
      </c>
      <c r="CT680">
        <f>IF(BI680="Roundwood",$CS680/2,$CS680)</f>
        <v>1946.5</v>
      </c>
      <c r="CU680">
        <f>IF($CP680="refOK",$BU680,$BV680)*IF($BR680="Emissions positive",-1,1)</f>
        <v>-6.9106424999999998</v>
      </c>
      <c r="CV680">
        <f>IF($CP680="refOK",$BV680,$BU680)*IF($BR680="Emissions positive",-1,1)</f>
        <v>-25.4376486666667</v>
      </c>
      <c r="CW680">
        <f>IF($CP680="refNeedCorrection",-BZ680,BZ680)*IF($BR680="Emissions positive",-1,1)</f>
        <v>-18.527006166666702</v>
      </c>
      <c r="CX680">
        <f>IFERROR($CW680/$CS680,"")</f>
        <v>-4.7590562976282304E-3</v>
      </c>
      <c r="CY680">
        <f>IFERROR($CW680/$CS680,"")</f>
        <v>-4.7590562976282304E-3</v>
      </c>
      <c r="CZ680">
        <f>IFERROR($CW680/$CT680,"")</f>
        <v>-9.5181125952564609E-3</v>
      </c>
      <c r="DA680" s="2">
        <f>IFERROR((CV680-CU680)/ABS(CU680),"")</f>
        <v>-2.6809383015641024</v>
      </c>
      <c r="DB680" s="320" t="s">
        <v>1334</v>
      </c>
      <c r="DC680" s="317" t="str">
        <f>IF(OR($DB680="prd",$DB680="std",$DB680="cit"),"loc",IF(OR($DB680="eur",$DB680="reg",$DB680="coy"),"reg",$DB680))</f>
        <v>reg</v>
      </c>
      <c r="DD680" s="321" t="s">
        <v>729</v>
      </c>
      <c r="DF680" s="143"/>
      <c r="DG680" s="143">
        <v>0</v>
      </c>
      <c r="DH680" t="str">
        <f>IF(DG680=0,"0",IF(AND(DG680&gt;=1,DG680&lt;=30),"1-30",IF(AND(DG680&gt;30,DG680&lt;=70),"31-70",IF(AND(DG680&gt;70,DG680&lt;=100),"71-100",IF(DG680&gt;100,"+100")))))</f>
        <v>0</v>
      </c>
      <c r="DI680">
        <v>0</v>
      </c>
      <c r="DJ680">
        <v>1</v>
      </c>
      <c r="DK680">
        <v>0</v>
      </c>
      <c r="DL680">
        <v>0</v>
      </c>
      <c r="DM680">
        <v>0</v>
      </c>
      <c r="DN680">
        <f>SUM(DI680:DM680)</f>
        <v>1</v>
      </c>
      <c r="DO680" t="str">
        <f>IF(DN680=1,INDEX($DI$7:$DL$7,MATCH(1,$DI680:$DL680,0)),"mixedProduct")</f>
        <v>EnergyInput</v>
      </c>
      <c r="DP680">
        <f>IF(DI680=1,DP$7,0)</f>
        <v>0</v>
      </c>
      <c r="DQ680" t="str">
        <f>IF(DJ680=1,DQ$7,0)</f>
        <v>Energy</v>
      </c>
      <c r="DR680">
        <f>IF(DK680=1,DR$7,0)</f>
        <v>0</v>
      </c>
      <c r="DS680">
        <f>IF(DL680=1,DS$7,0)</f>
        <v>0</v>
      </c>
      <c r="DT680">
        <v>0</v>
      </c>
      <c r="DU680" s="143">
        <v>0</v>
      </c>
      <c r="DV680" s="143">
        <v>0</v>
      </c>
      <c r="DW680">
        <v>0</v>
      </c>
      <c r="DX680" s="143">
        <v>0</v>
      </c>
      <c r="DY680">
        <f>SUM(DT680:DU680)</f>
        <v>0</v>
      </c>
      <c r="DZ680" s="143" t="str">
        <f>IF(DT680=1,"self-calculated DF",IF(DU680=1,"external DF used","explicit C balance"))</f>
        <v>explicit C balance</v>
      </c>
      <c r="EA680" s="143">
        <v>0</v>
      </c>
      <c r="EB680" s="143">
        <v>0</v>
      </c>
      <c r="EC680" s="143">
        <v>0</v>
      </c>
      <c r="ED680" s="143">
        <v>0</v>
      </c>
      <c r="EE680">
        <v>0</v>
      </c>
      <c r="EF680" s="143">
        <v>0</v>
      </c>
      <c r="EG680" s="143">
        <v>0</v>
      </c>
      <c r="EH680" s="143">
        <v>1</v>
      </c>
      <c r="EI680" s="143">
        <v>0</v>
      </c>
      <c r="EJ680">
        <v>1</v>
      </c>
      <c r="EK680">
        <v>0</v>
      </c>
      <c r="EL680" s="143">
        <v>0</v>
      </c>
      <c r="EM680" s="143">
        <v>0</v>
      </c>
      <c r="EN680" s="2">
        <v>0</v>
      </c>
      <c r="EP680" t="str">
        <f>IF(AND(AND(AND(OR($EC680=1,$EB680=1),OR($EH680=1,$EF680=1)),SUM($EA680:$EE680,$EK680)&gt;=3),SUM($EF680:$EJ680)&gt;=2),"Whole sector approach","")</f>
        <v/>
      </c>
      <c r="EQ680" t="str">
        <f>IF(AND(AND(OR($EC680=1,$EB680=1),AND($EH680=0,$EF680=0)),SUM($EA680:$EE680,$EK680)&gt;=3),"Ecosystem approach","")</f>
        <v/>
      </c>
      <c r="ER680" s="2" t="str">
        <f>IF(AND(AND(AND($EC680=0,$EB680=0),OR($EH680=1,$EF680=1)),SUM($EG680:$EJ680)&gt;=2),"Technology approach","")</f>
        <v>Technology approach</v>
      </c>
      <c r="ES680" t="str">
        <f>IF(AND($EC680+$EB680+$EE680+$EA680+$ED680+$EG680=0,$N680="included"),"C neutral forest and HWP assumption","")</f>
        <v>C neutral forest and HWP assumption</v>
      </c>
      <c r="ET680" t="str">
        <f>IF(AND(AND(AND(AND($EC680=1,$EB680+$EA680+$EG680&gt;=1),$EF680=1),$EH680+$EI680+$ED680+$EE680&gt;=2),$N680="included"),"All C pools assumption","")</f>
        <v/>
      </c>
      <c r="EU680" t="str">
        <f>IF(AND($ED680+$EE680+$EI680+$EH680+$EF680=0,$N680="included"),"In-situ only assumption","")</f>
        <v/>
      </c>
      <c r="EY680" t="str">
        <f>IF(ISNUMBER(BW680),IF(ABS(BW680-[4]QC_indicators!$B$2)&gt;3*[4]QC_indicators!$C$2,"C ratio",IF(ISNUMBER(CA680),IF(ABS(CA680-[4]QC_indicators!$B$1)&gt;3*[4]QC_indicators!$C$1,"DF","no"))),IF(ISNUMBER(CA680),IF(ABS(CA680-[4]QC_indicators!$B$1)&gt;3*[4]QC_indicators!$C$1,"DF","no")))</f>
        <v>no</v>
      </c>
      <c r="FA680" t="str">
        <f>IF(LEN($CY680)=0,"",IF(AND($CY680&lt;(-0.05),$ES680="C neutral forest and HWP assumption"),"Cneutral paradox",IF(AND($CY680&gt;0.05,$EU680="In-situ only assumption"),"In-situ only paradox","")))</f>
        <v/>
      </c>
      <c r="FB680" s="149"/>
    </row>
    <row r="681" spans="1:160" ht="15" hidden="1" customHeight="1">
      <c r="A681" s="1" t="s">
        <v>574</v>
      </c>
      <c r="B681" t="s">
        <v>1320</v>
      </c>
      <c r="C681" t="s">
        <v>1321</v>
      </c>
      <c r="D681" t="s">
        <v>1322</v>
      </c>
      <c r="E681" t="s">
        <v>1323</v>
      </c>
      <c r="F681" t="s">
        <v>1324</v>
      </c>
      <c r="G681" t="s">
        <v>580</v>
      </c>
      <c r="H681" t="s">
        <v>254</v>
      </c>
      <c r="I681">
        <v>2020</v>
      </c>
      <c r="J681">
        <v>12</v>
      </c>
      <c r="K681" t="s">
        <v>1325</v>
      </c>
      <c r="M681" t="str">
        <f>LEFT($D681,FIND(",",$D681)-1)&amp;"_"&amp;I681&amp;L681</f>
        <v>Elisa_2020</v>
      </c>
      <c r="N681" s="317" t="s">
        <v>222</v>
      </c>
      <c r="O681" s="171" t="s">
        <v>274</v>
      </c>
      <c r="P681" t="s">
        <v>223</v>
      </c>
      <c r="Q681" s="317" t="s">
        <v>389</v>
      </c>
      <c r="R681" s="318" t="s">
        <v>1029</v>
      </c>
      <c r="S681" s="154" t="s">
        <v>1326</v>
      </c>
      <c r="T681" s="319" t="s">
        <v>1327</v>
      </c>
      <c r="U681" s="143" t="s">
        <v>1372</v>
      </c>
      <c r="V681" s="253">
        <v>0</v>
      </c>
      <c r="W681" s="253">
        <v>0</v>
      </c>
      <c r="X681">
        <v>0</v>
      </c>
      <c r="Y681">
        <v>0</v>
      </c>
      <c r="Z681">
        <v>0</v>
      </c>
      <c r="AA681">
        <v>0</v>
      </c>
      <c r="AB681">
        <v>0</v>
      </c>
      <c r="AC681">
        <v>0</v>
      </c>
      <c r="AD681">
        <v>0</v>
      </c>
      <c r="AE681">
        <v>0</v>
      </c>
      <c r="AF681">
        <v>0</v>
      </c>
      <c r="AG681">
        <v>1</v>
      </c>
      <c r="AH681">
        <v>0</v>
      </c>
      <c r="AI681">
        <v>0</v>
      </c>
      <c r="AJ681">
        <v>0</v>
      </c>
      <c r="AK681">
        <v>0</v>
      </c>
      <c r="AL681">
        <v>0</v>
      </c>
      <c r="AM681">
        <v>1</v>
      </c>
      <c r="AN681">
        <v>0</v>
      </c>
      <c r="AO681">
        <v>0</v>
      </c>
      <c r="AP681">
        <v>0</v>
      </c>
      <c r="AQ681">
        <v>0</v>
      </c>
      <c r="AR681">
        <v>0</v>
      </c>
      <c r="AS681">
        <v>0</v>
      </c>
      <c r="AT681">
        <v>0</v>
      </c>
      <c r="AU681">
        <v>0</v>
      </c>
      <c r="AV681">
        <v>0</v>
      </c>
      <c r="AW681">
        <v>0</v>
      </c>
      <c r="AX681">
        <v>0</v>
      </c>
      <c r="AY681">
        <v>0</v>
      </c>
      <c r="AZ681" s="141">
        <f>COUNTIF(X681:AY681,"&lt;&gt;0")</f>
        <v>2</v>
      </c>
      <c r="BA681" s="141">
        <f>COUNTIF(X681:AN681,"&lt;&gt;0")</f>
        <v>2</v>
      </c>
      <c r="BB681">
        <f>COUNTIF(X681:AE681,"&lt;&gt;0")</f>
        <v>0</v>
      </c>
      <c r="BC681">
        <f>COUNTIF(AF681:AK681,"&lt;&gt;0")</f>
        <v>1</v>
      </c>
      <c r="BD681">
        <f>COUNTIF(AL681:AN681,"&lt;&gt;0")</f>
        <v>1</v>
      </c>
      <c r="BE681">
        <f>COUNTIF(AU681:AY681,"&lt;&gt;0")</f>
        <v>0</v>
      </c>
      <c r="BF681">
        <f>COUNTIF(AO681:AT681,"&lt;&gt;0")</f>
        <v>0</v>
      </c>
      <c r="BG681" t="str" cm="1">
        <f t="array" ref="BG681">IF(BA681=1,INDEX($X$7:$AN$7,MATCH(TRUE,INDEX($X681:$AY681&lt;&gt;0,),0)),IF(BA681=0,INDEX($AO$7:$AY$7,MATCH(1,$AO681:$AY681,0)),IF(BH681="Multiple strategies","mixed drivers",IF(BH681="Supply chain","multiple supply","multiple silviculture"))))</f>
        <v>mixed drivers</v>
      </c>
      <c r="BH681" s="2" t="str" cm="1">
        <f t="array" ref="BH681">IF(COUNTIF(BB681:BD681,"&lt;&gt;0")=1,INDEX($X$4:$AY$4,MATCH(TRUE,INDEX($X681:$AY681&lt;&gt;0,),0)),IF(COUNTIF(BB681:BD681,"&lt;&gt;0")=0,INDEX($AO$4:$AY$4,MATCH(1,$AO681:$AY681,0)),"Multiple strategies"))</f>
        <v>Multiple strategies</v>
      </c>
      <c r="BI681" s="142" t="s">
        <v>321</v>
      </c>
      <c r="BJ681" s="160" t="s">
        <v>1329</v>
      </c>
      <c r="BK681" s="160" t="s">
        <v>1330</v>
      </c>
      <c r="BL681" s="143" t="s">
        <v>498</v>
      </c>
      <c r="BM681" s="143">
        <v>944</v>
      </c>
      <c r="BN681" s="143">
        <v>135692</v>
      </c>
      <c r="BO681" t="str">
        <f>IFERROR(#REF!/BM681,"")</f>
        <v/>
      </c>
      <c r="BP681">
        <f>BN681-BM681</f>
        <v>134748</v>
      </c>
      <c r="BQ681" s="159">
        <f>BP681</f>
        <v>134748</v>
      </c>
      <c r="BR681" s="155" t="s">
        <v>232</v>
      </c>
      <c r="BS681" s="155" t="s">
        <v>1331</v>
      </c>
      <c r="BT681" s="155" t="s">
        <v>805</v>
      </c>
      <c r="BU681" s="143" t="s">
        <v>1335</v>
      </c>
      <c r="BV681" t="s">
        <v>1374</v>
      </c>
      <c r="BW681" s="144">
        <f>BV681/BU681</f>
        <v>62.136045960994217</v>
      </c>
      <c r="BX681">
        <f>BV681-BU681</f>
        <v>-422.48935749999998</v>
      </c>
      <c r="BZ681">
        <f>BX681</f>
        <v>-422.48935749999998</v>
      </c>
      <c r="CA681">
        <f>IFERROR(BZ681/BQ681,"")</f>
        <v>-3.135403549588862E-3</v>
      </c>
      <c r="CB681">
        <v>0</v>
      </c>
      <c r="CC681">
        <v>0</v>
      </c>
      <c r="CD681">
        <v>0</v>
      </c>
      <c r="CE681">
        <v>0</v>
      </c>
      <c r="CF681">
        <v>0</v>
      </c>
      <c r="CG681">
        <v>0</v>
      </c>
      <c r="CH681">
        <v>0</v>
      </c>
      <c r="CI681">
        <v>0</v>
      </c>
      <c r="CJ681">
        <v>0</v>
      </c>
      <c r="CK681">
        <v>0</v>
      </c>
      <c r="CL681">
        <v>0</v>
      </c>
      <c r="CM681">
        <v>0</v>
      </c>
      <c r="CN681">
        <v>0</v>
      </c>
      <c r="CO681">
        <v>0</v>
      </c>
      <c r="CP681" t="str">
        <f>IF($BN681&lt;$BM681,"refNeedCorrection","refOK")</f>
        <v>refOK</v>
      </c>
      <c r="CQ681">
        <f>IF($CP681="refOK",$BM681,$BN681)</f>
        <v>944</v>
      </c>
      <c r="CR681">
        <f>IF($CP681="refOK",$BN681,$BM681)</f>
        <v>135692</v>
      </c>
      <c r="CS681">
        <f>IF($CP681="refOK",$BQ681,-$BQ681)</f>
        <v>134748</v>
      </c>
      <c r="CT681">
        <f>IF(BI681="Roundwood",$CS681/2,$CS681)</f>
        <v>67374</v>
      </c>
      <c r="CU681">
        <f>IF($CP681="refOK",$BU681,$BV681)*IF($BR681="Emissions positive",-1,1)</f>
        <v>-6.9106424999999998</v>
      </c>
      <c r="CV681">
        <f>IF($CP681="refOK",$BV681,$BU681)*IF($BR681="Emissions positive",-1,1)</f>
        <v>-429.4</v>
      </c>
      <c r="CW681">
        <f>IF($CP681="refNeedCorrection",-BZ681,BZ681)*IF($BR681="Emissions positive",-1,1)</f>
        <v>-422.48935749999998</v>
      </c>
      <c r="CX681">
        <f>IFERROR($CW681/$CS681,"")</f>
        <v>-3.135403549588862E-3</v>
      </c>
      <c r="CY681">
        <f>IFERROR($CW681/$CS681,"")</f>
        <v>-3.135403549588862E-3</v>
      </c>
      <c r="CZ681">
        <f>IFERROR($CW681/$CT681,"")</f>
        <v>-6.270807099177724E-3</v>
      </c>
      <c r="DA681" s="2">
        <f>IFERROR((CV681-CU681)/ABS(CU681),"")</f>
        <v>-61.136045960994217</v>
      </c>
      <c r="DB681" s="320" t="s">
        <v>1334</v>
      </c>
      <c r="DC681" s="317" t="str">
        <f>IF(OR($DB681="prd",$DB681="std",$DB681="cit"),"loc",IF(OR($DB681="eur",$DB681="reg",$DB681="coy"),"reg",$DB681))</f>
        <v>reg</v>
      </c>
      <c r="DD681" s="321" t="s">
        <v>729</v>
      </c>
      <c r="DF681" s="143"/>
      <c r="DG681" s="143">
        <v>0</v>
      </c>
      <c r="DH681" t="str">
        <f>IF(DG681=0,"0",IF(AND(DG681&gt;=1,DG681&lt;=30),"1-30",IF(AND(DG681&gt;30,DG681&lt;=70),"31-70",IF(AND(DG681&gt;70,DG681&lt;=100),"71-100",IF(DG681&gt;100,"+100")))))</f>
        <v>0</v>
      </c>
      <c r="DI681">
        <v>0</v>
      </c>
      <c r="DJ681">
        <v>1</v>
      </c>
      <c r="DK681">
        <v>0</v>
      </c>
      <c r="DL681">
        <v>0</v>
      </c>
      <c r="DM681">
        <v>0</v>
      </c>
      <c r="DN681">
        <f>SUM(DI681:DM681)</f>
        <v>1</v>
      </c>
      <c r="DO681" t="str">
        <f>IF(DN681=1,INDEX($DI$7:$DL$7,MATCH(1,$DI681:$DL681,0)),"mixedProduct")</f>
        <v>EnergyInput</v>
      </c>
      <c r="DP681">
        <f>IF(DI681=1,DP$7,0)</f>
        <v>0</v>
      </c>
      <c r="DQ681" t="str">
        <f>IF(DJ681=1,DQ$7,0)</f>
        <v>Energy</v>
      </c>
      <c r="DR681">
        <f>IF(DK681=1,DR$7,0)</f>
        <v>0</v>
      </c>
      <c r="DS681">
        <f>IF(DL681=1,DS$7,0)</f>
        <v>0</v>
      </c>
      <c r="DT681">
        <v>0</v>
      </c>
      <c r="DU681" s="143">
        <v>0</v>
      </c>
      <c r="DV681" s="143">
        <v>0</v>
      </c>
      <c r="DW681">
        <v>0</v>
      </c>
      <c r="DX681" s="143">
        <v>0</v>
      </c>
      <c r="DY681">
        <f>SUM(DT681:DU681)</f>
        <v>0</v>
      </c>
      <c r="DZ681" s="143" t="str">
        <f>IF(DT681=1,"self-calculated DF",IF(DU681=1,"external DF used","explicit C balance"))</f>
        <v>explicit C balance</v>
      </c>
      <c r="EA681" s="143">
        <v>0</v>
      </c>
      <c r="EB681" s="143">
        <v>0</v>
      </c>
      <c r="EC681" s="143">
        <v>0</v>
      </c>
      <c r="ED681" s="143">
        <v>0</v>
      </c>
      <c r="EE681">
        <v>0</v>
      </c>
      <c r="EF681" s="143">
        <v>0</v>
      </c>
      <c r="EG681" s="143">
        <v>0</v>
      </c>
      <c r="EH681" s="143">
        <v>1</v>
      </c>
      <c r="EI681" s="143">
        <v>0</v>
      </c>
      <c r="EJ681">
        <v>1</v>
      </c>
      <c r="EK681">
        <v>0</v>
      </c>
      <c r="EL681" s="143">
        <v>0</v>
      </c>
      <c r="EM681" s="143">
        <v>0</v>
      </c>
      <c r="EN681" s="2">
        <v>0</v>
      </c>
      <c r="EP681" t="str">
        <f>IF(AND(AND(AND(OR($EC681=1,$EB681=1),OR($EH681=1,$EF681=1)),SUM($EA681:$EE681,$EK681)&gt;=3),SUM($EF681:$EJ681)&gt;=2),"Whole sector approach","")</f>
        <v/>
      </c>
      <c r="EQ681" t="str">
        <f>IF(AND(AND(OR($EC681=1,$EB681=1),AND($EH681=0,$EF681=0)),SUM($EA681:$EE681,$EK681)&gt;=3),"Ecosystem approach","")</f>
        <v/>
      </c>
      <c r="ER681" s="2" t="str">
        <f>IF(AND(AND(AND($EC681=0,$EB681=0),OR($EH681=1,$EF681=1)),SUM($EG681:$EJ681)&gt;=2),"Technology approach","")</f>
        <v>Technology approach</v>
      </c>
      <c r="ES681" t="str">
        <f>IF(AND($EC681+$EB681+$EE681+$EA681+$ED681+$EG681=0,$N681="included"),"C neutral forest and HWP assumption","")</f>
        <v>C neutral forest and HWP assumption</v>
      </c>
      <c r="ET681" t="str">
        <f>IF(AND(AND(AND(AND($EC681=1,$EB681+$EA681+$EG681&gt;=1),$EF681=1),$EH681+$EI681+$ED681+$EE681&gt;=2),$N681="included"),"All C pools assumption","")</f>
        <v/>
      </c>
      <c r="EU681" t="str">
        <f>IF(AND($ED681+$EE681+$EI681+$EH681+$EF681=0,$N681="included"),"In-situ only assumption","")</f>
        <v/>
      </c>
      <c r="EY681" t="str">
        <f>IF(ISNUMBER(BW681),IF(ABS(BW681-[4]QC_indicators!$B$2)&gt;3*[4]QC_indicators!$C$2,"C ratio",IF(ISNUMBER(CA681),IF(ABS(CA681-[4]QC_indicators!$B$1)&gt;3*[4]QC_indicators!$C$1,"DF","no"))),IF(ISNUMBER(CA681),IF(ABS(CA681-[4]QC_indicators!$B$1)&gt;3*[4]QC_indicators!$C$1,"DF","no")))</f>
        <v>C ratio</v>
      </c>
      <c r="FA681" t="str">
        <f>IF(LEN($CY681)=0,"",IF(AND($CY681&lt;(-0.05),$ES681="C neutral forest and HWP assumption"),"Cneutral paradox",IF(AND($CY681&gt;0.05,$EU681="In-situ only assumption"),"In-situ only paradox","")))</f>
        <v/>
      </c>
      <c r="FB681" s="149"/>
    </row>
    <row r="682" spans="1:160" ht="15" customHeight="1">
      <c r="A682" s="1" t="s">
        <v>586</v>
      </c>
      <c r="B682" t="s">
        <v>587</v>
      </c>
      <c r="C682" t="s">
        <v>588</v>
      </c>
      <c r="D682" t="s">
        <v>589</v>
      </c>
      <c r="E682" t="s">
        <v>590</v>
      </c>
      <c r="F682" t="s">
        <v>591</v>
      </c>
      <c r="G682" t="s">
        <v>592</v>
      </c>
      <c r="H682" t="s">
        <v>254</v>
      </c>
      <c r="I682">
        <v>2022</v>
      </c>
      <c r="J682">
        <v>15</v>
      </c>
      <c r="K682" t="s">
        <v>593</v>
      </c>
      <c r="M682" t="str">
        <f>LEFT($D682,FIND(",",$D682)-1)&amp;"_"&amp;I682&amp;L682</f>
        <v>Dani_2022</v>
      </c>
      <c r="N682" t="s">
        <v>222</v>
      </c>
      <c r="O682" s="145" t="s">
        <v>223</v>
      </c>
      <c r="Q682" t="s">
        <v>389</v>
      </c>
      <c r="R682" s="251" t="s">
        <v>225</v>
      </c>
      <c r="S682" s="1" t="s">
        <v>594</v>
      </c>
      <c r="T682" t="s">
        <v>595</v>
      </c>
      <c r="U682" t="s">
        <v>596</v>
      </c>
      <c r="V682" s="253">
        <v>0</v>
      </c>
      <c r="W682" s="253">
        <v>0</v>
      </c>
      <c r="X682">
        <v>0</v>
      </c>
      <c r="Y682">
        <v>0</v>
      </c>
      <c r="Z682">
        <v>0</v>
      </c>
      <c r="AA682">
        <v>0</v>
      </c>
      <c r="AB682">
        <v>0</v>
      </c>
      <c r="AC682">
        <v>0</v>
      </c>
      <c r="AD682">
        <v>0</v>
      </c>
      <c r="AE682">
        <v>0</v>
      </c>
      <c r="AF682">
        <v>0</v>
      </c>
      <c r="AG682">
        <v>0</v>
      </c>
      <c r="AH682">
        <v>0</v>
      </c>
      <c r="AI682">
        <v>0</v>
      </c>
      <c r="AJ682">
        <v>0</v>
      </c>
      <c r="AK682">
        <v>0</v>
      </c>
      <c r="AL682">
        <v>0</v>
      </c>
      <c r="AM682">
        <v>1</v>
      </c>
      <c r="AN682">
        <v>0</v>
      </c>
      <c r="AO682">
        <v>0</v>
      </c>
      <c r="AP682">
        <v>0</v>
      </c>
      <c r="AQ682">
        <v>0</v>
      </c>
      <c r="AR682">
        <v>0</v>
      </c>
      <c r="AS682">
        <v>0</v>
      </c>
      <c r="AT682">
        <v>0</v>
      </c>
      <c r="AU682">
        <v>0</v>
      </c>
      <c r="AV682">
        <v>0</v>
      </c>
      <c r="AW682">
        <v>0</v>
      </c>
      <c r="AX682">
        <v>0</v>
      </c>
      <c r="AY682">
        <v>0</v>
      </c>
      <c r="AZ682" s="141">
        <f>COUNTIF(X682:AY682,"&lt;&gt;0")</f>
        <v>1</v>
      </c>
      <c r="BA682" s="141">
        <f>COUNTIF(X682:AN682,"&lt;&gt;0")</f>
        <v>1</v>
      </c>
      <c r="BB682">
        <f>COUNTIF(X682:AE682,"&lt;&gt;0")</f>
        <v>0</v>
      </c>
      <c r="BC682">
        <f>COUNTIF(AF682:AK682,"&lt;&gt;0")</f>
        <v>0</v>
      </c>
      <c r="BD682">
        <f>COUNTIF(AL682:AN682,"&lt;&gt;0")</f>
        <v>1</v>
      </c>
      <c r="BE682">
        <f>COUNTIF(AU682:AY682,"&lt;&gt;0")</f>
        <v>0</v>
      </c>
      <c r="BF682">
        <f>COUNTIF(AO682:AT682,"&lt;&gt;0")</f>
        <v>0</v>
      </c>
      <c r="BG682" t="str">
        <f t="array" ref="BG682">IF(BA682=1,INDEX($X$7:$AN$7,MATCH(TRUE,INDEX($X682:$AY682&lt;&gt;0,),0)),IF(BA682=0,INDEX($AO$7:$AY$7,MATCH(1,$AO682:$AY682,0)),IF(BH682="Multiple strategies","mixed drivers",IF(BH682="Supply chain","multiple supply","multiple silviculture"))))</f>
        <v>technologies/design switch</v>
      </c>
      <c r="BH682" s="2" t="str" cm="1">
        <f t="array" ref="BH682">IF(COUNTIF(BB682:BD682,"&lt;&gt;0")=1,INDEX($X$4:$AY$4,MATCH(TRUE,INDEX($X682:$AY682&lt;&gt;0,),0)),IF(COUNTIF(BB682:BD682,"&lt;&gt;0")=0,INDEX($AO$4:$AY$4,MATCH(1,$AO682:$AY682,0)),"Multiple strategies"))</f>
        <v>Technology</v>
      </c>
      <c r="BI682" s="1" t="s">
        <v>229</v>
      </c>
      <c r="BJ682" t="s">
        <v>597</v>
      </c>
      <c r="BK682" t="s">
        <v>424</v>
      </c>
      <c r="BL682" t="s">
        <v>498</v>
      </c>
      <c r="BM682">
        <f>0.041+0.652</f>
        <v>0.69300000000000006</v>
      </c>
      <c r="BN682">
        <f>0.298+2.905+0.284+3.758+0.808+6.645+2.786+0.678</f>
        <v>18.161999999999999</v>
      </c>
      <c r="BP682">
        <f>BN682-BM682</f>
        <v>17.468999999999998</v>
      </c>
      <c r="BQ682">
        <f>BP682</f>
        <v>17.468999999999998</v>
      </c>
      <c r="BR682" t="s">
        <v>395</v>
      </c>
      <c r="BS682" s="337" t="s">
        <v>2978</v>
      </c>
      <c r="BT682" t="s">
        <v>599</v>
      </c>
      <c r="BU682">
        <f>146*0.27</f>
        <v>39.42</v>
      </c>
      <c r="BV682">
        <f>107*0.64</f>
        <v>68.48</v>
      </c>
      <c r="BW682" s="144">
        <f>IFERROR(BV682/BU682,"")</f>
        <v>1.7371892440385592</v>
      </c>
      <c r="BX682">
        <f>BV682-BU682</f>
        <v>29.060000000000002</v>
      </c>
      <c r="BZ682">
        <f>BX682/1000</f>
        <v>2.9060000000000002E-2</v>
      </c>
      <c r="CA682">
        <f>IFERROR(BZ682/BQ682,"")</f>
        <v>1.6635182322972126E-3</v>
      </c>
      <c r="CB682">
        <v>0</v>
      </c>
      <c r="CC682">
        <v>0</v>
      </c>
      <c r="CD682">
        <v>0</v>
      </c>
      <c r="CE682">
        <v>0</v>
      </c>
      <c r="CF682">
        <v>0</v>
      </c>
      <c r="CG682">
        <v>0</v>
      </c>
      <c r="CH682">
        <v>0</v>
      </c>
      <c r="CI682">
        <v>0</v>
      </c>
      <c r="CJ682">
        <v>0</v>
      </c>
      <c r="CK682">
        <v>0</v>
      </c>
      <c r="CL682">
        <v>0</v>
      </c>
      <c r="CM682">
        <v>0</v>
      </c>
      <c r="CN682">
        <v>0</v>
      </c>
      <c r="CO682">
        <v>0</v>
      </c>
      <c r="CP682" t="str">
        <f>IF($BN682&lt;$BM682,"refNeedCorrection","refOK")</f>
        <v>refOK</v>
      </c>
      <c r="CQ682"/>
      <c r="CR682"/>
      <c r="CS682">
        <f>IF($CP682="refOK",$BQ682,-$BQ682)</f>
        <v>17.468999999999998</v>
      </c>
      <c r="CT682">
        <f>IF(BI682="Roundwood",$CS682/2,$CS682)</f>
        <v>17.468999999999998</v>
      </c>
      <c r="CU682">
        <f>IF($CP682="refOK",$BU682,$BV682)*IF($BR682="Emissions positive",-1,1)</f>
        <v>-39.42</v>
      </c>
      <c r="CV682">
        <f>IF($CP682="refOK",$BV682,$BU682)*IF($BR682="Emissions positive",-1,1)</f>
        <v>-68.48</v>
      </c>
      <c r="CW682">
        <f>IF($CP682="refNeedCorrection",-BZ682,BZ682)*IF($BR682="Emissions positive",-1,1)</f>
        <v>-2.9060000000000002E-2</v>
      </c>
      <c r="CX682">
        <f>IFERROR($CW682/$CS682,"")</f>
        <v>-1.6635182322972126E-3</v>
      </c>
      <c r="CY682">
        <f>IFERROR($CW682/$CS682,"")</f>
        <v>-1.6635182322972126E-3</v>
      </c>
      <c r="CZ682">
        <f>IFERROR($CW682/$CT682,"")</f>
        <v>-1.6635182322972126E-3</v>
      </c>
      <c r="DA682" s="2">
        <f>IFERROR((CV682-CU682)/ABS(CU682),"")</f>
        <v>-0.73718924403855912</v>
      </c>
      <c r="DB682" s="1" t="s">
        <v>263</v>
      </c>
      <c r="DC682" t="str">
        <f>IF(OR($DB682="prd",$DB682="std",$DB682="cit"),"loc",IF(OR($DB682="eur",$DB682="reg",$DB682="coy"),"reg",$DB682))</f>
        <v>loc</v>
      </c>
      <c r="DD682" t="s">
        <v>600</v>
      </c>
      <c r="DG682">
        <v>0</v>
      </c>
      <c r="DH682" t="str">
        <f>IF(DG682=0,"0",IF(AND(DG682&gt;=1,DG682&lt;=30),"1-30",IF(AND(DG682&gt;30,DG682&lt;=70),"31-70",IF(AND(DG682&gt;70,DG682&lt;=100),"71-100",IF(DG682&gt;100,"+100")))))</f>
        <v>0</v>
      </c>
      <c r="DI682">
        <v>0</v>
      </c>
      <c r="DJ682">
        <v>0</v>
      </c>
      <c r="DK682">
        <v>0</v>
      </c>
      <c r="DL682">
        <v>1</v>
      </c>
      <c r="DM682">
        <v>0</v>
      </c>
      <c r="DN682">
        <f>SUM(DI682:DM682)</f>
        <v>1</v>
      </c>
      <c r="DO682" t="str">
        <f>IF(DN682=1,INDEX($DI$7:$DL$7,MATCH(1,$DI682:$DL682,0)),"mixedProduct")</f>
        <v>TimberInput</v>
      </c>
      <c r="DP682">
        <f>IF(DI682=1,DP$7,0)</f>
        <v>0</v>
      </c>
      <c r="DQ682">
        <f>IF(DJ682=1,DQ$7,0)</f>
        <v>0</v>
      </c>
      <c r="DR682">
        <f>IF(DK682=1,DR$7,0)</f>
        <v>0</v>
      </c>
      <c r="DS682" t="str">
        <f>IF(DL682=1,DS$7,0)</f>
        <v>Timber</v>
      </c>
      <c r="DT682">
        <v>0</v>
      </c>
      <c r="DU682">
        <v>0</v>
      </c>
      <c r="DV682">
        <v>0</v>
      </c>
      <c r="DW682">
        <v>0</v>
      </c>
      <c r="DX682">
        <v>0</v>
      </c>
      <c r="DY682">
        <f>SUM(DT682:DU682)</f>
        <v>0</v>
      </c>
      <c r="DZ682" t="str">
        <f>IF(DT682=1,"self-calculated DF",IF(DU682=1,"external DF used","explicit C balance"))</f>
        <v>explicit C balance</v>
      </c>
      <c r="EA682">
        <v>0</v>
      </c>
      <c r="EB682">
        <v>0</v>
      </c>
      <c r="EC682">
        <v>0</v>
      </c>
      <c r="ED682">
        <v>0</v>
      </c>
      <c r="EE682">
        <v>0</v>
      </c>
      <c r="EF682" s="143">
        <v>0</v>
      </c>
      <c r="EG682">
        <v>0</v>
      </c>
      <c r="EH682">
        <v>0</v>
      </c>
      <c r="EI682">
        <v>0</v>
      </c>
      <c r="EJ682">
        <v>1</v>
      </c>
      <c r="EK682">
        <v>0</v>
      </c>
      <c r="EL682">
        <v>0</v>
      </c>
      <c r="EM682">
        <v>0</v>
      </c>
      <c r="EN682" s="2">
        <v>0</v>
      </c>
      <c r="EP682" t="str">
        <f>IF(AND(AND(AND(OR($EC682=1,$EB682=1),OR($EH682=1,$EF682=1)),SUM($EA682:$EE682,$EK682)&gt;=3),SUM($EF682:$EJ682)&gt;=2),"Whole sector approach","")</f>
        <v/>
      </c>
      <c r="EQ682" t="str">
        <f>IF(AND(AND(OR($EC682=1,$EB682=1),AND($EH682=0,$EF682=0)),SUM($EA682:$EE682,$EK682)&gt;=4),"Ecosystem approach","")</f>
        <v/>
      </c>
      <c r="ER682" s="2" t="str">
        <f>IF(AND(AND(AND($EC682=0,$EB682=0),OR($EH682=1,$EF682=1)),SUM($EG682:$EJ682)&gt;=2),"Technology approach","")</f>
        <v/>
      </c>
      <c r="ES682" t="str">
        <f>IF(AND($EC682+$EB682+$EE682+$EA682+$ED682+$EG682=0,$N682="included"),"C neutral forest and HWP assumption","")</f>
        <v>C neutral forest and HWP assumption</v>
      </c>
      <c r="ET682" t="str">
        <f>IF(AND(AND(AND(AND($EC682=1,$EB682+$EA682+$EG682&gt;=1),$EF682=1),$EH682+$EI682+$ED682+$EE682&gt;=2),$N682="included"),"All C pools assumption","")</f>
        <v/>
      </c>
      <c r="EU682" t="str">
        <f>IF(AND($ED682+$EE682+$EI682+$EH682+$EF682=0,$N682="included"),"In-situ only assumption","")</f>
        <v>In-situ only assumption</v>
      </c>
      <c r="EY682" t="str">
        <f>IF(ISNUMBER(BW682),IF(ABS(BW682-[6]QC_indicators!$B$2)&gt;3*[6]QC_indicators!$C$2,"C ratio",IF(ISNUMBER(CA682),IF(ABS(CA682-[6]QC_indicators!$B$1)&gt;3*[6]QC_indicators!$C$1,"DF","no"))),IF(ISNUMBER(CA682),IF(ABS(CA682-[6]QC_indicators!$B$1)&gt;3*[6]QC_indicators!$C$1,"DF","no")))</f>
        <v>no</v>
      </c>
      <c r="FA682" t="str">
        <f>IF(LEN($CY682)=0,"",IF(AND($CY682&lt;(-0.05),$ES682="C neutral forest and HWP assumption"),"Cneutral paradox",IF(AND($CY682&gt;0.05,$EU682="In-situ only assumption"),"In-situ only paradox","")))</f>
        <v/>
      </c>
      <c r="FD682" s="260" t="s">
        <v>2948</v>
      </c>
    </row>
    <row r="683" spans="1:160" ht="15" hidden="1" customHeight="1">
      <c r="A683" s="1" t="s">
        <v>574</v>
      </c>
      <c r="B683" t="s">
        <v>1320</v>
      </c>
      <c r="C683" t="s">
        <v>1321</v>
      </c>
      <c r="D683" t="s">
        <v>1322</v>
      </c>
      <c r="E683" t="s">
        <v>1323</v>
      </c>
      <c r="F683" t="s">
        <v>1324</v>
      </c>
      <c r="G683" t="s">
        <v>580</v>
      </c>
      <c r="H683" t="s">
        <v>254</v>
      </c>
      <c r="I683">
        <v>2020</v>
      </c>
      <c r="J683">
        <v>12</v>
      </c>
      <c r="K683" t="s">
        <v>1325</v>
      </c>
      <c r="M683" t="str">
        <f>LEFT($D683,FIND(",",$D683)-1)&amp;"_"&amp;I683&amp;L683</f>
        <v>Elisa_2020</v>
      </c>
      <c r="N683" s="317" t="s">
        <v>222</v>
      </c>
      <c r="O683" s="171" t="s">
        <v>274</v>
      </c>
      <c r="P683" t="s">
        <v>223</v>
      </c>
      <c r="Q683" s="317" t="s">
        <v>389</v>
      </c>
      <c r="R683" s="318" t="s">
        <v>1029</v>
      </c>
      <c r="S683" s="154" t="s">
        <v>1326</v>
      </c>
      <c r="T683" s="319" t="s">
        <v>1327</v>
      </c>
      <c r="U683" s="143" t="s">
        <v>1375</v>
      </c>
      <c r="V683" s="253">
        <v>0</v>
      </c>
      <c r="W683" s="253">
        <v>0</v>
      </c>
      <c r="X683">
        <v>0</v>
      </c>
      <c r="Y683">
        <v>0</v>
      </c>
      <c r="Z683">
        <v>0</v>
      </c>
      <c r="AA683">
        <v>0</v>
      </c>
      <c r="AB683">
        <v>0</v>
      </c>
      <c r="AC683">
        <v>0</v>
      </c>
      <c r="AD683">
        <v>0</v>
      </c>
      <c r="AE683">
        <v>0</v>
      </c>
      <c r="AF683">
        <v>0</v>
      </c>
      <c r="AG683">
        <v>1</v>
      </c>
      <c r="AH683">
        <v>0</v>
      </c>
      <c r="AI683">
        <v>0</v>
      </c>
      <c r="AJ683">
        <v>0</v>
      </c>
      <c r="AK683">
        <v>0</v>
      </c>
      <c r="AL683">
        <v>0</v>
      </c>
      <c r="AM683">
        <v>1</v>
      </c>
      <c r="AN683">
        <v>0</v>
      </c>
      <c r="AO683">
        <v>0</v>
      </c>
      <c r="AP683">
        <v>0</v>
      </c>
      <c r="AQ683">
        <v>0</v>
      </c>
      <c r="AR683">
        <v>0</v>
      </c>
      <c r="AS683">
        <v>0</v>
      </c>
      <c r="AT683">
        <v>0</v>
      </c>
      <c r="AU683">
        <v>0</v>
      </c>
      <c r="AV683">
        <v>0</v>
      </c>
      <c r="AW683">
        <v>0</v>
      </c>
      <c r="AX683">
        <v>0</v>
      </c>
      <c r="AY683">
        <v>0</v>
      </c>
      <c r="AZ683" s="141">
        <f>COUNTIF(X683:AY683,"&lt;&gt;0")</f>
        <v>2</v>
      </c>
      <c r="BA683" s="141">
        <f>COUNTIF(X683:AN683,"&lt;&gt;0")</f>
        <v>2</v>
      </c>
      <c r="BB683">
        <f>COUNTIF(X683:AE683,"&lt;&gt;0")</f>
        <v>0</v>
      </c>
      <c r="BC683">
        <f>COUNTIF(AF683:AK683,"&lt;&gt;0")</f>
        <v>1</v>
      </c>
      <c r="BD683">
        <f>COUNTIF(AL683:AN683,"&lt;&gt;0")</f>
        <v>1</v>
      </c>
      <c r="BE683">
        <f>COUNTIF(AU683:AY683,"&lt;&gt;0")</f>
        <v>0</v>
      </c>
      <c r="BF683">
        <f>COUNTIF(AO683:AT683,"&lt;&gt;0")</f>
        <v>0</v>
      </c>
      <c r="BG683" t="str" cm="1">
        <f t="array" ref="BG683">IF(BA683=1,INDEX($X$7:$AN$7,MATCH(TRUE,INDEX($X683:$AY683&lt;&gt;0,),0)),IF(BA683=0,INDEX($AO$7:$AY$7,MATCH(1,$AO683:$AY683,0)),IF(BH683="Multiple strategies","mixed drivers",IF(BH683="Supply chain","multiple supply","multiple silviculture"))))</f>
        <v>mixed drivers</v>
      </c>
      <c r="BH683" s="2" t="str" cm="1">
        <f t="array" ref="BH683">IF(COUNTIF(BB683:BD683,"&lt;&gt;0")=1,INDEX($X$4:$AY$4,MATCH(TRUE,INDEX($X683:$AY683&lt;&gt;0,),0)),IF(COUNTIF(BB683:BD683,"&lt;&gt;0")=0,INDEX($AO$4:$AY$4,MATCH(1,$AO683:$AY683,0)),"Multiple strategies"))</f>
        <v>Multiple strategies</v>
      </c>
      <c r="BI683" s="142" t="s">
        <v>321</v>
      </c>
      <c r="BJ683" s="160" t="s">
        <v>1329</v>
      </c>
      <c r="BK683" s="160" t="s">
        <v>1330</v>
      </c>
      <c r="BL683" s="143" t="s">
        <v>498</v>
      </c>
      <c r="BM683" s="143">
        <v>944</v>
      </c>
      <c r="BN683" s="143">
        <v>170044</v>
      </c>
      <c r="BO683">
        <f>IFERROR(BN694/BM683,"")</f>
        <v>2.1345338983050848</v>
      </c>
      <c r="BP683">
        <f>BN683-BM683</f>
        <v>169100</v>
      </c>
      <c r="BQ683" s="159">
        <f>BP683</f>
        <v>169100</v>
      </c>
      <c r="BR683" s="155" t="s">
        <v>232</v>
      </c>
      <c r="BS683" s="155" t="s">
        <v>1331</v>
      </c>
      <c r="BT683" s="155" t="s">
        <v>805</v>
      </c>
      <c r="BU683" s="143" t="s">
        <v>1335</v>
      </c>
      <c r="BV683" t="s">
        <v>1379</v>
      </c>
      <c r="BW683" s="144">
        <f>BV683/BU683</f>
        <v>28.512730746654743</v>
      </c>
      <c r="BX683">
        <f>BV683-BU683</f>
        <v>-190.13064638888901</v>
      </c>
      <c r="BZ683">
        <f>BX683</f>
        <v>-190.13064638888901</v>
      </c>
      <c r="CA683">
        <f>IFERROR(BZ683/BQ683,"")</f>
        <v>-1.1243681040147191E-3</v>
      </c>
      <c r="CB683">
        <v>0</v>
      </c>
      <c r="CC683">
        <v>0</v>
      </c>
      <c r="CD683">
        <v>0</v>
      </c>
      <c r="CE683">
        <v>0</v>
      </c>
      <c r="CF683">
        <v>0</v>
      </c>
      <c r="CG683">
        <v>0</v>
      </c>
      <c r="CH683">
        <v>0</v>
      </c>
      <c r="CI683">
        <v>0</v>
      </c>
      <c r="CJ683">
        <v>0</v>
      </c>
      <c r="CK683">
        <v>0</v>
      </c>
      <c r="CL683">
        <v>0</v>
      </c>
      <c r="CM683">
        <v>0</v>
      </c>
      <c r="CN683">
        <v>0</v>
      </c>
      <c r="CO683">
        <v>0</v>
      </c>
      <c r="CP683" t="str">
        <f>IF($BN683&lt;$BM683,"refNeedCorrection","refOK")</f>
        <v>refOK</v>
      </c>
      <c r="CQ683">
        <f>IF($CP683="refOK",$BM683,$BN683)</f>
        <v>944</v>
      </c>
      <c r="CR683">
        <f>IF($CP683="refOK",$BN683,$BM683)</f>
        <v>170044</v>
      </c>
      <c r="CS683">
        <f>IF($CP683="refOK",$BQ683,-$BQ683)</f>
        <v>169100</v>
      </c>
      <c r="CT683">
        <f>IF(BI683="Roundwood",$CS683/2,$CS683)</f>
        <v>84550</v>
      </c>
      <c r="CU683">
        <f>IF($CP683="refOK",$BU683,$BV683)*IF($BR683="Emissions positive",-1,1)</f>
        <v>-6.9106424999999998</v>
      </c>
      <c r="CV683">
        <f>IF($CP683="refOK",$BV683,$BU683)*IF($BR683="Emissions positive",-1,1)</f>
        <v>-197.041288888889</v>
      </c>
      <c r="CW683">
        <f>IF($CP683="refNeedCorrection",-BZ683,BZ683)*IF($BR683="Emissions positive",-1,1)</f>
        <v>-190.13064638888901</v>
      </c>
      <c r="CX683">
        <f>IFERROR($CW683/$CS683,"")</f>
        <v>-1.1243681040147191E-3</v>
      </c>
      <c r="CY683">
        <f>IFERROR($CW683/$CS683,"")</f>
        <v>-1.1243681040147191E-3</v>
      </c>
      <c r="CZ683">
        <f>IFERROR($CW683/$CT683,"")</f>
        <v>-2.2487362080294382E-3</v>
      </c>
      <c r="DA683" s="2">
        <f>IFERROR((CV683-CU683)/ABS(CU683),"")</f>
        <v>-27.512730746654743</v>
      </c>
      <c r="DB683" s="320" t="s">
        <v>1334</v>
      </c>
      <c r="DC683" s="317" t="str">
        <f>IF(OR($DB683="prd",$DB683="std",$DB683="cit"),"loc",IF(OR($DB683="eur",$DB683="reg",$DB683="coy"),"reg",$DB683))</f>
        <v>reg</v>
      </c>
      <c r="DD683" s="321" t="s">
        <v>729</v>
      </c>
      <c r="DF683" s="143"/>
      <c r="DG683" s="143">
        <v>0</v>
      </c>
      <c r="DH683" t="str">
        <f>IF(DG683=0,"0",IF(AND(DG683&gt;=1,DG683&lt;=30),"1-30",IF(AND(DG683&gt;30,DG683&lt;=70),"31-70",IF(AND(DG683&gt;70,DG683&lt;=100),"71-100",IF(DG683&gt;100,"+100")))))</f>
        <v>0</v>
      </c>
      <c r="DI683">
        <v>0</v>
      </c>
      <c r="DJ683">
        <v>1</v>
      </c>
      <c r="DK683">
        <v>0</v>
      </c>
      <c r="DL683">
        <v>0</v>
      </c>
      <c r="DM683">
        <v>0</v>
      </c>
      <c r="DN683">
        <f>SUM(DI683:DM683)</f>
        <v>1</v>
      </c>
      <c r="DO683" t="str">
        <f>IF(DN683=1,INDEX($DI$7:$DL$7,MATCH(1,$DI683:$DL683,0)),"mixedProduct")</f>
        <v>EnergyInput</v>
      </c>
      <c r="DP683">
        <f>IF(DI683=1,DP$7,0)</f>
        <v>0</v>
      </c>
      <c r="DQ683" t="str">
        <f>IF(DJ683=1,DQ$7,0)</f>
        <v>Energy</v>
      </c>
      <c r="DR683">
        <f>IF(DK683=1,DR$7,0)</f>
        <v>0</v>
      </c>
      <c r="DS683">
        <f>IF(DL683=1,DS$7,0)</f>
        <v>0</v>
      </c>
      <c r="DT683">
        <v>0</v>
      </c>
      <c r="DU683" s="143">
        <v>0</v>
      </c>
      <c r="DV683" s="143">
        <v>0</v>
      </c>
      <c r="DW683">
        <v>0</v>
      </c>
      <c r="DX683" s="143">
        <v>0</v>
      </c>
      <c r="DY683">
        <f>SUM(DT683:DU683)</f>
        <v>0</v>
      </c>
      <c r="DZ683" s="143" t="str">
        <f>IF(DT683=1,"self-calculated DF",IF(DU683=1,"external DF used","explicit C balance"))</f>
        <v>explicit C balance</v>
      </c>
      <c r="EA683" s="143">
        <v>0</v>
      </c>
      <c r="EB683" s="143">
        <v>0</v>
      </c>
      <c r="EC683" s="143">
        <v>0</v>
      </c>
      <c r="ED683" s="143">
        <v>0</v>
      </c>
      <c r="EE683">
        <v>0</v>
      </c>
      <c r="EF683" s="143">
        <v>0</v>
      </c>
      <c r="EG683" s="143">
        <v>0</v>
      </c>
      <c r="EH683" s="143">
        <v>1</v>
      </c>
      <c r="EI683" s="143">
        <v>0</v>
      </c>
      <c r="EJ683">
        <v>1</v>
      </c>
      <c r="EK683">
        <v>0</v>
      </c>
      <c r="EL683" s="143">
        <v>0</v>
      </c>
      <c r="EM683" s="143">
        <v>0</v>
      </c>
      <c r="EN683" s="2">
        <v>0</v>
      </c>
      <c r="EP683" t="str">
        <f>IF(AND(AND(AND(OR($EC683=1,$EB683=1),OR($EH683=1,$EF683=1)),SUM($EA683:$EE683,$EK683)&gt;=3),SUM($EF683:$EJ683)&gt;=2),"Whole sector approach","")</f>
        <v/>
      </c>
      <c r="EQ683" t="str">
        <f>IF(AND(AND(OR($EC683=1,$EB683=1),AND($EH683=0,$EF683=0)),SUM($EA683:$EE683,$EK683)&gt;=3),"Ecosystem approach","")</f>
        <v/>
      </c>
      <c r="ER683" s="2" t="str">
        <f>IF(AND(AND(AND($EC683=0,$EB683=0),OR($EH683=1,$EF683=1)),SUM($EG683:$EJ683)&gt;=2),"Technology approach","")</f>
        <v>Technology approach</v>
      </c>
      <c r="ES683" t="str">
        <f>IF(AND($EC683+$EB683+$EE683+$EA683+$ED683+$EG683=0,$N683="included"),"C neutral forest and HWP assumption","")</f>
        <v>C neutral forest and HWP assumption</v>
      </c>
      <c r="ET683" t="str">
        <f>IF(AND(AND(AND(AND($EC683=1,$EB683+$EA683+$EG683&gt;=1),$EF683=1),$EH683+$EI683+$ED683+$EE683&gt;=2),$N683="included"),"All C pools assumption","")</f>
        <v/>
      </c>
      <c r="EU683" t="str">
        <f>IF(AND($ED683+$EE683+$EI683+$EH683+$EF683=0,$N683="included"),"In-situ only assumption","")</f>
        <v/>
      </c>
      <c r="EY683" t="str">
        <f>IF(ISNUMBER(BW683),IF(ABS(BW683-[4]QC_indicators!$B$2)&gt;3*[4]QC_indicators!$C$2,"C ratio",IF(ISNUMBER(CA683),IF(ABS(CA683-[4]QC_indicators!$B$1)&gt;3*[4]QC_indicators!$C$1,"DF","no"))),IF(ISNUMBER(CA683),IF(ABS(CA683-[4]QC_indicators!$B$1)&gt;3*[4]QC_indicators!$C$1,"DF","no")))</f>
        <v>C ratio</v>
      </c>
      <c r="FA683" t="str">
        <f>IF(LEN($CY683)=0,"",IF(AND($CY683&lt;(-0.05),$ES683="C neutral forest and HWP assumption"),"Cneutral paradox",IF(AND($CY683&gt;0.05,$EU683="In-situ only assumption"),"In-situ only paradox","")))</f>
        <v/>
      </c>
      <c r="FB683" s="149"/>
    </row>
    <row r="684" spans="1:160" ht="15" hidden="1" customHeight="1">
      <c r="A684" s="1" t="s">
        <v>574</v>
      </c>
      <c r="B684" t="s">
        <v>1320</v>
      </c>
      <c r="C684" t="s">
        <v>1321</v>
      </c>
      <c r="D684" t="s">
        <v>1322</v>
      </c>
      <c r="E684" t="s">
        <v>1323</v>
      </c>
      <c r="F684" t="s">
        <v>1324</v>
      </c>
      <c r="G684" t="s">
        <v>580</v>
      </c>
      <c r="H684" t="s">
        <v>254</v>
      </c>
      <c r="I684">
        <v>2020</v>
      </c>
      <c r="J684">
        <v>12</v>
      </c>
      <c r="K684" t="s">
        <v>1325</v>
      </c>
      <c r="M684" t="str">
        <f>LEFT($D684,FIND(",",$D684)-1)&amp;"_"&amp;I684&amp;L684</f>
        <v>Elisa_2020</v>
      </c>
      <c r="N684" s="317" t="s">
        <v>222</v>
      </c>
      <c r="O684" s="171" t="s">
        <v>274</v>
      </c>
      <c r="P684" t="s">
        <v>223</v>
      </c>
      <c r="Q684" s="317" t="s">
        <v>389</v>
      </c>
      <c r="R684" s="318" t="s">
        <v>1029</v>
      </c>
      <c r="S684" s="154" t="s">
        <v>1326</v>
      </c>
      <c r="T684" s="319" t="s">
        <v>1327</v>
      </c>
      <c r="U684" s="143" t="s">
        <v>1377</v>
      </c>
      <c r="V684" s="253">
        <v>0</v>
      </c>
      <c r="W684" s="253">
        <v>0</v>
      </c>
      <c r="X684">
        <v>0</v>
      </c>
      <c r="Y684">
        <v>0</v>
      </c>
      <c r="Z684">
        <v>0</v>
      </c>
      <c r="AA684">
        <v>0</v>
      </c>
      <c r="AB684">
        <v>0</v>
      </c>
      <c r="AC684">
        <v>0</v>
      </c>
      <c r="AD684">
        <v>0</v>
      </c>
      <c r="AE684">
        <v>0</v>
      </c>
      <c r="AF684">
        <v>0</v>
      </c>
      <c r="AG684">
        <v>1</v>
      </c>
      <c r="AH684">
        <v>0</v>
      </c>
      <c r="AI684">
        <v>0</v>
      </c>
      <c r="AJ684">
        <v>0</v>
      </c>
      <c r="AK684">
        <v>0</v>
      </c>
      <c r="AL684">
        <v>0</v>
      </c>
      <c r="AM684">
        <v>1</v>
      </c>
      <c r="AN684">
        <v>0</v>
      </c>
      <c r="AO684">
        <v>0</v>
      </c>
      <c r="AP684">
        <v>0</v>
      </c>
      <c r="AQ684">
        <v>0</v>
      </c>
      <c r="AR684">
        <v>0</v>
      </c>
      <c r="AS684">
        <v>0</v>
      </c>
      <c r="AT684">
        <v>0</v>
      </c>
      <c r="AU684">
        <v>0</v>
      </c>
      <c r="AV684">
        <v>0</v>
      </c>
      <c r="AW684">
        <v>0</v>
      </c>
      <c r="AX684">
        <v>0</v>
      </c>
      <c r="AY684">
        <v>0</v>
      </c>
      <c r="AZ684" s="141">
        <f>COUNTIF(X684:AY684,"&lt;&gt;0")</f>
        <v>2</v>
      </c>
      <c r="BA684" s="141">
        <f>COUNTIF(X684:AN684,"&lt;&gt;0")</f>
        <v>2</v>
      </c>
      <c r="BB684">
        <f>COUNTIF(X684:AE684,"&lt;&gt;0")</f>
        <v>0</v>
      </c>
      <c r="BC684">
        <f>COUNTIF(AF684:AK684,"&lt;&gt;0")</f>
        <v>1</v>
      </c>
      <c r="BD684">
        <f>COUNTIF(AL684:AN684,"&lt;&gt;0")</f>
        <v>1</v>
      </c>
      <c r="BE684">
        <f>COUNTIF(AU684:AY684,"&lt;&gt;0")</f>
        <v>0</v>
      </c>
      <c r="BF684">
        <f>COUNTIF(AO684:AT684,"&lt;&gt;0")</f>
        <v>0</v>
      </c>
      <c r="BG684" t="str" cm="1">
        <f t="array" ref="BG684">IF(BA684=1,INDEX($X$7:$AN$7,MATCH(TRUE,INDEX($X684:$AY684&lt;&gt;0,),0)),IF(BA684=0,INDEX($AO$7:$AY$7,MATCH(1,$AO684:$AY684,0)),IF(BH684="Multiple strategies","mixed drivers",IF(BH684="Supply chain","multiple supply","multiple silviculture"))))</f>
        <v>mixed drivers</v>
      </c>
      <c r="BH684" s="2" t="str" cm="1">
        <f t="array" ref="BH684">IF(COUNTIF(BB684:BD684,"&lt;&gt;0")=1,INDEX($X$4:$AY$4,MATCH(TRUE,INDEX($X684:$AY684&lt;&gt;0,),0)),IF(COUNTIF(BB684:BD684,"&lt;&gt;0")=0,INDEX($AO$4:$AY$4,MATCH(1,$AO684:$AY684,0)),"Multiple strategies"))</f>
        <v>Multiple strategies</v>
      </c>
      <c r="BI684" s="142" t="s">
        <v>321</v>
      </c>
      <c r="BJ684" s="160" t="s">
        <v>1329</v>
      </c>
      <c r="BK684" s="160" t="s">
        <v>1330</v>
      </c>
      <c r="BL684" s="143" t="s">
        <v>498</v>
      </c>
      <c r="BM684" s="143">
        <v>944</v>
      </c>
      <c r="BN684" s="143">
        <v>106341</v>
      </c>
      <c r="BO684">
        <f>IFERROR(BN686/BM684,"")</f>
        <v>0.1271186440677966</v>
      </c>
      <c r="BP684">
        <f>BN684-BM684</f>
        <v>105397</v>
      </c>
      <c r="BQ684" s="159">
        <f>BP684</f>
        <v>105397</v>
      </c>
      <c r="BR684" s="155" t="s">
        <v>232</v>
      </c>
      <c r="BS684" s="155" t="s">
        <v>1331</v>
      </c>
      <c r="BT684" s="155" t="s">
        <v>805</v>
      </c>
      <c r="BU684" s="143" t="s">
        <v>1335</v>
      </c>
      <c r="BV684" t="s">
        <v>1380</v>
      </c>
      <c r="BW684" s="144">
        <f>BV684/BU684</f>
        <v>17.76397258125985</v>
      </c>
      <c r="BX684">
        <f>BV684-BU684</f>
        <v>-115.84982138888901</v>
      </c>
      <c r="BZ684">
        <f>BX684</f>
        <v>-115.84982138888901</v>
      </c>
      <c r="CA684">
        <f>IFERROR(BZ684/BQ684,"")</f>
        <v>-1.099175701290255E-3</v>
      </c>
      <c r="CB684">
        <v>0</v>
      </c>
      <c r="CC684">
        <v>0</v>
      </c>
      <c r="CD684">
        <v>0</v>
      </c>
      <c r="CE684">
        <v>0</v>
      </c>
      <c r="CF684">
        <v>0</v>
      </c>
      <c r="CG684">
        <v>0</v>
      </c>
      <c r="CH684">
        <v>0</v>
      </c>
      <c r="CI684">
        <v>0</v>
      </c>
      <c r="CJ684">
        <v>0</v>
      </c>
      <c r="CK684">
        <v>0</v>
      </c>
      <c r="CL684">
        <v>0</v>
      </c>
      <c r="CM684">
        <v>0</v>
      </c>
      <c r="CN684">
        <v>0</v>
      </c>
      <c r="CO684">
        <v>0</v>
      </c>
      <c r="CP684" t="str">
        <f>IF($BN684&lt;$BM684,"refNeedCorrection","refOK")</f>
        <v>refOK</v>
      </c>
      <c r="CQ684">
        <f>IF($CP684="refOK",$BM684,$BN684)</f>
        <v>944</v>
      </c>
      <c r="CR684">
        <f>IF($CP684="refOK",$BN684,$BM684)</f>
        <v>106341</v>
      </c>
      <c r="CS684">
        <f>IF($CP684="refOK",$BQ684,-$BQ684)</f>
        <v>105397</v>
      </c>
      <c r="CT684">
        <f>IF(BI684="Roundwood",$CS684/2,$CS684)</f>
        <v>52698.5</v>
      </c>
      <c r="CU684">
        <f>IF($CP684="refOK",$BU684,$BV684)*IF($BR684="Emissions positive",-1,1)</f>
        <v>-6.9106424999999998</v>
      </c>
      <c r="CV684">
        <f>IF($CP684="refOK",$BV684,$BU684)*IF($BR684="Emissions positive",-1,1)</f>
        <v>-122.76046388888901</v>
      </c>
      <c r="CW684">
        <f>IF($CP684="refNeedCorrection",-BZ684,BZ684)*IF($BR684="Emissions positive",-1,1)</f>
        <v>-115.84982138888901</v>
      </c>
      <c r="CX684">
        <f>IFERROR($CW684/$CS684,"")</f>
        <v>-1.099175701290255E-3</v>
      </c>
      <c r="CY684">
        <f>IFERROR($CW684/$CS684,"")</f>
        <v>-1.099175701290255E-3</v>
      </c>
      <c r="CZ684">
        <f>IFERROR($CW684/$CT684,"")</f>
        <v>-2.19835140258051E-3</v>
      </c>
      <c r="DA684" s="2">
        <f>IFERROR((CV684-CU684)/ABS(CU684),"")</f>
        <v>-16.76397258125985</v>
      </c>
      <c r="DB684" s="320" t="s">
        <v>1334</v>
      </c>
      <c r="DC684" s="317" t="str">
        <f>IF(OR($DB684="prd",$DB684="std",$DB684="cit"),"loc",IF(OR($DB684="eur",$DB684="reg",$DB684="coy"),"reg",$DB684))</f>
        <v>reg</v>
      </c>
      <c r="DD684" s="321" t="s">
        <v>729</v>
      </c>
      <c r="DF684" s="143"/>
      <c r="DG684" s="143">
        <v>0</v>
      </c>
      <c r="DH684" t="str">
        <f>IF(DG684=0,"0",IF(AND(DG684&gt;=1,DG684&lt;=30),"1-30",IF(AND(DG684&gt;30,DG684&lt;=70),"31-70",IF(AND(DG684&gt;70,DG684&lt;=100),"71-100",IF(DG684&gt;100,"+100")))))</f>
        <v>0</v>
      </c>
      <c r="DI684">
        <v>0</v>
      </c>
      <c r="DJ684">
        <v>1</v>
      </c>
      <c r="DK684">
        <v>0</v>
      </c>
      <c r="DL684">
        <v>0</v>
      </c>
      <c r="DM684">
        <v>0</v>
      </c>
      <c r="DN684">
        <f>SUM(DI684:DM684)</f>
        <v>1</v>
      </c>
      <c r="DO684" t="str">
        <f>IF(DN684=1,INDEX($DI$7:$DL$7,MATCH(1,$DI684:$DL684,0)),"mixedProduct")</f>
        <v>EnergyInput</v>
      </c>
      <c r="DP684">
        <f>IF(DI684=1,DP$7,0)</f>
        <v>0</v>
      </c>
      <c r="DQ684" t="str">
        <f>IF(DJ684=1,DQ$7,0)</f>
        <v>Energy</v>
      </c>
      <c r="DR684">
        <f>IF(DK684=1,DR$7,0)</f>
        <v>0</v>
      </c>
      <c r="DS684">
        <f>IF(DL684=1,DS$7,0)</f>
        <v>0</v>
      </c>
      <c r="DT684">
        <v>0</v>
      </c>
      <c r="DU684" s="143">
        <v>0</v>
      </c>
      <c r="DV684" s="143">
        <v>0</v>
      </c>
      <c r="DW684">
        <v>0</v>
      </c>
      <c r="DX684" s="143">
        <v>0</v>
      </c>
      <c r="DY684">
        <f>SUM(DT684:DU684)</f>
        <v>0</v>
      </c>
      <c r="DZ684" s="143" t="str">
        <f>IF(DT684=1,"self-calculated DF",IF(DU684=1,"external DF used","explicit C balance"))</f>
        <v>explicit C balance</v>
      </c>
      <c r="EA684" s="143">
        <v>0</v>
      </c>
      <c r="EB684" s="143">
        <v>0</v>
      </c>
      <c r="EC684" s="143">
        <v>0</v>
      </c>
      <c r="ED684" s="143">
        <v>0</v>
      </c>
      <c r="EE684">
        <v>0</v>
      </c>
      <c r="EF684" s="143">
        <v>0</v>
      </c>
      <c r="EG684" s="143">
        <v>0</v>
      </c>
      <c r="EH684" s="143">
        <v>1</v>
      </c>
      <c r="EI684" s="143">
        <v>0</v>
      </c>
      <c r="EJ684">
        <v>1</v>
      </c>
      <c r="EK684">
        <v>0</v>
      </c>
      <c r="EL684" s="143">
        <v>0</v>
      </c>
      <c r="EM684" s="143">
        <v>0</v>
      </c>
      <c r="EN684" s="2">
        <v>0</v>
      </c>
      <c r="EP684" t="str">
        <f>IF(AND(AND(AND(OR($EC684=1,$EB684=1),OR($EH684=1,$EF684=1)),SUM($EA684:$EE684,$EK684)&gt;=3),SUM($EF684:$EJ684)&gt;=2),"Whole sector approach","")</f>
        <v/>
      </c>
      <c r="EQ684" t="str">
        <f>IF(AND(AND(OR($EC684=1,$EB684=1),AND($EH684=0,$EF684=0)),SUM($EA684:$EE684,$EK684)&gt;=3),"Ecosystem approach","")</f>
        <v/>
      </c>
      <c r="ER684" s="2" t="str">
        <f>IF(AND(AND(AND($EC684=0,$EB684=0),OR($EH684=1,$EF684=1)),SUM($EG684:$EJ684)&gt;=2),"Technology approach","")</f>
        <v>Technology approach</v>
      </c>
      <c r="ES684" t="str">
        <f>IF(AND($EC684+$EB684+$EE684+$EA684+$ED684+$EG684=0,$N684="included"),"C neutral forest and HWP assumption","")</f>
        <v>C neutral forest and HWP assumption</v>
      </c>
      <c r="ET684" t="str">
        <f>IF(AND(AND(AND(AND($EC684=1,$EB684+$EA684+$EG684&gt;=1),$EF684=1),$EH684+$EI684+$ED684+$EE684&gt;=2),$N684="included"),"All C pools assumption","")</f>
        <v/>
      </c>
      <c r="EU684" t="str">
        <f>IF(AND($ED684+$EE684+$EI684+$EH684+$EF684=0,$N684="included"),"In-situ only assumption","")</f>
        <v/>
      </c>
      <c r="EY684" t="str">
        <f>IF(ISNUMBER(BW684),IF(ABS(BW684-[4]QC_indicators!$B$2)&gt;3*[4]QC_indicators!$C$2,"C ratio",IF(ISNUMBER(CA684),IF(ABS(CA684-[4]QC_indicators!$B$1)&gt;3*[4]QC_indicators!$C$1,"DF","no"))),IF(ISNUMBER(CA684),IF(ABS(CA684-[4]QC_indicators!$B$1)&gt;3*[4]QC_indicators!$C$1,"DF","no")))</f>
        <v>no</v>
      </c>
      <c r="FA684" t="str">
        <f>IF(LEN($CY684)=0,"",IF(AND($CY684&lt;(-0.05),$ES684="C neutral forest and HWP assumption"),"Cneutral paradox",IF(AND($CY684&gt;0.05,$EU684="In-situ only assumption"),"In-situ only paradox","")))</f>
        <v/>
      </c>
      <c r="FB684" s="149"/>
    </row>
    <row r="685" spans="1:160" ht="15" hidden="1" customHeight="1">
      <c r="A685" s="1" t="s">
        <v>574</v>
      </c>
      <c r="B685" t="s">
        <v>1320</v>
      </c>
      <c r="C685" t="s">
        <v>1321</v>
      </c>
      <c r="D685" t="s">
        <v>1322</v>
      </c>
      <c r="E685" t="s">
        <v>1323</v>
      </c>
      <c r="F685" t="s">
        <v>1324</v>
      </c>
      <c r="G685" t="s">
        <v>580</v>
      </c>
      <c r="H685" t="s">
        <v>254</v>
      </c>
      <c r="I685">
        <v>2020</v>
      </c>
      <c r="J685">
        <v>12</v>
      </c>
      <c r="K685" t="s">
        <v>1325</v>
      </c>
      <c r="M685" t="str">
        <f>LEFT($D685,FIND(",",$D685)-1)&amp;"_"&amp;I685&amp;L685</f>
        <v>Elisa_2020</v>
      </c>
      <c r="N685" s="317" t="s">
        <v>222</v>
      </c>
      <c r="O685" s="171" t="s">
        <v>274</v>
      </c>
      <c r="P685" t="s">
        <v>223</v>
      </c>
      <c r="Q685" s="317" t="s">
        <v>389</v>
      </c>
      <c r="R685" s="318" t="s">
        <v>1029</v>
      </c>
      <c r="S685" s="154" t="s">
        <v>1326</v>
      </c>
      <c r="T685" s="319" t="s">
        <v>1327</v>
      </c>
      <c r="U685" s="143" t="s">
        <v>1381</v>
      </c>
      <c r="V685" s="253">
        <v>0</v>
      </c>
      <c r="W685" s="253">
        <v>0</v>
      </c>
      <c r="X685">
        <v>0</v>
      </c>
      <c r="Y685">
        <v>0</v>
      </c>
      <c r="Z685">
        <v>0</v>
      </c>
      <c r="AA685">
        <v>0</v>
      </c>
      <c r="AB685">
        <v>0</v>
      </c>
      <c r="AC685">
        <v>0</v>
      </c>
      <c r="AD685">
        <v>0</v>
      </c>
      <c r="AE685">
        <v>0</v>
      </c>
      <c r="AF685">
        <v>0</v>
      </c>
      <c r="AG685">
        <v>1</v>
      </c>
      <c r="AH685">
        <v>0</v>
      </c>
      <c r="AI685">
        <v>0</v>
      </c>
      <c r="AJ685">
        <v>0</v>
      </c>
      <c r="AK685">
        <v>0</v>
      </c>
      <c r="AL685">
        <v>0</v>
      </c>
      <c r="AM685">
        <v>1</v>
      </c>
      <c r="AN685">
        <v>0</v>
      </c>
      <c r="AO685">
        <v>0</v>
      </c>
      <c r="AP685">
        <v>0</v>
      </c>
      <c r="AQ685">
        <v>0</v>
      </c>
      <c r="AR685">
        <v>0</v>
      </c>
      <c r="AS685">
        <v>0</v>
      </c>
      <c r="AT685">
        <v>0</v>
      </c>
      <c r="AU685">
        <v>0</v>
      </c>
      <c r="AV685">
        <v>0</v>
      </c>
      <c r="AW685">
        <v>0</v>
      </c>
      <c r="AX685">
        <v>0</v>
      </c>
      <c r="AY685">
        <v>0</v>
      </c>
      <c r="AZ685" s="141">
        <f>COUNTIF(X685:AY685,"&lt;&gt;0")</f>
        <v>2</v>
      </c>
      <c r="BA685" s="141">
        <f>COUNTIF(X685:AN685,"&lt;&gt;0")</f>
        <v>2</v>
      </c>
      <c r="BB685">
        <f>COUNTIF(X685:AE685,"&lt;&gt;0")</f>
        <v>0</v>
      </c>
      <c r="BC685">
        <f>COUNTIF(AF685:AK685,"&lt;&gt;0")</f>
        <v>1</v>
      </c>
      <c r="BD685">
        <f>COUNTIF(AL685:AN685,"&lt;&gt;0")</f>
        <v>1</v>
      </c>
      <c r="BE685">
        <f>COUNTIF(AU685:AY685,"&lt;&gt;0")</f>
        <v>0</v>
      </c>
      <c r="BF685">
        <f>COUNTIF(AO685:AT685,"&lt;&gt;0")</f>
        <v>0</v>
      </c>
      <c r="BG685" t="str" cm="1">
        <f t="array" ref="BG685">IF(BA685=1,INDEX($X$7:$AN$7,MATCH(TRUE,INDEX($X685:$AY685&lt;&gt;0,),0)),IF(BA685=0,INDEX($AO$7:$AY$7,MATCH(1,$AO685:$AY685,0)),IF(BH685="Multiple strategies","mixed drivers",IF(BH685="Supply chain","multiple supply","multiple silviculture"))))</f>
        <v>mixed drivers</v>
      </c>
      <c r="BH685" s="2" t="str" cm="1">
        <f t="array" ref="BH685">IF(COUNTIF(BB685:BD685,"&lt;&gt;0")=1,INDEX($X$4:$AY$4,MATCH(TRUE,INDEX($X685:$AY685&lt;&gt;0,),0)),IF(COUNTIF(BB685:BD685,"&lt;&gt;0")=0,INDEX($AO$4:$AY$4,MATCH(1,$AO685:$AY685,0)),"Multiple strategies"))</f>
        <v>Multiple strategies</v>
      </c>
      <c r="BI685" s="142" t="s">
        <v>321</v>
      </c>
      <c r="BJ685" s="160" t="s">
        <v>1329</v>
      </c>
      <c r="BK685" s="160" t="s">
        <v>1330</v>
      </c>
      <c r="BL685" s="143" t="s">
        <v>498</v>
      </c>
      <c r="BM685" s="143">
        <v>944</v>
      </c>
      <c r="BN685" s="143">
        <v>13000</v>
      </c>
      <c r="BO685">
        <f>IFERROR(BN687/BM685,"")</f>
        <v>16.324152542372882</v>
      </c>
      <c r="BP685">
        <f>BN685-BM685</f>
        <v>12056</v>
      </c>
      <c r="BQ685" s="159">
        <f>BP685</f>
        <v>12056</v>
      </c>
      <c r="BR685" s="155" t="s">
        <v>232</v>
      </c>
      <c r="BS685" s="155" t="s">
        <v>1331</v>
      </c>
      <c r="BT685" s="155" t="s">
        <v>805</v>
      </c>
      <c r="BU685" s="143" t="s">
        <v>1335</v>
      </c>
      <c r="BV685" t="s">
        <v>1383</v>
      </c>
      <c r="BW685" s="144">
        <f>BV685/BU685</f>
        <v>2.6368347403620143</v>
      </c>
      <c r="BX685">
        <f>BV685-BU685</f>
        <v>-11.3115797222222</v>
      </c>
      <c r="BZ685">
        <f>BX685</f>
        <v>-11.3115797222222</v>
      </c>
      <c r="CA685">
        <f>IFERROR(BZ685/BQ685,"")</f>
        <v>-9.382531289169045E-4</v>
      </c>
      <c r="CB685">
        <v>0</v>
      </c>
      <c r="CC685">
        <v>0</v>
      </c>
      <c r="CD685">
        <v>0</v>
      </c>
      <c r="CE685">
        <v>0</v>
      </c>
      <c r="CF685">
        <v>0</v>
      </c>
      <c r="CG685">
        <v>0</v>
      </c>
      <c r="CH685">
        <v>0</v>
      </c>
      <c r="CI685">
        <v>0</v>
      </c>
      <c r="CJ685">
        <v>0</v>
      </c>
      <c r="CK685">
        <v>0</v>
      </c>
      <c r="CL685">
        <v>0</v>
      </c>
      <c r="CM685">
        <v>0</v>
      </c>
      <c r="CN685">
        <v>0</v>
      </c>
      <c r="CO685">
        <v>0</v>
      </c>
      <c r="CP685" t="str">
        <f>IF($BN685&lt;$BM685,"refNeedCorrection","refOK")</f>
        <v>refOK</v>
      </c>
      <c r="CQ685">
        <f>IF($CP685="refOK",$BM685,$BN685)</f>
        <v>944</v>
      </c>
      <c r="CR685">
        <f>IF($CP685="refOK",$BN685,$BM685)</f>
        <v>13000</v>
      </c>
      <c r="CS685">
        <f>IF($CP685="refOK",$BQ685,-$BQ685)</f>
        <v>12056</v>
      </c>
      <c r="CT685">
        <f>IF(BI685="Roundwood",$CS685/2,$CS685)</f>
        <v>6028</v>
      </c>
      <c r="CU685">
        <f>IF($CP685="refOK",$BU685,$BV685)*IF($BR685="Emissions positive",-1,1)</f>
        <v>-6.9106424999999998</v>
      </c>
      <c r="CV685">
        <f>IF($CP685="refOK",$BV685,$BU685)*IF($BR685="Emissions positive",-1,1)</f>
        <v>-18.2222222222222</v>
      </c>
      <c r="CW685">
        <f>IF($CP685="refNeedCorrection",-BZ685,BZ685)*IF($BR685="Emissions positive",-1,1)</f>
        <v>-11.3115797222222</v>
      </c>
      <c r="CX685">
        <f>IFERROR($CW685/$CS685,"")</f>
        <v>-9.382531289169045E-4</v>
      </c>
      <c r="CY685">
        <f>IFERROR($CW685/$CS685,"")</f>
        <v>-9.382531289169045E-4</v>
      </c>
      <c r="CZ685">
        <f>IFERROR($CW685/$CT685,"")</f>
        <v>-1.876506257833809E-3</v>
      </c>
      <c r="DA685" s="2">
        <f>IFERROR((CV685-CU685)/ABS(CU685),"")</f>
        <v>-1.6368347403620143</v>
      </c>
      <c r="DB685" s="320" t="s">
        <v>1334</v>
      </c>
      <c r="DC685" s="317" t="str">
        <f>IF(OR($DB685="prd",$DB685="std",$DB685="cit"),"loc",IF(OR($DB685="eur",$DB685="reg",$DB685="coy"),"reg",$DB685))</f>
        <v>reg</v>
      </c>
      <c r="DD685" s="321" t="s">
        <v>729</v>
      </c>
      <c r="DF685" s="143"/>
      <c r="DG685" s="143">
        <v>0</v>
      </c>
      <c r="DH685" t="str">
        <f>IF(DG685=0,"0",IF(AND(DG685&gt;=1,DG685&lt;=30),"1-30",IF(AND(DG685&gt;30,DG685&lt;=70),"31-70",IF(AND(DG685&gt;70,DG685&lt;=100),"71-100",IF(DG685&gt;100,"+100")))))</f>
        <v>0</v>
      </c>
      <c r="DI685">
        <v>0</v>
      </c>
      <c r="DJ685">
        <v>1</v>
      </c>
      <c r="DK685">
        <v>0</v>
      </c>
      <c r="DL685">
        <v>0</v>
      </c>
      <c r="DM685">
        <v>0</v>
      </c>
      <c r="DN685">
        <f>SUM(DI685:DM685)</f>
        <v>1</v>
      </c>
      <c r="DO685" t="str">
        <f>IF(DN685=1,INDEX($DI$7:$DL$7,MATCH(1,$DI685:$DL685,0)),"mixedProduct")</f>
        <v>EnergyInput</v>
      </c>
      <c r="DP685">
        <f>IF(DI685=1,DP$7,0)</f>
        <v>0</v>
      </c>
      <c r="DQ685" t="str">
        <f>IF(DJ685=1,DQ$7,0)</f>
        <v>Energy</v>
      </c>
      <c r="DR685">
        <f>IF(DK685=1,DR$7,0)</f>
        <v>0</v>
      </c>
      <c r="DS685">
        <f>IF(DL685=1,DS$7,0)</f>
        <v>0</v>
      </c>
      <c r="DT685">
        <v>0</v>
      </c>
      <c r="DU685" s="143">
        <v>0</v>
      </c>
      <c r="DV685" s="143">
        <v>0</v>
      </c>
      <c r="DW685">
        <v>0</v>
      </c>
      <c r="DX685" s="143">
        <v>0</v>
      </c>
      <c r="DY685">
        <f>SUM(DT685:DU685)</f>
        <v>0</v>
      </c>
      <c r="DZ685" s="143" t="str">
        <f>IF(DT685=1,"self-calculated DF",IF(DU685=1,"external DF used","explicit C balance"))</f>
        <v>explicit C balance</v>
      </c>
      <c r="EA685" s="143">
        <v>0</v>
      </c>
      <c r="EB685" s="143">
        <v>0</v>
      </c>
      <c r="EC685" s="143">
        <v>0</v>
      </c>
      <c r="ED685" s="143">
        <v>0</v>
      </c>
      <c r="EE685">
        <v>0</v>
      </c>
      <c r="EF685" s="143">
        <v>0</v>
      </c>
      <c r="EG685" s="143">
        <v>0</v>
      </c>
      <c r="EH685" s="143">
        <v>1</v>
      </c>
      <c r="EI685" s="143">
        <v>0</v>
      </c>
      <c r="EJ685">
        <v>1</v>
      </c>
      <c r="EK685">
        <v>0</v>
      </c>
      <c r="EL685" s="143">
        <v>0</v>
      </c>
      <c r="EM685" s="143">
        <v>0</v>
      </c>
      <c r="EN685" s="2">
        <v>0</v>
      </c>
      <c r="EP685" t="str">
        <f>IF(AND(AND(AND(OR($EC685=1,$EB685=1),OR($EH685=1,$EF685=1)),SUM($EA685:$EE685,$EK685)&gt;=3),SUM($EF685:$EJ685)&gt;=2),"Whole sector approach","")</f>
        <v/>
      </c>
      <c r="EQ685" t="str">
        <f>IF(AND(AND(OR($EC685=1,$EB685=1),AND($EH685=0,$EF685=0)),SUM($EA685:$EE685,$EK685)&gt;=3),"Ecosystem approach","")</f>
        <v/>
      </c>
      <c r="ER685" s="2" t="str">
        <f>IF(AND(AND(AND($EC685=0,$EB685=0),OR($EH685=1,$EF685=1)),SUM($EG685:$EJ685)&gt;=2),"Technology approach","")</f>
        <v>Technology approach</v>
      </c>
      <c r="ES685" t="str">
        <f>IF(AND($EC685+$EB685+$EE685+$EA685+$ED685+$EG685=0,$N685="included"),"C neutral forest and HWP assumption","")</f>
        <v>C neutral forest and HWP assumption</v>
      </c>
      <c r="ET685" t="str">
        <f>IF(AND(AND(AND(AND($EC685=1,$EB685+$EA685+$EG685&gt;=1),$EF685=1),$EH685+$EI685+$ED685+$EE685&gt;=2),$N685="included"),"All C pools assumption","")</f>
        <v/>
      </c>
      <c r="EU685" t="str">
        <f>IF(AND($ED685+$EE685+$EI685+$EH685+$EF685=0,$N685="included"),"In-situ only assumption","")</f>
        <v/>
      </c>
      <c r="EY685" t="str">
        <f>IF(ISNUMBER(BW685),IF(ABS(BW685-[4]QC_indicators!$B$2)&gt;3*[4]QC_indicators!$C$2,"C ratio",IF(ISNUMBER(CA685),IF(ABS(CA685-[4]QC_indicators!$B$1)&gt;3*[4]QC_indicators!$C$1,"DF","no"))),IF(ISNUMBER(CA685),IF(ABS(CA685-[4]QC_indicators!$B$1)&gt;3*[4]QC_indicators!$C$1,"DF","no")))</f>
        <v>no</v>
      </c>
      <c r="FA685" t="str">
        <f>IF(LEN($CY685)=0,"",IF(AND($CY685&lt;(-0.05),$ES685="C neutral forest and HWP assumption"),"Cneutral paradox",IF(AND($CY685&gt;0.05,$EU685="In-situ only assumption"),"In-situ only paradox","")))</f>
        <v/>
      </c>
      <c r="FB685" s="149"/>
    </row>
    <row r="686" spans="1:160" ht="15" hidden="1" customHeight="1">
      <c r="A686" s="1" t="s">
        <v>247</v>
      </c>
      <c r="B686" t="s">
        <v>628</v>
      </c>
      <c r="C686" t="s">
        <v>629</v>
      </c>
      <c r="D686" t="s">
        <v>630</v>
      </c>
      <c r="E686" t="s">
        <v>631</v>
      </c>
      <c r="F686" t="s">
        <v>632</v>
      </c>
      <c r="G686" t="s">
        <v>253</v>
      </c>
      <c r="H686" t="s">
        <v>254</v>
      </c>
      <c r="I686">
        <v>2014</v>
      </c>
      <c r="J686">
        <v>76</v>
      </c>
      <c r="K686" t="s">
        <v>633</v>
      </c>
      <c r="M686" t="str">
        <f>LEFT($D686,FIND(",",$D686)-1)&amp;"_"&amp;I686&amp;L686</f>
        <v>Dodoo_2014</v>
      </c>
      <c r="N686" t="s">
        <v>222</v>
      </c>
      <c r="O686" s="145" t="s">
        <v>223</v>
      </c>
      <c r="Q686" t="s">
        <v>256</v>
      </c>
      <c r="R686" s="251" t="s">
        <v>225</v>
      </c>
      <c r="S686" s="1" t="s">
        <v>634</v>
      </c>
      <c r="T686" t="s">
        <v>635</v>
      </c>
      <c r="U686" t="s">
        <v>636</v>
      </c>
      <c r="V686" s="253">
        <v>0</v>
      </c>
      <c r="W686" s="253">
        <v>0</v>
      </c>
      <c r="X686">
        <v>0</v>
      </c>
      <c r="Y686">
        <v>0</v>
      </c>
      <c r="Z686">
        <v>0</v>
      </c>
      <c r="AA686">
        <v>0</v>
      </c>
      <c r="AB686">
        <v>0</v>
      </c>
      <c r="AC686">
        <v>0</v>
      </c>
      <c r="AD686">
        <v>0</v>
      </c>
      <c r="AE686">
        <v>0</v>
      </c>
      <c r="AF686">
        <v>0</v>
      </c>
      <c r="AG686">
        <v>0</v>
      </c>
      <c r="AH686">
        <v>0</v>
      </c>
      <c r="AI686">
        <v>0</v>
      </c>
      <c r="AJ686">
        <v>0</v>
      </c>
      <c r="AK686">
        <v>0</v>
      </c>
      <c r="AL686">
        <v>0</v>
      </c>
      <c r="AM686">
        <v>1</v>
      </c>
      <c r="AN686">
        <v>0</v>
      </c>
      <c r="AO686">
        <v>0</v>
      </c>
      <c r="AP686">
        <v>0</v>
      </c>
      <c r="AQ686">
        <v>0</v>
      </c>
      <c r="AR686">
        <v>0</v>
      </c>
      <c r="AS686">
        <v>0</v>
      </c>
      <c r="AT686">
        <v>0</v>
      </c>
      <c r="AU686">
        <v>0</v>
      </c>
      <c r="AV686">
        <v>0</v>
      </c>
      <c r="AW686">
        <v>0</v>
      </c>
      <c r="AX686">
        <v>0</v>
      </c>
      <c r="AY686">
        <v>0</v>
      </c>
      <c r="AZ686" s="141">
        <f>COUNTIF(X686:AY686,"&lt;&gt;0")</f>
        <v>1</v>
      </c>
      <c r="BA686" s="141">
        <f>COUNTIF(X686:AN686,"&lt;&gt;0")</f>
        <v>1</v>
      </c>
      <c r="BB686">
        <f>COUNTIF(X686:AE686,"&lt;&gt;0")</f>
        <v>0</v>
      </c>
      <c r="BC686">
        <f>COUNTIF(AF686:AK686,"&lt;&gt;0")</f>
        <v>0</v>
      </c>
      <c r="BD686">
        <f>COUNTIF(AL686:AN686,"&lt;&gt;0")</f>
        <v>1</v>
      </c>
      <c r="BE686">
        <f>COUNTIF(AU686:AY686,"&lt;&gt;0")</f>
        <v>0</v>
      </c>
      <c r="BF686">
        <f>COUNTIF(AO686:AT686,"&lt;&gt;0")</f>
        <v>0</v>
      </c>
      <c r="BG686" t="str">
        <f t="array" ref="BG686">IF(BA686=1,INDEX($X$7:$AN$7,MATCH(TRUE,INDEX($X686:$AY686&lt;&gt;0,),0)),IF(BA686=0,INDEX($AO$7:$AY$7,MATCH(1,$AO686:$AY686,0)),IF(BH686="Multiple strategies","mixed drivers",IF(BH686="Supply chain","multiple supply","multiple silviculture"))))</f>
        <v>technologies/design switch</v>
      </c>
      <c r="BH686" s="2" t="str" cm="1">
        <f t="array" ref="BH686">IF(COUNTIF(BB686:BD686,"&lt;&gt;0")=1,INDEX($X$4:$AY$4,MATCH(TRUE,INDEX($X686:$AY686&lt;&gt;0,),0)),IF(COUNTIF(BB686:BD686,"&lt;&gt;0")=0,INDEX($AO$4:$AY$4,MATCH(1,$AO686:$AY686,0)),"Multiple strategies"))</f>
        <v>Technology</v>
      </c>
      <c r="BI686" s="1" t="s">
        <v>229</v>
      </c>
      <c r="BJ686" t="s">
        <v>637</v>
      </c>
      <c r="BK686" s="256" t="s">
        <v>2983</v>
      </c>
      <c r="BL686" t="s">
        <v>638</v>
      </c>
      <c r="BM686" s="256">
        <f>55+21+10+5+5</f>
        <v>96</v>
      </c>
      <c r="BN686" s="256">
        <v>120</v>
      </c>
      <c r="BP686">
        <f>BN686-BM686</f>
        <v>24</v>
      </c>
      <c r="BQ686">
        <f>BP686*t_to_m3</f>
        <v>48.979591836734699</v>
      </c>
      <c r="BR686" t="s">
        <v>232</v>
      </c>
      <c r="BS686" s="256" t="s">
        <v>2984</v>
      </c>
      <c r="BT686" t="s">
        <v>262</v>
      </c>
      <c r="BU686">
        <v>-139</v>
      </c>
      <c r="BV686">
        <v>-159</v>
      </c>
      <c r="BW686" s="144">
        <v>1.1438848920863309</v>
      </c>
      <c r="BX686">
        <v>-20</v>
      </c>
      <c r="BZ686">
        <f>BX686/1000</f>
        <v>-0.02</v>
      </c>
      <c r="CA686">
        <f>IFERROR(BZ686/BQ686,"")</f>
        <v>-4.083333333333333E-4</v>
      </c>
      <c r="CB686">
        <v>0</v>
      </c>
      <c r="CC686">
        <v>0</v>
      </c>
      <c r="CD686">
        <v>0</v>
      </c>
      <c r="CE686">
        <v>0</v>
      </c>
      <c r="CF686">
        <v>0</v>
      </c>
      <c r="CG686">
        <v>0</v>
      </c>
      <c r="CH686">
        <v>0</v>
      </c>
      <c r="CI686">
        <v>0</v>
      </c>
      <c r="CJ686">
        <v>0</v>
      </c>
      <c r="CK686">
        <v>0</v>
      </c>
      <c r="CL686">
        <v>0</v>
      </c>
      <c r="CM686">
        <v>0</v>
      </c>
      <c r="CN686">
        <v>0</v>
      </c>
      <c r="CO686">
        <v>0</v>
      </c>
      <c r="CP686" t="str">
        <f>IF($BN686&lt;$BM686,"refNeedCorrection","refOK")</f>
        <v>refOK</v>
      </c>
      <c r="CQ686">
        <f>IF($CP686="refOK",$BM686,$BN686)</f>
        <v>96</v>
      </c>
      <c r="CR686">
        <f>IF($CP686="refOK",$BN686,$BM686)</f>
        <v>120</v>
      </c>
      <c r="CS686">
        <f>IF($CP686="refOK",$BQ686,-$BQ686)</f>
        <v>48.979591836734699</v>
      </c>
      <c r="CT686">
        <f>IF(BI686="Roundwood",$CS686/2,$CS686)</f>
        <v>48.979591836734699</v>
      </c>
      <c r="CU686">
        <f>IF($CP686="refOK",$BU686,$BV686)*IF($BR686="Emissions positive",-1,1)</f>
        <v>-139</v>
      </c>
      <c r="CV686">
        <f>IF($CP686="refOK",$BV686,$BU686)*IF($BR686="Emissions positive",-1,1)</f>
        <v>-159</v>
      </c>
      <c r="CW686">
        <f>IF($CP686="refNeedCorrection",-BZ686,BZ686)*IF($BR686="Emissions positive",-1,1)</f>
        <v>-0.02</v>
      </c>
      <c r="CX686">
        <f>IFERROR($CW686/$CS686,"")</f>
        <v>-4.083333333333333E-4</v>
      </c>
      <c r="CY686">
        <f>IFERROR($CW686/$CS686,"")</f>
        <v>-4.083333333333333E-4</v>
      </c>
      <c r="CZ686">
        <f>IFERROR($CW686/$CT686,"")</f>
        <v>-4.083333333333333E-4</v>
      </c>
      <c r="DA686" s="2">
        <f>IFERROR((CV686-CU686)/ABS(CU686),"")</f>
        <v>-0.14388489208633093</v>
      </c>
      <c r="DB686" s="1" t="s">
        <v>263</v>
      </c>
      <c r="DC686" t="str">
        <f>IF(OR($DB686="prd",$DB686="std",$DB686="cit"),"loc",IF(OR($DB686="eur",$DB686="reg",$DB686="coy"),"reg",$DB686))</f>
        <v>loc</v>
      </c>
      <c r="DD686" t="s">
        <v>444</v>
      </c>
      <c r="DG686">
        <v>50</v>
      </c>
      <c r="DH686" t="str">
        <f>IF(DG686=0,"0",IF(AND(DG686&gt;=1,DG686&lt;=30),"1-30",IF(AND(DG686&gt;30,DG686&lt;=70),"31-70",IF(AND(DG686&gt;70,DG686&lt;=100),"71-100",IF(DG686&gt;100,"+100")))))</f>
        <v>31-70</v>
      </c>
      <c r="DI686">
        <v>0</v>
      </c>
      <c r="DJ686">
        <v>0</v>
      </c>
      <c r="DK686">
        <v>0</v>
      </c>
      <c r="DL686">
        <v>1</v>
      </c>
      <c r="DN686">
        <f>SUM(DI686:DL686)</f>
        <v>1</v>
      </c>
      <c r="DO686" t="str">
        <f>IF(DN686=1,INDEX($DI$7:$DL$7,MATCH(1,$DI686:$DL686,0)),"mixedProduct")</f>
        <v>TimberInput</v>
      </c>
      <c r="DP686">
        <f>IF(DI686=1,DP$7,0)</f>
        <v>0</v>
      </c>
      <c r="DQ686">
        <f>IF(DJ686=1,DQ$7,0)</f>
        <v>0</v>
      </c>
      <c r="DR686">
        <f>IF(DK686=1,DR$7,0)</f>
        <v>0</v>
      </c>
      <c r="DS686" t="str">
        <f>IF(DL686=1,DS$7,0)</f>
        <v>Timber</v>
      </c>
      <c r="DT686">
        <v>0</v>
      </c>
      <c r="DU686">
        <v>0</v>
      </c>
      <c r="DV686">
        <v>0</v>
      </c>
      <c r="DW686">
        <v>0</v>
      </c>
      <c r="DX686">
        <v>0</v>
      </c>
      <c r="DY686">
        <f>SUM(DT686:DU686)</f>
        <v>0</v>
      </c>
      <c r="DZ686" s="143" t="str">
        <f>IF(DT686=1,"self-calculated DF",IF(DU686=1,"external DF used","explicit C balance"))</f>
        <v>explicit C balance</v>
      </c>
      <c r="EA686">
        <v>0</v>
      </c>
      <c r="EB686">
        <v>0</v>
      </c>
      <c r="EC686">
        <v>0</v>
      </c>
      <c r="ED686">
        <v>0</v>
      </c>
      <c r="EE686">
        <v>0</v>
      </c>
      <c r="EF686" s="143">
        <v>0</v>
      </c>
      <c r="EG686">
        <v>0</v>
      </c>
      <c r="EH686">
        <v>1</v>
      </c>
      <c r="EI686">
        <v>0</v>
      </c>
      <c r="EJ686">
        <v>0</v>
      </c>
      <c r="EK686">
        <v>0</v>
      </c>
      <c r="EL686">
        <v>0</v>
      </c>
      <c r="EM686">
        <v>0</v>
      </c>
      <c r="EN686" s="2">
        <v>0</v>
      </c>
      <c r="EP686" t="str">
        <f>IF(AND(AND(AND(OR($EC686=1,$EB686=1),OR($EH686=1,$EF686=1)),SUM($EA686:$EE686,$EK686)&gt;=3),SUM($EF686:$EJ686)&gt;=2),"Whole sector approach","")</f>
        <v/>
      </c>
      <c r="EQ686" t="str">
        <f>IF(AND(AND(OR($EC686=1,$EB686=1),AND($EH686=0,$EF686=0)),SUM($EA686:$EE686,$EK686)&gt;=4),"Ecosystem approach","")</f>
        <v/>
      </c>
      <c r="ER686" s="2" t="str">
        <f>IF(AND(AND(AND($EC686=0,$EB686=0),OR($EH686=1,$EF686=1)),SUM($EG686:$EJ686)&gt;=2),"Technology approach","")</f>
        <v/>
      </c>
      <c r="ES686" t="str">
        <f>IF(AND($EC686+$EB686+$EE686+$EA686+$ED686+$EG686=0,$N686="included"),"C neutral forest and HWP assumption","")</f>
        <v>C neutral forest and HWP assumption</v>
      </c>
      <c r="ET686" t="str">
        <f>IF(AND(AND(AND(AND($EC686=1,$EB686+$EA686+$EG686&gt;=1),$EF686=1),$EH686+$EI686+$ED686+$EE686&gt;=2),$N686="included"),"All C pools assumption","")</f>
        <v/>
      </c>
      <c r="EU686" t="str">
        <f>IF(AND($ED686+$EE686+$EI686+$EH686+$EF686=0,$N686="included"),"In-situ only assumption","")</f>
        <v/>
      </c>
      <c r="EY686" t="str">
        <f>IF(ISNUMBER(BW686),IF(ABS(BW686-[6]QC_indicators!$B$2)&gt;3*[6]QC_indicators!$C$2,"C ratio",IF(ISNUMBER(CA686),IF(ABS(CA686-[6]QC_indicators!$B$1)&gt;3*[6]QC_indicators!$C$1,"DF","no"))),IF(ISNUMBER(CA686),IF(ABS(CA686-[6]QC_indicators!$B$1)&gt;3*[6]QC_indicators!$C$1,"DF","no")))</f>
        <v>no</v>
      </c>
      <c r="FA686" t="str">
        <f>IF(LEN($CY686)=0,"",IF(AND($CY686&lt;(-0.05),$ES686="C neutral forest and HWP assumption"),"Cneutral paradox",IF(AND($CY686&gt;0.05,$EU686="In-situ only assumption"),"In-situ only paradox","")))</f>
        <v/>
      </c>
      <c r="FB686" s="149" t="s">
        <v>349</v>
      </c>
      <c r="FD686" s="260" t="s">
        <v>2948</v>
      </c>
    </row>
    <row r="687" spans="1:160" ht="15" hidden="1" customHeight="1">
      <c r="A687" s="1" t="s">
        <v>794</v>
      </c>
      <c r="B687" t="s">
        <v>795</v>
      </c>
      <c r="C687" t="s">
        <v>796</v>
      </c>
      <c r="D687" t="s">
        <v>797</v>
      </c>
      <c r="E687" t="s">
        <v>798</v>
      </c>
      <c r="F687" t="s">
        <v>799</v>
      </c>
      <c r="G687" t="s">
        <v>180</v>
      </c>
      <c r="H687" t="s">
        <v>254</v>
      </c>
      <c r="I687">
        <v>2018</v>
      </c>
      <c r="J687">
        <v>14</v>
      </c>
      <c r="K687" t="s">
        <v>800</v>
      </c>
      <c r="M687" t="str">
        <f>LEFT($D687,FIND(",",$D687)-1)&amp;"_"&amp;I687&amp;L687</f>
        <v>Karlsson_2018</v>
      </c>
      <c r="N687" t="s">
        <v>222</v>
      </c>
      <c r="O687" s="145" t="s">
        <v>508</v>
      </c>
      <c r="Q687" t="s">
        <v>256</v>
      </c>
      <c r="R687" s="258" t="s">
        <v>223</v>
      </c>
      <c r="S687" s="1" t="s">
        <v>801</v>
      </c>
      <c r="T687" t="s">
        <v>802</v>
      </c>
      <c r="U687" t="s">
        <v>806</v>
      </c>
      <c r="V687" s="253">
        <v>0</v>
      </c>
      <c r="W687" s="253">
        <v>0</v>
      </c>
      <c r="X687">
        <v>0</v>
      </c>
      <c r="Y687">
        <v>0</v>
      </c>
      <c r="Z687">
        <v>0</v>
      </c>
      <c r="AA687">
        <v>0</v>
      </c>
      <c r="AB687">
        <v>0</v>
      </c>
      <c r="AC687">
        <v>0</v>
      </c>
      <c r="AD687">
        <v>0</v>
      </c>
      <c r="AE687">
        <v>0</v>
      </c>
      <c r="AF687">
        <v>0</v>
      </c>
      <c r="AG687">
        <v>0</v>
      </c>
      <c r="AH687">
        <v>0</v>
      </c>
      <c r="AI687">
        <v>0</v>
      </c>
      <c r="AJ687">
        <v>0</v>
      </c>
      <c r="AK687">
        <v>0</v>
      </c>
      <c r="AL687">
        <v>0</v>
      </c>
      <c r="AM687">
        <v>1</v>
      </c>
      <c r="AN687">
        <v>0</v>
      </c>
      <c r="AO687">
        <v>0</v>
      </c>
      <c r="AP687">
        <v>0</v>
      </c>
      <c r="AQ687">
        <v>0</v>
      </c>
      <c r="AR687">
        <v>0</v>
      </c>
      <c r="AS687">
        <v>0</v>
      </c>
      <c r="AT687">
        <v>0</v>
      </c>
      <c r="AU687">
        <v>0</v>
      </c>
      <c r="AV687">
        <v>0</v>
      </c>
      <c r="AW687">
        <v>0</v>
      </c>
      <c r="AX687">
        <v>0</v>
      </c>
      <c r="AY687">
        <v>0</v>
      </c>
      <c r="AZ687" s="141">
        <f>COUNTIF(X687:AY687,"&lt;&gt;0")</f>
        <v>1</v>
      </c>
      <c r="BA687" s="141">
        <f>COUNTIF(X687:AN687,"&lt;&gt;0")</f>
        <v>1</v>
      </c>
      <c r="BB687">
        <f>COUNTIF(X687:AE687,"&lt;&gt;0")</f>
        <v>0</v>
      </c>
      <c r="BC687">
        <f>COUNTIF(AF687:AK687,"&lt;&gt;0")</f>
        <v>0</v>
      </c>
      <c r="BD687">
        <f>COUNTIF(AL687:AN687,"&lt;&gt;0")</f>
        <v>1</v>
      </c>
      <c r="BE687">
        <f>COUNTIF(AU687:AY687,"&lt;&gt;0")</f>
        <v>0</v>
      </c>
      <c r="BF687">
        <f>COUNTIF(AO687:AT687,"&lt;&gt;0")</f>
        <v>0</v>
      </c>
      <c r="BG687" t="str">
        <f t="array" ref="BG687">IF(BA687=1,INDEX($X$7:$AN$7,MATCH(TRUE,INDEX($X687:$AY687&lt;&gt;0,),0)),IF(BA687=0,INDEX($AO$7:$AY$7,MATCH(1,$AO687:$AY687,0)),IF(BH687="Multiple strategies","mixed drivers",IF(BH687="Supply chain","multiple supply","multiple silviculture"))))</f>
        <v>technologies/design switch</v>
      </c>
      <c r="BH687" s="2" t="str" cm="1">
        <f t="array" ref="BH687">IF(COUNTIF(BB687:BD687,"&lt;&gt;0")=1,INDEX($X$4:$AY$4,MATCH(TRUE,INDEX($X687:$AY687&lt;&gt;0,),0)),IF(COUNTIF(BB687:BD687,"&lt;&gt;0")=0,INDEX($AO$4:$AY$4,MATCH(1,$AO687:$AY687,0)),"Multiple strategies"))</f>
        <v>Technology</v>
      </c>
      <c r="BI687" s="1" t="s">
        <v>229</v>
      </c>
      <c r="BJ687" t="s">
        <v>806</v>
      </c>
      <c r="BK687" s="260" t="s">
        <v>2818</v>
      </c>
      <c r="BL687" t="s">
        <v>638</v>
      </c>
      <c r="BM687">
        <v>0</v>
      </c>
      <c r="BN687">
        <v>15410</v>
      </c>
      <c r="BP687">
        <f>BN687-BM687</f>
        <v>15410</v>
      </c>
      <c r="BQ687">
        <f>BP687*t_to_m3</f>
        <v>31448.979591836734</v>
      </c>
      <c r="BR687" t="s">
        <v>232</v>
      </c>
      <c r="BS687" s="153" t="s">
        <v>767</v>
      </c>
      <c r="BT687" s="260" t="s">
        <v>397</v>
      </c>
      <c r="BU687">
        <v>-58800</v>
      </c>
      <c r="BV687">
        <v>-70800</v>
      </c>
      <c r="BW687" s="144">
        <f>IFERROR(BV687/BU687,"")</f>
        <v>1.2040816326530612</v>
      </c>
      <c r="BX687">
        <f>BV687-BU687</f>
        <v>-12000</v>
      </c>
      <c r="BZ687">
        <f>BX687/10^3</f>
        <v>-12</v>
      </c>
      <c r="CA687">
        <f>IFERROR(BZ687/BQ687,"")</f>
        <v>-3.8157040882543804E-4</v>
      </c>
      <c r="CB687">
        <v>0</v>
      </c>
      <c r="CC687">
        <v>0</v>
      </c>
      <c r="CD687">
        <v>0</v>
      </c>
      <c r="CE687">
        <v>0</v>
      </c>
      <c r="CF687">
        <v>0</v>
      </c>
      <c r="CG687">
        <v>0</v>
      </c>
      <c r="CH687">
        <v>0</v>
      </c>
      <c r="CI687">
        <v>0</v>
      </c>
      <c r="CJ687">
        <v>0</v>
      </c>
      <c r="CK687">
        <v>0</v>
      </c>
      <c r="CL687">
        <v>0</v>
      </c>
      <c r="CM687">
        <v>0</v>
      </c>
      <c r="CN687">
        <v>0</v>
      </c>
      <c r="CO687">
        <v>0</v>
      </c>
      <c r="CP687" t="str">
        <f>IF($BN687&lt;$BM687,"refNeedCorrection","refOK")</f>
        <v>refOK</v>
      </c>
      <c r="CQ687">
        <f>IF($CP687="refNeedCorrection",BN687,BM687)</f>
        <v>0</v>
      </c>
      <c r="CR687">
        <f>IF($CP687="refNeedCorrection",BM687,BN687)</f>
        <v>15410</v>
      </c>
      <c r="CS687">
        <f>IF($CP687="refOK",$BQ687,-$BQ687)</f>
        <v>31448.979591836734</v>
      </c>
      <c r="CT687">
        <f>IF(BI687="Roundwood",$CS687/2,$CS687)</f>
        <v>31448.979591836734</v>
      </c>
      <c r="CU687">
        <f>IF($CP687="refOK",$BU687,$BV687)*IF($BR687="Emissions positive",-1,1)</f>
        <v>-58800</v>
      </c>
      <c r="CV687">
        <f>IF($CP687="refOK",$BV687,$BU687)*IF($BR687="Emissions positive",-1,1)</f>
        <v>-70800</v>
      </c>
      <c r="CW687">
        <f>IF($CP687="refNeedCorrection",-BZ687,BZ687)*IF($BR687="Emissions positive",-1,1)</f>
        <v>-12</v>
      </c>
      <c r="CX687">
        <f>IFERROR($CW687/$CS687,"")</f>
        <v>-3.8157040882543804E-4</v>
      </c>
      <c r="CY687">
        <f>IFERROR($CW687/$CS687,"")</f>
        <v>-3.8157040882543804E-4</v>
      </c>
      <c r="CZ687">
        <f>IFERROR($CW687/$CT687,"")</f>
        <v>-3.8157040882543804E-4</v>
      </c>
      <c r="DA687" s="2">
        <f>IFERROR((CV687-CU687)/ABS(CU687),"")</f>
        <v>-0.20408163265306123</v>
      </c>
      <c r="DB687" s="1" t="s">
        <v>347</v>
      </c>
      <c r="DC687" t="str">
        <f>IF(OR($DB687="prd",$DB687="std",$DB687="cit"),"loc",IF(OR($DB687="eur",$DB687="reg",$DB687="coy"),"reg",$DB687))</f>
        <v>loc</v>
      </c>
      <c r="DD687" t="s">
        <v>444</v>
      </c>
      <c r="DG687">
        <v>0</v>
      </c>
      <c r="DH687" t="str">
        <f>IF(DG687=0,"0",IF(AND(DG687&gt;=1,DG687&lt;=30),"1-30",IF(AND(DG687&gt;30,DG687&lt;=70),"31-70",IF(AND(DG687&gt;70,DG687&lt;=100),"71-100",IF(DG687&gt;100,"+100")))))</f>
        <v>0</v>
      </c>
      <c r="DI687">
        <v>0</v>
      </c>
      <c r="DJ687">
        <v>1</v>
      </c>
      <c r="DK687">
        <v>0</v>
      </c>
      <c r="DL687">
        <v>0</v>
      </c>
      <c r="DM687">
        <v>1</v>
      </c>
      <c r="DN687">
        <f>SUM(DI687:DL687)</f>
        <v>1</v>
      </c>
      <c r="DO687" t="str">
        <f>IF(DN687=1,INDEX($DI$7:$DL$7,MATCH(1,$DI687:$DL687,0)),"mixedProduct")</f>
        <v>EnergyInput</v>
      </c>
      <c r="DP687">
        <f>IF(DI687=1,DP$7,0)</f>
        <v>0</v>
      </c>
      <c r="DQ687" t="str">
        <f>IF(DJ687=1,DQ$7,0)</f>
        <v>Energy</v>
      </c>
      <c r="DR687">
        <f>IF(DK687=1,DR$7,0)</f>
        <v>0</v>
      </c>
      <c r="DS687">
        <f>IF(DL687=1,DS$7,0)</f>
        <v>0</v>
      </c>
      <c r="DT687">
        <v>0</v>
      </c>
      <c r="DU687">
        <v>0</v>
      </c>
      <c r="DV687">
        <v>0</v>
      </c>
      <c r="DW687">
        <v>0</v>
      </c>
      <c r="DX687">
        <v>0</v>
      </c>
      <c r="DY687">
        <f>SUM(DT687:DU687)</f>
        <v>0</v>
      </c>
      <c r="DZ687" s="143" t="str">
        <f>IF(DT687=1,"self-calculated DF",IF(DU687=1,"external DF used","explicit C balance"))</f>
        <v>explicit C balance</v>
      </c>
      <c r="EA687">
        <v>0</v>
      </c>
      <c r="EB687">
        <v>0</v>
      </c>
      <c r="EC687">
        <v>0</v>
      </c>
      <c r="ED687">
        <v>0</v>
      </c>
      <c r="EE687">
        <v>0</v>
      </c>
      <c r="EF687" s="143">
        <v>0</v>
      </c>
      <c r="EG687">
        <v>0</v>
      </c>
      <c r="EH687">
        <v>1</v>
      </c>
      <c r="EI687">
        <v>0</v>
      </c>
      <c r="EJ687">
        <v>1</v>
      </c>
      <c r="EK687">
        <v>0</v>
      </c>
      <c r="EL687">
        <v>0</v>
      </c>
      <c r="EM687">
        <v>0</v>
      </c>
      <c r="EN687" s="2">
        <v>0</v>
      </c>
      <c r="EP687" t="str">
        <f>IF(AND(AND(AND(OR($EC687=1,$EB687=1),OR($EH687=1,$EF687=1)),SUM($EA687:$EE687,$EK687)&gt;=3),SUM($EF687:$EJ687)&gt;=2),"Whole sector approach","")</f>
        <v/>
      </c>
      <c r="EQ687" t="str">
        <f>IF(AND(AND(OR($EC687=1,$EB687=1),AND($EH687=0,$EF687=0)),SUM($EA687:$EE687,$EK687)&gt;=4),"Ecosystem approach","")</f>
        <v/>
      </c>
      <c r="ER687" s="2" t="str">
        <f>IF(AND(AND(AND($EC687=0,$EB687=0),OR($EH687=1,$EF687=1)),SUM($EG687:$EJ687)&gt;=2),"Technology approach","")</f>
        <v>Technology approach</v>
      </c>
      <c r="ES687" t="str">
        <f>IF(AND($EC687+$EB687+$EE687+$EA687+$ED687+$EG687=0,$N687="included"),"C neutral forest and HWP assumption","")</f>
        <v>C neutral forest and HWP assumption</v>
      </c>
      <c r="ET687" t="str">
        <f>IF(AND(AND(AND(AND($EC687=1,$EB687+$EA687+$EG687&gt;=1),$EF687=1),$EH687+$EI687+$ED687+$EE687&gt;=2),$N687="included"),"All C pools assumption","")</f>
        <v/>
      </c>
      <c r="EU687" t="str">
        <f>IF(AND($ED687+$EE687+$EI687+$EH687+$EF687=0,$N687="included"),"In-situ only assumption","")</f>
        <v/>
      </c>
      <c r="EY687" t="str">
        <f>IF(ISNUMBER(BW687),IF(ABS(BW687-[2]QC_indicators!$B$2)&gt;3*[2]QC_indicators!$C$2,"C ratio",IF(ISNUMBER(CA687),IF(ABS(CA687-[2]QC_indicators!$B$1)&gt;3*[2]QC_indicators!$C$1,"DF","no"))),IF(ISNUMBER(CA687),IF(ABS(CA687-[2]QC_indicators!$B$1)&gt;3*[2]QC_indicators!$C$1,"DF","no")))</f>
        <v>no</v>
      </c>
      <c r="FA687" t="str">
        <f>IF(LEN($CY687)=0,"",IF(AND($CY687&lt;(-0.05),$ES687="C neutral forest and HWP assumption"),"Cneutral paradox",IF(AND($CY687&gt;0.05,$EU687="In-situ only assumption"),"In-situ only paradox","")))</f>
        <v/>
      </c>
      <c r="FD687" s="260" t="s">
        <v>2819</v>
      </c>
    </row>
    <row r="688" spans="1:160" ht="15" hidden="1" customHeight="1">
      <c r="A688" s="1" t="s">
        <v>247</v>
      </c>
      <c r="B688" t="s">
        <v>628</v>
      </c>
      <c r="C688" t="s">
        <v>629</v>
      </c>
      <c r="D688" t="s">
        <v>630</v>
      </c>
      <c r="E688" t="s">
        <v>631</v>
      </c>
      <c r="F688" t="s">
        <v>632</v>
      </c>
      <c r="G688" t="s">
        <v>253</v>
      </c>
      <c r="H688" t="s">
        <v>254</v>
      </c>
      <c r="I688">
        <v>2014</v>
      </c>
      <c r="J688">
        <v>76</v>
      </c>
      <c r="K688" t="s">
        <v>633</v>
      </c>
      <c r="M688" t="str">
        <f>LEFT($D688,FIND(",",$D688)-1)&amp;"_"&amp;I688&amp;L688</f>
        <v>Dodoo_2014</v>
      </c>
      <c r="N688" t="s">
        <v>222</v>
      </c>
      <c r="O688" s="145" t="s">
        <v>223</v>
      </c>
      <c r="Q688" t="s">
        <v>256</v>
      </c>
      <c r="R688" s="251" t="s">
        <v>225</v>
      </c>
      <c r="S688" s="1" t="s">
        <v>634</v>
      </c>
      <c r="T688" t="s">
        <v>639</v>
      </c>
      <c r="U688" t="s">
        <v>640</v>
      </c>
      <c r="V688" s="253">
        <v>0</v>
      </c>
      <c r="W688" s="253">
        <v>0</v>
      </c>
      <c r="X688">
        <v>0</v>
      </c>
      <c r="Y688">
        <v>0</v>
      </c>
      <c r="Z688">
        <v>0</v>
      </c>
      <c r="AA688">
        <v>0</v>
      </c>
      <c r="AB688">
        <v>0</v>
      </c>
      <c r="AC688">
        <v>0</v>
      </c>
      <c r="AD688">
        <v>0</v>
      </c>
      <c r="AE688">
        <v>0</v>
      </c>
      <c r="AF688">
        <v>0</v>
      </c>
      <c r="AG688">
        <v>0</v>
      </c>
      <c r="AH688">
        <v>0</v>
      </c>
      <c r="AI688">
        <v>0</v>
      </c>
      <c r="AJ688">
        <v>0</v>
      </c>
      <c r="AK688">
        <v>0</v>
      </c>
      <c r="AL688">
        <v>0</v>
      </c>
      <c r="AM688">
        <v>1</v>
      </c>
      <c r="AN688">
        <v>0</v>
      </c>
      <c r="AO688">
        <v>0</v>
      </c>
      <c r="AP688">
        <v>0</v>
      </c>
      <c r="AQ688">
        <v>0</v>
      </c>
      <c r="AR688">
        <v>0</v>
      </c>
      <c r="AS688">
        <v>0</v>
      </c>
      <c r="AT688">
        <v>0</v>
      </c>
      <c r="AU688">
        <v>0</v>
      </c>
      <c r="AV688">
        <v>0</v>
      </c>
      <c r="AW688">
        <v>0</v>
      </c>
      <c r="AX688">
        <v>0</v>
      </c>
      <c r="AY688">
        <v>0</v>
      </c>
      <c r="AZ688" s="141">
        <f>COUNTIF(X688:AY688,"&lt;&gt;0")</f>
        <v>1</v>
      </c>
      <c r="BA688" s="141">
        <f>COUNTIF(X688:AN688,"&lt;&gt;0")</f>
        <v>1</v>
      </c>
      <c r="BB688">
        <f>COUNTIF(X688:AE688,"&lt;&gt;0")</f>
        <v>0</v>
      </c>
      <c r="BC688">
        <f>COUNTIF(AF688:AK688,"&lt;&gt;0")</f>
        <v>0</v>
      </c>
      <c r="BD688">
        <f>COUNTIF(AL688:AN688,"&lt;&gt;0")</f>
        <v>1</v>
      </c>
      <c r="BE688">
        <f>COUNTIF(AU688:AY688,"&lt;&gt;0")</f>
        <v>0</v>
      </c>
      <c r="BF688">
        <f>COUNTIF(AO688:AT688,"&lt;&gt;0")</f>
        <v>0</v>
      </c>
      <c r="BG688" t="str">
        <f t="array" ref="BG688">IF(BA688=1,INDEX($X$7:$AN$7,MATCH(TRUE,INDEX($X688:$AY688&lt;&gt;0,),0)),IF(BA688=0,INDEX($AO$7:$AY$7,MATCH(1,$AO688:$AY688,0)),IF(BH688="Multiple strategies","mixed drivers",IF(BH688="Supply chain","multiple supply","multiple silviculture"))))</f>
        <v>technologies/design switch</v>
      </c>
      <c r="BH688" s="2" t="str" cm="1">
        <f t="array" ref="BH688">IF(COUNTIF(BB688:BD688,"&lt;&gt;0")=1,INDEX($X$4:$AY$4,MATCH(TRUE,INDEX($X688:$AY688&lt;&gt;0,),0)),IF(COUNTIF(BB688:BD688,"&lt;&gt;0")=0,INDEX($AO$4:$AY$4,MATCH(1,$AO688:$AY688,0)),"Multiple strategies"))</f>
        <v>Technology</v>
      </c>
      <c r="BI688" s="1" t="s">
        <v>229</v>
      </c>
      <c r="BJ688" t="s">
        <v>637</v>
      </c>
      <c r="BK688" s="256" t="s">
        <v>2983</v>
      </c>
      <c r="BL688" t="s">
        <v>638</v>
      </c>
      <c r="BM688" s="256">
        <f>55+21+10+5+5</f>
        <v>96</v>
      </c>
      <c r="BN688" s="256">
        <v>124</v>
      </c>
      <c r="BP688">
        <f>BN688-BM688</f>
        <v>28</v>
      </c>
      <c r="BQ688">
        <f>BP688*t_to_m3</f>
        <v>57.142857142857146</v>
      </c>
      <c r="BR688" t="s">
        <v>232</v>
      </c>
      <c r="BS688" s="256" t="s">
        <v>2984</v>
      </c>
      <c r="BT688" t="s">
        <v>262</v>
      </c>
      <c r="BU688">
        <v>-145</v>
      </c>
      <c r="BV688">
        <v>-165</v>
      </c>
      <c r="BW688" s="144">
        <v>1.1379310344827587</v>
      </c>
      <c r="BX688">
        <v>-20</v>
      </c>
      <c r="BZ688">
        <f>BX688/1000</f>
        <v>-0.02</v>
      </c>
      <c r="CA688">
        <f>IFERROR(BZ688/BQ688,"")</f>
        <v>-3.5E-4</v>
      </c>
      <c r="CB688">
        <v>0</v>
      </c>
      <c r="CC688">
        <v>0</v>
      </c>
      <c r="CD688">
        <v>0</v>
      </c>
      <c r="CE688">
        <v>0</v>
      </c>
      <c r="CF688">
        <v>0</v>
      </c>
      <c r="CG688">
        <v>0</v>
      </c>
      <c r="CH688">
        <v>0</v>
      </c>
      <c r="CI688">
        <v>0</v>
      </c>
      <c r="CJ688">
        <v>0</v>
      </c>
      <c r="CK688">
        <v>0</v>
      </c>
      <c r="CL688">
        <v>0</v>
      </c>
      <c r="CM688">
        <v>0</v>
      </c>
      <c r="CN688">
        <v>0</v>
      </c>
      <c r="CO688">
        <v>0</v>
      </c>
      <c r="CP688" t="str">
        <f>IF($BN688&lt;$BM688,"refNeedCorrection","refOK")</f>
        <v>refOK</v>
      </c>
      <c r="CQ688">
        <f>IF($CP688="refOK",$BM688,$BN688)</f>
        <v>96</v>
      </c>
      <c r="CR688">
        <f>IF($CP688="refOK",$BN688,$BM688)</f>
        <v>124</v>
      </c>
      <c r="CS688">
        <f>IF($CP688="refOK",$BQ688,-$BQ688)</f>
        <v>57.142857142857146</v>
      </c>
      <c r="CT688">
        <f>IF(BI688="Roundwood",$CS688/2,$CS688)</f>
        <v>57.142857142857146</v>
      </c>
      <c r="CU688">
        <f>IF($CP688="refOK",$BU688,$BV688)*IF($BR688="Emissions positive",-1,1)</f>
        <v>-145</v>
      </c>
      <c r="CV688">
        <f>IF($CP688="refOK",$BV688,$BU688)*IF($BR688="Emissions positive",-1,1)</f>
        <v>-165</v>
      </c>
      <c r="CW688">
        <f>IF($CP688="refNeedCorrection",-BZ688,BZ688)*IF($BR688="Emissions positive",-1,1)</f>
        <v>-0.02</v>
      </c>
      <c r="CX688">
        <f>IFERROR($CW688/$CS688,"")</f>
        <v>-3.5E-4</v>
      </c>
      <c r="CY688">
        <f>IFERROR($CW688/$CS688,"")</f>
        <v>-3.5E-4</v>
      </c>
      <c r="CZ688">
        <f>IFERROR($CW688/$CT688,"")</f>
        <v>-3.5E-4</v>
      </c>
      <c r="DA688" s="2">
        <f>IFERROR((CV688-CU688)/ABS(CU688),"")</f>
        <v>-0.13793103448275862</v>
      </c>
      <c r="DB688" s="1" t="s">
        <v>263</v>
      </c>
      <c r="DC688" t="str">
        <f>IF(OR($DB688="prd",$DB688="std",$DB688="cit"),"loc",IF(OR($DB688="eur",$DB688="reg",$DB688="coy"),"reg",$DB688))</f>
        <v>loc</v>
      </c>
      <c r="DD688" t="s">
        <v>444</v>
      </c>
      <c r="DG688">
        <v>50</v>
      </c>
      <c r="DH688" t="str">
        <f>IF(DG688=0,"0",IF(AND(DG688&gt;=1,DG688&lt;=30),"1-30",IF(AND(DG688&gt;30,DG688&lt;=70),"31-70",IF(AND(DG688&gt;70,DG688&lt;=100),"71-100",IF(DG688&gt;100,"+100")))))</f>
        <v>31-70</v>
      </c>
      <c r="DI688">
        <v>0</v>
      </c>
      <c r="DJ688">
        <v>0</v>
      </c>
      <c r="DK688">
        <v>0</v>
      </c>
      <c r="DL688">
        <v>1</v>
      </c>
      <c r="DN688">
        <f>SUM(DI688:DL688)</f>
        <v>1</v>
      </c>
      <c r="DO688" t="str">
        <f>IF(DN688=1,INDEX($DI$7:$DL$7,MATCH(1,$DI688:$DL688,0)),"mixedProduct")</f>
        <v>TimberInput</v>
      </c>
      <c r="DP688">
        <f>IF(DI688=1,DP$7,0)</f>
        <v>0</v>
      </c>
      <c r="DQ688">
        <f>IF(DJ688=1,DQ$7,0)</f>
        <v>0</v>
      </c>
      <c r="DR688">
        <f>IF(DK688=1,DR$7,0)</f>
        <v>0</v>
      </c>
      <c r="DS688" t="str">
        <f>IF(DL688=1,DS$7,0)</f>
        <v>Timber</v>
      </c>
      <c r="DT688">
        <v>0</v>
      </c>
      <c r="DU688">
        <v>0</v>
      </c>
      <c r="DV688">
        <v>0</v>
      </c>
      <c r="DW688">
        <v>0</v>
      </c>
      <c r="DX688">
        <v>0</v>
      </c>
      <c r="DY688">
        <f>SUM(DT688:DU688)</f>
        <v>0</v>
      </c>
      <c r="DZ688" s="143" t="str">
        <f>IF(DT688=1,"self-calculated DF",IF(DU688=1,"external DF used","explicit C balance"))</f>
        <v>explicit C balance</v>
      </c>
      <c r="EA688">
        <v>0</v>
      </c>
      <c r="EB688">
        <v>0</v>
      </c>
      <c r="EC688">
        <v>0</v>
      </c>
      <c r="ED688">
        <v>0</v>
      </c>
      <c r="EE688">
        <v>0</v>
      </c>
      <c r="EF688" s="143">
        <v>0</v>
      </c>
      <c r="EG688">
        <v>0</v>
      </c>
      <c r="EH688">
        <v>1</v>
      </c>
      <c r="EI688">
        <v>0</v>
      </c>
      <c r="EJ688">
        <v>0</v>
      </c>
      <c r="EK688">
        <v>0</v>
      </c>
      <c r="EL688">
        <v>0</v>
      </c>
      <c r="EM688">
        <v>0</v>
      </c>
      <c r="EN688" s="2">
        <v>0</v>
      </c>
      <c r="EP688" t="str">
        <f>IF(AND(AND(AND(OR($EC688=1,$EB688=1),OR($EH688=1,$EF688=1)),SUM($EA688:$EE688,$EK688)&gt;=3),SUM($EF688:$EJ688)&gt;=2),"Whole sector approach","")</f>
        <v/>
      </c>
      <c r="EQ688" t="str">
        <f>IF(AND(AND(OR($EC688=1,$EB688=1),AND($EH688=0,$EF688=0)),SUM($EA688:$EE688,$EK688)&gt;=4),"Ecosystem approach","")</f>
        <v/>
      </c>
      <c r="ER688" s="2" t="str">
        <f>IF(AND(AND(AND($EC688=0,$EB688=0),OR($EH688=1,$EF688=1)),SUM($EG688:$EJ688)&gt;=2),"Technology approach","")</f>
        <v/>
      </c>
      <c r="ES688" t="str">
        <f>IF(AND($EC688+$EB688+$EE688+$EA688+$ED688+$EG688=0,$N688="included"),"C neutral forest and HWP assumption","")</f>
        <v>C neutral forest and HWP assumption</v>
      </c>
      <c r="ET688" t="str">
        <f>IF(AND(AND(AND(AND($EC688=1,$EB688+$EA688+$EG688&gt;=1),$EF688=1),$EH688+$EI688+$ED688+$EE688&gt;=2),$N688="included"),"All C pools assumption","")</f>
        <v/>
      </c>
      <c r="EU688" t="str">
        <f>IF(AND($ED688+$EE688+$EI688+$EH688+$EF688=0,$N688="included"),"In-situ only assumption","")</f>
        <v/>
      </c>
      <c r="EY688" t="str">
        <f>IF(ISNUMBER(BW688),IF(ABS(BW688-[6]QC_indicators!$B$2)&gt;3*[6]QC_indicators!$C$2,"C ratio",IF(ISNUMBER(CA688),IF(ABS(CA688-[6]QC_indicators!$B$1)&gt;3*[6]QC_indicators!$C$1,"DF","no"))),IF(ISNUMBER(CA688),IF(ABS(CA688-[6]QC_indicators!$B$1)&gt;3*[6]QC_indicators!$C$1,"DF","no")))</f>
        <v>no</v>
      </c>
      <c r="FA688" t="str">
        <f>IF(LEN($CY688)=0,"",IF(AND($CY688&lt;(-0.05),$ES688="C neutral forest and HWP assumption"),"Cneutral paradox",IF(AND($CY688&gt;0.05,$EU688="In-situ only assumption"),"In-situ only paradox","")))</f>
        <v/>
      </c>
      <c r="FB688" s="149" t="s">
        <v>349</v>
      </c>
      <c r="FD688" s="260" t="s">
        <v>2948</v>
      </c>
    </row>
    <row r="689" spans="1:160" ht="15" hidden="1" customHeight="1">
      <c r="D689" t="s">
        <v>927</v>
      </c>
      <c r="E689" t="s">
        <v>949</v>
      </c>
      <c r="G689" t="s">
        <v>950</v>
      </c>
      <c r="I689">
        <v>2004</v>
      </c>
      <c r="K689" t="s">
        <v>951</v>
      </c>
      <c r="M689" t="str">
        <f>LEFT($D689,FIND(",",$D689)-1)&amp;"_"&amp;I689&amp;L689</f>
        <v>Petersen_2004</v>
      </c>
      <c r="N689" t="s">
        <v>222</v>
      </c>
      <c r="O689" s="171" t="s">
        <v>508</v>
      </c>
      <c r="P689" s="141" t="s">
        <v>225</v>
      </c>
      <c r="Q689" t="s">
        <v>389</v>
      </c>
      <c r="R689" s="258" t="s">
        <v>223</v>
      </c>
      <c r="T689" s="260" t="s">
        <v>952</v>
      </c>
      <c r="U689" t="s">
        <v>953</v>
      </c>
      <c r="V689" s="253">
        <v>0</v>
      </c>
      <c r="W689" s="253">
        <v>0</v>
      </c>
      <c r="X689">
        <v>0</v>
      </c>
      <c r="Y689">
        <v>0</v>
      </c>
      <c r="Z689">
        <v>0</v>
      </c>
      <c r="AA689">
        <v>0</v>
      </c>
      <c r="AB689">
        <v>0</v>
      </c>
      <c r="AC689">
        <v>0</v>
      </c>
      <c r="AD689">
        <v>0</v>
      </c>
      <c r="AE689">
        <v>0</v>
      </c>
      <c r="AF689">
        <v>0</v>
      </c>
      <c r="AG689">
        <v>0</v>
      </c>
      <c r="AH689">
        <v>0</v>
      </c>
      <c r="AI689">
        <v>0</v>
      </c>
      <c r="AJ689">
        <v>0</v>
      </c>
      <c r="AK689">
        <v>0</v>
      </c>
      <c r="AL689">
        <v>1</v>
      </c>
      <c r="AM689">
        <v>0</v>
      </c>
      <c r="AN689">
        <v>0</v>
      </c>
      <c r="AO689">
        <v>0</v>
      </c>
      <c r="AP689">
        <v>0</v>
      </c>
      <c r="AQ689">
        <v>0</v>
      </c>
      <c r="AR689">
        <v>0</v>
      </c>
      <c r="AS689">
        <v>0</v>
      </c>
      <c r="AT689">
        <v>0</v>
      </c>
      <c r="AU689">
        <v>0</v>
      </c>
      <c r="AV689">
        <v>0</v>
      </c>
      <c r="AW689">
        <v>0</v>
      </c>
      <c r="AX689">
        <v>0</v>
      </c>
      <c r="AY689">
        <v>0</v>
      </c>
      <c r="AZ689" s="141">
        <f>COUNTIF(X689:AY689,"&lt;&gt;0")</f>
        <v>1</v>
      </c>
      <c r="BA689" s="141">
        <f>COUNTIF(X689:AN689,"&lt;&gt;0")</f>
        <v>1</v>
      </c>
      <c r="BB689">
        <f>COUNTIF(X689:AE689,"&lt;&gt;0")</f>
        <v>0</v>
      </c>
      <c r="BC689">
        <f>COUNTIF(AF689:AK689,"&lt;&gt;0")</f>
        <v>0</v>
      </c>
      <c r="BD689">
        <f>COUNTIF(AL689:AN689,"&lt;&gt;0")</f>
        <v>1</v>
      </c>
      <c r="BE689">
        <f>COUNTIF(AU689:AY689,"&lt;&gt;0")</f>
        <v>0</v>
      </c>
      <c r="BF689">
        <f>COUNTIF(AO689:AT689,"&lt;&gt;0")</f>
        <v>0</v>
      </c>
      <c r="BG689" t="str">
        <f t="array" ref="BG689">IF(BA689=1,INDEX($X$7:$AN$7,MATCH(TRUE,INDEX($X689:$AY689&lt;&gt;0,),0)),IF(BA689=0,INDEX($AO$7:$AY$7,MATCH(1,$AO689:$AY689,0)),IF(BH689="Multiple strategies","mixed drivers",IF(BH689="Supply chain","multiple supply","multiple silviculture"))))</f>
        <v>efficiency improvement</v>
      </c>
      <c r="BH689" s="2" t="str" cm="1">
        <f t="array" ref="BH689">IF(COUNTIF(BB689:BD689,"&lt;&gt;0")=1,INDEX($X$4:$AY$4,MATCH(TRUE,INDEX($X689:$AY689&lt;&gt;0,),0)),IF(COUNTIF(BB689:BD689,"&lt;&gt;0")=0,INDEX($AO$4:$AY$4,MATCH(1,$AO689:$AY689,0)),"Multiple strategies"))</f>
        <v>Technology</v>
      </c>
      <c r="BI689" s="142" t="s">
        <v>229</v>
      </c>
      <c r="BJ689" t="s">
        <v>933</v>
      </c>
      <c r="BK689" t="s">
        <v>954</v>
      </c>
      <c r="BL689" t="s">
        <v>498</v>
      </c>
      <c r="BM689">
        <v>1</v>
      </c>
      <c r="BN689" s="143">
        <v>1</v>
      </c>
      <c r="BO689">
        <f>IFERROR(BN689/BM689,"")</f>
        <v>1</v>
      </c>
      <c r="BP689">
        <f>BN689-BM689</f>
        <v>0</v>
      </c>
      <c r="BQ689" s="159">
        <v>1</v>
      </c>
      <c r="BR689" t="s">
        <v>232</v>
      </c>
      <c r="BS689" t="s">
        <v>955</v>
      </c>
      <c r="BT689" t="s">
        <v>935</v>
      </c>
      <c r="BU689">
        <v>0.8</v>
      </c>
      <c r="BV689">
        <v>0.8</v>
      </c>
      <c r="BW689" s="144"/>
      <c r="BX689">
        <v>0</v>
      </c>
      <c r="BZ689">
        <f>BX689*C_to_CO2</f>
        <v>0</v>
      </c>
      <c r="CA689">
        <f>IFERROR(BZ689/BQ689,"")</f>
        <v>0</v>
      </c>
      <c r="CB689">
        <v>0</v>
      </c>
      <c r="CC689">
        <v>0</v>
      </c>
      <c r="CD689">
        <v>0</v>
      </c>
      <c r="CE689">
        <v>0</v>
      </c>
      <c r="CF689">
        <v>0</v>
      </c>
      <c r="CG689">
        <v>0</v>
      </c>
      <c r="CH689">
        <v>0</v>
      </c>
      <c r="CI689">
        <v>0</v>
      </c>
      <c r="CJ689">
        <v>0</v>
      </c>
      <c r="CK689">
        <v>0</v>
      </c>
      <c r="CL689">
        <v>0</v>
      </c>
      <c r="CM689">
        <v>0</v>
      </c>
      <c r="CN689">
        <v>0</v>
      </c>
      <c r="CO689">
        <v>0</v>
      </c>
      <c r="CP689" t="str">
        <f>IF($BN689&lt;$BM689,"refNeedCorrection","refOK")</f>
        <v>refOK</v>
      </c>
      <c r="CQ689">
        <f>IF($CP689="refOK",$BM689,$BN689)</f>
        <v>1</v>
      </c>
      <c r="CR689">
        <f>IF($CP689="refOK",$BN689,$BM689)</f>
        <v>1</v>
      </c>
      <c r="CS689">
        <f>IF($CP689="refOK",$BQ689,-$BQ689)</f>
        <v>1</v>
      </c>
      <c r="CT689">
        <f>IF(BI689="Roundwood",$CS689/2,$CS689)</f>
        <v>1</v>
      </c>
      <c r="CU689">
        <f>IF($CP689="refOK",$BU689,$BV689)*IF($BR689="Emissions positive",-1,1)</f>
        <v>0.8</v>
      </c>
      <c r="CV689">
        <f>IF($CP689="refOK",$BV689,$BU689)*IF($BR689="Emissions positive",-1,1)</f>
        <v>0.8</v>
      </c>
      <c r="CW689">
        <f>IF($CP689="refNeedCorrection",-BZ689,BZ689)*IF($BR689="Emissions positive",-1,1)</f>
        <v>0</v>
      </c>
      <c r="CX689">
        <f>IFERROR($CW689/$CS689,"")</f>
        <v>0</v>
      </c>
      <c r="CY689">
        <f>IFERROR($CW689/$CS689,"")</f>
        <v>0</v>
      </c>
      <c r="CZ689">
        <f>IFERROR($CW689/$CT689,"")</f>
        <v>0</v>
      </c>
      <c r="DA689" s="2">
        <f>IFERROR((CV689-CU689)/ABS(CU689),"")</f>
        <v>0</v>
      </c>
      <c r="DB689" s="1" t="s">
        <v>263</v>
      </c>
      <c r="DC689" t="str">
        <f>IF(OR($DB689="prd",$DB689="std",$DB689="cit"),"loc",IF(OR($DB689="eur",$DB689="reg",$DB689="coy"),"reg",$DB689))</f>
        <v>loc</v>
      </c>
      <c r="DD689" t="s">
        <v>264</v>
      </c>
      <c r="DF689" s="143"/>
      <c r="DG689" s="143">
        <v>45</v>
      </c>
      <c r="DH689" t="str">
        <f>IF(DG689=0,"0",IF(AND(DG689&gt;=1,DG689&lt;=30),"1-30",IF(AND(DG689&gt;30,DG689&lt;=70),"31-70",IF(AND(DG689&gt;70,DG689&lt;=100),"71-100",IF(DG689&gt;100,"+100")))))</f>
        <v>31-70</v>
      </c>
      <c r="DI689">
        <v>0</v>
      </c>
      <c r="DJ689">
        <v>0</v>
      </c>
      <c r="DK689">
        <v>0</v>
      </c>
      <c r="DL689">
        <v>1</v>
      </c>
      <c r="DM689">
        <v>0</v>
      </c>
      <c r="DN689">
        <f>SUM(DI689:DL689)</f>
        <v>1</v>
      </c>
      <c r="DO689" t="str">
        <f>IF(DN689=1,INDEX($DI$7:$DL$7,MATCH(1,$DI689:$DL689,0)),"mixedProduct")</f>
        <v>TimberInput</v>
      </c>
      <c r="DP689">
        <f>IF(DI689=1,DP$7,0)</f>
        <v>0</v>
      </c>
      <c r="DQ689">
        <f>IF(DJ689=1,DQ$7,0)</f>
        <v>0</v>
      </c>
      <c r="DR689">
        <f>IF(DK689=1,DR$7,0)</f>
        <v>0</v>
      </c>
      <c r="DS689" t="str">
        <f>IF(DL689=1,DS$7,0)</f>
        <v>Timber</v>
      </c>
      <c r="DT689">
        <v>1</v>
      </c>
      <c r="DU689">
        <v>0</v>
      </c>
      <c r="DV689">
        <v>0</v>
      </c>
      <c r="DW689">
        <v>0</v>
      </c>
      <c r="DX689">
        <v>0</v>
      </c>
      <c r="DY689">
        <f>SUM(DT689:DU689)</f>
        <v>1</v>
      </c>
      <c r="DZ689" s="143" t="str">
        <f>IF(DT689=1,"self-calculated DF",IF(DU689=1,"external DF used","explicit C balance"))</f>
        <v>self-calculated DF</v>
      </c>
      <c r="EA689" s="143">
        <v>0</v>
      </c>
      <c r="EB689" s="143">
        <v>0</v>
      </c>
      <c r="EC689" s="143">
        <v>0</v>
      </c>
      <c r="ED689" s="143">
        <v>0</v>
      </c>
      <c r="EE689">
        <v>0</v>
      </c>
      <c r="EF689" s="143">
        <v>1</v>
      </c>
      <c r="EG689" s="143">
        <v>0</v>
      </c>
      <c r="EH689" s="143">
        <v>1</v>
      </c>
      <c r="EI689" s="143">
        <v>0</v>
      </c>
      <c r="EJ689">
        <v>0</v>
      </c>
      <c r="EK689">
        <v>0</v>
      </c>
      <c r="EL689" s="143">
        <v>0</v>
      </c>
      <c r="EM689" s="143">
        <v>0</v>
      </c>
      <c r="EN689" s="2">
        <v>0</v>
      </c>
      <c r="EP689" t="str">
        <f>IF(AND(AND(AND(OR($EC689=1,$EB689=1),OR($EH689=1,$EF689=1)),SUM($EA689:$EE689,$EK689)&gt;=3),SUM($EF689:$EJ689)&gt;=2),"Whole sector approach","")</f>
        <v/>
      </c>
      <c r="EQ689" t="str">
        <f>IF(AND(AND(OR($EC689=1,$EB689=1),AND($EH689=0,$EF689=0)),SUM($EA689:$EE689,$EK689)&gt;=4),"Ecosystem approach","")</f>
        <v/>
      </c>
      <c r="ER689" s="2" t="str">
        <f>IF(AND(AND(AND($EC689=0,$EB689=0),OR($EH689=1,$EF689=1)),SUM($EG689:$EJ689)&gt;=2),"Technology approach","")</f>
        <v/>
      </c>
      <c r="ES689" t="str">
        <f>IF(AND($EC689+$EB689+$EE689+$EA689+$ED689+$EG689=0,$N689="included"),"C neutral forest and HWP assumption","")</f>
        <v>C neutral forest and HWP assumption</v>
      </c>
      <c r="ET689" t="str">
        <f>IF(AND(AND(AND(AND($EC689=1,$EB689+$EA689+$EG689&gt;=1),$EF689=1),$EH689+$EI689+$ED689+$EE689&gt;=2),$N689="included"),"All C pools assumption","")</f>
        <v/>
      </c>
      <c r="EU689" t="str">
        <f>IF(AND($ED689+$EE689+$EI689+$EH689+$EF689=0,$N689="included"),"In-situ only assumption","")</f>
        <v/>
      </c>
      <c r="EY689" t="str">
        <f>IF(ISNUMBER(BW689),IF(ABS(BW689-[2]QC_indicators!$B$2)&gt;3*[2]QC_indicators!$C$2,"C ratio",IF(ISNUMBER(CA689),IF(ABS(CA689-[2]QC_indicators!$B$1)&gt;3*[2]QC_indicators!$C$1,"DF","no"))),IF(ISNUMBER(CA689),IF(ABS(CA689-[2]QC_indicators!$B$1)&gt;3*[2]QC_indicators!$C$1,"DF","no")))</f>
        <v>no</v>
      </c>
      <c r="FA689" t="str">
        <f>IF(LEN($CY689)=0,"",IF(AND($CY689&lt;(-0.05),$ES689="C neutral forest and HWP assumption"),"Cneutral paradox",IF(AND($CY689&gt;0.05,$EU689="In-situ only assumption"),"In-situ only paradox","")))</f>
        <v/>
      </c>
      <c r="FB689" t="s">
        <v>944</v>
      </c>
      <c r="FD689" s="260" t="s">
        <v>2887</v>
      </c>
    </row>
    <row r="690" spans="1:160" ht="15" hidden="1" customHeight="1">
      <c r="A690" s="1" t="s">
        <v>247</v>
      </c>
      <c r="B690" t="s">
        <v>628</v>
      </c>
      <c r="C690" t="s">
        <v>629</v>
      </c>
      <c r="D690" t="s">
        <v>630</v>
      </c>
      <c r="E690" t="s">
        <v>631</v>
      </c>
      <c r="F690" t="s">
        <v>632</v>
      </c>
      <c r="G690" t="s">
        <v>253</v>
      </c>
      <c r="H690" t="s">
        <v>254</v>
      </c>
      <c r="I690">
        <v>2014</v>
      </c>
      <c r="J690">
        <v>76</v>
      </c>
      <c r="K690" t="s">
        <v>633</v>
      </c>
      <c r="M690" t="str">
        <f>LEFT($D690,FIND(",",$D690)-1)&amp;"_"&amp;I690&amp;L690</f>
        <v>Dodoo_2014</v>
      </c>
      <c r="N690" t="s">
        <v>222</v>
      </c>
      <c r="O690" s="145" t="s">
        <v>223</v>
      </c>
      <c r="Q690" t="s">
        <v>256</v>
      </c>
      <c r="R690" s="251" t="s">
        <v>225</v>
      </c>
      <c r="S690" s="1" t="s">
        <v>634</v>
      </c>
      <c r="T690" t="s">
        <v>639</v>
      </c>
      <c r="U690" t="s">
        <v>641</v>
      </c>
      <c r="V690" s="253">
        <v>0</v>
      </c>
      <c r="W690" s="253">
        <v>0</v>
      </c>
      <c r="X690">
        <v>0</v>
      </c>
      <c r="Y690">
        <v>0</v>
      </c>
      <c r="Z690">
        <v>0</v>
      </c>
      <c r="AA690">
        <v>0</v>
      </c>
      <c r="AB690">
        <v>0</v>
      </c>
      <c r="AC690">
        <v>0</v>
      </c>
      <c r="AD690">
        <v>0</v>
      </c>
      <c r="AE690">
        <v>0</v>
      </c>
      <c r="AF690">
        <v>0</v>
      </c>
      <c r="AG690">
        <v>0</v>
      </c>
      <c r="AH690">
        <v>0</v>
      </c>
      <c r="AI690">
        <v>0</v>
      </c>
      <c r="AJ690">
        <v>0</v>
      </c>
      <c r="AK690">
        <v>0</v>
      </c>
      <c r="AL690">
        <v>0</v>
      </c>
      <c r="AM690">
        <v>1</v>
      </c>
      <c r="AN690">
        <v>0</v>
      </c>
      <c r="AO690">
        <v>0</v>
      </c>
      <c r="AP690">
        <v>0</v>
      </c>
      <c r="AQ690">
        <v>0</v>
      </c>
      <c r="AR690">
        <v>0</v>
      </c>
      <c r="AS690">
        <v>0</v>
      </c>
      <c r="AT690">
        <v>0</v>
      </c>
      <c r="AU690">
        <v>0</v>
      </c>
      <c r="AV690">
        <v>0</v>
      </c>
      <c r="AW690">
        <v>0</v>
      </c>
      <c r="AX690">
        <v>0</v>
      </c>
      <c r="AY690">
        <v>0</v>
      </c>
      <c r="AZ690" s="141">
        <f>COUNTIF(X690:AY690,"&lt;&gt;0")</f>
        <v>1</v>
      </c>
      <c r="BA690" s="141">
        <f>COUNTIF(X690:AN690,"&lt;&gt;0")</f>
        <v>1</v>
      </c>
      <c r="BB690">
        <f>COUNTIF(X690:AE690,"&lt;&gt;0")</f>
        <v>0</v>
      </c>
      <c r="BC690">
        <f>COUNTIF(AF690:AK690,"&lt;&gt;0")</f>
        <v>0</v>
      </c>
      <c r="BD690">
        <f>COUNTIF(AL690:AN690,"&lt;&gt;0")</f>
        <v>1</v>
      </c>
      <c r="BE690">
        <f>COUNTIF(AU690:AY690,"&lt;&gt;0")</f>
        <v>0</v>
      </c>
      <c r="BF690">
        <f>COUNTIF(AO690:AT690,"&lt;&gt;0")</f>
        <v>0</v>
      </c>
      <c r="BG690" t="str">
        <f t="array" ref="BG690">IF(BA690=1,INDEX($X$7:$AN$7,MATCH(TRUE,INDEX($X690:$AY690&lt;&gt;0,),0)),IF(BA690=0,INDEX($AO$7:$AY$7,MATCH(1,$AO690:$AY690,0)),IF(BH690="Multiple strategies","mixed drivers",IF(BH690="Supply chain","multiple supply","multiple silviculture"))))</f>
        <v>technologies/design switch</v>
      </c>
      <c r="BH690" s="2" t="str" cm="1">
        <f t="array" ref="BH690">IF(COUNTIF(BB690:BD690,"&lt;&gt;0")=1,INDEX($X$4:$AY$4,MATCH(TRUE,INDEX($X690:$AY690&lt;&gt;0,),0)),IF(COUNTIF(BB690:BD690,"&lt;&gt;0")=0,INDEX($AO$4:$AY$4,MATCH(1,$AO690:$AY690,0)),"Multiple strategies"))</f>
        <v>Technology</v>
      </c>
      <c r="BI690" s="1" t="s">
        <v>229</v>
      </c>
      <c r="BJ690" t="s">
        <v>637</v>
      </c>
      <c r="BK690" s="256" t="s">
        <v>2983</v>
      </c>
      <c r="BL690" t="s">
        <v>638</v>
      </c>
      <c r="BM690" s="256">
        <f>55+21+10+5+5</f>
        <v>96</v>
      </c>
      <c r="BN690" s="256">
        <v>141</v>
      </c>
      <c r="BP690">
        <f>BN690-BM690</f>
        <v>45</v>
      </c>
      <c r="BQ690">
        <f>BP690*t_to_m3</f>
        <v>91.83673469387756</v>
      </c>
      <c r="BR690" t="s">
        <v>232</v>
      </c>
      <c r="BS690" s="360" t="s">
        <v>2984</v>
      </c>
      <c r="BT690" t="s">
        <v>262</v>
      </c>
      <c r="BU690">
        <v>-145</v>
      </c>
      <c r="BV690">
        <v>-133</v>
      </c>
      <c r="BW690" s="144">
        <v>0.91724137931034477</v>
      </c>
      <c r="BX690">
        <v>12</v>
      </c>
      <c r="BZ690">
        <f>BX690/1000</f>
        <v>1.2E-2</v>
      </c>
      <c r="CA690">
        <f>IFERROR(BZ690/BQ690,"")</f>
        <v>1.3066666666666665E-4</v>
      </c>
      <c r="CB690">
        <v>0</v>
      </c>
      <c r="CC690">
        <v>0</v>
      </c>
      <c r="CD690">
        <v>0</v>
      </c>
      <c r="CE690">
        <v>0</v>
      </c>
      <c r="CF690">
        <v>0</v>
      </c>
      <c r="CG690">
        <v>0</v>
      </c>
      <c r="CH690">
        <v>0</v>
      </c>
      <c r="CI690">
        <v>0</v>
      </c>
      <c r="CJ690">
        <v>0</v>
      </c>
      <c r="CK690">
        <v>0</v>
      </c>
      <c r="CL690">
        <v>0</v>
      </c>
      <c r="CM690">
        <v>0</v>
      </c>
      <c r="CN690">
        <v>0</v>
      </c>
      <c r="CO690">
        <v>0</v>
      </c>
      <c r="CP690" t="str">
        <f>IF($BN690&lt;$BM690,"refNeedCorrection","refOK")</f>
        <v>refOK</v>
      </c>
      <c r="CQ690">
        <f>IF($CP690="refOK",$BM690,$BN690)</f>
        <v>96</v>
      </c>
      <c r="CR690">
        <f>IF($CP690="refOK",$BN690,$BM690)</f>
        <v>141</v>
      </c>
      <c r="CS690">
        <f>IF($CP690="refOK",$BQ690,-$BQ690)</f>
        <v>91.83673469387756</v>
      </c>
      <c r="CT690">
        <f>IF(BI690="Roundwood",$CS690/2,$CS690)</f>
        <v>91.83673469387756</v>
      </c>
      <c r="CU690">
        <f>IF($CP690="refOK",$BU690,$BV690)*IF($BR690="Emissions positive",-1,1)</f>
        <v>-145</v>
      </c>
      <c r="CV690">
        <f>IF($CP690="refOK",$BV690,$BU690)*IF($BR690="Emissions positive",-1,1)</f>
        <v>-133</v>
      </c>
      <c r="CW690">
        <f>IF($CP690="refNeedCorrection",-BZ690,BZ690)*IF($BR690="Emissions positive",-1,1)</f>
        <v>1.2E-2</v>
      </c>
      <c r="CX690">
        <f>IFERROR($CW690/$CS690,"")</f>
        <v>1.3066666666666665E-4</v>
      </c>
      <c r="CY690">
        <f>IFERROR($CW690/$CS690,"")</f>
        <v>1.3066666666666665E-4</v>
      </c>
      <c r="CZ690">
        <f>IFERROR($CW690/$CT690,"")</f>
        <v>1.3066666666666665E-4</v>
      </c>
      <c r="DA690" s="2">
        <f>IFERROR((CV690-CU690)/ABS(CU690),"")</f>
        <v>8.2758620689655171E-2</v>
      </c>
      <c r="DB690" s="1" t="s">
        <v>263</v>
      </c>
      <c r="DC690" t="str">
        <f>IF(OR($DB690="prd",$DB690="std",$DB690="cit"),"loc",IF(OR($DB690="eur",$DB690="reg",$DB690="coy"),"reg",$DB690))</f>
        <v>loc</v>
      </c>
      <c r="DD690" t="s">
        <v>444</v>
      </c>
      <c r="DG690">
        <v>50</v>
      </c>
      <c r="DH690" t="str">
        <f>IF(DG690=0,"0",IF(AND(DG690&gt;=1,DG690&lt;=30),"1-30",IF(AND(DG690&gt;30,DG690&lt;=70),"31-70",IF(AND(DG690&gt;70,DG690&lt;=100),"71-100",IF(DG690&gt;100,"+100")))))</f>
        <v>31-70</v>
      </c>
      <c r="DI690">
        <v>0</v>
      </c>
      <c r="DJ690">
        <v>0</v>
      </c>
      <c r="DK690">
        <v>0</v>
      </c>
      <c r="DL690">
        <v>1</v>
      </c>
      <c r="DN690">
        <f>SUM(DI690:DL690)</f>
        <v>1</v>
      </c>
      <c r="DO690" t="str">
        <f>IF(DN690=1,INDEX($DI$7:$DL$7,MATCH(1,$DI690:$DL690,0)),"mixedProduct")</f>
        <v>TimberInput</v>
      </c>
      <c r="DP690">
        <f>IF(DI690=1,DP$7,0)</f>
        <v>0</v>
      </c>
      <c r="DQ690">
        <f>IF(DJ690=1,DQ$7,0)</f>
        <v>0</v>
      </c>
      <c r="DR690">
        <f>IF(DK690=1,DR$7,0)</f>
        <v>0</v>
      </c>
      <c r="DS690" t="str">
        <f>IF(DL690=1,DS$7,0)</f>
        <v>Timber</v>
      </c>
      <c r="DT690">
        <v>0</v>
      </c>
      <c r="DU690">
        <v>0</v>
      </c>
      <c r="DV690">
        <v>0</v>
      </c>
      <c r="DW690">
        <v>0</v>
      </c>
      <c r="DX690">
        <v>0</v>
      </c>
      <c r="DY690">
        <f>SUM(DT690:DU690)</f>
        <v>0</v>
      </c>
      <c r="DZ690" s="143" t="str">
        <f>IF(DT690=1,"self-calculated DF",IF(DU690=1,"external DF used","explicit C balance"))</f>
        <v>explicit C balance</v>
      </c>
      <c r="EA690">
        <v>0</v>
      </c>
      <c r="EB690">
        <v>0</v>
      </c>
      <c r="EC690">
        <v>0</v>
      </c>
      <c r="ED690">
        <v>0</v>
      </c>
      <c r="EE690">
        <v>0</v>
      </c>
      <c r="EF690" s="143">
        <v>0</v>
      </c>
      <c r="EG690">
        <v>0</v>
      </c>
      <c r="EH690">
        <v>1</v>
      </c>
      <c r="EI690">
        <v>0</v>
      </c>
      <c r="EJ690">
        <v>0</v>
      </c>
      <c r="EK690">
        <v>0</v>
      </c>
      <c r="EL690">
        <v>0</v>
      </c>
      <c r="EM690">
        <v>0</v>
      </c>
      <c r="EN690" s="2">
        <v>0</v>
      </c>
      <c r="EP690" t="str">
        <f>IF(AND(AND(AND(OR($EC690=1,$EB690=1),OR($EH690=1,$EF690=1)),SUM($EA690:$EE690,$EK690)&gt;=3),SUM($EF690:$EJ690)&gt;=2),"Whole sector approach","")</f>
        <v/>
      </c>
      <c r="EQ690" t="str">
        <f>IF(AND(AND(OR($EC690=1,$EB690=1),AND($EH690=0,$EF690=0)),SUM($EA690:$EE690,$EK690)&gt;=4),"Ecosystem approach","")</f>
        <v/>
      </c>
      <c r="ER690" s="2" t="str">
        <f>IF(AND(AND(AND($EC690=0,$EB690=0),OR($EH690=1,$EF690=1)),SUM($EG690:$EJ690)&gt;=2),"Technology approach","")</f>
        <v/>
      </c>
      <c r="ES690" t="str">
        <f>IF(AND($EC690+$EB690+$EE690+$EA690+$ED690+$EG690=0,$N690="included"),"C neutral forest and HWP assumption","")</f>
        <v>C neutral forest and HWP assumption</v>
      </c>
      <c r="ET690" t="str">
        <f>IF(AND(AND(AND(AND($EC690=1,$EB690+$EA690+$EG690&gt;=1),$EF690=1),$EH690+$EI690+$ED690+$EE690&gt;=2),$N690="included"),"All C pools assumption","")</f>
        <v/>
      </c>
      <c r="EU690" t="str">
        <f>IF(AND($ED690+$EE690+$EI690+$EH690+$EF690=0,$N690="included"),"In-situ only assumption","")</f>
        <v/>
      </c>
      <c r="EY690" t="str">
        <f>IF(ISNUMBER(BW690),IF(ABS(BW690-[6]QC_indicators!$B$2)&gt;3*[6]QC_indicators!$C$2,"C ratio",IF(ISNUMBER(CA690),IF(ABS(CA690-[6]QC_indicators!$B$1)&gt;3*[6]QC_indicators!$C$1,"DF","no"))),IF(ISNUMBER(CA690),IF(ABS(CA690-[6]QC_indicators!$B$1)&gt;3*[6]QC_indicators!$C$1,"DF","no")))</f>
        <v>no</v>
      </c>
      <c r="FA690" t="str">
        <f>IF(LEN($CY690)=0,"",IF(AND($CY690&lt;(-0.05),$ES690="C neutral forest and HWP assumption"),"Cneutral paradox",IF(AND($CY690&gt;0.05,$EU690="In-situ only assumption"),"In-situ only paradox","")))</f>
        <v/>
      </c>
      <c r="FB690" s="149" t="s">
        <v>349</v>
      </c>
      <c r="FD690" s="260" t="s">
        <v>2948</v>
      </c>
    </row>
    <row r="691" spans="1:160" ht="15" hidden="1" customHeight="1">
      <c r="A691" s="1" t="s">
        <v>794</v>
      </c>
      <c r="B691" t="s">
        <v>795</v>
      </c>
      <c r="C691" t="s">
        <v>796</v>
      </c>
      <c r="D691" t="s">
        <v>797</v>
      </c>
      <c r="E691" t="s">
        <v>798</v>
      </c>
      <c r="F691" t="s">
        <v>799</v>
      </c>
      <c r="G691" t="s">
        <v>180</v>
      </c>
      <c r="H691" t="s">
        <v>254</v>
      </c>
      <c r="I691">
        <v>2018</v>
      </c>
      <c r="J691">
        <v>14</v>
      </c>
      <c r="K691" t="s">
        <v>800</v>
      </c>
      <c r="M691" t="str">
        <f>LEFT($D691,FIND(",",$D691)-1)&amp;"_"&amp;I691&amp;L691</f>
        <v>Karlsson_2018</v>
      </c>
      <c r="N691" t="s">
        <v>222</v>
      </c>
      <c r="O691" s="145" t="s">
        <v>508</v>
      </c>
      <c r="Q691" t="s">
        <v>256</v>
      </c>
      <c r="R691" s="258" t="s">
        <v>223</v>
      </c>
      <c r="S691" s="1" t="s">
        <v>801</v>
      </c>
      <c r="T691" t="s">
        <v>802</v>
      </c>
      <c r="U691" t="s">
        <v>803</v>
      </c>
      <c r="V691" s="253">
        <v>0</v>
      </c>
      <c r="W691" s="253">
        <v>0</v>
      </c>
      <c r="X691">
        <v>0</v>
      </c>
      <c r="Y691">
        <v>0</v>
      </c>
      <c r="Z691">
        <v>0</v>
      </c>
      <c r="AA691">
        <v>0</v>
      </c>
      <c r="AB691">
        <v>0</v>
      </c>
      <c r="AC691">
        <v>0</v>
      </c>
      <c r="AD691">
        <v>0</v>
      </c>
      <c r="AE691">
        <v>0</v>
      </c>
      <c r="AF691">
        <v>0</v>
      </c>
      <c r="AG691">
        <v>0</v>
      </c>
      <c r="AH691">
        <v>1</v>
      </c>
      <c r="AI691">
        <v>0</v>
      </c>
      <c r="AJ691">
        <v>0</v>
      </c>
      <c r="AK691">
        <v>0</v>
      </c>
      <c r="AL691">
        <v>0</v>
      </c>
      <c r="AM691">
        <v>0</v>
      </c>
      <c r="AN691">
        <v>0</v>
      </c>
      <c r="AO691">
        <v>0</v>
      </c>
      <c r="AP691">
        <v>0</v>
      </c>
      <c r="AQ691">
        <v>0</v>
      </c>
      <c r="AR691">
        <v>0</v>
      </c>
      <c r="AS691">
        <v>0</v>
      </c>
      <c r="AT691">
        <v>0</v>
      </c>
      <c r="AU691">
        <v>0</v>
      </c>
      <c r="AV691">
        <v>0</v>
      </c>
      <c r="AW691">
        <v>0</v>
      </c>
      <c r="AX691">
        <v>0</v>
      </c>
      <c r="AY691">
        <v>0</v>
      </c>
      <c r="AZ691" s="141">
        <f>COUNTIF(X691:AY691,"&lt;&gt;0")</f>
        <v>1</v>
      </c>
      <c r="BA691" s="141">
        <f>COUNTIF(X691:AN691,"&lt;&gt;0")</f>
        <v>1</v>
      </c>
      <c r="BB691">
        <f>COUNTIF(X691:AE691,"&lt;&gt;0")</f>
        <v>0</v>
      </c>
      <c r="BC691">
        <f>COUNTIF(AF691:AK691,"&lt;&gt;0")</f>
        <v>1</v>
      </c>
      <c r="BD691">
        <f>COUNTIF(AL691:AN691,"&lt;&gt;0")</f>
        <v>0</v>
      </c>
      <c r="BE691">
        <f>COUNTIF(AU691:AY691,"&lt;&gt;0")</f>
        <v>0</v>
      </c>
      <c r="BF691">
        <f>COUNTIF(AO691:AT691,"&lt;&gt;0")</f>
        <v>0</v>
      </c>
      <c r="BG691" t="str">
        <f t="array" ref="BG691">IF(BA691=1,INDEX($X$7:$AN$7,MATCH(TRUE,INDEX($X691:$AY691&lt;&gt;0,),0)),IF(BA691=0,INDEX($AO$7:$AY$7,MATCH(1,$AO691:$AY691,0)),IF(BH691="Multiple strategies","mixed drivers",IF(BH691="Supply chain","multiple supply","multiple silviculture"))))</f>
        <v>supply chain organization</v>
      </c>
      <c r="BH691" s="2" t="str" cm="1">
        <f t="array" ref="BH691">IF(COUNTIF(BB691:BD691,"&lt;&gt;0")=1,INDEX($X$4:$AY$4,MATCH(TRUE,INDEX($X691:$AY691&lt;&gt;0,),0)),IF(COUNTIF(BB691:BD691,"&lt;&gt;0")=0,INDEX($AO$4:$AY$4,MATCH(1,$AO691:$AY691,0)),"Multiple strategies"))</f>
        <v>Supply chain</v>
      </c>
      <c r="BI691" s="1" t="s">
        <v>229</v>
      </c>
      <c r="BJ691" t="s">
        <v>804</v>
      </c>
      <c r="BK691" s="260" t="s">
        <v>2818</v>
      </c>
      <c r="BL691" t="s">
        <v>638</v>
      </c>
      <c r="BM691">
        <v>0</v>
      </c>
      <c r="BN691">
        <v>15410</v>
      </c>
      <c r="BP691">
        <f>BN691-BM691</f>
        <v>15410</v>
      </c>
      <c r="BQ691">
        <f>BP691*t_to_m3</f>
        <v>31448.979591836734</v>
      </c>
      <c r="BR691" t="s">
        <v>232</v>
      </c>
      <c r="BS691" s="153" t="s">
        <v>767</v>
      </c>
      <c r="BT691" s="260" t="s">
        <v>397</v>
      </c>
      <c r="BU691">
        <v>-58800</v>
      </c>
      <c r="BV691">
        <v>-50300</v>
      </c>
      <c r="BW691" s="144">
        <f>IFERROR(BV691/BU691,"")</f>
        <v>0.85544217687074831</v>
      </c>
      <c r="BX691">
        <f>BV691-BU691</f>
        <v>8500</v>
      </c>
      <c r="BZ691">
        <f>BX691/10^3</f>
        <v>8.5</v>
      </c>
      <c r="CA691">
        <f>IFERROR(BZ691/BQ691,"")</f>
        <v>2.7027903958468525E-4</v>
      </c>
      <c r="CB691">
        <v>0</v>
      </c>
      <c r="CC691">
        <v>0</v>
      </c>
      <c r="CD691">
        <v>0</v>
      </c>
      <c r="CE691">
        <v>0</v>
      </c>
      <c r="CF691">
        <v>0</v>
      </c>
      <c r="CG691">
        <v>0</v>
      </c>
      <c r="CH691">
        <v>0</v>
      </c>
      <c r="CI691">
        <v>0</v>
      </c>
      <c r="CJ691">
        <v>0</v>
      </c>
      <c r="CK691">
        <v>0</v>
      </c>
      <c r="CL691">
        <v>0</v>
      </c>
      <c r="CM691">
        <v>0</v>
      </c>
      <c r="CN691">
        <v>0</v>
      </c>
      <c r="CO691">
        <v>0</v>
      </c>
      <c r="CP691" t="str">
        <f>IF($BN691&lt;$BM691,"refNeedCorrection","refOK")</f>
        <v>refOK</v>
      </c>
      <c r="CQ691">
        <f>IF($CP691="refNeedCorrection",BN691,BM691)</f>
        <v>0</v>
      </c>
      <c r="CR691">
        <f>IF($CP691="refNeedCorrection",BM691,BN691)</f>
        <v>15410</v>
      </c>
      <c r="CS691">
        <f>IF($CP691="refOK",$BQ691,-$BQ691)</f>
        <v>31448.979591836734</v>
      </c>
      <c r="CT691">
        <f>IF(BI691="Roundwood",$CS691/2,$CS691)</f>
        <v>31448.979591836734</v>
      </c>
      <c r="CU691">
        <f>IF($CP691="refOK",$BU691,$BV691)*IF($BR691="Emissions positive",-1,1)</f>
        <v>-58800</v>
      </c>
      <c r="CV691">
        <f>IF($CP691="refOK",$BV691,$BU691)*IF($BR691="Emissions positive",-1,1)</f>
        <v>-50300</v>
      </c>
      <c r="CW691">
        <f>IF($CP691="refNeedCorrection",-BZ691,BZ691)*IF($BR691="Emissions positive",-1,1)</f>
        <v>8.5</v>
      </c>
      <c r="CX691">
        <f>IFERROR($CW691/$CS691,"")</f>
        <v>2.7027903958468525E-4</v>
      </c>
      <c r="CY691">
        <f>IFERROR($CW691/$CS691,"")</f>
        <v>2.7027903958468525E-4</v>
      </c>
      <c r="CZ691">
        <f>IFERROR($CW691/$CT691,"")</f>
        <v>2.7027903958468525E-4</v>
      </c>
      <c r="DA691" s="2">
        <f>IFERROR((CV691-CU691)/ABS(CU691),"")</f>
        <v>0.14455782312925169</v>
      </c>
      <c r="DB691" s="1" t="s">
        <v>347</v>
      </c>
      <c r="DC691" t="str">
        <f>IF(OR($DB691="prd",$DB691="std",$DB691="cit"),"loc",IF(OR($DB691="eur",$DB691="reg",$DB691="coy"),"reg",$DB691))</f>
        <v>loc</v>
      </c>
      <c r="DD691" t="s">
        <v>444</v>
      </c>
      <c r="DG691">
        <v>0</v>
      </c>
      <c r="DH691" t="str">
        <f>IF(DG691=0,"0",IF(AND(DG691&gt;=1,DG691&lt;=30),"1-30",IF(AND(DG691&gt;30,DG691&lt;=70),"31-70",IF(AND(DG691&gt;70,DG691&lt;=100),"71-100",IF(DG691&gt;100,"+100")))))</f>
        <v>0</v>
      </c>
      <c r="DI691">
        <v>0</v>
      </c>
      <c r="DJ691">
        <v>1</v>
      </c>
      <c r="DK691">
        <v>0</v>
      </c>
      <c r="DL691">
        <v>0</v>
      </c>
      <c r="DM691">
        <v>1</v>
      </c>
      <c r="DN691">
        <f>SUM(DI691:DL691)</f>
        <v>1</v>
      </c>
      <c r="DO691" t="str">
        <f>IF(DN691=1,INDEX($DI$7:$DL$7,MATCH(1,$DI691:$DL691,0)),"mixedProduct")</f>
        <v>EnergyInput</v>
      </c>
      <c r="DP691">
        <f>IF(DI691=1,DP$7,0)</f>
        <v>0</v>
      </c>
      <c r="DQ691" t="str">
        <f>IF(DJ691=1,DQ$7,0)</f>
        <v>Energy</v>
      </c>
      <c r="DR691">
        <f>IF(DK691=1,DR$7,0)</f>
        <v>0</v>
      </c>
      <c r="DS691">
        <f>IF(DL691=1,DS$7,0)</f>
        <v>0</v>
      </c>
      <c r="DT691">
        <v>0</v>
      </c>
      <c r="DU691">
        <v>0</v>
      </c>
      <c r="DV691">
        <v>0</v>
      </c>
      <c r="DW691">
        <v>0</v>
      </c>
      <c r="DX691">
        <v>0</v>
      </c>
      <c r="DY691">
        <f>SUM(DT691:DU691)</f>
        <v>0</v>
      </c>
      <c r="DZ691" s="143" t="str">
        <f>IF(DT691=1,"self-calculated DF",IF(DU691=1,"external DF used","explicit C balance"))</f>
        <v>explicit C balance</v>
      </c>
      <c r="EA691">
        <v>0</v>
      </c>
      <c r="EB691">
        <v>0</v>
      </c>
      <c r="EC691">
        <v>0</v>
      </c>
      <c r="ED691">
        <v>0</v>
      </c>
      <c r="EE691">
        <v>0</v>
      </c>
      <c r="EF691" s="143">
        <v>0</v>
      </c>
      <c r="EG691">
        <v>0</v>
      </c>
      <c r="EH691">
        <v>1</v>
      </c>
      <c r="EI691">
        <v>0</v>
      </c>
      <c r="EJ691">
        <v>1</v>
      </c>
      <c r="EK691">
        <v>0</v>
      </c>
      <c r="EL691">
        <v>0</v>
      </c>
      <c r="EM691">
        <v>0</v>
      </c>
      <c r="EN691" s="2">
        <v>0</v>
      </c>
      <c r="EP691" t="str">
        <f>IF(AND(AND(AND(OR($EC691=1,$EB691=1),OR($EH691=1,$EF691=1)),SUM($EA691:$EE691,$EK691)&gt;=3),SUM($EF691:$EJ691)&gt;=2),"Whole sector approach","")</f>
        <v/>
      </c>
      <c r="EQ691" t="str">
        <f>IF(AND(AND(OR($EC691=1,$EB691=1),AND($EH691=0,$EF691=0)),SUM($EA691:$EE691,$EK691)&gt;=4),"Ecosystem approach","")</f>
        <v/>
      </c>
      <c r="ER691" s="2" t="str">
        <f>IF(AND(AND(AND($EC691=0,$EB691=0),OR($EH691=1,$EF691=1)),SUM($EG691:$EJ691)&gt;=2),"Technology approach","")</f>
        <v>Technology approach</v>
      </c>
      <c r="ES691" t="str">
        <f>IF(AND($EC691+$EB691+$EE691+$EA691+$ED691+$EG691=0,$N691="included"),"C neutral forest and HWP assumption","")</f>
        <v>C neutral forest and HWP assumption</v>
      </c>
      <c r="ET691" t="str">
        <f>IF(AND(AND(AND(AND($EC691=1,$EB691+$EA691+$EG691&gt;=1),$EF691=1),$EH691+$EI691+$ED691+$EE691&gt;=2),$N691="included"),"All C pools assumption","")</f>
        <v/>
      </c>
      <c r="EU691" t="str">
        <f>IF(AND($ED691+$EE691+$EI691+$EH691+$EF691=0,$N691="included"),"In-situ only assumption","")</f>
        <v/>
      </c>
      <c r="EY691" t="str">
        <f>IF(ISNUMBER(BW691),IF(ABS(BW691-[2]QC_indicators!$B$2)&gt;3*[2]QC_indicators!$C$2,"C ratio",IF(ISNUMBER(CA691),IF(ABS(CA691-[2]QC_indicators!$B$1)&gt;3*[2]QC_indicators!$C$1,"DF","no"))),IF(ISNUMBER(CA691),IF(ABS(CA691-[2]QC_indicators!$B$1)&gt;3*[2]QC_indicators!$C$1,"DF","no")))</f>
        <v>no</v>
      </c>
      <c r="FA691" t="str">
        <f>IF(LEN($CY691)=0,"",IF(AND($CY691&lt;(-0.05),$ES691="C neutral forest and HWP assumption"),"Cneutral paradox",IF(AND($CY691&gt;0.05,$EU691="In-situ only assumption"),"In-situ only paradox","")))</f>
        <v/>
      </c>
      <c r="FD691" s="260" t="s">
        <v>2819</v>
      </c>
    </row>
    <row r="692" spans="1:160" ht="15" hidden="1" customHeight="1">
      <c r="A692" s="1" t="s">
        <v>247</v>
      </c>
      <c r="B692" t="s">
        <v>628</v>
      </c>
      <c r="C692" t="s">
        <v>629</v>
      </c>
      <c r="D692" t="s">
        <v>630</v>
      </c>
      <c r="E692" t="s">
        <v>631</v>
      </c>
      <c r="F692" t="s">
        <v>632</v>
      </c>
      <c r="G692" t="s">
        <v>253</v>
      </c>
      <c r="H692" t="s">
        <v>254</v>
      </c>
      <c r="I692">
        <v>2014</v>
      </c>
      <c r="J692">
        <v>76</v>
      </c>
      <c r="K692" t="s">
        <v>633</v>
      </c>
      <c r="M692" t="str">
        <f>LEFT($D692,FIND(",",$D692)-1)&amp;"_"&amp;I692&amp;L692</f>
        <v>Dodoo_2014</v>
      </c>
      <c r="N692" t="s">
        <v>222</v>
      </c>
      <c r="O692" s="145" t="s">
        <v>223</v>
      </c>
      <c r="Q692" t="s">
        <v>256</v>
      </c>
      <c r="R692" s="251" t="s">
        <v>225</v>
      </c>
      <c r="S692" s="1" t="s">
        <v>634</v>
      </c>
      <c r="T692" t="s">
        <v>635</v>
      </c>
      <c r="U692" t="s">
        <v>642</v>
      </c>
      <c r="V692" s="253">
        <v>0</v>
      </c>
      <c r="W692" s="253">
        <v>0</v>
      </c>
      <c r="X692">
        <v>0</v>
      </c>
      <c r="Y692">
        <v>0</v>
      </c>
      <c r="Z692">
        <v>0</v>
      </c>
      <c r="AA692">
        <v>0</v>
      </c>
      <c r="AB692">
        <v>0</v>
      </c>
      <c r="AC692">
        <v>0</v>
      </c>
      <c r="AD692">
        <v>0</v>
      </c>
      <c r="AE692">
        <v>0</v>
      </c>
      <c r="AF692">
        <v>0</v>
      </c>
      <c r="AG692">
        <v>0</v>
      </c>
      <c r="AH692">
        <v>0</v>
      </c>
      <c r="AI692">
        <v>0</v>
      </c>
      <c r="AJ692">
        <v>0</v>
      </c>
      <c r="AK692">
        <v>0</v>
      </c>
      <c r="AL692">
        <v>0</v>
      </c>
      <c r="AM692">
        <v>1</v>
      </c>
      <c r="AN692">
        <v>0</v>
      </c>
      <c r="AO692">
        <v>0</v>
      </c>
      <c r="AP692">
        <v>0</v>
      </c>
      <c r="AQ692">
        <v>0</v>
      </c>
      <c r="AR692">
        <v>0</v>
      </c>
      <c r="AS692">
        <v>0</v>
      </c>
      <c r="AT692">
        <v>0</v>
      </c>
      <c r="AU692">
        <v>0</v>
      </c>
      <c r="AV692">
        <v>0</v>
      </c>
      <c r="AW692">
        <v>0</v>
      </c>
      <c r="AX692">
        <v>0</v>
      </c>
      <c r="AY692">
        <v>0</v>
      </c>
      <c r="AZ692" s="141">
        <f>COUNTIF(X692:AY692,"&lt;&gt;0")</f>
        <v>1</v>
      </c>
      <c r="BA692" s="141">
        <f>COUNTIF(X692:AN692,"&lt;&gt;0")</f>
        <v>1</v>
      </c>
      <c r="BB692">
        <f>COUNTIF(X692:AE692,"&lt;&gt;0")</f>
        <v>0</v>
      </c>
      <c r="BC692">
        <f>COUNTIF(AF692:AK692,"&lt;&gt;0")</f>
        <v>0</v>
      </c>
      <c r="BD692">
        <f>COUNTIF(AL692:AN692,"&lt;&gt;0")</f>
        <v>1</v>
      </c>
      <c r="BE692">
        <f>COUNTIF(AU692:AY692,"&lt;&gt;0")</f>
        <v>0</v>
      </c>
      <c r="BF692">
        <f>COUNTIF(AO692:AT692,"&lt;&gt;0")</f>
        <v>0</v>
      </c>
      <c r="BG692" t="str">
        <f t="array" ref="BG692">IF(BA692=1,INDEX($X$7:$AN$7,MATCH(TRUE,INDEX($X692:$AY692&lt;&gt;0,),0)),IF(BA692=0,INDEX($AO$7:$AY$7,MATCH(1,$AO692:$AY692,0)),IF(BH692="Multiple strategies","mixed drivers",IF(BH692="Supply chain","multiple supply","multiple silviculture"))))</f>
        <v>technologies/design switch</v>
      </c>
      <c r="BH692" s="2" t="str" cm="1">
        <f t="array" ref="BH692">IF(COUNTIF(BB692:BD692,"&lt;&gt;0")=1,INDEX($X$4:$AY$4,MATCH(TRUE,INDEX($X692:$AY692&lt;&gt;0,),0)),IF(COUNTIF(BB692:BD692,"&lt;&gt;0")=0,INDEX($AO$4:$AY$4,MATCH(1,$AO692:$AY692,0)),"Multiple strategies"))</f>
        <v>Technology</v>
      </c>
      <c r="BI692" s="1" t="s">
        <v>229</v>
      </c>
      <c r="BJ692" t="s">
        <v>637</v>
      </c>
      <c r="BK692" s="256" t="s">
        <v>2983</v>
      </c>
      <c r="BL692" t="s">
        <v>638</v>
      </c>
      <c r="BM692" s="256">
        <f>55+21+10+5+5</f>
        <v>96</v>
      </c>
      <c r="BN692" s="256">
        <v>129.6</v>
      </c>
      <c r="BP692">
        <f>BN692-BM692</f>
        <v>33.599999999999994</v>
      </c>
      <c r="BQ692">
        <f>BP692*t_to_m3</f>
        <v>68.571428571428555</v>
      </c>
      <c r="BR692" t="s">
        <v>232</v>
      </c>
      <c r="BS692" s="360" t="s">
        <v>2984</v>
      </c>
      <c r="BT692" t="s">
        <v>262</v>
      </c>
      <c r="BU692">
        <v>-139</v>
      </c>
      <c r="BV692">
        <v>-120</v>
      </c>
      <c r="BW692" s="144">
        <v>0.86330935251798557</v>
      </c>
      <c r="BX692">
        <v>19</v>
      </c>
      <c r="BZ692">
        <f>BX692/1000</f>
        <v>1.9E-2</v>
      </c>
      <c r="CA692">
        <f>IFERROR(BZ692/BQ692,"")</f>
        <v>2.7708333333333339E-4</v>
      </c>
      <c r="CB692">
        <v>0</v>
      </c>
      <c r="CC692">
        <v>0</v>
      </c>
      <c r="CD692">
        <v>0</v>
      </c>
      <c r="CE692">
        <v>0</v>
      </c>
      <c r="CF692">
        <v>0</v>
      </c>
      <c r="CG692">
        <v>0</v>
      </c>
      <c r="CH692">
        <v>0</v>
      </c>
      <c r="CI692">
        <v>0</v>
      </c>
      <c r="CJ692">
        <v>0</v>
      </c>
      <c r="CK692">
        <v>0</v>
      </c>
      <c r="CL692">
        <v>0</v>
      </c>
      <c r="CM692">
        <v>0</v>
      </c>
      <c r="CN692">
        <v>0</v>
      </c>
      <c r="CO692">
        <v>0</v>
      </c>
      <c r="CP692" t="str">
        <f>IF($BN692&lt;$BM692,"refNeedCorrection","refOK")</f>
        <v>refOK</v>
      </c>
      <c r="CQ692">
        <f>IF($CP692="refOK",$BM692,$BN692)</f>
        <v>96</v>
      </c>
      <c r="CR692">
        <f>IF($CP692="refOK",$BN692,$BM692)</f>
        <v>129.6</v>
      </c>
      <c r="CS692">
        <f>IF($CP692="refOK",$BQ692,-$BQ692)</f>
        <v>68.571428571428555</v>
      </c>
      <c r="CT692">
        <f>IF(BI692="Roundwood",$CS692/2,$CS692)</f>
        <v>68.571428571428555</v>
      </c>
      <c r="CU692">
        <f>IF($CP692="refOK",$BU692,$BV692)*IF($BR692="Emissions positive",-1,1)</f>
        <v>-139</v>
      </c>
      <c r="CV692">
        <f>IF($CP692="refOK",$BV692,$BU692)*IF($BR692="Emissions positive",-1,1)</f>
        <v>-120</v>
      </c>
      <c r="CW692">
        <f>IF($CP692="refNeedCorrection",-BZ692,BZ692)*IF($BR692="Emissions positive",-1,1)</f>
        <v>1.9E-2</v>
      </c>
      <c r="CX692">
        <f>IFERROR($CW692/$CS692,"")</f>
        <v>2.7708333333333339E-4</v>
      </c>
      <c r="CY692">
        <f>IFERROR($CW692/$CS692,"")</f>
        <v>2.7708333333333339E-4</v>
      </c>
      <c r="CZ692">
        <f>IFERROR($CW692/$CT692,"")</f>
        <v>2.7708333333333339E-4</v>
      </c>
      <c r="DA692" s="2">
        <f>IFERROR((CV692-CU692)/ABS(CU692),"")</f>
        <v>0.1366906474820144</v>
      </c>
      <c r="DB692" s="1" t="s">
        <v>263</v>
      </c>
      <c r="DC692" t="str">
        <f>IF(OR($DB692="prd",$DB692="std",$DB692="cit"),"loc",IF(OR($DB692="eur",$DB692="reg",$DB692="coy"),"reg",$DB692))</f>
        <v>loc</v>
      </c>
      <c r="DD692" t="s">
        <v>444</v>
      </c>
      <c r="DG692">
        <v>50</v>
      </c>
      <c r="DH692" t="str">
        <f>IF(DG692=0,"0",IF(AND(DG692&gt;=1,DG692&lt;=30),"1-30",IF(AND(DG692&gt;30,DG692&lt;=70),"31-70",IF(AND(DG692&gt;70,DG692&lt;=100),"71-100",IF(DG692&gt;100,"+100")))))</f>
        <v>31-70</v>
      </c>
      <c r="DI692">
        <v>0</v>
      </c>
      <c r="DJ692">
        <v>0</v>
      </c>
      <c r="DK692">
        <v>0</v>
      </c>
      <c r="DL692">
        <v>1</v>
      </c>
      <c r="DN692">
        <f>SUM(DI692:DL692)</f>
        <v>1</v>
      </c>
      <c r="DO692" t="str">
        <f>IF(DN692=1,INDEX($DI$7:$DL$7,MATCH(1,$DI692:$DL692,0)),"mixedProduct")</f>
        <v>TimberInput</v>
      </c>
      <c r="DP692">
        <f>IF(DI692=1,DP$7,0)</f>
        <v>0</v>
      </c>
      <c r="DQ692">
        <f>IF(DJ692=1,DQ$7,0)</f>
        <v>0</v>
      </c>
      <c r="DR692">
        <f>IF(DK692=1,DR$7,0)</f>
        <v>0</v>
      </c>
      <c r="DS692" t="str">
        <f>IF(DL692=1,DS$7,0)</f>
        <v>Timber</v>
      </c>
      <c r="DT692">
        <v>0</v>
      </c>
      <c r="DU692">
        <v>0</v>
      </c>
      <c r="DV692">
        <v>0</v>
      </c>
      <c r="DW692">
        <v>0</v>
      </c>
      <c r="DX692">
        <v>0</v>
      </c>
      <c r="DY692">
        <f>SUM(DT692:DU692)</f>
        <v>0</v>
      </c>
      <c r="DZ692" s="143" t="str">
        <f>IF(DT692=1,"self-calculated DF",IF(DU692=1,"external DF used","explicit C balance"))</f>
        <v>explicit C balance</v>
      </c>
      <c r="EA692">
        <v>0</v>
      </c>
      <c r="EB692">
        <v>0</v>
      </c>
      <c r="EC692">
        <v>0</v>
      </c>
      <c r="ED692">
        <v>0</v>
      </c>
      <c r="EE692">
        <v>0</v>
      </c>
      <c r="EF692" s="143">
        <v>0</v>
      </c>
      <c r="EG692">
        <v>0</v>
      </c>
      <c r="EH692">
        <v>1</v>
      </c>
      <c r="EI692">
        <v>0</v>
      </c>
      <c r="EJ692">
        <v>0</v>
      </c>
      <c r="EK692">
        <v>0</v>
      </c>
      <c r="EL692">
        <v>0</v>
      </c>
      <c r="EM692">
        <v>0</v>
      </c>
      <c r="EN692" s="2">
        <v>0</v>
      </c>
      <c r="EP692" t="str">
        <f>IF(AND(AND(AND(OR($EC692=1,$EB692=1),OR($EH692=1,$EF692=1)),SUM($EA692:$EE692,$EK692)&gt;=3),SUM($EF692:$EJ692)&gt;=2),"Whole sector approach","")</f>
        <v/>
      </c>
      <c r="EQ692" t="str">
        <f>IF(AND(AND(OR($EC692=1,$EB692=1),AND($EH692=0,$EF692=0)),SUM($EA692:$EE692,$EK692)&gt;=4),"Ecosystem approach","")</f>
        <v/>
      </c>
      <c r="ER692" s="2" t="str">
        <f>IF(AND(AND(AND($EC692=0,$EB692=0),OR($EH692=1,$EF692=1)),SUM($EG692:$EJ692)&gt;=2),"Technology approach","")</f>
        <v/>
      </c>
      <c r="ES692" t="str">
        <f>IF(AND($EC692+$EB692+$EE692+$EA692+$ED692+$EG692=0,$N692="included"),"C neutral forest and HWP assumption","")</f>
        <v>C neutral forest and HWP assumption</v>
      </c>
      <c r="ET692" t="str">
        <f>IF(AND(AND(AND(AND($EC692=1,$EB692+$EA692+$EG692&gt;=1),$EF692=1),$EH692+$EI692+$ED692+$EE692&gt;=2),$N692="included"),"All C pools assumption","")</f>
        <v/>
      </c>
      <c r="EU692" t="str">
        <f>IF(AND($ED692+$EE692+$EI692+$EH692+$EF692=0,$N692="included"),"In-situ only assumption","")</f>
        <v/>
      </c>
      <c r="EY692" t="str">
        <f>IF(ISNUMBER(BW692),IF(ABS(BW692-[6]QC_indicators!$B$2)&gt;3*[6]QC_indicators!$C$2,"C ratio",IF(ISNUMBER(CA692),IF(ABS(CA692-[6]QC_indicators!$B$1)&gt;3*[6]QC_indicators!$C$1,"DF","no"))),IF(ISNUMBER(CA692),IF(ABS(CA692-[6]QC_indicators!$B$1)&gt;3*[6]QC_indicators!$C$1,"DF","no")))</f>
        <v>no</v>
      </c>
      <c r="FA692" t="str">
        <f>IF(LEN($CY692)=0,"",IF(AND($CY692&lt;(-0.05),$ES692="C neutral forest and HWP assumption"),"Cneutral paradox",IF(AND($CY692&gt;0.05,$EU692="In-situ only assumption"),"In-situ only paradox","")))</f>
        <v/>
      </c>
      <c r="FB692" s="149" t="s">
        <v>349</v>
      </c>
      <c r="FD692" s="260" t="s">
        <v>2948</v>
      </c>
    </row>
    <row r="693" spans="1:160" ht="15" hidden="1" customHeight="1">
      <c r="A693" s="1" t="s">
        <v>574</v>
      </c>
      <c r="B693" t="s">
        <v>1320</v>
      </c>
      <c r="C693" t="s">
        <v>1321</v>
      </c>
      <c r="D693" t="s">
        <v>1322</v>
      </c>
      <c r="E693" t="s">
        <v>1323</v>
      </c>
      <c r="F693" t="s">
        <v>1324</v>
      </c>
      <c r="G693" t="s">
        <v>580</v>
      </c>
      <c r="H693" t="s">
        <v>254</v>
      </c>
      <c r="I693">
        <v>2020</v>
      </c>
      <c r="J693">
        <v>12</v>
      </c>
      <c r="K693" t="s">
        <v>1325</v>
      </c>
      <c r="M693" t="str">
        <f>LEFT($D693,FIND(",",$D693)-1)&amp;"_"&amp;I693&amp;L693</f>
        <v>Elisa_2020</v>
      </c>
      <c r="N693" s="317" t="s">
        <v>222</v>
      </c>
      <c r="O693" s="171" t="s">
        <v>274</v>
      </c>
      <c r="P693" t="s">
        <v>223</v>
      </c>
      <c r="Q693" s="317" t="s">
        <v>389</v>
      </c>
      <c r="R693" s="318" t="s">
        <v>1029</v>
      </c>
      <c r="S693" s="154" t="s">
        <v>1326</v>
      </c>
      <c r="T693" s="319" t="s">
        <v>1327</v>
      </c>
      <c r="U693" s="143" t="s">
        <v>1385</v>
      </c>
      <c r="V693" s="253">
        <v>0</v>
      </c>
      <c r="W693" s="253">
        <v>0</v>
      </c>
      <c r="X693">
        <v>0</v>
      </c>
      <c r="Y693">
        <v>0</v>
      </c>
      <c r="Z693">
        <v>0</v>
      </c>
      <c r="AA693">
        <v>0</v>
      </c>
      <c r="AB693">
        <v>0</v>
      </c>
      <c r="AC693">
        <v>0</v>
      </c>
      <c r="AD693">
        <v>0</v>
      </c>
      <c r="AE693">
        <v>0</v>
      </c>
      <c r="AF693">
        <v>0</v>
      </c>
      <c r="AG693">
        <v>1</v>
      </c>
      <c r="AH693">
        <v>0</v>
      </c>
      <c r="AI693">
        <v>0</v>
      </c>
      <c r="AJ693">
        <v>0</v>
      </c>
      <c r="AK693">
        <v>0</v>
      </c>
      <c r="AL693">
        <v>0</v>
      </c>
      <c r="AM693">
        <v>1</v>
      </c>
      <c r="AN693">
        <v>0</v>
      </c>
      <c r="AO693">
        <v>0</v>
      </c>
      <c r="AP693">
        <v>0</v>
      </c>
      <c r="AQ693">
        <v>0</v>
      </c>
      <c r="AR693">
        <v>0</v>
      </c>
      <c r="AS693">
        <v>0</v>
      </c>
      <c r="AT693">
        <v>0</v>
      </c>
      <c r="AU693">
        <v>0</v>
      </c>
      <c r="AV693">
        <v>0</v>
      </c>
      <c r="AW693">
        <v>0</v>
      </c>
      <c r="AX693">
        <v>0</v>
      </c>
      <c r="AY693">
        <v>0</v>
      </c>
      <c r="AZ693" s="141">
        <f>COUNTIF(X693:AY693,"&lt;&gt;0")</f>
        <v>2</v>
      </c>
      <c r="BA693" s="141">
        <f>COUNTIF(X693:AN693,"&lt;&gt;0")</f>
        <v>2</v>
      </c>
      <c r="BB693">
        <f>COUNTIF(X693:AE693,"&lt;&gt;0")</f>
        <v>0</v>
      </c>
      <c r="BC693">
        <f>COUNTIF(AF693:AK693,"&lt;&gt;0")</f>
        <v>1</v>
      </c>
      <c r="BD693">
        <f>COUNTIF(AL693:AN693,"&lt;&gt;0")</f>
        <v>1</v>
      </c>
      <c r="BE693">
        <f>COUNTIF(AU693:AY693,"&lt;&gt;0")</f>
        <v>0</v>
      </c>
      <c r="BF693">
        <f>COUNTIF(AO693:AT693,"&lt;&gt;0")</f>
        <v>0</v>
      </c>
      <c r="BG693" t="str" cm="1">
        <f t="array" ref="BG693">IF(BA693=1,INDEX($X$7:$AN$7,MATCH(TRUE,INDEX($X693:$AY693&lt;&gt;0,),0)),IF(BA693=0,INDEX($AO$7:$AY$7,MATCH(1,$AO693:$AY693,0)),IF(BH693="Multiple strategies","mixed drivers",IF(BH693="Supply chain","multiple supply","multiple silviculture"))))</f>
        <v>mixed drivers</v>
      </c>
      <c r="BH693" s="2" t="str" cm="1">
        <f t="array" ref="BH693">IF(COUNTIF(BB693:BD693,"&lt;&gt;0")=1,INDEX($X$4:$AY$4,MATCH(TRUE,INDEX($X693:$AY693&lt;&gt;0,),0)),IF(COUNTIF(BB693:BD693,"&lt;&gt;0")=0,INDEX($AO$4:$AY$4,MATCH(1,$AO693:$AY693,0)),"Multiple strategies"))</f>
        <v>Multiple strategies</v>
      </c>
      <c r="BI693" s="142" t="s">
        <v>321</v>
      </c>
      <c r="BJ693" s="160" t="s">
        <v>1329</v>
      </c>
      <c r="BK693" s="160" t="s">
        <v>1330</v>
      </c>
      <c r="BL693" s="143" t="s">
        <v>498</v>
      </c>
      <c r="BM693" s="143">
        <v>944</v>
      </c>
      <c r="BN693" s="143">
        <v>2500</v>
      </c>
      <c r="BO693">
        <f>IFERROR(BN695/BM693,"")</f>
        <v>1.7192796610169492</v>
      </c>
      <c r="BP693">
        <f>BN693-BM693</f>
        <v>1556</v>
      </c>
      <c r="BQ693" s="159">
        <f>BP693</f>
        <v>1556</v>
      </c>
      <c r="BR693" s="155" t="s">
        <v>232</v>
      </c>
      <c r="BS693" s="155" t="s">
        <v>1331</v>
      </c>
      <c r="BT693" s="155" t="s">
        <v>805</v>
      </c>
      <c r="BU693" s="143" t="s">
        <v>1335</v>
      </c>
      <c r="BV693" t="s">
        <v>1399</v>
      </c>
      <c r="BW693" s="144">
        <f>BV693/BU693</f>
        <v>0.37783912438114253</v>
      </c>
      <c r="BX693">
        <f>BV693-BU693</f>
        <v>4.29953138888889</v>
      </c>
      <c r="BZ693">
        <f>BX693</f>
        <v>4.29953138888889</v>
      </c>
      <c r="CA693">
        <f>IFERROR(BZ693/BQ693,"")</f>
        <v>2.7631949800057134E-3</v>
      </c>
      <c r="CB693">
        <v>0</v>
      </c>
      <c r="CC693">
        <v>0</v>
      </c>
      <c r="CD693">
        <v>0</v>
      </c>
      <c r="CE693">
        <v>0</v>
      </c>
      <c r="CF693">
        <v>0</v>
      </c>
      <c r="CG693">
        <v>0</v>
      </c>
      <c r="CH693">
        <v>0</v>
      </c>
      <c r="CI693">
        <v>0</v>
      </c>
      <c r="CJ693">
        <v>0</v>
      </c>
      <c r="CK693">
        <v>0</v>
      </c>
      <c r="CL693">
        <v>0</v>
      </c>
      <c r="CM693">
        <v>0</v>
      </c>
      <c r="CN693">
        <v>0</v>
      </c>
      <c r="CO693">
        <v>0</v>
      </c>
      <c r="CP693" t="str">
        <f>IF($BN693&lt;$BM693,"refNeedCorrection","refOK")</f>
        <v>refOK</v>
      </c>
      <c r="CQ693">
        <f>IF($CP693="refOK",$BM693,$BN693)</f>
        <v>944</v>
      </c>
      <c r="CR693">
        <f>IF($CP693="refOK",$BN693,$BM693)</f>
        <v>2500</v>
      </c>
      <c r="CS693">
        <f>IF($CP693="refOK",$BQ693,-$BQ693)</f>
        <v>1556</v>
      </c>
      <c r="CT693">
        <f>IF(BI693="Roundwood",$CS693/2,$CS693)</f>
        <v>778</v>
      </c>
      <c r="CU693">
        <f>IF($CP693="refOK",$BU693,$BV693)*IF($BR693="Emissions positive",-1,1)</f>
        <v>-6.9106424999999998</v>
      </c>
      <c r="CV693">
        <f>IF($CP693="refOK",$BV693,$BU693)*IF($BR693="Emissions positive",-1,1)</f>
        <v>-2.6111111111111098</v>
      </c>
      <c r="CW693">
        <f>IF($CP693="refNeedCorrection",-BZ693,BZ693)*IF($BR693="Emissions positive",-1,1)</f>
        <v>4.29953138888889</v>
      </c>
      <c r="CX693">
        <f>IFERROR($CW693/$CS693,"")</f>
        <v>2.7631949800057134E-3</v>
      </c>
      <c r="CY693">
        <f>IFERROR($CW693/$CS693,"")</f>
        <v>2.7631949800057134E-3</v>
      </c>
      <c r="CZ693">
        <f>IFERROR($CW693/$CT693,"")</f>
        <v>5.5263899600114267E-3</v>
      </c>
      <c r="DA693" s="2">
        <f>IFERROR((CV693-CU693)/ABS(CU693),"")</f>
        <v>0.62216087561885747</v>
      </c>
      <c r="DB693" s="320" t="s">
        <v>1334</v>
      </c>
      <c r="DC693" s="317" t="str">
        <f>IF(OR($DB693="prd",$DB693="std",$DB693="cit"),"loc",IF(OR($DB693="eur",$DB693="reg",$DB693="coy"),"reg",$DB693))</f>
        <v>reg</v>
      </c>
      <c r="DD693" s="321" t="s">
        <v>729</v>
      </c>
      <c r="DF693" s="143"/>
      <c r="DG693" s="143">
        <v>0</v>
      </c>
      <c r="DH693" t="str">
        <f>IF(DG693=0,"0",IF(AND(DG693&gt;=1,DG693&lt;=30),"1-30",IF(AND(DG693&gt;30,DG693&lt;=70),"31-70",IF(AND(DG693&gt;70,DG693&lt;=100),"71-100",IF(DG693&gt;100,"+100")))))</f>
        <v>0</v>
      </c>
      <c r="DI693">
        <v>0</v>
      </c>
      <c r="DJ693">
        <v>1</v>
      </c>
      <c r="DK693">
        <v>0</v>
      </c>
      <c r="DL693">
        <v>0</v>
      </c>
      <c r="DM693">
        <v>0</v>
      </c>
      <c r="DN693">
        <f>SUM(DI693:DM693)</f>
        <v>1</v>
      </c>
      <c r="DO693" t="str">
        <f>IF(DN693=1,INDEX($DI$7:$DL$7,MATCH(1,$DI693:$DL693,0)),"mixedProduct")</f>
        <v>EnergyInput</v>
      </c>
      <c r="DP693">
        <f>IF(DI693=1,DP$7,0)</f>
        <v>0</v>
      </c>
      <c r="DQ693" t="str">
        <f>IF(DJ693=1,DQ$7,0)</f>
        <v>Energy</v>
      </c>
      <c r="DR693">
        <f>IF(DK693=1,DR$7,0)</f>
        <v>0</v>
      </c>
      <c r="DS693">
        <f>IF(DL693=1,DS$7,0)</f>
        <v>0</v>
      </c>
      <c r="DT693">
        <v>0</v>
      </c>
      <c r="DU693" s="143">
        <v>0</v>
      </c>
      <c r="DV693" s="143">
        <v>0</v>
      </c>
      <c r="DW693">
        <v>0</v>
      </c>
      <c r="DX693" s="143">
        <v>0</v>
      </c>
      <c r="DY693">
        <f>SUM(DT693:DU693)</f>
        <v>0</v>
      </c>
      <c r="DZ693" s="143" t="str">
        <f>IF(DT693=1,"self-calculated DF",IF(DU693=1,"external DF used","explicit C balance"))</f>
        <v>explicit C balance</v>
      </c>
      <c r="EA693" s="143">
        <v>0</v>
      </c>
      <c r="EB693" s="143">
        <v>0</v>
      </c>
      <c r="EC693" s="143">
        <v>0</v>
      </c>
      <c r="ED693" s="143">
        <v>0</v>
      </c>
      <c r="EE693">
        <v>0</v>
      </c>
      <c r="EF693" s="143">
        <v>0</v>
      </c>
      <c r="EG693" s="143">
        <v>0</v>
      </c>
      <c r="EH693" s="143">
        <v>1</v>
      </c>
      <c r="EI693" s="143">
        <v>0</v>
      </c>
      <c r="EJ693">
        <v>1</v>
      </c>
      <c r="EK693">
        <v>0</v>
      </c>
      <c r="EL693" s="143">
        <v>0</v>
      </c>
      <c r="EM693" s="143">
        <v>0</v>
      </c>
      <c r="EN693" s="2">
        <v>0</v>
      </c>
      <c r="EP693" t="str">
        <f>IF(AND(AND(AND(OR($EC693=1,$EB693=1),OR($EH693=1,$EF693=1)),SUM($EA693:$EE693,$EK693)&gt;=3),SUM($EF693:$EJ693)&gt;=2),"Whole sector approach","")</f>
        <v/>
      </c>
      <c r="EQ693" t="str">
        <f>IF(AND(AND(OR($EC693=1,$EB693=1),AND($EH693=0,$EF693=0)),SUM($EA693:$EE693,$EK693)&gt;=3),"Ecosystem approach","")</f>
        <v/>
      </c>
      <c r="ER693" s="2" t="str">
        <f>IF(AND(AND(AND($EC693=0,$EB693=0),OR($EH693=1,$EF693=1)),SUM($EG693:$EJ693)&gt;=2),"Technology approach","")</f>
        <v>Technology approach</v>
      </c>
      <c r="ES693" t="str">
        <f>IF(AND($EC693+$EB693+$EE693+$EA693+$ED693+$EG693=0,$N693="included"),"C neutral forest and HWP assumption","")</f>
        <v>C neutral forest and HWP assumption</v>
      </c>
      <c r="ET693" t="str">
        <f>IF(AND(AND(AND(AND($EC693=1,$EB693+$EA693+$EG693&gt;=1),$EF693=1),$EH693+$EI693+$ED693+$EE693&gt;=2),$N693="included"),"All C pools assumption","")</f>
        <v/>
      </c>
      <c r="EU693" t="str">
        <f>IF(AND($ED693+$EE693+$EI693+$EH693+$EF693=0,$N693="included"),"In-situ only assumption","")</f>
        <v/>
      </c>
      <c r="EY693" t="str">
        <f>IF(ISNUMBER(BW693),IF(ABS(BW693-[4]QC_indicators!$B$2)&gt;3*[4]QC_indicators!$C$2,"C ratio",IF(ISNUMBER(CA693),IF(ABS(CA693-[4]QC_indicators!$B$1)&gt;3*[4]QC_indicators!$C$1,"DF","no"))),IF(ISNUMBER(CA693),IF(ABS(CA693-[4]QC_indicators!$B$1)&gt;3*[4]QC_indicators!$C$1,"DF","no")))</f>
        <v>no</v>
      </c>
      <c r="FA693" t="str">
        <f>IF(LEN($CY693)=0,"",IF(AND($CY693&lt;(-0.05),$ES693="C neutral forest and HWP assumption"),"Cneutral paradox",IF(AND($CY693&gt;0.05,$EU693="In-situ only assumption"),"In-situ only paradox","")))</f>
        <v/>
      </c>
      <c r="FB693" s="149"/>
    </row>
    <row r="694" spans="1:160" ht="15" hidden="1" customHeight="1">
      <c r="A694" s="1" t="s">
        <v>574</v>
      </c>
      <c r="B694" t="s">
        <v>1320</v>
      </c>
      <c r="C694" t="s">
        <v>1321</v>
      </c>
      <c r="D694" t="s">
        <v>1322</v>
      </c>
      <c r="E694" t="s">
        <v>1323</v>
      </c>
      <c r="F694" t="s">
        <v>1324</v>
      </c>
      <c r="G694" t="s">
        <v>580</v>
      </c>
      <c r="H694" t="s">
        <v>254</v>
      </c>
      <c r="I694">
        <v>2020</v>
      </c>
      <c r="J694">
        <v>12</v>
      </c>
      <c r="K694" t="s">
        <v>1325</v>
      </c>
      <c r="M694" t="str">
        <f>LEFT($D694,FIND(",",$D694)-1)&amp;"_"&amp;I694&amp;L694</f>
        <v>Elisa_2020</v>
      </c>
      <c r="N694" s="317" t="s">
        <v>222</v>
      </c>
      <c r="O694" s="171" t="s">
        <v>274</v>
      </c>
      <c r="P694" t="s">
        <v>223</v>
      </c>
      <c r="Q694" s="317" t="s">
        <v>389</v>
      </c>
      <c r="R694" s="318" t="s">
        <v>1029</v>
      </c>
      <c r="S694" s="154" t="s">
        <v>1326</v>
      </c>
      <c r="T694" s="319" t="s">
        <v>1327</v>
      </c>
      <c r="U694" s="143" t="s">
        <v>1391</v>
      </c>
      <c r="V694" s="253">
        <v>0</v>
      </c>
      <c r="W694" s="253">
        <v>0</v>
      </c>
      <c r="X694">
        <v>0</v>
      </c>
      <c r="Y694">
        <v>0</v>
      </c>
      <c r="Z694">
        <v>0</v>
      </c>
      <c r="AA694">
        <v>0</v>
      </c>
      <c r="AB694">
        <v>0</v>
      </c>
      <c r="AC694">
        <v>0</v>
      </c>
      <c r="AD694">
        <v>0</v>
      </c>
      <c r="AE694">
        <v>0</v>
      </c>
      <c r="AF694">
        <v>0</v>
      </c>
      <c r="AG694">
        <v>1</v>
      </c>
      <c r="AH694">
        <v>0</v>
      </c>
      <c r="AI694">
        <v>0</v>
      </c>
      <c r="AJ694">
        <v>0</v>
      </c>
      <c r="AK694">
        <v>0</v>
      </c>
      <c r="AL694">
        <v>0</v>
      </c>
      <c r="AM694">
        <v>1</v>
      </c>
      <c r="AN694">
        <v>0</v>
      </c>
      <c r="AO694">
        <v>0</v>
      </c>
      <c r="AP694">
        <v>0</v>
      </c>
      <c r="AQ694">
        <v>0</v>
      </c>
      <c r="AR694">
        <v>0</v>
      </c>
      <c r="AS694">
        <v>0</v>
      </c>
      <c r="AT694">
        <v>0</v>
      </c>
      <c r="AU694">
        <v>0</v>
      </c>
      <c r="AV694">
        <v>0</v>
      </c>
      <c r="AW694">
        <v>0</v>
      </c>
      <c r="AX694">
        <v>0</v>
      </c>
      <c r="AY694">
        <v>0</v>
      </c>
      <c r="AZ694" s="141">
        <f>COUNTIF(X694:AY694,"&lt;&gt;0")</f>
        <v>2</v>
      </c>
      <c r="BA694" s="141">
        <f>COUNTIF(X694:AN694,"&lt;&gt;0")</f>
        <v>2</v>
      </c>
      <c r="BB694">
        <f>COUNTIF(X694:AE694,"&lt;&gt;0")</f>
        <v>0</v>
      </c>
      <c r="BC694">
        <f>COUNTIF(AF694:AK694,"&lt;&gt;0")</f>
        <v>1</v>
      </c>
      <c r="BD694">
        <f>COUNTIF(AL694:AN694,"&lt;&gt;0")</f>
        <v>1</v>
      </c>
      <c r="BE694">
        <f>COUNTIF(AU694:AY694,"&lt;&gt;0")</f>
        <v>0</v>
      </c>
      <c r="BF694">
        <f>COUNTIF(AO694:AT694,"&lt;&gt;0")</f>
        <v>0</v>
      </c>
      <c r="BG694" t="str" cm="1">
        <f t="array" ref="BG694">IF(BA694=1,INDEX($X$7:$AN$7,MATCH(TRUE,INDEX($X694:$AY694&lt;&gt;0,),0)),IF(BA694=0,INDEX($AO$7:$AY$7,MATCH(1,$AO694:$AY694,0)),IF(BH694="Multiple strategies","mixed drivers",IF(BH694="Supply chain","multiple supply","multiple silviculture"))))</f>
        <v>mixed drivers</v>
      </c>
      <c r="BH694" s="2" t="str" cm="1">
        <f t="array" ref="BH694">IF(COUNTIF(BB694:BD694,"&lt;&gt;0")=1,INDEX($X$4:$AY$4,MATCH(TRUE,INDEX($X694:$AY694&lt;&gt;0,),0)),IF(COUNTIF(BB694:BD694,"&lt;&gt;0")=0,INDEX($AO$4:$AY$4,MATCH(1,$AO694:$AY694,0)),"Multiple strategies"))</f>
        <v>Multiple strategies</v>
      </c>
      <c r="BI694" s="142" t="s">
        <v>321</v>
      </c>
      <c r="BJ694" s="160" t="s">
        <v>1329</v>
      </c>
      <c r="BK694" s="160" t="s">
        <v>1330</v>
      </c>
      <c r="BL694" s="143" t="s">
        <v>498</v>
      </c>
      <c r="BM694" s="143">
        <v>944</v>
      </c>
      <c r="BN694" s="143">
        <v>2015</v>
      </c>
      <c r="BO694">
        <f>IFERROR(BN696/BM694,"")</f>
        <v>1.7192796610169492</v>
      </c>
      <c r="BP694">
        <f>BN694-BM694</f>
        <v>1071</v>
      </c>
      <c r="BQ694" s="159">
        <f>BP694</f>
        <v>1071</v>
      </c>
      <c r="BR694" s="155" t="s">
        <v>232</v>
      </c>
      <c r="BS694" s="155" t="s">
        <v>1331</v>
      </c>
      <c r="BT694" s="155" t="s">
        <v>805</v>
      </c>
      <c r="BU694" s="143" t="s">
        <v>1335</v>
      </c>
      <c r="BV694" t="s">
        <v>1401</v>
      </c>
      <c r="BW694" s="144">
        <f>BV694/BU694</f>
        <v>0.33790474458617853</v>
      </c>
      <c r="BX694">
        <f>BV694-BU694</f>
        <v>4.5755036111111096</v>
      </c>
      <c r="BZ694">
        <f>BX694</f>
        <v>4.5755036111111096</v>
      </c>
      <c r="CA694">
        <f>IFERROR(BZ694/BQ694,"")</f>
        <v>4.2721789086004758E-3</v>
      </c>
      <c r="CB694">
        <v>0</v>
      </c>
      <c r="CC694">
        <v>0</v>
      </c>
      <c r="CD694">
        <v>0</v>
      </c>
      <c r="CE694">
        <v>0</v>
      </c>
      <c r="CF694">
        <v>0</v>
      </c>
      <c r="CG694">
        <v>0</v>
      </c>
      <c r="CH694">
        <v>0</v>
      </c>
      <c r="CI694">
        <v>0</v>
      </c>
      <c r="CJ694">
        <v>0</v>
      </c>
      <c r="CK694">
        <v>0</v>
      </c>
      <c r="CL694">
        <v>0</v>
      </c>
      <c r="CM694">
        <v>0</v>
      </c>
      <c r="CN694">
        <v>0</v>
      </c>
      <c r="CO694">
        <v>0</v>
      </c>
      <c r="CP694" t="str">
        <f>IF($BN694&lt;$BM694,"refNeedCorrection","refOK")</f>
        <v>refOK</v>
      </c>
      <c r="CQ694">
        <f>IF($CP694="refOK",$BM694,$BN694)</f>
        <v>944</v>
      </c>
      <c r="CR694">
        <f>IF($CP694="refOK",$BN694,$BM694)</f>
        <v>2015</v>
      </c>
      <c r="CS694">
        <f>IF($CP694="refOK",$BQ694,-$BQ694)</f>
        <v>1071</v>
      </c>
      <c r="CT694">
        <f>IF(BI694="Roundwood",$CS694/2,$CS694)</f>
        <v>535.5</v>
      </c>
      <c r="CU694">
        <f>IF($CP694="refOK",$BU694,$BV694)*IF($BR694="Emissions positive",-1,1)</f>
        <v>-6.9106424999999998</v>
      </c>
      <c r="CV694">
        <f>IF($CP694="refOK",$BV694,$BU694)*IF($BR694="Emissions positive",-1,1)</f>
        <v>-2.3351388888888902</v>
      </c>
      <c r="CW694">
        <f>IF($CP694="refNeedCorrection",-BZ694,BZ694)*IF($BR694="Emissions positive",-1,1)</f>
        <v>4.5755036111111096</v>
      </c>
      <c r="CX694">
        <f>IFERROR($CW694/$CS694,"")</f>
        <v>4.2721789086004758E-3</v>
      </c>
      <c r="CY694">
        <f>IFERROR($CW694/$CS694,"")</f>
        <v>4.2721789086004758E-3</v>
      </c>
      <c r="CZ694">
        <f>IFERROR($CW694/$CT694,"")</f>
        <v>8.5443578172009517E-3</v>
      </c>
      <c r="DA694" s="2">
        <f>IFERROR((CV694-CU694)/ABS(CU694),"")</f>
        <v>0.66209525541382142</v>
      </c>
      <c r="DB694" s="320" t="s">
        <v>1334</v>
      </c>
      <c r="DC694" s="317" t="str">
        <f>IF(OR($DB694="prd",$DB694="std",$DB694="cit"),"loc",IF(OR($DB694="eur",$DB694="reg",$DB694="coy"),"reg",$DB694))</f>
        <v>reg</v>
      </c>
      <c r="DD694" s="321" t="s">
        <v>729</v>
      </c>
      <c r="DF694" s="143"/>
      <c r="DG694" s="143">
        <v>0</v>
      </c>
      <c r="DH694" t="str">
        <f>IF(DG694=0,"0",IF(AND(DG694&gt;=1,DG694&lt;=30),"1-30",IF(AND(DG694&gt;30,DG694&lt;=70),"31-70",IF(AND(DG694&gt;70,DG694&lt;=100),"71-100",IF(DG694&gt;100,"+100")))))</f>
        <v>0</v>
      </c>
      <c r="DI694">
        <v>0</v>
      </c>
      <c r="DJ694">
        <v>1</v>
      </c>
      <c r="DK694">
        <v>0</v>
      </c>
      <c r="DL694">
        <v>0</v>
      </c>
      <c r="DM694">
        <v>0</v>
      </c>
      <c r="DN694">
        <f>SUM(DI694:DM694)</f>
        <v>1</v>
      </c>
      <c r="DO694" t="str">
        <f>IF(DN694=1,INDEX($DI$7:$DL$7,MATCH(1,$DI694:$DL694,0)),"mixedProduct")</f>
        <v>EnergyInput</v>
      </c>
      <c r="DP694">
        <f>IF(DI694=1,DP$7,0)</f>
        <v>0</v>
      </c>
      <c r="DQ694" t="str">
        <f>IF(DJ694=1,DQ$7,0)</f>
        <v>Energy</v>
      </c>
      <c r="DR694">
        <f>IF(DK694=1,DR$7,0)</f>
        <v>0</v>
      </c>
      <c r="DS694">
        <f>IF(DL694=1,DS$7,0)</f>
        <v>0</v>
      </c>
      <c r="DT694">
        <v>0</v>
      </c>
      <c r="DU694" s="143">
        <v>0</v>
      </c>
      <c r="DV694" s="143">
        <v>0</v>
      </c>
      <c r="DW694">
        <v>0</v>
      </c>
      <c r="DX694" s="143">
        <v>0</v>
      </c>
      <c r="DY694">
        <f>SUM(DT694:DU694)</f>
        <v>0</v>
      </c>
      <c r="DZ694" s="143" t="str">
        <f>IF(DT694=1,"self-calculated DF",IF(DU694=1,"external DF used","explicit C balance"))</f>
        <v>explicit C balance</v>
      </c>
      <c r="EA694" s="143">
        <v>0</v>
      </c>
      <c r="EB694" s="143">
        <v>0</v>
      </c>
      <c r="EC694" s="143">
        <v>0</v>
      </c>
      <c r="ED694" s="143">
        <v>0</v>
      </c>
      <c r="EE694">
        <v>0</v>
      </c>
      <c r="EF694" s="143">
        <v>0</v>
      </c>
      <c r="EG694" s="143">
        <v>0</v>
      </c>
      <c r="EH694" s="143">
        <v>1</v>
      </c>
      <c r="EI694" s="143">
        <v>0</v>
      </c>
      <c r="EJ694">
        <v>1</v>
      </c>
      <c r="EK694">
        <v>0</v>
      </c>
      <c r="EL694" s="143">
        <v>0</v>
      </c>
      <c r="EM694" s="143">
        <v>0</v>
      </c>
      <c r="EN694" s="2">
        <v>0</v>
      </c>
      <c r="EP694" t="str">
        <f>IF(AND(AND(AND(OR($EC694=1,$EB694=1),OR($EH694=1,$EF694=1)),SUM($EA694:$EE694,$EK694)&gt;=3),SUM($EF694:$EJ694)&gt;=2),"Whole sector approach","")</f>
        <v/>
      </c>
      <c r="EQ694" t="str">
        <f>IF(AND(AND(OR($EC694=1,$EB694=1),AND($EH694=0,$EF694=0)),SUM($EA694:$EE694,$EK694)&gt;=3),"Ecosystem approach","")</f>
        <v/>
      </c>
      <c r="ER694" s="2" t="str">
        <f>IF(AND(AND(AND($EC694=0,$EB694=0),OR($EH694=1,$EF694=1)),SUM($EG694:$EJ694)&gt;=2),"Technology approach","")</f>
        <v>Technology approach</v>
      </c>
      <c r="ES694" t="str">
        <f>IF(AND($EC694+$EB694+$EE694+$EA694+$ED694+$EG694=0,$N694="included"),"C neutral forest and HWP assumption","")</f>
        <v>C neutral forest and HWP assumption</v>
      </c>
      <c r="ET694" t="str">
        <f>IF(AND(AND(AND(AND($EC694=1,$EB694+$EA694+$EG694&gt;=1),$EF694=1),$EH694+$EI694+$ED694+$EE694&gt;=2),$N694="included"),"All C pools assumption","")</f>
        <v/>
      </c>
      <c r="EU694" t="str">
        <f>IF(AND($ED694+$EE694+$EI694+$EH694+$EF694=0,$N694="included"),"In-situ only assumption","")</f>
        <v/>
      </c>
      <c r="EY694" t="str">
        <f>IF(ISNUMBER(BW694),IF(ABS(BW694-[4]QC_indicators!$B$2)&gt;3*[4]QC_indicators!$C$2,"C ratio",IF(ISNUMBER(CA694),IF(ABS(CA694-[4]QC_indicators!$B$1)&gt;3*[4]QC_indicators!$C$1,"DF","no"))),IF(ISNUMBER(CA694),IF(ABS(CA694-[4]QC_indicators!$B$1)&gt;3*[4]QC_indicators!$C$1,"DF","no")))</f>
        <v>no</v>
      </c>
      <c r="FA694" t="str">
        <f>IF(LEN($CY694)=0,"",IF(AND($CY694&lt;(-0.05),$ES694="C neutral forest and HWP assumption"),"Cneutral paradox",IF(AND($CY694&gt;0.05,$EU694="In-situ only assumption"),"In-situ only paradox","")))</f>
        <v/>
      </c>
      <c r="FB694" s="149"/>
    </row>
    <row r="695" spans="1:160" ht="15" hidden="1" customHeight="1">
      <c r="A695" s="1" t="s">
        <v>761</v>
      </c>
      <c r="D695" t="s">
        <v>1031</v>
      </c>
      <c r="E695" t="s">
        <v>1032</v>
      </c>
      <c r="G695" t="s">
        <v>762</v>
      </c>
      <c r="I695">
        <v>2008</v>
      </c>
      <c r="K695" t="s">
        <v>1033</v>
      </c>
      <c r="M695" t="str">
        <f>LEFT($D695,FIND(",",$D695)-1)&amp;"_"&amp;I695&amp;L695</f>
        <v>Upton_2008</v>
      </c>
      <c r="N695" t="s">
        <v>222</v>
      </c>
      <c r="O695" s="145" t="s">
        <v>225</v>
      </c>
      <c r="Q695" t="s">
        <v>256</v>
      </c>
      <c r="R695" s="258" t="s">
        <v>223</v>
      </c>
      <c r="S695" s="1" t="s">
        <v>1041</v>
      </c>
      <c r="T695" t="s">
        <v>1042</v>
      </c>
      <c r="U695" t="s">
        <v>1036</v>
      </c>
      <c r="V695" s="253">
        <v>0</v>
      </c>
      <c r="W695" s="253">
        <v>0</v>
      </c>
      <c r="X695">
        <v>0</v>
      </c>
      <c r="Y695">
        <v>0</v>
      </c>
      <c r="Z695">
        <v>0</v>
      </c>
      <c r="AA695">
        <v>0</v>
      </c>
      <c r="AB695">
        <v>0</v>
      </c>
      <c r="AC695">
        <v>0</v>
      </c>
      <c r="AD695">
        <v>0</v>
      </c>
      <c r="AE695">
        <v>0</v>
      </c>
      <c r="AF695">
        <v>0</v>
      </c>
      <c r="AG695">
        <v>0</v>
      </c>
      <c r="AH695">
        <v>0</v>
      </c>
      <c r="AI695">
        <v>0</v>
      </c>
      <c r="AJ695">
        <v>0</v>
      </c>
      <c r="AK695">
        <v>0</v>
      </c>
      <c r="AL695">
        <v>0</v>
      </c>
      <c r="AM695">
        <v>1</v>
      </c>
      <c r="AN695">
        <v>0</v>
      </c>
      <c r="AO695">
        <v>0</v>
      </c>
      <c r="AP695">
        <v>0</v>
      </c>
      <c r="AQ695">
        <v>0</v>
      </c>
      <c r="AR695">
        <v>0</v>
      </c>
      <c r="AS695">
        <v>0</v>
      </c>
      <c r="AT695">
        <v>0</v>
      </c>
      <c r="AU695">
        <v>0</v>
      </c>
      <c r="AV695">
        <v>0</v>
      </c>
      <c r="AW695">
        <v>0</v>
      </c>
      <c r="AX695">
        <v>0</v>
      </c>
      <c r="AY695">
        <v>0</v>
      </c>
      <c r="AZ695" s="141">
        <f>COUNTIF(X695:AY695,"&lt;&gt;0")</f>
        <v>1</v>
      </c>
      <c r="BA695" s="141">
        <f>COUNTIF(X695:AN695,"&lt;&gt;0")</f>
        <v>1</v>
      </c>
      <c r="BB695">
        <f>COUNTIF(X695:AE695,"&lt;&gt;0")</f>
        <v>0</v>
      </c>
      <c r="BC695">
        <f>COUNTIF(AF695:AK695,"&lt;&gt;0")</f>
        <v>0</v>
      </c>
      <c r="BD695">
        <f>COUNTIF(AL695:AN695,"&lt;&gt;0")</f>
        <v>1</v>
      </c>
      <c r="BE695">
        <f>COUNTIF(AU695:AY695,"&lt;&gt;0")</f>
        <v>0</v>
      </c>
      <c r="BF695">
        <f>COUNTIF(AO695:AT695,"&lt;&gt;0")</f>
        <v>0</v>
      </c>
      <c r="BG695" t="str">
        <f t="array" ref="BG695">IF(BA695=1,INDEX($X$7:$AN$7,MATCH(TRUE,INDEX($X695:$AY695&lt;&gt;0,),0)),IF(BA695=0,INDEX($AO$7:$AY$7,MATCH(1,$AO695:$AY695,0)),IF(BH695="Multiple strategies","mixed drivers",IF(BH695="Supply chain","multiple supply","multiple silviculture"))))</f>
        <v>technologies/design switch</v>
      </c>
      <c r="BH695" s="2" t="str" cm="1">
        <f t="array" ref="BH695">IF(COUNTIF(BB695:BD695,"&lt;&gt;0")=1,INDEX($X$4:$AY$4,MATCH(TRUE,INDEX($X695:$AY695&lt;&gt;0,),0)),IF(COUNTIF(BB695:BD695,"&lt;&gt;0")=0,INDEX($AO$4:$AY$4,MATCH(1,$AO695:$AY695,0)),"Multiple strategies"))</f>
        <v>Technology</v>
      </c>
      <c r="BI695" s="1" t="s">
        <v>229</v>
      </c>
      <c r="BJ695" t="s">
        <v>1037</v>
      </c>
      <c r="BL695" t="s">
        <v>585</v>
      </c>
      <c r="BM695">
        <v>1338</v>
      </c>
      <c r="BN695">
        <v>1623</v>
      </c>
      <c r="BP695">
        <f>BN695-BM695</f>
        <v>285</v>
      </c>
      <c r="BQ695">
        <f>BP695/C_to_CO2*tC_to_m3*10^6</f>
        <v>337197897.30490154</v>
      </c>
      <c r="BR695" t="s">
        <v>232</v>
      </c>
      <c r="BT695" t="s">
        <v>1038</v>
      </c>
      <c r="BU695">
        <v>-2538</v>
      </c>
      <c r="BV695">
        <v>-1256</v>
      </c>
      <c r="BW695" s="144">
        <v>0.49487785657998423</v>
      </c>
      <c r="BX695">
        <v>1282</v>
      </c>
      <c r="BZ695">
        <f>BX695*10^6</f>
        <v>1282000000</v>
      </c>
      <c r="CA695">
        <f>IFERROR(BZ695/BQ695,"")</f>
        <v>3.8019216912280691</v>
      </c>
      <c r="CB695">
        <v>0</v>
      </c>
      <c r="CC695">
        <v>1</v>
      </c>
      <c r="CD695">
        <v>0</v>
      </c>
      <c r="CE695">
        <v>0</v>
      </c>
      <c r="CF695">
        <v>0</v>
      </c>
      <c r="CG695">
        <v>0</v>
      </c>
      <c r="CH695">
        <v>0</v>
      </c>
      <c r="CI695">
        <v>0</v>
      </c>
      <c r="CJ695">
        <v>0</v>
      </c>
      <c r="CK695">
        <v>0</v>
      </c>
      <c r="CL695">
        <v>0</v>
      </c>
      <c r="CM695">
        <v>0</v>
      </c>
      <c r="CN695">
        <v>0</v>
      </c>
      <c r="CO695">
        <v>0</v>
      </c>
      <c r="CP695" t="str">
        <f>IF($BN695&lt;$BM695,"refNeedCorrection","refOK")</f>
        <v>refOK</v>
      </c>
      <c r="CQ695">
        <f>IF($CP695="refNeedCorrection",BN695,BM695)</f>
        <v>1338</v>
      </c>
      <c r="CR695">
        <f>IF($CP695="refNeedCorrection",BM695,BN695)</f>
        <v>1623</v>
      </c>
      <c r="CS695">
        <f>IF($CP695="refOK",$BQ695,-$BQ695)</f>
        <v>337197897.30490154</v>
      </c>
      <c r="CT695">
        <f>IF(BI695="Roundwood",$CS695/2,$CS695)</f>
        <v>337197897.30490154</v>
      </c>
      <c r="CU695">
        <f>IF($CP695="refOK",$BU695,$BV695)*IF($BR695="Emissions positive",-1,1)</f>
        <v>-2538</v>
      </c>
      <c r="CV695">
        <f>IF($CP695="refOK",$BV695,$BU695)*IF($BR695="Emissions positive",-1,1)</f>
        <v>-1256</v>
      </c>
      <c r="CW695">
        <f>IF($CP695="refNeedCorrection",-BZ695,BZ695)*IF($BR695="Emissions positive",-1,1)</f>
        <v>1282000000</v>
      </c>
      <c r="CX695">
        <f>IFERROR($CW695/$CS695,"")</f>
        <v>3.8019216912280691</v>
      </c>
      <c r="CY695">
        <f>IFERROR($CW695/$CS695,"")</f>
        <v>3.8019216912280691</v>
      </c>
      <c r="CZ695">
        <f>IFERROR($CW695/$CT695,"")</f>
        <v>3.8019216912280691</v>
      </c>
      <c r="DA695" s="2">
        <f>IFERROR((CV695-CU695)/ABS(CU695),"")</f>
        <v>0.50512214342001571</v>
      </c>
      <c r="DB695" s="1" t="s">
        <v>263</v>
      </c>
      <c r="DC695" t="str">
        <f>IF(OR($DB695="prd",$DB695="std",$DB695="cit"),"loc",IF(OR($DB695="eur",$DB695="reg",$DB695="coy"),"reg",$DB695))</f>
        <v>loc</v>
      </c>
      <c r="DD695" t="s">
        <v>428</v>
      </c>
      <c r="DE695">
        <v>2008</v>
      </c>
      <c r="DF695">
        <f>DE695+DG695</f>
        <v>2108</v>
      </c>
      <c r="DG695">
        <v>100</v>
      </c>
      <c r="DH695" t="str">
        <f>IF(DG695=0,"0",IF(AND(DG695&gt;=1,DG695&lt;=30),"1-30",IF(AND(DG695&gt;30,DG695&lt;=70),"31-70",IF(AND(DG695&gt;70,DG695&lt;=100),"71-100",IF(DG695&gt;100,"+100")))))</f>
        <v>71-100</v>
      </c>
      <c r="DI695">
        <v>0</v>
      </c>
      <c r="DJ695">
        <v>0</v>
      </c>
      <c r="DK695">
        <v>0</v>
      </c>
      <c r="DL695">
        <v>1</v>
      </c>
      <c r="DN695">
        <f>SUM(DI695:DL695)</f>
        <v>1</v>
      </c>
      <c r="DO695" t="str">
        <f>IF(DN695=1,INDEX($DI$7:$DL$7,MATCH(1,$DI695:$DL695,0)),"mixedProduct")</f>
        <v>TimberInput</v>
      </c>
      <c r="DP695">
        <f>IF(DI695=1,DP$7,0)</f>
        <v>0</v>
      </c>
      <c r="DQ695">
        <f>IF(DJ695=1,DQ$7,0)</f>
        <v>0</v>
      </c>
      <c r="DR695">
        <f>IF(DK695=1,DR$7,0)</f>
        <v>0</v>
      </c>
      <c r="DS695" t="str">
        <f>IF(DL695=1,DS$7,0)</f>
        <v>Timber</v>
      </c>
      <c r="DT695">
        <v>0</v>
      </c>
      <c r="DU695" s="143">
        <v>0</v>
      </c>
      <c r="DV695">
        <v>0</v>
      </c>
      <c r="DW695">
        <v>0</v>
      </c>
      <c r="DX695">
        <v>0</v>
      </c>
      <c r="DY695">
        <f>SUM(DT695:DU695)</f>
        <v>0</v>
      </c>
      <c r="DZ695" s="143" t="str">
        <f>IF(DT695=1,"self-calculated DF",IF(DU695=1,"external DF used","explicit C balance"))</f>
        <v>explicit C balance</v>
      </c>
      <c r="EA695">
        <v>1</v>
      </c>
      <c r="EB695">
        <v>0</v>
      </c>
      <c r="EC695">
        <v>1</v>
      </c>
      <c r="ED695">
        <v>1</v>
      </c>
      <c r="EE695">
        <v>1</v>
      </c>
      <c r="EF695">
        <v>0</v>
      </c>
      <c r="EG695">
        <v>1</v>
      </c>
      <c r="EH695">
        <v>1</v>
      </c>
      <c r="EI695">
        <v>0</v>
      </c>
      <c r="EJ695">
        <v>1</v>
      </c>
      <c r="EK695">
        <v>0</v>
      </c>
      <c r="EL695">
        <v>0</v>
      </c>
      <c r="EM695">
        <v>0</v>
      </c>
      <c r="EN695" s="2">
        <v>0</v>
      </c>
      <c r="EP695" t="str">
        <f>IF(AND(AND(AND(OR($EC695=1,$EB695=1),OR($EH695=1,$EF695=1)),SUM($EA695:$EE695,$EK695)&gt;=3),SUM($EF695:$EJ695)&gt;=2),"Whole sector approach","")</f>
        <v>Whole sector approach</v>
      </c>
      <c r="EQ695" t="str">
        <f>IF(AND(AND(OR($EC695=1,$EB695=1),AND($EH695=0,$EF695=0)),SUM($EA695:$EE695,$EK695)&gt;=4),"Ecosystem approach","")</f>
        <v/>
      </c>
      <c r="ER695" s="2" t="str">
        <f>IF(AND(AND(AND($EC695=0,$EB695=0),OR($EH695=1,$EF695=1)),SUM($EG695:$EJ695)&gt;=2),"Technology approach","")</f>
        <v/>
      </c>
      <c r="ES695" t="str">
        <f>IF(AND($EC695+$EB695+$EE695+$EA695+$ED695+$EG695=0,$N695="included"),"C neutral forest and HWP assumption","")</f>
        <v/>
      </c>
      <c r="ET695" t="str">
        <f>IF(AND(AND(AND(AND($EC695=1,$EB695+$EA695+$EG695&gt;=1),$EF695=1),$EH695+$EI695+$ED695+$EE695&gt;=2),$N695="included"),"All C pools assumption","")</f>
        <v/>
      </c>
      <c r="EU695" t="str">
        <f>IF(AND($ED695+$EE695+$EI695+$EH695+$EF695=0,$N695="included"),"In-situ only assumption","")</f>
        <v/>
      </c>
      <c r="EY695" t="str">
        <f>IF(ISNUMBER(BW695),IF(ABS(BW695-[2]QC_indicators!$B$2)&gt;3*[2]QC_indicators!$C$2,"C ratio",IF(ISNUMBER(CA695),IF(ABS(CA695-[2]QC_indicators!$B$1)&gt;3*[2]QC_indicators!$C$1,"DF","no"))),IF(ISNUMBER(CA695),IF(ABS(CA695-[2]QC_indicators!$B$1)&gt;3*[2]QC_indicators!$C$1,"DF","no")))</f>
        <v>no</v>
      </c>
      <c r="EZ695" t="s">
        <v>1039</v>
      </c>
      <c r="FA695" t="str">
        <f>IF(LEN($CY695)=0,"",IF(AND($CY695&lt;(-0.05),$ES695="C neutral forest and HWP assumption"),"Cneutral paradox",IF(AND($CY695&gt;0.05,$EU695="In-situ only assumption"),"In-situ only paradox","")))</f>
        <v/>
      </c>
      <c r="FB695" t="s">
        <v>1040</v>
      </c>
      <c r="FD695" s="260" t="s">
        <v>2926</v>
      </c>
    </row>
    <row r="696" spans="1:160" ht="15" hidden="1" customHeight="1">
      <c r="A696" s="1" t="s">
        <v>761</v>
      </c>
      <c r="D696" t="s">
        <v>1031</v>
      </c>
      <c r="E696" t="s">
        <v>1032</v>
      </c>
      <c r="G696" t="s">
        <v>762</v>
      </c>
      <c r="I696">
        <v>2008</v>
      </c>
      <c r="K696" t="s">
        <v>1033</v>
      </c>
      <c r="M696" t="str">
        <f>LEFT($D696,FIND(",",$D696)-1)&amp;"_"&amp;I696&amp;L696</f>
        <v>Upton_2008</v>
      </c>
      <c r="N696" t="s">
        <v>222</v>
      </c>
      <c r="O696" s="145" t="s">
        <v>225</v>
      </c>
      <c r="Q696" t="s">
        <v>256</v>
      </c>
      <c r="R696" s="258" t="s">
        <v>223</v>
      </c>
      <c r="S696" s="1" t="s">
        <v>1041</v>
      </c>
      <c r="T696" t="s">
        <v>1042</v>
      </c>
      <c r="U696" t="s">
        <v>1036</v>
      </c>
      <c r="V696" s="253">
        <v>0</v>
      </c>
      <c r="W696" s="253">
        <v>0</v>
      </c>
      <c r="X696">
        <v>0</v>
      </c>
      <c r="Y696">
        <v>0</v>
      </c>
      <c r="Z696">
        <v>0</v>
      </c>
      <c r="AA696">
        <v>0</v>
      </c>
      <c r="AB696">
        <v>0</v>
      </c>
      <c r="AC696">
        <v>0</v>
      </c>
      <c r="AD696">
        <v>0</v>
      </c>
      <c r="AE696">
        <v>0</v>
      </c>
      <c r="AF696">
        <v>0</v>
      </c>
      <c r="AG696">
        <v>0</v>
      </c>
      <c r="AH696">
        <v>0</v>
      </c>
      <c r="AI696">
        <v>0</v>
      </c>
      <c r="AJ696">
        <v>0</v>
      </c>
      <c r="AK696">
        <v>0</v>
      </c>
      <c r="AL696">
        <v>0</v>
      </c>
      <c r="AM696">
        <v>1</v>
      </c>
      <c r="AN696">
        <v>0</v>
      </c>
      <c r="AO696">
        <v>0</v>
      </c>
      <c r="AP696">
        <v>0</v>
      </c>
      <c r="AQ696">
        <v>0</v>
      </c>
      <c r="AR696">
        <v>0</v>
      </c>
      <c r="AS696">
        <v>0</v>
      </c>
      <c r="AT696">
        <v>0</v>
      </c>
      <c r="AU696">
        <v>0</v>
      </c>
      <c r="AV696">
        <v>0</v>
      </c>
      <c r="AW696">
        <v>0</v>
      </c>
      <c r="AX696">
        <v>0</v>
      </c>
      <c r="AY696">
        <v>0</v>
      </c>
      <c r="AZ696" s="141">
        <f>COUNTIF(X696:AY696,"&lt;&gt;0")</f>
        <v>1</v>
      </c>
      <c r="BA696" s="141">
        <f>COUNTIF(X696:AN696,"&lt;&gt;0")</f>
        <v>1</v>
      </c>
      <c r="BB696">
        <f>COUNTIF(X696:AE696,"&lt;&gt;0")</f>
        <v>0</v>
      </c>
      <c r="BC696">
        <f>COUNTIF(AF696:AK696,"&lt;&gt;0")</f>
        <v>0</v>
      </c>
      <c r="BD696">
        <f>COUNTIF(AL696:AN696,"&lt;&gt;0")</f>
        <v>1</v>
      </c>
      <c r="BE696">
        <f>COUNTIF(AU696:AY696,"&lt;&gt;0")</f>
        <v>0</v>
      </c>
      <c r="BF696">
        <f>COUNTIF(AO696:AT696,"&lt;&gt;0")</f>
        <v>0</v>
      </c>
      <c r="BG696" t="str">
        <f t="array" ref="BG696">IF(BA696=1,INDEX($X$7:$AN$7,MATCH(TRUE,INDEX($X696:$AY696&lt;&gt;0,),0)),IF(BA696=0,INDEX($AO$7:$AY$7,MATCH(1,$AO696:$AY696,0)),IF(BH696="Multiple strategies","mixed drivers",IF(BH696="Supply chain","multiple supply","multiple silviculture"))))</f>
        <v>technologies/design switch</v>
      </c>
      <c r="BH696" s="2" t="str" cm="1">
        <f t="array" ref="BH696">IF(COUNTIF(BB696:BD696,"&lt;&gt;0")=1,INDEX($X$4:$AY$4,MATCH(TRUE,INDEX($X696:$AY696&lt;&gt;0,),0)),IF(COUNTIF(BB696:BD696,"&lt;&gt;0")=0,INDEX($AO$4:$AY$4,MATCH(1,$AO696:$AY696,0)),"Multiple strategies"))</f>
        <v>Technology</v>
      </c>
      <c r="BI696" s="1" t="s">
        <v>229</v>
      </c>
      <c r="BJ696" t="s">
        <v>1037</v>
      </c>
      <c r="BL696" t="s">
        <v>585</v>
      </c>
      <c r="BM696">
        <v>1338</v>
      </c>
      <c r="BN696">
        <v>1623</v>
      </c>
      <c r="BP696">
        <f>BN696-BM696</f>
        <v>285</v>
      </c>
      <c r="BQ696">
        <f>BP696/C_to_CO2*tC_to_m3*10^6</f>
        <v>337197897.30490154</v>
      </c>
      <c r="BR696" t="s">
        <v>232</v>
      </c>
      <c r="BT696" t="s">
        <v>1038</v>
      </c>
      <c r="BW696" s="144"/>
      <c r="BX696">
        <v>1253.8</v>
      </c>
      <c r="BZ696">
        <f>BX696*10^6</f>
        <v>1253800000</v>
      </c>
      <c r="CA696">
        <f>IFERROR(BZ696/BQ696,"")</f>
        <v>3.718291276491227</v>
      </c>
      <c r="CB696">
        <v>0</v>
      </c>
      <c r="CC696">
        <v>1</v>
      </c>
      <c r="CD696">
        <v>0</v>
      </c>
      <c r="CE696">
        <v>0</v>
      </c>
      <c r="CF696">
        <v>0</v>
      </c>
      <c r="CG696">
        <v>0</v>
      </c>
      <c r="CH696">
        <v>0</v>
      </c>
      <c r="CI696">
        <v>0</v>
      </c>
      <c r="CJ696">
        <v>0</v>
      </c>
      <c r="CK696">
        <v>0</v>
      </c>
      <c r="CL696">
        <v>0</v>
      </c>
      <c r="CM696">
        <v>0</v>
      </c>
      <c r="CN696">
        <v>0</v>
      </c>
      <c r="CO696">
        <v>0</v>
      </c>
      <c r="CP696" t="str">
        <f>IF($BN696&lt;$BM696,"refNeedCorrection","refOK")</f>
        <v>refOK</v>
      </c>
      <c r="CQ696">
        <f>IF($CP696="refNeedCorrection",BN696,BM696)</f>
        <v>1338</v>
      </c>
      <c r="CR696">
        <f>IF($CP696="refNeedCorrection",BM696,BN696)</f>
        <v>1623</v>
      </c>
      <c r="CS696">
        <f>IF($CP696="refOK",$BQ696,-$BQ696)</f>
        <v>337197897.30490154</v>
      </c>
      <c r="CT696">
        <f>IF(BI696="Roundwood",$CS696/2,$CS696)</f>
        <v>337197897.30490154</v>
      </c>
      <c r="CU696">
        <f>IF($CP696="refOK",$BU696,$BV696)*IF($BR696="Emissions positive",-1,1)</f>
        <v>0</v>
      </c>
      <c r="CV696">
        <f>IF($CP696="refOK",$BV696,$BU696)*IF($BR696="Emissions positive",-1,1)</f>
        <v>0</v>
      </c>
      <c r="CW696">
        <f>IF($CP696="refNeedCorrection",-BZ696,BZ696)*IF($BR696="Emissions positive",-1,1)</f>
        <v>1253800000</v>
      </c>
      <c r="CX696">
        <f>IFERROR($CW696/$CS696,"")</f>
        <v>3.718291276491227</v>
      </c>
      <c r="CY696">
        <f>IFERROR($CW696/$CS696,"")</f>
        <v>3.718291276491227</v>
      </c>
      <c r="CZ696">
        <f>IFERROR($CW696/$CT696,"")</f>
        <v>3.718291276491227</v>
      </c>
      <c r="DA696" s="2" t="str">
        <f>IFERROR((CV696-CU696)/ABS(CU696),"")</f>
        <v/>
      </c>
      <c r="DB696" s="1" t="s">
        <v>263</v>
      </c>
      <c r="DC696" t="str">
        <f>IF(OR($DB696="prd",$DB696="std",$DB696="cit"),"loc",IF(OR($DB696="eur",$DB696="reg",$DB696="coy"),"reg",$DB696))</f>
        <v>loc</v>
      </c>
      <c r="DD696" t="s">
        <v>428</v>
      </c>
      <c r="DE696">
        <v>2008</v>
      </c>
      <c r="DF696">
        <f>DE696+DG696</f>
        <v>2108</v>
      </c>
      <c r="DG696">
        <v>100</v>
      </c>
      <c r="DH696" t="str">
        <f>IF(DG696=0,"0",IF(AND(DG696&gt;=1,DG696&lt;=30),"1-30",IF(AND(DG696&gt;30,DG696&lt;=70),"31-70",IF(AND(DG696&gt;70,DG696&lt;=100),"71-100",IF(DG696&gt;100,"+100")))))</f>
        <v>71-100</v>
      </c>
      <c r="DI696">
        <v>0</v>
      </c>
      <c r="DJ696">
        <v>0</v>
      </c>
      <c r="DK696">
        <v>0</v>
      </c>
      <c r="DL696">
        <v>1</v>
      </c>
      <c r="DN696">
        <f>SUM(DI696:DL696)</f>
        <v>1</v>
      </c>
      <c r="DO696" t="str">
        <f>IF(DN696=1,INDEX($DI$7:$DL$7,MATCH(1,$DI696:$DL696,0)),"mixedProduct")</f>
        <v>TimberInput</v>
      </c>
      <c r="DP696">
        <f>IF(DI696=1,DP$7,0)</f>
        <v>0</v>
      </c>
      <c r="DQ696">
        <f>IF(DJ696=1,DQ$7,0)</f>
        <v>0</v>
      </c>
      <c r="DR696">
        <f>IF(DK696=1,DR$7,0)</f>
        <v>0</v>
      </c>
      <c r="DS696" t="str">
        <f>IF(DL696=1,DS$7,0)</f>
        <v>Timber</v>
      </c>
      <c r="DT696">
        <v>0</v>
      </c>
      <c r="DU696" s="143">
        <v>0</v>
      </c>
      <c r="DV696">
        <v>0</v>
      </c>
      <c r="DW696">
        <v>0</v>
      </c>
      <c r="DX696">
        <v>0</v>
      </c>
      <c r="DY696">
        <f>SUM(DT696:DU696)</f>
        <v>0</v>
      </c>
      <c r="DZ696" s="143" t="str">
        <f>IF(DT696=1,"self-calculated DF",IF(DU696=1,"external DF used","explicit C balance"))</f>
        <v>explicit C balance</v>
      </c>
      <c r="EA696">
        <v>1</v>
      </c>
      <c r="EB696">
        <v>0</v>
      </c>
      <c r="EC696">
        <v>1</v>
      </c>
      <c r="ED696">
        <v>1</v>
      </c>
      <c r="EE696">
        <v>1</v>
      </c>
      <c r="EF696">
        <v>1</v>
      </c>
      <c r="EG696">
        <v>1</v>
      </c>
      <c r="EH696">
        <v>1</v>
      </c>
      <c r="EI696">
        <v>0</v>
      </c>
      <c r="EJ696">
        <v>1</v>
      </c>
      <c r="EK696">
        <v>0</v>
      </c>
      <c r="EL696">
        <v>0</v>
      </c>
      <c r="EM696">
        <v>0</v>
      </c>
      <c r="EN696" s="2">
        <v>0</v>
      </c>
      <c r="EP696" t="str">
        <f>IF(AND(AND(AND(OR($EC696=1,$EB696=1),OR($EH696=1,$EF696=1)),SUM($EA696:$EE696,$EK696)&gt;=3),SUM($EF696:$EJ696)&gt;=2),"Whole sector approach","")</f>
        <v>Whole sector approach</v>
      </c>
      <c r="EQ696" t="str">
        <f>IF(AND(AND(OR($EC696=1,$EB696=1),AND($EH696=0,$EF696=0)),SUM($EA696:$EE696,$EK696)&gt;=4),"Ecosystem approach","")</f>
        <v/>
      </c>
      <c r="ER696" s="2" t="str">
        <f>IF(AND(AND(AND($EC696=0,$EB696=0),OR($EH696=1,$EF696=1)),SUM($EG696:$EJ696)&gt;=2),"Technology approach","")</f>
        <v/>
      </c>
      <c r="ES696" t="str">
        <f>IF(AND($EC696+$EB696+$EE696+$EA696+$ED696+$EG696=0,$N696="included"),"C neutral forest and HWP assumption","")</f>
        <v/>
      </c>
      <c r="ET696" t="str">
        <f>IF(AND(AND(AND(AND($EC696=1,$EB696+$EA696+$EG696&gt;=1),$EF696=1),$EH696+$EI696+$ED696+$EE696&gt;=2),$N696="included"),"All C pools assumption","")</f>
        <v>All C pools assumption</v>
      </c>
      <c r="EU696" t="str">
        <f>IF(AND($ED696+$EE696+$EI696+$EH696+$EF696=0,$N696="included"),"In-situ only assumption","")</f>
        <v/>
      </c>
      <c r="EY696" t="str">
        <f>IF(ISNUMBER(BW696),IF(ABS(BW696-[2]QC_indicators!$B$2)&gt;3*[2]QC_indicators!$C$2,"C ratio",IF(ISNUMBER(CA696),IF(ABS(CA696-[2]QC_indicators!$B$1)&gt;3*[2]QC_indicators!$C$1,"DF","no"))),IF(ISNUMBER(CA696),IF(ABS(CA696-[2]QC_indicators!$B$1)&gt;3*[2]QC_indicators!$C$1,"DF","no")))</f>
        <v>no</v>
      </c>
      <c r="EZ696" t="s">
        <v>1039</v>
      </c>
      <c r="FA696" t="str">
        <f>IF(LEN($CY696)=0,"",IF(AND($CY696&lt;(-0.05),$ES696="C neutral forest and HWP assumption"),"Cneutral paradox",IF(AND($CY696&gt;0.05,$EU696="In-situ only assumption"),"In-situ only paradox","")))</f>
        <v/>
      </c>
      <c r="FB696" t="s">
        <v>1040</v>
      </c>
      <c r="FD696" s="260" t="s">
        <v>2926</v>
      </c>
    </row>
    <row r="697" spans="1:160" ht="15" hidden="1" customHeight="1">
      <c r="A697" s="1" t="s">
        <v>761</v>
      </c>
      <c r="D697" t="s">
        <v>1031</v>
      </c>
      <c r="E697" t="s">
        <v>1032</v>
      </c>
      <c r="G697" t="s">
        <v>762</v>
      </c>
      <c r="I697">
        <v>2008</v>
      </c>
      <c r="K697" t="s">
        <v>1033</v>
      </c>
      <c r="M697" t="str">
        <f>LEFT($D697,FIND(",",$D697)-1)&amp;"_"&amp;I697&amp;L697</f>
        <v>Upton_2008</v>
      </c>
      <c r="N697" t="s">
        <v>222</v>
      </c>
      <c r="O697" s="145" t="s">
        <v>225</v>
      </c>
      <c r="Q697" t="s">
        <v>256</v>
      </c>
      <c r="R697" s="258" t="s">
        <v>223</v>
      </c>
      <c r="S697" s="1" t="s">
        <v>1034</v>
      </c>
      <c r="T697" t="s">
        <v>1035</v>
      </c>
      <c r="U697" t="s">
        <v>1036</v>
      </c>
      <c r="V697" s="253">
        <v>0</v>
      </c>
      <c r="W697" s="253">
        <v>0</v>
      </c>
      <c r="X697">
        <v>0</v>
      </c>
      <c r="Y697">
        <v>0</v>
      </c>
      <c r="Z697">
        <v>0</v>
      </c>
      <c r="AA697">
        <v>0</v>
      </c>
      <c r="AB697">
        <v>0</v>
      </c>
      <c r="AC697">
        <v>0</v>
      </c>
      <c r="AD697">
        <v>0</v>
      </c>
      <c r="AE697">
        <v>0</v>
      </c>
      <c r="AF697">
        <v>0</v>
      </c>
      <c r="AG697">
        <v>0</v>
      </c>
      <c r="AH697">
        <v>0</v>
      </c>
      <c r="AI697">
        <v>0</v>
      </c>
      <c r="AJ697">
        <v>0</v>
      </c>
      <c r="AK697">
        <v>0</v>
      </c>
      <c r="AL697">
        <v>0</v>
      </c>
      <c r="AM697">
        <v>1</v>
      </c>
      <c r="AN697">
        <v>0</v>
      </c>
      <c r="AO697">
        <v>0</v>
      </c>
      <c r="AP697">
        <v>0</v>
      </c>
      <c r="AQ697">
        <v>0</v>
      </c>
      <c r="AR697">
        <v>0</v>
      </c>
      <c r="AS697">
        <v>0</v>
      </c>
      <c r="AT697">
        <v>0</v>
      </c>
      <c r="AU697">
        <v>0</v>
      </c>
      <c r="AV697">
        <v>0</v>
      </c>
      <c r="AW697">
        <v>0</v>
      </c>
      <c r="AX697">
        <v>0</v>
      </c>
      <c r="AY697">
        <v>0</v>
      </c>
      <c r="AZ697" s="141">
        <f>COUNTIF(X697:AY697,"&lt;&gt;0")</f>
        <v>1</v>
      </c>
      <c r="BA697" s="141">
        <f>COUNTIF(X697:AN697,"&lt;&gt;0")</f>
        <v>1</v>
      </c>
      <c r="BB697">
        <f>COUNTIF(X697:AE697,"&lt;&gt;0")</f>
        <v>0</v>
      </c>
      <c r="BC697">
        <f>COUNTIF(AF697:AK697,"&lt;&gt;0")</f>
        <v>0</v>
      </c>
      <c r="BD697">
        <f>COUNTIF(AL697:AN697,"&lt;&gt;0")</f>
        <v>1</v>
      </c>
      <c r="BE697">
        <f>COUNTIF(AU697:AY697,"&lt;&gt;0")</f>
        <v>0</v>
      </c>
      <c r="BF697">
        <f>COUNTIF(AO697:AT697,"&lt;&gt;0")</f>
        <v>0</v>
      </c>
      <c r="BG697" t="str">
        <f t="array" ref="BG697">IF(BA697=1,INDEX($X$7:$AN$7,MATCH(TRUE,INDEX($X697:$AY697&lt;&gt;0,),0)),IF(BA697=0,INDEX($AO$7:$AY$7,MATCH(1,$AO697:$AY697,0)),IF(BH697="Multiple strategies","mixed drivers",IF(BH697="Supply chain","multiple supply","multiple silviculture"))))</f>
        <v>technologies/design switch</v>
      </c>
      <c r="BH697" s="2" t="str" cm="1">
        <f t="array" ref="BH697">IF(COUNTIF(BB697:BD697,"&lt;&gt;0")=1,INDEX($X$4:$AY$4,MATCH(TRUE,INDEX($X697:$AY697&lt;&gt;0,),0)),IF(COUNTIF(BB697:BD697,"&lt;&gt;0")=0,INDEX($AO$4:$AY$4,MATCH(1,$AO697:$AY697,0)),"Multiple strategies"))</f>
        <v>Technology</v>
      </c>
      <c r="BI697" s="1" t="s">
        <v>229</v>
      </c>
      <c r="BJ697" t="s">
        <v>1037</v>
      </c>
      <c r="BL697" t="s">
        <v>585</v>
      </c>
      <c r="BM697">
        <v>1106</v>
      </c>
      <c r="BN697">
        <v>2051</v>
      </c>
      <c r="BP697">
        <f>BN697-BM697</f>
        <v>945</v>
      </c>
      <c r="BQ697">
        <f>BP697/C_to_CO2*tC_to_m3*10^6</f>
        <v>1118077238.4320416</v>
      </c>
      <c r="BR697" t="s">
        <v>232</v>
      </c>
      <c r="BT697" t="s">
        <v>1038</v>
      </c>
      <c r="BU697">
        <v>-3731</v>
      </c>
      <c r="BV697">
        <v>-3095</v>
      </c>
      <c r="BW697" s="144">
        <v>0.82953631734119537</v>
      </c>
      <c r="BX697">
        <v>636</v>
      </c>
      <c r="BZ697">
        <f>BX697*10^6</f>
        <v>636000000</v>
      </c>
      <c r="CA697">
        <f>IFERROR(BZ697/BQ697,"")</f>
        <v>0.56883368888888886</v>
      </c>
      <c r="CB697">
        <v>0</v>
      </c>
      <c r="CC697">
        <v>1</v>
      </c>
      <c r="CD697">
        <v>0</v>
      </c>
      <c r="CE697">
        <v>0</v>
      </c>
      <c r="CF697">
        <v>0</v>
      </c>
      <c r="CG697">
        <v>0</v>
      </c>
      <c r="CH697">
        <v>0</v>
      </c>
      <c r="CI697">
        <v>0</v>
      </c>
      <c r="CJ697">
        <v>0</v>
      </c>
      <c r="CK697">
        <v>0</v>
      </c>
      <c r="CL697">
        <v>0</v>
      </c>
      <c r="CM697">
        <v>0</v>
      </c>
      <c r="CN697">
        <v>0</v>
      </c>
      <c r="CO697">
        <v>0</v>
      </c>
      <c r="CP697" t="str">
        <f>IF($BN697&lt;$BM697,"refNeedCorrection","refOK")</f>
        <v>refOK</v>
      </c>
      <c r="CQ697">
        <f>IF($CP697="refNeedCorrection",BN697,BM697)</f>
        <v>1106</v>
      </c>
      <c r="CR697">
        <f>IF($CP697="refNeedCorrection",BM697,BN697)</f>
        <v>2051</v>
      </c>
      <c r="CS697">
        <f>IF($CP697="refOK",$BQ697,-$BQ697)</f>
        <v>1118077238.4320416</v>
      </c>
      <c r="CT697">
        <f>IF(BI697="Roundwood",$CS697/2,$CS697)</f>
        <v>1118077238.4320416</v>
      </c>
      <c r="CU697">
        <f>IF($CP697="refOK",$BU697,$BV697)*IF($BR697="Emissions positive",-1,1)</f>
        <v>-3731</v>
      </c>
      <c r="CV697">
        <f>IF($CP697="refOK",$BV697,$BU697)*IF($BR697="Emissions positive",-1,1)</f>
        <v>-3095</v>
      </c>
      <c r="CW697">
        <f>IF($CP697="refNeedCorrection",-BZ697,BZ697)*IF($BR697="Emissions positive",-1,1)</f>
        <v>636000000</v>
      </c>
      <c r="CX697">
        <f>IFERROR($CW697/$CS697,"")</f>
        <v>0.56883368888888886</v>
      </c>
      <c r="CY697">
        <f>IFERROR($CW697/$CS697,"")</f>
        <v>0.56883368888888886</v>
      </c>
      <c r="CZ697">
        <f>IFERROR($CW697/$CT697,"")</f>
        <v>0.56883368888888886</v>
      </c>
      <c r="DA697" s="2">
        <f>IFERROR((CV697-CU697)/ABS(CU697),"")</f>
        <v>0.1704636826588046</v>
      </c>
      <c r="DB697" s="1" t="s">
        <v>263</v>
      </c>
      <c r="DC697" t="str">
        <f>IF(OR($DB697="prd",$DB697="std",$DB697="cit"),"loc",IF(OR($DB697="eur",$DB697="reg",$DB697="coy"),"reg",$DB697))</f>
        <v>loc</v>
      </c>
      <c r="DD697" t="s">
        <v>428</v>
      </c>
      <c r="DE697">
        <v>2008</v>
      </c>
      <c r="DF697">
        <f>DE697+DG697</f>
        <v>2108</v>
      </c>
      <c r="DG697">
        <v>100</v>
      </c>
      <c r="DH697" t="str">
        <f>IF(DG697=0,"0",IF(AND(DG697&gt;=1,DG697&lt;=30),"1-30",IF(AND(DG697&gt;30,DG697&lt;=70),"31-70",IF(AND(DG697&gt;70,DG697&lt;=100),"71-100",IF(DG697&gt;100,"+100")))))</f>
        <v>71-100</v>
      </c>
      <c r="DI697">
        <v>0</v>
      </c>
      <c r="DJ697">
        <v>0</v>
      </c>
      <c r="DK697">
        <v>0</v>
      </c>
      <c r="DL697">
        <v>1</v>
      </c>
      <c r="DN697">
        <f>SUM(DI697:DL697)</f>
        <v>1</v>
      </c>
      <c r="DO697" t="str">
        <f>IF(DN697=1,INDEX($DI$7:$DL$7,MATCH(1,$DI697:$DL697,0)),"mixedProduct")</f>
        <v>TimberInput</v>
      </c>
      <c r="DP697">
        <f>IF(DI697=1,DP$7,0)</f>
        <v>0</v>
      </c>
      <c r="DQ697">
        <f>IF(DJ697=1,DQ$7,0)</f>
        <v>0</v>
      </c>
      <c r="DR697">
        <f>IF(DK697=1,DR$7,0)</f>
        <v>0</v>
      </c>
      <c r="DS697" t="str">
        <f>IF(DL697=1,DS$7,0)</f>
        <v>Timber</v>
      </c>
      <c r="DT697">
        <v>0</v>
      </c>
      <c r="DU697" s="143">
        <v>0</v>
      </c>
      <c r="DV697">
        <v>0</v>
      </c>
      <c r="DW697">
        <v>0</v>
      </c>
      <c r="DX697">
        <v>0</v>
      </c>
      <c r="DY697">
        <f>SUM(DT697:DU697)</f>
        <v>0</v>
      </c>
      <c r="DZ697" s="143" t="str">
        <f>IF(DT697=1,"self-calculated DF",IF(DU697=1,"external DF used","explicit C balance"))</f>
        <v>explicit C balance</v>
      </c>
      <c r="EA697">
        <v>1</v>
      </c>
      <c r="EB697">
        <v>0</v>
      </c>
      <c r="EC697">
        <v>1</v>
      </c>
      <c r="ED697">
        <v>1</v>
      </c>
      <c r="EE697">
        <v>1</v>
      </c>
      <c r="EF697">
        <v>0</v>
      </c>
      <c r="EG697">
        <v>1</v>
      </c>
      <c r="EH697">
        <v>1</v>
      </c>
      <c r="EI697">
        <v>0</v>
      </c>
      <c r="EJ697">
        <v>1</v>
      </c>
      <c r="EK697">
        <v>0</v>
      </c>
      <c r="EL697">
        <v>0</v>
      </c>
      <c r="EM697">
        <v>0</v>
      </c>
      <c r="EN697" s="2">
        <v>0</v>
      </c>
      <c r="EP697" t="str">
        <f>IF(AND(AND(AND(OR($EC697=1,$EB697=1),OR($EH697=1,$EF697=1)),SUM($EA697:$EE697,$EK697)&gt;=3),SUM($EF697:$EJ697)&gt;=2),"Whole sector approach","")</f>
        <v>Whole sector approach</v>
      </c>
      <c r="EQ697" t="str">
        <f>IF(AND(AND(OR($EC697=1,$EB697=1),AND($EH697=0,$EF697=0)),SUM($EA697:$EE697,$EK697)&gt;=4),"Ecosystem approach","")</f>
        <v/>
      </c>
      <c r="ER697" s="2" t="str">
        <f>IF(AND(AND(AND($EC697=0,$EB697=0),OR($EH697=1,$EF697=1)),SUM($EG697:$EJ697)&gt;=2),"Technology approach","")</f>
        <v/>
      </c>
      <c r="ES697" t="str">
        <f>IF(AND($EC697+$EB697+$EE697+$EA697+$ED697+$EG697=0,$N697="included"),"C neutral forest and HWP assumption","")</f>
        <v/>
      </c>
      <c r="ET697" t="str">
        <f>IF(AND(AND(AND(AND($EC697=1,$EB697+$EA697+$EG697&gt;=1),$EF697=1),$EH697+$EI697+$ED697+$EE697&gt;=2),$N697="included"),"All C pools assumption","")</f>
        <v/>
      </c>
      <c r="EU697" t="str">
        <f>IF(AND($ED697+$EE697+$EI697+$EH697+$EF697=0,$N697="included"),"In-situ only assumption","")</f>
        <v/>
      </c>
      <c r="EY697" t="str">
        <f>IF(ISNUMBER(BW697),IF(ABS(BW697-[2]QC_indicators!$B$2)&gt;3*[2]QC_indicators!$C$2,"C ratio",IF(ISNUMBER(CA697),IF(ABS(CA697-[2]QC_indicators!$B$1)&gt;3*[2]QC_indicators!$C$1,"DF","no"))),IF(ISNUMBER(CA697),IF(ABS(CA697-[2]QC_indicators!$B$1)&gt;3*[2]QC_indicators!$C$1,"DF","no")))</f>
        <v>no</v>
      </c>
      <c r="EZ697" t="s">
        <v>1039</v>
      </c>
      <c r="FA697" t="str">
        <f>IF(LEN($CY697)=0,"",IF(AND($CY697&lt;(-0.05),$ES697="C neutral forest and HWP assumption"),"Cneutral paradox",IF(AND($CY697&gt;0.05,$EU697="In-situ only assumption"),"In-situ only paradox","")))</f>
        <v/>
      </c>
      <c r="FB697" t="s">
        <v>1040</v>
      </c>
      <c r="FD697" s="260" t="s">
        <v>2926</v>
      </c>
    </row>
    <row r="698" spans="1:160" ht="15" hidden="1" customHeight="1">
      <c r="A698" s="1" t="s">
        <v>761</v>
      </c>
      <c r="D698" t="s">
        <v>1031</v>
      </c>
      <c r="E698" t="s">
        <v>1032</v>
      </c>
      <c r="G698" t="s">
        <v>762</v>
      </c>
      <c r="I698">
        <v>2008</v>
      </c>
      <c r="K698" t="s">
        <v>1033</v>
      </c>
      <c r="M698" t="str">
        <f>LEFT($D698,FIND(",",$D698)-1)&amp;"_"&amp;I698&amp;L698</f>
        <v>Upton_2008</v>
      </c>
      <c r="N698" t="s">
        <v>222</v>
      </c>
      <c r="O698" s="145" t="s">
        <v>225</v>
      </c>
      <c r="Q698" t="s">
        <v>256</v>
      </c>
      <c r="R698" s="258" t="s">
        <v>223</v>
      </c>
      <c r="S698" s="1" t="s">
        <v>1034</v>
      </c>
      <c r="T698" t="s">
        <v>1035</v>
      </c>
      <c r="U698" t="s">
        <v>1036</v>
      </c>
      <c r="V698" s="253">
        <v>0</v>
      </c>
      <c r="W698" s="253">
        <v>0</v>
      </c>
      <c r="X698">
        <v>0</v>
      </c>
      <c r="Y698">
        <v>0</v>
      </c>
      <c r="Z698">
        <v>0</v>
      </c>
      <c r="AA698">
        <v>0</v>
      </c>
      <c r="AB698">
        <v>0</v>
      </c>
      <c r="AC698">
        <v>0</v>
      </c>
      <c r="AD698">
        <v>0</v>
      </c>
      <c r="AE698">
        <v>0</v>
      </c>
      <c r="AF698">
        <v>0</v>
      </c>
      <c r="AG698">
        <v>0</v>
      </c>
      <c r="AH698">
        <v>0</v>
      </c>
      <c r="AI698">
        <v>0</v>
      </c>
      <c r="AJ698">
        <v>0</v>
      </c>
      <c r="AK698">
        <v>0</v>
      </c>
      <c r="AL698">
        <v>0</v>
      </c>
      <c r="AM698">
        <v>1</v>
      </c>
      <c r="AN698">
        <v>0</v>
      </c>
      <c r="AO698">
        <v>0</v>
      </c>
      <c r="AP698">
        <v>0</v>
      </c>
      <c r="AQ698">
        <v>0</v>
      </c>
      <c r="AR698">
        <v>0</v>
      </c>
      <c r="AS698">
        <v>0</v>
      </c>
      <c r="AT698">
        <v>0</v>
      </c>
      <c r="AU698">
        <v>0</v>
      </c>
      <c r="AV698">
        <v>0</v>
      </c>
      <c r="AW698">
        <v>0</v>
      </c>
      <c r="AX698">
        <v>0</v>
      </c>
      <c r="AY698">
        <v>0</v>
      </c>
      <c r="AZ698" s="141">
        <f>COUNTIF(X698:AY698,"&lt;&gt;0")</f>
        <v>1</v>
      </c>
      <c r="BA698" s="141">
        <f>COUNTIF(X698:AN698,"&lt;&gt;0")</f>
        <v>1</v>
      </c>
      <c r="BB698">
        <f>COUNTIF(X698:AE698,"&lt;&gt;0")</f>
        <v>0</v>
      </c>
      <c r="BC698">
        <f>COUNTIF(AF698:AK698,"&lt;&gt;0")</f>
        <v>0</v>
      </c>
      <c r="BD698">
        <f>COUNTIF(AL698:AN698,"&lt;&gt;0")</f>
        <v>1</v>
      </c>
      <c r="BE698">
        <f>COUNTIF(AU698:AY698,"&lt;&gt;0")</f>
        <v>0</v>
      </c>
      <c r="BF698">
        <f>COUNTIF(AO698:AT698,"&lt;&gt;0")</f>
        <v>0</v>
      </c>
      <c r="BG698" t="str">
        <f t="array" ref="BG698">IF(BA698=1,INDEX($X$7:$AN$7,MATCH(TRUE,INDEX($X698:$AY698&lt;&gt;0,),0)),IF(BA698=0,INDEX($AO$7:$AY$7,MATCH(1,$AO698:$AY698,0)),IF(BH698="Multiple strategies","mixed drivers",IF(BH698="Supply chain","multiple supply","multiple silviculture"))))</f>
        <v>technologies/design switch</v>
      </c>
      <c r="BH698" s="2" t="str" cm="1">
        <f t="array" ref="BH698">IF(COUNTIF(BB698:BD698,"&lt;&gt;0")=1,INDEX($X$4:$AY$4,MATCH(TRUE,INDEX($X698:$AY698&lt;&gt;0,),0)),IF(COUNTIF(BB698:BD698,"&lt;&gt;0")=0,INDEX($AO$4:$AY$4,MATCH(1,$AO698:$AY698,0)),"Multiple strategies"))</f>
        <v>Technology</v>
      </c>
      <c r="BI698" s="1" t="s">
        <v>229</v>
      </c>
      <c r="BJ698" t="s">
        <v>1037</v>
      </c>
      <c r="BL698" t="s">
        <v>585</v>
      </c>
      <c r="BM698">
        <v>1106</v>
      </c>
      <c r="BN698">
        <v>2051</v>
      </c>
      <c r="BP698">
        <f>BN698-BM698</f>
        <v>945</v>
      </c>
      <c r="BQ698">
        <f>BP698/C_to_CO2*tC_to_m3*10^6</f>
        <v>1118077238.4320416</v>
      </c>
      <c r="BR698" t="s">
        <v>232</v>
      </c>
      <c r="BT698" t="s">
        <v>1038</v>
      </c>
      <c r="BW698" s="144"/>
      <c r="BX698">
        <v>540.6</v>
      </c>
      <c r="BZ698">
        <f>BX698*10^6</f>
        <v>540600000</v>
      </c>
      <c r="CA698">
        <f>IFERROR(BZ698/BQ698,"")</f>
        <v>0.48350863555555557</v>
      </c>
      <c r="CB698">
        <v>0</v>
      </c>
      <c r="CC698">
        <v>1</v>
      </c>
      <c r="CD698">
        <v>0</v>
      </c>
      <c r="CE698">
        <v>0</v>
      </c>
      <c r="CF698">
        <v>0</v>
      </c>
      <c r="CG698">
        <v>0</v>
      </c>
      <c r="CH698">
        <v>0</v>
      </c>
      <c r="CI698">
        <v>0</v>
      </c>
      <c r="CJ698">
        <v>0</v>
      </c>
      <c r="CK698">
        <v>0</v>
      </c>
      <c r="CL698">
        <v>0</v>
      </c>
      <c r="CM698">
        <v>0</v>
      </c>
      <c r="CN698">
        <v>0</v>
      </c>
      <c r="CO698">
        <v>0</v>
      </c>
      <c r="CP698" t="str">
        <f>IF($BN698&lt;$BM698,"refNeedCorrection","refOK")</f>
        <v>refOK</v>
      </c>
      <c r="CQ698">
        <f>IF($CP698="refNeedCorrection",BN698,BM698)</f>
        <v>1106</v>
      </c>
      <c r="CR698">
        <f>IF($CP698="refNeedCorrection",BM698,BN698)</f>
        <v>2051</v>
      </c>
      <c r="CS698">
        <f>IF($CP698="refOK",$BQ698,-$BQ698)</f>
        <v>1118077238.4320416</v>
      </c>
      <c r="CT698">
        <f>IF(BI698="Roundwood",$CS698/2,$CS698)</f>
        <v>1118077238.4320416</v>
      </c>
      <c r="CU698">
        <f>IF($CP698="refOK",$BU698,$BV698)*IF($BR698="Emissions positive",-1,1)</f>
        <v>0</v>
      </c>
      <c r="CV698">
        <f>IF($CP698="refOK",$BV698,$BU698)*IF($BR698="Emissions positive",-1,1)</f>
        <v>0</v>
      </c>
      <c r="CW698">
        <f>IF($CP698="refNeedCorrection",-BZ698,BZ698)*IF($BR698="Emissions positive",-1,1)</f>
        <v>540600000</v>
      </c>
      <c r="CX698">
        <f>IFERROR($CW698/$CS698,"")</f>
        <v>0.48350863555555557</v>
      </c>
      <c r="CY698">
        <f>IFERROR($CW698/$CS698,"")</f>
        <v>0.48350863555555557</v>
      </c>
      <c r="CZ698">
        <f>IFERROR($CW698/$CT698,"")</f>
        <v>0.48350863555555557</v>
      </c>
      <c r="DA698" s="2" t="str">
        <f>IFERROR((CV698-CU698)/ABS(CU698),"")</f>
        <v/>
      </c>
      <c r="DB698" s="1" t="s">
        <v>263</v>
      </c>
      <c r="DC698" t="str">
        <f>IF(OR($DB698="prd",$DB698="std",$DB698="cit"),"loc",IF(OR($DB698="eur",$DB698="reg",$DB698="coy"),"reg",$DB698))</f>
        <v>loc</v>
      </c>
      <c r="DD698" t="s">
        <v>428</v>
      </c>
      <c r="DE698">
        <v>2008</v>
      </c>
      <c r="DF698">
        <f>DE698+DG698</f>
        <v>2108</v>
      </c>
      <c r="DG698">
        <v>100</v>
      </c>
      <c r="DH698" t="str">
        <f>IF(DG698=0,"0",IF(AND(DG698&gt;=1,DG698&lt;=30),"1-30",IF(AND(DG698&gt;30,DG698&lt;=70),"31-70",IF(AND(DG698&gt;70,DG698&lt;=100),"71-100",IF(DG698&gt;100,"+100")))))</f>
        <v>71-100</v>
      </c>
      <c r="DI698">
        <v>0</v>
      </c>
      <c r="DJ698">
        <v>0</v>
      </c>
      <c r="DK698">
        <v>0</v>
      </c>
      <c r="DL698">
        <v>1</v>
      </c>
      <c r="DN698">
        <f>SUM(DI698:DL698)</f>
        <v>1</v>
      </c>
      <c r="DO698" t="str">
        <f>IF(DN698=1,INDEX($DI$7:$DL$7,MATCH(1,$DI698:$DL698,0)),"mixedProduct")</f>
        <v>TimberInput</v>
      </c>
      <c r="DP698">
        <f>IF(DI698=1,DP$7,0)</f>
        <v>0</v>
      </c>
      <c r="DQ698">
        <f>IF(DJ698=1,DQ$7,0)</f>
        <v>0</v>
      </c>
      <c r="DR698">
        <f>IF(DK698=1,DR$7,0)</f>
        <v>0</v>
      </c>
      <c r="DS698" t="str">
        <f>IF(DL698=1,DS$7,0)</f>
        <v>Timber</v>
      </c>
      <c r="DT698">
        <v>0</v>
      </c>
      <c r="DU698" s="143">
        <v>0</v>
      </c>
      <c r="DV698">
        <v>0</v>
      </c>
      <c r="DW698">
        <v>0</v>
      </c>
      <c r="DX698">
        <v>0</v>
      </c>
      <c r="DY698">
        <f>SUM(DT698:DU698)</f>
        <v>0</v>
      </c>
      <c r="DZ698" s="143" t="str">
        <f>IF(DT698=1,"self-calculated DF",IF(DU698=1,"external DF used","explicit C balance"))</f>
        <v>explicit C balance</v>
      </c>
      <c r="EA698">
        <v>1</v>
      </c>
      <c r="EB698">
        <v>0</v>
      </c>
      <c r="EC698">
        <v>1</v>
      </c>
      <c r="ED698">
        <v>1</v>
      </c>
      <c r="EE698">
        <v>1</v>
      </c>
      <c r="EF698">
        <v>1</v>
      </c>
      <c r="EG698">
        <v>1</v>
      </c>
      <c r="EH698">
        <v>1</v>
      </c>
      <c r="EI698">
        <v>0</v>
      </c>
      <c r="EJ698">
        <v>1</v>
      </c>
      <c r="EK698">
        <v>0</v>
      </c>
      <c r="EL698">
        <v>0</v>
      </c>
      <c r="EM698">
        <v>0</v>
      </c>
      <c r="EN698" s="2">
        <v>0</v>
      </c>
      <c r="EP698" t="str">
        <f>IF(AND(AND(AND(OR($EC698=1,$EB698=1),OR($EH698=1,$EF698=1)),SUM($EA698:$EE698,$EK698)&gt;=3),SUM($EF698:$EJ698)&gt;=2),"Whole sector approach","")</f>
        <v>Whole sector approach</v>
      </c>
      <c r="EQ698" t="str">
        <f>IF(AND(AND(OR($EC698=1,$EB698=1),AND($EH698=0,$EF698=0)),SUM($EA698:$EE698,$EK698)&gt;=4),"Ecosystem approach","")</f>
        <v/>
      </c>
      <c r="ER698" s="2" t="str">
        <f>IF(AND(AND(AND($EC698=0,$EB698=0),OR($EH698=1,$EF698=1)),SUM($EG698:$EJ698)&gt;=2),"Technology approach","")</f>
        <v/>
      </c>
      <c r="ES698" t="str">
        <f>IF(AND($EC698+$EB698+$EE698+$EA698+$ED698+$EG698=0,$N698="included"),"C neutral forest and HWP assumption","")</f>
        <v/>
      </c>
      <c r="ET698" t="str">
        <f>IF(AND(AND(AND(AND($EC698=1,$EB698+$EA698+$EG698&gt;=1),$EF698=1),$EH698+$EI698+$ED698+$EE698&gt;=2),$N698="included"),"All C pools assumption","")</f>
        <v>All C pools assumption</v>
      </c>
      <c r="EU698" t="str">
        <f>IF(AND($ED698+$EE698+$EI698+$EH698+$EF698=0,$N698="included"),"In-situ only assumption","")</f>
        <v/>
      </c>
      <c r="EY698" t="str">
        <f>IF(ISNUMBER(BW698),IF(ABS(BW698-[2]QC_indicators!$B$2)&gt;3*[2]QC_indicators!$C$2,"C ratio",IF(ISNUMBER(CA698),IF(ABS(CA698-[2]QC_indicators!$B$1)&gt;3*[2]QC_indicators!$C$1,"DF","no"))),IF(ISNUMBER(CA698),IF(ABS(CA698-[2]QC_indicators!$B$1)&gt;3*[2]QC_indicators!$C$1,"DF","no")))</f>
        <v>no</v>
      </c>
      <c r="EZ698" t="s">
        <v>1039</v>
      </c>
      <c r="FA698" t="str">
        <f>IF(LEN($CY698)=0,"",IF(AND($CY698&lt;(-0.05),$ES698="C neutral forest and HWP assumption"),"Cneutral paradox",IF(AND($CY698&gt;0.05,$EU698="In-situ only assumption"),"In-situ only paradox","")))</f>
        <v/>
      </c>
      <c r="FB698" t="s">
        <v>1040</v>
      </c>
      <c r="FD698" s="260" t="s">
        <v>2926</v>
      </c>
    </row>
    <row r="699" spans="1:160" ht="15" hidden="1" customHeight="1">
      <c r="A699" s="1" t="s">
        <v>549</v>
      </c>
      <c r="B699" t="s">
        <v>531</v>
      </c>
      <c r="C699" t="s">
        <v>550</v>
      </c>
      <c r="D699" t="s">
        <v>551</v>
      </c>
      <c r="E699" t="s">
        <v>552</v>
      </c>
      <c r="F699" t="s">
        <v>553</v>
      </c>
      <c r="G699" t="s">
        <v>554</v>
      </c>
      <c r="H699" t="s">
        <v>254</v>
      </c>
      <c r="I699">
        <v>2009</v>
      </c>
      <c r="J699">
        <v>16</v>
      </c>
      <c r="K699" t="s">
        <v>555</v>
      </c>
      <c r="M699" t="str">
        <f>LEFT($D699,FIND(",",$D699)-1)&amp;"_"&amp;I699&amp;L699</f>
        <v>Crawford_2009</v>
      </c>
      <c r="N699" t="s">
        <v>222</v>
      </c>
      <c r="O699" s="145" t="s">
        <v>223</v>
      </c>
      <c r="Q699" s="317" t="s">
        <v>256</v>
      </c>
      <c r="R699" s="318" t="s">
        <v>1029</v>
      </c>
      <c r="S699" s="1" t="s">
        <v>556</v>
      </c>
      <c r="T699" s="317" t="s">
        <v>573</v>
      </c>
      <c r="U699" s="317" t="s">
        <v>565</v>
      </c>
      <c r="V699" s="253">
        <v>0</v>
      </c>
      <c r="W699" s="253">
        <v>0</v>
      </c>
      <c r="X699">
        <v>0</v>
      </c>
      <c r="Y699">
        <v>0</v>
      </c>
      <c r="Z699">
        <v>0</v>
      </c>
      <c r="AA699">
        <v>0</v>
      </c>
      <c r="AB699">
        <v>0</v>
      </c>
      <c r="AC699">
        <v>0</v>
      </c>
      <c r="AD699">
        <v>0</v>
      </c>
      <c r="AE699">
        <v>0</v>
      </c>
      <c r="AF699">
        <v>0</v>
      </c>
      <c r="AG699">
        <v>0</v>
      </c>
      <c r="AH699">
        <v>0</v>
      </c>
      <c r="AI699">
        <v>0</v>
      </c>
      <c r="AJ699">
        <v>0</v>
      </c>
      <c r="AK699">
        <v>0</v>
      </c>
      <c r="AL699">
        <v>0</v>
      </c>
      <c r="AM699">
        <v>1</v>
      </c>
      <c r="AN699">
        <v>0</v>
      </c>
      <c r="AO699">
        <v>0</v>
      </c>
      <c r="AP699">
        <v>0</v>
      </c>
      <c r="AQ699">
        <v>0</v>
      </c>
      <c r="AR699">
        <v>0</v>
      </c>
      <c r="AS699">
        <v>0</v>
      </c>
      <c r="AT699">
        <v>0</v>
      </c>
      <c r="AU699">
        <v>0</v>
      </c>
      <c r="AV699">
        <v>0</v>
      </c>
      <c r="AW699">
        <v>0</v>
      </c>
      <c r="AX699">
        <v>0</v>
      </c>
      <c r="AY699">
        <v>0</v>
      </c>
      <c r="AZ699" s="141">
        <f>COUNTIF(X699:AY699,"&lt;&gt;0")</f>
        <v>1</v>
      </c>
      <c r="BA699" s="141">
        <f>COUNTIF(X699:AN699,"&lt;&gt;0")</f>
        <v>1</v>
      </c>
      <c r="BB699">
        <f>COUNTIF(X699:AE699,"&lt;&gt;0")</f>
        <v>0</v>
      </c>
      <c r="BC699">
        <f>COUNTIF(AF699:AK699,"&lt;&gt;0")</f>
        <v>0</v>
      </c>
      <c r="BD699">
        <f>COUNTIF(AL699:AN699,"&lt;&gt;0")</f>
        <v>1</v>
      </c>
      <c r="BE699">
        <f>COUNTIF(AU699:AY699,"&lt;&gt;0")</f>
        <v>0</v>
      </c>
      <c r="BF699">
        <f>COUNTIF(AO699:AT699,"&lt;&gt;0")</f>
        <v>0</v>
      </c>
      <c r="BG699" t="str" cm="1">
        <f t="array" ref="BG699">IF(BA699=1,INDEX($X$7:$AN$7,MATCH(TRUE,INDEX($X699:$AY699&lt;&gt;0,),0)),IF(BA699=0,INDEX($AO$7:$AY$7,MATCH(1,$AO699:$AY699,0)),IF(BH699="Multiple strategies","mixed drivers",IF(BH699="Supply chain","multiple supply","multiple silviculture"))))</f>
        <v>technologies/design switch</v>
      </c>
      <c r="BH699" s="2" t="str" cm="1">
        <f t="array" ref="BH699">IF(COUNTIF(BB699:BD699,"&lt;&gt;0")=1,INDEX($X$4:$AY$4,MATCH(TRUE,INDEX($X699:$AY699&lt;&gt;0,),0)),IF(COUNTIF(BB699:BD699,"&lt;&gt;0")=0,INDEX($AO$4:$AY$4,MATCH(1,$AO699:$AY699,0)),"Multiple strategies"))</f>
        <v>Technology</v>
      </c>
      <c r="BI699" s="1" t="s">
        <v>229</v>
      </c>
      <c r="BJ699" t="s">
        <v>559</v>
      </c>
      <c r="BK699" s="141" t="s">
        <v>4912</v>
      </c>
      <c r="BL699" t="s">
        <v>345</v>
      </c>
      <c r="BM699">
        <f>80.2*1460*2.8</f>
        <v>327857.59999999998</v>
      </c>
      <c r="BN699">
        <f>80.2*1460*2.8</f>
        <v>327857.59999999998</v>
      </c>
      <c r="BP699">
        <f>BN699-BM699</f>
        <v>0</v>
      </c>
      <c r="BQ699">
        <f>BP699*kg_to_m3</f>
        <v>0</v>
      </c>
      <c r="BR699" s="317" t="s">
        <v>232</v>
      </c>
      <c r="BS699" s="141" t="s">
        <v>4913</v>
      </c>
      <c r="BT699" t="s">
        <v>560</v>
      </c>
      <c r="BU699">
        <v>-3185</v>
      </c>
      <c r="BV699">
        <v>-2751</v>
      </c>
      <c r="BW699" s="144">
        <f>IFERROR(BV699/BU699,"")</f>
        <v>0.86373626373626378</v>
      </c>
      <c r="BX699" s="175">
        <f>BV699-BU699</f>
        <v>434</v>
      </c>
      <c r="CA699" t="str">
        <f>IFERROR(BZ699/BQ699,"")</f>
        <v/>
      </c>
      <c r="CP699" t="str">
        <f>IF($BN699&lt;$BM699,"refNeedCorrection","refOK")</f>
        <v>refOK</v>
      </c>
      <c r="CQ699">
        <f>IF($CP699="refNeedCorrection",BN699,BM699)</f>
        <v>327857.59999999998</v>
      </c>
      <c r="CR699">
        <f>IF($CP699="refNeedCorrection",BM699,BN699)</f>
        <v>327857.59999999998</v>
      </c>
      <c r="CS699">
        <f>IF($CP699="refOK",$BQ699,-$BQ699)</f>
        <v>0</v>
      </c>
      <c r="CT699">
        <f>IF(BI699="Roundwood",$CS699/2,$CS699)</f>
        <v>0</v>
      </c>
      <c r="CU699">
        <f>IF($CP699="refOK",$BU699,$BV699)*IF($BR699="Emissions positive",-1,1)</f>
        <v>-3185</v>
      </c>
      <c r="CV699">
        <f>IF($CP699="refOK",$BV699,$BU699)*IF($BR699="Emissions positive",-1,1)</f>
        <v>-2751</v>
      </c>
      <c r="CW699">
        <f>IF($CP699="refNeedCorrection",-BZ699,BZ699)*IF($BR699="Emissions positive",-1,1)</f>
        <v>0</v>
      </c>
      <c r="CX699" t="str">
        <f>IFERROR($CW699/$CS699,"")</f>
        <v/>
      </c>
      <c r="CY699" t="str">
        <f>IFERROR($CW699/$CS699,"")</f>
        <v/>
      </c>
      <c r="CZ699" t="str">
        <f>IFERROR($CW699/$CT699,"")</f>
        <v/>
      </c>
      <c r="DA699" s="2">
        <f>IFERROR((CV699-CU699)/ABS(CU699),"")</f>
        <v>0.13626373626373625</v>
      </c>
      <c r="DB699" s="1" t="s">
        <v>263</v>
      </c>
      <c r="DC699" s="317" t="str">
        <f>IF(OR($DB699="prd",$DB699="std",$DB699="cit"),"loc",IF(OR($DB699="eur",$DB699="reg",$DB699="coy"),"reg",$DB699))</f>
        <v>loc</v>
      </c>
      <c r="DD699" t="s">
        <v>561</v>
      </c>
      <c r="DG699">
        <v>100</v>
      </c>
      <c r="DH699" t="str">
        <f>IF(DG699=0,"0",IF(AND(DG699&gt;=1,DG699&lt;=30),"1-30",IF(AND(DG699&gt;30,DG699&lt;=70),"31-70",IF(AND(DG699&gt;70,DG699&lt;=100),"71-100",IF(DG699&gt;100,"+100")))))</f>
        <v>71-100</v>
      </c>
      <c r="DI699">
        <v>0</v>
      </c>
      <c r="DJ699">
        <v>0</v>
      </c>
      <c r="DK699">
        <v>0</v>
      </c>
      <c r="DL699">
        <v>1</v>
      </c>
      <c r="DN699">
        <f>SUM(DI699:DL699)</f>
        <v>1</v>
      </c>
      <c r="DO699" t="str">
        <f>IF(DN699=1,INDEX($DI$7:$DL$7,MATCH(1,$DI699:$DL699,0)),"mixedProduct")</f>
        <v>TimberInput</v>
      </c>
      <c r="DP699">
        <f>IF(DI699=1,DP$7,0)</f>
        <v>0</v>
      </c>
      <c r="DQ699">
        <f>IF(DJ699=1,DQ$7,0)</f>
        <v>0</v>
      </c>
      <c r="DR699">
        <f>IF(DK699=1,DR$7,0)</f>
        <v>0</v>
      </c>
      <c r="DS699" t="str">
        <f>IF(DL699=1,DS$7,0)</f>
        <v>Timber</v>
      </c>
      <c r="DT699">
        <v>0</v>
      </c>
      <c r="DU699">
        <v>0</v>
      </c>
      <c r="DV699">
        <v>0</v>
      </c>
      <c r="DW699">
        <v>0</v>
      </c>
      <c r="DX699">
        <v>0</v>
      </c>
      <c r="DY699">
        <f>SUM(DT699:DU699)</f>
        <v>0</v>
      </c>
      <c r="DZ699" s="143" t="str">
        <f>IF(DT699=1,"self-calculated DF",IF(DU699=1,"external DF used","explicit C balance"))</f>
        <v>explicit C balance</v>
      </c>
      <c r="EA699">
        <v>0</v>
      </c>
      <c r="EB699">
        <v>1</v>
      </c>
      <c r="EC699">
        <v>0</v>
      </c>
      <c r="ED699">
        <v>1</v>
      </c>
      <c r="EE699">
        <v>1</v>
      </c>
      <c r="EF699">
        <v>1</v>
      </c>
      <c r="EG699">
        <v>1</v>
      </c>
      <c r="EH699">
        <v>1</v>
      </c>
      <c r="EI699">
        <v>1</v>
      </c>
      <c r="EJ699">
        <v>1</v>
      </c>
      <c r="EK699">
        <v>0</v>
      </c>
      <c r="EL699">
        <v>0</v>
      </c>
      <c r="EM699">
        <v>0</v>
      </c>
      <c r="EN699" s="2">
        <v>0</v>
      </c>
      <c r="EP699" t="str">
        <f>IF(AND(AND(AND(OR($EC699=1,$EB699=1),OR($EH699=1,$EF699=1)),SUM($EA699:$EE699,$EK699)&gt;=3),SUM($EF699:$EJ699)&gt;=2),"Whole sector approach","")</f>
        <v>Whole sector approach</v>
      </c>
      <c r="EQ699" t="str">
        <f>IF(AND(AND(OR($EC699=1,$EB699=1),AND($EH699=0,$EF699=0)),SUM($EA699:$EE699,$EK699)&gt;=3),"Ecosystem approach","")</f>
        <v/>
      </c>
      <c r="ER699" s="2" t="str">
        <f>IF(AND(AND(AND($EC699=0,$EB699=0),OR($EH699=1,$EF699=1)),SUM($EG699:$EJ699)&gt;=2),"Technology approach","")</f>
        <v/>
      </c>
      <c r="ES699" t="str">
        <f>IF(AND($EC699+$EB699+$EE699+$EA699+$ED699+$EG699=0,$N699="included"),"C neutral forest and HWP assumption","")</f>
        <v/>
      </c>
      <c r="ET699" t="str">
        <f>IF(AND(AND(AND(AND($EC699=1,$EB699+$EA699+$EG699&gt;=1),$EF699=1),$EH699+$EI699+$ED699+$EE699&gt;=2),$N699="included"),"All C pools assumption","")</f>
        <v/>
      </c>
      <c r="EU699" t="str">
        <f>IF(AND($ED699+$EE699+$EI699+$EH699+$EF699=0,$N699="included"),"In-situ only assumption","")</f>
        <v/>
      </c>
      <c r="EY699" t="b">
        <f>IF(ISNUMBER(BW699),IF(ABS(BW699-[4]QC_indicators!$B$2)&gt;3*[4]QC_indicators!$C$2,"C ratio",IF(ISNUMBER(CA699),IF(ABS(CA699-[4]QC_indicators!$B$1)&gt;3*[4]QC_indicators!$C$1,"DF","no"))),IF(ISNUMBER(CA699),IF(ABS(CA699-[4]QC_indicators!$B$1)&gt;3*[4]QC_indicators!$C$1,"DF","no")))</f>
        <v>0</v>
      </c>
      <c r="FA699" t="str">
        <f>IF(LEN($CY699)=0,"",IF(AND($CY699&lt;(-0.05),$ES699="C neutral forest and HWP assumption"),"Cneutral paradox",IF(AND($CY699&gt;0.05,$EU699="In-situ only assumption"),"In-situ only paradox","")))</f>
        <v/>
      </c>
      <c r="FD699" s="145" t="s">
        <v>4915</v>
      </c>
    </row>
    <row r="700" spans="1:160" ht="15" hidden="1" customHeight="1">
      <c r="A700" s="1" t="s">
        <v>549</v>
      </c>
      <c r="B700" t="s">
        <v>531</v>
      </c>
      <c r="C700" t="s">
        <v>550</v>
      </c>
      <c r="D700" t="s">
        <v>551</v>
      </c>
      <c r="E700" t="s">
        <v>552</v>
      </c>
      <c r="F700" t="s">
        <v>553</v>
      </c>
      <c r="G700" t="s">
        <v>554</v>
      </c>
      <c r="H700" t="s">
        <v>254</v>
      </c>
      <c r="I700">
        <v>2009</v>
      </c>
      <c r="J700">
        <v>16</v>
      </c>
      <c r="K700" t="s">
        <v>555</v>
      </c>
      <c r="M700" t="str">
        <f>LEFT($D700,FIND(",",$D700)-1)&amp;"_"&amp;I700&amp;L700</f>
        <v>Crawford_2009</v>
      </c>
      <c r="N700" t="s">
        <v>222</v>
      </c>
      <c r="O700" s="145" t="s">
        <v>223</v>
      </c>
      <c r="Q700" s="317" t="s">
        <v>256</v>
      </c>
      <c r="R700" s="318" t="s">
        <v>1029</v>
      </c>
      <c r="S700" s="1" t="s">
        <v>566</v>
      </c>
      <c r="T700" s="317" t="s">
        <v>567</v>
      </c>
      <c r="U700" s="317" t="s">
        <v>562</v>
      </c>
      <c r="V700" s="253">
        <v>0</v>
      </c>
      <c r="W700" s="253">
        <v>0</v>
      </c>
      <c r="X700">
        <v>0</v>
      </c>
      <c r="Y700">
        <v>0</v>
      </c>
      <c r="Z700">
        <v>0</v>
      </c>
      <c r="AA700">
        <v>0</v>
      </c>
      <c r="AB700">
        <v>0</v>
      </c>
      <c r="AC700">
        <v>0</v>
      </c>
      <c r="AD700">
        <v>0</v>
      </c>
      <c r="AE700">
        <v>0</v>
      </c>
      <c r="AF700">
        <v>0</v>
      </c>
      <c r="AG700">
        <v>0</v>
      </c>
      <c r="AH700">
        <v>0</v>
      </c>
      <c r="AI700">
        <v>0</v>
      </c>
      <c r="AJ700">
        <v>0</v>
      </c>
      <c r="AK700">
        <v>0</v>
      </c>
      <c r="AL700">
        <v>0</v>
      </c>
      <c r="AM700">
        <v>1</v>
      </c>
      <c r="AN700">
        <v>0</v>
      </c>
      <c r="AO700">
        <v>0</v>
      </c>
      <c r="AP700">
        <v>0</v>
      </c>
      <c r="AQ700">
        <v>0</v>
      </c>
      <c r="AR700">
        <v>0</v>
      </c>
      <c r="AS700">
        <v>0</v>
      </c>
      <c r="AT700">
        <v>0</v>
      </c>
      <c r="AU700">
        <v>0</v>
      </c>
      <c r="AV700">
        <v>0</v>
      </c>
      <c r="AW700">
        <v>0</v>
      </c>
      <c r="AX700">
        <v>0</v>
      </c>
      <c r="AY700">
        <v>0</v>
      </c>
      <c r="AZ700" s="141">
        <f>COUNTIF(X700:AY700,"&lt;&gt;0")</f>
        <v>1</v>
      </c>
      <c r="BA700" s="141">
        <f>COUNTIF(X700:AN700,"&lt;&gt;0")</f>
        <v>1</v>
      </c>
      <c r="BB700">
        <f>COUNTIF(X700:AE700,"&lt;&gt;0")</f>
        <v>0</v>
      </c>
      <c r="BC700">
        <f>COUNTIF(AF700:AK700,"&lt;&gt;0")</f>
        <v>0</v>
      </c>
      <c r="BD700">
        <f>COUNTIF(AL700:AN700,"&lt;&gt;0")</f>
        <v>1</v>
      </c>
      <c r="BE700">
        <f>COUNTIF(AU700:AY700,"&lt;&gt;0")</f>
        <v>0</v>
      </c>
      <c r="BF700">
        <f>COUNTIF(AO700:AT700,"&lt;&gt;0")</f>
        <v>0</v>
      </c>
      <c r="BG700" t="str" cm="1">
        <f t="array" ref="BG700">IF(BA700=1,INDEX($X$7:$AN$7,MATCH(TRUE,INDEX($X700:$AY700&lt;&gt;0,),0)),IF(BA700=0,INDEX($AO$7:$AY$7,MATCH(1,$AO700:$AY700,0)),IF(BH700="Multiple strategies","mixed drivers",IF(BH700="Supply chain","multiple supply","multiple silviculture"))))</f>
        <v>technologies/design switch</v>
      </c>
      <c r="BH700" s="2" t="str" cm="1">
        <f t="array" ref="BH700">IF(COUNTIF(BB700:BD700,"&lt;&gt;0")=1,INDEX($X$4:$AY$4,MATCH(TRUE,INDEX($X700:$AY700&lt;&gt;0,),0)),IF(COUNTIF(BB700:BD700,"&lt;&gt;0")=0,INDEX($AO$4:$AY$4,MATCH(1,$AO700:$AY700,0)),"Multiple strategies"))</f>
        <v>Technology</v>
      </c>
      <c r="BI700" s="1" t="s">
        <v>229</v>
      </c>
      <c r="BJ700" t="s">
        <v>559</v>
      </c>
      <c r="BK700" s="141" t="s">
        <v>4912</v>
      </c>
      <c r="BL700" t="s">
        <v>345</v>
      </c>
      <c r="BM700">
        <v>0</v>
      </c>
      <c r="BN700">
        <f>80.2*1460*4</f>
        <v>468368</v>
      </c>
      <c r="BP700">
        <f>BN700-BM700</f>
        <v>468368</v>
      </c>
      <c r="BQ700">
        <f>BP700*kg_to_m3</f>
        <v>955.85306122448992</v>
      </c>
      <c r="BR700" s="317" t="s">
        <v>232</v>
      </c>
      <c r="BS700" s="141" t="s">
        <v>4913</v>
      </c>
      <c r="BT700" t="s">
        <v>560</v>
      </c>
      <c r="BU700">
        <v>-1491</v>
      </c>
      <c r="BV700">
        <v>-4208</v>
      </c>
      <c r="BW700" s="144">
        <f>IFERROR(BV700/BU700,"")</f>
        <v>2.8222669349429914</v>
      </c>
      <c r="BX700" s="175">
        <f>BV700-BU700</f>
        <v>-2717</v>
      </c>
      <c r="BZ700">
        <f>BX700</f>
        <v>-2717</v>
      </c>
      <c r="CA700">
        <f>IFERROR(BZ700/BQ700,"")</f>
        <v>-2.8424871041574145</v>
      </c>
      <c r="CB700">
        <v>0</v>
      </c>
      <c r="CC700">
        <v>0</v>
      </c>
      <c r="CD700">
        <v>0</v>
      </c>
      <c r="CE700">
        <v>0</v>
      </c>
      <c r="CF700">
        <v>0</v>
      </c>
      <c r="CG700">
        <v>0</v>
      </c>
      <c r="CH700">
        <v>0</v>
      </c>
      <c r="CI700">
        <v>0</v>
      </c>
      <c r="CJ700">
        <v>0</v>
      </c>
      <c r="CK700">
        <v>0</v>
      </c>
      <c r="CL700">
        <v>0</v>
      </c>
      <c r="CM700">
        <v>0</v>
      </c>
      <c r="CN700">
        <v>0</v>
      </c>
      <c r="CO700">
        <v>0</v>
      </c>
      <c r="CP700" t="str">
        <f>IF($BN700&lt;$BM700,"refNeedCorrection","refOK")</f>
        <v>refOK</v>
      </c>
      <c r="CQ700">
        <f>IF($CP700="refNeedCorrection",BN700,BM700)</f>
        <v>0</v>
      </c>
      <c r="CR700">
        <f>IF($CP700="refNeedCorrection",BM700,BN700)</f>
        <v>468368</v>
      </c>
      <c r="CS700">
        <f>IF($CP700="refOK",$BQ700,-$BQ700)</f>
        <v>955.85306122448992</v>
      </c>
      <c r="CT700">
        <f>IF(BI700="Roundwood",$CS700/2,$CS700)</f>
        <v>955.85306122448992</v>
      </c>
      <c r="CU700">
        <f>IF($CP700="refOK",$BU700,$BV700)*IF($BR700="Emissions positive",-1,1)</f>
        <v>-1491</v>
      </c>
      <c r="CV700">
        <f>IF($CP700="refOK",$BV700,$BU700)*IF($BR700="Emissions positive",-1,1)</f>
        <v>-4208</v>
      </c>
      <c r="CW700">
        <f>IF($CP700="refNeedCorrection",-BZ700,BZ700)*IF($BR700="Emissions positive",-1,1)</f>
        <v>-2717</v>
      </c>
      <c r="CX700">
        <f>IFERROR($CW700/$CS700,"")</f>
        <v>-2.8424871041574145</v>
      </c>
      <c r="CY700">
        <f>IFERROR($CW700/$CS700,"")</f>
        <v>-2.8424871041574145</v>
      </c>
      <c r="CZ700">
        <f>IFERROR($CW700/$CT700,"")</f>
        <v>-2.8424871041574145</v>
      </c>
      <c r="DA700" s="2">
        <f>IFERROR((CV700-CU700)/ABS(CU700),"")</f>
        <v>-1.8222669349429912</v>
      </c>
      <c r="DB700" s="1" t="s">
        <v>263</v>
      </c>
      <c r="DC700" s="317" t="str">
        <f>IF(OR($DB700="prd",$DB700="std",$DB700="cit"),"loc",IF(OR($DB700="eur",$DB700="reg",$DB700="coy"),"reg",$DB700))</f>
        <v>loc</v>
      </c>
      <c r="DD700" t="s">
        <v>561</v>
      </c>
      <c r="DG700">
        <v>100</v>
      </c>
      <c r="DH700" t="str">
        <f>IF(DG700=0,"0",IF(AND(DG700&gt;=1,DG700&lt;=30),"1-30",IF(AND(DG700&gt;30,DG700&lt;=70),"31-70",IF(AND(DG700&gt;70,DG700&lt;=100),"71-100",IF(DG700&gt;100,"+100")))))</f>
        <v>71-100</v>
      </c>
      <c r="DI700">
        <v>0</v>
      </c>
      <c r="DJ700">
        <v>0</v>
      </c>
      <c r="DK700">
        <v>0</v>
      </c>
      <c r="DL700">
        <v>1</v>
      </c>
      <c r="DN700">
        <f>SUM(DI700:DL700)</f>
        <v>1</v>
      </c>
      <c r="DO700" t="str">
        <f>IF(DN700=1,INDEX($DI$7:$DL$7,MATCH(1,$DI700:$DL700,0)),"mixedProduct")</f>
        <v>TimberInput</v>
      </c>
      <c r="DP700">
        <f>IF(DI700=1,DP$7,0)</f>
        <v>0</v>
      </c>
      <c r="DQ700">
        <f>IF(DJ700=1,DQ$7,0)</f>
        <v>0</v>
      </c>
      <c r="DR700">
        <f>IF(DK700=1,DR$7,0)</f>
        <v>0</v>
      </c>
      <c r="DS700" t="str">
        <f>IF(DL700=1,DS$7,0)</f>
        <v>Timber</v>
      </c>
      <c r="DT700">
        <v>0</v>
      </c>
      <c r="DU700">
        <v>0</v>
      </c>
      <c r="DV700">
        <v>0</v>
      </c>
      <c r="DW700">
        <v>0</v>
      </c>
      <c r="DX700">
        <v>0</v>
      </c>
      <c r="DY700">
        <f>SUM(DT700:DU700)</f>
        <v>0</v>
      </c>
      <c r="DZ700" s="143" t="str">
        <f>IF(DT700=1,"self-calculated DF",IF(DU700=1,"external DF used","explicit C balance"))</f>
        <v>explicit C balance</v>
      </c>
      <c r="EA700">
        <v>0</v>
      </c>
      <c r="EB700">
        <v>1</v>
      </c>
      <c r="EC700">
        <v>0</v>
      </c>
      <c r="ED700">
        <v>1</v>
      </c>
      <c r="EE700">
        <v>1</v>
      </c>
      <c r="EF700">
        <v>1</v>
      </c>
      <c r="EG700">
        <v>1</v>
      </c>
      <c r="EH700">
        <v>1</v>
      </c>
      <c r="EI700">
        <v>1</v>
      </c>
      <c r="EJ700">
        <v>1</v>
      </c>
      <c r="EK700">
        <v>0</v>
      </c>
      <c r="EL700">
        <v>0</v>
      </c>
      <c r="EM700">
        <v>0</v>
      </c>
      <c r="EN700" s="2">
        <v>0</v>
      </c>
      <c r="EP700" t="str">
        <f>IF(AND(AND(AND(OR($EC700=1,$EB700=1),OR($EH700=1,$EF700=1)),SUM($EA700:$EE700,$EK700)&gt;=3),SUM($EF700:$EJ700)&gt;=2),"Whole sector approach","")</f>
        <v>Whole sector approach</v>
      </c>
      <c r="EQ700" t="str">
        <f>IF(AND(AND(OR($EC700=1,$EB700=1),AND($EH700=0,$EF700=0)),SUM($EA700:$EE700,$EK700)&gt;=3),"Ecosystem approach","")</f>
        <v/>
      </c>
      <c r="ER700" s="2" t="str">
        <f>IF(AND(AND(AND($EC700=0,$EB700=0),OR($EH700=1,$EF700=1)),SUM($EG700:$EJ700)&gt;=2),"Technology approach","")</f>
        <v/>
      </c>
      <c r="ES700" t="str">
        <f>IF(AND($EC700+$EB700+$EE700+$EA700+$ED700+$EG700=0,$N700="included"),"C neutral forest and HWP assumption","")</f>
        <v/>
      </c>
      <c r="ET700" t="str">
        <f>IF(AND(AND(AND(AND($EC700=1,$EB700+$EA700+$EG700&gt;=1),$EF700=1),$EH700+$EI700+$ED700+$EE700&gt;=2),$N700="included"),"All C pools assumption","")</f>
        <v/>
      </c>
      <c r="EU700" t="str">
        <f>IF(AND($ED700+$EE700+$EI700+$EH700+$EF700=0,$N700="included"),"In-situ only assumption","")</f>
        <v/>
      </c>
      <c r="EW700" t="s">
        <v>570</v>
      </c>
      <c r="EY700" t="str">
        <f>IF(ISNUMBER(BW700),IF(ABS(BW700-[4]QC_indicators!$B$2)&gt;3*[4]QC_indicators!$C$2,"C ratio",IF(ISNUMBER(CA700),IF(ABS(CA700-[4]QC_indicators!$B$1)&gt;3*[4]QC_indicators!$C$1,"DF","no"))),IF(ISNUMBER(CA700),IF(ABS(CA700-[4]QC_indicators!$B$1)&gt;3*[4]QC_indicators!$C$1,"DF","no")))</f>
        <v>no</v>
      </c>
      <c r="FA700" t="str">
        <f>IF(LEN($CY700)=0,"",IF(AND($CY700&lt;(-0.05),$ES700="C neutral forest and HWP assumption"),"Cneutral paradox",IF(AND($CY700&gt;0.05,$EU700="In-situ only assumption"),"In-situ only paradox","")))</f>
        <v/>
      </c>
      <c r="FB700" s="319" t="s">
        <v>349</v>
      </c>
      <c r="FD700" s="145" t="s">
        <v>4915</v>
      </c>
    </row>
    <row r="701" spans="1:160" ht="15" hidden="1" customHeight="1">
      <c r="A701" s="1" t="s">
        <v>549</v>
      </c>
      <c r="B701" t="s">
        <v>531</v>
      </c>
      <c r="C701" t="s">
        <v>550</v>
      </c>
      <c r="D701" t="s">
        <v>551</v>
      </c>
      <c r="E701" t="s">
        <v>552</v>
      </c>
      <c r="F701" t="s">
        <v>553</v>
      </c>
      <c r="G701" t="s">
        <v>554</v>
      </c>
      <c r="H701" t="s">
        <v>254</v>
      </c>
      <c r="I701">
        <v>2009</v>
      </c>
      <c r="J701">
        <v>16</v>
      </c>
      <c r="K701" t="s">
        <v>555</v>
      </c>
      <c r="M701" t="str">
        <f>LEFT($D701,FIND(",",$D701)-1)&amp;"_"&amp;I701&amp;L701</f>
        <v>Crawford_2009</v>
      </c>
      <c r="N701" t="s">
        <v>222</v>
      </c>
      <c r="O701" s="145" t="s">
        <v>223</v>
      </c>
      <c r="Q701" s="317" t="s">
        <v>256</v>
      </c>
      <c r="R701" s="318" t="s">
        <v>1029</v>
      </c>
      <c r="S701" s="1" t="s">
        <v>566</v>
      </c>
      <c r="T701" s="317" t="s">
        <v>572</v>
      </c>
      <c r="U701" s="317" t="s">
        <v>565</v>
      </c>
      <c r="V701" s="253">
        <v>0</v>
      </c>
      <c r="W701" s="253">
        <v>0</v>
      </c>
      <c r="X701">
        <v>0</v>
      </c>
      <c r="Y701">
        <v>0</v>
      </c>
      <c r="Z701">
        <v>0</v>
      </c>
      <c r="AA701">
        <v>0</v>
      </c>
      <c r="AB701">
        <v>0</v>
      </c>
      <c r="AC701">
        <v>0</v>
      </c>
      <c r="AD701">
        <v>0</v>
      </c>
      <c r="AE701">
        <v>0</v>
      </c>
      <c r="AF701">
        <v>0</v>
      </c>
      <c r="AG701">
        <v>0</v>
      </c>
      <c r="AH701">
        <v>0</v>
      </c>
      <c r="AI701">
        <v>0</v>
      </c>
      <c r="AJ701">
        <v>0</v>
      </c>
      <c r="AK701">
        <v>0</v>
      </c>
      <c r="AL701">
        <v>0</v>
      </c>
      <c r="AM701">
        <v>1</v>
      </c>
      <c r="AN701">
        <v>0</v>
      </c>
      <c r="AO701">
        <v>0</v>
      </c>
      <c r="AP701">
        <v>0</v>
      </c>
      <c r="AQ701">
        <v>0</v>
      </c>
      <c r="AR701">
        <v>0</v>
      </c>
      <c r="AS701">
        <v>0</v>
      </c>
      <c r="AT701">
        <v>0</v>
      </c>
      <c r="AU701">
        <v>0</v>
      </c>
      <c r="AV701">
        <v>0</v>
      </c>
      <c r="AW701">
        <v>0</v>
      </c>
      <c r="AX701">
        <v>0</v>
      </c>
      <c r="AY701">
        <v>0</v>
      </c>
      <c r="AZ701" s="141">
        <f>COUNTIF(X701:AY701,"&lt;&gt;0")</f>
        <v>1</v>
      </c>
      <c r="BA701" s="141">
        <f>COUNTIF(X701:AN701,"&lt;&gt;0")</f>
        <v>1</v>
      </c>
      <c r="BB701">
        <f>COUNTIF(X701:AE701,"&lt;&gt;0")</f>
        <v>0</v>
      </c>
      <c r="BC701">
        <f>COUNTIF(AF701:AK701,"&lt;&gt;0")</f>
        <v>0</v>
      </c>
      <c r="BD701">
        <f>COUNTIF(AL701:AN701,"&lt;&gt;0")</f>
        <v>1</v>
      </c>
      <c r="BE701">
        <f>COUNTIF(AU701:AY701,"&lt;&gt;0")</f>
        <v>0</v>
      </c>
      <c r="BF701">
        <f>COUNTIF(AO701:AT701,"&lt;&gt;0")</f>
        <v>0</v>
      </c>
      <c r="BG701" t="str" cm="1">
        <f t="array" ref="BG701">IF(BA701=1,INDEX($X$7:$AN$7,MATCH(TRUE,INDEX($X701:$AY701&lt;&gt;0,),0)),IF(BA701=0,INDEX($AO$7:$AY$7,MATCH(1,$AO701:$AY701,0)),IF(BH701="Multiple strategies","mixed drivers",IF(BH701="Supply chain","multiple supply","multiple silviculture"))))</f>
        <v>technologies/design switch</v>
      </c>
      <c r="BH701" s="2" t="str" cm="1">
        <f t="array" ref="BH701">IF(COUNTIF(BB701:BD701,"&lt;&gt;0")=1,INDEX($X$4:$AY$4,MATCH(TRUE,INDEX($X701:$AY701&lt;&gt;0,),0)),IF(COUNTIF(BB701:BD701,"&lt;&gt;0")=0,INDEX($AO$4:$AY$4,MATCH(1,$AO701:$AY701,0)),"Multiple strategies"))</f>
        <v>Technology</v>
      </c>
      <c r="BI701" s="1" t="s">
        <v>229</v>
      </c>
      <c r="BJ701" t="s">
        <v>559</v>
      </c>
      <c r="BK701" s="141" t="s">
        <v>4912</v>
      </c>
      <c r="BL701" t="s">
        <v>345</v>
      </c>
      <c r="BM701">
        <v>0</v>
      </c>
      <c r="BN701">
        <f>80.2*1460*2.8</f>
        <v>327857.59999999998</v>
      </c>
      <c r="BP701">
        <f>BN701-BM701</f>
        <v>327857.59999999998</v>
      </c>
      <c r="BQ701">
        <f>BP701*kg_to_m3</f>
        <v>669.0971428571429</v>
      </c>
      <c r="BR701" s="317" t="s">
        <v>232</v>
      </c>
      <c r="BS701" s="141" t="s">
        <v>4913</v>
      </c>
      <c r="BT701" t="s">
        <v>560</v>
      </c>
      <c r="BU701">
        <v>-822</v>
      </c>
      <c r="BV701">
        <v>-2751</v>
      </c>
      <c r="BW701" s="144">
        <f>IFERROR(BV701/BU701,"")</f>
        <v>3.3467153284671531</v>
      </c>
      <c r="BX701" s="175">
        <f>BV701-BU701</f>
        <v>-1929</v>
      </c>
      <c r="BZ701">
        <f>BX701</f>
        <v>-1929</v>
      </c>
      <c r="CA701">
        <f>IFERROR(BZ701/BQ701,"")</f>
        <v>-2.8829894441977246</v>
      </c>
      <c r="CB701">
        <v>0</v>
      </c>
      <c r="CC701">
        <v>0</v>
      </c>
      <c r="CD701">
        <v>0</v>
      </c>
      <c r="CE701">
        <v>0</v>
      </c>
      <c r="CF701">
        <v>0</v>
      </c>
      <c r="CG701">
        <v>0</v>
      </c>
      <c r="CH701">
        <v>0</v>
      </c>
      <c r="CI701">
        <v>0</v>
      </c>
      <c r="CJ701">
        <v>0</v>
      </c>
      <c r="CK701">
        <v>0</v>
      </c>
      <c r="CL701">
        <v>0</v>
      </c>
      <c r="CM701">
        <v>0</v>
      </c>
      <c r="CN701">
        <v>0</v>
      </c>
      <c r="CO701">
        <v>0</v>
      </c>
      <c r="CP701" t="str">
        <f>IF($BN701&lt;$BM701,"refNeedCorrection","refOK")</f>
        <v>refOK</v>
      </c>
      <c r="CQ701">
        <f>IF($CP701="refNeedCorrection",BN701,BM701)</f>
        <v>0</v>
      </c>
      <c r="CR701">
        <f>IF($CP701="refNeedCorrection",BM701,BN701)</f>
        <v>327857.59999999998</v>
      </c>
      <c r="CS701">
        <f>IF($CP701="refOK",$BQ701,-$BQ701)</f>
        <v>669.0971428571429</v>
      </c>
      <c r="CT701">
        <f>IF(BI701="Roundwood",$CS701/2,$CS701)</f>
        <v>669.0971428571429</v>
      </c>
      <c r="CU701">
        <f>IF($CP701="refOK",$BU701,$BV701)*IF($BR701="Emissions positive",-1,1)</f>
        <v>-822</v>
      </c>
      <c r="CV701">
        <f>IF($CP701="refOK",$BV701,$BU701)*IF($BR701="Emissions positive",-1,1)</f>
        <v>-2751</v>
      </c>
      <c r="CW701">
        <f>IF($CP701="refNeedCorrection",-BZ701,BZ701)*IF($BR701="Emissions positive",-1,1)</f>
        <v>-1929</v>
      </c>
      <c r="CX701">
        <f>IFERROR($CW701/$CS701,"")</f>
        <v>-2.8829894441977246</v>
      </c>
      <c r="CY701">
        <f>IFERROR($CW701/$CS701,"")</f>
        <v>-2.8829894441977246</v>
      </c>
      <c r="CZ701">
        <f>IFERROR($CW701/$CT701,"")</f>
        <v>-2.8829894441977246</v>
      </c>
      <c r="DA701" s="2">
        <f>IFERROR((CV701-CU701)/ABS(CU701),"")</f>
        <v>-2.3467153284671531</v>
      </c>
      <c r="DB701" s="1" t="s">
        <v>263</v>
      </c>
      <c r="DC701" s="317" t="str">
        <f>IF(OR($DB701="prd",$DB701="std",$DB701="cit"),"loc",IF(OR($DB701="eur",$DB701="reg",$DB701="coy"),"reg",$DB701))</f>
        <v>loc</v>
      </c>
      <c r="DD701" t="s">
        <v>561</v>
      </c>
      <c r="DG701">
        <v>100</v>
      </c>
      <c r="DH701" t="str">
        <f>IF(DG701=0,"0",IF(AND(DG701&gt;=1,DG701&lt;=30),"1-30",IF(AND(DG701&gt;30,DG701&lt;=70),"31-70",IF(AND(DG701&gt;70,DG701&lt;=100),"71-100",IF(DG701&gt;100,"+100")))))</f>
        <v>71-100</v>
      </c>
      <c r="DI701">
        <v>0</v>
      </c>
      <c r="DJ701">
        <v>0</v>
      </c>
      <c r="DK701">
        <v>0</v>
      </c>
      <c r="DL701">
        <v>1</v>
      </c>
      <c r="DN701">
        <f>SUM(DI701:DL701)</f>
        <v>1</v>
      </c>
      <c r="DO701" t="str">
        <f>IF(DN701=1,INDEX($DI$7:$DL$7,MATCH(1,$DI701:$DL701,0)),"mixedProduct")</f>
        <v>TimberInput</v>
      </c>
      <c r="DP701">
        <f>IF(DI701=1,DP$7,0)</f>
        <v>0</v>
      </c>
      <c r="DQ701">
        <f>IF(DJ701=1,DQ$7,0)</f>
        <v>0</v>
      </c>
      <c r="DR701">
        <f>IF(DK701=1,DR$7,0)</f>
        <v>0</v>
      </c>
      <c r="DS701" t="str">
        <f>IF(DL701=1,DS$7,0)</f>
        <v>Timber</v>
      </c>
      <c r="DT701">
        <v>0</v>
      </c>
      <c r="DU701">
        <v>0</v>
      </c>
      <c r="DV701">
        <v>0</v>
      </c>
      <c r="DW701">
        <v>0</v>
      </c>
      <c r="DX701">
        <v>0</v>
      </c>
      <c r="DY701">
        <f>SUM(DT701:DU701)</f>
        <v>0</v>
      </c>
      <c r="DZ701" s="143" t="str">
        <f>IF(DT701=1,"self-calculated DF",IF(DU701=1,"external DF used","explicit C balance"))</f>
        <v>explicit C balance</v>
      </c>
      <c r="EA701">
        <v>0</v>
      </c>
      <c r="EB701">
        <v>1</v>
      </c>
      <c r="EC701">
        <v>0</v>
      </c>
      <c r="ED701">
        <v>1</v>
      </c>
      <c r="EE701">
        <v>1</v>
      </c>
      <c r="EF701">
        <v>1</v>
      </c>
      <c r="EG701">
        <v>1</v>
      </c>
      <c r="EH701">
        <v>1</v>
      </c>
      <c r="EI701">
        <v>1</v>
      </c>
      <c r="EJ701">
        <v>1</v>
      </c>
      <c r="EK701">
        <v>0</v>
      </c>
      <c r="EL701">
        <v>0</v>
      </c>
      <c r="EM701">
        <v>0</v>
      </c>
      <c r="EN701" s="2">
        <v>0</v>
      </c>
      <c r="EP701" t="str">
        <f>IF(AND(AND(AND(OR($EC701=1,$EB701=1),OR($EH701=1,$EF701=1)),SUM($EA701:$EE701,$EK701)&gt;=3),SUM($EF701:$EJ701)&gt;=2),"Whole sector approach","")</f>
        <v>Whole sector approach</v>
      </c>
      <c r="EQ701" t="str">
        <f>IF(AND(AND(OR($EC701=1,$EB701=1),AND($EH701=0,$EF701=0)),SUM($EA701:$EE701,$EK701)&gt;=3),"Ecosystem approach","")</f>
        <v/>
      </c>
      <c r="ER701" s="2" t="str">
        <f>IF(AND(AND(AND($EC701=0,$EB701=0),OR($EH701=1,$EF701=1)),SUM($EG701:$EJ701)&gt;=2),"Technology approach","")</f>
        <v/>
      </c>
      <c r="ES701" t="str">
        <f>IF(AND($EC701+$EB701+$EE701+$EA701+$ED701+$EG701=0,$N701="included"),"C neutral forest and HWP assumption","")</f>
        <v/>
      </c>
      <c r="ET701" t="str">
        <f>IF(AND(AND(AND(AND($EC701=1,$EB701+$EA701+$EG701&gt;=1),$EF701=1),$EH701+$EI701+$ED701+$EE701&gt;=2),$N701="included"),"All C pools assumption","")</f>
        <v/>
      </c>
      <c r="EU701" t="str">
        <f>IF(AND($ED701+$EE701+$EI701+$EH701+$EF701=0,$N701="included"),"In-situ only assumption","")</f>
        <v/>
      </c>
      <c r="EW701" t="s">
        <v>570</v>
      </c>
      <c r="EY701" t="str">
        <f>IF(ISNUMBER(BW701),IF(ABS(BW701-[4]QC_indicators!$B$2)&gt;3*[4]QC_indicators!$C$2,"C ratio",IF(ISNUMBER(CA701),IF(ABS(CA701-[4]QC_indicators!$B$1)&gt;3*[4]QC_indicators!$C$1,"DF","no"))),IF(ISNUMBER(CA701),IF(ABS(CA701-[4]QC_indicators!$B$1)&gt;3*[4]QC_indicators!$C$1,"DF","no")))</f>
        <v>no</v>
      </c>
      <c r="FA701" t="str">
        <f>IF(LEN($CY701)=0,"",IF(AND($CY701&lt;(-0.05),$ES701="C neutral forest and HWP assumption"),"Cneutral paradox",IF(AND($CY701&gt;0.05,$EU701="In-situ only assumption"),"In-situ only paradox","")))</f>
        <v/>
      </c>
      <c r="FB701" s="319" t="s">
        <v>349</v>
      </c>
      <c r="FD701" s="145" t="s">
        <v>4915</v>
      </c>
    </row>
    <row r="702" spans="1:160" ht="15" hidden="1" customHeight="1">
      <c r="A702" s="1" t="s">
        <v>549</v>
      </c>
      <c r="B702" t="s">
        <v>531</v>
      </c>
      <c r="C702" t="s">
        <v>550</v>
      </c>
      <c r="D702" t="s">
        <v>551</v>
      </c>
      <c r="E702" t="s">
        <v>552</v>
      </c>
      <c r="F702" t="s">
        <v>553</v>
      </c>
      <c r="G702" t="s">
        <v>554</v>
      </c>
      <c r="H702" t="s">
        <v>254</v>
      </c>
      <c r="I702">
        <v>2009</v>
      </c>
      <c r="J702">
        <v>16</v>
      </c>
      <c r="K702" t="s">
        <v>555</v>
      </c>
      <c r="M702" t="str">
        <f>LEFT($D702,FIND(",",$D702)-1)&amp;"_"&amp;I702&amp;L702</f>
        <v>Crawford_2009</v>
      </c>
      <c r="N702" t="s">
        <v>222</v>
      </c>
      <c r="O702" s="145" t="s">
        <v>223</v>
      </c>
      <c r="Q702" s="317" t="s">
        <v>256</v>
      </c>
      <c r="R702" s="318" t="s">
        <v>1029</v>
      </c>
      <c r="S702" s="1" t="s">
        <v>556</v>
      </c>
      <c r="T702" s="317" t="s">
        <v>565</v>
      </c>
      <c r="U702" s="317" t="s">
        <v>564</v>
      </c>
      <c r="V702" s="253">
        <v>0</v>
      </c>
      <c r="W702" s="253">
        <v>0</v>
      </c>
      <c r="X702">
        <v>0</v>
      </c>
      <c r="Y702">
        <v>0</v>
      </c>
      <c r="Z702">
        <v>0</v>
      </c>
      <c r="AA702">
        <v>0</v>
      </c>
      <c r="AB702">
        <v>0</v>
      </c>
      <c r="AC702">
        <v>0</v>
      </c>
      <c r="AD702">
        <v>0</v>
      </c>
      <c r="AE702">
        <v>0</v>
      </c>
      <c r="AF702">
        <v>0</v>
      </c>
      <c r="AG702">
        <v>0</v>
      </c>
      <c r="AH702">
        <v>0</v>
      </c>
      <c r="AI702">
        <v>0</v>
      </c>
      <c r="AJ702">
        <v>0</v>
      </c>
      <c r="AK702">
        <v>1</v>
      </c>
      <c r="AL702">
        <v>0</v>
      </c>
      <c r="AM702">
        <v>0</v>
      </c>
      <c r="AN702">
        <v>0</v>
      </c>
      <c r="AO702">
        <v>0</v>
      </c>
      <c r="AP702">
        <v>0</v>
      </c>
      <c r="AQ702">
        <v>0</v>
      </c>
      <c r="AR702">
        <v>0</v>
      </c>
      <c r="AS702">
        <v>0</v>
      </c>
      <c r="AT702">
        <v>0</v>
      </c>
      <c r="AU702">
        <v>0</v>
      </c>
      <c r="AV702">
        <v>0</v>
      </c>
      <c r="AW702">
        <v>0</v>
      </c>
      <c r="AX702">
        <v>0</v>
      </c>
      <c r="AY702">
        <v>0</v>
      </c>
      <c r="AZ702" s="141">
        <f>COUNTIF(X702:AY702,"&lt;&gt;0")</f>
        <v>1</v>
      </c>
      <c r="BA702" s="141">
        <f>COUNTIF(X702:AN702,"&lt;&gt;0")</f>
        <v>1</v>
      </c>
      <c r="BB702">
        <f>COUNTIF(X702:AE702,"&lt;&gt;0")</f>
        <v>0</v>
      </c>
      <c r="BC702">
        <f>COUNTIF(AF702:AK702,"&lt;&gt;0")</f>
        <v>1</v>
      </c>
      <c r="BD702">
        <f>COUNTIF(AL702:AN702,"&lt;&gt;0")</f>
        <v>0</v>
      </c>
      <c r="BE702">
        <f>COUNTIF(AU702:AY702,"&lt;&gt;0")</f>
        <v>0</v>
      </c>
      <c r="BF702">
        <f>COUNTIF(AO702:AT702,"&lt;&gt;0")</f>
        <v>0</v>
      </c>
      <c r="BG702" t="str" cm="1">
        <f t="array" ref="BG702">IF(BA702=1,INDEX($X$7:$AN$7,MATCH(TRUE,INDEX($X702:$AY702&lt;&gt;0,),0)),IF(BA702=0,INDEX($AO$7:$AY$7,MATCH(1,$AO702:$AY702,0)),IF(BH702="Multiple strategies","mixed drivers",IF(BH702="Supply chain","multiple supply","multiple silviculture"))))</f>
        <v>products lifespan</v>
      </c>
      <c r="BH702" s="2" t="str" cm="1">
        <f t="array" ref="BH702">IF(COUNTIF(BB702:BD702,"&lt;&gt;0")=1,INDEX($X$4:$AY$4,MATCH(TRUE,INDEX($X702:$AY702&lt;&gt;0,),0)),IF(COUNTIF(BB702:BD702,"&lt;&gt;0")=0,INDEX($AO$4:$AY$4,MATCH(1,$AO702:$AY702,0)),"Multiple strategies"))</f>
        <v>Supply chain</v>
      </c>
      <c r="BI702" s="1" t="s">
        <v>229</v>
      </c>
      <c r="BJ702" t="s">
        <v>559</v>
      </c>
      <c r="BK702" s="141" t="s">
        <v>4912</v>
      </c>
      <c r="BL702" t="s">
        <v>345</v>
      </c>
      <c r="BM702">
        <f>80.2*1460*2.8</f>
        <v>327857.59999999998</v>
      </c>
      <c r="BN702">
        <f>80.2*1460*4</f>
        <v>468368</v>
      </c>
      <c r="BP702">
        <f>BN702-BM702</f>
        <v>140510.40000000002</v>
      </c>
      <c r="BQ702">
        <f>BP702*kg_to_m3</f>
        <v>286.75591836734702</v>
      </c>
      <c r="BR702" s="317" t="s">
        <v>232</v>
      </c>
      <c r="BS702" s="141" t="s">
        <v>4913</v>
      </c>
      <c r="BT702" t="s">
        <v>560</v>
      </c>
      <c r="BU702">
        <v>-2751</v>
      </c>
      <c r="BV702">
        <v>-3631</v>
      </c>
      <c r="BW702" s="144">
        <f>IFERROR(BV702/BU702,"")</f>
        <v>1.3198836786623047</v>
      </c>
      <c r="BX702" s="175">
        <f>BV702-BU702</f>
        <v>-880</v>
      </c>
      <c r="BZ702">
        <f>BX702</f>
        <v>-880</v>
      </c>
      <c r="CA702">
        <f>IFERROR(BZ702/BQ702,"")</f>
        <v>-3.0688119882941041</v>
      </c>
      <c r="CB702">
        <v>0</v>
      </c>
      <c r="CC702">
        <v>0</v>
      </c>
      <c r="CD702">
        <v>0</v>
      </c>
      <c r="CE702">
        <v>0</v>
      </c>
      <c r="CF702">
        <v>0</v>
      </c>
      <c r="CG702">
        <v>0</v>
      </c>
      <c r="CH702">
        <v>0</v>
      </c>
      <c r="CI702">
        <v>0</v>
      </c>
      <c r="CJ702">
        <v>0</v>
      </c>
      <c r="CK702">
        <v>0</v>
      </c>
      <c r="CL702">
        <v>0</v>
      </c>
      <c r="CM702">
        <v>0</v>
      </c>
      <c r="CN702">
        <v>0</v>
      </c>
      <c r="CO702">
        <v>0</v>
      </c>
      <c r="CP702" t="str">
        <f>IF($BN702&lt;$BM702,"refNeedCorrection","refOK")</f>
        <v>refOK</v>
      </c>
      <c r="CQ702">
        <f>IF($CP702="refOK",$BM702,$BN702)</f>
        <v>327857.59999999998</v>
      </c>
      <c r="CR702">
        <f>IF($CP702="refOK",$BN702,$BM702)</f>
        <v>468368</v>
      </c>
      <c r="CS702">
        <f>IF($CP702="refOK",$BQ702,-$BQ702)</f>
        <v>286.75591836734702</v>
      </c>
      <c r="CT702">
        <f>IF(BI702="Roundwood",$CS702/2,$CS702)</f>
        <v>286.75591836734702</v>
      </c>
      <c r="CU702">
        <f>IF($CP702="refOK",$BU702,$BV702)*IF($BR702="Emissions positive",-1,1)</f>
        <v>-2751</v>
      </c>
      <c r="CV702">
        <f>IF($CP702="refOK",$BV702,$BU702)*IF($BR702="Emissions positive",-1,1)</f>
        <v>-3631</v>
      </c>
      <c r="CW702">
        <f>IF($CP702="refNeedCorrection",-BZ702,BZ702)*IF($BR702="Emissions positive",-1,1)</f>
        <v>-880</v>
      </c>
      <c r="CX702">
        <f>IFERROR($CW702/$CS702,"")</f>
        <v>-3.0688119882941041</v>
      </c>
      <c r="CY702">
        <f>IFERROR($CW702/$CS702,"")</f>
        <v>-3.0688119882941041</v>
      </c>
      <c r="CZ702">
        <f>IFERROR($CW702/$CT702,"")</f>
        <v>-3.0688119882941041</v>
      </c>
      <c r="DA702" s="2">
        <f>IFERROR((CV702-CU702)/ABS(CU702),"")</f>
        <v>-0.3198836786623046</v>
      </c>
      <c r="DB702" s="1" t="s">
        <v>263</v>
      </c>
      <c r="DC702" s="317" t="str">
        <f>IF(OR($DB702="prd",$DB702="std",$DB702="cit"),"loc",IF(OR($DB702="eur",$DB702="reg",$DB702="coy"),"reg",$DB702))</f>
        <v>loc</v>
      </c>
      <c r="DD702" t="s">
        <v>561</v>
      </c>
      <c r="DG702">
        <v>100</v>
      </c>
      <c r="DH702" t="str">
        <f>IF(DG702=0,"0",IF(AND(DG702&gt;=1,DG702&lt;=30),"1-30",IF(AND(DG702&gt;30,DG702&lt;=70),"31-70",IF(AND(DG702&gt;70,DG702&lt;=100),"71-100",IF(DG702&gt;100,"+100")))))</f>
        <v>71-100</v>
      </c>
      <c r="DI702">
        <v>0</v>
      </c>
      <c r="DJ702">
        <v>0</v>
      </c>
      <c r="DK702">
        <v>0</v>
      </c>
      <c r="DL702">
        <v>1</v>
      </c>
      <c r="DN702">
        <f>SUM(DI702:DL702)</f>
        <v>1</v>
      </c>
      <c r="DO702" t="str">
        <f>IF(DN702=1,INDEX($DI$7:$DL$7,MATCH(1,$DI702:$DL702,0)),"mixedProduct")</f>
        <v>TimberInput</v>
      </c>
      <c r="DP702">
        <f>IF(DI702=1,DP$7,0)</f>
        <v>0</v>
      </c>
      <c r="DQ702">
        <f>IF(DJ702=1,DQ$7,0)</f>
        <v>0</v>
      </c>
      <c r="DR702">
        <f>IF(DK702=1,DR$7,0)</f>
        <v>0</v>
      </c>
      <c r="DS702" t="str">
        <f>IF(DL702=1,DS$7,0)</f>
        <v>Timber</v>
      </c>
      <c r="DT702">
        <v>0</v>
      </c>
      <c r="DU702">
        <v>0</v>
      </c>
      <c r="DV702">
        <v>0</v>
      </c>
      <c r="DW702">
        <v>0</v>
      </c>
      <c r="DX702">
        <v>0</v>
      </c>
      <c r="DY702">
        <f>SUM(DT702:DU702)</f>
        <v>0</v>
      </c>
      <c r="DZ702" s="143" t="str">
        <f>IF(DT702=1,"self-calculated DF",IF(DU702=1,"external DF used","explicit C balance"))</f>
        <v>explicit C balance</v>
      </c>
      <c r="EA702">
        <v>0</v>
      </c>
      <c r="EB702">
        <v>1</v>
      </c>
      <c r="EC702">
        <v>0</v>
      </c>
      <c r="ED702">
        <v>1</v>
      </c>
      <c r="EE702">
        <v>1</v>
      </c>
      <c r="EF702">
        <v>1</v>
      </c>
      <c r="EG702">
        <v>1</v>
      </c>
      <c r="EH702">
        <v>1</v>
      </c>
      <c r="EI702">
        <v>1</v>
      </c>
      <c r="EJ702">
        <v>1</v>
      </c>
      <c r="EK702">
        <v>0</v>
      </c>
      <c r="EL702">
        <v>0</v>
      </c>
      <c r="EM702">
        <v>0</v>
      </c>
      <c r="EN702" s="2">
        <v>0</v>
      </c>
      <c r="EP702" t="str">
        <f>IF(AND(AND(AND(OR($EC702=1,$EB702=1),OR($EH702=1,$EF702=1)),SUM($EA702:$EE702,$EK702)&gt;=3),SUM($EF702:$EJ702)&gt;=2),"Whole sector approach","")</f>
        <v>Whole sector approach</v>
      </c>
      <c r="EQ702" t="str">
        <f>IF(AND(AND(OR($EC702=1,$EB702=1),AND($EH702=0,$EF702=0)),SUM($EA702:$EE702,$EK702)&gt;=3),"Ecosystem approach","")</f>
        <v/>
      </c>
      <c r="ER702" s="2" t="str">
        <f>IF(AND(AND(AND($EC702=0,$EB702=0),OR($EH702=1,$EF702=1)),SUM($EG702:$EJ702)&gt;=2),"Technology approach","")</f>
        <v/>
      </c>
      <c r="ES702" t="str">
        <f>IF(AND($EC702+$EB702+$EE702+$EA702+$ED702+$EG702=0,$N702="included"),"C neutral forest and HWP assumption","")</f>
        <v/>
      </c>
      <c r="ET702" t="str">
        <f>IF(AND(AND(AND(AND($EC702=1,$EB702+$EA702+$EG702&gt;=1),$EF702=1),$EH702+$EI702+$ED702+$EE702&gt;=2),$N702="included"),"All C pools assumption","")</f>
        <v/>
      </c>
      <c r="EU702" t="str">
        <f>IF(AND($ED702+$EE702+$EI702+$EH702+$EF702=0,$N702="included"),"In-situ only assumption","")</f>
        <v/>
      </c>
      <c r="EY702" t="str">
        <f>IF(ISNUMBER(BW702),IF(ABS(BW702-[4]QC_indicators!$B$2)&gt;3*[4]QC_indicators!$C$2,"C ratio",IF(ISNUMBER(CA702),IF(ABS(CA702-[4]QC_indicators!$B$1)&gt;3*[4]QC_indicators!$C$1,"DF","no"))),IF(ISNUMBER(CA702),IF(ABS(CA702-[4]QC_indicators!$B$1)&gt;3*[4]QC_indicators!$C$1,"DF","no")))</f>
        <v>no</v>
      </c>
      <c r="FA702" t="str">
        <f>IF(LEN($CY702)=0,"",IF(AND($CY702&lt;(-0.05),$ES702="C neutral forest and HWP assumption"),"Cneutral paradox",IF(AND($CY702&gt;0.05,$EU702="In-situ only assumption"),"In-situ only paradox","")))</f>
        <v/>
      </c>
      <c r="FB702" s="319" t="s">
        <v>349</v>
      </c>
      <c r="FD702" s="145" t="s">
        <v>4914</v>
      </c>
    </row>
    <row r="703" spans="1:160" ht="15" hidden="1" customHeight="1">
      <c r="A703" s="1" t="s">
        <v>549</v>
      </c>
      <c r="B703" t="s">
        <v>531</v>
      </c>
      <c r="C703" t="s">
        <v>550</v>
      </c>
      <c r="D703" t="s">
        <v>551</v>
      </c>
      <c r="E703" t="s">
        <v>552</v>
      </c>
      <c r="F703" t="s">
        <v>553</v>
      </c>
      <c r="G703" t="s">
        <v>554</v>
      </c>
      <c r="H703" t="s">
        <v>254</v>
      </c>
      <c r="I703">
        <v>2009</v>
      </c>
      <c r="J703">
        <v>16</v>
      </c>
      <c r="K703" t="s">
        <v>555</v>
      </c>
      <c r="M703" t="str">
        <f>LEFT($D703,FIND(",",$D703)-1)&amp;"_"&amp;I703&amp;L703</f>
        <v>Crawford_2009</v>
      </c>
      <c r="N703" t="s">
        <v>222</v>
      </c>
      <c r="O703" s="145" t="s">
        <v>223</v>
      </c>
      <c r="Q703" s="317" t="s">
        <v>256</v>
      </c>
      <c r="R703" s="318" t="s">
        <v>1029</v>
      </c>
      <c r="S703" s="1" t="s">
        <v>566</v>
      </c>
      <c r="T703" s="317" t="s">
        <v>567</v>
      </c>
      <c r="U703" s="317" t="s">
        <v>558</v>
      </c>
      <c r="V703" s="253">
        <v>0</v>
      </c>
      <c r="W703" s="253">
        <v>0</v>
      </c>
      <c r="X703">
        <v>0</v>
      </c>
      <c r="Y703">
        <v>0</v>
      </c>
      <c r="Z703">
        <v>0</v>
      </c>
      <c r="AA703">
        <v>0</v>
      </c>
      <c r="AB703">
        <v>0</v>
      </c>
      <c r="AC703">
        <v>0</v>
      </c>
      <c r="AD703">
        <v>0</v>
      </c>
      <c r="AE703">
        <v>0</v>
      </c>
      <c r="AF703">
        <v>0</v>
      </c>
      <c r="AG703">
        <v>0</v>
      </c>
      <c r="AH703">
        <v>0</v>
      </c>
      <c r="AI703">
        <v>0</v>
      </c>
      <c r="AJ703">
        <v>0</v>
      </c>
      <c r="AK703">
        <v>0</v>
      </c>
      <c r="AL703">
        <v>0</v>
      </c>
      <c r="AM703">
        <v>1</v>
      </c>
      <c r="AN703">
        <v>0</v>
      </c>
      <c r="AO703">
        <v>0</v>
      </c>
      <c r="AP703">
        <v>0</v>
      </c>
      <c r="AQ703">
        <v>0</v>
      </c>
      <c r="AR703">
        <v>0</v>
      </c>
      <c r="AS703">
        <v>0</v>
      </c>
      <c r="AT703">
        <v>0</v>
      </c>
      <c r="AU703">
        <v>0</v>
      </c>
      <c r="AV703">
        <v>0</v>
      </c>
      <c r="AW703">
        <v>0</v>
      </c>
      <c r="AX703">
        <v>0</v>
      </c>
      <c r="AY703">
        <v>0</v>
      </c>
      <c r="AZ703" s="141">
        <f>COUNTIF(X703:AY703,"&lt;&gt;0")</f>
        <v>1</v>
      </c>
      <c r="BA703" s="141">
        <f>COUNTIF(X703:AN703,"&lt;&gt;0")</f>
        <v>1</v>
      </c>
      <c r="BB703">
        <f>COUNTIF(X703:AE703,"&lt;&gt;0")</f>
        <v>0</v>
      </c>
      <c r="BC703">
        <f>COUNTIF(AF703:AK703,"&lt;&gt;0")</f>
        <v>0</v>
      </c>
      <c r="BD703">
        <f>COUNTIF(AL703:AN703,"&lt;&gt;0")</f>
        <v>1</v>
      </c>
      <c r="BE703">
        <f>COUNTIF(AU703:AY703,"&lt;&gt;0")</f>
        <v>0</v>
      </c>
      <c r="BF703">
        <f>COUNTIF(AO703:AT703,"&lt;&gt;0")</f>
        <v>0</v>
      </c>
      <c r="BG703" t="str" cm="1">
        <f t="array" ref="BG703">IF(BA703=1,INDEX($X$7:$AN$7,MATCH(TRUE,INDEX($X703:$AY703&lt;&gt;0,),0)),IF(BA703=0,INDEX($AO$7:$AY$7,MATCH(1,$AO703:$AY703,0)),IF(BH703="Multiple strategies","mixed drivers",IF(BH703="Supply chain","multiple supply","multiple silviculture"))))</f>
        <v>technologies/design switch</v>
      </c>
      <c r="BH703" s="2" t="str" cm="1">
        <f t="array" ref="BH703">IF(COUNTIF(BB703:BD703,"&lt;&gt;0")=1,INDEX($X$4:$AY$4,MATCH(TRUE,INDEX($X703:$AY703&lt;&gt;0,),0)),IF(COUNTIF(BB703:BD703,"&lt;&gt;0")=0,INDEX($AO$4:$AY$4,MATCH(1,$AO703:$AY703,0)),"Multiple strategies"))</f>
        <v>Technology</v>
      </c>
      <c r="BI703" s="1" t="s">
        <v>229</v>
      </c>
      <c r="BJ703" t="s">
        <v>559</v>
      </c>
      <c r="BK703" s="141" t="s">
        <v>4912</v>
      </c>
      <c r="BL703" t="s">
        <v>345</v>
      </c>
      <c r="BM703">
        <v>0</v>
      </c>
      <c r="BN703">
        <f>80.2*1460*2.8</f>
        <v>327857.59999999998</v>
      </c>
      <c r="BP703">
        <f>BN703-BM703</f>
        <v>327857.59999999998</v>
      </c>
      <c r="BQ703">
        <f>BP703*kg_to_m3</f>
        <v>669.0971428571429</v>
      </c>
      <c r="BR703" s="317" t="s">
        <v>232</v>
      </c>
      <c r="BS703" s="141" t="s">
        <v>4913</v>
      </c>
      <c r="BT703" t="s">
        <v>560</v>
      </c>
      <c r="BU703">
        <v>-1491</v>
      </c>
      <c r="BV703">
        <v>-3656</v>
      </c>
      <c r="BW703" s="144">
        <f>IFERROR(BV703/BU703,"")</f>
        <v>2.4520456069751844</v>
      </c>
      <c r="BX703" s="175">
        <f>BV703-BU703</f>
        <v>-2165</v>
      </c>
      <c r="BZ703">
        <f>BX703</f>
        <v>-2165</v>
      </c>
      <c r="CA703">
        <f>IFERROR(BZ703/BQ703,"")</f>
        <v>-3.2357035493458133</v>
      </c>
      <c r="CB703">
        <v>0</v>
      </c>
      <c r="CC703">
        <v>0</v>
      </c>
      <c r="CD703">
        <v>0</v>
      </c>
      <c r="CE703">
        <v>0</v>
      </c>
      <c r="CF703">
        <v>0</v>
      </c>
      <c r="CG703">
        <v>0</v>
      </c>
      <c r="CH703">
        <v>0</v>
      </c>
      <c r="CI703">
        <v>0</v>
      </c>
      <c r="CJ703">
        <v>0</v>
      </c>
      <c r="CK703">
        <v>0</v>
      </c>
      <c r="CL703">
        <v>0</v>
      </c>
      <c r="CM703">
        <v>0</v>
      </c>
      <c r="CN703">
        <v>0</v>
      </c>
      <c r="CO703">
        <v>0</v>
      </c>
      <c r="CP703" t="str">
        <f>IF($BN703&lt;$BM703,"refNeedCorrection","refOK")</f>
        <v>refOK</v>
      </c>
      <c r="CQ703">
        <f>IF($CP703="refNeedCorrection",BN703,BM703)</f>
        <v>0</v>
      </c>
      <c r="CR703">
        <f>IF($CP703="refNeedCorrection",BM703,BN703)</f>
        <v>327857.59999999998</v>
      </c>
      <c r="CS703">
        <f>IF($CP703="refOK",$BQ703,-$BQ703)</f>
        <v>669.0971428571429</v>
      </c>
      <c r="CT703">
        <f>IF(BI703="Roundwood",$CS703/2,$CS703)</f>
        <v>669.0971428571429</v>
      </c>
      <c r="CU703">
        <f>IF($CP703="refOK",$BU703,$BV703)*IF($BR703="Emissions positive",-1,1)</f>
        <v>-1491</v>
      </c>
      <c r="CV703">
        <f>IF($CP703="refOK",$BV703,$BU703)*IF($BR703="Emissions positive",-1,1)</f>
        <v>-3656</v>
      </c>
      <c r="CW703">
        <f>IF($CP703="refNeedCorrection",-BZ703,BZ703)*IF($BR703="Emissions positive",-1,1)</f>
        <v>-2165</v>
      </c>
      <c r="CX703">
        <f>IFERROR($CW703/$CS703,"")</f>
        <v>-3.2357035493458133</v>
      </c>
      <c r="CY703">
        <f>IFERROR($CW703/$CS703,"")</f>
        <v>-3.2357035493458133</v>
      </c>
      <c r="CZ703">
        <f>IFERROR($CW703/$CT703,"")</f>
        <v>-3.2357035493458133</v>
      </c>
      <c r="DA703" s="2">
        <f>IFERROR((CV703-CU703)/ABS(CU703),"")</f>
        <v>-1.4520456069751844</v>
      </c>
      <c r="DB703" s="1" t="s">
        <v>263</v>
      </c>
      <c r="DC703" s="317" t="str">
        <f>IF(OR($DB703="prd",$DB703="std",$DB703="cit"),"loc",IF(OR($DB703="eur",$DB703="reg",$DB703="coy"),"reg",$DB703))</f>
        <v>loc</v>
      </c>
      <c r="DD703" t="s">
        <v>561</v>
      </c>
      <c r="DG703">
        <v>100</v>
      </c>
      <c r="DH703" t="str">
        <f>IF(DG703=0,"0",IF(AND(DG703&gt;=1,DG703&lt;=30),"1-30",IF(AND(DG703&gt;30,DG703&lt;=70),"31-70",IF(AND(DG703&gt;70,DG703&lt;=100),"71-100",IF(DG703&gt;100,"+100")))))</f>
        <v>71-100</v>
      </c>
      <c r="DI703">
        <v>0</v>
      </c>
      <c r="DJ703">
        <v>0</v>
      </c>
      <c r="DK703">
        <v>0</v>
      </c>
      <c r="DL703">
        <v>1</v>
      </c>
      <c r="DN703">
        <f>SUM(DI703:DL703)</f>
        <v>1</v>
      </c>
      <c r="DO703" t="str">
        <f>IF(DN703=1,INDEX($DI$7:$DL$7,MATCH(1,$DI703:$DL703,0)),"mixedProduct")</f>
        <v>TimberInput</v>
      </c>
      <c r="DP703">
        <f>IF(DI703=1,DP$7,0)</f>
        <v>0</v>
      </c>
      <c r="DQ703">
        <f>IF(DJ703=1,DQ$7,0)</f>
        <v>0</v>
      </c>
      <c r="DR703">
        <f>IF(DK703=1,DR$7,0)</f>
        <v>0</v>
      </c>
      <c r="DS703" t="str">
        <f>IF(DL703=1,DS$7,0)</f>
        <v>Timber</v>
      </c>
      <c r="DT703">
        <v>0</v>
      </c>
      <c r="DU703">
        <v>0</v>
      </c>
      <c r="DV703">
        <v>0</v>
      </c>
      <c r="DW703">
        <v>0</v>
      </c>
      <c r="DX703">
        <v>0</v>
      </c>
      <c r="DY703">
        <f>SUM(DT703:DU703)</f>
        <v>0</v>
      </c>
      <c r="DZ703" s="143" t="str">
        <f>IF(DT703=1,"self-calculated DF",IF(DU703=1,"external DF used","explicit C balance"))</f>
        <v>explicit C balance</v>
      </c>
      <c r="EA703">
        <v>0</v>
      </c>
      <c r="EB703">
        <v>1</v>
      </c>
      <c r="EC703">
        <v>0</v>
      </c>
      <c r="ED703">
        <v>1</v>
      </c>
      <c r="EE703">
        <v>1</v>
      </c>
      <c r="EF703">
        <v>1</v>
      </c>
      <c r="EG703">
        <v>1</v>
      </c>
      <c r="EH703">
        <v>1</v>
      </c>
      <c r="EI703">
        <v>1</v>
      </c>
      <c r="EJ703">
        <v>1</v>
      </c>
      <c r="EK703">
        <v>0</v>
      </c>
      <c r="EL703">
        <v>0</v>
      </c>
      <c r="EM703">
        <v>0</v>
      </c>
      <c r="EN703" s="2">
        <v>0</v>
      </c>
      <c r="EP703" t="str">
        <f>IF(AND(AND(AND(OR($EC703=1,$EB703=1),OR($EH703=1,$EF703=1)),SUM($EA703:$EE703,$EK703)&gt;=3),SUM($EF703:$EJ703)&gt;=2),"Whole sector approach","")</f>
        <v>Whole sector approach</v>
      </c>
      <c r="EQ703" t="str">
        <f>IF(AND(AND(OR($EC703=1,$EB703=1),AND($EH703=0,$EF703=0)),SUM($EA703:$EE703,$EK703)&gt;=3),"Ecosystem approach","")</f>
        <v/>
      </c>
      <c r="ER703" s="2" t="str">
        <f>IF(AND(AND(AND($EC703=0,$EB703=0),OR($EH703=1,$EF703=1)),SUM($EG703:$EJ703)&gt;=2),"Technology approach","")</f>
        <v/>
      </c>
      <c r="ES703" t="str">
        <f>IF(AND($EC703+$EB703+$EE703+$EA703+$ED703+$EG703=0,$N703="included"),"C neutral forest and HWP assumption","")</f>
        <v/>
      </c>
      <c r="ET703" t="str">
        <f>IF(AND(AND(AND(AND($EC703=1,$EB703+$EA703+$EG703&gt;=1),$EF703=1),$EH703+$EI703+$ED703+$EE703&gt;=2),$N703="included"),"All C pools assumption","")</f>
        <v/>
      </c>
      <c r="EU703" t="str">
        <f>IF(AND($ED703+$EE703+$EI703+$EH703+$EF703=0,$N703="included"),"In-situ only assumption","")</f>
        <v/>
      </c>
      <c r="EY703" t="str">
        <f>IF(ISNUMBER(BW703),IF(ABS(BW703-[4]QC_indicators!$B$2)&gt;3*[4]QC_indicators!$C$2,"C ratio",IF(ISNUMBER(CA703),IF(ABS(CA703-[4]QC_indicators!$B$1)&gt;3*[4]QC_indicators!$C$1,"DF","no"))),IF(ISNUMBER(CA703),IF(ABS(CA703-[4]QC_indicators!$B$1)&gt;3*[4]QC_indicators!$C$1,"DF","no")))</f>
        <v>no</v>
      </c>
      <c r="FA703" t="str">
        <f>IF(LEN($CY703)=0,"",IF(AND($CY703&lt;(-0.05),$ES703="C neutral forest and HWP assumption"),"Cneutral paradox",IF(AND($CY703&gt;0.05,$EU703="In-situ only assumption"),"In-situ only paradox","")))</f>
        <v/>
      </c>
      <c r="FB703" s="319" t="s">
        <v>349</v>
      </c>
      <c r="FD703" s="145" t="s">
        <v>4915</v>
      </c>
    </row>
    <row r="704" spans="1:160" ht="15" hidden="1" customHeight="1">
      <c r="A704" s="1" t="s">
        <v>549</v>
      </c>
      <c r="B704" t="s">
        <v>531</v>
      </c>
      <c r="C704" t="s">
        <v>550</v>
      </c>
      <c r="D704" t="s">
        <v>551</v>
      </c>
      <c r="E704" t="s">
        <v>552</v>
      </c>
      <c r="F704" t="s">
        <v>553</v>
      </c>
      <c r="G704" t="s">
        <v>554</v>
      </c>
      <c r="H704" t="s">
        <v>254</v>
      </c>
      <c r="I704">
        <v>2009</v>
      </c>
      <c r="J704">
        <v>16</v>
      </c>
      <c r="K704" t="s">
        <v>555</v>
      </c>
      <c r="M704" t="str">
        <f>LEFT($D704,FIND(",",$D704)-1)&amp;"_"&amp;I704&amp;L704</f>
        <v>Crawford_2009</v>
      </c>
      <c r="N704" t="s">
        <v>222</v>
      </c>
      <c r="O704" s="145" t="s">
        <v>223</v>
      </c>
      <c r="Q704" s="317" t="s">
        <v>256</v>
      </c>
      <c r="R704" s="318" t="s">
        <v>1029</v>
      </c>
      <c r="S704" s="1" t="s">
        <v>566</v>
      </c>
      <c r="T704" s="317" t="s">
        <v>571</v>
      </c>
      <c r="U704" s="317" t="s">
        <v>558</v>
      </c>
      <c r="V704" s="253">
        <v>0</v>
      </c>
      <c r="W704" s="253">
        <v>0</v>
      </c>
      <c r="X704">
        <v>0</v>
      </c>
      <c r="Y704">
        <v>0</v>
      </c>
      <c r="Z704">
        <v>0</v>
      </c>
      <c r="AA704">
        <v>0</v>
      </c>
      <c r="AB704">
        <v>0</v>
      </c>
      <c r="AC704">
        <v>0</v>
      </c>
      <c r="AD704">
        <v>0</v>
      </c>
      <c r="AE704">
        <v>0</v>
      </c>
      <c r="AF704">
        <v>0</v>
      </c>
      <c r="AG704">
        <v>0</v>
      </c>
      <c r="AH704">
        <v>0</v>
      </c>
      <c r="AI704">
        <v>0</v>
      </c>
      <c r="AJ704">
        <v>0</v>
      </c>
      <c r="AK704">
        <v>0</v>
      </c>
      <c r="AL704">
        <v>0</v>
      </c>
      <c r="AM704">
        <v>1</v>
      </c>
      <c r="AN704">
        <v>0</v>
      </c>
      <c r="AO704">
        <v>0</v>
      </c>
      <c r="AP704">
        <v>0</v>
      </c>
      <c r="AQ704">
        <v>0</v>
      </c>
      <c r="AR704">
        <v>0</v>
      </c>
      <c r="AS704">
        <v>0</v>
      </c>
      <c r="AT704">
        <v>0</v>
      </c>
      <c r="AU704">
        <v>0</v>
      </c>
      <c r="AV704">
        <v>0</v>
      </c>
      <c r="AW704">
        <v>0</v>
      </c>
      <c r="AX704">
        <v>0</v>
      </c>
      <c r="AY704">
        <v>0</v>
      </c>
      <c r="AZ704" s="141">
        <f>COUNTIF(X704:AY704,"&lt;&gt;0")</f>
        <v>1</v>
      </c>
      <c r="BA704" s="141">
        <f>COUNTIF(X704:AN704,"&lt;&gt;0")</f>
        <v>1</v>
      </c>
      <c r="BB704">
        <f>COUNTIF(X704:AE704,"&lt;&gt;0")</f>
        <v>0</v>
      </c>
      <c r="BC704">
        <f>COUNTIF(AF704:AK704,"&lt;&gt;0")</f>
        <v>0</v>
      </c>
      <c r="BD704">
        <f>COUNTIF(AL704:AN704,"&lt;&gt;0")</f>
        <v>1</v>
      </c>
      <c r="BE704">
        <f>COUNTIF(AU704:AY704,"&lt;&gt;0")</f>
        <v>0</v>
      </c>
      <c r="BF704">
        <f>COUNTIF(AO704:AT704,"&lt;&gt;0")</f>
        <v>0</v>
      </c>
      <c r="BG704" t="str" cm="1">
        <f t="array" ref="BG704">IF(BA704=1,INDEX($X$7:$AN$7,MATCH(TRUE,INDEX($X704:$AY704&lt;&gt;0,),0)),IF(BA704=0,INDEX($AO$7:$AY$7,MATCH(1,$AO704:$AY704,0)),IF(BH704="Multiple strategies","mixed drivers",IF(BH704="Supply chain","multiple supply","multiple silviculture"))))</f>
        <v>technologies/design switch</v>
      </c>
      <c r="BH704" s="2" t="str" cm="1">
        <f t="array" ref="BH704">IF(COUNTIF(BB704:BD704,"&lt;&gt;0")=1,INDEX($X$4:$AY$4,MATCH(TRUE,INDEX($X704:$AY704&lt;&gt;0,),0)),IF(COUNTIF(BB704:BD704,"&lt;&gt;0")=0,INDEX($AO$4:$AY$4,MATCH(1,$AO704:$AY704,0)),"Multiple strategies"))</f>
        <v>Technology</v>
      </c>
      <c r="BI704" s="1" t="s">
        <v>229</v>
      </c>
      <c r="BJ704" t="s">
        <v>559</v>
      </c>
      <c r="BK704" s="141" t="s">
        <v>4912</v>
      </c>
      <c r="BL704" t="s">
        <v>345</v>
      </c>
      <c r="BM704">
        <v>0</v>
      </c>
      <c r="BN704">
        <f>80.2*1460*2.8</f>
        <v>327857.59999999998</v>
      </c>
      <c r="BP704">
        <f>BN704-BM704</f>
        <v>327857.59999999998</v>
      </c>
      <c r="BQ704">
        <f>BP704*kg_to_m3</f>
        <v>669.0971428571429</v>
      </c>
      <c r="BR704" s="317" t="s">
        <v>232</v>
      </c>
      <c r="BS704" s="141" t="s">
        <v>4913</v>
      </c>
      <c r="BT704" t="s">
        <v>560</v>
      </c>
      <c r="BU704">
        <v>-1491</v>
      </c>
      <c r="BV704">
        <v>-3656</v>
      </c>
      <c r="BW704" s="144">
        <f>IFERROR(BV704/BU704,"")</f>
        <v>2.4520456069751844</v>
      </c>
      <c r="BX704" s="175">
        <f>BV704-BU704</f>
        <v>-2165</v>
      </c>
      <c r="BZ704">
        <f>BX704</f>
        <v>-2165</v>
      </c>
      <c r="CA704">
        <f>IFERROR(BZ704/BQ704,"")</f>
        <v>-3.2357035493458133</v>
      </c>
      <c r="CB704">
        <v>0</v>
      </c>
      <c r="CC704">
        <v>0</v>
      </c>
      <c r="CD704">
        <v>0</v>
      </c>
      <c r="CE704">
        <v>0</v>
      </c>
      <c r="CF704">
        <v>0</v>
      </c>
      <c r="CG704">
        <v>0</v>
      </c>
      <c r="CH704">
        <v>0</v>
      </c>
      <c r="CI704">
        <v>0</v>
      </c>
      <c r="CJ704">
        <v>0</v>
      </c>
      <c r="CK704">
        <v>0</v>
      </c>
      <c r="CL704">
        <v>0</v>
      </c>
      <c r="CM704">
        <v>0</v>
      </c>
      <c r="CN704">
        <v>0</v>
      </c>
      <c r="CO704">
        <v>0</v>
      </c>
      <c r="CP704" t="str">
        <f>IF($BN704&lt;$BM704,"refNeedCorrection","refOK")</f>
        <v>refOK</v>
      </c>
      <c r="CQ704">
        <f>IF($CP704="refNeedCorrection",BN704,BM704)</f>
        <v>0</v>
      </c>
      <c r="CR704">
        <f>IF($CP704="refNeedCorrection",BM704,BN704)</f>
        <v>327857.59999999998</v>
      </c>
      <c r="CS704">
        <f>IF($CP704="refOK",$BQ704,-$BQ704)</f>
        <v>669.0971428571429</v>
      </c>
      <c r="CT704">
        <f>IF(BI704="Roundwood",$CS704/2,$CS704)</f>
        <v>669.0971428571429</v>
      </c>
      <c r="CU704">
        <f>IF($CP704="refOK",$BU704,$BV704)*IF($BR704="Emissions positive",-1,1)</f>
        <v>-1491</v>
      </c>
      <c r="CV704">
        <f>IF($CP704="refOK",$BV704,$BU704)*IF($BR704="Emissions positive",-1,1)</f>
        <v>-3656</v>
      </c>
      <c r="CW704">
        <f>IF($CP704="refNeedCorrection",-BZ704,BZ704)*IF($BR704="Emissions positive",-1,1)</f>
        <v>-2165</v>
      </c>
      <c r="CX704">
        <f>IFERROR($CW704/$CS704,"")</f>
        <v>-3.2357035493458133</v>
      </c>
      <c r="CY704">
        <f>IFERROR($CW704/$CS704,"")</f>
        <v>-3.2357035493458133</v>
      </c>
      <c r="CZ704">
        <f>IFERROR($CW704/$CT704,"")</f>
        <v>-3.2357035493458133</v>
      </c>
      <c r="DA704" s="2">
        <f>IFERROR((CV704-CU704)/ABS(CU704),"")</f>
        <v>-1.4520456069751844</v>
      </c>
      <c r="DB704" s="1" t="s">
        <v>263</v>
      </c>
      <c r="DC704" s="317" t="str">
        <f>IF(OR($DB704="prd",$DB704="std",$DB704="cit"),"loc",IF(OR($DB704="eur",$DB704="reg",$DB704="coy"),"reg",$DB704))</f>
        <v>loc</v>
      </c>
      <c r="DD704" t="s">
        <v>561</v>
      </c>
      <c r="DG704">
        <v>100</v>
      </c>
      <c r="DH704" t="str">
        <f>IF(DG704=0,"0",IF(AND(DG704&gt;=1,DG704&lt;=30),"1-30",IF(AND(DG704&gt;30,DG704&lt;=70),"31-70",IF(AND(DG704&gt;70,DG704&lt;=100),"71-100",IF(DG704&gt;100,"+100")))))</f>
        <v>71-100</v>
      </c>
      <c r="DI704">
        <v>0</v>
      </c>
      <c r="DJ704">
        <v>0</v>
      </c>
      <c r="DK704">
        <v>0</v>
      </c>
      <c r="DL704">
        <v>1</v>
      </c>
      <c r="DN704">
        <f>SUM(DI704:DL704)</f>
        <v>1</v>
      </c>
      <c r="DO704" t="str">
        <f>IF(DN704=1,INDEX($DI$7:$DL$7,MATCH(1,$DI704:$DL704,0)),"mixedProduct")</f>
        <v>TimberInput</v>
      </c>
      <c r="DP704">
        <f>IF(DI704=1,DP$7,0)</f>
        <v>0</v>
      </c>
      <c r="DQ704">
        <f>IF(DJ704=1,DQ$7,0)</f>
        <v>0</v>
      </c>
      <c r="DR704">
        <f>IF(DK704=1,DR$7,0)</f>
        <v>0</v>
      </c>
      <c r="DS704" t="str">
        <f>IF(DL704=1,DS$7,0)</f>
        <v>Timber</v>
      </c>
      <c r="DT704">
        <v>0</v>
      </c>
      <c r="DU704">
        <v>0</v>
      </c>
      <c r="DV704">
        <v>0</v>
      </c>
      <c r="DW704">
        <v>0</v>
      </c>
      <c r="DX704">
        <v>0</v>
      </c>
      <c r="DY704">
        <f>SUM(DT704:DU704)</f>
        <v>0</v>
      </c>
      <c r="DZ704" s="143" t="str">
        <f>IF(DT704=1,"self-calculated DF",IF(DU704=1,"external DF used","explicit C balance"))</f>
        <v>explicit C balance</v>
      </c>
      <c r="EA704">
        <v>0</v>
      </c>
      <c r="EB704">
        <v>1</v>
      </c>
      <c r="EC704">
        <v>0</v>
      </c>
      <c r="ED704">
        <v>1</v>
      </c>
      <c r="EE704">
        <v>1</v>
      </c>
      <c r="EF704">
        <v>1</v>
      </c>
      <c r="EG704">
        <v>1</v>
      </c>
      <c r="EH704">
        <v>1</v>
      </c>
      <c r="EI704">
        <v>1</v>
      </c>
      <c r="EJ704">
        <v>1</v>
      </c>
      <c r="EK704">
        <v>0</v>
      </c>
      <c r="EL704">
        <v>0</v>
      </c>
      <c r="EM704">
        <v>0</v>
      </c>
      <c r="EN704" s="2">
        <v>0</v>
      </c>
      <c r="EP704" t="str">
        <f>IF(AND(AND(AND(OR($EC704=1,$EB704=1),OR($EH704=1,$EF704=1)),SUM($EA704:$EE704,$EK704)&gt;=3),SUM($EF704:$EJ704)&gt;=2),"Whole sector approach","")</f>
        <v>Whole sector approach</v>
      </c>
      <c r="EQ704" t="str">
        <f>IF(AND(AND(OR($EC704=1,$EB704=1),AND($EH704=0,$EF704=0)),SUM($EA704:$EE704,$EK704)&gt;=3),"Ecosystem approach","")</f>
        <v/>
      </c>
      <c r="ER704" s="2" t="str">
        <f>IF(AND(AND(AND($EC704=0,$EB704=0),OR($EH704=1,$EF704=1)),SUM($EG704:$EJ704)&gt;=2),"Technology approach","")</f>
        <v/>
      </c>
      <c r="ES704" t="str">
        <f>IF(AND($EC704+$EB704+$EE704+$EA704+$ED704+$EG704=0,$N704="included"),"C neutral forest and HWP assumption","")</f>
        <v/>
      </c>
      <c r="ET704" t="str">
        <f>IF(AND(AND(AND(AND($EC704=1,$EB704+$EA704+$EG704&gt;=1),$EF704=1),$EH704+$EI704+$ED704+$EE704&gt;=2),$N704="included"),"All C pools assumption","")</f>
        <v/>
      </c>
      <c r="EU704" t="str">
        <f>IF(AND($ED704+$EE704+$EI704+$EH704+$EF704=0,$N704="included"),"In-situ only assumption","")</f>
        <v/>
      </c>
      <c r="EW704" t="s">
        <v>570</v>
      </c>
      <c r="EY704" t="str">
        <f>IF(ISNUMBER(BW704),IF(ABS(BW704-[4]QC_indicators!$B$2)&gt;3*[4]QC_indicators!$C$2,"C ratio",IF(ISNUMBER(CA704),IF(ABS(CA704-[4]QC_indicators!$B$1)&gt;3*[4]QC_indicators!$C$1,"DF","no"))),IF(ISNUMBER(CA704),IF(ABS(CA704-[4]QC_indicators!$B$1)&gt;3*[4]QC_indicators!$C$1,"DF","no")))</f>
        <v>no</v>
      </c>
      <c r="FA704" t="str">
        <f>IF(LEN($CY704)=0,"",IF(AND($CY704&lt;(-0.05),$ES704="C neutral forest and HWP assumption"),"Cneutral paradox",IF(AND($CY704&gt;0.05,$EU704="In-situ only assumption"),"In-situ only paradox","")))</f>
        <v/>
      </c>
      <c r="FB704" s="319" t="s">
        <v>349</v>
      </c>
      <c r="FD704" s="145" t="s">
        <v>4915</v>
      </c>
    </row>
    <row r="705" spans="1:160" ht="15" hidden="1" customHeight="1">
      <c r="A705" s="1" t="s">
        <v>549</v>
      </c>
      <c r="B705" t="s">
        <v>531</v>
      </c>
      <c r="C705" t="s">
        <v>550</v>
      </c>
      <c r="D705" t="s">
        <v>551</v>
      </c>
      <c r="E705" t="s">
        <v>552</v>
      </c>
      <c r="F705" t="s">
        <v>553</v>
      </c>
      <c r="G705" t="s">
        <v>554</v>
      </c>
      <c r="H705" t="s">
        <v>254</v>
      </c>
      <c r="I705">
        <v>2009</v>
      </c>
      <c r="J705">
        <v>16</v>
      </c>
      <c r="K705" t="s">
        <v>555</v>
      </c>
      <c r="M705" t="str">
        <f>LEFT($D705,FIND(",",$D705)-1)&amp;"_"&amp;I705&amp;L705</f>
        <v>Crawford_2009</v>
      </c>
      <c r="N705" t="s">
        <v>222</v>
      </c>
      <c r="O705" s="145" t="s">
        <v>223</v>
      </c>
      <c r="Q705" s="317" t="s">
        <v>256</v>
      </c>
      <c r="R705" s="318" t="s">
        <v>1029</v>
      </c>
      <c r="S705" s="1" t="s">
        <v>566</v>
      </c>
      <c r="T705" s="317" t="s">
        <v>569</v>
      </c>
      <c r="U705" s="317" t="s">
        <v>563</v>
      </c>
      <c r="V705" s="253">
        <v>0</v>
      </c>
      <c r="W705" s="253">
        <v>0</v>
      </c>
      <c r="X705">
        <v>0</v>
      </c>
      <c r="Y705">
        <v>0</v>
      </c>
      <c r="Z705">
        <v>0</v>
      </c>
      <c r="AA705">
        <v>0</v>
      </c>
      <c r="AB705">
        <v>0</v>
      </c>
      <c r="AC705">
        <v>0</v>
      </c>
      <c r="AD705">
        <v>0</v>
      </c>
      <c r="AE705">
        <v>0</v>
      </c>
      <c r="AF705">
        <v>0</v>
      </c>
      <c r="AG705">
        <v>0</v>
      </c>
      <c r="AH705">
        <v>0</v>
      </c>
      <c r="AI705">
        <v>0</v>
      </c>
      <c r="AJ705">
        <v>0</v>
      </c>
      <c r="AK705">
        <v>0</v>
      </c>
      <c r="AL705">
        <v>0</v>
      </c>
      <c r="AM705">
        <v>1</v>
      </c>
      <c r="AN705">
        <v>0</v>
      </c>
      <c r="AO705">
        <v>0</v>
      </c>
      <c r="AP705">
        <v>0</v>
      </c>
      <c r="AQ705">
        <v>0</v>
      </c>
      <c r="AR705">
        <v>0</v>
      </c>
      <c r="AS705">
        <v>0</v>
      </c>
      <c r="AT705">
        <v>0</v>
      </c>
      <c r="AU705">
        <v>0</v>
      </c>
      <c r="AV705">
        <v>0</v>
      </c>
      <c r="AW705">
        <v>0</v>
      </c>
      <c r="AX705">
        <v>0</v>
      </c>
      <c r="AY705">
        <v>0</v>
      </c>
      <c r="AZ705" s="141">
        <f>COUNTIF(X705:AY705,"&lt;&gt;0")</f>
        <v>1</v>
      </c>
      <c r="BA705" s="141">
        <f>COUNTIF(X705:AN705,"&lt;&gt;0")</f>
        <v>1</v>
      </c>
      <c r="BB705">
        <f>COUNTIF(X705:AE705,"&lt;&gt;0")</f>
        <v>0</v>
      </c>
      <c r="BC705">
        <f>COUNTIF(AF705:AK705,"&lt;&gt;0")</f>
        <v>0</v>
      </c>
      <c r="BD705">
        <f>COUNTIF(AL705:AN705,"&lt;&gt;0")</f>
        <v>1</v>
      </c>
      <c r="BE705">
        <f>COUNTIF(AU705:AY705,"&lt;&gt;0")</f>
        <v>0</v>
      </c>
      <c r="BF705">
        <f>COUNTIF(AO705:AT705,"&lt;&gt;0")</f>
        <v>0</v>
      </c>
      <c r="BG705" t="str" cm="1">
        <f t="array" ref="BG705">IF(BA705=1,INDEX($X$7:$AN$7,MATCH(TRUE,INDEX($X705:$AY705&lt;&gt;0,),0)),IF(BA705=0,INDEX($AO$7:$AY$7,MATCH(1,$AO705:$AY705,0)),IF(BH705="Multiple strategies","mixed drivers",IF(BH705="Supply chain","multiple supply","multiple silviculture"))))</f>
        <v>technologies/design switch</v>
      </c>
      <c r="BH705" s="2" t="str" cm="1">
        <f t="array" ref="BH705">IF(COUNTIF(BB705:BD705,"&lt;&gt;0")=1,INDEX($X$4:$AY$4,MATCH(TRUE,INDEX($X705:$AY705&lt;&gt;0,),0)),IF(COUNTIF(BB705:BD705,"&lt;&gt;0")=0,INDEX($AO$4:$AY$4,MATCH(1,$AO705:$AY705,0)),"Multiple strategies"))</f>
        <v>Technology</v>
      </c>
      <c r="BI705" s="1" t="s">
        <v>229</v>
      </c>
      <c r="BJ705" t="s">
        <v>559</v>
      </c>
      <c r="BK705" s="141" t="s">
        <v>4912</v>
      </c>
      <c r="BL705" t="s">
        <v>345</v>
      </c>
      <c r="BM705">
        <v>0</v>
      </c>
      <c r="BN705">
        <f>80.2*1460*2.8</f>
        <v>327857.59999999998</v>
      </c>
      <c r="BP705">
        <f>BN705-BM705</f>
        <v>327857.59999999998</v>
      </c>
      <c r="BQ705">
        <f>BP705*kg_to_m3</f>
        <v>669.0971428571429</v>
      </c>
      <c r="BR705" s="317" t="s">
        <v>232</v>
      </c>
      <c r="BS705" s="355" t="s">
        <v>4913</v>
      </c>
      <c r="BT705" t="s">
        <v>560</v>
      </c>
      <c r="BU705">
        <v>-822</v>
      </c>
      <c r="BV705">
        <v>-3185</v>
      </c>
      <c r="BW705" s="144">
        <f>IFERROR(BV705/BU705,"")</f>
        <v>3.8746958637469588</v>
      </c>
      <c r="BX705" s="175">
        <f>BV705-BU705</f>
        <v>-2363</v>
      </c>
      <c r="BZ705">
        <f>BX705</f>
        <v>-2363</v>
      </c>
      <c r="CA705">
        <f>IFERROR(BZ705/BQ705,"")</f>
        <v>-3.5316247053598877</v>
      </c>
      <c r="CB705">
        <v>0</v>
      </c>
      <c r="CC705">
        <v>0</v>
      </c>
      <c r="CD705">
        <v>0</v>
      </c>
      <c r="CE705">
        <v>0</v>
      </c>
      <c r="CF705">
        <v>0</v>
      </c>
      <c r="CG705">
        <v>0</v>
      </c>
      <c r="CH705">
        <v>0</v>
      </c>
      <c r="CI705">
        <v>0</v>
      </c>
      <c r="CJ705">
        <v>0</v>
      </c>
      <c r="CK705">
        <v>0</v>
      </c>
      <c r="CL705">
        <v>0</v>
      </c>
      <c r="CM705">
        <v>0</v>
      </c>
      <c r="CN705">
        <v>0</v>
      </c>
      <c r="CO705">
        <v>0</v>
      </c>
      <c r="CP705" t="str">
        <f>IF($BN705&lt;$BM705,"refNeedCorrection","refOK")</f>
        <v>refOK</v>
      </c>
      <c r="CQ705">
        <f>IF($CP705="refNeedCorrection",BN705,BM705)</f>
        <v>0</v>
      </c>
      <c r="CR705">
        <f>IF($CP705="refNeedCorrection",BM705,BN705)</f>
        <v>327857.59999999998</v>
      </c>
      <c r="CS705">
        <f>IF($CP705="refOK",$BQ705,-$BQ705)</f>
        <v>669.0971428571429</v>
      </c>
      <c r="CT705">
        <f>IF(BI705="Roundwood",$CS705/2,$CS705)</f>
        <v>669.0971428571429</v>
      </c>
      <c r="CU705">
        <f>IF($CP705="refOK",$BU705,$BV705)*IF($BR705="Emissions positive",-1,1)</f>
        <v>-822</v>
      </c>
      <c r="CV705">
        <f>IF($CP705="refOK",$BV705,$BU705)*IF($BR705="Emissions positive",-1,1)</f>
        <v>-3185</v>
      </c>
      <c r="CW705">
        <f>IF($CP705="refNeedCorrection",-BZ705,BZ705)*IF($BR705="Emissions positive",-1,1)</f>
        <v>-2363</v>
      </c>
      <c r="CX705">
        <f>IFERROR($CW705/$CS705,"")</f>
        <v>-3.5316247053598877</v>
      </c>
      <c r="CY705">
        <f>IFERROR($CW705/$CS705,"")</f>
        <v>-3.5316247053598877</v>
      </c>
      <c r="CZ705">
        <f>IFERROR($CW705/$CT705,"")</f>
        <v>-3.5316247053598877</v>
      </c>
      <c r="DA705" s="2">
        <f>IFERROR((CV705-CU705)/ABS(CU705),"")</f>
        <v>-2.8746958637469588</v>
      </c>
      <c r="DB705" s="1" t="s">
        <v>263</v>
      </c>
      <c r="DC705" s="317" t="str">
        <f>IF(OR($DB705="prd",$DB705="std",$DB705="cit"),"loc",IF(OR($DB705="eur",$DB705="reg",$DB705="coy"),"reg",$DB705))</f>
        <v>loc</v>
      </c>
      <c r="DD705" t="s">
        <v>561</v>
      </c>
      <c r="DG705">
        <v>100</v>
      </c>
      <c r="DH705" t="str">
        <f>IF(DG705=0,"0",IF(AND(DG705&gt;=1,DG705&lt;=30),"1-30",IF(AND(DG705&gt;30,DG705&lt;=70),"31-70",IF(AND(DG705&gt;70,DG705&lt;=100),"71-100",IF(DG705&gt;100,"+100")))))</f>
        <v>71-100</v>
      </c>
      <c r="DI705">
        <v>0</v>
      </c>
      <c r="DJ705">
        <v>0</v>
      </c>
      <c r="DK705">
        <v>0</v>
      </c>
      <c r="DL705">
        <v>1</v>
      </c>
      <c r="DN705">
        <f>SUM(DI705:DL705)</f>
        <v>1</v>
      </c>
      <c r="DO705" t="str">
        <f>IF(DN705=1,INDEX($DI$7:$DL$7,MATCH(1,$DI705:$DL705,0)),"mixedProduct")</f>
        <v>TimberInput</v>
      </c>
      <c r="DP705">
        <f>IF(DI705=1,DP$7,0)</f>
        <v>0</v>
      </c>
      <c r="DQ705">
        <f>IF(DJ705=1,DQ$7,0)</f>
        <v>0</v>
      </c>
      <c r="DR705">
        <f>IF(DK705=1,DR$7,0)</f>
        <v>0</v>
      </c>
      <c r="DS705" t="str">
        <f>IF(DL705=1,DS$7,0)</f>
        <v>Timber</v>
      </c>
      <c r="DT705">
        <v>0</v>
      </c>
      <c r="DU705">
        <v>0</v>
      </c>
      <c r="DV705">
        <v>0</v>
      </c>
      <c r="DW705">
        <v>0</v>
      </c>
      <c r="DX705">
        <v>0</v>
      </c>
      <c r="DY705">
        <f>SUM(DT705:DU705)</f>
        <v>0</v>
      </c>
      <c r="DZ705" s="143" t="str">
        <f>IF(DT705=1,"self-calculated DF",IF(DU705=1,"external DF used","explicit C balance"))</f>
        <v>explicit C balance</v>
      </c>
      <c r="EA705">
        <v>0</v>
      </c>
      <c r="EB705">
        <v>1</v>
      </c>
      <c r="EC705">
        <v>0</v>
      </c>
      <c r="ED705">
        <v>1</v>
      </c>
      <c r="EE705">
        <v>1</v>
      </c>
      <c r="EF705">
        <v>1</v>
      </c>
      <c r="EG705">
        <v>1</v>
      </c>
      <c r="EH705">
        <v>1</v>
      </c>
      <c r="EI705">
        <v>1</v>
      </c>
      <c r="EJ705">
        <v>1</v>
      </c>
      <c r="EK705">
        <v>0</v>
      </c>
      <c r="EL705">
        <v>0</v>
      </c>
      <c r="EM705">
        <v>0</v>
      </c>
      <c r="EN705" s="2">
        <v>0</v>
      </c>
      <c r="EP705" t="str">
        <f>IF(AND(AND(AND(OR($EC705=1,$EB705=1),OR($EH705=1,$EF705=1)),SUM($EA705:$EE705,$EK705)&gt;=3),SUM($EF705:$EJ705)&gt;=2),"Whole sector approach","")</f>
        <v>Whole sector approach</v>
      </c>
      <c r="EQ705" t="str">
        <f>IF(AND(AND(OR($EC705=1,$EB705=1),AND($EH705=0,$EF705=0)),SUM($EA705:$EE705,$EK705)&gt;=3),"Ecosystem approach","")</f>
        <v/>
      </c>
      <c r="ER705" s="2" t="str">
        <f>IF(AND(AND(AND($EC705=0,$EB705=0),OR($EH705=1,$EF705=1)),SUM($EG705:$EJ705)&gt;=2),"Technology approach","")</f>
        <v/>
      </c>
      <c r="ES705" t="str">
        <f>IF(AND($EC705+$EB705+$EE705+$EA705+$ED705+$EG705=0,$N705="included"),"C neutral forest and HWP assumption","")</f>
        <v/>
      </c>
      <c r="ET705" t="str">
        <f>IF(AND(AND(AND(AND($EC705=1,$EB705+$EA705+$EG705&gt;=1),$EF705=1),$EH705+$EI705+$ED705+$EE705&gt;=2),$N705="included"),"All C pools assumption","")</f>
        <v/>
      </c>
      <c r="EU705" t="str">
        <f>IF(AND($ED705+$EE705+$EI705+$EH705+$EF705=0,$N705="included"),"In-situ only assumption","")</f>
        <v/>
      </c>
      <c r="EW705" t="s">
        <v>570</v>
      </c>
      <c r="EY705" t="str">
        <f>IF(ISNUMBER(BW705),IF(ABS(BW705-[4]QC_indicators!$B$2)&gt;3*[4]QC_indicators!$C$2,"C ratio",IF(ISNUMBER(CA705),IF(ABS(CA705-[4]QC_indicators!$B$1)&gt;3*[4]QC_indicators!$C$1,"DF","no"))),IF(ISNUMBER(CA705),IF(ABS(CA705-[4]QC_indicators!$B$1)&gt;3*[4]QC_indicators!$C$1,"DF","no")))</f>
        <v>no</v>
      </c>
      <c r="FA705" t="str">
        <f>IF(LEN($CY705)=0,"",IF(AND($CY705&lt;(-0.05),$ES705="C neutral forest and HWP assumption"),"Cneutral paradox",IF(AND($CY705&gt;0.05,$EU705="In-situ only assumption"),"In-situ only paradox","")))</f>
        <v/>
      </c>
      <c r="FB705" s="319" t="s">
        <v>349</v>
      </c>
      <c r="FD705" s="145" t="s">
        <v>4915</v>
      </c>
    </row>
    <row r="706" spans="1:160" ht="15" hidden="1" customHeight="1">
      <c r="A706" s="1" t="s">
        <v>549</v>
      </c>
      <c r="B706" t="s">
        <v>531</v>
      </c>
      <c r="C706" t="s">
        <v>550</v>
      </c>
      <c r="D706" t="s">
        <v>551</v>
      </c>
      <c r="E706" t="s">
        <v>552</v>
      </c>
      <c r="F706" t="s">
        <v>553</v>
      </c>
      <c r="G706" t="s">
        <v>554</v>
      </c>
      <c r="H706" t="s">
        <v>254</v>
      </c>
      <c r="I706">
        <v>2009</v>
      </c>
      <c r="J706">
        <v>16</v>
      </c>
      <c r="K706" t="s">
        <v>555</v>
      </c>
      <c r="M706" t="str">
        <f>LEFT($D706,FIND(",",$D706)-1)&amp;"_"&amp;I706&amp;L706</f>
        <v>Crawford_2009</v>
      </c>
      <c r="N706" t="s">
        <v>222</v>
      </c>
      <c r="O706" s="145" t="s">
        <v>223</v>
      </c>
      <c r="Q706" s="317" t="s">
        <v>256</v>
      </c>
      <c r="R706" s="318" t="s">
        <v>1029</v>
      </c>
      <c r="S706" s="1" t="s">
        <v>556</v>
      </c>
      <c r="T706" s="317" t="s">
        <v>563</v>
      </c>
      <c r="U706" s="317" t="s">
        <v>562</v>
      </c>
      <c r="V706" s="253">
        <v>0</v>
      </c>
      <c r="W706" s="253">
        <v>0</v>
      </c>
      <c r="X706">
        <v>0</v>
      </c>
      <c r="Y706">
        <v>0</v>
      </c>
      <c r="Z706">
        <v>0</v>
      </c>
      <c r="AA706">
        <v>0</v>
      </c>
      <c r="AB706">
        <v>0</v>
      </c>
      <c r="AC706">
        <v>0</v>
      </c>
      <c r="AD706">
        <v>0</v>
      </c>
      <c r="AE706">
        <v>0</v>
      </c>
      <c r="AF706">
        <v>0</v>
      </c>
      <c r="AG706">
        <v>0</v>
      </c>
      <c r="AH706">
        <v>0</v>
      </c>
      <c r="AI706">
        <v>0</v>
      </c>
      <c r="AJ706">
        <v>0</v>
      </c>
      <c r="AK706">
        <v>1</v>
      </c>
      <c r="AL706">
        <v>0</v>
      </c>
      <c r="AM706">
        <v>0</v>
      </c>
      <c r="AN706">
        <v>0</v>
      </c>
      <c r="AO706">
        <v>0</v>
      </c>
      <c r="AP706">
        <v>0</v>
      </c>
      <c r="AQ706">
        <v>0</v>
      </c>
      <c r="AR706">
        <v>0</v>
      </c>
      <c r="AS706">
        <v>0</v>
      </c>
      <c r="AT706">
        <v>0</v>
      </c>
      <c r="AU706">
        <v>0</v>
      </c>
      <c r="AV706">
        <v>0</v>
      </c>
      <c r="AW706">
        <v>0</v>
      </c>
      <c r="AX706">
        <v>0</v>
      </c>
      <c r="AY706">
        <v>0</v>
      </c>
      <c r="AZ706" s="141">
        <f>COUNTIF(X706:AY706,"&lt;&gt;0")</f>
        <v>1</v>
      </c>
      <c r="BA706" s="141">
        <f>COUNTIF(X706:AN706,"&lt;&gt;0")</f>
        <v>1</v>
      </c>
      <c r="BB706">
        <f>COUNTIF(X706:AE706,"&lt;&gt;0")</f>
        <v>0</v>
      </c>
      <c r="BC706">
        <f>COUNTIF(AF706:AK706,"&lt;&gt;0")</f>
        <v>1</v>
      </c>
      <c r="BD706">
        <f>COUNTIF(AL706:AN706,"&lt;&gt;0")</f>
        <v>0</v>
      </c>
      <c r="BE706">
        <f>COUNTIF(AU706:AY706,"&lt;&gt;0")</f>
        <v>0</v>
      </c>
      <c r="BF706">
        <f>COUNTIF(AO706:AT706,"&lt;&gt;0")</f>
        <v>0</v>
      </c>
      <c r="BG706" t="str" cm="1">
        <f t="array" ref="BG706">IF(BA706=1,INDEX($X$7:$AN$7,MATCH(TRUE,INDEX($X706:$AY706&lt;&gt;0,),0)),IF(BA706=0,INDEX($AO$7:$AY$7,MATCH(1,$AO706:$AY706,0)),IF(BH706="Multiple strategies","mixed drivers",IF(BH706="Supply chain","multiple supply","multiple silviculture"))))</f>
        <v>products lifespan</v>
      </c>
      <c r="BH706" s="2" t="str" cm="1">
        <f t="array" ref="BH706">IF(COUNTIF(BB706:BD706,"&lt;&gt;0")=1,INDEX($X$4:$AY$4,MATCH(TRUE,INDEX($X706:$AY706&lt;&gt;0,),0)),IF(COUNTIF(BB706:BD706,"&lt;&gt;0")=0,INDEX($AO$4:$AY$4,MATCH(1,$AO706:$AY706,0)),"Multiple strategies"))</f>
        <v>Supply chain</v>
      </c>
      <c r="BI706" s="1" t="s">
        <v>229</v>
      </c>
      <c r="BJ706" t="s">
        <v>559</v>
      </c>
      <c r="BK706" s="141" t="s">
        <v>4912</v>
      </c>
      <c r="BL706" t="s">
        <v>345</v>
      </c>
      <c r="BM706">
        <f>80.2*1460*2.8</f>
        <v>327857.59999999998</v>
      </c>
      <c r="BN706">
        <f>80.2*1460*4</f>
        <v>468368</v>
      </c>
      <c r="BP706">
        <f>BN706-BM706</f>
        <v>140510.40000000002</v>
      </c>
      <c r="BQ706">
        <f>BP706*kg_to_m3</f>
        <v>286.75591836734702</v>
      </c>
      <c r="BR706" s="317" t="s">
        <v>232</v>
      </c>
      <c r="BS706" s="355" t="s">
        <v>4913</v>
      </c>
      <c r="BT706" t="s">
        <v>560</v>
      </c>
      <c r="BU706">
        <v>-3185</v>
      </c>
      <c r="BV706">
        <v>-4208</v>
      </c>
      <c r="BW706" s="144">
        <f>IFERROR(BV706/BU706,"")</f>
        <v>1.321193092621664</v>
      </c>
      <c r="BX706" s="175">
        <f>BV706-BU706</f>
        <v>-1023</v>
      </c>
      <c r="BZ706">
        <f>BX706</f>
        <v>-1023</v>
      </c>
      <c r="CA706">
        <f>IFERROR(BZ706/BQ706,"")</f>
        <v>-3.5674939363918958</v>
      </c>
      <c r="CB706">
        <v>0</v>
      </c>
      <c r="CC706">
        <v>0</v>
      </c>
      <c r="CD706">
        <v>0</v>
      </c>
      <c r="CE706">
        <v>0</v>
      </c>
      <c r="CF706">
        <v>0</v>
      </c>
      <c r="CG706">
        <v>0</v>
      </c>
      <c r="CH706">
        <v>0</v>
      </c>
      <c r="CI706">
        <v>0</v>
      </c>
      <c r="CJ706">
        <v>0</v>
      </c>
      <c r="CK706">
        <v>0</v>
      </c>
      <c r="CL706">
        <v>0</v>
      </c>
      <c r="CM706">
        <v>0</v>
      </c>
      <c r="CN706">
        <v>0</v>
      </c>
      <c r="CO706">
        <v>0</v>
      </c>
      <c r="CP706" t="str">
        <f>IF($BN706&lt;$BM706,"refNeedCorrection","refOK")</f>
        <v>refOK</v>
      </c>
      <c r="CQ706">
        <f>IF($CP706="refOK",$BM706,$BN706)</f>
        <v>327857.59999999998</v>
      </c>
      <c r="CR706">
        <f>IF($CP706="refOK",$BN706,$BM706)</f>
        <v>468368</v>
      </c>
      <c r="CS706">
        <f>IF($CP706="refOK",$BQ706,-$BQ706)</f>
        <v>286.75591836734702</v>
      </c>
      <c r="CT706">
        <f>IF(BI706="Roundwood",$CS706/2,$CS706)</f>
        <v>286.75591836734702</v>
      </c>
      <c r="CU706">
        <f>IF($CP706="refOK",$BU706,$BV706)*IF($BR706="Emissions positive",-1,1)</f>
        <v>-3185</v>
      </c>
      <c r="CV706">
        <f>IF($CP706="refOK",$BV706,$BU706)*IF($BR706="Emissions positive",-1,1)</f>
        <v>-4208</v>
      </c>
      <c r="CW706">
        <f>IF($CP706="refNeedCorrection",-BZ706,BZ706)*IF($BR706="Emissions positive",-1,1)</f>
        <v>-1023</v>
      </c>
      <c r="CX706">
        <f>IFERROR($CW706/$CS706,"")</f>
        <v>-3.5674939363918958</v>
      </c>
      <c r="CY706">
        <f>IFERROR($CW706/$CS706,"")</f>
        <v>-3.5674939363918958</v>
      </c>
      <c r="CZ706">
        <f>IFERROR($CW706/$CT706,"")</f>
        <v>-3.5674939363918958</v>
      </c>
      <c r="DA706" s="2">
        <f>IFERROR((CV706-CU706)/ABS(CU706),"")</f>
        <v>-0.32119309262166407</v>
      </c>
      <c r="DB706" s="1" t="s">
        <v>263</v>
      </c>
      <c r="DC706" s="317" t="str">
        <f>IF(OR($DB706="prd",$DB706="std",$DB706="cit"),"loc",IF(OR($DB706="eur",$DB706="reg",$DB706="coy"),"reg",$DB706))</f>
        <v>loc</v>
      </c>
      <c r="DD706" t="s">
        <v>561</v>
      </c>
      <c r="DG706">
        <v>100</v>
      </c>
      <c r="DH706" t="str">
        <f>IF(DG706=0,"0",IF(AND(DG706&gt;=1,DG706&lt;=30),"1-30",IF(AND(DG706&gt;30,DG706&lt;=70),"31-70",IF(AND(DG706&gt;70,DG706&lt;=100),"71-100",IF(DG706&gt;100,"+100")))))</f>
        <v>71-100</v>
      </c>
      <c r="DI706">
        <v>0</v>
      </c>
      <c r="DJ706">
        <v>0</v>
      </c>
      <c r="DK706">
        <v>0</v>
      </c>
      <c r="DL706">
        <v>1</v>
      </c>
      <c r="DN706">
        <f>SUM(DI706:DL706)</f>
        <v>1</v>
      </c>
      <c r="DO706" t="str">
        <f>IF(DN706=1,INDEX($DI$7:$DL$7,MATCH(1,$DI706:$DL706,0)),"mixedProduct")</f>
        <v>TimberInput</v>
      </c>
      <c r="DP706">
        <f>IF(DI706=1,DP$7,0)</f>
        <v>0</v>
      </c>
      <c r="DQ706">
        <f>IF(DJ706=1,DQ$7,0)</f>
        <v>0</v>
      </c>
      <c r="DR706">
        <f>IF(DK706=1,DR$7,0)</f>
        <v>0</v>
      </c>
      <c r="DS706" t="str">
        <f>IF(DL706=1,DS$7,0)</f>
        <v>Timber</v>
      </c>
      <c r="DT706">
        <v>0</v>
      </c>
      <c r="DU706">
        <v>0</v>
      </c>
      <c r="DV706">
        <v>0</v>
      </c>
      <c r="DW706">
        <v>0</v>
      </c>
      <c r="DX706">
        <v>0</v>
      </c>
      <c r="DY706">
        <f>SUM(DT706:DU706)</f>
        <v>0</v>
      </c>
      <c r="DZ706" s="143" t="str">
        <f>IF(DT706=1,"self-calculated DF",IF(DU706=1,"external DF used","explicit C balance"))</f>
        <v>explicit C balance</v>
      </c>
      <c r="EA706">
        <v>0</v>
      </c>
      <c r="EB706">
        <v>1</v>
      </c>
      <c r="EC706">
        <v>0</v>
      </c>
      <c r="ED706">
        <v>1</v>
      </c>
      <c r="EE706">
        <v>1</v>
      </c>
      <c r="EF706">
        <v>1</v>
      </c>
      <c r="EG706">
        <v>1</v>
      </c>
      <c r="EH706">
        <v>1</v>
      </c>
      <c r="EI706">
        <v>1</v>
      </c>
      <c r="EJ706">
        <v>1</v>
      </c>
      <c r="EK706">
        <v>0</v>
      </c>
      <c r="EL706">
        <v>0</v>
      </c>
      <c r="EM706">
        <v>0</v>
      </c>
      <c r="EN706" s="2">
        <v>0</v>
      </c>
      <c r="EP706" t="str">
        <f>IF(AND(AND(AND(OR($EC706=1,$EB706=1),OR($EH706=1,$EF706=1)),SUM($EA706:$EE706,$EK706)&gt;=3),SUM($EF706:$EJ706)&gt;=2),"Whole sector approach","")</f>
        <v>Whole sector approach</v>
      </c>
      <c r="EQ706" t="str">
        <f>IF(AND(AND(OR($EC706=1,$EB706=1),AND($EH706=0,$EF706=0)),SUM($EA706:$EE706,$EK706)&gt;=3),"Ecosystem approach","")</f>
        <v/>
      </c>
      <c r="ER706" s="2" t="str">
        <f>IF(AND(AND(AND($EC706=0,$EB706=0),OR($EH706=1,$EF706=1)),SUM($EG706:$EJ706)&gt;=2),"Technology approach","")</f>
        <v/>
      </c>
      <c r="ES706" t="str">
        <f>IF(AND($EC706+$EB706+$EE706+$EA706+$ED706+$EG706=0,$N706="included"),"C neutral forest and HWP assumption","")</f>
        <v/>
      </c>
      <c r="ET706" t="str">
        <f>IF(AND(AND(AND(AND($EC706=1,$EB706+$EA706+$EG706&gt;=1),$EF706=1),$EH706+$EI706+$ED706+$EE706&gt;=2),$N706="included"),"All C pools assumption","")</f>
        <v/>
      </c>
      <c r="EU706" t="str">
        <f>IF(AND($ED706+$EE706+$EI706+$EH706+$EF706=0,$N706="included"),"In-situ only assumption","")</f>
        <v/>
      </c>
      <c r="EY706" t="str">
        <f>IF(ISNUMBER(BW706),IF(ABS(BW706-[4]QC_indicators!$B$2)&gt;3*[4]QC_indicators!$C$2,"C ratio",IF(ISNUMBER(CA706),IF(ABS(CA706-[4]QC_indicators!$B$1)&gt;3*[4]QC_indicators!$C$1,"DF","no"))),IF(ISNUMBER(CA706),IF(ABS(CA706-[4]QC_indicators!$B$1)&gt;3*[4]QC_indicators!$C$1,"DF","no")))</f>
        <v>no</v>
      </c>
      <c r="FA706" t="str">
        <f>IF(LEN($CY706)=0,"",IF(AND($CY706&lt;(-0.05),$ES706="C neutral forest and HWP assumption"),"Cneutral paradox",IF(AND($CY706&gt;0.05,$EU706="In-situ only assumption"),"In-situ only paradox","")))</f>
        <v/>
      </c>
      <c r="FB706" s="319" t="s">
        <v>349</v>
      </c>
      <c r="FD706" s="145" t="s">
        <v>4914</v>
      </c>
    </row>
    <row r="707" spans="1:160" ht="15" hidden="1" customHeight="1">
      <c r="A707" s="1" t="s">
        <v>549</v>
      </c>
      <c r="B707" t="s">
        <v>531</v>
      </c>
      <c r="C707" t="s">
        <v>550</v>
      </c>
      <c r="D707" t="s">
        <v>551</v>
      </c>
      <c r="E707" t="s">
        <v>552</v>
      </c>
      <c r="F707" t="s">
        <v>553</v>
      </c>
      <c r="G707" t="s">
        <v>554</v>
      </c>
      <c r="H707" t="s">
        <v>254</v>
      </c>
      <c r="I707">
        <v>2009</v>
      </c>
      <c r="J707">
        <v>16</v>
      </c>
      <c r="K707" t="s">
        <v>555</v>
      </c>
      <c r="M707" t="str">
        <f>LEFT($D707,FIND(",",$D707)-1)&amp;"_"&amp;I707&amp;L707</f>
        <v>Crawford_2009</v>
      </c>
      <c r="N707" t="s">
        <v>222</v>
      </c>
      <c r="O707" s="145" t="s">
        <v>223</v>
      </c>
      <c r="Q707" s="317" t="s">
        <v>256</v>
      </c>
      <c r="R707" s="318" t="s">
        <v>1029</v>
      </c>
      <c r="S707" s="1" t="s">
        <v>556</v>
      </c>
      <c r="T707" s="317" t="s">
        <v>558</v>
      </c>
      <c r="U707" s="317" t="s">
        <v>557</v>
      </c>
      <c r="V707" s="253">
        <v>0</v>
      </c>
      <c r="W707" s="253">
        <v>0</v>
      </c>
      <c r="X707">
        <v>0</v>
      </c>
      <c r="Y707">
        <v>0</v>
      </c>
      <c r="Z707">
        <v>0</v>
      </c>
      <c r="AA707">
        <v>0</v>
      </c>
      <c r="AB707">
        <v>0</v>
      </c>
      <c r="AC707">
        <v>0</v>
      </c>
      <c r="AD707">
        <v>0</v>
      </c>
      <c r="AE707">
        <v>0</v>
      </c>
      <c r="AF707">
        <v>0</v>
      </c>
      <c r="AG707">
        <v>0</v>
      </c>
      <c r="AH707">
        <v>0</v>
      </c>
      <c r="AI707">
        <v>0</v>
      </c>
      <c r="AJ707">
        <v>0</v>
      </c>
      <c r="AK707">
        <v>1</v>
      </c>
      <c r="AL707">
        <v>0</v>
      </c>
      <c r="AM707">
        <v>0</v>
      </c>
      <c r="AN707">
        <v>0</v>
      </c>
      <c r="AO707">
        <v>0</v>
      </c>
      <c r="AP707">
        <v>0</v>
      </c>
      <c r="AQ707">
        <v>0</v>
      </c>
      <c r="AR707">
        <v>0</v>
      </c>
      <c r="AS707">
        <v>0</v>
      </c>
      <c r="AT707">
        <v>0</v>
      </c>
      <c r="AU707">
        <v>0</v>
      </c>
      <c r="AV707">
        <v>0</v>
      </c>
      <c r="AW707">
        <v>0</v>
      </c>
      <c r="AX707">
        <v>0</v>
      </c>
      <c r="AY707">
        <v>0</v>
      </c>
      <c r="AZ707" s="141">
        <f>COUNTIF(X707:AY707,"&lt;&gt;0")</f>
        <v>1</v>
      </c>
      <c r="BA707" s="141">
        <f>COUNTIF(X707:AN707,"&lt;&gt;0")</f>
        <v>1</v>
      </c>
      <c r="BB707">
        <f>COUNTIF(X707:AE707,"&lt;&gt;0")</f>
        <v>0</v>
      </c>
      <c r="BC707">
        <f>COUNTIF(AF707:AK707,"&lt;&gt;0")</f>
        <v>1</v>
      </c>
      <c r="BD707">
        <f>COUNTIF(AL707:AN707,"&lt;&gt;0")</f>
        <v>0</v>
      </c>
      <c r="BE707">
        <f>COUNTIF(AU707:AY707,"&lt;&gt;0")</f>
        <v>0</v>
      </c>
      <c r="BF707">
        <f>COUNTIF(AO707:AT707,"&lt;&gt;0")</f>
        <v>0</v>
      </c>
      <c r="BG707" t="str" cm="1">
        <f t="array" ref="BG707">IF(BA707=1,INDEX($X$7:$AN$7,MATCH(TRUE,INDEX($X707:$AY707&lt;&gt;0,),0)),IF(BA707=0,INDEX($AO$7:$AY$7,MATCH(1,$AO707:$AY707,0)),IF(BH707="Multiple strategies","mixed drivers",IF(BH707="Supply chain","multiple supply","multiple silviculture"))))</f>
        <v>products lifespan</v>
      </c>
      <c r="BH707" s="2" t="str" cm="1">
        <f t="array" ref="BH707">IF(COUNTIF(BB707:BD707,"&lt;&gt;0")=1,INDEX($X$4:$AY$4,MATCH(TRUE,INDEX($X707:$AY707&lt;&gt;0,),0)),IF(COUNTIF(BB707:BD707,"&lt;&gt;0")=0,INDEX($AO$4:$AY$4,MATCH(1,$AO707:$AY707,0)),"Multiple strategies"))</f>
        <v>Supply chain</v>
      </c>
      <c r="BI707" s="1" t="s">
        <v>229</v>
      </c>
      <c r="BJ707" t="s">
        <v>559</v>
      </c>
      <c r="BK707" s="141" t="s">
        <v>4912</v>
      </c>
      <c r="BL707" t="s">
        <v>345</v>
      </c>
      <c r="BM707">
        <f>80.2*1460*2.8</f>
        <v>327857.59999999998</v>
      </c>
      <c r="BN707">
        <f>80.2*1460*4</f>
        <v>468368</v>
      </c>
      <c r="BP707">
        <f>BN707-BM707</f>
        <v>140510.40000000002</v>
      </c>
      <c r="BQ707">
        <f>BP707*kg_to_m3</f>
        <v>286.75591836734702</v>
      </c>
      <c r="BR707" s="317" t="s">
        <v>232</v>
      </c>
      <c r="BS707" s="355" t="s">
        <v>4913</v>
      </c>
      <c r="BT707" t="s">
        <v>560</v>
      </c>
      <c r="BU707">
        <v>-3656</v>
      </c>
      <c r="BV707">
        <v>-4834</v>
      </c>
      <c r="BW707" s="144">
        <f>IFERROR(BV707/BU707,"")</f>
        <v>1.3222100656455142</v>
      </c>
      <c r="BX707" s="175">
        <f>BV707-BU707</f>
        <v>-1178</v>
      </c>
      <c r="BZ707">
        <f>BX707</f>
        <v>-1178</v>
      </c>
      <c r="CA707">
        <f>IFERROR(BZ707/BQ707,"")</f>
        <v>-4.1080233206936985</v>
      </c>
      <c r="CB707">
        <v>0</v>
      </c>
      <c r="CC707">
        <v>0</v>
      </c>
      <c r="CD707">
        <v>0</v>
      </c>
      <c r="CE707">
        <v>0</v>
      </c>
      <c r="CF707">
        <v>0</v>
      </c>
      <c r="CG707">
        <v>0</v>
      </c>
      <c r="CH707">
        <v>0</v>
      </c>
      <c r="CI707">
        <v>0</v>
      </c>
      <c r="CJ707">
        <v>0</v>
      </c>
      <c r="CK707">
        <v>0</v>
      </c>
      <c r="CL707">
        <v>0</v>
      </c>
      <c r="CM707">
        <v>0</v>
      </c>
      <c r="CN707">
        <v>0</v>
      </c>
      <c r="CO707">
        <v>0</v>
      </c>
      <c r="CP707" t="str">
        <f>IF($BN707&lt;$BM707,"refNeedCorrection","refOK")</f>
        <v>refOK</v>
      </c>
      <c r="CQ707">
        <f>IF($CP707="refOK",$BM707,$BN707)</f>
        <v>327857.59999999998</v>
      </c>
      <c r="CR707">
        <f>IF($CP707="refOK",$BN707,$BM707)</f>
        <v>468368</v>
      </c>
      <c r="CS707">
        <f>IF($CP707="refOK",$BQ707,-$BQ707)</f>
        <v>286.75591836734702</v>
      </c>
      <c r="CT707">
        <f>IF(BI707="Roundwood",$CS707/2,$CS707)</f>
        <v>286.75591836734702</v>
      </c>
      <c r="CU707">
        <f>IF($CP707="refOK",$BU707,$BV707)*IF($BR707="Emissions positive",-1,1)</f>
        <v>-3656</v>
      </c>
      <c r="CV707">
        <f>IF($CP707="refOK",$BV707,$BU707)*IF($BR707="Emissions positive",-1,1)</f>
        <v>-4834</v>
      </c>
      <c r="CW707">
        <f>IF($CP707="refNeedCorrection",-BZ707,BZ707)*IF($BR707="Emissions positive",-1,1)</f>
        <v>-1178</v>
      </c>
      <c r="CX707">
        <f>IFERROR($CW707/$CS707,"")</f>
        <v>-4.1080233206936985</v>
      </c>
      <c r="CY707">
        <f>IFERROR($CW707/$CS707,"")</f>
        <v>-4.1080233206936985</v>
      </c>
      <c r="CZ707">
        <f>IFERROR($CW707/$CT707,"")</f>
        <v>-4.1080233206936985</v>
      </c>
      <c r="DA707" s="2">
        <f>IFERROR((CV707-CU707)/ABS(CU707),"")</f>
        <v>-0.32221006564551424</v>
      </c>
      <c r="DB707" s="1" t="s">
        <v>263</v>
      </c>
      <c r="DC707" s="317" t="str">
        <f>IF(OR($DB707="prd",$DB707="std",$DB707="cit"),"loc",IF(OR($DB707="eur",$DB707="reg",$DB707="coy"),"reg",$DB707))</f>
        <v>loc</v>
      </c>
      <c r="DD707" t="s">
        <v>561</v>
      </c>
      <c r="DG707">
        <v>100</v>
      </c>
      <c r="DH707" t="str">
        <f>IF(DG707=0,"0",IF(AND(DG707&gt;=1,DG707&lt;=30),"1-30",IF(AND(DG707&gt;30,DG707&lt;=70),"31-70",IF(AND(DG707&gt;70,DG707&lt;=100),"71-100",IF(DG707&gt;100,"+100")))))</f>
        <v>71-100</v>
      </c>
      <c r="DI707">
        <v>0</v>
      </c>
      <c r="DJ707">
        <v>0</v>
      </c>
      <c r="DK707">
        <v>0</v>
      </c>
      <c r="DL707">
        <v>1</v>
      </c>
      <c r="DN707">
        <f>SUM(DI707:DL707)</f>
        <v>1</v>
      </c>
      <c r="DO707" t="str">
        <f>IF(DN707=1,INDEX($DI$7:$DL$7,MATCH(1,$DI707:$DL707,0)),"mixedProduct")</f>
        <v>TimberInput</v>
      </c>
      <c r="DP707">
        <f>IF(DI707=1,DP$7,0)</f>
        <v>0</v>
      </c>
      <c r="DQ707">
        <f>IF(DJ707=1,DQ$7,0)</f>
        <v>0</v>
      </c>
      <c r="DR707">
        <f>IF(DK707=1,DR$7,0)</f>
        <v>0</v>
      </c>
      <c r="DS707" t="str">
        <f>IF(DL707=1,DS$7,0)</f>
        <v>Timber</v>
      </c>
      <c r="DT707">
        <v>0</v>
      </c>
      <c r="DU707">
        <v>0</v>
      </c>
      <c r="DV707">
        <v>0</v>
      </c>
      <c r="DW707">
        <v>0</v>
      </c>
      <c r="DX707">
        <v>0</v>
      </c>
      <c r="DY707">
        <f>SUM(DT707:DU707)</f>
        <v>0</v>
      </c>
      <c r="DZ707" s="143" t="str">
        <f>IF(DT707=1,"self-calculated DF",IF(DU707=1,"external DF used","explicit C balance"))</f>
        <v>explicit C balance</v>
      </c>
      <c r="EA707">
        <v>0</v>
      </c>
      <c r="EB707">
        <v>1</v>
      </c>
      <c r="EC707">
        <v>0</v>
      </c>
      <c r="ED707">
        <v>1</v>
      </c>
      <c r="EE707">
        <v>1</v>
      </c>
      <c r="EF707">
        <v>1</v>
      </c>
      <c r="EG707">
        <v>1</v>
      </c>
      <c r="EH707">
        <v>1</v>
      </c>
      <c r="EI707">
        <v>1</v>
      </c>
      <c r="EJ707">
        <v>1</v>
      </c>
      <c r="EK707">
        <v>0</v>
      </c>
      <c r="EL707">
        <v>0</v>
      </c>
      <c r="EM707">
        <v>0</v>
      </c>
      <c r="EN707" s="2">
        <v>0</v>
      </c>
      <c r="EP707" t="str">
        <f>IF(AND(AND(AND(OR($EC707=1,$EB707=1),OR($EH707=1,$EF707=1)),SUM($EA707:$EE707,$EK707)&gt;=3),SUM($EF707:$EJ707)&gt;=2),"Whole sector approach","")</f>
        <v>Whole sector approach</v>
      </c>
      <c r="EQ707" t="str">
        <f>IF(AND(AND(OR($EC707=1,$EB707=1),AND($EH707=0,$EF707=0)),SUM($EA707:$EE707,$EK707)&gt;=3),"Ecosystem approach","")</f>
        <v/>
      </c>
      <c r="ER707" s="2" t="str">
        <f>IF(AND(AND(AND($EC707=0,$EB707=0),OR($EH707=1,$EF707=1)),SUM($EG707:$EJ707)&gt;=2),"Technology approach","")</f>
        <v/>
      </c>
      <c r="ES707" t="str">
        <f>IF(AND($EC707+$EB707+$EE707+$EA707+$ED707+$EG707=0,$N707="included"),"C neutral forest and HWP assumption","")</f>
        <v/>
      </c>
      <c r="ET707" t="str">
        <f>IF(AND(AND(AND(AND($EC707=1,$EB707+$EA707+$EG707&gt;=1),$EF707=1),$EH707+$EI707+$ED707+$EE707&gt;=2),$N707="included"),"All C pools assumption","")</f>
        <v/>
      </c>
      <c r="EU707" t="str">
        <f>IF(AND($ED707+$EE707+$EI707+$EH707+$EF707=0,$N707="included"),"In-situ only assumption","")</f>
        <v/>
      </c>
      <c r="EY707" t="str">
        <f>IF(ISNUMBER(BW707),IF(ABS(BW707-[4]QC_indicators!$B$2)&gt;3*[4]QC_indicators!$C$2,"C ratio",IF(ISNUMBER(CA707),IF(ABS(CA707-[4]QC_indicators!$B$1)&gt;3*[4]QC_indicators!$C$1,"DF","no"))),IF(ISNUMBER(CA707),IF(ABS(CA707-[4]QC_indicators!$B$1)&gt;3*[4]QC_indicators!$C$1,"DF","no")))</f>
        <v>no</v>
      </c>
      <c r="FA707" t="str">
        <f>IF(LEN($CY707)=0,"",IF(AND($CY707&lt;(-0.05),$ES707="C neutral forest and HWP assumption"),"Cneutral paradox",IF(AND($CY707&gt;0.05,$EU707="In-situ only assumption"),"In-situ only paradox","")))</f>
        <v/>
      </c>
      <c r="FB707" s="319" t="s">
        <v>349</v>
      </c>
      <c r="FD707" s="145" t="s">
        <v>4914</v>
      </c>
    </row>
    <row r="708" spans="1:160" ht="15" hidden="1" customHeight="1">
      <c r="A708" s="1" t="s">
        <v>549</v>
      </c>
      <c r="B708" t="s">
        <v>531</v>
      </c>
      <c r="C708" t="s">
        <v>550</v>
      </c>
      <c r="D708" t="s">
        <v>551</v>
      </c>
      <c r="E708" t="s">
        <v>552</v>
      </c>
      <c r="F708" t="s">
        <v>553</v>
      </c>
      <c r="G708" t="s">
        <v>554</v>
      </c>
      <c r="H708" t="s">
        <v>254</v>
      </c>
      <c r="I708">
        <v>2009</v>
      </c>
      <c r="J708">
        <v>16</v>
      </c>
      <c r="K708" t="s">
        <v>555</v>
      </c>
      <c r="M708" t="str">
        <f>LEFT($D708,FIND(",",$D708)-1)&amp;"_"&amp;I708&amp;L708</f>
        <v>Crawford_2009</v>
      </c>
      <c r="N708" t="s">
        <v>222</v>
      </c>
      <c r="O708" s="145" t="s">
        <v>223</v>
      </c>
      <c r="Q708" s="317" t="s">
        <v>256</v>
      </c>
      <c r="R708" s="318" t="s">
        <v>1029</v>
      </c>
      <c r="S708" s="1" t="s">
        <v>566</v>
      </c>
      <c r="T708" s="317" t="s">
        <v>569</v>
      </c>
      <c r="U708" s="317" t="s">
        <v>558</v>
      </c>
      <c r="V708" s="253">
        <v>0</v>
      </c>
      <c r="W708" s="253">
        <v>0</v>
      </c>
      <c r="X708">
        <v>0</v>
      </c>
      <c r="Y708">
        <v>0</v>
      </c>
      <c r="Z708">
        <v>0</v>
      </c>
      <c r="AA708">
        <v>0</v>
      </c>
      <c r="AB708">
        <v>0</v>
      </c>
      <c r="AC708">
        <v>0</v>
      </c>
      <c r="AD708">
        <v>0</v>
      </c>
      <c r="AE708">
        <v>0</v>
      </c>
      <c r="AF708">
        <v>0</v>
      </c>
      <c r="AG708">
        <v>0</v>
      </c>
      <c r="AH708">
        <v>0</v>
      </c>
      <c r="AI708">
        <v>0</v>
      </c>
      <c r="AJ708">
        <v>0</v>
      </c>
      <c r="AK708">
        <v>0</v>
      </c>
      <c r="AL708">
        <v>0</v>
      </c>
      <c r="AM708">
        <v>1</v>
      </c>
      <c r="AN708">
        <v>0</v>
      </c>
      <c r="AO708">
        <v>0</v>
      </c>
      <c r="AP708">
        <v>0</v>
      </c>
      <c r="AQ708">
        <v>0</v>
      </c>
      <c r="AR708">
        <v>0</v>
      </c>
      <c r="AS708">
        <v>0</v>
      </c>
      <c r="AT708">
        <v>0</v>
      </c>
      <c r="AU708">
        <v>0</v>
      </c>
      <c r="AV708">
        <v>0</v>
      </c>
      <c r="AW708">
        <v>0</v>
      </c>
      <c r="AX708">
        <v>0</v>
      </c>
      <c r="AY708">
        <v>0</v>
      </c>
      <c r="AZ708" s="141">
        <f>COUNTIF(X708:AY708,"&lt;&gt;0")</f>
        <v>1</v>
      </c>
      <c r="BA708" s="141">
        <f>COUNTIF(X708:AN708,"&lt;&gt;0")</f>
        <v>1</v>
      </c>
      <c r="BB708">
        <f>COUNTIF(X708:AE708,"&lt;&gt;0")</f>
        <v>0</v>
      </c>
      <c r="BC708">
        <f>COUNTIF(AF708:AK708,"&lt;&gt;0")</f>
        <v>0</v>
      </c>
      <c r="BD708">
        <f>COUNTIF(AL708:AN708,"&lt;&gt;0")</f>
        <v>1</v>
      </c>
      <c r="BE708">
        <f>COUNTIF(AU708:AY708,"&lt;&gt;0")</f>
        <v>0</v>
      </c>
      <c r="BF708">
        <f>COUNTIF(AO708:AT708,"&lt;&gt;0")</f>
        <v>0</v>
      </c>
      <c r="BG708" t="str" cm="1">
        <f t="array" ref="BG708">IF(BA708=1,INDEX($X$7:$AN$7,MATCH(TRUE,INDEX($X708:$AY708&lt;&gt;0,),0)),IF(BA708=0,INDEX($AO$7:$AY$7,MATCH(1,$AO708:$AY708,0)),IF(BH708="Multiple strategies","mixed drivers",IF(BH708="Supply chain","multiple supply","multiple silviculture"))))</f>
        <v>technologies/design switch</v>
      </c>
      <c r="BH708" s="2" t="str" cm="1">
        <f t="array" ref="BH708">IF(COUNTIF(BB708:BD708,"&lt;&gt;0")=1,INDEX($X$4:$AY$4,MATCH(TRUE,INDEX($X708:$AY708&lt;&gt;0,),0)),IF(COUNTIF(BB708:BD708,"&lt;&gt;0")=0,INDEX($AO$4:$AY$4,MATCH(1,$AO708:$AY708,0)),"Multiple strategies"))</f>
        <v>Technology</v>
      </c>
      <c r="BI708" s="1" t="s">
        <v>229</v>
      </c>
      <c r="BJ708" t="s">
        <v>559</v>
      </c>
      <c r="BK708" s="141" t="s">
        <v>4912</v>
      </c>
      <c r="BL708" t="s">
        <v>345</v>
      </c>
      <c r="BM708">
        <v>0</v>
      </c>
      <c r="BN708">
        <f>80.2*1460*2.8</f>
        <v>327857.59999999998</v>
      </c>
      <c r="BP708">
        <f>BN708-BM708</f>
        <v>327857.59999999998</v>
      </c>
      <c r="BQ708">
        <f>BP708*kg_to_m3</f>
        <v>669.0971428571429</v>
      </c>
      <c r="BR708" s="317" t="s">
        <v>232</v>
      </c>
      <c r="BS708" s="355" t="s">
        <v>4913</v>
      </c>
      <c r="BT708" t="s">
        <v>560</v>
      </c>
      <c r="BU708">
        <v>-822</v>
      </c>
      <c r="BV708">
        <v>-3656</v>
      </c>
      <c r="BW708" s="144">
        <f>IFERROR(BV708/BU708,"")</f>
        <v>4.447688564476886</v>
      </c>
      <c r="BX708" s="175">
        <f>BV708-BU708</f>
        <v>-2834</v>
      </c>
      <c r="BZ708">
        <f>BX708</f>
        <v>-2834</v>
      </c>
      <c r="CA708">
        <f>IFERROR(BZ708/BQ708,"")</f>
        <v>-4.2355583643630643</v>
      </c>
      <c r="CB708">
        <v>0</v>
      </c>
      <c r="CC708">
        <v>0</v>
      </c>
      <c r="CD708">
        <v>0</v>
      </c>
      <c r="CE708">
        <v>0</v>
      </c>
      <c r="CF708">
        <v>0</v>
      </c>
      <c r="CG708">
        <v>0</v>
      </c>
      <c r="CH708">
        <v>0</v>
      </c>
      <c r="CI708">
        <v>0</v>
      </c>
      <c r="CJ708">
        <v>0</v>
      </c>
      <c r="CK708">
        <v>0</v>
      </c>
      <c r="CL708">
        <v>0</v>
      </c>
      <c r="CM708">
        <v>0</v>
      </c>
      <c r="CN708">
        <v>0</v>
      </c>
      <c r="CO708">
        <v>0</v>
      </c>
      <c r="CP708" t="str">
        <f>IF($BN708&lt;$BM708,"refNeedCorrection","refOK")</f>
        <v>refOK</v>
      </c>
      <c r="CQ708">
        <f>IF($CP708="refNeedCorrection",BN708,BM708)</f>
        <v>0</v>
      </c>
      <c r="CR708">
        <f>IF($CP708="refNeedCorrection",BM708,BN708)</f>
        <v>327857.59999999998</v>
      </c>
      <c r="CS708">
        <f>IF($CP708="refOK",$BQ708,-$BQ708)</f>
        <v>669.0971428571429</v>
      </c>
      <c r="CT708">
        <f>IF(BI708="Roundwood",$CS708/2,$CS708)</f>
        <v>669.0971428571429</v>
      </c>
      <c r="CU708">
        <f>IF($CP708="refOK",$BU708,$BV708)*IF($BR708="Emissions positive",-1,1)</f>
        <v>-822</v>
      </c>
      <c r="CV708">
        <f>IF($CP708="refOK",$BV708,$BU708)*IF($BR708="Emissions positive",-1,1)</f>
        <v>-3656</v>
      </c>
      <c r="CW708">
        <f>IF($CP708="refNeedCorrection",-BZ708,BZ708)*IF($BR708="Emissions positive",-1,1)</f>
        <v>-2834</v>
      </c>
      <c r="CX708">
        <f>IFERROR($CW708/$CS708,"")</f>
        <v>-4.2355583643630643</v>
      </c>
      <c r="CY708">
        <f>IFERROR($CW708/$CS708,"")</f>
        <v>-4.2355583643630643</v>
      </c>
      <c r="CZ708">
        <f>IFERROR($CW708/$CT708,"")</f>
        <v>-4.2355583643630643</v>
      </c>
      <c r="DA708" s="2">
        <f>IFERROR((CV708-CU708)/ABS(CU708),"")</f>
        <v>-3.4476885644768855</v>
      </c>
      <c r="DB708" s="1" t="s">
        <v>263</v>
      </c>
      <c r="DC708" s="317" t="str">
        <f>IF(OR($DB708="prd",$DB708="std",$DB708="cit"),"loc",IF(OR($DB708="eur",$DB708="reg",$DB708="coy"),"reg",$DB708))</f>
        <v>loc</v>
      </c>
      <c r="DD708" t="s">
        <v>561</v>
      </c>
      <c r="DG708">
        <v>100</v>
      </c>
      <c r="DH708" t="str">
        <f>IF(DG708=0,"0",IF(AND(DG708&gt;=1,DG708&lt;=30),"1-30",IF(AND(DG708&gt;30,DG708&lt;=70),"31-70",IF(AND(DG708&gt;70,DG708&lt;=100),"71-100",IF(DG708&gt;100,"+100")))))</f>
        <v>71-100</v>
      </c>
      <c r="DI708">
        <v>0</v>
      </c>
      <c r="DJ708">
        <v>0</v>
      </c>
      <c r="DK708">
        <v>0</v>
      </c>
      <c r="DL708">
        <v>1</v>
      </c>
      <c r="DN708">
        <f>SUM(DI708:DL708)</f>
        <v>1</v>
      </c>
      <c r="DO708" t="str">
        <f>IF(DN708=1,INDEX($DI$7:$DL$7,MATCH(1,$DI708:$DL708,0)),"mixedProduct")</f>
        <v>TimberInput</v>
      </c>
      <c r="DP708">
        <f>IF(DI708=1,DP$7,0)</f>
        <v>0</v>
      </c>
      <c r="DQ708">
        <f>IF(DJ708=1,DQ$7,0)</f>
        <v>0</v>
      </c>
      <c r="DR708">
        <f>IF(DK708=1,DR$7,0)</f>
        <v>0</v>
      </c>
      <c r="DS708" t="str">
        <f>IF(DL708=1,DS$7,0)</f>
        <v>Timber</v>
      </c>
      <c r="DT708">
        <v>0</v>
      </c>
      <c r="DU708">
        <v>0</v>
      </c>
      <c r="DV708">
        <v>0</v>
      </c>
      <c r="DW708">
        <v>0</v>
      </c>
      <c r="DX708">
        <v>0</v>
      </c>
      <c r="DY708">
        <f>SUM(DT708:DU708)</f>
        <v>0</v>
      </c>
      <c r="DZ708" s="143" t="str">
        <f>IF(DT708=1,"self-calculated DF",IF(DU708=1,"external DF used","explicit C balance"))</f>
        <v>explicit C balance</v>
      </c>
      <c r="EA708">
        <v>0</v>
      </c>
      <c r="EB708">
        <v>1</v>
      </c>
      <c r="EC708">
        <v>0</v>
      </c>
      <c r="ED708">
        <v>1</v>
      </c>
      <c r="EE708">
        <v>1</v>
      </c>
      <c r="EF708">
        <v>1</v>
      </c>
      <c r="EG708">
        <v>1</v>
      </c>
      <c r="EH708">
        <v>1</v>
      </c>
      <c r="EI708">
        <v>1</v>
      </c>
      <c r="EJ708">
        <v>1</v>
      </c>
      <c r="EK708">
        <v>0</v>
      </c>
      <c r="EL708">
        <v>0</v>
      </c>
      <c r="EM708">
        <v>0</v>
      </c>
      <c r="EN708" s="2">
        <v>0</v>
      </c>
      <c r="EP708" t="str">
        <f>IF(AND(AND(AND(OR($EC708=1,$EB708=1),OR($EH708=1,$EF708=1)),SUM($EA708:$EE708,$EK708)&gt;=3),SUM($EF708:$EJ708)&gt;=2),"Whole sector approach","")</f>
        <v>Whole sector approach</v>
      </c>
      <c r="EQ708" t="str">
        <f>IF(AND(AND(OR($EC708=1,$EB708=1),AND($EH708=0,$EF708=0)),SUM($EA708:$EE708,$EK708)&gt;=3),"Ecosystem approach","")</f>
        <v/>
      </c>
      <c r="ER708" s="2" t="str">
        <f>IF(AND(AND(AND($EC708=0,$EB708=0),OR($EH708=1,$EF708=1)),SUM($EG708:$EJ708)&gt;=2),"Technology approach","")</f>
        <v/>
      </c>
      <c r="ES708" t="str">
        <f>IF(AND($EC708+$EB708+$EE708+$EA708+$ED708+$EG708=0,$N708="included"),"C neutral forest and HWP assumption","")</f>
        <v/>
      </c>
      <c r="ET708" t="str">
        <f>IF(AND(AND(AND(AND($EC708=1,$EB708+$EA708+$EG708&gt;=1),$EF708=1),$EH708+$EI708+$ED708+$EE708&gt;=2),$N708="included"),"All C pools assumption","")</f>
        <v/>
      </c>
      <c r="EU708" t="str">
        <f>IF(AND($ED708+$EE708+$EI708+$EH708+$EF708=0,$N708="included"),"In-situ only assumption","")</f>
        <v/>
      </c>
      <c r="EY708" t="str">
        <f>IF(ISNUMBER(BW708),IF(ABS(BW708-[4]QC_indicators!$B$2)&gt;3*[4]QC_indicators!$C$2,"C ratio",IF(ISNUMBER(CA708),IF(ABS(CA708-[4]QC_indicators!$B$1)&gt;3*[4]QC_indicators!$C$1,"DF","no"))),IF(ISNUMBER(CA708),IF(ABS(CA708-[4]QC_indicators!$B$1)&gt;3*[4]QC_indicators!$C$1,"DF","no")))</f>
        <v>no</v>
      </c>
      <c r="FA708" t="str">
        <f>IF(LEN($CY708)=0,"",IF(AND($CY708&lt;(-0.05),$ES708="C neutral forest and HWP assumption"),"Cneutral paradox",IF(AND($CY708&gt;0.05,$EU708="In-situ only assumption"),"In-situ only paradox","")))</f>
        <v/>
      </c>
      <c r="FB708" s="319" t="s">
        <v>349</v>
      </c>
      <c r="FD708" s="145" t="s">
        <v>4915</v>
      </c>
    </row>
    <row r="709" spans="1:160" ht="15" hidden="1" customHeight="1">
      <c r="A709" s="1" t="s">
        <v>1715</v>
      </c>
      <c r="B709" t="s">
        <v>1716</v>
      </c>
      <c r="D709" t="s">
        <v>1717</v>
      </c>
      <c r="E709" t="s">
        <v>1718</v>
      </c>
      <c r="F709" t="s">
        <v>1719</v>
      </c>
      <c r="G709" t="s">
        <v>1720</v>
      </c>
      <c r="H709" t="s">
        <v>254</v>
      </c>
      <c r="I709">
        <v>2009</v>
      </c>
      <c r="J709">
        <v>31</v>
      </c>
      <c r="K709" t="s">
        <v>1721</v>
      </c>
      <c r="M709" t="str">
        <f>LEFT($D709,FIND(",",$D709)-1)&amp;"_"&amp;I709&amp;L709</f>
        <v>Liu_2009</v>
      </c>
      <c r="N709" t="s">
        <v>222</v>
      </c>
      <c r="O709" s="145" t="s">
        <v>225</v>
      </c>
      <c r="Q709" t="s">
        <v>256</v>
      </c>
      <c r="R709" s="258" t="s">
        <v>223</v>
      </c>
      <c r="S709" s="1" t="s">
        <v>1196</v>
      </c>
      <c r="T709" s="143" t="s">
        <v>1722</v>
      </c>
      <c r="U709" s="143" t="s">
        <v>1725</v>
      </c>
      <c r="V709" s="143">
        <v>1</v>
      </c>
      <c r="W709">
        <v>0</v>
      </c>
      <c r="X709">
        <v>1</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s="141">
        <f>COUNTIF(X709:AY709,"&lt;&gt;0")</f>
        <v>1</v>
      </c>
      <c r="BA709" s="141">
        <f>COUNTIF(X709:AN709,"&lt;&gt;0")</f>
        <v>1</v>
      </c>
      <c r="BB709">
        <f>COUNTIF(X709:AE709,"&lt;&gt;0")</f>
        <v>1</v>
      </c>
      <c r="BC709">
        <f>COUNTIF(AF709:AK709,"&lt;&gt;0")</f>
        <v>0</v>
      </c>
      <c r="BD709">
        <f>COUNTIF(AL709:AN709,"&lt;&gt;0")</f>
        <v>0</v>
      </c>
      <c r="BE709">
        <f>COUNTIF(AU709:AY709,"&lt;&gt;0")</f>
        <v>0</v>
      </c>
      <c r="BF709">
        <f>COUNTIF(AO709:AT709,"&lt;&gt;0")</f>
        <v>0</v>
      </c>
      <c r="BG709" t="str">
        <f t="array" ref="BG709">IF(BA709=1,INDEX($X$7:$AN$7,MATCH(TRUE,INDEX($X709:$AY709&lt;&gt;0,),0)),IF(BA709=0,INDEX($AO$7:$AY$7,MATCH(1,$AO709:$AY709,0)),IF(BH709="Multiple strategies","mixed drivers",IF(BH709="Supply chain","multiple supply","multiple silviculture"))))</f>
        <v>area subject to harvest</v>
      </c>
      <c r="BH709" s="2" t="str" cm="1">
        <f t="array" ref="BH709">IF(COUNTIF(BB709:BD709,"&lt;&gt;0")=1,INDEX($X$4:$AY$4,MATCH(TRUE,INDEX($X709:$AY709&lt;&gt;0,),0)),IF(COUNTIF(BB709:BD709,"&lt;&gt;0")=0,INDEX($AO$4:$AY$4,MATCH(1,$AO709:$AY709,0)),"Multiple strategies"))</f>
        <v>Silviculture for removals</v>
      </c>
      <c r="BI709" s="142" t="s">
        <v>321</v>
      </c>
      <c r="BJ709" s="260" t="s">
        <v>2833</v>
      </c>
      <c r="BK709" s="260" t="s">
        <v>2834</v>
      </c>
      <c r="BL709" s="143" t="s">
        <v>1228</v>
      </c>
      <c r="BM709">
        <v>0</v>
      </c>
      <c r="BN709" s="143">
        <f>1.8*400</f>
        <v>720</v>
      </c>
      <c r="BO709" s="163"/>
      <c r="BP709">
        <f>BN709-BM709</f>
        <v>720</v>
      </c>
      <c r="BQ709">
        <f>BP709*10^6</f>
        <v>720000000</v>
      </c>
      <c r="BR709" t="s">
        <v>232</v>
      </c>
      <c r="BS709" s="348" t="s">
        <v>763</v>
      </c>
      <c r="BT709" t="s">
        <v>1724</v>
      </c>
      <c r="BU709" s="143">
        <v>505</v>
      </c>
      <c r="BV709">
        <f>545</f>
        <v>545</v>
      </c>
      <c r="BW709" s="144">
        <f>IFERROR(BV709/BU709,"")</f>
        <v>1.0792079207920793</v>
      </c>
      <c r="BX709">
        <f>BV709-BU709</f>
        <v>40</v>
      </c>
      <c r="BZ709">
        <f>BX709*10^6*C_to_CO2</f>
        <v>146800000</v>
      </c>
      <c r="CA709">
        <f>IFERROR(BZ709/BQ709,"")</f>
        <v>0.2038888888888889</v>
      </c>
      <c r="CB709">
        <v>0</v>
      </c>
      <c r="CC709">
        <v>0</v>
      </c>
      <c r="CD709">
        <v>0</v>
      </c>
      <c r="CE709">
        <v>0</v>
      </c>
      <c r="CF709">
        <v>0</v>
      </c>
      <c r="CG709">
        <v>0</v>
      </c>
      <c r="CH709">
        <v>0</v>
      </c>
      <c r="CI709">
        <v>0</v>
      </c>
      <c r="CJ709">
        <v>0</v>
      </c>
      <c r="CK709">
        <v>0</v>
      </c>
      <c r="CL709">
        <v>0</v>
      </c>
      <c r="CM709">
        <v>0</v>
      </c>
      <c r="CN709">
        <v>0</v>
      </c>
      <c r="CO709">
        <v>0</v>
      </c>
      <c r="CP709" t="str">
        <f>IF($BN709&lt;$BM709,"refNeedCorrection","refOK")</f>
        <v>refOK</v>
      </c>
      <c r="CQ709">
        <f>IF($CP709="refOK",$BM709,$BN709)</f>
        <v>0</v>
      </c>
      <c r="CR709">
        <f>IF($CP709="refOK",$BN709,$BM709)</f>
        <v>720</v>
      </c>
      <c r="CS709">
        <f>IF($CP709="refOK",$BQ709,-$BQ709)</f>
        <v>720000000</v>
      </c>
      <c r="CT709">
        <f>IF(BI709="Roundwood",$CS709/2,$CS709)</f>
        <v>360000000</v>
      </c>
      <c r="CU709">
        <f>IF($CP709="refOK",$BU709,$BV709)*IF($BR709="Emissions positive",-1,1)</f>
        <v>505</v>
      </c>
      <c r="CV709">
        <f>IF($CP709="refOK",$BV709,$BU709)*IF($BR709="Emissions positive",-1,1)</f>
        <v>545</v>
      </c>
      <c r="CW709">
        <f>IF($CP709="refNeedCorrection",-BZ709,BZ709)*IF($BR709="Emissions positive",-1,1)</f>
        <v>146800000</v>
      </c>
      <c r="CX709">
        <f>IFERROR($CW709/$CS709,"")</f>
        <v>0.2038888888888889</v>
      </c>
      <c r="CY709">
        <f>IFERROR($CW709/$CS709,"")</f>
        <v>0.2038888888888889</v>
      </c>
      <c r="CZ709">
        <f>IFERROR($CW709/$CT709,"")</f>
        <v>0.40777777777777779</v>
      </c>
      <c r="DA709" s="2">
        <f>IFERROR((CV709-CU709)/ABS(CU709),"")</f>
        <v>7.9207920792079209E-2</v>
      </c>
      <c r="DB709" s="1" t="s">
        <v>1074</v>
      </c>
      <c r="DC709" t="str">
        <f>IF(OR($DB709="prd",$DB709="std",$DB709="cit"),"loc",IF(OR($DB709="eur",$DB709="reg",$DB709="coy"),"reg",$DB709))</f>
        <v>reg</v>
      </c>
      <c r="DD709" t="s">
        <v>527</v>
      </c>
      <c r="DF709" s="143"/>
      <c r="DG709" s="143">
        <v>400</v>
      </c>
      <c r="DH709" t="str">
        <f>IF(DG709=0,"0",IF(AND(DG709&gt;=1,DG709&lt;=30),"1-30",IF(AND(DG709&gt;30,DG709&lt;=70),"31-70",IF(AND(DG709&gt;70,DG709&lt;=100),"71-100",IF(DG709&gt;100,"+100")))))</f>
        <v>+100</v>
      </c>
      <c r="DI709">
        <v>0</v>
      </c>
      <c r="DJ709">
        <v>0</v>
      </c>
      <c r="DK709">
        <v>0</v>
      </c>
      <c r="DL709">
        <v>1</v>
      </c>
      <c r="DN709">
        <f>SUM(DI709:DL709)</f>
        <v>1</v>
      </c>
      <c r="DO709" t="str">
        <f>IF(DN709=1,INDEX($DI$7:$DL$7,MATCH(1,$DI709:$DL709,0)),"mixedProduct")</f>
        <v>TimberInput</v>
      </c>
      <c r="DP709">
        <f>IF(DI709=1,DP$7,0)</f>
        <v>0</v>
      </c>
      <c r="DQ709">
        <f>IF(DJ709=1,DQ$7,0)</f>
        <v>0</v>
      </c>
      <c r="DR709">
        <f>IF(DK709=1,DR$7,0)</f>
        <v>0</v>
      </c>
      <c r="DS709" t="str">
        <f>IF(DL709=1,DS$7,0)</f>
        <v>Timber</v>
      </c>
      <c r="DT709">
        <v>0</v>
      </c>
      <c r="DU709" s="143">
        <v>0</v>
      </c>
      <c r="DV709" s="143">
        <v>0</v>
      </c>
      <c r="DW709">
        <v>0</v>
      </c>
      <c r="DX709" s="143">
        <v>0</v>
      </c>
      <c r="DY709">
        <f>SUM(DT709:DU709)</f>
        <v>0</v>
      </c>
      <c r="DZ709" s="143" t="str">
        <f>IF(DT709=1,"self-calculated DF",IF(DU709=1,"external DF used","explicit C balance"))</f>
        <v>explicit C balance</v>
      </c>
      <c r="EA709" s="143">
        <v>1</v>
      </c>
      <c r="EB709" s="143">
        <v>0</v>
      </c>
      <c r="EC709" s="143">
        <v>1</v>
      </c>
      <c r="ED709" s="143">
        <v>1</v>
      </c>
      <c r="EE709">
        <v>1</v>
      </c>
      <c r="EF709" s="143">
        <v>0</v>
      </c>
      <c r="EG709" s="143">
        <v>0</v>
      </c>
      <c r="EH709" s="143">
        <v>0</v>
      </c>
      <c r="EI709" s="143">
        <v>0</v>
      </c>
      <c r="EJ709">
        <v>0</v>
      </c>
      <c r="EK709">
        <v>1</v>
      </c>
      <c r="EL709" s="143">
        <v>0</v>
      </c>
      <c r="EM709">
        <v>0</v>
      </c>
      <c r="EN709" s="2">
        <v>0</v>
      </c>
      <c r="EO709" s="259" t="s">
        <v>2836</v>
      </c>
      <c r="EP709" t="str">
        <f>IF(AND(AND(AND(OR($EC709=1,$EB709=1),OR($EH709=1,$EF709=1)),SUM($EA709:$EE709,$EK709)&gt;=3),SUM($EF709:$EJ709)&gt;=2),"Whole sector approach","")</f>
        <v/>
      </c>
      <c r="EQ709" t="str">
        <f>IF(AND(AND(OR($EC709=1,$EB709=1),AND($EH709=0,$EF709=0)),SUM($EA709:$EE709,$EK709)&gt;=4),"Ecosystem approach","")</f>
        <v>Ecosystem approach</v>
      </c>
      <c r="ER709" s="2" t="str">
        <f>IF(AND(AND(AND($EC709=0,$EB709=0),OR($EH709=1,$EF709=1)),SUM($EG709:$EJ709)&gt;=2),"Technology approach","")</f>
        <v/>
      </c>
      <c r="ES709" t="str">
        <f>IF(AND($EC709+$EB709+$EE709+$EA709+$ED709+$EG709=0,$N709="included"),"C neutral forest and HWP assumption","")</f>
        <v/>
      </c>
      <c r="ET709" t="str">
        <f>IF(AND(AND(AND(AND($EC709=1,$EB709+$EA709+$EG709&gt;=1),$EF709=1),$EH709+$EI709+$ED709+$EE709&gt;=2),$N709="included"),"All C pools assumption","")</f>
        <v/>
      </c>
      <c r="EU709" t="str">
        <f>IF(AND($ED709+$EE709+$EI709+$EH709+$EF709=0,$N709="included"),"In-situ only assumption","")</f>
        <v/>
      </c>
      <c r="EY709" t="str">
        <f>IF(ISNUMBER(BW709),IF(ABS(BW709-[2]QC_indicators!$B$2)&gt;3*[2]QC_indicators!$C$2,"C ratio",IF(ISNUMBER(CA709),IF(ABS(CA709-[2]QC_indicators!$B$1)&gt;3*[2]QC_indicators!$C$1,"DF","no"))),IF(ISNUMBER(CA709),IF(ABS(CA709-[2]QC_indicators!$B$1)&gt;3*[2]QC_indicators!$C$1,"DF","no")))</f>
        <v>no</v>
      </c>
      <c r="FA709" t="str">
        <f>IF(LEN($CY709)=0,"",IF(AND($CY709&lt;(-0.05),$ES709="C neutral forest and HWP assumption"),"Cneutral paradox",IF(AND($CY709&gt;0.05,$EU709="In-situ only assumption"),"In-situ only paradox","")))</f>
        <v/>
      </c>
      <c r="FD709" s="260" t="s">
        <v>2837</v>
      </c>
    </row>
    <row r="710" spans="1:160" ht="15" hidden="1" customHeight="1">
      <c r="A710" s="1" t="s">
        <v>1715</v>
      </c>
      <c r="B710" t="s">
        <v>1716</v>
      </c>
      <c r="D710" t="s">
        <v>1717</v>
      </c>
      <c r="E710" t="s">
        <v>1718</v>
      </c>
      <c r="F710" t="s">
        <v>1719</v>
      </c>
      <c r="G710" t="s">
        <v>1720</v>
      </c>
      <c r="H710" t="s">
        <v>254</v>
      </c>
      <c r="I710">
        <v>2009</v>
      </c>
      <c r="J710">
        <v>31</v>
      </c>
      <c r="K710" t="s">
        <v>1721</v>
      </c>
      <c r="M710" t="str">
        <f>LEFT($D710,FIND(",",$D710)-1)&amp;"_"&amp;I710&amp;L710</f>
        <v>Liu_2009</v>
      </c>
      <c r="N710" t="s">
        <v>222</v>
      </c>
      <c r="O710" s="145" t="s">
        <v>225</v>
      </c>
      <c r="Q710" t="s">
        <v>256</v>
      </c>
      <c r="R710" s="258" t="s">
        <v>223</v>
      </c>
      <c r="S710" s="1" t="s">
        <v>1196</v>
      </c>
      <c r="T710" s="143" t="s">
        <v>1722</v>
      </c>
      <c r="U710" s="143" t="s">
        <v>1723</v>
      </c>
      <c r="V710" s="143">
        <v>1</v>
      </c>
      <c r="W710">
        <v>0</v>
      </c>
      <c r="X710">
        <v>1</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s="141">
        <f>COUNTIF(X710:AY710,"&lt;&gt;0")</f>
        <v>1</v>
      </c>
      <c r="BA710" s="141">
        <f>COUNTIF(X710:AN710,"&lt;&gt;0")</f>
        <v>1</v>
      </c>
      <c r="BB710">
        <f>COUNTIF(X710:AE710,"&lt;&gt;0")</f>
        <v>1</v>
      </c>
      <c r="BC710">
        <f>COUNTIF(AF710:AK710,"&lt;&gt;0")</f>
        <v>0</v>
      </c>
      <c r="BD710">
        <f>COUNTIF(AL710:AN710,"&lt;&gt;0")</f>
        <v>0</v>
      </c>
      <c r="BE710">
        <f>COUNTIF(AU710:AY710,"&lt;&gt;0")</f>
        <v>0</v>
      </c>
      <c r="BF710">
        <f>COUNTIF(AO710:AT710,"&lt;&gt;0")</f>
        <v>0</v>
      </c>
      <c r="BG710" t="str">
        <f t="array" ref="BG710">IF(BA710=1,INDEX($X$7:$AN$7,MATCH(TRUE,INDEX($X710:$AY710&lt;&gt;0,),0)),IF(BA710=0,INDEX($AO$7:$AY$7,MATCH(1,$AO710:$AY710,0)),IF(BH710="Multiple strategies","mixed drivers",IF(BH710="Supply chain","multiple supply","multiple silviculture"))))</f>
        <v>area subject to harvest</v>
      </c>
      <c r="BH710" s="2" t="str" cm="1">
        <f t="array" ref="BH710">IF(COUNTIF(BB710:BD710,"&lt;&gt;0")=1,INDEX($X$4:$AY$4,MATCH(TRUE,INDEX($X710:$AY710&lt;&gt;0,),0)),IF(COUNTIF(BB710:BD710,"&lt;&gt;0")=0,INDEX($AO$4:$AY$4,MATCH(1,$AO710:$AY710,0)),"Multiple strategies"))</f>
        <v>Silviculture for removals</v>
      </c>
      <c r="BI710" s="142" t="s">
        <v>321</v>
      </c>
      <c r="BJ710" s="260" t="s">
        <v>2833</v>
      </c>
      <c r="BK710" s="260" t="s">
        <v>2834</v>
      </c>
      <c r="BL710" s="143" t="s">
        <v>1228</v>
      </c>
      <c r="BM710">
        <v>0</v>
      </c>
      <c r="BN710" s="143">
        <f>4.8*10+3.3*390</f>
        <v>1335</v>
      </c>
      <c r="BO710" s="163"/>
      <c r="BP710">
        <f>BN710-BM710</f>
        <v>1335</v>
      </c>
      <c r="BQ710">
        <f>BP710*10^6</f>
        <v>1335000000</v>
      </c>
      <c r="BR710" t="s">
        <v>232</v>
      </c>
      <c r="BS710" s="348" t="s">
        <v>763</v>
      </c>
      <c r="BT710" t="s">
        <v>1724</v>
      </c>
      <c r="BU710" s="143">
        <v>505</v>
      </c>
      <c r="BV710">
        <f>560</f>
        <v>560</v>
      </c>
      <c r="BW710" s="144">
        <f>IFERROR(BV710/BU710,"")</f>
        <v>1.108910891089109</v>
      </c>
      <c r="BX710">
        <f>BV710-BU710</f>
        <v>55</v>
      </c>
      <c r="BZ710">
        <f>BX710*10^6*C_to_CO2</f>
        <v>201850000</v>
      </c>
      <c r="CA710">
        <f>IFERROR(BZ710/BQ710,"")</f>
        <v>0.15119850187265918</v>
      </c>
      <c r="CB710">
        <v>0</v>
      </c>
      <c r="CC710">
        <v>0</v>
      </c>
      <c r="CD710">
        <v>0</v>
      </c>
      <c r="CE710">
        <v>0</v>
      </c>
      <c r="CF710">
        <v>0</v>
      </c>
      <c r="CG710">
        <v>0</v>
      </c>
      <c r="CH710">
        <v>0</v>
      </c>
      <c r="CI710">
        <v>0</v>
      </c>
      <c r="CJ710">
        <v>0</v>
      </c>
      <c r="CK710">
        <v>0</v>
      </c>
      <c r="CL710">
        <v>0</v>
      </c>
      <c r="CM710">
        <v>0</v>
      </c>
      <c r="CN710">
        <v>0</v>
      </c>
      <c r="CO710">
        <v>0</v>
      </c>
      <c r="CP710" t="str">
        <f>IF($BN710&lt;$BM710,"refNeedCorrection","refOK")</f>
        <v>refOK</v>
      </c>
      <c r="CQ710">
        <f>IF($CP710="refOK",$BM710,$BN710)</f>
        <v>0</v>
      </c>
      <c r="CR710">
        <f>IF($CP710="refOK",$BN710,$BM710)</f>
        <v>1335</v>
      </c>
      <c r="CS710">
        <f>IF($CP710="refOK",$BQ710,-$BQ710)</f>
        <v>1335000000</v>
      </c>
      <c r="CT710">
        <f>IF(BI710="Roundwood",$CS710/2,$CS710)</f>
        <v>667500000</v>
      </c>
      <c r="CU710">
        <f>IF($CP710="refOK",$BU710,$BV710)*IF($BR710="Emissions positive",-1,1)</f>
        <v>505</v>
      </c>
      <c r="CV710">
        <f>IF($CP710="refOK",$BV710,$BU710)*IF($BR710="Emissions positive",-1,1)</f>
        <v>560</v>
      </c>
      <c r="CW710">
        <f>IF($CP710="refNeedCorrection",-BZ710,BZ710)*IF($BR710="Emissions positive",-1,1)</f>
        <v>201850000</v>
      </c>
      <c r="CX710">
        <f>IFERROR($CW710/$CS710,"")</f>
        <v>0.15119850187265918</v>
      </c>
      <c r="CY710">
        <f>IFERROR($CW710/$CS710,"")</f>
        <v>0.15119850187265918</v>
      </c>
      <c r="CZ710">
        <f>IFERROR($CW710/$CT710,"")</f>
        <v>0.30239700374531836</v>
      </c>
      <c r="DA710" s="2">
        <f>IFERROR((CV710-CU710)/ABS(CU710),"")</f>
        <v>0.10891089108910891</v>
      </c>
      <c r="DB710" s="1" t="s">
        <v>1074</v>
      </c>
      <c r="DC710" t="str">
        <f>IF(OR($DB710="prd",$DB710="std",$DB710="cit"),"loc",IF(OR($DB710="eur",$DB710="reg",$DB710="coy"),"reg",$DB710))</f>
        <v>reg</v>
      </c>
      <c r="DD710" t="s">
        <v>527</v>
      </c>
      <c r="DF710" s="143"/>
      <c r="DG710" s="143">
        <v>400</v>
      </c>
      <c r="DH710" t="str">
        <f>IF(DG710=0,"0",IF(AND(DG710&gt;=1,DG710&lt;=30),"1-30",IF(AND(DG710&gt;30,DG710&lt;=70),"31-70",IF(AND(DG710&gt;70,DG710&lt;=100),"71-100",IF(DG710&gt;100,"+100")))))</f>
        <v>+100</v>
      </c>
      <c r="DI710">
        <v>0</v>
      </c>
      <c r="DJ710">
        <v>0</v>
      </c>
      <c r="DK710">
        <v>0</v>
      </c>
      <c r="DL710">
        <v>1</v>
      </c>
      <c r="DN710">
        <f>SUM(DI710:DL710)</f>
        <v>1</v>
      </c>
      <c r="DO710" t="str">
        <f>IF(DN710=1,INDEX($DI$7:$DL$7,MATCH(1,$DI710:$DL710,0)),"mixedProduct")</f>
        <v>TimberInput</v>
      </c>
      <c r="DP710">
        <f>IF(DI710=1,DP$7,0)</f>
        <v>0</v>
      </c>
      <c r="DQ710">
        <f>IF(DJ710=1,DQ$7,0)</f>
        <v>0</v>
      </c>
      <c r="DR710">
        <f>IF(DK710=1,DR$7,0)</f>
        <v>0</v>
      </c>
      <c r="DS710" t="str">
        <f>IF(DL710=1,DS$7,0)</f>
        <v>Timber</v>
      </c>
      <c r="DT710">
        <v>0</v>
      </c>
      <c r="DU710" s="143">
        <v>0</v>
      </c>
      <c r="DV710" s="143">
        <v>0</v>
      </c>
      <c r="DW710">
        <v>0</v>
      </c>
      <c r="DX710" s="143">
        <v>0</v>
      </c>
      <c r="DY710">
        <f>SUM(DT710:DU710)</f>
        <v>0</v>
      </c>
      <c r="DZ710" s="143" t="str">
        <f>IF(DT710=1,"self-calculated DF",IF(DU710=1,"external DF used","explicit C balance"))</f>
        <v>explicit C balance</v>
      </c>
      <c r="EA710" s="143">
        <v>1</v>
      </c>
      <c r="EB710" s="143">
        <v>0</v>
      </c>
      <c r="EC710" s="143">
        <v>1</v>
      </c>
      <c r="ED710" s="143">
        <v>1</v>
      </c>
      <c r="EE710">
        <v>1</v>
      </c>
      <c r="EF710" s="143">
        <v>0</v>
      </c>
      <c r="EG710" s="143">
        <v>0</v>
      </c>
      <c r="EH710" s="143">
        <v>0</v>
      </c>
      <c r="EI710" s="143">
        <v>0</v>
      </c>
      <c r="EJ710">
        <v>0</v>
      </c>
      <c r="EK710">
        <v>1</v>
      </c>
      <c r="EL710" s="143">
        <v>0</v>
      </c>
      <c r="EM710">
        <v>0</v>
      </c>
      <c r="EN710" s="2">
        <v>0</v>
      </c>
      <c r="EO710" s="259" t="s">
        <v>2836</v>
      </c>
      <c r="EP710" t="str">
        <f>IF(AND(AND(AND(OR($EC710=1,$EB710=1),OR($EH710=1,$EF710=1)),SUM($EA710:$EE710,$EK710)&gt;=3),SUM($EF710:$EJ710)&gt;=2),"Whole sector approach","")</f>
        <v/>
      </c>
      <c r="EQ710" t="str">
        <f>IF(AND(AND(OR($EC710=1,$EB710=1),AND($EH710=0,$EF710=0)),SUM($EA710:$EE710,$EK710)&gt;=4),"Ecosystem approach","")</f>
        <v>Ecosystem approach</v>
      </c>
      <c r="ER710" s="2" t="str">
        <f>IF(AND(AND(AND($EC710=0,$EB710=0),OR($EH710=1,$EF710=1)),SUM($EG710:$EJ710)&gt;=2),"Technology approach","")</f>
        <v/>
      </c>
      <c r="ES710" t="str">
        <f>IF(AND($EC710+$EB710+$EE710+$EA710+$ED710+$EG710=0,$N710="included"),"C neutral forest and HWP assumption","")</f>
        <v/>
      </c>
      <c r="ET710" t="str">
        <f>IF(AND(AND(AND(AND($EC710=1,$EB710+$EA710+$EG710&gt;=1),$EF710=1),$EH710+$EI710+$ED710+$EE710&gt;=2),$N710="included"),"All C pools assumption","")</f>
        <v/>
      </c>
      <c r="EU710" t="str">
        <f>IF(AND($ED710+$EE710+$EI710+$EH710+$EF710=0,$N710="included"),"In-situ only assumption","")</f>
        <v/>
      </c>
      <c r="EY710" t="str">
        <f>IF(ISNUMBER(BW710),IF(ABS(BW710-[2]QC_indicators!$B$2)&gt;3*[2]QC_indicators!$C$2,"C ratio",IF(ISNUMBER(CA710),IF(ABS(CA710-[2]QC_indicators!$B$1)&gt;3*[2]QC_indicators!$C$1,"DF","no"))),IF(ISNUMBER(CA710),IF(ABS(CA710-[2]QC_indicators!$B$1)&gt;3*[2]QC_indicators!$C$1,"DF","no")))</f>
        <v>no</v>
      </c>
      <c r="FA710" t="str">
        <f>IF(LEN($CY710)=0,"",IF(AND($CY710&lt;(-0.05),$ES710="C neutral forest and HWP assumption"),"Cneutral paradox",IF(AND($CY710&gt;0.05,$EU710="In-situ only assumption"),"In-situ only paradox","")))</f>
        <v/>
      </c>
      <c r="FD710" s="260" t="s">
        <v>2837</v>
      </c>
    </row>
    <row r="711" spans="1:160" ht="15" hidden="1" customHeight="1">
      <c r="A711" s="1" t="s">
        <v>1715</v>
      </c>
      <c r="B711" t="s">
        <v>1716</v>
      </c>
      <c r="D711" t="s">
        <v>1717</v>
      </c>
      <c r="E711" t="s">
        <v>1718</v>
      </c>
      <c r="F711" t="s">
        <v>1719</v>
      </c>
      <c r="G711" t="s">
        <v>1720</v>
      </c>
      <c r="H711" t="s">
        <v>254</v>
      </c>
      <c r="I711">
        <v>2009</v>
      </c>
      <c r="J711">
        <v>31</v>
      </c>
      <c r="K711" t="s">
        <v>1721</v>
      </c>
      <c r="M711" t="str">
        <f>LEFT($D711,FIND(",",$D711)-1)&amp;"_"&amp;I711&amp;L711</f>
        <v>Liu_2009</v>
      </c>
      <c r="N711" t="s">
        <v>222</v>
      </c>
      <c r="O711" s="145" t="s">
        <v>225</v>
      </c>
      <c r="Q711" t="s">
        <v>256</v>
      </c>
      <c r="R711" s="258" t="s">
        <v>223</v>
      </c>
      <c r="S711" s="1" t="s">
        <v>1726</v>
      </c>
      <c r="T711" s="143" t="s">
        <v>1727</v>
      </c>
      <c r="U711" s="143" t="s">
        <v>1728</v>
      </c>
      <c r="V711" s="253">
        <v>0</v>
      </c>
      <c r="W711" s="253">
        <v>0</v>
      </c>
      <c r="X711">
        <v>0</v>
      </c>
      <c r="Y711">
        <v>0</v>
      </c>
      <c r="Z711">
        <v>0</v>
      </c>
      <c r="AA711">
        <v>0</v>
      </c>
      <c r="AB711">
        <v>0</v>
      </c>
      <c r="AC711">
        <v>0</v>
      </c>
      <c r="AD711">
        <v>0</v>
      </c>
      <c r="AE711">
        <v>0</v>
      </c>
      <c r="AF711">
        <v>0</v>
      </c>
      <c r="AG711">
        <v>0</v>
      </c>
      <c r="AH711">
        <v>0</v>
      </c>
      <c r="AI711">
        <v>0</v>
      </c>
      <c r="AJ711">
        <v>0</v>
      </c>
      <c r="AK711">
        <v>1</v>
      </c>
      <c r="AL711">
        <v>0</v>
      </c>
      <c r="AM711">
        <v>0</v>
      </c>
      <c r="AN711">
        <v>0</v>
      </c>
      <c r="AO711">
        <v>0</v>
      </c>
      <c r="AP711">
        <v>0</v>
      </c>
      <c r="AQ711">
        <v>0</v>
      </c>
      <c r="AR711">
        <v>0</v>
      </c>
      <c r="AS711">
        <v>0</v>
      </c>
      <c r="AT711">
        <v>0</v>
      </c>
      <c r="AU711">
        <v>0</v>
      </c>
      <c r="AV711">
        <v>0</v>
      </c>
      <c r="AW711">
        <v>0</v>
      </c>
      <c r="AX711">
        <v>0</v>
      </c>
      <c r="AY711">
        <v>0</v>
      </c>
      <c r="AZ711" s="141">
        <f>COUNTIF(X711:AY711,"&lt;&gt;0")</f>
        <v>1</v>
      </c>
      <c r="BA711" s="141">
        <f>COUNTIF(X711:AN711,"&lt;&gt;0")</f>
        <v>1</v>
      </c>
      <c r="BB711">
        <f>COUNTIF(X711:AE711,"&lt;&gt;0")</f>
        <v>0</v>
      </c>
      <c r="BC711">
        <f>COUNTIF(AF711:AK711,"&lt;&gt;0")</f>
        <v>1</v>
      </c>
      <c r="BD711">
        <f>COUNTIF(AL711:AN711,"&lt;&gt;0")</f>
        <v>0</v>
      </c>
      <c r="BE711">
        <f>COUNTIF(AU711:AY711,"&lt;&gt;0")</f>
        <v>0</v>
      </c>
      <c r="BF711">
        <f>COUNTIF(AO711:AT711,"&lt;&gt;0")</f>
        <v>0</v>
      </c>
      <c r="BG711" t="str">
        <f t="array" ref="BG711">IF(BA711=1,INDEX($X$7:$AN$7,MATCH(TRUE,INDEX($X711:$AY711&lt;&gt;0,),0)),IF(BA711=0,INDEX($AO$7:$AY$7,MATCH(1,$AO711:$AY711,0)),IF(BH711="Multiple strategies","mixed drivers",IF(BH711="Supply chain","multiple supply","multiple silviculture"))))</f>
        <v>products lifespan</v>
      </c>
      <c r="BH711" s="2" t="str" cm="1">
        <f t="array" ref="BH711">IF(COUNTIF(BB711:BD711,"&lt;&gt;0")=1,INDEX($X$4:$AY$4,MATCH(TRUE,INDEX($X711:$AY711&lt;&gt;0,),0)),IF(COUNTIF(BB711:BD711,"&lt;&gt;0")=0,INDEX($AO$4:$AY$4,MATCH(1,$AO711:$AY711,0)),"Multiple strategies"))</f>
        <v>Supply chain</v>
      </c>
      <c r="BI711" s="142" t="s">
        <v>321</v>
      </c>
      <c r="BJ711" s="260" t="s">
        <v>2833</v>
      </c>
      <c r="BK711" s="260" t="s">
        <v>2834</v>
      </c>
      <c r="BL711" s="143" t="s">
        <v>1228</v>
      </c>
      <c r="BM711" s="143">
        <f>4.8*10+3.3*390</f>
        <v>1335</v>
      </c>
      <c r="BN711" s="143">
        <f>4.8*10+3.3*390</f>
        <v>1335</v>
      </c>
      <c r="BO711" s="163">
        <f>BN711/BM711</f>
        <v>1</v>
      </c>
      <c r="BP711">
        <f>BN711-BM711</f>
        <v>0</v>
      </c>
      <c r="BQ711">
        <f>BP711*10^6</f>
        <v>0</v>
      </c>
      <c r="BR711" t="s">
        <v>232</v>
      </c>
      <c r="BS711" s="153" t="s">
        <v>2835</v>
      </c>
      <c r="BT711" t="s">
        <v>1724</v>
      </c>
      <c r="BU711" s="143">
        <f>500</f>
        <v>500</v>
      </c>
      <c r="BV711">
        <f>560</f>
        <v>560</v>
      </c>
      <c r="BW711" s="144">
        <f>IFERROR(BV711/BU711,"")</f>
        <v>1.1200000000000001</v>
      </c>
      <c r="BX711">
        <f>BV711-BU711</f>
        <v>60</v>
      </c>
      <c r="BZ711">
        <f>BX711*10^6*C_to_CO2</f>
        <v>220200000</v>
      </c>
      <c r="CA711" t="str">
        <f>IFERROR(BZ711/BQ711,"")</f>
        <v/>
      </c>
      <c r="CB711">
        <v>0</v>
      </c>
      <c r="CC711">
        <v>0</v>
      </c>
      <c r="CD711">
        <v>0</v>
      </c>
      <c r="CE711">
        <v>0</v>
      </c>
      <c r="CF711">
        <v>0</v>
      </c>
      <c r="CG711">
        <v>0</v>
      </c>
      <c r="CH711">
        <v>0</v>
      </c>
      <c r="CI711">
        <v>0</v>
      </c>
      <c r="CJ711">
        <v>0</v>
      </c>
      <c r="CK711">
        <v>0</v>
      </c>
      <c r="CL711">
        <v>0</v>
      </c>
      <c r="CM711">
        <v>0</v>
      </c>
      <c r="CN711">
        <v>0</v>
      </c>
      <c r="CO711">
        <v>0</v>
      </c>
      <c r="CP711" t="str">
        <f>IF($BN711&lt;$BM711,"refNeedCorrection","refOK")</f>
        <v>refOK</v>
      </c>
      <c r="CQ711">
        <f>IF($CP711="refOK",$BM711,$BN711)</f>
        <v>1335</v>
      </c>
      <c r="CR711">
        <f>IF($CP711="refOK",$BN711,$BM711)</f>
        <v>1335</v>
      </c>
      <c r="CS711">
        <f>IF($CP711="refOK",$BQ711,-$BQ711)</f>
        <v>0</v>
      </c>
      <c r="CT711">
        <f>IF(BI711="Roundwood",$CS711/2,$CS711)</f>
        <v>0</v>
      </c>
      <c r="CU711">
        <f>IF($CP711="refOK",$BU711,$BV711)*IF($BR711="Emissions positive",-1,1)</f>
        <v>500</v>
      </c>
      <c r="CV711">
        <f>IF($CP711="refOK",$BV711,$BU711)*IF($BR711="Emissions positive",-1,1)</f>
        <v>560</v>
      </c>
      <c r="CW711">
        <f>IF($CP711="refNeedCorrection",-BZ711,BZ711)*IF($BR711="Emissions positive",-1,1)</f>
        <v>220200000</v>
      </c>
      <c r="CX711" t="str">
        <f>IFERROR($CW711/$CS711,"")</f>
        <v/>
      </c>
      <c r="CY711" t="str">
        <f>IFERROR($CW711/$CS711,"")</f>
        <v/>
      </c>
      <c r="CZ711" t="str">
        <f>IFERROR($CW711/$CT711,"")</f>
        <v/>
      </c>
      <c r="DA711" s="2">
        <f>IFERROR((CV711-CU711)/ABS(CU711),"")</f>
        <v>0.12</v>
      </c>
      <c r="DB711" s="1" t="s">
        <v>1074</v>
      </c>
      <c r="DC711" t="str">
        <f>IF(OR($DB711="prd",$DB711="std",$DB711="cit"),"loc",IF(OR($DB711="eur",$DB711="reg",$DB711="coy"),"reg",$DB711))</f>
        <v>reg</v>
      </c>
      <c r="DD711" t="s">
        <v>527</v>
      </c>
      <c r="DF711" s="143"/>
      <c r="DG711" s="143">
        <v>400</v>
      </c>
      <c r="DH711" t="str">
        <f>IF(DG711=0,"0",IF(AND(DG711&gt;=1,DG711&lt;=30),"1-30",IF(AND(DG711&gt;30,DG711&lt;=70),"31-70",IF(AND(DG711&gt;70,DG711&lt;=100),"71-100",IF(DG711&gt;100,"+100")))))</f>
        <v>+100</v>
      </c>
      <c r="DI711">
        <v>0</v>
      </c>
      <c r="DJ711">
        <v>0</v>
      </c>
      <c r="DK711">
        <v>0</v>
      </c>
      <c r="DL711">
        <v>1</v>
      </c>
      <c r="DN711">
        <f>SUM(DI711:DL711)</f>
        <v>1</v>
      </c>
      <c r="DO711" t="str">
        <f>IF(DN711=1,INDEX($DI$7:$DL$7,MATCH(1,$DI711:$DL711,0)),"mixedProduct")</f>
        <v>TimberInput</v>
      </c>
      <c r="DP711">
        <f>IF(DI711=1,DP$7,0)</f>
        <v>0</v>
      </c>
      <c r="DQ711">
        <f>IF(DJ711=1,DQ$7,0)</f>
        <v>0</v>
      </c>
      <c r="DR711">
        <f>IF(DK711=1,DR$7,0)</f>
        <v>0</v>
      </c>
      <c r="DS711" t="str">
        <f>IF(DL711=1,DS$7,0)</f>
        <v>Timber</v>
      </c>
      <c r="DT711">
        <v>0</v>
      </c>
      <c r="DU711" s="143">
        <v>0</v>
      </c>
      <c r="DV711" s="143">
        <v>0</v>
      </c>
      <c r="DW711">
        <v>0</v>
      </c>
      <c r="DX711" s="143">
        <v>0</v>
      </c>
      <c r="DY711">
        <f>SUM(DT711:DU711)</f>
        <v>0</v>
      </c>
      <c r="DZ711" s="143" t="str">
        <f>IF(DT711=1,"self-calculated DF",IF(DU711=1,"external DF used","explicit C balance"))</f>
        <v>explicit C balance</v>
      </c>
      <c r="EA711" s="143">
        <v>1</v>
      </c>
      <c r="EB711" s="143">
        <v>0</v>
      </c>
      <c r="EC711" s="143">
        <v>1</v>
      </c>
      <c r="ED711" s="143">
        <v>1</v>
      </c>
      <c r="EE711">
        <v>1</v>
      </c>
      <c r="EF711" s="143">
        <v>0</v>
      </c>
      <c r="EG711" s="143">
        <v>0</v>
      </c>
      <c r="EH711" s="143">
        <v>0</v>
      </c>
      <c r="EI711" s="143">
        <v>0</v>
      </c>
      <c r="EJ711">
        <v>0</v>
      </c>
      <c r="EK711">
        <v>1</v>
      </c>
      <c r="EL711" s="143">
        <v>0</v>
      </c>
      <c r="EM711">
        <v>0</v>
      </c>
      <c r="EN711" s="2">
        <v>0</v>
      </c>
      <c r="EO711" s="259" t="s">
        <v>2836</v>
      </c>
      <c r="EP711" t="str">
        <f>IF(AND(AND(AND(OR($EC711=1,$EB711=1),OR($EH711=1,$EF711=1)),SUM($EA711:$EE711,$EK711)&gt;=3),SUM($EF711:$EJ711)&gt;=2),"Whole sector approach","")</f>
        <v/>
      </c>
      <c r="EQ711" t="str">
        <f>IF(AND(AND(OR($EC711=1,$EB711=1),AND($EH711=0,$EF711=0)),SUM($EA711:$EE711,$EK711)&gt;=4),"Ecosystem approach","")</f>
        <v>Ecosystem approach</v>
      </c>
      <c r="ER711" s="2" t="str">
        <f>IF(AND(AND(AND($EC711=0,$EB711=0),OR($EH711=1,$EF711=1)),SUM($EG711:$EJ711)&gt;=2),"Technology approach","")</f>
        <v/>
      </c>
      <c r="ES711" t="str">
        <f>IF(AND($EC711+$EB711+$EE711+$EA711+$ED711+$EG711=0,$N711="included"),"C neutral forest and HWP assumption","")</f>
        <v/>
      </c>
      <c r="ET711" t="str">
        <f>IF(AND(AND(AND(AND($EC711=1,$EB711+$EA711+$EG711&gt;=1),$EF711=1),$EH711+$EI711+$ED711+$EE711&gt;=2),$N711="included"),"All C pools assumption","")</f>
        <v/>
      </c>
      <c r="EU711" t="str">
        <f>IF(AND($ED711+$EE711+$EI711+$EH711+$EF711=0,$N711="included"),"In-situ only assumption","")</f>
        <v/>
      </c>
      <c r="EY711" t="b">
        <f>IF(ISNUMBER(BW711),IF(ABS(BW711-[2]QC_indicators!$B$2)&gt;3*[2]QC_indicators!$C$2,"C ratio",IF(ISNUMBER(CA711),IF(ABS(CA711-[2]QC_indicators!$B$1)&gt;3*[2]QC_indicators!$C$1,"DF","no"))),IF(ISNUMBER(CA711),IF(ABS(CA711-[2]QC_indicators!$B$1)&gt;3*[2]QC_indicators!$C$1,"DF","no")))</f>
        <v>0</v>
      </c>
      <c r="FA711" t="str">
        <f>IF(LEN($CY711)=0,"",IF(AND($CY711&lt;(-0.05),$ES711="C neutral forest and HWP assumption"),"Cneutral paradox",IF(AND($CY711&gt;0.05,$EU711="In-situ only assumption"),"In-situ only paradox","")))</f>
        <v/>
      </c>
      <c r="FD711" s="260" t="s">
        <v>2837</v>
      </c>
    </row>
    <row r="712" spans="1:160" ht="15" hidden="1" customHeight="1">
      <c r="A712" s="1" t="s">
        <v>1233</v>
      </c>
      <c r="B712" t="s">
        <v>1965</v>
      </c>
      <c r="C712" t="s">
        <v>1966</v>
      </c>
      <c r="D712" t="s">
        <v>1967</v>
      </c>
      <c r="E712" t="s">
        <v>1968</v>
      </c>
      <c r="F712" t="s">
        <v>1969</v>
      </c>
      <c r="G712" t="s">
        <v>1239</v>
      </c>
      <c r="H712" t="s">
        <v>254</v>
      </c>
      <c r="I712">
        <v>2009</v>
      </c>
      <c r="J712">
        <v>27</v>
      </c>
      <c r="K712" t="s">
        <v>1970</v>
      </c>
      <c r="M712" t="str">
        <f>LEFT($D712,FIND(",",$D712)-1)&amp;"_"&amp;I712&amp;L712</f>
        <v>Raymer_2009</v>
      </c>
      <c r="N712" s="349" t="s">
        <v>4058</v>
      </c>
      <c r="O712" s="145" t="s">
        <v>341</v>
      </c>
      <c r="Q712" s="317" t="s">
        <v>256</v>
      </c>
      <c r="R712" s="318" t="s">
        <v>1029</v>
      </c>
      <c r="S712" s="1" t="s">
        <v>1971</v>
      </c>
      <c r="T712" t="s">
        <v>1972</v>
      </c>
      <c r="U712" t="s">
        <v>1974</v>
      </c>
      <c r="V712" s="253">
        <v>0</v>
      </c>
      <c r="W712" s="253">
        <v>0</v>
      </c>
      <c r="X712">
        <v>0</v>
      </c>
      <c r="Y712">
        <v>0</v>
      </c>
      <c r="Z712">
        <v>0</v>
      </c>
      <c r="AA712">
        <v>2</v>
      </c>
      <c r="AB712">
        <v>2</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1</v>
      </c>
      <c r="AY712">
        <v>0</v>
      </c>
      <c r="AZ712" s="141">
        <f>COUNTIF(X712:AY712,"&lt;&gt;0")</f>
        <v>3</v>
      </c>
      <c r="BA712" s="141">
        <f>COUNTIF(X712:AN712,"&lt;&gt;0")</f>
        <v>2</v>
      </c>
      <c r="BB712">
        <f>COUNTIF(X712:AE712,"&lt;&gt;0")</f>
        <v>2</v>
      </c>
      <c r="BC712">
        <f>COUNTIF(AF712:AK712,"&lt;&gt;0")</f>
        <v>0</v>
      </c>
      <c r="BD712">
        <f>COUNTIF(AL712:AN712,"&lt;&gt;0")</f>
        <v>0</v>
      </c>
      <c r="BE712">
        <f>COUNTIF(AU712:AY712,"&lt;&gt;0")</f>
        <v>1</v>
      </c>
      <c r="BF712">
        <f>COUNTIF(AO712:AT712,"&lt;&gt;0")</f>
        <v>0</v>
      </c>
      <c r="BG712" t="str" cm="1">
        <f t="array" ref="BG712">IF(BA712=1,INDEX($X$7:$AN$7,MATCH(TRUE,INDEX($X712:$AY712&lt;&gt;0,),0)),IF(BA712=0,INDEX($AO$7:$AY$7,MATCH(1,$AO712:$AY712,0)),IF(BH712="Multiple strategies","mixed drivers",IF(BH712="Supply chain","multiple supply","multiple silviculture"))))</f>
        <v>multiple silviculture</v>
      </c>
      <c r="BH712" s="2" t="str" cm="1">
        <f t="array" ref="BH712">IF(COUNTIF(BB712:BD712,"&lt;&gt;0")=1,INDEX($X$4:$AY$4,MATCH(TRUE,INDEX($X712:$AY712&lt;&gt;0,),0)),IF(COUNTIF(BB712:BD712,"&lt;&gt;0")=0,INDEX($AO$4:$AY$4,MATCH(1,$AO712:$AY712,0)),"Multiple strategies"))</f>
        <v>Silviculture for removals</v>
      </c>
      <c r="BI712" s="1" t="s">
        <v>321</v>
      </c>
      <c r="BK712" s="317" t="s">
        <v>396</v>
      </c>
      <c r="BL712" t="s">
        <v>5048</v>
      </c>
      <c r="BM712">
        <f>27.4/10</f>
        <v>2.7399999999999998</v>
      </c>
      <c r="BN712">
        <f>27.4/10</f>
        <v>2.7399999999999998</v>
      </c>
      <c r="BO712" s="317">
        <f>BN712/BM712</f>
        <v>1</v>
      </c>
      <c r="BP712">
        <f>BN712-BM712</f>
        <v>0</v>
      </c>
      <c r="BQ712">
        <f>BP712*10^6</f>
        <v>0</v>
      </c>
      <c r="BR712" t="s">
        <v>232</v>
      </c>
      <c r="BS712" s="317" t="s">
        <v>5049</v>
      </c>
      <c r="BT712" t="s">
        <v>5050</v>
      </c>
      <c r="BU712">
        <v>1.5</v>
      </c>
      <c r="BV712">
        <v>2.4</v>
      </c>
      <c r="BW712" s="144">
        <f>IFERROR(BV712/BU712,"")</f>
        <v>1.5999999999999999</v>
      </c>
      <c r="BX712">
        <f>BV712-BU712</f>
        <v>0.89999999999999991</v>
      </c>
      <c r="BZ712">
        <f>BX712*10^6</f>
        <v>899999.99999999988</v>
      </c>
      <c r="CA712" t="str">
        <f>IFERROR(BZ712/BQ712,"")</f>
        <v/>
      </c>
      <c r="CB712">
        <v>0</v>
      </c>
      <c r="CC712">
        <v>0</v>
      </c>
      <c r="CD712">
        <v>0</v>
      </c>
      <c r="CE712">
        <v>0</v>
      </c>
      <c r="CF712">
        <v>0</v>
      </c>
      <c r="CG712">
        <v>0</v>
      </c>
      <c r="CH712">
        <v>0</v>
      </c>
      <c r="CI712">
        <v>0</v>
      </c>
      <c r="CJ712">
        <v>0</v>
      </c>
      <c r="CK712">
        <v>0</v>
      </c>
      <c r="CL712">
        <v>0</v>
      </c>
      <c r="CM712">
        <v>0</v>
      </c>
      <c r="CN712">
        <v>0</v>
      </c>
      <c r="CO712">
        <v>1</v>
      </c>
      <c r="CP712" t="str">
        <f>IF($BN712&lt;$BM712,"refNeedCorrection","refOK")</f>
        <v>refOK</v>
      </c>
      <c r="CQ712">
        <f>IF($CP712="refOK",$BM712,$BN712)</f>
        <v>2.7399999999999998</v>
      </c>
      <c r="CR712">
        <f>IF($CP712="refOK",$BN712,$BM712)</f>
        <v>2.7399999999999998</v>
      </c>
      <c r="CS712">
        <f>IF($CP712="refOK",$BQ712,-$BQ712)</f>
        <v>0</v>
      </c>
      <c r="CT712">
        <f>IF(BI712="Roundwood",$CS712/2,$CS712)</f>
        <v>0</v>
      </c>
      <c r="CU712">
        <f>IF($CP712="refOK",$BU712,$BV712)*IF($BR712="Emissions positive",-1,1)</f>
        <v>1.5</v>
      </c>
      <c r="CV712">
        <f>IF($CP712="refOK",$BV712,$BU712)*IF($BR712="Emissions positive",-1,1)</f>
        <v>2.4</v>
      </c>
      <c r="CW712">
        <f>IF($CP712="refNeedCorrection",-BZ712,BZ712)*IF($BR712="Emissions positive",-1,1)</f>
        <v>899999.99999999988</v>
      </c>
      <c r="CX712" t="str">
        <f>IFERROR($CW712/$CS712,"")</f>
        <v/>
      </c>
      <c r="CY712" t="str">
        <f>IFERROR($CW712/$CS712,"")</f>
        <v/>
      </c>
      <c r="CZ712" t="str">
        <f>IFERROR($CW712/$CT712,"")</f>
        <v/>
      </c>
      <c r="DA712" s="2">
        <f>IFERROR((CV712-CU712)/ABS(CU712),"")</f>
        <v>0.6</v>
      </c>
      <c r="DB712" s="1" t="s">
        <v>1074</v>
      </c>
      <c r="DC712" s="317" t="str">
        <f>IF(OR($DB712="prd",$DB712="std",$DB712="cit"),"loc",IF(OR($DB712="eur",$DB712="reg",$DB712="coy"),"reg",$DB712))</f>
        <v>reg</v>
      </c>
      <c r="DD712" t="s">
        <v>264</v>
      </c>
      <c r="DG712">
        <v>120</v>
      </c>
      <c r="DH712" t="str">
        <f>IF(DG712=0,"0",IF(AND(DG712&gt;=1,DG712&lt;=30),"1-30",IF(AND(DG712&gt;30,DG712&lt;=70),"31-70",IF(AND(DG712&gt;70,DG712&lt;=100),"71-100",IF(DG712&gt;100,"+100")))))</f>
        <v>+100</v>
      </c>
      <c r="DI712">
        <v>0</v>
      </c>
      <c r="DJ712">
        <v>1</v>
      </c>
      <c r="DK712">
        <v>1</v>
      </c>
      <c r="DL712">
        <v>1</v>
      </c>
      <c r="DN712">
        <f>SUM(DI712:DL712)</f>
        <v>3</v>
      </c>
      <c r="DO712" t="str">
        <f>IF(DN712=1,INDEX($DI$7:$DL$7,MATCH(1,$DI712:$DL712,0)),"mixedProduct")</f>
        <v>mixedProduct</v>
      </c>
      <c r="DP712">
        <f>IF(DI712=1,DP$7,0)</f>
        <v>0</v>
      </c>
      <c r="DQ712" t="str">
        <f>IF(DJ712=1,DQ$7,0)</f>
        <v>Energy</v>
      </c>
      <c r="DR712" t="str">
        <f>IF(DK712=1,DR$7,0)</f>
        <v>Pulp/Paper</v>
      </c>
      <c r="DS712" t="str">
        <f>IF(DL712=1,DS$7,0)</f>
        <v>Timber</v>
      </c>
      <c r="DT712">
        <v>1</v>
      </c>
      <c r="DU712">
        <v>0</v>
      </c>
      <c r="DV712">
        <v>0</v>
      </c>
      <c r="DW712">
        <v>0</v>
      </c>
      <c r="DX712">
        <v>0</v>
      </c>
      <c r="DY712">
        <f>SUM(DT712:DU712)</f>
        <v>1</v>
      </c>
      <c r="DZ712" s="143" t="str">
        <f>IF(DT712=1,"self-calculated DF",IF(DU712=1,"external DF used","explicit C balance"))</f>
        <v>self-calculated DF</v>
      </c>
      <c r="EA712">
        <v>1</v>
      </c>
      <c r="EB712">
        <v>1</v>
      </c>
      <c r="EC712">
        <v>1</v>
      </c>
      <c r="ED712">
        <v>1</v>
      </c>
      <c r="EE712">
        <v>1</v>
      </c>
      <c r="EF712">
        <v>1</v>
      </c>
      <c r="EG712">
        <v>1</v>
      </c>
      <c r="EH712">
        <v>1</v>
      </c>
      <c r="EI712">
        <v>0</v>
      </c>
      <c r="EJ712">
        <v>0</v>
      </c>
      <c r="EK712">
        <v>1</v>
      </c>
      <c r="EL712">
        <v>0</v>
      </c>
      <c r="EM712">
        <v>0</v>
      </c>
      <c r="EN712" s="2">
        <v>0</v>
      </c>
      <c r="EP712" t="str">
        <f>IF(AND(AND(AND(OR($EC712=1,$EB712=1),OR($EH712=1,$EF712=1)),SUM($EA712:$EE712,$EK712)&gt;=3),SUM($EF712:$EJ712)&gt;=2),"Whole sector approach","")</f>
        <v>Whole sector approach</v>
      </c>
      <c r="EQ712" t="str">
        <f>IF(AND(AND(OR($EC712=1,$EB712=1),AND($EH712=0,$EF712=0)),SUM($EA712:$EE712,$EK712)&gt;=3),"Ecosystem approach","")</f>
        <v/>
      </c>
      <c r="ER712" s="2" t="str">
        <f>IF(AND(AND(AND($EC712=0,$EB712=0),OR($EH712=1,$EF712=1)),SUM($EG712:$EJ712)&gt;=2),"Technology approach","")</f>
        <v/>
      </c>
      <c r="ES712" t="str">
        <f>IF(AND($EC712+$EB712+$EE712+$EA712+$ED712+$EG712=0,$N712="included"),"C neutral forest and HWP assumption","")</f>
        <v/>
      </c>
      <c r="ET712" t="str">
        <f>IF(AND(AND(AND(AND($EC712=1,$EB712+$EA712+$EG712&gt;=1),$EF712=1),$EH712+$EI712+$ED712+$EE712&gt;=2),$N712="included"),"All C pools assumption","")</f>
        <v/>
      </c>
      <c r="EU712" t="str">
        <f>IF(AND($ED712+$EE712+$EI712+$EH712+$EF712=0,$N712="included"),"In-situ only assumption","")</f>
        <v/>
      </c>
      <c r="EY712" t="b">
        <f>IF(ISNUMBER(BW712),IF(ABS(BW712-[4]QC_indicators!$B$2)&gt;3*[4]QC_indicators!$C$2,"C ratio",IF(ISNUMBER(CA712),IF(ABS(CA712-[4]QC_indicators!$B$1)&gt;3*[4]QC_indicators!$C$1,"DF","no"))),IF(ISNUMBER(CA712),IF(ABS(CA712-[4]QC_indicators!$B$1)&gt;3*[4]QC_indicators!$C$1,"DF","no")))</f>
        <v>0</v>
      </c>
      <c r="FA712" t="str">
        <f>IF(LEN($CY712)=0,"",IF(AND($CY712&lt;(-0.05),$ES712="C neutral forest and HWP assumption"),"Cneutral paradox",IF(AND($CY712&gt;0.05,$EU712="In-situ only assumption"),"In-situ only paradox","")))</f>
        <v/>
      </c>
      <c r="FD712" t="s">
        <v>5051</v>
      </c>
    </row>
    <row r="713" spans="1:160" ht="15" hidden="1" customHeight="1">
      <c r="A713" s="1" t="s">
        <v>586</v>
      </c>
      <c r="B713" t="s">
        <v>587</v>
      </c>
      <c r="C713" t="s">
        <v>588</v>
      </c>
      <c r="D713" t="s">
        <v>589</v>
      </c>
      <c r="E713" t="s">
        <v>590</v>
      </c>
      <c r="F713" t="s">
        <v>591</v>
      </c>
      <c r="G713" t="s">
        <v>592</v>
      </c>
      <c r="H713" t="s">
        <v>254</v>
      </c>
      <c r="I713">
        <v>2022</v>
      </c>
      <c r="J713">
        <v>15</v>
      </c>
      <c r="K713" t="s">
        <v>593</v>
      </c>
      <c r="M713" t="str">
        <f>LEFT($D713,FIND(",",$D713)-1)&amp;"_"&amp;I713&amp;L713</f>
        <v>Dani_2022</v>
      </c>
      <c r="N713" t="s">
        <v>222</v>
      </c>
      <c r="O713" s="145" t="s">
        <v>223</v>
      </c>
      <c r="Q713" t="s">
        <v>389</v>
      </c>
      <c r="R713" s="251" t="s">
        <v>225</v>
      </c>
      <c r="S713" s="1" t="s">
        <v>594</v>
      </c>
      <c r="T713" t="s">
        <v>595</v>
      </c>
      <c r="U713" t="s">
        <v>596</v>
      </c>
      <c r="V713" s="253">
        <v>0</v>
      </c>
      <c r="W713" s="253">
        <v>0</v>
      </c>
      <c r="X713">
        <v>0</v>
      </c>
      <c r="Y713">
        <v>0</v>
      </c>
      <c r="Z713">
        <v>0</v>
      </c>
      <c r="AA713">
        <v>0</v>
      </c>
      <c r="AB713">
        <v>0</v>
      </c>
      <c r="AC713">
        <v>0</v>
      </c>
      <c r="AD713">
        <v>0</v>
      </c>
      <c r="AE713">
        <v>0</v>
      </c>
      <c r="AF713">
        <v>0</v>
      </c>
      <c r="AG713">
        <v>0</v>
      </c>
      <c r="AH713">
        <v>0</v>
      </c>
      <c r="AI713">
        <v>0</v>
      </c>
      <c r="AJ713">
        <v>0</v>
      </c>
      <c r="AK713">
        <v>0</v>
      </c>
      <c r="AL713">
        <v>0</v>
      </c>
      <c r="AM713">
        <v>1</v>
      </c>
      <c r="AN713">
        <v>0</v>
      </c>
      <c r="AO713">
        <v>0</v>
      </c>
      <c r="AP713">
        <v>0</v>
      </c>
      <c r="AQ713">
        <v>0</v>
      </c>
      <c r="AR713">
        <v>0</v>
      </c>
      <c r="AS713">
        <v>0</v>
      </c>
      <c r="AT713">
        <v>0</v>
      </c>
      <c r="AU713">
        <v>0</v>
      </c>
      <c r="AV713">
        <v>0</v>
      </c>
      <c r="AW713">
        <v>0</v>
      </c>
      <c r="AX713">
        <v>0</v>
      </c>
      <c r="AY713">
        <v>0</v>
      </c>
      <c r="AZ713" s="141">
        <f>COUNTIF(X713:AY713,"&lt;&gt;0")</f>
        <v>1</v>
      </c>
      <c r="BA713" s="141">
        <f>COUNTIF(X713:AN713,"&lt;&gt;0")</f>
        <v>1</v>
      </c>
      <c r="BB713">
        <f>COUNTIF(X713:AE713,"&lt;&gt;0")</f>
        <v>0</v>
      </c>
      <c r="BC713">
        <f>COUNTIF(AF713:AK713,"&lt;&gt;0")</f>
        <v>0</v>
      </c>
      <c r="BD713">
        <f>COUNTIF(AL713:AN713,"&lt;&gt;0")</f>
        <v>1</v>
      </c>
      <c r="BE713">
        <f>COUNTIF(AU713:AY713,"&lt;&gt;0")</f>
        <v>0</v>
      </c>
      <c r="BF713">
        <f>COUNTIF(AO713:AT713,"&lt;&gt;0")</f>
        <v>0</v>
      </c>
      <c r="BG713" t="str">
        <f t="array" ref="BG713">IF(BA713=1,INDEX($X$7:$AN$7,MATCH(TRUE,INDEX($X713:$AY713&lt;&gt;0,),0)),IF(BA713=0,INDEX($AO$7:$AY$7,MATCH(1,$AO713:$AY713,0)),IF(BH713="Multiple strategies","mixed drivers",IF(BH713="Supply chain","multiple supply","multiple silviculture"))))</f>
        <v>technologies/design switch</v>
      </c>
      <c r="BH713" s="2" t="str" cm="1">
        <f t="array" ref="BH713">IF(COUNTIF(BB713:BD713,"&lt;&gt;0")=1,INDEX($X$4:$AY$4,MATCH(TRUE,INDEX($X713:$AY713&lt;&gt;0,),0)),IF(COUNTIF(BB713:BD713,"&lt;&gt;0")=0,INDEX($AO$4:$AY$4,MATCH(1,$AO713:$AY713,0)),"Multiple strategies"))</f>
        <v>Technology</v>
      </c>
      <c r="BI713" s="1" t="s">
        <v>229</v>
      </c>
      <c r="BJ713" t="s">
        <v>597</v>
      </c>
      <c r="BK713" t="s">
        <v>424</v>
      </c>
      <c r="BL713" t="s">
        <v>498</v>
      </c>
      <c r="BM713">
        <f>0.041+0.652</f>
        <v>0.69300000000000006</v>
      </c>
      <c r="BN713">
        <f>0.298+2.905+0.284+3.758+0.808+6.645+2.786+0.678</f>
        <v>18.161999999999999</v>
      </c>
      <c r="BP713">
        <f>BN713-BM713</f>
        <v>17.468999999999998</v>
      </c>
      <c r="BQ713">
        <f>BP713</f>
        <v>17.468999999999998</v>
      </c>
      <c r="BR713" t="s">
        <v>395</v>
      </c>
      <c r="BS713" s="337" t="s">
        <v>2976</v>
      </c>
      <c r="BT713" t="s">
        <v>599</v>
      </c>
      <c r="BU713">
        <f>(1.47+8.39+1.85)*146</f>
        <v>1709.66</v>
      </c>
      <c r="BV713">
        <f>107*(1.16+8.34+1.52)</f>
        <v>1179.1399999999999</v>
      </c>
      <c r="BW713" s="144">
        <f>IFERROR(BV713/BU713,"")</f>
        <v>0.68969268743492851</v>
      </c>
      <c r="BX713">
        <f>BV713-BU713</f>
        <v>-530.52000000000021</v>
      </c>
      <c r="BZ713">
        <f>BX713/1000</f>
        <v>-0.53052000000000021</v>
      </c>
      <c r="CA713">
        <f>IFERROR(BZ713/BQ713,"")</f>
        <v>-3.0369225485145132E-2</v>
      </c>
      <c r="CB713">
        <v>0</v>
      </c>
      <c r="CC713">
        <v>0</v>
      </c>
      <c r="CD713">
        <v>0</v>
      </c>
      <c r="CE713">
        <v>0</v>
      </c>
      <c r="CF713">
        <v>0</v>
      </c>
      <c r="CG713">
        <v>0</v>
      </c>
      <c r="CH713">
        <v>0</v>
      </c>
      <c r="CI713">
        <v>0</v>
      </c>
      <c r="CJ713">
        <v>0</v>
      </c>
      <c r="CK713">
        <v>0</v>
      </c>
      <c r="CL713">
        <v>0</v>
      </c>
      <c r="CM713">
        <v>0</v>
      </c>
      <c r="CN713">
        <v>0</v>
      </c>
      <c r="CO713">
        <v>0</v>
      </c>
      <c r="CP713" t="str">
        <f>IF($BN713&lt;$BM713,"refNeedCorrection","refOK")</f>
        <v>refOK</v>
      </c>
      <c r="CQ713"/>
      <c r="CR713"/>
      <c r="CS713">
        <f>IF($CP713="refOK",$BQ713,-$BQ713)</f>
        <v>17.468999999999998</v>
      </c>
      <c r="CT713">
        <f>IF(BI713="Roundwood",$CS713/2,$CS713)</f>
        <v>17.468999999999998</v>
      </c>
      <c r="CU713">
        <f>IF($CP713="refOK",$BU713,$BV713)*IF($BR713="Emissions positive",-1,1)</f>
        <v>-1709.66</v>
      </c>
      <c r="CV713">
        <f>IF($CP713="refOK",$BV713,$BU713)*IF($BR713="Emissions positive",-1,1)</f>
        <v>-1179.1399999999999</v>
      </c>
      <c r="CW713">
        <f>IF($CP713="refNeedCorrection",-BZ713,BZ713)*IF($BR713="Emissions positive",-1,1)</f>
        <v>0.53052000000000021</v>
      </c>
      <c r="CX713">
        <f>IFERROR($CW713/$CS713,"")</f>
        <v>3.0369225485145132E-2</v>
      </c>
      <c r="CY713">
        <f>IFERROR($CW713/$CS713,"")</f>
        <v>3.0369225485145132E-2</v>
      </c>
      <c r="CZ713">
        <f>IFERROR($CW713/$CT713,"")</f>
        <v>3.0369225485145132E-2</v>
      </c>
      <c r="DA713" s="2">
        <f>IFERROR((CV713-CU713)/ABS(CU713),"")</f>
        <v>0.31030731256507155</v>
      </c>
      <c r="DB713" s="1" t="s">
        <v>263</v>
      </c>
      <c r="DC713" t="str">
        <f>IF(OR($DB713="prd",$DB713="std",$DB713="cit"),"loc",IF(OR($DB713="eur",$DB713="reg",$DB713="coy"),"reg",$DB713))</f>
        <v>loc</v>
      </c>
      <c r="DD713" t="s">
        <v>600</v>
      </c>
      <c r="DG713">
        <v>0</v>
      </c>
      <c r="DH713" t="str">
        <f>IF(DG713=0,"0",IF(AND(DG713&gt;=1,DG713&lt;=30),"1-30",IF(AND(DG713&gt;30,DG713&lt;=70),"31-70",IF(AND(DG713&gt;70,DG713&lt;=100),"71-100",IF(DG713&gt;100,"+100")))))</f>
        <v>0</v>
      </c>
      <c r="DI713">
        <v>0</v>
      </c>
      <c r="DJ713">
        <v>0</v>
      </c>
      <c r="DK713">
        <v>0</v>
      </c>
      <c r="DL713">
        <v>1</v>
      </c>
      <c r="DM713">
        <v>0</v>
      </c>
      <c r="DN713">
        <f>SUM(DI713:DM713)</f>
        <v>1</v>
      </c>
      <c r="DO713" t="str">
        <f>IF(DN713=1,INDEX($DI$7:$DL$7,MATCH(1,$DI713:$DL713,0)),"mixedProduct")</f>
        <v>TimberInput</v>
      </c>
      <c r="DP713">
        <f>IF(DI713=1,DP$7,0)</f>
        <v>0</v>
      </c>
      <c r="DQ713">
        <f>IF(DJ713=1,DQ$7,0)</f>
        <v>0</v>
      </c>
      <c r="DR713">
        <f>IF(DK713=1,DR$7,0)</f>
        <v>0</v>
      </c>
      <c r="DS713" t="str">
        <f>IF(DL713=1,DS$7,0)</f>
        <v>Timber</v>
      </c>
      <c r="DT713">
        <v>0</v>
      </c>
      <c r="DU713">
        <v>0</v>
      </c>
      <c r="DV713">
        <v>0</v>
      </c>
      <c r="DW713">
        <v>0</v>
      </c>
      <c r="DX713">
        <v>0</v>
      </c>
      <c r="DY713">
        <f>SUM(DT713:DU713)</f>
        <v>0</v>
      </c>
      <c r="DZ713" t="str">
        <f>IF(DT713=1,"self-calculated DF",IF(DU713=1,"external DF used","explicit C balance"))</f>
        <v>explicit C balance</v>
      </c>
      <c r="EA713">
        <v>0</v>
      </c>
      <c r="EB713">
        <v>0</v>
      </c>
      <c r="EC713">
        <v>0</v>
      </c>
      <c r="ED713">
        <v>0</v>
      </c>
      <c r="EE713">
        <v>0</v>
      </c>
      <c r="EF713" s="143">
        <v>0</v>
      </c>
      <c r="EG713">
        <v>0</v>
      </c>
      <c r="EH713">
        <v>0</v>
      </c>
      <c r="EI713">
        <v>1</v>
      </c>
      <c r="EJ713">
        <v>0</v>
      </c>
      <c r="EK713">
        <v>0</v>
      </c>
      <c r="EL713">
        <v>0</v>
      </c>
      <c r="EM713">
        <v>0</v>
      </c>
      <c r="EN713" s="2">
        <v>0</v>
      </c>
      <c r="EP713" t="str">
        <f>IF(AND(AND(AND(OR($EC713=1,$EB713=1),OR($EH713=1,$EF713=1)),SUM($EA713:$EE713,$EK713)&gt;=3),SUM($EF713:$EJ713)&gt;=2),"Whole sector approach","")</f>
        <v/>
      </c>
      <c r="EQ713" t="str">
        <f>IF(AND(AND(OR($EC713=1,$EB713=1),AND($EH713=0,$EF713=0)),SUM($EA713:$EE713,$EK713)&gt;=4),"Ecosystem approach","")</f>
        <v/>
      </c>
      <c r="ER713" s="2" t="str">
        <f>IF(AND(AND(AND($EC713=0,$EB713=0),OR($EH713=1,$EF713=1)),SUM($EG713:$EJ713)&gt;=2),"Technology approach","")</f>
        <v/>
      </c>
      <c r="ES713" t="str">
        <f>IF(AND($EC713+$EB713+$EE713+$EA713+$ED713+$EG713=0,$N713="included"),"C neutral forest and HWP assumption","")</f>
        <v>C neutral forest and HWP assumption</v>
      </c>
      <c r="ET713" t="str">
        <f>IF(AND(AND(AND(AND($EC713=1,$EB713+$EA713+$EG713&gt;=1),$EF713=1),$EH713+$EI713+$ED713+$EE713&gt;=2),$N713="included"),"All C pools assumption","")</f>
        <v/>
      </c>
      <c r="EU713" t="str">
        <f>IF(AND($ED713+$EE713+$EI713+$EH713+$EF713=0,$N713="included"),"In-situ only assumption","")</f>
        <v/>
      </c>
      <c r="EY713" t="str">
        <f>IF(ISNUMBER(BW713),IF(ABS(BW713-[6]QC_indicators!$B$2)&gt;3*[6]QC_indicators!$C$2,"C ratio",IF(ISNUMBER(CA713),IF(ABS(CA713-[6]QC_indicators!$B$1)&gt;3*[6]QC_indicators!$C$1,"DF","no"))),IF(ISNUMBER(CA713),IF(ABS(CA713-[6]QC_indicators!$B$1)&gt;3*[6]QC_indicators!$C$1,"DF","no")))</f>
        <v>no</v>
      </c>
      <c r="FA713" t="str">
        <f>IF(LEN($CY713)=0,"",IF(AND($CY713&lt;(-0.05),$ES713="C neutral forest and HWP assumption"),"Cneutral paradox",IF(AND($CY713&gt;0.05,$EU713="In-situ only assumption"),"In-situ only paradox","")))</f>
        <v/>
      </c>
      <c r="FD713" s="260" t="s">
        <v>2948</v>
      </c>
    </row>
    <row r="714" spans="1:160" ht="15" hidden="1" customHeight="1">
      <c r="A714" s="1" t="s">
        <v>2144</v>
      </c>
      <c r="B714" t="s">
        <v>2145</v>
      </c>
      <c r="C714" t="s">
        <v>2146</v>
      </c>
      <c r="D714" t="s">
        <v>2147</v>
      </c>
      <c r="E714" t="s">
        <v>2148</v>
      </c>
      <c r="F714" t="s">
        <v>2149</v>
      </c>
      <c r="G714" t="s">
        <v>2150</v>
      </c>
      <c r="H714" t="s">
        <v>254</v>
      </c>
      <c r="I714">
        <v>2010</v>
      </c>
      <c r="J714">
        <v>21</v>
      </c>
      <c r="K714" t="s">
        <v>2151</v>
      </c>
      <c r="M714" t="str">
        <f>LEFT($D714,FIND(",",$D714)-1)&amp;"_"&amp;I714&amp;L714</f>
        <v>Tsunetsugu_2010</v>
      </c>
      <c r="N714" t="s">
        <v>222</v>
      </c>
      <c r="O714" s="145" t="s">
        <v>1029</v>
      </c>
      <c r="Q714" t="s">
        <v>256</v>
      </c>
      <c r="R714" s="258" t="s">
        <v>223</v>
      </c>
      <c r="S714" s="1" t="s">
        <v>2152</v>
      </c>
      <c r="T714" t="s">
        <v>1030</v>
      </c>
      <c r="U714" t="s">
        <v>2153</v>
      </c>
      <c r="V714" s="253">
        <v>0</v>
      </c>
      <c r="W714" s="253">
        <v>0</v>
      </c>
      <c r="X714">
        <v>0</v>
      </c>
      <c r="Y714">
        <v>0</v>
      </c>
      <c r="Z714">
        <v>0</v>
      </c>
      <c r="AA714">
        <v>0</v>
      </c>
      <c r="AB714">
        <v>0</v>
      </c>
      <c r="AC714">
        <v>0</v>
      </c>
      <c r="AD714">
        <v>0</v>
      </c>
      <c r="AE714">
        <v>0</v>
      </c>
      <c r="AF714">
        <v>0</v>
      </c>
      <c r="AG714">
        <v>0</v>
      </c>
      <c r="AH714">
        <v>0</v>
      </c>
      <c r="AI714">
        <v>0</v>
      </c>
      <c r="AJ714">
        <v>0</v>
      </c>
      <c r="AK714">
        <v>0</v>
      </c>
      <c r="AL714">
        <v>0</v>
      </c>
      <c r="AM714">
        <v>1</v>
      </c>
      <c r="AN714">
        <v>0</v>
      </c>
      <c r="AO714">
        <v>0</v>
      </c>
      <c r="AP714">
        <v>0</v>
      </c>
      <c r="AQ714">
        <v>0</v>
      </c>
      <c r="AR714">
        <v>0</v>
      </c>
      <c r="AS714">
        <v>0</v>
      </c>
      <c r="AT714">
        <v>0</v>
      </c>
      <c r="AU714">
        <v>0</v>
      </c>
      <c r="AV714">
        <v>0</v>
      </c>
      <c r="AW714">
        <v>0</v>
      </c>
      <c r="AX714">
        <v>0</v>
      </c>
      <c r="AY714">
        <v>0</v>
      </c>
      <c r="AZ714" s="141">
        <f>COUNTIF(X714:AY714,"&lt;&gt;0")</f>
        <v>1</v>
      </c>
      <c r="BA714" s="141">
        <f>COUNTIF(X714:AN714,"&lt;&gt;0")</f>
        <v>1</v>
      </c>
      <c r="BB714">
        <f>COUNTIF(X714:AE714,"&lt;&gt;0")</f>
        <v>0</v>
      </c>
      <c r="BC714">
        <f>COUNTIF(AF714:AK714,"&lt;&gt;0")</f>
        <v>0</v>
      </c>
      <c r="BD714">
        <f>COUNTIF(AL714:AN714,"&lt;&gt;0")</f>
        <v>1</v>
      </c>
      <c r="BE714">
        <f>COUNTIF(AU714:AY714,"&lt;&gt;0")</f>
        <v>0</v>
      </c>
      <c r="BF714">
        <f>COUNTIF(AO714:AT714,"&lt;&gt;0")</f>
        <v>0</v>
      </c>
      <c r="BG714" t="str">
        <f t="array" ref="BG714">IF(BA714=1,INDEX($X$7:$AN$7,MATCH(TRUE,INDEX($X714:$AY714&lt;&gt;0,),0)),IF(BA714=0,INDEX($AO$7:$AY$7,MATCH(1,$AO714:$AY714,0)),IF(BH714="Multiple strategies","mixed drivers",IF(BH714="Supply chain","multiple supply","multiple silviculture"))))</f>
        <v>technologies/design switch</v>
      </c>
      <c r="BH714" s="2" t="str" cm="1">
        <f t="array" ref="BH714">IF(COUNTIF(BB714:BD714,"&lt;&gt;0")=1,INDEX($X$4:$AY$4,MATCH(TRUE,INDEX($X714:$AY714&lt;&gt;0,),0)),IF(COUNTIF(BB714:BD714,"&lt;&gt;0")=0,INDEX($AO$4:$AY$4,MATCH(1,$AO714:$AY714,0)),"Multiple strategies"))</f>
        <v>Technology</v>
      </c>
      <c r="BI714" s="1" t="s">
        <v>321</v>
      </c>
      <c r="BJ714" t="s">
        <v>2154</v>
      </c>
      <c r="BK714" s="260" t="s">
        <v>2923</v>
      </c>
      <c r="BL714" t="s">
        <v>2155</v>
      </c>
      <c r="BM714">
        <v>25</v>
      </c>
      <c r="BN714">
        <v>42</v>
      </c>
      <c r="BO714" s="143">
        <f>BN714/BM714</f>
        <v>1.68</v>
      </c>
      <c r="BP714">
        <f>BN714-BM714</f>
        <v>17</v>
      </c>
      <c r="BQ714">
        <f>+BP714*10^6</f>
        <v>17000000</v>
      </c>
      <c r="BR714" t="s">
        <v>232</v>
      </c>
      <c r="BS714" s="153" t="s">
        <v>2924</v>
      </c>
      <c r="BT714" t="s">
        <v>2156</v>
      </c>
      <c r="BU714">
        <v>1.2916666666666601</v>
      </c>
      <c r="BV714">
        <v>4.9488372093022104</v>
      </c>
      <c r="BW714" s="144">
        <f>IFERROR(BV714/BU714,"")</f>
        <v>3.8313578394597951</v>
      </c>
      <c r="BX714" s="144">
        <f>BV714-BU714</f>
        <v>3.6571705426355505</v>
      </c>
      <c r="BY714" s="144"/>
      <c r="BZ714">
        <f>BX714*10^6*C_to_CO2</f>
        <v>13421815.89147247</v>
      </c>
      <c r="CA714">
        <f>IFERROR(BZ714/BQ714,"")</f>
        <v>0.78951858185132173</v>
      </c>
      <c r="CB714">
        <v>0</v>
      </c>
      <c r="CC714">
        <v>0</v>
      </c>
      <c r="CD714">
        <v>0</v>
      </c>
      <c r="CE714">
        <v>0</v>
      </c>
      <c r="CF714">
        <v>0</v>
      </c>
      <c r="CG714">
        <v>0</v>
      </c>
      <c r="CH714">
        <v>0</v>
      </c>
      <c r="CI714">
        <v>0</v>
      </c>
      <c r="CJ714">
        <v>0</v>
      </c>
      <c r="CK714">
        <v>0</v>
      </c>
      <c r="CL714">
        <v>0</v>
      </c>
      <c r="CM714">
        <v>0</v>
      </c>
      <c r="CN714">
        <v>0</v>
      </c>
      <c r="CO714">
        <v>0</v>
      </c>
      <c r="CP714" t="str">
        <f>IF($BN714&lt;$BM714,"refNeedCorrection","refOK")</f>
        <v>refOK</v>
      </c>
      <c r="CQ714">
        <f>IF($CP714="refOK",$BM714,$BN714)</f>
        <v>25</v>
      </c>
      <c r="CR714">
        <f>IF($CP714="refOK",$BN714,$BM714)</f>
        <v>42</v>
      </c>
      <c r="CS714">
        <f>IF($CP714="refOK",$BQ714,-$BQ714)</f>
        <v>17000000</v>
      </c>
      <c r="CT714">
        <f>IF(BI714="Roundwood",$CS714/2,$CS714)</f>
        <v>8500000</v>
      </c>
      <c r="CU714">
        <f>IF($CP714="refOK",$BU714,$BV714)*IF($BR714="Emissions positive",-1,1)</f>
        <v>1.2916666666666601</v>
      </c>
      <c r="CV714">
        <f>IF($CP714="refOK",$BV714,$BU714)*IF($BR714="Emissions positive",-1,1)</f>
        <v>4.9488372093022104</v>
      </c>
      <c r="CW714">
        <f>IF($CP714="refNeedCorrection",-BZ714,BZ714)*IF($BR714="Emissions positive",-1,1)</f>
        <v>13421815.89147247</v>
      </c>
      <c r="CX714">
        <f>IFERROR($CW714/$CS714,"")</f>
        <v>0.78951858185132173</v>
      </c>
      <c r="CY714">
        <f>IFERROR($CW714/$CS714,"")</f>
        <v>0.78951858185132173</v>
      </c>
      <c r="CZ714">
        <f>IFERROR($CW714/$CT714,"")</f>
        <v>1.5790371637026435</v>
      </c>
      <c r="DA714" s="2">
        <f>IFERROR((CV714-CU714)/ABS(CU714),"")</f>
        <v>2.8313578394597956</v>
      </c>
      <c r="DB714" s="1" t="s">
        <v>1078</v>
      </c>
      <c r="DC714" t="str">
        <f>IF(OR($DB714="prd",$DB714="std",$DB714="cit"),"loc",IF(OR($DB714="eur",$DB714="reg",$DB714="coy"),"reg",$DB714))</f>
        <v>reg</v>
      </c>
      <c r="DD714" t="s">
        <v>925</v>
      </c>
      <c r="DE714">
        <v>2007</v>
      </c>
      <c r="DF714">
        <v>2050</v>
      </c>
      <c r="DG714">
        <f>DF714-DE714</f>
        <v>43</v>
      </c>
      <c r="DH714" t="str">
        <f>IF(DG714=0,"0",IF(AND(DG714&gt;=1,DG714&lt;=30),"1-30",IF(AND(DG714&gt;30,DG714&lt;=70),"31-70",IF(AND(DG714&gt;70,DG714&lt;=100),"71-100",IF(DG714&gt;100,"+100")))))</f>
        <v>31-70</v>
      </c>
      <c r="DI714">
        <v>0</v>
      </c>
      <c r="DJ714">
        <v>0</v>
      </c>
      <c r="DK714">
        <v>1</v>
      </c>
      <c r="DL714">
        <v>1</v>
      </c>
      <c r="DN714">
        <f>SUM(DI714:DL714)</f>
        <v>2</v>
      </c>
      <c r="DO714" t="str">
        <f>IF(DN714=1,INDEX($DI$7:$DL$7,MATCH(1,$DI714:$DL714,0)),"mixedProduct")</f>
        <v>mixedProduct</v>
      </c>
      <c r="DP714">
        <f>IF(DI714=1,DP$7,0)</f>
        <v>0</v>
      </c>
      <c r="DQ714">
        <f>IF(DJ714=1,DQ$7,0)</f>
        <v>0</v>
      </c>
      <c r="DR714" t="str">
        <f>IF(DK714=1,DR$7,0)</f>
        <v>Pulp/Paper</v>
      </c>
      <c r="DS714" t="str">
        <f>IF(DL714=1,DS$7,0)</f>
        <v>Timber</v>
      </c>
      <c r="DT714">
        <v>1</v>
      </c>
      <c r="DU714">
        <v>0</v>
      </c>
      <c r="DV714">
        <v>0</v>
      </c>
      <c r="DW714">
        <v>0</v>
      </c>
      <c r="DX714">
        <v>0</v>
      </c>
      <c r="DY714">
        <f>SUM(DT714:DU714)</f>
        <v>1</v>
      </c>
      <c r="DZ714" s="143" t="str">
        <f>IF(DT714=1,"self-calculated DF",IF(DU714=1,"external DF used","explicit C balance"))</f>
        <v>self-calculated DF</v>
      </c>
      <c r="EA714">
        <v>0</v>
      </c>
      <c r="EB714">
        <v>0</v>
      </c>
      <c r="EC714">
        <v>0</v>
      </c>
      <c r="ED714">
        <v>1</v>
      </c>
      <c r="EE714">
        <v>0</v>
      </c>
      <c r="EF714" s="143">
        <v>1</v>
      </c>
      <c r="EG714">
        <v>1</v>
      </c>
      <c r="EH714">
        <v>1</v>
      </c>
      <c r="EI714">
        <v>0</v>
      </c>
      <c r="EJ714">
        <v>0</v>
      </c>
      <c r="EK714">
        <v>0</v>
      </c>
      <c r="EL714">
        <v>0</v>
      </c>
      <c r="EM714">
        <v>0</v>
      </c>
      <c r="EN714" s="2">
        <v>0</v>
      </c>
      <c r="EP714" t="str">
        <f>IF(AND(AND(AND(OR($EC714=1,$EB714=1),OR($EH714=1,$EF714=1)),SUM($EA714:$EE714,$EK714)&gt;=3),SUM($EF714:$EJ714)&gt;=2),"Whole sector approach","")</f>
        <v/>
      </c>
      <c r="EQ714" t="str">
        <f>IF(AND(AND(OR($EC714=1,$EB714=1),AND($EH714=0,$EF714=0)),SUM($EA714:$EE714,$EK714)&gt;=4),"Ecosystem approach","")</f>
        <v/>
      </c>
      <c r="ER714" s="2" t="str">
        <f>IF(AND(AND(AND($EC714=0,$EB714=0),OR($EH714=1,$EF714=1)),SUM($EG714:$EJ714)&gt;=2),"Technology approach","")</f>
        <v>Technology approach</v>
      </c>
      <c r="ES714" t="str">
        <f>IF(AND($EC714+$EB714+$EE714+$EA714+$ED714+$EG714=0,$N714="included"),"C neutral forest and HWP assumption","")</f>
        <v/>
      </c>
      <c r="ET714" t="str">
        <f>IF(AND(AND(AND(AND($EC714=1,$EB714+$EA714+$EG714&gt;=1),$EF714=1),$EH714+$EI714+$ED714+$EE714&gt;=2),$N714="included"),"All C pools assumption","")</f>
        <v/>
      </c>
      <c r="EU714" t="str">
        <f>IF(AND($ED714+$EE714+$EI714+$EH714+$EF714=0,$N714="included"),"In-situ only assumption","")</f>
        <v/>
      </c>
      <c r="EY714" t="str">
        <f>IF(ISNUMBER(BW714),IF(ABS(BW714-[2]QC_indicators!$B$2)&gt;3*[2]QC_indicators!$C$2,"C ratio",IF(ISNUMBER(CA714),IF(ABS(CA714-[2]QC_indicators!$B$1)&gt;3*[2]QC_indicators!$C$1,"DF","no"))),IF(ISNUMBER(CA714),IF(ABS(CA714-[2]QC_indicators!$B$1)&gt;3*[2]QC_indicators!$C$1,"DF","no")))</f>
        <v>no</v>
      </c>
      <c r="FA714" t="str">
        <f>IF(LEN($CY714)=0,"",IF(AND($CY714&lt;(-0.05),$ES714="C neutral forest and HWP assumption"),"Cneutral paradox",IF(AND($CY714&gt;0.05,$EU714="In-situ only assumption"),"In-situ only paradox","")))</f>
        <v/>
      </c>
      <c r="FD714" s="260" t="s">
        <v>2925</v>
      </c>
    </row>
    <row r="715" spans="1:160" ht="15" hidden="1" customHeight="1">
      <c r="A715" s="1" t="s">
        <v>1043</v>
      </c>
      <c r="B715" t="s">
        <v>1044</v>
      </c>
      <c r="C715" t="s">
        <v>1045</v>
      </c>
      <c r="D715" t="s">
        <v>1046</v>
      </c>
      <c r="E715" t="s">
        <v>1047</v>
      </c>
      <c r="F715" t="s">
        <v>1048</v>
      </c>
      <c r="G715" t="s">
        <v>1049</v>
      </c>
      <c r="H715" t="s">
        <v>254</v>
      </c>
      <c r="I715">
        <v>2010</v>
      </c>
      <c r="J715">
        <v>51</v>
      </c>
      <c r="K715" t="s">
        <v>1050</v>
      </c>
      <c r="M715" t="str">
        <f>LEFT($D715,FIND(",",$D715)-1)&amp;"_"&amp;I715&amp;L715</f>
        <v>Vukotic_2010</v>
      </c>
      <c r="N715" t="s">
        <v>222</v>
      </c>
      <c r="O715" s="145" t="s">
        <v>1029</v>
      </c>
      <c r="Q715" t="s">
        <v>256</v>
      </c>
      <c r="R715" s="264" t="s">
        <v>274</v>
      </c>
      <c r="S715" s="1" t="s">
        <v>1051</v>
      </c>
      <c r="T715" t="s">
        <v>1052</v>
      </c>
      <c r="U715" t="s">
        <v>1057</v>
      </c>
      <c r="V715" s="253">
        <v>0</v>
      </c>
      <c r="W715" s="253">
        <v>0</v>
      </c>
      <c r="X715">
        <v>0</v>
      </c>
      <c r="Y715">
        <v>0</v>
      </c>
      <c r="Z715">
        <v>0</v>
      </c>
      <c r="AA715">
        <v>0</v>
      </c>
      <c r="AB715">
        <v>0</v>
      </c>
      <c r="AC715">
        <v>0</v>
      </c>
      <c r="AD715">
        <v>0</v>
      </c>
      <c r="AE715">
        <v>0</v>
      </c>
      <c r="AF715">
        <v>0</v>
      </c>
      <c r="AG715">
        <v>0</v>
      </c>
      <c r="AH715">
        <v>0</v>
      </c>
      <c r="AI715">
        <v>0</v>
      </c>
      <c r="AJ715">
        <v>0</v>
      </c>
      <c r="AK715">
        <v>0</v>
      </c>
      <c r="AL715">
        <v>0</v>
      </c>
      <c r="AM715">
        <v>1</v>
      </c>
      <c r="AN715">
        <v>0</v>
      </c>
      <c r="AO715">
        <v>0</v>
      </c>
      <c r="AP715">
        <v>0</v>
      </c>
      <c r="AQ715">
        <v>0</v>
      </c>
      <c r="AR715">
        <v>0</v>
      </c>
      <c r="AS715">
        <v>0</v>
      </c>
      <c r="AT715">
        <v>0</v>
      </c>
      <c r="AU715">
        <v>0</v>
      </c>
      <c r="AV715">
        <v>0</v>
      </c>
      <c r="AW715">
        <v>0</v>
      </c>
      <c r="AX715">
        <v>0</v>
      </c>
      <c r="AY715">
        <v>0</v>
      </c>
      <c r="AZ715" s="141">
        <f>COUNTIF(X715:AY715,"&lt;&gt;0")</f>
        <v>1</v>
      </c>
      <c r="BA715" s="141">
        <f>COUNTIF(X715:AN715,"&lt;&gt;0")</f>
        <v>1</v>
      </c>
      <c r="BB715">
        <f>COUNTIF(X715:AE715,"&lt;&gt;0")</f>
        <v>0</v>
      </c>
      <c r="BC715">
        <f>COUNTIF(AF715:AK715,"&lt;&gt;0")</f>
        <v>0</v>
      </c>
      <c r="BD715">
        <f>COUNTIF(AL715:AN715,"&lt;&gt;0")</f>
        <v>1</v>
      </c>
      <c r="BE715">
        <f>COUNTIF(AU715:AY715,"&lt;&gt;0")</f>
        <v>0</v>
      </c>
      <c r="BF715">
        <f>COUNTIF(AO715:AT715,"&lt;&gt;0")</f>
        <v>0</v>
      </c>
      <c r="BG715" t="str">
        <f t="array" ref="BG715">IF(BA715=1,INDEX($X$7:$AN$7,MATCH(TRUE,INDEX($X715:$AY715&lt;&gt;0,),0)),IF(BA715=0,INDEX($AO$7:$AY$7,MATCH(1,$AO715:$AY715,0)),IF(BH715="Multiple strategies","mixed drivers",IF(BH715="Supply chain","multiple supply","multiple silviculture"))))</f>
        <v>technologies/design switch</v>
      </c>
      <c r="BH715" s="2" t="str" cm="1">
        <f t="array" ref="BH715">IF(COUNTIF(BB715:BD715,"&lt;&gt;0")=1,INDEX($X$4:$AY$4,MATCH(TRUE,INDEX($X715:$AY715&lt;&gt;0,),0)),IF(COUNTIF(BB715:BD715,"&lt;&gt;0")=0,INDEX($AO$4:$AY$4,MATCH(1,$AO715:$AY715,0)),"Multiple strategies"))</f>
        <v>Technology</v>
      </c>
      <c r="BI715" s="1" t="s">
        <v>229</v>
      </c>
      <c r="BJ715" t="s">
        <v>1054</v>
      </c>
      <c r="BL715" t="s">
        <v>1055</v>
      </c>
      <c r="BM715">
        <v>0</v>
      </c>
      <c r="BN715">
        <v>0.27407407407407408</v>
      </c>
      <c r="BO715" s="143" t="e">
        <f>BN715/BM715</f>
        <v>#DIV/0!</v>
      </c>
      <c r="BP715">
        <f>BN715-BM715</f>
        <v>0.27407407407407408</v>
      </c>
      <c r="BQ715">
        <f>BP715*t_to_m3</f>
        <v>0.55933484504913078</v>
      </c>
      <c r="BR715" t="s">
        <v>232</v>
      </c>
      <c r="BT715" t="s">
        <v>1056</v>
      </c>
      <c r="BU715">
        <v>53.97</v>
      </c>
      <c r="BV715">
        <v>93.36</v>
      </c>
      <c r="BW715" s="144">
        <f>IFERROR(BV715/BU715,"")</f>
        <v>1.7298499166203447</v>
      </c>
      <c r="BX715" s="144">
        <f>BV715-BU715</f>
        <v>39.39</v>
      </c>
      <c r="BY715" s="144"/>
      <c r="BZ715" s="144">
        <f>BX715*0.001</f>
        <v>3.9390000000000001E-2</v>
      </c>
      <c r="CA715">
        <f>IFERROR(BZ715/BQ715,"")</f>
        <v>7.0422932432432431E-2</v>
      </c>
      <c r="CB715">
        <v>0</v>
      </c>
      <c r="CC715">
        <v>0</v>
      </c>
      <c r="CD715">
        <v>0</v>
      </c>
      <c r="CE715">
        <v>0</v>
      </c>
      <c r="CF715">
        <v>0</v>
      </c>
      <c r="CG715">
        <v>0</v>
      </c>
      <c r="CH715">
        <v>0</v>
      </c>
      <c r="CI715">
        <v>0</v>
      </c>
      <c r="CJ715">
        <v>0</v>
      </c>
      <c r="CK715">
        <v>0</v>
      </c>
      <c r="CL715">
        <v>0</v>
      </c>
      <c r="CM715">
        <v>0</v>
      </c>
      <c r="CN715">
        <v>0</v>
      </c>
      <c r="CO715">
        <v>0</v>
      </c>
      <c r="CP715" t="str">
        <f>IF($BN715&lt;$BM715,"refNeedCorrection","refOK")</f>
        <v>refOK</v>
      </c>
      <c r="CQ715">
        <f>IF($CP715="refOK",$BM715,$BN715)</f>
        <v>0</v>
      </c>
      <c r="CR715">
        <f>IF($CP715="refOK",$BN715,$BM715)</f>
        <v>0.27407407407407408</v>
      </c>
      <c r="CS715">
        <f>IF($CP715="refOK",$BQ715,-$BQ715)</f>
        <v>0.55933484504913078</v>
      </c>
      <c r="CT715">
        <f>IF(BI715="Roundwood",$CS715/2,$CS715)</f>
        <v>0.55933484504913078</v>
      </c>
      <c r="CU715">
        <f>IF($CP715="refOK",$BU715,$BV715)*IF($BR715="Emissions positive",-1,1)</f>
        <v>53.97</v>
      </c>
      <c r="CV715">
        <f>IF($CP715="refOK",$BV715,$BU715)*IF($BR715="Emissions positive",-1,1)</f>
        <v>93.36</v>
      </c>
      <c r="CW715">
        <f>IF($CP715="refNeedCorrection",-BZ715,BZ715)*IF($BR715="Emissions positive",-1,1)</f>
        <v>3.9390000000000001E-2</v>
      </c>
      <c r="CX715">
        <f>IFERROR($CW715/$CS715,"")</f>
        <v>7.0422932432432431E-2</v>
      </c>
      <c r="CY715">
        <f>IFERROR($CW715/$CS715,"")</f>
        <v>7.0422932432432431E-2</v>
      </c>
      <c r="CZ715">
        <f>IFERROR($CW715/$CT715,"")</f>
        <v>7.0422932432432431E-2</v>
      </c>
      <c r="DA715" s="2">
        <f>IFERROR((CV715-CU715)/ABS(CU715),"")</f>
        <v>0.72984991662034471</v>
      </c>
      <c r="DB715" s="1" t="s">
        <v>263</v>
      </c>
      <c r="DC715" t="str">
        <f>IF(OR($DB715="prd",$DB715="std",$DB715="cit"),"loc",IF(OR($DB715="eur",$DB715="reg",$DB715="coy"),"reg",$DB715))</f>
        <v>loc</v>
      </c>
      <c r="DD715" s="296" t="s">
        <v>3098</v>
      </c>
      <c r="DG715">
        <v>60</v>
      </c>
      <c r="DH715" t="str">
        <f>IF(DG715=0,"0",IF(AND(DG715&gt;=1,DG715&lt;=30),"1-30",IF(AND(DG715&gt;30,DG715&lt;=70),"31-70",IF(AND(DG715&gt;70,DG715&lt;=100),"71-100",IF(DG715&gt;100,"+100")))))</f>
        <v>31-70</v>
      </c>
      <c r="DI715">
        <v>0</v>
      </c>
      <c r="DJ715">
        <v>0</v>
      </c>
      <c r="DK715">
        <v>0</v>
      </c>
      <c r="DL715">
        <v>1</v>
      </c>
      <c r="DN715">
        <f>SUM(DI715:DL715)</f>
        <v>1</v>
      </c>
      <c r="DO715" t="str">
        <f>IF(DN715=1,INDEX($DI$7:$DL$7,MATCH(1,$DI715:$DL715,0)),"mixedProduct")</f>
        <v>TimberInput</v>
      </c>
      <c r="DP715">
        <f>IF(DI715=1,DP$7,0)</f>
        <v>0</v>
      </c>
      <c r="DQ715">
        <f>IF(DJ715=1,DQ$7,0)</f>
        <v>0</v>
      </c>
      <c r="DR715">
        <f>IF(DK715=1,DR$7,0)</f>
        <v>0</v>
      </c>
      <c r="DS715" t="str">
        <f>IF(DL715=1,DS$7,0)</f>
        <v>Timber</v>
      </c>
      <c r="DT715">
        <v>1</v>
      </c>
      <c r="DU715">
        <v>0</v>
      </c>
      <c r="DV715">
        <v>0</v>
      </c>
      <c r="DW715">
        <v>0</v>
      </c>
      <c r="DX715">
        <v>0</v>
      </c>
      <c r="DY715">
        <f>SUM(DT715:DU715)</f>
        <v>1</v>
      </c>
      <c r="DZ715" s="143" t="str">
        <f>IF(DT715=1,"self-calculated DF",IF(DU715=1,"external DF used","explicit C balance"))</f>
        <v>self-calculated DF</v>
      </c>
      <c r="EA715">
        <v>0</v>
      </c>
      <c r="EB715">
        <v>0</v>
      </c>
      <c r="EC715">
        <v>0</v>
      </c>
      <c r="ED715">
        <v>0</v>
      </c>
      <c r="EE715">
        <v>0</v>
      </c>
      <c r="EF715" s="143">
        <v>1</v>
      </c>
      <c r="EG715">
        <v>0</v>
      </c>
      <c r="EH715">
        <v>0</v>
      </c>
      <c r="EI715">
        <v>0</v>
      </c>
      <c r="EJ715">
        <v>1</v>
      </c>
      <c r="EK715">
        <v>0</v>
      </c>
      <c r="EL715">
        <v>0</v>
      </c>
      <c r="EM715">
        <v>0</v>
      </c>
      <c r="EN715" s="2">
        <v>0</v>
      </c>
      <c r="EP715" t="str">
        <f>IF(AND(AND(AND(OR($EC715=1,$EB715=1),OR($EH715=1,$EF715=1)),SUM($EA715:$EE715,$EK715)&gt;=3),SUM($EF715:$EJ715)&gt;=2),"Whole sector approach","")</f>
        <v/>
      </c>
      <c r="EQ715" t="str">
        <f>IF(AND(AND(OR($EC715=1,$EB715=1),AND($EH715=0,$EF715=0)),SUM($EA715:$EE715,$EK715)&gt;=4),"Ecosystem approach","")</f>
        <v/>
      </c>
      <c r="ER715" s="2" t="str">
        <f>IF(AND(AND(AND($EC715=0,$EB715=0),OR($EH715=1,$EF715=1)),SUM($EG715:$EJ715)&gt;=2),"Technology approach","")</f>
        <v/>
      </c>
      <c r="ES715" t="str">
        <f>IF(AND($EC715+$EB715+$EE715+$EA715+$ED715+$EG715=0,$N715="included"),"C neutral forest and HWP assumption","")</f>
        <v>C neutral forest and HWP assumption</v>
      </c>
      <c r="ET715" t="str">
        <f>IF(AND(AND(AND(AND($EC715=1,$EB715+$EA715+$EG715&gt;=1),$EF715=1),$EH715+$EI715+$ED715+$EE715&gt;=2),$N715="included"),"All C pools assumption","")</f>
        <v/>
      </c>
      <c r="EU715" t="str">
        <f>IF(AND($ED715+$EE715+$EI715+$EH715+$EF715=0,$N715="included"),"In-situ only assumption","")</f>
        <v/>
      </c>
      <c r="EY715" t="str">
        <f>IF(ISNUMBER(BW715),IF(ABS(BW715-[3]QC_indicators!$B$2)&gt;3*[3]QC_indicators!$C$2,"C ratio",IF(ISNUMBER(CA715),IF(ABS(CA715-[3]QC_indicators!$B$1)&gt;3*[3]QC_indicators!$C$1,"DF","no"))),IF(ISNUMBER(CA715),IF(ABS(CA715-[3]QC_indicators!$B$1)&gt;3*[3]QC_indicators!$C$1,"DF","no")))</f>
        <v>no</v>
      </c>
      <c r="FA715" t="str">
        <f>IF(LEN($CY715)=0,"",IF(AND($CY715&lt;(-0.05),$ES715="C neutral forest and HWP assumption"),"Cneutral paradox",IF(AND($CY715&gt;0.05,$EU715="In-situ only assumption"),"In-situ only paradox","")))</f>
        <v/>
      </c>
      <c r="FD715" s="260" t="s">
        <v>2938</v>
      </c>
    </row>
    <row r="716" spans="1:160" ht="15" hidden="1" customHeight="1">
      <c r="A716" s="1" t="s">
        <v>1043</v>
      </c>
      <c r="B716" t="s">
        <v>1044</v>
      </c>
      <c r="C716" t="s">
        <v>1045</v>
      </c>
      <c r="D716" t="s">
        <v>1046</v>
      </c>
      <c r="E716" t="s">
        <v>1047</v>
      </c>
      <c r="F716" t="s">
        <v>1048</v>
      </c>
      <c r="G716" t="s">
        <v>1049</v>
      </c>
      <c r="H716" t="s">
        <v>254</v>
      </c>
      <c r="I716">
        <v>2010</v>
      </c>
      <c r="J716">
        <v>51</v>
      </c>
      <c r="K716" t="s">
        <v>1050</v>
      </c>
      <c r="M716" t="str">
        <f>LEFT($D716,FIND(",",$D716)-1)&amp;"_"&amp;I716&amp;L716</f>
        <v>Vukotic_2010</v>
      </c>
      <c r="N716" t="s">
        <v>222</v>
      </c>
      <c r="O716" s="145" t="s">
        <v>1029</v>
      </c>
      <c r="Q716" t="s">
        <v>256</v>
      </c>
      <c r="R716" s="264" t="s">
        <v>274</v>
      </c>
      <c r="S716" s="1" t="s">
        <v>1051</v>
      </c>
      <c r="T716" t="s">
        <v>1052</v>
      </c>
      <c r="U716" t="s">
        <v>1053</v>
      </c>
      <c r="V716" s="253">
        <v>0</v>
      </c>
      <c r="W716" s="253">
        <v>0</v>
      </c>
      <c r="X716">
        <v>0</v>
      </c>
      <c r="Y716">
        <v>0</v>
      </c>
      <c r="Z716">
        <v>0</v>
      </c>
      <c r="AA716">
        <v>0</v>
      </c>
      <c r="AB716">
        <v>0</v>
      </c>
      <c r="AC716">
        <v>0</v>
      </c>
      <c r="AD716">
        <v>0</v>
      </c>
      <c r="AE716">
        <v>0</v>
      </c>
      <c r="AF716">
        <v>0</v>
      </c>
      <c r="AG716">
        <v>2</v>
      </c>
      <c r="AH716">
        <v>0</v>
      </c>
      <c r="AI716">
        <v>0</v>
      </c>
      <c r="AJ716">
        <v>0</v>
      </c>
      <c r="AK716">
        <v>0</v>
      </c>
      <c r="AL716">
        <v>0</v>
      </c>
      <c r="AM716">
        <v>1</v>
      </c>
      <c r="AN716">
        <v>0</v>
      </c>
      <c r="AO716">
        <v>0</v>
      </c>
      <c r="AP716">
        <v>0</v>
      </c>
      <c r="AQ716">
        <v>0</v>
      </c>
      <c r="AR716">
        <v>0</v>
      </c>
      <c r="AS716">
        <v>0</v>
      </c>
      <c r="AT716">
        <v>0</v>
      </c>
      <c r="AU716">
        <v>0</v>
      </c>
      <c r="AV716">
        <v>0</v>
      </c>
      <c r="AW716">
        <v>0</v>
      </c>
      <c r="AX716">
        <v>0</v>
      </c>
      <c r="AY716">
        <v>0</v>
      </c>
      <c r="AZ716" s="141">
        <f>COUNTIF(X716:AY716,"&lt;&gt;0")</f>
        <v>2</v>
      </c>
      <c r="BA716" s="141">
        <f>COUNTIF(X716:AN716,"&lt;&gt;0")</f>
        <v>2</v>
      </c>
      <c r="BB716">
        <f>COUNTIF(X716:AE716,"&lt;&gt;0")</f>
        <v>0</v>
      </c>
      <c r="BC716">
        <f>COUNTIF(AF716:AK716,"&lt;&gt;0")</f>
        <v>1</v>
      </c>
      <c r="BD716">
        <f>COUNTIF(AL716:AN716,"&lt;&gt;0")</f>
        <v>1</v>
      </c>
      <c r="BE716">
        <f>COUNTIF(AU716:AY716,"&lt;&gt;0")</f>
        <v>0</v>
      </c>
      <c r="BF716">
        <f>COUNTIF(AO716:AT716,"&lt;&gt;0")</f>
        <v>0</v>
      </c>
      <c r="BG716" t="str">
        <f t="array" ref="BG716">IF(BA716=1,INDEX($X$7:$AN$7,MATCH(TRUE,INDEX($X716:$AY716&lt;&gt;0,),0)),IF(BA716=0,INDEX($AO$7:$AY$7,MATCH(1,$AO716:$AY716,0)),IF(BH716="Multiple strategies","mixed drivers",IF(BH716="Supply chain","multiple supply","multiple silviculture"))))</f>
        <v>mixed drivers</v>
      </c>
      <c r="BH716" s="2" t="str" cm="1">
        <f t="array" ref="BH716">IF(COUNTIF(BB716:BD716,"&lt;&gt;0")=1,INDEX($X$4:$AY$4,MATCH(TRUE,INDEX($X716:$AY716&lt;&gt;0,),0)),IF(COUNTIF(BB716:BD716,"&lt;&gt;0")=0,INDEX($AO$4:$AY$4,MATCH(1,$AO716:$AY716,0)),"Multiple strategies"))</f>
        <v>Multiple strategies</v>
      </c>
      <c r="BI716" s="1" t="s">
        <v>229</v>
      </c>
      <c r="BJ716" t="s">
        <v>1054</v>
      </c>
      <c r="BL716" t="s">
        <v>1055</v>
      </c>
      <c r="BM716">
        <v>0</v>
      </c>
      <c r="BN716">
        <v>0.27407407407407408</v>
      </c>
      <c r="BO716" s="143" t="e">
        <f>BN716/BM716</f>
        <v>#DIV/0!</v>
      </c>
      <c r="BP716">
        <f>BN716-BM716</f>
        <v>0.27407407407407408</v>
      </c>
      <c r="BQ716">
        <f>BP716*t_to_m3</f>
        <v>0.55933484504913078</v>
      </c>
      <c r="BR716" t="s">
        <v>232</v>
      </c>
      <c r="BT716" t="s">
        <v>1056</v>
      </c>
      <c r="BU716">
        <v>53.97</v>
      </c>
      <c r="BV716">
        <v>93.36</v>
      </c>
      <c r="BW716" s="144">
        <f>IFERROR(BV716/BU716,"")</f>
        <v>1.7298499166203447</v>
      </c>
      <c r="BX716" s="144">
        <f>BV716-BU716</f>
        <v>39.39</v>
      </c>
      <c r="BY716" s="144"/>
      <c r="BZ716" s="144">
        <f>BX716*0.001</f>
        <v>3.9390000000000001E-2</v>
      </c>
      <c r="CA716">
        <f>IFERROR(BZ716/BQ716,"")</f>
        <v>7.0422932432432431E-2</v>
      </c>
      <c r="CB716">
        <v>0</v>
      </c>
      <c r="CC716">
        <v>0</v>
      </c>
      <c r="CD716">
        <v>0</v>
      </c>
      <c r="CE716">
        <v>0</v>
      </c>
      <c r="CF716">
        <v>0</v>
      </c>
      <c r="CG716">
        <v>0</v>
      </c>
      <c r="CH716">
        <v>0</v>
      </c>
      <c r="CI716">
        <v>0</v>
      </c>
      <c r="CJ716">
        <v>0</v>
      </c>
      <c r="CK716">
        <v>0</v>
      </c>
      <c r="CL716">
        <v>0</v>
      </c>
      <c r="CM716">
        <v>0</v>
      </c>
      <c r="CN716">
        <v>0</v>
      </c>
      <c r="CO716">
        <v>0</v>
      </c>
      <c r="CP716" t="str">
        <f>IF($BN716&lt;$BM716,"refNeedCorrection","refOK")</f>
        <v>refOK</v>
      </c>
      <c r="CQ716">
        <f>IF($CP716="refOK",$BM716,$BN716)</f>
        <v>0</v>
      </c>
      <c r="CR716">
        <f>IF($CP716="refOK",$BN716,$BM716)</f>
        <v>0.27407407407407408</v>
      </c>
      <c r="CS716">
        <f>IF($CP716="refOK",$BQ716,-$BQ716)</f>
        <v>0.55933484504913078</v>
      </c>
      <c r="CT716">
        <f>IF(BI716="Roundwood",$CS716/2,$CS716)</f>
        <v>0.55933484504913078</v>
      </c>
      <c r="CU716">
        <f>IF($CP716="refOK",$BU716,$BV716)*IF($BR716="Emissions positive",-1,1)</f>
        <v>53.97</v>
      </c>
      <c r="CV716">
        <f>IF($CP716="refOK",$BV716,$BU716)*IF($BR716="Emissions positive",-1,1)</f>
        <v>93.36</v>
      </c>
      <c r="CW716">
        <f>IF($CP716="refNeedCorrection",-BZ716,BZ716)*IF($BR716="Emissions positive",-1,1)</f>
        <v>3.9390000000000001E-2</v>
      </c>
      <c r="CX716">
        <f>IFERROR($CW716/$CS716,"")</f>
        <v>7.0422932432432431E-2</v>
      </c>
      <c r="CY716">
        <f>IFERROR($CW716/$CS716,"")</f>
        <v>7.0422932432432431E-2</v>
      </c>
      <c r="CZ716">
        <f>IFERROR($CW716/$CT716,"")</f>
        <v>7.0422932432432431E-2</v>
      </c>
      <c r="DA716" s="2">
        <f>IFERROR((CV716-CU716)/ABS(CU716),"")</f>
        <v>0.72984991662034471</v>
      </c>
      <c r="DB716" s="1" t="s">
        <v>263</v>
      </c>
      <c r="DC716" t="str">
        <f>IF(OR($DB716="prd",$DB716="std",$DB716="cit"),"loc",IF(OR($DB716="eur",$DB716="reg",$DB716="coy"),"reg",$DB716))</f>
        <v>loc</v>
      </c>
      <c r="DD716" s="296" t="s">
        <v>3098</v>
      </c>
      <c r="DG716">
        <v>60</v>
      </c>
      <c r="DH716" t="str">
        <f>IF(DG716=0,"0",IF(AND(DG716&gt;=1,DG716&lt;=30),"1-30",IF(AND(DG716&gt;30,DG716&lt;=70),"31-70",IF(AND(DG716&gt;70,DG716&lt;=100),"71-100",IF(DG716&gt;100,"+100")))))</f>
        <v>31-70</v>
      </c>
      <c r="DI716">
        <v>0</v>
      </c>
      <c r="DJ716">
        <v>0</v>
      </c>
      <c r="DK716">
        <v>0</v>
      </c>
      <c r="DL716">
        <v>1</v>
      </c>
      <c r="DN716">
        <f>SUM(DI716:DL716)</f>
        <v>1</v>
      </c>
      <c r="DO716" t="str">
        <f>IF(DN716=1,INDEX($DI$7:$DL$7,MATCH(1,$DI716:$DL716,0)),"mixedProduct")</f>
        <v>TimberInput</v>
      </c>
      <c r="DP716">
        <f>IF(DI716=1,DP$7,0)</f>
        <v>0</v>
      </c>
      <c r="DQ716">
        <f>IF(DJ716=1,DQ$7,0)</f>
        <v>0</v>
      </c>
      <c r="DR716">
        <f>IF(DK716=1,DR$7,0)</f>
        <v>0</v>
      </c>
      <c r="DS716" t="str">
        <f>IF(DL716=1,DS$7,0)</f>
        <v>Timber</v>
      </c>
      <c r="DT716">
        <v>1</v>
      </c>
      <c r="DU716">
        <v>0</v>
      </c>
      <c r="DV716">
        <v>0</v>
      </c>
      <c r="DW716">
        <v>0</v>
      </c>
      <c r="DX716">
        <v>0</v>
      </c>
      <c r="DY716">
        <f>SUM(DT716:DU716)</f>
        <v>1</v>
      </c>
      <c r="DZ716" s="143" t="str">
        <f>IF(DT716=1,"self-calculated DF",IF(DU716=1,"external DF used","explicit C balance"))</f>
        <v>self-calculated DF</v>
      </c>
      <c r="EA716">
        <v>0</v>
      </c>
      <c r="EB716">
        <v>0</v>
      </c>
      <c r="EC716">
        <v>0</v>
      </c>
      <c r="ED716">
        <v>0</v>
      </c>
      <c r="EE716">
        <v>0</v>
      </c>
      <c r="EF716" s="143">
        <v>1</v>
      </c>
      <c r="EG716">
        <v>0</v>
      </c>
      <c r="EH716">
        <v>0</v>
      </c>
      <c r="EI716">
        <v>0</v>
      </c>
      <c r="EJ716">
        <v>1</v>
      </c>
      <c r="EK716">
        <v>0</v>
      </c>
      <c r="EL716">
        <v>0</v>
      </c>
      <c r="EM716">
        <v>0</v>
      </c>
      <c r="EN716" s="2">
        <v>0</v>
      </c>
      <c r="EP716" t="str">
        <f>IF(AND(AND(AND(OR($EC716=1,$EB716=1),OR($EH716=1,$EF716=1)),SUM($EA716:$EE716,$EK716)&gt;=3),SUM($EF716:$EJ716)&gt;=2),"Whole sector approach","")</f>
        <v/>
      </c>
      <c r="EQ716" t="str">
        <f>IF(AND(AND(OR($EC716=1,$EB716=1),AND($EH716=0,$EF716=0)),SUM($EA716:$EE716,$EK716)&gt;=4),"Ecosystem approach","")</f>
        <v/>
      </c>
      <c r="ER716" s="2" t="str">
        <f>IF(AND(AND(AND($EC716=0,$EB716=0),OR($EH716=1,$EF716=1)),SUM($EG716:$EJ716)&gt;=2),"Technology approach","")</f>
        <v/>
      </c>
      <c r="ES716" t="str">
        <f>IF(AND($EC716+$EB716+$EE716+$EA716+$ED716+$EG716=0,$N716="included"),"C neutral forest and HWP assumption","")</f>
        <v>C neutral forest and HWP assumption</v>
      </c>
      <c r="ET716" t="str">
        <f>IF(AND(AND(AND(AND($EC716=1,$EB716+$EA716+$EG716&gt;=1),$EF716=1),$EH716+$EI716+$ED716+$EE716&gt;=2),$N716="included"),"All C pools assumption","")</f>
        <v/>
      </c>
      <c r="EU716" t="str">
        <f>IF(AND($ED716+$EE716+$EI716+$EH716+$EF716=0,$N716="included"),"In-situ only assumption","")</f>
        <v/>
      </c>
      <c r="EY716" t="str">
        <f>IF(ISNUMBER(BW716),IF(ABS(BW716-[3]QC_indicators!$B$2)&gt;3*[3]QC_indicators!$C$2,"C ratio",IF(ISNUMBER(CA716),IF(ABS(CA716-[3]QC_indicators!$B$1)&gt;3*[3]QC_indicators!$C$1,"DF","no"))),IF(ISNUMBER(CA716),IF(ABS(CA716-[3]QC_indicators!$B$1)&gt;3*[3]QC_indicators!$C$1,"DF","no")))</f>
        <v>no</v>
      </c>
      <c r="FA716" t="str">
        <f>IF(LEN($CY716)=0,"",IF(AND($CY716&lt;(-0.05),$ES716="C neutral forest and HWP assumption"),"Cneutral paradox",IF(AND($CY716&gt;0.05,$EU716="In-situ only assumption"),"In-situ only paradox","")))</f>
        <v/>
      </c>
      <c r="FD716" s="260" t="s">
        <v>2938</v>
      </c>
    </row>
    <row r="717" spans="1:160" ht="15" hidden="1" customHeight="1">
      <c r="A717" s="1" t="s">
        <v>500</v>
      </c>
      <c r="B717" t="s">
        <v>501</v>
      </c>
      <c r="C717" t="s">
        <v>502</v>
      </c>
      <c r="D717" t="s">
        <v>503</v>
      </c>
      <c r="E717" t="s">
        <v>504</v>
      </c>
      <c r="F717" t="s">
        <v>505</v>
      </c>
      <c r="G717" t="s">
        <v>506</v>
      </c>
      <c r="H717" t="s">
        <v>254</v>
      </c>
      <c r="I717">
        <v>2021</v>
      </c>
      <c r="J717">
        <v>7</v>
      </c>
      <c r="K717" t="s">
        <v>507</v>
      </c>
      <c r="M717" t="str">
        <f>LEFT($D717,FIND(",",$D717)-1)&amp;"_"&amp;I717&amp;L717</f>
        <v>Caldas_2021</v>
      </c>
      <c r="N717" t="s">
        <v>222</v>
      </c>
      <c r="O717" s="145" t="s">
        <v>223</v>
      </c>
      <c r="P717" t="s">
        <v>508</v>
      </c>
      <c r="Q717" s="317" t="s">
        <v>256</v>
      </c>
      <c r="R717" s="318" t="s">
        <v>1029</v>
      </c>
      <c r="S717" s="1" t="s">
        <v>510</v>
      </c>
      <c r="T717" t="s">
        <v>4908</v>
      </c>
      <c r="U717" t="s">
        <v>4909</v>
      </c>
      <c r="V717" s="253">
        <v>0</v>
      </c>
      <c r="W717" s="253">
        <v>0</v>
      </c>
      <c r="X717">
        <v>0</v>
      </c>
      <c r="Y717">
        <v>0</v>
      </c>
      <c r="Z717">
        <v>0</v>
      </c>
      <c r="AA717">
        <v>0</v>
      </c>
      <c r="AB717">
        <v>0</v>
      </c>
      <c r="AC717">
        <v>0</v>
      </c>
      <c r="AD717">
        <v>0</v>
      </c>
      <c r="AE717">
        <v>0</v>
      </c>
      <c r="AF717">
        <v>0</v>
      </c>
      <c r="AG717">
        <v>0</v>
      </c>
      <c r="AH717">
        <v>0</v>
      </c>
      <c r="AI717">
        <v>0</v>
      </c>
      <c r="AJ717">
        <v>0</v>
      </c>
      <c r="AK717">
        <v>0</v>
      </c>
      <c r="AL717">
        <v>0</v>
      </c>
      <c r="AM717">
        <v>1</v>
      </c>
      <c r="AN717">
        <v>0</v>
      </c>
      <c r="AO717">
        <v>0</v>
      </c>
      <c r="AP717">
        <v>0</v>
      </c>
      <c r="AQ717">
        <v>0</v>
      </c>
      <c r="AR717">
        <v>0</v>
      </c>
      <c r="AS717">
        <v>0</v>
      </c>
      <c r="AT717">
        <v>0</v>
      </c>
      <c r="AU717">
        <v>0</v>
      </c>
      <c r="AV717">
        <v>0</v>
      </c>
      <c r="AW717">
        <v>0</v>
      </c>
      <c r="AX717">
        <v>0</v>
      </c>
      <c r="AY717">
        <v>0</v>
      </c>
      <c r="AZ717" s="141">
        <f>COUNTIF(X717:AY717,"&lt;&gt;0")</f>
        <v>1</v>
      </c>
      <c r="BA717" s="141">
        <f>COUNTIF(X717:AN717,"&lt;&gt;0")</f>
        <v>1</v>
      </c>
      <c r="BB717">
        <f>COUNTIF(X717:AE717,"&lt;&gt;0")</f>
        <v>0</v>
      </c>
      <c r="BC717">
        <f>COUNTIF(AF717:AK717,"&lt;&gt;0")</f>
        <v>0</v>
      </c>
      <c r="BD717">
        <f>COUNTIF(AL717:AN717,"&lt;&gt;0")</f>
        <v>1</v>
      </c>
      <c r="BE717">
        <f>COUNTIF(AU717:AY717,"&lt;&gt;0")</f>
        <v>0</v>
      </c>
      <c r="BF717">
        <f>COUNTIF(AO717:AT717,"&lt;&gt;0")</f>
        <v>0</v>
      </c>
      <c r="BG717" t="str" cm="1">
        <f t="array" ref="BG717">IF(BA717=1,INDEX($X$7:$AN$7,MATCH(TRUE,INDEX($X717:$AY717&lt;&gt;0,),0)),IF(BA717=0,INDEX($AO$7:$AY$7,MATCH(1,$AO717:$AY717,0)),IF(BH717="Multiple strategies","mixed drivers",IF(BH717="Supply chain","multiple supply","multiple silviculture"))))</f>
        <v>technologies/design switch</v>
      </c>
      <c r="BH717" s="2" t="str" cm="1">
        <f t="array" ref="BH717">IF(COUNTIF(BB717:BD717,"&lt;&gt;0")=1,INDEX($X$4:$AY$4,MATCH(TRUE,INDEX($X717:$AY717&lt;&gt;0,),0)),IF(COUNTIF(BB717:BD717,"&lt;&gt;0")=0,INDEX($AO$4:$AY$4,MATCH(1,$AO717:$AY717,0)),"Multiple strategies"))</f>
        <v>Technology</v>
      </c>
      <c r="BI717" s="1" t="s">
        <v>229</v>
      </c>
      <c r="BJ717" t="s">
        <v>510</v>
      </c>
      <c r="BK717" s="141" t="s">
        <v>2854</v>
      </c>
      <c r="BL717" t="s">
        <v>511</v>
      </c>
      <c r="BM717">
        <v>140</v>
      </c>
      <c r="BN717">
        <v>247</v>
      </c>
      <c r="BP717">
        <f>BN717-BM717</f>
        <v>107</v>
      </c>
      <c r="BQ717">
        <f>BP717*kg_to_m3</f>
        <v>0.21836734693877552</v>
      </c>
      <c r="BR717" s="317" t="s">
        <v>232</v>
      </c>
      <c r="BS717" s="141" t="s">
        <v>2854</v>
      </c>
      <c r="BT717" t="s">
        <v>512</v>
      </c>
      <c r="BU717">
        <f>-533</f>
        <v>-533</v>
      </c>
      <c r="BV717">
        <f>-515</f>
        <v>-515</v>
      </c>
      <c r="BW717" s="144">
        <f>IFERROR(BV717/BU717,"")</f>
        <v>0.9662288930581614</v>
      </c>
      <c r="BX717" s="175">
        <f>BV717-BU717</f>
        <v>18</v>
      </c>
      <c r="BZ717">
        <f>BX717/1000</f>
        <v>1.7999999999999999E-2</v>
      </c>
      <c r="CA717">
        <f>IFERROR(BZ717/BQ717,"")</f>
        <v>8.2429906542056064E-2</v>
      </c>
      <c r="CB717" s="143">
        <v>0</v>
      </c>
      <c r="CC717" s="143">
        <v>0</v>
      </c>
      <c r="CD717" s="143">
        <v>0</v>
      </c>
      <c r="CE717" s="143">
        <v>0</v>
      </c>
      <c r="CF717" s="143">
        <v>0</v>
      </c>
      <c r="CG717" s="143">
        <v>0</v>
      </c>
      <c r="CH717" s="143">
        <v>0</v>
      </c>
      <c r="CI717" s="143">
        <v>0</v>
      </c>
      <c r="CJ717" s="143">
        <v>0</v>
      </c>
      <c r="CK717" s="143">
        <v>0</v>
      </c>
      <c r="CL717" s="143">
        <v>0</v>
      </c>
      <c r="CM717" s="143">
        <v>0</v>
      </c>
      <c r="CN717" s="143">
        <v>0</v>
      </c>
      <c r="CO717">
        <v>0</v>
      </c>
      <c r="CP717" t="str">
        <f>IF($BN717&lt;$BM717,"refNeedCorrection","refOK")</f>
        <v>refOK</v>
      </c>
      <c r="CQ717">
        <f>IF($CP717="refOK",$BM717,$BN717)</f>
        <v>140</v>
      </c>
      <c r="CR717">
        <f>IF($CP717="refOK",$BN717,$BM717)</f>
        <v>247</v>
      </c>
      <c r="CS717">
        <f>IF($CP717="refOK",$BQ717,-$BQ717)</f>
        <v>0.21836734693877552</v>
      </c>
      <c r="CT717">
        <f>IF(BI717="Roundwood",$CS717/2,$CS717)</f>
        <v>0.21836734693877552</v>
      </c>
      <c r="CU717">
        <f>IF($CP717="refOK",$BU717,$BV717)*IF($BR717="Emissions positive",-1,1)</f>
        <v>-533</v>
      </c>
      <c r="CV717">
        <f>IF($CP717="refOK",$BV717,$BU717)*IF($BR717="Emissions positive",-1,1)</f>
        <v>-515</v>
      </c>
      <c r="CW717">
        <f>IF($CP717="refNeedCorrection",-BZ717,BZ717)*IF($BR717="Emissions positive",-1,1)</f>
        <v>1.7999999999999999E-2</v>
      </c>
      <c r="CX717">
        <f>IFERROR($CW717/$CS717,"")</f>
        <v>8.2429906542056064E-2</v>
      </c>
      <c r="CY717">
        <f>IFERROR($CW717/$CS717,"")</f>
        <v>8.2429906542056064E-2</v>
      </c>
      <c r="CZ717">
        <f>IFERROR($CW717/$CT717,"")</f>
        <v>8.2429906542056064E-2</v>
      </c>
      <c r="DA717" s="2">
        <f>IFERROR((CV717-CU717)/ABS(CU717),"")</f>
        <v>3.3771106941838651E-2</v>
      </c>
      <c r="DB717" s="1" t="s">
        <v>263</v>
      </c>
      <c r="DC717" s="317" t="str">
        <f>IF(OR($DB717="prd",$DB717="std",$DB717="cit"),"loc",IF(OR($DB717="eur",$DB717="reg",$DB717="coy"),"reg",$DB717))</f>
        <v>loc</v>
      </c>
      <c r="DD717" t="s">
        <v>513</v>
      </c>
      <c r="DE717">
        <v>2014</v>
      </c>
      <c r="DF717">
        <v>2014</v>
      </c>
      <c r="DG717">
        <f>DF717-DE717</f>
        <v>0</v>
      </c>
      <c r="DH717" t="str">
        <f>IF(DG717=0,"0",IF(AND(DG717&gt;=1,DG717&lt;=30),"1-30",IF(AND(DG717&gt;30,DG717&lt;=70),"31-70",IF(AND(DG717&gt;70,DG717&lt;=100),"71-100",IF(DG717&gt;100,"+100")))))</f>
        <v>0</v>
      </c>
      <c r="DI717">
        <v>0</v>
      </c>
      <c r="DJ717">
        <v>0</v>
      </c>
      <c r="DK717">
        <v>0</v>
      </c>
      <c r="DL717">
        <v>1</v>
      </c>
      <c r="DN717">
        <f>SUM(DI717:DL717)</f>
        <v>1</v>
      </c>
      <c r="DO717" t="str">
        <f>IF(DN717=1,INDEX($DI$7:$DL$7,MATCH(1,$DI717:$DL717,0)),"mixedProduct")</f>
        <v>TimberInput</v>
      </c>
      <c r="DP717">
        <f>IF(DI717=1,DP$7,0)</f>
        <v>0</v>
      </c>
      <c r="DQ717">
        <f>IF(DJ717=1,DQ$7,0)</f>
        <v>0</v>
      </c>
      <c r="DR717">
        <f>IF(DK717=1,DR$7,0)</f>
        <v>0</v>
      </c>
      <c r="DS717" t="str">
        <f>IF(DL717=1,DS$7,0)</f>
        <v>Timber</v>
      </c>
      <c r="DT717">
        <v>0</v>
      </c>
      <c r="DU717" s="143">
        <v>0</v>
      </c>
      <c r="DV717" s="143">
        <v>0</v>
      </c>
      <c r="DW717" s="143">
        <v>0</v>
      </c>
      <c r="DX717">
        <v>0</v>
      </c>
      <c r="DY717">
        <f>SUM(DT717:DU717)</f>
        <v>0</v>
      </c>
      <c r="DZ717" s="143" t="str">
        <f>IF(DT717=1,"self-calculated DF",IF(DU717=1,"external DF used","explicit C balance"))</f>
        <v>explicit C balance</v>
      </c>
      <c r="EA717">
        <v>0</v>
      </c>
      <c r="EB717" s="143">
        <v>0</v>
      </c>
      <c r="EC717" s="143">
        <v>0</v>
      </c>
      <c r="ED717" s="143">
        <v>0</v>
      </c>
      <c r="EE717">
        <v>0</v>
      </c>
      <c r="EF717" s="143">
        <v>1</v>
      </c>
      <c r="EG717">
        <v>0</v>
      </c>
      <c r="EH717" s="143">
        <v>1</v>
      </c>
      <c r="EI717" s="143">
        <v>0</v>
      </c>
      <c r="EJ717">
        <v>0</v>
      </c>
      <c r="EK717">
        <v>0</v>
      </c>
      <c r="EL717" s="143">
        <v>0</v>
      </c>
      <c r="EM717" s="143">
        <v>0</v>
      </c>
      <c r="EN717" s="2">
        <v>0</v>
      </c>
      <c r="EP717" t="str">
        <f>IF(AND(AND(AND(OR($EC717=1,$EB717=1),OR($EH717=1,$EF717=1)),SUM($EA717:$EE717,$EK717)&gt;=3),SUM($EF717:$EJ717)&gt;=2),"Whole sector approach","")</f>
        <v/>
      </c>
      <c r="EQ717" t="str">
        <f>IF(AND(AND(OR($EC717=1,$EB717=1),AND($EH717=0,$EF717=0)),SUM($EA717:$EE717,$EK717)&gt;=3),"Ecosystem approach","")</f>
        <v/>
      </c>
      <c r="ER717" s="2" t="str">
        <f>IF(AND(AND(AND($EC717=0,$EB717=0),OR($EH717=1,$EF717=1)),SUM($EG717:$EJ717)&gt;=2),"Technology approach","")</f>
        <v/>
      </c>
      <c r="ES717" t="str">
        <f>IF(AND($EC717+$EB717+$EE717+$EA717+$ED717+$EG717=0,$N717="included"),"C neutral forest and HWP assumption","")</f>
        <v>C neutral forest and HWP assumption</v>
      </c>
      <c r="ET717" t="str">
        <f>IF(AND(AND(AND(AND($EC717=1,$EB717+$EA717+$EG717&gt;=1),$EF717=1),$EH717+$EI717+$ED717+$EE717&gt;=2),$N717="included"),"All C pools assumption","")</f>
        <v/>
      </c>
      <c r="EU717" t="str">
        <f>IF(AND($ED717+$EE717+$EI717+$EH717+$EF717=0,$N717="included"),"In-situ only assumption","")</f>
        <v/>
      </c>
      <c r="EY717" t="str">
        <f>IF(ISNUMBER(BW717),IF(ABS(BW717-[4]QC_indicators!$B$2)&gt;3*[4]QC_indicators!$C$2,"C ratio",IF(ISNUMBER(CA717),IF(ABS(CA717-[4]QC_indicators!$B$1)&gt;3*[4]QC_indicators!$C$1,"DF","no"))),IF(ISNUMBER(CA717),IF(ABS(CA717-[4]QC_indicators!$B$1)&gt;3*[4]QC_indicators!$C$1,"DF","no")))</f>
        <v>no</v>
      </c>
      <c r="FA717" t="str">
        <f>IF(LEN($CY717)=0,"",IF(AND($CY717&lt;(-0.05),$ES717="C neutral forest and HWP assumption"),"Cneutral paradox",IF(AND($CY717&gt;0.05,$EU717="In-situ only assumption"),"In-situ only paradox","")))</f>
        <v/>
      </c>
      <c r="FB717" s="319" t="s">
        <v>349</v>
      </c>
      <c r="FD717" s="145" t="s">
        <v>4893</v>
      </c>
    </row>
    <row r="718" spans="1:160" ht="15" hidden="1" customHeight="1">
      <c r="A718" s="1" t="s">
        <v>1108</v>
      </c>
      <c r="B718" t="s">
        <v>1109</v>
      </c>
      <c r="C718" t="s">
        <v>1110</v>
      </c>
      <c r="D718" t="s">
        <v>336</v>
      </c>
      <c r="E718" t="s">
        <v>1111</v>
      </c>
      <c r="F718" t="s">
        <v>1112</v>
      </c>
      <c r="G718" t="s">
        <v>1113</v>
      </c>
      <c r="I718">
        <v>2018</v>
      </c>
      <c r="K718" t="s">
        <v>1114</v>
      </c>
      <c r="M718" t="str">
        <f>LEFT($D718,FIND(",",$D718)-1)&amp;"_"&amp;I718&amp;L718</f>
        <v>Balasbaneh_2018</v>
      </c>
      <c r="N718" t="s">
        <v>222</v>
      </c>
      <c r="O718" s="140" t="s">
        <v>508</v>
      </c>
      <c r="Q718" t="s">
        <v>224</v>
      </c>
      <c r="R718" s="258" t="s">
        <v>223</v>
      </c>
      <c r="S718" s="259" t="s">
        <v>1115</v>
      </c>
      <c r="T718" s="260" t="s">
        <v>2792</v>
      </c>
      <c r="U718" s="260" t="s">
        <v>2790</v>
      </c>
      <c r="V718" s="253">
        <v>0</v>
      </c>
      <c r="W718" s="253">
        <v>0</v>
      </c>
      <c r="X718">
        <v>0</v>
      </c>
      <c r="Y718">
        <v>0</v>
      </c>
      <c r="Z718">
        <v>0</v>
      </c>
      <c r="AA718">
        <v>0</v>
      </c>
      <c r="AB718">
        <v>0</v>
      </c>
      <c r="AC718">
        <v>0</v>
      </c>
      <c r="AD718">
        <v>0</v>
      </c>
      <c r="AE718">
        <v>0</v>
      </c>
      <c r="AF718">
        <v>0</v>
      </c>
      <c r="AG718">
        <v>0</v>
      </c>
      <c r="AH718">
        <v>0</v>
      </c>
      <c r="AI718">
        <v>0</v>
      </c>
      <c r="AJ718">
        <v>0</v>
      </c>
      <c r="AK718">
        <v>0</v>
      </c>
      <c r="AL718">
        <v>0</v>
      </c>
      <c r="AM718">
        <v>1</v>
      </c>
      <c r="AN718">
        <v>0</v>
      </c>
      <c r="AO718">
        <v>0</v>
      </c>
      <c r="AP718">
        <v>0</v>
      </c>
      <c r="AQ718">
        <v>0</v>
      </c>
      <c r="AR718">
        <v>0</v>
      </c>
      <c r="AS718">
        <v>0</v>
      </c>
      <c r="AT718">
        <v>0</v>
      </c>
      <c r="AU718">
        <v>0</v>
      </c>
      <c r="AV718">
        <v>0</v>
      </c>
      <c r="AW718">
        <v>0</v>
      </c>
      <c r="AX718">
        <v>0</v>
      </c>
      <c r="AY718">
        <v>0</v>
      </c>
      <c r="AZ718" s="141">
        <f>COUNTIF(X718:AY718,"&lt;&gt;0")</f>
        <v>1</v>
      </c>
      <c r="BA718" s="141">
        <f>COUNTIF(X718:AN718,"&lt;&gt;0")</f>
        <v>1</v>
      </c>
      <c r="BB718">
        <f>COUNTIF(X718:AE718,"&lt;&gt;0")</f>
        <v>0</v>
      </c>
      <c r="BC718">
        <f>COUNTIF(AF718:AK718,"&lt;&gt;0")</f>
        <v>0</v>
      </c>
      <c r="BD718">
        <f>COUNTIF(AL718:AN718,"&lt;&gt;0")</f>
        <v>1</v>
      </c>
      <c r="BE718">
        <f>COUNTIF(AU718:AY718,"&lt;&gt;0")</f>
        <v>0</v>
      </c>
      <c r="BF718">
        <f>COUNTIF(AO718:AT718,"&lt;&gt;0")</f>
        <v>0</v>
      </c>
      <c r="BG718" t="str">
        <f t="array" ref="BG718">IF(BA718=1,INDEX($X$7:$AN$7,MATCH(TRUE,INDEX($X718:$AY718&lt;&gt;0,),0)),IF(BA718=0,INDEX($AO$7:$AY$7,MATCH(1,$AO718:$AY718,0)),IF(BH718="Multiple strategies","mixed drivers",IF(BH718="Supply chain","multiple supply","multiple silviculture"))))</f>
        <v>technologies/design switch</v>
      </c>
      <c r="BH718" s="2" t="str" cm="1">
        <f t="array" ref="BH718">IF(COUNTIF(BB718:BD718,"&lt;&gt;0")=1,INDEX($X$4:$AY$4,MATCH(TRUE,INDEX($X718:$AY718&lt;&gt;0,),0)),IF(COUNTIF(BB718:BD718,"&lt;&gt;0")=0,INDEX($AO$4:$AY$4,MATCH(1,$AO718:$AY718,0)),"Multiple strategies"))</f>
        <v>Technology</v>
      </c>
      <c r="BI718" s="1" t="s">
        <v>229</v>
      </c>
      <c r="BJ718" t="s">
        <v>229</v>
      </c>
      <c r="BL718" t="s">
        <v>345</v>
      </c>
      <c r="BM718">
        <v>0</v>
      </c>
      <c r="BN718">
        <v>15468</v>
      </c>
      <c r="BO718" s="143"/>
      <c r="BP718">
        <f>BN718-BM718</f>
        <v>15468</v>
      </c>
      <c r="BQ718" s="143">
        <f>BP718*kg_to_m3</f>
        <v>31.567346938775515</v>
      </c>
      <c r="BR718" t="s">
        <v>232</v>
      </c>
      <c r="BS718" s="153" t="s">
        <v>987</v>
      </c>
      <c r="BT718" t="s">
        <v>397</v>
      </c>
      <c r="BU718">
        <v>-7910</v>
      </c>
      <c r="BV718">
        <v>-5130</v>
      </c>
      <c r="BW718" s="144">
        <v>0.64854614412136535</v>
      </c>
      <c r="BX718">
        <v>2780</v>
      </c>
      <c r="BZ718">
        <f>BX718/1000</f>
        <v>2.78</v>
      </c>
      <c r="CA718">
        <f>IFERROR(BZ718/BQ718,"")</f>
        <v>8.8065683992759228E-2</v>
      </c>
      <c r="CB718">
        <v>0</v>
      </c>
      <c r="CC718">
        <v>0</v>
      </c>
      <c r="CD718">
        <v>0</v>
      </c>
      <c r="CE718">
        <v>0</v>
      </c>
      <c r="CF718">
        <v>0</v>
      </c>
      <c r="CG718">
        <v>0</v>
      </c>
      <c r="CH718">
        <v>0</v>
      </c>
      <c r="CI718">
        <v>0</v>
      </c>
      <c r="CJ718">
        <v>0</v>
      </c>
      <c r="CK718">
        <v>0</v>
      </c>
      <c r="CL718">
        <v>0</v>
      </c>
      <c r="CM718">
        <v>0</v>
      </c>
      <c r="CN718">
        <v>0</v>
      </c>
      <c r="CO718">
        <v>0</v>
      </c>
      <c r="CP718" t="str">
        <f>IF($BN718&lt;$BM718,"refNeedCorrection","refOK")</f>
        <v>refOK</v>
      </c>
      <c r="CQ718">
        <f>IF($CP718="refNeedCorrection",BN718,BM718)</f>
        <v>0</v>
      </c>
      <c r="CR718">
        <f>IF($CP718="refNeedCorrection",BM718,BN718)</f>
        <v>15468</v>
      </c>
      <c r="CS718">
        <f>IF($CP718="refOK",$BQ718,-$BQ718)</f>
        <v>31.567346938775515</v>
      </c>
      <c r="CT718">
        <f>IF(BI718="Roundwood",$CS718/2,$CS718)</f>
        <v>31.567346938775515</v>
      </c>
      <c r="CU718">
        <f>IF($CP718="refOK",$BU718,$BV718)*IF($BR718="Emissions positive",-1,1)</f>
        <v>-7910</v>
      </c>
      <c r="CV718">
        <f>IF($CP718="refOK",$BV718,$BU718)*IF($BR718="Emissions positive",-1,1)</f>
        <v>-5130</v>
      </c>
      <c r="CW718">
        <f>IF($CP718="refNeedCorrection",-BZ718,BZ718)*IF($BR718="Emissions positive",-1,1)</f>
        <v>2.78</v>
      </c>
      <c r="CX718">
        <f>IFERROR($CW718/$CS718,"")</f>
        <v>8.8065683992759228E-2</v>
      </c>
      <c r="CY718">
        <f>IFERROR($CW718/$CS718,"")</f>
        <v>8.8065683992759228E-2</v>
      </c>
      <c r="CZ718">
        <f>IFERROR($CW718/$CT718,"")</f>
        <v>8.8065683992759228E-2</v>
      </c>
      <c r="DA718" s="2">
        <f>IFERROR((CV718-CU718)/ABS(CU718),"")</f>
        <v>0.35145385587863465</v>
      </c>
      <c r="DB718" s="1" t="s">
        <v>1078</v>
      </c>
      <c r="DC718" t="str">
        <f>IF(OR($DB718="prd",$DB718="std",$DB718="cit"),"loc",IF(OR($DB718="eur",$DB718="reg",$DB718="coy"),"reg",$DB718))</f>
        <v>reg</v>
      </c>
      <c r="DD718" t="s">
        <v>348</v>
      </c>
      <c r="DE718">
        <v>2014</v>
      </c>
      <c r="DF718">
        <v>2514</v>
      </c>
      <c r="DG718">
        <v>500</v>
      </c>
      <c r="DH718" t="str">
        <f>IF(DG718=0,"0",IF(AND(DG718&gt;=1,DG718&lt;=30),"1-30",IF(AND(DG718&gt;30,DG718&lt;=70),"31-70",IF(AND(DG718&gt;70,DG718&lt;=100),"71-100",IF(DG718&gt;100,"+100")))))</f>
        <v>+100</v>
      </c>
      <c r="DI718">
        <v>0</v>
      </c>
      <c r="DJ718">
        <v>0</v>
      </c>
      <c r="DK718">
        <v>0</v>
      </c>
      <c r="DL718">
        <v>1</v>
      </c>
      <c r="DN718">
        <f>SUM(DI718:DL718)</f>
        <v>1</v>
      </c>
      <c r="DO718" t="str">
        <f>IF(DN718=1,INDEX($DI$7:$DL$7,MATCH(1,$DI718:$DL718,0)),"mixedProduct")</f>
        <v>TimberInput</v>
      </c>
      <c r="DP718">
        <f>IF(DI718=1,DP$7,0)</f>
        <v>0</v>
      </c>
      <c r="DQ718">
        <f>IF(DJ718=1,DQ$7,0)</f>
        <v>0</v>
      </c>
      <c r="DR718">
        <f>IF(DK718=1,DR$7,0)</f>
        <v>0</v>
      </c>
      <c r="DS718" t="str">
        <f>IF(DL718=1,DS$7,0)</f>
        <v>Timber</v>
      </c>
      <c r="DT718">
        <v>0</v>
      </c>
      <c r="DU718">
        <v>0</v>
      </c>
      <c r="DV718">
        <v>0</v>
      </c>
      <c r="DW718">
        <v>0</v>
      </c>
      <c r="DX718">
        <v>0</v>
      </c>
      <c r="DY718">
        <f>SUM(DT718:DU718)</f>
        <v>0</v>
      </c>
      <c r="DZ718" s="143" t="str">
        <f>IF(DT718=1,"self-calculated DF",IF(DU718=1,"external DF used","explicit C balance"))</f>
        <v>explicit C balance</v>
      </c>
      <c r="EA718">
        <v>0</v>
      </c>
      <c r="EB718">
        <v>0</v>
      </c>
      <c r="EC718">
        <v>0</v>
      </c>
      <c r="ED718">
        <v>0</v>
      </c>
      <c r="EE718">
        <v>0</v>
      </c>
      <c r="EF718" s="143">
        <v>1</v>
      </c>
      <c r="EG718">
        <v>0</v>
      </c>
      <c r="EH718">
        <v>1</v>
      </c>
      <c r="EI718">
        <v>1</v>
      </c>
      <c r="EJ718">
        <v>1</v>
      </c>
      <c r="EK718">
        <v>0</v>
      </c>
      <c r="EL718">
        <v>0</v>
      </c>
      <c r="EM718">
        <v>0</v>
      </c>
      <c r="EN718" s="2">
        <v>0</v>
      </c>
      <c r="EP718" t="str">
        <f>IF(AND(AND(AND(OR($EC718=1,$EB718=1),OR($EH718=1,$EF718=1)),SUM($EA718:$EE718,$EK718)&gt;=3),SUM($EF718:$EJ718)&gt;=2),"Whole sector approach","")</f>
        <v/>
      </c>
      <c r="EQ718" t="str">
        <f>IF(AND(AND(OR($EC718=1,$EB718=1),AND($EH718=0,$EF718=0)),SUM($EA718:$EE718,$EK718)&gt;=4),"Ecosystem approach","")</f>
        <v/>
      </c>
      <c r="ER718" s="2" t="str">
        <f>IF(AND(AND(AND($EC718=0,$EB718=0),OR($EH718=1,$EF718=1)),SUM($EG718:$EJ718)&gt;=2),"Technology approach","")</f>
        <v>Technology approach</v>
      </c>
      <c r="ES718" t="str">
        <f>IF(AND($EC718+$EB718+$EE718+$EA718+$ED718+$EG718=0,$N718="included"),"C neutral forest and HWP assumption","")</f>
        <v>C neutral forest and HWP assumption</v>
      </c>
      <c r="ET718" t="str">
        <f>IF(AND(AND(AND(AND($EC718=1,$EB718+$EA718+$EG718&gt;=1),$EF718=1),$EH718+$EI718+$ED718+$EE718&gt;=2),$N718="included"),"All C pools assumption","")</f>
        <v/>
      </c>
      <c r="EU718" t="str">
        <f>IF(AND($ED718+$EE718+$EI718+$EH718+$EF718=0,$N718="included"),"In-situ only assumption","")</f>
        <v/>
      </c>
      <c r="EY718" t="str">
        <f>IF(ISNUMBER(BW718),IF(ABS(BW718-[2]QC_indicators!$B$2)&gt;3*[2]QC_indicators!$C$2,"C ratio",IF(ISNUMBER(CA718),IF(ABS(CA718-[2]QC_indicators!$B$1)&gt;3*[2]QC_indicators!$C$1,"DF","no"))),IF(ISNUMBER(CA718),IF(ABS(CA718-[2]QC_indicators!$B$1)&gt;3*[2]QC_indicators!$C$1,"DF","no")))</f>
        <v>no</v>
      </c>
      <c r="FA718" t="str">
        <f>IF(LEN($CY718)=0,"",IF(AND($CY718&lt;(-0.05),$ES718="C neutral forest and HWP assumption"),"Cneutral paradox",IF(AND($CY718&gt;0.05,$EU718="In-situ only assumption"),"In-situ only paradox","")))</f>
        <v/>
      </c>
      <c r="FB718" s="149" t="s">
        <v>349</v>
      </c>
      <c r="FD718" s="260" t="s">
        <v>2948</v>
      </c>
    </row>
    <row r="719" spans="1:160" ht="15" hidden="1" customHeight="1">
      <c r="A719" s="1" t="s">
        <v>1108</v>
      </c>
      <c r="B719" t="s">
        <v>1109</v>
      </c>
      <c r="C719" t="s">
        <v>1110</v>
      </c>
      <c r="D719" t="s">
        <v>336</v>
      </c>
      <c r="E719" t="s">
        <v>1111</v>
      </c>
      <c r="F719" t="s">
        <v>1112</v>
      </c>
      <c r="G719" t="s">
        <v>1113</v>
      </c>
      <c r="I719">
        <v>2018</v>
      </c>
      <c r="K719" t="s">
        <v>1114</v>
      </c>
      <c r="M719" t="str">
        <f>LEFT($D719,FIND(",",$D719)-1)&amp;"_"&amp;I719&amp;L719</f>
        <v>Balasbaneh_2018</v>
      </c>
      <c r="N719" t="s">
        <v>222</v>
      </c>
      <c r="O719" s="140" t="s">
        <v>508</v>
      </c>
      <c r="Q719" t="s">
        <v>224</v>
      </c>
      <c r="R719" s="258" t="s">
        <v>223</v>
      </c>
      <c r="S719" s="1" t="s">
        <v>1116</v>
      </c>
      <c r="T719" s="260" t="s">
        <v>2792</v>
      </c>
      <c r="U719" s="260" t="s">
        <v>2790</v>
      </c>
      <c r="V719" s="253">
        <v>0</v>
      </c>
      <c r="W719" s="253">
        <v>0</v>
      </c>
      <c r="X719">
        <v>0</v>
      </c>
      <c r="Y719">
        <v>0</v>
      </c>
      <c r="Z719">
        <v>0</v>
      </c>
      <c r="AA719">
        <v>0</v>
      </c>
      <c r="AB719">
        <v>0</v>
      </c>
      <c r="AC719">
        <v>0</v>
      </c>
      <c r="AD719">
        <v>0</v>
      </c>
      <c r="AE719">
        <v>0</v>
      </c>
      <c r="AF719">
        <v>0</v>
      </c>
      <c r="AG719">
        <v>0</v>
      </c>
      <c r="AH719">
        <v>0</v>
      </c>
      <c r="AI719">
        <v>0</v>
      </c>
      <c r="AJ719">
        <v>0</v>
      </c>
      <c r="AK719">
        <v>0</v>
      </c>
      <c r="AL719">
        <v>0</v>
      </c>
      <c r="AM719">
        <v>1</v>
      </c>
      <c r="AN719">
        <v>0</v>
      </c>
      <c r="AO719">
        <v>0</v>
      </c>
      <c r="AP719">
        <v>0</v>
      </c>
      <c r="AQ719">
        <v>0</v>
      </c>
      <c r="AR719">
        <v>0</v>
      </c>
      <c r="AS719">
        <v>0</v>
      </c>
      <c r="AT719">
        <v>0</v>
      </c>
      <c r="AU719">
        <v>0</v>
      </c>
      <c r="AV719">
        <v>0</v>
      </c>
      <c r="AW719">
        <v>0</v>
      </c>
      <c r="AX719">
        <v>0</v>
      </c>
      <c r="AY719">
        <v>0</v>
      </c>
      <c r="AZ719" s="141">
        <f>COUNTIF(X719:AY719,"&lt;&gt;0")</f>
        <v>1</v>
      </c>
      <c r="BA719" s="141">
        <f>COUNTIF(X719:AN719,"&lt;&gt;0")</f>
        <v>1</v>
      </c>
      <c r="BB719">
        <f>COUNTIF(X719:AE719,"&lt;&gt;0")</f>
        <v>0</v>
      </c>
      <c r="BC719">
        <f>COUNTIF(AF719:AK719,"&lt;&gt;0")</f>
        <v>0</v>
      </c>
      <c r="BD719">
        <f>COUNTIF(AL719:AN719,"&lt;&gt;0")</f>
        <v>1</v>
      </c>
      <c r="BE719">
        <f>COUNTIF(AU719:AY719,"&lt;&gt;0")</f>
        <v>0</v>
      </c>
      <c r="BF719">
        <f>COUNTIF(AO719:AT719,"&lt;&gt;0")</f>
        <v>0</v>
      </c>
      <c r="BG719" t="str">
        <f t="array" ref="BG719">IF(BA719=1,INDEX($X$7:$AN$7,MATCH(TRUE,INDEX($X719:$AY719&lt;&gt;0,),0)),IF(BA719=0,INDEX($AO$7:$AY$7,MATCH(1,$AO719:$AY719,0)),IF(BH719="Multiple strategies","mixed drivers",IF(BH719="Supply chain","multiple supply","multiple silviculture"))))</f>
        <v>technologies/design switch</v>
      </c>
      <c r="BH719" s="2" t="str" cm="1">
        <f t="array" ref="BH719">IF(COUNTIF(BB719:BD719,"&lt;&gt;0")=1,INDEX($X$4:$AY$4,MATCH(TRUE,INDEX($X719:$AY719&lt;&gt;0,),0)),IF(COUNTIF(BB719:BD719,"&lt;&gt;0")=0,INDEX($AO$4:$AY$4,MATCH(1,$AO719:$AY719,0)),"Multiple strategies"))</f>
        <v>Technology</v>
      </c>
      <c r="BI719" s="1" t="s">
        <v>229</v>
      </c>
      <c r="BJ719" t="s">
        <v>229</v>
      </c>
      <c r="BL719" t="s">
        <v>345</v>
      </c>
      <c r="BM719">
        <v>0</v>
      </c>
      <c r="BN719">
        <v>15468</v>
      </c>
      <c r="BO719" s="143"/>
      <c r="BP719">
        <f>BN719-BM719</f>
        <v>15468</v>
      </c>
      <c r="BQ719" s="143">
        <f>BP719*kg_to_m3</f>
        <v>31.567346938775515</v>
      </c>
      <c r="BR719" t="s">
        <v>232</v>
      </c>
      <c r="BS719" s="153" t="s">
        <v>987</v>
      </c>
      <c r="BT719" t="s">
        <v>397</v>
      </c>
      <c r="BU719">
        <v>-8200</v>
      </c>
      <c r="BV719">
        <v>-5370</v>
      </c>
      <c r="BW719" s="144">
        <v>0.65487804878048783</v>
      </c>
      <c r="BX719">
        <v>2830</v>
      </c>
      <c r="BZ719">
        <f>BX719/1000</f>
        <v>2.83</v>
      </c>
      <c r="CA719">
        <f>IFERROR(BZ719/BQ719,"")</f>
        <v>8.964959917248512E-2</v>
      </c>
      <c r="CB719">
        <v>0</v>
      </c>
      <c r="CC719">
        <v>0</v>
      </c>
      <c r="CD719">
        <v>0</v>
      </c>
      <c r="CE719">
        <v>0</v>
      </c>
      <c r="CF719">
        <v>0</v>
      </c>
      <c r="CG719">
        <v>0</v>
      </c>
      <c r="CH719">
        <v>0</v>
      </c>
      <c r="CI719">
        <v>0</v>
      </c>
      <c r="CJ719">
        <v>0</v>
      </c>
      <c r="CK719">
        <v>0</v>
      </c>
      <c r="CL719">
        <v>0</v>
      </c>
      <c r="CM719">
        <v>0</v>
      </c>
      <c r="CN719">
        <v>0</v>
      </c>
      <c r="CO719">
        <v>0</v>
      </c>
      <c r="CP719" t="str">
        <f>IF($BN719&lt;$BM719,"refNeedCorrection","refOK")</f>
        <v>refOK</v>
      </c>
      <c r="CQ719">
        <f>IF($CP719="refNeedCorrection",BN719,BM719)</f>
        <v>0</v>
      </c>
      <c r="CR719">
        <f>IF($CP719="refNeedCorrection",BM719,BN719)</f>
        <v>15468</v>
      </c>
      <c r="CS719">
        <f>IF($CP719="refOK",$BQ719,-$BQ719)</f>
        <v>31.567346938775515</v>
      </c>
      <c r="CT719">
        <f>IF(BI719="Roundwood",$CS719/2,$CS719)</f>
        <v>31.567346938775515</v>
      </c>
      <c r="CU719">
        <f>IF($CP719="refOK",$BU719,$BV719)*IF($BR719="Emissions positive",-1,1)</f>
        <v>-8200</v>
      </c>
      <c r="CV719">
        <f>IF($CP719="refOK",$BV719,$BU719)*IF($BR719="Emissions positive",-1,1)</f>
        <v>-5370</v>
      </c>
      <c r="CW719">
        <f>IF($CP719="refNeedCorrection",-BZ719,BZ719)*IF($BR719="Emissions positive",-1,1)</f>
        <v>2.83</v>
      </c>
      <c r="CX719">
        <f>IFERROR($CW719/$CS719,"")</f>
        <v>8.964959917248512E-2</v>
      </c>
      <c r="CY719">
        <f>IFERROR($CW719/$CS719,"")</f>
        <v>8.964959917248512E-2</v>
      </c>
      <c r="CZ719">
        <f>IFERROR($CW719/$CT719,"")</f>
        <v>8.964959917248512E-2</v>
      </c>
      <c r="DA719" s="2">
        <f>IFERROR((CV719-CU719)/ABS(CU719),"")</f>
        <v>0.34512195121951217</v>
      </c>
      <c r="DB719" s="1" t="s">
        <v>1078</v>
      </c>
      <c r="DC719" t="str">
        <f>IF(OR($DB719="prd",$DB719="std",$DB719="cit"),"loc",IF(OR($DB719="eur",$DB719="reg",$DB719="coy"),"reg",$DB719))</f>
        <v>reg</v>
      </c>
      <c r="DD719" t="s">
        <v>348</v>
      </c>
      <c r="DE719">
        <v>2014</v>
      </c>
      <c r="DF719">
        <v>2114</v>
      </c>
      <c r="DG719">
        <v>100</v>
      </c>
      <c r="DH719" t="str">
        <f>IF(DG719=0,"0",IF(AND(DG719&gt;=1,DG719&lt;=30),"1-30",IF(AND(DG719&gt;30,DG719&lt;=70),"31-70",IF(AND(DG719&gt;70,DG719&lt;=100),"71-100",IF(DG719&gt;100,"+100")))))</f>
        <v>71-100</v>
      </c>
      <c r="DI719">
        <v>0</v>
      </c>
      <c r="DJ719">
        <v>0</v>
      </c>
      <c r="DK719">
        <v>0</v>
      </c>
      <c r="DL719">
        <v>1</v>
      </c>
      <c r="DN719">
        <f>SUM(DI719:DL719)</f>
        <v>1</v>
      </c>
      <c r="DO719" t="str">
        <f>IF(DN719=1,INDEX($DI$7:$DL$7,MATCH(1,$DI719:$DL719,0)),"mixedProduct")</f>
        <v>TimberInput</v>
      </c>
      <c r="DP719">
        <f>IF(DI719=1,DP$7,0)</f>
        <v>0</v>
      </c>
      <c r="DQ719">
        <f>IF(DJ719=1,DQ$7,0)</f>
        <v>0</v>
      </c>
      <c r="DR719">
        <f>IF(DK719=1,DR$7,0)</f>
        <v>0</v>
      </c>
      <c r="DS719" t="str">
        <f>IF(DL719=1,DS$7,0)</f>
        <v>Timber</v>
      </c>
      <c r="DT719">
        <v>0</v>
      </c>
      <c r="DU719">
        <v>0</v>
      </c>
      <c r="DV719">
        <v>0</v>
      </c>
      <c r="DW719">
        <v>0</v>
      </c>
      <c r="DX719">
        <v>0</v>
      </c>
      <c r="DY719">
        <f>SUM(DT719:DU719)</f>
        <v>0</v>
      </c>
      <c r="DZ719" s="143" t="str">
        <f>IF(DT719=1,"self-calculated DF",IF(DU719=1,"external DF used","explicit C balance"))</f>
        <v>explicit C balance</v>
      </c>
      <c r="EA719">
        <v>0</v>
      </c>
      <c r="EB719">
        <v>0</v>
      </c>
      <c r="EC719">
        <v>0</v>
      </c>
      <c r="ED719">
        <v>0</v>
      </c>
      <c r="EE719">
        <v>0</v>
      </c>
      <c r="EF719" s="143">
        <v>1</v>
      </c>
      <c r="EG719">
        <v>0</v>
      </c>
      <c r="EH719">
        <v>1</v>
      </c>
      <c r="EI719">
        <v>1</v>
      </c>
      <c r="EJ719">
        <v>1</v>
      </c>
      <c r="EK719">
        <v>0</v>
      </c>
      <c r="EL719">
        <v>0</v>
      </c>
      <c r="EM719">
        <v>0</v>
      </c>
      <c r="EN719" s="2">
        <v>0</v>
      </c>
      <c r="EP719" t="str">
        <f>IF(AND(AND(AND(OR($EC719=1,$EB719=1),OR($EH719=1,$EF719=1)),SUM($EA719:$EE719,$EK719)&gt;=3),SUM($EF719:$EJ719)&gt;=2),"Whole sector approach","")</f>
        <v/>
      </c>
      <c r="EQ719" t="str">
        <f>IF(AND(AND(OR($EC719=1,$EB719=1),AND($EH719=0,$EF719=0)),SUM($EA719:$EE719,$EK719)&gt;=4),"Ecosystem approach","")</f>
        <v/>
      </c>
      <c r="ER719" s="2" t="str">
        <f>IF(AND(AND(AND($EC719=0,$EB719=0),OR($EH719=1,$EF719=1)),SUM($EG719:$EJ719)&gt;=2),"Technology approach","")</f>
        <v>Technology approach</v>
      </c>
      <c r="ES719" t="str">
        <f>IF(AND($EC719+$EB719+$EE719+$EA719+$ED719+$EG719=0,$N719="included"),"C neutral forest and HWP assumption","")</f>
        <v>C neutral forest and HWP assumption</v>
      </c>
      <c r="ET719" t="str">
        <f>IF(AND(AND(AND(AND($EC719=1,$EB719+$EA719+$EG719&gt;=1),$EF719=1),$EH719+$EI719+$ED719+$EE719&gt;=2),$N719="included"),"All C pools assumption","")</f>
        <v/>
      </c>
      <c r="EU719" t="str">
        <f>IF(AND($ED719+$EE719+$EI719+$EH719+$EF719=0,$N719="included"),"In-situ only assumption","")</f>
        <v/>
      </c>
      <c r="EY719" t="str">
        <f>IF(ISNUMBER(BW719),IF(ABS(BW719-[2]QC_indicators!$B$2)&gt;3*[2]QC_indicators!$C$2,"C ratio",IF(ISNUMBER(CA719),IF(ABS(CA719-[2]QC_indicators!$B$1)&gt;3*[2]QC_indicators!$C$1,"DF","no"))),IF(ISNUMBER(CA719),IF(ABS(CA719-[2]QC_indicators!$B$1)&gt;3*[2]QC_indicators!$C$1,"DF","no")))</f>
        <v>no</v>
      </c>
      <c r="FA719" t="str">
        <f>IF(LEN($CY719)=0,"",IF(AND($CY719&lt;(-0.05),$ES719="C neutral forest and HWP assumption"),"Cneutral paradox",IF(AND($CY719&gt;0.05,$EU719="In-situ only assumption"),"In-situ only paradox","")))</f>
        <v/>
      </c>
      <c r="FB719" s="149" t="s">
        <v>349</v>
      </c>
      <c r="FD719" s="260" t="s">
        <v>2948</v>
      </c>
    </row>
    <row r="720" spans="1:160" ht="15" hidden="1" customHeight="1">
      <c r="A720" s="1" t="s">
        <v>1043</v>
      </c>
      <c r="B720" t="s">
        <v>1044</v>
      </c>
      <c r="C720" t="s">
        <v>1045</v>
      </c>
      <c r="D720" t="s">
        <v>1046</v>
      </c>
      <c r="E720" t="s">
        <v>1047</v>
      </c>
      <c r="F720" t="s">
        <v>1048</v>
      </c>
      <c r="G720" t="s">
        <v>1049</v>
      </c>
      <c r="H720" t="s">
        <v>254</v>
      </c>
      <c r="I720">
        <v>2010</v>
      </c>
      <c r="J720">
        <v>51</v>
      </c>
      <c r="K720" t="s">
        <v>1050</v>
      </c>
      <c r="M720" t="str">
        <f>LEFT($D720,FIND(",",$D720)-1)&amp;"_"&amp;I720&amp;L720</f>
        <v>Vukotic_2010</v>
      </c>
      <c r="N720" t="s">
        <v>222</v>
      </c>
      <c r="O720" s="145" t="s">
        <v>1029</v>
      </c>
      <c r="Q720" t="s">
        <v>256</v>
      </c>
      <c r="R720" s="264" t="s">
        <v>274</v>
      </c>
      <c r="S720" s="1" t="s">
        <v>1051</v>
      </c>
      <c r="T720" t="s">
        <v>1052</v>
      </c>
      <c r="U720" t="s">
        <v>1057</v>
      </c>
      <c r="V720" s="253">
        <v>0</v>
      </c>
      <c r="W720" s="253">
        <v>0</v>
      </c>
      <c r="X720">
        <v>0</v>
      </c>
      <c r="Y720">
        <v>0</v>
      </c>
      <c r="Z720">
        <v>0</v>
      </c>
      <c r="AA720">
        <v>0</v>
      </c>
      <c r="AB720">
        <v>0</v>
      </c>
      <c r="AC720">
        <v>0</v>
      </c>
      <c r="AD720">
        <v>0</v>
      </c>
      <c r="AE720">
        <v>0</v>
      </c>
      <c r="AF720">
        <v>0</v>
      </c>
      <c r="AG720">
        <v>0</v>
      </c>
      <c r="AH720">
        <v>0</v>
      </c>
      <c r="AI720">
        <v>0</v>
      </c>
      <c r="AJ720">
        <v>0</v>
      </c>
      <c r="AK720">
        <v>0</v>
      </c>
      <c r="AL720">
        <v>0</v>
      </c>
      <c r="AM720">
        <v>1</v>
      </c>
      <c r="AN720">
        <v>0</v>
      </c>
      <c r="AO720">
        <v>0</v>
      </c>
      <c r="AP720">
        <v>0</v>
      </c>
      <c r="AQ720">
        <v>0</v>
      </c>
      <c r="AR720">
        <v>0</v>
      </c>
      <c r="AS720">
        <v>0</v>
      </c>
      <c r="AT720">
        <v>0</v>
      </c>
      <c r="AU720">
        <v>0</v>
      </c>
      <c r="AV720">
        <v>0</v>
      </c>
      <c r="AW720">
        <v>0</v>
      </c>
      <c r="AX720">
        <v>0</v>
      </c>
      <c r="AY720">
        <v>0</v>
      </c>
      <c r="AZ720" s="141">
        <f>COUNTIF(X720:AY720,"&lt;&gt;0")</f>
        <v>1</v>
      </c>
      <c r="BA720" s="141">
        <f>COUNTIF(X720:AN720,"&lt;&gt;0")</f>
        <v>1</v>
      </c>
      <c r="BB720">
        <f>COUNTIF(X720:AE720,"&lt;&gt;0")</f>
        <v>0</v>
      </c>
      <c r="BC720">
        <f>COUNTIF(AF720:AK720,"&lt;&gt;0")</f>
        <v>0</v>
      </c>
      <c r="BD720">
        <f>COUNTIF(AL720:AN720,"&lt;&gt;0")</f>
        <v>1</v>
      </c>
      <c r="BE720">
        <f>COUNTIF(AU720:AY720,"&lt;&gt;0")</f>
        <v>0</v>
      </c>
      <c r="BF720">
        <f>COUNTIF(AO720:AT720,"&lt;&gt;0")</f>
        <v>0</v>
      </c>
      <c r="BG720" t="str">
        <f t="array" ref="BG720">IF(BA720=1,INDEX($X$7:$AN$7,MATCH(TRUE,INDEX($X720:$AY720&lt;&gt;0,),0)),IF(BA720=0,INDEX($AO$7:$AY$7,MATCH(1,$AO720:$AY720,0)),IF(BH720="Multiple strategies","mixed drivers",IF(BH720="Supply chain","multiple supply","multiple silviculture"))))</f>
        <v>technologies/design switch</v>
      </c>
      <c r="BH720" s="2" t="str" cm="1">
        <f t="array" ref="BH720">IF(COUNTIF(BB720:BD720,"&lt;&gt;0")=1,INDEX($X$4:$AY$4,MATCH(TRUE,INDEX($X720:$AY720&lt;&gt;0,),0)),IF(COUNTIF(BB720:BD720,"&lt;&gt;0")=0,INDEX($AO$4:$AY$4,MATCH(1,$AO720:$AY720,0)),"Multiple strategies"))</f>
        <v>Technology</v>
      </c>
      <c r="BI720" s="1" t="s">
        <v>229</v>
      </c>
      <c r="BJ720" t="s">
        <v>1054</v>
      </c>
      <c r="BL720" t="s">
        <v>1055</v>
      </c>
      <c r="BM720">
        <v>0</v>
      </c>
      <c r="BN720">
        <v>0.27407407407407408</v>
      </c>
      <c r="BO720" s="143" t="e">
        <f>BN720/BM720</f>
        <v>#DIV/0!</v>
      </c>
      <c r="BP720">
        <f>BN720-BM720</f>
        <v>0.27407407407407408</v>
      </c>
      <c r="BQ720">
        <f>BP720*t_to_m3</f>
        <v>0.55933484504913078</v>
      </c>
      <c r="BR720" t="s">
        <v>232</v>
      </c>
      <c r="BT720" t="s">
        <v>1056</v>
      </c>
      <c r="BU720">
        <v>-272.77999999999997</v>
      </c>
      <c r="BV720">
        <v>-221.89</v>
      </c>
      <c r="BW720" s="144">
        <f>IFERROR(BV720/BU720,"")</f>
        <v>0.81343940171566831</v>
      </c>
      <c r="BX720" s="144">
        <f>BV720-BU720</f>
        <v>50.889999999999986</v>
      </c>
      <c r="BY720" s="144"/>
      <c r="BZ720" s="144">
        <f>BX720*0.001</f>
        <v>5.0889999999999991E-2</v>
      </c>
      <c r="CA720">
        <f>IFERROR(BZ720/BQ720,"")</f>
        <v>9.0983067567567549E-2</v>
      </c>
      <c r="CB720">
        <v>0</v>
      </c>
      <c r="CC720">
        <v>0</v>
      </c>
      <c r="CD720">
        <v>0</v>
      </c>
      <c r="CE720">
        <v>0</v>
      </c>
      <c r="CF720">
        <v>0</v>
      </c>
      <c r="CG720">
        <v>0</v>
      </c>
      <c r="CH720">
        <v>0</v>
      </c>
      <c r="CI720">
        <v>0</v>
      </c>
      <c r="CJ720">
        <v>0</v>
      </c>
      <c r="CK720">
        <v>0</v>
      </c>
      <c r="CL720">
        <v>0</v>
      </c>
      <c r="CM720">
        <v>0</v>
      </c>
      <c r="CN720">
        <v>0</v>
      </c>
      <c r="CO720">
        <v>0</v>
      </c>
      <c r="CP720" t="str">
        <f>IF($BN720&lt;$BM720,"refNeedCorrection","refOK")</f>
        <v>refOK</v>
      </c>
      <c r="CQ720">
        <f>IF($CP720="refOK",$BM720,$BN720)</f>
        <v>0</v>
      </c>
      <c r="CR720">
        <f>IF($CP720="refOK",$BN720,$BM720)</f>
        <v>0.27407407407407408</v>
      </c>
      <c r="CS720">
        <f>IF($CP720="refOK",$BQ720,-$BQ720)</f>
        <v>0.55933484504913078</v>
      </c>
      <c r="CT720">
        <f>IF(BI720="Roundwood",$CS720/2,$CS720)</f>
        <v>0.55933484504913078</v>
      </c>
      <c r="CU720">
        <f>IF($CP720="refOK",$BU720,$BV720)*IF($BR720="Emissions positive",-1,1)</f>
        <v>-272.77999999999997</v>
      </c>
      <c r="CV720">
        <f>IF($CP720="refOK",$BV720,$BU720)*IF($BR720="Emissions positive",-1,1)</f>
        <v>-221.89</v>
      </c>
      <c r="CW720">
        <f>IF($CP720="refNeedCorrection",-BZ720,BZ720)*IF($BR720="Emissions positive",-1,1)</f>
        <v>5.0889999999999991E-2</v>
      </c>
      <c r="CX720">
        <f>IFERROR($CW720/$CS720,"")</f>
        <v>9.0983067567567549E-2</v>
      </c>
      <c r="CY720">
        <f>IFERROR($CW720/$CS720,"")</f>
        <v>9.0983067567567549E-2</v>
      </c>
      <c r="CZ720">
        <f>IFERROR($CW720/$CT720,"")</f>
        <v>9.0983067567567549E-2</v>
      </c>
      <c r="DA720" s="2">
        <f>IFERROR((CV720-CU720)/ABS(CU720),"")</f>
        <v>0.18656059828433166</v>
      </c>
      <c r="DB720" s="1" t="s">
        <v>263</v>
      </c>
      <c r="DC720" t="str">
        <f>IF(OR($DB720="prd",$DB720="std",$DB720="cit"),"loc",IF(OR($DB720="eur",$DB720="reg",$DB720="coy"),"reg",$DB720))</f>
        <v>loc</v>
      </c>
      <c r="DD720" s="296" t="s">
        <v>3098</v>
      </c>
      <c r="DG720">
        <v>60</v>
      </c>
      <c r="DH720" t="str">
        <f>IF(DG720=0,"0",IF(AND(DG720&gt;=1,DG720&lt;=30),"1-30",IF(AND(DG720&gt;30,DG720&lt;=70),"31-70",IF(AND(DG720&gt;70,DG720&lt;=100),"71-100",IF(DG720&gt;100,"+100")))))</f>
        <v>31-70</v>
      </c>
      <c r="DI720">
        <v>0</v>
      </c>
      <c r="DJ720">
        <v>0</v>
      </c>
      <c r="DK720">
        <v>0</v>
      </c>
      <c r="DL720">
        <v>1</v>
      </c>
      <c r="DN720">
        <f>SUM(DI720:DL720)</f>
        <v>1</v>
      </c>
      <c r="DO720" t="str">
        <f>IF(DN720=1,INDEX($DI$7:$DL$7,MATCH(1,$DI720:$DL720,0)),"mixedProduct")</f>
        <v>TimberInput</v>
      </c>
      <c r="DP720">
        <f>IF(DI720=1,DP$7,0)</f>
        <v>0</v>
      </c>
      <c r="DQ720">
        <f>IF(DJ720=1,DQ$7,0)</f>
        <v>0</v>
      </c>
      <c r="DR720">
        <f>IF(DK720=1,DR$7,0)</f>
        <v>0</v>
      </c>
      <c r="DS720" t="str">
        <f>IF(DL720=1,DS$7,0)</f>
        <v>Timber</v>
      </c>
      <c r="DT720">
        <v>1</v>
      </c>
      <c r="DU720">
        <v>0</v>
      </c>
      <c r="DV720">
        <v>0</v>
      </c>
      <c r="DW720">
        <v>0</v>
      </c>
      <c r="DX720">
        <v>0</v>
      </c>
      <c r="DY720">
        <f>SUM(DT720:DU720)</f>
        <v>1</v>
      </c>
      <c r="DZ720" s="143" t="str">
        <f>IF(DT720=1,"self-calculated DF",IF(DU720=1,"external DF used","explicit C balance"))</f>
        <v>self-calculated DF</v>
      </c>
      <c r="EA720">
        <v>0</v>
      </c>
      <c r="EB720">
        <v>0</v>
      </c>
      <c r="EC720">
        <v>0</v>
      </c>
      <c r="ED720">
        <v>0</v>
      </c>
      <c r="EE720">
        <v>0</v>
      </c>
      <c r="EF720" s="143">
        <v>0</v>
      </c>
      <c r="EG720">
        <v>0</v>
      </c>
      <c r="EH720">
        <v>1</v>
      </c>
      <c r="EI720">
        <v>1</v>
      </c>
      <c r="EJ720">
        <v>0</v>
      </c>
      <c r="EK720">
        <v>0</v>
      </c>
      <c r="EL720">
        <v>0</v>
      </c>
      <c r="EM720">
        <v>0</v>
      </c>
      <c r="EN720" s="2">
        <v>0</v>
      </c>
      <c r="EP720" t="str">
        <f>IF(AND(AND(AND(OR($EC720=1,$EB720=1),OR($EH720=1,$EF720=1)),SUM($EA720:$EE720,$EK720)&gt;=3),SUM($EF720:$EJ720)&gt;=2),"Whole sector approach","")</f>
        <v/>
      </c>
      <c r="EQ720" t="str">
        <f>IF(AND(AND(OR($EC720=1,$EB720=1),AND($EH720=0,$EF720=0)),SUM($EA720:$EE720,$EK720)&gt;=4),"Ecosystem approach","")</f>
        <v/>
      </c>
      <c r="ER720" s="2" t="str">
        <f>IF(AND(AND(AND($EC720=0,$EB720=0),OR($EH720=1,$EF720=1)),SUM($EG720:$EJ720)&gt;=2),"Technology approach","")</f>
        <v>Technology approach</v>
      </c>
      <c r="ES720" t="str">
        <f>IF(AND($EC720+$EB720+$EE720+$EA720+$ED720+$EG720=0,$N720="included"),"C neutral forest and HWP assumption","")</f>
        <v>C neutral forest and HWP assumption</v>
      </c>
      <c r="ET720" t="str">
        <f>IF(AND(AND(AND(AND($EC720=1,$EB720+$EA720+$EG720&gt;=1),$EF720=1),$EH720+$EI720+$ED720+$EE720&gt;=2),$N720="included"),"All C pools assumption","")</f>
        <v/>
      </c>
      <c r="EU720" t="str">
        <f>IF(AND($ED720+$EE720+$EI720+$EH720+$EF720=0,$N720="included"),"In-situ only assumption","")</f>
        <v/>
      </c>
      <c r="EY720" t="str">
        <f>IF(ISNUMBER(BW720),IF(ABS(BW720-[3]QC_indicators!$B$2)&gt;3*[3]QC_indicators!$C$2,"C ratio",IF(ISNUMBER(CA720),IF(ABS(CA720-[3]QC_indicators!$B$1)&gt;3*[3]QC_indicators!$C$1,"DF","no"))),IF(ISNUMBER(CA720),IF(ABS(CA720-[3]QC_indicators!$B$1)&gt;3*[3]QC_indicators!$C$1,"DF","no")))</f>
        <v>no</v>
      </c>
      <c r="FA720" t="str">
        <f>IF(LEN($CY720)=0,"",IF(AND($CY720&lt;(-0.05),$ES720="C neutral forest and HWP assumption"),"Cneutral paradox",IF(AND($CY720&gt;0.05,$EU720="In-situ only assumption"),"In-situ only paradox","")))</f>
        <v/>
      </c>
      <c r="FD720" s="260" t="s">
        <v>2938</v>
      </c>
    </row>
    <row r="721" spans="1:160" ht="15" hidden="1" customHeight="1">
      <c r="A721" s="1" t="s">
        <v>1654</v>
      </c>
      <c r="B721" t="s">
        <v>2188</v>
      </c>
      <c r="C721" t="s">
        <v>2189</v>
      </c>
      <c r="D721" t="s">
        <v>2190</v>
      </c>
      <c r="E721" t="s">
        <v>2191</v>
      </c>
      <c r="F721" t="s">
        <v>2192</v>
      </c>
      <c r="G721" t="s">
        <v>1660</v>
      </c>
      <c r="H721" t="s">
        <v>254</v>
      </c>
      <c r="I721">
        <v>2010</v>
      </c>
      <c r="J721">
        <v>100</v>
      </c>
      <c r="K721" t="s">
        <v>2193</v>
      </c>
      <c r="M721" t="str">
        <f>LEFT($D721,FIND(",",$D721)-1)&amp;"_"&amp;I721&amp;L721</f>
        <v>Werner_2010</v>
      </c>
      <c r="N721" t="s">
        <v>222</v>
      </c>
      <c r="O721" s="145" t="s">
        <v>1029</v>
      </c>
      <c r="Q721" t="s">
        <v>256</v>
      </c>
      <c r="R721" s="258" t="s">
        <v>223</v>
      </c>
      <c r="S721" s="1" t="s">
        <v>2194</v>
      </c>
      <c r="T721" t="s">
        <v>2195</v>
      </c>
      <c r="U721" t="s">
        <v>2199</v>
      </c>
      <c r="V721" s="334">
        <v>1</v>
      </c>
      <c r="W721">
        <v>0</v>
      </c>
      <c r="X721">
        <v>1</v>
      </c>
      <c r="Y721">
        <v>0</v>
      </c>
      <c r="Z721">
        <v>2</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s="141">
        <f>COUNTIF(X721:AY721,"&lt;&gt;0")</f>
        <v>2</v>
      </c>
      <c r="BA721" s="141">
        <f>COUNTIF(X721:AN721,"&lt;&gt;0")</f>
        <v>2</v>
      </c>
      <c r="BB721">
        <f>COUNTIF(X721:AE721,"&lt;&gt;0")</f>
        <v>2</v>
      </c>
      <c r="BC721">
        <f>COUNTIF(AF721:AK721,"&lt;&gt;0")</f>
        <v>0</v>
      </c>
      <c r="BD721">
        <f>COUNTIF(AL721:AN721,"&lt;&gt;0")</f>
        <v>0</v>
      </c>
      <c r="BE721">
        <f>COUNTIF(AU721:AY721,"&lt;&gt;0")</f>
        <v>0</v>
      </c>
      <c r="BF721">
        <f>COUNTIF(AO721:AT721,"&lt;&gt;0")</f>
        <v>0</v>
      </c>
      <c r="BG721" t="str">
        <f t="array" ref="BG721">IF(BA721=1,INDEX($X$7:$AN$7,MATCH(TRUE,INDEX($X721:$AY721&lt;&gt;0,),0)),IF(BA721=0,INDEX($AO$7:$AY$7,MATCH(1,$AO721:$AY721,0)),IF(BH721="Multiple strategies","mixed drivers",IF(BH721="Supply chain","multiple supply","multiple silviculture"))))</f>
        <v>multiple silviculture</v>
      </c>
      <c r="BH721" s="2" t="str" cm="1">
        <f t="array" ref="BH721">IF(COUNTIF(BB721:BD721,"&lt;&gt;0")=1,INDEX($X$4:$AY$4,MATCH(TRUE,INDEX($X721:$AY721&lt;&gt;0,),0)),IF(COUNTIF(BB721:BD721,"&lt;&gt;0")=0,INDEX($AO$4:$AY$4,MATCH(1,$AO721:$AY721,0)),"Multiple strategies"))</f>
        <v>Silviculture for removals</v>
      </c>
      <c r="BI721" s="1" t="s">
        <v>321</v>
      </c>
      <c r="BJ721" t="s">
        <v>2166</v>
      </c>
      <c r="BK721" s="260" t="s">
        <v>2927</v>
      </c>
      <c r="BL721" t="s">
        <v>1197</v>
      </c>
      <c r="BM721">
        <v>300</v>
      </c>
      <c r="BN721">
        <v>712.5</v>
      </c>
      <c r="BO721" s="143">
        <f>BN721/BM721</f>
        <v>2.375</v>
      </c>
      <c r="BP721">
        <f>BN721-BM721</f>
        <v>412.5</v>
      </c>
      <c r="BQ721">
        <f>BP721*10^6</f>
        <v>412500000</v>
      </c>
      <c r="BR721" t="s">
        <v>232</v>
      </c>
      <c r="BS721" s="153" t="s">
        <v>2928</v>
      </c>
      <c r="BT721" t="s">
        <v>2069</v>
      </c>
      <c r="BU721">
        <v>345.6503741652154</v>
      </c>
      <c r="BV721">
        <v>219.15744142171502</v>
      </c>
      <c r="BW721" s="144">
        <f>IFERROR(BV721/BU721,"")</f>
        <v>0.63404369791586346</v>
      </c>
      <c r="BX721" s="144">
        <f>BV721-BU721</f>
        <v>-126.49293274350038</v>
      </c>
      <c r="BY721" s="144"/>
      <c r="BZ721">
        <f>BX721*10^6</f>
        <v>-126492932.74350038</v>
      </c>
      <c r="CA721">
        <f>IFERROR(BZ721/BQ721,"")</f>
        <v>-0.30664953392363731</v>
      </c>
      <c r="CB721">
        <v>0</v>
      </c>
      <c r="CC721">
        <v>0</v>
      </c>
      <c r="CD721">
        <v>0</v>
      </c>
      <c r="CE721">
        <v>0</v>
      </c>
      <c r="CF721">
        <v>0</v>
      </c>
      <c r="CG721">
        <v>0</v>
      </c>
      <c r="CH721">
        <v>0</v>
      </c>
      <c r="CI721">
        <v>0</v>
      </c>
      <c r="CJ721">
        <v>0</v>
      </c>
      <c r="CK721">
        <v>0</v>
      </c>
      <c r="CL721">
        <v>0</v>
      </c>
      <c r="CM721">
        <v>0</v>
      </c>
      <c r="CN721">
        <v>0</v>
      </c>
      <c r="CO721">
        <v>1</v>
      </c>
      <c r="CP721" t="str">
        <f>IF($BN721&lt;$BM721,"refNeedCorrection","refOK")</f>
        <v>refOK</v>
      </c>
      <c r="CQ721">
        <f>IF($CP721="refNeedCorrection",BN721,BM721)</f>
        <v>300</v>
      </c>
      <c r="CR721">
        <f>IF($CP721="refNeedCorrection",BM721,BN721)</f>
        <v>712.5</v>
      </c>
      <c r="CS721">
        <f>IF($CP721="refOK",$BQ721,-$BQ721)</f>
        <v>412500000</v>
      </c>
      <c r="CT721">
        <f>IF(BI721="Roundwood",$CS721/2,$CS721)</f>
        <v>206250000</v>
      </c>
      <c r="CU721">
        <f>IF($CP721="refOK",$BU721,$BV721)*IF($BR721="Emissions positive",-1,1)</f>
        <v>345.6503741652154</v>
      </c>
      <c r="CV721">
        <f>IF($CP721="refOK",$BV721,$BU721)*IF($BR721="Emissions positive",-1,1)</f>
        <v>219.15744142171502</v>
      </c>
      <c r="CW721">
        <f>IF($CP721="refNeedCorrection",-BZ721,BZ721)*IF($BR721="Emissions positive",-1,1)</f>
        <v>-126492932.74350038</v>
      </c>
      <c r="CX721">
        <f>IFERROR($CW721/$CS721,"")</f>
        <v>-0.30664953392363731</v>
      </c>
      <c r="CY721">
        <f>IFERROR($CW721/$CS721,"")</f>
        <v>-0.30664953392363731</v>
      </c>
      <c r="CZ721">
        <f>IFERROR($CW721/$CT721,"")</f>
        <v>-0.61329906784727461</v>
      </c>
      <c r="DA721" s="2">
        <f>IFERROR((CV721-CU721)/ABS(CU721),"")</f>
        <v>-0.36595630208413649</v>
      </c>
      <c r="DB721" s="1" t="s">
        <v>1078</v>
      </c>
      <c r="DC721" t="str">
        <f>IF(OR($DB721="prd",$DB721="std",$DB721="cit"),"loc",IF(OR($DB721="eur",$DB721="reg",$DB721="coy"),"reg",$DB721))</f>
        <v>reg</v>
      </c>
      <c r="DD721" t="s">
        <v>626</v>
      </c>
      <c r="DE721">
        <v>2000</v>
      </c>
      <c r="DF721">
        <v>2090</v>
      </c>
      <c r="DG721">
        <f>DF721-DE721</f>
        <v>90</v>
      </c>
      <c r="DH721" t="str">
        <f>IF(DG721=0,"0",IF(AND(DG721&gt;=1,DG721&lt;=30),"1-30",IF(AND(DG721&gt;30,DG721&lt;=70),"31-70",IF(AND(DG721&gt;70,DG721&lt;=100),"71-100",IF(DG721&gt;100,"+100")))))</f>
        <v>71-100</v>
      </c>
      <c r="DI721">
        <v>1</v>
      </c>
      <c r="DJ721">
        <v>0</v>
      </c>
      <c r="DK721">
        <v>0</v>
      </c>
      <c r="DL721">
        <v>0</v>
      </c>
      <c r="DM721">
        <v>0</v>
      </c>
      <c r="DN721">
        <f>SUM(DI721:DL721)</f>
        <v>1</v>
      </c>
      <c r="DO721" t="str">
        <f>IF(DN721=1,INDEX($DI$7:$DL$7,MATCH(1,$DI721:$DL721,0)),"mixedProduct")</f>
        <v>UpstreamInput</v>
      </c>
      <c r="DP721" t="str">
        <f>IF(DI721=1,DP$7,0)</f>
        <v>Upstream</v>
      </c>
      <c r="DQ721">
        <f>IF(DJ721=1,DQ$7,0)</f>
        <v>0</v>
      </c>
      <c r="DR721">
        <f>IF(DK721=1,DR$7,0)</f>
        <v>0</v>
      </c>
      <c r="DS721">
        <f>IF(DL721=1,DS$7,0)</f>
        <v>0</v>
      </c>
      <c r="DT721">
        <v>0</v>
      </c>
      <c r="DU721">
        <v>0</v>
      </c>
      <c r="DY721">
        <f>SUM(DT721:DU721)</f>
        <v>0</v>
      </c>
      <c r="DZ721" s="143" t="str">
        <f>IF(DT721=1,"self-calculated DF",IF(DU721=1,"external DF used","explicit C balance"))</f>
        <v>explicit C balance</v>
      </c>
      <c r="EA721">
        <v>1</v>
      </c>
      <c r="EB721">
        <v>1</v>
      </c>
      <c r="EC721">
        <v>1</v>
      </c>
      <c r="ED721">
        <v>1</v>
      </c>
      <c r="EE721">
        <v>0</v>
      </c>
      <c r="EF721" s="143">
        <v>0</v>
      </c>
      <c r="EG721">
        <v>0</v>
      </c>
      <c r="EH721">
        <v>0</v>
      </c>
      <c r="EI721">
        <v>0</v>
      </c>
      <c r="EJ721">
        <v>0</v>
      </c>
      <c r="EK721">
        <v>1</v>
      </c>
      <c r="EL721">
        <v>0</v>
      </c>
      <c r="EM721">
        <v>0</v>
      </c>
      <c r="EN721" s="2">
        <v>0</v>
      </c>
      <c r="EP721" t="str">
        <f>IF(AND(AND(AND(OR($EC721=1,$EB721=1),OR($EH721=1,$EF721=1)),SUM($EA721:$EE721,$EK721)&gt;=3),SUM($EF721:$EJ721)&gt;=2),"Whole sector approach","")</f>
        <v/>
      </c>
      <c r="EQ721" t="str">
        <f>IF(AND(AND(OR($EC721=1,$EB721=1),AND($EH721=0,$EF721=0)),SUM($EA721:$EE721,$EK721)&gt;=4),"Ecosystem approach","")</f>
        <v>Ecosystem approach</v>
      </c>
      <c r="ER721" s="2" t="str">
        <f>IF(AND(AND(AND($EC721=0,$EB721=0),OR($EH721=1,$EF721=1)),SUM($EG721:$EJ721)&gt;=2),"Technology approach","")</f>
        <v/>
      </c>
      <c r="ES721" t="str">
        <f>IF(AND($EC721+$EB721+$EE721+$EA721+$ED721+$EG721=0,$N721="included"),"C neutral forest and HWP assumption","")</f>
        <v/>
      </c>
      <c r="ET721" t="str">
        <f>IF(AND(AND(AND(AND($EC721=1,$EB721+$EA721+$EG721&gt;=1),$EF721=1),$EH721+$EI721+$ED721+$EE721&gt;=2),$N721="included"),"All C pools assumption","")</f>
        <v/>
      </c>
      <c r="EU721" t="str">
        <f>IF(AND($ED721+$EE721+$EI721+$EH721+$EF721=0,$N721="included"),"In-situ only assumption","")</f>
        <v/>
      </c>
      <c r="EV721" s="328" t="s">
        <v>5065</v>
      </c>
      <c r="EW721" t="s">
        <v>2198</v>
      </c>
      <c r="EY721" t="str">
        <f>IF(ISNUMBER(BW721),IF(ABS(BW721-[2]QC_indicators!$B$2)&gt;3*[2]QC_indicators!$C$2,"C ratio",IF(ISNUMBER(CA721),IF(ABS(CA721-[2]QC_indicators!$B$1)&gt;3*[2]QC_indicators!$C$1,"DF","no"))),IF(ISNUMBER(CA721),IF(ABS(CA721-[2]QC_indicators!$B$1)&gt;3*[2]QC_indicators!$C$1,"DF","no")))</f>
        <v>no</v>
      </c>
      <c r="FA721" t="str">
        <f>IF(LEN($CY721)=0,"",IF(AND($CY721&lt;(-0.05),$ES721="C neutral forest and HWP assumption"),"Cneutral paradox",IF(AND($CY721&gt;0.05,$EU721="In-situ only assumption"),"In-situ only paradox","")))</f>
        <v/>
      </c>
      <c r="FD721" s="260" t="s">
        <v>2929</v>
      </c>
    </row>
    <row r="722" spans="1:160" ht="15" customHeight="1">
      <c r="A722" s="1" t="s">
        <v>1654</v>
      </c>
      <c r="B722" t="s">
        <v>2188</v>
      </c>
      <c r="C722" t="s">
        <v>2189</v>
      </c>
      <c r="D722" t="s">
        <v>2190</v>
      </c>
      <c r="E722" t="s">
        <v>2191</v>
      </c>
      <c r="F722" t="s">
        <v>2192</v>
      </c>
      <c r="G722" t="s">
        <v>1660</v>
      </c>
      <c r="H722" t="s">
        <v>254</v>
      </c>
      <c r="I722">
        <v>2010</v>
      </c>
      <c r="J722">
        <v>100</v>
      </c>
      <c r="K722" t="s">
        <v>2193</v>
      </c>
      <c r="M722" t="str">
        <f>LEFT($D722,FIND(",",$D722)-1)&amp;"_"&amp;I722&amp;L722</f>
        <v>Werner_2010</v>
      </c>
      <c r="N722" t="s">
        <v>222</v>
      </c>
      <c r="O722" s="145" t="s">
        <v>1029</v>
      </c>
      <c r="Q722" t="s">
        <v>256</v>
      </c>
      <c r="R722" s="258" t="s">
        <v>223</v>
      </c>
      <c r="S722" s="1" t="s">
        <v>2194</v>
      </c>
      <c r="T722" t="s">
        <v>2195</v>
      </c>
      <c r="U722" t="s">
        <v>2199</v>
      </c>
      <c r="V722" s="334">
        <v>1</v>
      </c>
      <c r="W722">
        <v>0</v>
      </c>
      <c r="X722">
        <v>1</v>
      </c>
      <c r="Y722">
        <v>0</v>
      </c>
      <c r="Z722">
        <v>2</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s="141">
        <f>COUNTIF(X722:AY722,"&lt;&gt;0")</f>
        <v>2</v>
      </c>
      <c r="BA722" s="141">
        <f>COUNTIF(X722:AN722,"&lt;&gt;0")</f>
        <v>2</v>
      </c>
      <c r="BB722">
        <f>COUNTIF(X722:AE722,"&lt;&gt;0")</f>
        <v>2</v>
      </c>
      <c r="BC722">
        <f>COUNTIF(AF722:AK722,"&lt;&gt;0")</f>
        <v>0</v>
      </c>
      <c r="BD722">
        <f>COUNTIF(AL722:AN722,"&lt;&gt;0")</f>
        <v>0</v>
      </c>
      <c r="BE722">
        <f>COUNTIF(AU722:AY722,"&lt;&gt;0")</f>
        <v>0</v>
      </c>
      <c r="BF722">
        <f>COUNTIF(AO722:AT722,"&lt;&gt;0")</f>
        <v>0</v>
      </c>
      <c r="BG722" t="str">
        <f t="array" ref="BG722">IF(BA722=1,INDEX($X$7:$AN$7,MATCH(TRUE,INDEX($X722:$AY722&lt;&gt;0,),0)),IF(BA722=0,INDEX($AO$7:$AY$7,MATCH(1,$AO722:$AY722,0)),IF(BH722="Multiple strategies","mixed drivers",IF(BH722="Supply chain","multiple supply","multiple silviculture"))))</f>
        <v>multiple silviculture</v>
      </c>
      <c r="BH722" s="2" t="str" cm="1">
        <f t="array" ref="BH722">IF(COUNTIF(BB722:BD722,"&lt;&gt;0")=1,INDEX($X$4:$AY$4,MATCH(TRUE,INDEX($X722:$AY722&lt;&gt;0,),0)),IF(COUNTIF(BB722:BD722,"&lt;&gt;0")=0,INDEX($AO$4:$AY$4,MATCH(1,$AO722:$AY722,0)),"Multiple strategies"))</f>
        <v>Silviculture for removals</v>
      </c>
      <c r="BI722" s="1" t="s">
        <v>321</v>
      </c>
      <c r="BJ722" t="s">
        <v>2166</v>
      </c>
      <c r="BK722" s="260" t="s">
        <v>2927</v>
      </c>
      <c r="BL722" t="s">
        <v>1197</v>
      </c>
      <c r="BM722">
        <v>300</v>
      </c>
      <c r="BN722">
        <v>712.5</v>
      </c>
      <c r="BO722" s="143">
        <f>BN722/BM722</f>
        <v>2.375</v>
      </c>
      <c r="BP722">
        <f>BN722-BM722</f>
        <v>412.5</v>
      </c>
      <c r="BQ722">
        <f>BP722*10^6</f>
        <v>412500000</v>
      </c>
      <c r="BR722" t="s">
        <v>232</v>
      </c>
      <c r="BS722" s="153" t="s">
        <v>2928</v>
      </c>
      <c r="BT722" t="s">
        <v>2069</v>
      </c>
      <c r="BU722">
        <v>350.30815678968798</v>
      </c>
      <c r="BV722">
        <v>103.43853301218</v>
      </c>
      <c r="BW722" s="144">
        <f>IFERROR(BV722/BU722,"")</f>
        <v>0.29527868822729314</v>
      </c>
      <c r="BX722" s="144">
        <f>BV722-BU722</f>
        <v>-246.86962377750797</v>
      </c>
      <c r="BY722" s="144"/>
      <c r="BZ722">
        <f>BX722*10^6</f>
        <v>-246869623.77750796</v>
      </c>
      <c r="CA722">
        <f>IFERROR(BZ722/BQ722,"")</f>
        <v>-0.59847181521820114</v>
      </c>
      <c r="CB722">
        <v>0</v>
      </c>
      <c r="CC722">
        <v>0</v>
      </c>
      <c r="CD722">
        <v>0</v>
      </c>
      <c r="CE722">
        <v>0</v>
      </c>
      <c r="CF722">
        <v>0</v>
      </c>
      <c r="CG722">
        <v>0</v>
      </c>
      <c r="CH722">
        <v>0</v>
      </c>
      <c r="CI722">
        <v>0</v>
      </c>
      <c r="CJ722">
        <v>0</v>
      </c>
      <c r="CK722">
        <v>0</v>
      </c>
      <c r="CL722">
        <v>0</v>
      </c>
      <c r="CM722">
        <v>0</v>
      </c>
      <c r="CN722">
        <v>0</v>
      </c>
      <c r="CO722">
        <v>1</v>
      </c>
      <c r="CP722" t="str">
        <f>IF($BN722&lt;$BM722,"refNeedCorrection","refOK")</f>
        <v>refOK</v>
      </c>
      <c r="CQ722">
        <f>IF($CP722="refNeedCorrection",BN722,BM722)</f>
        <v>300</v>
      </c>
      <c r="CR722">
        <f>IF($CP722="refNeedCorrection",BM722,BN722)</f>
        <v>712.5</v>
      </c>
      <c r="CS722">
        <f>IF($CP722="refOK",$BQ722,-$BQ722)</f>
        <v>412500000</v>
      </c>
      <c r="CT722">
        <f>IF(BI722="Roundwood",$CS722/2,$CS722)</f>
        <v>206250000</v>
      </c>
      <c r="CU722">
        <f>IF($CP722="refOK",$BU722,$BV722)*IF($BR722="Emissions positive",-1,1)</f>
        <v>350.30815678968798</v>
      </c>
      <c r="CV722">
        <f>IF($CP722="refOK",$BV722,$BU722)*IF($BR722="Emissions positive",-1,1)</f>
        <v>103.43853301218</v>
      </c>
      <c r="CW722">
        <f>IF($CP722="refNeedCorrection",-BZ722,BZ722)*IF($BR722="Emissions positive",-1,1)</f>
        <v>-246869623.77750796</v>
      </c>
      <c r="CX722">
        <f>IFERROR($CW722/$CS722,"")</f>
        <v>-0.59847181521820114</v>
      </c>
      <c r="CY722">
        <f>IFERROR($CW722/$CS722,"")</f>
        <v>-0.59847181521820114</v>
      </c>
      <c r="CZ722">
        <f>IFERROR($CW722/$CT722,"")</f>
        <v>-1.1969436304364023</v>
      </c>
      <c r="DA722" s="2">
        <f>IFERROR((CV722-CU722)/ABS(CU722),"")</f>
        <v>-0.7047213117727068</v>
      </c>
      <c r="DB722" s="1" t="s">
        <v>1078</v>
      </c>
      <c r="DC722" t="str">
        <f>IF(OR($DB722="prd",$DB722="std",$DB722="cit"),"loc",IF(OR($DB722="eur",$DB722="reg",$DB722="coy"),"reg",$DB722))</f>
        <v>reg</v>
      </c>
      <c r="DD722" t="s">
        <v>626</v>
      </c>
      <c r="DE722">
        <v>2000</v>
      </c>
      <c r="DF722">
        <v>2090</v>
      </c>
      <c r="DG722">
        <f>DF722-DE722</f>
        <v>90</v>
      </c>
      <c r="DH722" t="str">
        <f>IF(DG722=0,"0",IF(AND(DG722&gt;=1,DG722&lt;=30),"1-30",IF(AND(DG722&gt;30,DG722&lt;=70),"31-70",IF(AND(DG722&gt;70,DG722&lt;=100),"71-100",IF(DG722&gt;100,"+100")))))</f>
        <v>71-100</v>
      </c>
      <c r="DI722">
        <v>1</v>
      </c>
      <c r="DJ722">
        <v>0</v>
      </c>
      <c r="DK722">
        <v>0</v>
      </c>
      <c r="DL722">
        <v>0</v>
      </c>
      <c r="DM722">
        <v>0</v>
      </c>
      <c r="DN722">
        <f>SUM(DI722:DL722)</f>
        <v>1</v>
      </c>
      <c r="DO722" t="str">
        <f>IF(DN722=1,INDEX($DI$7:$DL$7,MATCH(1,$DI722:$DL722,0)),"mixedProduct")</f>
        <v>UpstreamInput</v>
      </c>
      <c r="DP722" t="str">
        <f>IF(DI722=1,DP$7,0)</f>
        <v>Upstream</v>
      </c>
      <c r="DQ722">
        <f>IF(DJ722=1,DQ$7,0)</f>
        <v>0</v>
      </c>
      <c r="DR722">
        <f>IF(DK722=1,DR$7,0)</f>
        <v>0</v>
      </c>
      <c r="DS722">
        <f>IF(DL722=1,DS$7,0)</f>
        <v>0</v>
      </c>
      <c r="DT722">
        <v>0</v>
      </c>
      <c r="DU722">
        <v>0</v>
      </c>
      <c r="DY722">
        <f>SUM(DT722:DU722)</f>
        <v>0</v>
      </c>
      <c r="DZ722" s="143" t="str">
        <f>IF(DT722=1,"self-calculated DF",IF(DU722=1,"external DF used","explicit C balance"))</f>
        <v>explicit C balance</v>
      </c>
      <c r="EA722">
        <v>1</v>
      </c>
      <c r="EB722">
        <v>1</v>
      </c>
      <c r="EC722">
        <v>1</v>
      </c>
      <c r="ED722">
        <v>0</v>
      </c>
      <c r="EE722">
        <v>0</v>
      </c>
      <c r="EF722" s="143">
        <v>0</v>
      </c>
      <c r="EG722">
        <v>0</v>
      </c>
      <c r="EH722">
        <v>0</v>
      </c>
      <c r="EI722">
        <v>0</v>
      </c>
      <c r="EJ722">
        <v>0</v>
      </c>
      <c r="EK722">
        <v>1</v>
      </c>
      <c r="EL722">
        <v>0</v>
      </c>
      <c r="EM722">
        <v>0</v>
      </c>
      <c r="EN722" s="2">
        <v>0</v>
      </c>
      <c r="EP722" t="str">
        <f>IF(AND(AND(AND(OR($EC722=1,$EB722=1),OR($EH722=1,$EF722=1)),SUM($EA722:$EE722,$EK722)&gt;=3),SUM($EF722:$EJ722)&gt;=2),"Whole sector approach","")</f>
        <v/>
      </c>
      <c r="EQ722" t="str">
        <f>IF(AND(AND(OR($EC722=1,$EB722=1),AND($EH722=0,$EF722=0)),SUM($EA722:$EE722,$EK722)&gt;=4),"Ecosystem approach","")</f>
        <v>Ecosystem approach</v>
      </c>
      <c r="ER722" s="2" t="str">
        <f>IF(AND(AND(AND($EC722=0,$EB722=0),OR($EH722=1,$EF722=1)),SUM($EG722:$EJ722)&gt;=2),"Technology approach","")</f>
        <v/>
      </c>
      <c r="ES722" t="str">
        <f>IF(AND($EC722+$EB722+$EE722+$EA722+$ED722+$EG722=0,$N722="included"),"C neutral forest and HWP assumption","")</f>
        <v/>
      </c>
      <c r="ET722" t="str">
        <f>IF(AND(AND(AND(AND($EC722=1,$EB722+$EA722+$EG722&gt;=1),$EF722=1),$EH722+$EI722+$ED722+$EE722&gt;=2),$N722="included"),"All C pools assumption","")</f>
        <v/>
      </c>
      <c r="EU722" t="str">
        <f>IF(AND($ED722+$EE722+$EI722+$EH722+$EF722=0,$N722="included"),"In-situ only assumption","")</f>
        <v>In-situ only assumption</v>
      </c>
      <c r="EV722" s="328" t="s">
        <v>5065</v>
      </c>
      <c r="EW722" t="s">
        <v>2198</v>
      </c>
      <c r="EY722" t="str">
        <f>IF(ISNUMBER(BW722),IF(ABS(BW722-[2]QC_indicators!$B$2)&gt;3*[2]QC_indicators!$C$2,"C ratio",IF(ISNUMBER(CA722),IF(ABS(CA722-[2]QC_indicators!$B$1)&gt;3*[2]QC_indicators!$C$1,"DF","no"))),IF(ISNUMBER(CA722),IF(ABS(CA722-[2]QC_indicators!$B$1)&gt;3*[2]QC_indicators!$C$1,"DF","no")))</f>
        <v>no</v>
      </c>
      <c r="FA722" t="str">
        <f>IF(LEN($CY722)=0,"",IF(AND($CY722&lt;(-0.05),$ES722="C neutral forest and HWP assumption"),"Cneutral paradox",IF(AND($CY722&gt;0.05,$EU722="In-situ only assumption"),"In-situ only paradox","")))</f>
        <v/>
      </c>
      <c r="FD722" s="260" t="s">
        <v>2929</v>
      </c>
    </row>
    <row r="723" spans="1:160" ht="15" hidden="1" customHeight="1">
      <c r="A723" s="1" t="s">
        <v>1654</v>
      </c>
      <c r="B723" t="s">
        <v>2188</v>
      </c>
      <c r="C723" t="s">
        <v>2189</v>
      </c>
      <c r="D723" t="s">
        <v>2190</v>
      </c>
      <c r="E723" t="s">
        <v>2191</v>
      </c>
      <c r="F723" t="s">
        <v>2192</v>
      </c>
      <c r="G723" t="s">
        <v>1660</v>
      </c>
      <c r="H723" t="s">
        <v>254</v>
      </c>
      <c r="I723">
        <v>2010</v>
      </c>
      <c r="J723">
        <v>100</v>
      </c>
      <c r="K723" t="s">
        <v>2193</v>
      </c>
      <c r="M723" t="str">
        <f>LEFT($D723,FIND(",",$D723)-1)&amp;"_"&amp;I723&amp;L723</f>
        <v>Werner_2010</v>
      </c>
      <c r="N723" t="s">
        <v>222</v>
      </c>
      <c r="O723" s="145" t="s">
        <v>1029</v>
      </c>
      <c r="Q723" t="s">
        <v>256</v>
      </c>
      <c r="R723" s="258" t="s">
        <v>223</v>
      </c>
      <c r="S723" s="1" t="s">
        <v>2194</v>
      </c>
      <c r="T723" t="s">
        <v>2195</v>
      </c>
      <c r="U723" t="s">
        <v>2199</v>
      </c>
      <c r="V723" s="334">
        <v>1</v>
      </c>
      <c r="W723">
        <v>0</v>
      </c>
      <c r="X723">
        <v>1</v>
      </c>
      <c r="Y723">
        <v>0</v>
      </c>
      <c r="Z723">
        <v>2</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s="141">
        <f>COUNTIF(X723:AY723,"&lt;&gt;0")</f>
        <v>2</v>
      </c>
      <c r="BA723" s="141">
        <f>COUNTIF(X723:AN723,"&lt;&gt;0")</f>
        <v>2</v>
      </c>
      <c r="BB723">
        <f>COUNTIF(X723:AE723,"&lt;&gt;0")</f>
        <v>2</v>
      </c>
      <c r="BC723">
        <f>COUNTIF(AF723:AK723,"&lt;&gt;0")</f>
        <v>0</v>
      </c>
      <c r="BD723">
        <f>COUNTIF(AL723:AN723,"&lt;&gt;0")</f>
        <v>0</v>
      </c>
      <c r="BE723">
        <f>COUNTIF(AU723:AY723,"&lt;&gt;0")</f>
        <v>0</v>
      </c>
      <c r="BF723">
        <f>COUNTIF(AO723:AT723,"&lt;&gt;0")</f>
        <v>0</v>
      </c>
      <c r="BG723" t="str">
        <f t="array" ref="BG723">IF(BA723=1,INDEX($X$7:$AN$7,MATCH(TRUE,INDEX($X723:$AY723&lt;&gt;0,),0)),IF(BA723=0,INDEX($AO$7:$AY$7,MATCH(1,$AO723:$AY723,0)),IF(BH723="Multiple strategies","mixed drivers",IF(BH723="Supply chain","multiple supply","multiple silviculture"))))</f>
        <v>multiple silviculture</v>
      </c>
      <c r="BH723" s="2" t="str" cm="1">
        <f t="array" ref="BH723">IF(COUNTIF(BB723:BD723,"&lt;&gt;0")=1,INDEX($X$4:$AY$4,MATCH(TRUE,INDEX($X723:$AY723&lt;&gt;0,),0)),IF(COUNTIF(BB723:BD723,"&lt;&gt;0")=0,INDEX($AO$4:$AY$4,MATCH(1,$AO723:$AY723,0)),"Multiple strategies"))</f>
        <v>Silviculture for removals</v>
      </c>
      <c r="BI723" s="1" t="s">
        <v>321</v>
      </c>
      <c r="BJ723" t="s">
        <v>2166</v>
      </c>
      <c r="BK723" s="260" t="s">
        <v>2927</v>
      </c>
      <c r="BL723" t="s">
        <v>1197</v>
      </c>
      <c r="BM723">
        <v>210</v>
      </c>
      <c r="BN723">
        <v>457.5</v>
      </c>
      <c r="BO723" s="143">
        <f>BN723/BM723</f>
        <v>2.1785714285714284</v>
      </c>
      <c r="BP723">
        <f>BN723-BM723</f>
        <v>247.5</v>
      </c>
      <c r="BQ723">
        <f>BP723*10^6</f>
        <v>247500000</v>
      </c>
      <c r="BR723" t="s">
        <v>232</v>
      </c>
      <c r="BS723" s="153" t="s">
        <v>2928</v>
      </c>
      <c r="BT723" t="s">
        <v>2069</v>
      </c>
      <c r="BU723">
        <v>385.51880535301569</v>
      </c>
      <c r="BV723">
        <v>205.40939665276349</v>
      </c>
      <c r="BW723" s="144">
        <f>IFERROR(BV723/BU723,"")</f>
        <v>0.53281291029285116</v>
      </c>
      <c r="BX723" s="144">
        <f>BV723-BU723</f>
        <v>-180.1094087002522</v>
      </c>
      <c r="BY723" s="144"/>
      <c r="BZ723">
        <f>BX723*10^6</f>
        <v>-180109408.70025221</v>
      </c>
      <c r="CA723">
        <f>IFERROR(BZ723/BQ723,"")</f>
        <v>-0.72771478262728162</v>
      </c>
      <c r="CB723">
        <v>0</v>
      </c>
      <c r="CC723">
        <v>0</v>
      </c>
      <c r="CD723">
        <v>0</v>
      </c>
      <c r="CE723">
        <v>0</v>
      </c>
      <c r="CF723">
        <v>0</v>
      </c>
      <c r="CG723">
        <v>0</v>
      </c>
      <c r="CH723">
        <v>0</v>
      </c>
      <c r="CI723">
        <v>0</v>
      </c>
      <c r="CJ723">
        <v>0</v>
      </c>
      <c r="CK723">
        <v>0</v>
      </c>
      <c r="CL723">
        <v>0</v>
      </c>
      <c r="CM723">
        <v>0</v>
      </c>
      <c r="CN723">
        <v>0</v>
      </c>
      <c r="CO723">
        <v>1</v>
      </c>
      <c r="CP723" t="str">
        <f>IF($BN723&lt;$BM723,"refNeedCorrection","refOK")</f>
        <v>refOK</v>
      </c>
      <c r="CQ723">
        <f>IF($CP723="refNeedCorrection",BN723,BM723)</f>
        <v>210</v>
      </c>
      <c r="CR723">
        <f>IF($CP723="refNeedCorrection",BM723,BN723)</f>
        <v>457.5</v>
      </c>
      <c r="CS723">
        <f>IF($CP723="refOK",$BQ723,-$BQ723)</f>
        <v>247500000</v>
      </c>
      <c r="CT723">
        <f>IF(BI723="Roundwood",$CS723/2,$CS723)</f>
        <v>123750000</v>
      </c>
      <c r="CU723">
        <f>IF($CP723="refOK",$BU723,$BV723)*IF($BR723="Emissions positive",-1,1)</f>
        <v>385.51880535301569</v>
      </c>
      <c r="CV723">
        <f>IF($CP723="refOK",$BV723,$BU723)*IF($BR723="Emissions positive",-1,1)</f>
        <v>205.40939665276349</v>
      </c>
      <c r="CW723">
        <f>IF($CP723="refNeedCorrection",-BZ723,BZ723)*IF($BR723="Emissions positive",-1,1)</f>
        <v>-180109408.70025221</v>
      </c>
      <c r="CX723">
        <f>IFERROR($CW723/$CS723,"")</f>
        <v>-0.72771478262728162</v>
      </c>
      <c r="CY723">
        <f>IFERROR($CW723/$CS723,"")</f>
        <v>-0.72771478262728162</v>
      </c>
      <c r="CZ723">
        <f>IFERROR($CW723/$CT723,"")</f>
        <v>-1.4554295652545632</v>
      </c>
      <c r="DA723" s="2">
        <f>IFERROR((CV723-CU723)/ABS(CU723),"")</f>
        <v>-0.46718708970714884</v>
      </c>
      <c r="DB723" s="1" t="s">
        <v>1078</v>
      </c>
      <c r="DC723" t="str">
        <f>IF(OR($DB723="prd",$DB723="std",$DB723="cit"),"loc",IF(OR($DB723="eur",$DB723="reg",$DB723="coy"),"reg",$DB723))</f>
        <v>reg</v>
      </c>
      <c r="DD723" t="s">
        <v>626</v>
      </c>
      <c r="DE723">
        <v>2000</v>
      </c>
      <c r="DF723">
        <v>2060</v>
      </c>
      <c r="DG723">
        <f>DF723-DE723</f>
        <v>60</v>
      </c>
      <c r="DH723" t="str">
        <f>IF(DG723=0,"0",IF(AND(DG723&gt;=1,DG723&lt;=30),"1-30",IF(AND(DG723&gt;30,DG723&lt;=70),"31-70",IF(AND(DG723&gt;70,DG723&lt;=100),"71-100",IF(DG723&gt;100,"+100")))))</f>
        <v>31-70</v>
      </c>
      <c r="DI723">
        <v>1</v>
      </c>
      <c r="DJ723">
        <v>0</v>
      </c>
      <c r="DK723">
        <v>0</v>
      </c>
      <c r="DL723">
        <v>0</v>
      </c>
      <c r="DM723">
        <v>0</v>
      </c>
      <c r="DN723">
        <f>SUM(DI723:DL723)</f>
        <v>1</v>
      </c>
      <c r="DO723" t="str">
        <f>IF(DN723=1,INDEX($DI$7:$DL$7,MATCH(1,$DI723:$DL723,0)),"mixedProduct")</f>
        <v>UpstreamInput</v>
      </c>
      <c r="DP723" t="str">
        <f>IF(DI723=1,DP$7,0)</f>
        <v>Upstream</v>
      </c>
      <c r="DQ723">
        <f>IF(DJ723=1,DQ$7,0)</f>
        <v>0</v>
      </c>
      <c r="DR723">
        <f>IF(DK723=1,DR$7,0)</f>
        <v>0</v>
      </c>
      <c r="DS723">
        <f>IF(DL723=1,DS$7,0)</f>
        <v>0</v>
      </c>
      <c r="DT723">
        <v>0</v>
      </c>
      <c r="DU723">
        <v>0</v>
      </c>
      <c r="DY723">
        <f>SUM(DT723:DU723)</f>
        <v>0</v>
      </c>
      <c r="DZ723" s="143" t="str">
        <f>IF(DT723=1,"self-calculated DF",IF(DU723=1,"external DF used","explicit C balance"))</f>
        <v>explicit C balance</v>
      </c>
      <c r="EA723">
        <v>1</v>
      </c>
      <c r="EB723">
        <v>1</v>
      </c>
      <c r="EC723">
        <v>1</v>
      </c>
      <c r="ED723">
        <v>1</v>
      </c>
      <c r="EE723">
        <v>0</v>
      </c>
      <c r="EF723" s="143">
        <v>0</v>
      </c>
      <c r="EG723">
        <v>0</v>
      </c>
      <c r="EH723">
        <v>0</v>
      </c>
      <c r="EI723">
        <v>0</v>
      </c>
      <c r="EJ723">
        <v>0</v>
      </c>
      <c r="EK723">
        <v>1</v>
      </c>
      <c r="EL723">
        <v>0</v>
      </c>
      <c r="EM723">
        <v>0</v>
      </c>
      <c r="EN723" s="2">
        <v>0</v>
      </c>
      <c r="EP723" t="str">
        <f>IF(AND(AND(AND(OR($EC723=1,$EB723=1),OR($EH723=1,$EF723=1)),SUM($EA723:$EE723,$EK723)&gt;=3),SUM($EF723:$EJ723)&gt;=2),"Whole sector approach","")</f>
        <v/>
      </c>
      <c r="EQ723" t="str">
        <f>IF(AND(AND(OR($EC723=1,$EB723=1),AND($EH723=0,$EF723=0)),SUM($EA723:$EE723,$EK723)&gt;=4),"Ecosystem approach","")</f>
        <v>Ecosystem approach</v>
      </c>
      <c r="ER723" s="2" t="str">
        <f>IF(AND(AND(AND($EC723=0,$EB723=0),OR($EH723=1,$EF723=1)),SUM($EG723:$EJ723)&gt;=2),"Technology approach","")</f>
        <v/>
      </c>
      <c r="ES723" t="str">
        <f>IF(AND($EC723+$EB723+$EE723+$EA723+$ED723+$EG723=0,$N723="included"),"C neutral forest and HWP assumption","")</f>
        <v/>
      </c>
      <c r="ET723" t="str">
        <f>IF(AND(AND(AND(AND($EC723=1,$EB723+$EA723+$EG723&gt;=1),$EF723=1),$EH723+$EI723+$ED723+$EE723&gt;=2),$N723="included"),"All C pools assumption","")</f>
        <v/>
      </c>
      <c r="EU723" t="str">
        <f>IF(AND($ED723+$EE723+$EI723+$EH723+$EF723=0,$N723="included"),"In-situ only assumption","")</f>
        <v/>
      </c>
      <c r="EV723" s="328" t="s">
        <v>5065</v>
      </c>
      <c r="EW723" t="s">
        <v>2198</v>
      </c>
      <c r="EY723" t="str">
        <f>IF(ISNUMBER(BW723),IF(ABS(BW723-[2]QC_indicators!$B$2)&gt;3*[2]QC_indicators!$C$2,"C ratio",IF(ISNUMBER(CA723),IF(ABS(CA723-[2]QC_indicators!$B$1)&gt;3*[2]QC_indicators!$C$1,"DF","no"))),IF(ISNUMBER(CA723),IF(ABS(CA723-[2]QC_indicators!$B$1)&gt;3*[2]QC_indicators!$C$1,"DF","no")))</f>
        <v>no</v>
      </c>
      <c r="FA723" t="str">
        <f>IF(LEN($CY723)=0,"",IF(AND($CY723&lt;(-0.05),$ES723="C neutral forest and HWP assumption"),"Cneutral paradox",IF(AND($CY723&gt;0.05,$EU723="In-situ only assumption"),"In-situ only paradox","")))</f>
        <v/>
      </c>
      <c r="FD723" s="260" t="s">
        <v>2929</v>
      </c>
    </row>
    <row r="724" spans="1:160" ht="15" hidden="1" customHeight="1">
      <c r="A724" s="1" t="s">
        <v>1654</v>
      </c>
      <c r="B724" t="s">
        <v>2188</v>
      </c>
      <c r="C724" t="s">
        <v>2189</v>
      </c>
      <c r="D724" t="s">
        <v>2190</v>
      </c>
      <c r="E724" t="s">
        <v>2191</v>
      </c>
      <c r="F724" t="s">
        <v>2192</v>
      </c>
      <c r="G724" t="s">
        <v>1660</v>
      </c>
      <c r="H724" t="s">
        <v>254</v>
      </c>
      <c r="I724">
        <v>2010</v>
      </c>
      <c r="J724">
        <v>100</v>
      </c>
      <c r="K724" t="s">
        <v>2193</v>
      </c>
      <c r="M724" t="str">
        <f>LEFT($D724,FIND(",",$D724)-1)&amp;"_"&amp;I724&amp;L724</f>
        <v>Werner_2010</v>
      </c>
      <c r="N724" t="s">
        <v>222</v>
      </c>
      <c r="O724" s="145" t="s">
        <v>1029</v>
      </c>
      <c r="Q724" t="s">
        <v>256</v>
      </c>
      <c r="R724" s="258" t="s">
        <v>223</v>
      </c>
      <c r="S724" s="1" t="s">
        <v>2194</v>
      </c>
      <c r="T724" t="s">
        <v>2195</v>
      </c>
      <c r="U724" t="s">
        <v>1030</v>
      </c>
      <c r="V724" s="334">
        <v>1</v>
      </c>
      <c r="W724">
        <v>0</v>
      </c>
      <c r="X724">
        <v>1</v>
      </c>
      <c r="Y724">
        <v>0</v>
      </c>
      <c r="Z724">
        <v>2</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s="141">
        <f>COUNTIF(X724:AY724,"&lt;&gt;0")</f>
        <v>2</v>
      </c>
      <c r="BA724" s="141">
        <f>COUNTIF(X724:AN724,"&lt;&gt;0")</f>
        <v>2</v>
      </c>
      <c r="BB724">
        <f>COUNTIF(X724:AE724,"&lt;&gt;0")</f>
        <v>2</v>
      </c>
      <c r="BC724">
        <f>COUNTIF(AF724:AK724,"&lt;&gt;0")</f>
        <v>0</v>
      </c>
      <c r="BD724">
        <f>COUNTIF(AL724:AN724,"&lt;&gt;0")</f>
        <v>0</v>
      </c>
      <c r="BE724">
        <f>COUNTIF(AU724:AY724,"&lt;&gt;0")</f>
        <v>0</v>
      </c>
      <c r="BF724">
        <f>COUNTIF(AO724:AT724,"&lt;&gt;0")</f>
        <v>0</v>
      </c>
      <c r="BG724" t="str">
        <f t="array" ref="BG724">IF(BA724=1,INDEX($X$7:$AN$7,MATCH(TRUE,INDEX($X724:$AY724&lt;&gt;0,),0)),IF(BA724=0,INDEX($AO$7:$AY$7,MATCH(1,$AO724:$AY724,0)),IF(BH724="Multiple strategies","mixed drivers",IF(BH724="Supply chain","multiple supply","multiple silviculture"))))</f>
        <v>multiple silviculture</v>
      </c>
      <c r="BH724" s="2" t="str" cm="1">
        <f t="array" ref="BH724">IF(COUNTIF(BB724:BD724,"&lt;&gt;0")=1,INDEX($X$4:$AY$4,MATCH(TRUE,INDEX($X724:$AY724&lt;&gt;0,),0)),IF(COUNTIF(BB724:BD724,"&lt;&gt;0")=0,INDEX($AO$4:$AY$4,MATCH(1,$AO724:$AY724,0)),"Multiple strategies"))</f>
        <v>Silviculture for removals</v>
      </c>
      <c r="BI724" s="1" t="s">
        <v>321</v>
      </c>
      <c r="BJ724" t="s">
        <v>2166</v>
      </c>
      <c r="BK724" s="260" t="s">
        <v>2927</v>
      </c>
      <c r="BL724" t="s">
        <v>1197</v>
      </c>
      <c r="BM724">
        <v>300</v>
      </c>
      <c r="BN724">
        <v>517.5</v>
      </c>
      <c r="BO724" s="143">
        <f>BN724/BM724</f>
        <v>1.7250000000000001</v>
      </c>
      <c r="BP724">
        <f>BN724-BM724</f>
        <v>217.5</v>
      </c>
      <c r="BQ724">
        <f>BP724*10^6</f>
        <v>217500000</v>
      </c>
      <c r="BR724" t="s">
        <v>232</v>
      </c>
      <c r="BS724" s="153" t="s">
        <v>2928</v>
      </c>
      <c r="BT724" t="s">
        <v>2069</v>
      </c>
      <c r="BU724">
        <v>345.6503741652154</v>
      </c>
      <c r="BV724">
        <v>116.6008790402431</v>
      </c>
      <c r="BW724" s="144">
        <f>IFERROR(BV724/BU724,"")</f>
        <v>0.33733763292415742</v>
      </c>
      <c r="BX724" s="144">
        <f>BV724-BU724</f>
        <v>-229.04949512497228</v>
      </c>
      <c r="BY724" s="144"/>
      <c r="BZ724">
        <f>BX724*10^6</f>
        <v>-229049495.12497228</v>
      </c>
      <c r="CA724">
        <f>IFERROR(BZ724/BQ724,"")</f>
        <v>-1.0531011270113668</v>
      </c>
      <c r="CB724">
        <v>0</v>
      </c>
      <c r="CC724">
        <v>0</v>
      </c>
      <c r="CD724">
        <v>0</v>
      </c>
      <c r="CE724">
        <v>0</v>
      </c>
      <c r="CF724">
        <v>0</v>
      </c>
      <c r="CG724">
        <v>0</v>
      </c>
      <c r="CH724">
        <v>0</v>
      </c>
      <c r="CI724">
        <v>0</v>
      </c>
      <c r="CJ724">
        <v>0</v>
      </c>
      <c r="CK724">
        <v>0</v>
      </c>
      <c r="CL724">
        <v>0</v>
      </c>
      <c r="CM724">
        <v>0</v>
      </c>
      <c r="CN724">
        <v>0</v>
      </c>
      <c r="CO724">
        <v>1</v>
      </c>
      <c r="CP724" t="str">
        <f>IF($BN724&lt;$BM724,"refNeedCorrection","refOK")</f>
        <v>refOK</v>
      </c>
      <c r="CQ724">
        <f>IF($CP724="refNeedCorrection",BN724,BM724)</f>
        <v>300</v>
      </c>
      <c r="CR724">
        <f>IF($CP724="refNeedCorrection",BM724,BN724)</f>
        <v>517.5</v>
      </c>
      <c r="CS724">
        <f>IF($CP724="refOK",$BQ724,-$BQ724)</f>
        <v>217500000</v>
      </c>
      <c r="CT724">
        <f>IF(BI724="Roundwood",$CS724/2,$CS724)</f>
        <v>108750000</v>
      </c>
      <c r="CU724">
        <f>IF($CP724="refOK",$BU724,$BV724)*IF($BR724="Emissions positive",-1,1)</f>
        <v>345.6503741652154</v>
      </c>
      <c r="CV724">
        <f>IF($CP724="refOK",$BV724,$BU724)*IF($BR724="Emissions positive",-1,1)</f>
        <v>116.6008790402431</v>
      </c>
      <c r="CW724">
        <f>IF($CP724="refNeedCorrection",-BZ724,BZ724)*IF($BR724="Emissions positive",-1,1)</f>
        <v>-229049495.12497228</v>
      </c>
      <c r="CX724">
        <f>IFERROR($CW724/$CS724,"")</f>
        <v>-1.0531011270113668</v>
      </c>
      <c r="CY724">
        <f>IFERROR($CW724/$CS724,"")</f>
        <v>-1.0531011270113668</v>
      </c>
      <c r="CZ724">
        <f>IFERROR($CW724/$CT724,"")</f>
        <v>-2.1062022540227336</v>
      </c>
      <c r="DA724" s="2">
        <f>IFERROR((CV724-CU724)/ABS(CU724),"")</f>
        <v>-0.66266236707584247</v>
      </c>
      <c r="DB724" s="1" t="s">
        <v>1078</v>
      </c>
      <c r="DC724" t="str">
        <f>IF(OR($DB724="prd",$DB724="std",$DB724="cit"),"loc",IF(OR($DB724="eur",$DB724="reg",$DB724="coy"),"reg",$DB724))</f>
        <v>reg</v>
      </c>
      <c r="DD724" t="s">
        <v>626</v>
      </c>
      <c r="DE724">
        <v>2000</v>
      </c>
      <c r="DF724">
        <v>2090</v>
      </c>
      <c r="DG724">
        <f>DF724-DE724</f>
        <v>90</v>
      </c>
      <c r="DH724" t="str">
        <f>IF(DG724=0,"0",IF(AND(DG724&gt;=1,DG724&lt;=30),"1-30",IF(AND(DG724&gt;30,DG724&lt;=70),"31-70",IF(AND(DG724&gt;70,DG724&lt;=100),"71-100",IF(DG724&gt;100,"+100")))))</f>
        <v>71-100</v>
      </c>
      <c r="DI724">
        <v>1</v>
      </c>
      <c r="DJ724">
        <v>0</v>
      </c>
      <c r="DK724">
        <v>0</v>
      </c>
      <c r="DL724">
        <v>0</v>
      </c>
      <c r="DM724">
        <v>0</v>
      </c>
      <c r="DN724">
        <f>SUM(DI724:DL724)</f>
        <v>1</v>
      </c>
      <c r="DO724" t="str">
        <f>IF(DN724=1,INDEX($DI$7:$DL$7,MATCH(1,$DI724:$DL724,0)),"mixedProduct")</f>
        <v>UpstreamInput</v>
      </c>
      <c r="DP724" t="str">
        <f>IF(DI724=1,DP$7,0)</f>
        <v>Upstream</v>
      </c>
      <c r="DQ724">
        <f>IF(DJ724=1,DQ$7,0)</f>
        <v>0</v>
      </c>
      <c r="DR724">
        <f>IF(DK724=1,DR$7,0)</f>
        <v>0</v>
      </c>
      <c r="DS724">
        <f>IF(DL724=1,DS$7,0)</f>
        <v>0</v>
      </c>
      <c r="DT724">
        <v>0</v>
      </c>
      <c r="DU724">
        <v>0</v>
      </c>
      <c r="DY724">
        <f>SUM(DT724:DU724)</f>
        <v>0</v>
      </c>
      <c r="DZ724" s="143" t="str">
        <f>IF(DT724=1,"self-calculated DF",IF(DU724=1,"external DF used","explicit C balance"))</f>
        <v>explicit C balance</v>
      </c>
      <c r="EA724">
        <v>1</v>
      </c>
      <c r="EB724">
        <v>1</v>
      </c>
      <c r="EC724">
        <v>1</v>
      </c>
      <c r="ED724">
        <v>1</v>
      </c>
      <c r="EE724">
        <v>0</v>
      </c>
      <c r="EF724" s="143">
        <v>0</v>
      </c>
      <c r="EG724">
        <v>0</v>
      </c>
      <c r="EH724">
        <v>0</v>
      </c>
      <c r="EI724">
        <v>0</v>
      </c>
      <c r="EJ724">
        <v>0</v>
      </c>
      <c r="EK724">
        <v>1</v>
      </c>
      <c r="EL724">
        <v>0</v>
      </c>
      <c r="EM724">
        <v>0</v>
      </c>
      <c r="EN724" s="2">
        <v>0</v>
      </c>
      <c r="EP724" t="str">
        <f>IF(AND(AND(AND(OR($EC724=1,$EB724=1),OR($EH724=1,$EF724=1)),SUM($EA724:$EE724,$EK724)&gt;=3),SUM($EF724:$EJ724)&gt;=2),"Whole sector approach","")</f>
        <v/>
      </c>
      <c r="EQ724" t="str">
        <f>IF(AND(AND(OR($EC724=1,$EB724=1),AND($EH724=0,$EF724=0)),SUM($EA724:$EE724,$EK724)&gt;=4),"Ecosystem approach","")</f>
        <v>Ecosystem approach</v>
      </c>
      <c r="ER724" s="2" t="str">
        <f>IF(AND(AND(AND($EC724=0,$EB724=0),OR($EH724=1,$EF724=1)),SUM($EG724:$EJ724)&gt;=2),"Technology approach","")</f>
        <v/>
      </c>
      <c r="ES724" t="str">
        <f>IF(AND($EC724+$EB724+$EE724+$EA724+$ED724+$EG724=0,$N724="included"),"C neutral forest and HWP assumption","")</f>
        <v/>
      </c>
      <c r="ET724" t="str">
        <f>IF(AND(AND(AND(AND($EC724=1,$EB724+$EA724+$EG724&gt;=1),$EF724=1),$EH724+$EI724+$ED724+$EE724&gt;=2),$N724="included"),"All C pools assumption","")</f>
        <v/>
      </c>
      <c r="EU724" t="str">
        <f>IF(AND($ED724+$EE724+$EI724+$EH724+$EF724=0,$N724="included"),"In-situ only assumption","")</f>
        <v/>
      </c>
      <c r="EV724" s="328" t="s">
        <v>5065</v>
      </c>
      <c r="EW724" t="s">
        <v>2198</v>
      </c>
      <c r="EY724" t="str">
        <f>IF(ISNUMBER(BW724),IF(ABS(BW724-[2]QC_indicators!$B$2)&gt;3*[2]QC_indicators!$C$2,"C ratio",IF(ISNUMBER(CA724),IF(ABS(CA724-[2]QC_indicators!$B$1)&gt;3*[2]QC_indicators!$C$1,"DF","no"))),IF(ISNUMBER(CA724),IF(ABS(CA724-[2]QC_indicators!$B$1)&gt;3*[2]QC_indicators!$C$1,"DF","no")))</f>
        <v>no</v>
      </c>
      <c r="FA724" t="str">
        <f>IF(LEN($CY724)=0,"",IF(AND($CY724&lt;(-0.05),$ES724="C neutral forest and HWP assumption"),"Cneutral paradox",IF(AND($CY724&gt;0.05,$EU724="In-situ only assumption"),"In-situ only paradox","")))</f>
        <v/>
      </c>
      <c r="FD724" s="260" t="s">
        <v>2929</v>
      </c>
    </row>
    <row r="725" spans="1:160" ht="15" customHeight="1">
      <c r="A725" s="1" t="s">
        <v>1654</v>
      </c>
      <c r="B725" t="s">
        <v>2188</v>
      </c>
      <c r="C725" t="s">
        <v>2189</v>
      </c>
      <c r="D725" t="s">
        <v>2190</v>
      </c>
      <c r="E725" t="s">
        <v>2191</v>
      </c>
      <c r="F725" t="s">
        <v>2192</v>
      </c>
      <c r="G725" t="s">
        <v>1660</v>
      </c>
      <c r="H725" t="s">
        <v>254</v>
      </c>
      <c r="I725">
        <v>2010</v>
      </c>
      <c r="J725">
        <v>100</v>
      </c>
      <c r="K725" t="s">
        <v>2193</v>
      </c>
      <c r="M725" t="str">
        <f>LEFT($D725,FIND(",",$D725)-1)&amp;"_"&amp;I725&amp;L725</f>
        <v>Werner_2010</v>
      </c>
      <c r="N725" t="s">
        <v>222</v>
      </c>
      <c r="O725" s="145" t="s">
        <v>1029</v>
      </c>
      <c r="Q725" t="s">
        <v>256</v>
      </c>
      <c r="R725" s="258" t="s">
        <v>223</v>
      </c>
      <c r="S725" s="1" t="s">
        <v>2194</v>
      </c>
      <c r="T725" t="s">
        <v>2195</v>
      </c>
      <c r="U725" t="s">
        <v>2199</v>
      </c>
      <c r="V725" s="334">
        <v>1</v>
      </c>
      <c r="W725">
        <v>0</v>
      </c>
      <c r="X725">
        <v>1</v>
      </c>
      <c r="Y725">
        <v>0</v>
      </c>
      <c r="Z725">
        <v>2</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s="141">
        <f>COUNTIF(X725:AY725,"&lt;&gt;0")</f>
        <v>2</v>
      </c>
      <c r="BA725" s="141">
        <f>COUNTIF(X725:AN725,"&lt;&gt;0")</f>
        <v>2</v>
      </c>
      <c r="BB725">
        <f>COUNTIF(X725:AE725,"&lt;&gt;0")</f>
        <v>2</v>
      </c>
      <c r="BC725">
        <f>COUNTIF(AF725:AK725,"&lt;&gt;0")</f>
        <v>0</v>
      </c>
      <c r="BD725">
        <f>COUNTIF(AL725:AN725,"&lt;&gt;0")</f>
        <v>0</v>
      </c>
      <c r="BE725">
        <f>COUNTIF(AU725:AY725,"&lt;&gt;0")</f>
        <v>0</v>
      </c>
      <c r="BF725">
        <f>COUNTIF(AO725:AT725,"&lt;&gt;0")</f>
        <v>0</v>
      </c>
      <c r="BG725" t="str">
        <f t="array" ref="BG725">IF(BA725=1,INDEX($X$7:$AN$7,MATCH(TRUE,INDEX($X725:$AY725&lt;&gt;0,),0)),IF(BA725=0,INDEX($AO$7:$AY$7,MATCH(1,$AO725:$AY725,0)),IF(BH725="Multiple strategies","mixed drivers",IF(BH725="Supply chain","multiple supply","multiple silviculture"))))</f>
        <v>multiple silviculture</v>
      </c>
      <c r="BH725" s="2" t="str" cm="1">
        <f t="array" ref="BH725">IF(COUNTIF(BB725:BD725,"&lt;&gt;0")=1,INDEX($X$4:$AY$4,MATCH(TRUE,INDEX($X725:$AY725&lt;&gt;0,),0)),IF(COUNTIF(BB725:BD725,"&lt;&gt;0")=0,INDEX($AO$4:$AY$4,MATCH(1,$AO725:$AY725,0)),"Multiple strategies"))</f>
        <v>Silviculture for removals</v>
      </c>
      <c r="BI725" s="1" t="s">
        <v>321</v>
      </c>
      <c r="BJ725" t="s">
        <v>2166</v>
      </c>
      <c r="BK725" s="260" t="s">
        <v>2927</v>
      </c>
      <c r="BL725" t="s">
        <v>1197</v>
      </c>
      <c r="BM725">
        <v>210</v>
      </c>
      <c r="BN725">
        <v>457.5</v>
      </c>
      <c r="BO725" s="143">
        <f>BN725/BM725</f>
        <v>2.1785714285714284</v>
      </c>
      <c r="BP725">
        <f>BN725-BM725</f>
        <v>247.5</v>
      </c>
      <c r="BQ725">
        <f>BP725*10^6</f>
        <v>247500000</v>
      </c>
      <c r="BR725" t="s">
        <v>232</v>
      </c>
      <c r="BS725" s="153" t="s">
        <v>2928</v>
      </c>
      <c r="BT725" t="s">
        <v>2069</v>
      </c>
      <c r="BU725">
        <v>385.778591846273</v>
      </c>
      <c r="BV725">
        <v>116.07299548902699</v>
      </c>
      <c r="BW725" s="144">
        <f>IFERROR(BV725/BU725,"")</f>
        <v>0.30087982574025346</v>
      </c>
      <c r="BX725" s="144">
        <f>BV725-BU725</f>
        <v>-269.70559635724601</v>
      </c>
      <c r="BY725" s="144"/>
      <c r="BZ725">
        <f>BX725*10^6</f>
        <v>-269705596.35724598</v>
      </c>
      <c r="CA725">
        <f>IFERROR(BZ725/BQ725,"")</f>
        <v>-1.089719581241398</v>
      </c>
      <c r="CB725">
        <v>0</v>
      </c>
      <c r="CC725">
        <v>0</v>
      </c>
      <c r="CD725">
        <v>0</v>
      </c>
      <c r="CE725">
        <v>0</v>
      </c>
      <c r="CF725">
        <v>0</v>
      </c>
      <c r="CG725">
        <v>0</v>
      </c>
      <c r="CH725">
        <v>0</v>
      </c>
      <c r="CI725">
        <v>0</v>
      </c>
      <c r="CJ725">
        <v>0</v>
      </c>
      <c r="CK725">
        <v>0</v>
      </c>
      <c r="CL725">
        <v>0</v>
      </c>
      <c r="CM725">
        <v>0</v>
      </c>
      <c r="CN725">
        <v>0</v>
      </c>
      <c r="CO725">
        <v>1</v>
      </c>
      <c r="CP725" t="str">
        <f>IF($BN725&lt;$BM725,"refNeedCorrection","refOK")</f>
        <v>refOK</v>
      </c>
      <c r="CQ725">
        <f>IF($CP725="refNeedCorrection",BN725,BM725)</f>
        <v>210</v>
      </c>
      <c r="CR725">
        <f>IF($CP725="refNeedCorrection",BM725,BN725)</f>
        <v>457.5</v>
      </c>
      <c r="CS725">
        <f>IF($CP725="refOK",$BQ725,-$BQ725)</f>
        <v>247500000</v>
      </c>
      <c r="CT725">
        <f>IF(BI725="Roundwood",$CS725/2,$CS725)</f>
        <v>123750000</v>
      </c>
      <c r="CU725">
        <f>IF($CP725="refOK",$BU725,$BV725)*IF($BR725="Emissions positive",-1,1)</f>
        <v>385.778591846273</v>
      </c>
      <c r="CV725">
        <f>IF($CP725="refOK",$BV725,$BU725)*IF($BR725="Emissions positive",-1,1)</f>
        <v>116.07299548902699</v>
      </c>
      <c r="CW725">
        <f>IF($CP725="refNeedCorrection",-BZ725,BZ725)*IF($BR725="Emissions positive",-1,1)</f>
        <v>-269705596.35724598</v>
      </c>
      <c r="CX725">
        <f>IFERROR($CW725/$CS725,"")</f>
        <v>-1.089719581241398</v>
      </c>
      <c r="CY725">
        <f>IFERROR($CW725/$CS725,"")</f>
        <v>-1.089719581241398</v>
      </c>
      <c r="CZ725">
        <f>IFERROR($CW725/$CT725,"")</f>
        <v>-2.179439162482796</v>
      </c>
      <c r="DA725" s="2">
        <f>IFERROR((CV725-CU725)/ABS(CU725),"")</f>
        <v>-0.69912017425974649</v>
      </c>
      <c r="DB725" s="1" t="s">
        <v>1078</v>
      </c>
      <c r="DC725" t="str">
        <f>IF(OR($DB725="prd",$DB725="std",$DB725="cit"),"loc",IF(OR($DB725="eur",$DB725="reg",$DB725="coy"),"reg",$DB725))</f>
        <v>reg</v>
      </c>
      <c r="DD725" t="s">
        <v>626</v>
      </c>
      <c r="DE725">
        <v>2000</v>
      </c>
      <c r="DF725">
        <v>2060</v>
      </c>
      <c r="DG725">
        <f>DF725-DE725</f>
        <v>60</v>
      </c>
      <c r="DH725" t="str">
        <f>IF(DG725=0,"0",IF(AND(DG725&gt;=1,DG725&lt;=30),"1-30",IF(AND(DG725&gt;30,DG725&lt;=70),"31-70",IF(AND(DG725&gt;70,DG725&lt;=100),"71-100",IF(DG725&gt;100,"+100")))))</f>
        <v>31-70</v>
      </c>
      <c r="DI725">
        <v>1</v>
      </c>
      <c r="DJ725">
        <v>0</v>
      </c>
      <c r="DK725">
        <v>0</v>
      </c>
      <c r="DL725">
        <v>0</v>
      </c>
      <c r="DM725">
        <v>0</v>
      </c>
      <c r="DN725">
        <f>SUM(DI725:DL725)</f>
        <v>1</v>
      </c>
      <c r="DO725" t="str">
        <f>IF(DN725=1,INDEX($DI$7:$DL$7,MATCH(1,$DI725:$DL725,0)),"mixedProduct")</f>
        <v>UpstreamInput</v>
      </c>
      <c r="DP725" t="str">
        <f>IF(DI725=1,DP$7,0)</f>
        <v>Upstream</v>
      </c>
      <c r="DQ725">
        <f>IF(DJ725=1,DQ$7,0)</f>
        <v>0</v>
      </c>
      <c r="DR725">
        <f>IF(DK725=1,DR$7,0)</f>
        <v>0</v>
      </c>
      <c r="DS725">
        <f>IF(DL725=1,DS$7,0)</f>
        <v>0</v>
      </c>
      <c r="DT725">
        <v>0</v>
      </c>
      <c r="DU725">
        <v>0</v>
      </c>
      <c r="DY725">
        <f>SUM(DT725:DU725)</f>
        <v>0</v>
      </c>
      <c r="DZ725" s="143" t="str">
        <f>IF(DT725=1,"self-calculated DF",IF(DU725=1,"external DF used","explicit C balance"))</f>
        <v>explicit C balance</v>
      </c>
      <c r="EA725">
        <v>1</v>
      </c>
      <c r="EB725">
        <v>1</v>
      </c>
      <c r="EC725">
        <v>1</v>
      </c>
      <c r="ED725">
        <v>0</v>
      </c>
      <c r="EE725">
        <v>0</v>
      </c>
      <c r="EF725" s="143">
        <v>0</v>
      </c>
      <c r="EG725">
        <v>0</v>
      </c>
      <c r="EH725">
        <v>0</v>
      </c>
      <c r="EI725">
        <v>0</v>
      </c>
      <c r="EJ725">
        <v>0</v>
      </c>
      <c r="EK725">
        <v>1</v>
      </c>
      <c r="EL725">
        <v>0</v>
      </c>
      <c r="EM725">
        <v>0</v>
      </c>
      <c r="EN725" s="2">
        <v>0</v>
      </c>
      <c r="EP725" t="str">
        <f>IF(AND(AND(AND(OR($EC725=1,$EB725=1),OR($EH725=1,$EF725=1)),SUM($EA725:$EE725,$EK725)&gt;=3),SUM($EF725:$EJ725)&gt;=2),"Whole sector approach","")</f>
        <v/>
      </c>
      <c r="EQ725" t="str">
        <f>IF(AND(AND(OR($EC725=1,$EB725=1),AND($EH725=0,$EF725=0)),SUM($EA725:$EE725,$EK725)&gt;=4),"Ecosystem approach","")</f>
        <v>Ecosystem approach</v>
      </c>
      <c r="ER725" s="2" t="str">
        <f>IF(AND(AND(AND($EC725=0,$EB725=0),OR($EH725=1,$EF725=1)),SUM($EG725:$EJ725)&gt;=2),"Technology approach","")</f>
        <v/>
      </c>
      <c r="ES725" t="str">
        <f>IF(AND($EC725+$EB725+$EE725+$EA725+$ED725+$EG725=0,$N725="included"),"C neutral forest and HWP assumption","")</f>
        <v/>
      </c>
      <c r="ET725" t="str">
        <f>IF(AND(AND(AND(AND($EC725=1,$EB725+$EA725+$EG725&gt;=1),$EF725=1),$EH725+$EI725+$ED725+$EE725&gt;=2),$N725="included"),"All C pools assumption","")</f>
        <v/>
      </c>
      <c r="EU725" t="str">
        <f>IF(AND($ED725+$EE725+$EI725+$EH725+$EF725=0,$N725="included"),"In-situ only assumption","")</f>
        <v>In-situ only assumption</v>
      </c>
      <c r="EV725" s="328" t="s">
        <v>5065</v>
      </c>
      <c r="EW725" t="s">
        <v>2198</v>
      </c>
      <c r="EY725" t="str">
        <f>IF(ISNUMBER(BW725),IF(ABS(BW725-[2]QC_indicators!$B$2)&gt;3*[2]QC_indicators!$C$2,"C ratio",IF(ISNUMBER(CA725),IF(ABS(CA725-[2]QC_indicators!$B$1)&gt;3*[2]QC_indicators!$C$1,"DF","no"))),IF(ISNUMBER(CA725),IF(ABS(CA725-[2]QC_indicators!$B$1)&gt;3*[2]QC_indicators!$C$1,"DF","no")))</f>
        <v>no</v>
      </c>
      <c r="FA725" t="str">
        <f>IF(LEN($CY725)=0,"",IF(AND($CY725&lt;(-0.05),$ES725="C neutral forest and HWP assumption"),"Cneutral paradox",IF(AND($CY725&gt;0.05,$EU725="In-situ only assumption"),"In-situ only paradox","")))</f>
        <v/>
      </c>
      <c r="FD725" s="260" t="s">
        <v>2929</v>
      </c>
    </row>
    <row r="726" spans="1:160" ht="15" hidden="1" customHeight="1">
      <c r="A726" s="1" t="s">
        <v>1654</v>
      </c>
      <c r="B726" t="s">
        <v>2188</v>
      </c>
      <c r="C726" t="s">
        <v>2189</v>
      </c>
      <c r="D726" t="s">
        <v>2190</v>
      </c>
      <c r="E726" t="s">
        <v>2191</v>
      </c>
      <c r="F726" t="s">
        <v>2192</v>
      </c>
      <c r="G726" t="s">
        <v>1660</v>
      </c>
      <c r="H726" t="s">
        <v>254</v>
      </c>
      <c r="I726">
        <v>2010</v>
      </c>
      <c r="J726">
        <v>100</v>
      </c>
      <c r="K726" t="s">
        <v>2193</v>
      </c>
      <c r="M726" t="str">
        <f>LEFT($D726,FIND(",",$D726)-1)&amp;"_"&amp;I726&amp;L726</f>
        <v>Werner_2010</v>
      </c>
      <c r="N726" t="s">
        <v>222</v>
      </c>
      <c r="O726" s="145" t="s">
        <v>1029</v>
      </c>
      <c r="Q726" t="s">
        <v>256</v>
      </c>
      <c r="R726" s="258" t="s">
        <v>223</v>
      </c>
      <c r="S726" s="1" t="s">
        <v>2194</v>
      </c>
      <c r="T726" t="s">
        <v>2195</v>
      </c>
      <c r="U726" t="s">
        <v>2199</v>
      </c>
      <c r="V726" s="334">
        <v>1</v>
      </c>
      <c r="W726">
        <v>0</v>
      </c>
      <c r="X726">
        <v>1</v>
      </c>
      <c r="Y726">
        <v>0</v>
      </c>
      <c r="Z726">
        <v>2</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s="141">
        <f>COUNTIF(X726:AY726,"&lt;&gt;0")</f>
        <v>2</v>
      </c>
      <c r="BA726" s="141">
        <f>COUNTIF(X726:AN726,"&lt;&gt;0")</f>
        <v>2</v>
      </c>
      <c r="BB726">
        <f>COUNTIF(X726:AE726,"&lt;&gt;0")</f>
        <v>2</v>
      </c>
      <c r="BC726">
        <f>COUNTIF(AF726:AK726,"&lt;&gt;0")</f>
        <v>0</v>
      </c>
      <c r="BD726">
        <f>COUNTIF(AL726:AN726,"&lt;&gt;0")</f>
        <v>0</v>
      </c>
      <c r="BE726">
        <f>COUNTIF(AU726:AY726,"&lt;&gt;0")</f>
        <v>0</v>
      </c>
      <c r="BF726">
        <f>COUNTIF(AO726:AT726,"&lt;&gt;0")</f>
        <v>0</v>
      </c>
      <c r="BG726" t="str">
        <f t="array" ref="BG726">IF(BA726=1,INDEX($X$7:$AN$7,MATCH(TRUE,INDEX($X726:$AY726&lt;&gt;0,),0)),IF(BA726=0,INDEX($AO$7:$AY$7,MATCH(1,$AO726:$AY726,0)),IF(BH726="Multiple strategies","mixed drivers",IF(BH726="Supply chain","multiple supply","multiple silviculture"))))</f>
        <v>multiple silviculture</v>
      </c>
      <c r="BH726" s="2" t="str" cm="1">
        <f t="array" ref="BH726">IF(COUNTIF(BB726:BD726,"&lt;&gt;0")=1,INDEX($X$4:$AY$4,MATCH(TRUE,INDEX($X726:$AY726&lt;&gt;0,),0)),IF(COUNTIF(BB726:BD726,"&lt;&gt;0")=0,INDEX($AO$4:$AY$4,MATCH(1,$AO726:$AY726,0)),"Multiple strategies"))</f>
        <v>Silviculture for removals</v>
      </c>
      <c r="BI726" s="1" t="s">
        <v>321</v>
      </c>
      <c r="BJ726" t="s">
        <v>2166</v>
      </c>
      <c r="BK726" s="260" t="s">
        <v>2927</v>
      </c>
      <c r="BL726" t="s">
        <v>1197</v>
      </c>
      <c r="BM726">
        <v>120</v>
      </c>
      <c r="BN726">
        <v>202.5</v>
      </c>
      <c r="BO726" s="143">
        <f>BN726/BM726</f>
        <v>1.6875</v>
      </c>
      <c r="BP726">
        <f>BN726-BM726</f>
        <v>82.5</v>
      </c>
      <c r="BQ726">
        <f>BP726*10^6</f>
        <v>82500000</v>
      </c>
      <c r="BR726" t="s">
        <v>232</v>
      </c>
      <c r="BS726" s="153" t="s">
        <v>2928</v>
      </c>
      <c r="BT726" t="s">
        <v>2069</v>
      </c>
      <c r="BU726">
        <v>227.98379614391621</v>
      </c>
      <c r="BV726">
        <v>124.4335634259679</v>
      </c>
      <c r="BW726" s="144">
        <f>IFERROR(BV726/BU726,"")</f>
        <v>0.54580003285592471</v>
      </c>
      <c r="BX726" s="144">
        <f>BV726-BU726</f>
        <v>-103.5502327179483</v>
      </c>
      <c r="BY726" s="144"/>
      <c r="BZ726">
        <f>BX726*10^6</f>
        <v>-103550232.7179483</v>
      </c>
      <c r="CA726">
        <f>IFERROR(BZ726/BQ726,"")</f>
        <v>-1.2551543359751309</v>
      </c>
      <c r="CB726">
        <v>0</v>
      </c>
      <c r="CC726">
        <v>0</v>
      </c>
      <c r="CD726">
        <v>0</v>
      </c>
      <c r="CE726">
        <v>0</v>
      </c>
      <c r="CF726">
        <v>0</v>
      </c>
      <c r="CG726">
        <v>0</v>
      </c>
      <c r="CH726">
        <v>0</v>
      </c>
      <c r="CI726">
        <v>0</v>
      </c>
      <c r="CJ726">
        <v>0</v>
      </c>
      <c r="CK726">
        <v>0</v>
      </c>
      <c r="CL726">
        <v>0</v>
      </c>
      <c r="CM726">
        <v>0</v>
      </c>
      <c r="CN726">
        <v>0</v>
      </c>
      <c r="CO726">
        <v>1</v>
      </c>
      <c r="CP726" t="str">
        <f>IF($BN726&lt;$BM726,"refNeedCorrection","refOK")</f>
        <v>refOK</v>
      </c>
      <c r="CQ726">
        <f>IF($CP726="refOK",$BM726,$BN726)</f>
        <v>120</v>
      </c>
      <c r="CR726">
        <f>IF($CP726="refOK",$BN726,$BM726)</f>
        <v>202.5</v>
      </c>
      <c r="CS726">
        <f>IF($CP726="refOK",$BQ726,-$BQ726)</f>
        <v>82500000</v>
      </c>
      <c r="CT726">
        <f>IF(BI726="Roundwood",$CS726/2,$CS726)</f>
        <v>41250000</v>
      </c>
      <c r="CU726">
        <f>IF($CP726="refOK",$BU726,$BV726)*IF($BR726="Emissions positive",-1,1)</f>
        <v>227.98379614391621</v>
      </c>
      <c r="CV726">
        <f>IF($CP726="refOK",$BV726,$BU726)*IF($BR726="Emissions positive",-1,1)</f>
        <v>124.4335634259679</v>
      </c>
      <c r="CW726">
        <f>IF($CP726="refNeedCorrection",-BZ726,BZ726)*IF($BR726="Emissions positive",-1,1)</f>
        <v>-103550232.7179483</v>
      </c>
      <c r="CX726">
        <f>IFERROR($CW726/$CS726,"")</f>
        <v>-1.2551543359751309</v>
      </c>
      <c r="CY726">
        <f>IFERROR($CW726/$CS726,"")</f>
        <v>-1.2551543359751309</v>
      </c>
      <c r="CZ726">
        <f>IFERROR($CW726/$CT726,"")</f>
        <v>-2.5103086719502619</v>
      </c>
      <c r="DA726" s="2">
        <f>IFERROR((CV726-CU726)/ABS(CU726),"")</f>
        <v>-0.45419996714407529</v>
      </c>
      <c r="DB726" s="1" t="s">
        <v>1078</v>
      </c>
      <c r="DC726" t="str">
        <f>IF(OR($DB726="prd",$DB726="std",$DB726="cit"),"loc",IF(OR($DB726="eur",$DB726="reg",$DB726="coy"),"reg",$DB726))</f>
        <v>reg</v>
      </c>
      <c r="DD726" t="s">
        <v>626</v>
      </c>
      <c r="DE726">
        <v>2000</v>
      </c>
      <c r="DF726">
        <v>2030</v>
      </c>
      <c r="DG726">
        <f>DF726-DE726</f>
        <v>30</v>
      </c>
      <c r="DH726" t="str">
        <f>IF(DG726=0,"0",IF(AND(DG726&gt;=1,DG726&lt;=30),"1-30",IF(AND(DG726&gt;30,DG726&lt;=70),"31-70",IF(AND(DG726&gt;70,DG726&lt;=100),"71-100",IF(DG726&gt;100,"+100")))))</f>
        <v>1-30</v>
      </c>
      <c r="DI726">
        <v>1</v>
      </c>
      <c r="DJ726">
        <v>0</v>
      </c>
      <c r="DK726">
        <v>0</v>
      </c>
      <c r="DL726">
        <v>0</v>
      </c>
      <c r="DM726">
        <v>0</v>
      </c>
      <c r="DN726">
        <f>SUM(DI726:DL726)</f>
        <v>1</v>
      </c>
      <c r="DO726" t="str">
        <f>IF(DN726=1,INDEX($DI$7:$DL$7,MATCH(1,$DI726:$DL726,0)),"mixedProduct")</f>
        <v>UpstreamInput</v>
      </c>
      <c r="DP726" t="str">
        <f>IF(DI726=1,DP$7,0)</f>
        <v>Upstream</v>
      </c>
      <c r="DQ726">
        <f>IF(DJ726=1,DQ$7,0)</f>
        <v>0</v>
      </c>
      <c r="DR726">
        <f>IF(DK726=1,DR$7,0)</f>
        <v>0</v>
      </c>
      <c r="DS726">
        <f>IF(DL726=1,DS$7,0)</f>
        <v>0</v>
      </c>
      <c r="DT726">
        <v>0</v>
      </c>
      <c r="DU726">
        <v>0</v>
      </c>
      <c r="DY726">
        <f>SUM(DT726:DU726)</f>
        <v>0</v>
      </c>
      <c r="DZ726" s="143" t="str">
        <f>IF(DT726=1,"self-calculated DF",IF(DU726=1,"external DF used","explicit C balance"))</f>
        <v>explicit C balance</v>
      </c>
      <c r="EA726">
        <v>1</v>
      </c>
      <c r="EB726">
        <v>1</v>
      </c>
      <c r="EC726">
        <v>1</v>
      </c>
      <c r="ED726">
        <v>1</v>
      </c>
      <c r="EE726">
        <v>1</v>
      </c>
      <c r="EF726" s="143">
        <v>0</v>
      </c>
      <c r="EG726">
        <v>0</v>
      </c>
      <c r="EH726">
        <v>0</v>
      </c>
      <c r="EI726">
        <v>0</v>
      </c>
      <c r="EJ726">
        <v>0</v>
      </c>
      <c r="EK726">
        <v>1</v>
      </c>
      <c r="EL726">
        <v>0</v>
      </c>
      <c r="EM726">
        <v>0</v>
      </c>
      <c r="EN726" s="2">
        <v>0</v>
      </c>
      <c r="EP726" t="str">
        <f>IF(AND(AND(AND(OR($EC726=1,$EB726=1),OR($EH726=1,$EF726=1)),SUM($EA726:$EE726,$EK726)&gt;=3),SUM($EF726:$EJ726)&gt;=2),"Whole sector approach","")</f>
        <v/>
      </c>
      <c r="EQ726" t="str">
        <f>IF(AND(AND(OR($EC726=1,$EB726=1),AND($EH726=0,$EF726=0)),SUM($EA726:$EE726,$EK726)&gt;=4),"Ecosystem approach","")</f>
        <v>Ecosystem approach</v>
      </c>
      <c r="ER726" s="2" t="str">
        <f>IF(AND(AND(AND($EC726=0,$EB726=0),OR($EH726=1,$EF726=1)),SUM($EG726:$EJ726)&gt;=2),"Technology approach","")</f>
        <v/>
      </c>
      <c r="ES726" t="str">
        <f>IF(AND($EC726+$EB726+$EE726+$EA726+$ED726+$EG726=0,$N726="included"),"C neutral forest and HWP assumption","")</f>
        <v/>
      </c>
      <c r="ET726" t="str">
        <f>IF(AND(AND(AND(AND($EC726=1,$EB726+$EA726+$EG726&gt;=1),$EF726=1),$EH726+$EI726+$ED726+$EE726&gt;=2),$N726="included"),"All C pools assumption","")</f>
        <v/>
      </c>
      <c r="EU726" t="str">
        <f>IF(AND($ED726+$EE726+$EI726+$EH726+$EF726=0,$N726="included"),"In-situ only assumption","")</f>
        <v/>
      </c>
      <c r="EV726" s="328" t="s">
        <v>5065</v>
      </c>
      <c r="EW726" t="s">
        <v>2198</v>
      </c>
      <c r="EY726" t="str">
        <f>IF(ISNUMBER(BW726),IF(ABS(BW726-[2]QC_indicators!$B$2)&gt;3*[2]QC_indicators!$C$2,"C ratio",IF(ISNUMBER(CA726),IF(ABS(CA726-[2]QC_indicators!$B$1)&gt;3*[2]QC_indicators!$C$1,"DF","no"))),IF(ISNUMBER(CA726),IF(ABS(CA726-[2]QC_indicators!$B$1)&gt;3*[2]QC_indicators!$C$1,"DF","no")))</f>
        <v>no</v>
      </c>
      <c r="FA726" t="str">
        <f>IF(LEN($CY726)=0,"",IF(AND($CY726&lt;(-0.05),$ES726="C neutral forest and HWP assumption"),"Cneutral paradox",IF(AND($CY726&gt;0.05,$EU726="In-situ only assumption"),"In-situ only paradox","")))</f>
        <v/>
      </c>
      <c r="FD726" s="260" t="s">
        <v>2929</v>
      </c>
    </row>
    <row r="727" spans="1:160" ht="15" customHeight="1">
      <c r="A727" s="1" t="s">
        <v>1654</v>
      </c>
      <c r="B727" t="s">
        <v>2188</v>
      </c>
      <c r="C727" t="s">
        <v>2189</v>
      </c>
      <c r="D727" t="s">
        <v>2190</v>
      </c>
      <c r="E727" t="s">
        <v>2191</v>
      </c>
      <c r="F727" t="s">
        <v>2192</v>
      </c>
      <c r="G727" t="s">
        <v>1660</v>
      </c>
      <c r="H727" t="s">
        <v>254</v>
      </c>
      <c r="I727">
        <v>2010</v>
      </c>
      <c r="J727">
        <v>100</v>
      </c>
      <c r="K727" t="s">
        <v>2193</v>
      </c>
      <c r="M727" t="str">
        <f>LEFT($D727,FIND(",",$D727)-1)&amp;"_"&amp;I727&amp;L727</f>
        <v>Werner_2010</v>
      </c>
      <c r="N727" t="s">
        <v>222</v>
      </c>
      <c r="O727" s="145" t="s">
        <v>1029</v>
      </c>
      <c r="Q727" t="s">
        <v>256</v>
      </c>
      <c r="R727" s="258" t="s">
        <v>223</v>
      </c>
      <c r="S727" s="1" t="s">
        <v>2194</v>
      </c>
      <c r="T727" t="s">
        <v>2195</v>
      </c>
      <c r="U727" t="s">
        <v>1030</v>
      </c>
      <c r="V727" s="334">
        <v>1</v>
      </c>
      <c r="W727">
        <v>0</v>
      </c>
      <c r="X727">
        <v>1</v>
      </c>
      <c r="Y727">
        <v>0</v>
      </c>
      <c r="Z727">
        <v>2</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s="141">
        <f>COUNTIF(X727:AY727,"&lt;&gt;0")</f>
        <v>2</v>
      </c>
      <c r="BA727" s="141">
        <f>COUNTIF(X727:AN727,"&lt;&gt;0")</f>
        <v>2</v>
      </c>
      <c r="BB727">
        <f>COUNTIF(X727:AE727,"&lt;&gt;0")</f>
        <v>2</v>
      </c>
      <c r="BC727">
        <f>COUNTIF(AF727:AK727,"&lt;&gt;0")</f>
        <v>0</v>
      </c>
      <c r="BD727">
        <f>COUNTIF(AL727:AN727,"&lt;&gt;0")</f>
        <v>0</v>
      </c>
      <c r="BE727">
        <f>COUNTIF(AU727:AY727,"&lt;&gt;0")</f>
        <v>0</v>
      </c>
      <c r="BF727">
        <f>COUNTIF(AO727:AT727,"&lt;&gt;0")</f>
        <v>0</v>
      </c>
      <c r="BG727" t="str">
        <f t="array" ref="BG727">IF(BA727=1,INDEX($X$7:$AN$7,MATCH(TRUE,INDEX($X727:$AY727&lt;&gt;0,),0)),IF(BA727=0,INDEX($AO$7:$AY$7,MATCH(1,$AO727:$AY727,0)),IF(BH727="Multiple strategies","mixed drivers",IF(BH727="Supply chain","multiple supply","multiple silviculture"))))</f>
        <v>multiple silviculture</v>
      </c>
      <c r="BH727" s="2" t="str" cm="1">
        <f t="array" ref="BH727">IF(COUNTIF(BB727:BD727,"&lt;&gt;0")=1,INDEX($X$4:$AY$4,MATCH(TRUE,INDEX($X727:$AY727&lt;&gt;0,),0)),IF(COUNTIF(BB727:BD727,"&lt;&gt;0")=0,INDEX($AO$4:$AY$4,MATCH(1,$AO727:$AY727,0)),"Multiple strategies"))</f>
        <v>Silviculture for removals</v>
      </c>
      <c r="BI727" s="1" t="s">
        <v>321</v>
      </c>
      <c r="BJ727" t="s">
        <v>2166</v>
      </c>
      <c r="BK727" s="260" t="s">
        <v>2927</v>
      </c>
      <c r="BL727" t="s">
        <v>1197</v>
      </c>
      <c r="BM727">
        <v>300</v>
      </c>
      <c r="BN727">
        <v>517.5</v>
      </c>
      <c r="BO727" s="143">
        <f>BN727/BM727</f>
        <v>1.7250000000000001</v>
      </c>
      <c r="BP727">
        <f>BN727-BM727</f>
        <v>217.5</v>
      </c>
      <c r="BQ727">
        <f>BP727*10^6</f>
        <v>217500000</v>
      </c>
      <c r="BR727" t="s">
        <v>232</v>
      </c>
      <c r="BS727" s="153" t="s">
        <v>2928</v>
      </c>
      <c r="BT727" t="s">
        <v>2069</v>
      </c>
      <c r="BU727">
        <v>350.30815678968798</v>
      </c>
      <c r="BV727">
        <v>73.410781675763403</v>
      </c>
      <c r="BW727" s="144">
        <f>IFERROR(BV727/BU727,"")</f>
        <v>0.20956058331189961</v>
      </c>
      <c r="BX727" s="144">
        <f>BV727-BU727</f>
        <v>-276.89737511392457</v>
      </c>
      <c r="BY727" s="144"/>
      <c r="BZ727">
        <f>BX727*10^6</f>
        <v>-276897375.11392456</v>
      </c>
      <c r="CA727">
        <f>IFERROR(BZ727/BQ727,"")</f>
        <v>-1.2730913798341359</v>
      </c>
      <c r="CB727">
        <v>0</v>
      </c>
      <c r="CC727">
        <v>0</v>
      </c>
      <c r="CD727">
        <v>0</v>
      </c>
      <c r="CE727">
        <v>0</v>
      </c>
      <c r="CF727">
        <v>0</v>
      </c>
      <c r="CG727">
        <v>0</v>
      </c>
      <c r="CH727">
        <v>0</v>
      </c>
      <c r="CI727">
        <v>0</v>
      </c>
      <c r="CJ727">
        <v>0</v>
      </c>
      <c r="CK727">
        <v>0</v>
      </c>
      <c r="CL727">
        <v>0</v>
      </c>
      <c r="CM727">
        <v>0</v>
      </c>
      <c r="CN727">
        <v>0</v>
      </c>
      <c r="CO727">
        <v>1</v>
      </c>
      <c r="CP727" t="str">
        <f>IF($BN727&lt;$BM727,"refNeedCorrection","refOK")</f>
        <v>refOK</v>
      </c>
      <c r="CQ727">
        <f>IF($CP727="refNeedCorrection",BN727,BM727)</f>
        <v>300</v>
      </c>
      <c r="CR727">
        <f>IF($CP727="refNeedCorrection",BM727,BN727)</f>
        <v>517.5</v>
      </c>
      <c r="CS727">
        <f>IF($CP727="refOK",$BQ727,-$BQ727)</f>
        <v>217500000</v>
      </c>
      <c r="CT727">
        <f>IF(BI727="Roundwood",$CS727/2,$CS727)</f>
        <v>108750000</v>
      </c>
      <c r="CU727">
        <f>IF($CP727="refOK",$BU727,$BV727)*IF($BR727="Emissions positive",-1,1)</f>
        <v>350.30815678968798</v>
      </c>
      <c r="CV727">
        <f>IF($CP727="refOK",$BV727,$BU727)*IF($BR727="Emissions positive",-1,1)</f>
        <v>73.410781675763403</v>
      </c>
      <c r="CW727">
        <f>IF($CP727="refNeedCorrection",-BZ727,BZ727)*IF($BR727="Emissions positive",-1,1)</f>
        <v>-276897375.11392456</v>
      </c>
      <c r="CX727">
        <f>IFERROR($CW727/$CS727,"")</f>
        <v>-1.2730913798341359</v>
      </c>
      <c r="CY727">
        <f>IFERROR($CW727/$CS727,"")</f>
        <v>-1.2730913798341359</v>
      </c>
      <c r="CZ727">
        <f>IFERROR($CW727/$CT727,"")</f>
        <v>-2.5461827596682718</v>
      </c>
      <c r="DA727" s="2">
        <f>IFERROR((CV727-CU727)/ABS(CU727),"")</f>
        <v>-0.79043941668810036</v>
      </c>
      <c r="DB727" s="1" t="s">
        <v>1078</v>
      </c>
      <c r="DC727" t="str">
        <f>IF(OR($DB727="prd",$DB727="std",$DB727="cit"),"loc",IF(OR($DB727="eur",$DB727="reg",$DB727="coy"),"reg",$DB727))</f>
        <v>reg</v>
      </c>
      <c r="DD727" t="s">
        <v>626</v>
      </c>
      <c r="DE727">
        <v>2000</v>
      </c>
      <c r="DF727">
        <v>2090</v>
      </c>
      <c r="DG727">
        <f>DF727-DE727</f>
        <v>90</v>
      </c>
      <c r="DH727" t="str">
        <f>IF(DG727=0,"0",IF(AND(DG727&gt;=1,DG727&lt;=30),"1-30",IF(AND(DG727&gt;30,DG727&lt;=70),"31-70",IF(AND(DG727&gt;70,DG727&lt;=100),"71-100",IF(DG727&gt;100,"+100")))))</f>
        <v>71-100</v>
      </c>
      <c r="DI727">
        <v>1</v>
      </c>
      <c r="DJ727">
        <v>0</v>
      </c>
      <c r="DK727">
        <v>0</v>
      </c>
      <c r="DL727">
        <v>0</v>
      </c>
      <c r="DM727">
        <v>0</v>
      </c>
      <c r="DN727">
        <f>SUM(DI727:DL727)</f>
        <v>1</v>
      </c>
      <c r="DO727" t="str">
        <f>IF(DN727=1,INDEX($DI$7:$DL$7,MATCH(1,$DI727:$DL727,0)),"mixedProduct")</f>
        <v>UpstreamInput</v>
      </c>
      <c r="DP727" t="str">
        <f>IF(DI727=1,DP$7,0)</f>
        <v>Upstream</v>
      </c>
      <c r="DQ727">
        <f>IF(DJ727=1,DQ$7,0)</f>
        <v>0</v>
      </c>
      <c r="DR727">
        <f>IF(DK727=1,DR$7,0)</f>
        <v>0</v>
      </c>
      <c r="DS727">
        <f>IF(DL727=1,DS$7,0)</f>
        <v>0</v>
      </c>
      <c r="DT727">
        <v>0</v>
      </c>
      <c r="DU727">
        <v>0</v>
      </c>
      <c r="DY727">
        <f>SUM(DT727:DU727)</f>
        <v>0</v>
      </c>
      <c r="DZ727" s="143" t="str">
        <f>IF(DT727=1,"self-calculated DF",IF(DU727=1,"external DF used","explicit C balance"))</f>
        <v>explicit C balance</v>
      </c>
      <c r="EA727">
        <v>1</v>
      </c>
      <c r="EB727">
        <v>1</v>
      </c>
      <c r="EC727">
        <v>1</v>
      </c>
      <c r="ED727">
        <v>0</v>
      </c>
      <c r="EE727">
        <v>0</v>
      </c>
      <c r="EF727" s="143">
        <v>0</v>
      </c>
      <c r="EG727">
        <v>0</v>
      </c>
      <c r="EH727">
        <v>0</v>
      </c>
      <c r="EI727">
        <v>0</v>
      </c>
      <c r="EJ727">
        <v>0</v>
      </c>
      <c r="EK727">
        <v>1</v>
      </c>
      <c r="EL727">
        <v>0</v>
      </c>
      <c r="EM727">
        <v>0</v>
      </c>
      <c r="EN727" s="2">
        <v>0</v>
      </c>
      <c r="EP727" t="str">
        <f>IF(AND(AND(AND(OR($EC727=1,$EB727=1),OR($EH727=1,$EF727=1)),SUM($EA727:$EE727,$EK727)&gt;=3),SUM($EF727:$EJ727)&gt;=2),"Whole sector approach","")</f>
        <v/>
      </c>
      <c r="EQ727" t="str">
        <f>IF(AND(AND(OR($EC727=1,$EB727=1),AND($EH727=0,$EF727=0)),SUM($EA727:$EE727,$EK727)&gt;=4),"Ecosystem approach","")</f>
        <v>Ecosystem approach</v>
      </c>
      <c r="ER727" s="2" t="str">
        <f>IF(AND(AND(AND($EC727=0,$EB727=0),OR($EH727=1,$EF727=1)),SUM($EG727:$EJ727)&gt;=2),"Technology approach","")</f>
        <v/>
      </c>
      <c r="ES727" t="str">
        <f>IF(AND($EC727+$EB727+$EE727+$EA727+$ED727+$EG727=0,$N727="included"),"C neutral forest and HWP assumption","")</f>
        <v/>
      </c>
      <c r="ET727" t="str">
        <f>IF(AND(AND(AND(AND($EC727=1,$EB727+$EA727+$EG727&gt;=1),$EF727=1),$EH727+$EI727+$ED727+$EE727&gt;=2),$N727="included"),"All C pools assumption","")</f>
        <v/>
      </c>
      <c r="EU727" t="str">
        <f>IF(AND($ED727+$EE727+$EI727+$EH727+$EF727=0,$N727="included"),"In-situ only assumption","")</f>
        <v>In-situ only assumption</v>
      </c>
      <c r="EV727" s="328" t="s">
        <v>5065</v>
      </c>
      <c r="EW727" t="s">
        <v>2198</v>
      </c>
      <c r="EY727" t="str">
        <f>IF(ISNUMBER(BW727),IF(ABS(BW727-[2]QC_indicators!$B$2)&gt;3*[2]QC_indicators!$C$2,"C ratio",IF(ISNUMBER(CA727),IF(ABS(CA727-[2]QC_indicators!$B$1)&gt;3*[2]QC_indicators!$C$1,"DF","no"))),IF(ISNUMBER(CA727),IF(ABS(CA727-[2]QC_indicators!$B$1)&gt;3*[2]QC_indicators!$C$1,"DF","no")))</f>
        <v>no</v>
      </c>
      <c r="FA727" t="str">
        <f>IF(LEN($CY727)=0,"",IF(AND($CY727&lt;(-0.05),$ES727="C neutral forest and HWP assumption"),"Cneutral paradox",IF(AND($CY727&gt;0.05,$EU727="In-situ only assumption"),"In-situ only paradox","")))</f>
        <v/>
      </c>
      <c r="FD727" s="260" t="s">
        <v>2929</v>
      </c>
    </row>
    <row r="728" spans="1:160" ht="15" hidden="1" customHeight="1">
      <c r="A728" s="1" t="s">
        <v>1654</v>
      </c>
      <c r="B728" t="s">
        <v>2188</v>
      </c>
      <c r="C728" t="s">
        <v>2189</v>
      </c>
      <c r="D728" t="s">
        <v>2190</v>
      </c>
      <c r="E728" t="s">
        <v>2191</v>
      </c>
      <c r="F728" t="s">
        <v>2192</v>
      </c>
      <c r="G728" t="s">
        <v>1660</v>
      </c>
      <c r="H728" t="s">
        <v>254</v>
      </c>
      <c r="I728">
        <v>2010</v>
      </c>
      <c r="J728">
        <v>100</v>
      </c>
      <c r="K728" t="s">
        <v>2193</v>
      </c>
      <c r="M728" t="str">
        <f>LEFT($D728,FIND(",",$D728)-1)&amp;"_"&amp;I728&amp;L728</f>
        <v>Werner_2010</v>
      </c>
      <c r="N728" t="s">
        <v>222</v>
      </c>
      <c r="O728" s="145" t="s">
        <v>1029</v>
      </c>
      <c r="Q728" t="s">
        <v>256</v>
      </c>
      <c r="R728" s="258" t="s">
        <v>223</v>
      </c>
      <c r="S728" s="1" t="s">
        <v>2194</v>
      </c>
      <c r="T728" t="s">
        <v>2195</v>
      </c>
      <c r="U728" t="s">
        <v>1030</v>
      </c>
      <c r="V728" s="334">
        <v>1</v>
      </c>
      <c r="W728">
        <v>0</v>
      </c>
      <c r="X728">
        <v>1</v>
      </c>
      <c r="Y728">
        <v>0</v>
      </c>
      <c r="Z728">
        <v>2</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s="141">
        <f>COUNTIF(X728:AY728,"&lt;&gt;0")</f>
        <v>2</v>
      </c>
      <c r="BA728" s="141">
        <f>COUNTIF(X728:AN728,"&lt;&gt;0")</f>
        <v>2</v>
      </c>
      <c r="BB728">
        <f>COUNTIF(X728:AE728,"&lt;&gt;0")</f>
        <v>2</v>
      </c>
      <c r="BC728">
        <f>COUNTIF(AF728:AK728,"&lt;&gt;0")</f>
        <v>0</v>
      </c>
      <c r="BD728">
        <f>COUNTIF(AL728:AN728,"&lt;&gt;0")</f>
        <v>0</v>
      </c>
      <c r="BE728">
        <f>COUNTIF(AU728:AY728,"&lt;&gt;0")</f>
        <v>0</v>
      </c>
      <c r="BF728">
        <f>COUNTIF(AO728:AT728,"&lt;&gt;0")</f>
        <v>0</v>
      </c>
      <c r="BG728" t="str">
        <f t="array" ref="BG728">IF(BA728=1,INDEX($X$7:$AN$7,MATCH(TRUE,INDEX($X728:$AY728&lt;&gt;0,),0)),IF(BA728=0,INDEX($AO$7:$AY$7,MATCH(1,$AO728:$AY728,0)),IF(BH728="Multiple strategies","mixed drivers",IF(BH728="Supply chain","multiple supply","multiple silviculture"))))</f>
        <v>multiple silviculture</v>
      </c>
      <c r="BH728" s="2" t="str" cm="1">
        <f t="array" ref="BH728">IF(COUNTIF(BB728:BD728,"&lt;&gt;0")=1,INDEX($X$4:$AY$4,MATCH(TRUE,INDEX($X728:$AY728&lt;&gt;0,),0)),IF(COUNTIF(BB728:BD728,"&lt;&gt;0")=0,INDEX($AO$4:$AY$4,MATCH(1,$AO728:$AY728,0)),"Multiple strategies"))</f>
        <v>Silviculture for removals</v>
      </c>
      <c r="BI728" s="1" t="s">
        <v>321</v>
      </c>
      <c r="BJ728" t="s">
        <v>2166</v>
      </c>
      <c r="BK728" s="260" t="s">
        <v>2927</v>
      </c>
      <c r="BL728" t="s">
        <v>1197</v>
      </c>
      <c r="BM728">
        <v>210</v>
      </c>
      <c r="BN728">
        <v>340.5</v>
      </c>
      <c r="BO728" s="143">
        <f>BN728/BM728</f>
        <v>1.6214285714285714</v>
      </c>
      <c r="BP728">
        <f>BN728-BM728</f>
        <v>130.5</v>
      </c>
      <c r="BQ728">
        <f>BP728*10^6</f>
        <v>130500000</v>
      </c>
      <c r="BR728" t="s">
        <v>232</v>
      </c>
      <c r="BS728" s="153" t="s">
        <v>2928</v>
      </c>
      <c r="BT728" t="s">
        <v>2069</v>
      </c>
      <c r="BU728">
        <v>385.51880535301569</v>
      </c>
      <c r="BV728">
        <v>160.9167191536873</v>
      </c>
      <c r="BW728" s="144">
        <f>IFERROR(BV728/BU728,"")</f>
        <v>0.41740303435091181</v>
      </c>
      <c r="BX728" s="144">
        <f>BV728-BU728</f>
        <v>-224.6020861993284</v>
      </c>
      <c r="BY728" s="144"/>
      <c r="BZ728">
        <f>BX728*10^6</f>
        <v>-224602086.19932839</v>
      </c>
      <c r="CA728">
        <f>IFERROR(BZ728/BQ728,"")</f>
        <v>-1.721088783136616</v>
      </c>
      <c r="CB728">
        <v>0</v>
      </c>
      <c r="CC728">
        <v>0</v>
      </c>
      <c r="CD728">
        <v>0</v>
      </c>
      <c r="CE728">
        <v>0</v>
      </c>
      <c r="CF728">
        <v>0</v>
      </c>
      <c r="CG728">
        <v>0</v>
      </c>
      <c r="CH728">
        <v>0</v>
      </c>
      <c r="CI728">
        <v>0</v>
      </c>
      <c r="CJ728">
        <v>0</v>
      </c>
      <c r="CK728">
        <v>0</v>
      </c>
      <c r="CL728">
        <v>0</v>
      </c>
      <c r="CM728">
        <v>0</v>
      </c>
      <c r="CN728">
        <v>0</v>
      </c>
      <c r="CO728">
        <v>1</v>
      </c>
      <c r="CP728" t="str">
        <f>IF($BN728&lt;$BM728,"refNeedCorrection","refOK")</f>
        <v>refOK</v>
      </c>
      <c r="CQ728">
        <f>IF($CP728="refOK",$BM728,$BN728)</f>
        <v>210</v>
      </c>
      <c r="CR728">
        <f>IF($CP728="refOK",$BN728,$BM728)</f>
        <v>340.5</v>
      </c>
      <c r="CS728">
        <f>IF($CP728="refOK",$BQ728,-$BQ728)</f>
        <v>130500000</v>
      </c>
      <c r="CT728">
        <f>IF(BI728="Roundwood",$CS728/2,$CS728)</f>
        <v>65250000</v>
      </c>
      <c r="CU728">
        <f>IF($CP728="refOK",$BU728,$BV728)*IF($BR728="Emissions positive",-1,1)</f>
        <v>385.51880535301569</v>
      </c>
      <c r="CV728">
        <f>IF($CP728="refOK",$BV728,$BU728)*IF($BR728="Emissions positive",-1,1)</f>
        <v>160.9167191536873</v>
      </c>
      <c r="CW728">
        <f>IF($CP728="refNeedCorrection",-BZ728,BZ728)*IF($BR728="Emissions positive",-1,1)</f>
        <v>-224602086.19932839</v>
      </c>
      <c r="CX728">
        <f>IFERROR($CW728/$CS728,"")</f>
        <v>-1.721088783136616</v>
      </c>
      <c r="CY728">
        <f>IFERROR($CW728/$CS728,"")</f>
        <v>-1.721088783136616</v>
      </c>
      <c r="CZ728">
        <f>IFERROR($CW728/$CT728,"")</f>
        <v>-3.4421775662732319</v>
      </c>
      <c r="DA728" s="2">
        <f>IFERROR((CV728-CU728)/ABS(CU728),"")</f>
        <v>-0.58259696564908814</v>
      </c>
      <c r="DB728" s="1" t="s">
        <v>1078</v>
      </c>
      <c r="DC728" t="str">
        <f>IF(OR($DB728="prd",$DB728="std",$DB728="cit"),"loc",IF(OR($DB728="eur",$DB728="reg",$DB728="coy"),"reg",$DB728))</f>
        <v>reg</v>
      </c>
      <c r="DD728" t="s">
        <v>626</v>
      </c>
      <c r="DE728">
        <v>2000</v>
      </c>
      <c r="DF728">
        <v>2060</v>
      </c>
      <c r="DG728">
        <f>DF728-DE728</f>
        <v>60</v>
      </c>
      <c r="DH728" t="str">
        <f>IF(DG728=0,"0",IF(AND(DG728&gt;=1,DG728&lt;=30),"1-30",IF(AND(DG728&gt;30,DG728&lt;=70),"31-70",IF(AND(DG728&gt;70,DG728&lt;=100),"71-100",IF(DG728&gt;100,"+100")))))</f>
        <v>31-70</v>
      </c>
      <c r="DI728">
        <v>1</v>
      </c>
      <c r="DJ728">
        <v>0</v>
      </c>
      <c r="DK728">
        <v>0</v>
      </c>
      <c r="DL728">
        <v>0</v>
      </c>
      <c r="DM728">
        <v>0</v>
      </c>
      <c r="DN728">
        <f>SUM(DI728:DL728)</f>
        <v>1</v>
      </c>
      <c r="DO728" t="str">
        <f>IF(DN728=1,INDEX($DI$7:$DL$7,MATCH(1,$DI728:$DL728,0)),"mixedProduct")</f>
        <v>UpstreamInput</v>
      </c>
      <c r="DP728" t="str">
        <f>IF(DI728=1,DP$7,0)</f>
        <v>Upstream</v>
      </c>
      <c r="DQ728">
        <f>IF(DJ728=1,DQ$7,0)</f>
        <v>0</v>
      </c>
      <c r="DR728">
        <f>IF(DK728=1,DR$7,0)</f>
        <v>0</v>
      </c>
      <c r="DS728">
        <f>IF(DL728=1,DS$7,0)</f>
        <v>0</v>
      </c>
      <c r="DT728">
        <v>0</v>
      </c>
      <c r="DU728">
        <v>0</v>
      </c>
      <c r="DY728">
        <f>SUM(DT728:DU728)</f>
        <v>0</v>
      </c>
      <c r="DZ728" s="143" t="str">
        <f>IF(DT728=1,"self-calculated DF",IF(DU728=1,"external DF used","explicit C balance"))</f>
        <v>explicit C balance</v>
      </c>
      <c r="EA728">
        <v>1</v>
      </c>
      <c r="EB728">
        <v>1</v>
      </c>
      <c r="EC728">
        <v>1</v>
      </c>
      <c r="ED728">
        <v>1</v>
      </c>
      <c r="EE728">
        <v>0</v>
      </c>
      <c r="EF728" s="143">
        <v>0</v>
      </c>
      <c r="EG728">
        <v>0</v>
      </c>
      <c r="EH728">
        <v>0</v>
      </c>
      <c r="EI728">
        <v>0</v>
      </c>
      <c r="EJ728">
        <v>0</v>
      </c>
      <c r="EK728">
        <v>1</v>
      </c>
      <c r="EL728">
        <v>0</v>
      </c>
      <c r="EM728">
        <v>0</v>
      </c>
      <c r="EN728" s="2">
        <v>0</v>
      </c>
      <c r="EP728" t="str">
        <f>IF(AND(AND(AND(OR($EC728=1,$EB728=1),OR($EH728=1,$EF728=1)),SUM($EA728:$EE728,$EK728)&gt;=3),SUM($EF728:$EJ728)&gt;=2),"Whole sector approach","")</f>
        <v/>
      </c>
      <c r="EQ728" t="str">
        <f>IF(AND(AND(OR($EC728=1,$EB728=1),AND($EH728=0,$EF728=0)),SUM($EA728:$EE728,$EK728)&gt;=4),"Ecosystem approach","")</f>
        <v>Ecosystem approach</v>
      </c>
      <c r="ER728" s="2" t="str">
        <f>IF(AND(AND(AND($EC728=0,$EB728=0),OR($EH728=1,$EF728=1)),SUM($EG728:$EJ728)&gt;=2),"Technology approach","")</f>
        <v/>
      </c>
      <c r="ES728" t="str">
        <f>IF(AND($EC728+$EB728+$EE728+$EA728+$ED728+$EG728=0,$N728="included"),"C neutral forest and HWP assumption","")</f>
        <v/>
      </c>
      <c r="ET728" t="str">
        <f>IF(AND(AND(AND(AND($EC728=1,$EB728+$EA728+$EG728&gt;=1),$EF728=1),$EH728+$EI728+$ED728+$EE728&gt;=2),$N728="included"),"All C pools assumption","")</f>
        <v/>
      </c>
      <c r="EU728" t="str">
        <f>IF(AND($ED728+$EE728+$EI728+$EH728+$EF728=0,$N728="included"),"In-situ only assumption","")</f>
        <v/>
      </c>
      <c r="EV728" s="328" t="s">
        <v>5065</v>
      </c>
      <c r="EW728" t="s">
        <v>2198</v>
      </c>
      <c r="EY728" t="str">
        <f>IF(ISNUMBER(BW728),IF(ABS(BW728-[2]QC_indicators!$B$2)&gt;3*[2]QC_indicators!$C$2,"C ratio",IF(ISNUMBER(CA728),IF(ABS(CA728-[2]QC_indicators!$B$1)&gt;3*[2]QC_indicators!$C$1,"DF","no"))),IF(ISNUMBER(CA728),IF(ABS(CA728-[2]QC_indicators!$B$1)&gt;3*[2]QC_indicators!$C$1,"DF","no")))</f>
        <v>no</v>
      </c>
      <c r="FA728" t="str">
        <f>IF(LEN($CY728)=0,"",IF(AND($CY728&lt;(-0.05),$ES728="C neutral forest and HWP assumption"),"Cneutral paradox",IF(AND($CY728&gt;0.05,$EU728="In-situ only assumption"),"In-situ only paradox","")))</f>
        <v/>
      </c>
      <c r="FD728" s="260" t="s">
        <v>2929</v>
      </c>
    </row>
    <row r="729" spans="1:160" ht="15" customHeight="1">
      <c r="A729" s="1" t="s">
        <v>1654</v>
      </c>
      <c r="B729" t="s">
        <v>2188</v>
      </c>
      <c r="C729" t="s">
        <v>2189</v>
      </c>
      <c r="D729" t="s">
        <v>2190</v>
      </c>
      <c r="E729" t="s">
        <v>2191</v>
      </c>
      <c r="F729" t="s">
        <v>2192</v>
      </c>
      <c r="G729" t="s">
        <v>1660</v>
      </c>
      <c r="H729" t="s">
        <v>254</v>
      </c>
      <c r="I729">
        <v>2010</v>
      </c>
      <c r="J729">
        <v>100</v>
      </c>
      <c r="K729" t="s">
        <v>2193</v>
      </c>
      <c r="M729" t="str">
        <f>LEFT($D729,FIND(",",$D729)-1)&amp;"_"&amp;I729&amp;L729</f>
        <v>Werner_2010</v>
      </c>
      <c r="N729" t="s">
        <v>222</v>
      </c>
      <c r="O729" s="145" t="s">
        <v>1029</v>
      </c>
      <c r="Q729" t="s">
        <v>256</v>
      </c>
      <c r="R729" s="258" t="s">
        <v>223</v>
      </c>
      <c r="S729" s="1" t="s">
        <v>2194</v>
      </c>
      <c r="T729" t="s">
        <v>2195</v>
      </c>
      <c r="U729" t="s">
        <v>2199</v>
      </c>
      <c r="V729" s="334">
        <v>1</v>
      </c>
      <c r="W729">
        <v>0</v>
      </c>
      <c r="X729">
        <v>1</v>
      </c>
      <c r="Y729">
        <v>0</v>
      </c>
      <c r="Z729">
        <v>2</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s="141">
        <f>COUNTIF(X729:AY729,"&lt;&gt;0")</f>
        <v>2</v>
      </c>
      <c r="BA729" s="141">
        <f>COUNTIF(X729:AN729,"&lt;&gt;0")</f>
        <v>2</v>
      </c>
      <c r="BB729">
        <f>COUNTIF(X729:AE729,"&lt;&gt;0")</f>
        <v>2</v>
      </c>
      <c r="BC729">
        <f>COUNTIF(AF729:AK729,"&lt;&gt;0")</f>
        <v>0</v>
      </c>
      <c r="BD729">
        <f>COUNTIF(AL729:AN729,"&lt;&gt;0")</f>
        <v>0</v>
      </c>
      <c r="BE729">
        <f>COUNTIF(AU729:AY729,"&lt;&gt;0")</f>
        <v>0</v>
      </c>
      <c r="BF729">
        <f>COUNTIF(AO729:AT729,"&lt;&gt;0")</f>
        <v>0</v>
      </c>
      <c r="BG729" t="str">
        <f t="array" ref="BG729">IF(BA729=1,INDEX($X$7:$AN$7,MATCH(TRUE,INDEX($X729:$AY729&lt;&gt;0,),0)),IF(BA729=0,INDEX($AO$7:$AY$7,MATCH(1,$AO729:$AY729,0)),IF(BH729="Multiple strategies","mixed drivers",IF(BH729="Supply chain","multiple supply","multiple silviculture"))))</f>
        <v>multiple silviculture</v>
      </c>
      <c r="BH729" s="2" t="str" cm="1">
        <f t="array" ref="BH729">IF(COUNTIF(BB729:BD729,"&lt;&gt;0")=1,INDEX($X$4:$AY$4,MATCH(TRUE,INDEX($X729:$AY729&lt;&gt;0,),0)),IF(COUNTIF(BB729:BD729,"&lt;&gt;0")=0,INDEX($AO$4:$AY$4,MATCH(1,$AO729:$AY729,0)),"Multiple strategies"))</f>
        <v>Silviculture for removals</v>
      </c>
      <c r="BI729" s="1" t="s">
        <v>321</v>
      </c>
      <c r="BJ729" t="s">
        <v>2166</v>
      </c>
      <c r="BK729" s="260" t="s">
        <v>2927</v>
      </c>
      <c r="BL729" t="s">
        <v>1197</v>
      </c>
      <c r="BM729">
        <v>120</v>
      </c>
      <c r="BN729">
        <v>202.5</v>
      </c>
      <c r="BO729" s="143">
        <f>BN729/BM729</f>
        <v>1.6875</v>
      </c>
      <c r="BP729">
        <f>BN729-BM729</f>
        <v>82.5</v>
      </c>
      <c r="BQ729">
        <f>BP729*10^6</f>
        <v>82500000</v>
      </c>
      <c r="BR729" t="s">
        <v>232</v>
      </c>
      <c r="BS729" s="153" t="s">
        <v>2928</v>
      </c>
      <c r="BT729" t="s">
        <v>2069</v>
      </c>
      <c r="BU729">
        <v>223.834792619919</v>
      </c>
      <c r="BV729">
        <v>79.643362017116502</v>
      </c>
      <c r="BW729" s="144">
        <f>IFERROR(BV729/BU729,"")</f>
        <v>0.35581314720966689</v>
      </c>
      <c r="BX729" s="144">
        <f>BV729-BU729</f>
        <v>-144.19143060280248</v>
      </c>
      <c r="BY729" s="144"/>
      <c r="BZ729">
        <f>BX729*10^6</f>
        <v>-144191430.60280249</v>
      </c>
      <c r="CA729">
        <f>IFERROR(BZ729/BQ729,"")</f>
        <v>-1.747774916397606</v>
      </c>
      <c r="CB729">
        <v>0</v>
      </c>
      <c r="CC729">
        <v>0</v>
      </c>
      <c r="CD729">
        <v>0</v>
      </c>
      <c r="CE729">
        <v>0</v>
      </c>
      <c r="CF729">
        <v>0</v>
      </c>
      <c r="CG729">
        <v>0</v>
      </c>
      <c r="CH729">
        <v>0</v>
      </c>
      <c r="CI729">
        <v>0</v>
      </c>
      <c r="CJ729">
        <v>0</v>
      </c>
      <c r="CK729">
        <v>0</v>
      </c>
      <c r="CL729">
        <v>0</v>
      </c>
      <c r="CM729">
        <v>0</v>
      </c>
      <c r="CN729">
        <v>0</v>
      </c>
      <c r="CO729">
        <v>1</v>
      </c>
      <c r="CP729" t="str">
        <f>IF($BN729&lt;$BM729,"refNeedCorrection","refOK")</f>
        <v>refOK</v>
      </c>
      <c r="CQ729">
        <f>IF($CP729="refOK",$BM729,$BN729)</f>
        <v>120</v>
      </c>
      <c r="CR729">
        <f>IF($CP729="refOK",$BN729,$BM729)</f>
        <v>202.5</v>
      </c>
      <c r="CS729">
        <f>IF($CP729="refOK",$BQ729,-$BQ729)</f>
        <v>82500000</v>
      </c>
      <c r="CT729">
        <f>IF(BI729="Roundwood",$CS729/2,$CS729)</f>
        <v>41250000</v>
      </c>
      <c r="CU729">
        <f>IF($CP729="refOK",$BU729,$BV729)*IF($BR729="Emissions positive",-1,1)</f>
        <v>223.834792619919</v>
      </c>
      <c r="CV729">
        <f>IF($CP729="refOK",$BV729,$BU729)*IF($BR729="Emissions positive",-1,1)</f>
        <v>79.643362017116502</v>
      </c>
      <c r="CW729">
        <f>IF($CP729="refNeedCorrection",-BZ729,BZ729)*IF($BR729="Emissions positive",-1,1)</f>
        <v>-144191430.60280249</v>
      </c>
      <c r="CX729">
        <f>IFERROR($CW729/$CS729,"")</f>
        <v>-1.747774916397606</v>
      </c>
      <c r="CY729">
        <f>IFERROR($CW729/$CS729,"")</f>
        <v>-1.747774916397606</v>
      </c>
      <c r="CZ729">
        <f>IFERROR($CW729/$CT729,"")</f>
        <v>-3.4955498327952119</v>
      </c>
      <c r="DA729" s="2">
        <f>IFERROR((CV729-CU729)/ABS(CU729),"")</f>
        <v>-0.64418685279033305</v>
      </c>
      <c r="DB729" s="1" t="s">
        <v>1078</v>
      </c>
      <c r="DC729" t="str">
        <f>IF(OR($DB729="prd",$DB729="std",$DB729="cit"),"loc",IF(OR($DB729="eur",$DB729="reg",$DB729="coy"),"reg",$DB729))</f>
        <v>reg</v>
      </c>
      <c r="DD729" t="s">
        <v>626</v>
      </c>
      <c r="DE729">
        <v>2000</v>
      </c>
      <c r="DF729">
        <v>2030</v>
      </c>
      <c r="DG729">
        <f>DF729-DE729</f>
        <v>30</v>
      </c>
      <c r="DH729" t="str">
        <f>IF(DG729=0,"0",IF(AND(DG729&gt;=1,DG729&lt;=30),"1-30",IF(AND(DG729&gt;30,DG729&lt;=70),"31-70",IF(AND(DG729&gt;70,DG729&lt;=100),"71-100",IF(DG729&gt;100,"+100")))))</f>
        <v>1-30</v>
      </c>
      <c r="DI729">
        <v>1</v>
      </c>
      <c r="DJ729">
        <v>0</v>
      </c>
      <c r="DK729">
        <v>0</v>
      </c>
      <c r="DL729">
        <v>0</v>
      </c>
      <c r="DM729">
        <v>0</v>
      </c>
      <c r="DN729">
        <f>SUM(DI729:DL729)</f>
        <v>1</v>
      </c>
      <c r="DO729" t="str">
        <f>IF(DN729=1,INDEX($DI$7:$DL$7,MATCH(1,$DI729:$DL729,0)),"mixedProduct")</f>
        <v>UpstreamInput</v>
      </c>
      <c r="DP729" t="str">
        <f>IF(DI729=1,DP$7,0)</f>
        <v>Upstream</v>
      </c>
      <c r="DQ729">
        <f>IF(DJ729=1,DQ$7,0)</f>
        <v>0</v>
      </c>
      <c r="DR729">
        <f>IF(DK729=1,DR$7,0)</f>
        <v>0</v>
      </c>
      <c r="DS729">
        <f>IF(DL729=1,DS$7,0)</f>
        <v>0</v>
      </c>
      <c r="DT729">
        <v>0</v>
      </c>
      <c r="DU729">
        <v>0</v>
      </c>
      <c r="DY729">
        <f>SUM(DT729:DU729)</f>
        <v>0</v>
      </c>
      <c r="DZ729" s="143" t="str">
        <f>IF(DT729=1,"self-calculated DF",IF(DU729=1,"external DF used","explicit C balance"))</f>
        <v>explicit C balance</v>
      </c>
      <c r="EA729">
        <v>1</v>
      </c>
      <c r="EB729">
        <v>1</v>
      </c>
      <c r="EC729">
        <v>1</v>
      </c>
      <c r="ED729">
        <v>0</v>
      </c>
      <c r="EE729">
        <v>0</v>
      </c>
      <c r="EF729" s="143">
        <v>0</v>
      </c>
      <c r="EG729">
        <v>0</v>
      </c>
      <c r="EH729">
        <v>0</v>
      </c>
      <c r="EI729">
        <v>0</v>
      </c>
      <c r="EJ729">
        <v>0</v>
      </c>
      <c r="EK729">
        <v>1</v>
      </c>
      <c r="EL729">
        <v>0</v>
      </c>
      <c r="EM729">
        <v>0</v>
      </c>
      <c r="EN729" s="2">
        <v>0</v>
      </c>
      <c r="EP729" t="str">
        <f>IF(AND(AND(AND(OR($EC729=1,$EB729=1),OR($EH729=1,$EF729=1)),SUM($EA729:$EE729,$EK729)&gt;=3),SUM($EF729:$EJ729)&gt;=2),"Whole sector approach","")</f>
        <v/>
      </c>
      <c r="EQ729" t="str">
        <f>IF(AND(AND(OR($EC729=1,$EB729=1),AND($EH729=0,$EF729=0)),SUM($EA729:$EE729,$EK729)&gt;=4),"Ecosystem approach","")</f>
        <v>Ecosystem approach</v>
      </c>
      <c r="ER729" s="2" t="str">
        <f>IF(AND(AND(AND($EC729=0,$EB729=0),OR($EH729=1,$EF729=1)),SUM($EG729:$EJ729)&gt;=2),"Technology approach","")</f>
        <v/>
      </c>
      <c r="ES729" t="str">
        <f>IF(AND($EC729+$EB729+$EE729+$EA729+$ED729+$EG729=0,$N729="included"),"C neutral forest and HWP assumption","")</f>
        <v/>
      </c>
      <c r="ET729" t="str">
        <f>IF(AND(AND(AND(AND($EC729=1,$EB729+$EA729+$EG729&gt;=1),$EF729=1),$EH729+$EI729+$ED729+$EE729&gt;=2),$N729="included"),"All C pools assumption","")</f>
        <v/>
      </c>
      <c r="EU729" t="str">
        <f>IF(AND($ED729+$EE729+$EI729+$EH729+$EF729=0,$N729="included"),"In-situ only assumption","")</f>
        <v>In-situ only assumption</v>
      </c>
      <c r="EV729" s="328" t="s">
        <v>5065</v>
      </c>
      <c r="EW729" t="s">
        <v>2198</v>
      </c>
      <c r="EY729" t="str">
        <f>IF(ISNUMBER(BW729),IF(ABS(BW729-[2]QC_indicators!$B$2)&gt;3*[2]QC_indicators!$C$2,"C ratio",IF(ISNUMBER(CA729),IF(ABS(CA729-[2]QC_indicators!$B$1)&gt;3*[2]QC_indicators!$C$1,"DF","no"))),IF(ISNUMBER(CA729),IF(ABS(CA729-[2]QC_indicators!$B$1)&gt;3*[2]QC_indicators!$C$1,"DF","no")))</f>
        <v>no</v>
      </c>
      <c r="FA729" t="str">
        <f>IF(LEN($CY729)=0,"",IF(AND($CY729&lt;(-0.05),$ES729="C neutral forest and HWP assumption"),"Cneutral paradox",IF(AND($CY729&gt;0.05,$EU729="In-situ only assumption"),"In-situ only paradox","")))</f>
        <v/>
      </c>
      <c r="FD729" s="260" t="s">
        <v>2929</v>
      </c>
    </row>
    <row r="730" spans="1:160" ht="15" customHeight="1">
      <c r="A730" s="1" t="s">
        <v>1654</v>
      </c>
      <c r="B730" t="s">
        <v>2188</v>
      </c>
      <c r="C730" t="s">
        <v>2189</v>
      </c>
      <c r="D730" t="s">
        <v>2190</v>
      </c>
      <c r="E730" t="s">
        <v>2191</v>
      </c>
      <c r="F730" t="s">
        <v>2192</v>
      </c>
      <c r="G730" t="s">
        <v>1660</v>
      </c>
      <c r="H730" t="s">
        <v>254</v>
      </c>
      <c r="I730">
        <v>2010</v>
      </c>
      <c r="J730">
        <v>100</v>
      </c>
      <c r="K730" t="s">
        <v>2193</v>
      </c>
      <c r="M730" t="str">
        <f>LEFT($D730,FIND(",",$D730)-1)&amp;"_"&amp;I730&amp;L730</f>
        <v>Werner_2010</v>
      </c>
      <c r="N730" t="s">
        <v>222</v>
      </c>
      <c r="O730" s="145" t="s">
        <v>1029</v>
      </c>
      <c r="Q730" t="s">
        <v>256</v>
      </c>
      <c r="R730" s="258" t="s">
        <v>223</v>
      </c>
      <c r="S730" s="1" t="s">
        <v>2194</v>
      </c>
      <c r="T730" t="s">
        <v>2195</v>
      </c>
      <c r="U730" t="s">
        <v>1030</v>
      </c>
      <c r="V730" s="334">
        <v>1</v>
      </c>
      <c r="W730">
        <v>0</v>
      </c>
      <c r="X730">
        <v>1</v>
      </c>
      <c r="Y730">
        <v>0</v>
      </c>
      <c r="Z730">
        <v>2</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s="141">
        <f>COUNTIF(X730:AY730,"&lt;&gt;0")</f>
        <v>2</v>
      </c>
      <c r="BA730" s="141">
        <f>COUNTIF(X730:AN730,"&lt;&gt;0")</f>
        <v>2</v>
      </c>
      <c r="BB730">
        <f>COUNTIF(X730:AE730,"&lt;&gt;0")</f>
        <v>2</v>
      </c>
      <c r="BC730">
        <f>COUNTIF(AF730:AK730,"&lt;&gt;0")</f>
        <v>0</v>
      </c>
      <c r="BD730">
        <f>COUNTIF(AL730:AN730,"&lt;&gt;0")</f>
        <v>0</v>
      </c>
      <c r="BE730">
        <f>COUNTIF(AU730:AY730,"&lt;&gt;0")</f>
        <v>0</v>
      </c>
      <c r="BF730">
        <f>COUNTIF(AO730:AT730,"&lt;&gt;0")</f>
        <v>0</v>
      </c>
      <c r="BG730" t="str">
        <f t="array" ref="BG730">IF(BA730=1,INDEX($X$7:$AN$7,MATCH(TRUE,INDEX($X730:$AY730&lt;&gt;0,),0)),IF(BA730=0,INDEX($AO$7:$AY$7,MATCH(1,$AO730:$AY730,0)),IF(BH730="Multiple strategies","mixed drivers",IF(BH730="Supply chain","multiple supply","multiple silviculture"))))</f>
        <v>multiple silviculture</v>
      </c>
      <c r="BH730" s="2" t="str" cm="1">
        <f t="array" ref="BH730">IF(COUNTIF(BB730:BD730,"&lt;&gt;0")=1,INDEX($X$4:$AY$4,MATCH(TRUE,INDEX($X730:$AY730&lt;&gt;0,),0)),IF(COUNTIF(BB730:BD730,"&lt;&gt;0")=0,INDEX($AO$4:$AY$4,MATCH(1,$AO730:$AY730,0)),"Multiple strategies"))</f>
        <v>Silviculture for removals</v>
      </c>
      <c r="BI730" s="1" t="s">
        <v>321</v>
      </c>
      <c r="BJ730" t="s">
        <v>2166</v>
      </c>
      <c r="BK730" s="260" t="s">
        <v>2927</v>
      </c>
      <c r="BL730" t="s">
        <v>1197</v>
      </c>
      <c r="BM730">
        <v>210</v>
      </c>
      <c r="BN730">
        <v>340.5</v>
      </c>
      <c r="BO730" s="143">
        <f>BN730/BM730</f>
        <v>1.6214285714285714</v>
      </c>
      <c r="BP730">
        <f>BN730-BM730</f>
        <v>130.5</v>
      </c>
      <c r="BQ730">
        <f>BP730*10^6</f>
        <v>130500000</v>
      </c>
      <c r="BR730" t="s">
        <v>232</v>
      </c>
      <c r="BS730" s="153" t="s">
        <v>2928</v>
      </c>
      <c r="BT730" t="s">
        <v>2069</v>
      </c>
      <c r="BU730">
        <v>385.778591846273</v>
      </c>
      <c r="BV730">
        <v>124.386230701242</v>
      </c>
      <c r="BW730" s="144">
        <f>IFERROR(BV730/BU730,"")</f>
        <v>0.32242906509132591</v>
      </c>
      <c r="BX730" s="144">
        <f>BV730-BU730</f>
        <v>-261.39236114503103</v>
      </c>
      <c r="BY730" s="144"/>
      <c r="BZ730">
        <f>BX730*10^6</f>
        <v>-261392361.14503103</v>
      </c>
      <c r="CA730">
        <f>IFERROR(BZ730/BQ730,"")</f>
        <v>-2.0030065988124983</v>
      </c>
      <c r="CB730">
        <v>0</v>
      </c>
      <c r="CC730">
        <v>0</v>
      </c>
      <c r="CD730">
        <v>0</v>
      </c>
      <c r="CE730">
        <v>0</v>
      </c>
      <c r="CF730">
        <v>0</v>
      </c>
      <c r="CG730">
        <v>0</v>
      </c>
      <c r="CH730">
        <v>0</v>
      </c>
      <c r="CI730">
        <v>0</v>
      </c>
      <c r="CJ730">
        <v>0</v>
      </c>
      <c r="CK730">
        <v>0</v>
      </c>
      <c r="CL730">
        <v>0</v>
      </c>
      <c r="CM730">
        <v>0</v>
      </c>
      <c r="CN730">
        <v>0</v>
      </c>
      <c r="CO730">
        <v>1</v>
      </c>
      <c r="CP730" t="str">
        <f>IF($BN730&lt;$BM730,"refNeedCorrection","refOK")</f>
        <v>refOK</v>
      </c>
      <c r="CQ730">
        <f>IF($CP730="refOK",$BM730,$BN730)</f>
        <v>210</v>
      </c>
      <c r="CR730">
        <f>IF($CP730="refOK",$BN730,$BM730)</f>
        <v>340.5</v>
      </c>
      <c r="CS730">
        <f>IF($CP730="refOK",$BQ730,-$BQ730)</f>
        <v>130500000</v>
      </c>
      <c r="CT730">
        <f>IF(BI730="Roundwood",$CS730/2,$CS730)</f>
        <v>65250000</v>
      </c>
      <c r="CU730">
        <f>IF($CP730="refOK",$BU730,$BV730)*IF($BR730="Emissions positive",-1,1)</f>
        <v>385.778591846273</v>
      </c>
      <c r="CV730">
        <f>IF($CP730="refOK",$BV730,$BU730)*IF($BR730="Emissions positive",-1,1)</f>
        <v>124.386230701242</v>
      </c>
      <c r="CW730">
        <f>IF($CP730="refNeedCorrection",-BZ730,BZ730)*IF($BR730="Emissions positive",-1,1)</f>
        <v>-261392361.14503103</v>
      </c>
      <c r="CX730">
        <f>IFERROR($CW730/$CS730,"")</f>
        <v>-2.0030065988124983</v>
      </c>
      <c r="CY730">
        <f>IFERROR($CW730/$CS730,"")</f>
        <v>-2.0030065988124983</v>
      </c>
      <c r="CZ730">
        <f>IFERROR($CW730/$CT730,"")</f>
        <v>-4.0060131976249966</v>
      </c>
      <c r="DA730" s="2">
        <f>IFERROR((CV730-CU730)/ABS(CU730),"")</f>
        <v>-0.67757093490867415</v>
      </c>
      <c r="DB730" s="1" t="s">
        <v>1078</v>
      </c>
      <c r="DC730" t="str">
        <f>IF(OR($DB730="prd",$DB730="std",$DB730="cit"),"loc",IF(OR($DB730="eur",$DB730="reg",$DB730="coy"),"reg",$DB730))</f>
        <v>reg</v>
      </c>
      <c r="DD730" t="s">
        <v>626</v>
      </c>
      <c r="DE730">
        <v>2000</v>
      </c>
      <c r="DF730">
        <v>2060</v>
      </c>
      <c r="DG730">
        <f>DF730-DE730</f>
        <v>60</v>
      </c>
      <c r="DH730" t="str">
        <f>IF(DG730=0,"0",IF(AND(DG730&gt;=1,DG730&lt;=30),"1-30",IF(AND(DG730&gt;30,DG730&lt;=70),"31-70",IF(AND(DG730&gt;70,DG730&lt;=100),"71-100",IF(DG730&gt;100,"+100")))))</f>
        <v>31-70</v>
      </c>
      <c r="DI730">
        <v>1</v>
      </c>
      <c r="DJ730">
        <v>0</v>
      </c>
      <c r="DK730">
        <v>0</v>
      </c>
      <c r="DL730">
        <v>0</v>
      </c>
      <c r="DM730">
        <v>0</v>
      </c>
      <c r="DN730">
        <f>SUM(DI730:DL730)</f>
        <v>1</v>
      </c>
      <c r="DO730" t="str">
        <f>IF(DN730=1,INDEX($DI$7:$DL$7,MATCH(1,$DI730:$DL730,0)),"mixedProduct")</f>
        <v>UpstreamInput</v>
      </c>
      <c r="DP730" t="str">
        <f>IF(DI730=1,DP$7,0)</f>
        <v>Upstream</v>
      </c>
      <c r="DQ730">
        <f>IF(DJ730=1,DQ$7,0)</f>
        <v>0</v>
      </c>
      <c r="DR730">
        <f>IF(DK730=1,DR$7,0)</f>
        <v>0</v>
      </c>
      <c r="DS730">
        <f>IF(DL730=1,DS$7,0)</f>
        <v>0</v>
      </c>
      <c r="DT730">
        <v>0</v>
      </c>
      <c r="DU730">
        <v>0</v>
      </c>
      <c r="DY730">
        <f>SUM(DT730:DU730)</f>
        <v>0</v>
      </c>
      <c r="DZ730" s="143" t="str">
        <f>IF(DT730=1,"self-calculated DF",IF(DU730=1,"external DF used","explicit C balance"))</f>
        <v>explicit C balance</v>
      </c>
      <c r="EA730">
        <v>1</v>
      </c>
      <c r="EB730">
        <v>1</v>
      </c>
      <c r="EC730">
        <v>1</v>
      </c>
      <c r="ED730">
        <v>0</v>
      </c>
      <c r="EE730">
        <v>0</v>
      </c>
      <c r="EF730" s="143">
        <v>0</v>
      </c>
      <c r="EG730">
        <v>0</v>
      </c>
      <c r="EH730">
        <v>0</v>
      </c>
      <c r="EI730">
        <v>0</v>
      </c>
      <c r="EJ730">
        <v>0</v>
      </c>
      <c r="EK730">
        <v>1</v>
      </c>
      <c r="EL730">
        <v>0</v>
      </c>
      <c r="EM730">
        <v>0</v>
      </c>
      <c r="EN730" s="2">
        <v>0</v>
      </c>
      <c r="EP730" t="str">
        <f>IF(AND(AND(AND(OR($EC730=1,$EB730=1),OR($EH730=1,$EF730=1)),SUM($EA730:$EE730,$EK730)&gt;=3),SUM($EF730:$EJ730)&gt;=2),"Whole sector approach","")</f>
        <v/>
      </c>
      <c r="EQ730" t="str">
        <f>IF(AND(AND(OR($EC730=1,$EB730=1),AND($EH730=0,$EF730=0)),SUM($EA730:$EE730,$EK730)&gt;=4),"Ecosystem approach","")</f>
        <v>Ecosystem approach</v>
      </c>
      <c r="ER730" s="2" t="str">
        <f>IF(AND(AND(AND($EC730=0,$EB730=0),OR($EH730=1,$EF730=1)),SUM($EG730:$EJ730)&gt;=2),"Technology approach","")</f>
        <v/>
      </c>
      <c r="ES730" t="str">
        <f>IF(AND($EC730+$EB730+$EE730+$EA730+$ED730+$EG730=0,$N730="included"),"C neutral forest and HWP assumption","")</f>
        <v/>
      </c>
      <c r="ET730" t="str">
        <f>IF(AND(AND(AND(AND($EC730=1,$EB730+$EA730+$EG730&gt;=1),$EF730=1),$EH730+$EI730+$ED730+$EE730&gt;=2),$N730="included"),"All C pools assumption","")</f>
        <v/>
      </c>
      <c r="EU730" t="str">
        <f>IF(AND($ED730+$EE730+$EI730+$EH730+$EF730=0,$N730="included"),"In-situ only assumption","")</f>
        <v>In-situ only assumption</v>
      </c>
      <c r="EV730" s="328" t="s">
        <v>5065</v>
      </c>
      <c r="EW730" t="s">
        <v>2198</v>
      </c>
      <c r="EY730" t="str">
        <f>IF(ISNUMBER(BW730),IF(ABS(BW730-[2]QC_indicators!$B$2)&gt;3*[2]QC_indicators!$C$2,"C ratio",IF(ISNUMBER(CA730),IF(ABS(CA730-[2]QC_indicators!$B$1)&gt;3*[2]QC_indicators!$C$1,"DF","no"))),IF(ISNUMBER(CA730),IF(ABS(CA730-[2]QC_indicators!$B$1)&gt;3*[2]QC_indicators!$C$1,"DF","no")))</f>
        <v>no</v>
      </c>
      <c r="FA730" t="str">
        <f>IF(LEN($CY730)=0,"",IF(AND($CY730&lt;(-0.05),$ES730="C neutral forest and HWP assumption"),"Cneutral paradox",IF(AND($CY730&gt;0.05,$EU730="In-situ only assumption"),"In-situ only paradox","")))</f>
        <v/>
      </c>
      <c r="FD730" s="260" t="s">
        <v>2929</v>
      </c>
    </row>
    <row r="731" spans="1:160" ht="15" hidden="1" customHeight="1">
      <c r="A731" s="1" t="s">
        <v>1654</v>
      </c>
      <c r="B731" t="s">
        <v>2188</v>
      </c>
      <c r="C731" t="s">
        <v>2189</v>
      </c>
      <c r="D731" t="s">
        <v>2190</v>
      </c>
      <c r="E731" t="s">
        <v>2191</v>
      </c>
      <c r="F731" t="s">
        <v>2192</v>
      </c>
      <c r="G731" t="s">
        <v>1660</v>
      </c>
      <c r="H731" t="s">
        <v>254</v>
      </c>
      <c r="I731">
        <v>2010</v>
      </c>
      <c r="J731">
        <v>100</v>
      </c>
      <c r="K731" t="s">
        <v>2193</v>
      </c>
      <c r="M731" t="str">
        <f>LEFT($D731,FIND(",",$D731)-1)&amp;"_"&amp;I731&amp;L731</f>
        <v>Werner_2010</v>
      </c>
      <c r="N731" t="s">
        <v>222</v>
      </c>
      <c r="O731" s="145" t="s">
        <v>1029</v>
      </c>
      <c r="Q731" t="s">
        <v>256</v>
      </c>
      <c r="R731" s="258" t="s">
        <v>223</v>
      </c>
      <c r="S731" s="1" t="s">
        <v>2194</v>
      </c>
      <c r="T731" t="s">
        <v>2195</v>
      </c>
      <c r="U731" t="s">
        <v>1030</v>
      </c>
      <c r="V731" s="334">
        <v>1</v>
      </c>
      <c r="W731">
        <v>0</v>
      </c>
      <c r="X731">
        <v>1</v>
      </c>
      <c r="Y731">
        <v>0</v>
      </c>
      <c r="Z731">
        <v>2</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s="141">
        <f>COUNTIF(X731:AY731,"&lt;&gt;0")</f>
        <v>2</v>
      </c>
      <c r="BA731" s="141">
        <f>COUNTIF(X731:AN731,"&lt;&gt;0")</f>
        <v>2</v>
      </c>
      <c r="BB731">
        <f>COUNTIF(X731:AE731,"&lt;&gt;0")</f>
        <v>2</v>
      </c>
      <c r="BC731">
        <f>COUNTIF(AF731:AK731,"&lt;&gt;0")</f>
        <v>0</v>
      </c>
      <c r="BD731">
        <f>COUNTIF(AL731:AN731,"&lt;&gt;0")</f>
        <v>0</v>
      </c>
      <c r="BE731">
        <f>COUNTIF(AU731:AY731,"&lt;&gt;0")</f>
        <v>0</v>
      </c>
      <c r="BF731">
        <f>COUNTIF(AO731:AT731,"&lt;&gt;0")</f>
        <v>0</v>
      </c>
      <c r="BG731" t="str">
        <f t="array" ref="BG731">IF(BA731=1,INDEX($X$7:$AN$7,MATCH(TRUE,INDEX($X731:$AY731&lt;&gt;0,),0)),IF(BA731=0,INDEX($AO$7:$AY$7,MATCH(1,$AO731:$AY731,0)),IF(BH731="Multiple strategies","mixed drivers",IF(BH731="Supply chain","multiple supply","multiple silviculture"))))</f>
        <v>multiple silviculture</v>
      </c>
      <c r="BH731" s="2" t="str" cm="1">
        <f t="array" ref="BH731">IF(COUNTIF(BB731:BD731,"&lt;&gt;0")=1,INDEX($X$4:$AY$4,MATCH(TRUE,INDEX($X731:$AY731&lt;&gt;0,),0)),IF(COUNTIF(BB731:BD731,"&lt;&gt;0")=0,INDEX($AO$4:$AY$4,MATCH(1,$AO731:$AY731,0)),"Multiple strategies"))</f>
        <v>Silviculture for removals</v>
      </c>
      <c r="BI731" s="1" t="s">
        <v>321</v>
      </c>
      <c r="BJ731" t="s">
        <v>2166</v>
      </c>
      <c r="BK731" s="260" t="s">
        <v>2927</v>
      </c>
      <c r="BL731" t="s">
        <v>1197</v>
      </c>
      <c r="BM731">
        <v>120</v>
      </c>
      <c r="BN731">
        <v>163.5</v>
      </c>
      <c r="BO731" s="143">
        <f>BN731/BM731</f>
        <v>1.3625</v>
      </c>
      <c r="BP731">
        <f>BN731-BM731</f>
        <v>43.5</v>
      </c>
      <c r="BQ731">
        <f>BP731*10^6</f>
        <v>43500000</v>
      </c>
      <c r="BR731" t="s">
        <v>232</v>
      </c>
      <c r="BS731" s="153" t="s">
        <v>2928</v>
      </c>
      <c r="BT731" t="s">
        <v>2069</v>
      </c>
      <c r="BU731">
        <v>227.98379614391621</v>
      </c>
      <c r="BV731">
        <v>97.758786940762292</v>
      </c>
      <c r="BW731" s="144">
        <f>IFERROR(BV731/BU731,"")</f>
        <v>0.4287970838026201</v>
      </c>
      <c r="BX731" s="144">
        <f>BV731-BU731</f>
        <v>-130.22500920315392</v>
      </c>
      <c r="BY731" s="144"/>
      <c r="BZ731">
        <f>BX731*10^6</f>
        <v>-130225009.20315392</v>
      </c>
      <c r="CA731">
        <f>IFERROR(BZ731/BQ731,"")</f>
        <v>-2.993678372486297</v>
      </c>
      <c r="CB731">
        <v>0</v>
      </c>
      <c r="CC731">
        <v>0</v>
      </c>
      <c r="CD731">
        <v>0</v>
      </c>
      <c r="CE731">
        <v>0</v>
      </c>
      <c r="CF731">
        <v>0</v>
      </c>
      <c r="CG731">
        <v>0</v>
      </c>
      <c r="CH731">
        <v>0</v>
      </c>
      <c r="CI731">
        <v>0</v>
      </c>
      <c r="CJ731">
        <v>0</v>
      </c>
      <c r="CK731">
        <v>0</v>
      </c>
      <c r="CL731">
        <v>0</v>
      </c>
      <c r="CM731">
        <v>0</v>
      </c>
      <c r="CN731">
        <v>0</v>
      </c>
      <c r="CO731">
        <v>1</v>
      </c>
      <c r="CP731" t="str">
        <f>IF($BN731&lt;$BM731,"refNeedCorrection","refOK")</f>
        <v>refOK</v>
      </c>
      <c r="CQ731">
        <f>IF($CP731="refOK",$BM731,$BN731)</f>
        <v>120</v>
      </c>
      <c r="CR731">
        <f>IF($CP731="refOK",$BN731,$BM731)</f>
        <v>163.5</v>
      </c>
      <c r="CS731">
        <f>IF($CP731="refOK",$BQ731,-$BQ731)</f>
        <v>43500000</v>
      </c>
      <c r="CT731">
        <f>IF(BI731="Roundwood",$CS731/2,$CS731)</f>
        <v>21750000</v>
      </c>
      <c r="CU731">
        <f>IF($CP731="refOK",$BU731,$BV731)*IF($BR731="Emissions positive",-1,1)</f>
        <v>227.98379614391621</v>
      </c>
      <c r="CV731">
        <f>IF($CP731="refOK",$BV731,$BU731)*IF($BR731="Emissions positive",-1,1)</f>
        <v>97.758786940762292</v>
      </c>
      <c r="CW731">
        <f>IF($CP731="refNeedCorrection",-BZ731,BZ731)*IF($BR731="Emissions positive",-1,1)</f>
        <v>-130225009.20315392</v>
      </c>
      <c r="CX731">
        <f>IFERROR($CW731/$CS731,"")</f>
        <v>-2.993678372486297</v>
      </c>
      <c r="CY731">
        <f>IFERROR($CW731/$CS731,"")</f>
        <v>-2.993678372486297</v>
      </c>
      <c r="CZ731">
        <f>IFERROR($CW731/$CT731,"")</f>
        <v>-5.987356744972594</v>
      </c>
      <c r="DA731" s="2">
        <f>IFERROR((CV731-CU731)/ABS(CU731),"")</f>
        <v>-0.57120291619737995</v>
      </c>
      <c r="DB731" s="1" t="s">
        <v>1078</v>
      </c>
      <c r="DC731" t="str">
        <f>IF(OR($DB731="prd",$DB731="std",$DB731="cit"),"loc",IF(OR($DB731="eur",$DB731="reg",$DB731="coy"),"reg",$DB731))</f>
        <v>reg</v>
      </c>
      <c r="DD731" t="s">
        <v>626</v>
      </c>
      <c r="DE731">
        <v>2000</v>
      </c>
      <c r="DF731">
        <v>2030</v>
      </c>
      <c r="DG731">
        <f>DF731-DE731</f>
        <v>30</v>
      </c>
      <c r="DH731" t="str">
        <f>IF(DG731=0,"0",IF(AND(DG731&gt;=1,DG731&lt;=30),"1-30",IF(AND(DG731&gt;30,DG731&lt;=70),"31-70",IF(AND(DG731&gt;70,DG731&lt;=100),"71-100",IF(DG731&gt;100,"+100")))))</f>
        <v>1-30</v>
      </c>
      <c r="DI731">
        <v>1</v>
      </c>
      <c r="DJ731">
        <v>0</v>
      </c>
      <c r="DK731">
        <v>0</v>
      </c>
      <c r="DL731">
        <v>0</v>
      </c>
      <c r="DM731">
        <v>0</v>
      </c>
      <c r="DN731">
        <f>SUM(DI731:DL731)</f>
        <v>1</v>
      </c>
      <c r="DO731" t="str">
        <f>IF(DN731=1,INDEX($DI$7:$DL$7,MATCH(1,$DI731:$DL731,0)),"mixedProduct")</f>
        <v>UpstreamInput</v>
      </c>
      <c r="DP731" t="str">
        <f>IF(DI731=1,DP$7,0)</f>
        <v>Upstream</v>
      </c>
      <c r="DQ731">
        <f>IF(DJ731=1,DQ$7,0)</f>
        <v>0</v>
      </c>
      <c r="DR731">
        <f>IF(DK731=1,DR$7,0)</f>
        <v>0</v>
      </c>
      <c r="DS731">
        <f>IF(DL731=1,DS$7,0)</f>
        <v>0</v>
      </c>
      <c r="DT731">
        <v>0</v>
      </c>
      <c r="DU731">
        <v>0</v>
      </c>
      <c r="DY731">
        <f>SUM(DT731:DU731)</f>
        <v>0</v>
      </c>
      <c r="DZ731" s="143" t="str">
        <f>IF(DT731=1,"self-calculated DF",IF(DU731=1,"external DF used","explicit C balance"))</f>
        <v>explicit C balance</v>
      </c>
      <c r="EA731">
        <v>1</v>
      </c>
      <c r="EB731">
        <v>1</v>
      </c>
      <c r="EC731">
        <v>1</v>
      </c>
      <c r="ED731">
        <v>1</v>
      </c>
      <c r="EE731">
        <v>1</v>
      </c>
      <c r="EF731" s="143">
        <v>0</v>
      </c>
      <c r="EG731">
        <v>0</v>
      </c>
      <c r="EH731">
        <v>0</v>
      </c>
      <c r="EI731">
        <v>0</v>
      </c>
      <c r="EJ731">
        <v>0</v>
      </c>
      <c r="EK731">
        <v>1</v>
      </c>
      <c r="EL731">
        <v>0</v>
      </c>
      <c r="EM731">
        <v>0</v>
      </c>
      <c r="EN731" s="2">
        <v>0</v>
      </c>
      <c r="EP731" t="str">
        <f>IF(AND(AND(AND(OR($EC731=1,$EB731=1),OR($EH731=1,$EF731=1)),SUM($EA731:$EE731,$EK731)&gt;=3),SUM($EF731:$EJ731)&gt;=2),"Whole sector approach","")</f>
        <v/>
      </c>
      <c r="EQ731" t="str">
        <f>IF(AND(AND(OR($EC731=1,$EB731=1),AND($EH731=0,$EF731=0)),SUM($EA731:$EE731,$EK731)&gt;=4),"Ecosystem approach","")</f>
        <v>Ecosystem approach</v>
      </c>
      <c r="ER731" s="2" t="str">
        <f>IF(AND(AND(AND($EC731=0,$EB731=0),OR($EH731=1,$EF731=1)),SUM($EG731:$EJ731)&gt;=2),"Technology approach","")</f>
        <v/>
      </c>
      <c r="ES731" t="str">
        <f>IF(AND($EC731+$EB731+$EE731+$EA731+$ED731+$EG731=0,$N731="included"),"C neutral forest and HWP assumption","")</f>
        <v/>
      </c>
      <c r="ET731" t="str">
        <f>IF(AND(AND(AND(AND($EC731=1,$EB731+$EA731+$EG731&gt;=1),$EF731=1),$EH731+$EI731+$ED731+$EE731&gt;=2),$N731="included"),"All C pools assumption","")</f>
        <v/>
      </c>
      <c r="EU731" t="str">
        <f>IF(AND($ED731+$EE731+$EI731+$EH731+$EF731=0,$N731="included"),"In-situ only assumption","")</f>
        <v/>
      </c>
      <c r="EV731" s="328" t="s">
        <v>5065</v>
      </c>
      <c r="EW731" t="s">
        <v>2198</v>
      </c>
      <c r="EY731" t="str">
        <f>IF(ISNUMBER(BW731),IF(ABS(BW731-[2]QC_indicators!$B$2)&gt;3*[2]QC_indicators!$C$2,"C ratio",IF(ISNUMBER(CA731),IF(ABS(CA731-[2]QC_indicators!$B$1)&gt;3*[2]QC_indicators!$C$1,"DF","no"))),IF(ISNUMBER(CA731),IF(ABS(CA731-[2]QC_indicators!$B$1)&gt;3*[2]QC_indicators!$C$1,"DF","no")))</f>
        <v>no</v>
      </c>
      <c r="FA731" t="str">
        <f>IF(LEN($CY731)=0,"",IF(AND($CY731&lt;(-0.05),$ES731="C neutral forest and HWP assumption"),"Cneutral paradox",IF(AND($CY731&gt;0.05,$EU731="In-situ only assumption"),"In-situ only paradox","")))</f>
        <v/>
      </c>
      <c r="FD731" s="260" t="s">
        <v>2929</v>
      </c>
    </row>
    <row r="732" spans="1:160" ht="15" customHeight="1">
      <c r="A732" s="1" t="s">
        <v>1654</v>
      </c>
      <c r="B732" t="s">
        <v>2188</v>
      </c>
      <c r="C732" t="s">
        <v>2189</v>
      </c>
      <c r="D732" t="s">
        <v>2190</v>
      </c>
      <c r="E732" t="s">
        <v>2191</v>
      </c>
      <c r="F732" t="s">
        <v>2192</v>
      </c>
      <c r="G732" t="s">
        <v>1660</v>
      </c>
      <c r="H732" t="s">
        <v>254</v>
      </c>
      <c r="I732">
        <v>2010</v>
      </c>
      <c r="J732">
        <v>100</v>
      </c>
      <c r="K732" t="s">
        <v>2193</v>
      </c>
      <c r="M732" t="str">
        <f>LEFT($D732,FIND(",",$D732)-1)&amp;"_"&amp;I732&amp;L732</f>
        <v>Werner_2010</v>
      </c>
      <c r="N732" t="s">
        <v>222</v>
      </c>
      <c r="O732" s="145" t="s">
        <v>1029</v>
      </c>
      <c r="Q732" t="s">
        <v>256</v>
      </c>
      <c r="R732" s="258" t="s">
        <v>223</v>
      </c>
      <c r="S732" s="1" t="s">
        <v>2194</v>
      </c>
      <c r="T732" t="s">
        <v>2195</v>
      </c>
      <c r="U732" t="s">
        <v>1030</v>
      </c>
      <c r="V732" s="334">
        <v>1</v>
      </c>
      <c r="W732">
        <v>0</v>
      </c>
      <c r="X732">
        <v>1</v>
      </c>
      <c r="Y732">
        <v>0</v>
      </c>
      <c r="Z732">
        <v>2</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s="141">
        <f>COUNTIF(X732:AY732,"&lt;&gt;0")</f>
        <v>2</v>
      </c>
      <c r="BA732" s="141">
        <f>COUNTIF(X732:AN732,"&lt;&gt;0")</f>
        <v>2</v>
      </c>
      <c r="BB732">
        <f>COUNTIF(X732:AE732,"&lt;&gt;0")</f>
        <v>2</v>
      </c>
      <c r="BC732">
        <f>COUNTIF(AF732:AK732,"&lt;&gt;0")</f>
        <v>0</v>
      </c>
      <c r="BD732">
        <f>COUNTIF(AL732:AN732,"&lt;&gt;0")</f>
        <v>0</v>
      </c>
      <c r="BE732">
        <f>COUNTIF(AU732:AY732,"&lt;&gt;0")</f>
        <v>0</v>
      </c>
      <c r="BF732">
        <f>COUNTIF(AO732:AT732,"&lt;&gt;0")</f>
        <v>0</v>
      </c>
      <c r="BG732" t="str">
        <f t="array" ref="BG732">IF(BA732=1,INDEX($X$7:$AN$7,MATCH(TRUE,INDEX($X732:$AY732&lt;&gt;0,),0)),IF(BA732=0,INDEX($AO$7:$AY$7,MATCH(1,$AO732:$AY732,0)),IF(BH732="Multiple strategies","mixed drivers",IF(BH732="Supply chain","multiple supply","multiple silviculture"))))</f>
        <v>multiple silviculture</v>
      </c>
      <c r="BH732" s="2" t="str" cm="1">
        <f t="array" ref="BH732">IF(COUNTIF(BB732:BD732,"&lt;&gt;0")=1,INDEX($X$4:$AY$4,MATCH(TRUE,INDEX($X732:$AY732&lt;&gt;0,),0)),IF(COUNTIF(BB732:BD732,"&lt;&gt;0")=0,INDEX($AO$4:$AY$4,MATCH(1,$AO732:$AY732,0)),"Multiple strategies"))</f>
        <v>Silviculture for removals</v>
      </c>
      <c r="BI732" s="1" t="s">
        <v>321</v>
      </c>
      <c r="BJ732" t="s">
        <v>2166</v>
      </c>
      <c r="BK732" s="260" t="s">
        <v>2927</v>
      </c>
      <c r="BL732" t="s">
        <v>1197</v>
      </c>
      <c r="BM732">
        <v>120</v>
      </c>
      <c r="BN732">
        <v>163.5</v>
      </c>
      <c r="BO732" s="143">
        <f>BN732/BM732</f>
        <v>1.3625</v>
      </c>
      <c r="BP732">
        <f>BN732-BM732</f>
        <v>43.5</v>
      </c>
      <c r="BQ732">
        <f>BP732*10^6</f>
        <v>43500000</v>
      </c>
      <c r="BR732" t="s">
        <v>232</v>
      </c>
      <c r="BS732" s="153" t="s">
        <v>2928</v>
      </c>
      <c r="BT732" t="s">
        <v>2069</v>
      </c>
      <c r="BU732">
        <v>223.834792619919</v>
      </c>
      <c r="BV732">
        <v>74.937586702500695</v>
      </c>
      <c r="BW732" s="144">
        <f>IFERROR(BV732/BU732,"")</f>
        <v>0.33478971622498344</v>
      </c>
      <c r="BX732" s="144">
        <f>BV732-BU732</f>
        <v>-148.89720591741832</v>
      </c>
      <c r="BY732" s="144"/>
      <c r="BZ732">
        <f>BX732*10^6</f>
        <v>-148897205.91741833</v>
      </c>
      <c r="CA732">
        <f>IFERROR(BZ732/BQ732,"")</f>
        <v>-3.4229242739636399</v>
      </c>
      <c r="CB732">
        <v>0</v>
      </c>
      <c r="CC732">
        <v>0</v>
      </c>
      <c r="CD732">
        <v>0</v>
      </c>
      <c r="CE732">
        <v>0</v>
      </c>
      <c r="CF732">
        <v>0</v>
      </c>
      <c r="CG732">
        <v>0</v>
      </c>
      <c r="CH732">
        <v>0</v>
      </c>
      <c r="CI732">
        <v>0</v>
      </c>
      <c r="CJ732">
        <v>0</v>
      </c>
      <c r="CK732">
        <v>0</v>
      </c>
      <c r="CL732">
        <v>0</v>
      </c>
      <c r="CM732">
        <v>0</v>
      </c>
      <c r="CN732">
        <v>0</v>
      </c>
      <c r="CO732">
        <v>1</v>
      </c>
      <c r="CP732" t="str">
        <f>IF($BN732&lt;$BM732,"refNeedCorrection","refOK")</f>
        <v>refOK</v>
      </c>
      <c r="CQ732">
        <f>IF($CP732="refOK",$BM732,$BN732)</f>
        <v>120</v>
      </c>
      <c r="CR732">
        <f>IF($CP732="refOK",$BN732,$BM732)</f>
        <v>163.5</v>
      </c>
      <c r="CS732">
        <f>IF($CP732="refOK",$BQ732,-$BQ732)</f>
        <v>43500000</v>
      </c>
      <c r="CT732">
        <f>IF(BI732="Roundwood",$CS732/2,$CS732)</f>
        <v>21750000</v>
      </c>
      <c r="CU732">
        <f>IF($CP732="refOK",$BU732,$BV732)*IF($BR732="Emissions positive",-1,1)</f>
        <v>223.834792619919</v>
      </c>
      <c r="CV732">
        <f>IF($CP732="refOK",$BV732,$BU732)*IF($BR732="Emissions positive",-1,1)</f>
        <v>74.937586702500695</v>
      </c>
      <c r="CW732">
        <f>IF($CP732="refNeedCorrection",-BZ732,BZ732)*IF($BR732="Emissions positive",-1,1)</f>
        <v>-148897205.91741833</v>
      </c>
      <c r="CX732">
        <f>IFERROR($CW732/$CS732,"")</f>
        <v>-3.4229242739636399</v>
      </c>
      <c r="CY732">
        <f>IFERROR($CW732/$CS732,"")</f>
        <v>-3.4229242739636399</v>
      </c>
      <c r="CZ732">
        <f>IFERROR($CW732/$CT732,"")</f>
        <v>-6.8458485479272797</v>
      </c>
      <c r="DA732" s="2">
        <f>IFERROR((CV732-CU732)/ABS(CU732),"")</f>
        <v>-0.66521028377501668</v>
      </c>
      <c r="DB732" s="1" t="s">
        <v>1078</v>
      </c>
      <c r="DC732" t="str">
        <f>IF(OR($DB732="prd",$DB732="std",$DB732="cit"),"loc",IF(OR($DB732="eur",$DB732="reg",$DB732="coy"),"reg",$DB732))</f>
        <v>reg</v>
      </c>
      <c r="DD732" t="s">
        <v>626</v>
      </c>
      <c r="DE732">
        <v>2000</v>
      </c>
      <c r="DF732">
        <v>2030</v>
      </c>
      <c r="DG732">
        <f>DF732-DE732</f>
        <v>30</v>
      </c>
      <c r="DH732" t="str">
        <f>IF(DG732=0,"0",IF(AND(DG732&gt;=1,DG732&lt;=30),"1-30",IF(AND(DG732&gt;30,DG732&lt;=70),"31-70",IF(AND(DG732&gt;70,DG732&lt;=100),"71-100",IF(DG732&gt;100,"+100")))))</f>
        <v>1-30</v>
      </c>
      <c r="DI732">
        <v>1</v>
      </c>
      <c r="DJ732">
        <v>0</v>
      </c>
      <c r="DK732">
        <v>0</v>
      </c>
      <c r="DL732">
        <v>0</v>
      </c>
      <c r="DM732">
        <v>0</v>
      </c>
      <c r="DN732">
        <f>SUM(DI732:DL732)</f>
        <v>1</v>
      </c>
      <c r="DO732" t="str">
        <f>IF(DN732=1,INDEX($DI$7:$DL$7,MATCH(1,$DI732:$DL732,0)),"mixedProduct")</f>
        <v>UpstreamInput</v>
      </c>
      <c r="DP732" t="str">
        <f>IF(DI732=1,DP$7,0)</f>
        <v>Upstream</v>
      </c>
      <c r="DQ732">
        <f>IF(DJ732=1,DQ$7,0)</f>
        <v>0</v>
      </c>
      <c r="DR732">
        <f>IF(DK732=1,DR$7,0)</f>
        <v>0</v>
      </c>
      <c r="DS732">
        <f>IF(DL732=1,DS$7,0)</f>
        <v>0</v>
      </c>
      <c r="DT732">
        <v>0</v>
      </c>
      <c r="DU732">
        <v>0</v>
      </c>
      <c r="DY732">
        <f>SUM(DT732:DU732)</f>
        <v>0</v>
      </c>
      <c r="DZ732" s="143" t="str">
        <f>IF(DT732=1,"self-calculated DF",IF(DU732=1,"external DF used","explicit C balance"))</f>
        <v>explicit C balance</v>
      </c>
      <c r="EA732">
        <v>1</v>
      </c>
      <c r="EB732">
        <v>1</v>
      </c>
      <c r="EC732">
        <v>1</v>
      </c>
      <c r="ED732">
        <v>0</v>
      </c>
      <c r="EE732">
        <v>0</v>
      </c>
      <c r="EF732" s="143">
        <v>0</v>
      </c>
      <c r="EG732">
        <v>0</v>
      </c>
      <c r="EH732">
        <v>0</v>
      </c>
      <c r="EI732">
        <v>0</v>
      </c>
      <c r="EJ732">
        <v>0</v>
      </c>
      <c r="EK732">
        <v>1</v>
      </c>
      <c r="EL732">
        <v>0</v>
      </c>
      <c r="EM732">
        <v>0</v>
      </c>
      <c r="EN732" s="2">
        <v>0</v>
      </c>
      <c r="EP732" t="str">
        <f>IF(AND(AND(AND(OR($EC732=1,$EB732=1),OR($EH732=1,$EF732=1)),SUM($EA732:$EE732,$EK732)&gt;=3),SUM($EF732:$EJ732)&gt;=2),"Whole sector approach","")</f>
        <v/>
      </c>
      <c r="EQ732" t="str">
        <f>IF(AND(AND(OR($EC732=1,$EB732=1),AND($EH732=0,$EF732=0)),SUM($EA732:$EE732,$EK732)&gt;=4),"Ecosystem approach","")</f>
        <v>Ecosystem approach</v>
      </c>
      <c r="ER732" s="2" t="str">
        <f>IF(AND(AND(AND($EC732=0,$EB732=0),OR($EH732=1,$EF732=1)),SUM($EG732:$EJ732)&gt;=2),"Technology approach","")</f>
        <v/>
      </c>
      <c r="ES732" t="str">
        <f>IF(AND($EC732+$EB732+$EE732+$EA732+$ED732+$EG732=0,$N732="included"),"C neutral forest and HWP assumption","")</f>
        <v/>
      </c>
      <c r="ET732" t="str">
        <f>IF(AND(AND(AND(AND($EC732=1,$EB732+$EA732+$EG732&gt;=1),$EF732=1),$EH732+$EI732+$ED732+$EE732&gt;=2),$N732="included"),"All C pools assumption","")</f>
        <v/>
      </c>
      <c r="EU732" t="str">
        <f>IF(AND($ED732+$EE732+$EI732+$EH732+$EF732=0,$N732="included"),"In-situ only assumption","")</f>
        <v>In-situ only assumption</v>
      </c>
      <c r="EV732" s="328" t="s">
        <v>5065</v>
      </c>
      <c r="EW732" t="s">
        <v>2198</v>
      </c>
      <c r="EY732" t="str">
        <f>IF(ISNUMBER(BW732),IF(ABS(BW732-[2]QC_indicators!$B$2)&gt;3*[2]QC_indicators!$C$2,"C ratio",IF(ISNUMBER(CA732),IF(ABS(CA732-[2]QC_indicators!$B$1)&gt;3*[2]QC_indicators!$C$1,"DF","no"))),IF(ISNUMBER(CA732),IF(ABS(CA732-[2]QC_indicators!$B$1)&gt;3*[2]QC_indicators!$C$1,"DF","no")))</f>
        <v>no</v>
      </c>
      <c r="FA732" t="str">
        <f>IF(LEN($CY732)=0,"",IF(AND($CY732&lt;(-0.05),$ES732="C neutral forest and HWP assumption"),"Cneutral paradox",IF(AND($CY732&gt;0.05,$EU732="In-situ only assumption"),"In-situ only paradox","")))</f>
        <v/>
      </c>
      <c r="FD732" s="260" t="s">
        <v>2929</v>
      </c>
    </row>
    <row r="733" spans="1:160" ht="15" hidden="1" customHeight="1">
      <c r="A733" s="1" t="s">
        <v>1654</v>
      </c>
      <c r="B733" t="s">
        <v>2188</v>
      </c>
      <c r="C733" t="s">
        <v>2189</v>
      </c>
      <c r="D733" t="s">
        <v>2190</v>
      </c>
      <c r="E733" t="s">
        <v>2191</v>
      </c>
      <c r="F733" t="s">
        <v>2192</v>
      </c>
      <c r="G733" t="s">
        <v>1660</v>
      </c>
      <c r="H733" t="s">
        <v>254</v>
      </c>
      <c r="I733">
        <v>2010</v>
      </c>
      <c r="J733">
        <v>100</v>
      </c>
      <c r="K733" t="s">
        <v>2193</v>
      </c>
      <c r="M733" t="str">
        <f>LEFT($D733,FIND(",",$D733)-1)&amp;"_"&amp;I733&amp;L733</f>
        <v>Werner_2010</v>
      </c>
      <c r="N733" t="s">
        <v>222</v>
      </c>
      <c r="O733" s="145" t="s">
        <v>1029</v>
      </c>
      <c r="Q733" t="s">
        <v>256</v>
      </c>
      <c r="R733" s="258" t="s">
        <v>223</v>
      </c>
      <c r="S733" s="259" t="s">
        <v>2930</v>
      </c>
      <c r="T733" t="s">
        <v>2195</v>
      </c>
      <c r="U733" t="s">
        <v>2200</v>
      </c>
      <c r="V733">
        <v>1</v>
      </c>
      <c r="W733">
        <v>0</v>
      </c>
      <c r="X733">
        <v>2</v>
      </c>
      <c r="Y733">
        <v>0</v>
      </c>
      <c r="Z733">
        <v>1</v>
      </c>
      <c r="AA733">
        <v>2</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s="141">
        <f>COUNTIF(X733:AY733,"&lt;&gt;0")</f>
        <v>3</v>
      </c>
      <c r="BA733" s="141">
        <f>COUNTIF(X733:AN733,"&lt;&gt;0")</f>
        <v>3</v>
      </c>
      <c r="BB733">
        <f>COUNTIF(X733:AE733,"&lt;&gt;0")</f>
        <v>3</v>
      </c>
      <c r="BC733">
        <f>COUNTIF(AF733:AK733,"&lt;&gt;0")</f>
        <v>0</v>
      </c>
      <c r="BD733">
        <f>COUNTIF(AL733:AN733,"&lt;&gt;0")</f>
        <v>0</v>
      </c>
      <c r="BE733">
        <f>COUNTIF(AU733:AY733,"&lt;&gt;0")</f>
        <v>0</v>
      </c>
      <c r="BF733">
        <f>COUNTIF(AO733:AT733,"&lt;&gt;0")</f>
        <v>0</v>
      </c>
      <c r="BG733" t="str">
        <f t="array" ref="BG733">IF(BA733=1,INDEX($X$7:$AN$7,MATCH(TRUE,INDEX($X733:$AY733&lt;&gt;0,),0)),IF(BA733=0,INDEX($AO$7:$AY$7,MATCH(1,$AO733:$AY733,0)),IF(BH733="Multiple strategies","mixed drivers",IF(BH733="Supply chain","multiple supply","multiple silviculture"))))</f>
        <v>multiple silviculture</v>
      </c>
      <c r="BH733" s="2" t="str" cm="1">
        <f t="array" ref="BH733">IF(COUNTIF(BB733:BD733,"&lt;&gt;0")=1,INDEX($X$4:$AY$4,MATCH(TRUE,INDEX($X733:$AY733&lt;&gt;0,),0)),IF(COUNTIF(BB733:BD733,"&lt;&gt;0")=0,INDEX($AO$4:$AY$4,MATCH(1,$AO733:$AY733,0)),"Multiple strategies"))</f>
        <v>Silviculture for removals</v>
      </c>
      <c r="BI733" s="1" t="s">
        <v>321</v>
      </c>
      <c r="BJ733" t="s">
        <v>2166</v>
      </c>
      <c r="BK733" s="260" t="s">
        <v>2927</v>
      </c>
      <c r="BL733" t="s">
        <v>1197</v>
      </c>
      <c r="BM733">
        <v>300</v>
      </c>
      <c r="BN733">
        <v>765</v>
      </c>
      <c r="BO733" s="143">
        <f>BN733/BM733</f>
        <v>2.5499999999999998</v>
      </c>
      <c r="BP733">
        <f>BN733-BM733</f>
        <v>465</v>
      </c>
      <c r="BQ733">
        <f>BP733*10^6</f>
        <v>465000000</v>
      </c>
      <c r="BR733" t="s">
        <v>232</v>
      </c>
      <c r="BS733" s="153" t="s">
        <v>2928</v>
      </c>
      <c r="BT733" t="s">
        <v>2069</v>
      </c>
      <c r="BU733">
        <v>728.49390504704797</v>
      </c>
      <c r="BV733">
        <v>894.96230752780104</v>
      </c>
      <c r="BW733" s="144">
        <f>IFERROR(BV733/BU733,"")</f>
        <v>1.2285103572280431</v>
      </c>
      <c r="BX733" s="144">
        <f>BV733-BU733</f>
        <v>166.46840248075307</v>
      </c>
      <c r="BY733" s="144"/>
      <c r="BZ733">
        <f>BX733*10^6</f>
        <v>166468402.48075306</v>
      </c>
      <c r="CA733">
        <f>IFERROR(BZ733/BQ733,"")</f>
        <v>0.35799656447473777</v>
      </c>
      <c r="CB733">
        <v>0</v>
      </c>
      <c r="CC733">
        <v>0</v>
      </c>
      <c r="CD733">
        <v>0</v>
      </c>
      <c r="CE733">
        <v>0</v>
      </c>
      <c r="CF733">
        <v>0</v>
      </c>
      <c r="CG733">
        <v>0</v>
      </c>
      <c r="CH733">
        <v>0</v>
      </c>
      <c r="CI733">
        <v>0</v>
      </c>
      <c r="CJ733">
        <v>0</v>
      </c>
      <c r="CK733">
        <v>0</v>
      </c>
      <c r="CL733">
        <v>0</v>
      </c>
      <c r="CM733">
        <v>0</v>
      </c>
      <c r="CN733">
        <v>0</v>
      </c>
      <c r="CO733">
        <v>1</v>
      </c>
      <c r="CP733" t="str">
        <f>IF($BN733&lt;$BM733,"refNeedCorrection","refOK")</f>
        <v>refOK</v>
      </c>
      <c r="CQ733">
        <f>IF($CP733="refNeedCorrection",BN733,BM733)</f>
        <v>300</v>
      </c>
      <c r="CR733">
        <f>IF($CP733="refNeedCorrection",BM733,BN733)</f>
        <v>765</v>
      </c>
      <c r="CS733">
        <f>IF($CP733="refOK",$BQ733,-$BQ733)</f>
        <v>465000000</v>
      </c>
      <c r="CT733">
        <f>IF(BI733="Roundwood",$CS733/2,$CS733)</f>
        <v>232500000</v>
      </c>
      <c r="CU733">
        <f>IF($CP733="refOK",$BU733,$BV733)*IF($BR733="Emissions positive",-1,1)</f>
        <v>728.49390504704797</v>
      </c>
      <c r="CV733">
        <f>IF($CP733="refOK",$BV733,$BU733)*IF($BR733="Emissions positive",-1,1)</f>
        <v>894.96230752780104</v>
      </c>
      <c r="CW733">
        <f>IF($CP733="refNeedCorrection",-BZ733,BZ733)*IF($BR733="Emissions positive",-1,1)</f>
        <v>166468402.48075306</v>
      </c>
      <c r="CX733">
        <f>IFERROR($CW733/$CS733,"")</f>
        <v>0.35799656447473777</v>
      </c>
      <c r="CY733">
        <f>IFERROR($CW733/$CS733,"")</f>
        <v>0.35799656447473777</v>
      </c>
      <c r="CZ733">
        <f>IFERROR($CW733/$CT733,"")</f>
        <v>0.71599312894947553</v>
      </c>
      <c r="DA733" s="2">
        <f>IFERROR((CV733-CU733)/ABS(CU733),"")</f>
        <v>0.22851035722804314</v>
      </c>
      <c r="DB733" s="1" t="s">
        <v>1078</v>
      </c>
      <c r="DC733" t="str">
        <f>IF(OR($DB733="prd",$DB733="std",$DB733="cit"),"loc",IF(OR($DB733="eur",$DB733="reg",$DB733="coy"),"reg",$DB733))</f>
        <v>reg</v>
      </c>
      <c r="DD733" t="s">
        <v>626</v>
      </c>
      <c r="DE733">
        <v>2000</v>
      </c>
      <c r="DF733">
        <v>2090</v>
      </c>
      <c r="DG733">
        <f>DF733-DE733</f>
        <v>90</v>
      </c>
      <c r="DH733" t="str">
        <f>IF(DG733=0,"0",IF(AND(DG733&gt;=1,DG733&lt;=30),"1-30",IF(AND(DG733&gt;30,DG733&lt;=70),"31-70",IF(AND(DG733&gt;70,DG733&lt;=100),"71-100",IF(DG733&gt;100,"+100")))))</f>
        <v>71-100</v>
      </c>
      <c r="DI733">
        <v>0</v>
      </c>
      <c r="DJ733">
        <v>0</v>
      </c>
      <c r="DK733">
        <v>0</v>
      </c>
      <c r="DL733">
        <v>1</v>
      </c>
      <c r="DM733">
        <v>0</v>
      </c>
      <c r="DN733">
        <f>SUM(DI733:DL733)</f>
        <v>1</v>
      </c>
      <c r="DO733" t="str">
        <f>IF(DN733=1,INDEX($DI$7:$DL$7,MATCH(1,$DI733:$DL733,0)),"mixedProduct")</f>
        <v>TimberInput</v>
      </c>
      <c r="DP733">
        <f>IF(DI733=1,DP$7,0)</f>
        <v>0</v>
      </c>
      <c r="DQ733">
        <f>IF(DJ733=1,DQ$7,0)</f>
        <v>0</v>
      </c>
      <c r="DR733">
        <f>IF(DK733=1,DR$7,0)</f>
        <v>0</v>
      </c>
      <c r="DS733" t="str">
        <f>IF(DL733=1,DS$7,0)</f>
        <v>Timber</v>
      </c>
      <c r="DT733">
        <v>0</v>
      </c>
      <c r="DU733">
        <v>1</v>
      </c>
      <c r="DV733" t="s">
        <v>2196</v>
      </c>
      <c r="DW733" t="s">
        <v>2197</v>
      </c>
      <c r="DY733">
        <f>SUM(DT733:DU733)</f>
        <v>1</v>
      </c>
      <c r="DZ733" s="143" t="str">
        <f>IF(DT733=1,"self-calculated DF",IF(DU733=1,"external DF used","explicit C balance"))</f>
        <v>external DF used</v>
      </c>
      <c r="EA733">
        <v>1</v>
      </c>
      <c r="EB733">
        <v>1</v>
      </c>
      <c r="EC733">
        <v>1</v>
      </c>
      <c r="ED733">
        <v>1</v>
      </c>
      <c r="EE733">
        <v>1</v>
      </c>
      <c r="EF733" s="143">
        <v>1</v>
      </c>
      <c r="EG733">
        <v>1</v>
      </c>
      <c r="EH733">
        <v>1</v>
      </c>
      <c r="EI733">
        <v>0</v>
      </c>
      <c r="EJ733">
        <v>0</v>
      </c>
      <c r="EK733">
        <v>1</v>
      </c>
      <c r="EL733">
        <v>0</v>
      </c>
      <c r="EM733">
        <v>0</v>
      </c>
      <c r="EN733" s="2">
        <v>0</v>
      </c>
      <c r="EP733" t="str">
        <f>IF(AND(AND(AND(OR($EC733=1,$EB733=1),OR($EH733=1,$EF733=1)),SUM($EA733:$EE733,$EK733)&gt;=3),SUM($EF733:$EJ733)&gt;=2),"Whole sector approach","")</f>
        <v>Whole sector approach</v>
      </c>
      <c r="EQ733" t="str">
        <f>IF(AND(AND(OR($EC733=1,$EB733=1),AND($EH733=0,$EF733=0)),SUM($EA733:$EE733,$EK733)&gt;=4),"Ecosystem approach","")</f>
        <v/>
      </c>
      <c r="ER733" s="2" t="str">
        <f>IF(AND(AND(AND($EC733=0,$EB733=0),OR($EH733=1,$EF733=1)),SUM($EG733:$EJ733)&gt;=2),"Technology approach","")</f>
        <v/>
      </c>
      <c r="ES733" t="str">
        <f>IF(AND($EC733+$EB733+$EE733+$EA733+$ED733+$EG733=0,$N733="included"),"C neutral forest and HWP assumption","")</f>
        <v/>
      </c>
      <c r="ET733" t="str">
        <f>IF(AND(AND(AND(AND($EC733=1,$EB733+$EA733+$EG733&gt;=1),$EF733=1),$EH733+$EI733+$ED733+$EE733&gt;=2),$N733="included"),"All C pools assumption","")</f>
        <v>All C pools assumption</v>
      </c>
      <c r="EU733" t="str">
        <f>IF(AND($ED733+$EE733+$EI733+$EH733+$EF733=0,$N733="included"),"In-situ only assumption","")</f>
        <v/>
      </c>
      <c r="EV733" s="328" t="s">
        <v>5065</v>
      </c>
      <c r="EW733" t="s">
        <v>2198</v>
      </c>
      <c r="EY733" t="str">
        <f>IF(ISNUMBER(BW733),IF(ABS(BW733-[2]QC_indicators!$B$2)&gt;3*[2]QC_indicators!$C$2,"C ratio",IF(ISNUMBER(CA733),IF(ABS(CA733-[2]QC_indicators!$B$1)&gt;3*[2]QC_indicators!$C$1,"DF","no"))),IF(ISNUMBER(CA733),IF(ABS(CA733-[2]QC_indicators!$B$1)&gt;3*[2]QC_indicators!$C$1,"DF","no")))</f>
        <v>no</v>
      </c>
      <c r="FA733" t="str">
        <f>IF(LEN($CY733)=0,"",IF(AND($CY733&lt;(-0.05),$ES733="C neutral forest and HWP assumption"),"Cneutral paradox",IF(AND($CY733&gt;0.05,$EU733="In-situ only assumption"),"In-situ only paradox","")))</f>
        <v/>
      </c>
      <c r="FD733" s="260" t="s">
        <v>2929</v>
      </c>
    </row>
    <row r="734" spans="1:160" ht="15" hidden="1" customHeight="1">
      <c r="A734" s="1" t="s">
        <v>1654</v>
      </c>
      <c r="B734" t="s">
        <v>2188</v>
      </c>
      <c r="C734" t="s">
        <v>2189</v>
      </c>
      <c r="D734" t="s">
        <v>2190</v>
      </c>
      <c r="E734" t="s">
        <v>2191</v>
      </c>
      <c r="F734" t="s">
        <v>2192</v>
      </c>
      <c r="G734" t="s">
        <v>1660</v>
      </c>
      <c r="H734" t="s">
        <v>254</v>
      </c>
      <c r="I734">
        <v>2010</v>
      </c>
      <c r="J734">
        <v>100</v>
      </c>
      <c r="K734" t="s">
        <v>2193</v>
      </c>
      <c r="M734" t="str">
        <f>LEFT($D734,FIND(",",$D734)-1)&amp;"_"&amp;I734&amp;L734</f>
        <v>Werner_2010</v>
      </c>
      <c r="N734" t="s">
        <v>222</v>
      </c>
      <c r="O734" s="145" t="s">
        <v>1029</v>
      </c>
      <c r="Q734" t="s">
        <v>256</v>
      </c>
      <c r="R734" s="258" t="s">
        <v>223</v>
      </c>
      <c r="S734" s="259" t="s">
        <v>2930</v>
      </c>
      <c r="T734" t="s">
        <v>2195</v>
      </c>
      <c r="U734" t="s">
        <v>2200</v>
      </c>
      <c r="V734">
        <v>1</v>
      </c>
      <c r="W734">
        <v>0</v>
      </c>
      <c r="X734">
        <v>2</v>
      </c>
      <c r="Y734">
        <v>0</v>
      </c>
      <c r="Z734">
        <v>1</v>
      </c>
      <c r="AA734">
        <v>2</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s="141">
        <f>COUNTIF(X734:AY734,"&lt;&gt;0")</f>
        <v>3</v>
      </c>
      <c r="BA734" s="141">
        <f>COUNTIF(X734:AN734,"&lt;&gt;0")</f>
        <v>3</v>
      </c>
      <c r="BB734">
        <f>COUNTIF(X734:AE734,"&lt;&gt;0")</f>
        <v>3</v>
      </c>
      <c r="BC734">
        <f>COUNTIF(AF734:AK734,"&lt;&gt;0")</f>
        <v>0</v>
      </c>
      <c r="BD734">
        <f>COUNTIF(AL734:AN734,"&lt;&gt;0")</f>
        <v>0</v>
      </c>
      <c r="BE734">
        <f>COUNTIF(AU734:AY734,"&lt;&gt;0")</f>
        <v>0</v>
      </c>
      <c r="BF734">
        <f>COUNTIF(AO734:AT734,"&lt;&gt;0")</f>
        <v>0</v>
      </c>
      <c r="BG734" t="str">
        <f t="array" ref="BG734">IF(BA734=1,INDEX($X$7:$AN$7,MATCH(TRUE,INDEX($X734:$AY734&lt;&gt;0,),0)),IF(BA734=0,INDEX($AO$7:$AY$7,MATCH(1,$AO734:$AY734,0)),IF(BH734="Multiple strategies","mixed drivers",IF(BH734="Supply chain","multiple supply","multiple silviculture"))))</f>
        <v>multiple silviculture</v>
      </c>
      <c r="BH734" s="2" t="str" cm="1">
        <f t="array" ref="BH734">IF(COUNTIF(BB734:BD734,"&lt;&gt;0")=1,INDEX($X$4:$AY$4,MATCH(TRUE,INDEX($X734:$AY734&lt;&gt;0,),0)),IF(COUNTIF(BB734:BD734,"&lt;&gt;0")=0,INDEX($AO$4:$AY$4,MATCH(1,$AO734:$AY734,0)),"Multiple strategies"))</f>
        <v>Silviculture for removals</v>
      </c>
      <c r="BI734" s="1" t="s">
        <v>321</v>
      </c>
      <c r="BJ734" t="s">
        <v>2166</v>
      </c>
      <c r="BK734" s="260" t="s">
        <v>2927</v>
      </c>
      <c r="BL734" t="s">
        <v>1197</v>
      </c>
      <c r="BM734">
        <v>210</v>
      </c>
      <c r="BN734">
        <v>489</v>
      </c>
      <c r="BO734" s="143">
        <f>BN734/BM734</f>
        <v>2.3285714285714287</v>
      </c>
      <c r="BP734">
        <f>BN734-BM734</f>
        <v>279</v>
      </c>
      <c r="BQ734">
        <f>BP734*1000000</f>
        <v>279000000</v>
      </c>
      <c r="BR734" t="s">
        <v>232</v>
      </c>
      <c r="BS734" s="153" t="s">
        <v>2928</v>
      </c>
      <c r="BT734" t="s">
        <v>2069</v>
      </c>
      <c r="BU734">
        <v>644.05341103507203</v>
      </c>
      <c r="BV734">
        <v>626.98486954662098</v>
      </c>
      <c r="BW734" s="144">
        <f>IFERROR(BV734/BU734,"")</f>
        <v>0.9734982515487034</v>
      </c>
      <c r="BX734" s="144">
        <f>BV734-BU734</f>
        <v>-17.068541488451046</v>
      </c>
      <c r="BY734" s="144"/>
      <c r="BZ734">
        <f>BX734*10^6</f>
        <v>-17068541.488451045</v>
      </c>
      <c r="CA734">
        <f>IFERROR(BZ734/BQ734,"")</f>
        <v>-6.1177568058964321E-2</v>
      </c>
      <c r="CB734">
        <v>0</v>
      </c>
      <c r="CC734">
        <v>0</v>
      </c>
      <c r="CD734">
        <v>0</v>
      </c>
      <c r="CE734">
        <v>0</v>
      </c>
      <c r="CF734">
        <v>0</v>
      </c>
      <c r="CG734">
        <v>0</v>
      </c>
      <c r="CH734">
        <v>0</v>
      </c>
      <c r="CI734">
        <v>0</v>
      </c>
      <c r="CJ734">
        <v>0</v>
      </c>
      <c r="CK734">
        <v>0</v>
      </c>
      <c r="CL734">
        <v>0</v>
      </c>
      <c r="CM734">
        <v>0</v>
      </c>
      <c r="CN734">
        <v>0</v>
      </c>
      <c r="CO734">
        <v>1</v>
      </c>
      <c r="CP734" t="str">
        <f>IF($BN734&lt;$BM734,"refNeedCorrection","refOK")</f>
        <v>refOK</v>
      </c>
      <c r="CQ734">
        <f>IF($CP734="refNeedCorrection",BN734,BM734)</f>
        <v>210</v>
      </c>
      <c r="CR734">
        <f>IF($CP734="refNeedCorrection",BM734,BN734)</f>
        <v>489</v>
      </c>
      <c r="CS734">
        <f>IF($CP734="refOK",$BQ734,-$BQ734)</f>
        <v>279000000</v>
      </c>
      <c r="CT734">
        <f>IF(BI734="Roundwood",$CS734/2,$CS734)</f>
        <v>139500000</v>
      </c>
      <c r="CU734">
        <f>IF($CP734="refOK",$BU734,$BV734)*IF($BR734="Emissions positive",-1,1)</f>
        <v>644.05341103507203</v>
      </c>
      <c r="CV734">
        <f>IF($CP734="refOK",$BV734,$BU734)*IF($BR734="Emissions positive",-1,1)</f>
        <v>626.98486954662098</v>
      </c>
      <c r="CW734">
        <f>IF($CP734="refNeedCorrection",-BZ734,BZ734)*IF($BR734="Emissions positive",-1,1)</f>
        <v>-17068541.488451045</v>
      </c>
      <c r="CX734">
        <f>IFERROR($CW734/$CS734,"")</f>
        <v>-6.1177568058964321E-2</v>
      </c>
      <c r="CY734">
        <f>IFERROR($CW734/$CS734,"")</f>
        <v>-6.1177568058964321E-2</v>
      </c>
      <c r="CZ734">
        <f>IFERROR($CW734/$CT734,"")</f>
        <v>-0.12235513611792864</v>
      </c>
      <c r="DA734" s="2">
        <f>IFERROR((CV734-CU734)/ABS(CU734),"")</f>
        <v>-2.6501748451296651E-2</v>
      </c>
      <c r="DB734" s="1" t="s">
        <v>1078</v>
      </c>
      <c r="DC734" t="str">
        <f>IF(OR($DB734="prd",$DB734="std",$DB734="cit"),"loc",IF(OR($DB734="eur",$DB734="reg",$DB734="coy"),"reg",$DB734))</f>
        <v>reg</v>
      </c>
      <c r="DD734" t="s">
        <v>626</v>
      </c>
      <c r="DE734">
        <v>2000</v>
      </c>
      <c r="DF734">
        <v>2060</v>
      </c>
      <c r="DG734">
        <f>DF734-DE734</f>
        <v>60</v>
      </c>
      <c r="DH734" t="str">
        <f>IF(DG734=0,"0",IF(AND(DG734&gt;=1,DG734&lt;=30),"1-30",IF(AND(DG734&gt;30,DG734&lt;=70),"31-70",IF(AND(DG734&gt;70,DG734&lt;=100),"71-100",IF(DG734&gt;100,"+100")))))</f>
        <v>31-70</v>
      </c>
      <c r="DI734">
        <v>0</v>
      </c>
      <c r="DJ734">
        <v>0</v>
      </c>
      <c r="DK734">
        <v>0</v>
      </c>
      <c r="DL734">
        <v>1</v>
      </c>
      <c r="DM734">
        <v>0</v>
      </c>
      <c r="DN734">
        <f>SUM(DI734:DL734)</f>
        <v>1</v>
      </c>
      <c r="DO734" t="str">
        <f>IF(DN734=1,INDEX($DI$7:$DL$7,MATCH(1,$DI734:$DL734,0)),"mixedProduct")</f>
        <v>TimberInput</v>
      </c>
      <c r="DP734">
        <f>IF(DI734=1,DP$7,0)</f>
        <v>0</v>
      </c>
      <c r="DQ734">
        <f>IF(DJ734=1,DQ$7,0)</f>
        <v>0</v>
      </c>
      <c r="DR734">
        <f>IF(DK734=1,DR$7,0)</f>
        <v>0</v>
      </c>
      <c r="DS734" t="str">
        <f>IF(DL734=1,DS$7,0)</f>
        <v>Timber</v>
      </c>
      <c r="DT734">
        <v>0</v>
      </c>
      <c r="DU734">
        <v>1</v>
      </c>
      <c r="DV734" t="s">
        <v>2196</v>
      </c>
      <c r="DW734" t="s">
        <v>2197</v>
      </c>
      <c r="DY734">
        <f>SUM(DT734:DU734)</f>
        <v>1</v>
      </c>
      <c r="DZ734" s="143" t="str">
        <f>IF(DT734=1,"self-calculated DF",IF(DU734=1,"external DF used","explicit C balance"))</f>
        <v>external DF used</v>
      </c>
      <c r="EA734">
        <v>1</v>
      </c>
      <c r="EB734">
        <v>1</v>
      </c>
      <c r="EC734">
        <v>1</v>
      </c>
      <c r="ED734">
        <v>1</v>
      </c>
      <c r="EE734">
        <v>1</v>
      </c>
      <c r="EF734" s="143">
        <v>1</v>
      </c>
      <c r="EG734">
        <v>1</v>
      </c>
      <c r="EH734">
        <v>1</v>
      </c>
      <c r="EI734">
        <v>0</v>
      </c>
      <c r="EJ734">
        <v>0</v>
      </c>
      <c r="EK734">
        <v>1</v>
      </c>
      <c r="EL734">
        <v>0</v>
      </c>
      <c r="EM734">
        <v>0</v>
      </c>
      <c r="EN734" s="2">
        <v>0</v>
      </c>
      <c r="EP734" t="str">
        <f>IF(AND(AND(AND(OR($EC734=1,$EB734=1),OR($EH734=1,$EF734=1)),SUM($EA734:$EE734,$EK734)&gt;=3),SUM($EF734:$EJ734)&gt;=2),"Whole sector approach","")</f>
        <v>Whole sector approach</v>
      </c>
      <c r="EQ734" t="str">
        <f>IF(AND(AND(OR($EC734=1,$EB734=1),AND($EH734=0,$EF734=0)),SUM($EA734:$EE734,$EK734)&gt;=4),"Ecosystem approach","")</f>
        <v/>
      </c>
      <c r="ER734" s="2" t="str">
        <f>IF(AND(AND(AND($EC734=0,$EB734=0),OR($EH734=1,$EF734=1)),SUM($EG734:$EJ734)&gt;=2),"Technology approach","")</f>
        <v/>
      </c>
      <c r="ES734" t="str">
        <f>IF(AND($EC734+$EB734+$EE734+$EA734+$ED734+$EG734=0,$N734="included"),"C neutral forest and HWP assumption","")</f>
        <v/>
      </c>
      <c r="ET734" t="str">
        <f>IF(AND(AND(AND(AND($EC734=1,$EB734+$EA734+$EG734&gt;=1),$EF734=1),$EH734+$EI734+$ED734+$EE734&gt;=2),$N734="included"),"All C pools assumption","")</f>
        <v>All C pools assumption</v>
      </c>
      <c r="EU734" t="str">
        <f>IF(AND($ED734+$EE734+$EI734+$EH734+$EF734=0,$N734="included"),"In-situ only assumption","")</f>
        <v/>
      </c>
      <c r="EV734" s="328" t="s">
        <v>5065</v>
      </c>
      <c r="EW734" t="s">
        <v>2198</v>
      </c>
      <c r="EY734" t="str">
        <f>IF(ISNUMBER(BW734),IF(ABS(BW734-[2]QC_indicators!$B$2)&gt;3*[2]QC_indicators!$C$2,"C ratio",IF(ISNUMBER(CA734),IF(ABS(CA734-[2]QC_indicators!$B$1)&gt;3*[2]QC_indicators!$C$1,"DF","no"))),IF(ISNUMBER(CA734),IF(ABS(CA734-[2]QC_indicators!$B$1)&gt;3*[2]QC_indicators!$C$1,"DF","no")))</f>
        <v>no</v>
      </c>
      <c r="FA734" t="str">
        <f>IF(LEN($CY734)=0,"",IF(AND($CY734&lt;(-0.05),$ES734="C neutral forest and HWP assumption"),"Cneutral paradox",IF(AND($CY734&gt;0.05,$EU734="In-situ only assumption"),"In-situ only paradox","")))</f>
        <v/>
      </c>
      <c r="FD734" s="260" t="s">
        <v>2929</v>
      </c>
    </row>
    <row r="735" spans="1:160" ht="15" hidden="1" customHeight="1">
      <c r="A735" s="1" t="s">
        <v>1654</v>
      </c>
      <c r="B735" t="s">
        <v>2188</v>
      </c>
      <c r="C735" t="s">
        <v>2189</v>
      </c>
      <c r="D735" t="s">
        <v>2190</v>
      </c>
      <c r="E735" t="s">
        <v>2191</v>
      </c>
      <c r="F735" t="s">
        <v>2192</v>
      </c>
      <c r="G735" t="s">
        <v>1660</v>
      </c>
      <c r="H735" t="s">
        <v>254</v>
      </c>
      <c r="I735">
        <v>2010</v>
      </c>
      <c r="J735">
        <v>100</v>
      </c>
      <c r="K735" t="s">
        <v>2193</v>
      </c>
      <c r="M735" t="str">
        <f>LEFT($D735,FIND(",",$D735)-1)&amp;"_"&amp;I735&amp;L735</f>
        <v>Werner_2010</v>
      </c>
      <c r="N735" t="s">
        <v>222</v>
      </c>
      <c r="O735" s="145" t="s">
        <v>1029</v>
      </c>
      <c r="Q735" t="s">
        <v>256</v>
      </c>
      <c r="R735" s="258" t="s">
        <v>223</v>
      </c>
      <c r="S735" s="259" t="s">
        <v>2930</v>
      </c>
      <c r="T735" t="s">
        <v>2195</v>
      </c>
      <c r="U735" t="s">
        <v>2200</v>
      </c>
      <c r="V735">
        <v>1</v>
      </c>
      <c r="W735">
        <v>0</v>
      </c>
      <c r="X735">
        <v>2</v>
      </c>
      <c r="Y735">
        <v>0</v>
      </c>
      <c r="Z735">
        <v>1</v>
      </c>
      <c r="AA735">
        <v>2</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s="141">
        <f>COUNTIF(X735:AY735,"&lt;&gt;0")</f>
        <v>3</v>
      </c>
      <c r="BA735" s="141">
        <f>COUNTIF(X735:AN735,"&lt;&gt;0")</f>
        <v>3</v>
      </c>
      <c r="BB735">
        <f>COUNTIF(X735:AE735,"&lt;&gt;0")</f>
        <v>3</v>
      </c>
      <c r="BC735">
        <f>COUNTIF(AF735:AK735,"&lt;&gt;0")</f>
        <v>0</v>
      </c>
      <c r="BD735">
        <f>COUNTIF(AL735:AN735,"&lt;&gt;0")</f>
        <v>0</v>
      </c>
      <c r="BE735">
        <f>COUNTIF(AU735:AY735,"&lt;&gt;0")</f>
        <v>0</v>
      </c>
      <c r="BF735">
        <f>COUNTIF(AO735:AT735,"&lt;&gt;0")</f>
        <v>0</v>
      </c>
      <c r="BG735" t="str">
        <f t="array" ref="BG735">IF(BA735=1,INDEX($X$7:$AN$7,MATCH(TRUE,INDEX($X735:$AY735&lt;&gt;0,),0)),IF(BA735=0,INDEX($AO$7:$AY$7,MATCH(1,$AO735:$AY735,0)),IF(BH735="Multiple strategies","mixed drivers",IF(BH735="Supply chain","multiple supply","multiple silviculture"))))</f>
        <v>multiple silviculture</v>
      </c>
      <c r="BH735" s="2" t="str" cm="1">
        <f t="array" ref="BH735">IF(COUNTIF(BB735:BD735,"&lt;&gt;0")=1,INDEX($X$4:$AY$4,MATCH(TRUE,INDEX($X735:$AY735&lt;&gt;0,),0)),IF(COUNTIF(BB735:BD735,"&lt;&gt;0")=0,INDEX($AO$4:$AY$4,MATCH(1,$AO735:$AY735,0)),"Multiple strategies"))</f>
        <v>Silviculture for removals</v>
      </c>
      <c r="BI735" s="1" t="s">
        <v>321</v>
      </c>
      <c r="BJ735" t="s">
        <v>2166</v>
      </c>
      <c r="BK735" s="260" t="s">
        <v>2927</v>
      </c>
      <c r="BL735" t="s">
        <v>1197</v>
      </c>
      <c r="BM735">
        <v>300</v>
      </c>
      <c r="BN735">
        <v>765</v>
      </c>
      <c r="BO735" s="143">
        <f>BN735/BM735</f>
        <v>2.5499999999999998</v>
      </c>
      <c r="BP735">
        <f>BN735-BM735</f>
        <v>465</v>
      </c>
      <c r="BQ735">
        <f>BP735*10^6</f>
        <v>465000000</v>
      </c>
      <c r="BR735" t="s">
        <v>232</v>
      </c>
      <c r="BS735" s="153" t="s">
        <v>2928</v>
      </c>
      <c r="BT735" t="s">
        <v>2069</v>
      </c>
      <c r="BU735">
        <v>345.6503741652154</v>
      </c>
      <c r="BV735">
        <v>154.92997037322621</v>
      </c>
      <c r="BW735" s="144">
        <f>IFERROR(BV735/BU735,"")</f>
        <v>0.44822740535837563</v>
      </c>
      <c r="BX735" s="144">
        <f>BV735-BU735</f>
        <v>-190.72040379198918</v>
      </c>
      <c r="BY735" s="144"/>
      <c r="BZ735">
        <f>BX735*10^6</f>
        <v>-190720403.79198918</v>
      </c>
      <c r="CA735">
        <f>IFERROR(BZ735/BQ735,"")</f>
        <v>-0.4101514060042778</v>
      </c>
      <c r="CB735">
        <v>0</v>
      </c>
      <c r="CC735">
        <v>0</v>
      </c>
      <c r="CD735">
        <v>0</v>
      </c>
      <c r="CE735">
        <v>0</v>
      </c>
      <c r="CF735">
        <v>0</v>
      </c>
      <c r="CG735">
        <v>0</v>
      </c>
      <c r="CH735">
        <v>0</v>
      </c>
      <c r="CI735">
        <v>0</v>
      </c>
      <c r="CJ735">
        <v>0</v>
      </c>
      <c r="CK735">
        <v>0</v>
      </c>
      <c r="CL735">
        <v>0</v>
      </c>
      <c r="CM735">
        <v>0</v>
      </c>
      <c r="CN735">
        <v>0</v>
      </c>
      <c r="CO735">
        <v>1</v>
      </c>
      <c r="CP735" t="str">
        <f>IF($BN735&lt;$BM735,"refNeedCorrection","refOK")</f>
        <v>refOK</v>
      </c>
      <c r="CQ735">
        <f>IF($CP735="refNeedCorrection",BN735,BM735)</f>
        <v>300</v>
      </c>
      <c r="CR735">
        <f>IF($CP735="refNeedCorrection",BM735,BN735)</f>
        <v>765</v>
      </c>
      <c r="CS735">
        <f>IF($CP735="refOK",$BQ735,-$BQ735)</f>
        <v>465000000</v>
      </c>
      <c r="CT735">
        <f>IF(BI735="Roundwood",$CS735/2,$CS735)</f>
        <v>232500000</v>
      </c>
      <c r="CU735">
        <f>IF($CP735="refOK",$BU735,$BV735)*IF($BR735="Emissions positive",-1,1)</f>
        <v>345.6503741652154</v>
      </c>
      <c r="CV735">
        <f>IF($CP735="refOK",$BV735,$BU735)*IF($BR735="Emissions positive",-1,1)</f>
        <v>154.92997037322621</v>
      </c>
      <c r="CW735">
        <f>IF($CP735="refNeedCorrection",-BZ735,BZ735)*IF($BR735="Emissions positive",-1,1)</f>
        <v>-190720403.79198918</v>
      </c>
      <c r="CX735">
        <f>IFERROR($CW735/$CS735,"")</f>
        <v>-0.4101514060042778</v>
      </c>
      <c r="CY735">
        <f>IFERROR($CW735/$CS735,"")</f>
        <v>-0.4101514060042778</v>
      </c>
      <c r="CZ735">
        <f>IFERROR($CW735/$CT735,"")</f>
        <v>-0.82030281200855559</v>
      </c>
      <c r="DA735" s="2">
        <f>IFERROR((CV735-CU735)/ABS(CU735),"")</f>
        <v>-0.55177259464162431</v>
      </c>
      <c r="DB735" s="1" t="s">
        <v>1078</v>
      </c>
      <c r="DC735" t="str">
        <f>IF(OR($DB735="prd",$DB735="std",$DB735="cit"),"loc",IF(OR($DB735="eur",$DB735="reg",$DB735="coy"),"reg",$DB735))</f>
        <v>reg</v>
      </c>
      <c r="DD735" t="s">
        <v>626</v>
      </c>
      <c r="DE735">
        <v>2000</v>
      </c>
      <c r="DF735">
        <v>2090</v>
      </c>
      <c r="DG735">
        <f>DF735-DE735</f>
        <v>90</v>
      </c>
      <c r="DH735" t="str">
        <f>IF(DG735=0,"0",IF(AND(DG735&gt;=1,DG735&lt;=30),"1-30",IF(AND(DG735&gt;30,DG735&lt;=70),"31-70",IF(AND(DG735&gt;70,DG735&lt;=100),"71-100",IF(DG735&gt;100,"+100")))))</f>
        <v>71-100</v>
      </c>
      <c r="DI735">
        <v>0</v>
      </c>
      <c r="DJ735">
        <v>0</v>
      </c>
      <c r="DK735">
        <v>0</v>
      </c>
      <c r="DL735">
        <v>1</v>
      </c>
      <c r="DM735">
        <v>0</v>
      </c>
      <c r="DN735">
        <f>SUM(DI735:DL735)</f>
        <v>1</v>
      </c>
      <c r="DO735" t="str">
        <f>IF(DN735=1,INDEX($DI$7:$DL$7,MATCH(1,$DI735:$DL735,0)),"mixedProduct")</f>
        <v>TimberInput</v>
      </c>
      <c r="DP735">
        <f>IF(DI735=1,DP$7,0)</f>
        <v>0</v>
      </c>
      <c r="DQ735">
        <f>IF(DJ735=1,DQ$7,0)</f>
        <v>0</v>
      </c>
      <c r="DR735">
        <f>IF(DK735=1,DR$7,0)</f>
        <v>0</v>
      </c>
      <c r="DS735" t="str">
        <f>IF(DL735=1,DS$7,0)</f>
        <v>Timber</v>
      </c>
      <c r="DT735">
        <v>0</v>
      </c>
      <c r="DU735">
        <v>0</v>
      </c>
      <c r="DY735">
        <f>SUM(DT735:DU735)</f>
        <v>0</v>
      </c>
      <c r="DZ735" s="143" t="str">
        <f>IF(DT735=1,"self-calculated DF",IF(DU735=1,"external DF used","explicit C balance"))</f>
        <v>explicit C balance</v>
      </c>
      <c r="EA735">
        <v>1</v>
      </c>
      <c r="EB735">
        <v>1</v>
      </c>
      <c r="EC735">
        <v>1</v>
      </c>
      <c r="ED735">
        <v>1</v>
      </c>
      <c r="EE735">
        <v>0</v>
      </c>
      <c r="EF735" s="143">
        <v>0</v>
      </c>
      <c r="EG735">
        <v>0</v>
      </c>
      <c r="EH735">
        <v>0</v>
      </c>
      <c r="EI735">
        <v>0</v>
      </c>
      <c r="EJ735">
        <v>0</v>
      </c>
      <c r="EK735">
        <v>1</v>
      </c>
      <c r="EL735">
        <v>0</v>
      </c>
      <c r="EM735">
        <v>0</v>
      </c>
      <c r="EN735" s="2">
        <v>0</v>
      </c>
      <c r="EP735" t="str">
        <f>IF(AND(AND(AND(OR($EC735=1,$EB735=1),OR($EH735=1,$EF735=1)),SUM($EA735:$EE735,$EK735)&gt;=3),SUM($EF735:$EJ735)&gt;=2),"Whole sector approach","")</f>
        <v/>
      </c>
      <c r="EQ735" t="str">
        <f>IF(AND(AND(OR($EC735=1,$EB735=1),AND($EH735=0,$EF735=0)),SUM($EA735:$EE735,$EK735)&gt;=4),"Ecosystem approach","")</f>
        <v>Ecosystem approach</v>
      </c>
      <c r="ER735" s="2" t="str">
        <f>IF(AND(AND(AND($EC735=0,$EB735=0),OR($EH735=1,$EF735=1)),SUM($EG735:$EJ735)&gt;=2),"Technology approach","")</f>
        <v/>
      </c>
      <c r="ES735" t="str">
        <f>IF(AND($EC735+$EB735+$EE735+$EA735+$ED735+$EG735=0,$N735="included"),"C neutral forest and HWP assumption","")</f>
        <v/>
      </c>
      <c r="ET735" t="str">
        <f>IF(AND(AND(AND(AND($EC735=1,$EB735+$EA735+$EG735&gt;=1),$EF735=1),$EH735+$EI735+$ED735+$EE735&gt;=2),$N735="included"),"All C pools assumption","")</f>
        <v/>
      </c>
      <c r="EU735" t="str">
        <f>IF(AND($ED735+$EE735+$EI735+$EH735+$EF735=0,$N735="included"),"In-situ only assumption","")</f>
        <v/>
      </c>
      <c r="EV735" s="328" t="s">
        <v>5065</v>
      </c>
      <c r="EW735" t="s">
        <v>2198</v>
      </c>
      <c r="EY735" t="str">
        <f>IF(ISNUMBER(BW735),IF(ABS(BW735-[2]QC_indicators!$B$2)&gt;3*[2]QC_indicators!$C$2,"C ratio",IF(ISNUMBER(CA735),IF(ABS(CA735-[2]QC_indicators!$B$1)&gt;3*[2]QC_indicators!$C$1,"DF","no"))),IF(ISNUMBER(CA735),IF(ABS(CA735-[2]QC_indicators!$B$1)&gt;3*[2]QC_indicators!$C$1,"DF","no")))</f>
        <v>no</v>
      </c>
      <c r="FA735" t="str">
        <f>IF(LEN($CY735)=0,"",IF(AND($CY735&lt;(-0.05),$ES735="C neutral forest and HWP assumption"),"Cneutral paradox",IF(AND($CY735&gt;0.05,$EU735="In-situ only assumption"),"In-situ only paradox","")))</f>
        <v/>
      </c>
      <c r="FD735" s="260" t="s">
        <v>2929</v>
      </c>
    </row>
    <row r="736" spans="1:160" ht="15" hidden="1" customHeight="1">
      <c r="A736" s="1" t="s">
        <v>1654</v>
      </c>
      <c r="B736" t="s">
        <v>2188</v>
      </c>
      <c r="C736" t="s">
        <v>2189</v>
      </c>
      <c r="D736" t="s">
        <v>2190</v>
      </c>
      <c r="E736" t="s">
        <v>2191</v>
      </c>
      <c r="F736" t="s">
        <v>2192</v>
      </c>
      <c r="G736" t="s">
        <v>1660</v>
      </c>
      <c r="H736" t="s">
        <v>254</v>
      </c>
      <c r="I736">
        <v>2010</v>
      </c>
      <c r="J736">
        <v>100</v>
      </c>
      <c r="K736" t="s">
        <v>2193</v>
      </c>
      <c r="M736" t="str">
        <f>LEFT($D736,FIND(",",$D736)-1)&amp;"_"&amp;I736&amp;L736</f>
        <v>Werner_2010</v>
      </c>
      <c r="N736" t="s">
        <v>222</v>
      </c>
      <c r="O736" s="145" t="s">
        <v>1029</v>
      </c>
      <c r="Q736" t="s">
        <v>256</v>
      </c>
      <c r="R736" s="258" t="s">
        <v>223</v>
      </c>
      <c r="S736" s="259" t="s">
        <v>2930</v>
      </c>
      <c r="T736" t="s">
        <v>2195</v>
      </c>
      <c r="U736" t="s">
        <v>2200</v>
      </c>
      <c r="V736">
        <v>1</v>
      </c>
      <c r="W736">
        <v>0</v>
      </c>
      <c r="X736">
        <v>2</v>
      </c>
      <c r="Y736">
        <v>0</v>
      </c>
      <c r="Z736">
        <v>1</v>
      </c>
      <c r="AA736">
        <v>2</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s="141">
        <f>COUNTIF(X736:AY736,"&lt;&gt;0")</f>
        <v>3</v>
      </c>
      <c r="BA736" s="141">
        <f>COUNTIF(X736:AN736,"&lt;&gt;0")</f>
        <v>3</v>
      </c>
      <c r="BB736">
        <f>COUNTIF(X736:AE736,"&lt;&gt;0")</f>
        <v>3</v>
      </c>
      <c r="BC736">
        <f>COUNTIF(AF736:AK736,"&lt;&gt;0")</f>
        <v>0</v>
      </c>
      <c r="BD736">
        <f>COUNTIF(AL736:AN736,"&lt;&gt;0")</f>
        <v>0</v>
      </c>
      <c r="BE736">
        <f>COUNTIF(AU736:AY736,"&lt;&gt;0")</f>
        <v>0</v>
      </c>
      <c r="BF736">
        <f>COUNTIF(AO736:AT736,"&lt;&gt;0")</f>
        <v>0</v>
      </c>
      <c r="BG736" t="str">
        <f t="array" ref="BG736">IF(BA736=1,INDEX($X$7:$AN$7,MATCH(TRUE,INDEX($X736:$AY736&lt;&gt;0,),0)),IF(BA736=0,INDEX($AO$7:$AY$7,MATCH(1,$AO736:$AY736,0)),IF(BH736="Multiple strategies","mixed drivers",IF(BH736="Supply chain","multiple supply","multiple silviculture"))))</f>
        <v>multiple silviculture</v>
      </c>
      <c r="BH736" s="2" t="str" cm="1">
        <f t="array" ref="BH736">IF(COUNTIF(BB736:BD736,"&lt;&gt;0")=1,INDEX($X$4:$AY$4,MATCH(TRUE,INDEX($X736:$AY736&lt;&gt;0,),0)),IF(COUNTIF(BB736:BD736,"&lt;&gt;0")=0,INDEX($AO$4:$AY$4,MATCH(1,$AO736:$AY736,0)),"Multiple strategies"))</f>
        <v>Silviculture for removals</v>
      </c>
      <c r="BI736" s="1" t="s">
        <v>321</v>
      </c>
      <c r="BJ736" t="s">
        <v>2166</v>
      </c>
      <c r="BK736" s="260" t="s">
        <v>2927</v>
      </c>
      <c r="BL736" t="s">
        <v>1197</v>
      </c>
      <c r="BM736">
        <v>120</v>
      </c>
      <c r="BN736">
        <v>213</v>
      </c>
      <c r="BO736" s="143">
        <f>BN736/BM736</f>
        <v>1.7749999999999999</v>
      </c>
      <c r="BP736">
        <f>BN736-BM736</f>
        <v>93</v>
      </c>
      <c r="BQ736">
        <f>BP736*10^6</f>
        <v>93000000</v>
      </c>
      <c r="BR736" t="s">
        <v>232</v>
      </c>
      <c r="BS736" s="153" t="s">
        <v>2928</v>
      </c>
      <c r="BT736" t="s">
        <v>2069</v>
      </c>
      <c r="BU736">
        <v>370.31517322497803</v>
      </c>
      <c r="BV736">
        <v>329.01578554855797</v>
      </c>
      <c r="BW736" s="144">
        <f>IFERROR(BV736/BU736,"")</f>
        <v>0.8884750324520746</v>
      </c>
      <c r="BX736" s="144">
        <f>BV736-BU736</f>
        <v>-41.299387676420054</v>
      </c>
      <c r="BY736" s="144"/>
      <c r="BZ736">
        <f>BX736*10^6</f>
        <v>-41299387.676420055</v>
      </c>
      <c r="CA736">
        <f>IFERROR(BZ736/BQ736,"")</f>
        <v>-0.44407943738086081</v>
      </c>
      <c r="CB736">
        <v>0</v>
      </c>
      <c r="CC736">
        <v>0</v>
      </c>
      <c r="CD736">
        <v>0</v>
      </c>
      <c r="CE736">
        <v>0</v>
      </c>
      <c r="CF736">
        <v>0</v>
      </c>
      <c r="CG736">
        <v>0</v>
      </c>
      <c r="CH736">
        <v>0</v>
      </c>
      <c r="CI736">
        <v>0</v>
      </c>
      <c r="CJ736">
        <v>0</v>
      </c>
      <c r="CK736">
        <v>0</v>
      </c>
      <c r="CL736">
        <v>0</v>
      </c>
      <c r="CM736">
        <v>0</v>
      </c>
      <c r="CN736">
        <v>0</v>
      </c>
      <c r="CO736">
        <v>1</v>
      </c>
      <c r="CP736" t="str">
        <f>IF($BN736&lt;$BM736,"refNeedCorrection","refOK")</f>
        <v>refOK</v>
      </c>
      <c r="CQ736">
        <f>IF($CP736="refOK",$BM736,$BN736)</f>
        <v>120</v>
      </c>
      <c r="CR736">
        <f>IF($CP736="refOK",$BN736,$BM736)</f>
        <v>213</v>
      </c>
      <c r="CS736">
        <f>IF($CP736="refOK",$BQ736,-$BQ736)</f>
        <v>93000000</v>
      </c>
      <c r="CT736">
        <f>IF(BI736="Roundwood",$CS736/2,$CS736)</f>
        <v>46500000</v>
      </c>
      <c r="CU736">
        <f>IF($CP736="refOK",$BU736,$BV736)*IF($BR736="Emissions positive",-1,1)</f>
        <v>370.31517322497803</v>
      </c>
      <c r="CV736">
        <f>IF($CP736="refOK",$BV736,$BU736)*IF($BR736="Emissions positive",-1,1)</f>
        <v>329.01578554855797</v>
      </c>
      <c r="CW736">
        <f>IF($CP736="refNeedCorrection",-BZ736,BZ736)*IF($BR736="Emissions positive",-1,1)</f>
        <v>-41299387.676420055</v>
      </c>
      <c r="CX736">
        <f>IFERROR($CW736/$CS736,"")</f>
        <v>-0.44407943738086081</v>
      </c>
      <c r="CY736">
        <f>IFERROR($CW736/$CS736,"")</f>
        <v>-0.44407943738086081</v>
      </c>
      <c r="CZ736">
        <f>IFERROR($CW736/$CT736,"")</f>
        <v>-0.88815887476172162</v>
      </c>
      <c r="DA736" s="2">
        <f>IFERROR((CV736-CU736)/ABS(CU736),"")</f>
        <v>-0.11152496754792542</v>
      </c>
      <c r="DB736" s="1" t="s">
        <v>1078</v>
      </c>
      <c r="DC736" t="str">
        <f>IF(OR($DB736="prd",$DB736="std",$DB736="cit"),"loc",IF(OR($DB736="eur",$DB736="reg",$DB736="coy"),"reg",$DB736))</f>
        <v>reg</v>
      </c>
      <c r="DD736" t="s">
        <v>626</v>
      </c>
      <c r="DE736">
        <v>2000</v>
      </c>
      <c r="DF736">
        <v>2030</v>
      </c>
      <c r="DG736">
        <f>DF736-DE736</f>
        <v>30</v>
      </c>
      <c r="DH736" t="str">
        <f>IF(DG736=0,"0",IF(AND(DG736&gt;=1,DG736&lt;=30),"1-30",IF(AND(DG736&gt;30,DG736&lt;=70),"31-70",IF(AND(DG736&gt;70,DG736&lt;=100),"71-100",IF(DG736&gt;100,"+100")))))</f>
        <v>1-30</v>
      </c>
      <c r="DI736">
        <v>0</v>
      </c>
      <c r="DJ736">
        <v>0</v>
      </c>
      <c r="DK736">
        <v>0</v>
      </c>
      <c r="DL736">
        <v>1</v>
      </c>
      <c r="DM736">
        <v>0</v>
      </c>
      <c r="DN736">
        <f>SUM(DI736:DL736)</f>
        <v>1</v>
      </c>
      <c r="DO736" t="str">
        <f>IF(DN736=1,INDEX($DI$7:$DL$7,MATCH(1,$DI736:$DL736,0)),"mixedProduct")</f>
        <v>TimberInput</v>
      </c>
      <c r="DP736">
        <f>IF(DI736=1,DP$7,0)</f>
        <v>0</v>
      </c>
      <c r="DQ736">
        <f>IF(DJ736=1,DQ$7,0)</f>
        <v>0</v>
      </c>
      <c r="DR736">
        <f>IF(DK736=1,DR$7,0)</f>
        <v>0</v>
      </c>
      <c r="DS736" t="str">
        <f>IF(DL736=1,DS$7,0)</f>
        <v>Timber</v>
      </c>
      <c r="DT736">
        <v>0</v>
      </c>
      <c r="DU736">
        <v>1</v>
      </c>
      <c r="DV736" t="s">
        <v>2196</v>
      </c>
      <c r="DW736" t="s">
        <v>2197</v>
      </c>
      <c r="DY736">
        <f>SUM(DT736:DU736)</f>
        <v>1</v>
      </c>
      <c r="DZ736" s="143" t="str">
        <f>IF(DT736=1,"self-calculated DF",IF(DU736=1,"external DF used","explicit C balance"))</f>
        <v>external DF used</v>
      </c>
      <c r="EA736">
        <v>1</v>
      </c>
      <c r="EB736">
        <v>1</v>
      </c>
      <c r="EC736">
        <v>1</v>
      </c>
      <c r="ED736">
        <v>1</v>
      </c>
      <c r="EE736">
        <v>1</v>
      </c>
      <c r="EF736" s="143">
        <v>1</v>
      </c>
      <c r="EG736">
        <v>1</v>
      </c>
      <c r="EH736">
        <v>1</v>
      </c>
      <c r="EI736">
        <v>0</v>
      </c>
      <c r="EJ736">
        <v>0</v>
      </c>
      <c r="EK736">
        <v>1</v>
      </c>
      <c r="EL736">
        <v>0</v>
      </c>
      <c r="EM736">
        <v>0</v>
      </c>
      <c r="EN736" s="2">
        <v>0</v>
      </c>
      <c r="EP736" t="str">
        <f>IF(AND(AND(AND(OR($EC736=1,$EB736=1),OR($EH736=1,$EF736=1)),SUM($EA736:$EE736,$EK736)&gt;=3),SUM($EF736:$EJ736)&gt;=2),"Whole sector approach","")</f>
        <v>Whole sector approach</v>
      </c>
      <c r="EQ736" t="str">
        <f>IF(AND(AND(OR($EC736=1,$EB736=1),AND($EH736=0,$EF736=0)),SUM($EA736:$EE736,$EK736)&gt;=4),"Ecosystem approach","")</f>
        <v/>
      </c>
      <c r="ER736" s="2" t="str">
        <f>IF(AND(AND(AND($EC736=0,$EB736=0),OR($EH736=1,$EF736=1)),SUM($EG736:$EJ736)&gt;=2),"Technology approach","")</f>
        <v/>
      </c>
      <c r="ES736" t="str">
        <f>IF(AND($EC736+$EB736+$EE736+$EA736+$ED736+$EG736=0,$N736="included"),"C neutral forest and HWP assumption","")</f>
        <v/>
      </c>
      <c r="ET736" t="str">
        <f>IF(AND(AND(AND(AND($EC736=1,$EB736+$EA736+$EG736&gt;=1),$EF736=1),$EH736+$EI736+$ED736+$EE736&gt;=2),$N736="included"),"All C pools assumption","")</f>
        <v>All C pools assumption</v>
      </c>
      <c r="EU736" t="str">
        <f>IF(AND($ED736+$EE736+$EI736+$EH736+$EF736=0,$N736="included"),"In-situ only assumption","")</f>
        <v/>
      </c>
      <c r="EV736" s="328" t="s">
        <v>5065</v>
      </c>
      <c r="EW736" t="s">
        <v>2198</v>
      </c>
      <c r="EY736" t="str">
        <f>IF(ISNUMBER(BW736),IF(ABS(BW736-[2]QC_indicators!$B$2)&gt;3*[2]QC_indicators!$C$2,"C ratio",IF(ISNUMBER(CA736),IF(ABS(CA736-[2]QC_indicators!$B$1)&gt;3*[2]QC_indicators!$C$1,"DF","no"))),IF(ISNUMBER(CA736),IF(ABS(CA736-[2]QC_indicators!$B$1)&gt;3*[2]QC_indicators!$C$1,"DF","no")))</f>
        <v>no</v>
      </c>
      <c r="FA736" t="str">
        <f>IF(LEN($CY736)=0,"",IF(AND($CY736&lt;(-0.05),$ES736="C neutral forest and HWP assumption"),"Cneutral paradox",IF(AND($CY736&gt;0.05,$EU736="In-situ only assumption"),"In-situ only paradox","")))</f>
        <v/>
      </c>
      <c r="FD736" s="260" t="s">
        <v>2929</v>
      </c>
    </row>
    <row r="737" spans="1:160" ht="15" hidden="1" customHeight="1">
      <c r="A737" s="1" t="s">
        <v>1654</v>
      </c>
      <c r="B737" t="s">
        <v>2188</v>
      </c>
      <c r="C737" t="s">
        <v>2189</v>
      </c>
      <c r="D737" t="s">
        <v>2190</v>
      </c>
      <c r="E737" t="s">
        <v>2191</v>
      </c>
      <c r="F737" t="s">
        <v>2192</v>
      </c>
      <c r="G737" t="s">
        <v>1660</v>
      </c>
      <c r="H737" t="s">
        <v>254</v>
      </c>
      <c r="I737">
        <v>2010</v>
      </c>
      <c r="J737">
        <v>100</v>
      </c>
      <c r="K737" t="s">
        <v>2193</v>
      </c>
      <c r="M737" t="str">
        <f>LEFT($D737,FIND(",",$D737)-1)&amp;"_"&amp;I737&amp;L737</f>
        <v>Werner_2010</v>
      </c>
      <c r="N737" t="s">
        <v>222</v>
      </c>
      <c r="O737" s="145" t="s">
        <v>1029</v>
      </c>
      <c r="Q737" t="s">
        <v>256</v>
      </c>
      <c r="R737" s="258" t="s">
        <v>223</v>
      </c>
      <c r="S737" s="259" t="s">
        <v>2930</v>
      </c>
      <c r="T737" t="s">
        <v>2195</v>
      </c>
      <c r="U737" t="s">
        <v>2200</v>
      </c>
      <c r="V737">
        <v>1</v>
      </c>
      <c r="W737">
        <v>0</v>
      </c>
      <c r="X737">
        <v>2</v>
      </c>
      <c r="Y737">
        <v>0</v>
      </c>
      <c r="Z737">
        <v>1</v>
      </c>
      <c r="AA737">
        <v>2</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s="141">
        <f>COUNTIF(X737:AY737,"&lt;&gt;0")</f>
        <v>3</v>
      </c>
      <c r="BA737" s="141">
        <f>COUNTIF(X737:AN737,"&lt;&gt;0")</f>
        <v>3</v>
      </c>
      <c r="BB737">
        <f>COUNTIF(X737:AE737,"&lt;&gt;0")</f>
        <v>3</v>
      </c>
      <c r="BC737">
        <f>COUNTIF(AF737:AK737,"&lt;&gt;0")</f>
        <v>0</v>
      </c>
      <c r="BD737">
        <f>COUNTIF(AL737:AN737,"&lt;&gt;0")</f>
        <v>0</v>
      </c>
      <c r="BE737">
        <f>COUNTIF(AU737:AY737,"&lt;&gt;0")</f>
        <v>0</v>
      </c>
      <c r="BF737">
        <f>COUNTIF(AO737:AT737,"&lt;&gt;0")</f>
        <v>0</v>
      </c>
      <c r="BG737" t="str">
        <f t="array" ref="BG737">IF(BA737=1,INDEX($X$7:$AN$7,MATCH(TRUE,INDEX($X737:$AY737&lt;&gt;0,),0)),IF(BA737=0,INDEX($AO$7:$AY$7,MATCH(1,$AO737:$AY737,0)),IF(BH737="Multiple strategies","mixed drivers",IF(BH737="Supply chain","multiple supply","multiple silviculture"))))</f>
        <v>multiple silviculture</v>
      </c>
      <c r="BH737" s="2" t="str" cm="1">
        <f t="array" ref="BH737">IF(COUNTIF(BB737:BD737,"&lt;&gt;0")=1,INDEX($X$4:$AY$4,MATCH(TRUE,INDEX($X737:$AY737&lt;&gt;0,),0)),IF(COUNTIF(BB737:BD737,"&lt;&gt;0")=0,INDEX($AO$4:$AY$4,MATCH(1,$AO737:$AY737,0)),"Multiple strategies"))</f>
        <v>Silviculture for removals</v>
      </c>
      <c r="BI737" s="1" t="s">
        <v>321</v>
      </c>
      <c r="BJ737" t="s">
        <v>2166</v>
      </c>
      <c r="BK737" s="260" t="s">
        <v>2927</v>
      </c>
      <c r="BL737" t="s">
        <v>1197</v>
      </c>
      <c r="BM737">
        <v>210</v>
      </c>
      <c r="BN737">
        <v>489</v>
      </c>
      <c r="BO737" s="143">
        <f>BN737/BM737</f>
        <v>2.3285714285714287</v>
      </c>
      <c r="BP737">
        <f>BN737-BM737</f>
        <v>279</v>
      </c>
      <c r="BQ737">
        <f>BP737*10^6</f>
        <v>279000000</v>
      </c>
      <c r="BR737" t="s">
        <v>232</v>
      </c>
      <c r="BS737" s="153" t="s">
        <v>2928</v>
      </c>
      <c r="BT737" t="s">
        <v>2069</v>
      </c>
      <c r="BU737">
        <v>385.51880535301569</v>
      </c>
      <c r="BV737">
        <v>163.99431767864581</v>
      </c>
      <c r="BW737" s="144">
        <f>IFERROR(BV737/BU737,"")</f>
        <v>0.42538603928407037</v>
      </c>
      <c r="BX737" s="144">
        <f>BV737-BU737</f>
        <v>-221.52448767436988</v>
      </c>
      <c r="BY737" s="144"/>
      <c r="BZ737">
        <f>BX737*10^6</f>
        <v>-221524487.67436987</v>
      </c>
      <c r="CA737">
        <f>IFERROR(BZ737/BQ737,"")</f>
        <v>-0.79399457947802821</v>
      </c>
      <c r="CB737">
        <v>0</v>
      </c>
      <c r="CC737">
        <v>0</v>
      </c>
      <c r="CD737">
        <v>0</v>
      </c>
      <c r="CE737">
        <v>0</v>
      </c>
      <c r="CF737">
        <v>0</v>
      </c>
      <c r="CG737">
        <v>0</v>
      </c>
      <c r="CH737">
        <v>0</v>
      </c>
      <c r="CI737">
        <v>0</v>
      </c>
      <c r="CJ737">
        <v>0</v>
      </c>
      <c r="CK737">
        <v>0</v>
      </c>
      <c r="CL737">
        <v>0</v>
      </c>
      <c r="CM737">
        <v>0</v>
      </c>
      <c r="CN737">
        <v>0</v>
      </c>
      <c r="CO737">
        <v>1</v>
      </c>
      <c r="CP737" t="str">
        <f>IF($BN737&lt;$BM737,"refNeedCorrection","refOK")</f>
        <v>refOK</v>
      </c>
      <c r="CQ737">
        <f>IF($CP737="refNeedCorrection",BN737,BM737)</f>
        <v>210</v>
      </c>
      <c r="CR737">
        <f>IF($CP737="refNeedCorrection",BM737,BN737)</f>
        <v>489</v>
      </c>
      <c r="CS737">
        <f>IF($CP737="refOK",$BQ737,-$BQ737)</f>
        <v>279000000</v>
      </c>
      <c r="CT737">
        <f>IF(BI737="Roundwood",$CS737/2,$CS737)</f>
        <v>139500000</v>
      </c>
      <c r="CU737">
        <f>IF($CP737="refOK",$BU737,$BV737)*IF($BR737="Emissions positive",-1,1)</f>
        <v>385.51880535301569</v>
      </c>
      <c r="CV737">
        <f>IF($CP737="refOK",$BV737,$BU737)*IF($BR737="Emissions positive",-1,1)</f>
        <v>163.99431767864581</v>
      </c>
      <c r="CW737">
        <f>IF($CP737="refNeedCorrection",-BZ737,BZ737)*IF($BR737="Emissions positive",-1,1)</f>
        <v>-221524487.67436987</v>
      </c>
      <c r="CX737">
        <f>IFERROR($CW737/$CS737,"")</f>
        <v>-0.79399457947802821</v>
      </c>
      <c r="CY737">
        <f>IFERROR($CW737/$CS737,"")</f>
        <v>-0.79399457947802821</v>
      </c>
      <c r="CZ737">
        <f>IFERROR($CW737/$CT737,"")</f>
        <v>-1.5879891589560564</v>
      </c>
      <c r="DA737" s="2">
        <f>IFERROR((CV737-CU737)/ABS(CU737),"")</f>
        <v>-0.57461396071592963</v>
      </c>
      <c r="DB737" s="1" t="s">
        <v>1078</v>
      </c>
      <c r="DC737" t="str">
        <f>IF(OR($DB737="prd",$DB737="std",$DB737="cit"),"loc",IF(OR($DB737="eur",$DB737="reg",$DB737="coy"),"reg",$DB737))</f>
        <v>reg</v>
      </c>
      <c r="DD737" t="s">
        <v>626</v>
      </c>
      <c r="DE737">
        <v>2000</v>
      </c>
      <c r="DF737">
        <v>2060</v>
      </c>
      <c r="DG737">
        <f>DF737-DE737</f>
        <v>60</v>
      </c>
      <c r="DH737" t="str">
        <f>IF(DG737=0,"0",IF(AND(DG737&gt;=1,DG737&lt;=30),"1-30",IF(AND(DG737&gt;30,DG737&lt;=70),"31-70",IF(AND(DG737&gt;70,DG737&lt;=100),"71-100",IF(DG737&gt;100,"+100")))))</f>
        <v>31-70</v>
      </c>
      <c r="DI737">
        <v>0</v>
      </c>
      <c r="DJ737">
        <v>0</v>
      </c>
      <c r="DK737">
        <v>0</v>
      </c>
      <c r="DL737">
        <v>1</v>
      </c>
      <c r="DM737">
        <v>0</v>
      </c>
      <c r="DN737">
        <f>SUM(DI737:DL737)</f>
        <v>1</v>
      </c>
      <c r="DO737" t="str">
        <f>IF(DN737=1,INDEX($DI$7:$DL$7,MATCH(1,$DI737:$DL737,0)),"mixedProduct")</f>
        <v>TimberInput</v>
      </c>
      <c r="DP737">
        <f>IF(DI737=1,DP$7,0)</f>
        <v>0</v>
      </c>
      <c r="DQ737">
        <f>IF(DJ737=1,DQ$7,0)</f>
        <v>0</v>
      </c>
      <c r="DR737">
        <f>IF(DK737=1,DR$7,0)</f>
        <v>0</v>
      </c>
      <c r="DS737" t="str">
        <f>IF(DL737=1,DS$7,0)</f>
        <v>Timber</v>
      </c>
      <c r="DT737">
        <v>0</v>
      </c>
      <c r="DU737">
        <v>0</v>
      </c>
      <c r="DY737">
        <f>SUM(DT737:DU737)</f>
        <v>0</v>
      </c>
      <c r="DZ737" s="143" t="str">
        <f>IF(DT737=1,"self-calculated DF",IF(DU737=1,"external DF used","explicit C balance"))</f>
        <v>explicit C balance</v>
      </c>
      <c r="EA737">
        <v>1</v>
      </c>
      <c r="EB737">
        <v>1</v>
      </c>
      <c r="EC737">
        <v>1</v>
      </c>
      <c r="ED737">
        <v>1</v>
      </c>
      <c r="EE737">
        <v>0</v>
      </c>
      <c r="EF737" s="143">
        <v>0</v>
      </c>
      <c r="EG737">
        <v>0</v>
      </c>
      <c r="EH737">
        <v>0</v>
      </c>
      <c r="EI737">
        <v>0</v>
      </c>
      <c r="EJ737">
        <v>0</v>
      </c>
      <c r="EK737">
        <v>1</v>
      </c>
      <c r="EL737">
        <v>0</v>
      </c>
      <c r="EM737">
        <v>0</v>
      </c>
      <c r="EN737" s="2">
        <v>0</v>
      </c>
      <c r="EP737" t="str">
        <f>IF(AND(AND(AND(OR($EC737=1,$EB737=1),OR($EH737=1,$EF737=1)),SUM($EA737:$EE737,$EK737)&gt;=3),SUM($EF737:$EJ737)&gt;=2),"Whole sector approach","")</f>
        <v/>
      </c>
      <c r="EQ737" t="str">
        <f>IF(AND(AND(OR($EC737=1,$EB737=1),AND($EH737=0,$EF737=0)),SUM($EA737:$EE737,$EK737)&gt;=4),"Ecosystem approach","")</f>
        <v>Ecosystem approach</v>
      </c>
      <c r="ER737" s="2" t="str">
        <f>IF(AND(AND(AND($EC737=0,$EB737=0),OR($EH737=1,$EF737=1)),SUM($EG737:$EJ737)&gt;=2),"Technology approach","")</f>
        <v/>
      </c>
      <c r="ES737" t="str">
        <f>IF(AND($EC737+$EB737+$EE737+$EA737+$ED737+$EG737=0,$N737="included"),"C neutral forest and HWP assumption","")</f>
        <v/>
      </c>
      <c r="ET737" t="str">
        <f>IF(AND(AND(AND(AND($EC737=1,$EB737+$EA737+$EG737&gt;=1),$EF737=1),$EH737+$EI737+$ED737+$EE737&gt;=2),$N737="included"),"All C pools assumption","")</f>
        <v/>
      </c>
      <c r="EU737" t="str">
        <f>IF(AND($ED737+$EE737+$EI737+$EH737+$EF737=0,$N737="included"),"In-situ only assumption","")</f>
        <v/>
      </c>
      <c r="EV737" s="328" t="s">
        <v>5065</v>
      </c>
      <c r="EW737" t="s">
        <v>2198</v>
      </c>
      <c r="EY737" t="str">
        <f>IF(ISNUMBER(BW737),IF(ABS(BW737-[2]QC_indicators!$B$2)&gt;3*[2]QC_indicators!$C$2,"C ratio",IF(ISNUMBER(CA737),IF(ABS(CA737-[2]QC_indicators!$B$1)&gt;3*[2]QC_indicators!$C$1,"DF","no"))),IF(ISNUMBER(CA737),IF(ABS(CA737-[2]QC_indicators!$B$1)&gt;3*[2]QC_indicators!$C$1,"DF","no")))</f>
        <v>no</v>
      </c>
      <c r="FA737" t="str">
        <f>IF(LEN($CY737)=0,"",IF(AND($CY737&lt;(-0.05),$ES737="C neutral forest and HWP assumption"),"Cneutral paradox",IF(AND($CY737&gt;0.05,$EU737="In-situ only assumption"),"In-situ only paradox","")))</f>
        <v/>
      </c>
      <c r="FD737" s="260" t="s">
        <v>2929</v>
      </c>
    </row>
    <row r="738" spans="1:160" ht="15" customHeight="1">
      <c r="A738" s="1" t="s">
        <v>1654</v>
      </c>
      <c r="B738" t="s">
        <v>2188</v>
      </c>
      <c r="C738" t="s">
        <v>2189</v>
      </c>
      <c r="D738" t="s">
        <v>2190</v>
      </c>
      <c r="E738" t="s">
        <v>2191</v>
      </c>
      <c r="F738" t="s">
        <v>2192</v>
      </c>
      <c r="G738" t="s">
        <v>1660</v>
      </c>
      <c r="H738" t="s">
        <v>254</v>
      </c>
      <c r="I738">
        <v>2010</v>
      </c>
      <c r="J738">
        <v>100</v>
      </c>
      <c r="K738" t="s">
        <v>2193</v>
      </c>
      <c r="M738" t="str">
        <f>LEFT($D738,FIND(",",$D738)-1)&amp;"_"&amp;I738&amp;L738</f>
        <v>Werner_2010</v>
      </c>
      <c r="N738" t="s">
        <v>222</v>
      </c>
      <c r="O738" s="145" t="s">
        <v>1029</v>
      </c>
      <c r="Q738" t="s">
        <v>256</v>
      </c>
      <c r="R738" s="258" t="s">
        <v>223</v>
      </c>
      <c r="S738" s="259" t="s">
        <v>2930</v>
      </c>
      <c r="T738" t="s">
        <v>2195</v>
      </c>
      <c r="U738" t="s">
        <v>2200</v>
      </c>
      <c r="V738">
        <v>1</v>
      </c>
      <c r="W738">
        <v>0</v>
      </c>
      <c r="X738">
        <v>2</v>
      </c>
      <c r="Y738">
        <v>0</v>
      </c>
      <c r="Z738">
        <v>1</v>
      </c>
      <c r="AA738">
        <v>2</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s="141">
        <f>COUNTIF(X738:AY738,"&lt;&gt;0")</f>
        <v>3</v>
      </c>
      <c r="BA738" s="141">
        <f>COUNTIF(X738:AN738,"&lt;&gt;0")</f>
        <v>3</v>
      </c>
      <c r="BB738">
        <f>COUNTIF(X738:AE738,"&lt;&gt;0")</f>
        <v>3</v>
      </c>
      <c r="BC738">
        <f>COUNTIF(AF738:AK738,"&lt;&gt;0")</f>
        <v>0</v>
      </c>
      <c r="BD738">
        <f>COUNTIF(AL738:AN738,"&lt;&gt;0")</f>
        <v>0</v>
      </c>
      <c r="BE738">
        <f>COUNTIF(AU738:AY738,"&lt;&gt;0")</f>
        <v>0</v>
      </c>
      <c r="BF738">
        <f>COUNTIF(AO738:AT738,"&lt;&gt;0")</f>
        <v>0</v>
      </c>
      <c r="BG738" t="str">
        <f t="array" ref="BG738">IF(BA738=1,INDEX($X$7:$AN$7,MATCH(TRUE,INDEX($X738:$AY738&lt;&gt;0,),0)),IF(BA738=0,INDEX($AO$7:$AY$7,MATCH(1,$AO738:$AY738,0)),IF(BH738="Multiple strategies","mixed drivers",IF(BH738="Supply chain","multiple supply","multiple silviculture"))))</f>
        <v>multiple silviculture</v>
      </c>
      <c r="BH738" s="2" t="str" cm="1">
        <f t="array" ref="BH738">IF(COUNTIF(BB738:BD738,"&lt;&gt;0")=1,INDEX($X$4:$AY$4,MATCH(TRUE,INDEX($X738:$AY738&lt;&gt;0,),0)),IF(COUNTIF(BB738:BD738,"&lt;&gt;0")=0,INDEX($AO$4:$AY$4,MATCH(1,$AO738:$AY738,0)),"Multiple strategies"))</f>
        <v>Silviculture for removals</v>
      </c>
      <c r="BI738" s="1" t="s">
        <v>321</v>
      </c>
      <c r="BJ738" t="s">
        <v>2166</v>
      </c>
      <c r="BK738" s="260" t="s">
        <v>2927</v>
      </c>
      <c r="BL738" t="s">
        <v>1197</v>
      </c>
      <c r="BM738">
        <v>210</v>
      </c>
      <c r="BN738">
        <v>489</v>
      </c>
      <c r="BO738" s="143">
        <f>BN738/BM738</f>
        <v>2.3285714285714287</v>
      </c>
      <c r="BP738">
        <f>BN738-BM738</f>
        <v>279</v>
      </c>
      <c r="BQ738">
        <f>BP738*10^6</f>
        <v>279000000</v>
      </c>
      <c r="BR738" t="s">
        <v>232</v>
      </c>
      <c r="BS738" s="153" t="s">
        <v>2928</v>
      </c>
      <c r="BT738" t="s">
        <v>2069</v>
      </c>
      <c r="BU738">
        <v>385.778591846273</v>
      </c>
      <c r="BV738">
        <v>74.657916514909303</v>
      </c>
      <c r="BW738" s="144">
        <f>IFERROR(BV738/BU738,"")</f>
        <v>0.19352529687458492</v>
      </c>
      <c r="BX738" s="144">
        <f>BV738-BU738</f>
        <v>-311.12067533136371</v>
      </c>
      <c r="BY738" s="144"/>
      <c r="BZ738">
        <f>BX738*10^6</f>
        <v>-311120675.33136374</v>
      </c>
      <c r="CA738">
        <f>IFERROR(BZ738/BQ738,"")</f>
        <v>-1.1151278685711963</v>
      </c>
      <c r="CB738">
        <v>0</v>
      </c>
      <c r="CC738">
        <v>0</v>
      </c>
      <c r="CD738">
        <v>0</v>
      </c>
      <c r="CE738">
        <v>0</v>
      </c>
      <c r="CF738">
        <v>0</v>
      </c>
      <c r="CG738">
        <v>0</v>
      </c>
      <c r="CH738">
        <v>0</v>
      </c>
      <c r="CI738">
        <v>0</v>
      </c>
      <c r="CJ738">
        <v>0</v>
      </c>
      <c r="CK738">
        <v>0</v>
      </c>
      <c r="CL738">
        <v>0</v>
      </c>
      <c r="CM738">
        <v>0</v>
      </c>
      <c r="CN738">
        <v>0</v>
      </c>
      <c r="CO738">
        <v>1</v>
      </c>
      <c r="CP738" t="str">
        <f>IF($BN738&lt;$BM738,"refNeedCorrection","refOK")</f>
        <v>refOK</v>
      </c>
      <c r="CQ738">
        <f>IF($CP738="refNeedCorrection",BN738,BM738)</f>
        <v>210</v>
      </c>
      <c r="CR738">
        <f>IF($CP738="refNeedCorrection",BM738,BN738)</f>
        <v>489</v>
      </c>
      <c r="CS738">
        <f>IF($CP738="refOK",$BQ738,-$BQ738)</f>
        <v>279000000</v>
      </c>
      <c r="CT738">
        <f>IF(BI738="Roundwood",$CS738/2,$CS738)</f>
        <v>139500000</v>
      </c>
      <c r="CU738">
        <f>IF($CP738="refOK",$BU738,$BV738)*IF($BR738="Emissions positive",-1,1)</f>
        <v>385.778591846273</v>
      </c>
      <c r="CV738">
        <f>IF($CP738="refOK",$BV738,$BU738)*IF($BR738="Emissions positive",-1,1)</f>
        <v>74.657916514909303</v>
      </c>
      <c r="CW738">
        <f>IF($CP738="refNeedCorrection",-BZ738,BZ738)*IF($BR738="Emissions positive",-1,1)</f>
        <v>-311120675.33136374</v>
      </c>
      <c r="CX738">
        <f>IFERROR($CW738/$CS738,"")</f>
        <v>-1.1151278685711963</v>
      </c>
      <c r="CY738">
        <f>IFERROR($CW738/$CS738,"")</f>
        <v>-1.1151278685711963</v>
      </c>
      <c r="CZ738">
        <f>IFERROR($CW738/$CT738,"")</f>
        <v>-2.2302557371423926</v>
      </c>
      <c r="DA738" s="2">
        <f>IFERROR((CV738-CU738)/ABS(CU738),"")</f>
        <v>-0.80647470312541514</v>
      </c>
      <c r="DB738" s="1" t="s">
        <v>1078</v>
      </c>
      <c r="DC738" t="str">
        <f>IF(OR($DB738="prd",$DB738="std",$DB738="cit"),"loc",IF(OR($DB738="eur",$DB738="reg",$DB738="coy"),"reg",$DB738))</f>
        <v>reg</v>
      </c>
      <c r="DD738" t="s">
        <v>626</v>
      </c>
      <c r="DE738">
        <v>2000</v>
      </c>
      <c r="DF738">
        <v>2060</v>
      </c>
      <c r="DG738">
        <f>DF738-DE738</f>
        <v>60</v>
      </c>
      <c r="DH738" t="str">
        <f>IF(DG738=0,"0",IF(AND(DG738&gt;=1,DG738&lt;=30),"1-30",IF(AND(DG738&gt;30,DG738&lt;=70),"31-70",IF(AND(DG738&gt;70,DG738&lt;=100),"71-100",IF(DG738&gt;100,"+100")))))</f>
        <v>31-70</v>
      </c>
      <c r="DI738">
        <v>0</v>
      </c>
      <c r="DJ738">
        <v>0</v>
      </c>
      <c r="DK738">
        <v>0</v>
      </c>
      <c r="DL738">
        <v>1</v>
      </c>
      <c r="DM738">
        <v>0</v>
      </c>
      <c r="DN738">
        <f>SUM(DI738:DL738)</f>
        <v>1</v>
      </c>
      <c r="DO738" t="str">
        <f>IF(DN738=1,INDEX($DI$7:$DL$7,MATCH(1,$DI738:$DL738,0)),"mixedProduct")</f>
        <v>TimberInput</v>
      </c>
      <c r="DP738">
        <f>IF(DI738=1,DP$7,0)</f>
        <v>0</v>
      </c>
      <c r="DQ738">
        <f>IF(DJ738=1,DQ$7,0)</f>
        <v>0</v>
      </c>
      <c r="DR738">
        <f>IF(DK738=1,DR$7,0)</f>
        <v>0</v>
      </c>
      <c r="DS738" t="str">
        <f>IF(DL738=1,DS$7,0)</f>
        <v>Timber</v>
      </c>
      <c r="DT738">
        <v>0</v>
      </c>
      <c r="DU738">
        <v>0</v>
      </c>
      <c r="DY738">
        <f>SUM(DT738:DU738)</f>
        <v>0</v>
      </c>
      <c r="DZ738" s="143" t="str">
        <f>IF(DT738=1,"self-calculated DF",IF(DU738=1,"external DF used","explicit C balance"))</f>
        <v>explicit C balance</v>
      </c>
      <c r="EA738">
        <v>1</v>
      </c>
      <c r="EB738">
        <v>1</v>
      </c>
      <c r="EC738">
        <v>1</v>
      </c>
      <c r="ED738">
        <v>0</v>
      </c>
      <c r="EE738">
        <v>0</v>
      </c>
      <c r="EF738" s="143">
        <v>0</v>
      </c>
      <c r="EG738">
        <v>0</v>
      </c>
      <c r="EH738">
        <v>0</v>
      </c>
      <c r="EI738">
        <v>0</v>
      </c>
      <c r="EJ738">
        <v>0</v>
      </c>
      <c r="EK738">
        <v>1</v>
      </c>
      <c r="EL738">
        <v>0</v>
      </c>
      <c r="EM738">
        <v>0</v>
      </c>
      <c r="EN738" s="2">
        <v>0</v>
      </c>
      <c r="EP738" t="str">
        <f>IF(AND(AND(AND(OR($EC738=1,$EB738=1),OR($EH738=1,$EF738=1)),SUM($EA738:$EE738,$EK738)&gt;=3),SUM($EF738:$EJ738)&gt;=2),"Whole sector approach","")</f>
        <v/>
      </c>
      <c r="EQ738" t="str">
        <f>IF(AND(AND(OR($EC738=1,$EB738=1),AND($EH738=0,$EF738=0)),SUM($EA738:$EE738,$EK738)&gt;=4),"Ecosystem approach","")</f>
        <v>Ecosystem approach</v>
      </c>
      <c r="ER738" s="2" t="str">
        <f>IF(AND(AND(AND($EC738=0,$EB738=0),OR($EH738=1,$EF738=1)),SUM($EG738:$EJ738)&gt;=2),"Technology approach","")</f>
        <v/>
      </c>
      <c r="ES738" t="str">
        <f>IF(AND($EC738+$EB738+$EE738+$EA738+$ED738+$EG738=0,$N738="included"),"C neutral forest and HWP assumption","")</f>
        <v/>
      </c>
      <c r="ET738" t="str">
        <f>IF(AND(AND(AND(AND($EC738=1,$EB738+$EA738+$EG738&gt;=1),$EF738=1),$EH738+$EI738+$ED738+$EE738&gt;=2),$N738="included"),"All C pools assumption","")</f>
        <v/>
      </c>
      <c r="EU738" t="str">
        <f>IF(AND($ED738+$EE738+$EI738+$EH738+$EF738=0,$N738="included"),"In-situ only assumption","")</f>
        <v>In-situ only assumption</v>
      </c>
      <c r="EV738" s="328" t="s">
        <v>5065</v>
      </c>
      <c r="EW738" t="s">
        <v>2198</v>
      </c>
      <c r="EY738" t="str">
        <f>IF(ISNUMBER(BW738),IF(ABS(BW738-[2]QC_indicators!$B$2)&gt;3*[2]QC_indicators!$C$2,"C ratio",IF(ISNUMBER(CA738),IF(ABS(CA738-[2]QC_indicators!$B$1)&gt;3*[2]QC_indicators!$C$1,"DF","no"))),IF(ISNUMBER(CA738),IF(ABS(CA738-[2]QC_indicators!$B$1)&gt;3*[2]QC_indicators!$C$1,"DF","no")))</f>
        <v>no</v>
      </c>
      <c r="FA738" t="str">
        <f>IF(LEN($CY738)=0,"",IF(AND($CY738&lt;(-0.05),$ES738="C neutral forest and HWP assumption"),"Cneutral paradox",IF(AND($CY738&gt;0.05,$EU738="In-situ only assumption"),"In-situ only paradox","")))</f>
        <v/>
      </c>
      <c r="FD738" s="260" t="s">
        <v>2929</v>
      </c>
    </row>
    <row r="739" spans="1:160" ht="15" hidden="1" customHeight="1">
      <c r="A739" s="1" t="s">
        <v>1654</v>
      </c>
      <c r="B739" t="s">
        <v>2188</v>
      </c>
      <c r="C739" t="s">
        <v>2189</v>
      </c>
      <c r="D739" t="s">
        <v>2190</v>
      </c>
      <c r="E739" t="s">
        <v>2191</v>
      </c>
      <c r="F739" t="s">
        <v>2192</v>
      </c>
      <c r="G739" t="s">
        <v>1660</v>
      </c>
      <c r="H739" t="s">
        <v>254</v>
      </c>
      <c r="I739">
        <v>2010</v>
      </c>
      <c r="J739">
        <v>100</v>
      </c>
      <c r="K739" t="s">
        <v>2193</v>
      </c>
      <c r="M739" t="str">
        <f>LEFT($D739,FIND(",",$D739)-1)&amp;"_"&amp;I739&amp;L739</f>
        <v>Werner_2010</v>
      </c>
      <c r="N739" t="s">
        <v>222</v>
      </c>
      <c r="O739" s="145" t="s">
        <v>1029</v>
      </c>
      <c r="Q739" t="s">
        <v>256</v>
      </c>
      <c r="R739" s="258" t="s">
        <v>223</v>
      </c>
      <c r="S739" s="259" t="s">
        <v>2930</v>
      </c>
      <c r="T739" t="s">
        <v>2195</v>
      </c>
      <c r="U739" t="s">
        <v>2200</v>
      </c>
      <c r="V739">
        <v>1</v>
      </c>
      <c r="W739">
        <v>0</v>
      </c>
      <c r="X739">
        <v>2</v>
      </c>
      <c r="Y739">
        <v>0</v>
      </c>
      <c r="Z739">
        <v>1</v>
      </c>
      <c r="AA739">
        <v>2</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s="141">
        <f>COUNTIF(X739:AY739,"&lt;&gt;0")</f>
        <v>3</v>
      </c>
      <c r="BA739" s="141">
        <f>COUNTIF(X739:AN739,"&lt;&gt;0")</f>
        <v>3</v>
      </c>
      <c r="BB739">
        <f>COUNTIF(X739:AE739,"&lt;&gt;0")</f>
        <v>3</v>
      </c>
      <c r="BC739">
        <f>COUNTIF(AF739:AK739,"&lt;&gt;0")</f>
        <v>0</v>
      </c>
      <c r="BD739">
        <f>COUNTIF(AL739:AN739,"&lt;&gt;0")</f>
        <v>0</v>
      </c>
      <c r="BE739">
        <f>COUNTIF(AU739:AY739,"&lt;&gt;0")</f>
        <v>0</v>
      </c>
      <c r="BF739">
        <f>COUNTIF(AO739:AT739,"&lt;&gt;0")</f>
        <v>0</v>
      </c>
      <c r="BG739" t="str">
        <f t="array" ref="BG739">IF(BA739=1,INDEX($X$7:$AN$7,MATCH(TRUE,INDEX($X739:$AY739&lt;&gt;0,),0)),IF(BA739=0,INDEX($AO$7:$AY$7,MATCH(1,$AO739:$AY739,0)),IF(BH739="Multiple strategies","mixed drivers",IF(BH739="Supply chain","multiple supply","multiple silviculture"))))</f>
        <v>multiple silviculture</v>
      </c>
      <c r="BH739" s="2" t="str" cm="1">
        <f t="array" ref="BH739">IF(COUNTIF(BB739:BD739,"&lt;&gt;0")=1,INDEX($X$4:$AY$4,MATCH(TRUE,INDEX($X739:$AY739&lt;&gt;0,),0)),IF(COUNTIF(BB739:BD739,"&lt;&gt;0")=0,INDEX($AO$4:$AY$4,MATCH(1,$AO739:$AY739,0)),"Multiple strategies"))</f>
        <v>Silviculture for removals</v>
      </c>
      <c r="BI739" s="1" t="s">
        <v>321</v>
      </c>
      <c r="BJ739" t="s">
        <v>2166</v>
      </c>
      <c r="BK739" s="260" t="s">
        <v>2927</v>
      </c>
      <c r="BL739" t="s">
        <v>1197</v>
      </c>
      <c r="BM739">
        <v>120</v>
      </c>
      <c r="BN739">
        <v>213</v>
      </c>
      <c r="BO739" s="143">
        <f>BN739/BM739</f>
        <v>1.7749999999999999</v>
      </c>
      <c r="BP739">
        <f>BN739-BM739</f>
        <v>93</v>
      </c>
      <c r="BQ739">
        <f>BP739*10^6</f>
        <v>93000000</v>
      </c>
      <c r="BR739" t="s">
        <v>232</v>
      </c>
      <c r="BS739" s="153" t="s">
        <v>2928</v>
      </c>
      <c r="BT739" t="s">
        <v>2069</v>
      </c>
      <c r="BU739">
        <v>227.98379614391621</v>
      </c>
      <c r="BV739">
        <v>121.7569326457978</v>
      </c>
      <c r="BW739" s="144">
        <f>IFERROR(BV739/BU739,"")</f>
        <v>0.53405958978302992</v>
      </c>
      <c r="BX739" s="144">
        <f>BV739-BU739</f>
        <v>-106.22686349811841</v>
      </c>
      <c r="BY739" s="144"/>
      <c r="BZ739">
        <f>BX739*10^6</f>
        <v>-106226863.4981184</v>
      </c>
      <c r="CA739">
        <f>IFERROR(BZ739/BQ739,"")</f>
        <v>-1.1422243386894451</v>
      </c>
      <c r="CB739">
        <v>0</v>
      </c>
      <c r="CC739">
        <v>0</v>
      </c>
      <c r="CD739">
        <v>0</v>
      </c>
      <c r="CE739">
        <v>0</v>
      </c>
      <c r="CF739">
        <v>0</v>
      </c>
      <c r="CG739">
        <v>0</v>
      </c>
      <c r="CH739">
        <v>0</v>
      </c>
      <c r="CI739">
        <v>0</v>
      </c>
      <c r="CJ739">
        <v>0</v>
      </c>
      <c r="CK739">
        <v>0</v>
      </c>
      <c r="CL739">
        <v>0</v>
      </c>
      <c r="CM739">
        <v>0</v>
      </c>
      <c r="CN739">
        <v>0</v>
      </c>
      <c r="CO739">
        <v>1</v>
      </c>
      <c r="CP739" t="str">
        <f>IF($BN739&lt;$BM739,"refNeedCorrection","refOK")</f>
        <v>refOK</v>
      </c>
      <c r="CQ739">
        <f>IF($CP739="refOK",$BM739,$BN739)</f>
        <v>120</v>
      </c>
      <c r="CR739">
        <f>IF($CP739="refOK",$BN739,$BM739)</f>
        <v>213</v>
      </c>
      <c r="CS739">
        <f>IF($CP739="refOK",$BQ739,-$BQ739)</f>
        <v>93000000</v>
      </c>
      <c r="CT739">
        <f>IF(BI739="Roundwood",$CS739/2,$CS739)</f>
        <v>46500000</v>
      </c>
      <c r="CU739">
        <f>IF($CP739="refOK",$BU739,$BV739)*IF($BR739="Emissions positive",-1,1)</f>
        <v>227.98379614391621</v>
      </c>
      <c r="CV739">
        <f>IF($CP739="refOK",$BV739,$BU739)*IF($BR739="Emissions positive",-1,1)</f>
        <v>121.7569326457978</v>
      </c>
      <c r="CW739">
        <f>IF($CP739="refNeedCorrection",-BZ739,BZ739)*IF($BR739="Emissions positive",-1,1)</f>
        <v>-106226863.4981184</v>
      </c>
      <c r="CX739">
        <f>IFERROR($CW739/$CS739,"")</f>
        <v>-1.1422243386894451</v>
      </c>
      <c r="CY739">
        <f>IFERROR($CW739/$CS739,"")</f>
        <v>-1.1422243386894451</v>
      </c>
      <c r="CZ739">
        <f>IFERROR($CW739/$CT739,"")</f>
        <v>-2.2844486773788901</v>
      </c>
      <c r="DA739" s="2">
        <f>IFERROR((CV739-CU739)/ABS(CU739),"")</f>
        <v>-0.46594041021697008</v>
      </c>
      <c r="DB739" s="1" t="s">
        <v>1078</v>
      </c>
      <c r="DC739" t="str">
        <f>IF(OR($DB739="prd",$DB739="std",$DB739="cit"),"loc",IF(OR($DB739="eur",$DB739="reg",$DB739="coy"),"reg",$DB739))</f>
        <v>reg</v>
      </c>
      <c r="DD739" t="s">
        <v>626</v>
      </c>
      <c r="DE739">
        <v>2000</v>
      </c>
      <c r="DF739">
        <v>2030</v>
      </c>
      <c r="DG739">
        <f>DF739-DE739</f>
        <v>30</v>
      </c>
      <c r="DH739" t="str">
        <f>IF(DG739=0,"0",IF(AND(DG739&gt;=1,DG739&lt;=30),"1-30",IF(AND(DG739&gt;30,DG739&lt;=70),"31-70",IF(AND(DG739&gt;70,DG739&lt;=100),"71-100",IF(DG739&gt;100,"+100")))))</f>
        <v>1-30</v>
      </c>
      <c r="DI739">
        <v>0</v>
      </c>
      <c r="DJ739">
        <v>0</v>
      </c>
      <c r="DK739">
        <v>0</v>
      </c>
      <c r="DL739">
        <v>1</v>
      </c>
      <c r="DM739">
        <v>0</v>
      </c>
      <c r="DN739">
        <f>SUM(DI739:DL739)</f>
        <v>1</v>
      </c>
      <c r="DO739" t="str">
        <f>IF(DN739=1,INDEX($DI$7:$DL$7,MATCH(1,$DI739:$DL739,0)),"mixedProduct")</f>
        <v>TimberInput</v>
      </c>
      <c r="DP739">
        <f>IF(DI739=1,DP$7,0)</f>
        <v>0</v>
      </c>
      <c r="DQ739">
        <f>IF(DJ739=1,DQ$7,0)</f>
        <v>0</v>
      </c>
      <c r="DR739">
        <f>IF(DK739=1,DR$7,0)</f>
        <v>0</v>
      </c>
      <c r="DS739" t="str">
        <f>IF(DL739=1,DS$7,0)</f>
        <v>Timber</v>
      </c>
      <c r="DT739">
        <v>0</v>
      </c>
      <c r="DU739">
        <v>0</v>
      </c>
      <c r="DY739">
        <f>SUM(DT739:DU739)</f>
        <v>0</v>
      </c>
      <c r="DZ739" s="143" t="str">
        <f>IF(DT739=1,"self-calculated DF",IF(DU739=1,"external DF used","explicit C balance"))</f>
        <v>explicit C balance</v>
      </c>
      <c r="EA739">
        <v>1</v>
      </c>
      <c r="EB739">
        <v>1</v>
      </c>
      <c r="EC739">
        <v>1</v>
      </c>
      <c r="ED739">
        <v>1</v>
      </c>
      <c r="EE739">
        <v>1</v>
      </c>
      <c r="EF739" s="143">
        <v>0</v>
      </c>
      <c r="EG739">
        <v>0</v>
      </c>
      <c r="EH739">
        <v>0</v>
      </c>
      <c r="EI739">
        <v>0</v>
      </c>
      <c r="EJ739">
        <v>0</v>
      </c>
      <c r="EK739">
        <v>1</v>
      </c>
      <c r="EL739">
        <v>0</v>
      </c>
      <c r="EM739">
        <v>0</v>
      </c>
      <c r="EN739" s="2">
        <v>0</v>
      </c>
      <c r="EP739" t="str">
        <f>IF(AND(AND(AND(OR($EC739=1,$EB739=1),OR($EH739=1,$EF739=1)),SUM($EA739:$EE739,$EK739)&gt;=3),SUM($EF739:$EJ739)&gt;=2),"Whole sector approach","")</f>
        <v/>
      </c>
      <c r="EQ739" t="str">
        <f>IF(AND(AND(OR($EC739=1,$EB739=1),AND($EH739=0,$EF739=0)),SUM($EA739:$EE739,$EK739)&gt;=4),"Ecosystem approach","")</f>
        <v>Ecosystem approach</v>
      </c>
      <c r="ER739" s="2" t="str">
        <f>IF(AND(AND(AND($EC739=0,$EB739=0),OR($EH739=1,$EF739=1)),SUM($EG739:$EJ739)&gt;=2),"Technology approach","")</f>
        <v/>
      </c>
      <c r="ES739" t="str">
        <f>IF(AND($EC739+$EB739+$EE739+$EA739+$ED739+$EG739=0,$N739="included"),"C neutral forest and HWP assumption","")</f>
        <v/>
      </c>
      <c r="ET739" t="str">
        <f>IF(AND(AND(AND(AND($EC739=1,$EB739+$EA739+$EG739&gt;=1),$EF739=1),$EH739+$EI739+$ED739+$EE739&gt;=2),$N739="included"),"All C pools assumption","")</f>
        <v/>
      </c>
      <c r="EU739" t="str">
        <f>IF(AND($ED739+$EE739+$EI739+$EH739+$EF739=0,$N739="included"),"In-situ only assumption","")</f>
        <v/>
      </c>
      <c r="EV739" s="328" t="s">
        <v>5065</v>
      </c>
      <c r="EW739" t="s">
        <v>2198</v>
      </c>
      <c r="EY739" t="str">
        <f>IF(ISNUMBER(BW739),IF(ABS(BW739-[2]QC_indicators!$B$2)&gt;3*[2]QC_indicators!$C$2,"C ratio",IF(ISNUMBER(CA739),IF(ABS(CA739-[2]QC_indicators!$B$1)&gt;3*[2]QC_indicators!$C$1,"DF","no"))),IF(ISNUMBER(CA739),IF(ABS(CA739-[2]QC_indicators!$B$1)&gt;3*[2]QC_indicators!$C$1,"DF","no")))</f>
        <v>no</v>
      </c>
      <c r="FA739" t="str">
        <f>IF(LEN($CY739)=0,"",IF(AND($CY739&lt;(-0.05),$ES739="C neutral forest and HWP assumption"),"Cneutral paradox",IF(AND($CY739&gt;0.05,$EU739="In-situ only assumption"),"In-situ only paradox","")))</f>
        <v/>
      </c>
      <c r="FD739" s="260" t="s">
        <v>2929</v>
      </c>
    </row>
    <row r="740" spans="1:160" ht="15" customHeight="1">
      <c r="A740" s="1" t="s">
        <v>1654</v>
      </c>
      <c r="B740" t="s">
        <v>2188</v>
      </c>
      <c r="C740" t="s">
        <v>2189</v>
      </c>
      <c r="D740" t="s">
        <v>2190</v>
      </c>
      <c r="E740" t="s">
        <v>2191</v>
      </c>
      <c r="F740" t="s">
        <v>2192</v>
      </c>
      <c r="G740" t="s">
        <v>1660</v>
      </c>
      <c r="H740" t="s">
        <v>254</v>
      </c>
      <c r="I740">
        <v>2010</v>
      </c>
      <c r="J740">
        <v>100</v>
      </c>
      <c r="K740" t="s">
        <v>2193</v>
      </c>
      <c r="M740" t="str">
        <f>LEFT($D740,FIND(",",$D740)-1)&amp;"_"&amp;I740&amp;L740</f>
        <v>Werner_2010</v>
      </c>
      <c r="N740" t="s">
        <v>222</v>
      </c>
      <c r="O740" s="145" t="s">
        <v>1029</v>
      </c>
      <c r="Q740" t="s">
        <v>256</v>
      </c>
      <c r="R740" s="258" t="s">
        <v>223</v>
      </c>
      <c r="S740" s="259" t="s">
        <v>2930</v>
      </c>
      <c r="T740" t="s">
        <v>2195</v>
      </c>
      <c r="U740" t="s">
        <v>2200</v>
      </c>
      <c r="V740">
        <v>1</v>
      </c>
      <c r="W740">
        <v>0</v>
      </c>
      <c r="X740">
        <v>2</v>
      </c>
      <c r="Y740">
        <v>0</v>
      </c>
      <c r="Z740">
        <v>1</v>
      </c>
      <c r="AA740">
        <v>2</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s="141">
        <f>COUNTIF(X740:AY740,"&lt;&gt;0")</f>
        <v>3</v>
      </c>
      <c r="BA740" s="141">
        <f>COUNTIF(X740:AN740,"&lt;&gt;0")</f>
        <v>3</v>
      </c>
      <c r="BB740">
        <f>COUNTIF(X740:AE740,"&lt;&gt;0")</f>
        <v>3</v>
      </c>
      <c r="BC740">
        <f>COUNTIF(AF740:AK740,"&lt;&gt;0")</f>
        <v>0</v>
      </c>
      <c r="BD740">
        <f>COUNTIF(AL740:AN740,"&lt;&gt;0")</f>
        <v>0</v>
      </c>
      <c r="BE740">
        <f>COUNTIF(AU740:AY740,"&lt;&gt;0")</f>
        <v>0</v>
      </c>
      <c r="BF740">
        <f>COUNTIF(AO740:AT740,"&lt;&gt;0")</f>
        <v>0</v>
      </c>
      <c r="BG740" t="str">
        <f t="array" ref="BG740">IF(BA740=1,INDEX($X$7:$AN$7,MATCH(TRUE,INDEX($X740:$AY740&lt;&gt;0,),0)),IF(BA740=0,INDEX($AO$7:$AY$7,MATCH(1,$AO740:$AY740,0)),IF(BH740="Multiple strategies","mixed drivers",IF(BH740="Supply chain","multiple supply","multiple silviculture"))))</f>
        <v>multiple silviculture</v>
      </c>
      <c r="BH740" s="2" t="str" cm="1">
        <f t="array" ref="BH740">IF(COUNTIF(BB740:BD740,"&lt;&gt;0")=1,INDEX($X$4:$AY$4,MATCH(TRUE,INDEX($X740:$AY740&lt;&gt;0,),0)),IF(COUNTIF(BB740:BD740,"&lt;&gt;0")=0,INDEX($AO$4:$AY$4,MATCH(1,$AO740:$AY740,0)),"Multiple strategies"))</f>
        <v>Silviculture for removals</v>
      </c>
      <c r="BI740" s="1" t="s">
        <v>321</v>
      </c>
      <c r="BJ740" t="s">
        <v>2166</v>
      </c>
      <c r="BK740" s="260" t="s">
        <v>2927</v>
      </c>
      <c r="BL740" t="s">
        <v>1197</v>
      </c>
      <c r="BM740">
        <v>120</v>
      </c>
      <c r="BN740">
        <v>213</v>
      </c>
      <c r="BO740" s="143">
        <f>BN740/BM740</f>
        <v>1.7749999999999999</v>
      </c>
      <c r="BP740">
        <f>BN740-BM740</f>
        <v>93</v>
      </c>
      <c r="BQ740">
        <f>BP740*10^6</f>
        <v>93000000</v>
      </c>
      <c r="BR740" t="s">
        <v>232</v>
      </c>
      <c r="BS740" s="153" t="s">
        <v>2928</v>
      </c>
      <c r="BT740" t="s">
        <v>2069</v>
      </c>
      <c r="BU740">
        <v>223.834792619919</v>
      </c>
      <c r="BV740">
        <v>76.966731236946401</v>
      </c>
      <c r="BW740" s="144">
        <f>IFERROR(BV740/BU740,"")</f>
        <v>0.34385508318914115</v>
      </c>
      <c r="BX740" s="144">
        <f>BV740-BU740</f>
        <v>-146.8680613829726</v>
      </c>
      <c r="BY740" s="144"/>
      <c r="BZ740">
        <f>BX740*10^6</f>
        <v>-146868061.3829726</v>
      </c>
      <c r="CA740">
        <f>IFERROR(BZ740/BQ740,"")</f>
        <v>-1.5792264664835762</v>
      </c>
      <c r="CB740">
        <v>0</v>
      </c>
      <c r="CC740">
        <v>0</v>
      </c>
      <c r="CD740">
        <v>0</v>
      </c>
      <c r="CE740">
        <v>0</v>
      </c>
      <c r="CF740">
        <v>0</v>
      </c>
      <c r="CG740">
        <v>0</v>
      </c>
      <c r="CH740">
        <v>0</v>
      </c>
      <c r="CI740">
        <v>0</v>
      </c>
      <c r="CJ740">
        <v>0</v>
      </c>
      <c r="CK740">
        <v>0</v>
      </c>
      <c r="CL740">
        <v>0</v>
      </c>
      <c r="CM740">
        <v>0</v>
      </c>
      <c r="CN740">
        <v>0</v>
      </c>
      <c r="CO740">
        <v>1</v>
      </c>
      <c r="CP740" t="str">
        <f>IF($BN740&lt;$BM740,"refNeedCorrection","refOK")</f>
        <v>refOK</v>
      </c>
      <c r="CQ740">
        <f>IF($CP740="refOK",$BM740,$BN740)</f>
        <v>120</v>
      </c>
      <c r="CR740">
        <f>IF($CP740="refOK",$BN740,$BM740)</f>
        <v>213</v>
      </c>
      <c r="CS740">
        <f>IF($CP740="refOK",$BQ740,-$BQ740)</f>
        <v>93000000</v>
      </c>
      <c r="CT740">
        <f>IF(BI740="Roundwood",$CS740/2,$CS740)</f>
        <v>46500000</v>
      </c>
      <c r="CU740">
        <f>IF($CP740="refOK",$BU740,$BV740)*IF($BR740="Emissions positive",-1,1)</f>
        <v>223.834792619919</v>
      </c>
      <c r="CV740">
        <f>IF($CP740="refOK",$BV740,$BU740)*IF($BR740="Emissions positive",-1,1)</f>
        <v>76.966731236946401</v>
      </c>
      <c r="CW740">
        <f>IF($CP740="refNeedCorrection",-BZ740,BZ740)*IF($BR740="Emissions positive",-1,1)</f>
        <v>-146868061.3829726</v>
      </c>
      <c r="CX740">
        <f>IFERROR($CW740/$CS740,"")</f>
        <v>-1.5792264664835762</v>
      </c>
      <c r="CY740">
        <f>IFERROR($CW740/$CS740,"")</f>
        <v>-1.5792264664835762</v>
      </c>
      <c r="CZ740">
        <f>IFERROR($CW740/$CT740,"")</f>
        <v>-3.1584529329671525</v>
      </c>
      <c r="DA740" s="2">
        <f>IFERROR((CV740-CU740)/ABS(CU740),"")</f>
        <v>-0.65614491681085885</v>
      </c>
      <c r="DB740" s="1" t="s">
        <v>1078</v>
      </c>
      <c r="DC740" t="str">
        <f>IF(OR($DB740="prd",$DB740="std",$DB740="cit"),"loc",IF(OR($DB740="eur",$DB740="reg",$DB740="coy"),"reg",$DB740))</f>
        <v>reg</v>
      </c>
      <c r="DD740" t="s">
        <v>626</v>
      </c>
      <c r="DE740">
        <v>2000</v>
      </c>
      <c r="DF740">
        <v>2030</v>
      </c>
      <c r="DG740">
        <f>DF740-DE740</f>
        <v>30</v>
      </c>
      <c r="DH740" t="str">
        <f>IF(DG740=0,"0",IF(AND(DG740&gt;=1,DG740&lt;=30),"1-30",IF(AND(DG740&gt;30,DG740&lt;=70),"31-70",IF(AND(DG740&gt;70,DG740&lt;=100),"71-100",IF(DG740&gt;100,"+100")))))</f>
        <v>1-30</v>
      </c>
      <c r="DI740">
        <v>0</v>
      </c>
      <c r="DJ740">
        <v>0</v>
      </c>
      <c r="DK740">
        <v>0</v>
      </c>
      <c r="DL740">
        <v>1</v>
      </c>
      <c r="DM740">
        <v>0</v>
      </c>
      <c r="DN740">
        <f>SUM(DI740:DL740)</f>
        <v>1</v>
      </c>
      <c r="DO740" t="str">
        <f>IF(DN740=1,INDEX($DI$7:$DL$7,MATCH(1,$DI740:$DL740,0)),"mixedProduct")</f>
        <v>TimberInput</v>
      </c>
      <c r="DP740">
        <f>IF(DI740=1,DP$7,0)</f>
        <v>0</v>
      </c>
      <c r="DQ740">
        <f>IF(DJ740=1,DQ$7,0)</f>
        <v>0</v>
      </c>
      <c r="DR740">
        <f>IF(DK740=1,DR$7,0)</f>
        <v>0</v>
      </c>
      <c r="DS740" t="str">
        <f>IF(DL740=1,DS$7,0)</f>
        <v>Timber</v>
      </c>
      <c r="DT740">
        <v>0</v>
      </c>
      <c r="DU740">
        <v>0</v>
      </c>
      <c r="DY740">
        <f>SUM(DT740:DU740)</f>
        <v>0</v>
      </c>
      <c r="DZ740" s="143" t="str">
        <f>IF(DT740=1,"self-calculated DF",IF(DU740=1,"external DF used","explicit C balance"))</f>
        <v>explicit C balance</v>
      </c>
      <c r="EA740">
        <v>1</v>
      </c>
      <c r="EB740">
        <v>1</v>
      </c>
      <c r="EC740">
        <v>1</v>
      </c>
      <c r="ED740">
        <v>0</v>
      </c>
      <c r="EE740">
        <v>0</v>
      </c>
      <c r="EF740" s="143">
        <v>0</v>
      </c>
      <c r="EG740">
        <v>0</v>
      </c>
      <c r="EH740">
        <v>0</v>
      </c>
      <c r="EI740">
        <v>0</v>
      </c>
      <c r="EJ740">
        <v>0</v>
      </c>
      <c r="EK740">
        <v>1</v>
      </c>
      <c r="EL740">
        <v>0</v>
      </c>
      <c r="EM740">
        <v>0</v>
      </c>
      <c r="EN740" s="2">
        <v>0</v>
      </c>
      <c r="EP740" t="str">
        <f>IF(AND(AND(AND(OR($EC740=1,$EB740=1),OR($EH740=1,$EF740=1)),SUM($EA740:$EE740,$EK740)&gt;=3),SUM($EF740:$EJ740)&gt;=2),"Whole sector approach","")</f>
        <v/>
      </c>
      <c r="EQ740" t="str">
        <f>IF(AND(AND(OR($EC740=1,$EB740=1),AND($EH740=0,$EF740=0)),SUM($EA740:$EE740,$EK740)&gt;=4),"Ecosystem approach","")</f>
        <v>Ecosystem approach</v>
      </c>
      <c r="ER740" s="2" t="str">
        <f>IF(AND(AND(AND($EC740=0,$EB740=0),OR($EH740=1,$EF740=1)),SUM($EG740:$EJ740)&gt;=2),"Technology approach","")</f>
        <v/>
      </c>
      <c r="ES740" t="str">
        <f>IF(AND($EC740+$EB740+$EE740+$EA740+$ED740+$EG740=0,$N740="included"),"C neutral forest and HWP assumption","")</f>
        <v/>
      </c>
      <c r="ET740" t="str">
        <f>IF(AND(AND(AND(AND($EC740=1,$EB740+$EA740+$EG740&gt;=1),$EF740=1),$EH740+$EI740+$ED740+$EE740&gt;=2),$N740="included"),"All C pools assumption","")</f>
        <v/>
      </c>
      <c r="EU740" t="str">
        <f>IF(AND($ED740+$EE740+$EI740+$EH740+$EF740=0,$N740="included"),"In-situ only assumption","")</f>
        <v>In-situ only assumption</v>
      </c>
      <c r="EV740" s="328" t="s">
        <v>5065</v>
      </c>
      <c r="EW740" t="s">
        <v>2198</v>
      </c>
      <c r="EY740" t="str">
        <f>IF(ISNUMBER(BW740),IF(ABS(BW740-[2]QC_indicators!$B$2)&gt;3*[2]QC_indicators!$C$2,"C ratio",IF(ISNUMBER(CA740),IF(ABS(CA740-[2]QC_indicators!$B$1)&gt;3*[2]QC_indicators!$C$1,"DF","no"))),IF(ISNUMBER(CA740),IF(ABS(CA740-[2]QC_indicators!$B$1)&gt;3*[2]QC_indicators!$C$1,"DF","no")))</f>
        <v>no</v>
      </c>
      <c r="FA740" t="str">
        <f>IF(LEN($CY740)=0,"",IF(AND($CY740&lt;(-0.05),$ES740="C neutral forest and HWP assumption"),"Cneutral paradox",IF(AND($CY740&gt;0.05,$EU740="In-situ only assumption"),"In-situ only paradox","")))</f>
        <v/>
      </c>
      <c r="FD740" s="260" t="s">
        <v>2929</v>
      </c>
    </row>
    <row r="741" spans="1:160" ht="15" hidden="1" customHeight="1">
      <c r="A741" s="1" t="s">
        <v>1654</v>
      </c>
      <c r="B741" t="s">
        <v>2188</v>
      </c>
      <c r="C741" t="s">
        <v>2189</v>
      </c>
      <c r="D741" t="s">
        <v>2190</v>
      </c>
      <c r="E741" t="s">
        <v>2191</v>
      </c>
      <c r="F741" t="s">
        <v>2192</v>
      </c>
      <c r="G741" t="s">
        <v>1660</v>
      </c>
      <c r="H741" t="s">
        <v>254</v>
      </c>
      <c r="I741">
        <v>2010</v>
      </c>
      <c r="J741">
        <v>100</v>
      </c>
      <c r="K741" t="s">
        <v>2193</v>
      </c>
      <c r="M741" t="str">
        <f>LEFT($D741,FIND(",",$D741)-1)&amp;"_"&amp;I741&amp;L741</f>
        <v>Werner_2010</v>
      </c>
      <c r="N741" t="s">
        <v>222</v>
      </c>
      <c r="O741" s="145" t="s">
        <v>1029</v>
      </c>
      <c r="Q741" t="s">
        <v>256</v>
      </c>
      <c r="R741" s="258" t="s">
        <v>223</v>
      </c>
      <c r="S741" s="1" t="s">
        <v>2194</v>
      </c>
      <c r="T741" t="s">
        <v>2195</v>
      </c>
      <c r="U741" t="s">
        <v>2199</v>
      </c>
      <c r="V741" s="334">
        <v>1</v>
      </c>
      <c r="W741">
        <v>0</v>
      </c>
      <c r="X741">
        <v>1</v>
      </c>
      <c r="Y741">
        <v>0</v>
      </c>
      <c r="Z741">
        <v>2</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s="141">
        <f>COUNTIF(X741:AY741,"&lt;&gt;0")</f>
        <v>2</v>
      </c>
      <c r="BA741" s="141">
        <f>COUNTIF(X741:AN741,"&lt;&gt;0")</f>
        <v>2</v>
      </c>
      <c r="BB741">
        <f>COUNTIF(X741:AE741,"&lt;&gt;0")</f>
        <v>2</v>
      </c>
      <c r="BC741">
        <f>COUNTIF(AF741:AK741,"&lt;&gt;0")</f>
        <v>0</v>
      </c>
      <c r="BD741">
        <f>COUNTIF(AL741:AN741,"&lt;&gt;0")</f>
        <v>0</v>
      </c>
      <c r="BE741">
        <f>COUNTIF(AU741:AY741,"&lt;&gt;0")</f>
        <v>0</v>
      </c>
      <c r="BF741">
        <f>COUNTIF(AO741:AT741,"&lt;&gt;0")</f>
        <v>0</v>
      </c>
      <c r="BG741" t="str">
        <f t="array" ref="BG741">IF(BA741=1,INDEX($X$7:$AN$7,MATCH(TRUE,INDEX($X741:$AY741&lt;&gt;0,),0)),IF(BA741=0,INDEX($AO$7:$AY$7,MATCH(1,$AO741:$AY741,0)),IF(BH741="Multiple strategies","mixed drivers",IF(BH741="Supply chain","multiple supply","multiple silviculture"))))</f>
        <v>multiple silviculture</v>
      </c>
      <c r="BH741" s="2" t="str" cm="1">
        <f t="array" ref="BH741">IF(COUNTIF(BB741:BD741,"&lt;&gt;0")=1,INDEX($X$4:$AY$4,MATCH(TRUE,INDEX($X741:$AY741&lt;&gt;0,),0)),IF(COUNTIF(BB741:BD741,"&lt;&gt;0")=0,INDEX($AO$4:$AY$4,MATCH(1,$AO741:$AY741,0)),"Multiple strategies"))</f>
        <v>Silviculture for removals</v>
      </c>
      <c r="BI741" s="1" t="s">
        <v>321</v>
      </c>
      <c r="BJ741" t="s">
        <v>2166</v>
      </c>
      <c r="BK741" s="260" t="s">
        <v>2927</v>
      </c>
      <c r="BL741" t="s">
        <v>1197</v>
      </c>
      <c r="BM741">
        <v>300</v>
      </c>
      <c r="BN741">
        <v>712.5</v>
      </c>
      <c r="BO741" s="143">
        <f>BN741/BM741</f>
        <v>2.375</v>
      </c>
      <c r="BP741">
        <f>BN741-BM741</f>
        <v>412.5</v>
      </c>
      <c r="BQ741">
        <f>BP741*1000000</f>
        <v>412500000</v>
      </c>
      <c r="BR741" t="s">
        <v>232</v>
      </c>
      <c r="BS741" s="153" t="s">
        <v>2928</v>
      </c>
      <c r="BT741" t="s">
        <v>2069</v>
      </c>
      <c r="BU741">
        <v>728.49390504704797</v>
      </c>
      <c r="BV741">
        <v>932.44760479041895</v>
      </c>
      <c r="BW741" s="144">
        <f>IFERROR(BV741/BU741,"")</f>
        <v>1.2799662403904384</v>
      </c>
      <c r="BX741" s="144">
        <f>BV741-BU741</f>
        <v>203.95369974337098</v>
      </c>
      <c r="BY741" s="144"/>
      <c r="BZ741">
        <f>BX741*10^6</f>
        <v>203953699.74337098</v>
      </c>
      <c r="CA741">
        <f>IFERROR(BZ741/BQ741,"")</f>
        <v>0.49443321149908115</v>
      </c>
      <c r="CB741">
        <v>0</v>
      </c>
      <c r="CC741">
        <v>0</v>
      </c>
      <c r="CD741">
        <v>0</v>
      </c>
      <c r="CE741">
        <v>0</v>
      </c>
      <c r="CF741">
        <v>0</v>
      </c>
      <c r="CG741">
        <v>0</v>
      </c>
      <c r="CH741">
        <v>0</v>
      </c>
      <c r="CI741">
        <v>0</v>
      </c>
      <c r="CJ741">
        <v>0</v>
      </c>
      <c r="CK741">
        <v>0</v>
      </c>
      <c r="CL741">
        <v>0</v>
      </c>
      <c r="CM741">
        <v>0</v>
      </c>
      <c r="CN741">
        <v>0</v>
      </c>
      <c r="CO741">
        <v>1</v>
      </c>
      <c r="CP741" t="str">
        <f>IF($BN741&lt;$BM741,"refNeedCorrection","refOK")</f>
        <v>refOK</v>
      </c>
      <c r="CQ741">
        <f>IF($CP741="refNeedCorrection",BN741,BM741)</f>
        <v>300</v>
      </c>
      <c r="CR741">
        <f>IF($CP741="refNeedCorrection",BM741,BN741)</f>
        <v>712.5</v>
      </c>
      <c r="CS741">
        <f>IF($CP741="refOK",$BQ741,-$BQ741)</f>
        <v>412500000</v>
      </c>
      <c r="CT741">
        <f>IF(BI741="Roundwood",$CS741/2,$CS741)</f>
        <v>206250000</v>
      </c>
      <c r="CU741">
        <f>IF($CP741="refOK",$BU741,$BV741)*IF($BR741="Emissions positive",-1,1)</f>
        <v>728.49390504704797</v>
      </c>
      <c r="CV741">
        <f>IF($CP741="refOK",$BV741,$BU741)*IF($BR741="Emissions positive",-1,1)</f>
        <v>932.44760479041895</v>
      </c>
      <c r="CW741">
        <f>IF($CP741="refNeedCorrection",-BZ741,BZ741)*IF($BR741="Emissions positive",-1,1)</f>
        <v>203953699.74337098</v>
      </c>
      <c r="CX741">
        <f>IFERROR($CW741/$CS741,"")</f>
        <v>0.49443321149908115</v>
      </c>
      <c r="CY741">
        <f>IFERROR($CW741/$CS741,"")</f>
        <v>0.49443321149908115</v>
      </c>
      <c r="CZ741">
        <f>IFERROR($CW741/$CT741,"")</f>
        <v>0.9888664229981623</v>
      </c>
      <c r="DA741" s="2">
        <f>IFERROR((CV741-CU741)/ABS(CU741),"")</f>
        <v>0.27996624039043833</v>
      </c>
      <c r="DB741" s="1" t="s">
        <v>1078</v>
      </c>
      <c r="DC741" t="str">
        <f>IF(OR($DB741="prd",$DB741="std",$DB741="cit"),"loc",IF(OR($DB741="eur",$DB741="reg",$DB741="coy"),"reg",$DB741))</f>
        <v>reg</v>
      </c>
      <c r="DD741" t="s">
        <v>626</v>
      </c>
      <c r="DE741">
        <v>2000</v>
      </c>
      <c r="DF741">
        <v>2090</v>
      </c>
      <c r="DG741">
        <f>DF741-DE741</f>
        <v>90</v>
      </c>
      <c r="DH741" t="str">
        <f>IF(DG741=0,"0",IF(AND(DG741&gt;=1,DG741&lt;=30),"1-30",IF(AND(DG741&gt;30,DG741&lt;=70),"31-70",IF(AND(DG741&gt;70,DG741&lt;=100),"71-100",IF(DG741&gt;100,"+100")))))</f>
        <v>71-100</v>
      </c>
      <c r="DI741">
        <v>1</v>
      </c>
      <c r="DJ741">
        <v>1</v>
      </c>
      <c r="DK741">
        <v>1</v>
      </c>
      <c r="DL741">
        <v>1</v>
      </c>
      <c r="DM741">
        <v>0</v>
      </c>
      <c r="DN741">
        <f>SUM(DI741:DL741)</f>
        <v>4</v>
      </c>
      <c r="DO741" t="str">
        <f>IF(DN741=1,INDEX($DI$7:$DL$7,MATCH(1,$DI741:$DL741,0)),"mixedProduct")</f>
        <v>mixedProduct</v>
      </c>
      <c r="DP741" t="str">
        <f>IF(DI741=1,DP$7,0)</f>
        <v>Upstream</v>
      </c>
      <c r="DQ741" t="str">
        <f>IF(DJ741=1,DQ$7,0)</f>
        <v>Energy</v>
      </c>
      <c r="DR741" t="str">
        <f>IF(DK741=1,DR$7,0)</f>
        <v>Pulp/Paper</v>
      </c>
      <c r="DS741" t="str">
        <f>IF(DL741=1,DS$7,0)</f>
        <v>Timber</v>
      </c>
      <c r="DT741">
        <v>0</v>
      </c>
      <c r="DU741">
        <v>1</v>
      </c>
      <c r="DV741" t="s">
        <v>2196</v>
      </c>
      <c r="DW741" t="s">
        <v>2197</v>
      </c>
      <c r="DY741">
        <f>SUM(DT741:DU741)</f>
        <v>1</v>
      </c>
      <c r="DZ741" s="143" t="str">
        <f>IF(DT741=1,"self-calculated DF",IF(DU741=1,"external DF used","explicit C balance"))</f>
        <v>external DF used</v>
      </c>
      <c r="EA741">
        <v>1</v>
      </c>
      <c r="EB741">
        <v>1</v>
      </c>
      <c r="EC741">
        <v>1</v>
      </c>
      <c r="ED741">
        <v>1</v>
      </c>
      <c r="EE741">
        <v>1</v>
      </c>
      <c r="EF741" s="143">
        <v>1</v>
      </c>
      <c r="EG741">
        <v>1</v>
      </c>
      <c r="EH741">
        <v>1</v>
      </c>
      <c r="EI741">
        <v>0</v>
      </c>
      <c r="EJ741">
        <v>0</v>
      </c>
      <c r="EK741">
        <v>1</v>
      </c>
      <c r="EL741">
        <v>0</v>
      </c>
      <c r="EM741">
        <v>0</v>
      </c>
      <c r="EN741" s="2">
        <v>0</v>
      </c>
      <c r="EP741" t="str">
        <f>IF(AND(AND(AND(OR($EC741=1,$EB741=1),OR($EH741=1,$EF741=1)),SUM($EA741:$EE741,$EK741)&gt;=3),SUM($EF741:$EJ741)&gt;=2),"Whole sector approach","")</f>
        <v>Whole sector approach</v>
      </c>
      <c r="EQ741" t="str">
        <f>IF(AND(AND(OR($EC741=1,$EB741=1),AND($EH741=0,$EF741=0)),SUM($EA741:$EE741,$EK741)&gt;=4),"Ecosystem approach","")</f>
        <v/>
      </c>
      <c r="ER741" s="2" t="str">
        <f>IF(AND(AND(AND($EC741=0,$EB741=0),OR($EH741=1,$EF741=1)),SUM($EG741:$EJ741)&gt;=2),"Technology approach","")</f>
        <v/>
      </c>
      <c r="ES741" t="str">
        <f>IF(AND($EC741+$EB741+$EE741+$EA741+$ED741+$EG741=0,$N741="included"),"C neutral forest and HWP assumption","")</f>
        <v/>
      </c>
      <c r="ET741" t="str">
        <f>IF(AND(AND(AND(AND($EC741=1,$EB741+$EA741+$EG741&gt;=1),$EF741=1),$EH741+$EI741+$ED741+$EE741&gt;=2),$N741="included"),"All C pools assumption","")</f>
        <v>All C pools assumption</v>
      </c>
      <c r="EU741" t="str">
        <f>IF(AND($ED741+$EE741+$EI741+$EH741+$EF741=0,$N741="included"),"In-situ only assumption","")</f>
        <v/>
      </c>
      <c r="EV741" s="328" t="s">
        <v>5065</v>
      </c>
      <c r="EW741" t="s">
        <v>2198</v>
      </c>
      <c r="EY741" t="str">
        <f>IF(ISNUMBER(BW741),IF(ABS(BW741-[2]QC_indicators!$B$2)&gt;3*[2]QC_indicators!$C$2,"C ratio",IF(ISNUMBER(CA741),IF(ABS(CA741-[2]QC_indicators!$B$1)&gt;3*[2]QC_indicators!$C$1,"DF","no"))),IF(ISNUMBER(CA741),IF(ABS(CA741-[2]QC_indicators!$B$1)&gt;3*[2]QC_indicators!$C$1,"DF","no")))</f>
        <v>no</v>
      </c>
      <c r="FA741" t="str">
        <f>IF(LEN($CY741)=0,"",IF(AND($CY741&lt;(-0.05),$ES741="C neutral forest and HWP assumption"),"Cneutral paradox",IF(AND($CY741&gt;0.05,$EU741="In-situ only assumption"),"In-situ only paradox","")))</f>
        <v/>
      </c>
      <c r="FD741" s="260" t="s">
        <v>2929</v>
      </c>
    </row>
    <row r="742" spans="1:160" ht="15" hidden="1" customHeight="1">
      <c r="A742" s="1" t="s">
        <v>1654</v>
      </c>
      <c r="B742" t="s">
        <v>2188</v>
      </c>
      <c r="C742" t="s">
        <v>2189</v>
      </c>
      <c r="D742" t="s">
        <v>2190</v>
      </c>
      <c r="E742" t="s">
        <v>2191</v>
      </c>
      <c r="F742" t="s">
        <v>2192</v>
      </c>
      <c r="G742" t="s">
        <v>1660</v>
      </c>
      <c r="H742" t="s">
        <v>254</v>
      </c>
      <c r="I742">
        <v>2010</v>
      </c>
      <c r="J742">
        <v>100</v>
      </c>
      <c r="K742" t="s">
        <v>2193</v>
      </c>
      <c r="M742" t="str">
        <f>LEFT($D742,FIND(",",$D742)-1)&amp;"_"&amp;I742&amp;L742</f>
        <v>Werner_2010</v>
      </c>
      <c r="N742" t="s">
        <v>222</v>
      </c>
      <c r="O742" s="145" t="s">
        <v>1029</v>
      </c>
      <c r="Q742" t="s">
        <v>256</v>
      </c>
      <c r="R742" s="258" t="s">
        <v>223</v>
      </c>
      <c r="S742" s="1" t="s">
        <v>2194</v>
      </c>
      <c r="T742" t="s">
        <v>2195</v>
      </c>
      <c r="U742" t="s">
        <v>2199</v>
      </c>
      <c r="V742" s="334">
        <v>1</v>
      </c>
      <c r="W742">
        <v>0</v>
      </c>
      <c r="X742">
        <v>1</v>
      </c>
      <c r="Y742">
        <v>0</v>
      </c>
      <c r="Z742">
        <v>2</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s="141">
        <f>COUNTIF(X742:AY742,"&lt;&gt;0")</f>
        <v>2</v>
      </c>
      <c r="BA742" s="141">
        <f>COUNTIF(X742:AN742,"&lt;&gt;0")</f>
        <v>2</v>
      </c>
      <c r="BB742">
        <f>COUNTIF(X742:AE742,"&lt;&gt;0")</f>
        <v>2</v>
      </c>
      <c r="BC742">
        <f>COUNTIF(AF742:AK742,"&lt;&gt;0")</f>
        <v>0</v>
      </c>
      <c r="BD742">
        <f>COUNTIF(AL742:AN742,"&lt;&gt;0")</f>
        <v>0</v>
      </c>
      <c r="BE742">
        <f>COUNTIF(AU742:AY742,"&lt;&gt;0")</f>
        <v>0</v>
      </c>
      <c r="BF742">
        <f>COUNTIF(AO742:AT742,"&lt;&gt;0")</f>
        <v>0</v>
      </c>
      <c r="BG742" t="str">
        <f t="array" ref="BG742">IF(BA742=1,INDEX($X$7:$AN$7,MATCH(TRUE,INDEX($X742:$AY742&lt;&gt;0,),0)),IF(BA742=0,INDEX($AO$7:$AY$7,MATCH(1,$AO742:$AY742,0)),IF(BH742="Multiple strategies","mixed drivers",IF(BH742="Supply chain","multiple supply","multiple silviculture"))))</f>
        <v>multiple silviculture</v>
      </c>
      <c r="BH742" s="2" t="str" cm="1">
        <f t="array" ref="BH742">IF(COUNTIF(BB742:BD742,"&lt;&gt;0")=1,INDEX($X$4:$AY$4,MATCH(TRUE,INDEX($X742:$AY742&lt;&gt;0,),0)),IF(COUNTIF(BB742:BD742,"&lt;&gt;0")=0,INDEX($AO$4:$AY$4,MATCH(1,$AO742:$AY742,0)),"Multiple strategies"))</f>
        <v>Silviculture for removals</v>
      </c>
      <c r="BI742" s="1" t="s">
        <v>321</v>
      </c>
      <c r="BJ742" t="s">
        <v>2166</v>
      </c>
      <c r="BK742" s="260" t="s">
        <v>2927</v>
      </c>
      <c r="BL742" t="s">
        <v>1197</v>
      </c>
      <c r="BM742">
        <v>210</v>
      </c>
      <c r="BN742">
        <v>457.5</v>
      </c>
      <c r="BO742" s="143">
        <f>BN742/BM742</f>
        <v>2.1785714285714284</v>
      </c>
      <c r="BP742">
        <f>BN742-BM742</f>
        <v>247.5</v>
      </c>
      <c r="BQ742">
        <f>BP742*1000000</f>
        <v>247500000</v>
      </c>
      <c r="BR742" t="s">
        <v>232</v>
      </c>
      <c r="BS742" s="153" t="s">
        <v>2928</v>
      </c>
      <c r="BT742" t="s">
        <v>2069</v>
      </c>
      <c r="BU742">
        <v>644.05341103507203</v>
      </c>
      <c r="BV742">
        <v>650.17509623609897</v>
      </c>
      <c r="BW742" s="144">
        <f>IFERROR(BV742/BU742,"")</f>
        <v>1.0095049340569264</v>
      </c>
      <c r="BX742" s="144">
        <f>BV742-BU742</f>
        <v>6.1216852010269349</v>
      </c>
      <c r="BY742" s="144"/>
      <c r="BZ742">
        <f>BX742*10^6</f>
        <v>6121685.2010269351</v>
      </c>
      <c r="CA742">
        <f>IFERROR(BZ742/BQ742,"")</f>
        <v>2.4734081620310849E-2</v>
      </c>
      <c r="CB742">
        <v>0</v>
      </c>
      <c r="CC742">
        <v>0</v>
      </c>
      <c r="CD742">
        <v>0</v>
      </c>
      <c r="CE742">
        <v>0</v>
      </c>
      <c r="CF742">
        <v>0</v>
      </c>
      <c r="CG742">
        <v>0</v>
      </c>
      <c r="CH742">
        <v>0</v>
      </c>
      <c r="CI742">
        <v>0</v>
      </c>
      <c r="CJ742">
        <v>0</v>
      </c>
      <c r="CK742">
        <v>0</v>
      </c>
      <c r="CL742">
        <v>0</v>
      </c>
      <c r="CM742">
        <v>0</v>
      </c>
      <c r="CN742">
        <v>0</v>
      </c>
      <c r="CO742">
        <v>1</v>
      </c>
      <c r="CP742" t="str">
        <f>IF($BN742&lt;$BM742,"refNeedCorrection","refOK")</f>
        <v>refOK</v>
      </c>
      <c r="CQ742">
        <f>IF($CP742="refNeedCorrection",BN742,BM742)</f>
        <v>210</v>
      </c>
      <c r="CR742">
        <f>IF($CP742="refNeedCorrection",BM742,BN742)</f>
        <v>457.5</v>
      </c>
      <c r="CS742">
        <f>IF($CP742="refOK",$BQ742,-$BQ742)</f>
        <v>247500000</v>
      </c>
      <c r="CT742">
        <f>IF(BI742="Roundwood",$CS742/2,$CS742)</f>
        <v>123750000</v>
      </c>
      <c r="CU742">
        <f>IF($CP742="refOK",$BU742,$BV742)*IF($BR742="Emissions positive",-1,1)</f>
        <v>644.05341103507203</v>
      </c>
      <c r="CV742">
        <f>IF($CP742="refOK",$BV742,$BU742)*IF($BR742="Emissions positive",-1,1)</f>
        <v>650.17509623609897</v>
      </c>
      <c r="CW742">
        <f>IF($CP742="refNeedCorrection",-BZ742,BZ742)*IF($BR742="Emissions positive",-1,1)</f>
        <v>6121685.2010269351</v>
      </c>
      <c r="CX742">
        <f>IFERROR($CW742/$CS742,"")</f>
        <v>2.4734081620310849E-2</v>
      </c>
      <c r="CY742">
        <f>IFERROR($CW742/$CS742,"")</f>
        <v>2.4734081620310849E-2</v>
      </c>
      <c r="CZ742">
        <f>IFERROR($CW742/$CT742,"")</f>
        <v>4.9468163240621699E-2</v>
      </c>
      <c r="DA742" s="2">
        <f>IFERROR((CV742-CU742)/ABS(CU742),"")</f>
        <v>9.5049340569264961E-3</v>
      </c>
      <c r="DB742" s="1" t="s">
        <v>1078</v>
      </c>
      <c r="DC742" t="str">
        <f>IF(OR($DB742="prd",$DB742="std",$DB742="cit"),"loc",IF(OR($DB742="eur",$DB742="reg",$DB742="coy"),"reg",$DB742))</f>
        <v>reg</v>
      </c>
      <c r="DD742" t="s">
        <v>626</v>
      </c>
      <c r="DE742">
        <v>2000</v>
      </c>
      <c r="DF742">
        <v>2060</v>
      </c>
      <c r="DG742">
        <f>DF742-DE742</f>
        <v>60</v>
      </c>
      <c r="DH742" t="str">
        <f>IF(DG742=0,"0",IF(AND(DG742&gt;=1,DG742&lt;=30),"1-30",IF(AND(DG742&gt;30,DG742&lt;=70),"31-70",IF(AND(DG742&gt;70,DG742&lt;=100),"71-100",IF(DG742&gt;100,"+100")))))</f>
        <v>31-70</v>
      </c>
      <c r="DI742">
        <v>1</v>
      </c>
      <c r="DJ742">
        <v>1</v>
      </c>
      <c r="DK742">
        <v>1</v>
      </c>
      <c r="DL742">
        <v>1</v>
      </c>
      <c r="DM742">
        <v>0</v>
      </c>
      <c r="DN742">
        <f>SUM(DI742:DL742)</f>
        <v>4</v>
      </c>
      <c r="DO742" t="str">
        <f>IF(DN742=1,INDEX($DI$7:$DL$7,MATCH(1,$DI742:$DL742,0)),"mixedProduct")</f>
        <v>mixedProduct</v>
      </c>
      <c r="DP742" t="str">
        <f>IF(DI742=1,DP$7,0)</f>
        <v>Upstream</v>
      </c>
      <c r="DQ742" t="str">
        <f>IF(DJ742=1,DQ$7,0)</f>
        <v>Energy</v>
      </c>
      <c r="DR742" t="str">
        <f>IF(DK742=1,DR$7,0)</f>
        <v>Pulp/Paper</v>
      </c>
      <c r="DS742" t="str">
        <f>IF(DL742=1,DS$7,0)</f>
        <v>Timber</v>
      </c>
      <c r="DT742">
        <v>0</v>
      </c>
      <c r="DU742">
        <v>1</v>
      </c>
      <c r="DV742" t="s">
        <v>2196</v>
      </c>
      <c r="DW742" t="s">
        <v>2197</v>
      </c>
      <c r="DY742">
        <f>SUM(DT742:DU742)</f>
        <v>1</v>
      </c>
      <c r="DZ742" s="143" t="str">
        <f>IF(DT742=1,"self-calculated DF",IF(DU742=1,"external DF used","explicit C balance"))</f>
        <v>external DF used</v>
      </c>
      <c r="EA742">
        <v>1</v>
      </c>
      <c r="EB742">
        <v>1</v>
      </c>
      <c r="EC742">
        <v>1</v>
      </c>
      <c r="ED742">
        <v>1</v>
      </c>
      <c r="EE742">
        <v>1</v>
      </c>
      <c r="EF742" s="143">
        <v>1</v>
      </c>
      <c r="EG742">
        <v>1</v>
      </c>
      <c r="EH742">
        <v>1</v>
      </c>
      <c r="EI742">
        <v>0</v>
      </c>
      <c r="EJ742">
        <v>0</v>
      </c>
      <c r="EK742">
        <v>1</v>
      </c>
      <c r="EL742">
        <v>0</v>
      </c>
      <c r="EM742">
        <v>0</v>
      </c>
      <c r="EN742" s="2">
        <v>0</v>
      </c>
      <c r="EP742" t="str">
        <f>IF(AND(AND(AND(OR($EC742=1,$EB742=1),OR($EH742=1,$EF742=1)),SUM($EA742:$EE742,$EK742)&gt;=3),SUM($EF742:$EJ742)&gt;=2),"Whole sector approach","")</f>
        <v>Whole sector approach</v>
      </c>
      <c r="EQ742" t="str">
        <f>IF(AND(AND(OR($EC742=1,$EB742=1),AND($EH742=0,$EF742=0)),SUM($EA742:$EE742,$EK742)&gt;=4),"Ecosystem approach","")</f>
        <v/>
      </c>
      <c r="ER742" s="2" t="str">
        <f>IF(AND(AND(AND($EC742=0,$EB742=0),OR($EH742=1,$EF742=1)),SUM($EG742:$EJ742)&gt;=2),"Technology approach","")</f>
        <v/>
      </c>
      <c r="ES742" t="str">
        <f>IF(AND($EC742+$EB742+$EE742+$EA742+$ED742+$EG742=0,$N742="included"),"C neutral forest and HWP assumption","")</f>
        <v/>
      </c>
      <c r="ET742" t="str">
        <f>IF(AND(AND(AND(AND($EC742=1,$EB742+$EA742+$EG742&gt;=1),$EF742=1),$EH742+$EI742+$ED742+$EE742&gt;=2),$N742="included"),"All C pools assumption","")</f>
        <v>All C pools assumption</v>
      </c>
      <c r="EU742" t="str">
        <f>IF(AND($ED742+$EE742+$EI742+$EH742+$EF742=0,$N742="included"),"In-situ only assumption","")</f>
        <v/>
      </c>
      <c r="EV742" s="328" t="s">
        <v>5065</v>
      </c>
      <c r="EW742" t="s">
        <v>2198</v>
      </c>
      <c r="EY742" t="str">
        <f>IF(ISNUMBER(BW742),IF(ABS(BW742-[2]QC_indicators!$B$2)&gt;3*[2]QC_indicators!$C$2,"C ratio",IF(ISNUMBER(CA742),IF(ABS(CA742-[2]QC_indicators!$B$1)&gt;3*[2]QC_indicators!$C$1,"DF","no"))),IF(ISNUMBER(CA742),IF(ABS(CA742-[2]QC_indicators!$B$1)&gt;3*[2]QC_indicators!$C$1,"DF","no")))</f>
        <v>no</v>
      </c>
      <c r="FA742" t="str">
        <f>IF(LEN($CY742)=0,"",IF(AND($CY742&lt;(-0.05),$ES742="C neutral forest and HWP assumption"),"Cneutral paradox",IF(AND($CY742&gt;0.05,$EU742="In-situ only assumption"),"In-situ only paradox","")))</f>
        <v/>
      </c>
      <c r="FD742" s="260" t="s">
        <v>2929</v>
      </c>
    </row>
    <row r="743" spans="1:160" ht="15" hidden="1" customHeight="1">
      <c r="A743" s="1" t="s">
        <v>1654</v>
      </c>
      <c r="B743" t="s">
        <v>2188</v>
      </c>
      <c r="C743" t="s">
        <v>2189</v>
      </c>
      <c r="D743" t="s">
        <v>2190</v>
      </c>
      <c r="E743" t="s">
        <v>2191</v>
      </c>
      <c r="F743" t="s">
        <v>2192</v>
      </c>
      <c r="G743" t="s">
        <v>1660</v>
      </c>
      <c r="H743" t="s">
        <v>254</v>
      </c>
      <c r="I743">
        <v>2010</v>
      </c>
      <c r="J743">
        <v>100</v>
      </c>
      <c r="K743" t="s">
        <v>2193</v>
      </c>
      <c r="M743" t="str">
        <f>LEFT($D743,FIND(",",$D743)-1)&amp;"_"&amp;I743&amp;L743</f>
        <v>Werner_2010</v>
      </c>
      <c r="N743" t="s">
        <v>222</v>
      </c>
      <c r="O743" s="145" t="s">
        <v>1029</v>
      </c>
      <c r="Q743" t="s">
        <v>256</v>
      </c>
      <c r="R743" s="258" t="s">
        <v>223</v>
      </c>
      <c r="S743" s="1" t="s">
        <v>2194</v>
      </c>
      <c r="T743" t="s">
        <v>2195</v>
      </c>
      <c r="U743" t="s">
        <v>1030</v>
      </c>
      <c r="V743" s="334">
        <v>1</v>
      </c>
      <c r="W743">
        <v>0</v>
      </c>
      <c r="X743">
        <v>1</v>
      </c>
      <c r="Y743">
        <v>0</v>
      </c>
      <c r="Z743">
        <v>2</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s="141">
        <f>COUNTIF(X743:AY743,"&lt;&gt;0")</f>
        <v>2</v>
      </c>
      <c r="BA743" s="141">
        <f>COUNTIF(X743:AN743,"&lt;&gt;0")</f>
        <v>2</v>
      </c>
      <c r="BB743">
        <f>COUNTIF(X743:AE743,"&lt;&gt;0")</f>
        <v>2</v>
      </c>
      <c r="BC743">
        <f>COUNTIF(AF743:AK743,"&lt;&gt;0")</f>
        <v>0</v>
      </c>
      <c r="BD743">
        <f>COUNTIF(AL743:AN743,"&lt;&gt;0")</f>
        <v>0</v>
      </c>
      <c r="BE743">
        <f>COUNTIF(AU743:AY743,"&lt;&gt;0")</f>
        <v>0</v>
      </c>
      <c r="BF743">
        <f>COUNTIF(AO743:AT743,"&lt;&gt;0")</f>
        <v>0</v>
      </c>
      <c r="BG743" t="str">
        <f t="array" ref="BG743">IF(BA743=1,INDEX($X$7:$AN$7,MATCH(TRUE,INDEX($X743:$AY743&lt;&gt;0,),0)),IF(BA743=0,INDEX($AO$7:$AY$7,MATCH(1,$AO743:$AY743,0)),IF(BH743="Multiple strategies","mixed drivers",IF(BH743="Supply chain","multiple supply","multiple silviculture"))))</f>
        <v>multiple silviculture</v>
      </c>
      <c r="BH743" s="2" t="str" cm="1">
        <f t="array" ref="BH743">IF(COUNTIF(BB743:BD743,"&lt;&gt;0")=1,INDEX($X$4:$AY$4,MATCH(TRUE,INDEX($X743:$AY743&lt;&gt;0,),0)),IF(COUNTIF(BB743:BD743,"&lt;&gt;0")=0,INDEX($AO$4:$AY$4,MATCH(1,$AO743:$AY743,0)),"Multiple strategies"))</f>
        <v>Silviculture for removals</v>
      </c>
      <c r="BI743" s="1" t="s">
        <v>321</v>
      </c>
      <c r="BJ743" t="s">
        <v>2166</v>
      </c>
      <c r="BK743" s="260" t="s">
        <v>2927</v>
      </c>
      <c r="BL743" t="s">
        <v>1197</v>
      </c>
      <c r="BM743">
        <v>300</v>
      </c>
      <c r="BN743">
        <v>517.5</v>
      </c>
      <c r="BO743" s="143">
        <f>BN743/BM743</f>
        <v>1.7250000000000001</v>
      </c>
      <c r="BP743">
        <f>BN743-BM743</f>
        <v>217.5</v>
      </c>
      <c r="BQ743">
        <f>BP743*1000000</f>
        <v>217500000</v>
      </c>
      <c r="BR743" t="s">
        <v>232</v>
      </c>
      <c r="BS743" s="153" t="s">
        <v>2928</v>
      </c>
      <c r="BT743" t="s">
        <v>2069</v>
      </c>
      <c r="BU743">
        <v>728.49390504704797</v>
      </c>
      <c r="BV743">
        <v>662.23802395209498</v>
      </c>
      <c r="BW743" s="144">
        <f>IFERROR(BV743/BU743,"")</f>
        <v>0.90905087793332462</v>
      </c>
      <c r="BX743" s="144">
        <f>BV743-BU743</f>
        <v>-66.255881094952997</v>
      </c>
      <c r="BY743" s="144"/>
      <c r="BZ743">
        <f>BX743*10^6</f>
        <v>-66255881.094953001</v>
      </c>
      <c r="CA743">
        <f>IFERROR(BZ743/BQ743,"")</f>
        <v>-0.30462474066645057</v>
      </c>
      <c r="CB743">
        <v>0</v>
      </c>
      <c r="CC743">
        <v>0</v>
      </c>
      <c r="CD743">
        <v>0</v>
      </c>
      <c r="CE743">
        <v>0</v>
      </c>
      <c r="CF743">
        <v>0</v>
      </c>
      <c r="CG743">
        <v>0</v>
      </c>
      <c r="CH743">
        <v>0</v>
      </c>
      <c r="CI743">
        <v>0</v>
      </c>
      <c r="CJ743">
        <v>0</v>
      </c>
      <c r="CK743">
        <v>0</v>
      </c>
      <c r="CL743">
        <v>0</v>
      </c>
      <c r="CM743">
        <v>0</v>
      </c>
      <c r="CN743">
        <v>0</v>
      </c>
      <c r="CO743">
        <v>1</v>
      </c>
      <c r="CP743" t="str">
        <f>IF($BN743&lt;$BM743,"refNeedCorrection","refOK")</f>
        <v>refOK</v>
      </c>
      <c r="CQ743">
        <f>IF($CP743="refNeedCorrection",BN743,BM743)</f>
        <v>300</v>
      </c>
      <c r="CR743">
        <f>IF($CP743="refNeedCorrection",BM743,BN743)</f>
        <v>517.5</v>
      </c>
      <c r="CS743">
        <f>IF($CP743="refOK",$BQ743,-$BQ743)</f>
        <v>217500000</v>
      </c>
      <c r="CT743">
        <f>IF(BI743="Roundwood",$CS743/2,$CS743)</f>
        <v>108750000</v>
      </c>
      <c r="CU743">
        <f>IF($CP743="refOK",$BU743,$BV743)*IF($BR743="Emissions positive",-1,1)</f>
        <v>728.49390504704797</v>
      </c>
      <c r="CV743">
        <f>IF($CP743="refOK",$BV743,$BU743)*IF($BR743="Emissions positive",-1,1)</f>
        <v>662.23802395209498</v>
      </c>
      <c r="CW743">
        <f>IF($CP743="refNeedCorrection",-BZ743,BZ743)*IF($BR743="Emissions positive",-1,1)</f>
        <v>-66255881.094953001</v>
      </c>
      <c r="CX743">
        <f>IFERROR($CW743/$CS743,"")</f>
        <v>-0.30462474066645057</v>
      </c>
      <c r="CY743">
        <f>IFERROR($CW743/$CS743,"")</f>
        <v>-0.30462474066645057</v>
      </c>
      <c r="CZ743">
        <f>IFERROR($CW743/$CT743,"")</f>
        <v>-0.60924948133290113</v>
      </c>
      <c r="DA743" s="2">
        <f>IFERROR((CV743-CU743)/ABS(CU743),"")</f>
        <v>-9.0949122066675395E-2</v>
      </c>
      <c r="DB743" s="1" t="s">
        <v>1078</v>
      </c>
      <c r="DC743" t="str">
        <f>IF(OR($DB743="prd",$DB743="std",$DB743="cit"),"loc",IF(OR($DB743="eur",$DB743="reg",$DB743="coy"),"reg",$DB743))</f>
        <v>reg</v>
      </c>
      <c r="DD743" t="s">
        <v>626</v>
      </c>
      <c r="DE743">
        <v>2000</v>
      </c>
      <c r="DF743">
        <v>2090</v>
      </c>
      <c r="DG743">
        <f>DF743-DE743</f>
        <v>90</v>
      </c>
      <c r="DH743" t="str">
        <f>IF(DG743=0,"0",IF(AND(DG743&gt;=1,DG743&lt;=30),"1-30",IF(AND(DG743&gt;30,DG743&lt;=70),"31-70",IF(AND(DG743&gt;70,DG743&lt;=100),"71-100",IF(DG743&gt;100,"+100")))))</f>
        <v>71-100</v>
      </c>
      <c r="DI743">
        <v>1</v>
      </c>
      <c r="DJ743">
        <v>1</v>
      </c>
      <c r="DK743">
        <v>1</v>
      </c>
      <c r="DL743">
        <v>1</v>
      </c>
      <c r="DM743">
        <v>0</v>
      </c>
      <c r="DN743">
        <f>SUM(DI743:DL743)</f>
        <v>4</v>
      </c>
      <c r="DO743" t="str">
        <f>IF(DN743=1,INDEX($DI$7:$DL$7,MATCH(1,$DI743:$DL743,0)),"mixedProduct")</f>
        <v>mixedProduct</v>
      </c>
      <c r="DP743" t="str">
        <f>IF(DI743=1,DP$7,0)</f>
        <v>Upstream</v>
      </c>
      <c r="DQ743" t="str">
        <f>IF(DJ743=1,DQ$7,0)</f>
        <v>Energy</v>
      </c>
      <c r="DR743" t="str">
        <f>IF(DK743=1,DR$7,0)</f>
        <v>Pulp/Paper</v>
      </c>
      <c r="DS743" t="str">
        <f>IF(DL743=1,DS$7,0)</f>
        <v>Timber</v>
      </c>
      <c r="DT743">
        <v>0</v>
      </c>
      <c r="DU743">
        <v>1</v>
      </c>
      <c r="DV743" t="s">
        <v>2196</v>
      </c>
      <c r="DW743" t="s">
        <v>2197</v>
      </c>
      <c r="DY743">
        <f>SUM(DT743:DU743)</f>
        <v>1</v>
      </c>
      <c r="DZ743" s="143" t="str">
        <f>IF(DT743=1,"self-calculated DF",IF(DU743=1,"external DF used","explicit C balance"))</f>
        <v>external DF used</v>
      </c>
      <c r="EA743">
        <v>1</v>
      </c>
      <c r="EB743">
        <v>1</v>
      </c>
      <c r="EC743">
        <v>1</v>
      </c>
      <c r="ED743">
        <v>1</v>
      </c>
      <c r="EE743">
        <v>1</v>
      </c>
      <c r="EF743" s="143">
        <v>1</v>
      </c>
      <c r="EG743">
        <v>1</v>
      </c>
      <c r="EH743">
        <v>1</v>
      </c>
      <c r="EI743">
        <v>0</v>
      </c>
      <c r="EJ743">
        <v>0</v>
      </c>
      <c r="EK743">
        <v>1</v>
      </c>
      <c r="EL743">
        <v>0</v>
      </c>
      <c r="EM743">
        <v>0</v>
      </c>
      <c r="EN743" s="2">
        <v>0</v>
      </c>
      <c r="EP743" t="str">
        <f>IF(AND(AND(AND(OR($EC743=1,$EB743=1),OR($EH743=1,$EF743=1)),SUM($EA743:$EE743,$EK743)&gt;=3),SUM($EF743:$EJ743)&gt;=2),"Whole sector approach","")</f>
        <v>Whole sector approach</v>
      </c>
      <c r="EQ743" t="str">
        <f>IF(AND(AND(OR($EC743=1,$EB743=1),AND($EH743=0,$EF743=0)),SUM($EA743:$EE743,$EK743)&gt;=4),"Ecosystem approach","")</f>
        <v/>
      </c>
      <c r="ER743" s="2" t="str">
        <f>IF(AND(AND(AND($EC743=0,$EB743=0),OR($EH743=1,$EF743=1)),SUM($EG743:$EJ743)&gt;=2),"Technology approach","")</f>
        <v/>
      </c>
      <c r="ES743" t="str">
        <f>IF(AND($EC743+$EB743+$EE743+$EA743+$ED743+$EG743=0,$N743="included"),"C neutral forest and HWP assumption","")</f>
        <v/>
      </c>
      <c r="ET743" t="str">
        <f>IF(AND(AND(AND(AND($EC743=1,$EB743+$EA743+$EG743&gt;=1),$EF743=1),$EH743+$EI743+$ED743+$EE743&gt;=2),$N743="included"),"All C pools assumption","")</f>
        <v>All C pools assumption</v>
      </c>
      <c r="EU743" t="str">
        <f>IF(AND($ED743+$EE743+$EI743+$EH743+$EF743=0,$N743="included"),"In-situ only assumption","")</f>
        <v/>
      </c>
      <c r="EV743" s="328" t="s">
        <v>5065</v>
      </c>
      <c r="EW743" t="s">
        <v>2198</v>
      </c>
      <c r="EY743" t="str">
        <f>IF(ISNUMBER(BW743),IF(ABS(BW743-[2]QC_indicators!$B$2)&gt;3*[2]QC_indicators!$C$2,"C ratio",IF(ISNUMBER(CA743),IF(ABS(CA743-[2]QC_indicators!$B$1)&gt;3*[2]QC_indicators!$C$1,"DF","no"))),IF(ISNUMBER(CA743),IF(ABS(CA743-[2]QC_indicators!$B$1)&gt;3*[2]QC_indicators!$C$1,"DF","no")))</f>
        <v>no</v>
      </c>
      <c r="FA743" t="str">
        <f>IF(LEN($CY743)=0,"",IF(AND($CY743&lt;(-0.05),$ES743="C neutral forest and HWP assumption"),"Cneutral paradox",IF(AND($CY743&gt;0.05,$EU743="In-situ only assumption"),"In-situ only paradox","")))</f>
        <v/>
      </c>
      <c r="FD743" s="260" t="s">
        <v>2929</v>
      </c>
    </row>
    <row r="744" spans="1:160" ht="15" hidden="1" customHeight="1">
      <c r="A744" s="1" t="s">
        <v>1654</v>
      </c>
      <c r="B744" t="s">
        <v>2188</v>
      </c>
      <c r="C744" t="s">
        <v>2189</v>
      </c>
      <c r="D744" t="s">
        <v>2190</v>
      </c>
      <c r="E744" t="s">
        <v>2191</v>
      </c>
      <c r="F744" t="s">
        <v>2192</v>
      </c>
      <c r="G744" t="s">
        <v>1660</v>
      </c>
      <c r="H744" t="s">
        <v>254</v>
      </c>
      <c r="I744">
        <v>2010</v>
      </c>
      <c r="J744">
        <v>100</v>
      </c>
      <c r="K744" t="s">
        <v>2193</v>
      </c>
      <c r="M744" t="str">
        <f>LEFT($D744,FIND(",",$D744)-1)&amp;"_"&amp;I744&amp;L744</f>
        <v>Werner_2010</v>
      </c>
      <c r="N744" t="s">
        <v>222</v>
      </c>
      <c r="O744" s="145" t="s">
        <v>1029</v>
      </c>
      <c r="Q744" t="s">
        <v>256</v>
      </c>
      <c r="R744" s="258" t="s">
        <v>223</v>
      </c>
      <c r="S744" s="1" t="s">
        <v>2194</v>
      </c>
      <c r="T744" t="s">
        <v>2195</v>
      </c>
      <c r="U744" t="s">
        <v>2199</v>
      </c>
      <c r="V744" s="334">
        <v>1</v>
      </c>
      <c r="W744">
        <v>0</v>
      </c>
      <c r="X744">
        <v>1</v>
      </c>
      <c r="Y744">
        <v>0</v>
      </c>
      <c r="Z744">
        <v>2</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s="141">
        <f>COUNTIF(X744:AY744,"&lt;&gt;0")</f>
        <v>2</v>
      </c>
      <c r="BA744" s="141">
        <f>COUNTIF(X744:AN744,"&lt;&gt;0")</f>
        <v>2</v>
      </c>
      <c r="BB744">
        <f>COUNTIF(X744:AE744,"&lt;&gt;0")</f>
        <v>2</v>
      </c>
      <c r="BC744">
        <f>COUNTIF(AF744:AK744,"&lt;&gt;0")</f>
        <v>0</v>
      </c>
      <c r="BD744">
        <f>COUNTIF(AL744:AN744,"&lt;&gt;0")</f>
        <v>0</v>
      </c>
      <c r="BE744">
        <f>COUNTIF(AU744:AY744,"&lt;&gt;0")</f>
        <v>0</v>
      </c>
      <c r="BF744">
        <f>COUNTIF(AO744:AT744,"&lt;&gt;0")</f>
        <v>0</v>
      </c>
      <c r="BG744" t="str">
        <f t="array" ref="BG744">IF(BA744=1,INDEX($X$7:$AN$7,MATCH(TRUE,INDEX($X744:$AY744&lt;&gt;0,),0)),IF(BA744=0,INDEX($AO$7:$AY$7,MATCH(1,$AO744:$AY744,0)),IF(BH744="Multiple strategies","mixed drivers",IF(BH744="Supply chain","multiple supply","multiple silviculture"))))</f>
        <v>multiple silviculture</v>
      </c>
      <c r="BH744" s="2" t="str" cm="1">
        <f t="array" ref="BH744">IF(COUNTIF(BB744:BD744,"&lt;&gt;0")=1,INDEX($X$4:$AY$4,MATCH(TRUE,INDEX($X744:$AY744&lt;&gt;0,),0)),IF(COUNTIF(BB744:BD744,"&lt;&gt;0")=0,INDEX($AO$4:$AY$4,MATCH(1,$AO744:$AY744,0)),"Multiple strategies"))</f>
        <v>Silviculture for removals</v>
      </c>
      <c r="BI744" s="1" t="s">
        <v>321</v>
      </c>
      <c r="BJ744" t="s">
        <v>2166</v>
      </c>
      <c r="BK744" s="260" t="s">
        <v>2927</v>
      </c>
      <c r="BL744" t="s">
        <v>1197</v>
      </c>
      <c r="BM744">
        <v>120</v>
      </c>
      <c r="BN744">
        <v>202.5</v>
      </c>
      <c r="BO744" s="143">
        <f>BN744/BM744</f>
        <v>1.6875</v>
      </c>
      <c r="BP744">
        <f>BN744-BM744</f>
        <v>82.5</v>
      </c>
      <c r="BQ744">
        <f>BP744*10^6</f>
        <v>82500000</v>
      </c>
      <c r="BR744" t="s">
        <v>232</v>
      </c>
      <c r="BS744" s="153" t="s">
        <v>2928</v>
      </c>
      <c r="BT744" t="s">
        <v>2069</v>
      </c>
      <c r="BU744">
        <v>370.31517322497803</v>
      </c>
      <c r="BV744">
        <v>319.65087681779301</v>
      </c>
      <c r="BW744" s="144">
        <f>IFERROR(BV744/BU744,"")</f>
        <v>0.86318600999801631</v>
      </c>
      <c r="BX744" s="144">
        <f>BV744-BU744</f>
        <v>-50.66429640718502</v>
      </c>
      <c r="BY744" s="144"/>
      <c r="BZ744">
        <f>BX744*10^6</f>
        <v>-50664296.407185018</v>
      </c>
      <c r="CA744">
        <f>IFERROR(BZ744/BQ744,"")</f>
        <v>-0.61411268372345473</v>
      </c>
      <c r="CB744">
        <v>0</v>
      </c>
      <c r="CC744">
        <v>0</v>
      </c>
      <c r="CD744">
        <v>0</v>
      </c>
      <c r="CE744">
        <v>0</v>
      </c>
      <c r="CF744">
        <v>0</v>
      </c>
      <c r="CG744">
        <v>0</v>
      </c>
      <c r="CH744">
        <v>0</v>
      </c>
      <c r="CI744">
        <v>0</v>
      </c>
      <c r="CJ744">
        <v>0</v>
      </c>
      <c r="CK744">
        <v>0</v>
      </c>
      <c r="CL744">
        <v>0</v>
      </c>
      <c r="CM744">
        <v>0</v>
      </c>
      <c r="CN744">
        <v>0</v>
      </c>
      <c r="CO744">
        <v>1</v>
      </c>
      <c r="CP744" t="str">
        <f>IF($BN744&lt;$BM744,"refNeedCorrection","refOK")</f>
        <v>refOK</v>
      </c>
      <c r="CQ744">
        <f>IF($CP744="refOK",$BM744,$BN744)</f>
        <v>120</v>
      </c>
      <c r="CR744">
        <f>IF($CP744="refOK",$BN744,$BM744)</f>
        <v>202.5</v>
      </c>
      <c r="CS744">
        <f>IF($CP744="refOK",$BQ744,-$BQ744)</f>
        <v>82500000</v>
      </c>
      <c r="CT744">
        <f>IF(BI744="Roundwood",$CS744/2,$CS744)</f>
        <v>41250000</v>
      </c>
      <c r="CU744">
        <f>IF($CP744="refOK",$BU744,$BV744)*IF($BR744="Emissions positive",-1,1)</f>
        <v>370.31517322497803</v>
      </c>
      <c r="CV744">
        <f>IF($CP744="refOK",$BV744,$BU744)*IF($BR744="Emissions positive",-1,1)</f>
        <v>319.65087681779301</v>
      </c>
      <c r="CW744">
        <f>IF($CP744="refNeedCorrection",-BZ744,BZ744)*IF($BR744="Emissions positive",-1,1)</f>
        <v>-50664296.407185018</v>
      </c>
      <c r="CX744">
        <f>IFERROR($CW744/$CS744,"")</f>
        <v>-0.61411268372345473</v>
      </c>
      <c r="CY744">
        <f>IFERROR($CW744/$CS744,"")</f>
        <v>-0.61411268372345473</v>
      </c>
      <c r="CZ744">
        <f>IFERROR($CW744/$CT744,"")</f>
        <v>-1.2282253674469095</v>
      </c>
      <c r="DA744" s="2">
        <f>IFERROR((CV744-CU744)/ABS(CU744),"")</f>
        <v>-0.13681399000198374</v>
      </c>
      <c r="DB744" s="1" t="s">
        <v>1078</v>
      </c>
      <c r="DC744" t="str">
        <f>IF(OR($DB744="prd",$DB744="std",$DB744="cit"),"loc",IF(OR($DB744="eur",$DB744="reg",$DB744="coy"),"reg",$DB744))</f>
        <v>reg</v>
      </c>
      <c r="DD744" t="s">
        <v>626</v>
      </c>
      <c r="DE744">
        <v>2000</v>
      </c>
      <c r="DF744">
        <v>2030</v>
      </c>
      <c r="DG744">
        <f>DF744-DE744</f>
        <v>30</v>
      </c>
      <c r="DH744" t="str">
        <f>IF(DG744=0,"0",IF(AND(DG744&gt;=1,DG744&lt;=30),"1-30",IF(AND(DG744&gt;30,DG744&lt;=70),"31-70",IF(AND(DG744&gt;70,DG744&lt;=100),"71-100",IF(DG744&gt;100,"+100")))))</f>
        <v>1-30</v>
      </c>
      <c r="DI744">
        <v>1</v>
      </c>
      <c r="DJ744">
        <v>1</v>
      </c>
      <c r="DK744">
        <v>1</v>
      </c>
      <c r="DL744">
        <v>1</v>
      </c>
      <c r="DM744">
        <v>0</v>
      </c>
      <c r="DN744">
        <f>SUM(DI744:DL744)</f>
        <v>4</v>
      </c>
      <c r="DO744" t="str">
        <f>IF(DN744=1,INDEX($DI$7:$DL$7,MATCH(1,$DI744:$DL744,0)),"mixedProduct")</f>
        <v>mixedProduct</v>
      </c>
      <c r="DP744" t="str">
        <f>IF(DI744=1,DP$7,0)</f>
        <v>Upstream</v>
      </c>
      <c r="DQ744" t="str">
        <f>IF(DJ744=1,DQ$7,0)</f>
        <v>Energy</v>
      </c>
      <c r="DR744" t="str">
        <f>IF(DK744=1,DR$7,0)</f>
        <v>Pulp/Paper</v>
      </c>
      <c r="DS744" t="str">
        <f>IF(DL744=1,DS$7,0)</f>
        <v>Timber</v>
      </c>
      <c r="DT744">
        <v>0</v>
      </c>
      <c r="DU744">
        <v>1</v>
      </c>
      <c r="DV744" t="s">
        <v>2196</v>
      </c>
      <c r="DW744" t="s">
        <v>2197</v>
      </c>
      <c r="DY744">
        <f>SUM(DT744:DU744)</f>
        <v>1</v>
      </c>
      <c r="DZ744" s="143" t="str">
        <f>IF(DT744=1,"self-calculated DF",IF(DU744=1,"external DF used","explicit C balance"))</f>
        <v>external DF used</v>
      </c>
      <c r="EA744">
        <v>1</v>
      </c>
      <c r="EB744">
        <v>1</v>
      </c>
      <c r="EC744">
        <v>1</v>
      </c>
      <c r="ED744">
        <v>1</v>
      </c>
      <c r="EE744">
        <v>1</v>
      </c>
      <c r="EF744" s="143">
        <v>1</v>
      </c>
      <c r="EG744">
        <v>1</v>
      </c>
      <c r="EH744">
        <v>1</v>
      </c>
      <c r="EI744">
        <v>0</v>
      </c>
      <c r="EJ744">
        <v>0</v>
      </c>
      <c r="EK744">
        <v>1</v>
      </c>
      <c r="EL744">
        <v>0</v>
      </c>
      <c r="EM744">
        <v>0</v>
      </c>
      <c r="EN744" s="2">
        <v>0</v>
      </c>
      <c r="EP744" t="str">
        <f>IF(AND(AND(AND(OR($EC744=1,$EB744=1),OR($EH744=1,$EF744=1)),SUM($EA744:$EE744,$EK744)&gt;=3),SUM($EF744:$EJ744)&gt;=2),"Whole sector approach","")</f>
        <v>Whole sector approach</v>
      </c>
      <c r="EQ744" t="str">
        <f>IF(AND(AND(OR($EC744=1,$EB744=1),AND($EH744=0,$EF744=0)),SUM($EA744:$EE744,$EK744)&gt;=4),"Ecosystem approach","")</f>
        <v/>
      </c>
      <c r="ER744" s="2" t="str">
        <f>IF(AND(AND(AND($EC744=0,$EB744=0),OR($EH744=1,$EF744=1)),SUM($EG744:$EJ744)&gt;=2),"Technology approach","")</f>
        <v/>
      </c>
      <c r="ES744" t="str">
        <f>IF(AND($EC744+$EB744+$EE744+$EA744+$ED744+$EG744=0,$N744="included"),"C neutral forest and HWP assumption","")</f>
        <v/>
      </c>
      <c r="ET744" t="str">
        <f>IF(AND(AND(AND(AND($EC744=1,$EB744+$EA744+$EG744&gt;=1),$EF744=1),$EH744+$EI744+$ED744+$EE744&gt;=2),$N744="included"),"All C pools assumption","")</f>
        <v>All C pools assumption</v>
      </c>
      <c r="EU744" t="str">
        <f>IF(AND($ED744+$EE744+$EI744+$EH744+$EF744=0,$N744="included"),"In-situ only assumption","")</f>
        <v/>
      </c>
      <c r="EV744" s="328" t="s">
        <v>5065</v>
      </c>
      <c r="EW744" t="s">
        <v>2198</v>
      </c>
      <c r="EY744" t="str">
        <f>IF(ISNUMBER(BW744),IF(ABS(BW744-[2]QC_indicators!$B$2)&gt;3*[2]QC_indicators!$C$2,"C ratio",IF(ISNUMBER(CA744),IF(ABS(CA744-[2]QC_indicators!$B$1)&gt;3*[2]QC_indicators!$C$1,"DF","no"))),IF(ISNUMBER(CA744),IF(ABS(CA744-[2]QC_indicators!$B$1)&gt;3*[2]QC_indicators!$C$1,"DF","no")))</f>
        <v>no</v>
      </c>
      <c r="FA744" t="str">
        <f>IF(LEN($CY744)=0,"",IF(AND($CY744&lt;(-0.05),$ES744="C neutral forest and HWP assumption"),"Cneutral paradox",IF(AND($CY744&gt;0.05,$EU744="In-situ only assumption"),"In-situ only paradox","")))</f>
        <v/>
      </c>
      <c r="FD744" s="260" t="s">
        <v>2929</v>
      </c>
    </row>
    <row r="745" spans="1:160" ht="15" hidden="1" customHeight="1">
      <c r="A745" s="1" t="s">
        <v>1654</v>
      </c>
      <c r="B745" t="s">
        <v>2188</v>
      </c>
      <c r="C745" t="s">
        <v>2189</v>
      </c>
      <c r="D745" t="s">
        <v>2190</v>
      </c>
      <c r="E745" t="s">
        <v>2191</v>
      </c>
      <c r="F745" t="s">
        <v>2192</v>
      </c>
      <c r="G745" t="s">
        <v>1660</v>
      </c>
      <c r="H745" t="s">
        <v>254</v>
      </c>
      <c r="I745">
        <v>2010</v>
      </c>
      <c r="J745">
        <v>100</v>
      </c>
      <c r="K745" t="s">
        <v>2193</v>
      </c>
      <c r="M745" t="str">
        <f>LEFT($D745,FIND(",",$D745)-1)&amp;"_"&amp;I745&amp;L745</f>
        <v>Werner_2010</v>
      </c>
      <c r="N745" t="s">
        <v>222</v>
      </c>
      <c r="O745" s="145" t="s">
        <v>1029</v>
      </c>
      <c r="Q745" t="s">
        <v>256</v>
      </c>
      <c r="R745" s="258" t="s">
        <v>223</v>
      </c>
      <c r="S745" s="1" t="s">
        <v>2194</v>
      </c>
      <c r="T745" t="s">
        <v>2195</v>
      </c>
      <c r="U745" t="s">
        <v>1030</v>
      </c>
      <c r="V745" s="334">
        <v>1</v>
      </c>
      <c r="W745">
        <v>0</v>
      </c>
      <c r="X745">
        <v>1</v>
      </c>
      <c r="Y745">
        <v>0</v>
      </c>
      <c r="Z745">
        <v>2</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s="141">
        <f>COUNTIF(X745:AY745,"&lt;&gt;0")</f>
        <v>2</v>
      </c>
      <c r="BA745" s="141">
        <f>COUNTIF(X745:AN745,"&lt;&gt;0")</f>
        <v>2</v>
      </c>
      <c r="BB745">
        <f>COUNTIF(X745:AE745,"&lt;&gt;0")</f>
        <v>2</v>
      </c>
      <c r="BC745">
        <f>COUNTIF(AF745:AK745,"&lt;&gt;0")</f>
        <v>0</v>
      </c>
      <c r="BD745">
        <f>COUNTIF(AL745:AN745,"&lt;&gt;0")</f>
        <v>0</v>
      </c>
      <c r="BE745">
        <f>COUNTIF(AU745:AY745,"&lt;&gt;0")</f>
        <v>0</v>
      </c>
      <c r="BF745">
        <f>COUNTIF(AO745:AT745,"&lt;&gt;0")</f>
        <v>0</v>
      </c>
      <c r="BG745" t="str">
        <f t="array" ref="BG745">IF(BA745=1,INDEX($X$7:$AN$7,MATCH(TRUE,INDEX($X745:$AY745&lt;&gt;0,),0)),IF(BA745=0,INDEX($AO$7:$AY$7,MATCH(1,$AO745:$AY745,0)),IF(BH745="Multiple strategies","mixed drivers",IF(BH745="Supply chain","multiple supply","multiple silviculture"))))</f>
        <v>multiple silviculture</v>
      </c>
      <c r="BH745" s="2" t="str" cm="1">
        <f t="array" ref="BH745">IF(COUNTIF(BB745:BD745,"&lt;&gt;0")=1,INDEX($X$4:$AY$4,MATCH(TRUE,INDEX($X745:$AY745&lt;&gt;0,),0)),IF(COUNTIF(BB745:BD745,"&lt;&gt;0")=0,INDEX($AO$4:$AY$4,MATCH(1,$AO745:$AY745,0)),"Multiple strategies"))</f>
        <v>Silviculture for removals</v>
      </c>
      <c r="BI745" s="1" t="s">
        <v>321</v>
      </c>
      <c r="BJ745" t="s">
        <v>2166</v>
      </c>
      <c r="BK745" s="260" t="s">
        <v>2927</v>
      </c>
      <c r="BL745" t="s">
        <v>1197</v>
      </c>
      <c r="BM745">
        <v>210</v>
      </c>
      <c r="BN745">
        <v>340.5</v>
      </c>
      <c r="BO745" s="143">
        <f>BN745/BM745</f>
        <v>1.6214285714285714</v>
      </c>
      <c r="BP745">
        <f>BN745-BM745</f>
        <v>130.5</v>
      </c>
      <c r="BQ745">
        <f>BP745*1000000</f>
        <v>130500000</v>
      </c>
      <c r="BR745" t="s">
        <v>232</v>
      </c>
      <c r="BS745" s="153" t="s">
        <v>2928</v>
      </c>
      <c r="BT745" t="s">
        <v>2069</v>
      </c>
      <c r="BU745">
        <v>644.05341103507203</v>
      </c>
      <c r="BV745">
        <v>516.00593455945204</v>
      </c>
      <c r="BW745" s="144">
        <f>IFERROR(BV745/BU745,"")</f>
        <v>0.8011850037874465</v>
      </c>
      <c r="BX745" s="144">
        <f>BV745-BU745</f>
        <v>-128.04747647561999</v>
      </c>
      <c r="BY745" s="144"/>
      <c r="BZ745">
        <f>BX745*10^6</f>
        <v>-128047476.47561999</v>
      </c>
      <c r="CA745">
        <f>IFERROR(BZ745/BQ745,"")</f>
        <v>-0.98120671628827572</v>
      </c>
      <c r="CB745">
        <v>0</v>
      </c>
      <c r="CC745">
        <v>0</v>
      </c>
      <c r="CD745">
        <v>0</v>
      </c>
      <c r="CE745">
        <v>0</v>
      </c>
      <c r="CF745">
        <v>0</v>
      </c>
      <c r="CG745">
        <v>0</v>
      </c>
      <c r="CH745">
        <v>0</v>
      </c>
      <c r="CI745">
        <v>0</v>
      </c>
      <c r="CJ745">
        <v>0</v>
      </c>
      <c r="CK745">
        <v>0</v>
      </c>
      <c r="CL745">
        <v>0</v>
      </c>
      <c r="CM745">
        <v>0</v>
      </c>
      <c r="CN745">
        <v>0</v>
      </c>
      <c r="CO745">
        <v>1</v>
      </c>
      <c r="CP745" t="str">
        <f>IF($BN745&lt;$BM745,"refNeedCorrection","refOK")</f>
        <v>refOK</v>
      </c>
      <c r="CQ745">
        <f>IF($CP745="refOK",$BM745,$BN745)</f>
        <v>210</v>
      </c>
      <c r="CR745">
        <f>IF($CP745="refOK",$BN745,$BM745)</f>
        <v>340.5</v>
      </c>
      <c r="CS745">
        <f>IF($CP745="refOK",$BQ745,-$BQ745)</f>
        <v>130500000</v>
      </c>
      <c r="CT745">
        <f>IF(BI745="Roundwood",$CS745/2,$CS745)</f>
        <v>65250000</v>
      </c>
      <c r="CU745">
        <f>IF($CP745="refOK",$BU745,$BV745)*IF($BR745="Emissions positive",-1,1)</f>
        <v>644.05341103507203</v>
      </c>
      <c r="CV745">
        <f>IF($CP745="refOK",$BV745,$BU745)*IF($BR745="Emissions positive",-1,1)</f>
        <v>516.00593455945204</v>
      </c>
      <c r="CW745">
        <f>IF($CP745="refNeedCorrection",-BZ745,BZ745)*IF($BR745="Emissions positive",-1,1)</f>
        <v>-128047476.47561999</v>
      </c>
      <c r="CX745">
        <f>IFERROR($CW745/$CS745,"")</f>
        <v>-0.98120671628827572</v>
      </c>
      <c r="CY745">
        <f>IFERROR($CW745/$CS745,"")</f>
        <v>-0.98120671628827572</v>
      </c>
      <c r="CZ745">
        <f>IFERROR($CW745/$CT745,"")</f>
        <v>-1.9624134325765514</v>
      </c>
      <c r="DA745" s="2">
        <f>IFERROR((CV745-CU745)/ABS(CU745),"")</f>
        <v>-0.19881499621255347</v>
      </c>
      <c r="DB745" s="1" t="s">
        <v>1078</v>
      </c>
      <c r="DC745" t="str">
        <f>IF(OR($DB745="prd",$DB745="std",$DB745="cit"),"loc",IF(OR($DB745="eur",$DB745="reg",$DB745="coy"),"reg",$DB745))</f>
        <v>reg</v>
      </c>
      <c r="DD745" t="s">
        <v>626</v>
      </c>
      <c r="DE745">
        <v>2000</v>
      </c>
      <c r="DF745">
        <v>2060</v>
      </c>
      <c r="DG745">
        <f>DF745-DE745</f>
        <v>60</v>
      </c>
      <c r="DH745" t="str">
        <f>IF(DG745=0,"0",IF(AND(DG745&gt;=1,DG745&lt;=30),"1-30",IF(AND(DG745&gt;30,DG745&lt;=70),"31-70",IF(AND(DG745&gt;70,DG745&lt;=100),"71-100",IF(DG745&gt;100,"+100")))))</f>
        <v>31-70</v>
      </c>
      <c r="DI745">
        <v>1</v>
      </c>
      <c r="DJ745">
        <v>1</v>
      </c>
      <c r="DK745">
        <v>1</v>
      </c>
      <c r="DL745">
        <v>1</v>
      </c>
      <c r="DM745">
        <v>0</v>
      </c>
      <c r="DN745">
        <f>SUM(DI745:DL745)</f>
        <v>4</v>
      </c>
      <c r="DO745" t="str">
        <f>IF(DN745=1,INDEX($DI$7:$DL$7,MATCH(1,$DI745:$DL745,0)),"mixedProduct")</f>
        <v>mixedProduct</v>
      </c>
      <c r="DP745" t="str">
        <f>IF(DI745=1,DP$7,0)</f>
        <v>Upstream</v>
      </c>
      <c r="DQ745" t="str">
        <f>IF(DJ745=1,DQ$7,0)</f>
        <v>Energy</v>
      </c>
      <c r="DR745" t="str">
        <f>IF(DK745=1,DR$7,0)</f>
        <v>Pulp/Paper</v>
      </c>
      <c r="DS745" t="str">
        <f>IF(DL745=1,DS$7,0)</f>
        <v>Timber</v>
      </c>
      <c r="DT745">
        <v>0</v>
      </c>
      <c r="DU745">
        <v>1</v>
      </c>
      <c r="DV745" t="s">
        <v>2196</v>
      </c>
      <c r="DW745" t="s">
        <v>2197</v>
      </c>
      <c r="DY745">
        <f>SUM(DT745:DU745)</f>
        <v>1</v>
      </c>
      <c r="DZ745" s="143" t="str">
        <f>IF(DT745=1,"self-calculated DF",IF(DU745=1,"external DF used","explicit C balance"))</f>
        <v>external DF used</v>
      </c>
      <c r="EA745">
        <v>1</v>
      </c>
      <c r="EB745">
        <v>1</v>
      </c>
      <c r="EC745">
        <v>1</v>
      </c>
      <c r="ED745">
        <v>1</v>
      </c>
      <c r="EE745">
        <v>1</v>
      </c>
      <c r="EF745" s="143">
        <v>1</v>
      </c>
      <c r="EG745">
        <v>1</v>
      </c>
      <c r="EH745">
        <v>1</v>
      </c>
      <c r="EI745">
        <v>0</v>
      </c>
      <c r="EJ745">
        <v>0</v>
      </c>
      <c r="EK745">
        <v>1</v>
      </c>
      <c r="EL745">
        <v>0</v>
      </c>
      <c r="EM745">
        <v>0</v>
      </c>
      <c r="EN745" s="2">
        <v>0</v>
      </c>
      <c r="EP745" t="str">
        <f>IF(AND(AND(AND(OR($EC745=1,$EB745=1),OR($EH745=1,$EF745=1)),SUM($EA745:$EE745,$EK745)&gt;=3),SUM($EF745:$EJ745)&gt;=2),"Whole sector approach","")</f>
        <v>Whole sector approach</v>
      </c>
      <c r="EQ745" t="str">
        <f>IF(AND(AND(OR($EC745=1,$EB745=1),AND($EH745=0,$EF745=0)),SUM($EA745:$EE745,$EK745)&gt;=4),"Ecosystem approach","")</f>
        <v/>
      </c>
      <c r="ER745" s="2" t="str">
        <f>IF(AND(AND(AND($EC745=0,$EB745=0),OR($EH745=1,$EF745=1)),SUM($EG745:$EJ745)&gt;=2),"Technology approach","")</f>
        <v/>
      </c>
      <c r="ES745" t="str">
        <f>IF(AND($EC745+$EB745+$EE745+$EA745+$ED745+$EG745=0,$N745="included"),"C neutral forest and HWP assumption","")</f>
        <v/>
      </c>
      <c r="ET745" t="str">
        <f>IF(AND(AND(AND(AND($EC745=1,$EB745+$EA745+$EG745&gt;=1),$EF745=1),$EH745+$EI745+$ED745+$EE745&gt;=2),$N745="included"),"All C pools assumption","")</f>
        <v>All C pools assumption</v>
      </c>
      <c r="EU745" t="str">
        <f>IF(AND($ED745+$EE745+$EI745+$EH745+$EF745=0,$N745="included"),"In-situ only assumption","")</f>
        <v/>
      </c>
      <c r="EV745" s="328" t="s">
        <v>5065</v>
      </c>
      <c r="EW745" t="s">
        <v>2198</v>
      </c>
      <c r="EY745" t="str">
        <f>IF(ISNUMBER(BW745),IF(ABS(BW745-[2]QC_indicators!$B$2)&gt;3*[2]QC_indicators!$C$2,"C ratio",IF(ISNUMBER(CA745),IF(ABS(CA745-[2]QC_indicators!$B$1)&gt;3*[2]QC_indicators!$C$1,"DF","no"))),IF(ISNUMBER(CA745),IF(ABS(CA745-[2]QC_indicators!$B$1)&gt;3*[2]QC_indicators!$C$1,"DF","no")))</f>
        <v>no</v>
      </c>
      <c r="FA745" t="str">
        <f>IF(LEN($CY745)=0,"",IF(AND($CY745&lt;(-0.05),$ES745="C neutral forest and HWP assumption"),"Cneutral paradox",IF(AND($CY745&gt;0.05,$EU745="In-situ only assumption"),"In-situ only paradox","")))</f>
        <v/>
      </c>
      <c r="FD745" s="260" t="s">
        <v>2929</v>
      </c>
    </row>
    <row r="746" spans="1:160" ht="15" hidden="1" customHeight="1">
      <c r="A746" s="1" t="s">
        <v>1654</v>
      </c>
      <c r="B746" t="s">
        <v>2188</v>
      </c>
      <c r="C746" t="s">
        <v>2189</v>
      </c>
      <c r="D746" t="s">
        <v>2190</v>
      </c>
      <c r="E746" t="s">
        <v>2191</v>
      </c>
      <c r="F746" t="s">
        <v>2192</v>
      </c>
      <c r="G746" t="s">
        <v>1660</v>
      </c>
      <c r="H746" t="s">
        <v>254</v>
      </c>
      <c r="I746">
        <v>2010</v>
      </c>
      <c r="J746">
        <v>100</v>
      </c>
      <c r="K746" t="s">
        <v>2193</v>
      </c>
      <c r="M746" t="str">
        <f>LEFT($D746,FIND(",",$D746)-1)&amp;"_"&amp;I746&amp;L746</f>
        <v>Werner_2010</v>
      </c>
      <c r="N746" t="s">
        <v>222</v>
      </c>
      <c r="O746" s="145" t="s">
        <v>1029</v>
      </c>
      <c r="Q746" t="s">
        <v>256</v>
      </c>
      <c r="R746" s="258" t="s">
        <v>223</v>
      </c>
      <c r="S746" s="1" t="s">
        <v>2194</v>
      </c>
      <c r="T746" t="s">
        <v>2195</v>
      </c>
      <c r="U746" t="s">
        <v>1030</v>
      </c>
      <c r="V746" s="334">
        <v>1</v>
      </c>
      <c r="W746">
        <v>0</v>
      </c>
      <c r="X746">
        <v>1</v>
      </c>
      <c r="Y746">
        <v>0</v>
      </c>
      <c r="Z746">
        <v>2</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s="141">
        <f>COUNTIF(X746:AY746,"&lt;&gt;0")</f>
        <v>2</v>
      </c>
      <c r="BA746" s="141">
        <f>COUNTIF(X746:AN746,"&lt;&gt;0")</f>
        <v>2</v>
      </c>
      <c r="BB746">
        <f>COUNTIF(X746:AE746,"&lt;&gt;0")</f>
        <v>2</v>
      </c>
      <c r="BC746">
        <f>COUNTIF(AF746:AK746,"&lt;&gt;0")</f>
        <v>0</v>
      </c>
      <c r="BD746">
        <f>COUNTIF(AL746:AN746,"&lt;&gt;0")</f>
        <v>0</v>
      </c>
      <c r="BE746">
        <f>COUNTIF(AU746:AY746,"&lt;&gt;0")</f>
        <v>0</v>
      </c>
      <c r="BF746">
        <f>COUNTIF(AO746:AT746,"&lt;&gt;0")</f>
        <v>0</v>
      </c>
      <c r="BG746" t="str">
        <f t="array" ref="BG746">IF(BA746=1,INDEX($X$7:$AN$7,MATCH(TRUE,INDEX($X746:$AY746&lt;&gt;0,),0)),IF(BA746=0,INDEX($AO$7:$AY$7,MATCH(1,$AO746:$AY746,0)),IF(BH746="Multiple strategies","mixed drivers",IF(BH746="Supply chain","multiple supply","multiple silviculture"))))</f>
        <v>multiple silviculture</v>
      </c>
      <c r="BH746" s="2" t="str" cm="1">
        <f t="array" ref="BH746">IF(COUNTIF(BB746:BD746,"&lt;&gt;0")=1,INDEX($X$4:$AY$4,MATCH(TRUE,INDEX($X746:$AY746&lt;&gt;0,),0)),IF(COUNTIF(BB746:BD746,"&lt;&gt;0")=0,INDEX($AO$4:$AY$4,MATCH(1,$AO746:$AY746,0)),"Multiple strategies"))</f>
        <v>Silviculture for removals</v>
      </c>
      <c r="BI746" s="1" t="s">
        <v>321</v>
      </c>
      <c r="BJ746" t="s">
        <v>2166</v>
      </c>
      <c r="BK746" s="260" t="s">
        <v>2927</v>
      </c>
      <c r="BL746" t="s">
        <v>1197</v>
      </c>
      <c r="BM746">
        <v>120</v>
      </c>
      <c r="BN746">
        <v>163.5</v>
      </c>
      <c r="BO746" s="143">
        <f>BN746/BM746</f>
        <v>1.3625</v>
      </c>
      <c r="BP746">
        <f>BN746-BM746</f>
        <v>43.5</v>
      </c>
      <c r="BQ746">
        <f>BP746*10^6</f>
        <v>43500000</v>
      </c>
      <c r="BR746" t="s">
        <v>232</v>
      </c>
      <c r="BS746" s="153" t="s">
        <v>2928</v>
      </c>
      <c r="BT746" t="s">
        <v>2069</v>
      </c>
      <c r="BU746">
        <v>370.31517322497803</v>
      </c>
      <c r="BV746">
        <v>266.57399486740798</v>
      </c>
      <c r="BW746" s="144">
        <f>IFERROR(BV746/BU746,"")</f>
        <v>0.71985706809117422</v>
      </c>
      <c r="BX746" s="144">
        <f>BV746-BU746</f>
        <v>-103.74117835757005</v>
      </c>
      <c r="BY746" s="144"/>
      <c r="BZ746">
        <f>BX746*10^6</f>
        <v>-103741178.35757005</v>
      </c>
      <c r="CA746">
        <f>IFERROR(BZ746/BQ746,"")</f>
        <v>-2.3848546748866677</v>
      </c>
      <c r="CB746">
        <v>0</v>
      </c>
      <c r="CC746">
        <v>0</v>
      </c>
      <c r="CD746">
        <v>0</v>
      </c>
      <c r="CE746">
        <v>0</v>
      </c>
      <c r="CF746">
        <v>0</v>
      </c>
      <c r="CG746">
        <v>0</v>
      </c>
      <c r="CH746">
        <v>0</v>
      </c>
      <c r="CI746">
        <v>0</v>
      </c>
      <c r="CJ746">
        <v>0</v>
      </c>
      <c r="CK746">
        <v>0</v>
      </c>
      <c r="CL746">
        <v>0</v>
      </c>
      <c r="CM746">
        <v>0</v>
      </c>
      <c r="CN746">
        <v>0</v>
      </c>
      <c r="CO746">
        <v>1</v>
      </c>
      <c r="CP746" t="str">
        <f>IF($BN746&lt;$BM746,"refNeedCorrection","refOK")</f>
        <v>refOK</v>
      </c>
      <c r="CQ746">
        <f>IF($CP746="refOK",$BM746,$BN746)</f>
        <v>120</v>
      </c>
      <c r="CR746">
        <f>IF($CP746="refOK",$BN746,$BM746)</f>
        <v>163.5</v>
      </c>
      <c r="CS746">
        <f>IF($CP746="refOK",$BQ746,-$BQ746)</f>
        <v>43500000</v>
      </c>
      <c r="CT746">
        <f>IF(BI746="Roundwood",$CS746/2,$CS746)</f>
        <v>21750000</v>
      </c>
      <c r="CU746">
        <f>IF($CP746="refOK",$BU746,$BV746)*IF($BR746="Emissions positive",-1,1)</f>
        <v>370.31517322497803</v>
      </c>
      <c r="CV746">
        <f>IF($CP746="refOK",$BV746,$BU746)*IF($BR746="Emissions positive",-1,1)</f>
        <v>266.57399486740798</v>
      </c>
      <c r="CW746">
        <f>IF($CP746="refNeedCorrection",-BZ746,BZ746)*IF($BR746="Emissions positive",-1,1)</f>
        <v>-103741178.35757005</v>
      </c>
      <c r="CX746">
        <f>IFERROR($CW746/$CS746,"")</f>
        <v>-2.3848546748866677</v>
      </c>
      <c r="CY746">
        <f>IFERROR($CW746/$CS746,"")</f>
        <v>-2.3848546748866677</v>
      </c>
      <c r="CZ746">
        <f>IFERROR($CW746/$CT746,"")</f>
        <v>-4.7697093497733354</v>
      </c>
      <c r="DA746" s="2">
        <f>IFERROR((CV746-CU746)/ABS(CU746),"")</f>
        <v>-0.28014293190882578</v>
      </c>
      <c r="DB746" s="1" t="s">
        <v>1078</v>
      </c>
      <c r="DC746" t="str">
        <f>IF(OR($DB746="prd",$DB746="std",$DB746="cit"),"loc",IF(OR($DB746="eur",$DB746="reg",$DB746="coy"),"reg",$DB746))</f>
        <v>reg</v>
      </c>
      <c r="DD746" t="s">
        <v>626</v>
      </c>
      <c r="DE746">
        <v>2000</v>
      </c>
      <c r="DF746">
        <v>2030</v>
      </c>
      <c r="DG746">
        <f>DF746-DE746</f>
        <v>30</v>
      </c>
      <c r="DH746" t="str">
        <f>IF(DG746=0,"0",IF(AND(DG746&gt;=1,DG746&lt;=30),"1-30",IF(AND(DG746&gt;30,DG746&lt;=70),"31-70",IF(AND(DG746&gt;70,DG746&lt;=100),"71-100",IF(DG746&gt;100,"+100")))))</f>
        <v>1-30</v>
      </c>
      <c r="DI746">
        <v>1</v>
      </c>
      <c r="DJ746">
        <v>1</v>
      </c>
      <c r="DK746">
        <v>1</v>
      </c>
      <c r="DL746">
        <v>1</v>
      </c>
      <c r="DM746">
        <v>0</v>
      </c>
      <c r="DN746">
        <f>SUM(DI746:DL746)</f>
        <v>4</v>
      </c>
      <c r="DO746" t="str">
        <f>IF(DN746=1,INDEX($DI$7:$DL$7,MATCH(1,$DI746:$DL746,0)),"mixedProduct")</f>
        <v>mixedProduct</v>
      </c>
      <c r="DP746" t="str">
        <f>IF(DI746=1,DP$7,0)</f>
        <v>Upstream</v>
      </c>
      <c r="DQ746" t="str">
        <f>IF(DJ746=1,DQ$7,0)</f>
        <v>Energy</v>
      </c>
      <c r="DR746" t="str">
        <f>IF(DK746=1,DR$7,0)</f>
        <v>Pulp/Paper</v>
      </c>
      <c r="DS746" t="str">
        <f>IF(DL746=1,DS$7,0)</f>
        <v>Timber</v>
      </c>
      <c r="DT746">
        <v>0</v>
      </c>
      <c r="DU746">
        <v>1</v>
      </c>
      <c r="DV746" t="s">
        <v>2196</v>
      </c>
      <c r="DW746" t="s">
        <v>2197</v>
      </c>
      <c r="DY746">
        <f>SUM(DT746:DU746)</f>
        <v>1</v>
      </c>
      <c r="DZ746" s="143" t="str">
        <f>IF(DT746=1,"self-calculated DF",IF(DU746=1,"external DF used","explicit C balance"))</f>
        <v>external DF used</v>
      </c>
      <c r="EA746">
        <v>1</v>
      </c>
      <c r="EB746">
        <v>1</v>
      </c>
      <c r="EC746">
        <v>1</v>
      </c>
      <c r="ED746">
        <v>1</v>
      </c>
      <c r="EE746">
        <v>1</v>
      </c>
      <c r="EF746" s="143">
        <v>1</v>
      </c>
      <c r="EG746">
        <v>1</v>
      </c>
      <c r="EH746">
        <v>1</v>
      </c>
      <c r="EI746">
        <v>0</v>
      </c>
      <c r="EJ746">
        <v>0</v>
      </c>
      <c r="EK746">
        <v>1</v>
      </c>
      <c r="EL746">
        <v>0</v>
      </c>
      <c r="EM746">
        <v>0</v>
      </c>
      <c r="EN746" s="2">
        <v>0</v>
      </c>
      <c r="EP746" t="str">
        <f>IF(AND(AND(AND(OR($EC746=1,$EB746=1),OR($EH746=1,$EF746=1)),SUM($EA746:$EE746,$EK746)&gt;=3),SUM($EF746:$EJ746)&gt;=2),"Whole sector approach","")</f>
        <v>Whole sector approach</v>
      </c>
      <c r="EQ746" t="str">
        <f>IF(AND(AND(OR($EC746=1,$EB746=1),AND($EH746=0,$EF746=0)),SUM($EA746:$EE746,$EK746)&gt;=4),"Ecosystem approach","")</f>
        <v/>
      </c>
      <c r="ER746" s="2" t="str">
        <f>IF(AND(AND(AND($EC746=0,$EB746=0),OR($EH746=1,$EF746=1)),SUM($EG746:$EJ746)&gt;=2),"Technology approach","")</f>
        <v/>
      </c>
      <c r="ES746" t="str">
        <f>IF(AND($EC746+$EB746+$EE746+$EA746+$ED746+$EG746=0,$N746="included"),"C neutral forest and HWP assumption","")</f>
        <v/>
      </c>
      <c r="ET746" t="str">
        <f>IF(AND(AND(AND(AND($EC746=1,$EB746+$EA746+$EG746&gt;=1),$EF746=1),$EH746+$EI746+$ED746+$EE746&gt;=2),$N746="included"),"All C pools assumption","")</f>
        <v>All C pools assumption</v>
      </c>
      <c r="EU746" t="str">
        <f>IF(AND($ED746+$EE746+$EI746+$EH746+$EF746=0,$N746="included"),"In-situ only assumption","")</f>
        <v/>
      </c>
      <c r="EV746" s="328" t="s">
        <v>5065</v>
      </c>
      <c r="EW746" t="s">
        <v>2198</v>
      </c>
      <c r="EY746" t="str">
        <f>IF(ISNUMBER(BW746),IF(ABS(BW746-[2]QC_indicators!$B$2)&gt;3*[2]QC_indicators!$C$2,"C ratio",IF(ISNUMBER(CA746),IF(ABS(CA746-[2]QC_indicators!$B$1)&gt;3*[2]QC_indicators!$C$1,"DF","no"))),IF(ISNUMBER(CA746),IF(ABS(CA746-[2]QC_indicators!$B$1)&gt;3*[2]QC_indicators!$C$1,"DF","no")))</f>
        <v>no</v>
      </c>
      <c r="FA746" t="str">
        <f>IF(LEN($CY746)=0,"",IF(AND($CY746&lt;(-0.05),$ES746="C neutral forest and HWP assumption"),"Cneutral paradox",IF(AND($CY746&gt;0.05,$EU746="In-situ only assumption"),"In-situ only paradox","")))</f>
        <v/>
      </c>
      <c r="FD746" s="260" t="s">
        <v>2929</v>
      </c>
    </row>
    <row r="747" spans="1:160" ht="15" hidden="1" customHeight="1">
      <c r="A747" s="1" t="s">
        <v>1654</v>
      </c>
      <c r="B747" t="s">
        <v>2188</v>
      </c>
      <c r="C747" t="s">
        <v>2189</v>
      </c>
      <c r="D747" t="s">
        <v>2190</v>
      </c>
      <c r="E747" t="s">
        <v>2191</v>
      </c>
      <c r="F747" t="s">
        <v>2192</v>
      </c>
      <c r="G747" t="s">
        <v>1660</v>
      </c>
      <c r="H747" t="s">
        <v>254</v>
      </c>
      <c r="I747">
        <v>2010</v>
      </c>
      <c r="J747">
        <v>100</v>
      </c>
      <c r="K747" t="s">
        <v>2193</v>
      </c>
      <c r="M747" t="str">
        <f>LEFT($D747,FIND(",",$D747)-1)&amp;"_"&amp;I747&amp;L747</f>
        <v>Werner_2010</v>
      </c>
      <c r="N747" t="s">
        <v>222</v>
      </c>
      <c r="O747" s="145" t="s">
        <v>1029</v>
      </c>
      <c r="Q747" t="s">
        <v>256</v>
      </c>
      <c r="R747" s="258" t="s">
        <v>223</v>
      </c>
      <c r="S747" s="259" t="s">
        <v>2930</v>
      </c>
      <c r="T747" t="s">
        <v>2195</v>
      </c>
      <c r="U747" t="s">
        <v>2201</v>
      </c>
      <c r="V747">
        <v>1</v>
      </c>
      <c r="W747">
        <v>0</v>
      </c>
      <c r="X747">
        <v>2</v>
      </c>
      <c r="Y747">
        <v>0</v>
      </c>
      <c r="Z747">
        <v>1</v>
      </c>
      <c r="AA747">
        <v>2</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s="141">
        <f>COUNTIF(X747:AY747,"&lt;&gt;0")</f>
        <v>3</v>
      </c>
      <c r="BA747" s="141">
        <f>COUNTIF(X747:AN747,"&lt;&gt;0")</f>
        <v>3</v>
      </c>
      <c r="BB747">
        <f>COUNTIF(X747:AE747,"&lt;&gt;0")</f>
        <v>3</v>
      </c>
      <c r="BC747">
        <f>COUNTIF(AF747:AK747,"&lt;&gt;0")</f>
        <v>0</v>
      </c>
      <c r="BD747">
        <f>COUNTIF(AL747:AN747,"&lt;&gt;0")</f>
        <v>0</v>
      </c>
      <c r="BE747">
        <f>COUNTIF(AU747:AY747,"&lt;&gt;0")</f>
        <v>0</v>
      </c>
      <c r="BF747">
        <f>COUNTIF(AO747:AT747,"&lt;&gt;0")</f>
        <v>0</v>
      </c>
      <c r="BG747" t="str">
        <f t="array" ref="BG747">IF(BA747=1,INDEX($X$7:$AN$7,MATCH(TRUE,INDEX($X747:$AY747&lt;&gt;0,),0)),IF(BA747=0,INDEX($AO$7:$AY$7,MATCH(1,$AO747:$AY747,0)),IF(BH747="Multiple strategies","mixed drivers",IF(BH747="Supply chain","multiple supply","multiple silviculture"))))</f>
        <v>multiple silviculture</v>
      </c>
      <c r="BH747" s="2" t="str" cm="1">
        <f t="array" ref="BH747">IF(COUNTIF(BB747:BD747,"&lt;&gt;0")=1,INDEX($X$4:$AY$4,MATCH(TRUE,INDEX($X747:$AY747&lt;&gt;0,),0)),IF(COUNTIF(BB747:BD747,"&lt;&gt;0")=0,INDEX($AO$4:$AY$4,MATCH(1,$AO747:$AY747,0)),"Multiple strategies"))</f>
        <v>Silviculture for removals</v>
      </c>
      <c r="BI747" s="1" t="s">
        <v>321</v>
      </c>
      <c r="BJ747" t="s">
        <v>2166</v>
      </c>
      <c r="BK747" s="260" t="s">
        <v>2927</v>
      </c>
      <c r="BL747" t="s">
        <v>1197</v>
      </c>
      <c r="BM747">
        <v>300</v>
      </c>
      <c r="BN747">
        <v>765</v>
      </c>
      <c r="BO747" s="143">
        <f>BN747/BM747</f>
        <v>2.5499999999999998</v>
      </c>
      <c r="BP747">
        <f>BN747-BM747</f>
        <v>465</v>
      </c>
      <c r="BQ747">
        <f>BP747*10^6</f>
        <v>465000000</v>
      </c>
      <c r="BR747" t="s">
        <v>232</v>
      </c>
      <c r="BS747" s="153" t="s">
        <v>2928</v>
      </c>
      <c r="BT747" t="s">
        <v>2069</v>
      </c>
      <c r="BU747">
        <v>728.49390504704797</v>
      </c>
      <c r="BV747">
        <v>717.72749144568002</v>
      </c>
      <c r="BW747" s="144">
        <f>IFERROR(BV747/BU747,"")</f>
        <v>0.98522099700933996</v>
      </c>
      <c r="BX747" s="144">
        <f>BV747-BU747</f>
        <v>-10.766413601367958</v>
      </c>
      <c r="BY747" s="144"/>
      <c r="BZ747">
        <f>BX747*10^6</f>
        <v>-10766413.601367958</v>
      </c>
      <c r="CA747">
        <f>IFERROR(BZ747/BQ747,"")</f>
        <v>-2.3153577637350448E-2</v>
      </c>
      <c r="CB747">
        <v>0</v>
      </c>
      <c r="CC747">
        <v>0</v>
      </c>
      <c r="CD747">
        <v>0</v>
      </c>
      <c r="CE747">
        <v>0</v>
      </c>
      <c r="CF747">
        <v>0</v>
      </c>
      <c r="CG747">
        <v>0</v>
      </c>
      <c r="CH747">
        <v>0</v>
      </c>
      <c r="CI747">
        <v>0</v>
      </c>
      <c r="CJ747">
        <v>0</v>
      </c>
      <c r="CK747">
        <v>0</v>
      </c>
      <c r="CL747">
        <v>0</v>
      </c>
      <c r="CM747">
        <v>0</v>
      </c>
      <c r="CN747">
        <v>0</v>
      </c>
      <c r="CO747">
        <v>1</v>
      </c>
      <c r="CP747" t="str">
        <f>IF($BN747&lt;$BM747,"refNeedCorrection","refOK")</f>
        <v>refOK</v>
      </c>
      <c r="CQ747">
        <f>IF($CP747="refNeedCorrection",BN747,BM747)</f>
        <v>300</v>
      </c>
      <c r="CR747">
        <f>IF($CP747="refNeedCorrection",BM747,BN747)</f>
        <v>765</v>
      </c>
      <c r="CS747">
        <f>IF($CP747="refOK",$BQ747,-$BQ747)</f>
        <v>465000000</v>
      </c>
      <c r="CT747">
        <f>IF(BI747="Roundwood",$CS747/2,$CS747)</f>
        <v>232500000</v>
      </c>
      <c r="CU747">
        <f>IF($CP747="refOK",$BU747,$BV747)*IF($BR747="Emissions positive",-1,1)</f>
        <v>728.49390504704797</v>
      </c>
      <c r="CV747">
        <f>IF($CP747="refOK",$BV747,$BU747)*IF($BR747="Emissions positive",-1,1)</f>
        <v>717.72749144568002</v>
      </c>
      <c r="CW747">
        <f>IF($CP747="refNeedCorrection",-BZ747,BZ747)*IF($BR747="Emissions positive",-1,1)</f>
        <v>-10766413.601367958</v>
      </c>
      <c r="CX747">
        <f>IFERROR($CW747/$CS747,"")</f>
        <v>-2.3153577637350448E-2</v>
      </c>
      <c r="CY747">
        <f>IFERROR($CW747/$CS747,"")</f>
        <v>-2.3153577637350448E-2</v>
      </c>
      <c r="CZ747">
        <f>IFERROR($CW747/$CT747,"")</f>
        <v>-4.6307155274700897E-2</v>
      </c>
      <c r="DA747" s="2">
        <f>IFERROR((CV747-CU747)/ABS(CU747),"")</f>
        <v>-1.4779002990660074E-2</v>
      </c>
      <c r="DB747" s="1" t="s">
        <v>1078</v>
      </c>
      <c r="DC747" t="str">
        <f>IF(OR($DB747="prd",$DB747="std",$DB747="cit"),"loc",IF(OR($DB747="eur",$DB747="reg",$DB747="coy"),"reg",$DB747))</f>
        <v>reg</v>
      </c>
      <c r="DD747" t="s">
        <v>626</v>
      </c>
      <c r="DE747">
        <v>2000</v>
      </c>
      <c r="DF747">
        <v>2090</v>
      </c>
      <c r="DG747">
        <f>DF747-DE747</f>
        <v>90</v>
      </c>
      <c r="DH747" t="str">
        <f>IF(DG747=0,"0",IF(AND(DG747&gt;=1,DG747&lt;=30),"1-30",IF(AND(DG747&gt;30,DG747&lt;=70),"31-70",IF(AND(DG747&gt;70,DG747&lt;=100),"71-100",IF(DG747&gt;100,"+100")))))</f>
        <v>71-100</v>
      </c>
      <c r="DI747">
        <v>0</v>
      </c>
      <c r="DJ747">
        <v>1</v>
      </c>
      <c r="DK747">
        <v>0</v>
      </c>
      <c r="DL747">
        <v>0</v>
      </c>
      <c r="DM747">
        <v>0</v>
      </c>
      <c r="DN747">
        <f>SUM(DI747:DL747)</f>
        <v>1</v>
      </c>
      <c r="DO747" t="str">
        <f>IF(DN747=1,INDEX($DI$7:$DL$7,MATCH(1,$DI747:$DL747,0)),"mixedProduct")</f>
        <v>EnergyInput</v>
      </c>
      <c r="DP747">
        <f>IF(DI747=1,DP$7,0)</f>
        <v>0</v>
      </c>
      <c r="DQ747" t="str">
        <f>IF(DJ747=1,DQ$7,0)</f>
        <v>Energy</v>
      </c>
      <c r="DR747">
        <f>IF(DK747=1,DR$7,0)</f>
        <v>0</v>
      </c>
      <c r="DS747">
        <f>IF(DL747=1,DS$7,0)</f>
        <v>0</v>
      </c>
      <c r="DT747">
        <v>0</v>
      </c>
      <c r="DU747">
        <v>1</v>
      </c>
      <c r="DV747" t="s">
        <v>2196</v>
      </c>
      <c r="DW747" t="s">
        <v>2197</v>
      </c>
      <c r="DY747">
        <f>SUM(DT747:DU747)</f>
        <v>1</v>
      </c>
      <c r="DZ747" s="143" t="str">
        <f>IF(DT747=1,"self-calculated DF",IF(DU747=1,"external DF used","explicit C balance"))</f>
        <v>external DF used</v>
      </c>
      <c r="EA747">
        <v>1</v>
      </c>
      <c r="EB747">
        <v>1</v>
      </c>
      <c r="EC747">
        <v>1</v>
      </c>
      <c r="ED747">
        <v>1</v>
      </c>
      <c r="EE747">
        <v>1</v>
      </c>
      <c r="EF747" s="143">
        <v>1</v>
      </c>
      <c r="EG747">
        <v>1</v>
      </c>
      <c r="EH747">
        <v>1</v>
      </c>
      <c r="EI747">
        <v>0</v>
      </c>
      <c r="EJ747">
        <v>0</v>
      </c>
      <c r="EK747">
        <v>1</v>
      </c>
      <c r="EL747">
        <v>0</v>
      </c>
      <c r="EM747">
        <v>0</v>
      </c>
      <c r="EN747" s="2">
        <v>0</v>
      </c>
      <c r="EP747" t="str">
        <f>IF(AND(AND(AND(OR($EC747=1,$EB747=1),OR($EH747=1,$EF747=1)),SUM($EA747:$EE747,$EK747)&gt;=3),SUM($EF747:$EJ747)&gt;=2),"Whole sector approach","")</f>
        <v>Whole sector approach</v>
      </c>
      <c r="EQ747" t="str">
        <f>IF(AND(AND(OR($EC747=1,$EB747=1),AND($EH747=0,$EF747=0)),SUM($EA747:$EE747,$EK747)&gt;=4),"Ecosystem approach","")</f>
        <v/>
      </c>
      <c r="ER747" s="2" t="str">
        <f>IF(AND(AND(AND($EC747=0,$EB747=0),OR($EH747=1,$EF747=1)),SUM($EG747:$EJ747)&gt;=2),"Technology approach","")</f>
        <v/>
      </c>
      <c r="ES747" t="str">
        <f>IF(AND($EC747+$EB747+$EE747+$EA747+$ED747+$EG747=0,$N747="included"),"C neutral forest and HWP assumption","")</f>
        <v/>
      </c>
      <c r="ET747" t="str">
        <f>IF(AND(AND(AND(AND($EC747=1,$EB747+$EA747+$EG747&gt;=1),$EF747=1),$EH747+$EI747+$ED747+$EE747&gt;=2),$N747="included"),"All C pools assumption","")</f>
        <v>All C pools assumption</v>
      </c>
      <c r="EU747" t="str">
        <f>IF(AND($ED747+$EE747+$EI747+$EH747+$EF747=0,$N747="included"),"In-situ only assumption","")</f>
        <v/>
      </c>
      <c r="EV747" s="328" t="s">
        <v>5065</v>
      </c>
      <c r="EW747" t="s">
        <v>2198</v>
      </c>
      <c r="EY747" t="str">
        <f>IF(ISNUMBER(BW747),IF(ABS(BW747-[2]QC_indicators!$B$2)&gt;3*[2]QC_indicators!$C$2,"C ratio",IF(ISNUMBER(CA747),IF(ABS(CA747-[2]QC_indicators!$B$1)&gt;3*[2]QC_indicators!$C$1,"DF","no"))),IF(ISNUMBER(CA747),IF(ABS(CA747-[2]QC_indicators!$B$1)&gt;3*[2]QC_indicators!$C$1,"DF","no")))</f>
        <v>no</v>
      </c>
      <c r="FA747" t="str">
        <f>IF(LEN($CY747)=0,"",IF(AND($CY747&lt;(-0.05),$ES747="C neutral forest and HWP assumption"),"Cneutral paradox",IF(AND($CY747&gt;0.05,$EU747="In-situ only assumption"),"In-situ only paradox","")))</f>
        <v/>
      </c>
      <c r="FD747" s="260" t="s">
        <v>2929</v>
      </c>
    </row>
    <row r="748" spans="1:160" ht="15" hidden="1" customHeight="1">
      <c r="A748" s="1" t="s">
        <v>1654</v>
      </c>
      <c r="B748" t="s">
        <v>2188</v>
      </c>
      <c r="C748" t="s">
        <v>2189</v>
      </c>
      <c r="D748" t="s">
        <v>2190</v>
      </c>
      <c r="E748" t="s">
        <v>2191</v>
      </c>
      <c r="F748" t="s">
        <v>2192</v>
      </c>
      <c r="G748" t="s">
        <v>1660</v>
      </c>
      <c r="H748" t="s">
        <v>254</v>
      </c>
      <c r="I748">
        <v>2010</v>
      </c>
      <c r="J748">
        <v>100</v>
      </c>
      <c r="K748" t="s">
        <v>2193</v>
      </c>
      <c r="M748" t="str">
        <f>LEFT($D748,FIND(",",$D748)-1)&amp;"_"&amp;I748&amp;L748</f>
        <v>Werner_2010</v>
      </c>
      <c r="N748" t="s">
        <v>222</v>
      </c>
      <c r="O748" s="145" t="s">
        <v>1029</v>
      </c>
      <c r="Q748" t="s">
        <v>256</v>
      </c>
      <c r="R748" s="258" t="s">
        <v>223</v>
      </c>
      <c r="S748" s="259" t="s">
        <v>2930</v>
      </c>
      <c r="T748" t="s">
        <v>2195</v>
      </c>
      <c r="U748" t="s">
        <v>2201</v>
      </c>
      <c r="V748">
        <v>1</v>
      </c>
      <c r="W748">
        <v>0</v>
      </c>
      <c r="X748">
        <v>2</v>
      </c>
      <c r="Y748">
        <v>0</v>
      </c>
      <c r="Z748">
        <v>1</v>
      </c>
      <c r="AA748">
        <v>2</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s="141">
        <f>COUNTIF(X748:AY748,"&lt;&gt;0")</f>
        <v>3</v>
      </c>
      <c r="BA748" s="141">
        <f>COUNTIF(X748:AN748,"&lt;&gt;0")</f>
        <v>3</v>
      </c>
      <c r="BB748">
        <f>COUNTIF(X748:AE748,"&lt;&gt;0")</f>
        <v>3</v>
      </c>
      <c r="BC748">
        <f>COUNTIF(AF748:AK748,"&lt;&gt;0")</f>
        <v>0</v>
      </c>
      <c r="BD748">
        <f>COUNTIF(AL748:AN748,"&lt;&gt;0")</f>
        <v>0</v>
      </c>
      <c r="BE748">
        <f>COUNTIF(AU748:AY748,"&lt;&gt;0")</f>
        <v>0</v>
      </c>
      <c r="BF748">
        <f>COUNTIF(AO748:AT748,"&lt;&gt;0")</f>
        <v>0</v>
      </c>
      <c r="BG748" t="str">
        <f t="array" ref="BG748">IF(BA748=1,INDEX($X$7:$AN$7,MATCH(TRUE,INDEX($X748:$AY748&lt;&gt;0,),0)),IF(BA748=0,INDEX($AO$7:$AY$7,MATCH(1,$AO748:$AY748,0)),IF(BH748="Multiple strategies","mixed drivers",IF(BH748="Supply chain","multiple supply","multiple silviculture"))))</f>
        <v>multiple silviculture</v>
      </c>
      <c r="BH748" s="2" t="str" cm="1">
        <f t="array" ref="BH748">IF(COUNTIF(BB748:BD748,"&lt;&gt;0")=1,INDEX($X$4:$AY$4,MATCH(TRUE,INDEX($X748:$AY748&lt;&gt;0,),0)),IF(COUNTIF(BB748:BD748,"&lt;&gt;0")=0,INDEX($AO$4:$AY$4,MATCH(1,$AO748:$AY748,0)),"Multiple strategies"))</f>
        <v>Silviculture for removals</v>
      </c>
      <c r="BI748" s="1" t="s">
        <v>321</v>
      </c>
      <c r="BJ748" t="s">
        <v>2166</v>
      </c>
      <c r="BK748" s="260" t="s">
        <v>2927</v>
      </c>
      <c r="BL748" t="s">
        <v>1197</v>
      </c>
      <c r="BM748">
        <v>300</v>
      </c>
      <c r="BN748">
        <v>765</v>
      </c>
      <c r="BO748" s="143">
        <f>BN748/BM748</f>
        <v>2.5499999999999998</v>
      </c>
      <c r="BP748">
        <f>BN748-BM748</f>
        <v>465</v>
      </c>
      <c r="BQ748">
        <f>BP748*10^6</f>
        <v>465000000</v>
      </c>
      <c r="BR748" t="s">
        <v>232</v>
      </c>
      <c r="BS748" s="153" t="s">
        <v>2928</v>
      </c>
      <c r="BT748" t="s">
        <v>2069</v>
      </c>
      <c r="BU748">
        <v>345.6503741652154</v>
      </c>
      <c r="BV748">
        <v>69.739247716902497</v>
      </c>
      <c r="BW748" s="144">
        <f>IFERROR(BV748/BU748,"")</f>
        <v>0.20176239613606853</v>
      </c>
      <c r="BX748" s="144">
        <f>BV748-BU748</f>
        <v>-275.91112644831287</v>
      </c>
      <c r="BY748" s="144"/>
      <c r="BZ748">
        <f>BX748*10^6</f>
        <v>-275911126.44831288</v>
      </c>
      <c r="CA748">
        <f>IFERROR(BZ748/BQ748,"")</f>
        <v>-0.59335726117916743</v>
      </c>
      <c r="CB748">
        <v>0</v>
      </c>
      <c r="CC748">
        <v>0</v>
      </c>
      <c r="CD748">
        <v>0</v>
      </c>
      <c r="CE748">
        <v>0</v>
      </c>
      <c r="CF748">
        <v>0</v>
      </c>
      <c r="CG748">
        <v>0</v>
      </c>
      <c r="CH748">
        <v>0</v>
      </c>
      <c r="CI748">
        <v>0</v>
      </c>
      <c r="CJ748">
        <v>0</v>
      </c>
      <c r="CK748">
        <v>0</v>
      </c>
      <c r="CL748">
        <v>0</v>
      </c>
      <c r="CM748">
        <v>0</v>
      </c>
      <c r="CN748">
        <v>0</v>
      </c>
      <c r="CO748">
        <v>1</v>
      </c>
      <c r="CP748" t="str">
        <f>IF($BN748&lt;$BM748,"refNeedCorrection","refOK")</f>
        <v>refOK</v>
      </c>
      <c r="CQ748">
        <f>IF($CP748="refNeedCorrection",BN748,BM748)</f>
        <v>300</v>
      </c>
      <c r="CR748">
        <f>IF($CP748="refNeedCorrection",BM748,BN748)</f>
        <v>765</v>
      </c>
      <c r="CS748">
        <f>IF($CP748="refOK",$BQ748,-$BQ748)</f>
        <v>465000000</v>
      </c>
      <c r="CT748">
        <f>IF(BI748="Roundwood",$CS748/2,$CS748)</f>
        <v>232500000</v>
      </c>
      <c r="CU748">
        <f>IF($CP748="refOK",$BU748,$BV748)*IF($BR748="Emissions positive",-1,1)</f>
        <v>345.6503741652154</v>
      </c>
      <c r="CV748">
        <f>IF($CP748="refOK",$BV748,$BU748)*IF($BR748="Emissions positive",-1,1)</f>
        <v>69.739247716902497</v>
      </c>
      <c r="CW748">
        <f>IF($CP748="refNeedCorrection",-BZ748,BZ748)*IF($BR748="Emissions positive",-1,1)</f>
        <v>-275911126.44831288</v>
      </c>
      <c r="CX748">
        <f>IFERROR($CW748/$CS748,"")</f>
        <v>-0.59335726117916743</v>
      </c>
      <c r="CY748">
        <f>IFERROR($CW748/$CS748,"")</f>
        <v>-0.59335726117916743</v>
      </c>
      <c r="CZ748">
        <f>IFERROR($CW748/$CT748,"")</f>
        <v>-1.1867145223583349</v>
      </c>
      <c r="DA748" s="2">
        <f>IFERROR((CV748-CU748)/ABS(CU748),"")</f>
        <v>-0.79823760386393139</v>
      </c>
      <c r="DB748" s="1" t="s">
        <v>1078</v>
      </c>
      <c r="DC748" t="str">
        <f>IF(OR($DB748="prd",$DB748="std",$DB748="cit"),"loc",IF(OR($DB748="eur",$DB748="reg",$DB748="coy"),"reg",$DB748))</f>
        <v>reg</v>
      </c>
      <c r="DD748" t="s">
        <v>626</v>
      </c>
      <c r="DE748">
        <v>2000</v>
      </c>
      <c r="DF748">
        <v>2090</v>
      </c>
      <c r="DG748">
        <f>DF748-DE748</f>
        <v>90</v>
      </c>
      <c r="DH748" t="str">
        <f>IF(DG748=0,"0",IF(AND(DG748&gt;=1,DG748&lt;=30),"1-30",IF(AND(DG748&gt;30,DG748&lt;=70),"31-70",IF(AND(DG748&gt;70,DG748&lt;=100),"71-100",IF(DG748&gt;100,"+100")))))</f>
        <v>71-100</v>
      </c>
      <c r="DI748">
        <v>0</v>
      </c>
      <c r="DJ748">
        <v>1</v>
      </c>
      <c r="DK748">
        <v>0</v>
      </c>
      <c r="DL748">
        <v>0</v>
      </c>
      <c r="DM748">
        <v>0</v>
      </c>
      <c r="DN748">
        <f>SUM(DI748:DL748)</f>
        <v>1</v>
      </c>
      <c r="DO748" t="str">
        <f>IF(DN748=1,INDEX($DI$7:$DL$7,MATCH(1,$DI748:$DL748,0)),"mixedProduct")</f>
        <v>EnergyInput</v>
      </c>
      <c r="DP748">
        <f>IF(DI748=1,DP$7,0)</f>
        <v>0</v>
      </c>
      <c r="DQ748" t="str">
        <f>IF(DJ748=1,DQ$7,0)</f>
        <v>Energy</v>
      </c>
      <c r="DR748">
        <f>IF(DK748=1,DR$7,0)</f>
        <v>0</v>
      </c>
      <c r="DS748">
        <f>IF(DL748=1,DS$7,0)</f>
        <v>0</v>
      </c>
      <c r="DT748">
        <v>0</v>
      </c>
      <c r="DU748">
        <v>0</v>
      </c>
      <c r="DY748">
        <f>SUM(DT748:DU748)</f>
        <v>0</v>
      </c>
      <c r="DZ748" s="143" t="str">
        <f>IF(DT748=1,"self-calculated DF",IF(DU748=1,"external DF used","explicit C balance"))</f>
        <v>explicit C balance</v>
      </c>
      <c r="EA748">
        <v>1</v>
      </c>
      <c r="EB748">
        <v>1</v>
      </c>
      <c r="EC748">
        <v>1</v>
      </c>
      <c r="ED748">
        <v>1</v>
      </c>
      <c r="EE748">
        <v>0</v>
      </c>
      <c r="EF748" s="143">
        <v>0</v>
      </c>
      <c r="EG748">
        <v>0</v>
      </c>
      <c r="EH748">
        <v>0</v>
      </c>
      <c r="EI748">
        <v>0</v>
      </c>
      <c r="EJ748">
        <v>0</v>
      </c>
      <c r="EK748">
        <v>1</v>
      </c>
      <c r="EL748">
        <v>0</v>
      </c>
      <c r="EM748">
        <v>0</v>
      </c>
      <c r="EN748" s="2">
        <v>0</v>
      </c>
      <c r="EP748" t="str">
        <f>IF(AND(AND(AND(OR($EC748=1,$EB748=1),OR($EH748=1,$EF748=1)),SUM($EA748:$EE748,$EK748)&gt;=3),SUM($EF748:$EJ748)&gt;=2),"Whole sector approach","")</f>
        <v/>
      </c>
      <c r="EQ748" t="str">
        <f>IF(AND(AND(OR($EC748=1,$EB748=1),AND($EH748=0,$EF748=0)),SUM($EA748:$EE748,$EK748)&gt;=4),"Ecosystem approach","")</f>
        <v>Ecosystem approach</v>
      </c>
      <c r="ER748" s="2" t="str">
        <f>IF(AND(AND(AND($EC748=0,$EB748=0),OR($EH748=1,$EF748=1)),SUM($EG748:$EJ748)&gt;=2),"Technology approach","")</f>
        <v/>
      </c>
      <c r="ES748" t="str">
        <f>IF(AND($EC748+$EB748+$EE748+$EA748+$ED748+$EG748=0,$N748="included"),"C neutral forest and HWP assumption","")</f>
        <v/>
      </c>
      <c r="ET748" t="str">
        <f>IF(AND(AND(AND(AND($EC748=1,$EB748+$EA748+$EG748&gt;=1),$EF748=1),$EH748+$EI748+$ED748+$EE748&gt;=2),$N748="included"),"All C pools assumption","")</f>
        <v/>
      </c>
      <c r="EU748" t="str">
        <f>IF(AND($ED748+$EE748+$EI748+$EH748+$EF748=0,$N748="included"),"In-situ only assumption","")</f>
        <v/>
      </c>
      <c r="EV748" s="328" t="s">
        <v>5065</v>
      </c>
      <c r="EW748" t="s">
        <v>2198</v>
      </c>
      <c r="EY748" t="str">
        <f>IF(ISNUMBER(BW748),IF(ABS(BW748-[2]QC_indicators!$B$2)&gt;3*[2]QC_indicators!$C$2,"C ratio",IF(ISNUMBER(CA748),IF(ABS(CA748-[2]QC_indicators!$B$1)&gt;3*[2]QC_indicators!$C$1,"DF","no"))),IF(ISNUMBER(CA748),IF(ABS(CA748-[2]QC_indicators!$B$1)&gt;3*[2]QC_indicators!$C$1,"DF","no")))</f>
        <v>no</v>
      </c>
      <c r="FA748" t="str">
        <f>IF(LEN($CY748)=0,"",IF(AND($CY748&lt;(-0.05),$ES748="C neutral forest and HWP assumption"),"Cneutral paradox",IF(AND($CY748&gt;0.05,$EU748="In-situ only assumption"),"In-situ only paradox","")))</f>
        <v/>
      </c>
      <c r="FD748" s="260" t="s">
        <v>2929</v>
      </c>
    </row>
    <row r="749" spans="1:160" ht="15" customHeight="1">
      <c r="A749" s="1" t="s">
        <v>1654</v>
      </c>
      <c r="B749" t="s">
        <v>2188</v>
      </c>
      <c r="C749" t="s">
        <v>2189</v>
      </c>
      <c r="D749" t="s">
        <v>2190</v>
      </c>
      <c r="E749" t="s">
        <v>2191</v>
      </c>
      <c r="F749" t="s">
        <v>2192</v>
      </c>
      <c r="G749" t="s">
        <v>1660</v>
      </c>
      <c r="H749" t="s">
        <v>254</v>
      </c>
      <c r="I749">
        <v>2010</v>
      </c>
      <c r="J749">
        <v>100</v>
      </c>
      <c r="K749" t="s">
        <v>2193</v>
      </c>
      <c r="M749" t="str">
        <f>LEFT($D749,FIND(",",$D749)-1)&amp;"_"&amp;I749&amp;L749</f>
        <v>Werner_2010</v>
      </c>
      <c r="N749" t="s">
        <v>222</v>
      </c>
      <c r="O749" s="145" t="s">
        <v>1029</v>
      </c>
      <c r="Q749" t="s">
        <v>256</v>
      </c>
      <c r="R749" s="258" t="s">
        <v>223</v>
      </c>
      <c r="S749" s="259" t="s">
        <v>2930</v>
      </c>
      <c r="T749" t="s">
        <v>2195</v>
      </c>
      <c r="U749" t="s">
        <v>2201</v>
      </c>
      <c r="V749">
        <v>1</v>
      </c>
      <c r="W749">
        <v>0</v>
      </c>
      <c r="X749">
        <v>2</v>
      </c>
      <c r="Y749">
        <v>0</v>
      </c>
      <c r="Z749">
        <v>1</v>
      </c>
      <c r="AA749">
        <v>2</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s="141">
        <f>COUNTIF(X749:AY749,"&lt;&gt;0")</f>
        <v>3</v>
      </c>
      <c r="BA749" s="141">
        <f>COUNTIF(X749:AN749,"&lt;&gt;0")</f>
        <v>3</v>
      </c>
      <c r="BB749">
        <f>COUNTIF(X749:AE749,"&lt;&gt;0")</f>
        <v>3</v>
      </c>
      <c r="BC749">
        <f>COUNTIF(AF749:AK749,"&lt;&gt;0")</f>
        <v>0</v>
      </c>
      <c r="BD749">
        <f>COUNTIF(AL749:AN749,"&lt;&gt;0")</f>
        <v>0</v>
      </c>
      <c r="BE749">
        <f>COUNTIF(AU749:AY749,"&lt;&gt;0")</f>
        <v>0</v>
      </c>
      <c r="BF749">
        <f>COUNTIF(AO749:AT749,"&lt;&gt;0")</f>
        <v>0</v>
      </c>
      <c r="BG749" t="str">
        <f t="array" ref="BG749">IF(BA749=1,INDEX($X$7:$AN$7,MATCH(TRUE,INDEX($X749:$AY749&lt;&gt;0,),0)),IF(BA749=0,INDEX($AO$7:$AY$7,MATCH(1,$AO749:$AY749,0)),IF(BH749="Multiple strategies","mixed drivers",IF(BH749="Supply chain","multiple supply","multiple silviculture"))))</f>
        <v>multiple silviculture</v>
      </c>
      <c r="BH749" s="2" t="str" cm="1">
        <f t="array" ref="BH749">IF(COUNTIF(BB749:BD749,"&lt;&gt;0")=1,INDEX($X$4:$AY$4,MATCH(TRUE,INDEX($X749:$AY749&lt;&gt;0,),0)),IF(COUNTIF(BB749:BD749,"&lt;&gt;0")=0,INDEX($AO$4:$AY$4,MATCH(1,$AO749:$AY749,0)),"Multiple strategies"))</f>
        <v>Silviculture for removals</v>
      </c>
      <c r="BI749" s="1" t="s">
        <v>321</v>
      </c>
      <c r="BJ749" t="s">
        <v>2166</v>
      </c>
      <c r="BK749" s="260" t="s">
        <v>2927</v>
      </c>
      <c r="BL749" t="s">
        <v>1197</v>
      </c>
      <c r="BM749">
        <v>300</v>
      </c>
      <c r="BN749">
        <v>765</v>
      </c>
      <c r="BO749" s="143">
        <f>BN749/BM749</f>
        <v>2.5499999999999998</v>
      </c>
      <c r="BP749">
        <f>BN749-BM749</f>
        <v>465</v>
      </c>
      <c r="BQ749">
        <f>BP749*10^6</f>
        <v>465000000</v>
      </c>
      <c r="BR749" t="s">
        <v>232</v>
      </c>
      <c r="BS749" s="153" t="s">
        <v>2928</v>
      </c>
      <c r="BT749" t="s">
        <v>2069</v>
      </c>
      <c r="BU749">
        <v>350.30815678968798</v>
      </c>
      <c r="BV749">
        <v>39.211061963691201</v>
      </c>
      <c r="BW749" s="144">
        <f>IFERROR(BV749/BU749,"")</f>
        <v>0.11193305437998141</v>
      </c>
      <c r="BX749" s="144">
        <f>BV749-BU749</f>
        <v>-311.09709482599681</v>
      </c>
      <c r="BY749" s="144"/>
      <c r="BZ749">
        <f>BX749*10^6</f>
        <v>-311097094.82599682</v>
      </c>
      <c r="CA749">
        <f>IFERROR(BZ749/BQ749,"")</f>
        <v>-0.66902601037848775</v>
      </c>
      <c r="CB749">
        <v>0</v>
      </c>
      <c r="CC749">
        <v>0</v>
      </c>
      <c r="CD749">
        <v>0</v>
      </c>
      <c r="CE749">
        <v>0</v>
      </c>
      <c r="CF749">
        <v>0</v>
      </c>
      <c r="CG749">
        <v>0</v>
      </c>
      <c r="CH749">
        <v>0</v>
      </c>
      <c r="CI749">
        <v>0</v>
      </c>
      <c r="CJ749">
        <v>0</v>
      </c>
      <c r="CK749">
        <v>0</v>
      </c>
      <c r="CL749">
        <v>0</v>
      </c>
      <c r="CM749">
        <v>0</v>
      </c>
      <c r="CN749">
        <v>0</v>
      </c>
      <c r="CO749">
        <v>1</v>
      </c>
      <c r="CP749" t="str">
        <f>IF($BN749&lt;$BM749,"refNeedCorrection","refOK")</f>
        <v>refOK</v>
      </c>
      <c r="CQ749">
        <f>IF($CP749="refNeedCorrection",BN749,BM749)</f>
        <v>300</v>
      </c>
      <c r="CR749">
        <f>IF($CP749="refNeedCorrection",BM749,BN749)</f>
        <v>765</v>
      </c>
      <c r="CS749">
        <f>IF($CP749="refOK",$BQ749,-$BQ749)</f>
        <v>465000000</v>
      </c>
      <c r="CT749">
        <f>IF(BI749="Roundwood",$CS749/2,$CS749)</f>
        <v>232500000</v>
      </c>
      <c r="CU749">
        <f>IF($CP749="refOK",$BU749,$BV749)*IF($BR749="Emissions positive",-1,1)</f>
        <v>350.30815678968798</v>
      </c>
      <c r="CV749">
        <f>IF($CP749="refOK",$BV749,$BU749)*IF($BR749="Emissions positive",-1,1)</f>
        <v>39.211061963691201</v>
      </c>
      <c r="CW749">
        <f>IF($CP749="refNeedCorrection",-BZ749,BZ749)*IF($BR749="Emissions positive",-1,1)</f>
        <v>-311097094.82599682</v>
      </c>
      <c r="CX749">
        <f>IFERROR($CW749/$CS749,"")</f>
        <v>-0.66902601037848775</v>
      </c>
      <c r="CY749">
        <f>IFERROR($CW749/$CS749,"")</f>
        <v>-0.66902601037848775</v>
      </c>
      <c r="CZ749">
        <f>IFERROR($CW749/$CT749,"")</f>
        <v>-1.3380520207569755</v>
      </c>
      <c r="DA749" s="2">
        <f>IFERROR((CV749-CU749)/ABS(CU749),"")</f>
        <v>-0.88806694562001864</v>
      </c>
      <c r="DB749" s="1" t="s">
        <v>1078</v>
      </c>
      <c r="DC749" t="str">
        <f>IF(OR($DB749="prd",$DB749="std",$DB749="cit"),"loc",IF(OR($DB749="eur",$DB749="reg",$DB749="coy"),"reg",$DB749))</f>
        <v>reg</v>
      </c>
      <c r="DD749" t="s">
        <v>626</v>
      </c>
      <c r="DE749">
        <v>2000</v>
      </c>
      <c r="DF749">
        <v>2090</v>
      </c>
      <c r="DG749">
        <f>DF749-DE749</f>
        <v>90</v>
      </c>
      <c r="DH749" t="str">
        <f>IF(DG749=0,"0",IF(AND(DG749&gt;=1,DG749&lt;=30),"1-30",IF(AND(DG749&gt;30,DG749&lt;=70),"31-70",IF(AND(DG749&gt;70,DG749&lt;=100),"71-100",IF(DG749&gt;100,"+100")))))</f>
        <v>71-100</v>
      </c>
      <c r="DI749">
        <v>0</v>
      </c>
      <c r="DJ749">
        <v>1</v>
      </c>
      <c r="DK749">
        <v>0</v>
      </c>
      <c r="DL749">
        <v>0</v>
      </c>
      <c r="DM749">
        <v>0</v>
      </c>
      <c r="DN749">
        <f>SUM(DI749:DL749)</f>
        <v>1</v>
      </c>
      <c r="DO749" t="str">
        <f>IF(DN749=1,INDEX($DI$7:$DL$7,MATCH(1,$DI749:$DL749,0)),"mixedProduct")</f>
        <v>EnergyInput</v>
      </c>
      <c r="DP749">
        <f>IF(DI749=1,DP$7,0)</f>
        <v>0</v>
      </c>
      <c r="DQ749" t="str">
        <f>IF(DJ749=1,DQ$7,0)</f>
        <v>Energy</v>
      </c>
      <c r="DR749">
        <f>IF(DK749=1,DR$7,0)</f>
        <v>0</v>
      </c>
      <c r="DS749">
        <f>IF(DL749=1,DS$7,0)</f>
        <v>0</v>
      </c>
      <c r="DT749">
        <v>0</v>
      </c>
      <c r="DU749">
        <v>0</v>
      </c>
      <c r="DY749">
        <f>SUM(DT749:DU749)</f>
        <v>0</v>
      </c>
      <c r="DZ749" s="143" t="str">
        <f>IF(DT749=1,"self-calculated DF",IF(DU749=1,"external DF used","explicit C balance"))</f>
        <v>explicit C balance</v>
      </c>
      <c r="EA749">
        <v>1</v>
      </c>
      <c r="EB749">
        <v>1</v>
      </c>
      <c r="EC749">
        <v>1</v>
      </c>
      <c r="ED749">
        <v>0</v>
      </c>
      <c r="EE749">
        <v>0</v>
      </c>
      <c r="EF749" s="143">
        <v>0</v>
      </c>
      <c r="EG749">
        <v>0</v>
      </c>
      <c r="EH749">
        <v>0</v>
      </c>
      <c r="EI749">
        <v>0</v>
      </c>
      <c r="EJ749">
        <v>0</v>
      </c>
      <c r="EK749">
        <v>1</v>
      </c>
      <c r="EL749">
        <v>0</v>
      </c>
      <c r="EM749">
        <v>0</v>
      </c>
      <c r="EN749" s="2">
        <v>0</v>
      </c>
      <c r="EP749" t="str">
        <f>IF(AND(AND(AND(OR($EC749=1,$EB749=1),OR($EH749=1,$EF749=1)),SUM($EA749:$EE749,$EK749)&gt;=3),SUM($EF749:$EJ749)&gt;=2),"Whole sector approach","")</f>
        <v/>
      </c>
      <c r="EQ749" t="str">
        <f>IF(AND(AND(OR($EC749=1,$EB749=1),AND($EH749=0,$EF749=0)),SUM($EA749:$EE749,$EK749)&gt;=4),"Ecosystem approach","")</f>
        <v>Ecosystem approach</v>
      </c>
      <c r="ER749" s="2" t="str">
        <f>IF(AND(AND(AND($EC749=0,$EB749=0),OR($EH749=1,$EF749=1)),SUM($EG749:$EJ749)&gt;=2),"Technology approach","")</f>
        <v/>
      </c>
      <c r="ES749" t="str">
        <f>IF(AND($EC749+$EB749+$EE749+$EA749+$ED749+$EG749=0,$N749="included"),"C neutral forest and HWP assumption","")</f>
        <v/>
      </c>
      <c r="ET749" t="str">
        <f>IF(AND(AND(AND(AND($EC749=1,$EB749+$EA749+$EG749&gt;=1),$EF749=1),$EH749+$EI749+$ED749+$EE749&gt;=2),$N749="included"),"All C pools assumption","")</f>
        <v/>
      </c>
      <c r="EU749" t="str">
        <f>IF(AND($ED749+$EE749+$EI749+$EH749+$EF749=0,$N749="included"),"In-situ only assumption","")</f>
        <v>In-situ only assumption</v>
      </c>
      <c r="EV749" s="328" t="s">
        <v>5065</v>
      </c>
      <c r="EW749" t="s">
        <v>2198</v>
      </c>
      <c r="EY749" t="str">
        <f>IF(ISNUMBER(BW749),IF(ABS(BW749-[2]QC_indicators!$B$2)&gt;3*[2]QC_indicators!$C$2,"C ratio",IF(ISNUMBER(CA749),IF(ABS(CA749-[2]QC_indicators!$B$1)&gt;3*[2]QC_indicators!$C$1,"DF","no"))),IF(ISNUMBER(CA749),IF(ABS(CA749-[2]QC_indicators!$B$1)&gt;3*[2]QC_indicators!$C$1,"DF","no")))</f>
        <v>no</v>
      </c>
      <c r="FA749" t="str">
        <f>IF(LEN($CY749)=0,"",IF(AND($CY749&lt;(-0.05),$ES749="C neutral forest and HWP assumption"),"Cneutral paradox",IF(AND($CY749&gt;0.05,$EU749="In-situ only assumption"),"In-situ only paradox","")))</f>
        <v/>
      </c>
      <c r="FD749" s="260" t="s">
        <v>2929</v>
      </c>
    </row>
    <row r="750" spans="1:160" ht="15" hidden="1" customHeight="1">
      <c r="A750" s="1" t="s">
        <v>1654</v>
      </c>
      <c r="B750" t="s">
        <v>2188</v>
      </c>
      <c r="C750" t="s">
        <v>2189</v>
      </c>
      <c r="D750" t="s">
        <v>2190</v>
      </c>
      <c r="E750" t="s">
        <v>2191</v>
      </c>
      <c r="F750" t="s">
        <v>2192</v>
      </c>
      <c r="G750" t="s">
        <v>1660</v>
      </c>
      <c r="H750" t="s">
        <v>254</v>
      </c>
      <c r="I750">
        <v>2010</v>
      </c>
      <c r="J750">
        <v>100</v>
      </c>
      <c r="K750" t="s">
        <v>2193</v>
      </c>
      <c r="M750" t="str">
        <f>LEFT($D750,FIND(",",$D750)-1)&amp;"_"&amp;I750&amp;L750</f>
        <v>Werner_2010</v>
      </c>
      <c r="N750" t="s">
        <v>222</v>
      </c>
      <c r="O750" s="145" t="s">
        <v>1029</v>
      </c>
      <c r="Q750" t="s">
        <v>256</v>
      </c>
      <c r="R750" s="258" t="s">
        <v>223</v>
      </c>
      <c r="S750" s="259" t="s">
        <v>2930</v>
      </c>
      <c r="T750" t="s">
        <v>2195</v>
      </c>
      <c r="U750" t="s">
        <v>2201</v>
      </c>
      <c r="V750">
        <v>1</v>
      </c>
      <c r="W750">
        <v>0</v>
      </c>
      <c r="X750">
        <v>2</v>
      </c>
      <c r="Y750">
        <v>0</v>
      </c>
      <c r="Z750">
        <v>1</v>
      </c>
      <c r="AA750">
        <v>2</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s="141">
        <f>COUNTIF(X750:AY750,"&lt;&gt;0")</f>
        <v>3</v>
      </c>
      <c r="BA750" s="141">
        <f>COUNTIF(X750:AN750,"&lt;&gt;0")</f>
        <v>3</v>
      </c>
      <c r="BB750">
        <f>COUNTIF(X750:AE750,"&lt;&gt;0")</f>
        <v>3</v>
      </c>
      <c r="BC750">
        <f>COUNTIF(AF750:AK750,"&lt;&gt;0")</f>
        <v>0</v>
      </c>
      <c r="BD750">
        <f>COUNTIF(AL750:AN750,"&lt;&gt;0")</f>
        <v>0</v>
      </c>
      <c r="BE750">
        <f>COUNTIF(AU750:AY750,"&lt;&gt;0")</f>
        <v>0</v>
      </c>
      <c r="BF750">
        <f>COUNTIF(AO750:AT750,"&lt;&gt;0")</f>
        <v>0</v>
      </c>
      <c r="BG750" t="str">
        <f t="array" ref="BG750">IF(BA750=1,INDEX($X$7:$AN$7,MATCH(TRUE,INDEX($X750:$AY750&lt;&gt;0,),0)),IF(BA750=0,INDEX($AO$7:$AY$7,MATCH(1,$AO750:$AY750,0)),IF(BH750="Multiple strategies","mixed drivers",IF(BH750="Supply chain","multiple supply","multiple silviculture"))))</f>
        <v>multiple silviculture</v>
      </c>
      <c r="BH750" s="2" t="str" cm="1">
        <f t="array" ref="BH750">IF(COUNTIF(BB750:BD750,"&lt;&gt;0")=1,INDEX($X$4:$AY$4,MATCH(TRUE,INDEX($X750:$AY750&lt;&gt;0,),0)),IF(COUNTIF(BB750:BD750,"&lt;&gt;0")=0,INDEX($AO$4:$AY$4,MATCH(1,$AO750:$AY750,0)),"Multiple strategies"))</f>
        <v>Silviculture for removals</v>
      </c>
      <c r="BI750" s="1" t="s">
        <v>321</v>
      </c>
      <c r="BJ750" t="s">
        <v>2166</v>
      </c>
      <c r="BK750" s="260" t="s">
        <v>2927</v>
      </c>
      <c r="BL750" t="s">
        <v>1197</v>
      </c>
      <c r="BM750">
        <v>120</v>
      </c>
      <c r="BN750">
        <v>213</v>
      </c>
      <c r="BO750" s="143">
        <f>BN750/BM750</f>
        <v>1.7749999999999999</v>
      </c>
      <c r="BP750">
        <f>BN750-BM750</f>
        <v>93</v>
      </c>
      <c r="BQ750">
        <f>BP750*10^6</f>
        <v>93000000</v>
      </c>
      <c r="BR750" t="s">
        <v>232</v>
      </c>
      <c r="BS750" s="153" t="s">
        <v>2928</v>
      </c>
      <c r="BT750" t="s">
        <v>2069</v>
      </c>
      <c r="BU750">
        <v>370.31517322497803</v>
      </c>
      <c r="BV750">
        <v>288.61473481608198</v>
      </c>
      <c r="BW750" s="144">
        <f>IFERROR(BV750/BU750,"")</f>
        <v>0.77937593618595669</v>
      </c>
      <c r="BX750" s="144">
        <f>BV750-BU750</f>
        <v>-81.700438408896048</v>
      </c>
      <c r="BY750" s="144"/>
      <c r="BZ750">
        <f>BX750*10^6</f>
        <v>-81700438.408896044</v>
      </c>
      <c r="CA750">
        <f>IFERROR(BZ750/BQ750,"")</f>
        <v>-0.87849933773006494</v>
      </c>
      <c r="CB750">
        <v>0</v>
      </c>
      <c r="CC750">
        <v>0</v>
      </c>
      <c r="CD750">
        <v>0</v>
      </c>
      <c r="CE750">
        <v>0</v>
      </c>
      <c r="CF750">
        <v>0</v>
      </c>
      <c r="CG750">
        <v>0</v>
      </c>
      <c r="CH750">
        <v>0</v>
      </c>
      <c r="CI750">
        <v>0</v>
      </c>
      <c r="CJ750">
        <v>0</v>
      </c>
      <c r="CK750">
        <v>0</v>
      </c>
      <c r="CL750">
        <v>0</v>
      </c>
      <c r="CM750">
        <v>0</v>
      </c>
      <c r="CN750">
        <v>0</v>
      </c>
      <c r="CO750">
        <v>1</v>
      </c>
      <c r="CP750" t="str">
        <f>IF($BN750&lt;$BM750,"refNeedCorrection","refOK")</f>
        <v>refOK</v>
      </c>
      <c r="CQ750">
        <f>IF($CP750="refOK",$BM750,$BN750)</f>
        <v>120</v>
      </c>
      <c r="CR750">
        <f>IF($CP750="refOK",$BN750,$BM750)</f>
        <v>213</v>
      </c>
      <c r="CS750">
        <f>IF($CP750="refOK",$BQ750,-$BQ750)</f>
        <v>93000000</v>
      </c>
      <c r="CT750">
        <f>IF(BI750="Roundwood",$CS750/2,$CS750)</f>
        <v>46500000</v>
      </c>
      <c r="CU750">
        <f>IF($CP750="refOK",$BU750,$BV750)*IF($BR750="Emissions positive",-1,1)</f>
        <v>370.31517322497803</v>
      </c>
      <c r="CV750">
        <f>IF($CP750="refOK",$BV750,$BU750)*IF($BR750="Emissions positive",-1,1)</f>
        <v>288.61473481608198</v>
      </c>
      <c r="CW750">
        <f>IF($CP750="refNeedCorrection",-BZ750,BZ750)*IF($BR750="Emissions positive",-1,1)</f>
        <v>-81700438.408896044</v>
      </c>
      <c r="CX750">
        <f>IFERROR($CW750/$CS750,"")</f>
        <v>-0.87849933773006494</v>
      </c>
      <c r="CY750">
        <f>IFERROR($CW750/$CS750,"")</f>
        <v>-0.87849933773006494</v>
      </c>
      <c r="CZ750">
        <f>IFERROR($CW750/$CT750,"")</f>
        <v>-1.7569986754601299</v>
      </c>
      <c r="DA750" s="2">
        <f>IFERROR((CV750-CU750)/ABS(CU750),"")</f>
        <v>-0.22062406381404329</v>
      </c>
      <c r="DB750" s="1" t="s">
        <v>1078</v>
      </c>
      <c r="DC750" t="str">
        <f>IF(OR($DB750="prd",$DB750="std",$DB750="cit"),"loc",IF(OR($DB750="eur",$DB750="reg",$DB750="coy"),"reg",$DB750))</f>
        <v>reg</v>
      </c>
      <c r="DD750" t="s">
        <v>626</v>
      </c>
      <c r="DE750">
        <v>2000</v>
      </c>
      <c r="DF750">
        <v>2030</v>
      </c>
      <c r="DG750">
        <f>DF750-DE750</f>
        <v>30</v>
      </c>
      <c r="DH750" t="str">
        <f>IF(DG750=0,"0",IF(AND(DG750&gt;=1,DG750&lt;=30),"1-30",IF(AND(DG750&gt;30,DG750&lt;=70),"31-70",IF(AND(DG750&gt;70,DG750&lt;=100),"71-100",IF(DG750&gt;100,"+100")))))</f>
        <v>1-30</v>
      </c>
      <c r="DI750">
        <v>0</v>
      </c>
      <c r="DJ750">
        <v>1</v>
      </c>
      <c r="DK750">
        <v>0</v>
      </c>
      <c r="DL750">
        <v>0</v>
      </c>
      <c r="DM750">
        <v>0</v>
      </c>
      <c r="DN750">
        <f>SUM(DI750:DL750)</f>
        <v>1</v>
      </c>
      <c r="DO750" t="str">
        <f>IF(DN750=1,INDEX($DI$7:$DL$7,MATCH(1,$DI750:$DL750,0)),"mixedProduct")</f>
        <v>EnergyInput</v>
      </c>
      <c r="DP750">
        <f>IF(DI750=1,DP$7,0)</f>
        <v>0</v>
      </c>
      <c r="DQ750" t="str">
        <f>IF(DJ750=1,DQ$7,0)</f>
        <v>Energy</v>
      </c>
      <c r="DR750">
        <f>IF(DK750=1,DR$7,0)</f>
        <v>0</v>
      </c>
      <c r="DS750">
        <f>IF(DL750=1,DS$7,0)</f>
        <v>0</v>
      </c>
      <c r="DT750">
        <v>0</v>
      </c>
      <c r="DU750">
        <v>1</v>
      </c>
      <c r="DV750" t="s">
        <v>2196</v>
      </c>
      <c r="DW750" t="s">
        <v>2197</v>
      </c>
      <c r="DY750">
        <f>SUM(DT750:DU750)</f>
        <v>1</v>
      </c>
      <c r="DZ750" s="143" t="str">
        <f>IF(DT750=1,"self-calculated DF",IF(DU750=1,"external DF used","explicit C balance"))</f>
        <v>external DF used</v>
      </c>
      <c r="EA750">
        <v>1</v>
      </c>
      <c r="EB750">
        <v>1</v>
      </c>
      <c r="EC750">
        <v>1</v>
      </c>
      <c r="ED750">
        <v>1</v>
      </c>
      <c r="EE750">
        <v>1</v>
      </c>
      <c r="EF750" s="143">
        <v>1</v>
      </c>
      <c r="EG750">
        <v>1</v>
      </c>
      <c r="EH750">
        <v>1</v>
      </c>
      <c r="EI750">
        <v>0</v>
      </c>
      <c r="EJ750">
        <v>0</v>
      </c>
      <c r="EK750">
        <v>1</v>
      </c>
      <c r="EL750">
        <v>0</v>
      </c>
      <c r="EM750">
        <v>0</v>
      </c>
      <c r="EN750" s="2">
        <v>0</v>
      </c>
      <c r="EP750" t="str">
        <f>IF(AND(AND(AND(OR($EC750=1,$EB750=1),OR($EH750=1,$EF750=1)),SUM($EA750:$EE750,$EK750)&gt;=3),SUM($EF750:$EJ750)&gt;=2),"Whole sector approach","")</f>
        <v>Whole sector approach</v>
      </c>
      <c r="EQ750" t="str">
        <f>IF(AND(AND(OR($EC750=1,$EB750=1),AND($EH750=0,$EF750=0)),SUM($EA750:$EE750,$EK750)&gt;=4),"Ecosystem approach","")</f>
        <v/>
      </c>
      <c r="ER750" s="2" t="str">
        <f>IF(AND(AND(AND($EC750=0,$EB750=0),OR($EH750=1,$EF750=1)),SUM($EG750:$EJ750)&gt;=2),"Technology approach","")</f>
        <v/>
      </c>
      <c r="ES750" t="str">
        <f>IF(AND($EC750+$EB750+$EE750+$EA750+$ED750+$EG750=0,$N750="included"),"C neutral forest and HWP assumption","")</f>
        <v/>
      </c>
      <c r="ET750" t="str">
        <f>IF(AND(AND(AND(AND($EC750=1,$EB750+$EA750+$EG750&gt;=1),$EF750=1),$EH750+$EI750+$ED750+$EE750&gt;=2),$N750="included"),"All C pools assumption","")</f>
        <v>All C pools assumption</v>
      </c>
      <c r="EU750" t="str">
        <f>IF(AND($ED750+$EE750+$EI750+$EH750+$EF750=0,$N750="included"),"In-situ only assumption","")</f>
        <v/>
      </c>
      <c r="EV750" s="328" t="s">
        <v>5065</v>
      </c>
      <c r="EW750" t="s">
        <v>2198</v>
      </c>
      <c r="EY750" t="str">
        <f>IF(ISNUMBER(BW750),IF(ABS(BW750-[2]QC_indicators!$B$2)&gt;3*[2]QC_indicators!$C$2,"C ratio",IF(ISNUMBER(CA750),IF(ABS(CA750-[2]QC_indicators!$B$1)&gt;3*[2]QC_indicators!$C$1,"DF","no"))),IF(ISNUMBER(CA750),IF(ABS(CA750-[2]QC_indicators!$B$1)&gt;3*[2]QC_indicators!$C$1,"DF","no")))</f>
        <v>no</v>
      </c>
      <c r="FA750" t="str">
        <f>IF(LEN($CY750)=0,"",IF(AND($CY750&lt;(-0.05),$ES750="C neutral forest and HWP assumption"),"Cneutral paradox",IF(AND($CY750&gt;0.05,$EU750="In-situ only assumption"),"In-situ only paradox","")))</f>
        <v/>
      </c>
      <c r="FD750" s="260" t="s">
        <v>2929</v>
      </c>
    </row>
    <row r="751" spans="1:160" ht="15" customHeight="1">
      <c r="A751" s="1" t="s">
        <v>1654</v>
      </c>
      <c r="B751" t="s">
        <v>2188</v>
      </c>
      <c r="C751" t="s">
        <v>2189</v>
      </c>
      <c r="D751" t="s">
        <v>2190</v>
      </c>
      <c r="E751" t="s">
        <v>2191</v>
      </c>
      <c r="F751" t="s">
        <v>2192</v>
      </c>
      <c r="G751" t="s">
        <v>1660</v>
      </c>
      <c r="H751" t="s">
        <v>254</v>
      </c>
      <c r="I751">
        <v>2010</v>
      </c>
      <c r="J751">
        <v>100</v>
      </c>
      <c r="K751" t="s">
        <v>2193</v>
      </c>
      <c r="M751" t="str">
        <f>LEFT($D751,FIND(",",$D751)-1)&amp;"_"&amp;I751&amp;L751</f>
        <v>Werner_2010</v>
      </c>
      <c r="N751" t="s">
        <v>222</v>
      </c>
      <c r="O751" s="145" t="s">
        <v>1029</v>
      </c>
      <c r="Q751" t="s">
        <v>256</v>
      </c>
      <c r="R751" s="258" t="s">
        <v>223</v>
      </c>
      <c r="S751" s="259" t="s">
        <v>2930</v>
      </c>
      <c r="T751" t="s">
        <v>2195</v>
      </c>
      <c r="U751" t="s">
        <v>2201</v>
      </c>
      <c r="V751">
        <v>1</v>
      </c>
      <c r="W751">
        <v>0</v>
      </c>
      <c r="X751">
        <v>2</v>
      </c>
      <c r="Y751">
        <v>0</v>
      </c>
      <c r="Z751">
        <v>1</v>
      </c>
      <c r="AA751">
        <v>2</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s="141">
        <f>COUNTIF(X751:AY751,"&lt;&gt;0")</f>
        <v>3</v>
      </c>
      <c r="BA751" s="141">
        <f>COUNTIF(X751:AN751,"&lt;&gt;0")</f>
        <v>3</v>
      </c>
      <c r="BB751">
        <f>COUNTIF(X751:AE751,"&lt;&gt;0")</f>
        <v>3</v>
      </c>
      <c r="BC751">
        <f>COUNTIF(AF751:AK751,"&lt;&gt;0")</f>
        <v>0</v>
      </c>
      <c r="BD751">
        <f>COUNTIF(AL751:AN751,"&lt;&gt;0")</f>
        <v>0</v>
      </c>
      <c r="BE751">
        <f>COUNTIF(AU751:AY751,"&lt;&gt;0")</f>
        <v>0</v>
      </c>
      <c r="BF751">
        <f>COUNTIF(AO751:AT751,"&lt;&gt;0")</f>
        <v>0</v>
      </c>
      <c r="BG751" t="str">
        <f t="array" ref="BG751">IF(BA751=1,INDEX($X$7:$AN$7,MATCH(TRUE,INDEX($X751:$AY751&lt;&gt;0,),0)),IF(BA751=0,INDEX($AO$7:$AY$7,MATCH(1,$AO751:$AY751,0)),IF(BH751="Multiple strategies","mixed drivers",IF(BH751="Supply chain","multiple supply","multiple silviculture"))))</f>
        <v>multiple silviculture</v>
      </c>
      <c r="BH751" s="2" t="str" cm="1">
        <f t="array" ref="BH751">IF(COUNTIF(BB751:BD751,"&lt;&gt;0")=1,INDEX($X$4:$AY$4,MATCH(TRUE,INDEX($X751:$AY751&lt;&gt;0,),0)),IF(COUNTIF(BB751:BD751,"&lt;&gt;0")=0,INDEX($AO$4:$AY$4,MATCH(1,$AO751:$AY751,0)),"Multiple strategies"))</f>
        <v>Silviculture for removals</v>
      </c>
      <c r="BI751" s="1" t="s">
        <v>321</v>
      </c>
      <c r="BJ751" t="s">
        <v>2166</v>
      </c>
      <c r="BK751" s="260" t="s">
        <v>2927</v>
      </c>
      <c r="BL751" t="s">
        <v>1197</v>
      </c>
      <c r="BM751">
        <v>210</v>
      </c>
      <c r="BN751">
        <v>489</v>
      </c>
      <c r="BO751" s="143">
        <f>BN751/BM751</f>
        <v>2.3285714285714287</v>
      </c>
      <c r="BP751">
        <f>BN751-BM751</f>
        <v>279</v>
      </c>
      <c r="BQ751">
        <f>BP751*10^6</f>
        <v>279000000</v>
      </c>
      <c r="BR751" t="s">
        <v>232</v>
      </c>
      <c r="BS751" s="153" t="s">
        <v>2928</v>
      </c>
      <c r="BT751" t="s">
        <v>2069</v>
      </c>
      <c r="BU751">
        <v>385.778591846273</v>
      </c>
      <c r="BV751">
        <v>74.657916514909303</v>
      </c>
      <c r="BW751" s="144">
        <f>IFERROR(BV751/BU751,"")</f>
        <v>0.19352529687458492</v>
      </c>
      <c r="BX751" s="144">
        <f>BV751-BU751</f>
        <v>-311.12067533136371</v>
      </c>
      <c r="BY751" s="144"/>
      <c r="BZ751">
        <f>BX751*10^6</f>
        <v>-311120675.33136374</v>
      </c>
      <c r="CA751">
        <f>IFERROR(BZ751/BQ751,"")</f>
        <v>-1.1151278685711963</v>
      </c>
      <c r="CB751">
        <v>0</v>
      </c>
      <c r="CC751">
        <v>0</v>
      </c>
      <c r="CD751">
        <v>0</v>
      </c>
      <c r="CE751">
        <v>0</v>
      </c>
      <c r="CF751">
        <v>0</v>
      </c>
      <c r="CG751">
        <v>0</v>
      </c>
      <c r="CH751">
        <v>0</v>
      </c>
      <c r="CI751">
        <v>0</v>
      </c>
      <c r="CJ751">
        <v>0</v>
      </c>
      <c r="CK751">
        <v>0</v>
      </c>
      <c r="CL751">
        <v>0</v>
      </c>
      <c r="CM751">
        <v>0</v>
      </c>
      <c r="CN751">
        <v>0</v>
      </c>
      <c r="CO751">
        <v>1</v>
      </c>
      <c r="CP751" t="str">
        <f>IF($BN751&lt;$BM751,"refNeedCorrection","refOK")</f>
        <v>refOK</v>
      </c>
      <c r="CQ751">
        <f>IF($CP751="refNeedCorrection",BN751,BM751)</f>
        <v>210</v>
      </c>
      <c r="CR751">
        <f>IF($CP751="refNeedCorrection",BM751,BN751)</f>
        <v>489</v>
      </c>
      <c r="CS751">
        <f>IF($CP751="refOK",$BQ751,-$BQ751)</f>
        <v>279000000</v>
      </c>
      <c r="CT751">
        <f>IF(BI751="Roundwood",$CS751/2,$CS751)</f>
        <v>139500000</v>
      </c>
      <c r="CU751">
        <f>IF($CP751="refOK",$BU751,$BV751)*IF($BR751="Emissions positive",-1,1)</f>
        <v>385.778591846273</v>
      </c>
      <c r="CV751">
        <f>IF($CP751="refOK",$BV751,$BU751)*IF($BR751="Emissions positive",-1,1)</f>
        <v>74.657916514909303</v>
      </c>
      <c r="CW751">
        <f>IF($CP751="refNeedCorrection",-BZ751,BZ751)*IF($BR751="Emissions positive",-1,1)</f>
        <v>-311120675.33136374</v>
      </c>
      <c r="CX751">
        <f>IFERROR($CW751/$CS751,"")</f>
        <v>-1.1151278685711963</v>
      </c>
      <c r="CY751">
        <f>IFERROR($CW751/$CS751,"")</f>
        <v>-1.1151278685711963</v>
      </c>
      <c r="CZ751">
        <f>IFERROR($CW751/$CT751,"")</f>
        <v>-2.2302557371423926</v>
      </c>
      <c r="DA751" s="2">
        <f>IFERROR((CV751-CU751)/ABS(CU751),"")</f>
        <v>-0.80647470312541514</v>
      </c>
      <c r="DB751" s="1" t="s">
        <v>1078</v>
      </c>
      <c r="DC751" t="str">
        <f>IF(OR($DB751="prd",$DB751="std",$DB751="cit"),"loc",IF(OR($DB751="eur",$DB751="reg",$DB751="coy"),"reg",$DB751))</f>
        <v>reg</v>
      </c>
      <c r="DD751" t="s">
        <v>626</v>
      </c>
      <c r="DE751">
        <v>2000</v>
      </c>
      <c r="DF751">
        <v>2060</v>
      </c>
      <c r="DG751">
        <f>DF751-DE751</f>
        <v>60</v>
      </c>
      <c r="DH751" t="str">
        <f>IF(DG751=0,"0",IF(AND(DG751&gt;=1,DG751&lt;=30),"1-30",IF(AND(DG751&gt;30,DG751&lt;=70),"31-70",IF(AND(DG751&gt;70,DG751&lt;=100),"71-100",IF(DG751&gt;100,"+100")))))</f>
        <v>31-70</v>
      </c>
      <c r="DI751">
        <v>0</v>
      </c>
      <c r="DJ751">
        <v>1</v>
      </c>
      <c r="DK751">
        <v>0</v>
      </c>
      <c r="DL751">
        <v>0</v>
      </c>
      <c r="DM751">
        <v>0</v>
      </c>
      <c r="DN751">
        <f>SUM(DI751:DL751)</f>
        <v>1</v>
      </c>
      <c r="DO751" t="str">
        <f>IF(DN751=1,INDEX($DI$7:$DL$7,MATCH(1,$DI751:$DL751,0)),"mixedProduct")</f>
        <v>EnergyInput</v>
      </c>
      <c r="DP751">
        <f>IF(DI751=1,DP$7,0)</f>
        <v>0</v>
      </c>
      <c r="DQ751" t="str">
        <f>IF(DJ751=1,DQ$7,0)</f>
        <v>Energy</v>
      </c>
      <c r="DR751">
        <f>IF(DK751=1,DR$7,0)</f>
        <v>0</v>
      </c>
      <c r="DS751">
        <f>IF(DL751=1,DS$7,0)</f>
        <v>0</v>
      </c>
      <c r="DT751">
        <v>0</v>
      </c>
      <c r="DU751">
        <v>0</v>
      </c>
      <c r="DY751">
        <f>SUM(DT751:DU751)</f>
        <v>0</v>
      </c>
      <c r="DZ751" s="143" t="str">
        <f>IF(DT751=1,"self-calculated DF",IF(DU751=1,"external DF used","explicit C balance"))</f>
        <v>explicit C balance</v>
      </c>
      <c r="EA751">
        <v>1</v>
      </c>
      <c r="EB751">
        <v>1</v>
      </c>
      <c r="EC751">
        <v>1</v>
      </c>
      <c r="ED751">
        <v>0</v>
      </c>
      <c r="EE751">
        <v>0</v>
      </c>
      <c r="EF751" s="143">
        <v>0</v>
      </c>
      <c r="EG751">
        <v>0</v>
      </c>
      <c r="EH751">
        <v>0</v>
      </c>
      <c r="EI751">
        <v>0</v>
      </c>
      <c r="EJ751">
        <v>0</v>
      </c>
      <c r="EK751">
        <v>1</v>
      </c>
      <c r="EL751">
        <v>0</v>
      </c>
      <c r="EM751">
        <v>0</v>
      </c>
      <c r="EN751" s="2">
        <v>0</v>
      </c>
      <c r="EP751" t="str">
        <f>IF(AND(AND(AND(OR($EC751=1,$EB751=1),OR($EH751=1,$EF751=1)),SUM($EA751:$EE751,$EK751)&gt;=3),SUM($EF751:$EJ751)&gt;=2),"Whole sector approach","")</f>
        <v/>
      </c>
      <c r="EQ751" t="str">
        <f>IF(AND(AND(OR($EC751=1,$EB751=1),AND($EH751=0,$EF751=0)),SUM($EA751:$EE751,$EK751)&gt;=4),"Ecosystem approach","")</f>
        <v>Ecosystem approach</v>
      </c>
      <c r="ER751" s="2" t="str">
        <f>IF(AND(AND(AND($EC751=0,$EB751=0),OR($EH751=1,$EF751=1)),SUM($EG751:$EJ751)&gt;=2),"Technology approach","")</f>
        <v/>
      </c>
      <c r="ES751" t="str">
        <f>IF(AND($EC751+$EB751+$EE751+$EA751+$ED751+$EG751=0,$N751="included"),"C neutral forest and HWP assumption","")</f>
        <v/>
      </c>
      <c r="ET751" t="str">
        <f>IF(AND(AND(AND(AND($EC751=1,$EB751+$EA751+$EG751&gt;=1),$EF751=1),$EH751+$EI751+$ED751+$EE751&gt;=2),$N751="included"),"All C pools assumption","")</f>
        <v/>
      </c>
      <c r="EU751" t="str">
        <f>IF(AND($ED751+$EE751+$EI751+$EH751+$EF751=0,$N751="included"),"In-situ only assumption","")</f>
        <v>In-situ only assumption</v>
      </c>
      <c r="EV751" s="328" t="s">
        <v>5065</v>
      </c>
      <c r="EW751" t="s">
        <v>2198</v>
      </c>
      <c r="EY751" t="str">
        <f>IF(ISNUMBER(BW751),IF(ABS(BW751-[2]QC_indicators!$B$2)&gt;3*[2]QC_indicators!$C$2,"C ratio",IF(ISNUMBER(CA751),IF(ABS(CA751-[2]QC_indicators!$B$1)&gt;3*[2]QC_indicators!$C$1,"DF","no"))),IF(ISNUMBER(CA751),IF(ABS(CA751-[2]QC_indicators!$B$1)&gt;3*[2]QC_indicators!$C$1,"DF","no")))</f>
        <v>no</v>
      </c>
      <c r="FA751" t="str">
        <f>IF(LEN($CY751)=0,"",IF(AND($CY751&lt;(-0.05),$ES751="C neutral forest and HWP assumption"),"Cneutral paradox",IF(AND($CY751&gt;0.05,$EU751="In-situ only assumption"),"In-situ only paradox","")))</f>
        <v/>
      </c>
      <c r="FD751" s="260" t="s">
        <v>2929</v>
      </c>
    </row>
    <row r="752" spans="1:160" ht="15" hidden="1" customHeight="1">
      <c r="A752" s="1" t="s">
        <v>1654</v>
      </c>
      <c r="B752" t="s">
        <v>2188</v>
      </c>
      <c r="C752" t="s">
        <v>2189</v>
      </c>
      <c r="D752" t="s">
        <v>2190</v>
      </c>
      <c r="E752" t="s">
        <v>2191</v>
      </c>
      <c r="F752" t="s">
        <v>2192</v>
      </c>
      <c r="G752" t="s">
        <v>1660</v>
      </c>
      <c r="H752" t="s">
        <v>254</v>
      </c>
      <c r="I752">
        <v>2010</v>
      </c>
      <c r="J752">
        <v>100</v>
      </c>
      <c r="K752" t="s">
        <v>2193</v>
      </c>
      <c r="M752" t="str">
        <f>LEFT($D752,FIND(",",$D752)-1)&amp;"_"&amp;I752&amp;L752</f>
        <v>Werner_2010</v>
      </c>
      <c r="N752" t="s">
        <v>222</v>
      </c>
      <c r="O752" s="145" t="s">
        <v>1029</v>
      </c>
      <c r="Q752" t="s">
        <v>256</v>
      </c>
      <c r="R752" s="258" t="s">
        <v>223</v>
      </c>
      <c r="S752" s="259" t="s">
        <v>2930</v>
      </c>
      <c r="T752" t="s">
        <v>2195</v>
      </c>
      <c r="U752" t="s">
        <v>2201</v>
      </c>
      <c r="V752">
        <v>1</v>
      </c>
      <c r="W752">
        <v>0</v>
      </c>
      <c r="X752">
        <v>2</v>
      </c>
      <c r="Y752">
        <v>0</v>
      </c>
      <c r="Z752">
        <v>1</v>
      </c>
      <c r="AA752">
        <v>2</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s="141">
        <f>COUNTIF(X752:AY752,"&lt;&gt;0")</f>
        <v>3</v>
      </c>
      <c r="BA752" s="141">
        <f>COUNTIF(X752:AN752,"&lt;&gt;0")</f>
        <v>3</v>
      </c>
      <c r="BB752">
        <f>COUNTIF(X752:AE752,"&lt;&gt;0")</f>
        <v>3</v>
      </c>
      <c r="BC752">
        <f>COUNTIF(AF752:AK752,"&lt;&gt;0")</f>
        <v>0</v>
      </c>
      <c r="BD752">
        <f>COUNTIF(AL752:AN752,"&lt;&gt;0")</f>
        <v>0</v>
      </c>
      <c r="BE752">
        <f>COUNTIF(AU752:AY752,"&lt;&gt;0")</f>
        <v>0</v>
      </c>
      <c r="BF752">
        <f>COUNTIF(AO752:AT752,"&lt;&gt;0")</f>
        <v>0</v>
      </c>
      <c r="BG752" t="str">
        <f t="array" ref="BG752">IF(BA752=1,INDEX($X$7:$AN$7,MATCH(TRUE,INDEX($X752:$AY752&lt;&gt;0,),0)),IF(BA752=0,INDEX($AO$7:$AY$7,MATCH(1,$AO752:$AY752,0)),IF(BH752="Multiple strategies","mixed drivers",IF(BH752="Supply chain","multiple supply","multiple silviculture"))))</f>
        <v>multiple silviculture</v>
      </c>
      <c r="BH752" s="2" t="str" cm="1">
        <f t="array" ref="BH752">IF(COUNTIF(BB752:BD752,"&lt;&gt;0")=1,INDEX($X$4:$AY$4,MATCH(TRUE,INDEX($X752:$AY752&lt;&gt;0,),0)),IF(COUNTIF(BB752:BD752,"&lt;&gt;0")=0,INDEX($AO$4:$AY$4,MATCH(1,$AO752:$AY752,0)),"Multiple strategies"))</f>
        <v>Silviculture for removals</v>
      </c>
      <c r="BI752" s="1" t="s">
        <v>321</v>
      </c>
      <c r="BJ752" t="s">
        <v>2166</v>
      </c>
      <c r="BK752" s="260" t="s">
        <v>2927</v>
      </c>
      <c r="BL752" t="s">
        <v>1197</v>
      </c>
      <c r="BM752">
        <v>120</v>
      </c>
      <c r="BN752">
        <v>213</v>
      </c>
      <c r="BO752" s="143">
        <f>BN752/BM752</f>
        <v>1.7749999999999999</v>
      </c>
      <c r="BP752">
        <f>BN752-BM752</f>
        <v>93</v>
      </c>
      <c r="BQ752">
        <f>BP752*10^6</f>
        <v>93000000</v>
      </c>
      <c r="BR752" t="s">
        <v>232</v>
      </c>
      <c r="BS752" s="153" t="s">
        <v>2928</v>
      </c>
      <c r="BT752" t="s">
        <v>2069</v>
      </c>
      <c r="BU752">
        <v>227.98379614391621</v>
      </c>
      <c r="BV752">
        <v>99.185361744145396</v>
      </c>
      <c r="BW752" s="144">
        <f>IFERROR(BV752/BU752,"")</f>
        <v>0.4350544355421383</v>
      </c>
      <c r="BX752" s="144">
        <f>BV752-BU752</f>
        <v>-128.79843439977083</v>
      </c>
      <c r="BY752" s="144"/>
      <c r="BZ752">
        <f>BX752*10^6</f>
        <v>-128798434.39977083</v>
      </c>
      <c r="CA752">
        <f>IFERROR(BZ752/BQ752,"")</f>
        <v>-1.3849294021480734</v>
      </c>
      <c r="CB752">
        <v>0</v>
      </c>
      <c r="CC752">
        <v>0</v>
      </c>
      <c r="CD752">
        <v>0</v>
      </c>
      <c r="CE752">
        <v>0</v>
      </c>
      <c r="CF752">
        <v>0</v>
      </c>
      <c r="CG752">
        <v>0</v>
      </c>
      <c r="CH752">
        <v>0</v>
      </c>
      <c r="CI752">
        <v>0</v>
      </c>
      <c r="CJ752">
        <v>0</v>
      </c>
      <c r="CK752">
        <v>0</v>
      </c>
      <c r="CL752">
        <v>0</v>
      </c>
      <c r="CM752">
        <v>0</v>
      </c>
      <c r="CN752">
        <v>0</v>
      </c>
      <c r="CO752">
        <v>1</v>
      </c>
      <c r="CP752" t="str">
        <f>IF($BN752&lt;$BM752,"refNeedCorrection","refOK")</f>
        <v>refOK</v>
      </c>
      <c r="CQ752">
        <f>IF($CP752="refOK",$BM752,$BN752)</f>
        <v>120</v>
      </c>
      <c r="CR752">
        <f>IF($CP752="refOK",$BN752,$BM752)</f>
        <v>213</v>
      </c>
      <c r="CS752">
        <f>IF($CP752="refOK",$BQ752,-$BQ752)</f>
        <v>93000000</v>
      </c>
      <c r="CT752">
        <f>IF(BI752="Roundwood",$CS752/2,$CS752)</f>
        <v>46500000</v>
      </c>
      <c r="CU752">
        <f>IF($CP752="refOK",$BU752,$BV752)*IF($BR752="Emissions positive",-1,1)</f>
        <v>227.98379614391621</v>
      </c>
      <c r="CV752">
        <f>IF($CP752="refOK",$BV752,$BU752)*IF($BR752="Emissions positive",-1,1)</f>
        <v>99.185361744145396</v>
      </c>
      <c r="CW752">
        <f>IF($CP752="refNeedCorrection",-BZ752,BZ752)*IF($BR752="Emissions positive",-1,1)</f>
        <v>-128798434.39977083</v>
      </c>
      <c r="CX752">
        <f>IFERROR($CW752/$CS752,"")</f>
        <v>-1.3849294021480734</v>
      </c>
      <c r="CY752">
        <f>IFERROR($CW752/$CS752,"")</f>
        <v>-1.3849294021480734</v>
      </c>
      <c r="CZ752">
        <f>IFERROR($CW752/$CT752,"")</f>
        <v>-2.7698588042961467</v>
      </c>
      <c r="DA752" s="2">
        <f>IFERROR((CV752-CU752)/ABS(CU752),"")</f>
        <v>-0.5649455644578617</v>
      </c>
      <c r="DB752" s="1" t="s">
        <v>1078</v>
      </c>
      <c r="DC752" t="str">
        <f>IF(OR($DB752="prd",$DB752="std",$DB752="cit"),"loc",IF(OR($DB752="eur",$DB752="reg",$DB752="coy"),"reg",$DB752))</f>
        <v>reg</v>
      </c>
      <c r="DD752" t="s">
        <v>626</v>
      </c>
      <c r="DE752">
        <v>2000</v>
      </c>
      <c r="DF752">
        <v>2030</v>
      </c>
      <c r="DG752">
        <f>DF752-DE752</f>
        <v>30</v>
      </c>
      <c r="DH752" t="str">
        <f>IF(DG752=0,"0",IF(AND(DG752&gt;=1,DG752&lt;=30),"1-30",IF(AND(DG752&gt;30,DG752&lt;=70),"31-70",IF(AND(DG752&gt;70,DG752&lt;=100),"71-100",IF(DG752&gt;100,"+100")))))</f>
        <v>1-30</v>
      </c>
      <c r="DI752">
        <v>0</v>
      </c>
      <c r="DJ752">
        <v>1</v>
      </c>
      <c r="DK752">
        <v>0</v>
      </c>
      <c r="DL752">
        <v>0</v>
      </c>
      <c r="DM752">
        <v>0</v>
      </c>
      <c r="DN752">
        <f>SUM(DI752:DL752)</f>
        <v>1</v>
      </c>
      <c r="DO752" t="str">
        <f>IF(DN752=1,INDEX($DI$7:$DL$7,MATCH(1,$DI752:$DL752,0)),"mixedProduct")</f>
        <v>EnergyInput</v>
      </c>
      <c r="DP752">
        <f>IF(DI752=1,DP$7,0)</f>
        <v>0</v>
      </c>
      <c r="DQ752" t="str">
        <f>IF(DJ752=1,DQ$7,0)</f>
        <v>Energy</v>
      </c>
      <c r="DR752">
        <f>IF(DK752=1,DR$7,0)</f>
        <v>0</v>
      </c>
      <c r="DS752">
        <f>IF(DL752=1,DS$7,0)</f>
        <v>0</v>
      </c>
      <c r="DT752">
        <v>0</v>
      </c>
      <c r="DU752">
        <v>0</v>
      </c>
      <c r="DY752">
        <f>SUM(DT752:DU752)</f>
        <v>0</v>
      </c>
      <c r="DZ752" s="143" t="str">
        <f>IF(DT752=1,"self-calculated DF",IF(DU752=1,"external DF used","explicit C balance"))</f>
        <v>explicit C balance</v>
      </c>
      <c r="EA752">
        <v>1</v>
      </c>
      <c r="EB752">
        <v>1</v>
      </c>
      <c r="EC752">
        <v>1</v>
      </c>
      <c r="ED752">
        <v>1</v>
      </c>
      <c r="EE752">
        <v>1</v>
      </c>
      <c r="EF752" s="143">
        <v>0</v>
      </c>
      <c r="EG752">
        <v>0</v>
      </c>
      <c r="EH752">
        <v>0</v>
      </c>
      <c r="EI752">
        <v>0</v>
      </c>
      <c r="EJ752">
        <v>0</v>
      </c>
      <c r="EK752">
        <v>1</v>
      </c>
      <c r="EL752">
        <v>0</v>
      </c>
      <c r="EM752">
        <v>0</v>
      </c>
      <c r="EN752" s="2">
        <v>0</v>
      </c>
      <c r="EP752" t="str">
        <f>IF(AND(AND(AND(OR($EC752=1,$EB752=1),OR($EH752=1,$EF752=1)),SUM($EA752:$EE752,$EK752)&gt;=3),SUM($EF752:$EJ752)&gt;=2),"Whole sector approach","")</f>
        <v/>
      </c>
      <c r="EQ752" t="str">
        <f>IF(AND(AND(OR($EC752=1,$EB752=1),AND($EH752=0,$EF752=0)),SUM($EA752:$EE752,$EK752)&gt;=4),"Ecosystem approach","")</f>
        <v>Ecosystem approach</v>
      </c>
      <c r="ER752" s="2" t="str">
        <f>IF(AND(AND(AND($EC752=0,$EB752=0),OR($EH752=1,$EF752=1)),SUM($EG752:$EJ752)&gt;=2),"Technology approach","")</f>
        <v/>
      </c>
      <c r="ES752" t="str">
        <f>IF(AND($EC752+$EB752+$EE752+$EA752+$ED752+$EG752=0,$N752="included"),"C neutral forest and HWP assumption","")</f>
        <v/>
      </c>
      <c r="ET752" t="str">
        <f>IF(AND(AND(AND(AND($EC752=1,$EB752+$EA752+$EG752&gt;=1),$EF752=1),$EH752+$EI752+$ED752+$EE752&gt;=2),$N752="included"),"All C pools assumption","")</f>
        <v/>
      </c>
      <c r="EU752" t="str">
        <f>IF(AND($ED752+$EE752+$EI752+$EH752+$EF752=0,$N752="included"),"In-situ only assumption","")</f>
        <v/>
      </c>
      <c r="EV752" s="328" t="s">
        <v>5065</v>
      </c>
      <c r="EW752" t="s">
        <v>2198</v>
      </c>
      <c r="EY752" t="str">
        <f>IF(ISNUMBER(BW752),IF(ABS(BW752-[2]QC_indicators!$B$2)&gt;3*[2]QC_indicators!$C$2,"C ratio",IF(ISNUMBER(CA752),IF(ABS(CA752-[2]QC_indicators!$B$1)&gt;3*[2]QC_indicators!$C$1,"DF","no"))),IF(ISNUMBER(CA752),IF(ABS(CA752-[2]QC_indicators!$B$1)&gt;3*[2]QC_indicators!$C$1,"DF","no")))</f>
        <v>no</v>
      </c>
      <c r="FA752" t="str">
        <f>IF(LEN($CY752)=0,"",IF(AND($CY752&lt;(-0.05),$ES752="C neutral forest and HWP assumption"),"Cneutral paradox",IF(AND($CY752&gt;0.05,$EU752="In-situ only assumption"),"In-situ only paradox","")))</f>
        <v/>
      </c>
      <c r="FD752" s="260" t="s">
        <v>2929</v>
      </c>
    </row>
    <row r="753" spans="1:160" ht="15" customHeight="1">
      <c r="A753" s="1" t="s">
        <v>1654</v>
      </c>
      <c r="B753" t="s">
        <v>2188</v>
      </c>
      <c r="C753" t="s">
        <v>2189</v>
      </c>
      <c r="D753" t="s">
        <v>2190</v>
      </c>
      <c r="E753" t="s">
        <v>2191</v>
      </c>
      <c r="F753" t="s">
        <v>2192</v>
      </c>
      <c r="G753" t="s">
        <v>1660</v>
      </c>
      <c r="H753" t="s">
        <v>254</v>
      </c>
      <c r="I753">
        <v>2010</v>
      </c>
      <c r="J753">
        <v>100</v>
      </c>
      <c r="K753" t="s">
        <v>2193</v>
      </c>
      <c r="M753" t="str">
        <f>LEFT($D753,FIND(",",$D753)-1)&amp;"_"&amp;I753&amp;L753</f>
        <v>Werner_2010</v>
      </c>
      <c r="N753" t="s">
        <v>222</v>
      </c>
      <c r="O753" s="145" t="s">
        <v>1029</v>
      </c>
      <c r="Q753" t="s">
        <v>256</v>
      </c>
      <c r="R753" s="258" t="s">
        <v>223</v>
      </c>
      <c r="S753" s="259" t="s">
        <v>2930</v>
      </c>
      <c r="T753" t="s">
        <v>2195</v>
      </c>
      <c r="U753" t="s">
        <v>2201</v>
      </c>
      <c r="V753">
        <v>1</v>
      </c>
      <c r="W753">
        <v>0</v>
      </c>
      <c r="X753">
        <v>2</v>
      </c>
      <c r="Y753">
        <v>0</v>
      </c>
      <c r="Z753">
        <v>1</v>
      </c>
      <c r="AA753">
        <v>2</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s="141">
        <f>COUNTIF(X753:AY753,"&lt;&gt;0")</f>
        <v>3</v>
      </c>
      <c r="BA753" s="141">
        <f>COUNTIF(X753:AN753,"&lt;&gt;0")</f>
        <v>3</v>
      </c>
      <c r="BB753">
        <f>COUNTIF(X753:AE753,"&lt;&gt;0")</f>
        <v>3</v>
      </c>
      <c r="BC753">
        <f>COUNTIF(AF753:AK753,"&lt;&gt;0")</f>
        <v>0</v>
      </c>
      <c r="BD753">
        <f>COUNTIF(AL753:AN753,"&lt;&gt;0")</f>
        <v>0</v>
      </c>
      <c r="BE753">
        <f>COUNTIF(AU753:AY753,"&lt;&gt;0")</f>
        <v>0</v>
      </c>
      <c r="BF753">
        <f>COUNTIF(AO753:AT753,"&lt;&gt;0")</f>
        <v>0</v>
      </c>
      <c r="BG753" t="str">
        <f t="array" ref="BG753">IF(BA753=1,INDEX($X$7:$AN$7,MATCH(TRUE,INDEX($X753:$AY753&lt;&gt;0,),0)),IF(BA753=0,INDEX($AO$7:$AY$7,MATCH(1,$AO753:$AY753,0)),IF(BH753="Multiple strategies","mixed drivers",IF(BH753="Supply chain","multiple supply","multiple silviculture"))))</f>
        <v>multiple silviculture</v>
      </c>
      <c r="BH753" s="2" t="str" cm="1">
        <f t="array" ref="BH753">IF(COUNTIF(BB753:BD753,"&lt;&gt;0")=1,INDEX($X$4:$AY$4,MATCH(TRUE,INDEX($X753:$AY753&lt;&gt;0,),0)),IF(COUNTIF(BB753:BD753,"&lt;&gt;0")=0,INDEX($AO$4:$AY$4,MATCH(1,$AO753:$AY753,0)),"Multiple strategies"))</f>
        <v>Silviculture for removals</v>
      </c>
      <c r="BI753" s="1" t="s">
        <v>321</v>
      </c>
      <c r="BJ753" t="s">
        <v>2166</v>
      </c>
      <c r="BK753" s="260" t="s">
        <v>2927</v>
      </c>
      <c r="BL753" t="s">
        <v>1197</v>
      </c>
      <c r="BM753">
        <v>120</v>
      </c>
      <c r="BN753">
        <v>213</v>
      </c>
      <c r="BO753" s="143">
        <f>BN753/BM753</f>
        <v>1.7749999999999999</v>
      </c>
      <c r="BP753">
        <f>BN753-BM753</f>
        <v>93</v>
      </c>
      <c r="BQ753">
        <f>BP753*10^6</f>
        <v>93000000</v>
      </c>
      <c r="BR753" t="s">
        <v>232</v>
      </c>
      <c r="BS753" s="153" t="s">
        <v>2928</v>
      </c>
      <c r="BT753" t="s">
        <v>2069</v>
      </c>
      <c r="BU753">
        <v>223.834792619919</v>
      </c>
      <c r="BV753">
        <v>76.966731236946401</v>
      </c>
      <c r="BW753" s="144">
        <f>IFERROR(BV753/BU753,"")</f>
        <v>0.34385508318914115</v>
      </c>
      <c r="BX753" s="144">
        <f>BV753-BU753</f>
        <v>-146.8680613829726</v>
      </c>
      <c r="BY753" s="144"/>
      <c r="BZ753">
        <f>BX753*10^6</f>
        <v>-146868061.3829726</v>
      </c>
      <c r="CA753">
        <f>IFERROR(BZ753/BQ753,"")</f>
        <v>-1.5792264664835762</v>
      </c>
      <c r="CB753">
        <v>0</v>
      </c>
      <c r="CC753">
        <v>0</v>
      </c>
      <c r="CD753">
        <v>0</v>
      </c>
      <c r="CE753">
        <v>0</v>
      </c>
      <c r="CF753">
        <v>0</v>
      </c>
      <c r="CG753">
        <v>0</v>
      </c>
      <c r="CH753">
        <v>0</v>
      </c>
      <c r="CI753">
        <v>0</v>
      </c>
      <c r="CJ753">
        <v>0</v>
      </c>
      <c r="CK753">
        <v>0</v>
      </c>
      <c r="CL753">
        <v>0</v>
      </c>
      <c r="CM753">
        <v>0</v>
      </c>
      <c r="CN753">
        <v>0</v>
      </c>
      <c r="CO753">
        <v>1</v>
      </c>
      <c r="CP753" t="str">
        <f>IF($BN753&lt;$BM753,"refNeedCorrection","refOK")</f>
        <v>refOK</v>
      </c>
      <c r="CQ753">
        <f>IF($CP753="refOK",$BM753,$BN753)</f>
        <v>120</v>
      </c>
      <c r="CR753">
        <f>IF($CP753="refOK",$BN753,$BM753)</f>
        <v>213</v>
      </c>
      <c r="CS753">
        <f>IF($CP753="refOK",$BQ753,-$BQ753)</f>
        <v>93000000</v>
      </c>
      <c r="CT753">
        <f>IF(BI753="Roundwood",$CS753/2,$CS753)</f>
        <v>46500000</v>
      </c>
      <c r="CU753">
        <f>IF($CP753="refOK",$BU753,$BV753)*IF($BR753="Emissions positive",-1,1)</f>
        <v>223.834792619919</v>
      </c>
      <c r="CV753">
        <f>IF($CP753="refOK",$BV753,$BU753)*IF($BR753="Emissions positive",-1,1)</f>
        <v>76.966731236946401</v>
      </c>
      <c r="CW753">
        <f>IF($CP753="refNeedCorrection",-BZ753,BZ753)*IF($BR753="Emissions positive",-1,1)</f>
        <v>-146868061.3829726</v>
      </c>
      <c r="CX753">
        <f>IFERROR($CW753/$CS753,"")</f>
        <v>-1.5792264664835762</v>
      </c>
      <c r="CY753">
        <f>IFERROR($CW753/$CS753,"")</f>
        <v>-1.5792264664835762</v>
      </c>
      <c r="CZ753">
        <f>IFERROR($CW753/$CT753,"")</f>
        <v>-3.1584529329671525</v>
      </c>
      <c r="DA753" s="2">
        <f>IFERROR((CV753-CU753)/ABS(CU753),"")</f>
        <v>-0.65614491681085885</v>
      </c>
      <c r="DB753" s="1" t="s">
        <v>1078</v>
      </c>
      <c r="DC753" t="str">
        <f>IF(OR($DB753="prd",$DB753="std",$DB753="cit"),"loc",IF(OR($DB753="eur",$DB753="reg",$DB753="coy"),"reg",$DB753))</f>
        <v>reg</v>
      </c>
      <c r="DD753" t="s">
        <v>626</v>
      </c>
      <c r="DE753">
        <v>2000</v>
      </c>
      <c r="DF753">
        <v>2030</v>
      </c>
      <c r="DG753">
        <f>DF753-DE753</f>
        <v>30</v>
      </c>
      <c r="DH753" t="str">
        <f>IF(DG753=0,"0",IF(AND(DG753&gt;=1,DG753&lt;=30),"1-30",IF(AND(DG753&gt;30,DG753&lt;=70),"31-70",IF(AND(DG753&gt;70,DG753&lt;=100),"71-100",IF(DG753&gt;100,"+100")))))</f>
        <v>1-30</v>
      </c>
      <c r="DI753">
        <v>0</v>
      </c>
      <c r="DJ753">
        <v>1</v>
      </c>
      <c r="DK753">
        <v>0</v>
      </c>
      <c r="DL753">
        <v>0</v>
      </c>
      <c r="DM753">
        <v>0</v>
      </c>
      <c r="DN753">
        <f>SUM(DI753:DL753)</f>
        <v>1</v>
      </c>
      <c r="DO753" t="str">
        <f>IF(DN753=1,INDEX($DI$7:$DL$7,MATCH(1,$DI753:$DL753,0)),"mixedProduct")</f>
        <v>EnergyInput</v>
      </c>
      <c r="DP753">
        <f>IF(DI753=1,DP$7,0)</f>
        <v>0</v>
      </c>
      <c r="DQ753" t="str">
        <f>IF(DJ753=1,DQ$7,0)</f>
        <v>Energy</v>
      </c>
      <c r="DR753">
        <f>IF(DK753=1,DR$7,0)</f>
        <v>0</v>
      </c>
      <c r="DS753">
        <f>IF(DL753=1,DS$7,0)</f>
        <v>0</v>
      </c>
      <c r="DT753">
        <v>0</v>
      </c>
      <c r="DU753">
        <v>0</v>
      </c>
      <c r="DY753">
        <f>SUM(DT753:DU753)</f>
        <v>0</v>
      </c>
      <c r="DZ753" s="143" t="str">
        <f>IF(DT753=1,"self-calculated DF",IF(DU753=1,"external DF used","explicit C balance"))</f>
        <v>explicit C balance</v>
      </c>
      <c r="EA753">
        <v>1</v>
      </c>
      <c r="EB753">
        <v>1</v>
      </c>
      <c r="EC753">
        <v>1</v>
      </c>
      <c r="ED753">
        <v>0</v>
      </c>
      <c r="EE753">
        <v>0</v>
      </c>
      <c r="EF753" s="143">
        <v>0</v>
      </c>
      <c r="EG753">
        <v>0</v>
      </c>
      <c r="EH753">
        <v>0</v>
      </c>
      <c r="EI753">
        <v>0</v>
      </c>
      <c r="EJ753">
        <v>0</v>
      </c>
      <c r="EK753">
        <v>1</v>
      </c>
      <c r="EL753">
        <v>0</v>
      </c>
      <c r="EM753">
        <v>0</v>
      </c>
      <c r="EN753" s="2">
        <v>0</v>
      </c>
      <c r="EP753" t="str">
        <f>IF(AND(AND(AND(OR($EC753=1,$EB753=1),OR($EH753=1,$EF753=1)),SUM($EA753:$EE753,$EK753)&gt;=3),SUM($EF753:$EJ753)&gt;=2),"Whole sector approach","")</f>
        <v/>
      </c>
      <c r="EQ753" t="str">
        <f>IF(AND(AND(OR($EC753=1,$EB753=1),AND($EH753=0,$EF753=0)),SUM($EA753:$EE753,$EK753)&gt;=4),"Ecosystem approach","")</f>
        <v>Ecosystem approach</v>
      </c>
      <c r="ER753" s="2" t="str">
        <f>IF(AND(AND(AND($EC753=0,$EB753=0),OR($EH753=1,$EF753=1)),SUM($EG753:$EJ753)&gt;=2),"Technology approach","")</f>
        <v/>
      </c>
      <c r="ES753" t="str">
        <f>IF(AND($EC753+$EB753+$EE753+$EA753+$ED753+$EG753=0,$N753="included"),"C neutral forest and HWP assumption","")</f>
        <v/>
      </c>
      <c r="ET753" t="str">
        <f>IF(AND(AND(AND(AND($EC753=1,$EB753+$EA753+$EG753&gt;=1),$EF753=1),$EH753+$EI753+$ED753+$EE753&gt;=2),$N753="included"),"All C pools assumption","")</f>
        <v/>
      </c>
      <c r="EU753" t="str">
        <f>IF(AND($ED753+$EE753+$EI753+$EH753+$EF753=0,$N753="included"),"In-situ only assumption","")</f>
        <v>In-situ only assumption</v>
      </c>
      <c r="EV753" s="328" t="s">
        <v>5065</v>
      </c>
      <c r="EW753" t="s">
        <v>2198</v>
      </c>
      <c r="EY753" t="str">
        <f>IF(ISNUMBER(BW753),IF(ABS(BW753-[2]QC_indicators!$B$2)&gt;3*[2]QC_indicators!$C$2,"C ratio",IF(ISNUMBER(CA753),IF(ABS(CA753-[2]QC_indicators!$B$1)&gt;3*[2]QC_indicators!$C$1,"DF","no"))),IF(ISNUMBER(CA753),IF(ABS(CA753-[2]QC_indicators!$B$1)&gt;3*[2]QC_indicators!$C$1,"DF","no")))</f>
        <v>no</v>
      </c>
      <c r="FA753" t="str">
        <f>IF(LEN($CY753)=0,"",IF(AND($CY753&lt;(-0.05),$ES753="C neutral forest and HWP assumption"),"Cneutral paradox",IF(AND($CY753&gt;0.05,$EU753="In-situ only assumption"),"In-situ only paradox","")))</f>
        <v/>
      </c>
      <c r="FD753" s="260" t="s">
        <v>2929</v>
      </c>
    </row>
    <row r="754" spans="1:160" ht="15" customHeight="1">
      <c r="A754" s="1" t="s">
        <v>1230</v>
      </c>
      <c r="B754" t="s">
        <v>1308</v>
      </c>
      <c r="C754" t="s">
        <v>1309</v>
      </c>
      <c r="D754" t="s">
        <v>1310</v>
      </c>
      <c r="E754" t="s">
        <v>1311</v>
      </c>
      <c r="F754" t="s">
        <v>1312</v>
      </c>
      <c r="G754" t="s">
        <v>1231</v>
      </c>
      <c r="H754" t="s">
        <v>254</v>
      </c>
      <c r="I754">
        <v>2011</v>
      </c>
      <c r="J754">
        <v>0</v>
      </c>
      <c r="K754" t="s">
        <v>1313</v>
      </c>
      <c r="M754" t="str">
        <f>LEFT($D754,FIND(",",$D754)-1)&amp;"_"&amp;I754&amp;L754</f>
        <v>Elgie_2011</v>
      </c>
      <c r="N754" t="s">
        <v>222</v>
      </c>
      <c r="O754" s="145" t="s">
        <v>274</v>
      </c>
      <c r="Q754" s="317" t="s">
        <v>256</v>
      </c>
      <c r="R754" s="318" t="s">
        <v>1029</v>
      </c>
      <c r="S754" s="1" t="s">
        <v>1314</v>
      </c>
      <c r="T754" t="s">
        <v>1315</v>
      </c>
      <c r="U754" t="s">
        <v>1319</v>
      </c>
      <c r="V754">
        <v>1</v>
      </c>
      <c r="W754">
        <v>0</v>
      </c>
      <c r="X754">
        <v>2</v>
      </c>
      <c r="Y754">
        <v>0</v>
      </c>
      <c r="Z754">
        <v>2</v>
      </c>
      <c r="AA754">
        <v>2</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1</v>
      </c>
      <c r="AY754">
        <v>0</v>
      </c>
      <c r="AZ754" s="141">
        <f>COUNTIF(X754:AY754,"&lt;&gt;0")</f>
        <v>4</v>
      </c>
      <c r="BA754" s="141">
        <f>COUNTIF(X754:AN754,"&lt;&gt;0")</f>
        <v>3</v>
      </c>
      <c r="BB754">
        <f>COUNTIF(X754:AE754,"&lt;&gt;0")</f>
        <v>3</v>
      </c>
      <c r="BC754">
        <f>COUNTIF(AF754:AK754,"&lt;&gt;0")</f>
        <v>0</v>
      </c>
      <c r="BD754">
        <f>COUNTIF(AL754:AN754,"&lt;&gt;0")</f>
        <v>0</v>
      </c>
      <c r="BE754">
        <f>COUNTIF(AU754:AY754,"&lt;&gt;0")</f>
        <v>1</v>
      </c>
      <c r="BF754">
        <f>COUNTIF(AO754:AT754,"&lt;&gt;0")</f>
        <v>0</v>
      </c>
      <c r="BG754" t="str" cm="1">
        <f t="array" ref="BG754">IF(BA754=1,INDEX($X$7:$AN$7,MATCH(TRUE,INDEX($X754:$AY754&lt;&gt;0,),0)),IF(BA754=0,INDEX($AO$7:$AY$7,MATCH(1,$AO754:$AY754,0)),IF(BH754="Multiple strategies","mixed drivers",IF(BH754="Supply chain","multiple supply","multiple silviculture"))))</f>
        <v>multiple silviculture</v>
      </c>
      <c r="BH754" s="2" t="str" cm="1">
        <f t="array" ref="BH754">IF(COUNTIF(BB754:BD754,"&lt;&gt;0")=1,INDEX($X$4:$AY$4,MATCH(TRUE,INDEX($X754:$AY754&lt;&gt;0,),0)),IF(COUNTIF(BB754:BD754,"&lt;&gt;0")=0,INDEX($AO$4:$AY$4,MATCH(1,$AO754:$AY754,0)),"Multiple strategies"))</f>
        <v>Silviculture for removals</v>
      </c>
      <c r="BI754" s="1" t="s">
        <v>321</v>
      </c>
      <c r="BJ754" t="s">
        <v>1317</v>
      </c>
      <c r="BK754" s="141" t="s">
        <v>4920</v>
      </c>
      <c r="BL754" t="s">
        <v>1197</v>
      </c>
      <c r="BM754">
        <v>0</v>
      </c>
      <c r="BN754">
        <v>161.3345306206223</v>
      </c>
      <c r="BP754">
        <f>BN754-BM754</f>
        <v>161.3345306206223</v>
      </c>
      <c r="BQ754">
        <f>BP754*10^6</f>
        <v>161334530.62062231</v>
      </c>
      <c r="BR754" t="s">
        <v>232</v>
      </c>
      <c r="BS754" s="141" t="s">
        <v>4921</v>
      </c>
      <c r="BT754" t="s">
        <v>1232</v>
      </c>
      <c r="BU754">
        <v>269.14893617021198</v>
      </c>
      <c r="BV754">
        <v>261.063829787234</v>
      </c>
      <c r="BW754" s="144">
        <f>IFERROR(BV754/BU754,"")</f>
        <v>0.96996047430830301</v>
      </c>
      <c r="BX754">
        <f>BV754-BU754</f>
        <v>-8.0851063829779832</v>
      </c>
      <c r="BZ754">
        <f>BX754*10^6*C_to_CO2</f>
        <v>-29672340.425529197</v>
      </c>
      <c r="CA754">
        <f>IFERROR(BZ754/BQ754,"")</f>
        <v>-0.18391810055408175</v>
      </c>
      <c r="CB754">
        <v>0</v>
      </c>
      <c r="CC754">
        <v>0</v>
      </c>
      <c r="CD754">
        <v>0</v>
      </c>
      <c r="CE754">
        <v>0</v>
      </c>
      <c r="CF754">
        <v>0</v>
      </c>
      <c r="CG754">
        <v>0</v>
      </c>
      <c r="CH754">
        <v>0</v>
      </c>
      <c r="CI754">
        <v>0</v>
      </c>
      <c r="CJ754">
        <v>0</v>
      </c>
      <c r="CK754">
        <v>0</v>
      </c>
      <c r="CL754">
        <v>0</v>
      </c>
      <c r="CM754">
        <v>0</v>
      </c>
      <c r="CN754">
        <v>0</v>
      </c>
      <c r="CO754">
        <v>1</v>
      </c>
      <c r="CP754" t="str">
        <f>IF($BN754&lt;$BM754,"refNeedCorrection","refOK")</f>
        <v>refOK</v>
      </c>
      <c r="CQ754">
        <f>IF($CP754="refOK",$BM754,$BN754)</f>
        <v>0</v>
      </c>
      <c r="CR754">
        <f>IF($CP754="refOK",$BN754,$BM754)</f>
        <v>161.3345306206223</v>
      </c>
      <c r="CS754">
        <f>IF($CP754="refOK",$BQ754,-$BQ754)</f>
        <v>161334530.62062231</v>
      </c>
      <c r="CT754">
        <f>IF(BI754="Roundwood",$CS754/2,$CS754)</f>
        <v>80667265.310311154</v>
      </c>
      <c r="CU754">
        <f>IF($CP754="refOK",$BU754,$BV754)*IF($BR754="Emissions positive",-1,1)</f>
        <v>269.14893617021198</v>
      </c>
      <c r="CV754">
        <f>IF($CP754="refOK",$BV754,$BU754)*IF($BR754="Emissions positive",-1,1)</f>
        <v>261.063829787234</v>
      </c>
      <c r="CW754">
        <f>IF($CP754="refNeedCorrection",-BZ754,BZ754)*IF($BR754="Emissions positive",-1,1)</f>
        <v>-29672340.425529197</v>
      </c>
      <c r="CX754">
        <f>IFERROR($CW754/$CS754,"")</f>
        <v>-0.18391810055408175</v>
      </c>
      <c r="CY754">
        <f>IFERROR($CW754/$CS754,"")</f>
        <v>-0.18391810055408175</v>
      </c>
      <c r="CZ754">
        <f>IFERROR($CW754/$CT754,"")</f>
        <v>-0.36783620110816351</v>
      </c>
      <c r="DA754" s="2">
        <f>IFERROR((CV754-CU754)/ABS(CU754),"")</f>
        <v>-3.0039525691696944E-2</v>
      </c>
      <c r="DB754" s="1" t="s">
        <v>1074</v>
      </c>
      <c r="DC754" s="317" t="str">
        <f>IF(OR($DB754="prd",$DB754="std",$DB754="cit"),"loc",IF(OR($DB754="eur",$DB754="reg",$DB754="coy"),"reg",$DB754))</f>
        <v>reg</v>
      </c>
      <c r="DD754" t="s">
        <v>527</v>
      </c>
      <c r="DG754">
        <v>200</v>
      </c>
      <c r="DH754" t="str">
        <f>IF(DG754=0,"0",IF(AND(DG754&gt;=1,DG754&lt;=30),"1-30",IF(AND(DG754&gt;30,DG754&lt;=70),"31-70",IF(AND(DG754&gt;70,DG754&lt;=100),"71-100",IF(DG754&gt;100,"+100")))))</f>
        <v>+100</v>
      </c>
      <c r="DI754">
        <v>1</v>
      </c>
      <c r="DJ754">
        <v>0</v>
      </c>
      <c r="DK754">
        <v>0</v>
      </c>
      <c r="DL754">
        <v>0</v>
      </c>
      <c r="DN754">
        <f>SUM(DI754:DL754)</f>
        <v>1</v>
      </c>
      <c r="DO754" t="str">
        <f>IF(DN754=1,INDEX($DI$7:$DL$7,MATCH(1,$DI754:$DL754,0)),"mixedProduct")</f>
        <v>UpstreamInput</v>
      </c>
      <c r="DP754" t="str">
        <f>IF(DI754=1,DP$7,0)</f>
        <v>Upstream</v>
      </c>
      <c r="DQ754">
        <f>IF(DJ754=1,DQ$7,0)</f>
        <v>0</v>
      </c>
      <c r="DR754">
        <f>IF(DK754=1,DR$7,0)</f>
        <v>0</v>
      </c>
      <c r="DS754">
        <f>IF(DL754=1,DS$7,0)</f>
        <v>0</v>
      </c>
      <c r="DT754">
        <v>0</v>
      </c>
      <c r="DU754">
        <v>0</v>
      </c>
      <c r="DV754">
        <v>0</v>
      </c>
      <c r="DW754">
        <v>0</v>
      </c>
      <c r="DX754">
        <v>0</v>
      </c>
      <c r="DY754">
        <f>SUM(DT754:DU754)</f>
        <v>0</v>
      </c>
      <c r="DZ754" s="143" t="str">
        <f>IF(DT754=1,"self-calculated DF",IF(DU754=1,"external DF used","explicit C balance"))</f>
        <v>explicit C balance</v>
      </c>
      <c r="EA754">
        <v>1</v>
      </c>
      <c r="EB754">
        <v>0</v>
      </c>
      <c r="EC754">
        <v>1</v>
      </c>
      <c r="ED754">
        <v>0</v>
      </c>
      <c r="EE754">
        <v>0</v>
      </c>
      <c r="EF754" s="143">
        <v>0</v>
      </c>
      <c r="EG754">
        <v>0</v>
      </c>
      <c r="EH754">
        <v>0</v>
      </c>
      <c r="EI754">
        <v>0</v>
      </c>
      <c r="EJ754">
        <v>0</v>
      </c>
      <c r="EK754">
        <v>1</v>
      </c>
      <c r="EL754">
        <v>0</v>
      </c>
      <c r="EM754">
        <v>0</v>
      </c>
      <c r="EN754" s="2">
        <v>1</v>
      </c>
      <c r="EP754" t="str">
        <f>IF(AND(AND(AND(OR($EC754=1,$EB754=1),OR($EH754=1,$EF754=1)),SUM($EA754:$EE754,$EK754)&gt;=3),SUM($EF754:$EJ754)&gt;=2),"Whole sector approach","")</f>
        <v/>
      </c>
      <c r="EQ754" t="str">
        <f>IF(AND(AND(OR($EC754=1,$EB754=1),AND($EH754=0,$EF754=0)),SUM($EA754:$EE754,$EK754)&gt;=3),"Ecosystem approach","")</f>
        <v>Ecosystem approach</v>
      </c>
      <c r="ER754" s="2" t="str">
        <f>IF(AND(AND(AND($EC754=0,$EB754=0),OR($EH754=1,$EF754=1)),SUM($EG754:$EJ754)&gt;=2),"Technology approach","")</f>
        <v/>
      </c>
      <c r="ES754" t="str">
        <f>IF(AND($EC754+$EB754+$EE754+$EA754+$ED754+$EG754=0,$N754="included"),"C neutral forest and HWP assumption","")</f>
        <v/>
      </c>
      <c r="ET754" t="str">
        <f>IF(AND(AND(AND(AND($EC754=1,$EB754+$EA754+$EG754&gt;=1),$EF754=1),$EH754+$EI754+$ED754+$EE754&gt;=2),$N754="included"),"All C pools assumption","")</f>
        <v/>
      </c>
      <c r="EU754" t="str">
        <f>IF(AND($ED754+$EE754+$EI754+$EH754+$EF754=0,$N754="included"),"In-situ only assumption","")</f>
        <v>In-situ only assumption</v>
      </c>
      <c r="EY754" t="str">
        <f>IF(ISNUMBER(BW754),IF(ABS(BW754-[4]QC_indicators!$B$2)&gt;3*[4]QC_indicators!$C$2,"C ratio",IF(ISNUMBER(CA754),IF(ABS(CA754-[4]QC_indicators!$B$1)&gt;3*[4]QC_indicators!$C$1,"DF","no"))),IF(ISNUMBER(CA754),IF(ABS(CA754-[4]QC_indicators!$B$1)&gt;3*[4]QC_indicators!$C$1,"DF","no")))</f>
        <v>no</v>
      </c>
      <c r="EZ754" t="s">
        <v>286</v>
      </c>
      <c r="FA754" t="str">
        <f>IF(LEN($CY754)=0,"",IF(AND($CY754&lt;(-0.05),$ES754="C neutral forest and HWP assumption"),"Cneutral paradox",IF(AND($CY754&gt;0.05,$EU754="In-situ only assumption"),"In-situ only paradox","")))</f>
        <v/>
      </c>
    </row>
    <row r="755" spans="1:160" ht="15" customHeight="1">
      <c r="A755" s="1" t="s">
        <v>1230</v>
      </c>
      <c r="B755" t="s">
        <v>1308</v>
      </c>
      <c r="C755" t="s">
        <v>1309</v>
      </c>
      <c r="D755" t="s">
        <v>1310</v>
      </c>
      <c r="E755" t="s">
        <v>1311</v>
      </c>
      <c r="F755" t="s">
        <v>1312</v>
      </c>
      <c r="G755" t="s">
        <v>1231</v>
      </c>
      <c r="H755" t="s">
        <v>254</v>
      </c>
      <c r="I755">
        <v>2011</v>
      </c>
      <c r="J755">
        <v>0</v>
      </c>
      <c r="K755" t="s">
        <v>1313</v>
      </c>
      <c r="M755" t="str">
        <f>LEFT($D755,FIND(",",$D755)-1)&amp;"_"&amp;I755&amp;L755</f>
        <v>Elgie_2011</v>
      </c>
      <c r="N755" t="s">
        <v>222</v>
      </c>
      <c r="O755" s="145" t="s">
        <v>274</v>
      </c>
      <c r="Q755" s="317" t="s">
        <v>256</v>
      </c>
      <c r="R755" s="318" t="s">
        <v>1029</v>
      </c>
      <c r="S755" s="1" t="s">
        <v>1314</v>
      </c>
      <c r="T755" t="s">
        <v>1315</v>
      </c>
      <c r="U755" t="s">
        <v>1318</v>
      </c>
      <c r="V755">
        <v>1</v>
      </c>
      <c r="W755">
        <v>0</v>
      </c>
      <c r="X755">
        <v>2</v>
      </c>
      <c r="Y755">
        <v>0</v>
      </c>
      <c r="Z755">
        <v>2</v>
      </c>
      <c r="AA755">
        <v>2</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1</v>
      </c>
      <c r="AY755">
        <v>0</v>
      </c>
      <c r="AZ755" s="141">
        <f>COUNTIF(X755:AY755,"&lt;&gt;0")</f>
        <v>4</v>
      </c>
      <c r="BA755" s="141">
        <f>COUNTIF(X755:AN755,"&lt;&gt;0")</f>
        <v>3</v>
      </c>
      <c r="BB755">
        <f>COUNTIF(X755:AE755,"&lt;&gt;0")</f>
        <v>3</v>
      </c>
      <c r="BC755">
        <f>COUNTIF(AF755:AK755,"&lt;&gt;0")</f>
        <v>0</v>
      </c>
      <c r="BD755">
        <f>COUNTIF(AL755:AN755,"&lt;&gt;0")</f>
        <v>0</v>
      </c>
      <c r="BE755">
        <f>COUNTIF(AU755:AY755,"&lt;&gt;0")</f>
        <v>1</v>
      </c>
      <c r="BF755">
        <f>COUNTIF(AO755:AT755,"&lt;&gt;0")</f>
        <v>0</v>
      </c>
      <c r="BG755" t="str" cm="1">
        <f t="array" ref="BG755">IF(BA755=1,INDEX($X$7:$AN$7,MATCH(TRUE,INDEX($X755:$AY755&lt;&gt;0,),0)),IF(BA755=0,INDEX($AO$7:$AY$7,MATCH(1,$AO755:$AY755,0)),IF(BH755="Multiple strategies","mixed drivers",IF(BH755="Supply chain","multiple supply","multiple silviculture"))))</f>
        <v>multiple silviculture</v>
      </c>
      <c r="BH755" s="2" t="str" cm="1">
        <f t="array" ref="BH755">IF(COUNTIF(BB755:BD755,"&lt;&gt;0")=1,INDEX($X$4:$AY$4,MATCH(TRUE,INDEX($X755:$AY755&lt;&gt;0,),0)),IF(COUNTIF(BB755:BD755,"&lt;&gt;0")=0,INDEX($AO$4:$AY$4,MATCH(1,$AO755:$AY755,0)),"Multiple strategies"))</f>
        <v>Silviculture for removals</v>
      </c>
      <c r="BI755" s="1" t="s">
        <v>321</v>
      </c>
      <c r="BJ755" t="s">
        <v>1317</v>
      </c>
      <c r="BK755" s="141" t="s">
        <v>4920</v>
      </c>
      <c r="BL755" t="s">
        <v>1197</v>
      </c>
      <c r="BM755">
        <v>0</v>
      </c>
      <c r="BN755">
        <v>279.58580701439303</v>
      </c>
      <c r="BP755">
        <f>BN755-BM755</f>
        <v>279.58580701439303</v>
      </c>
      <c r="BQ755">
        <f>BP755*10^6</f>
        <v>279585807.01439303</v>
      </c>
      <c r="BR755" t="s">
        <v>232</v>
      </c>
      <c r="BS755" s="141" t="s">
        <v>4921</v>
      </c>
      <c r="BT755" t="s">
        <v>1232</v>
      </c>
      <c r="BU755">
        <v>269.14893617021198</v>
      </c>
      <c r="BV755">
        <v>221.063829787234</v>
      </c>
      <c r="BW755" s="144">
        <f>IFERROR(BV755/BU755,"")</f>
        <v>0.82134387351778881</v>
      </c>
      <c r="BX755">
        <f>BV755-BU755</f>
        <v>-48.085106382977983</v>
      </c>
      <c r="BZ755">
        <f>BX755*10^6*C_to_CO2</f>
        <v>-176472340.42552921</v>
      </c>
      <c r="CA755">
        <f>IFERROR(BZ755/BQ755,"")</f>
        <v>-0.63119205624212693</v>
      </c>
      <c r="CB755">
        <v>0</v>
      </c>
      <c r="CC755">
        <v>0</v>
      </c>
      <c r="CD755">
        <v>0</v>
      </c>
      <c r="CE755">
        <v>0</v>
      </c>
      <c r="CF755">
        <v>0</v>
      </c>
      <c r="CG755">
        <v>0</v>
      </c>
      <c r="CH755">
        <v>0</v>
      </c>
      <c r="CI755">
        <v>0</v>
      </c>
      <c r="CJ755">
        <v>0</v>
      </c>
      <c r="CK755">
        <v>0</v>
      </c>
      <c r="CL755">
        <v>0</v>
      </c>
      <c r="CM755">
        <v>0</v>
      </c>
      <c r="CN755">
        <v>0</v>
      </c>
      <c r="CO755">
        <v>1</v>
      </c>
      <c r="CP755" t="str">
        <f>IF($BN755&lt;$BM755,"refNeedCorrection","refOK")</f>
        <v>refOK</v>
      </c>
      <c r="CQ755">
        <f>IF($CP755="refOK",$BM755,$BN755)</f>
        <v>0</v>
      </c>
      <c r="CR755">
        <f>IF($CP755="refOK",$BN755,$BM755)</f>
        <v>279.58580701439303</v>
      </c>
      <c r="CS755">
        <f>IF($CP755="refOK",$BQ755,-$BQ755)</f>
        <v>279585807.01439303</v>
      </c>
      <c r="CT755">
        <f>IF(BI755="Roundwood",$CS755/2,$CS755)</f>
        <v>139792903.50719652</v>
      </c>
      <c r="CU755">
        <f>IF($CP755="refOK",$BU755,$BV755)*IF($BR755="Emissions positive",-1,1)</f>
        <v>269.14893617021198</v>
      </c>
      <c r="CV755">
        <f>IF($CP755="refOK",$BV755,$BU755)*IF($BR755="Emissions positive",-1,1)</f>
        <v>221.063829787234</v>
      </c>
      <c r="CW755">
        <f>IF($CP755="refNeedCorrection",-BZ755,BZ755)*IF($BR755="Emissions positive",-1,1)</f>
        <v>-176472340.42552921</v>
      </c>
      <c r="CX755">
        <f>IFERROR($CW755/$CS755,"")</f>
        <v>-0.63119205624212693</v>
      </c>
      <c r="CY755">
        <f>IFERROR($CW755/$CS755,"")</f>
        <v>-0.63119205624212693</v>
      </c>
      <c r="CZ755">
        <f>IFERROR($CW755/$CT755,"")</f>
        <v>-1.2623841124842539</v>
      </c>
      <c r="DA755" s="2">
        <f>IFERROR((CV755-CU755)/ABS(CU755),"")</f>
        <v>-0.17865612648221121</v>
      </c>
      <c r="DB755" s="1" t="s">
        <v>1074</v>
      </c>
      <c r="DC755" s="317" t="str">
        <f>IF(OR($DB755="prd",$DB755="std",$DB755="cit"),"loc",IF(OR($DB755="eur",$DB755="reg",$DB755="coy"),"reg",$DB755))</f>
        <v>reg</v>
      </c>
      <c r="DD755" t="s">
        <v>527</v>
      </c>
      <c r="DG755">
        <v>200</v>
      </c>
      <c r="DH755" t="str">
        <f>IF(DG755=0,"0",IF(AND(DG755&gt;=1,DG755&lt;=30),"1-30",IF(AND(DG755&gt;30,DG755&lt;=70),"31-70",IF(AND(DG755&gt;70,DG755&lt;=100),"71-100",IF(DG755&gt;100,"+100")))))</f>
        <v>+100</v>
      </c>
      <c r="DI755">
        <v>1</v>
      </c>
      <c r="DJ755">
        <v>0</v>
      </c>
      <c r="DK755">
        <v>0</v>
      </c>
      <c r="DL755">
        <v>0</v>
      </c>
      <c r="DN755">
        <f>SUM(DI755:DL755)</f>
        <v>1</v>
      </c>
      <c r="DO755" t="str">
        <f>IF(DN755=1,INDEX($DI$7:$DL$7,MATCH(1,$DI755:$DL755,0)),"mixedProduct")</f>
        <v>UpstreamInput</v>
      </c>
      <c r="DP755" t="str">
        <f>IF(DI755=1,DP$7,0)</f>
        <v>Upstream</v>
      </c>
      <c r="DQ755">
        <f>IF(DJ755=1,DQ$7,0)</f>
        <v>0</v>
      </c>
      <c r="DR755">
        <f>IF(DK755=1,DR$7,0)</f>
        <v>0</v>
      </c>
      <c r="DS755">
        <f>IF(DL755=1,DS$7,0)</f>
        <v>0</v>
      </c>
      <c r="DT755">
        <v>0</v>
      </c>
      <c r="DU755">
        <v>0</v>
      </c>
      <c r="DV755">
        <v>0</v>
      </c>
      <c r="DW755">
        <v>0</v>
      </c>
      <c r="DX755">
        <v>0</v>
      </c>
      <c r="DY755">
        <f>SUM(DT755:DU755)</f>
        <v>0</v>
      </c>
      <c r="DZ755" s="143" t="str">
        <f>IF(DT755=1,"self-calculated DF",IF(DU755=1,"external DF used","explicit C balance"))</f>
        <v>explicit C balance</v>
      </c>
      <c r="EA755">
        <v>1</v>
      </c>
      <c r="EB755">
        <v>0</v>
      </c>
      <c r="EC755">
        <v>1</v>
      </c>
      <c r="ED755">
        <v>0</v>
      </c>
      <c r="EE755">
        <v>0</v>
      </c>
      <c r="EF755" s="143">
        <v>0</v>
      </c>
      <c r="EG755">
        <v>0</v>
      </c>
      <c r="EH755">
        <v>0</v>
      </c>
      <c r="EI755">
        <v>0</v>
      </c>
      <c r="EJ755">
        <v>0</v>
      </c>
      <c r="EK755">
        <v>1</v>
      </c>
      <c r="EL755">
        <v>0</v>
      </c>
      <c r="EM755">
        <v>0</v>
      </c>
      <c r="EN755" s="2">
        <v>1</v>
      </c>
      <c r="EP755" t="str">
        <f>IF(AND(AND(AND(OR($EC755=1,$EB755=1),OR($EH755=1,$EF755=1)),SUM($EA755:$EE755,$EK755)&gt;=3),SUM($EF755:$EJ755)&gt;=2),"Whole sector approach","")</f>
        <v/>
      </c>
      <c r="EQ755" t="str">
        <f>IF(AND(AND(OR($EC755=1,$EB755=1),AND($EH755=0,$EF755=0)),SUM($EA755:$EE755,$EK755)&gt;=3),"Ecosystem approach","")</f>
        <v>Ecosystem approach</v>
      </c>
      <c r="ER755" s="2" t="str">
        <f>IF(AND(AND(AND($EC755=0,$EB755=0),OR($EH755=1,$EF755=1)),SUM($EG755:$EJ755)&gt;=2),"Technology approach","")</f>
        <v/>
      </c>
      <c r="ES755" t="str">
        <f>IF(AND($EC755+$EB755+$EE755+$EA755+$ED755+$EG755=0,$N755="included"),"C neutral forest and HWP assumption","")</f>
        <v/>
      </c>
      <c r="ET755" t="str">
        <f>IF(AND(AND(AND(AND($EC755=1,$EB755+$EA755+$EG755&gt;=1),$EF755=1),$EH755+$EI755+$ED755+$EE755&gt;=2),$N755="included"),"All C pools assumption","")</f>
        <v/>
      </c>
      <c r="EU755" t="str">
        <f>IF(AND($ED755+$EE755+$EI755+$EH755+$EF755=0,$N755="included"),"In-situ only assumption","")</f>
        <v>In-situ only assumption</v>
      </c>
      <c r="EY755" t="str">
        <f>IF(ISNUMBER(BW755),IF(ABS(BW755-[4]QC_indicators!$B$2)&gt;3*[4]QC_indicators!$C$2,"C ratio",IF(ISNUMBER(CA755),IF(ABS(CA755-[4]QC_indicators!$B$1)&gt;3*[4]QC_indicators!$C$1,"DF","no"))),IF(ISNUMBER(CA755),IF(ABS(CA755-[4]QC_indicators!$B$1)&gt;3*[4]QC_indicators!$C$1,"DF","no")))</f>
        <v>no</v>
      </c>
      <c r="EZ755" t="s">
        <v>286</v>
      </c>
      <c r="FA755" t="str">
        <f>IF(LEN($CY755)=0,"",IF(AND($CY755&lt;(-0.05),$ES755="C neutral forest and HWP assumption"),"Cneutral paradox",IF(AND($CY755&gt;0.05,$EU755="In-situ only assumption"),"In-situ only paradox","")))</f>
        <v/>
      </c>
    </row>
    <row r="756" spans="1:160" ht="15" customHeight="1">
      <c r="A756" s="1" t="s">
        <v>1230</v>
      </c>
      <c r="B756" t="s">
        <v>1308</v>
      </c>
      <c r="C756" t="s">
        <v>1309</v>
      </c>
      <c r="D756" t="s">
        <v>1310</v>
      </c>
      <c r="E756" t="s">
        <v>1311</v>
      </c>
      <c r="F756" t="s">
        <v>1312</v>
      </c>
      <c r="G756" t="s">
        <v>1231</v>
      </c>
      <c r="H756" t="s">
        <v>254</v>
      </c>
      <c r="I756">
        <v>2011</v>
      </c>
      <c r="J756">
        <v>0</v>
      </c>
      <c r="K756" t="s">
        <v>1313</v>
      </c>
      <c r="M756" t="str">
        <f>LEFT($D756,FIND(",",$D756)-1)&amp;"_"&amp;I756&amp;L756</f>
        <v>Elgie_2011</v>
      </c>
      <c r="N756" t="s">
        <v>222</v>
      </c>
      <c r="O756" s="145" t="s">
        <v>274</v>
      </c>
      <c r="Q756" s="317" t="s">
        <v>256</v>
      </c>
      <c r="R756" s="318" t="s">
        <v>1029</v>
      </c>
      <c r="S756" s="1" t="s">
        <v>1314</v>
      </c>
      <c r="T756" t="s">
        <v>1315</v>
      </c>
      <c r="U756" t="s">
        <v>1316</v>
      </c>
      <c r="V756">
        <v>1</v>
      </c>
      <c r="W756">
        <v>0</v>
      </c>
      <c r="X756">
        <v>2</v>
      </c>
      <c r="Y756">
        <v>0</v>
      </c>
      <c r="Z756">
        <v>2</v>
      </c>
      <c r="AA756">
        <v>2</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1</v>
      </c>
      <c r="AY756">
        <v>0</v>
      </c>
      <c r="AZ756" s="141">
        <f>COUNTIF(X756:AY756,"&lt;&gt;0")</f>
        <v>4</v>
      </c>
      <c r="BA756" s="141">
        <f>COUNTIF(X756:AN756,"&lt;&gt;0")</f>
        <v>3</v>
      </c>
      <c r="BB756">
        <f>COUNTIF(X756:AE756,"&lt;&gt;0")</f>
        <v>3</v>
      </c>
      <c r="BC756">
        <f>COUNTIF(AF756:AK756,"&lt;&gt;0")</f>
        <v>0</v>
      </c>
      <c r="BD756">
        <f>COUNTIF(AL756:AN756,"&lt;&gt;0")</f>
        <v>0</v>
      </c>
      <c r="BE756">
        <f>COUNTIF(AU756:AY756,"&lt;&gt;0")</f>
        <v>1</v>
      </c>
      <c r="BF756">
        <f>COUNTIF(AO756:AT756,"&lt;&gt;0")</f>
        <v>0</v>
      </c>
      <c r="BG756" t="str" cm="1">
        <f t="array" ref="BG756">IF(BA756=1,INDEX($X$7:$AN$7,MATCH(TRUE,INDEX($X756:$AY756&lt;&gt;0,),0)),IF(BA756=0,INDEX($AO$7:$AY$7,MATCH(1,$AO756:$AY756,0)),IF(BH756="Multiple strategies","mixed drivers",IF(BH756="Supply chain","multiple supply","multiple silviculture"))))</f>
        <v>multiple silviculture</v>
      </c>
      <c r="BH756" s="2" t="str" cm="1">
        <f t="array" ref="BH756">IF(COUNTIF(BB756:BD756,"&lt;&gt;0")=1,INDEX($X$4:$AY$4,MATCH(TRUE,INDEX($X756:$AY756&lt;&gt;0,),0)),IF(COUNTIF(BB756:BD756,"&lt;&gt;0")=0,INDEX($AO$4:$AY$4,MATCH(1,$AO756:$AY756,0)),"Multiple strategies"))</f>
        <v>Silviculture for removals</v>
      </c>
      <c r="BI756" s="1" t="s">
        <v>321</v>
      </c>
      <c r="BJ756" t="s">
        <v>1317</v>
      </c>
      <c r="BK756" s="141" t="s">
        <v>4920</v>
      </c>
      <c r="BL756" t="s">
        <v>1197</v>
      </c>
      <c r="BM756">
        <v>0</v>
      </c>
      <c r="BN756">
        <v>286.60902583574921</v>
      </c>
      <c r="BP756">
        <f>BN756-BM756</f>
        <v>286.60902583574921</v>
      </c>
      <c r="BQ756">
        <f>BP756*10^6</f>
        <v>286609025.83574921</v>
      </c>
      <c r="BR756" t="s">
        <v>232</v>
      </c>
      <c r="BS756" s="141" t="s">
        <v>4921</v>
      </c>
      <c r="BT756" t="s">
        <v>1232</v>
      </c>
      <c r="BU756">
        <v>269.14893617021198</v>
      </c>
      <c r="BV756">
        <v>217.87234042553101</v>
      </c>
      <c r="BW756" s="144">
        <f>IFERROR(BV756/BU756,"")</f>
        <v>0.80948616600790413</v>
      </c>
      <c r="BX756">
        <f>BV756-BU756</f>
        <v>-51.276595744680975</v>
      </c>
      <c r="BZ756">
        <f>BX756*10^6*C_to_CO2</f>
        <v>-188185106.38297918</v>
      </c>
      <c r="CA756">
        <f>IFERROR(BZ756/BQ756,"")</f>
        <v>-0.65659169607179391</v>
      </c>
      <c r="CB756">
        <v>0</v>
      </c>
      <c r="CC756">
        <v>0</v>
      </c>
      <c r="CD756">
        <v>0</v>
      </c>
      <c r="CE756">
        <v>0</v>
      </c>
      <c r="CF756">
        <v>0</v>
      </c>
      <c r="CG756">
        <v>0</v>
      </c>
      <c r="CH756">
        <v>0</v>
      </c>
      <c r="CI756">
        <v>0</v>
      </c>
      <c r="CJ756">
        <v>0</v>
      </c>
      <c r="CK756">
        <v>0</v>
      </c>
      <c r="CL756">
        <v>0</v>
      </c>
      <c r="CM756">
        <v>0</v>
      </c>
      <c r="CN756">
        <v>0</v>
      </c>
      <c r="CO756">
        <v>1</v>
      </c>
      <c r="CP756" t="str">
        <f>IF($BN756&lt;$BM756,"refNeedCorrection","refOK")</f>
        <v>refOK</v>
      </c>
      <c r="CQ756">
        <f>IF($CP756="refOK",$BM756,$BN756)</f>
        <v>0</v>
      </c>
      <c r="CR756">
        <f>IF($CP756="refOK",$BN756,$BM756)</f>
        <v>286.60902583574921</v>
      </c>
      <c r="CS756">
        <f>IF($CP756="refOK",$BQ756,-$BQ756)</f>
        <v>286609025.83574921</v>
      </c>
      <c r="CT756">
        <f>IF(BI756="Roundwood",$CS756/2,$CS756)</f>
        <v>143304512.9178746</v>
      </c>
      <c r="CU756">
        <f>IF($CP756="refOK",$BU756,$BV756)*IF($BR756="Emissions positive",-1,1)</f>
        <v>269.14893617021198</v>
      </c>
      <c r="CV756">
        <f>IF($CP756="refOK",$BV756,$BU756)*IF($BR756="Emissions positive",-1,1)</f>
        <v>217.87234042553101</v>
      </c>
      <c r="CW756">
        <f>IF($CP756="refNeedCorrection",-BZ756,BZ756)*IF($BR756="Emissions positive",-1,1)</f>
        <v>-188185106.38297918</v>
      </c>
      <c r="CX756">
        <f>IFERROR($CW756/$CS756,"")</f>
        <v>-0.65659169607179391</v>
      </c>
      <c r="CY756">
        <f>IFERROR($CW756/$CS756,"")</f>
        <v>-0.65659169607179391</v>
      </c>
      <c r="CZ756">
        <f>IFERROR($CW756/$CT756,"")</f>
        <v>-1.3131833921435878</v>
      </c>
      <c r="DA756" s="2">
        <f>IFERROR((CV756-CU756)/ABS(CU756),"")</f>
        <v>-0.19051383399209587</v>
      </c>
      <c r="DB756" s="1" t="s">
        <v>1074</v>
      </c>
      <c r="DC756" s="317" t="str">
        <f>IF(OR($DB756="prd",$DB756="std",$DB756="cit"),"loc",IF(OR($DB756="eur",$DB756="reg",$DB756="coy"),"reg",$DB756))</f>
        <v>reg</v>
      </c>
      <c r="DD756" t="s">
        <v>527</v>
      </c>
      <c r="DG756">
        <v>200</v>
      </c>
      <c r="DH756" t="str">
        <f>IF(DG756=0,"0",IF(AND(DG756&gt;=1,DG756&lt;=30),"1-30",IF(AND(DG756&gt;30,DG756&lt;=70),"31-70",IF(AND(DG756&gt;70,DG756&lt;=100),"71-100",IF(DG756&gt;100,"+100")))))</f>
        <v>+100</v>
      </c>
      <c r="DI756">
        <v>1</v>
      </c>
      <c r="DJ756">
        <v>0</v>
      </c>
      <c r="DK756">
        <v>0</v>
      </c>
      <c r="DL756">
        <v>0</v>
      </c>
      <c r="DN756">
        <f>SUM(DI756:DL756)</f>
        <v>1</v>
      </c>
      <c r="DO756" t="str">
        <f>IF(DN756=1,INDEX($DI$7:$DL$7,MATCH(1,$DI756:$DL756,0)),"mixedProduct")</f>
        <v>UpstreamInput</v>
      </c>
      <c r="DP756" t="str">
        <f>IF(DI756=1,DP$7,0)</f>
        <v>Upstream</v>
      </c>
      <c r="DQ756">
        <f>IF(DJ756=1,DQ$7,0)</f>
        <v>0</v>
      </c>
      <c r="DR756">
        <f>IF(DK756=1,DR$7,0)</f>
        <v>0</v>
      </c>
      <c r="DS756">
        <f>IF(DL756=1,DS$7,0)</f>
        <v>0</v>
      </c>
      <c r="DT756">
        <v>0</v>
      </c>
      <c r="DU756">
        <v>0</v>
      </c>
      <c r="DV756">
        <v>0</v>
      </c>
      <c r="DW756">
        <v>0</v>
      </c>
      <c r="DX756">
        <v>0</v>
      </c>
      <c r="DY756">
        <f>SUM(DT756:DU756)</f>
        <v>0</v>
      </c>
      <c r="DZ756" s="143" t="str">
        <f>IF(DT756=1,"self-calculated DF",IF(DU756=1,"external DF used","explicit C balance"))</f>
        <v>explicit C balance</v>
      </c>
      <c r="EA756">
        <v>1</v>
      </c>
      <c r="EB756">
        <v>0</v>
      </c>
      <c r="EC756">
        <v>1</v>
      </c>
      <c r="ED756">
        <v>0</v>
      </c>
      <c r="EE756">
        <v>0</v>
      </c>
      <c r="EF756" s="143">
        <v>0</v>
      </c>
      <c r="EG756">
        <v>0</v>
      </c>
      <c r="EH756">
        <v>0</v>
      </c>
      <c r="EI756">
        <v>0</v>
      </c>
      <c r="EJ756">
        <v>0</v>
      </c>
      <c r="EK756">
        <v>1</v>
      </c>
      <c r="EL756">
        <v>0</v>
      </c>
      <c r="EM756">
        <v>0</v>
      </c>
      <c r="EN756" s="2">
        <v>1</v>
      </c>
      <c r="EP756" t="str">
        <f>IF(AND(AND(AND(OR($EC756=1,$EB756=1),OR($EH756=1,$EF756=1)),SUM($EA756:$EE756,$EK756)&gt;=3),SUM($EF756:$EJ756)&gt;=2),"Whole sector approach","")</f>
        <v/>
      </c>
      <c r="EQ756" t="str">
        <f>IF(AND(AND(OR($EC756=1,$EB756=1),AND($EH756=0,$EF756=0)),SUM($EA756:$EE756,$EK756)&gt;=3),"Ecosystem approach","")</f>
        <v>Ecosystem approach</v>
      </c>
      <c r="ER756" s="2" t="str">
        <f>IF(AND(AND(AND($EC756=0,$EB756=0),OR($EH756=1,$EF756=1)),SUM($EG756:$EJ756)&gt;=2),"Technology approach","")</f>
        <v/>
      </c>
      <c r="ES756" t="str">
        <f>IF(AND($EC756+$EB756+$EE756+$EA756+$ED756+$EG756=0,$N756="included"),"C neutral forest and HWP assumption","")</f>
        <v/>
      </c>
      <c r="ET756" t="str">
        <f>IF(AND(AND(AND(AND($EC756=1,$EB756+$EA756+$EG756&gt;=1),$EF756=1),$EH756+$EI756+$ED756+$EE756&gt;=2),$N756="included"),"All C pools assumption","")</f>
        <v/>
      </c>
      <c r="EU756" t="str">
        <f>IF(AND($ED756+$EE756+$EI756+$EH756+$EF756=0,$N756="included"),"In-situ only assumption","")</f>
        <v>In-situ only assumption</v>
      </c>
      <c r="EY756" t="str">
        <f>IF(ISNUMBER(BW756),IF(ABS(BW756-[4]QC_indicators!$B$2)&gt;3*[4]QC_indicators!$C$2,"C ratio",IF(ISNUMBER(CA756),IF(ABS(CA756-[4]QC_indicators!$B$1)&gt;3*[4]QC_indicators!$C$1,"DF","no"))),IF(ISNUMBER(CA756),IF(ABS(CA756-[4]QC_indicators!$B$1)&gt;3*[4]QC_indicators!$C$1,"DF","no")))</f>
        <v>no</v>
      </c>
      <c r="EZ756" t="s">
        <v>286</v>
      </c>
      <c r="FA756" t="str">
        <f>IF(LEN($CY756)=0,"",IF(AND($CY756&lt;(-0.05),$ES756="C neutral forest and HWP assumption"),"Cneutral paradox",IF(AND($CY756&gt;0.05,$EU756="In-situ only assumption"),"In-situ only paradox","")))</f>
        <v/>
      </c>
    </row>
    <row r="757" spans="1:160" ht="15" hidden="1" customHeight="1">
      <c r="A757" s="1" t="s">
        <v>849</v>
      </c>
      <c r="B757" t="s">
        <v>1637</v>
      </c>
      <c r="C757" t="s">
        <v>1638</v>
      </c>
      <c r="D757" t="s">
        <v>1639</v>
      </c>
      <c r="E757" t="s">
        <v>1640</v>
      </c>
      <c r="F757" t="s">
        <v>1641</v>
      </c>
      <c r="G757" t="s">
        <v>1059</v>
      </c>
      <c r="H757" t="s">
        <v>254</v>
      </c>
      <c r="I757">
        <v>2011</v>
      </c>
      <c r="J757">
        <v>6</v>
      </c>
      <c r="K757" t="s">
        <v>1642</v>
      </c>
      <c r="M757" t="str">
        <f>LEFT($D757,FIND(",",$D757)-1)&amp;"_"&amp;I757&amp;L757</f>
        <v>Kayo_2011</v>
      </c>
      <c r="N757" t="s">
        <v>222</v>
      </c>
      <c r="O757" s="145" t="s">
        <v>508</v>
      </c>
      <c r="Q757" t="s">
        <v>256</v>
      </c>
      <c r="R757" s="251" t="s">
        <v>225</v>
      </c>
      <c r="S757" s="259" t="s">
        <v>3026</v>
      </c>
      <c r="T757" t="s">
        <v>1646</v>
      </c>
      <c r="U757" t="s">
        <v>1647</v>
      </c>
      <c r="V757" s="253">
        <v>0</v>
      </c>
      <c r="W757" s="253">
        <v>0</v>
      </c>
      <c r="X757">
        <v>0</v>
      </c>
      <c r="Y757">
        <v>0</v>
      </c>
      <c r="Z757">
        <v>1</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s="141">
        <f>COUNTIF(X757:AY757,"&lt;&gt;0")</f>
        <v>1</v>
      </c>
      <c r="BA757" s="141">
        <f>COUNTIF(X757:AN757,"&lt;&gt;0")</f>
        <v>1</v>
      </c>
      <c r="BB757">
        <f>COUNTIF(X757:AE757,"&lt;&gt;0")</f>
        <v>1</v>
      </c>
      <c r="BC757">
        <f>COUNTIF(AF757:AK757,"&lt;&gt;0")</f>
        <v>0</v>
      </c>
      <c r="BD757">
        <f>COUNTIF(AL757:AN757,"&lt;&gt;0")</f>
        <v>0</v>
      </c>
      <c r="BE757">
        <f>COUNTIF(AU757:AY757,"&lt;&gt;0")</f>
        <v>0</v>
      </c>
      <c r="BF757">
        <f>COUNTIF(AO757:AT757,"&lt;&gt;0")</f>
        <v>0</v>
      </c>
      <c r="BG757" t="str">
        <f t="array" ref="BG757">IF(BA757=1,INDEX($X$7:$AN$7,MATCH(TRUE,INDEX($X757:$AY757&lt;&gt;0,),0)),IF(BA757=0,INDEX($AO$7:$AY$7,MATCH(1,$AO757:$AY757,0)),IF(BH757="Multiple strategies","mixed drivers",IF(BH757="Supply chain","multiple supply","multiple silviculture"))))</f>
        <v>rotation length</v>
      </c>
      <c r="BH757" s="2" t="str" cm="1">
        <f t="array" ref="BH757">IF(COUNTIF(BB757:BD757,"&lt;&gt;0")=1,INDEX($X$4:$AY$4,MATCH(TRUE,INDEX($X757:$AY757&lt;&gt;0,),0)),IF(COUNTIF(BB757:BD757,"&lt;&gt;0")=0,INDEX($AO$4:$AY$4,MATCH(1,$AO757:$AY757,0)),"Multiple strategies"))</f>
        <v>Silviculture for removals</v>
      </c>
      <c r="BI757" s="1" t="s">
        <v>229</v>
      </c>
      <c r="BJ757" t="s">
        <v>1645</v>
      </c>
      <c r="BK757" s="256" t="s">
        <v>3021</v>
      </c>
      <c r="BL757" s="256" t="s">
        <v>3022</v>
      </c>
      <c r="BM757">
        <v>15</v>
      </c>
      <c r="BN757">
        <v>32</v>
      </c>
      <c r="BO757">
        <f>BN757/BM757</f>
        <v>2.1333333333333333</v>
      </c>
      <c r="BP757">
        <f>BN757-BM757</f>
        <v>17</v>
      </c>
      <c r="BQ757">
        <f>BP757*10^6*t_to_m3</f>
        <v>34693877.551020406</v>
      </c>
      <c r="BR757" t="s">
        <v>232</v>
      </c>
      <c r="BS757" s="256" t="s">
        <v>3030</v>
      </c>
      <c r="BT757" t="s">
        <v>1175</v>
      </c>
      <c r="BV757" s="256"/>
      <c r="BW757" s="144"/>
      <c r="BX757" s="256">
        <v>30</v>
      </c>
      <c r="BZ757">
        <f>BX757*10^6</f>
        <v>30000000</v>
      </c>
      <c r="CA757">
        <f>IFERROR(BZ757/BQ757,"")</f>
        <v>0.86470588235294121</v>
      </c>
      <c r="CB757">
        <v>0</v>
      </c>
      <c r="CC757">
        <v>0</v>
      </c>
      <c r="CD757">
        <v>0</v>
      </c>
      <c r="CE757">
        <v>0</v>
      </c>
      <c r="CF757">
        <v>0</v>
      </c>
      <c r="CG757">
        <v>0</v>
      </c>
      <c r="CH757">
        <v>0</v>
      </c>
      <c r="CI757">
        <v>0</v>
      </c>
      <c r="CJ757">
        <v>0</v>
      </c>
      <c r="CK757">
        <v>0</v>
      </c>
      <c r="CL757">
        <v>0</v>
      </c>
      <c r="CM757">
        <v>0</v>
      </c>
      <c r="CN757">
        <v>0</v>
      </c>
      <c r="CO757">
        <v>0</v>
      </c>
      <c r="CP757" t="str">
        <f>IF(BN757&lt;BM757,"refNeedCorrection","refOK")</f>
        <v>refOK</v>
      </c>
      <c r="CQ757">
        <f>IF($CP757="refOK",$BM757,$BN757)</f>
        <v>15</v>
      </c>
      <c r="CR757">
        <f>IF($CP757="refOK",$BN757,$BM757)</f>
        <v>32</v>
      </c>
      <c r="CS757">
        <f>IF($CP757="refOK",$BQ757,-$BQ757)</f>
        <v>34693877.551020406</v>
      </c>
      <c r="CT757">
        <f>IF(BI757="Roundwood",$CS757/2,$CS757)</f>
        <v>34693877.551020406</v>
      </c>
      <c r="CU757">
        <f>IF($CP757="refOK",$BU757,$BV757)*IF($BR757="Emissions positive",-1,1)</f>
        <v>0</v>
      </c>
      <c r="CV757">
        <f>IF($CP757="refOK",$BV757,$BU757)*IF($BR757="Emissions positive",-1,1)</f>
        <v>0</v>
      </c>
      <c r="CW757">
        <f>IF($CP757="refNeedCorrection",-BZ757,BZ757)*IF($BR757="Emissions positive",-1,1)</f>
        <v>30000000</v>
      </c>
      <c r="CX757">
        <f>IFERROR($CW757/$CS757,"")</f>
        <v>0.86470588235294121</v>
      </c>
      <c r="CY757">
        <f>IFERROR($CW757/$CS757,"")</f>
        <v>0.86470588235294121</v>
      </c>
      <c r="CZ757">
        <f>IFERROR($CW757/$CT757,"")</f>
        <v>0.86470588235294121</v>
      </c>
      <c r="DA757" s="2" t="str">
        <f>IFERROR((CV757-CU757)/ABS(CU757),"")</f>
        <v/>
      </c>
      <c r="DB757" s="1" t="s">
        <v>1078</v>
      </c>
      <c r="DC757" t="str">
        <f>IF(OR($DB757="prd",$DB757="std",$DB757="cit"),"loc",IF(OR($DB757="eur",$DB757="reg",$DB757="coy"),"reg",$DB757))</f>
        <v>reg</v>
      </c>
      <c r="DD757" t="s">
        <v>925</v>
      </c>
      <c r="DE757">
        <v>2005</v>
      </c>
      <c r="DF757">
        <v>2050</v>
      </c>
      <c r="DG757">
        <v>45</v>
      </c>
      <c r="DH757" t="str">
        <f>IF(DG757=0,"0",IF(AND(DG757&gt;=1,DG757&lt;=30),"1-30",IF(AND(DG757&gt;30,DG757&lt;=70),"31-70",IF(AND(DG757&gt;70,DG757&lt;=100),"71-100",IF(DG757&gt;100,"+100")))))</f>
        <v>31-70</v>
      </c>
      <c r="DI757">
        <v>0</v>
      </c>
      <c r="DJ757">
        <v>1</v>
      </c>
      <c r="DK757">
        <v>0</v>
      </c>
      <c r="DL757">
        <v>0</v>
      </c>
      <c r="DN757">
        <f>SUM(DI757:DL757)</f>
        <v>1</v>
      </c>
      <c r="DO757" t="str">
        <f>IF(DN757=1,INDEX($DI$7:$DL$7,MATCH(1,$DI757:$DL757,0)),"mixedProduct")</f>
        <v>EnergyInput</v>
      </c>
      <c r="DP757">
        <f>IF(DI757=1,DP$7,0)</f>
        <v>0</v>
      </c>
      <c r="DQ757" t="str">
        <f>IF(DJ757=1,DQ$7,0)</f>
        <v>Energy</v>
      </c>
      <c r="DR757">
        <f>IF(DK757=1,DR$7,0)</f>
        <v>0</v>
      </c>
      <c r="DS757">
        <f>IF(DL757=1,DS$7,0)</f>
        <v>0</v>
      </c>
      <c r="DT757">
        <v>0</v>
      </c>
      <c r="DU757">
        <v>0</v>
      </c>
      <c r="DV757">
        <v>0</v>
      </c>
      <c r="DW757">
        <v>0</v>
      </c>
      <c r="DX757">
        <v>0</v>
      </c>
      <c r="DY757">
        <f>SUM(DT757:DU757)</f>
        <v>0</v>
      </c>
      <c r="DZ757" s="143" t="str">
        <f>IF(DT757=1,"self-calculated DF",IF(DU757=1,"external DF used","explicit C balance"))</f>
        <v>explicit C balance</v>
      </c>
      <c r="EA757">
        <v>0</v>
      </c>
      <c r="EB757">
        <v>1</v>
      </c>
      <c r="EC757">
        <v>1</v>
      </c>
      <c r="ED757">
        <v>0</v>
      </c>
      <c r="EE757">
        <v>0</v>
      </c>
      <c r="EF757" s="143">
        <v>1</v>
      </c>
      <c r="EG757">
        <v>1</v>
      </c>
      <c r="EH757">
        <v>0</v>
      </c>
      <c r="EI757">
        <v>0</v>
      </c>
      <c r="EJ757">
        <v>0</v>
      </c>
      <c r="EK757">
        <v>1</v>
      </c>
      <c r="EL757">
        <v>1</v>
      </c>
      <c r="EM757">
        <v>0</v>
      </c>
      <c r="EN757" s="2">
        <v>0</v>
      </c>
      <c r="EP757" t="str">
        <f>IF(AND(AND(AND(OR($EC757=1,$EB757=1),OR($EH757=1,$EF757=1)),SUM($EA757:$EE757,$EK757)&gt;=3),SUM($EF757:$EJ757)&gt;=2),"Whole sector approach","")</f>
        <v>Whole sector approach</v>
      </c>
      <c r="EQ757" t="str">
        <f>IF(AND(AND(OR($EC757=1,$EB757=1),AND($EH757=0,$EF757=0)),SUM($EA757:$EE757,$EK757)&gt;=4),"Ecosystem approach","")</f>
        <v/>
      </c>
      <c r="ER757" s="2" t="str">
        <f>IF(AND(AND(AND($EC757=0,$EB757=0),OR($EH757=1,$EF757=1)),SUM($EG757:$EJ757)&gt;=2),"Technology approach","")</f>
        <v/>
      </c>
      <c r="ES757" t="str">
        <f>IF(AND($EC757+$EB757+$EE757+$EA757+$ED757+$EG757=0,$N757="included"),"C neutral forest and HWP assumption","")</f>
        <v/>
      </c>
      <c r="ET757" t="str">
        <f>IF(AND(AND(AND(AND($EC757=1,$EB757+$EA757+$EG757&gt;=1),$EF757=1),$EH757+$EI757+$ED757+$EE757&gt;=2),$N757="included"),"All C pools assumption","")</f>
        <v/>
      </c>
      <c r="EU757" t="str">
        <f>IF(AND($ED757+$EE757+$EI757+$EH757+$EF757=0,$N757="included"),"In-situ only assumption","")</f>
        <v/>
      </c>
      <c r="EV757" s="328" t="s">
        <v>5065</v>
      </c>
      <c r="EY757" t="str">
        <f>IF(ISNUMBER(BW757),IF(ABS(BW757-[6]QC_indicators!$B$2)&gt;3*[6]QC_indicators!$C$2,"C ratio",IF(ISNUMBER(CA757),IF(ABS(CA757-[6]QC_indicators!$B$1)&gt;3*[6]QC_indicators!$C$1,"DF","no"))),IF(ISNUMBER(CA757),IF(ABS(CA757-[6]QC_indicators!$B$1)&gt;3*[6]QC_indicators!$C$1,"DF","no")))</f>
        <v>no</v>
      </c>
      <c r="FA757" t="str">
        <f>IF(LEN($CY757)=0,"",IF(AND($CY757&lt;(-0.05),$ES757="C neutral forest and HWP assumption"),"Cneutral paradox",IF(AND($CY757&gt;0.05,$EU757="In-situ only assumption"),"In-situ only paradox","")))</f>
        <v/>
      </c>
      <c r="FD757" s="260" t="s">
        <v>2948</v>
      </c>
    </row>
    <row r="758" spans="1:160" ht="15" hidden="1" customHeight="1">
      <c r="A758" s="1" t="s">
        <v>849</v>
      </c>
      <c r="B758" t="s">
        <v>1637</v>
      </c>
      <c r="C758" t="s">
        <v>1638</v>
      </c>
      <c r="D758" t="s">
        <v>1639</v>
      </c>
      <c r="E758" t="s">
        <v>1640</v>
      </c>
      <c r="F758" t="s">
        <v>1641</v>
      </c>
      <c r="G758" t="s">
        <v>1059</v>
      </c>
      <c r="H758" t="s">
        <v>254</v>
      </c>
      <c r="I758">
        <v>2011</v>
      </c>
      <c r="J758">
        <v>6</v>
      </c>
      <c r="K758" t="s">
        <v>1642</v>
      </c>
      <c r="M758" t="str">
        <f>LEFT($D758,FIND(",",$D758)-1)&amp;"_"&amp;I758&amp;L758</f>
        <v>Kayo_2011</v>
      </c>
      <c r="N758" t="s">
        <v>222</v>
      </c>
      <c r="O758" s="145" t="s">
        <v>508</v>
      </c>
      <c r="Q758" t="s">
        <v>256</v>
      </c>
      <c r="R758" s="251" t="s">
        <v>225</v>
      </c>
      <c r="S758" s="259" t="s">
        <v>3029</v>
      </c>
      <c r="T758" t="s">
        <v>1643</v>
      </c>
      <c r="U758" s="260" t="s">
        <v>1644</v>
      </c>
      <c r="V758" s="253">
        <v>0</v>
      </c>
      <c r="W758" s="253">
        <v>0</v>
      </c>
      <c r="X758">
        <v>0</v>
      </c>
      <c r="Y758">
        <v>0</v>
      </c>
      <c r="Z758">
        <v>1</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s="141">
        <f>COUNTIF(X758:AY758,"&lt;&gt;0")</f>
        <v>1</v>
      </c>
      <c r="BA758" s="141">
        <f>COUNTIF(X758:AN758,"&lt;&gt;0")</f>
        <v>1</v>
      </c>
      <c r="BB758">
        <f>COUNTIF(X758:AE758,"&lt;&gt;0")</f>
        <v>1</v>
      </c>
      <c r="BC758">
        <f>COUNTIF(AF758:AK758,"&lt;&gt;0")</f>
        <v>0</v>
      </c>
      <c r="BD758">
        <f>COUNTIF(AL758:AN758,"&lt;&gt;0")</f>
        <v>0</v>
      </c>
      <c r="BE758">
        <f>COUNTIF(AU758:AY758,"&lt;&gt;0")</f>
        <v>0</v>
      </c>
      <c r="BF758">
        <f>COUNTIF(AO758:AT758,"&lt;&gt;0")</f>
        <v>0</v>
      </c>
      <c r="BG758" t="str">
        <f t="array" ref="BG758">IF(BA758=1,INDEX($X$7:$AN$7,MATCH(TRUE,INDEX($X758:$AY758&lt;&gt;0,),0)),IF(BA758=0,INDEX($AO$7:$AY$7,MATCH(1,$AO758:$AY758,0)),IF(BH758="Multiple strategies","mixed drivers",IF(BH758="Supply chain","multiple supply","multiple silviculture"))))</f>
        <v>rotation length</v>
      </c>
      <c r="BH758" s="2" t="str" cm="1">
        <f t="array" ref="BH758">IF(COUNTIF(BB758:BD758,"&lt;&gt;0")=1,INDEX($X$4:$AY$4,MATCH(TRUE,INDEX($X758:$AY758&lt;&gt;0,),0)),IF(COUNTIF(BB758:BD758,"&lt;&gt;0")=0,INDEX($AO$4:$AY$4,MATCH(1,$AO758:$AY758,0)),"Multiple strategies"))</f>
        <v>Silviculture for removals</v>
      </c>
      <c r="BI758" s="1" t="s">
        <v>229</v>
      </c>
      <c r="BJ758" t="s">
        <v>1645</v>
      </c>
      <c r="BK758" s="256" t="s">
        <v>3021</v>
      </c>
      <c r="BL758" s="256" t="s">
        <v>3022</v>
      </c>
      <c r="BM758">
        <v>20</v>
      </c>
      <c r="BN758">
        <v>24</v>
      </c>
      <c r="BO758">
        <f>BN758/BM758</f>
        <v>1.2</v>
      </c>
      <c r="BP758">
        <f>BN758-BM758</f>
        <v>4</v>
      </c>
      <c r="BQ758">
        <f>BP758*10^6*t_to_m3</f>
        <v>8163265.3061224492</v>
      </c>
      <c r="BR758" t="s">
        <v>232</v>
      </c>
      <c r="BS758" s="256" t="s">
        <v>3028</v>
      </c>
      <c r="BT758" t="s">
        <v>1175</v>
      </c>
      <c r="BW758" s="144"/>
      <c r="BX758">
        <v>7</v>
      </c>
      <c r="BZ758">
        <f>BX758*10^6</f>
        <v>7000000</v>
      </c>
      <c r="CA758">
        <f>IFERROR(BZ758/BQ758,"")</f>
        <v>0.85749999999999993</v>
      </c>
      <c r="CB758">
        <v>0</v>
      </c>
      <c r="CC758">
        <v>0</v>
      </c>
      <c r="CD758">
        <v>0</v>
      </c>
      <c r="CE758">
        <v>0</v>
      </c>
      <c r="CF758">
        <v>0</v>
      </c>
      <c r="CG758">
        <v>0</v>
      </c>
      <c r="CH758">
        <v>0</v>
      </c>
      <c r="CI758">
        <v>0</v>
      </c>
      <c r="CJ758">
        <v>0</v>
      </c>
      <c r="CK758">
        <v>0</v>
      </c>
      <c r="CL758">
        <v>0</v>
      </c>
      <c r="CM758">
        <v>0</v>
      </c>
      <c r="CN758">
        <v>0</v>
      </c>
      <c r="CO758">
        <v>0</v>
      </c>
      <c r="CP758" t="str">
        <f>IF(BN758&lt;BM758,"refNeedCorrection","refOK")</f>
        <v>refOK</v>
      </c>
      <c r="CQ758">
        <f>IF($CP758="refOK",$BM758,$BN758)</f>
        <v>20</v>
      </c>
      <c r="CR758">
        <f>IF($CP758="refOK",$BN758,$BM758)</f>
        <v>24</v>
      </c>
      <c r="CS758">
        <f>IF($CP758="refOK",$BQ758,-$BQ758)</f>
        <v>8163265.3061224492</v>
      </c>
      <c r="CT758">
        <f>IF(BI758="Roundwood",$CS758/2,$CS758)</f>
        <v>8163265.3061224492</v>
      </c>
      <c r="CU758">
        <f>IF($CP758="refOK",$BU758,#REF!)*IF($BR758="Emissions positive",-1,1)</f>
        <v>0</v>
      </c>
      <c r="CV758" t="e">
        <f>IF($CP758="refOK",#REF!,$BU758)*IF($BR758="Emissions positive",-1,1)</f>
        <v>#REF!</v>
      </c>
      <c r="CW758">
        <f>IF($CP758="refNeedCorrection",-BZ758,BZ758)*IF($BR758="Emissions positive",-1,1)</f>
        <v>7000000</v>
      </c>
      <c r="CX758">
        <f>IFERROR($CW758/$CS758,"")</f>
        <v>0.85749999999999993</v>
      </c>
      <c r="CY758">
        <f>IFERROR($CW758/$CS758,"")</f>
        <v>0.85749999999999993</v>
      </c>
      <c r="CZ758">
        <f>IFERROR($CW758/$CT758,"")</f>
        <v>0.85749999999999993</v>
      </c>
      <c r="DA758" s="2" t="str">
        <f>IFERROR((CV758-CU758)/ABS(CU758),"")</f>
        <v/>
      </c>
      <c r="DB758" s="1" t="s">
        <v>1078</v>
      </c>
      <c r="DC758" t="str">
        <f>IF(OR($DB758="prd",$DB758="std",$DB758="cit"),"loc",IF(OR($DB758="eur",$DB758="reg",$DB758="coy"),"reg",$DB758))</f>
        <v>reg</v>
      </c>
      <c r="DD758" t="s">
        <v>925</v>
      </c>
      <c r="DE758">
        <v>2005</v>
      </c>
      <c r="DF758">
        <v>2050</v>
      </c>
      <c r="DG758">
        <v>45</v>
      </c>
      <c r="DH758" t="str">
        <f>IF(DG758=0,"0",IF(AND(DG758&gt;=1,DG758&lt;=30),"1-30",IF(AND(DG758&gt;30,DG758&lt;=70),"31-70",IF(AND(DG758&gt;70,DG758&lt;=100),"71-100",IF(DG758&gt;100,"+100")))))</f>
        <v>31-70</v>
      </c>
      <c r="DI758">
        <v>0</v>
      </c>
      <c r="DJ758">
        <v>1</v>
      </c>
      <c r="DK758">
        <v>0</v>
      </c>
      <c r="DL758">
        <v>0</v>
      </c>
      <c r="DN758">
        <f>SUM(DI758:DL758)</f>
        <v>1</v>
      </c>
      <c r="DO758" t="str">
        <f>IF(DN758=1,INDEX($DI$7:$DL$7,MATCH(1,$DI758:$DL758,0)),"mixedProduct")</f>
        <v>EnergyInput</v>
      </c>
      <c r="DP758">
        <f>IF(DI758=1,DP$7,0)</f>
        <v>0</v>
      </c>
      <c r="DQ758" t="str">
        <f>IF(DJ758=1,DQ$7,0)</f>
        <v>Energy</v>
      </c>
      <c r="DR758">
        <f>IF(DK758=1,DR$7,0)</f>
        <v>0</v>
      </c>
      <c r="DS758">
        <f>IF(DL758=1,DS$7,0)</f>
        <v>0</v>
      </c>
      <c r="DT758">
        <v>0</v>
      </c>
      <c r="DU758">
        <v>0</v>
      </c>
      <c r="DV758">
        <v>0</v>
      </c>
      <c r="DW758">
        <v>0</v>
      </c>
      <c r="DX758">
        <v>0</v>
      </c>
      <c r="DY758">
        <f>SUM(DT758:DU758)</f>
        <v>0</v>
      </c>
      <c r="DZ758" s="143" t="str">
        <f>IF(DT758=1,"self-calculated DF",IF(DU758=1,"external DF used","explicit C balance"))</f>
        <v>explicit C balance</v>
      </c>
      <c r="EA758">
        <v>0</v>
      </c>
      <c r="EB758">
        <v>1</v>
      </c>
      <c r="EC758">
        <v>1</v>
      </c>
      <c r="ED758">
        <v>0</v>
      </c>
      <c r="EE758">
        <v>0</v>
      </c>
      <c r="EF758" s="143">
        <v>1</v>
      </c>
      <c r="EG758">
        <v>1</v>
      </c>
      <c r="EH758">
        <v>0</v>
      </c>
      <c r="EI758">
        <v>0</v>
      </c>
      <c r="EJ758">
        <v>0</v>
      </c>
      <c r="EK758">
        <v>1</v>
      </c>
      <c r="EL758">
        <v>1</v>
      </c>
      <c r="EM758">
        <v>0</v>
      </c>
      <c r="EN758" s="2">
        <v>0</v>
      </c>
      <c r="EP758" t="str">
        <f>IF(AND(AND(AND(OR($EC758=1,$EB758=1),OR($EH758=1,$EF758=1)),SUM($EA758:$EE758,$EK758)&gt;=3),SUM($EF758:$EJ758)&gt;=2),"Whole sector approach","")</f>
        <v>Whole sector approach</v>
      </c>
      <c r="EQ758" t="str">
        <f>IF(AND(AND(OR($EC758=1,$EB758=1),AND($EH758=0,$EF758=0)),SUM($EA758:$EE758,$EK758)&gt;=4),"Ecosystem approach","")</f>
        <v/>
      </c>
      <c r="ER758" s="2" t="str">
        <f>IF(AND(AND(AND($EC758=0,$EB758=0),OR($EH758=1,$EF758=1)),SUM($EG758:$EJ758)&gt;=2),"Technology approach","")</f>
        <v/>
      </c>
      <c r="ES758" t="str">
        <f>IF(AND($EC758+$EB758+$EE758+$EA758+$ED758+$EG758=0,$N758="included"),"C neutral forest and HWP assumption","")</f>
        <v/>
      </c>
      <c r="ET758" t="str">
        <f>IF(AND(AND(AND(AND($EC758=1,$EB758+$EA758+$EG758&gt;=1),$EF758=1),$EH758+$EI758+$ED758+$EE758&gt;=2),$N758="included"),"All C pools assumption","")</f>
        <v/>
      </c>
      <c r="EU758" t="str">
        <f>IF(AND($ED758+$EE758+$EI758+$EH758+$EF758=0,$N758="included"),"In-situ only assumption","")</f>
        <v/>
      </c>
      <c r="EV758" s="328" t="s">
        <v>5065</v>
      </c>
      <c r="EY758" t="str">
        <f>IF(ISNUMBER(BW758),IF(ABS(BW758-[6]QC_indicators!$B$2)&gt;3*[6]QC_indicators!$C$2,"C ratio",IF(ISNUMBER(CA758),IF(ABS(CA758-[6]QC_indicators!$B$1)&gt;3*[6]QC_indicators!$C$1,"DF","no"))),IF(ISNUMBER(CA758),IF(ABS(CA758-[6]QC_indicators!$B$1)&gt;3*[6]QC_indicators!$C$1,"DF","no")))</f>
        <v>no</v>
      </c>
      <c r="FA758" t="str">
        <f>IF(LEN($CY758)=0,"",IF(AND($CY758&lt;(-0.05),$ES758="C neutral forest and HWP assumption"),"Cneutral paradox",IF(AND($CY758&gt;0.05,$EU758="In-situ only assumption"),"In-situ only paradox","")))</f>
        <v/>
      </c>
      <c r="FD758" s="260" t="s">
        <v>2948</v>
      </c>
    </row>
    <row r="759" spans="1:160" ht="15" hidden="1" customHeight="1">
      <c r="A759" s="1" t="s">
        <v>849</v>
      </c>
      <c r="B759" t="s">
        <v>1637</v>
      </c>
      <c r="C759" t="s">
        <v>1638</v>
      </c>
      <c r="D759" t="s">
        <v>1639</v>
      </c>
      <c r="E759" t="s">
        <v>1640</v>
      </c>
      <c r="F759" t="s">
        <v>1641</v>
      </c>
      <c r="G759" t="s">
        <v>1059</v>
      </c>
      <c r="H759" t="s">
        <v>254</v>
      </c>
      <c r="I759">
        <v>2011</v>
      </c>
      <c r="J759">
        <v>6</v>
      </c>
      <c r="K759" t="s">
        <v>1642</v>
      </c>
      <c r="M759" t="str">
        <f>LEFT($D759,FIND(",",$D759)-1)&amp;"_"&amp;I759&amp;L759</f>
        <v>Kayo_2011</v>
      </c>
      <c r="N759" t="s">
        <v>222</v>
      </c>
      <c r="O759" s="145" t="s">
        <v>508</v>
      </c>
      <c r="Q759" t="s">
        <v>256</v>
      </c>
      <c r="R759" s="251" t="s">
        <v>225</v>
      </c>
      <c r="S759" s="259" t="s">
        <v>3038</v>
      </c>
      <c r="T759" t="s">
        <v>1651</v>
      </c>
      <c r="U759" t="s">
        <v>1653</v>
      </c>
      <c r="V759" s="253">
        <v>0</v>
      </c>
      <c r="W759" s="253">
        <v>0</v>
      </c>
      <c r="X759">
        <v>0</v>
      </c>
      <c r="Y759">
        <v>0</v>
      </c>
      <c r="Z759">
        <v>0</v>
      </c>
      <c r="AA759">
        <v>0</v>
      </c>
      <c r="AB759">
        <v>0</v>
      </c>
      <c r="AC759">
        <v>0</v>
      </c>
      <c r="AD759">
        <v>0</v>
      </c>
      <c r="AE759">
        <v>0</v>
      </c>
      <c r="AF759">
        <v>0</v>
      </c>
      <c r="AG759">
        <v>0</v>
      </c>
      <c r="AH759">
        <v>0</v>
      </c>
      <c r="AI759">
        <v>0</v>
      </c>
      <c r="AJ759">
        <v>0</v>
      </c>
      <c r="AK759">
        <v>0</v>
      </c>
      <c r="AL759">
        <v>0</v>
      </c>
      <c r="AM759">
        <v>1</v>
      </c>
      <c r="AN759">
        <v>0</v>
      </c>
      <c r="AO759">
        <v>0</v>
      </c>
      <c r="AP759">
        <v>0</v>
      </c>
      <c r="AQ759">
        <v>0</v>
      </c>
      <c r="AR759">
        <v>0</v>
      </c>
      <c r="AS759">
        <v>0</v>
      </c>
      <c r="AT759">
        <v>0</v>
      </c>
      <c r="AU759">
        <v>0</v>
      </c>
      <c r="AV759">
        <v>0</v>
      </c>
      <c r="AW759">
        <v>0</v>
      </c>
      <c r="AX759">
        <v>0</v>
      </c>
      <c r="AY759">
        <v>0</v>
      </c>
      <c r="AZ759" s="141">
        <f>COUNTIF(X759:AY759,"&lt;&gt;0")</f>
        <v>1</v>
      </c>
      <c r="BA759" s="141">
        <f>COUNTIF(X759:AN759,"&lt;&gt;0")</f>
        <v>1</v>
      </c>
      <c r="BB759">
        <f>COUNTIF(X759:AE759,"&lt;&gt;0")</f>
        <v>0</v>
      </c>
      <c r="BC759">
        <f>COUNTIF(AF759:AK759,"&lt;&gt;0")</f>
        <v>0</v>
      </c>
      <c r="BD759">
        <f>COUNTIF(AL759:AN759,"&lt;&gt;0")</f>
        <v>1</v>
      </c>
      <c r="BE759">
        <f>COUNTIF(AU759:AY759,"&lt;&gt;0")</f>
        <v>0</v>
      </c>
      <c r="BF759">
        <f>COUNTIF(AO759:AT759,"&lt;&gt;0")</f>
        <v>0</v>
      </c>
      <c r="BG759" t="str">
        <f t="array" ref="BG759">IF(BA759=1,INDEX($X$7:$AN$7,MATCH(TRUE,INDEX($X759:$AY759&lt;&gt;0,),0)),IF(BA759=0,INDEX($AO$7:$AY$7,MATCH(1,$AO759:$AY759,0)),IF(BH759="Multiple strategies","mixed drivers",IF(BH759="Supply chain","multiple supply","multiple silviculture"))))</f>
        <v>technologies/design switch</v>
      </c>
      <c r="BH759" s="2" t="str" cm="1">
        <f t="array" ref="BH759">IF(COUNTIF(BB759:BD759,"&lt;&gt;0")=1,INDEX($X$4:$AY$4,MATCH(TRUE,INDEX($X759:$AY759&lt;&gt;0,),0)),IF(COUNTIF(BB759:BD759,"&lt;&gt;0")=0,INDEX($AO$4:$AY$4,MATCH(1,$AO759:$AY759,0)),"Multiple strategies"))</f>
        <v>Technology</v>
      </c>
      <c r="BI759" s="1" t="s">
        <v>229</v>
      </c>
      <c r="BJ759" t="s">
        <v>1645</v>
      </c>
      <c r="BK759" s="256" t="s">
        <v>3021</v>
      </c>
      <c r="BL759" s="256" t="s">
        <v>3022</v>
      </c>
      <c r="BM759">
        <v>0</v>
      </c>
      <c r="BN759">
        <v>86</v>
      </c>
      <c r="BP759">
        <f>BN759-BM759</f>
        <v>86</v>
      </c>
      <c r="BQ759">
        <f>BP759*10^6*t_to_m3</f>
        <v>175510204.08163264</v>
      </c>
      <c r="BR759" t="s">
        <v>232</v>
      </c>
      <c r="BS759" s="256" t="s">
        <v>3016</v>
      </c>
      <c r="BT759" t="s">
        <v>1175</v>
      </c>
      <c r="BW759" s="144" t="str">
        <f>IFERROR(BV759/BU759,"")</f>
        <v/>
      </c>
      <c r="BX759">
        <v>59.5</v>
      </c>
      <c r="BZ759">
        <f>BX759*10^6</f>
        <v>59500000</v>
      </c>
      <c r="CA759">
        <f>IFERROR(BZ759/BQ759,"")</f>
        <v>0.33901162790697675</v>
      </c>
      <c r="CB759">
        <v>0</v>
      </c>
      <c r="CC759">
        <v>0</v>
      </c>
      <c r="CD759">
        <v>0</v>
      </c>
      <c r="CE759">
        <v>0</v>
      </c>
      <c r="CF759">
        <v>0</v>
      </c>
      <c r="CG759">
        <v>0</v>
      </c>
      <c r="CH759">
        <v>0</v>
      </c>
      <c r="CI759">
        <v>0</v>
      </c>
      <c r="CJ759">
        <v>0</v>
      </c>
      <c r="CK759">
        <v>0</v>
      </c>
      <c r="CL759">
        <v>0</v>
      </c>
      <c r="CM759">
        <v>0</v>
      </c>
      <c r="CN759">
        <v>0</v>
      </c>
      <c r="CO759">
        <v>0</v>
      </c>
      <c r="CP759" t="str">
        <f>IF(BN759&lt;BM759,"refNeedCorrection","refOK")</f>
        <v>refOK</v>
      </c>
      <c r="CQ759">
        <f>IF($CP759="refOK",$BM759,$BN759)</f>
        <v>0</v>
      </c>
      <c r="CR759">
        <f>IF($CP759="refOK",$BN759,$BM759)</f>
        <v>86</v>
      </c>
      <c r="CS759">
        <f>IF($CP759="refOK",$BQ759,-$BQ759)</f>
        <v>175510204.08163264</v>
      </c>
      <c r="CT759">
        <f>IF(BI759="Roundwood",$CS759/2,$CS759)</f>
        <v>175510204.08163264</v>
      </c>
      <c r="CU759">
        <f>IF($CP759="refOK",$BU759,$BV759)*IF($BR759="Emissions positive",-1,1)</f>
        <v>0</v>
      </c>
      <c r="CV759">
        <f>IF($CP759="refOK",$BV759,$BU759)*IF($BR759="Emissions positive",-1,1)</f>
        <v>0</v>
      </c>
      <c r="CW759">
        <f>IF($CP759="refNeedCorrection",-BZ759,BZ759)*IF($BR759="Emissions positive",-1,1)</f>
        <v>59500000</v>
      </c>
      <c r="CX759">
        <f>IFERROR($CW759/$CS759,"")</f>
        <v>0.33901162790697675</v>
      </c>
      <c r="CY759">
        <f>IFERROR($CW759/$CS759,"")</f>
        <v>0.33901162790697675</v>
      </c>
      <c r="CZ759">
        <f>IFERROR($CW759/$CT759,"")</f>
        <v>0.33901162790697675</v>
      </c>
      <c r="DA759" s="2" t="str">
        <f>IFERROR((CV759-CU759)/ABS(CU759),"")</f>
        <v/>
      </c>
      <c r="DB759" s="1" t="s">
        <v>1078</v>
      </c>
      <c r="DC759" t="str">
        <f>IF(OR($DB759="prd",$DB759="std",$DB759="cit"),"loc",IF(OR($DB759="eur",$DB759="reg",$DB759="coy"),"reg",$DB759))</f>
        <v>reg</v>
      </c>
      <c r="DD759" t="s">
        <v>925</v>
      </c>
      <c r="DE759">
        <v>2005</v>
      </c>
      <c r="DF759">
        <v>2050</v>
      </c>
      <c r="DG759">
        <v>45</v>
      </c>
      <c r="DH759" t="str">
        <f>IF(DG759=0,"0",IF(AND(DG759&gt;=1,DG759&lt;=30),"1-30",IF(AND(DG759&gt;30,DG759&lt;=70),"31-70",IF(AND(DG759&gt;70,DG759&lt;=100),"71-100",IF(DG759&gt;100,"+100")))))</f>
        <v>31-70</v>
      </c>
      <c r="DI759">
        <v>0</v>
      </c>
      <c r="DJ759">
        <v>1</v>
      </c>
      <c r="DK759">
        <v>0</v>
      </c>
      <c r="DL759">
        <v>0</v>
      </c>
      <c r="DN759">
        <f>SUM(DI759:DL759)</f>
        <v>1</v>
      </c>
      <c r="DO759" t="str">
        <f>IF(DN759=1,INDEX($DI$7:$DL$7,MATCH(1,$DI759:$DL759,0)),"mixedProduct")</f>
        <v>EnergyInput</v>
      </c>
      <c r="DP759">
        <f>IF(DI759=1,DP$7,0)</f>
        <v>0</v>
      </c>
      <c r="DQ759" t="str">
        <f>IF(DJ759=1,DQ$7,0)</f>
        <v>Energy</v>
      </c>
      <c r="DR759">
        <f>IF(DK759=1,DR$7,0)</f>
        <v>0</v>
      </c>
      <c r="DS759">
        <f>IF(DL759=1,DS$7,0)</f>
        <v>0</v>
      </c>
      <c r="DT759">
        <v>0</v>
      </c>
      <c r="DU759">
        <v>0</v>
      </c>
      <c r="DV759">
        <v>0</v>
      </c>
      <c r="DW759">
        <v>0</v>
      </c>
      <c r="DX759">
        <v>0</v>
      </c>
      <c r="DY759">
        <f>SUM(DT759:DU759)</f>
        <v>0</v>
      </c>
      <c r="DZ759" s="143" t="str">
        <f>IF(DT759=1,"self-calculated DF",IF(DU759=1,"external DF used","explicit C balance"))</f>
        <v>explicit C balance</v>
      </c>
      <c r="EA759">
        <v>0</v>
      </c>
      <c r="EB759">
        <v>1</v>
      </c>
      <c r="EC759">
        <v>1</v>
      </c>
      <c r="ED759">
        <v>0</v>
      </c>
      <c r="EE759">
        <v>0</v>
      </c>
      <c r="EF759" s="143">
        <v>1</v>
      </c>
      <c r="EG759">
        <v>1</v>
      </c>
      <c r="EH759">
        <v>0</v>
      </c>
      <c r="EI759">
        <v>0</v>
      </c>
      <c r="EJ759">
        <v>0</v>
      </c>
      <c r="EK759">
        <v>1</v>
      </c>
      <c r="EL759">
        <v>1</v>
      </c>
      <c r="EM759">
        <v>0</v>
      </c>
      <c r="EN759" s="2">
        <v>0</v>
      </c>
      <c r="EP759" t="str">
        <f>IF(AND(AND(AND(OR($EC759=1,$EB759=1),OR($EH759=1,$EF759=1)),SUM($EA759:$EE759,$EK759)&gt;=3),SUM($EF759:$EJ759)&gt;=2),"Whole sector approach","")</f>
        <v>Whole sector approach</v>
      </c>
      <c r="EQ759" t="str">
        <f>IF(AND(AND(OR($EC759=1,$EB759=1),AND($EH759=0,$EF759=0)),SUM($EA759:$EE759,$EK759)&gt;=4),"Ecosystem approach","")</f>
        <v/>
      </c>
      <c r="ER759" s="2" t="str">
        <f>IF(AND(AND(AND($EC759=0,$EB759=0),OR($EH759=1,$EF759=1)),SUM($EG759:$EJ759)&gt;=2),"Technology approach","")</f>
        <v/>
      </c>
      <c r="ES759" t="str">
        <f>IF(AND($EC759+$EB759+$EE759+$EA759+$ED759+$EG759=0,$N759="included"),"C neutral forest and HWP assumption","")</f>
        <v/>
      </c>
      <c r="ET759" t="str">
        <f>IF(AND(AND(AND(AND($EC759=1,$EB759+$EA759+$EG759&gt;=1),$EF759=1),$EH759+$EI759+$ED759+$EE759&gt;=2),$N759="included"),"All C pools assumption","")</f>
        <v/>
      </c>
      <c r="EU759" t="str">
        <f>IF(AND($ED759+$EE759+$EI759+$EH759+$EF759=0,$N759="included"),"In-situ only assumption","")</f>
        <v/>
      </c>
      <c r="EV759" s="328" t="s">
        <v>5065</v>
      </c>
      <c r="EY759" t="str">
        <f>IF(ISNUMBER(BW759),IF(ABS(BW759-[6]QC_indicators!$B$2)&gt;3*[6]QC_indicators!$C$2,"C ratio",IF(ISNUMBER(CA759),IF(ABS(CA759-[6]QC_indicators!$B$1)&gt;3*[6]QC_indicators!$C$1,"DF","no"))),IF(ISNUMBER(CA759),IF(ABS(CA759-[6]QC_indicators!$B$1)&gt;3*[6]QC_indicators!$C$1,"DF","no")))</f>
        <v>no</v>
      </c>
      <c r="FA759" t="str">
        <f>IF(LEN($CY759)=0,"",IF(AND($CY759&lt;(-0.05),$ES759="C neutral forest and HWP assumption"),"Cneutral paradox",IF(AND($CY759&gt;0.05,$EU759="In-situ only assumption"),"In-situ only paradox","")))</f>
        <v/>
      </c>
      <c r="FD759" s="260" t="s">
        <v>2948</v>
      </c>
    </row>
    <row r="760" spans="1:160" ht="15" hidden="1" customHeight="1">
      <c r="A760" s="1" t="s">
        <v>849</v>
      </c>
      <c r="B760" t="s">
        <v>1637</v>
      </c>
      <c r="C760" t="s">
        <v>1638</v>
      </c>
      <c r="D760" t="s">
        <v>1639</v>
      </c>
      <c r="E760" t="s">
        <v>1640</v>
      </c>
      <c r="F760" t="s">
        <v>1641</v>
      </c>
      <c r="G760" t="s">
        <v>1059</v>
      </c>
      <c r="H760" t="s">
        <v>254</v>
      </c>
      <c r="I760">
        <v>2011</v>
      </c>
      <c r="J760">
        <v>6</v>
      </c>
      <c r="K760" t="s">
        <v>1642</v>
      </c>
      <c r="M760" t="str">
        <f>LEFT($D760,FIND(",",$D760)-1)&amp;"_"&amp;I760&amp;L760</f>
        <v>Kayo_2011</v>
      </c>
      <c r="N760" t="s">
        <v>222</v>
      </c>
      <c r="O760" s="145" t="s">
        <v>508</v>
      </c>
      <c r="Q760" t="s">
        <v>256</v>
      </c>
      <c r="R760" s="251" t="s">
        <v>225</v>
      </c>
      <c r="S760" s="259" t="s">
        <v>3038</v>
      </c>
      <c r="T760" t="s">
        <v>1651</v>
      </c>
      <c r="U760" s="260" t="s">
        <v>3039</v>
      </c>
      <c r="V760" s="253">
        <v>0</v>
      </c>
      <c r="W760" s="253">
        <v>0</v>
      </c>
      <c r="X760">
        <v>0</v>
      </c>
      <c r="Y760">
        <v>0</v>
      </c>
      <c r="Z760">
        <v>0</v>
      </c>
      <c r="AA760">
        <v>0</v>
      </c>
      <c r="AB760">
        <v>0</v>
      </c>
      <c r="AC760">
        <v>0</v>
      </c>
      <c r="AD760">
        <v>0</v>
      </c>
      <c r="AE760">
        <v>0</v>
      </c>
      <c r="AF760">
        <v>0</v>
      </c>
      <c r="AG760">
        <v>0</v>
      </c>
      <c r="AH760">
        <v>0</v>
      </c>
      <c r="AI760">
        <v>0</v>
      </c>
      <c r="AJ760">
        <v>0</v>
      </c>
      <c r="AK760">
        <v>0</v>
      </c>
      <c r="AL760">
        <v>0</v>
      </c>
      <c r="AM760">
        <v>1</v>
      </c>
      <c r="AN760">
        <v>0</v>
      </c>
      <c r="AO760">
        <v>0</v>
      </c>
      <c r="AP760">
        <v>0</v>
      </c>
      <c r="AQ760">
        <v>0</v>
      </c>
      <c r="AR760">
        <v>0</v>
      </c>
      <c r="AS760">
        <v>0</v>
      </c>
      <c r="AT760">
        <v>0</v>
      </c>
      <c r="AU760">
        <v>0</v>
      </c>
      <c r="AV760">
        <v>0</v>
      </c>
      <c r="AW760">
        <v>0</v>
      </c>
      <c r="AX760">
        <v>0</v>
      </c>
      <c r="AY760">
        <v>0</v>
      </c>
      <c r="AZ760" s="141">
        <f>COUNTIF(X760:AY760,"&lt;&gt;0")</f>
        <v>1</v>
      </c>
      <c r="BA760" s="141">
        <f>COUNTIF(X760:AN760,"&lt;&gt;0")</f>
        <v>1</v>
      </c>
      <c r="BB760">
        <f>COUNTIF(X760:AE760,"&lt;&gt;0")</f>
        <v>0</v>
      </c>
      <c r="BC760">
        <f>COUNTIF(AF760:AK760,"&lt;&gt;0")</f>
        <v>0</v>
      </c>
      <c r="BD760">
        <f>COUNTIF(AL760:AN760,"&lt;&gt;0")</f>
        <v>1</v>
      </c>
      <c r="BE760">
        <f>COUNTIF(AU760:AY760,"&lt;&gt;0")</f>
        <v>0</v>
      </c>
      <c r="BF760">
        <f>COUNTIF(AO760:AT760,"&lt;&gt;0")</f>
        <v>0</v>
      </c>
      <c r="BG760" t="str">
        <f t="array" ref="BG760">IF(BA760=1,INDEX($X$7:$AN$7,MATCH(TRUE,INDEX($X760:$AY760&lt;&gt;0,),0)),IF(BA760=0,INDEX($AO$7:$AY$7,MATCH(1,$AO760:$AY760,0)),IF(BH760="Multiple strategies","mixed drivers",IF(BH760="Supply chain","multiple supply","multiple silviculture"))))</f>
        <v>technologies/design switch</v>
      </c>
      <c r="BH760" s="2" t="str" cm="1">
        <f t="array" ref="BH760">IF(COUNTIF(BB760:BD760,"&lt;&gt;0")=1,INDEX($X$4:$AY$4,MATCH(TRUE,INDEX($X760:$AY760&lt;&gt;0,),0)),IF(COUNTIF(BB760:BD760,"&lt;&gt;0")=0,INDEX($AO$4:$AY$4,MATCH(1,$AO760:$AY760,0)),"Multiple strategies"))</f>
        <v>Technology</v>
      </c>
      <c r="BI760" s="1" t="s">
        <v>229</v>
      </c>
      <c r="BJ760" t="s">
        <v>1645</v>
      </c>
      <c r="BK760" s="256" t="s">
        <v>3021</v>
      </c>
      <c r="BL760" s="256" t="s">
        <v>3022</v>
      </c>
      <c r="BM760">
        <v>0</v>
      </c>
      <c r="BN760">
        <v>32</v>
      </c>
      <c r="BP760">
        <f>BN760-BM760</f>
        <v>32</v>
      </c>
      <c r="BQ760">
        <f>BP760*10^6*t_to_m3</f>
        <v>65306122.448979594</v>
      </c>
      <c r="BR760" t="s">
        <v>232</v>
      </c>
      <c r="BS760" s="256" t="s">
        <v>3016</v>
      </c>
      <c r="BT760" t="s">
        <v>1175</v>
      </c>
      <c r="BW760" s="144" t="str">
        <f>IFERROR(BV760/BU760,"")</f>
        <v/>
      </c>
      <c r="BX760">
        <v>21</v>
      </c>
      <c r="BZ760">
        <f>BX760*10^6</f>
        <v>21000000</v>
      </c>
      <c r="CA760">
        <f>IFERROR(BZ760/BQ760,"")</f>
        <v>0.32156249999999997</v>
      </c>
      <c r="CB760">
        <v>0</v>
      </c>
      <c r="CC760">
        <v>0</v>
      </c>
      <c r="CD760">
        <v>0</v>
      </c>
      <c r="CE760">
        <v>0</v>
      </c>
      <c r="CF760">
        <v>0</v>
      </c>
      <c r="CG760">
        <v>0</v>
      </c>
      <c r="CH760">
        <v>0</v>
      </c>
      <c r="CI760">
        <v>0</v>
      </c>
      <c r="CJ760">
        <v>0</v>
      </c>
      <c r="CK760">
        <v>0</v>
      </c>
      <c r="CL760">
        <v>0</v>
      </c>
      <c r="CM760">
        <v>0</v>
      </c>
      <c r="CN760">
        <v>0</v>
      </c>
      <c r="CO760">
        <v>0</v>
      </c>
      <c r="CP760" t="str">
        <f>IF(BN760&lt;BM760,"refNeedCorrection","refOK")</f>
        <v>refOK</v>
      </c>
      <c r="CQ760">
        <f>IF($CP760="refOK",$BM760,$BN760)</f>
        <v>0</v>
      </c>
      <c r="CR760">
        <f>IF($CP760="refOK",$BN760,$BM760)</f>
        <v>32</v>
      </c>
      <c r="CS760">
        <f>IF($CP760="refOK",$BQ760,-$BQ760)</f>
        <v>65306122.448979594</v>
      </c>
      <c r="CT760">
        <f>IF(BI760="Roundwood",$CS760/2,$CS760)</f>
        <v>65306122.448979594</v>
      </c>
      <c r="CU760">
        <f>IF($CP760="refOK",$BU760,$BV760)*IF($BR760="Emissions positive",-1,1)</f>
        <v>0</v>
      </c>
      <c r="CV760">
        <f>IF($CP760="refOK",$BV760,$BU760)*IF($BR760="Emissions positive",-1,1)</f>
        <v>0</v>
      </c>
      <c r="CW760">
        <f>IF($CP760="refNeedCorrection",-BZ760,BZ760)*IF($BR760="Emissions positive",-1,1)</f>
        <v>21000000</v>
      </c>
      <c r="CX760">
        <f>IFERROR($CW760/$CS760,"")</f>
        <v>0.32156249999999997</v>
      </c>
      <c r="CY760">
        <f>IFERROR($CW760/$CS760,"")</f>
        <v>0.32156249999999997</v>
      </c>
      <c r="CZ760">
        <f>IFERROR($CW760/$CT760,"")</f>
        <v>0.32156249999999997</v>
      </c>
      <c r="DA760" s="2" t="str">
        <f>IFERROR((CV760-CU760)/ABS(CU760),"")</f>
        <v/>
      </c>
      <c r="DB760" s="1" t="s">
        <v>1078</v>
      </c>
      <c r="DC760" t="str">
        <f>IF(OR($DB760="prd",$DB760="std",$DB760="cit"),"loc",IF(OR($DB760="eur",$DB760="reg",$DB760="coy"),"reg",$DB760))</f>
        <v>reg</v>
      </c>
      <c r="DD760" t="s">
        <v>925</v>
      </c>
      <c r="DE760">
        <v>2005</v>
      </c>
      <c r="DF760">
        <v>2050</v>
      </c>
      <c r="DG760">
        <v>45</v>
      </c>
      <c r="DH760" t="str">
        <f>IF(DG760=0,"0",IF(AND(DG760&gt;=1,DG760&lt;=30),"1-30",IF(AND(DG760&gt;30,DG760&lt;=70),"31-70",IF(AND(DG760&gt;70,DG760&lt;=100),"71-100",IF(DG760&gt;100,"+100")))))</f>
        <v>31-70</v>
      </c>
      <c r="DI760">
        <v>0</v>
      </c>
      <c r="DJ760">
        <v>1</v>
      </c>
      <c r="DK760">
        <v>0</v>
      </c>
      <c r="DL760">
        <v>0</v>
      </c>
      <c r="DN760">
        <f>SUM(DI760:DL760)</f>
        <v>1</v>
      </c>
      <c r="DO760" t="str">
        <f>IF(DN760=1,INDEX($DI$7:$DL$7,MATCH(1,$DI760:$DL760,0)),"mixedProduct")</f>
        <v>EnergyInput</v>
      </c>
      <c r="DP760">
        <f>IF(DI760=1,DP$7,0)</f>
        <v>0</v>
      </c>
      <c r="DQ760" t="str">
        <f>IF(DJ760=1,DQ$7,0)</f>
        <v>Energy</v>
      </c>
      <c r="DR760">
        <f>IF(DK760=1,DR$7,0)</f>
        <v>0</v>
      </c>
      <c r="DS760">
        <f>IF(DL760=1,DS$7,0)</f>
        <v>0</v>
      </c>
      <c r="DT760">
        <v>0</v>
      </c>
      <c r="DU760">
        <v>0</v>
      </c>
      <c r="DV760">
        <v>0</v>
      </c>
      <c r="DW760">
        <v>0</v>
      </c>
      <c r="DX760">
        <v>0</v>
      </c>
      <c r="DY760">
        <f>SUM(DT760:DU760)</f>
        <v>0</v>
      </c>
      <c r="DZ760" s="143" t="str">
        <f>IF(DT760=1,"self-calculated DF",IF(DU760=1,"external DF used","explicit C balance"))</f>
        <v>explicit C balance</v>
      </c>
      <c r="EA760">
        <v>0</v>
      </c>
      <c r="EB760">
        <v>1</v>
      </c>
      <c r="EC760">
        <v>1</v>
      </c>
      <c r="ED760">
        <v>0</v>
      </c>
      <c r="EE760">
        <v>0</v>
      </c>
      <c r="EF760" s="143">
        <v>1</v>
      </c>
      <c r="EG760">
        <v>1</v>
      </c>
      <c r="EH760">
        <v>0</v>
      </c>
      <c r="EI760">
        <v>0</v>
      </c>
      <c r="EJ760">
        <v>0</v>
      </c>
      <c r="EK760">
        <v>1</v>
      </c>
      <c r="EL760">
        <v>1</v>
      </c>
      <c r="EM760">
        <v>0</v>
      </c>
      <c r="EN760" s="2">
        <v>0</v>
      </c>
      <c r="EP760" t="str">
        <f>IF(AND(AND(AND(OR($EC760=1,$EB760=1),OR($EH760=1,$EF760=1)),SUM($EA760:$EE760,$EK760)&gt;=3),SUM($EF760:$EJ760)&gt;=2),"Whole sector approach","")</f>
        <v>Whole sector approach</v>
      </c>
      <c r="EQ760" t="str">
        <f>IF(AND(AND(OR($EC760=1,$EB760=1),AND($EH760=0,$EF760=0)),SUM($EA760:$EE760,$EK760)&gt;=4),"Ecosystem approach","")</f>
        <v/>
      </c>
      <c r="ER760" s="2" t="str">
        <f>IF(AND(AND(AND($EC760=0,$EB760=0),OR($EH760=1,$EF760=1)),SUM($EG760:$EJ760)&gt;=2),"Technology approach","")</f>
        <v/>
      </c>
      <c r="ES760" t="str">
        <f>IF(AND($EC760+$EB760+$EE760+$EA760+$ED760+$EG760=0,$N760="included"),"C neutral forest and HWP assumption","")</f>
        <v/>
      </c>
      <c r="ET760" t="str">
        <f>IF(AND(AND(AND(AND($EC760=1,$EB760+$EA760+$EG760&gt;=1),$EF760=1),$EH760+$EI760+$ED760+$EE760&gt;=2),$N760="included"),"All C pools assumption","")</f>
        <v/>
      </c>
      <c r="EU760" t="str">
        <f>IF(AND($ED760+$EE760+$EI760+$EH760+$EF760=0,$N760="included"),"In-situ only assumption","")</f>
        <v/>
      </c>
      <c r="EV760" s="328" t="s">
        <v>5065</v>
      </c>
      <c r="EY760" t="str">
        <f>IF(ISNUMBER(BW760),IF(ABS(BW760-[6]QC_indicators!$B$2)&gt;3*[6]QC_indicators!$C$2,"C ratio",IF(ISNUMBER(CA760),IF(ABS(CA760-[6]QC_indicators!$B$1)&gt;3*[6]QC_indicators!$C$1,"DF","no"))),IF(ISNUMBER(CA760),IF(ABS(CA760-[6]QC_indicators!$B$1)&gt;3*[6]QC_indicators!$C$1,"DF","no")))</f>
        <v>no</v>
      </c>
      <c r="FA760" t="str">
        <f>IF(LEN($CY760)=0,"",IF(AND($CY760&lt;(-0.05),$ES760="C neutral forest and HWP assumption"),"Cneutral paradox",IF(AND($CY760&gt;0.05,$EU760="In-situ only assumption"),"In-situ only paradox","")))</f>
        <v/>
      </c>
      <c r="FD760" s="260" t="s">
        <v>2948</v>
      </c>
    </row>
    <row r="761" spans="1:160" ht="15" hidden="1" customHeight="1">
      <c r="A761" s="1" t="s">
        <v>849</v>
      </c>
      <c r="B761" t="s">
        <v>1637</v>
      </c>
      <c r="C761" t="s">
        <v>1638</v>
      </c>
      <c r="D761" t="s">
        <v>1639</v>
      </c>
      <c r="E761" t="s">
        <v>1640</v>
      </c>
      <c r="F761" t="s">
        <v>1641</v>
      </c>
      <c r="G761" t="s">
        <v>1059</v>
      </c>
      <c r="H761" t="s">
        <v>254</v>
      </c>
      <c r="I761">
        <v>2011</v>
      </c>
      <c r="J761">
        <v>6</v>
      </c>
      <c r="K761" t="s">
        <v>1642</v>
      </c>
      <c r="M761" t="str">
        <f>LEFT($D761,FIND(",",$D761)-1)&amp;"_"&amp;I761&amp;L761</f>
        <v>Kayo_2011</v>
      </c>
      <c r="N761" t="s">
        <v>222</v>
      </c>
      <c r="O761" s="145" t="s">
        <v>508</v>
      </c>
      <c r="Q761" t="s">
        <v>256</v>
      </c>
      <c r="R761" s="251" t="s">
        <v>225</v>
      </c>
      <c r="S761" s="259" t="s">
        <v>3038</v>
      </c>
      <c r="T761" t="s">
        <v>1651</v>
      </c>
      <c r="U761" s="260" t="s">
        <v>1652</v>
      </c>
      <c r="V761" s="253">
        <v>0</v>
      </c>
      <c r="W761" s="253">
        <v>0</v>
      </c>
      <c r="X761">
        <v>0</v>
      </c>
      <c r="Y761">
        <v>0</v>
      </c>
      <c r="Z761">
        <v>0</v>
      </c>
      <c r="AA761">
        <v>0</v>
      </c>
      <c r="AB761">
        <v>0</v>
      </c>
      <c r="AC761">
        <v>0</v>
      </c>
      <c r="AD761">
        <v>0</v>
      </c>
      <c r="AE761">
        <v>0</v>
      </c>
      <c r="AF761">
        <v>0</v>
      </c>
      <c r="AG761">
        <v>0</v>
      </c>
      <c r="AH761">
        <v>0</v>
      </c>
      <c r="AI761">
        <v>0</v>
      </c>
      <c r="AJ761">
        <v>0</v>
      </c>
      <c r="AK761">
        <v>0</v>
      </c>
      <c r="AL761">
        <v>0</v>
      </c>
      <c r="AM761">
        <v>1</v>
      </c>
      <c r="AN761">
        <v>0</v>
      </c>
      <c r="AO761">
        <v>0</v>
      </c>
      <c r="AP761">
        <v>0</v>
      </c>
      <c r="AQ761">
        <v>0</v>
      </c>
      <c r="AR761">
        <v>0</v>
      </c>
      <c r="AS761">
        <v>0</v>
      </c>
      <c r="AT761">
        <v>0</v>
      </c>
      <c r="AU761">
        <v>0</v>
      </c>
      <c r="AV761">
        <v>0</v>
      </c>
      <c r="AW761">
        <v>0</v>
      </c>
      <c r="AX761">
        <v>0</v>
      </c>
      <c r="AY761">
        <v>0</v>
      </c>
      <c r="AZ761" s="141">
        <f>COUNTIF(X761:AY761,"&lt;&gt;0")</f>
        <v>1</v>
      </c>
      <c r="BA761" s="141">
        <f>COUNTIF(X761:AN761,"&lt;&gt;0")</f>
        <v>1</v>
      </c>
      <c r="BB761">
        <f>COUNTIF(X761:AE761,"&lt;&gt;0")</f>
        <v>0</v>
      </c>
      <c r="BC761">
        <f>COUNTIF(AF761:AK761,"&lt;&gt;0")</f>
        <v>0</v>
      </c>
      <c r="BD761">
        <f>COUNTIF(AL761:AN761,"&lt;&gt;0")</f>
        <v>1</v>
      </c>
      <c r="BE761">
        <f>COUNTIF(AU761:AY761,"&lt;&gt;0")</f>
        <v>0</v>
      </c>
      <c r="BF761">
        <f>COUNTIF(AO761:AT761,"&lt;&gt;0")</f>
        <v>0</v>
      </c>
      <c r="BG761" t="str">
        <f t="array" ref="BG761">IF(BA761=1,INDEX($X$7:$AN$7,MATCH(TRUE,INDEX($X761:$AY761&lt;&gt;0,),0)),IF(BA761=0,INDEX($AO$7:$AY$7,MATCH(1,$AO761:$AY761,0)),IF(BH761="Multiple strategies","mixed drivers",IF(BH761="Supply chain","multiple supply","multiple silviculture"))))</f>
        <v>technologies/design switch</v>
      </c>
      <c r="BH761" s="2" t="str" cm="1">
        <f t="array" ref="BH761">IF(COUNTIF(BB761:BD761,"&lt;&gt;0")=1,INDEX($X$4:$AY$4,MATCH(TRUE,INDEX($X761:$AY761&lt;&gt;0,),0)),IF(COUNTIF(BB761:BD761,"&lt;&gt;0")=0,INDEX($AO$4:$AY$4,MATCH(1,$AO761:$AY761,0)),"Multiple strategies"))</f>
        <v>Technology</v>
      </c>
      <c r="BI761" s="1" t="s">
        <v>229</v>
      </c>
      <c r="BJ761" t="s">
        <v>1645</v>
      </c>
      <c r="BK761" s="256" t="s">
        <v>3021</v>
      </c>
      <c r="BL761" s="256" t="s">
        <v>3022</v>
      </c>
      <c r="BM761">
        <v>0</v>
      </c>
      <c r="BN761">
        <v>86</v>
      </c>
      <c r="BP761">
        <f>BN761-BM761</f>
        <v>86</v>
      </c>
      <c r="BQ761">
        <f>BP761*10^6*t_to_m3</f>
        <v>175510204.08163264</v>
      </c>
      <c r="BR761" t="s">
        <v>232</v>
      </c>
      <c r="BS761" s="256" t="s">
        <v>3016</v>
      </c>
      <c r="BT761" t="s">
        <v>1175</v>
      </c>
      <c r="BW761" s="144" t="str">
        <f>IFERROR(BV761/BU761,"")</f>
        <v/>
      </c>
      <c r="BX761">
        <v>-12</v>
      </c>
      <c r="BZ761">
        <f>BX761*10^6</f>
        <v>-12000000</v>
      </c>
      <c r="CA761">
        <f>IFERROR(BZ761/BQ761,"")</f>
        <v>-6.8372093023255823E-2</v>
      </c>
      <c r="CB761">
        <v>0</v>
      </c>
      <c r="CC761">
        <v>0</v>
      </c>
      <c r="CD761">
        <v>0</v>
      </c>
      <c r="CE761">
        <v>0</v>
      </c>
      <c r="CF761">
        <v>0</v>
      </c>
      <c r="CG761">
        <v>0</v>
      </c>
      <c r="CH761">
        <v>0</v>
      </c>
      <c r="CI761">
        <v>0</v>
      </c>
      <c r="CJ761">
        <v>0</v>
      </c>
      <c r="CK761">
        <v>0</v>
      </c>
      <c r="CL761">
        <v>0</v>
      </c>
      <c r="CM761">
        <v>0</v>
      </c>
      <c r="CN761">
        <v>0</v>
      </c>
      <c r="CO761">
        <v>0</v>
      </c>
      <c r="CP761" t="str">
        <f>IF(BN761&lt;BM761,"refNeedCorrection","refOK")</f>
        <v>refOK</v>
      </c>
      <c r="CQ761">
        <f>IF($CP761="refOK",$BM761,$BN761)</f>
        <v>0</v>
      </c>
      <c r="CR761">
        <f>IF($CP761="refOK",$BN761,$BM761)</f>
        <v>86</v>
      </c>
      <c r="CS761">
        <f>IF($CP761="refOK",$BQ761,-$BQ761)</f>
        <v>175510204.08163264</v>
      </c>
      <c r="CT761">
        <f>IF(BI761="Roundwood",$CS761/2,$CS761)</f>
        <v>175510204.08163264</v>
      </c>
      <c r="CU761">
        <f>IF($CP761="refOK",$BU761,$BV761)*IF($BR761="Emissions positive",-1,1)</f>
        <v>0</v>
      </c>
      <c r="CV761">
        <f>IF($CP761="refOK",$BV761,$BU761)*IF($BR761="Emissions positive",-1,1)</f>
        <v>0</v>
      </c>
      <c r="CW761">
        <f>IF($CP761="refNeedCorrection",-BZ761,BZ761)*IF($BR761="Emissions positive",-1,1)</f>
        <v>-12000000</v>
      </c>
      <c r="CX761">
        <f>IFERROR($CW761/$CS761,"")</f>
        <v>-6.8372093023255823E-2</v>
      </c>
      <c r="CY761">
        <f>IFERROR($CW761/$CS761,"")</f>
        <v>-6.8372093023255823E-2</v>
      </c>
      <c r="CZ761">
        <f>IFERROR($CW761/$CT761,"")</f>
        <v>-6.8372093023255823E-2</v>
      </c>
      <c r="DA761" s="2" t="str">
        <f>IFERROR((CV761-CU761)/ABS(CU761),"")</f>
        <v/>
      </c>
      <c r="DB761" s="1" t="s">
        <v>1078</v>
      </c>
      <c r="DC761" t="str">
        <f>IF(OR($DB761="prd",$DB761="std",$DB761="cit"),"loc",IF(OR($DB761="eur",$DB761="reg",$DB761="coy"),"reg",$DB761))</f>
        <v>reg</v>
      </c>
      <c r="DD761" t="s">
        <v>925</v>
      </c>
      <c r="DE761">
        <v>2005</v>
      </c>
      <c r="DF761">
        <v>2050</v>
      </c>
      <c r="DG761">
        <v>45</v>
      </c>
      <c r="DH761" t="str">
        <f>IF(DG761=0,"0",IF(AND(DG761&gt;=1,DG761&lt;=30),"1-30",IF(AND(DG761&gt;30,DG761&lt;=70),"31-70",IF(AND(DG761&gt;70,DG761&lt;=100),"71-100",IF(DG761&gt;100,"+100")))))</f>
        <v>31-70</v>
      </c>
      <c r="DI761">
        <v>0</v>
      </c>
      <c r="DJ761">
        <v>1</v>
      </c>
      <c r="DK761">
        <v>0</v>
      </c>
      <c r="DL761">
        <v>0</v>
      </c>
      <c r="DN761">
        <f>SUM(DI761:DL761)</f>
        <v>1</v>
      </c>
      <c r="DO761" t="str">
        <f>IF(DN761=1,INDEX($DI$7:$DL$7,MATCH(1,$DI761:$DL761,0)),"mixedProduct")</f>
        <v>EnergyInput</v>
      </c>
      <c r="DP761">
        <f>IF(DI761=1,DP$7,0)</f>
        <v>0</v>
      </c>
      <c r="DQ761" t="str">
        <f>IF(DJ761=1,DQ$7,0)</f>
        <v>Energy</v>
      </c>
      <c r="DR761">
        <f>IF(DK761=1,DR$7,0)</f>
        <v>0</v>
      </c>
      <c r="DS761">
        <f>IF(DL761=1,DS$7,0)</f>
        <v>0</v>
      </c>
      <c r="DT761">
        <v>0</v>
      </c>
      <c r="DU761">
        <v>0</v>
      </c>
      <c r="DV761">
        <v>0</v>
      </c>
      <c r="DW761">
        <v>0</v>
      </c>
      <c r="DX761">
        <v>0</v>
      </c>
      <c r="DY761">
        <f>SUM(DT761:DU761)</f>
        <v>0</v>
      </c>
      <c r="DZ761" s="143" t="str">
        <f>IF(DT761=1,"self-calculated DF",IF(DU761=1,"external DF used","explicit C balance"))</f>
        <v>explicit C balance</v>
      </c>
      <c r="EA761">
        <v>0</v>
      </c>
      <c r="EB761">
        <v>1</v>
      </c>
      <c r="EC761">
        <v>1</v>
      </c>
      <c r="ED761">
        <v>0</v>
      </c>
      <c r="EE761">
        <v>0</v>
      </c>
      <c r="EF761" s="143">
        <v>1</v>
      </c>
      <c r="EG761">
        <v>1</v>
      </c>
      <c r="EH761">
        <v>0</v>
      </c>
      <c r="EI761">
        <v>0</v>
      </c>
      <c r="EJ761">
        <v>0</v>
      </c>
      <c r="EK761">
        <v>1</v>
      </c>
      <c r="EL761">
        <v>1</v>
      </c>
      <c r="EM761">
        <v>0</v>
      </c>
      <c r="EN761" s="2">
        <v>0</v>
      </c>
      <c r="EP761" t="str">
        <f>IF(AND(AND(AND(OR($EC761=1,$EB761=1),OR($EH761=1,$EF761=1)),SUM($EA761:$EE761,$EK761)&gt;=3),SUM($EF761:$EJ761)&gt;=2),"Whole sector approach","")</f>
        <v>Whole sector approach</v>
      </c>
      <c r="EQ761" t="str">
        <f>IF(AND(AND(OR($EC761=1,$EB761=1),AND($EH761=0,$EF761=0)),SUM($EA761:$EE761,$EK761)&gt;=4),"Ecosystem approach","")</f>
        <v/>
      </c>
      <c r="ER761" s="2" t="str">
        <f>IF(AND(AND(AND($EC761=0,$EB761=0),OR($EH761=1,$EF761=1)),SUM($EG761:$EJ761)&gt;=2),"Technology approach","")</f>
        <v/>
      </c>
      <c r="ES761" t="str">
        <f>IF(AND($EC761+$EB761+$EE761+$EA761+$ED761+$EG761=0,$N761="included"),"C neutral forest and HWP assumption","")</f>
        <v/>
      </c>
      <c r="ET761" t="str">
        <f>IF(AND(AND(AND(AND($EC761=1,$EB761+$EA761+$EG761&gt;=1),$EF761=1),$EH761+$EI761+$ED761+$EE761&gt;=2),$N761="included"),"All C pools assumption","")</f>
        <v/>
      </c>
      <c r="EU761" t="str">
        <f>IF(AND($ED761+$EE761+$EI761+$EH761+$EF761=0,$N761="included"),"In-situ only assumption","")</f>
        <v/>
      </c>
      <c r="EV761" s="328" t="s">
        <v>5065</v>
      </c>
      <c r="EY761" t="str">
        <f>IF(ISNUMBER(BW761),IF(ABS(BW761-[6]QC_indicators!$B$2)&gt;3*[6]QC_indicators!$C$2,"C ratio",IF(ISNUMBER(CA761),IF(ABS(CA761-[6]QC_indicators!$B$1)&gt;3*[6]QC_indicators!$C$1,"DF","no"))),IF(ISNUMBER(CA761),IF(ABS(CA761-[6]QC_indicators!$B$1)&gt;3*[6]QC_indicators!$C$1,"DF","no")))</f>
        <v>no</v>
      </c>
      <c r="FA761" t="str">
        <f>IF(LEN($CY761)=0,"",IF(AND($CY761&lt;(-0.05),$ES761="C neutral forest and HWP assumption"),"Cneutral paradox",IF(AND($CY761&gt;0.05,$EU761="In-situ only assumption"),"In-situ only paradox","")))</f>
        <v/>
      </c>
      <c r="FD761" s="260" t="s">
        <v>2948</v>
      </c>
    </row>
    <row r="762" spans="1:160" ht="15" hidden="1" customHeight="1">
      <c r="A762" s="1" t="s">
        <v>849</v>
      </c>
      <c r="B762" t="s">
        <v>1637</v>
      </c>
      <c r="C762" t="s">
        <v>1638</v>
      </c>
      <c r="D762" t="s">
        <v>1639</v>
      </c>
      <c r="E762" t="s">
        <v>1640</v>
      </c>
      <c r="F762" t="s">
        <v>1641</v>
      </c>
      <c r="G762" t="s">
        <v>1059</v>
      </c>
      <c r="H762" t="s">
        <v>254</v>
      </c>
      <c r="I762">
        <v>2011</v>
      </c>
      <c r="J762">
        <v>6</v>
      </c>
      <c r="K762" t="s">
        <v>1642</v>
      </c>
      <c r="M762" t="str">
        <f>LEFT($D762,FIND(",",$D762)-1)&amp;"_"&amp;I762&amp;L762</f>
        <v>Kayo_2011</v>
      </c>
      <c r="N762" t="s">
        <v>222</v>
      </c>
      <c r="O762" s="145" t="s">
        <v>508</v>
      </c>
      <c r="Q762" t="s">
        <v>256</v>
      </c>
      <c r="R762" s="251" t="s">
        <v>225</v>
      </c>
      <c r="S762" s="259" t="s">
        <v>3020</v>
      </c>
      <c r="T762" t="s">
        <v>1643</v>
      </c>
      <c r="U762" s="260" t="s">
        <v>1648</v>
      </c>
      <c r="V762" s="253">
        <v>0</v>
      </c>
      <c r="W762" s="253">
        <v>0</v>
      </c>
      <c r="X762">
        <v>0</v>
      </c>
      <c r="Y762">
        <v>0</v>
      </c>
      <c r="Z762">
        <v>1</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s="141">
        <f>COUNTIF(X762:AY762,"&lt;&gt;0")</f>
        <v>1</v>
      </c>
      <c r="BA762" s="141">
        <f>COUNTIF(X762:AN762,"&lt;&gt;0")</f>
        <v>1</v>
      </c>
      <c r="BB762">
        <f>COUNTIF(X762:AE762,"&lt;&gt;0")</f>
        <v>1</v>
      </c>
      <c r="BC762">
        <f>COUNTIF(AF762:AK762,"&lt;&gt;0")</f>
        <v>0</v>
      </c>
      <c r="BD762">
        <f>COUNTIF(AL762:AN762,"&lt;&gt;0")</f>
        <v>0</v>
      </c>
      <c r="BE762">
        <f>COUNTIF(AU762:AY762,"&lt;&gt;0")</f>
        <v>0</v>
      </c>
      <c r="BF762">
        <f>COUNTIF(AO762:AT762,"&lt;&gt;0")</f>
        <v>0</v>
      </c>
      <c r="BG762" t="str">
        <f t="array" ref="BG762">IF(BA762=1,INDEX($X$7:$AN$7,MATCH(TRUE,INDEX($X762:$AY762&lt;&gt;0,),0)),IF(BA762=0,INDEX($AO$7:$AY$7,MATCH(1,$AO762:$AY762,0)),IF(BH762="Multiple strategies","mixed drivers",IF(BH762="Supply chain","multiple supply","multiple silviculture"))))</f>
        <v>rotation length</v>
      </c>
      <c r="BH762" s="2" t="str" cm="1">
        <f t="array" ref="BH762">IF(COUNTIF(BB762:BD762,"&lt;&gt;0")=1,INDEX($X$4:$AY$4,MATCH(TRUE,INDEX($X762:$AY762&lt;&gt;0,),0)),IF(COUNTIF(BB762:BD762,"&lt;&gt;0")=0,INDEX($AO$4:$AY$4,MATCH(1,$AO762:$AY762,0)),"Multiple strategies"))</f>
        <v>Silviculture for removals</v>
      </c>
      <c r="BI762" s="1" t="s">
        <v>229</v>
      </c>
      <c r="BJ762" t="s">
        <v>1645</v>
      </c>
      <c r="BK762" s="256" t="s">
        <v>3021</v>
      </c>
      <c r="BL762" s="256" t="s">
        <v>3022</v>
      </c>
      <c r="BM762">
        <v>18</v>
      </c>
      <c r="BN762">
        <v>86</v>
      </c>
      <c r="BO762">
        <f>BN762/BM762</f>
        <v>4.7777777777777777</v>
      </c>
      <c r="BP762">
        <f>BN762-BM762</f>
        <v>68</v>
      </c>
      <c r="BQ762">
        <f>BP762*10^6*t_to_m3</f>
        <v>138775510.20408162</v>
      </c>
      <c r="BR762" t="s">
        <v>232</v>
      </c>
      <c r="BS762" s="256" t="s">
        <v>3023</v>
      </c>
      <c r="BT762" t="s">
        <v>1175</v>
      </c>
      <c r="BW762" s="280"/>
      <c r="BX762">
        <v>-20.5</v>
      </c>
      <c r="BZ762">
        <f>BX762*10^6</f>
        <v>-20500000</v>
      </c>
      <c r="CA762">
        <f>IFERROR(BZ762/BQ762,"")</f>
        <v>-0.14772058823529413</v>
      </c>
      <c r="CB762">
        <v>0</v>
      </c>
      <c r="CC762">
        <v>0</v>
      </c>
      <c r="CD762">
        <v>0</v>
      </c>
      <c r="CE762">
        <v>0</v>
      </c>
      <c r="CF762">
        <v>0</v>
      </c>
      <c r="CG762">
        <v>0</v>
      </c>
      <c r="CH762">
        <v>0</v>
      </c>
      <c r="CI762">
        <v>0</v>
      </c>
      <c r="CJ762">
        <v>0</v>
      </c>
      <c r="CK762">
        <v>0</v>
      </c>
      <c r="CL762">
        <v>0</v>
      </c>
      <c r="CM762">
        <v>0</v>
      </c>
      <c r="CN762">
        <v>0</v>
      </c>
      <c r="CO762">
        <v>0</v>
      </c>
      <c r="CP762" t="str">
        <f>IF(BN762&lt;BM762,"refNeedCorrection","refOK")</f>
        <v>refOK</v>
      </c>
      <c r="CQ762">
        <f>IF($CP762="refOK",$BM762,$BN762)</f>
        <v>18</v>
      </c>
      <c r="CR762">
        <f>IF($CP762="refOK",$BN762,$BM762)</f>
        <v>86</v>
      </c>
      <c r="CS762">
        <f>IF($CP762="refOK",$BQ762,-$BQ762)</f>
        <v>138775510.20408162</v>
      </c>
      <c r="CT762">
        <f>IF(BI762="Roundwood",$CS762/2,$CS762)</f>
        <v>138775510.20408162</v>
      </c>
      <c r="CU762">
        <f>IF($CP762="refOK",$BU762,$BV762)*IF($BR762="Emissions positive",-1,1)</f>
        <v>0</v>
      </c>
      <c r="CV762">
        <f>IF($CP762="refOK",$BV762,$BU762)*IF($BR762="Emissions positive",-1,1)</f>
        <v>0</v>
      </c>
      <c r="CW762">
        <f>IF($CP762="refNeedCorrection",-BZ762,BZ762)*IF($BR762="Emissions positive",-1,1)</f>
        <v>-20500000</v>
      </c>
      <c r="CX762">
        <f>IFERROR($CW762/$CS762,"")</f>
        <v>-0.14772058823529413</v>
      </c>
      <c r="CY762">
        <f>IFERROR($CW762/$CS762,"")</f>
        <v>-0.14772058823529413</v>
      </c>
      <c r="CZ762">
        <f>IFERROR($CW762/$CT762,"")</f>
        <v>-0.14772058823529413</v>
      </c>
      <c r="DA762" s="2" t="str">
        <f>IFERROR((CV762-CU762)/ABS(CU762),"")</f>
        <v/>
      </c>
      <c r="DB762" s="1" t="s">
        <v>1078</v>
      </c>
      <c r="DC762" t="str">
        <f>IF(OR($DB762="prd",$DB762="std",$DB762="cit"),"loc",IF(OR($DB762="eur",$DB762="reg",$DB762="coy"),"reg",$DB762))</f>
        <v>reg</v>
      </c>
      <c r="DD762" t="s">
        <v>925</v>
      </c>
      <c r="DE762">
        <v>2005</v>
      </c>
      <c r="DF762">
        <v>2050</v>
      </c>
      <c r="DG762">
        <v>45</v>
      </c>
      <c r="DH762" t="str">
        <f>IF(DG762=0,"0",IF(AND(DG762&gt;=1,DG762&lt;=30),"1-30",IF(AND(DG762&gt;30,DG762&lt;=70),"31-70",IF(AND(DG762&gt;70,DG762&lt;=100),"71-100",IF(DG762&gt;100,"+100")))))</f>
        <v>31-70</v>
      </c>
      <c r="DI762">
        <v>0</v>
      </c>
      <c r="DJ762">
        <v>1</v>
      </c>
      <c r="DK762">
        <v>0</v>
      </c>
      <c r="DL762">
        <v>0</v>
      </c>
      <c r="DN762">
        <f>SUM(DI762:DL762)</f>
        <v>1</v>
      </c>
      <c r="DO762" t="str">
        <f>IF(DN762=1,INDEX($DI$7:$DL$7,MATCH(1,$DI762:$DL762,0)),"mixedProduct")</f>
        <v>EnergyInput</v>
      </c>
      <c r="DP762">
        <f>IF(DI762=1,DP$7,0)</f>
        <v>0</v>
      </c>
      <c r="DQ762" t="str">
        <f>IF(DJ762=1,DQ$7,0)</f>
        <v>Energy</v>
      </c>
      <c r="DR762">
        <f>IF(DK762=1,DR$7,0)</f>
        <v>0</v>
      </c>
      <c r="DS762">
        <f>IF(DL762=1,DS$7,0)</f>
        <v>0</v>
      </c>
      <c r="DT762">
        <v>0</v>
      </c>
      <c r="DU762">
        <v>0</v>
      </c>
      <c r="DV762">
        <v>0</v>
      </c>
      <c r="DW762">
        <v>0</v>
      </c>
      <c r="DX762">
        <v>0</v>
      </c>
      <c r="DY762">
        <f>SUM(DT762:DU762)</f>
        <v>0</v>
      </c>
      <c r="DZ762" s="143" t="str">
        <f>IF(DT762=1,"self-calculated DF",IF(DU762=1,"external DF used","explicit C balance"))</f>
        <v>explicit C balance</v>
      </c>
      <c r="EA762">
        <v>0</v>
      </c>
      <c r="EB762">
        <v>1</v>
      </c>
      <c r="EC762">
        <v>1</v>
      </c>
      <c r="ED762">
        <v>0</v>
      </c>
      <c r="EE762">
        <v>0</v>
      </c>
      <c r="EF762" s="143">
        <v>1</v>
      </c>
      <c r="EG762">
        <v>1</v>
      </c>
      <c r="EH762">
        <v>0</v>
      </c>
      <c r="EI762">
        <v>0</v>
      </c>
      <c r="EJ762">
        <v>0</v>
      </c>
      <c r="EK762">
        <v>1</v>
      </c>
      <c r="EL762">
        <v>1</v>
      </c>
      <c r="EM762">
        <v>0</v>
      </c>
      <c r="EN762" s="2">
        <v>0</v>
      </c>
      <c r="EP762" t="str">
        <f>IF(AND(AND(AND(OR($EC762=1,$EB762=1),OR($EH762=1,$EF762=1)),SUM($EA762:$EE762,$EK762)&gt;=3),SUM($EF762:$EJ762)&gt;=2),"Whole sector approach","")</f>
        <v>Whole sector approach</v>
      </c>
      <c r="EQ762" t="str">
        <f>IF(AND(AND(OR($EC762=1,$EB762=1),AND($EH762=0,$EF762=0)),SUM($EA762:$EE762,$EK762)&gt;=4),"Ecosystem approach","")</f>
        <v/>
      </c>
      <c r="ER762" s="2" t="str">
        <f>IF(AND(AND(AND($EC762=0,$EB762=0),OR($EH762=1,$EF762=1)),SUM($EG762:$EJ762)&gt;=2),"Technology approach","")</f>
        <v/>
      </c>
      <c r="ES762" t="str">
        <f>IF(AND($EC762+$EB762+$EE762+$EA762+$ED762+$EG762=0,$N762="included"),"C neutral forest and HWP assumption","")</f>
        <v/>
      </c>
      <c r="ET762" t="str">
        <f>IF(AND(AND(AND(AND($EC762=1,$EB762+$EA762+$EG762&gt;=1),$EF762=1),$EH762+$EI762+$ED762+$EE762&gt;=2),$N762="included"),"All C pools assumption","")</f>
        <v/>
      </c>
      <c r="EU762" t="str">
        <f>IF(AND($ED762+$EE762+$EI762+$EH762+$EF762=0,$N762="included"),"In-situ only assumption","")</f>
        <v/>
      </c>
      <c r="EV762" s="328" t="s">
        <v>5065</v>
      </c>
      <c r="EY762" t="str">
        <f>IF(ISNUMBER(BW762),IF(ABS(BW762-[6]QC_indicators!$B$2)&gt;3*[6]QC_indicators!$C$2,"C ratio",IF(ISNUMBER(CA762),IF(ABS(CA762-[6]QC_indicators!$B$1)&gt;3*[6]QC_indicators!$C$1,"DF","no"))),IF(ISNUMBER(CA762),IF(ABS(CA762-[6]QC_indicators!$B$1)&gt;3*[6]QC_indicators!$C$1,"DF","no")))</f>
        <v>no</v>
      </c>
      <c r="FA762" t="str">
        <f>IF(LEN($CY762)=0,"",IF(AND($CY762&lt;(-0.05),$ES762="C neutral forest and HWP assumption"),"Cneutral paradox",IF(AND($CY762&gt;0.05,$EU762="In-situ only assumption"),"In-situ only paradox","")))</f>
        <v/>
      </c>
      <c r="FD762" s="260" t="s">
        <v>2948</v>
      </c>
    </row>
    <row r="763" spans="1:160" ht="15" hidden="1" customHeight="1">
      <c r="A763" s="1" t="s">
        <v>849</v>
      </c>
      <c r="B763" t="s">
        <v>1637</v>
      </c>
      <c r="C763" t="s">
        <v>1638</v>
      </c>
      <c r="D763" t="s">
        <v>1639</v>
      </c>
      <c r="E763" t="s">
        <v>1640</v>
      </c>
      <c r="F763" t="s">
        <v>1641</v>
      </c>
      <c r="G763" t="s">
        <v>1059</v>
      </c>
      <c r="H763" t="s">
        <v>254</v>
      </c>
      <c r="I763">
        <v>2011</v>
      </c>
      <c r="J763">
        <v>6</v>
      </c>
      <c r="K763" t="s">
        <v>1642</v>
      </c>
      <c r="M763" t="str">
        <f>LEFT($D763,FIND(",",$D763)-1)&amp;"_"&amp;I763&amp;L763</f>
        <v>Kayo_2011</v>
      </c>
      <c r="N763" t="s">
        <v>222</v>
      </c>
      <c r="O763" s="145" t="s">
        <v>508</v>
      </c>
      <c r="Q763" t="s">
        <v>256</v>
      </c>
      <c r="R763" s="251" t="s">
        <v>225</v>
      </c>
      <c r="S763" s="259" t="s">
        <v>3037</v>
      </c>
      <c r="T763" t="s">
        <v>1651</v>
      </c>
      <c r="U763" t="s">
        <v>1652</v>
      </c>
      <c r="V763" s="253">
        <v>0</v>
      </c>
      <c r="W763" s="253">
        <v>0</v>
      </c>
      <c r="X763">
        <v>0</v>
      </c>
      <c r="Y763">
        <v>0</v>
      </c>
      <c r="Z763">
        <v>0</v>
      </c>
      <c r="AA763">
        <v>0</v>
      </c>
      <c r="AB763">
        <v>0</v>
      </c>
      <c r="AC763">
        <v>0</v>
      </c>
      <c r="AD763">
        <v>0</v>
      </c>
      <c r="AE763">
        <v>0</v>
      </c>
      <c r="AF763">
        <v>0</v>
      </c>
      <c r="AG763">
        <v>0</v>
      </c>
      <c r="AH763">
        <v>0</v>
      </c>
      <c r="AI763">
        <v>0</v>
      </c>
      <c r="AJ763">
        <v>0</v>
      </c>
      <c r="AK763">
        <v>0</v>
      </c>
      <c r="AL763">
        <v>0</v>
      </c>
      <c r="AM763">
        <v>1</v>
      </c>
      <c r="AN763">
        <v>0</v>
      </c>
      <c r="AO763">
        <v>0</v>
      </c>
      <c r="AP763">
        <v>0</v>
      </c>
      <c r="AQ763">
        <v>0</v>
      </c>
      <c r="AR763">
        <v>0</v>
      </c>
      <c r="AS763">
        <v>0</v>
      </c>
      <c r="AT763">
        <v>0</v>
      </c>
      <c r="AU763">
        <v>0</v>
      </c>
      <c r="AV763">
        <v>0</v>
      </c>
      <c r="AW763">
        <v>0</v>
      </c>
      <c r="AX763">
        <v>0</v>
      </c>
      <c r="AY763">
        <v>0</v>
      </c>
      <c r="AZ763" s="141">
        <f>COUNTIF(X763:AY763,"&lt;&gt;0")</f>
        <v>1</v>
      </c>
      <c r="BA763" s="141">
        <f>COUNTIF(X763:AN763,"&lt;&gt;0")</f>
        <v>1</v>
      </c>
      <c r="BB763">
        <f>COUNTIF(X763:AE763,"&lt;&gt;0")</f>
        <v>0</v>
      </c>
      <c r="BC763">
        <f>COUNTIF(AF763:AK763,"&lt;&gt;0")</f>
        <v>0</v>
      </c>
      <c r="BD763">
        <f>COUNTIF(AL763:AN763,"&lt;&gt;0")</f>
        <v>1</v>
      </c>
      <c r="BE763">
        <f>COUNTIF(AU763:AY763,"&lt;&gt;0")</f>
        <v>0</v>
      </c>
      <c r="BF763">
        <f>COUNTIF(AO763:AT763,"&lt;&gt;0")</f>
        <v>0</v>
      </c>
      <c r="BG763" t="str">
        <f t="array" ref="BG763">IF(BA763=1,INDEX($X$7:$AN$7,MATCH(TRUE,INDEX($X763:$AY763&lt;&gt;0,),0)),IF(BA763=0,INDEX($AO$7:$AY$7,MATCH(1,$AO763:$AY763,0)),IF(BH763="Multiple strategies","mixed drivers",IF(BH763="Supply chain","multiple supply","multiple silviculture"))))</f>
        <v>technologies/design switch</v>
      </c>
      <c r="BH763" s="2" t="str" cm="1">
        <f t="array" ref="BH763">IF(COUNTIF(BB763:BD763,"&lt;&gt;0")=1,INDEX($X$4:$AY$4,MATCH(TRUE,INDEX($X763:$AY763&lt;&gt;0,),0)),IF(COUNTIF(BB763:BD763,"&lt;&gt;0")=0,INDEX($AO$4:$AY$4,MATCH(1,$AO763:$AY763,0)),"Multiple strategies"))</f>
        <v>Technology</v>
      </c>
      <c r="BI763" s="1" t="s">
        <v>229</v>
      </c>
      <c r="BJ763" t="s">
        <v>1645</v>
      </c>
      <c r="BK763" s="256" t="s">
        <v>3025</v>
      </c>
      <c r="BL763" s="256" t="s">
        <v>3022</v>
      </c>
      <c r="BM763">
        <v>0</v>
      </c>
      <c r="BN763">
        <v>32</v>
      </c>
      <c r="BP763">
        <f>BN763-BM763</f>
        <v>32</v>
      </c>
      <c r="BQ763">
        <f>BP763*10^6*t_to_m3</f>
        <v>65306122.448979594</v>
      </c>
      <c r="BR763" t="s">
        <v>232</v>
      </c>
      <c r="BS763" s="256" t="s">
        <v>3016</v>
      </c>
      <c r="BT763" t="s">
        <v>1175</v>
      </c>
      <c r="BW763" s="144" t="str">
        <f>IFERROR(BV763/BU763,"")</f>
        <v/>
      </c>
      <c r="BX763">
        <v>-11</v>
      </c>
      <c r="BZ763">
        <f>BX763*10^6</f>
        <v>-11000000</v>
      </c>
      <c r="CA763">
        <f>IFERROR(BZ763/BQ763,"")</f>
        <v>-0.16843749999999999</v>
      </c>
      <c r="CB763">
        <v>0</v>
      </c>
      <c r="CC763">
        <v>0</v>
      </c>
      <c r="CD763">
        <v>0</v>
      </c>
      <c r="CE763">
        <v>0</v>
      </c>
      <c r="CF763">
        <v>0</v>
      </c>
      <c r="CG763">
        <v>0</v>
      </c>
      <c r="CH763">
        <v>0</v>
      </c>
      <c r="CI763">
        <v>0</v>
      </c>
      <c r="CJ763">
        <v>0</v>
      </c>
      <c r="CK763">
        <v>0</v>
      </c>
      <c r="CL763">
        <v>0</v>
      </c>
      <c r="CM763">
        <v>0</v>
      </c>
      <c r="CN763">
        <v>0</v>
      </c>
      <c r="CO763">
        <v>0</v>
      </c>
      <c r="CP763" t="str">
        <f>IF(BN763&lt;BM763,"refNeedCorrection","refOK")</f>
        <v>refOK</v>
      </c>
      <c r="CQ763">
        <f>IF($CP763="refOK",$BM763,$BN763)</f>
        <v>0</v>
      </c>
      <c r="CR763">
        <f>IF($CP763="refOK",$BN763,$BM763)</f>
        <v>32</v>
      </c>
      <c r="CS763">
        <f>IF($CP763="refOK",$BQ763,-$BQ763)</f>
        <v>65306122.448979594</v>
      </c>
      <c r="CT763">
        <f>IF(BI763="Roundwood",$CS763/2,$CS763)</f>
        <v>65306122.448979594</v>
      </c>
      <c r="CU763">
        <f>IF($CP763="refOK",$BU763,$BV763)*IF($BR763="Emissions positive",-1,1)</f>
        <v>0</v>
      </c>
      <c r="CV763">
        <f>IF($CP763="refOK",$BV763,$BU763)*IF($BR763="Emissions positive",-1,1)</f>
        <v>0</v>
      </c>
      <c r="CW763">
        <f>IF($CP763="refNeedCorrection",-BZ763,BZ763)*IF($BR763="Emissions positive",-1,1)</f>
        <v>-11000000</v>
      </c>
      <c r="CX763">
        <f>IFERROR($CW763/$CS763,"")</f>
        <v>-0.16843749999999999</v>
      </c>
      <c r="CY763">
        <f>IFERROR($CW763/$CS763,"")</f>
        <v>-0.16843749999999999</v>
      </c>
      <c r="CZ763">
        <f>IFERROR($CW763/$CT763,"")</f>
        <v>-0.16843749999999999</v>
      </c>
      <c r="DA763" s="2" t="str">
        <f>IFERROR((CV763-CU763)/ABS(CU763),"")</f>
        <v/>
      </c>
      <c r="DB763" s="1" t="s">
        <v>1078</v>
      </c>
      <c r="DC763" t="str">
        <f>IF(OR($DB763="prd",$DB763="std",$DB763="cit"),"loc",IF(OR($DB763="eur",$DB763="reg",$DB763="coy"),"reg",$DB763))</f>
        <v>reg</v>
      </c>
      <c r="DD763" t="s">
        <v>925</v>
      </c>
      <c r="DE763">
        <v>2005</v>
      </c>
      <c r="DF763">
        <v>2020</v>
      </c>
      <c r="DG763">
        <v>15</v>
      </c>
      <c r="DH763" t="str">
        <f>IF(DG763=0,"0",IF(AND(DG763&gt;=1,DG763&lt;=30),"1-30",IF(AND(DG763&gt;30,DG763&lt;=70),"31-70",IF(AND(DG763&gt;70,DG763&lt;=100),"71-100",IF(DG763&gt;100,"+100")))))</f>
        <v>1-30</v>
      </c>
      <c r="DI763">
        <v>0</v>
      </c>
      <c r="DJ763">
        <v>1</v>
      </c>
      <c r="DK763">
        <v>0</v>
      </c>
      <c r="DL763">
        <v>0</v>
      </c>
      <c r="DN763">
        <f>SUM(DI763:DL763)</f>
        <v>1</v>
      </c>
      <c r="DO763" t="str">
        <f>IF(DN763=1,INDEX($DI$7:$DL$7,MATCH(1,$DI763:$DL763,0)),"mixedProduct")</f>
        <v>EnergyInput</v>
      </c>
      <c r="DP763">
        <f>IF(DI763=1,DP$7,0)</f>
        <v>0</v>
      </c>
      <c r="DQ763" t="str">
        <f>IF(DJ763=1,DQ$7,0)</f>
        <v>Energy</v>
      </c>
      <c r="DR763">
        <f>IF(DK763=1,DR$7,0)</f>
        <v>0</v>
      </c>
      <c r="DS763">
        <f>IF(DL763=1,DS$7,0)</f>
        <v>0</v>
      </c>
      <c r="DT763">
        <v>0</v>
      </c>
      <c r="DU763">
        <v>0</v>
      </c>
      <c r="DV763">
        <v>0</v>
      </c>
      <c r="DW763">
        <v>0</v>
      </c>
      <c r="DX763">
        <v>0</v>
      </c>
      <c r="DY763">
        <f>SUM(DT763:DU763)</f>
        <v>0</v>
      </c>
      <c r="DZ763" s="143" t="str">
        <f>IF(DT763=1,"self-calculated DF",IF(DU763=1,"external DF used","explicit C balance"))</f>
        <v>explicit C balance</v>
      </c>
      <c r="EA763">
        <v>0</v>
      </c>
      <c r="EB763">
        <v>1</v>
      </c>
      <c r="EC763">
        <v>1</v>
      </c>
      <c r="ED763">
        <v>0</v>
      </c>
      <c r="EE763">
        <v>0</v>
      </c>
      <c r="EF763" s="143">
        <v>1</v>
      </c>
      <c r="EG763">
        <v>1</v>
      </c>
      <c r="EH763">
        <v>0</v>
      </c>
      <c r="EI763">
        <v>0</v>
      </c>
      <c r="EJ763">
        <v>0</v>
      </c>
      <c r="EK763">
        <v>1</v>
      </c>
      <c r="EL763">
        <v>1</v>
      </c>
      <c r="EM763">
        <v>0</v>
      </c>
      <c r="EN763" s="2">
        <v>0</v>
      </c>
      <c r="EP763" t="str">
        <f>IF(AND(AND(AND(OR($EC763=1,$EB763=1),OR($EH763=1,$EF763=1)),SUM($EA763:$EE763,$EK763)&gt;=3),SUM($EF763:$EJ763)&gt;=2),"Whole sector approach","")</f>
        <v>Whole sector approach</v>
      </c>
      <c r="EQ763" t="str">
        <f>IF(AND(AND(OR($EC763=1,$EB763=1),AND($EH763=0,$EF763=0)),SUM($EA763:$EE763,$EK763)&gt;=4),"Ecosystem approach","")</f>
        <v/>
      </c>
      <c r="ER763" s="2" t="str">
        <f>IF(AND(AND(AND($EC763=0,$EB763=0),OR($EH763=1,$EF763=1)),SUM($EG763:$EJ763)&gt;=2),"Technology approach","")</f>
        <v/>
      </c>
      <c r="ES763" t="str">
        <f>IF(AND($EC763+$EB763+$EE763+$EA763+$ED763+$EG763=0,$N763="included"),"C neutral forest and HWP assumption","")</f>
        <v/>
      </c>
      <c r="ET763" t="str">
        <f>IF(AND(AND(AND(AND($EC763=1,$EB763+$EA763+$EG763&gt;=1),$EF763=1),$EH763+$EI763+$ED763+$EE763&gt;=2),$N763="included"),"All C pools assumption","")</f>
        <v/>
      </c>
      <c r="EU763" t="str">
        <f>IF(AND($ED763+$EE763+$EI763+$EH763+$EF763=0,$N763="included"),"In-situ only assumption","")</f>
        <v/>
      </c>
      <c r="EV763" s="328" t="s">
        <v>5065</v>
      </c>
      <c r="EY763" t="str">
        <f>IF(ISNUMBER(BW763),IF(ABS(BW763-[6]QC_indicators!$B$2)&gt;3*[6]QC_indicators!$C$2,"C ratio",IF(ISNUMBER(CA763),IF(ABS(CA763-[6]QC_indicators!$B$1)&gt;3*[6]QC_indicators!$C$1,"DF","no"))),IF(ISNUMBER(CA763),IF(ABS(CA763-[6]QC_indicators!$B$1)&gt;3*[6]QC_indicators!$C$1,"DF","no")))</f>
        <v>no</v>
      </c>
      <c r="FA763" t="str">
        <f>IF(LEN($CY763)=0,"",IF(AND($CY763&lt;(-0.05),$ES763="C neutral forest and HWP assumption"),"Cneutral paradox",IF(AND($CY763&gt;0.05,$EU763="In-situ only assumption"),"In-situ only paradox","")))</f>
        <v/>
      </c>
      <c r="FD763" s="260" t="s">
        <v>2948</v>
      </c>
    </row>
    <row r="764" spans="1:160" ht="15" hidden="1" customHeight="1">
      <c r="A764" s="1" t="s">
        <v>849</v>
      </c>
      <c r="B764" t="s">
        <v>1637</v>
      </c>
      <c r="C764" t="s">
        <v>1638</v>
      </c>
      <c r="D764" t="s">
        <v>1639</v>
      </c>
      <c r="E764" t="s">
        <v>1640</v>
      </c>
      <c r="F764" t="s">
        <v>1641</v>
      </c>
      <c r="G764" t="s">
        <v>1059</v>
      </c>
      <c r="H764" t="s">
        <v>254</v>
      </c>
      <c r="I764">
        <v>2011</v>
      </c>
      <c r="J764">
        <v>6</v>
      </c>
      <c r="K764" t="s">
        <v>1642</v>
      </c>
      <c r="M764" t="str">
        <f>LEFT($D764,FIND(",",$D764)-1)&amp;"_"&amp;I764&amp;L764</f>
        <v>Kayo_2011</v>
      </c>
      <c r="N764" t="s">
        <v>222</v>
      </c>
      <c r="O764" s="145" t="s">
        <v>508</v>
      </c>
      <c r="Q764" t="s">
        <v>256</v>
      </c>
      <c r="R764" s="251" t="s">
        <v>225</v>
      </c>
      <c r="S764" s="259" t="s">
        <v>3026</v>
      </c>
      <c r="T764" t="s">
        <v>1646</v>
      </c>
      <c r="U764" t="s">
        <v>1647</v>
      </c>
      <c r="V764" s="253">
        <v>0</v>
      </c>
      <c r="W764" s="253">
        <v>0</v>
      </c>
      <c r="X764">
        <v>0</v>
      </c>
      <c r="Y764">
        <v>0</v>
      </c>
      <c r="Z764">
        <v>1</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s="141">
        <f>COUNTIF(X764:AY764,"&lt;&gt;0")</f>
        <v>1</v>
      </c>
      <c r="BA764" s="141">
        <f>COUNTIF(X764:AN764,"&lt;&gt;0")</f>
        <v>1</v>
      </c>
      <c r="BB764">
        <f>COUNTIF(X764:AE764,"&lt;&gt;0")</f>
        <v>1</v>
      </c>
      <c r="BC764">
        <f>COUNTIF(AF764:AK764,"&lt;&gt;0")</f>
        <v>0</v>
      </c>
      <c r="BD764">
        <f>COUNTIF(AL764:AN764,"&lt;&gt;0")</f>
        <v>0</v>
      </c>
      <c r="BE764">
        <f>COUNTIF(AU764:AY764,"&lt;&gt;0")</f>
        <v>0</v>
      </c>
      <c r="BF764">
        <f>COUNTIF(AO764:AT764,"&lt;&gt;0")</f>
        <v>0</v>
      </c>
      <c r="BG764" t="str">
        <f t="array" ref="BG764">IF(BA764=1,INDEX($X$7:$AN$7,MATCH(TRUE,INDEX($X764:$AY764&lt;&gt;0,),0)),IF(BA764=0,INDEX($AO$7:$AY$7,MATCH(1,$AO764:$AY764,0)),IF(BH764="Multiple strategies","mixed drivers",IF(BH764="Supply chain","multiple supply","multiple silviculture"))))</f>
        <v>rotation length</v>
      </c>
      <c r="BH764" s="2" t="str" cm="1">
        <f t="array" ref="BH764">IF(COUNTIF(BB764:BD764,"&lt;&gt;0")=1,INDEX($X$4:$AY$4,MATCH(TRUE,INDEX($X764:$AY764&lt;&gt;0,),0)),IF(COUNTIF(BB764:BD764,"&lt;&gt;0")=0,INDEX($AO$4:$AY$4,MATCH(1,$AO764:$AY764,0)),"Multiple strategies"))</f>
        <v>Silviculture for removals</v>
      </c>
      <c r="BI764" s="1" t="s">
        <v>229</v>
      </c>
      <c r="BJ764" t="s">
        <v>1645</v>
      </c>
      <c r="BK764" s="256" t="s">
        <v>3025</v>
      </c>
      <c r="BL764" s="256" t="s">
        <v>3022</v>
      </c>
      <c r="BM764">
        <v>15</v>
      </c>
      <c r="BN764">
        <v>32</v>
      </c>
      <c r="BP764">
        <f>BN764-BM764</f>
        <v>17</v>
      </c>
      <c r="BQ764">
        <f>BP764*10^6*t_to_m3</f>
        <v>34693877.551020406</v>
      </c>
      <c r="BR764" t="s">
        <v>232</v>
      </c>
      <c r="BS764" s="256" t="s">
        <v>3027</v>
      </c>
      <c r="BT764" t="s">
        <v>1175</v>
      </c>
      <c r="BW764" s="144" t="str">
        <f>IFERROR(BV764/BU764,"")</f>
        <v/>
      </c>
      <c r="BX764">
        <v>-11</v>
      </c>
      <c r="BZ764">
        <f>BX764*10^6</f>
        <v>-11000000</v>
      </c>
      <c r="CA764">
        <f>IFERROR(BZ764/BQ764,"")</f>
        <v>-0.31705882352941178</v>
      </c>
      <c r="CB764">
        <v>0</v>
      </c>
      <c r="CC764">
        <v>0</v>
      </c>
      <c r="CD764">
        <v>0</v>
      </c>
      <c r="CE764">
        <v>0</v>
      </c>
      <c r="CF764">
        <v>0</v>
      </c>
      <c r="CG764">
        <v>0</v>
      </c>
      <c r="CH764">
        <v>0</v>
      </c>
      <c r="CI764">
        <v>0</v>
      </c>
      <c r="CJ764">
        <v>0</v>
      </c>
      <c r="CK764">
        <v>0</v>
      </c>
      <c r="CL764">
        <v>0</v>
      </c>
      <c r="CM764">
        <v>0</v>
      </c>
      <c r="CN764">
        <v>0</v>
      </c>
      <c r="CO764">
        <v>0</v>
      </c>
      <c r="CP764" t="str">
        <f>IF(BN764&lt;BM764,"refNeedCorrection","refOK")</f>
        <v>refOK</v>
      </c>
      <c r="CQ764">
        <f>IF($CP764="refOK",$BM764,$BN764)</f>
        <v>15</v>
      </c>
      <c r="CR764">
        <f>IF($CP764="refOK",$BN764,$BM764)</f>
        <v>32</v>
      </c>
      <c r="CS764">
        <f>IF($CP764="refOK",$BQ764,-$BQ764)</f>
        <v>34693877.551020406</v>
      </c>
      <c r="CT764">
        <f>IF(BI764="Roundwood",$CS764/2,$CS764)</f>
        <v>34693877.551020406</v>
      </c>
      <c r="CU764">
        <f>IF($CP764="refOK",$BU764,$BV764)*IF($BR764="Emissions positive",-1,1)</f>
        <v>0</v>
      </c>
      <c r="CV764">
        <f>IF($CP764="refOK",$BV764,$BU764)*IF($BR764="Emissions positive",-1,1)</f>
        <v>0</v>
      </c>
      <c r="CW764">
        <f>IF($CP764="refNeedCorrection",-BZ764,BZ764)*IF($BR764="Emissions positive",-1,1)</f>
        <v>-11000000</v>
      </c>
      <c r="CX764">
        <f>IFERROR($CW764/$CS764,"")</f>
        <v>-0.31705882352941178</v>
      </c>
      <c r="CY764">
        <f>IFERROR($CW764/$CS764,"")</f>
        <v>-0.31705882352941178</v>
      </c>
      <c r="CZ764">
        <f>IFERROR($CW764/$CT764,"")</f>
        <v>-0.31705882352941178</v>
      </c>
      <c r="DA764" s="2" t="str">
        <f>IFERROR((CV764-CU764)/ABS(CU764),"")</f>
        <v/>
      </c>
      <c r="DB764" s="1" t="s">
        <v>1078</v>
      </c>
      <c r="DC764" t="str">
        <f>IF(OR($DB764="prd",$DB764="std",$DB764="cit"),"loc",IF(OR($DB764="eur",$DB764="reg",$DB764="coy"),"reg",$DB764))</f>
        <v>reg</v>
      </c>
      <c r="DD764" t="s">
        <v>925</v>
      </c>
      <c r="DE764">
        <v>2005</v>
      </c>
      <c r="DF764">
        <v>2020</v>
      </c>
      <c r="DG764">
        <v>15</v>
      </c>
      <c r="DH764" t="str">
        <f>IF(DG764=0,"0",IF(AND(DG764&gt;=1,DG764&lt;=30),"1-30",IF(AND(DG764&gt;30,DG764&lt;=70),"31-70",IF(AND(DG764&gt;70,DG764&lt;=100),"71-100",IF(DG764&gt;100,"+100")))))</f>
        <v>1-30</v>
      </c>
      <c r="DI764">
        <v>0</v>
      </c>
      <c r="DJ764">
        <v>1</v>
      </c>
      <c r="DK764">
        <v>0</v>
      </c>
      <c r="DL764">
        <v>0</v>
      </c>
      <c r="DN764">
        <f>SUM(DI764:DL764)</f>
        <v>1</v>
      </c>
      <c r="DO764" t="str">
        <f>IF(DN764=1,INDEX($DI$7:$DL$7,MATCH(1,$DI764:$DL764,0)),"mixedProduct")</f>
        <v>EnergyInput</v>
      </c>
      <c r="DP764">
        <f>IF(DI764=1,DP$7,0)</f>
        <v>0</v>
      </c>
      <c r="DQ764" t="str">
        <f>IF(DJ764=1,DQ$7,0)</f>
        <v>Energy</v>
      </c>
      <c r="DR764">
        <f>IF(DK764=1,DR$7,0)</f>
        <v>0</v>
      </c>
      <c r="DS764">
        <f>IF(DL764=1,DS$7,0)</f>
        <v>0</v>
      </c>
      <c r="DT764">
        <v>0</v>
      </c>
      <c r="DU764">
        <v>0</v>
      </c>
      <c r="DV764">
        <v>0</v>
      </c>
      <c r="DW764">
        <v>0</v>
      </c>
      <c r="DX764">
        <v>0</v>
      </c>
      <c r="DY764">
        <f>SUM(DT764:DU764)</f>
        <v>0</v>
      </c>
      <c r="DZ764" s="143" t="str">
        <f>IF(DT764=1,"self-calculated DF",IF(DU764=1,"external DF used","explicit C balance"))</f>
        <v>explicit C balance</v>
      </c>
      <c r="EA764">
        <v>0</v>
      </c>
      <c r="EB764">
        <v>1</v>
      </c>
      <c r="EC764">
        <v>1</v>
      </c>
      <c r="ED764">
        <v>0</v>
      </c>
      <c r="EE764">
        <v>0</v>
      </c>
      <c r="EF764" s="143">
        <v>1</v>
      </c>
      <c r="EG764">
        <v>1</v>
      </c>
      <c r="EH764">
        <v>0</v>
      </c>
      <c r="EI764">
        <v>0</v>
      </c>
      <c r="EJ764">
        <v>0</v>
      </c>
      <c r="EK764">
        <v>1</v>
      </c>
      <c r="EL764">
        <v>1</v>
      </c>
      <c r="EM764">
        <v>0</v>
      </c>
      <c r="EN764" s="2">
        <v>0</v>
      </c>
      <c r="EP764" t="str">
        <f>IF(AND(AND(AND(OR($EC764=1,$EB764=1),OR($EH764=1,$EF764=1)),SUM($EA764:$EE764,$EK764)&gt;=3),SUM($EF764:$EJ764)&gt;=2),"Whole sector approach","")</f>
        <v>Whole sector approach</v>
      </c>
      <c r="EQ764" t="str">
        <f>IF(AND(AND(OR($EC764=1,$EB764=1),AND($EH764=0,$EF764=0)),SUM($EA764:$EE764,$EK764)&gt;=4),"Ecosystem approach","")</f>
        <v/>
      </c>
      <c r="ER764" s="2" t="str">
        <f>IF(AND(AND(AND($EC764=0,$EB764=0),OR($EH764=1,$EF764=1)),SUM($EG764:$EJ764)&gt;=2),"Technology approach","")</f>
        <v/>
      </c>
      <c r="ES764" t="str">
        <f>IF(AND($EC764+$EB764+$EE764+$EA764+$ED764+$EG764=0,$N764="included"),"C neutral forest and HWP assumption","")</f>
        <v/>
      </c>
      <c r="ET764" t="str">
        <f>IF(AND(AND(AND(AND($EC764=1,$EB764+$EA764+$EG764&gt;=1),$EF764=1),$EH764+$EI764+$ED764+$EE764&gt;=2),$N764="included"),"All C pools assumption","")</f>
        <v/>
      </c>
      <c r="EU764" t="str">
        <f>IF(AND($ED764+$EE764+$EI764+$EH764+$EF764=0,$N764="included"),"In-situ only assumption","")</f>
        <v/>
      </c>
      <c r="EV764" s="328" t="s">
        <v>5065</v>
      </c>
      <c r="EY764" t="str">
        <f>IF(ISNUMBER(BW764),IF(ABS(BW764-[6]QC_indicators!$B$2)&gt;3*[6]QC_indicators!$C$2,"C ratio",IF(ISNUMBER(CA764),IF(ABS(CA764-[6]QC_indicators!$B$1)&gt;3*[6]QC_indicators!$C$1,"DF","no"))),IF(ISNUMBER(CA764),IF(ABS(CA764-[6]QC_indicators!$B$1)&gt;3*[6]QC_indicators!$C$1,"DF","no")))</f>
        <v>no</v>
      </c>
      <c r="FA764" t="str">
        <f>IF(LEN($CY764)=0,"",IF(AND($CY764&lt;(-0.05),$ES764="C neutral forest and HWP assumption"),"Cneutral paradox",IF(AND($CY764&gt;0.05,$EU764="In-situ only assumption"),"In-situ only paradox","")))</f>
        <v/>
      </c>
      <c r="FD764" s="260" t="s">
        <v>2948</v>
      </c>
    </row>
    <row r="765" spans="1:160" ht="15" hidden="1" customHeight="1">
      <c r="A765" s="1" t="s">
        <v>849</v>
      </c>
      <c r="B765" t="s">
        <v>1637</v>
      </c>
      <c r="C765" t="s">
        <v>1638</v>
      </c>
      <c r="D765" t="s">
        <v>1639</v>
      </c>
      <c r="E765" t="s">
        <v>1640</v>
      </c>
      <c r="F765" t="s">
        <v>1641</v>
      </c>
      <c r="G765" t="s">
        <v>1059</v>
      </c>
      <c r="H765" t="s">
        <v>254</v>
      </c>
      <c r="I765">
        <v>2011</v>
      </c>
      <c r="J765">
        <v>6</v>
      </c>
      <c r="K765" t="s">
        <v>1642</v>
      </c>
      <c r="M765" t="str">
        <f>LEFT($D765,FIND(",",$D765)-1)&amp;"_"&amp;I765&amp;L765</f>
        <v>Kayo_2011</v>
      </c>
      <c r="N765" t="s">
        <v>222</v>
      </c>
      <c r="O765" s="145" t="s">
        <v>508</v>
      </c>
      <c r="Q765" t="s">
        <v>256</v>
      </c>
      <c r="R765" s="251" t="s">
        <v>225</v>
      </c>
      <c r="S765" s="259" t="s">
        <v>3036</v>
      </c>
      <c r="T765" t="s">
        <v>1520</v>
      </c>
      <c r="U765" t="s">
        <v>1643</v>
      </c>
      <c r="V765" s="253">
        <v>0</v>
      </c>
      <c r="W765" s="253">
        <v>0</v>
      </c>
      <c r="X765">
        <v>0</v>
      </c>
      <c r="Y765">
        <v>0</v>
      </c>
      <c r="Z765">
        <v>0</v>
      </c>
      <c r="AA765">
        <v>0</v>
      </c>
      <c r="AB765">
        <v>0</v>
      </c>
      <c r="AC765">
        <v>0</v>
      </c>
      <c r="AD765">
        <v>0</v>
      </c>
      <c r="AE765">
        <v>0</v>
      </c>
      <c r="AF765">
        <v>0</v>
      </c>
      <c r="AG765">
        <v>0</v>
      </c>
      <c r="AH765">
        <v>0</v>
      </c>
      <c r="AI765">
        <v>0</v>
      </c>
      <c r="AJ765">
        <v>0</v>
      </c>
      <c r="AK765">
        <v>0</v>
      </c>
      <c r="AL765">
        <v>0</v>
      </c>
      <c r="AM765">
        <v>1</v>
      </c>
      <c r="AN765">
        <v>0</v>
      </c>
      <c r="AO765">
        <v>0</v>
      </c>
      <c r="AP765">
        <v>0</v>
      </c>
      <c r="AQ765">
        <v>0</v>
      </c>
      <c r="AR765">
        <v>0</v>
      </c>
      <c r="AS765">
        <v>0</v>
      </c>
      <c r="AT765">
        <v>0</v>
      </c>
      <c r="AU765">
        <v>0</v>
      </c>
      <c r="AV765">
        <v>0</v>
      </c>
      <c r="AW765">
        <v>0</v>
      </c>
      <c r="AX765">
        <v>0</v>
      </c>
      <c r="AY765">
        <v>0</v>
      </c>
      <c r="AZ765" s="141">
        <f>COUNTIF(X765:AY765,"&lt;&gt;0")</f>
        <v>1</v>
      </c>
      <c r="BA765" s="141">
        <f>COUNTIF(X765:AN765,"&lt;&gt;0")</f>
        <v>1</v>
      </c>
      <c r="BB765">
        <f>COUNTIF(X765:AE765,"&lt;&gt;0")</f>
        <v>0</v>
      </c>
      <c r="BC765">
        <f>COUNTIF(AF765:AK765,"&lt;&gt;0")</f>
        <v>0</v>
      </c>
      <c r="BD765">
        <f>COUNTIF(AL765:AN765,"&lt;&gt;0")</f>
        <v>1</v>
      </c>
      <c r="BE765">
        <f>COUNTIF(AU765:AY765,"&lt;&gt;0")</f>
        <v>0</v>
      </c>
      <c r="BF765">
        <f>COUNTIF(AO765:AT765,"&lt;&gt;0")</f>
        <v>0</v>
      </c>
      <c r="BG765" t="str">
        <f t="array" ref="BG765">IF(BA765=1,INDEX($X$7:$AN$7,MATCH(TRUE,INDEX($X765:$AY765&lt;&gt;0,),0)),IF(BA765=0,INDEX($AO$7:$AY$7,MATCH(1,$AO765:$AY765,0)),IF(BH765="Multiple strategies","mixed drivers",IF(BH765="Supply chain","multiple supply","multiple silviculture"))))</f>
        <v>technologies/design switch</v>
      </c>
      <c r="BH765" s="2" t="str" cm="1">
        <f t="array" ref="BH765">IF(COUNTIF(BB765:BD765,"&lt;&gt;0")=1,INDEX($X$4:$AY$4,MATCH(TRUE,INDEX($X765:$AY765&lt;&gt;0,),0)),IF(COUNTIF(BB765:BD765,"&lt;&gt;0")=0,INDEX($AO$4:$AY$4,MATCH(1,$AO765:$AY765,0)),"Multiple strategies"))</f>
        <v>Technology</v>
      </c>
      <c r="BI765" s="1" t="s">
        <v>229</v>
      </c>
      <c r="BJ765" t="s">
        <v>1645</v>
      </c>
      <c r="BK765" s="256" t="s">
        <v>3021</v>
      </c>
      <c r="BL765" s="256" t="s">
        <v>3022</v>
      </c>
      <c r="BM765">
        <v>0</v>
      </c>
      <c r="BN765">
        <v>18</v>
      </c>
      <c r="BP765">
        <f>BN765-BM765</f>
        <v>18</v>
      </c>
      <c r="BQ765">
        <f>BP765*10^6*t_to_m3</f>
        <v>36734693.877551019</v>
      </c>
      <c r="BR765" t="s">
        <v>232</v>
      </c>
      <c r="BS765" s="256" t="s">
        <v>3033</v>
      </c>
      <c r="BT765" t="s">
        <v>1175</v>
      </c>
      <c r="BW765" s="144" t="str">
        <f>IFERROR(BV765/BU765,"")</f>
        <v/>
      </c>
      <c r="BX765">
        <v>-13.8</v>
      </c>
      <c r="BZ765">
        <f>BX765*10^6</f>
        <v>-13800000</v>
      </c>
      <c r="CA765">
        <f>IFERROR(BZ765/BQ765,"")</f>
        <v>-0.3756666666666667</v>
      </c>
      <c r="CB765">
        <v>0</v>
      </c>
      <c r="CC765">
        <v>0</v>
      </c>
      <c r="CD765">
        <v>0</v>
      </c>
      <c r="CE765">
        <v>0</v>
      </c>
      <c r="CF765">
        <v>0</v>
      </c>
      <c r="CG765">
        <v>0</v>
      </c>
      <c r="CH765">
        <v>0</v>
      </c>
      <c r="CI765">
        <v>0</v>
      </c>
      <c r="CJ765">
        <v>0</v>
      </c>
      <c r="CK765">
        <v>0</v>
      </c>
      <c r="CL765">
        <v>0</v>
      </c>
      <c r="CM765">
        <v>0</v>
      </c>
      <c r="CN765">
        <v>0</v>
      </c>
      <c r="CO765">
        <v>0</v>
      </c>
      <c r="CP765" t="str">
        <f>IF(BN765&lt;BM765,"refNeedCorrection","refOK")</f>
        <v>refOK</v>
      </c>
      <c r="CQ765">
        <f>IF($CP765="refOK",$BM765,$BN765)</f>
        <v>0</v>
      </c>
      <c r="CR765">
        <f>IF($CP765="refOK",$BN765,$BM765)</f>
        <v>18</v>
      </c>
      <c r="CS765">
        <f>IF($CP765="refOK",$BQ765,-$BQ765)</f>
        <v>36734693.877551019</v>
      </c>
      <c r="CT765">
        <f>IF(BI765="Roundwood",$CS765/2,$CS765)</f>
        <v>36734693.877551019</v>
      </c>
      <c r="CU765">
        <f>IF($CP765="refOK",$BU765,$BV765)*IF($BR765="Emissions positive",-1,1)</f>
        <v>0</v>
      </c>
      <c r="CV765">
        <f>IF($CP765="refOK",$BV765,$BU765)*IF($BR765="Emissions positive",-1,1)</f>
        <v>0</v>
      </c>
      <c r="CW765">
        <f>IF($CP765="refNeedCorrection",-BZ765,BZ765)*IF($BR765="Emissions positive",-1,1)</f>
        <v>-13800000</v>
      </c>
      <c r="CX765">
        <f>IFERROR($CW765/$CS765,"")</f>
        <v>-0.3756666666666667</v>
      </c>
      <c r="CY765">
        <f>IFERROR($CW765/$CS765,"")</f>
        <v>-0.3756666666666667</v>
      </c>
      <c r="CZ765">
        <f>IFERROR($CW765/$CT765,"")</f>
        <v>-0.3756666666666667</v>
      </c>
      <c r="DA765" s="2" t="str">
        <f>IFERROR((CV765-CU765)/ABS(CU765),"")</f>
        <v/>
      </c>
      <c r="DB765" s="1" t="s">
        <v>1078</v>
      </c>
      <c r="DC765" t="str">
        <f>IF(OR($DB765="prd",$DB765="std",$DB765="cit"),"loc",IF(OR($DB765="eur",$DB765="reg",$DB765="coy"),"reg",$DB765))</f>
        <v>reg</v>
      </c>
      <c r="DD765" t="s">
        <v>925</v>
      </c>
      <c r="DE765">
        <v>2005</v>
      </c>
      <c r="DF765">
        <v>2050</v>
      </c>
      <c r="DG765">
        <v>45</v>
      </c>
      <c r="DH765" t="str">
        <f>IF(DG765=0,"0",IF(AND(DG765&gt;=1,DG765&lt;=30),"1-30",IF(AND(DG765&gt;30,DG765&lt;=70),"31-70",IF(AND(DG765&gt;70,DG765&lt;=100),"71-100",IF(DG765&gt;100,"+100")))))</f>
        <v>31-70</v>
      </c>
      <c r="DI765">
        <v>0</v>
      </c>
      <c r="DJ765">
        <v>1</v>
      </c>
      <c r="DK765">
        <v>0</v>
      </c>
      <c r="DL765">
        <v>0</v>
      </c>
      <c r="DN765">
        <f>SUM(DI765:DL765)</f>
        <v>1</v>
      </c>
      <c r="DO765" t="str">
        <f>IF(DN765=1,INDEX($DI$7:$DL$7,MATCH(1,$DI765:$DL765,0)),"mixedProduct")</f>
        <v>EnergyInput</v>
      </c>
      <c r="DP765">
        <f>IF(DI765=1,DP$7,0)</f>
        <v>0</v>
      </c>
      <c r="DQ765" t="str">
        <f>IF(DJ765=1,DQ$7,0)</f>
        <v>Energy</v>
      </c>
      <c r="DR765">
        <f>IF(DK765=1,DR$7,0)</f>
        <v>0</v>
      </c>
      <c r="DS765">
        <f>IF(DL765=1,DS$7,0)</f>
        <v>0</v>
      </c>
      <c r="DT765">
        <v>0</v>
      </c>
      <c r="DU765">
        <v>0</v>
      </c>
      <c r="DV765">
        <v>0</v>
      </c>
      <c r="DW765">
        <v>0</v>
      </c>
      <c r="DX765">
        <v>0</v>
      </c>
      <c r="DY765">
        <f>SUM(DT765:DU765)</f>
        <v>0</v>
      </c>
      <c r="DZ765" s="143" t="str">
        <f>IF(DT765=1,"self-calculated DF",IF(DU765=1,"external DF used","explicit C balance"))</f>
        <v>explicit C balance</v>
      </c>
      <c r="EA765">
        <v>0</v>
      </c>
      <c r="EB765">
        <v>1</v>
      </c>
      <c r="EC765">
        <v>1</v>
      </c>
      <c r="ED765">
        <v>0</v>
      </c>
      <c r="EE765">
        <v>0</v>
      </c>
      <c r="EF765" s="143">
        <v>1</v>
      </c>
      <c r="EG765">
        <v>1</v>
      </c>
      <c r="EH765">
        <v>0</v>
      </c>
      <c r="EI765">
        <v>0</v>
      </c>
      <c r="EJ765">
        <v>0</v>
      </c>
      <c r="EK765">
        <v>1</v>
      </c>
      <c r="EL765">
        <v>1</v>
      </c>
      <c r="EM765">
        <v>0</v>
      </c>
      <c r="EN765" s="2">
        <v>0</v>
      </c>
      <c r="EP765" t="str">
        <f>IF(AND(AND(AND(OR($EC765=1,$EB765=1),OR($EH765=1,$EF765=1)),SUM($EA765:$EE765,$EK765)&gt;=3),SUM($EF765:$EJ765)&gt;=2),"Whole sector approach","")</f>
        <v>Whole sector approach</v>
      </c>
      <c r="EQ765" t="str">
        <f>IF(AND(AND(OR($EC765=1,$EB765=1),AND($EH765=0,$EF765=0)),SUM($EA765:$EE765,$EK765)&gt;=4),"Ecosystem approach","")</f>
        <v/>
      </c>
      <c r="ER765" s="2" t="str">
        <f>IF(AND(AND(AND($EC765=0,$EB765=0),OR($EH765=1,$EF765=1)),SUM($EG765:$EJ765)&gt;=2),"Technology approach","")</f>
        <v/>
      </c>
      <c r="ES765" t="str">
        <f>IF(AND($EC765+$EB765+$EE765+$EA765+$ED765+$EG765=0,$N765="included"),"C neutral forest and HWP assumption","")</f>
        <v/>
      </c>
      <c r="ET765" t="str">
        <f>IF(AND(AND(AND(AND($EC765=1,$EB765+$EA765+$EG765&gt;=1),$EF765=1),$EH765+$EI765+$ED765+$EE765&gt;=2),$N765="included"),"All C pools assumption","")</f>
        <v/>
      </c>
      <c r="EU765" t="str">
        <f>IF(AND($ED765+$EE765+$EI765+$EH765+$EF765=0,$N765="included"),"In-situ only assumption","")</f>
        <v/>
      </c>
      <c r="EV765" s="328" t="s">
        <v>5065</v>
      </c>
      <c r="EY765" t="str">
        <f>IF(ISNUMBER(BW765),IF(ABS(BW765-[6]QC_indicators!$B$2)&gt;3*[6]QC_indicators!$C$2,"C ratio",IF(ISNUMBER(CA765),IF(ABS(CA765-[6]QC_indicators!$B$1)&gt;3*[6]QC_indicators!$C$1,"DF","no"))),IF(ISNUMBER(CA765),IF(ABS(CA765-[6]QC_indicators!$B$1)&gt;3*[6]QC_indicators!$C$1,"DF","no")))</f>
        <v>no</v>
      </c>
      <c r="FA765" t="str">
        <f>IF(LEN($CY765)=0,"",IF(AND($CY765&lt;(-0.05),$ES765="C neutral forest and HWP assumption"),"Cneutral paradox",IF(AND($CY765&gt;0.05,$EU765="In-situ only assumption"),"In-situ only paradox","")))</f>
        <v/>
      </c>
      <c r="FD765" s="260" t="s">
        <v>2948</v>
      </c>
    </row>
    <row r="766" spans="1:160" ht="15" hidden="1" customHeight="1">
      <c r="A766" s="1" t="s">
        <v>849</v>
      </c>
      <c r="B766" t="s">
        <v>1637</v>
      </c>
      <c r="C766" t="s">
        <v>1638</v>
      </c>
      <c r="D766" t="s">
        <v>1639</v>
      </c>
      <c r="E766" t="s">
        <v>1640</v>
      </c>
      <c r="F766" t="s">
        <v>1641</v>
      </c>
      <c r="G766" t="s">
        <v>1059</v>
      </c>
      <c r="H766" t="s">
        <v>254</v>
      </c>
      <c r="I766">
        <v>2011</v>
      </c>
      <c r="J766">
        <v>6</v>
      </c>
      <c r="K766" t="s">
        <v>1642</v>
      </c>
      <c r="M766" t="str">
        <f>LEFT($D766,FIND(",",$D766)-1)&amp;"_"&amp;I766&amp;L766</f>
        <v>Kayo_2011</v>
      </c>
      <c r="N766" t="s">
        <v>222</v>
      </c>
      <c r="O766" s="145" t="s">
        <v>508</v>
      </c>
      <c r="Q766" t="s">
        <v>256</v>
      </c>
      <c r="R766" s="251" t="s">
        <v>225</v>
      </c>
      <c r="S766" s="259" t="s">
        <v>3034</v>
      </c>
      <c r="T766" t="s">
        <v>1650</v>
      </c>
      <c r="U766" t="s">
        <v>1646</v>
      </c>
      <c r="V766" s="253">
        <v>0</v>
      </c>
      <c r="W766" s="253">
        <v>0</v>
      </c>
      <c r="X766">
        <v>0</v>
      </c>
      <c r="Y766">
        <v>0</v>
      </c>
      <c r="Z766">
        <v>0</v>
      </c>
      <c r="AA766">
        <v>0</v>
      </c>
      <c r="AB766">
        <v>0</v>
      </c>
      <c r="AC766">
        <v>0</v>
      </c>
      <c r="AD766">
        <v>0</v>
      </c>
      <c r="AE766">
        <v>0</v>
      </c>
      <c r="AF766">
        <v>0</v>
      </c>
      <c r="AG766">
        <v>0</v>
      </c>
      <c r="AH766">
        <v>0</v>
      </c>
      <c r="AI766">
        <v>0</v>
      </c>
      <c r="AJ766">
        <v>0</v>
      </c>
      <c r="AK766">
        <v>0</v>
      </c>
      <c r="AL766">
        <v>0</v>
      </c>
      <c r="AM766">
        <v>1</v>
      </c>
      <c r="AN766">
        <v>0</v>
      </c>
      <c r="AO766">
        <v>0</v>
      </c>
      <c r="AP766">
        <v>0</v>
      </c>
      <c r="AQ766">
        <v>0</v>
      </c>
      <c r="AR766">
        <v>0</v>
      </c>
      <c r="AS766">
        <v>0</v>
      </c>
      <c r="AT766">
        <v>0</v>
      </c>
      <c r="AU766">
        <v>0</v>
      </c>
      <c r="AV766">
        <v>0</v>
      </c>
      <c r="AW766">
        <v>0</v>
      </c>
      <c r="AX766">
        <v>0</v>
      </c>
      <c r="AY766">
        <v>0</v>
      </c>
      <c r="AZ766" s="141">
        <f>COUNTIF(X766:AY766,"&lt;&gt;0")</f>
        <v>1</v>
      </c>
      <c r="BA766" s="141">
        <f>COUNTIF(X766:AN766,"&lt;&gt;0")</f>
        <v>1</v>
      </c>
      <c r="BB766">
        <f>COUNTIF(X766:AE766,"&lt;&gt;0")</f>
        <v>0</v>
      </c>
      <c r="BC766">
        <f>COUNTIF(AF766:AK766,"&lt;&gt;0")</f>
        <v>0</v>
      </c>
      <c r="BD766">
        <f>COUNTIF(AL766:AN766,"&lt;&gt;0")</f>
        <v>1</v>
      </c>
      <c r="BE766">
        <f>COUNTIF(AU766:AY766,"&lt;&gt;0")</f>
        <v>0</v>
      </c>
      <c r="BF766">
        <f>COUNTIF(AO766:AT766,"&lt;&gt;0")</f>
        <v>0</v>
      </c>
      <c r="BG766" t="str">
        <f t="array" ref="BG766">IF(BA766=1,INDEX($X$7:$AN$7,MATCH(TRUE,INDEX($X766:$AY766&lt;&gt;0,),0)),IF(BA766=0,INDEX($AO$7:$AY$7,MATCH(1,$AO766:$AY766,0)),IF(BH766="Multiple strategies","mixed drivers",IF(BH766="Supply chain","multiple supply","multiple silviculture"))))</f>
        <v>technologies/design switch</v>
      </c>
      <c r="BH766" s="2" t="str" cm="1">
        <f t="array" ref="BH766">IF(COUNTIF(BB766:BD766,"&lt;&gt;0")=1,INDEX($X$4:$AY$4,MATCH(TRUE,INDEX($X766:$AY766&lt;&gt;0,),0)),IF(COUNTIF(BB766:BD766,"&lt;&gt;0")=0,INDEX($AO$4:$AY$4,MATCH(1,$AO766:$AY766,0)),"Multiple strategies"))</f>
        <v>Technology</v>
      </c>
      <c r="BI766" s="1" t="s">
        <v>229</v>
      </c>
      <c r="BJ766" t="s">
        <v>1645</v>
      </c>
      <c r="BK766" s="256" t="s">
        <v>3025</v>
      </c>
      <c r="BL766" s="256" t="s">
        <v>3022</v>
      </c>
      <c r="BM766">
        <v>0</v>
      </c>
      <c r="BN766">
        <v>15</v>
      </c>
      <c r="BP766">
        <f>BN766-BM766</f>
        <v>15</v>
      </c>
      <c r="BQ766">
        <f>BP766*10^6*t_to_m3</f>
        <v>30612244.897959184</v>
      </c>
      <c r="BR766" t="s">
        <v>232</v>
      </c>
      <c r="BS766" s="256" t="s">
        <v>3035</v>
      </c>
      <c r="BT766" t="s">
        <v>1175</v>
      </c>
      <c r="BW766" s="144" t="str">
        <f>IFERROR(BV766/BU766,"")</f>
        <v/>
      </c>
      <c r="BX766">
        <v>-18</v>
      </c>
      <c r="BZ766">
        <f>BX766*10^6</f>
        <v>-18000000</v>
      </c>
      <c r="CA766">
        <f>IFERROR(BZ766/BQ766,"")</f>
        <v>-0.58799999999999997</v>
      </c>
      <c r="CB766">
        <v>0</v>
      </c>
      <c r="CC766">
        <v>0</v>
      </c>
      <c r="CD766">
        <v>0</v>
      </c>
      <c r="CE766">
        <v>0</v>
      </c>
      <c r="CF766">
        <v>0</v>
      </c>
      <c r="CG766">
        <v>0</v>
      </c>
      <c r="CH766">
        <v>0</v>
      </c>
      <c r="CI766">
        <v>0</v>
      </c>
      <c r="CJ766">
        <v>0</v>
      </c>
      <c r="CK766">
        <v>0</v>
      </c>
      <c r="CL766">
        <v>0</v>
      </c>
      <c r="CM766">
        <v>0</v>
      </c>
      <c r="CN766">
        <v>0</v>
      </c>
      <c r="CO766">
        <v>0</v>
      </c>
      <c r="CP766" t="str">
        <f>IF(BN766&lt;BM766,"refNeedCorrection","refOK")</f>
        <v>refOK</v>
      </c>
      <c r="CQ766">
        <f>IF($CP766="refOK",$BM766,$BN766)</f>
        <v>0</v>
      </c>
      <c r="CR766">
        <f>IF($CP766="refOK",$BN766,$BM766)</f>
        <v>15</v>
      </c>
      <c r="CS766">
        <f>IF($CP766="refOK",$BQ766,-$BQ766)</f>
        <v>30612244.897959184</v>
      </c>
      <c r="CT766">
        <f>IF(BI766="Roundwood",$CS766/2,$CS766)</f>
        <v>30612244.897959184</v>
      </c>
      <c r="CU766">
        <f>IF($CP766="refOK",$BU766,$BV766)*IF($BR766="Emissions positive",-1,1)</f>
        <v>0</v>
      </c>
      <c r="CV766">
        <f>IF($CP766="refOK",$BV766,$BU766)*IF($BR766="Emissions positive",-1,1)</f>
        <v>0</v>
      </c>
      <c r="CW766">
        <f>IF($CP766="refNeedCorrection",-BZ766,BZ766)*IF($BR766="Emissions positive",-1,1)</f>
        <v>-18000000</v>
      </c>
      <c r="CX766">
        <f>IFERROR($CW766/$CS766,"")</f>
        <v>-0.58799999999999997</v>
      </c>
      <c r="CY766">
        <f>IFERROR($CW766/$CS766,"")</f>
        <v>-0.58799999999999997</v>
      </c>
      <c r="CZ766">
        <f>IFERROR($CW766/$CT766,"")</f>
        <v>-0.58799999999999997</v>
      </c>
      <c r="DA766" s="2" t="str">
        <f>IFERROR((CV766-CU766)/ABS(CU766),"")</f>
        <v/>
      </c>
      <c r="DB766" s="1" t="s">
        <v>1078</v>
      </c>
      <c r="DC766" t="str">
        <f>IF(OR($DB766="prd",$DB766="std",$DB766="cit"),"loc",IF(OR($DB766="eur",$DB766="reg",$DB766="coy"),"reg",$DB766))</f>
        <v>reg</v>
      </c>
      <c r="DD766" t="s">
        <v>925</v>
      </c>
      <c r="DE766">
        <v>2005</v>
      </c>
      <c r="DF766">
        <v>2020</v>
      </c>
      <c r="DG766">
        <v>15</v>
      </c>
      <c r="DH766" t="str">
        <f>IF(DG766=0,"0",IF(AND(DG766&gt;=1,DG766&lt;=30),"1-30",IF(AND(DG766&gt;30,DG766&lt;=70),"31-70",IF(AND(DG766&gt;70,DG766&lt;=100),"71-100",IF(DG766&gt;100,"+100")))))</f>
        <v>1-30</v>
      </c>
      <c r="DI766">
        <v>0</v>
      </c>
      <c r="DJ766">
        <v>1</v>
      </c>
      <c r="DK766">
        <v>0</v>
      </c>
      <c r="DL766">
        <v>0</v>
      </c>
      <c r="DN766">
        <f>SUM(DI766:DL766)</f>
        <v>1</v>
      </c>
      <c r="DO766" t="str">
        <f>IF(DN766=1,INDEX($DI$7:$DL$7,MATCH(1,$DI766:$DL766,0)),"mixedProduct")</f>
        <v>EnergyInput</v>
      </c>
      <c r="DP766">
        <f>IF(DI766=1,DP$7,0)</f>
        <v>0</v>
      </c>
      <c r="DQ766" t="str">
        <f>IF(DJ766=1,DQ$7,0)</f>
        <v>Energy</v>
      </c>
      <c r="DR766">
        <f>IF(DK766=1,DR$7,0)</f>
        <v>0</v>
      </c>
      <c r="DS766">
        <f>IF(DL766=1,DS$7,0)</f>
        <v>0</v>
      </c>
      <c r="DT766">
        <v>0</v>
      </c>
      <c r="DU766">
        <v>0</v>
      </c>
      <c r="DV766">
        <v>0</v>
      </c>
      <c r="DW766">
        <v>0</v>
      </c>
      <c r="DX766">
        <v>0</v>
      </c>
      <c r="DY766">
        <f>SUM(DT766:DU766)</f>
        <v>0</v>
      </c>
      <c r="DZ766" s="143" t="str">
        <f>IF(DT766=1,"self-calculated DF",IF(DU766=1,"external DF used","explicit C balance"))</f>
        <v>explicit C balance</v>
      </c>
      <c r="EA766">
        <v>0</v>
      </c>
      <c r="EB766">
        <v>1</v>
      </c>
      <c r="EC766">
        <v>1</v>
      </c>
      <c r="ED766">
        <v>0</v>
      </c>
      <c r="EE766">
        <v>0</v>
      </c>
      <c r="EF766" s="143">
        <v>1</v>
      </c>
      <c r="EG766">
        <v>1</v>
      </c>
      <c r="EH766">
        <v>0</v>
      </c>
      <c r="EI766">
        <v>0</v>
      </c>
      <c r="EJ766">
        <v>0</v>
      </c>
      <c r="EK766">
        <v>1</v>
      </c>
      <c r="EL766">
        <v>1</v>
      </c>
      <c r="EM766">
        <v>0</v>
      </c>
      <c r="EN766" s="2">
        <v>0</v>
      </c>
      <c r="EP766" t="str">
        <f>IF(AND(AND(AND(OR($EC766=1,$EB766=1),OR($EH766=1,$EF766=1)),SUM($EA766:$EE766,$EK766)&gt;=3),SUM($EF766:$EJ766)&gt;=2),"Whole sector approach","")</f>
        <v>Whole sector approach</v>
      </c>
      <c r="EQ766" t="str">
        <f>IF(AND(AND(OR($EC766=1,$EB766=1),AND($EH766=0,$EF766=0)),SUM($EA766:$EE766,$EK766)&gt;=4),"Ecosystem approach","")</f>
        <v/>
      </c>
      <c r="ER766" s="2" t="str">
        <f>IF(AND(AND(AND($EC766=0,$EB766=0),OR($EH766=1,$EF766=1)),SUM($EG766:$EJ766)&gt;=2),"Technology approach","")</f>
        <v/>
      </c>
      <c r="ES766" t="str">
        <f>IF(AND($EC766+$EB766+$EE766+$EA766+$ED766+$EG766=0,$N766="included"),"C neutral forest and HWP assumption","")</f>
        <v/>
      </c>
      <c r="ET766" t="str">
        <f>IF(AND(AND(AND(AND($EC766=1,$EB766+$EA766+$EG766&gt;=1),$EF766=1),$EH766+$EI766+$ED766+$EE766&gt;=2),$N766="included"),"All C pools assumption","")</f>
        <v/>
      </c>
      <c r="EU766" t="str">
        <f>IF(AND($ED766+$EE766+$EI766+$EH766+$EF766=0,$N766="included"),"In-situ only assumption","")</f>
        <v/>
      </c>
      <c r="EV766" s="328" t="s">
        <v>5065</v>
      </c>
      <c r="EY766" t="str">
        <f>IF(ISNUMBER(BW766),IF(ABS(BW766-[6]QC_indicators!$B$2)&gt;3*[6]QC_indicators!$C$2,"C ratio",IF(ISNUMBER(CA766),IF(ABS(CA766-[6]QC_indicators!$B$1)&gt;3*[6]QC_indicators!$C$1,"DF","no"))),IF(ISNUMBER(CA766),IF(ABS(CA766-[6]QC_indicators!$B$1)&gt;3*[6]QC_indicators!$C$1,"DF","no")))</f>
        <v>no</v>
      </c>
      <c r="FA766" t="str">
        <f>IF(LEN($CY766)=0,"",IF(AND($CY766&lt;(-0.05),$ES766="C neutral forest and HWP assumption"),"Cneutral paradox",IF(AND($CY766&gt;0.05,$EU766="In-situ only assumption"),"In-situ only paradox","")))</f>
        <v/>
      </c>
      <c r="FD766" s="260" t="s">
        <v>2948</v>
      </c>
    </row>
    <row r="767" spans="1:160" ht="15" hidden="1" customHeight="1">
      <c r="A767" s="1" t="s">
        <v>849</v>
      </c>
      <c r="B767" t="s">
        <v>1637</v>
      </c>
      <c r="C767" t="s">
        <v>1638</v>
      </c>
      <c r="D767" t="s">
        <v>1639</v>
      </c>
      <c r="E767" t="s">
        <v>1640</v>
      </c>
      <c r="F767" t="s">
        <v>1641</v>
      </c>
      <c r="G767" t="s">
        <v>1059</v>
      </c>
      <c r="H767" t="s">
        <v>254</v>
      </c>
      <c r="I767">
        <v>2011</v>
      </c>
      <c r="J767">
        <v>6</v>
      </c>
      <c r="K767" t="s">
        <v>1642</v>
      </c>
      <c r="M767" t="str">
        <f>LEFT($D767,FIND(",",$D767)-1)&amp;"_"&amp;I767&amp;L767</f>
        <v>Kayo_2011</v>
      </c>
      <c r="N767" t="s">
        <v>222</v>
      </c>
      <c r="O767" s="145" t="s">
        <v>508</v>
      </c>
      <c r="Q767" t="s">
        <v>256</v>
      </c>
      <c r="R767" s="251" t="s">
        <v>225</v>
      </c>
      <c r="S767" s="259" t="s">
        <v>3024</v>
      </c>
      <c r="T767" t="s">
        <v>1643</v>
      </c>
      <c r="U767" s="260" t="s">
        <v>1648</v>
      </c>
      <c r="V767" s="253">
        <v>0</v>
      </c>
      <c r="W767" s="253">
        <v>0</v>
      </c>
      <c r="X767">
        <v>0</v>
      </c>
      <c r="Y767">
        <v>0</v>
      </c>
      <c r="Z767">
        <v>1</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s="141">
        <f>COUNTIF(X767:AY767,"&lt;&gt;0")</f>
        <v>1</v>
      </c>
      <c r="BA767" s="141">
        <f>COUNTIF(X767:AN767,"&lt;&gt;0")</f>
        <v>1</v>
      </c>
      <c r="BB767">
        <f>COUNTIF(X767:AE767,"&lt;&gt;0")</f>
        <v>1</v>
      </c>
      <c r="BC767">
        <f>COUNTIF(AF767:AK767,"&lt;&gt;0")</f>
        <v>0</v>
      </c>
      <c r="BD767">
        <f>COUNTIF(AL767:AN767,"&lt;&gt;0")</f>
        <v>0</v>
      </c>
      <c r="BE767">
        <f>COUNTIF(AU767:AY767,"&lt;&gt;0")</f>
        <v>0</v>
      </c>
      <c r="BF767">
        <f>COUNTIF(AO767:AT767,"&lt;&gt;0")</f>
        <v>0</v>
      </c>
      <c r="BG767" t="str">
        <f t="array" ref="BG767">IF(BA767=1,INDEX($X$7:$AN$7,MATCH(TRUE,INDEX($X767:$AY767&lt;&gt;0,),0)),IF(BA767=0,INDEX($AO$7:$AY$7,MATCH(1,$AO767:$AY767,0)),IF(BH767="Multiple strategies","mixed drivers",IF(BH767="Supply chain","multiple supply","multiple silviculture"))))</f>
        <v>rotation length</v>
      </c>
      <c r="BH767" s="2" t="str" cm="1">
        <f t="array" ref="BH767">IF(COUNTIF(BB767:BD767,"&lt;&gt;0")=1,INDEX($X$4:$AY$4,MATCH(TRUE,INDEX($X767:$AY767&lt;&gt;0,),0)),IF(COUNTIF(BB767:BD767,"&lt;&gt;0")=0,INDEX($AO$4:$AY$4,MATCH(1,$AO767:$AY767,0)),"Multiple strategies"))</f>
        <v>Silviculture for removals</v>
      </c>
      <c r="BI767" s="1" t="s">
        <v>229</v>
      </c>
      <c r="BJ767" s="260" t="s">
        <v>1645</v>
      </c>
      <c r="BK767" s="256" t="s">
        <v>3025</v>
      </c>
      <c r="BL767" s="256" t="s">
        <v>3022</v>
      </c>
      <c r="BM767">
        <v>15</v>
      </c>
      <c r="BN767">
        <v>32</v>
      </c>
      <c r="BP767">
        <f>BN767-BM767</f>
        <v>17</v>
      </c>
      <c r="BQ767">
        <f>BP767*10^6*t_to_m3</f>
        <v>34693877.551020406</v>
      </c>
      <c r="BR767" t="s">
        <v>232</v>
      </c>
      <c r="BS767" s="256" t="s">
        <v>3023</v>
      </c>
      <c r="BT767" t="s">
        <v>1175</v>
      </c>
      <c r="BW767" s="281"/>
      <c r="BX767">
        <v>-23</v>
      </c>
      <c r="BZ767">
        <f>BX767*10^6</f>
        <v>-23000000</v>
      </c>
      <c r="CA767">
        <f>IFERROR(BZ767/BQ767,"")</f>
        <v>-0.66294117647058826</v>
      </c>
      <c r="CB767">
        <v>0</v>
      </c>
      <c r="CC767">
        <v>0</v>
      </c>
      <c r="CD767">
        <v>0</v>
      </c>
      <c r="CE767">
        <v>0</v>
      </c>
      <c r="CF767">
        <v>0</v>
      </c>
      <c r="CG767">
        <v>0</v>
      </c>
      <c r="CH767">
        <v>0</v>
      </c>
      <c r="CI767">
        <v>0</v>
      </c>
      <c r="CJ767">
        <v>0</v>
      </c>
      <c r="CK767">
        <v>0</v>
      </c>
      <c r="CL767">
        <v>0</v>
      </c>
      <c r="CM767">
        <v>0</v>
      </c>
      <c r="CN767">
        <v>0</v>
      </c>
      <c r="CO767">
        <v>0</v>
      </c>
      <c r="CP767" t="str">
        <f>IF(BN767&lt;BM767,"refNeedCorrection","refOK")</f>
        <v>refOK</v>
      </c>
      <c r="CQ767">
        <f>IF($CP767="refOK",$BM767,$BN767)</f>
        <v>15</v>
      </c>
      <c r="CR767">
        <f>IF($CP767="refOK",$BN767,$BM767)</f>
        <v>32</v>
      </c>
      <c r="CS767">
        <f>IF($CP767="refOK",$BQ767,-$BQ767)</f>
        <v>34693877.551020406</v>
      </c>
      <c r="CT767">
        <f>IF(BI767="Roundwood",$CS767/2,$CS767)</f>
        <v>34693877.551020406</v>
      </c>
      <c r="CU767">
        <f>IF($CP767="refOK",$BU767,$BV767)*IF($BR767="Emissions positive",-1,1)</f>
        <v>0</v>
      </c>
      <c r="CV767">
        <f>IF($CP767="refOK",$BV767,$BU767)*IF($BR767="Emissions positive",-1,1)</f>
        <v>0</v>
      </c>
      <c r="CW767">
        <f>IF($CP767="refNeedCorrection",-BZ767,BZ767)*IF($BR767="Emissions positive",-1,1)</f>
        <v>-23000000</v>
      </c>
      <c r="CX767">
        <f>IFERROR($CW767/$CS767,"")</f>
        <v>-0.66294117647058826</v>
      </c>
      <c r="CY767">
        <f>IFERROR($CW767/$CS767,"")</f>
        <v>-0.66294117647058826</v>
      </c>
      <c r="CZ767">
        <f>IFERROR($CW767/$CT767,"")</f>
        <v>-0.66294117647058826</v>
      </c>
      <c r="DA767" s="2" t="str">
        <f>IFERROR((CV767-CU767)/ABS(CU767),"")</f>
        <v/>
      </c>
      <c r="DB767" s="1" t="s">
        <v>1078</v>
      </c>
      <c r="DC767" t="str">
        <f>IF(OR($DB767="prd",$DB767="std",$DB767="cit"),"loc",IF(OR($DB767="eur",$DB767="reg",$DB767="coy"),"reg",$DB767))</f>
        <v>reg</v>
      </c>
      <c r="DD767" t="s">
        <v>925</v>
      </c>
      <c r="DE767">
        <v>2005</v>
      </c>
      <c r="DF767">
        <v>2020</v>
      </c>
      <c r="DG767">
        <v>15</v>
      </c>
      <c r="DH767" t="str">
        <f>IF(DG767=0,"0",IF(AND(DG767&gt;=1,DG767&lt;=30),"1-30",IF(AND(DG767&gt;30,DG767&lt;=70),"31-70",IF(AND(DG767&gt;70,DG767&lt;=100),"71-100",IF(DG767&gt;100,"+100")))))</f>
        <v>1-30</v>
      </c>
      <c r="DI767">
        <v>0</v>
      </c>
      <c r="DJ767">
        <v>1</v>
      </c>
      <c r="DK767">
        <v>0</v>
      </c>
      <c r="DL767">
        <v>0</v>
      </c>
      <c r="DN767">
        <f>SUM(DI767:DL767)</f>
        <v>1</v>
      </c>
      <c r="DO767" t="str">
        <f>IF(DN767=1,INDEX($DI$7:$DL$7,MATCH(1,$DI767:$DL767,0)),"mixedProduct")</f>
        <v>EnergyInput</v>
      </c>
      <c r="DP767">
        <f>IF(DI767=1,DP$7,0)</f>
        <v>0</v>
      </c>
      <c r="DQ767" t="str">
        <f>IF(DJ767=1,DQ$7,0)</f>
        <v>Energy</v>
      </c>
      <c r="DR767">
        <f>IF(DK767=1,DR$7,0)</f>
        <v>0</v>
      </c>
      <c r="DS767">
        <f>IF(DL767=1,DS$7,0)</f>
        <v>0</v>
      </c>
      <c r="DT767">
        <v>0</v>
      </c>
      <c r="DU767">
        <v>0</v>
      </c>
      <c r="DV767">
        <v>0</v>
      </c>
      <c r="DW767">
        <v>0</v>
      </c>
      <c r="DX767">
        <v>0</v>
      </c>
      <c r="DY767">
        <f>SUM(DT767:DU767)</f>
        <v>0</v>
      </c>
      <c r="DZ767" s="143" t="str">
        <f>IF(DT767=1,"self-calculated DF",IF(DU767=1,"external DF used","explicit C balance"))</f>
        <v>explicit C balance</v>
      </c>
      <c r="EA767">
        <v>0</v>
      </c>
      <c r="EB767">
        <v>1</v>
      </c>
      <c r="EC767">
        <v>1</v>
      </c>
      <c r="ED767">
        <v>0</v>
      </c>
      <c r="EE767">
        <v>0</v>
      </c>
      <c r="EF767" s="143">
        <v>1</v>
      </c>
      <c r="EG767">
        <v>1</v>
      </c>
      <c r="EH767">
        <v>0</v>
      </c>
      <c r="EI767">
        <v>0</v>
      </c>
      <c r="EJ767">
        <v>0</v>
      </c>
      <c r="EK767">
        <v>1</v>
      </c>
      <c r="EL767">
        <v>1</v>
      </c>
      <c r="EM767">
        <v>0</v>
      </c>
      <c r="EN767" s="2">
        <v>0</v>
      </c>
      <c r="EP767" t="str">
        <f>IF(AND(AND(AND(OR($EC767=1,$EB767=1),OR($EH767=1,$EF767=1)),SUM($EA767:$EE767,$EK767)&gt;=3),SUM($EF767:$EJ767)&gt;=2),"Whole sector approach","")</f>
        <v>Whole sector approach</v>
      </c>
      <c r="EQ767" t="str">
        <f>IF(AND(AND(OR($EC767=1,$EB767=1),AND($EH767=0,$EF767=0)),SUM($EA767:$EE767,$EK767)&gt;=4),"Ecosystem approach","")</f>
        <v/>
      </c>
      <c r="ER767" s="2" t="str">
        <f>IF(AND(AND(AND($EC767=0,$EB767=0),OR($EH767=1,$EF767=1)),SUM($EG767:$EJ767)&gt;=2),"Technology approach","")</f>
        <v/>
      </c>
      <c r="ES767" t="str">
        <f>IF(AND($EC767+$EB767+$EE767+$EA767+$ED767+$EG767=0,$N767="included"),"C neutral forest and HWP assumption","")</f>
        <v/>
      </c>
      <c r="ET767" t="str">
        <f>IF(AND(AND(AND(AND($EC767=1,$EB767+$EA767+$EG767&gt;=1),$EF767=1),$EH767+$EI767+$ED767+$EE767&gt;=2),$N767="included"),"All C pools assumption","")</f>
        <v/>
      </c>
      <c r="EU767" t="str">
        <f>IF(AND($ED767+$EE767+$EI767+$EH767+$EF767=0,$N767="included"),"In-situ only assumption","")</f>
        <v/>
      </c>
      <c r="EV767" s="328" t="s">
        <v>5065</v>
      </c>
      <c r="EY767" t="str">
        <f>IF(ISNUMBER(BW767),IF(ABS(BW767-[6]QC_indicators!$B$2)&gt;3*[6]QC_indicators!$C$2,"C ratio",IF(ISNUMBER(CA767),IF(ABS(CA767-[6]QC_indicators!$B$1)&gt;3*[6]QC_indicators!$C$1,"DF","no"))),IF(ISNUMBER(CA767),IF(ABS(CA767-[6]QC_indicators!$B$1)&gt;3*[6]QC_indicators!$C$1,"DF","no")))</f>
        <v>no</v>
      </c>
      <c r="FA767" t="str">
        <f>IF(LEN($CY767)=0,"",IF(AND($CY767&lt;(-0.05),$ES767="C neutral forest and HWP assumption"),"Cneutral paradox",IF(AND($CY767&gt;0.05,$EU767="In-situ only assumption"),"In-situ only paradox","")))</f>
        <v/>
      </c>
      <c r="FD767" s="260" t="s">
        <v>2948</v>
      </c>
    </row>
    <row r="768" spans="1:160" ht="15" hidden="1" customHeight="1">
      <c r="A768" s="1" t="s">
        <v>849</v>
      </c>
      <c r="B768" t="s">
        <v>1637</v>
      </c>
      <c r="C768" t="s">
        <v>1638</v>
      </c>
      <c r="D768" t="s">
        <v>1639</v>
      </c>
      <c r="E768" t="s">
        <v>1640</v>
      </c>
      <c r="F768" t="s">
        <v>1641</v>
      </c>
      <c r="G768" t="s">
        <v>1059</v>
      </c>
      <c r="H768" t="s">
        <v>254</v>
      </c>
      <c r="I768">
        <v>2011</v>
      </c>
      <c r="J768">
        <v>6</v>
      </c>
      <c r="K768" t="s">
        <v>1642</v>
      </c>
      <c r="M768" t="str">
        <f>LEFT($D768,FIND(",",$D768)-1)&amp;"_"&amp;I768&amp;L768</f>
        <v>Kayo_2011</v>
      </c>
      <c r="N768" t="s">
        <v>222</v>
      </c>
      <c r="O768" s="145" t="s">
        <v>508</v>
      </c>
      <c r="Q768" t="s">
        <v>256</v>
      </c>
      <c r="R768" s="251" t="s">
        <v>225</v>
      </c>
      <c r="S768" s="259" t="s">
        <v>3032</v>
      </c>
      <c r="T768" t="s">
        <v>1520</v>
      </c>
      <c r="U768" t="s">
        <v>1643</v>
      </c>
      <c r="V768" s="253">
        <v>0</v>
      </c>
      <c r="W768" s="253">
        <v>0</v>
      </c>
      <c r="X768">
        <v>0</v>
      </c>
      <c r="Y768">
        <v>0</v>
      </c>
      <c r="Z768">
        <v>0</v>
      </c>
      <c r="AA768">
        <v>0</v>
      </c>
      <c r="AB768">
        <v>0</v>
      </c>
      <c r="AC768">
        <v>0</v>
      </c>
      <c r="AD768">
        <v>0</v>
      </c>
      <c r="AE768">
        <v>0</v>
      </c>
      <c r="AF768">
        <v>0</v>
      </c>
      <c r="AG768">
        <v>0</v>
      </c>
      <c r="AH768">
        <v>0</v>
      </c>
      <c r="AI768">
        <v>0</v>
      </c>
      <c r="AJ768">
        <v>0</v>
      </c>
      <c r="AK768">
        <v>0</v>
      </c>
      <c r="AL768">
        <v>0</v>
      </c>
      <c r="AM768">
        <v>1</v>
      </c>
      <c r="AN768">
        <v>0</v>
      </c>
      <c r="AO768">
        <v>0</v>
      </c>
      <c r="AP768">
        <v>0</v>
      </c>
      <c r="AQ768">
        <v>0</v>
      </c>
      <c r="AR768">
        <v>0</v>
      </c>
      <c r="AS768">
        <v>0</v>
      </c>
      <c r="AT768">
        <v>0</v>
      </c>
      <c r="AU768">
        <v>0</v>
      </c>
      <c r="AV768">
        <v>0</v>
      </c>
      <c r="AW768">
        <v>0</v>
      </c>
      <c r="AX768">
        <v>0</v>
      </c>
      <c r="AY768">
        <v>0</v>
      </c>
      <c r="AZ768" s="141">
        <f>COUNTIF(X768:AY768,"&lt;&gt;0")</f>
        <v>1</v>
      </c>
      <c r="BA768" s="141">
        <f>COUNTIF(X768:AN768,"&lt;&gt;0")</f>
        <v>1</v>
      </c>
      <c r="BB768">
        <f>COUNTIF(X768:AE768,"&lt;&gt;0")</f>
        <v>0</v>
      </c>
      <c r="BC768">
        <f>COUNTIF(AF768:AK768,"&lt;&gt;0")</f>
        <v>0</v>
      </c>
      <c r="BD768">
        <f>COUNTIF(AL768:AN768,"&lt;&gt;0")</f>
        <v>1</v>
      </c>
      <c r="BE768">
        <f>COUNTIF(AU768:AY768,"&lt;&gt;0")</f>
        <v>0</v>
      </c>
      <c r="BF768">
        <f>COUNTIF(AO768:AT768,"&lt;&gt;0")</f>
        <v>0</v>
      </c>
      <c r="BG768" t="str">
        <f t="array" ref="BG768">IF(BA768=1,INDEX($X$7:$AN$7,MATCH(TRUE,INDEX($X768:$AY768&lt;&gt;0,),0)),IF(BA768=0,INDEX($AO$7:$AY$7,MATCH(1,$AO768:$AY768,0)),IF(BH768="Multiple strategies","mixed drivers",IF(BH768="Supply chain","multiple supply","multiple silviculture"))))</f>
        <v>technologies/design switch</v>
      </c>
      <c r="BH768" s="2" t="str" cm="1">
        <f t="array" ref="BH768">IF(COUNTIF(BB768:BD768,"&lt;&gt;0")=1,INDEX($X$4:$AY$4,MATCH(TRUE,INDEX($X768:$AY768&lt;&gt;0,),0)),IF(COUNTIF(BB768:BD768,"&lt;&gt;0")=0,INDEX($AO$4:$AY$4,MATCH(1,$AO768:$AY768,0)),"Multiple strategies"))</f>
        <v>Technology</v>
      </c>
      <c r="BI768" s="1" t="s">
        <v>229</v>
      </c>
      <c r="BJ768" t="s">
        <v>1645</v>
      </c>
      <c r="BK768" s="256" t="s">
        <v>3025</v>
      </c>
      <c r="BL768" s="256" t="s">
        <v>3022</v>
      </c>
      <c r="BM768">
        <v>0</v>
      </c>
      <c r="BN768">
        <v>15</v>
      </c>
      <c r="BP768">
        <f>BN768-BM768</f>
        <v>15</v>
      </c>
      <c r="BQ768">
        <f>BP768*10^6*t_to_m3</f>
        <v>30612244.897959184</v>
      </c>
      <c r="BR768" t="s">
        <v>232</v>
      </c>
      <c r="BS768" s="256" t="s">
        <v>3033</v>
      </c>
      <c r="BT768" t="s">
        <v>1175</v>
      </c>
      <c r="BW768" s="144" t="str">
        <f>IFERROR(BV768/BU768,"")</f>
        <v/>
      </c>
      <c r="BX768">
        <v>-23</v>
      </c>
      <c r="BZ768">
        <f>BX768*10^6</f>
        <v>-23000000</v>
      </c>
      <c r="CA768">
        <f>IFERROR(BZ768/BQ768,"")</f>
        <v>-0.7513333333333333</v>
      </c>
      <c r="CB768">
        <v>0</v>
      </c>
      <c r="CC768">
        <v>0</v>
      </c>
      <c r="CD768">
        <v>0</v>
      </c>
      <c r="CE768">
        <v>0</v>
      </c>
      <c r="CF768">
        <v>0</v>
      </c>
      <c r="CG768">
        <v>0</v>
      </c>
      <c r="CH768">
        <v>0</v>
      </c>
      <c r="CI768">
        <v>0</v>
      </c>
      <c r="CJ768">
        <v>0</v>
      </c>
      <c r="CK768">
        <v>0</v>
      </c>
      <c r="CL768">
        <v>0</v>
      </c>
      <c r="CM768">
        <v>0</v>
      </c>
      <c r="CN768">
        <v>0</v>
      </c>
      <c r="CO768">
        <v>0</v>
      </c>
      <c r="CP768" t="str">
        <f>IF(BN768&lt;BM768,"refNeedCorrection","refOK")</f>
        <v>refOK</v>
      </c>
      <c r="CQ768">
        <f>IF($CP768="refOK",$BM768,$BN768)</f>
        <v>0</v>
      </c>
      <c r="CR768">
        <f>IF($CP768="refOK",$BN768,$BM768)</f>
        <v>15</v>
      </c>
      <c r="CS768">
        <f>IF($CP768="refOK",$BQ768,-$BQ768)</f>
        <v>30612244.897959184</v>
      </c>
      <c r="CT768">
        <f>IF(BI768="Roundwood",$CS768/2,$CS768)</f>
        <v>30612244.897959184</v>
      </c>
      <c r="CU768">
        <f>IF($CP768="refOK",$BU768,$BV768)*IF($BR768="Emissions positive",-1,1)</f>
        <v>0</v>
      </c>
      <c r="CV768">
        <f>IF($CP768="refOK",$BV768,$BU768)*IF($BR768="Emissions positive",-1,1)</f>
        <v>0</v>
      </c>
      <c r="CW768">
        <f>IF($CP768="refNeedCorrection",-BZ768,BZ768)*IF($BR768="Emissions positive",-1,1)</f>
        <v>-23000000</v>
      </c>
      <c r="CX768">
        <f>IFERROR($CW768/$CS768,"")</f>
        <v>-0.7513333333333333</v>
      </c>
      <c r="CY768">
        <f>IFERROR($CW768/$CS768,"")</f>
        <v>-0.7513333333333333</v>
      </c>
      <c r="CZ768">
        <f>IFERROR($CW768/$CT768,"")</f>
        <v>-0.7513333333333333</v>
      </c>
      <c r="DA768" s="2" t="str">
        <f>IFERROR((CV768-CU768)/ABS(CU768),"")</f>
        <v/>
      </c>
      <c r="DB768" s="1" t="s">
        <v>1078</v>
      </c>
      <c r="DC768" t="str">
        <f>IF(OR($DB768="prd",$DB768="std",$DB768="cit"),"loc",IF(OR($DB768="eur",$DB768="reg",$DB768="coy"),"reg",$DB768))</f>
        <v>reg</v>
      </c>
      <c r="DD768" t="s">
        <v>925</v>
      </c>
      <c r="DE768">
        <v>2005</v>
      </c>
      <c r="DF768">
        <v>2020</v>
      </c>
      <c r="DG768">
        <v>15</v>
      </c>
      <c r="DH768" t="str">
        <f>IF(DG768=0,"0",IF(AND(DG768&gt;=1,DG768&lt;=30),"1-30",IF(AND(DG768&gt;30,DG768&lt;=70),"31-70",IF(AND(DG768&gt;70,DG768&lt;=100),"71-100",IF(DG768&gt;100,"+100")))))</f>
        <v>1-30</v>
      </c>
      <c r="DI768">
        <v>0</v>
      </c>
      <c r="DJ768">
        <v>1</v>
      </c>
      <c r="DK768">
        <v>0</v>
      </c>
      <c r="DL768">
        <v>0</v>
      </c>
      <c r="DN768">
        <f>SUM(DI768:DL768)</f>
        <v>1</v>
      </c>
      <c r="DO768" t="str">
        <f>IF(DN768=1,INDEX($DI$7:$DL$7,MATCH(1,$DI768:$DL768,0)),"mixedProduct")</f>
        <v>EnergyInput</v>
      </c>
      <c r="DP768">
        <f>IF(DI768=1,DP$7,0)</f>
        <v>0</v>
      </c>
      <c r="DQ768" t="str">
        <f>IF(DJ768=1,DQ$7,0)</f>
        <v>Energy</v>
      </c>
      <c r="DR768">
        <f>IF(DK768=1,DR$7,0)</f>
        <v>0</v>
      </c>
      <c r="DS768">
        <f>IF(DL768=1,DS$7,0)</f>
        <v>0</v>
      </c>
      <c r="DT768">
        <v>0</v>
      </c>
      <c r="DU768">
        <v>0</v>
      </c>
      <c r="DV768">
        <v>0</v>
      </c>
      <c r="DW768">
        <v>0</v>
      </c>
      <c r="DX768">
        <v>0</v>
      </c>
      <c r="DY768">
        <f>SUM(DT768:DU768)</f>
        <v>0</v>
      </c>
      <c r="DZ768" s="143" t="str">
        <f>IF(DT768=1,"self-calculated DF",IF(DU768=1,"external DF used","explicit C balance"))</f>
        <v>explicit C balance</v>
      </c>
      <c r="EA768">
        <v>0</v>
      </c>
      <c r="EB768">
        <v>1</v>
      </c>
      <c r="EC768">
        <v>1</v>
      </c>
      <c r="ED768">
        <v>0</v>
      </c>
      <c r="EE768">
        <v>0</v>
      </c>
      <c r="EF768" s="143">
        <v>1</v>
      </c>
      <c r="EG768">
        <v>1</v>
      </c>
      <c r="EH768">
        <v>0</v>
      </c>
      <c r="EI768">
        <v>0</v>
      </c>
      <c r="EJ768">
        <v>0</v>
      </c>
      <c r="EK768">
        <v>1</v>
      </c>
      <c r="EL768">
        <v>1</v>
      </c>
      <c r="EM768">
        <v>0</v>
      </c>
      <c r="EN768" s="2">
        <v>0</v>
      </c>
      <c r="EP768" t="str">
        <f>IF(AND(AND(AND(OR($EC768=1,$EB768=1),OR($EH768=1,$EF768=1)),SUM($EA768:$EE768,$EK768)&gt;=3),SUM($EF768:$EJ768)&gt;=2),"Whole sector approach","")</f>
        <v>Whole sector approach</v>
      </c>
      <c r="EQ768" t="str">
        <f>IF(AND(AND(OR($EC768=1,$EB768=1),AND($EH768=0,$EF768=0)),SUM($EA768:$EE768,$EK768)&gt;=4),"Ecosystem approach","")</f>
        <v/>
      </c>
      <c r="ER768" s="2" t="str">
        <f>IF(AND(AND(AND($EC768=0,$EB768=0),OR($EH768=1,$EF768=1)),SUM($EG768:$EJ768)&gt;=2),"Technology approach","")</f>
        <v/>
      </c>
      <c r="ES768" t="str">
        <f>IF(AND($EC768+$EB768+$EE768+$EA768+$ED768+$EG768=0,$N768="included"),"C neutral forest and HWP assumption","")</f>
        <v/>
      </c>
      <c r="ET768" t="str">
        <f>IF(AND(AND(AND(AND($EC768=1,$EB768+$EA768+$EG768&gt;=1),$EF768=1),$EH768+$EI768+$ED768+$EE768&gt;=2),$N768="included"),"All C pools assumption","")</f>
        <v/>
      </c>
      <c r="EU768" t="str">
        <f>IF(AND($ED768+$EE768+$EI768+$EH768+$EF768=0,$N768="included"),"In-situ only assumption","")</f>
        <v/>
      </c>
      <c r="EV768" s="328" t="s">
        <v>5065</v>
      </c>
      <c r="EY768" t="str">
        <f>IF(ISNUMBER(BW768),IF(ABS(BW768-[6]QC_indicators!$B$2)&gt;3*[6]QC_indicators!$C$2,"C ratio",IF(ISNUMBER(CA768),IF(ABS(CA768-[6]QC_indicators!$B$1)&gt;3*[6]QC_indicators!$C$1,"DF","no"))),IF(ISNUMBER(CA768),IF(ABS(CA768-[6]QC_indicators!$B$1)&gt;3*[6]QC_indicators!$C$1,"DF","no")))</f>
        <v>no</v>
      </c>
      <c r="FA768" t="str">
        <f>IF(LEN($CY768)=0,"",IF(AND($CY768&lt;(-0.05),$ES768="C neutral forest and HWP assumption"),"Cneutral paradox",IF(AND($CY768&gt;0.05,$EU768="In-situ only assumption"),"In-situ only paradox","")))</f>
        <v/>
      </c>
      <c r="FD768" s="260" t="s">
        <v>2948</v>
      </c>
    </row>
    <row r="769" spans="1:160" ht="15" hidden="1" customHeight="1">
      <c r="A769" s="1" t="s">
        <v>849</v>
      </c>
      <c r="B769" t="s">
        <v>1637</v>
      </c>
      <c r="C769" t="s">
        <v>1638</v>
      </c>
      <c r="D769" t="s">
        <v>1639</v>
      </c>
      <c r="E769" t="s">
        <v>1640</v>
      </c>
      <c r="F769" t="s">
        <v>1641</v>
      </c>
      <c r="G769" t="s">
        <v>1059</v>
      </c>
      <c r="H769" t="s">
        <v>254</v>
      </c>
      <c r="I769">
        <v>2011</v>
      </c>
      <c r="J769">
        <v>6</v>
      </c>
      <c r="K769" t="s">
        <v>1642</v>
      </c>
      <c r="M769" t="str">
        <f>LEFT($D769,FIND(",",$D769)-1)&amp;"_"&amp;I769&amp;L769</f>
        <v>Kayo_2011</v>
      </c>
      <c r="N769" t="s">
        <v>222</v>
      </c>
      <c r="O769" s="145" t="s">
        <v>508</v>
      </c>
      <c r="Q769" t="s">
        <v>256</v>
      </c>
      <c r="R769" s="251" t="s">
        <v>225</v>
      </c>
      <c r="S769" s="259" t="s">
        <v>3024</v>
      </c>
      <c r="T769" t="s">
        <v>1643</v>
      </c>
      <c r="U769" s="260" t="s">
        <v>1644</v>
      </c>
      <c r="V769" s="253">
        <v>0</v>
      </c>
      <c r="W769" s="253">
        <v>0</v>
      </c>
      <c r="X769">
        <v>0</v>
      </c>
      <c r="Y769">
        <v>0</v>
      </c>
      <c r="Z769">
        <v>1</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s="141">
        <f>COUNTIF(X769:AY769,"&lt;&gt;0")</f>
        <v>1</v>
      </c>
      <c r="BA769" s="141">
        <f>COUNTIF(X769:AN769,"&lt;&gt;0")</f>
        <v>1</v>
      </c>
      <c r="BB769">
        <f>COUNTIF(X769:AE769,"&lt;&gt;0")</f>
        <v>1</v>
      </c>
      <c r="BC769">
        <f>COUNTIF(AF769:AK769,"&lt;&gt;0")</f>
        <v>0</v>
      </c>
      <c r="BD769">
        <f>COUNTIF(AL769:AN769,"&lt;&gt;0")</f>
        <v>0</v>
      </c>
      <c r="BE769">
        <f>COUNTIF(AU769:AY769,"&lt;&gt;0")</f>
        <v>0</v>
      </c>
      <c r="BF769">
        <f>COUNTIF(AO769:AT769,"&lt;&gt;0")</f>
        <v>0</v>
      </c>
      <c r="BG769" t="str">
        <f t="array" ref="BG769">IF(BA769=1,INDEX($X$7:$AN$7,MATCH(TRUE,INDEX($X769:$AY769&lt;&gt;0,),0)),IF(BA769=0,INDEX($AO$7:$AY$7,MATCH(1,$AO769:$AY769,0)),IF(BH769="Multiple strategies","mixed drivers",IF(BH769="Supply chain","multiple supply","multiple silviculture"))))</f>
        <v>rotation length</v>
      </c>
      <c r="BH769" s="2" t="str" cm="1">
        <f t="array" ref="BH769">IF(COUNTIF(BB769:BD769,"&lt;&gt;0")=1,INDEX($X$4:$AY$4,MATCH(TRUE,INDEX($X769:$AY769&lt;&gt;0,),0)),IF(COUNTIF(BB769:BD769,"&lt;&gt;0")=0,INDEX($AO$4:$AY$4,MATCH(1,$AO769:$AY769,0)),"Multiple strategies"))</f>
        <v>Silviculture for removals</v>
      </c>
      <c r="BI769" s="1" t="s">
        <v>229</v>
      </c>
      <c r="BJ769" t="s">
        <v>1645</v>
      </c>
      <c r="BK769" s="256" t="s">
        <v>3025</v>
      </c>
      <c r="BL769" s="256" t="s">
        <v>3022</v>
      </c>
      <c r="BM769">
        <v>15</v>
      </c>
      <c r="BN769">
        <v>15</v>
      </c>
      <c r="BP769">
        <f>BN769-BM769</f>
        <v>0</v>
      </c>
      <c r="BQ769">
        <f>BP769*10^6*t_to_m3</f>
        <v>0</v>
      </c>
      <c r="BR769" t="s">
        <v>232</v>
      </c>
      <c r="BS769" s="256" t="s">
        <v>3028</v>
      </c>
      <c r="BT769" t="s">
        <v>1175</v>
      </c>
      <c r="BW769" s="281"/>
      <c r="BX769">
        <v>-4.5</v>
      </c>
      <c r="BZ769">
        <f>BX769*10^6</f>
        <v>-4500000</v>
      </c>
      <c r="CA769" t="str">
        <f>IFERROR(BZ769/BQ769,"")</f>
        <v/>
      </c>
      <c r="CB769">
        <v>0</v>
      </c>
      <c r="CC769">
        <v>0</v>
      </c>
      <c r="CD769">
        <v>0</v>
      </c>
      <c r="CE769">
        <v>0</v>
      </c>
      <c r="CF769">
        <v>0</v>
      </c>
      <c r="CG769">
        <v>0</v>
      </c>
      <c r="CH769">
        <v>0</v>
      </c>
      <c r="CI769">
        <v>0</v>
      </c>
      <c r="CJ769">
        <v>0</v>
      </c>
      <c r="CK769">
        <v>0</v>
      </c>
      <c r="CL769">
        <v>0</v>
      </c>
      <c r="CM769">
        <v>0</v>
      </c>
      <c r="CN769">
        <v>0</v>
      </c>
      <c r="CO769">
        <v>0</v>
      </c>
      <c r="CP769" t="str">
        <f>IF(BN769&lt;BM769,"refNeedCorrection","refOK")</f>
        <v>refOK</v>
      </c>
      <c r="CQ769">
        <f>IF($CP769="refOK",$BM769,$BN769)</f>
        <v>15</v>
      </c>
      <c r="CR769">
        <f>IF($CP769="refOK",$BN769,$BM769)</f>
        <v>15</v>
      </c>
      <c r="CS769">
        <f>IF($CP769="refOK",$BQ769,-$BQ769)</f>
        <v>0</v>
      </c>
      <c r="CT769">
        <f>IF(BI769="Roundwood",$CS769/2,$CS769)</f>
        <v>0</v>
      </c>
      <c r="CU769">
        <f>IF($CP769="refOK",$BU769,$BV769)*IF($BR769="Emissions positive",-1,1)</f>
        <v>0</v>
      </c>
      <c r="CV769">
        <f>IF($CP769="refOK",$BV769,$BU769)*IF($BR769="Emissions positive",-1,1)</f>
        <v>0</v>
      </c>
      <c r="CW769">
        <f>IF($CP769="refNeedCorrection",-BZ769,BZ769)*IF($BR769="Emissions positive",-1,1)</f>
        <v>-4500000</v>
      </c>
      <c r="CX769" t="str">
        <f>IFERROR($CW769/$CS769,"")</f>
        <v/>
      </c>
      <c r="CY769" t="str">
        <f>IFERROR($CW769/$CS769,"")</f>
        <v/>
      </c>
      <c r="CZ769" t="str">
        <f>IFERROR($CW769/$CT769,"")</f>
        <v/>
      </c>
      <c r="DA769" s="2" t="str">
        <f>IFERROR((CV769-CU769)/ABS(CU769),"")</f>
        <v/>
      </c>
      <c r="DB769" s="1" t="s">
        <v>1078</v>
      </c>
      <c r="DC769" t="str">
        <f>IF(OR($DB769="prd",$DB769="std",$DB769="cit"),"loc",IF(OR($DB769="eur",$DB769="reg",$DB769="coy"),"reg",$DB769))</f>
        <v>reg</v>
      </c>
      <c r="DD769" t="s">
        <v>925</v>
      </c>
      <c r="DE769">
        <v>2005</v>
      </c>
      <c r="DF769">
        <v>2020</v>
      </c>
      <c r="DG769">
        <v>15</v>
      </c>
      <c r="DH769" t="str">
        <f>IF(DG769=0,"0",IF(AND(DG769&gt;=1,DG769&lt;=30),"1-30",IF(AND(DG769&gt;30,DG769&lt;=70),"31-70",IF(AND(DG769&gt;70,DG769&lt;=100),"71-100",IF(DG769&gt;100,"+100")))))</f>
        <v>1-30</v>
      </c>
      <c r="DI769">
        <v>0</v>
      </c>
      <c r="DJ769">
        <v>1</v>
      </c>
      <c r="DK769">
        <v>0</v>
      </c>
      <c r="DL769">
        <v>0</v>
      </c>
      <c r="DN769">
        <f>SUM(DI769:DL769)</f>
        <v>1</v>
      </c>
      <c r="DO769" t="str">
        <f>IF(DN769=1,INDEX($DI$7:$DL$7,MATCH(1,$DI769:$DL769,0)),"mixedProduct")</f>
        <v>EnergyInput</v>
      </c>
      <c r="DP769">
        <f>IF(DI769=1,DP$7,0)</f>
        <v>0</v>
      </c>
      <c r="DQ769" t="str">
        <f>IF(DJ769=1,DQ$7,0)</f>
        <v>Energy</v>
      </c>
      <c r="DR769">
        <f>IF(DK769=1,DR$7,0)</f>
        <v>0</v>
      </c>
      <c r="DS769">
        <f>IF(DL769=1,DS$7,0)</f>
        <v>0</v>
      </c>
      <c r="DT769">
        <v>0</v>
      </c>
      <c r="DU769">
        <v>0</v>
      </c>
      <c r="DV769">
        <v>0</v>
      </c>
      <c r="DW769">
        <v>0</v>
      </c>
      <c r="DX769">
        <v>0</v>
      </c>
      <c r="DY769">
        <f>SUM(DT769:DU769)</f>
        <v>0</v>
      </c>
      <c r="DZ769" s="143" t="str">
        <f>IF(DT769=1,"self-calculated DF",IF(DU769=1,"external DF used","explicit C balance"))</f>
        <v>explicit C balance</v>
      </c>
      <c r="EA769">
        <v>0</v>
      </c>
      <c r="EB769">
        <v>1</v>
      </c>
      <c r="EC769">
        <v>1</v>
      </c>
      <c r="ED769">
        <v>0</v>
      </c>
      <c r="EE769">
        <v>0</v>
      </c>
      <c r="EF769" s="143">
        <v>1</v>
      </c>
      <c r="EG769">
        <v>1</v>
      </c>
      <c r="EH769">
        <v>0</v>
      </c>
      <c r="EI769">
        <v>0</v>
      </c>
      <c r="EJ769">
        <v>0</v>
      </c>
      <c r="EK769">
        <v>1</v>
      </c>
      <c r="EL769">
        <v>1</v>
      </c>
      <c r="EM769">
        <v>0</v>
      </c>
      <c r="EN769" s="2">
        <v>0</v>
      </c>
      <c r="EP769" t="str">
        <f>IF(AND(AND(AND(OR($EC769=1,$EB769=1),OR($EH769=1,$EF769=1)),SUM($EA769:$EE769,$EK769)&gt;=3),SUM($EF769:$EJ769)&gt;=2),"Whole sector approach","")</f>
        <v>Whole sector approach</v>
      </c>
      <c r="EQ769" t="str">
        <f>IF(AND(AND(OR($EC769=1,$EB769=1),AND($EH769=0,$EF769=0)),SUM($EA769:$EE769,$EK769)&gt;=4),"Ecosystem approach","")</f>
        <v/>
      </c>
      <c r="ER769" s="2" t="str">
        <f>IF(AND(AND(AND($EC769=0,$EB769=0),OR($EH769=1,$EF769=1)),SUM($EG769:$EJ769)&gt;=2),"Technology approach","")</f>
        <v/>
      </c>
      <c r="ES769" t="str">
        <f>IF(AND($EC769+$EB769+$EE769+$EA769+$ED769+$EG769=0,$N769="included"),"C neutral forest and HWP assumption","")</f>
        <v/>
      </c>
      <c r="ET769" t="str">
        <f>IF(AND(AND(AND(AND($EC769=1,$EB769+$EA769+$EG769&gt;=1),$EF769=1),$EH769+$EI769+$ED769+$EE769&gt;=2),$N769="included"),"All C pools assumption","")</f>
        <v/>
      </c>
      <c r="EU769" t="str">
        <f>IF(AND($ED769+$EE769+$EI769+$EH769+$EF769=0,$N769="included"),"In-situ only assumption","")</f>
        <v/>
      </c>
      <c r="EV769" s="328" t="s">
        <v>5065</v>
      </c>
      <c r="EY769" t="b">
        <f>IF(ISNUMBER(BW769),IF(ABS(BW769-[6]QC_indicators!$B$2)&gt;3*[6]QC_indicators!$C$2,"C ratio",IF(ISNUMBER(CA769),IF(ABS(CA769-[6]QC_indicators!$B$1)&gt;3*[6]QC_indicators!$C$1,"DF","no"))),IF(ISNUMBER(CA769),IF(ABS(CA769-[6]QC_indicators!$B$1)&gt;3*[6]QC_indicators!$C$1,"DF","no")))</f>
        <v>0</v>
      </c>
      <c r="FA769" t="str">
        <f>IF(LEN($CY769)=0,"",IF(AND($CY769&lt;(-0.05),$ES769="C neutral forest and HWP assumption"),"Cneutral paradox",IF(AND($CY769&gt;0.05,$EU769="In-situ only assumption"),"In-situ only paradox","")))</f>
        <v/>
      </c>
      <c r="FD769" s="260" t="s">
        <v>2948</v>
      </c>
    </row>
    <row r="770" spans="1:160" hidden="1">
      <c r="A770" s="1" t="s">
        <v>849</v>
      </c>
      <c r="B770" t="s">
        <v>1637</v>
      </c>
      <c r="C770" t="s">
        <v>1638</v>
      </c>
      <c r="D770" t="s">
        <v>1639</v>
      </c>
      <c r="E770" t="s">
        <v>1640</v>
      </c>
      <c r="F770" t="s">
        <v>1641</v>
      </c>
      <c r="G770" t="s">
        <v>1059</v>
      </c>
      <c r="H770" t="s">
        <v>254</v>
      </c>
      <c r="I770">
        <v>2011</v>
      </c>
      <c r="J770">
        <v>6</v>
      </c>
      <c r="K770" t="s">
        <v>1642</v>
      </c>
      <c r="M770" t="str">
        <f>LEFT($D770,FIND(",",$D770)-1)&amp;"_"&amp;I770&amp;L770</f>
        <v>Kayo_2011</v>
      </c>
      <c r="N770" t="s">
        <v>222</v>
      </c>
      <c r="O770" s="145" t="s">
        <v>508</v>
      </c>
      <c r="Q770" t="s">
        <v>256</v>
      </c>
      <c r="R770" s="251" t="s">
        <v>225</v>
      </c>
      <c r="S770" s="259" t="s">
        <v>3026</v>
      </c>
      <c r="T770" t="s">
        <v>1646</v>
      </c>
      <c r="U770" t="s">
        <v>1649</v>
      </c>
      <c r="V770" s="253">
        <v>0</v>
      </c>
      <c r="W770" s="253">
        <v>0</v>
      </c>
      <c r="X770">
        <v>0</v>
      </c>
      <c r="Y770">
        <v>0</v>
      </c>
      <c r="Z770">
        <v>1</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s="141">
        <f>COUNTIF(X770:AY770,"&lt;&gt;0")</f>
        <v>1</v>
      </c>
      <c r="BA770" s="141">
        <f>COUNTIF(X770:AN770,"&lt;&gt;0")</f>
        <v>1</v>
      </c>
      <c r="BB770">
        <f>COUNTIF(X770:AE770,"&lt;&gt;0")</f>
        <v>1</v>
      </c>
      <c r="BC770">
        <f>COUNTIF(AF770:AK770,"&lt;&gt;0")</f>
        <v>0</v>
      </c>
      <c r="BD770">
        <f>COUNTIF(AL770:AN770,"&lt;&gt;0")</f>
        <v>0</v>
      </c>
      <c r="BE770">
        <f>COUNTIF(AU770:AY770,"&lt;&gt;0")</f>
        <v>0</v>
      </c>
      <c r="BF770">
        <f>COUNTIF(AO770:AT770,"&lt;&gt;0")</f>
        <v>0</v>
      </c>
      <c r="BG770" t="str">
        <f t="array" ref="BG770">IF(BA770=1,INDEX($X$7:$AN$7,MATCH(TRUE,INDEX($X770:$AY770&lt;&gt;0,),0)),IF(BA770=0,INDEX($AO$7:$AY$7,MATCH(1,$AO770:$AY770,0)),IF(BH770="Multiple strategies","mixed drivers",IF(BH770="Supply chain","multiple supply","multiple silviculture"))))</f>
        <v>rotation length</v>
      </c>
      <c r="BH770" s="2" t="str" cm="1">
        <f t="array" ref="BH770">IF(COUNTIF(BB770:BD770,"&lt;&gt;0")=1,INDEX($X$4:$AY$4,MATCH(TRUE,INDEX($X770:$AY770&lt;&gt;0,),0)),IF(COUNTIF(BB770:BD770,"&lt;&gt;0")=0,INDEX($AO$4:$AY$4,MATCH(1,$AO770:$AY770,0)),"Multiple strategies"))</f>
        <v>Silviculture for removals</v>
      </c>
      <c r="BI770" s="1" t="s">
        <v>229</v>
      </c>
      <c r="BJ770" t="s">
        <v>1645</v>
      </c>
      <c r="BK770" s="256" t="s">
        <v>3025</v>
      </c>
      <c r="BL770" s="256" t="s">
        <v>3022</v>
      </c>
      <c r="BM770">
        <v>15</v>
      </c>
      <c r="BN770">
        <v>15</v>
      </c>
      <c r="BP770">
        <f>BN770-BM770</f>
        <v>0</v>
      </c>
      <c r="BQ770">
        <f>BP770*10^6*t_to_m3</f>
        <v>0</v>
      </c>
      <c r="BR770" t="s">
        <v>232</v>
      </c>
      <c r="BS770" s="256" t="s">
        <v>3031</v>
      </c>
      <c r="BT770" t="s">
        <v>1175</v>
      </c>
      <c r="BW770" s="144" t="str">
        <f>IFERROR(BV770/BU770,"")</f>
        <v/>
      </c>
      <c r="BX770" s="256">
        <v>-5</v>
      </c>
      <c r="BZ770">
        <f>BX770*10^6</f>
        <v>-5000000</v>
      </c>
      <c r="CA770" t="str">
        <f>IFERROR(BZ770/BQ770,"")</f>
        <v/>
      </c>
      <c r="CB770">
        <v>0</v>
      </c>
      <c r="CC770">
        <v>0</v>
      </c>
      <c r="CD770">
        <v>0</v>
      </c>
      <c r="CE770">
        <v>0</v>
      </c>
      <c r="CF770">
        <v>0</v>
      </c>
      <c r="CG770">
        <v>0</v>
      </c>
      <c r="CH770">
        <v>0</v>
      </c>
      <c r="CI770">
        <v>0</v>
      </c>
      <c r="CJ770">
        <v>0</v>
      </c>
      <c r="CK770">
        <v>0</v>
      </c>
      <c r="CL770">
        <v>0</v>
      </c>
      <c r="CM770">
        <v>0</v>
      </c>
      <c r="CN770">
        <v>0</v>
      </c>
      <c r="CO770">
        <v>0</v>
      </c>
      <c r="CP770" t="str">
        <f>IF(BN770&lt;BM770,"refNeedCorrection","refOK")</f>
        <v>refOK</v>
      </c>
      <c r="CQ770">
        <f>IF($CP770="refOK",$BM770,$BN770)</f>
        <v>15</v>
      </c>
      <c r="CR770">
        <f>IF($CP770="refOK",$BN770,$BM770)</f>
        <v>15</v>
      </c>
      <c r="CS770">
        <f>IF($CP770="refOK",$BQ770,-$BQ770)</f>
        <v>0</v>
      </c>
      <c r="CT770">
        <f>IF(BI770="Roundwood",$CS770/2,$CS770)</f>
        <v>0</v>
      </c>
      <c r="CU770">
        <f>IF($CP770="refOK",$BU770,$BV770)*IF($BR770="Emissions positive",-1,1)</f>
        <v>0</v>
      </c>
      <c r="CV770">
        <f>IF($CP770="refOK",$BV770,$BU770)*IF($BR770="Emissions positive",-1,1)</f>
        <v>0</v>
      </c>
      <c r="CW770">
        <f>IF($CP770="refNeedCorrection",-BZ770,BZ770)*IF($BR770="Emissions positive",-1,1)</f>
        <v>-5000000</v>
      </c>
      <c r="CX770" t="str">
        <f>IFERROR($CW770/$CS770,"")</f>
        <v/>
      </c>
      <c r="CY770" t="str">
        <f>IFERROR($CW770/$CS770,"")</f>
        <v/>
      </c>
      <c r="CZ770" t="str">
        <f>IFERROR($CW770/$CT770,"")</f>
        <v/>
      </c>
      <c r="DA770" s="2" t="str">
        <f>IFERROR((CV770-CU770)/ABS(CU770),"")</f>
        <v/>
      </c>
      <c r="DB770" s="1" t="s">
        <v>1078</v>
      </c>
      <c r="DC770" t="str">
        <f>IF(OR($DB770="prd",$DB770="std",$DB770="cit"),"loc",IF(OR($DB770="eur",$DB770="reg",$DB770="coy"),"reg",$DB770))</f>
        <v>reg</v>
      </c>
      <c r="DD770" t="s">
        <v>925</v>
      </c>
      <c r="DE770">
        <v>2005</v>
      </c>
      <c r="DF770">
        <v>2020</v>
      </c>
      <c r="DG770">
        <v>15</v>
      </c>
      <c r="DH770" t="str">
        <f>IF(DG770=0,"0",IF(AND(DG770&gt;=1,DG770&lt;=30),"1-30",IF(AND(DG770&gt;30,DG770&lt;=70),"31-70",IF(AND(DG770&gt;70,DG770&lt;=100),"71-100",IF(DG770&gt;100,"+100")))))</f>
        <v>1-30</v>
      </c>
      <c r="DI770">
        <v>0</v>
      </c>
      <c r="DJ770">
        <v>1</v>
      </c>
      <c r="DK770">
        <v>0</v>
      </c>
      <c r="DL770">
        <v>0</v>
      </c>
      <c r="DN770">
        <f>SUM(DI770:DL770)</f>
        <v>1</v>
      </c>
      <c r="DO770" t="str">
        <f>IF(DN770=1,INDEX($DI$7:$DL$7,MATCH(1,$DI770:$DL770,0)),"mixedProduct")</f>
        <v>EnergyInput</v>
      </c>
      <c r="DP770">
        <f>IF(DI770=1,DP$7,0)</f>
        <v>0</v>
      </c>
      <c r="DQ770" t="str">
        <f>IF(DJ770=1,DQ$7,0)</f>
        <v>Energy</v>
      </c>
      <c r="DR770">
        <f>IF(DK770=1,DR$7,0)</f>
        <v>0</v>
      </c>
      <c r="DS770">
        <f>IF(DL770=1,DS$7,0)</f>
        <v>0</v>
      </c>
      <c r="DT770">
        <v>0</v>
      </c>
      <c r="DU770">
        <v>0</v>
      </c>
      <c r="DV770">
        <v>0</v>
      </c>
      <c r="DW770">
        <v>0</v>
      </c>
      <c r="DX770">
        <v>0</v>
      </c>
      <c r="DY770">
        <f>SUM(DT770:DU770)</f>
        <v>0</v>
      </c>
      <c r="DZ770" s="143" t="str">
        <f>IF(DT770=1,"self-calculated DF",IF(DU770=1,"external DF used","explicit C balance"))</f>
        <v>explicit C balance</v>
      </c>
      <c r="EA770">
        <v>0</v>
      </c>
      <c r="EB770">
        <v>1</v>
      </c>
      <c r="EC770">
        <v>1</v>
      </c>
      <c r="ED770">
        <v>0</v>
      </c>
      <c r="EE770">
        <v>0</v>
      </c>
      <c r="EF770" s="143">
        <v>1</v>
      </c>
      <c r="EG770">
        <v>1</v>
      </c>
      <c r="EH770">
        <v>0</v>
      </c>
      <c r="EI770">
        <v>0</v>
      </c>
      <c r="EJ770">
        <v>0</v>
      </c>
      <c r="EK770">
        <v>1</v>
      </c>
      <c r="EL770">
        <v>1</v>
      </c>
      <c r="EM770">
        <v>0</v>
      </c>
      <c r="EN770" s="2">
        <v>0</v>
      </c>
      <c r="EP770" t="str">
        <f>IF(AND(AND(AND(OR($EC770=1,$EB770=1),OR($EH770=1,$EF770=1)),SUM($EA770:$EE770,$EK770)&gt;=3),SUM($EF770:$EJ770)&gt;=2),"Whole sector approach","")</f>
        <v>Whole sector approach</v>
      </c>
      <c r="EQ770" t="str">
        <f>IF(AND(AND(OR($EC770=1,$EB770=1),AND($EH770=0,$EF770=0)),SUM($EA770:$EE770,$EK770)&gt;=4),"Ecosystem approach","")</f>
        <v/>
      </c>
      <c r="ER770" s="2" t="str">
        <f>IF(AND(AND(AND($EC770=0,$EB770=0),OR($EH770=1,$EF770=1)),SUM($EG770:$EJ770)&gt;=2),"Technology approach","")</f>
        <v/>
      </c>
      <c r="ES770" t="str">
        <f>IF(AND($EC770+$EB770+$EE770+$EA770+$ED770+$EG770=0,$N770="included"),"C neutral forest and HWP assumption","")</f>
        <v/>
      </c>
      <c r="ET770" t="str">
        <f>IF(AND(AND(AND(AND($EC770=1,$EB770+$EA770+$EG770&gt;=1),$EF770=1),$EH770+$EI770+$ED770+$EE770&gt;=2),$N770="included"),"All C pools assumption","")</f>
        <v/>
      </c>
      <c r="EU770" t="str">
        <f>IF(AND($ED770+$EE770+$EI770+$EH770+$EF770=0,$N770="included"),"In-situ only assumption","")</f>
        <v/>
      </c>
      <c r="EV770" s="328" t="s">
        <v>5065</v>
      </c>
      <c r="EY770" t="b">
        <f>IF(ISNUMBER(BW770),IF(ABS(BW770-[6]QC_indicators!$B$2)&gt;3*[6]QC_indicators!$C$2,"C ratio",IF(ISNUMBER(CA770),IF(ABS(CA770-[6]QC_indicators!$B$1)&gt;3*[6]QC_indicators!$C$1,"DF","no"))),IF(ISNUMBER(CA770),IF(ABS(CA770-[6]QC_indicators!$B$1)&gt;3*[6]QC_indicators!$C$1,"DF","no")))</f>
        <v>0</v>
      </c>
      <c r="FA770" t="str">
        <f>IF(LEN($CY770)=0,"",IF(AND($CY770&lt;(-0.05),$ES770="C neutral forest and HWP assumption"),"Cneutral paradox",IF(AND($CY770&gt;0.05,$EU770="In-situ only assumption"),"In-situ only paradox","")))</f>
        <v/>
      </c>
      <c r="FD770" s="260" t="s">
        <v>2948</v>
      </c>
    </row>
    <row r="771" spans="1:160" ht="15" hidden="1" customHeight="1">
      <c r="A771" s="1" t="s">
        <v>1001</v>
      </c>
      <c r="B771" t="s">
        <v>1665</v>
      </c>
      <c r="C771" t="s">
        <v>1666</v>
      </c>
      <c r="D771" t="s">
        <v>1667</v>
      </c>
      <c r="E771" t="s">
        <v>1668</v>
      </c>
      <c r="F771" t="s">
        <v>1669</v>
      </c>
      <c r="G771" t="s">
        <v>1002</v>
      </c>
      <c r="H771" t="s">
        <v>254</v>
      </c>
      <c r="I771">
        <v>2011</v>
      </c>
      <c r="J771">
        <v>49</v>
      </c>
      <c r="K771" t="s">
        <v>1670</v>
      </c>
      <c r="M771" t="str">
        <f>LEFT($D771,FIND(",",$D771)-1)&amp;"_"&amp;I771&amp;L771</f>
        <v>Kilpelainen_2011</v>
      </c>
      <c r="N771" t="s">
        <v>222</v>
      </c>
      <c r="O771" s="145" t="s">
        <v>508</v>
      </c>
      <c r="Q771" t="s">
        <v>256</v>
      </c>
      <c r="R771" s="258" t="s">
        <v>225</v>
      </c>
      <c r="S771" s="1" t="s">
        <v>1671</v>
      </c>
      <c r="T771" t="s">
        <v>1676</v>
      </c>
      <c r="U771" t="s">
        <v>1677</v>
      </c>
      <c r="V771" s="253">
        <v>0</v>
      </c>
      <c r="W771" s="253">
        <v>0</v>
      </c>
      <c r="X771">
        <v>0</v>
      </c>
      <c r="Y771">
        <v>0</v>
      </c>
      <c r="Z771">
        <v>0</v>
      </c>
      <c r="AA771">
        <v>0</v>
      </c>
      <c r="AB771">
        <v>0</v>
      </c>
      <c r="AC771">
        <v>0</v>
      </c>
      <c r="AD771">
        <v>0</v>
      </c>
      <c r="AE771">
        <v>0</v>
      </c>
      <c r="AF771">
        <v>0</v>
      </c>
      <c r="AG771">
        <v>0</v>
      </c>
      <c r="AH771">
        <v>1</v>
      </c>
      <c r="AI771">
        <v>0</v>
      </c>
      <c r="AJ771">
        <v>0</v>
      </c>
      <c r="AK771">
        <v>0</v>
      </c>
      <c r="AL771">
        <v>0</v>
      </c>
      <c r="AM771">
        <v>0</v>
      </c>
      <c r="AN771">
        <v>0</v>
      </c>
      <c r="AO771">
        <v>0</v>
      </c>
      <c r="AP771">
        <v>0</v>
      </c>
      <c r="AQ771">
        <v>0</v>
      </c>
      <c r="AR771">
        <v>0</v>
      </c>
      <c r="AS771">
        <v>0</v>
      </c>
      <c r="AT771">
        <v>0</v>
      </c>
      <c r="AU771">
        <v>0</v>
      </c>
      <c r="AV771">
        <v>0</v>
      </c>
      <c r="AW771">
        <v>0</v>
      </c>
      <c r="AX771">
        <v>0</v>
      </c>
      <c r="AY771">
        <v>0</v>
      </c>
      <c r="AZ771" s="141">
        <f>COUNTIF(X771:AY771,"&lt;&gt;0")</f>
        <v>1</v>
      </c>
      <c r="BA771" s="141">
        <f>COUNTIF(X771:AN771,"&lt;&gt;0")</f>
        <v>1</v>
      </c>
      <c r="BB771">
        <f>COUNTIF(X771:AE771,"&lt;&gt;0")</f>
        <v>0</v>
      </c>
      <c r="BC771">
        <f>COUNTIF(AF771:AK771,"&lt;&gt;0")</f>
        <v>1</v>
      </c>
      <c r="BD771">
        <f>COUNTIF(AL771:AN771,"&lt;&gt;0")</f>
        <v>0</v>
      </c>
      <c r="BE771">
        <f>COUNTIF(AU771:AY771,"&lt;&gt;0")</f>
        <v>0</v>
      </c>
      <c r="BF771">
        <f>COUNTIF(AO771:AT771,"&lt;&gt;0")</f>
        <v>0</v>
      </c>
      <c r="BG771" t="str">
        <f t="array" ref="BG771">IF(BA771=1,INDEX($X$7:$AN$7,MATCH(TRUE,INDEX($X771:$AY771&lt;&gt;0,),0)),IF(BA771=0,INDEX($AO$7:$AY$7,MATCH(1,$AO771:$AY771,0)),IF(BH771="Multiple strategies","mixed drivers",IF(BH771="Supply chain","multiple supply","multiple silviculture"))))</f>
        <v>supply chain organization</v>
      </c>
      <c r="BH771" s="2" t="str" cm="1">
        <f t="array" ref="BH771">IF(COUNTIF(BB771:BD771,"&lt;&gt;0")=1,INDEX($X$4:$AY$4,MATCH(TRUE,INDEX($X771:$AY771&lt;&gt;0,),0)),IF(COUNTIF(BB771:BD771,"&lt;&gt;0")=0,INDEX($AO$4:$AY$4,MATCH(1,$AO771:$AY771,0)),"Multiple strategies"))</f>
        <v>Supply chain</v>
      </c>
      <c r="BI771" s="1" t="s">
        <v>321</v>
      </c>
      <c r="BJ771" t="s">
        <v>1674</v>
      </c>
      <c r="BK771" s="256" t="s">
        <v>3040</v>
      </c>
      <c r="BL771" t="s">
        <v>1675</v>
      </c>
      <c r="BM771">
        <f>71+13</f>
        <v>84</v>
      </c>
      <c r="BN771" s="256">
        <v>228</v>
      </c>
      <c r="BO771">
        <f>BN771/BM771</f>
        <v>2.7142857142857144</v>
      </c>
      <c r="BP771">
        <f>BN771-BM771</f>
        <v>144</v>
      </c>
      <c r="BQ771">
        <f>BP771*(1/10^6)*(1/C_to_CO2)*tC_to_m3</f>
        <v>1.7037367442773971E-4</v>
      </c>
      <c r="BR771" s="256" t="s">
        <v>395</v>
      </c>
      <c r="BS771" s="256" t="s">
        <v>3040</v>
      </c>
      <c r="BT771" t="s">
        <v>1675</v>
      </c>
      <c r="BU771" s="256">
        <v>-214</v>
      </c>
      <c r="BV771" s="256">
        <v>-51</v>
      </c>
      <c r="BW771" s="144">
        <f>IFERROR(BV771/BU771,"")</f>
        <v>0.23831775700934579</v>
      </c>
      <c r="BX771">
        <f>BV771-BU771</f>
        <v>163</v>
      </c>
      <c r="BZ771">
        <f>BX771/10^6</f>
        <v>1.63E-4</v>
      </c>
      <c r="CA771">
        <f>IFERROR(BZ771/BQ771,"")</f>
        <v>0.95672057638888874</v>
      </c>
      <c r="CB771">
        <v>0</v>
      </c>
      <c r="CC771">
        <v>0</v>
      </c>
      <c r="CD771">
        <v>0</v>
      </c>
      <c r="CE771">
        <v>0</v>
      </c>
      <c r="CF771">
        <v>0</v>
      </c>
      <c r="CG771">
        <v>0</v>
      </c>
      <c r="CH771">
        <v>0</v>
      </c>
      <c r="CI771">
        <v>0</v>
      </c>
      <c r="CJ771">
        <v>0</v>
      </c>
      <c r="CK771">
        <v>0</v>
      </c>
      <c r="CL771">
        <v>0</v>
      </c>
      <c r="CM771">
        <v>0</v>
      </c>
      <c r="CN771">
        <v>0</v>
      </c>
      <c r="CO771">
        <v>0</v>
      </c>
      <c r="CP771" t="str">
        <f>IF($BN771&lt;$BM771,"refNeedCorrection","refOK")</f>
        <v>refOK</v>
      </c>
      <c r="CQ771">
        <f>IF($CP771="refOK",$BM771,$BN771)</f>
        <v>84</v>
      </c>
      <c r="CR771">
        <f>IF($CP771="refOK",$BN771,$BM771)</f>
        <v>228</v>
      </c>
      <c r="CS771">
        <f>IF($CP771="refOK",$BQ771,-$BQ771)</f>
        <v>1.7037367442773971E-4</v>
      </c>
      <c r="CT771">
        <f>IF(BI771="Roundwood",$CS771/2,$CS771)</f>
        <v>8.5186837213869853E-5</v>
      </c>
      <c r="CU771">
        <f>IF($CP771="refOK",$BU771,$BV771)*IF($BR771="Emissions positive",-1,1)</f>
        <v>214</v>
      </c>
      <c r="CV771">
        <f>IF($CP771="refOK",$BV771,$BU771)*IF($BR771="Emissions positive",-1,1)</f>
        <v>51</v>
      </c>
      <c r="CW771">
        <f>IF($CP771="refNeedCorrection",-BZ771,BZ771)*IF($BR771="Emissions positive",-1,1)</f>
        <v>-1.63E-4</v>
      </c>
      <c r="CX771">
        <f>IFERROR($CW771/$CS771,"")</f>
        <v>-0.95672057638888874</v>
      </c>
      <c r="CY771">
        <f>IFERROR($CW771/$CS771,"")</f>
        <v>-0.95672057638888874</v>
      </c>
      <c r="CZ771">
        <f>IFERROR($CW771/$CT771,"")</f>
        <v>-1.9134411527777775</v>
      </c>
      <c r="DA771" s="2">
        <f>IFERROR((CV771-CU771)/ABS(CU771),"")</f>
        <v>-0.76168224299065423</v>
      </c>
      <c r="DB771" s="1" t="s">
        <v>1074</v>
      </c>
      <c r="DC771" t="str">
        <f>IF(OR($DB771="prd",$DB771="std",$DB771="cit"),"loc",IF(OR($DB771="eur",$DB771="reg",$DB771="coy"),"reg",$DB771))</f>
        <v>reg</v>
      </c>
      <c r="DD771" t="s">
        <v>235</v>
      </c>
      <c r="DG771">
        <v>80</v>
      </c>
      <c r="DH771" t="str">
        <f>IF(DG771=0,"0",IF(AND(DG771&gt;=1,DG771&lt;=30),"1-30",IF(AND(DG771&gt;30,DG771&lt;=70),"31-70",IF(AND(DG771&gt;70,DG771&lt;=100),"71-100",IF(DG771&gt;100,"+100")))))</f>
        <v>71-100</v>
      </c>
      <c r="DI771">
        <v>0</v>
      </c>
      <c r="DJ771">
        <v>1</v>
      </c>
      <c r="DK771">
        <v>1</v>
      </c>
      <c r="DL771">
        <v>1</v>
      </c>
      <c r="DN771">
        <f>SUM(DI771:DL771)</f>
        <v>3</v>
      </c>
      <c r="DO771" t="str">
        <f>IF(DN771=1,INDEX($DI$7:$DL$7,MATCH(1,$DI771:$DL771,0)),"mixedProduct")</f>
        <v>mixedProduct</v>
      </c>
      <c r="DP771">
        <f>IF(DI771=1,DP$7,0)</f>
        <v>0</v>
      </c>
      <c r="DQ771" t="str">
        <f>IF(DJ771=1,DQ$7,0)</f>
        <v>Energy</v>
      </c>
      <c r="DR771" t="str">
        <f>IF(DK771=1,DR$7,0)</f>
        <v>Pulp/Paper</v>
      </c>
      <c r="DS771" t="str">
        <f>IF(DL771=1,DS$7,0)</f>
        <v>Timber</v>
      </c>
      <c r="DT771">
        <v>0</v>
      </c>
      <c r="DU771">
        <v>0</v>
      </c>
      <c r="DV771">
        <v>0</v>
      </c>
      <c r="DW771">
        <v>0</v>
      </c>
      <c r="DX771">
        <v>0</v>
      </c>
      <c r="DY771">
        <f>SUM(DT771:DU771)</f>
        <v>0</v>
      </c>
      <c r="DZ771" s="143" t="str">
        <f>IF(DT771=1,"self-calculated DF",IF(DU771=1,"external DF used","explicit C balance"))</f>
        <v>explicit C balance</v>
      </c>
      <c r="EA771">
        <v>1</v>
      </c>
      <c r="EB771">
        <v>1</v>
      </c>
      <c r="EC771">
        <v>1</v>
      </c>
      <c r="ED771">
        <v>0</v>
      </c>
      <c r="EE771">
        <v>1</v>
      </c>
      <c r="EF771">
        <v>0</v>
      </c>
      <c r="EG771">
        <v>1</v>
      </c>
      <c r="EH771">
        <v>1</v>
      </c>
      <c r="EI771">
        <v>0</v>
      </c>
      <c r="EJ771">
        <v>1</v>
      </c>
      <c r="EK771">
        <v>1</v>
      </c>
      <c r="EL771">
        <v>1</v>
      </c>
      <c r="EM771">
        <v>0</v>
      </c>
      <c r="EN771" s="2">
        <v>0</v>
      </c>
      <c r="EP771" t="str">
        <f>IF(AND(AND(AND(OR($EC771=1,$EB771=1),OR($EH771=1,$EF771=1)),SUM($EA771:$EE771,$EK771)&gt;=3),SUM($EF771:$EJ771)&gt;=2),"Whole sector approach","")</f>
        <v>Whole sector approach</v>
      </c>
      <c r="EQ771" t="str">
        <f>IF(AND(AND(OR($EC771=1,$EB771=1),AND($EH771=0,$EF771=0)),SUM($EA771:$EE771,$EK771)&gt;=4),"Ecosystem approach","")</f>
        <v/>
      </c>
      <c r="ER771" s="2" t="str">
        <f>IF(AND(AND(AND($EC771=0,$EB771=0),OR($EH771=1,$EF771=1)),SUM($EG771:$EJ771)&gt;=2),"Technology approach","")</f>
        <v/>
      </c>
      <c r="ES771" t="str">
        <f>IF(AND($EC771+$EB771+$EE771+$EA771+$ED771+$EG771=0,$N771="included"),"C neutral forest and HWP assumption","")</f>
        <v/>
      </c>
      <c r="ET771" t="str">
        <f>IF(AND(AND(AND(AND($EC771=1,$EB771+$EA771+$EG771&gt;=1),$EF771=1),$EH771+$EI771+$ED771+$EE771&gt;=2),$N771="included"),"All C pools assumption","")</f>
        <v/>
      </c>
      <c r="EU771" t="str">
        <f>IF(AND($ED771+$EE771+$EI771+$EH771+$EF771=0,$N771="included"),"In-situ only assumption","")</f>
        <v/>
      </c>
      <c r="EY771" t="str">
        <f>IF(ISNUMBER(BW771),IF(ABS(BW771-[6]QC_indicators!$B$2)&gt;3*[6]QC_indicators!$C$2,"C ratio",IF(ISNUMBER(CA771),IF(ABS(CA771-[6]QC_indicators!$B$1)&gt;3*[6]QC_indicators!$C$1,"DF","no"))),IF(ISNUMBER(CA771),IF(ABS(CA771-[6]QC_indicators!$B$1)&gt;3*[6]QC_indicators!$C$1,"DF","no")))</f>
        <v>no</v>
      </c>
      <c r="FA771" t="str">
        <f>IF(LEN($CY771)=0,"",IF(AND($CY771&lt;(-0.05),$ES771="C neutral forest and HWP assumption"),"Cneutral paradox",IF(AND($CY771&gt;0.05,$EU771="In-situ only assumption"),"In-situ only paradox","")))</f>
        <v/>
      </c>
      <c r="FD771" s="260" t="s">
        <v>2948</v>
      </c>
    </row>
    <row r="772" spans="1:160" ht="15" hidden="1" customHeight="1">
      <c r="A772" s="1" t="s">
        <v>1001</v>
      </c>
      <c r="B772" t="s">
        <v>1665</v>
      </c>
      <c r="C772" t="s">
        <v>1666</v>
      </c>
      <c r="D772" t="s">
        <v>1667</v>
      </c>
      <c r="E772" t="s">
        <v>1668</v>
      </c>
      <c r="F772" t="s">
        <v>1669</v>
      </c>
      <c r="G772" t="s">
        <v>1002</v>
      </c>
      <c r="H772" t="s">
        <v>254</v>
      </c>
      <c r="I772">
        <v>2011</v>
      </c>
      <c r="J772">
        <v>49</v>
      </c>
      <c r="K772" t="s">
        <v>1670</v>
      </c>
      <c r="M772" t="str">
        <f>LEFT($D772,FIND(",",$D772)-1)&amp;"_"&amp;I772&amp;L772</f>
        <v>Kilpelainen_2011</v>
      </c>
      <c r="N772" t="s">
        <v>222</v>
      </c>
      <c r="O772" s="145" t="s">
        <v>508</v>
      </c>
      <c r="Q772" t="s">
        <v>256</v>
      </c>
      <c r="R772" s="258" t="s">
        <v>225</v>
      </c>
      <c r="S772" s="1" t="s">
        <v>1671</v>
      </c>
      <c r="T772" t="s">
        <v>1672</v>
      </c>
      <c r="U772" t="s">
        <v>1673</v>
      </c>
      <c r="V772" s="253">
        <v>0</v>
      </c>
      <c r="W772" s="253">
        <v>0</v>
      </c>
      <c r="X772">
        <v>0</v>
      </c>
      <c r="Y772">
        <v>0</v>
      </c>
      <c r="Z772">
        <v>0</v>
      </c>
      <c r="AA772">
        <v>0</v>
      </c>
      <c r="AB772">
        <v>0</v>
      </c>
      <c r="AC772">
        <v>0</v>
      </c>
      <c r="AD772">
        <v>0</v>
      </c>
      <c r="AE772">
        <v>0</v>
      </c>
      <c r="AF772">
        <v>0</v>
      </c>
      <c r="AG772">
        <v>0</v>
      </c>
      <c r="AH772">
        <v>1</v>
      </c>
      <c r="AI772">
        <v>0</v>
      </c>
      <c r="AJ772">
        <v>0</v>
      </c>
      <c r="AK772">
        <v>0</v>
      </c>
      <c r="AL772">
        <v>0</v>
      </c>
      <c r="AM772">
        <v>0</v>
      </c>
      <c r="AN772">
        <v>0</v>
      </c>
      <c r="AO772">
        <v>0</v>
      </c>
      <c r="AP772">
        <v>0</v>
      </c>
      <c r="AQ772">
        <v>0</v>
      </c>
      <c r="AR772">
        <v>0</v>
      </c>
      <c r="AS772">
        <v>0</v>
      </c>
      <c r="AT772">
        <v>0</v>
      </c>
      <c r="AU772">
        <v>0</v>
      </c>
      <c r="AV772">
        <v>0</v>
      </c>
      <c r="AW772">
        <v>0</v>
      </c>
      <c r="AX772">
        <v>0</v>
      </c>
      <c r="AY772">
        <v>0</v>
      </c>
      <c r="AZ772" s="141">
        <f>COUNTIF(X772:AY772,"&lt;&gt;0")</f>
        <v>1</v>
      </c>
      <c r="BA772" s="141">
        <f>COUNTIF(X772:AN772,"&lt;&gt;0")</f>
        <v>1</v>
      </c>
      <c r="BB772">
        <f>COUNTIF(X772:AE772,"&lt;&gt;0")</f>
        <v>0</v>
      </c>
      <c r="BC772">
        <f>COUNTIF(AF772:AK772,"&lt;&gt;0")</f>
        <v>1</v>
      </c>
      <c r="BD772">
        <f>COUNTIF(AL772:AN772,"&lt;&gt;0")</f>
        <v>0</v>
      </c>
      <c r="BE772">
        <f>COUNTIF(AU772:AY772,"&lt;&gt;0")</f>
        <v>0</v>
      </c>
      <c r="BF772">
        <f>COUNTIF(AO772:AT772,"&lt;&gt;0")</f>
        <v>0</v>
      </c>
      <c r="BG772" t="str">
        <f t="array" ref="BG772">IF(BA772=1,INDEX($X$7:$AN$7,MATCH(TRUE,INDEX($X772:$AY772&lt;&gt;0,),0)),IF(BA772=0,INDEX($AO$7:$AY$7,MATCH(1,$AO772:$AY772,0)),IF(BH772="Multiple strategies","mixed drivers",IF(BH772="Supply chain","multiple supply","multiple silviculture"))))</f>
        <v>supply chain organization</v>
      </c>
      <c r="BH772" s="2" t="str" cm="1">
        <f t="array" ref="BH772">IF(COUNTIF(BB772:BD772,"&lt;&gt;0")=1,INDEX($X$4:$AY$4,MATCH(TRUE,INDEX($X772:$AY772&lt;&gt;0,),0)),IF(COUNTIF(BB772:BD772,"&lt;&gt;0")=0,INDEX($AO$4:$AY$4,MATCH(1,$AO772:$AY772,0)),"Multiple strategies"))</f>
        <v>Supply chain</v>
      </c>
      <c r="BI772" s="1" t="s">
        <v>321</v>
      </c>
      <c r="BJ772" t="s">
        <v>1674</v>
      </c>
      <c r="BK772" s="256" t="s">
        <v>3040</v>
      </c>
      <c r="BL772" t="s">
        <v>1675</v>
      </c>
      <c r="BM772">
        <f>70+15</f>
        <v>85</v>
      </c>
      <c r="BN772">
        <v>222</v>
      </c>
      <c r="BO772">
        <f>BN772/BM772</f>
        <v>2.611764705882353</v>
      </c>
      <c r="BP772">
        <f>BN772-BM772</f>
        <v>137</v>
      </c>
      <c r="BQ772">
        <f>BP772*(1/10^6)*(1/C_to_CO2)*tC_to_m3</f>
        <v>1.6209162080972457E-4</v>
      </c>
      <c r="BR772" s="256" t="s">
        <v>395</v>
      </c>
      <c r="BS772" s="256" t="s">
        <v>3040</v>
      </c>
      <c r="BT772" t="s">
        <v>1675</v>
      </c>
      <c r="BU772" s="256">
        <v>-319</v>
      </c>
      <c r="BV772" s="256">
        <v>-110</v>
      </c>
      <c r="BW772" s="144">
        <f>IFERROR(BV772/BU772,"")</f>
        <v>0.34482758620689657</v>
      </c>
      <c r="BX772">
        <f>BV772-BU772</f>
        <v>209</v>
      </c>
      <c r="BZ772">
        <f>BX772/10^6</f>
        <v>2.0900000000000001E-4</v>
      </c>
      <c r="CA772">
        <f>IFERROR(BZ772/BQ772,"")</f>
        <v>1.2893942262773721</v>
      </c>
      <c r="CB772">
        <v>0</v>
      </c>
      <c r="CC772">
        <v>0</v>
      </c>
      <c r="CD772">
        <v>0</v>
      </c>
      <c r="CE772">
        <v>0</v>
      </c>
      <c r="CF772">
        <v>0</v>
      </c>
      <c r="CG772">
        <v>0</v>
      </c>
      <c r="CH772">
        <v>0</v>
      </c>
      <c r="CI772">
        <v>0</v>
      </c>
      <c r="CJ772">
        <v>0</v>
      </c>
      <c r="CK772">
        <v>0</v>
      </c>
      <c r="CL772">
        <v>0</v>
      </c>
      <c r="CM772">
        <v>0</v>
      </c>
      <c r="CN772">
        <v>0</v>
      </c>
      <c r="CO772">
        <v>0</v>
      </c>
      <c r="CP772" t="str">
        <f>IF($BN772&lt;$BM772,"refNeedCorrection","refOK")</f>
        <v>refOK</v>
      </c>
      <c r="CQ772">
        <f>IF($CP772="refOK",$BM772,$BN772)</f>
        <v>85</v>
      </c>
      <c r="CR772">
        <f>IF($CP772="refOK",$BN772,$BM772)</f>
        <v>222</v>
      </c>
      <c r="CS772">
        <f>IF($CP772="refOK",$BQ772,-$BQ772)</f>
        <v>1.6209162080972457E-4</v>
      </c>
      <c r="CT772">
        <f>IF(BI772="Roundwood",$CS772/2,$CS772)</f>
        <v>8.1045810404862284E-5</v>
      </c>
      <c r="CU772">
        <f>IF($CP772="refOK",$BU772,$BV772)*IF($BR772="Emissions positive",-1,1)</f>
        <v>319</v>
      </c>
      <c r="CV772">
        <f>IF($CP772="refOK",$BV772,$BU772)*IF($BR772="Emissions positive",-1,1)</f>
        <v>110</v>
      </c>
      <c r="CW772">
        <f>IF($CP772="refNeedCorrection",-BZ772,BZ772)*IF($BR772="Emissions positive",-1,1)</f>
        <v>-2.0900000000000001E-4</v>
      </c>
      <c r="CX772">
        <f>IFERROR($CW772/$CS772,"")</f>
        <v>-1.2893942262773721</v>
      </c>
      <c r="CY772">
        <f>IFERROR($CW772/$CS772,"")</f>
        <v>-1.2893942262773721</v>
      </c>
      <c r="CZ772">
        <f>IFERROR($CW772/$CT772,"")</f>
        <v>-2.5787884525547442</v>
      </c>
      <c r="DA772" s="2">
        <f>IFERROR((CV772-CU772)/ABS(CU772),"")</f>
        <v>-0.65517241379310343</v>
      </c>
      <c r="DB772" s="1" t="s">
        <v>1074</v>
      </c>
      <c r="DC772" t="str">
        <f>IF(OR($DB772="prd",$DB772="std",$DB772="cit"),"loc",IF(OR($DB772="eur",$DB772="reg",$DB772="coy"),"reg",$DB772))</f>
        <v>reg</v>
      </c>
      <c r="DD772" t="s">
        <v>235</v>
      </c>
      <c r="DG772">
        <v>80</v>
      </c>
      <c r="DH772" t="str">
        <f>IF(DG772=0,"0",IF(AND(DG772&gt;=1,DG772&lt;=30),"1-30",IF(AND(DG772&gt;30,DG772&lt;=70),"31-70",IF(AND(DG772&gt;70,DG772&lt;=100),"71-100",IF(DG772&gt;100,"+100")))))</f>
        <v>71-100</v>
      </c>
      <c r="DI772">
        <v>0</v>
      </c>
      <c r="DJ772">
        <v>1</v>
      </c>
      <c r="DK772">
        <v>1</v>
      </c>
      <c r="DL772">
        <v>1</v>
      </c>
      <c r="DN772">
        <f>SUM(DI772:DL772)</f>
        <v>3</v>
      </c>
      <c r="DO772" t="str">
        <f>IF(DN772=1,INDEX($DI$7:$DL$7,MATCH(1,$DI772:$DL772,0)),"mixedProduct")</f>
        <v>mixedProduct</v>
      </c>
      <c r="DP772">
        <f>IF(DI772=1,DP$7,0)</f>
        <v>0</v>
      </c>
      <c r="DQ772" t="str">
        <f>IF(DJ772=1,DQ$7,0)</f>
        <v>Energy</v>
      </c>
      <c r="DR772" t="str">
        <f>IF(DK772=1,DR$7,0)</f>
        <v>Pulp/Paper</v>
      </c>
      <c r="DS772" t="str">
        <f>IF(DL772=1,DS$7,0)</f>
        <v>Timber</v>
      </c>
      <c r="DT772">
        <v>0</v>
      </c>
      <c r="DU772">
        <v>0</v>
      </c>
      <c r="DV772">
        <v>0</v>
      </c>
      <c r="DW772">
        <v>0</v>
      </c>
      <c r="DX772">
        <v>0</v>
      </c>
      <c r="DY772">
        <f>SUM(DT772:DU772)</f>
        <v>0</v>
      </c>
      <c r="DZ772" s="143" t="str">
        <f>IF(DT772=1,"self-calculated DF",IF(DU772=1,"external DF used","explicit C balance"))</f>
        <v>explicit C balance</v>
      </c>
      <c r="EA772">
        <v>1</v>
      </c>
      <c r="EB772">
        <v>1</v>
      </c>
      <c r="EC772">
        <v>1</v>
      </c>
      <c r="ED772">
        <v>0</v>
      </c>
      <c r="EE772">
        <v>1</v>
      </c>
      <c r="EF772">
        <v>0</v>
      </c>
      <c r="EG772">
        <v>1</v>
      </c>
      <c r="EH772">
        <v>1</v>
      </c>
      <c r="EI772">
        <v>0</v>
      </c>
      <c r="EJ772">
        <v>1</v>
      </c>
      <c r="EK772">
        <v>1</v>
      </c>
      <c r="EL772">
        <v>1</v>
      </c>
      <c r="EM772">
        <v>0</v>
      </c>
      <c r="EN772" s="2">
        <v>0</v>
      </c>
      <c r="EP772" t="str">
        <f>IF(AND(AND(AND(OR($EC772=1,$EB772=1),OR($EH772=1,$EF772=1)),SUM($EA772:$EE772,$EK772)&gt;=3),SUM($EF772:$EJ772)&gt;=2),"Whole sector approach","")</f>
        <v>Whole sector approach</v>
      </c>
      <c r="EQ772" t="str">
        <f>IF(AND(AND(OR($EC772=1,$EB772=1),AND($EH772=0,$EF772=0)),SUM($EA772:$EE772,$EK772)&gt;=4),"Ecosystem approach","")</f>
        <v/>
      </c>
      <c r="ER772" s="2" t="str">
        <f>IF(AND(AND(AND($EC772=0,$EB772=0),OR($EH772=1,$EF772=1)),SUM($EG772:$EJ772)&gt;=2),"Technology approach","")</f>
        <v/>
      </c>
      <c r="ES772" t="str">
        <f>IF(AND($EC772+$EB772+$EE772+$EA772+$ED772+$EG772=0,$N772="included"),"C neutral forest and HWP assumption","")</f>
        <v/>
      </c>
      <c r="ET772" t="str">
        <f>IF(AND(AND(AND(AND($EC772=1,$EB772+$EA772+$EG772&gt;=1),$EF772=1),$EH772+$EI772+$ED772+$EE772&gt;=2),$N772="included"),"All C pools assumption","")</f>
        <v/>
      </c>
      <c r="EU772" t="str">
        <f>IF(AND($ED772+$EE772+$EI772+$EH772+$EF772=0,$N772="included"),"In-situ only assumption","")</f>
        <v/>
      </c>
      <c r="EY772" t="str">
        <f>IF(ISNUMBER(BW772),IF(ABS(BW772-[6]QC_indicators!$B$2)&gt;3*[6]QC_indicators!$C$2,"C ratio",IF(ISNUMBER(CA772),IF(ABS(CA772-[6]QC_indicators!$B$1)&gt;3*[6]QC_indicators!$C$1,"DF","no"))),IF(ISNUMBER(CA772),IF(ABS(CA772-[6]QC_indicators!$B$1)&gt;3*[6]QC_indicators!$C$1,"DF","no")))</f>
        <v>no</v>
      </c>
      <c r="FA772" t="str">
        <f>IF(LEN($CY772)=0,"",IF(AND($CY772&lt;(-0.05),$ES772="C neutral forest and HWP assumption"),"Cneutral paradox",IF(AND($CY772&gt;0.05,$EU772="In-situ only assumption"),"In-situ only paradox","")))</f>
        <v/>
      </c>
      <c r="FD772" s="260" t="s">
        <v>2948</v>
      </c>
    </row>
    <row r="773" spans="1:160" ht="15" hidden="1" customHeight="1">
      <c r="A773" s="252" t="s">
        <v>214</v>
      </c>
      <c r="B773" s="253" t="s">
        <v>215</v>
      </c>
      <c r="C773" s="253" t="s">
        <v>216</v>
      </c>
      <c r="D773" s="253" t="s">
        <v>217</v>
      </c>
      <c r="E773" s="253" t="s">
        <v>218</v>
      </c>
      <c r="F773" s="253" t="s">
        <v>219</v>
      </c>
      <c r="G773" s="253" t="s">
        <v>220</v>
      </c>
      <c r="H773" s="253"/>
      <c r="I773" s="253">
        <v>2012</v>
      </c>
      <c r="J773" s="253"/>
      <c r="K773" s="253" t="s">
        <v>221</v>
      </c>
      <c r="L773" s="253"/>
      <c r="M773" s="253" t="s">
        <v>2753</v>
      </c>
      <c r="N773" s="253" t="s">
        <v>222</v>
      </c>
      <c r="O773" s="269" t="s">
        <v>223</v>
      </c>
      <c r="P773" s="253"/>
      <c r="Q773" s="253" t="s">
        <v>224</v>
      </c>
      <c r="R773" s="254" t="s">
        <v>225</v>
      </c>
      <c r="S773" s="252" t="s">
        <v>226</v>
      </c>
      <c r="T773" s="253" t="s">
        <v>228</v>
      </c>
      <c r="U773" s="253" t="s">
        <v>237</v>
      </c>
      <c r="V773" s="253">
        <v>0</v>
      </c>
      <c r="W773" s="253">
        <v>0</v>
      </c>
      <c r="X773" s="253">
        <v>0</v>
      </c>
      <c r="Y773" s="253">
        <v>0</v>
      </c>
      <c r="Z773" s="253">
        <v>0</v>
      </c>
      <c r="AA773" s="253">
        <v>1</v>
      </c>
      <c r="AB773" s="253">
        <v>0</v>
      </c>
      <c r="AC773" s="253">
        <v>0</v>
      </c>
      <c r="AD773" s="253">
        <v>0</v>
      </c>
      <c r="AE773" s="253">
        <v>0</v>
      </c>
      <c r="AF773" s="253">
        <v>0</v>
      </c>
      <c r="AG773" s="253">
        <v>0</v>
      </c>
      <c r="AH773" s="253">
        <v>0</v>
      </c>
      <c r="AI773" s="253">
        <v>0</v>
      </c>
      <c r="AJ773" s="253">
        <v>0</v>
      </c>
      <c r="AK773" s="253">
        <v>0</v>
      </c>
      <c r="AL773" s="253">
        <v>0</v>
      </c>
      <c r="AM773" s="253">
        <v>0</v>
      </c>
      <c r="AN773" s="253">
        <v>0</v>
      </c>
      <c r="AO773" s="253">
        <v>0</v>
      </c>
      <c r="AP773" s="253">
        <v>0</v>
      </c>
      <c r="AQ773" s="253">
        <v>0</v>
      </c>
      <c r="AR773" s="253">
        <v>0</v>
      </c>
      <c r="AS773" s="253">
        <v>0</v>
      </c>
      <c r="AT773" s="253">
        <v>0</v>
      </c>
      <c r="AU773" s="253">
        <v>0</v>
      </c>
      <c r="AV773" s="253">
        <v>0</v>
      </c>
      <c r="AW773" s="253">
        <v>0</v>
      </c>
      <c r="AX773" s="253">
        <v>0</v>
      </c>
      <c r="AY773" s="253">
        <v>0</v>
      </c>
      <c r="AZ773" s="271">
        <v>1</v>
      </c>
      <c r="BA773" s="271">
        <v>1</v>
      </c>
      <c r="BB773" s="253">
        <v>1</v>
      </c>
      <c r="BC773" s="253">
        <v>0</v>
      </c>
      <c r="BD773" s="253">
        <v>0</v>
      </c>
      <c r="BE773" s="253">
        <v>0</v>
      </c>
      <c r="BF773" s="253">
        <v>0</v>
      </c>
      <c r="BG773" s="253" t="s">
        <v>91</v>
      </c>
      <c r="BH773" s="2" t="str" cm="1">
        <f t="array" ref="BH773">IF(COUNTIF(BB773:BD773,"&lt;&gt;0")=1,INDEX($X$4:$AY$4,MATCH(TRUE,INDEX($X773:$AY773&lt;&gt;0,),0)),IF(COUNTIF(BB773:BD773,"&lt;&gt;0")=0,INDEX($AO$4:$AY$4,MATCH(1,$AO773:$AY773,0)),"Multiple strategies"))</f>
        <v>Silviculture for removals</v>
      </c>
      <c r="BI773" s="272" t="s">
        <v>229</v>
      </c>
      <c r="BJ773" s="253" t="s">
        <v>230</v>
      </c>
      <c r="BK773" s="273" t="s">
        <v>2754</v>
      </c>
      <c r="BL773" s="270" t="s">
        <v>231</v>
      </c>
      <c r="BM773" s="253">
        <v>66.639750489999997</v>
      </c>
      <c r="BN773" s="253">
        <v>68.641374010000007</v>
      </c>
      <c r="BO773" s="270">
        <v>1.0300364798079544</v>
      </c>
      <c r="BP773" s="253">
        <v>2.0016235200000096</v>
      </c>
      <c r="BQ773" s="270">
        <v>4.0849459591836936</v>
      </c>
      <c r="BR773" s="270" t="s">
        <v>232</v>
      </c>
      <c r="BS773" s="273" t="s">
        <v>2754</v>
      </c>
      <c r="BT773" s="270" t="s">
        <v>233</v>
      </c>
      <c r="BU773" s="253">
        <v>-9.4136546180000007</v>
      </c>
      <c r="BV773" s="253">
        <v>-8.9317269079999999</v>
      </c>
      <c r="BW773" s="255">
        <v>0.94880546083786643</v>
      </c>
      <c r="BX773" s="253">
        <v>0.48192771000000079</v>
      </c>
      <c r="BY773" s="253"/>
      <c r="BZ773" s="253">
        <v>4.8192771000000079E-4</v>
      </c>
      <c r="CA773" s="253">
        <v>1.1797652032985664E-4</v>
      </c>
      <c r="CB773" s="253">
        <v>0</v>
      </c>
      <c r="CC773" s="253">
        <v>0</v>
      </c>
      <c r="CD773" s="253">
        <v>0</v>
      </c>
      <c r="CE773" s="253">
        <v>0</v>
      </c>
      <c r="CF773" s="253">
        <v>0</v>
      </c>
      <c r="CG773" s="253">
        <v>0</v>
      </c>
      <c r="CH773" s="253">
        <v>0</v>
      </c>
      <c r="CI773" s="253">
        <v>0</v>
      </c>
      <c r="CJ773" s="253">
        <v>0</v>
      </c>
      <c r="CK773" s="253">
        <v>0</v>
      </c>
      <c r="CL773" s="253">
        <v>0</v>
      </c>
      <c r="CM773" s="253">
        <v>0</v>
      </c>
      <c r="CN773" s="253">
        <v>0</v>
      </c>
      <c r="CO773" s="253">
        <v>0</v>
      </c>
      <c r="CP773" s="253" t="s">
        <v>2755</v>
      </c>
      <c r="CQ773" s="253">
        <v>66.639750489999997</v>
      </c>
      <c r="CR773" s="253">
        <v>68.641374010000007</v>
      </c>
      <c r="CS773" s="253">
        <v>4.0849459591836936</v>
      </c>
      <c r="CT773">
        <f>IF(BI773="Roundwood",$CS773/2,$CS773)</f>
        <v>4.0849459591836936</v>
      </c>
      <c r="CU773" s="253">
        <v>-9.4136546180000007</v>
      </c>
      <c r="CV773" s="253">
        <v>-8.9317269079999999</v>
      </c>
      <c r="CW773" s="253">
        <v>4.8192771000000079E-4</v>
      </c>
      <c r="CX773">
        <f>IFERROR($CW773/$CS773,"")</f>
        <v>1.1797652032985664E-4</v>
      </c>
      <c r="CY773">
        <f>IFERROR($CW773/$CS773,"")</f>
        <v>1.1797652032985664E-4</v>
      </c>
      <c r="CZ773">
        <f>IFERROR($CW773/$CT773,"")</f>
        <v>1.1797652032985664E-4</v>
      </c>
      <c r="DA773" s="254">
        <v>5.1194539162133595E-2</v>
      </c>
      <c r="DB773" s="252" t="s">
        <v>234</v>
      </c>
      <c r="DC773" s="253" t="s">
        <v>2756</v>
      </c>
      <c r="DD773" s="253" t="s">
        <v>235</v>
      </c>
      <c r="DE773" s="253"/>
      <c r="DF773" s="270"/>
      <c r="DG773" s="270">
        <v>80</v>
      </c>
      <c r="DH773" s="253" t="s">
        <v>2757</v>
      </c>
      <c r="DI773" s="253">
        <v>0</v>
      </c>
      <c r="DJ773" s="253">
        <v>1</v>
      </c>
      <c r="DK773" s="253">
        <v>0</v>
      </c>
      <c r="DL773" s="253">
        <v>0</v>
      </c>
      <c r="DM773" s="253"/>
      <c r="DN773" s="253">
        <v>1</v>
      </c>
      <c r="DO773" s="253" t="s">
        <v>173</v>
      </c>
      <c r="DP773" s="253">
        <v>0</v>
      </c>
      <c r="DQ773" s="253" t="s">
        <v>180</v>
      </c>
      <c r="DR773" s="253">
        <v>0</v>
      </c>
      <c r="DS773" s="253">
        <v>0</v>
      </c>
      <c r="DT773" s="253">
        <v>0</v>
      </c>
      <c r="DU773" s="270">
        <v>0</v>
      </c>
      <c r="DV773" s="270">
        <v>0</v>
      </c>
      <c r="DW773" s="270">
        <v>0</v>
      </c>
      <c r="DX773" s="270">
        <v>0</v>
      </c>
      <c r="DY773" s="253">
        <v>0</v>
      </c>
      <c r="DZ773" s="270" t="s">
        <v>926</v>
      </c>
      <c r="EA773" s="270">
        <v>1</v>
      </c>
      <c r="EB773" s="270">
        <v>1</v>
      </c>
      <c r="EC773" s="270">
        <v>1</v>
      </c>
      <c r="ED773" s="270">
        <v>0</v>
      </c>
      <c r="EE773" s="253">
        <v>0</v>
      </c>
      <c r="EF773" s="270">
        <v>0</v>
      </c>
      <c r="EG773" s="270">
        <v>1</v>
      </c>
      <c r="EH773" s="270">
        <v>1</v>
      </c>
      <c r="EI773" s="270">
        <v>0</v>
      </c>
      <c r="EJ773" s="270">
        <v>0</v>
      </c>
      <c r="EK773" s="253">
        <v>1</v>
      </c>
      <c r="EL773" s="270">
        <v>0</v>
      </c>
      <c r="EM773" s="253">
        <v>0</v>
      </c>
      <c r="EN773" s="254">
        <v>0</v>
      </c>
      <c r="EO773" s="252"/>
      <c r="EP773" t="str">
        <f>IF(AND(AND(AND(OR($EC773=1,$EB773=1),OR($EH773=1,$EF773=1)),SUM($EA773:$EE773,$EK773)&gt;=3),SUM($EF773:$EJ773)&gt;=2),"Whole sector approach","")</f>
        <v>Whole sector approach</v>
      </c>
      <c r="EQ773" t="str">
        <f>IF(AND(AND(OR($EC773=1,$EB773=1),AND($EH773=0,$EF773=0)),SUM($EA773:$EE773,$EK773)&gt;=4),"Ecosystem approach","")</f>
        <v/>
      </c>
      <c r="ER773" s="254" t="s">
        <v>531</v>
      </c>
      <c r="ES773" t="str">
        <f>IF(AND($EC773+$EB773+$EE773+$EA773+$ED773+$EG773=0,$N773="included"),"C neutral forest and HWP assumption","")</f>
        <v/>
      </c>
      <c r="ET773" t="str">
        <f>IF(AND(AND(AND(AND($EC773=1,$EB773+$EA773+$EG773&gt;=1),$EF773=1),$EH773+$EI773+$ED773+$EE773&gt;=2),$N773="included"),"All C pools assumption","")</f>
        <v/>
      </c>
      <c r="EU773" t="str">
        <f>IF(AND($ED773+$EE773+$EI773+$EH773+$EF773=0,$N773="included"),"In-situ only assumption","")</f>
        <v/>
      </c>
      <c r="EV773" s="253"/>
      <c r="EW773" s="253" t="s">
        <v>236</v>
      </c>
      <c r="EX773" s="253"/>
      <c r="EY773" t="str">
        <f>IF(ISNUMBER(BW773),IF(ABS(BW773-[3]QC_indicators!$B$2)&gt;3*[3]QC_indicators!$C$2,"C ratio",IF(ISNUMBER(CA773),IF(ABS(CA773-[3]QC_indicators!$B$1)&gt;3*[3]QC_indicators!$C$1,"DF","no"))),IF(ISNUMBER(CA773),IF(ABS(CA773-[3]QC_indicators!$B$1)&gt;3*[3]QC_indicators!$C$1,"DF","no")))</f>
        <v>no</v>
      </c>
      <c r="EZ773" s="274"/>
      <c r="FA773" t="str">
        <f>IF(LEN($CY773)=0,"",IF(AND($CY773&lt;(-0.05),$ES773="C neutral forest and HWP assumption"),"Cneutral paradox",IF(AND($CY773&gt;0.05,$EU773="In-situ only assumption"),"In-situ only paradox","")))</f>
        <v/>
      </c>
      <c r="FB773" s="274"/>
      <c r="FC773" s="274"/>
    </row>
    <row r="774" spans="1:160" ht="15" hidden="1" customHeight="1">
      <c r="A774" s="252" t="s">
        <v>214</v>
      </c>
      <c r="B774" s="253" t="s">
        <v>215</v>
      </c>
      <c r="C774" s="253" t="s">
        <v>216</v>
      </c>
      <c r="D774" s="253" t="s">
        <v>217</v>
      </c>
      <c r="E774" s="253" t="s">
        <v>218</v>
      </c>
      <c r="F774" s="253" t="s">
        <v>219</v>
      </c>
      <c r="G774" s="253" t="s">
        <v>220</v>
      </c>
      <c r="H774" s="253"/>
      <c r="I774" s="253">
        <v>2012</v>
      </c>
      <c r="J774" s="253"/>
      <c r="K774" s="253" t="s">
        <v>221</v>
      </c>
      <c r="L774" s="253"/>
      <c r="M774" s="253" t="s">
        <v>2753</v>
      </c>
      <c r="N774" s="253" t="s">
        <v>222</v>
      </c>
      <c r="O774" s="269" t="s">
        <v>223</v>
      </c>
      <c r="P774" s="253"/>
      <c r="Q774" s="253" t="s">
        <v>224</v>
      </c>
      <c r="R774" s="254" t="s">
        <v>225</v>
      </c>
      <c r="S774" s="252" t="s">
        <v>226</v>
      </c>
      <c r="T774" s="253" t="s">
        <v>228</v>
      </c>
      <c r="U774" s="253" t="s">
        <v>227</v>
      </c>
      <c r="V774" s="253">
        <v>0</v>
      </c>
      <c r="W774" s="253">
        <v>0</v>
      </c>
      <c r="X774" s="253">
        <v>0</v>
      </c>
      <c r="Y774" s="253">
        <v>0</v>
      </c>
      <c r="Z774" s="253">
        <v>0</v>
      </c>
      <c r="AA774" s="253">
        <v>1</v>
      </c>
      <c r="AB774" s="253">
        <v>0</v>
      </c>
      <c r="AC774" s="253">
        <v>0</v>
      </c>
      <c r="AD774" s="253">
        <v>0</v>
      </c>
      <c r="AE774" s="253">
        <v>0</v>
      </c>
      <c r="AF774" s="253">
        <v>0</v>
      </c>
      <c r="AG774" s="253">
        <v>0</v>
      </c>
      <c r="AH774" s="253">
        <v>0</v>
      </c>
      <c r="AI774" s="253">
        <v>0</v>
      </c>
      <c r="AJ774" s="253">
        <v>0</v>
      </c>
      <c r="AK774" s="253">
        <v>0</v>
      </c>
      <c r="AL774" s="253">
        <v>0</v>
      </c>
      <c r="AM774" s="253">
        <v>0</v>
      </c>
      <c r="AN774" s="253">
        <v>0</v>
      </c>
      <c r="AO774" s="253">
        <v>0</v>
      </c>
      <c r="AP774" s="253">
        <v>0</v>
      </c>
      <c r="AQ774" s="253">
        <v>0</v>
      </c>
      <c r="AR774" s="253">
        <v>0</v>
      </c>
      <c r="AS774" s="253">
        <v>0</v>
      </c>
      <c r="AT774" s="253">
        <v>0</v>
      </c>
      <c r="AU774" s="253">
        <v>0</v>
      </c>
      <c r="AV774" s="253">
        <v>0</v>
      </c>
      <c r="AW774" s="253">
        <v>0</v>
      </c>
      <c r="AX774" s="253">
        <v>0</v>
      </c>
      <c r="AY774" s="253">
        <v>0</v>
      </c>
      <c r="AZ774" s="271">
        <v>1</v>
      </c>
      <c r="BA774" s="271">
        <v>1</v>
      </c>
      <c r="BB774" s="253">
        <v>1</v>
      </c>
      <c r="BC774" s="253">
        <v>0</v>
      </c>
      <c r="BD774" s="253">
        <v>0</v>
      </c>
      <c r="BE774" s="253">
        <v>0</v>
      </c>
      <c r="BF774" s="253">
        <v>0</v>
      </c>
      <c r="BG774" s="253" t="s">
        <v>91</v>
      </c>
      <c r="BH774" s="2" t="str" cm="1">
        <f t="array" ref="BH774">IF(COUNTIF(BB774:BD774,"&lt;&gt;0")=1,INDEX($X$4:$AY$4,MATCH(TRUE,INDEX($X774:$AY774&lt;&gt;0,),0)),IF(COUNTIF(BB774:BD774,"&lt;&gt;0")=0,INDEX($AO$4:$AY$4,MATCH(1,$AO774:$AY774,0)),"Multiple strategies"))</f>
        <v>Silviculture for removals</v>
      </c>
      <c r="BI774" s="272" t="s">
        <v>229</v>
      </c>
      <c r="BJ774" s="253" t="s">
        <v>230</v>
      </c>
      <c r="BK774" s="273" t="s">
        <v>2754</v>
      </c>
      <c r="BL774" s="270" t="s">
        <v>231</v>
      </c>
      <c r="BM774" s="253">
        <v>66.639750489999997</v>
      </c>
      <c r="BN774" s="253">
        <v>68.821883279999994</v>
      </c>
      <c r="BO774" s="270">
        <v>1.032745212488865</v>
      </c>
      <c r="BP774" s="253">
        <v>2.1821327899999972</v>
      </c>
      <c r="BQ774" s="270">
        <v>4.4533322244897899</v>
      </c>
      <c r="BR774" s="270" t="s">
        <v>232</v>
      </c>
      <c r="BS774" s="273" t="s">
        <v>2754</v>
      </c>
      <c r="BT774" s="270" t="s">
        <v>233</v>
      </c>
      <c r="BU774" s="253">
        <v>-9.4136546180000007</v>
      </c>
      <c r="BV774" s="253">
        <v>-8.9016064260000007</v>
      </c>
      <c r="BW774" s="255">
        <v>0.94560580212695455</v>
      </c>
      <c r="BX774" s="253">
        <v>0.51204819199999996</v>
      </c>
      <c r="BY774" s="253"/>
      <c r="BZ774" s="253">
        <v>5.1204819199999997E-4</v>
      </c>
      <c r="CA774" s="253">
        <v>1.1498091006643107E-4</v>
      </c>
      <c r="CB774" s="253">
        <v>0</v>
      </c>
      <c r="CC774" s="253">
        <v>0</v>
      </c>
      <c r="CD774" s="253">
        <v>0</v>
      </c>
      <c r="CE774" s="253">
        <v>0</v>
      </c>
      <c r="CF774" s="253">
        <v>0</v>
      </c>
      <c r="CG774" s="253">
        <v>0</v>
      </c>
      <c r="CH774" s="253">
        <v>0</v>
      </c>
      <c r="CI774" s="253">
        <v>0</v>
      </c>
      <c r="CJ774" s="253">
        <v>0</v>
      </c>
      <c r="CK774" s="253">
        <v>0</v>
      </c>
      <c r="CL774" s="253">
        <v>0</v>
      </c>
      <c r="CM774" s="253">
        <v>0</v>
      </c>
      <c r="CN774" s="253">
        <v>0</v>
      </c>
      <c r="CO774" s="253">
        <v>0</v>
      </c>
      <c r="CP774" s="253" t="s">
        <v>2755</v>
      </c>
      <c r="CQ774" s="253">
        <v>66.639750489999997</v>
      </c>
      <c r="CR774" s="253">
        <v>68.821883279999994</v>
      </c>
      <c r="CS774" s="253">
        <v>4.4533322244897899</v>
      </c>
      <c r="CT774">
        <f>IF(BI774="Roundwood",$CS774/2,$CS774)</f>
        <v>4.4533322244897899</v>
      </c>
      <c r="CU774" s="253">
        <v>-9.4136546180000007</v>
      </c>
      <c r="CV774" s="253">
        <v>-8.9016064260000007</v>
      </c>
      <c r="CW774" s="253">
        <v>5.1204819199999997E-4</v>
      </c>
      <c r="CX774">
        <f>IFERROR($CW774/$CS774,"")</f>
        <v>1.1498091006643107E-4</v>
      </c>
      <c r="CY774">
        <f>IFERROR($CW774/$CS774,"")</f>
        <v>1.1498091006643107E-4</v>
      </c>
      <c r="CZ774">
        <f>IFERROR($CW774/$CT774,"")</f>
        <v>1.1498091006643107E-4</v>
      </c>
      <c r="DA774" s="254">
        <v>5.4394197873045433E-2</v>
      </c>
      <c r="DB774" s="252" t="s">
        <v>234</v>
      </c>
      <c r="DC774" s="253" t="s">
        <v>2756</v>
      </c>
      <c r="DD774" s="253" t="s">
        <v>235</v>
      </c>
      <c r="DE774" s="253"/>
      <c r="DF774" s="270"/>
      <c r="DG774" s="270">
        <v>80</v>
      </c>
      <c r="DH774" s="253" t="s">
        <v>2757</v>
      </c>
      <c r="DI774" s="253">
        <v>0</v>
      </c>
      <c r="DJ774" s="253">
        <v>1</v>
      </c>
      <c r="DK774" s="253">
        <v>0</v>
      </c>
      <c r="DL774" s="253">
        <v>0</v>
      </c>
      <c r="DM774" s="253"/>
      <c r="DN774" s="253">
        <v>1</v>
      </c>
      <c r="DO774" s="253" t="s">
        <v>173</v>
      </c>
      <c r="DP774" s="253">
        <v>0</v>
      </c>
      <c r="DQ774" s="253" t="s">
        <v>180</v>
      </c>
      <c r="DR774" s="253">
        <v>0</v>
      </c>
      <c r="DS774" s="253">
        <v>0</v>
      </c>
      <c r="DT774" s="253">
        <v>0</v>
      </c>
      <c r="DU774" s="270">
        <v>0</v>
      </c>
      <c r="DV774" s="270">
        <v>0</v>
      </c>
      <c r="DW774" s="270">
        <v>0</v>
      </c>
      <c r="DX774" s="270">
        <v>0</v>
      </c>
      <c r="DY774" s="253">
        <v>0</v>
      </c>
      <c r="DZ774" s="270" t="s">
        <v>926</v>
      </c>
      <c r="EA774" s="270">
        <v>1</v>
      </c>
      <c r="EB774" s="270">
        <v>1</v>
      </c>
      <c r="EC774" s="270">
        <v>1</v>
      </c>
      <c r="ED774" s="270">
        <v>0</v>
      </c>
      <c r="EE774" s="253">
        <v>0</v>
      </c>
      <c r="EF774" s="270">
        <v>0</v>
      </c>
      <c r="EG774" s="270">
        <v>1</v>
      </c>
      <c r="EH774" s="270">
        <v>1</v>
      </c>
      <c r="EI774" s="270">
        <v>0</v>
      </c>
      <c r="EJ774" s="270">
        <v>0</v>
      </c>
      <c r="EK774" s="253">
        <v>1</v>
      </c>
      <c r="EL774" s="270">
        <v>0</v>
      </c>
      <c r="EM774" s="253">
        <v>0</v>
      </c>
      <c r="EN774" s="254">
        <v>0</v>
      </c>
      <c r="EO774" s="252"/>
      <c r="EP774" t="str">
        <f>IF(AND(AND(AND(OR($EC774=1,$EB774=1),OR($EH774=1,$EF774=1)),SUM($EA774:$EE774,$EK774)&gt;=3),SUM($EF774:$EJ774)&gt;=2),"Whole sector approach","")</f>
        <v>Whole sector approach</v>
      </c>
      <c r="EQ774" t="str">
        <f>IF(AND(AND(OR($EC774=1,$EB774=1),AND($EH774=0,$EF774=0)),SUM($EA774:$EE774,$EK774)&gt;=4),"Ecosystem approach","")</f>
        <v/>
      </c>
      <c r="ER774" s="254" t="s">
        <v>531</v>
      </c>
      <c r="ES774" t="str">
        <f>IF(AND($EC774+$EB774+$EE774+$EA774+$ED774+$EG774=0,$N774="included"),"C neutral forest and HWP assumption","")</f>
        <v/>
      </c>
      <c r="ET774" t="str">
        <f>IF(AND(AND(AND(AND($EC774=1,$EB774+$EA774+$EG774&gt;=1),$EF774=1),$EH774+$EI774+$ED774+$EE774&gt;=2),$N774="included"),"All C pools assumption","")</f>
        <v/>
      </c>
      <c r="EU774" t="str">
        <f>IF(AND($ED774+$EE774+$EI774+$EH774+$EF774=0,$N774="included"),"In-situ only assumption","")</f>
        <v/>
      </c>
      <c r="EV774" s="253"/>
      <c r="EW774" s="253" t="s">
        <v>236</v>
      </c>
      <c r="EX774" s="253"/>
      <c r="EY774" t="str">
        <f>IF(ISNUMBER(BW774),IF(ABS(BW774-[3]QC_indicators!$B$2)&gt;3*[3]QC_indicators!$C$2,"C ratio",IF(ISNUMBER(CA774),IF(ABS(CA774-[3]QC_indicators!$B$1)&gt;3*[3]QC_indicators!$C$1,"DF","no"))),IF(ISNUMBER(CA774),IF(ABS(CA774-[3]QC_indicators!$B$1)&gt;3*[3]QC_indicators!$C$1,"DF","no")))</f>
        <v>no</v>
      </c>
      <c r="EZ774" s="274"/>
      <c r="FA774" t="str">
        <f>IF(LEN($CY774)=0,"",IF(AND($CY774&lt;(-0.05),$ES774="C neutral forest and HWP assumption"),"Cneutral paradox",IF(AND($CY774&gt;0.05,$EU774="In-situ only assumption"),"In-situ only paradox","")))</f>
        <v/>
      </c>
      <c r="FB774" s="274"/>
      <c r="FC774" s="274"/>
    </row>
    <row r="775" spans="1:160" ht="15" hidden="1" customHeight="1">
      <c r="A775" s="252" t="s">
        <v>214</v>
      </c>
      <c r="B775" s="253" t="s">
        <v>215</v>
      </c>
      <c r="C775" s="253" t="s">
        <v>216</v>
      </c>
      <c r="D775" s="253" t="s">
        <v>217</v>
      </c>
      <c r="E775" s="253" t="s">
        <v>218</v>
      </c>
      <c r="F775" s="253" t="s">
        <v>219</v>
      </c>
      <c r="G775" s="253" t="s">
        <v>220</v>
      </c>
      <c r="H775" s="253"/>
      <c r="I775" s="253">
        <v>2012</v>
      </c>
      <c r="J775" s="253"/>
      <c r="K775" s="253" t="s">
        <v>221</v>
      </c>
      <c r="L775" s="253"/>
      <c r="M775" s="253" t="s">
        <v>2753</v>
      </c>
      <c r="N775" s="253" t="s">
        <v>222</v>
      </c>
      <c r="O775" s="269" t="s">
        <v>223</v>
      </c>
      <c r="P775" s="253"/>
      <c r="Q775" s="253" t="s">
        <v>224</v>
      </c>
      <c r="R775" s="254" t="s">
        <v>225</v>
      </c>
      <c r="S775" s="252" t="s">
        <v>226</v>
      </c>
      <c r="T775" s="253" t="s">
        <v>228</v>
      </c>
      <c r="U775" s="253" t="s">
        <v>227</v>
      </c>
      <c r="V775" s="253">
        <v>0</v>
      </c>
      <c r="W775" s="253">
        <v>0</v>
      </c>
      <c r="X775" s="253">
        <v>0</v>
      </c>
      <c r="Y775" s="253">
        <v>0</v>
      </c>
      <c r="Z775" s="253">
        <v>0</v>
      </c>
      <c r="AA775" s="253">
        <v>1</v>
      </c>
      <c r="AB775" s="253">
        <v>0</v>
      </c>
      <c r="AC775" s="253">
        <v>0</v>
      </c>
      <c r="AD775" s="253">
        <v>0</v>
      </c>
      <c r="AE775" s="253">
        <v>0</v>
      </c>
      <c r="AF775" s="253">
        <v>0</v>
      </c>
      <c r="AG775" s="253">
        <v>0</v>
      </c>
      <c r="AH775" s="253">
        <v>0</v>
      </c>
      <c r="AI775" s="253">
        <v>0</v>
      </c>
      <c r="AJ775" s="253">
        <v>0</v>
      </c>
      <c r="AK775" s="253">
        <v>0</v>
      </c>
      <c r="AL775" s="253">
        <v>0</v>
      </c>
      <c r="AM775" s="253">
        <v>0</v>
      </c>
      <c r="AN775" s="253">
        <v>0</v>
      </c>
      <c r="AO775" s="253">
        <v>0</v>
      </c>
      <c r="AP775" s="253">
        <v>0</v>
      </c>
      <c r="AQ775" s="253">
        <v>0</v>
      </c>
      <c r="AR775" s="253">
        <v>0</v>
      </c>
      <c r="AS775" s="253">
        <v>0</v>
      </c>
      <c r="AT775" s="253">
        <v>0</v>
      </c>
      <c r="AU775" s="253">
        <v>0</v>
      </c>
      <c r="AV775" s="253">
        <v>0</v>
      </c>
      <c r="AW775" s="253">
        <v>0</v>
      </c>
      <c r="AX775" s="253">
        <v>0</v>
      </c>
      <c r="AY775" s="253">
        <v>0</v>
      </c>
      <c r="AZ775" s="271">
        <v>1</v>
      </c>
      <c r="BA775" s="271">
        <v>1</v>
      </c>
      <c r="BB775" s="253">
        <v>1</v>
      </c>
      <c r="BC775" s="253">
        <v>0</v>
      </c>
      <c r="BD775" s="253">
        <v>0</v>
      </c>
      <c r="BE775" s="253">
        <v>0</v>
      </c>
      <c r="BF775" s="253">
        <v>0</v>
      </c>
      <c r="BG775" s="253" t="s">
        <v>91</v>
      </c>
      <c r="BH775" s="2" t="str" cm="1">
        <f t="array" ref="BH775">IF(COUNTIF(BB775:BD775,"&lt;&gt;0")=1,INDEX($X$4:$AY$4,MATCH(TRUE,INDEX($X775:$AY775&lt;&gt;0,),0)),IF(COUNTIF(BB775:BD775,"&lt;&gt;0")=0,INDEX($AO$4:$AY$4,MATCH(1,$AO775:$AY775,0)),"Multiple strategies"))</f>
        <v>Silviculture for removals</v>
      </c>
      <c r="BI775" s="272" t="s">
        <v>229</v>
      </c>
      <c r="BJ775" s="253" t="s">
        <v>230</v>
      </c>
      <c r="BK775" s="273" t="s">
        <v>2754</v>
      </c>
      <c r="BL775" s="270" t="s">
        <v>231</v>
      </c>
      <c r="BM775" s="253">
        <v>56.739926740000001</v>
      </c>
      <c r="BN775" s="253">
        <v>60.054679620000002</v>
      </c>
      <c r="BO775" s="270">
        <v>1.0584201120877232</v>
      </c>
      <c r="BP775" s="253">
        <v>3.3147528800000003</v>
      </c>
      <c r="BQ775" s="270">
        <v>6.7648017959183679</v>
      </c>
      <c r="BR775" s="270" t="s">
        <v>232</v>
      </c>
      <c r="BS775" s="273" t="s">
        <v>2754</v>
      </c>
      <c r="BT775" s="270" t="s">
        <v>233</v>
      </c>
      <c r="BU775" s="253">
        <v>-9.5324096189999992</v>
      </c>
      <c r="BV775" s="253">
        <v>-9.0244200239999994</v>
      </c>
      <c r="BW775" s="255">
        <v>0.94670921463682434</v>
      </c>
      <c r="BX775" s="253">
        <v>0.50798959499999974</v>
      </c>
      <c r="BY775" s="253"/>
      <c r="BZ775" s="253">
        <v>5.0798959499999971E-4</v>
      </c>
      <c r="CA775" s="253">
        <v>7.5093049334645982E-5</v>
      </c>
      <c r="CB775" s="253">
        <v>0</v>
      </c>
      <c r="CC775" s="253">
        <v>0</v>
      </c>
      <c r="CD775" s="253">
        <v>0</v>
      </c>
      <c r="CE775" s="253">
        <v>0</v>
      </c>
      <c r="CF775" s="253">
        <v>0</v>
      </c>
      <c r="CG775" s="253">
        <v>0</v>
      </c>
      <c r="CH775" s="253">
        <v>0</v>
      </c>
      <c r="CI775" s="253">
        <v>0</v>
      </c>
      <c r="CJ775" s="253">
        <v>0</v>
      </c>
      <c r="CK775" s="253">
        <v>0</v>
      </c>
      <c r="CL775" s="253">
        <v>0</v>
      </c>
      <c r="CM775" s="253">
        <v>0</v>
      </c>
      <c r="CN775" s="253">
        <v>0</v>
      </c>
      <c r="CO775" s="253">
        <v>0</v>
      </c>
      <c r="CP775" s="253" t="s">
        <v>2755</v>
      </c>
      <c r="CQ775" s="253">
        <v>56.739926740000001</v>
      </c>
      <c r="CR775" s="253">
        <v>60.054679620000002</v>
      </c>
      <c r="CS775" s="253">
        <v>6.7648017959183679</v>
      </c>
      <c r="CT775">
        <f>IF(BI775="Roundwood",$CS775/2,$CS775)</f>
        <v>6.7648017959183679</v>
      </c>
      <c r="CU775" s="253">
        <v>-9.5324096189999992</v>
      </c>
      <c r="CV775" s="253">
        <v>-9.0244200239999994</v>
      </c>
      <c r="CW775" s="253">
        <v>5.0798959499999971E-4</v>
      </c>
      <c r="CX775">
        <f>IFERROR($CW775/$CS775,"")</f>
        <v>7.5093049334645982E-5</v>
      </c>
      <c r="CY775">
        <f>IFERROR($CW775/$CS775,"")</f>
        <v>7.5093049334645982E-5</v>
      </c>
      <c r="CZ775">
        <f>IFERROR($CW775/$CT775,"")</f>
        <v>7.5093049334645982E-5</v>
      </c>
      <c r="DA775" s="254">
        <v>5.3290785363175629E-2</v>
      </c>
      <c r="DB775" s="252" t="s">
        <v>234</v>
      </c>
      <c r="DC775" s="253" t="s">
        <v>2756</v>
      </c>
      <c r="DD775" s="253" t="s">
        <v>235</v>
      </c>
      <c r="DE775" s="253"/>
      <c r="DF775" s="270"/>
      <c r="DG775" s="270">
        <v>80</v>
      </c>
      <c r="DH775" s="253" t="s">
        <v>2757</v>
      </c>
      <c r="DI775" s="253">
        <v>0</v>
      </c>
      <c r="DJ775" s="253">
        <v>1</v>
      </c>
      <c r="DK775" s="253">
        <v>0</v>
      </c>
      <c r="DL775" s="253">
        <v>0</v>
      </c>
      <c r="DM775" s="253"/>
      <c r="DN775" s="253">
        <v>1</v>
      </c>
      <c r="DO775" s="253" t="s">
        <v>173</v>
      </c>
      <c r="DP775" s="253">
        <v>0</v>
      </c>
      <c r="DQ775" s="253" t="s">
        <v>180</v>
      </c>
      <c r="DR775" s="253">
        <v>0</v>
      </c>
      <c r="DS775" s="253">
        <v>0</v>
      </c>
      <c r="DT775" s="253">
        <v>0</v>
      </c>
      <c r="DU775" s="270">
        <v>0</v>
      </c>
      <c r="DV775" s="270">
        <v>0</v>
      </c>
      <c r="DW775" s="270">
        <v>0</v>
      </c>
      <c r="DX775" s="270">
        <v>0</v>
      </c>
      <c r="DY775" s="253">
        <v>0</v>
      </c>
      <c r="DZ775" s="270" t="s">
        <v>926</v>
      </c>
      <c r="EA775" s="270">
        <v>1</v>
      </c>
      <c r="EB775" s="270">
        <v>1</v>
      </c>
      <c r="EC775" s="270">
        <v>1</v>
      </c>
      <c r="ED775" s="270">
        <v>0</v>
      </c>
      <c r="EE775" s="253">
        <v>0</v>
      </c>
      <c r="EF775" s="270">
        <v>0</v>
      </c>
      <c r="EG775" s="270">
        <v>1</v>
      </c>
      <c r="EH775" s="270">
        <v>1</v>
      </c>
      <c r="EI775" s="270">
        <v>0</v>
      </c>
      <c r="EJ775" s="270">
        <v>0</v>
      </c>
      <c r="EK775" s="253">
        <v>1</v>
      </c>
      <c r="EL775" s="270">
        <v>0</v>
      </c>
      <c r="EM775" s="253">
        <v>0</v>
      </c>
      <c r="EN775" s="254">
        <v>0</v>
      </c>
      <c r="EO775" s="252"/>
      <c r="EP775" t="str">
        <f>IF(AND(AND(AND(OR($EC775=1,$EB775=1),OR($EH775=1,$EF775=1)),SUM($EA775:$EE775,$EK775)&gt;=3),SUM($EF775:$EJ775)&gt;=2),"Whole sector approach","")</f>
        <v>Whole sector approach</v>
      </c>
      <c r="EQ775" t="str">
        <f>IF(AND(AND(OR($EC775=1,$EB775=1),AND($EH775=0,$EF775=0)),SUM($EA775:$EE775,$EK775)&gt;=4),"Ecosystem approach","")</f>
        <v/>
      </c>
      <c r="ER775" s="254" t="s">
        <v>531</v>
      </c>
      <c r="ES775" t="str">
        <f>IF(AND($EC775+$EB775+$EE775+$EA775+$ED775+$EG775=0,$N775="included"),"C neutral forest and HWP assumption","")</f>
        <v/>
      </c>
      <c r="ET775" t="str">
        <f>IF(AND(AND(AND(AND($EC775=1,$EB775+$EA775+$EG775&gt;=1),$EF775=1),$EH775+$EI775+$ED775+$EE775&gt;=2),$N775="included"),"All C pools assumption","")</f>
        <v/>
      </c>
      <c r="EU775" t="str">
        <f>IF(AND($ED775+$EE775+$EI775+$EH775+$EF775=0,$N775="included"),"In-situ only assumption","")</f>
        <v/>
      </c>
      <c r="EV775" s="253"/>
      <c r="EW775" s="253" t="s">
        <v>236</v>
      </c>
      <c r="EX775" s="253"/>
      <c r="EY775" t="str">
        <f>IF(ISNUMBER(BW775),IF(ABS(BW775-[3]QC_indicators!$B$2)&gt;3*[3]QC_indicators!$C$2,"C ratio",IF(ISNUMBER(CA775),IF(ABS(CA775-[3]QC_indicators!$B$1)&gt;3*[3]QC_indicators!$C$1,"DF","no"))),IF(ISNUMBER(CA775),IF(ABS(CA775-[3]QC_indicators!$B$1)&gt;3*[3]QC_indicators!$C$1,"DF","no")))</f>
        <v>no</v>
      </c>
      <c r="EZ775" s="274"/>
      <c r="FA775" t="str">
        <f>IF(LEN($CY775)=0,"",IF(AND($CY775&lt;(-0.05),$ES775="C neutral forest and HWP assumption"),"Cneutral paradox",IF(AND($CY775&gt;0.05,$EU775="In-situ only assumption"),"In-situ only paradox","")))</f>
        <v/>
      </c>
      <c r="FB775" s="274"/>
      <c r="FC775" s="274"/>
    </row>
    <row r="776" spans="1:160" ht="15" hidden="1" customHeight="1">
      <c r="A776" s="252" t="s">
        <v>214</v>
      </c>
      <c r="B776" s="253" t="s">
        <v>215</v>
      </c>
      <c r="C776" s="253" t="s">
        <v>216</v>
      </c>
      <c r="D776" s="253" t="s">
        <v>217</v>
      </c>
      <c r="E776" s="253" t="s">
        <v>218</v>
      </c>
      <c r="F776" s="253" t="s">
        <v>219</v>
      </c>
      <c r="G776" s="253" t="s">
        <v>220</v>
      </c>
      <c r="H776" s="253"/>
      <c r="I776" s="253">
        <v>2012</v>
      </c>
      <c r="J776" s="253"/>
      <c r="K776" s="253" t="s">
        <v>221</v>
      </c>
      <c r="L776" s="253"/>
      <c r="M776" s="253" t="s">
        <v>2753</v>
      </c>
      <c r="N776" s="253" t="s">
        <v>222</v>
      </c>
      <c r="O776" s="269" t="s">
        <v>223</v>
      </c>
      <c r="P776" s="253"/>
      <c r="Q776" s="253" t="s">
        <v>224</v>
      </c>
      <c r="R776" s="254" t="s">
        <v>225</v>
      </c>
      <c r="S776" s="252" t="s">
        <v>226</v>
      </c>
      <c r="T776" s="253" t="s">
        <v>228</v>
      </c>
      <c r="U776" s="253" t="s">
        <v>237</v>
      </c>
      <c r="V776" s="253">
        <v>0</v>
      </c>
      <c r="W776" s="253">
        <v>0</v>
      </c>
      <c r="X776" s="253">
        <v>0</v>
      </c>
      <c r="Y776" s="253">
        <v>0</v>
      </c>
      <c r="Z776" s="253">
        <v>0</v>
      </c>
      <c r="AA776" s="253">
        <v>1</v>
      </c>
      <c r="AB776" s="253">
        <v>0</v>
      </c>
      <c r="AC776" s="253">
        <v>0</v>
      </c>
      <c r="AD776" s="253">
        <v>0</v>
      </c>
      <c r="AE776" s="253">
        <v>0</v>
      </c>
      <c r="AF776" s="253">
        <v>0</v>
      </c>
      <c r="AG776" s="253">
        <v>0</v>
      </c>
      <c r="AH776" s="253">
        <v>0</v>
      </c>
      <c r="AI776" s="253">
        <v>0</v>
      </c>
      <c r="AJ776" s="253">
        <v>0</v>
      </c>
      <c r="AK776" s="253">
        <v>0</v>
      </c>
      <c r="AL776" s="253">
        <v>0</v>
      </c>
      <c r="AM776" s="253">
        <v>0</v>
      </c>
      <c r="AN776" s="253">
        <v>0</v>
      </c>
      <c r="AO776" s="253">
        <v>0</v>
      </c>
      <c r="AP776" s="253">
        <v>0</v>
      </c>
      <c r="AQ776" s="253">
        <v>0</v>
      </c>
      <c r="AR776" s="253">
        <v>0</v>
      </c>
      <c r="AS776" s="253">
        <v>0</v>
      </c>
      <c r="AT776" s="253">
        <v>0</v>
      </c>
      <c r="AU776" s="253">
        <v>0</v>
      </c>
      <c r="AV776" s="253">
        <v>0</v>
      </c>
      <c r="AW776" s="253">
        <v>0</v>
      </c>
      <c r="AX776" s="253">
        <v>0</v>
      </c>
      <c r="AY776" s="253">
        <v>0</v>
      </c>
      <c r="AZ776" s="271">
        <v>1</v>
      </c>
      <c r="BA776" s="271">
        <v>1</v>
      </c>
      <c r="BB776" s="253">
        <v>1</v>
      </c>
      <c r="BC776" s="253">
        <v>0</v>
      </c>
      <c r="BD776" s="253">
        <v>0</v>
      </c>
      <c r="BE776" s="253">
        <v>0</v>
      </c>
      <c r="BF776" s="253">
        <v>0</v>
      </c>
      <c r="BG776" s="253" t="s">
        <v>91</v>
      </c>
      <c r="BH776" s="2" t="str" cm="1">
        <f t="array" ref="BH776">IF(COUNTIF(BB776:BD776,"&lt;&gt;0")=1,INDEX($X$4:$AY$4,MATCH(TRUE,INDEX($X776:$AY776&lt;&gt;0,),0)),IF(COUNTIF(BB776:BD776,"&lt;&gt;0")=0,INDEX($AO$4:$AY$4,MATCH(1,$AO776:$AY776,0)),"Multiple strategies"))</f>
        <v>Silviculture for removals</v>
      </c>
      <c r="BI776" s="272" t="s">
        <v>229</v>
      </c>
      <c r="BJ776" s="253" t="s">
        <v>230</v>
      </c>
      <c r="BK776" s="273" t="s">
        <v>2754</v>
      </c>
      <c r="BL776" s="270" t="s">
        <v>231</v>
      </c>
      <c r="BM776" s="253">
        <v>58.199966019999998</v>
      </c>
      <c r="BN776" s="253">
        <v>62.093385429999998</v>
      </c>
      <c r="BO776" s="270">
        <v>1.0668972797795457</v>
      </c>
      <c r="BP776" s="253">
        <v>3.8934194099999999</v>
      </c>
      <c r="BQ776" s="270">
        <v>7.9457538979591833</v>
      </c>
      <c r="BR776" s="270" t="s">
        <v>232</v>
      </c>
      <c r="BS776" s="273" t="s">
        <v>2754</v>
      </c>
      <c r="BT776" s="270" t="s">
        <v>233</v>
      </c>
      <c r="BU776" s="253">
        <v>-9.137844007</v>
      </c>
      <c r="BV776" s="253">
        <v>-8.7761541919999999</v>
      </c>
      <c r="BW776" s="255">
        <v>0.96041847346891351</v>
      </c>
      <c r="BX776" s="253">
        <v>0.36168981500000008</v>
      </c>
      <c r="BY776" s="253"/>
      <c r="BZ776" s="253">
        <v>3.616898150000001E-4</v>
      </c>
      <c r="CA776" s="253">
        <v>4.5519886425490453E-5</v>
      </c>
      <c r="CB776" s="253">
        <v>0</v>
      </c>
      <c r="CC776" s="253">
        <v>0</v>
      </c>
      <c r="CD776" s="253">
        <v>0</v>
      </c>
      <c r="CE776" s="253">
        <v>0</v>
      </c>
      <c r="CF776" s="253">
        <v>0</v>
      </c>
      <c r="CG776" s="253">
        <v>0</v>
      </c>
      <c r="CH776" s="253">
        <v>0</v>
      </c>
      <c r="CI776" s="253">
        <v>0</v>
      </c>
      <c r="CJ776" s="253">
        <v>0</v>
      </c>
      <c r="CK776" s="253">
        <v>0</v>
      </c>
      <c r="CL776" s="253">
        <v>0</v>
      </c>
      <c r="CM776" s="253">
        <v>0</v>
      </c>
      <c r="CN776" s="253">
        <v>0</v>
      </c>
      <c r="CO776" s="253">
        <v>0</v>
      </c>
      <c r="CP776" s="253" t="s">
        <v>2755</v>
      </c>
      <c r="CQ776" s="253">
        <v>58.199966019999998</v>
      </c>
      <c r="CR776" s="253">
        <v>62.093385429999998</v>
      </c>
      <c r="CS776" s="253">
        <v>7.9457538979591833</v>
      </c>
      <c r="CT776">
        <f>IF(BI776="Roundwood",$CS776/2,$CS776)</f>
        <v>7.9457538979591833</v>
      </c>
      <c r="CU776" s="253">
        <v>-9.137844007</v>
      </c>
      <c r="CV776" s="253">
        <v>-8.7761541919999999</v>
      </c>
      <c r="CW776" s="253">
        <v>3.616898150000001E-4</v>
      </c>
      <c r="CX776">
        <f>IFERROR($CW776/$CS776,"")</f>
        <v>4.5519886425490453E-5</v>
      </c>
      <c r="CY776">
        <f>IFERROR($CW776/$CS776,"")</f>
        <v>4.5519886425490453E-5</v>
      </c>
      <c r="CZ776">
        <f>IFERROR($CW776/$CT776,"")</f>
        <v>4.5519886425490453E-5</v>
      </c>
      <c r="DA776" s="254">
        <v>3.9581526531086479E-2</v>
      </c>
      <c r="DB776" s="252" t="s">
        <v>234</v>
      </c>
      <c r="DC776" s="253" t="s">
        <v>2756</v>
      </c>
      <c r="DD776" s="253" t="s">
        <v>235</v>
      </c>
      <c r="DE776" s="253"/>
      <c r="DF776" s="270"/>
      <c r="DG776" s="270">
        <v>80</v>
      </c>
      <c r="DH776" s="253" t="s">
        <v>2757</v>
      </c>
      <c r="DI776" s="253">
        <v>0</v>
      </c>
      <c r="DJ776" s="253">
        <v>1</v>
      </c>
      <c r="DK776" s="253">
        <v>0</v>
      </c>
      <c r="DL776" s="253">
        <v>0</v>
      </c>
      <c r="DM776" s="253"/>
      <c r="DN776" s="253">
        <v>1</v>
      </c>
      <c r="DO776" s="253" t="s">
        <v>173</v>
      </c>
      <c r="DP776" s="253">
        <v>0</v>
      </c>
      <c r="DQ776" s="253" t="s">
        <v>180</v>
      </c>
      <c r="DR776" s="253">
        <v>0</v>
      </c>
      <c r="DS776" s="253">
        <v>0</v>
      </c>
      <c r="DT776" s="253">
        <v>0</v>
      </c>
      <c r="DU776" s="270">
        <v>0</v>
      </c>
      <c r="DV776" s="270">
        <v>0</v>
      </c>
      <c r="DW776" s="270">
        <v>0</v>
      </c>
      <c r="DX776" s="270">
        <v>0</v>
      </c>
      <c r="DY776" s="253">
        <v>0</v>
      </c>
      <c r="DZ776" s="270" t="s">
        <v>926</v>
      </c>
      <c r="EA776" s="270">
        <v>1</v>
      </c>
      <c r="EB776" s="270">
        <v>1</v>
      </c>
      <c r="EC776" s="270">
        <v>1</v>
      </c>
      <c r="ED776" s="270">
        <v>0</v>
      </c>
      <c r="EE776" s="253">
        <v>0</v>
      </c>
      <c r="EF776" s="270">
        <v>0</v>
      </c>
      <c r="EG776" s="270">
        <v>1</v>
      </c>
      <c r="EH776" s="270">
        <v>1</v>
      </c>
      <c r="EI776" s="270">
        <v>0</v>
      </c>
      <c r="EJ776" s="270">
        <v>0</v>
      </c>
      <c r="EK776" s="253">
        <v>1</v>
      </c>
      <c r="EL776" s="270">
        <v>0</v>
      </c>
      <c r="EM776" s="253">
        <v>0</v>
      </c>
      <c r="EN776" s="254">
        <v>0</v>
      </c>
      <c r="EO776" s="252"/>
      <c r="EP776" t="str">
        <f>IF(AND(AND(AND(OR($EC776=1,$EB776=1),OR($EH776=1,$EF776=1)),SUM($EA776:$EE776,$EK776)&gt;=3),SUM($EF776:$EJ776)&gt;=2),"Whole sector approach","")</f>
        <v>Whole sector approach</v>
      </c>
      <c r="EQ776" t="str">
        <f>IF(AND(AND(OR($EC776=1,$EB776=1),AND($EH776=0,$EF776=0)),SUM($EA776:$EE776,$EK776)&gt;=4),"Ecosystem approach","")</f>
        <v/>
      </c>
      <c r="ER776" s="254" t="s">
        <v>531</v>
      </c>
      <c r="ES776" t="str">
        <f>IF(AND($EC776+$EB776+$EE776+$EA776+$ED776+$EG776=0,$N776="included"),"C neutral forest and HWP assumption","")</f>
        <v/>
      </c>
      <c r="ET776" t="str">
        <f>IF(AND(AND(AND(AND($EC776=1,$EB776+$EA776+$EG776&gt;=1),$EF776=1),$EH776+$EI776+$ED776+$EE776&gt;=2),$N776="included"),"All C pools assumption","")</f>
        <v/>
      </c>
      <c r="EU776" t="str">
        <f>IF(AND($ED776+$EE776+$EI776+$EH776+$EF776=0,$N776="included"),"In-situ only assumption","")</f>
        <v/>
      </c>
      <c r="EV776" s="253"/>
      <c r="EW776" s="253" t="s">
        <v>236</v>
      </c>
      <c r="EX776" s="253"/>
      <c r="EY776" t="str">
        <f>IF(ISNUMBER(BW776),IF(ABS(BW776-[3]QC_indicators!$B$2)&gt;3*[3]QC_indicators!$C$2,"C ratio",IF(ISNUMBER(CA776),IF(ABS(CA776-[3]QC_indicators!$B$1)&gt;3*[3]QC_indicators!$C$1,"DF","no"))),IF(ISNUMBER(CA776),IF(ABS(CA776-[3]QC_indicators!$B$1)&gt;3*[3]QC_indicators!$C$1,"DF","no")))</f>
        <v>no</v>
      </c>
      <c r="EZ776" s="274"/>
      <c r="FA776" t="str">
        <f>IF(LEN($CY776)=0,"",IF(AND($CY776&lt;(-0.05),$ES776="C neutral forest and HWP assumption"),"Cneutral paradox",IF(AND($CY776&gt;0.05,$EU776="In-situ only assumption"),"In-situ only paradox","")))</f>
        <v/>
      </c>
      <c r="FB776" s="274"/>
      <c r="FC776" s="274"/>
    </row>
    <row r="777" spans="1:160" ht="15" hidden="1" customHeight="1">
      <c r="A777" s="252" t="s">
        <v>214</v>
      </c>
      <c r="B777" s="253" t="s">
        <v>215</v>
      </c>
      <c r="C777" s="253" t="s">
        <v>216</v>
      </c>
      <c r="D777" s="253" t="s">
        <v>217</v>
      </c>
      <c r="E777" s="253" t="s">
        <v>218</v>
      </c>
      <c r="F777" s="253" t="s">
        <v>219</v>
      </c>
      <c r="G777" s="253" t="s">
        <v>220</v>
      </c>
      <c r="H777" s="253"/>
      <c r="I777" s="253">
        <v>2012</v>
      </c>
      <c r="J777" s="253"/>
      <c r="K777" s="253" t="s">
        <v>221</v>
      </c>
      <c r="L777" s="253"/>
      <c r="M777" s="253" t="s">
        <v>2753</v>
      </c>
      <c r="N777" s="253" t="s">
        <v>222</v>
      </c>
      <c r="O777" s="269" t="s">
        <v>223</v>
      </c>
      <c r="P777" s="253"/>
      <c r="Q777" s="253" t="s">
        <v>224</v>
      </c>
      <c r="R777" s="254" t="s">
        <v>225</v>
      </c>
      <c r="S777" s="252" t="s">
        <v>226</v>
      </c>
      <c r="T777" s="253" t="s">
        <v>228</v>
      </c>
      <c r="U777" s="253" t="s">
        <v>227</v>
      </c>
      <c r="V777" s="253">
        <v>0</v>
      </c>
      <c r="W777" s="253">
        <v>0</v>
      </c>
      <c r="X777" s="253">
        <v>0</v>
      </c>
      <c r="Y777" s="253">
        <v>0</v>
      </c>
      <c r="Z777" s="253">
        <v>0</v>
      </c>
      <c r="AA777" s="253">
        <v>1</v>
      </c>
      <c r="AB777" s="253">
        <v>0</v>
      </c>
      <c r="AC777" s="253">
        <v>0</v>
      </c>
      <c r="AD777" s="253">
        <v>0</v>
      </c>
      <c r="AE777" s="253">
        <v>0</v>
      </c>
      <c r="AF777" s="253">
        <v>0</v>
      </c>
      <c r="AG777" s="253">
        <v>0</v>
      </c>
      <c r="AH777" s="253">
        <v>0</v>
      </c>
      <c r="AI777" s="253">
        <v>0</v>
      </c>
      <c r="AJ777" s="253">
        <v>0</v>
      </c>
      <c r="AK777" s="253">
        <v>0</v>
      </c>
      <c r="AL777" s="253">
        <v>0</v>
      </c>
      <c r="AM777" s="253">
        <v>0</v>
      </c>
      <c r="AN777" s="253">
        <v>0</v>
      </c>
      <c r="AO777" s="253">
        <v>0</v>
      </c>
      <c r="AP777" s="253">
        <v>0</v>
      </c>
      <c r="AQ777" s="253">
        <v>0</v>
      </c>
      <c r="AR777" s="253">
        <v>0</v>
      </c>
      <c r="AS777" s="253">
        <v>0</v>
      </c>
      <c r="AT777" s="253">
        <v>0</v>
      </c>
      <c r="AU777" s="253">
        <v>0</v>
      </c>
      <c r="AV777" s="253">
        <v>0</v>
      </c>
      <c r="AW777" s="253">
        <v>0</v>
      </c>
      <c r="AX777" s="253">
        <v>0</v>
      </c>
      <c r="AY777" s="253">
        <v>0</v>
      </c>
      <c r="AZ777" s="271">
        <v>1</v>
      </c>
      <c r="BA777" s="271">
        <v>1</v>
      </c>
      <c r="BB777" s="253">
        <v>1</v>
      </c>
      <c r="BC777" s="253">
        <v>0</v>
      </c>
      <c r="BD777" s="253">
        <v>0</v>
      </c>
      <c r="BE777" s="253">
        <v>0</v>
      </c>
      <c r="BF777" s="253">
        <v>0</v>
      </c>
      <c r="BG777" s="253" t="s">
        <v>91</v>
      </c>
      <c r="BH777" s="2" t="str" cm="1">
        <f t="array" ref="BH777">IF(COUNTIF(BB777:BD777,"&lt;&gt;0")=1,INDEX($X$4:$AY$4,MATCH(TRUE,INDEX($X777:$AY777&lt;&gt;0,),0)),IF(COUNTIF(BB777:BD777,"&lt;&gt;0")=0,INDEX($AO$4:$AY$4,MATCH(1,$AO777:$AY777,0)),"Multiple strategies"))</f>
        <v>Silviculture for removals</v>
      </c>
      <c r="BI777" s="272" t="s">
        <v>229</v>
      </c>
      <c r="BJ777" s="253" t="s">
        <v>230</v>
      </c>
      <c r="BK777" s="273" t="s">
        <v>2754</v>
      </c>
      <c r="BL777" s="270" t="s">
        <v>231</v>
      </c>
      <c r="BM777" s="253">
        <v>58.199966019999998</v>
      </c>
      <c r="BN777" s="253">
        <v>63.509174309999999</v>
      </c>
      <c r="BO777" s="270">
        <v>1.0912235633982248</v>
      </c>
      <c r="BP777" s="253">
        <v>5.3092082900000008</v>
      </c>
      <c r="BQ777" s="270">
        <v>10.835118959183676</v>
      </c>
      <c r="BR777" s="270" t="s">
        <v>232</v>
      </c>
      <c r="BS777" s="273" t="s">
        <v>2754</v>
      </c>
      <c r="BT777" s="270" t="s">
        <v>233</v>
      </c>
      <c r="BU777" s="253">
        <v>-9.137844007</v>
      </c>
      <c r="BV777" s="253">
        <v>-8.7158725570000009</v>
      </c>
      <c r="BW777" s="255">
        <v>0.95382155247159506</v>
      </c>
      <c r="BX777" s="253">
        <v>0.42197144999999914</v>
      </c>
      <c r="BY777" s="253"/>
      <c r="BZ777" s="253">
        <v>4.2197144999999911E-4</v>
      </c>
      <c r="CA777" s="253">
        <v>3.8944791616001847E-5</v>
      </c>
      <c r="CB777" s="253">
        <v>0</v>
      </c>
      <c r="CC777" s="253">
        <v>0</v>
      </c>
      <c r="CD777" s="253">
        <v>0</v>
      </c>
      <c r="CE777" s="253">
        <v>0</v>
      </c>
      <c r="CF777" s="253">
        <v>0</v>
      </c>
      <c r="CG777" s="253">
        <v>0</v>
      </c>
      <c r="CH777" s="253">
        <v>0</v>
      </c>
      <c r="CI777" s="253">
        <v>0</v>
      </c>
      <c r="CJ777" s="253">
        <v>0</v>
      </c>
      <c r="CK777" s="253">
        <v>0</v>
      </c>
      <c r="CL777" s="253">
        <v>0</v>
      </c>
      <c r="CM777" s="253">
        <v>0</v>
      </c>
      <c r="CN777" s="253">
        <v>0</v>
      </c>
      <c r="CO777" s="253">
        <v>0</v>
      </c>
      <c r="CP777" s="253" t="s">
        <v>2755</v>
      </c>
      <c r="CQ777" s="253">
        <v>58.199966019999998</v>
      </c>
      <c r="CR777" s="253">
        <v>63.509174309999999</v>
      </c>
      <c r="CS777" s="253">
        <v>10.835118959183676</v>
      </c>
      <c r="CT777">
        <f>IF(BI777="Roundwood",$CS777/2,$CS777)</f>
        <v>10.835118959183676</v>
      </c>
      <c r="CU777" s="253">
        <v>-9.137844007</v>
      </c>
      <c r="CV777" s="253">
        <v>-8.7158725570000009</v>
      </c>
      <c r="CW777" s="253">
        <v>4.2197144999999911E-4</v>
      </c>
      <c r="CX777">
        <f>IFERROR($CW777/$CS777,"")</f>
        <v>3.8944791616001847E-5</v>
      </c>
      <c r="CY777">
        <f>IFERROR($CW777/$CS777,"")</f>
        <v>3.8944791616001847E-5</v>
      </c>
      <c r="CZ777">
        <f>IFERROR($CW777/$CT777,"")</f>
        <v>3.8944791616001847E-5</v>
      </c>
      <c r="DA777" s="254">
        <v>4.6178447528404949E-2</v>
      </c>
      <c r="DB777" s="252" t="s">
        <v>234</v>
      </c>
      <c r="DC777" s="253" t="s">
        <v>2756</v>
      </c>
      <c r="DD777" s="253" t="s">
        <v>235</v>
      </c>
      <c r="DE777" s="253"/>
      <c r="DF777" s="270"/>
      <c r="DG777" s="270">
        <v>80</v>
      </c>
      <c r="DH777" s="253" t="s">
        <v>2757</v>
      </c>
      <c r="DI777" s="253">
        <v>0</v>
      </c>
      <c r="DJ777" s="253">
        <v>1</v>
      </c>
      <c r="DK777" s="253">
        <v>0</v>
      </c>
      <c r="DL777" s="253">
        <v>0</v>
      </c>
      <c r="DM777" s="253"/>
      <c r="DN777" s="253">
        <v>1</v>
      </c>
      <c r="DO777" s="253" t="s">
        <v>173</v>
      </c>
      <c r="DP777" s="253">
        <v>0</v>
      </c>
      <c r="DQ777" s="253" t="s">
        <v>180</v>
      </c>
      <c r="DR777" s="253">
        <v>0</v>
      </c>
      <c r="DS777" s="253">
        <v>0</v>
      </c>
      <c r="DT777" s="253">
        <v>0</v>
      </c>
      <c r="DU777" s="270">
        <v>0</v>
      </c>
      <c r="DV777" s="270">
        <v>0</v>
      </c>
      <c r="DW777" s="270">
        <v>0</v>
      </c>
      <c r="DX777" s="270">
        <v>0</v>
      </c>
      <c r="DY777" s="253">
        <v>0</v>
      </c>
      <c r="DZ777" s="270" t="s">
        <v>926</v>
      </c>
      <c r="EA777" s="270">
        <v>1</v>
      </c>
      <c r="EB777" s="270">
        <v>1</v>
      </c>
      <c r="EC777" s="270">
        <v>1</v>
      </c>
      <c r="ED777" s="270">
        <v>0</v>
      </c>
      <c r="EE777" s="253">
        <v>0</v>
      </c>
      <c r="EF777" s="270">
        <v>0</v>
      </c>
      <c r="EG777" s="270">
        <v>1</v>
      </c>
      <c r="EH777" s="270">
        <v>1</v>
      </c>
      <c r="EI777" s="270">
        <v>0</v>
      </c>
      <c r="EJ777" s="270">
        <v>0</v>
      </c>
      <c r="EK777" s="253">
        <v>1</v>
      </c>
      <c r="EL777" s="270">
        <v>0</v>
      </c>
      <c r="EM777" s="253">
        <v>0</v>
      </c>
      <c r="EN777" s="254">
        <v>0</v>
      </c>
      <c r="EO777" s="252"/>
      <c r="EP777" t="str">
        <f>IF(AND(AND(AND(OR($EC777=1,$EB777=1),OR($EH777=1,$EF777=1)),SUM($EA777:$EE777,$EK777)&gt;=3),SUM($EF777:$EJ777)&gt;=2),"Whole sector approach","")</f>
        <v>Whole sector approach</v>
      </c>
      <c r="EQ777" t="str">
        <f>IF(AND(AND(OR($EC777=1,$EB777=1),AND($EH777=0,$EF777=0)),SUM($EA777:$EE777,$EK777)&gt;=4),"Ecosystem approach","")</f>
        <v/>
      </c>
      <c r="ER777" s="254" t="s">
        <v>531</v>
      </c>
      <c r="ES777" t="str">
        <f>IF(AND($EC777+$EB777+$EE777+$EA777+$ED777+$EG777=0,$N777="included"),"C neutral forest and HWP assumption","")</f>
        <v/>
      </c>
      <c r="ET777" t="str">
        <f>IF(AND(AND(AND(AND($EC777=1,$EB777+$EA777+$EG777&gt;=1),$EF777=1),$EH777+$EI777+$ED777+$EE777&gt;=2),$N777="included"),"All C pools assumption","")</f>
        <v/>
      </c>
      <c r="EU777" t="str">
        <f>IF(AND($ED777+$EE777+$EI777+$EH777+$EF777=0,$N777="included"),"In-situ only assumption","")</f>
        <v/>
      </c>
      <c r="EV777" s="253"/>
      <c r="EW777" s="253" t="s">
        <v>236</v>
      </c>
      <c r="EX777" s="253"/>
      <c r="EY777" t="str">
        <f>IF(ISNUMBER(BW777),IF(ABS(BW777-[3]QC_indicators!$B$2)&gt;3*[3]QC_indicators!$C$2,"C ratio",IF(ISNUMBER(CA777),IF(ABS(CA777-[3]QC_indicators!$B$1)&gt;3*[3]QC_indicators!$C$1,"DF","no"))),IF(ISNUMBER(CA777),IF(ABS(CA777-[3]QC_indicators!$B$1)&gt;3*[3]QC_indicators!$C$1,"DF","no")))</f>
        <v>no</v>
      </c>
      <c r="EZ777" s="274"/>
      <c r="FA777" t="str">
        <f>IF(LEN($CY777)=0,"",IF(AND($CY777&lt;(-0.05),$ES777="C neutral forest and HWP assumption"),"Cneutral paradox",IF(AND($CY777&gt;0.05,$EU777="In-situ only assumption"),"In-situ only paradox","")))</f>
        <v/>
      </c>
      <c r="FB777" s="274"/>
      <c r="FC777" s="274"/>
    </row>
    <row r="778" spans="1:160" ht="15" hidden="1" customHeight="1">
      <c r="A778" s="252" t="s">
        <v>214</v>
      </c>
      <c r="B778" s="253" t="s">
        <v>215</v>
      </c>
      <c r="C778" s="253" t="s">
        <v>216</v>
      </c>
      <c r="D778" s="253" t="s">
        <v>217</v>
      </c>
      <c r="E778" s="253" t="s">
        <v>218</v>
      </c>
      <c r="F778" s="253" t="s">
        <v>219</v>
      </c>
      <c r="G778" s="253" t="s">
        <v>220</v>
      </c>
      <c r="H778" s="253"/>
      <c r="I778" s="253">
        <v>2012</v>
      </c>
      <c r="J778" s="253"/>
      <c r="K778" s="253" t="s">
        <v>221</v>
      </c>
      <c r="L778" s="253"/>
      <c r="M778" s="253" t="s">
        <v>2753</v>
      </c>
      <c r="N778" s="253" t="s">
        <v>222</v>
      </c>
      <c r="O778" s="269" t="s">
        <v>223</v>
      </c>
      <c r="P778" s="253"/>
      <c r="Q778" s="253" t="s">
        <v>224</v>
      </c>
      <c r="R778" s="254" t="s">
        <v>225</v>
      </c>
      <c r="S778" s="252" t="s">
        <v>226</v>
      </c>
      <c r="T778" s="253" t="s">
        <v>228</v>
      </c>
      <c r="U778" s="253" t="s">
        <v>239</v>
      </c>
      <c r="V778" s="253">
        <v>0</v>
      </c>
      <c r="W778" s="253">
        <v>0</v>
      </c>
      <c r="X778" s="253">
        <v>0</v>
      </c>
      <c r="Y778" s="253">
        <v>0</v>
      </c>
      <c r="Z778" s="253">
        <v>0</v>
      </c>
      <c r="AA778" s="253">
        <v>1</v>
      </c>
      <c r="AB778" s="253">
        <v>0</v>
      </c>
      <c r="AC778" s="253">
        <v>0</v>
      </c>
      <c r="AD778" s="253">
        <v>0</v>
      </c>
      <c r="AE778" s="253">
        <v>0</v>
      </c>
      <c r="AF778" s="253">
        <v>0</v>
      </c>
      <c r="AG778" s="253">
        <v>0</v>
      </c>
      <c r="AH778" s="253">
        <v>0</v>
      </c>
      <c r="AI778" s="253">
        <v>0</v>
      </c>
      <c r="AJ778" s="253">
        <v>0</v>
      </c>
      <c r="AK778" s="253">
        <v>0</v>
      </c>
      <c r="AL778" s="253">
        <v>0</v>
      </c>
      <c r="AM778" s="253">
        <v>0</v>
      </c>
      <c r="AN778" s="253">
        <v>0</v>
      </c>
      <c r="AO778" s="253">
        <v>0</v>
      </c>
      <c r="AP778" s="253">
        <v>0</v>
      </c>
      <c r="AQ778" s="253">
        <v>0</v>
      </c>
      <c r="AR778" s="253">
        <v>0</v>
      </c>
      <c r="AS778" s="253">
        <v>0</v>
      </c>
      <c r="AT778" s="253">
        <v>0</v>
      </c>
      <c r="AU778" s="253">
        <v>0</v>
      </c>
      <c r="AV778" s="253">
        <v>0</v>
      </c>
      <c r="AW778" s="253">
        <v>0</v>
      </c>
      <c r="AX778" s="253">
        <v>0</v>
      </c>
      <c r="AY778" s="253">
        <v>0</v>
      </c>
      <c r="AZ778" s="271">
        <v>1</v>
      </c>
      <c r="BA778" s="271">
        <v>1</v>
      </c>
      <c r="BB778" s="253">
        <v>1</v>
      </c>
      <c r="BC778" s="253">
        <v>0</v>
      </c>
      <c r="BD778" s="253">
        <v>0</v>
      </c>
      <c r="BE778" s="253">
        <v>0</v>
      </c>
      <c r="BF778" s="253">
        <v>0</v>
      </c>
      <c r="BG778" s="253" t="s">
        <v>91</v>
      </c>
      <c r="BH778" s="2" t="str" cm="1">
        <f t="array" ref="BH778">IF(COUNTIF(BB778:BD778,"&lt;&gt;0")=1,INDEX($X$4:$AY$4,MATCH(TRUE,INDEX($X778:$AY778&lt;&gt;0,),0)),IF(COUNTIF(BB778:BD778,"&lt;&gt;0")=0,INDEX($AO$4:$AY$4,MATCH(1,$AO778:$AY778,0)),"Multiple strategies"))</f>
        <v>Silviculture for removals</v>
      </c>
      <c r="BI778" s="272" t="s">
        <v>229</v>
      </c>
      <c r="BJ778" s="253" t="s">
        <v>230</v>
      </c>
      <c r="BK778" s="273" t="s">
        <v>2754</v>
      </c>
      <c r="BL778" s="270" t="s">
        <v>231</v>
      </c>
      <c r="BM778" s="253">
        <v>34.220071779999998</v>
      </c>
      <c r="BN778" s="253">
        <v>54.766085619999998</v>
      </c>
      <c r="BO778" s="270">
        <v>0.62484056314412195</v>
      </c>
      <c r="BP778" s="253">
        <v>20.546013840000001</v>
      </c>
      <c r="BQ778" s="270">
        <v>41.93064048979592</v>
      </c>
      <c r="BR778" s="270" t="s">
        <v>232</v>
      </c>
      <c r="BS778" s="273" t="s">
        <v>2754</v>
      </c>
      <c r="BT778" s="270" t="s">
        <v>233</v>
      </c>
      <c r="BU778" s="253">
        <v>-10.49196787</v>
      </c>
      <c r="BV778" s="253">
        <v>-9.0261044179999992</v>
      </c>
      <c r="BW778" s="255">
        <v>0.86028708149294009</v>
      </c>
      <c r="BX778" s="253">
        <v>1.4658634520000007</v>
      </c>
      <c r="BY778" s="253"/>
      <c r="BZ778" s="253">
        <v>1.4658634520000008E-3</v>
      </c>
      <c r="CA778" s="253">
        <v>3.4959243047020181E-5</v>
      </c>
      <c r="CB778" s="253">
        <v>0</v>
      </c>
      <c r="CC778" s="253">
        <v>0</v>
      </c>
      <c r="CD778" s="253">
        <v>0</v>
      </c>
      <c r="CE778" s="253">
        <v>0</v>
      </c>
      <c r="CF778" s="253">
        <v>0</v>
      </c>
      <c r="CG778" s="253">
        <v>0</v>
      </c>
      <c r="CH778" s="253">
        <v>0</v>
      </c>
      <c r="CI778" s="253">
        <v>0</v>
      </c>
      <c r="CJ778" s="253">
        <v>0</v>
      </c>
      <c r="CK778" s="253">
        <v>0</v>
      </c>
      <c r="CL778" s="253">
        <v>0</v>
      </c>
      <c r="CM778" s="253">
        <v>0</v>
      </c>
      <c r="CN778" s="253">
        <v>0</v>
      </c>
      <c r="CO778" s="253">
        <v>0</v>
      </c>
      <c r="CP778" s="253" t="s">
        <v>2755</v>
      </c>
      <c r="CQ778" s="253">
        <v>34.220071779999998</v>
      </c>
      <c r="CR778" s="253">
        <v>54.766085619999998</v>
      </c>
      <c r="CS778" s="253">
        <v>41.93064048979592</v>
      </c>
      <c r="CT778">
        <f>IF(BI778="Roundwood",$CS778/2,$CS778)</f>
        <v>41.93064048979592</v>
      </c>
      <c r="CU778" s="253">
        <v>-10.49196787</v>
      </c>
      <c r="CV778" s="253">
        <v>-9.0261044179999992</v>
      </c>
      <c r="CW778" s="253">
        <v>1.4658634520000008E-3</v>
      </c>
      <c r="CX778">
        <f>IFERROR($CW778/$CS778,"")</f>
        <v>3.4959243047020181E-5</v>
      </c>
      <c r="CY778">
        <f>IFERROR($CW778/$CS778,"")</f>
        <v>3.4959243047020181E-5</v>
      </c>
      <c r="CZ778">
        <f>IFERROR($CW778/$CT778,"")</f>
        <v>3.4959243047020181E-5</v>
      </c>
      <c r="DA778" s="254">
        <v>0.13971291850705989</v>
      </c>
      <c r="DB778" s="252" t="s">
        <v>234</v>
      </c>
      <c r="DC778" s="253" t="s">
        <v>2756</v>
      </c>
      <c r="DD778" s="253" t="s">
        <v>235</v>
      </c>
      <c r="DE778" s="253"/>
      <c r="DF778" s="270"/>
      <c r="DG778" s="270">
        <v>80</v>
      </c>
      <c r="DH778" s="253" t="s">
        <v>2757</v>
      </c>
      <c r="DI778" s="253">
        <v>0</v>
      </c>
      <c r="DJ778" s="253">
        <v>1</v>
      </c>
      <c r="DK778" s="253">
        <v>0</v>
      </c>
      <c r="DL778" s="253">
        <v>0</v>
      </c>
      <c r="DM778" s="253"/>
      <c r="DN778" s="253">
        <v>1</v>
      </c>
      <c r="DO778" s="253" t="s">
        <v>173</v>
      </c>
      <c r="DP778" s="253">
        <v>0</v>
      </c>
      <c r="DQ778" s="253" t="s">
        <v>180</v>
      </c>
      <c r="DR778" s="253">
        <v>0</v>
      </c>
      <c r="DS778" s="253">
        <v>0</v>
      </c>
      <c r="DT778" s="253">
        <v>0</v>
      </c>
      <c r="DU778" s="270">
        <v>0</v>
      </c>
      <c r="DV778" s="270">
        <v>0</v>
      </c>
      <c r="DW778" s="270">
        <v>0</v>
      </c>
      <c r="DX778" s="270">
        <v>0</v>
      </c>
      <c r="DY778" s="253">
        <v>0</v>
      </c>
      <c r="DZ778" s="270" t="s">
        <v>926</v>
      </c>
      <c r="EA778" s="270">
        <v>1</v>
      </c>
      <c r="EB778" s="270">
        <v>1</v>
      </c>
      <c r="EC778" s="270">
        <v>1</v>
      </c>
      <c r="ED778" s="270">
        <v>0</v>
      </c>
      <c r="EE778" s="253">
        <v>0</v>
      </c>
      <c r="EF778" s="270">
        <v>0</v>
      </c>
      <c r="EG778" s="270">
        <v>1</v>
      </c>
      <c r="EH778" s="270">
        <v>1</v>
      </c>
      <c r="EI778" s="270">
        <v>0</v>
      </c>
      <c r="EJ778" s="270">
        <v>0</v>
      </c>
      <c r="EK778" s="253">
        <v>1</v>
      </c>
      <c r="EL778" s="270">
        <v>0</v>
      </c>
      <c r="EM778" s="253">
        <v>0</v>
      </c>
      <c r="EN778" s="254">
        <v>0</v>
      </c>
      <c r="EO778" s="252"/>
      <c r="EP778" t="str">
        <f>IF(AND(AND(AND(OR($EC778=1,$EB778=1),OR($EH778=1,$EF778=1)),SUM($EA778:$EE778,$EK778)&gt;=3),SUM($EF778:$EJ778)&gt;=2),"Whole sector approach","")</f>
        <v>Whole sector approach</v>
      </c>
      <c r="EQ778" t="str">
        <f>IF(AND(AND(OR($EC778=1,$EB778=1),AND($EH778=0,$EF778=0)),SUM($EA778:$EE778,$EK778)&gt;=4),"Ecosystem approach","")</f>
        <v/>
      </c>
      <c r="ER778" s="254" t="s">
        <v>531</v>
      </c>
      <c r="ES778" t="str">
        <f>IF(AND($EC778+$EB778+$EE778+$EA778+$ED778+$EG778=0,$N778="included"),"C neutral forest and HWP assumption","")</f>
        <v/>
      </c>
      <c r="ET778" t="str">
        <f>IF(AND(AND(AND(AND($EC778=1,$EB778+$EA778+$EG778&gt;=1),$EF778=1),$EH778+$EI778+$ED778+$EE778&gt;=2),$N778="included"),"All C pools assumption","")</f>
        <v/>
      </c>
      <c r="EU778" t="str">
        <f>IF(AND($ED778+$EE778+$EI778+$EH778+$EF778=0,$N778="included"),"In-situ only assumption","")</f>
        <v/>
      </c>
      <c r="EV778" s="253"/>
      <c r="EW778" s="253" t="s">
        <v>236</v>
      </c>
      <c r="EX778" s="253"/>
      <c r="EY778" t="str">
        <f>IF(ISNUMBER(BW778),IF(ABS(BW778-[3]QC_indicators!$B$2)&gt;3*[3]QC_indicators!$C$2,"C ratio",IF(ISNUMBER(CA778),IF(ABS(CA778-[3]QC_indicators!$B$1)&gt;3*[3]QC_indicators!$C$1,"DF","no"))),IF(ISNUMBER(CA778),IF(ABS(CA778-[3]QC_indicators!$B$1)&gt;3*[3]QC_indicators!$C$1,"DF","no")))</f>
        <v>no</v>
      </c>
      <c r="EZ778" s="274"/>
      <c r="FA778" t="str">
        <f>IF(LEN($CY778)=0,"",IF(AND($CY778&lt;(-0.05),$ES778="C neutral forest and HWP assumption"),"Cneutral paradox",IF(AND($CY778&gt;0.05,$EU778="In-situ only assumption"),"In-situ only paradox","")))</f>
        <v/>
      </c>
      <c r="FB778" s="274"/>
      <c r="FC778" s="274"/>
    </row>
    <row r="779" spans="1:160" ht="15" hidden="1" customHeight="1">
      <c r="A779" s="252" t="s">
        <v>214</v>
      </c>
      <c r="B779" s="253" t="s">
        <v>215</v>
      </c>
      <c r="C779" s="253" t="s">
        <v>216</v>
      </c>
      <c r="D779" s="253" t="s">
        <v>217</v>
      </c>
      <c r="E779" s="253" t="s">
        <v>218</v>
      </c>
      <c r="F779" s="253" t="s">
        <v>219</v>
      </c>
      <c r="G779" s="253" t="s">
        <v>220</v>
      </c>
      <c r="H779" s="253"/>
      <c r="I779" s="253">
        <v>2012</v>
      </c>
      <c r="J779" s="253"/>
      <c r="K779" s="253" t="s">
        <v>221</v>
      </c>
      <c r="L779" s="253"/>
      <c r="M779" s="253" t="s">
        <v>2753</v>
      </c>
      <c r="N779" s="253" t="s">
        <v>222</v>
      </c>
      <c r="O779" s="269" t="s">
        <v>223</v>
      </c>
      <c r="P779" s="253"/>
      <c r="Q779" s="253" t="s">
        <v>224</v>
      </c>
      <c r="R779" s="254" t="s">
        <v>225</v>
      </c>
      <c r="S779" s="252" t="s">
        <v>226</v>
      </c>
      <c r="T779" s="253" t="s">
        <v>228</v>
      </c>
      <c r="U779" s="253" t="s">
        <v>239</v>
      </c>
      <c r="V779" s="253">
        <v>0</v>
      </c>
      <c r="W779" s="253">
        <v>0</v>
      </c>
      <c r="X779" s="253">
        <v>0</v>
      </c>
      <c r="Y779" s="253">
        <v>0</v>
      </c>
      <c r="Z779" s="253">
        <v>0</v>
      </c>
      <c r="AA779" s="253">
        <v>1</v>
      </c>
      <c r="AB779" s="253">
        <v>0</v>
      </c>
      <c r="AC779" s="253">
        <v>0</v>
      </c>
      <c r="AD779" s="253">
        <v>0</v>
      </c>
      <c r="AE779" s="253">
        <v>0</v>
      </c>
      <c r="AF779" s="253">
        <v>0</v>
      </c>
      <c r="AG779" s="253">
        <v>0</v>
      </c>
      <c r="AH779" s="253">
        <v>0</v>
      </c>
      <c r="AI779" s="253">
        <v>0</v>
      </c>
      <c r="AJ779" s="253">
        <v>0</v>
      </c>
      <c r="AK779" s="253">
        <v>0</v>
      </c>
      <c r="AL779" s="253">
        <v>0</v>
      </c>
      <c r="AM779" s="253">
        <v>0</v>
      </c>
      <c r="AN779" s="253">
        <v>0</v>
      </c>
      <c r="AO779" s="253">
        <v>0</v>
      </c>
      <c r="AP779" s="253">
        <v>0</v>
      </c>
      <c r="AQ779" s="253">
        <v>0</v>
      </c>
      <c r="AR779" s="253">
        <v>0</v>
      </c>
      <c r="AS779" s="253">
        <v>0</v>
      </c>
      <c r="AT779" s="253">
        <v>0</v>
      </c>
      <c r="AU779" s="253">
        <v>0</v>
      </c>
      <c r="AV779" s="253">
        <v>0</v>
      </c>
      <c r="AW779" s="253">
        <v>0</v>
      </c>
      <c r="AX779" s="253">
        <v>0</v>
      </c>
      <c r="AY779" s="253">
        <v>0</v>
      </c>
      <c r="AZ779" s="271">
        <v>1</v>
      </c>
      <c r="BA779" s="271">
        <v>1</v>
      </c>
      <c r="BB779" s="253">
        <v>1</v>
      </c>
      <c r="BC779" s="253">
        <v>0</v>
      </c>
      <c r="BD779" s="253">
        <v>0</v>
      </c>
      <c r="BE779" s="253">
        <v>0</v>
      </c>
      <c r="BF779" s="253">
        <v>0</v>
      </c>
      <c r="BG779" s="253" t="s">
        <v>91</v>
      </c>
      <c r="BH779" s="2" t="str" cm="1">
        <f t="array" ref="BH779">IF(COUNTIF(BB779:BD779,"&lt;&gt;0")=1,INDEX($X$4:$AY$4,MATCH(TRUE,INDEX($X779:$AY779&lt;&gt;0,),0)),IF(COUNTIF(BB779:BD779,"&lt;&gt;0")=0,INDEX($AO$4:$AY$4,MATCH(1,$AO779:$AY779,0)),"Multiple strategies"))</f>
        <v>Silviculture for removals</v>
      </c>
      <c r="BI779" s="272" t="s">
        <v>229</v>
      </c>
      <c r="BJ779" s="253" t="s">
        <v>230</v>
      </c>
      <c r="BK779" s="273" t="s">
        <v>2754</v>
      </c>
      <c r="BL779" s="270" t="s">
        <v>231</v>
      </c>
      <c r="BM779" s="253">
        <v>41.741420320000003</v>
      </c>
      <c r="BN779" s="253">
        <v>58.199966019999998</v>
      </c>
      <c r="BO779" s="270">
        <v>0.71720695344832097</v>
      </c>
      <c r="BP779" s="253">
        <v>16.458545699999995</v>
      </c>
      <c r="BQ779" s="270">
        <v>33.588868775510193</v>
      </c>
      <c r="BR779" s="270" t="s">
        <v>232</v>
      </c>
      <c r="BS779" s="273" t="s">
        <v>2754</v>
      </c>
      <c r="BT779" s="270" t="s">
        <v>233</v>
      </c>
      <c r="BU779" s="253">
        <v>-10.16263182</v>
      </c>
      <c r="BV779" s="253">
        <v>-9.137844007</v>
      </c>
      <c r="BW779" s="255">
        <v>0.89916117880181168</v>
      </c>
      <c r="BX779" s="253">
        <v>1.0247878129999997</v>
      </c>
      <c r="BY779" s="253"/>
      <c r="BZ779" s="253">
        <v>1.0247878129999997E-3</v>
      </c>
      <c r="CA779" s="253">
        <v>3.0509744756488419E-5</v>
      </c>
      <c r="CB779" s="253">
        <v>0</v>
      </c>
      <c r="CC779" s="253">
        <v>0</v>
      </c>
      <c r="CD779" s="253">
        <v>0</v>
      </c>
      <c r="CE779" s="253">
        <v>0</v>
      </c>
      <c r="CF779" s="253">
        <v>0</v>
      </c>
      <c r="CG779" s="253">
        <v>0</v>
      </c>
      <c r="CH779" s="253">
        <v>0</v>
      </c>
      <c r="CI779" s="253">
        <v>0</v>
      </c>
      <c r="CJ779" s="253">
        <v>0</v>
      </c>
      <c r="CK779" s="253">
        <v>0</v>
      </c>
      <c r="CL779" s="253">
        <v>0</v>
      </c>
      <c r="CM779" s="253">
        <v>0</v>
      </c>
      <c r="CN779" s="253">
        <v>0</v>
      </c>
      <c r="CO779" s="253">
        <v>0</v>
      </c>
      <c r="CP779" s="253" t="s">
        <v>2755</v>
      </c>
      <c r="CQ779" s="253">
        <v>41.741420320000003</v>
      </c>
      <c r="CR779" s="253">
        <v>58.199966019999998</v>
      </c>
      <c r="CS779" s="253">
        <v>33.588868775510193</v>
      </c>
      <c r="CT779">
        <f>IF(BI779="Roundwood",$CS779/2,$CS779)</f>
        <v>33.588868775510193</v>
      </c>
      <c r="CU779" s="253">
        <v>-10.16263182</v>
      </c>
      <c r="CV779" s="253">
        <v>-9.137844007</v>
      </c>
      <c r="CW779" s="253">
        <v>1.0247878129999997E-3</v>
      </c>
      <c r="CX779">
        <f>IFERROR($CW779/$CS779,"")</f>
        <v>3.0509744756488419E-5</v>
      </c>
      <c r="CY779">
        <f>IFERROR($CW779/$CS779,"")</f>
        <v>3.0509744756488419E-5</v>
      </c>
      <c r="CZ779">
        <f>IFERROR($CW779/$CT779,"")</f>
        <v>3.0509744756488419E-5</v>
      </c>
      <c r="DA779" s="254">
        <v>0.10083882119818838</v>
      </c>
      <c r="DB779" s="252" t="s">
        <v>234</v>
      </c>
      <c r="DC779" s="253" t="s">
        <v>2756</v>
      </c>
      <c r="DD779" s="253" t="s">
        <v>235</v>
      </c>
      <c r="DE779" s="253"/>
      <c r="DF779" s="270"/>
      <c r="DG779" s="270">
        <v>80</v>
      </c>
      <c r="DH779" s="253" t="s">
        <v>2757</v>
      </c>
      <c r="DI779" s="253">
        <v>0</v>
      </c>
      <c r="DJ779" s="253">
        <v>1</v>
      </c>
      <c r="DK779" s="253">
        <v>0</v>
      </c>
      <c r="DL779" s="253">
        <v>0</v>
      </c>
      <c r="DM779" s="253"/>
      <c r="DN779" s="253">
        <v>1</v>
      </c>
      <c r="DO779" s="253" t="s">
        <v>173</v>
      </c>
      <c r="DP779" s="253">
        <v>0</v>
      </c>
      <c r="DQ779" s="253" t="s">
        <v>180</v>
      </c>
      <c r="DR779" s="253">
        <v>0</v>
      </c>
      <c r="DS779" s="253">
        <v>0</v>
      </c>
      <c r="DT779" s="253">
        <v>0</v>
      </c>
      <c r="DU779" s="270">
        <v>0</v>
      </c>
      <c r="DV779" s="270">
        <v>0</v>
      </c>
      <c r="DW779" s="270">
        <v>0</v>
      </c>
      <c r="DX779" s="270">
        <v>0</v>
      </c>
      <c r="DY779" s="253">
        <v>0</v>
      </c>
      <c r="DZ779" s="270" t="s">
        <v>926</v>
      </c>
      <c r="EA779" s="270">
        <v>1</v>
      </c>
      <c r="EB779" s="270">
        <v>1</v>
      </c>
      <c r="EC779" s="270">
        <v>1</v>
      </c>
      <c r="ED779" s="270">
        <v>0</v>
      </c>
      <c r="EE779" s="253">
        <v>0</v>
      </c>
      <c r="EF779" s="270">
        <v>0</v>
      </c>
      <c r="EG779" s="270">
        <v>1</v>
      </c>
      <c r="EH779" s="270">
        <v>1</v>
      </c>
      <c r="EI779" s="270">
        <v>0</v>
      </c>
      <c r="EJ779" s="270">
        <v>0</v>
      </c>
      <c r="EK779" s="253">
        <v>1</v>
      </c>
      <c r="EL779" s="270">
        <v>0</v>
      </c>
      <c r="EM779" s="253">
        <v>0</v>
      </c>
      <c r="EN779" s="254">
        <v>0</v>
      </c>
      <c r="EO779" s="252"/>
      <c r="EP779" t="str">
        <f>IF(AND(AND(AND(OR($EC779=1,$EB779=1),OR($EH779=1,$EF779=1)),SUM($EA779:$EE779,$EK779)&gt;=3),SUM($EF779:$EJ779)&gt;=2),"Whole sector approach","")</f>
        <v>Whole sector approach</v>
      </c>
      <c r="EQ779" t="str">
        <f>IF(AND(AND(OR($EC779=1,$EB779=1),AND($EH779=0,$EF779=0)),SUM($EA779:$EE779,$EK779)&gt;=4),"Ecosystem approach","")</f>
        <v/>
      </c>
      <c r="ER779" s="254" t="s">
        <v>531</v>
      </c>
      <c r="ES779" t="str">
        <f>IF(AND($EC779+$EB779+$EE779+$EA779+$ED779+$EG779=0,$N779="included"),"C neutral forest and HWP assumption","")</f>
        <v/>
      </c>
      <c r="ET779" t="str">
        <f>IF(AND(AND(AND(AND($EC779=1,$EB779+$EA779+$EG779&gt;=1),$EF779=1),$EH779+$EI779+$ED779+$EE779&gt;=2),$N779="included"),"All C pools assumption","")</f>
        <v/>
      </c>
      <c r="EU779" t="str">
        <f>IF(AND($ED779+$EE779+$EI779+$EH779+$EF779=0,$N779="included"),"In-situ only assumption","")</f>
        <v/>
      </c>
      <c r="EV779" s="253"/>
      <c r="EW779" s="253" t="s">
        <v>236</v>
      </c>
      <c r="EX779" s="253"/>
      <c r="EY779" t="str">
        <f>IF(ISNUMBER(BW779),IF(ABS(BW779-[3]QC_indicators!$B$2)&gt;3*[3]QC_indicators!$C$2,"C ratio",IF(ISNUMBER(CA779),IF(ABS(CA779-[3]QC_indicators!$B$1)&gt;3*[3]QC_indicators!$C$1,"DF","no"))),IF(ISNUMBER(CA779),IF(ABS(CA779-[3]QC_indicators!$B$1)&gt;3*[3]QC_indicators!$C$1,"DF","no")))</f>
        <v>no</v>
      </c>
      <c r="EZ779" s="274"/>
      <c r="FA779" t="str">
        <f>IF(LEN($CY779)=0,"",IF(AND($CY779&lt;(-0.05),$ES779="C neutral forest and HWP assumption"),"Cneutral paradox",IF(AND($CY779&gt;0.05,$EU779="In-situ only assumption"),"In-situ only paradox","")))</f>
        <v/>
      </c>
      <c r="FB779" s="274"/>
      <c r="FC779" s="274"/>
    </row>
    <row r="780" spans="1:160" ht="15" hidden="1" customHeight="1">
      <c r="A780" s="252" t="s">
        <v>214</v>
      </c>
      <c r="B780" s="253" t="s">
        <v>215</v>
      </c>
      <c r="C780" s="253" t="s">
        <v>216</v>
      </c>
      <c r="D780" s="253" t="s">
        <v>217</v>
      </c>
      <c r="E780" s="253" t="s">
        <v>218</v>
      </c>
      <c r="F780" s="253" t="s">
        <v>219</v>
      </c>
      <c r="G780" s="253" t="s">
        <v>220</v>
      </c>
      <c r="H780" s="253"/>
      <c r="I780" s="253">
        <v>2012</v>
      </c>
      <c r="J780" s="253"/>
      <c r="K780" s="253" t="s">
        <v>221</v>
      </c>
      <c r="L780" s="253"/>
      <c r="M780" s="253" t="s">
        <v>2753</v>
      </c>
      <c r="N780" s="253" t="s">
        <v>222</v>
      </c>
      <c r="O780" s="269" t="s">
        <v>223</v>
      </c>
      <c r="P780" s="253"/>
      <c r="Q780" s="253" t="s">
        <v>224</v>
      </c>
      <c r="R780" s="254" t="s">
        <v>225</v>
      </c>
      <c r="S780" s="252" t="s">
        <v>226</v>
      </c>
      <c r="T780" s="253" t="s">
        <v>228</v>
      </c>
      <c r="U780" s="253" t="s">
        <v>238</v>
      </c>
      <c r="V780" s="253">
        <v>0</v>
      </c>
      <c r="W780" s="253">
        <v>0</v>
      </c>
      <c r="X780" s="253">
        <v>0</v>
      </c>
      <c r="Y780" s="253">
        <v>0</v>
      </c>
      <c r="Z780" s="253">
        <v>0</v>
      </c>
      <c r="AA780" s="253">
        <v>1</v>
      </c>
      <c r="AB780" s="253">
        <v>0</v>
      </c>
      <c r="AC780" s="253">
        <v>0</v>
      </c>
      <c r="AD780" s="253">
        <v>0</v>
      </c>
      <c r="AE780" s="253">
        <v>0</v>
      </c>
      <c r="AF780" s="253">
        <v>0</v>
      </c>
      <c r="AG780" s="253">
        <v>0</v>
      </c>
      <c r="AH780" s="253">
        <v>0</v>
      </c>
      <c r="AI780" s="253">
        <v>0</v>
      </c>
      <c r="AJ780" s="253">
        <v>0</v>
      </c>
      <c r="AK780" s="253">
        <v>0</v>
      </c>
      <c r="AL780" s="253">
        <v>0</v>
      </c>
      <c r="AM780" s="253">
        <v>0</v>
      </c>
      <c r="AN780" s="253">
        <v>0</v>
      </c>
      <c r="AO780" s="253">
        <v>0</v>
      </c>
      <c r="AP780" s="253">
        <v>0</v>
      </c>
      <c r="AQ780" s="253">
        <v>0</v>
      </c>
      <c r="AR780" s="253">
        <v>0</v>
      </c>
      <c r="AS780" s="253">
        <v>0</v>
      </c>
      <c r="AT780" s="253">
        <v>0</v>
      </c>
      <c r="AU780" s="253">
        <v>0</v>
      </c>
      <c r="AV780" s="253">
        <v>0</v>
      </c>
      <c r="AW780" s="253">
        <v>0</v>
      </c>
      <c r="AX780" s="253">
        <v>0</v>
      </c>
      <c r="AY780" s="253">
        <v>0</v>
      </c>
      <c r="AZ780" s="271">
        <v>1</v>
      </c>
      <c r="BA780" s="271">
        <v>1</v>
      </c>
      <c r="BB780" s="253">
        <v>1</v>
      </c>
      <c r="BC780" s="253">
        <v>0</v>
      </c>
      <c r="BD780" s="253">
        <v>0</v>
      </c>
      <c r="BE780" s="253">
        <v>0</v>
      </c>
      <c r="BF780" s="253">
        <v>0</v>
      </c>
      <c r="BG780" s="253" t="s">
        <v>91</v>
      </c>
      <c r="BH780" s="2" t="str" cm="1">
        <f t="array" ref="BH780">IF(COUNTIF(BB780:BD780,"&lt;&gt;0")=1,INDEX($X$4:$AY$4,MATCH(TRUE,INDEX($X780:$AY780&lt;&gt;0,),0)),IF(COUNTIF(BB780:BD780,"&lt;&gt;0")=0,INDEX($AO$4:$AY$4,MATCH(1,$AO780:$AY780,0)),"Multiple strategies"))</f>
        <v>Silviculture for removals</v>
      </c>
      <c r="BI780" s="272" t="s">
        <v>229</v>
      </c>
      <c r="BJ780" s="253" t="s">
        <v>230</v>
      </c>
      <c r="BK780" s="273" t="s">
        <v>2754</v>
      </c>
      <c r="BL780" s="270" t="s">
        <v>231</v>
      </c>
      <c r="BM780" s="253">
        <v>37.305819020000001</v>
      </c>
      <c r="BN780" s="253">
        <v>54.766085619999998</v>
      </c>
      <c r="BO780" s="270">
        <v>0.68118468935045284</v>
      </c>
      <c r="BP780" s="253">
        <v>17.460266599999997</v>
      </c>
      <c r="BQ780" s="270">
        <v>35.633197142857135</v>
      </c>
      <c r="BR780" s="270" t="s">
        <v>232</v>
      </c>
      <c r="BS780" s="273" t="s">
        <v>2754</v>
      </c>
      <c r="BT780" s="270" t="s">
        <v>233</v>
      </c>
      <c r="BU780" s="253">
        <v>-9.8192771079999996</v>
      </c>
      <c r="BV780" s="253">
        <v>-9.0261044179999992</v>
      </c>
      <c r="BW780" s="255">
        <v>0.91922290395962203</v>
      </c>
      <c r="BX780" s="253">
        <v>0.79317269000000046</v>
      </c>
      <c r="BY780" s="253"/>
      <c r="BZ780" s="253">
        <v>7.9317269000000047E-4</v>
      </c>
      <c r="CA780" s="253">
        <v>2.2259374785262461E-5</v>
      </c>
      <c r="CB780" s="253">
        <v>0</v>
      </c>
      <c r="CC780" s="253">
        <v>0</v>
      </c>
      <c r="CD780" s="253">
        <v>0</v>
      </c>
      <c r="CE780" s="253">
        <v>0</v>
      </c>
      <c r="CF780" s="253">
        <v>0</v>
      </c>
      <c r="CG780" s="253">
        <v>0</v>
      </c>
      <c r="CH780" s="253">
        <v>0</v>
      </c>
      <c r="CI780" s="253">
        <v>0</v>
      </c>
      <c r="CJ780" s="253">
        <v>0</v>
      </c>
      <c r="CK780" s="253">
        <v>0</v>
      </c>
      <c r="CL780" s="253">
        <v>0</v>
      </c>
      <c r="CM780" s="253">
        <v>0</v>
      </c>
      <c r="CN780" s="253">
        <v>0</v>
      </c>
      <c r="CO780" s="253">
        <v>0</v>
      </c>
      <c r="CP780" s="253" t="s">
        <v>2755</v>
      </c>
      <c r="CQ780" s="253">
        <v>37.305819020000001</v>
      </c>
      <c r="CR780" s="253">
        <v>54.766085619999998</v>
      </c>
      <c r="CS780" s="253">
        <v>35.633197142857135</v>
      </c>
      <c r="CT780">
        <f>IF(BI780="Roundwood",$CS780/2,$CS780)</f>
        <v>35.633197142857135</v>
      </c>
      <c r="CU780" s="253">
        <v>-9.8192771079999996</v>
      </c>
      <c r="CV780" s="253">
        <v>-9.0261044179999992</v>
      </c>
      <c r="CW780" s="253">
        <v>7.9317269000000047E-4</v>
      </c>
      <c r="CX780">
        <f>IFERROR($CW780/$CS780,"")</f>
        <v>2.2259374785262461E-5</v>
      </c>
      <c r="CY780">
        <f>IFERROR($CW780/$CS780,"")</f>
        <v>2.2259374785262461E-5</v>
      </c>
      <c r="CZ780">
        <f>IFERROR($CW780/$CT780,"")</f>
        <v>2.2259374785262461E-5</v>
      </c>
      <c r="DA780" s="254">
        <v>8.077709604037793E-2</v>
      </c>
      <c r="DB780" s="252" t="s">
        <v>234</v>
      </c>
      <c r="DC780" s="253" t="s">
        <v>2756</v>
      </c>
      <c r="DD780" s="253" t="s">
        <v>235</v>
      </c>
      <c r="DE780" s="253"/>
      <c r="DF780" s="270"/>
      <c r="DG780" s="270">
        <v>80</v>
      </c>
      <c r="DH780" s="253" t="s">
        <v>2757</v>
      </c>
      <c r="DI780" s="253">
        <v>0</v>
      </c>
      <c r="DJ780" s="253">
        <v>1</v>
      </c>
      <c r="DK780" s="253">
        <v>0</v>
      </c>
      <c r="DL780" s="253">
        <v>0</v>
      </c>
      <c r="DM780" s="253"/>
      <c r="DN780" s="253">
        <v>1</v>
      </c>
      <c r="DO780" s="253" t="s">
        <v>173</v>
      </c>
      <c r="DP780" s="253">
        <v>0</v>
      </c>
      <c r="DQ780" s="253" t="s">
        <v>180</v>
      </c>
      <c r="DR780" s="253">
        <v>0</v>
      </c>
      <c r="DS780" s="253">
        <v>0</v>
      </c>
      <c r="DT780" s="253">
        <v>0</v>
      </c>
      <c r="DU780" s="270">
        <v>0</v>
      </c>
      <c r="DV780" s="270">
        <v>0</v>
      </c>
      <c r="DW780" s="270">
        <v>0</v>
      </c>
      <c r="DX780" s="270">
        <v>0</v>
      </c>
      <c r="DY780" s="253">
        <v>0</v>
      </c>
      <c r="DZ780" s="270" t="s">
        <v>926</v>
      </c>
      <c r="EA780" s="270">
        <v>1</v>
      </c>
      <c r="EB780" s="270">
        <v>1</v>
      </c>
      <c r="EC780" s="270">
        <v>1</v>
      </c>
      <c r="ED780" s="270">
        <v>0</v>
      </c>
      <c r="EE780" s="253">
        <v>0</v>
      </c>
      <c r="EF780" s="270">
        <v>0</v>
      </c>
      <c r="EG780" s="270">
        <v>1</v>
      </c>
      <c r="EH780" s="270">
        <v>1</v>
      </c>
      <c r="EI780" s="270">
        <v>0</v>
      </c>
      <c r="EJ780" s="270">
        <v>0</v>
      </c>
      <c r="EK780" s="253">
        <v>1</v>
      </c>
      <c r="EL780" s="270">
        <v>0</v>
      </c>
      <c r="EM780" s="253">
        <v>0</v>
      </c>
      <c r="EN780" s="254">
        <v>0</v>
      </c>
      <c r="EO780" s="252"/>
      <c r="EP780" t="str">
        <f>IF(AND(AND(AND(OR($EC780=1,$EB780=1),OR($EH780=1,$EF780=1)),SUM($EA780:$EE780,$EK780)&gt;=3),SUM($EF780:$EJ780)&gt;=2),"Whole sector approach","")</f>
        <v>Whole sector approach</v>
      </c>
      <c r="EQ780" t="str">
        <f>IF(AND(AND(OR($EC780=1,$EB780=1),AND($EH780=0,$EF780=0)),SUM($EA780:$EE780,$EK780)&gt;=4),"Ecosystem approach","")</f>
        <v/>
      </c>
      <c r="ER780" s="254" t="s">
        <v>531</v>
      </c>
      <c r="ES780" t="str">
        <f>IF(AND($EC780+$EB780+$EE780+$EA780+$ED780+$EG780=0,$N780="included"),"C neutral forest and HWP assumption","")</f>
        <v/>
      </c>
      <c r="ET780" t="str">
        <f>IF(AND(AND(AND(AND($EC780=1,$EB780+$EA780+$EG780&gt;=1),$EF780=1),$EH780+$EI780+$ED780+$EE780&gt;=2),$N780="included"),"All C pools assumption","")</f>
        <v/>
      </c>
      <c r="EU780" t="str">
        <f>IF(AND($ED780+$EE780+$EI780+$EH780+$EF780=0,$N780="included"),"In-situ only assumption","")</f>
        <v/>
      </c>
      <c r="EV780" s="253"/>
      <c r="EW780" s="253" t="s">
        <v>236</v>
      </c>
      <c r="EX780" s="253"/>
      <c r="EY780" t="str">
        <f>IF(ISNUMBER(BW780),IF(ABS(BW780-[3]QC_indicators!$B$2)&gt;3*[3]QC_indicators!$C$2,"C ratio",IF(ISNUMBER(CA780),IF(ABS(CA780-[3]QC_indicators!$B$1)&gt;3*[3]QC_indicators!$C$1,"DF","no"))),IF(ISNUMBER(CA780),IF(ABS(CA780-[3]QC_indicators!$B$1)&gt;3*[3]QC_indicators!$C$1,"DF","no")))</f>
        <v>no</v>
      </c>
      <c r="EZ780" s="274"/>
      <c r="FA780" t="str">
        <f>IF(LEN($CY780)=0,"",IF(AND($CY780&lt;(-0.05),$ES780="C neutral forest and HWP assumption"),"Cneutral paradox",IF(AND($CY780&gt;0.05,$EU780="In-situ only assumption"),"In-situ only paradox","")))</f>
        <v/>
      </c>
      <c r="FB780" s="274"/>
      <c r="FC780" s="274"/>
    </row>
    <row r="781" spans="1:160" ht="15" hidden="1" customHeight="1">
      <c r="A781" s="252" t="s">
        <v>214</v>
      </c>
      <c r="B781" s="253" t="s">
        <v>215</v>
      </c>
      <c r="C781" s="253" t="s">
        <v>216</v>
      </c>
      <c r="D781" s="253" t="s">
        <v>217</v>
      </c>
      <c r="E781" s="253" t="s">
        <v>218</v>
      </c>
      <c r="F781" s="253" t="s">
        <v>219</v>
      </c>
      <c r="G781" s="253" t="s">
        <v>220</v>
      </c>
      <c r="H781" s="253"/>
      <c r="I781" s="253">
        <v>2012</v>
      </c>
      <c r="J781" s="253"/>
      <c r="K781" s="253" t="s">
        <v>221</v>
      </c>
      <c r="L781" s="253"/>
      <c r="M781" s="253" t="s">
        <v>2753</v>
      </c>
      <c r="N781" s="253" t="s">
        <v>222</v>
      </c>
      <c r="O781" s="269" t="s">
        <v>223</v>
      </c>
      <c r="P781" s="253"/>
      <c r="Q781" s="253" t="s">
        <v>224</v>
      </c>
      <c r="R781" s="254" t="s">
        <v>225</v>
      </c>
      <c r="S781" s="252" t="s">
        <v>226</v>
      </c>
      <c r="T781" s="253" t="s">
        <v>228</v>
      </c>
      <c r="U781" s="253" t="s">
        <v>239</v>
      </c>
      <c r="V781" s="253">
        <v>0</v>
      </c>
      <c r="W781" s="253">
        <v>0</v>
      </c>
      <c r="X781" s="253">
        <v>0</v>
      </c>
      <c r="Y781" s="253">
        <v>0</v>
      </c>
      <c r="Z781" s="253">
        <v>0</v>
      </c>
      <c r="AA781" s="253">
        <v>1</v>
      </c>
      <c r="AB781" s="253">
        <v>0</v>
      </c>
      <c r="AC781" s="253">
        <v>0</v>
      </c>
      <c r="AD781" s="253">
        <v>0</v>
      </c>
      <c r="AE781" s="253">
        <v>0</v>
      </c>
      <c r="AF781" s="253">
        <v>0</v>
      </c>
      <c r="AG781" s="253">
        <v>0</v>
      </c>
      <c r="AH781" s="253">
        <v>0</v>
      </c>
      <c r="AI781" s="253">
        <v>0</v>
      </c>
      <c r="AJ781" s="253">
        <v>0</v>
      </c>
      <c r="AK781" s="253">
        <v>0</v>
      </c>
      <c r="AL781" s="253">
        <v>0</v>
      </c>
      <c r="AM781" s="253">
        <v>0</v>
      </c>
      <c r="AN781" s="253">
        <v>0</v>
      </c>
      <c r="AO781" s="253">
        <v>0</v>
      </c>
      <c r="AP781" s="253">
        <v>0</v>
      </c>
      <c r="AQ781" s="253">
        <v>0</v>
      </c>
      <c r="AR781" s="253">
        <v>0</v>
      </c>
      <c r="AS781" s="253">
        <v>0</v>
      </c>
      <c r="AT781" s="253">
        <v>0</v>
      </c>
      <c r="AU781" s="253">
        <v>0</v>
      </c>
      <c r="AV781" s="253">
        <v>0</v>
      </c>
      <c r="AW781" s="253">
        <v>0</v>
      </c>
      <c r="AX781" s="253">
        <v>0</v>
      </c>
      <c r="AY781" s="253">
        <v>0</v>
      </c>
      <c r="AZ781" s="271">
        <v>1</v>
      </c>
      <c r="BA781" s="271">
        <v>1</v>
      </c>
      <c r="BB781" s="253">
        <v>1</v>
      </c>
      <c r="BC781" s="253">
        <v>0</v>
      </c>
      <c r="BD781" s="253">
        <v>0</v>
      </c>
      <c r="BE781" s="253">
        <v>0</v>
      </c>
      <c r="BF781" s="253">
        <v>0</v>
      </c>
      <c r="BG781" s="253" t="s">
        <v>91</v>
      </c>
      <c r="BH781" s="2" t="str" cm="1">
        <f t="array" ref="BH781">IF(COUNTIF(BB781:BD781,"&lt;&gt;0")=1,INDEX($X$4:$AY$4,MATCH(TRUE,INDEX($X781:$AY781&lt;&gt;0,),0)),IF(COUNTIF(BB781:BD781,"&lt;&gt;0")=0,INDEX($AO$4:$AY$4,MATCH(1,$AO781:$AY781,0)),"Multiple strategies"))</f>
        <v>Silviculture for removals</v>
      </c>
      <c r="BI781" s="272" t="s">
        <v>229</v>
      </c>
      <c r="BJ781" s="253" t="s">
        <v>230</v>
      </c>
      <c r="BK781" s="273" t="s">
        <v>2754</v>
      </c>
      <c r="BL781" s="270" t="s">
        <v>231</v>
      </c>
      <c r="BM781" s="253">
        <v>55.163392309999999</v>
      </c>
      <c r="BN781" s="253">
        <v>89.04746797</v>
      </c>
      <c r="BO781" s="270">
        <v>0.61948299673814966</v>
      </c>
      <c r="BP781" s="253">
        <v>33.884075660000001</v>
      </c>
      <c r="BQ781" s="270">
        <v>69.151174816326531</v>
      </c>
      <c r="BR781" s="270" t="s">
        <v>232</v>
      </c>
      <c r="BS781" s="273" t="s">
        <v>2754</v>
      </c>
      <c r="BT781" s="270" t="s">
        <v>233</v>
      </c>
      <c r="BU781" s="253">
        <v>-9.0346308719999993</v>
      </c>
      <c r="BV781" s="253">
        <v>-8.1050396580000008</v>
      </c>
      <c r="BW781" s="255">
        <v>0.89710800284259817</v>
      </c>
      <c r="BX781" s="253">
        <v>0.92959121399999844</v>
      </c>
      <c r="BY781" s="253"/>
      <c r="BZ781" s="253">
        <v>9.295912139999984E-4</v>
      </c>
      <c r="CA781" s="253">
        <v>1.3442883891258529E-5</v>
      </c>
      <c r="CB781" s="253">
        <v>0</v>
      </c>
      <c r="CC781" s="253">
        <v>0</v>
      </c>
      <c r="CD781" s="253">
        <v>0</v>
      </c>
      <c r="CE781" s="253">
        <v>0</v>
      </c>
      <c r="CF781" s="253">
        <v>0</v>
      </c>
      <c r="CG781" s="253">
        <v>0</v>
      </c>
      <c r="CH781" s="253">
        <v>0</v>
      </c>
      <c r="CI781" s="253">
        <v>0</v>
      </c>
      <c r="CJ781" s="253">
        <v>0</v>
      </c>
      <c r="CK781" s="253">
        <v>0</v>
      </c>
      <c r="CL781" s="253">
        <v>0</v>
      </c>
      <c r="CM781" s="253">
        <v>0</v>
      </c>
      <c r="CN781" s="253">
        <v>0</v>
      </c>
      <c r="CO781" s="253">
        <v>0</v>
      </c>
      <c r="CP781" s="253" t="s">
        <v>2755</v>
      </c>
      <c r="CQ781" s="253">
        <v>55.163392309999999</v>
      </c>
      <c r="CR781" s="253">
        <v>89.04746797</v>
      </c>
      <c r="CS781" s="253">
        <v>69.151174816326531</v>
      </c>
      <c r="CT781">
        <f>IF(BI781="Roundwood",$CS781/2,$CS781)</f>
        <v>69.151174816326531</v>
      </c>
      <c r="CU781" s="253">
        <v>-9.0346308719999993</v>
      </c>
      <c r="CV781" s="253">
        <v>-8.1050396580000008</v>
      </c>
      <c r="CW781" s="253">
        <v>9.295912139999984E-4</v>
      </c>
      <c r="CX781">
        <f>IFERROR($CW781/$CS781,"")</f>
        <v>1.3442883891258529E-5</v>
      </c>
      <c r="CY781">
        <f>IFERROR($CW781/$CS781,"")</f>
        <v>1.3442883891258529E-5</v>
      </c>
      <c r="CZ781">
        <f>IFERROR($CW781/$CT781,"")</f>
        <v>1.3442883891258529E-5</v>
      </c>
      <c r="DA781" s="254">
        <v>0.1028919971574018</v>
      </c>
      <c r="DB781" s="252" t="s">
        <v>234</v>
      </c>
      <c r="DC781" s="253" t="s">
        <v>2756</v>
      </c>
      <c r="DD781" s="253" t="s">
        <v>235</v>
      </c>
      <c r="DE781" s="253"/>
      <c r="DF781" s="270"/>
      <c r="DG781" s="270">
        <v>80</v>
      </c>
      <c r="DH781" s="253" t="s">
        <v>2757</v>
      </c>
      <c r="DI781" s="253">
        <v>0</v>
      </c>
      <c r="DJ781" s="253">
        <v>1</v>
      </c>
      <c r="DK781" s="253">
        <v>0</v>
      </c>
      <c r="DL781" s="253">
        <v>0</v>
      </c>
      <c r="DM781" s="253"/>
      <c r="DN781" s="253">
        <v>1</v>
      </c>
      <c r="DO781" s="253" t="s">
        <v>173</v>
      </c>
      <c r="DP781" s="253">
        <v>0</v>
      </c>
      <c r="DQ781" s="253" t="s">
        <v>180</v>
      </c>
      <c r="DR781" s="253">
        <v>0</v>
      </c>
      <c r="DS781" s="253">
        <v>0</v>
      </c>
      <c r="DT781" s="253">
        <v>0</v>
      </c>
      <c r="DU781" s="270">
        <v>0</v>
      </c>
      <c r="DV781" s="270">
        <v>0</v>
      </c>
      <c r="DW781" s="270">
        <v>0</v>
      </c>
      <c r="DX781" s="270">
        <v>0</v>
      </c>
      <c r="DY781" s="253">
        <v>0</v>
      </c>
      <c r="DZ781" s="270" t="s">
        <v>926</v>
      </c>
      <c r="EA781" s="270">
        <v>1</v>
      </c>
      <c r="EB781" s="270">
        <v>1</v>
      </c>
      <c r="EC781" s="270">
        <v>1</v>
      </c>
      <c r="ED781" s="270">
        <v>0</v>
      </c>
      <c r="EE781" s="253">
        <v>0</v>
      </c>
      <c r="EF781" s="270">
        <v>0</v>
      </c>
      <c r="EG781" s="270">
        <v>1</v>
      </c>
      <c r="EH781" s="270">
        <v>1</v>
      </c>
      <c r="EI781" s="270">
        <v>0</v>
      </c>
      <c r="EJ781" s="270">
        <v>0</v>
      </c>
      <c r="EK781" s="253">
        <v>1</v>
      </c>
      <c r="EL781" s="270">
        <v>0</v>
      </c>
      <c r="EM781" s="253">
        <v>0</v>
      </c>
      <c r="EN781" s="254">
        <v>0</v>
      </c>
      <c r="EO781" s="252"/>
      <c r="EP781" t="str">
        <f>IF(AND(AND(AND(OR($EC781=1,$EB781=1),OR($EH781=1,$EF781=1)),SUM($EA781:$EE781,$EK781)&gt;=3),SUM($EF781:$EJ781)&gt;=2),"Whole sector approach","")</f>
        <v>Whole sector approach</v>
      </c>
      <c r="EQ781" t="str">
        <f>IF(AND(AND(OR($EC781=1,$EB781=1),AND($EH781=0,$EF781=0)),SUM($EA781:$EE781,$EK781)&gt;=4),"Ecosystem approach","")</f>
        <v/>
      </c>
      <c r="ER781" s="254" t="s">
        <v>531</v>
      </c>
      <c r="ES781" t="str">
        <f>IF(AND($EC781+$EB781+$EE781+$EA781+$ED781+$EG781=0,$N781="included"),"C neutral forest and HWP assumption","")</f>
        <v/>
      </c>
      <c r="ET781" t="str">
        <f>IF(AND(AND(AND(AND($EC781=1,$EB781+$EA781+$EG781&gt;=1),$EF781=1),$EH781+$EI781+$ED781+$EE781&gt;=2),$N781="included"),"All C pools assumption","")</f>
        <v/>
      </c>
      <c r="EU781" t="str">
        <f>IF(AND($ED781+$EE781+$EI781+$EH781+$EF781=0,$N781="included"),"In-situ only assumption","")</f>
        <v/>
      </c>
      <c r="EV781" s="253"/>
      <c r="EW781" s="253" t="s">
        <v>236</v>
      </c>
      <c r="EX781" s="253"/>
      <c r="EY781" t="str">
        <f>IF(ISNUMBER(BW781),IF(ABS(BW781-[3]QC_indicators!$B$2)&gt;3*[3]QC_indicators!$C$2,"C ratio",IF(ISNUMBER(CA781),IF(ABS(CA781-[3]QC_indicators!$B$1)&gt;3*[3]QC_indicators!$C$1,"DF","no"))),IF(ISNUMBER(CA781),IF(ABS(CA781-[3]QC_indicators!$B$1)&gt;3*[3]QC_indicators!$C$1,"DF","no")))</f>
        <v>no</v>
      </c>
      <c r="EZ781" s="274"/>
      <c r="FA781" t="str">
        <f>IF(LEN($CY781)=0,"",IF(AND($CY781&lt;(-0.05),$ES781="C neutral forest and HWP assumption"),"Cneutral paradox",IF(AND($CY781&gt;0.05,$EU781="In-situ only assumption"),"In-situ only paradox","")))</f>
        <v/>
      </c>
      <c r="FB781" s="274"/>
      <c r="FC781" s="274"/>
    </row>
    <row r="782" spans="1:160" ht="15" hidden="1" customHeight="1">
      <c r="A782" s="252" t="s">
        <v>214</v>
      </c>
      <c r="B782" s="253" t="s">
        <v>215</v>
      </c>
      <c r="C782" s="253" t="s">
        <v>216</v>
      </c>
      <c r="D782" s="253" t="s">
        <v>217</v>
      </c>
      <c r="E782" s="253" t="s">
        <v>218</v>
      </c>
      <c r="F782" s="253" t="s">
        <v>219</v>
      </c>
      <c r="G782" s="253" t="s">
        <v>220</v>
      </c>
      <c r="H782" s="253"/>
      <c r="I782" s="253">
        <v>2012</v>
      </c>
      <c r="J782" s="253"/>
      <c r="K782" s="253" t="s">
        <v>221</v>
      </c>
      <c r="L782" s="253"/>
      <c r="M782" s="253" t="s">
        <v>2753</v>
      </c>
      <c r="N782" s="253" t="s">
        <v>222</v>
      </c>
      <c r="O782" s="269" t="s">
        <v>223</v>
      </c>
      <c r="P782" s="253"/>
      <c r="Q782" s="253" t="s">
        <v>224</v>
      </c>
      <c r="R782" s="254" t="s">
        <v>225</v>
      </c>
      <c r="S782" s="252" t="s">
        <v>226</v>
      </c>
      <c r="T782" s="253" t="s">
        <v>228</v>
      </c>
      <c r="U782" s="253" t="s">
        <v>237</v>
      </c>
      <c r="V782" s="253">
        <v>0</v>
      </c>
      <c r="W782" s="253">
        <v>0</v>
      </c>
      <c r="X782" s="253">
        <v>0</v>
      </c>
      <c r="Y782" s="253">
        <v>0</v>
      </c>
      <c r="Z782" s="253">
        <v>0</v>
      </c>
      <c r="AA782" s="253">
        <v>1</v>
      </c>
      <c r="AB782" s="253">
        <v>0</v>
      </c>
      <c r="AC782" s="253">
        <v>0</v>
      </c>
      <c r="AD782" s="253">
        <v>0</v>
      </c>
      <c r="AE782" s="253">
        <v>0</v>
      </c>
      <c r="AF782" s="253">
        <v>0</v>
      </c>
      <c r="AG782" s="253">
        <v>0</v>
      </c>
      <c r="AH782" s="253">
        <v>0</v>
      </c>
      <c r="AI782" s="253">
        <v>0</v>
      </c>
      <c r="AJ782" s="253">
        <v>0</v>
      </c>
      <c r="AK782" s="253">
        <v>0</v>
      </c>
      <c r="AL782" s="253">
        <v>0</v>
      </c>
      <c r="AM782" s="253">
        <v>0</v>
      </c>
      <c r="AN782" s="253">
        <v>0</v>
      </c>
      <c r="AO782" s="253">
        <v>0</v>
      </c>
      <c r="AP782" s="253">
        <v>0</v>
      </c>
      <c r="AQ782" s="253">
        <v>0</v>
      </c>
      <c r="AR782" s="253">
        <v>0</v>
      </c>
      <c r="AS782" s="253">
        <v>0</v>
      </c>
      <c r="AT782" s="253">
        <v>0</v>
      </c>
      <c r="AU782" s="253">
        <v>0</v>
      </c>
      <c r="AV782" s="253">
        <v>0</v>
      </c>
      <c r="AW782" s="253">
        <v>0</v>
      </c>
      <c r="AX782" s="253">
        <v>0</v>
      </c>
      <c r="AY782" s="253">
        <v>0</v>
      </c>
      <c r="AZ782" s="271">
        <v>1</v>
      </c>
      <c r="BA782" s="271">
        <v>1</v>
      </c>
      <c r="BB782" s="253">
        <v>1</v>
      </c>
      <c r="BC782" s="253">
        <v>0</v>
      </c>
      <c r="BD782" s="253">
        <v>0</v>
      </c>
      <c r="BE782" s="253">
        <v>0</v>
      </c>
      <c r="BF782" s="253">
        <v>0</v>
      </c>
      <c r="BG782" s="253" t="s">
        <v>91</v>
      </c>
      <c r="BH782" s="2" t="str" cm="1">
        <f t="array" ref="BH782">IF(COUNTIF(BB782:BD782,"&lt;&gt;0")=1,INDEX($X$4:$AY$4,MATCH(TRUE,INDEX($X782:$AY782&lt;&gt;0,),0)),IF(COUNTIF(BB782:BD782,"&lt;&gt;0")=0,INDEX($AO$4:$AY$4,MATCH(1,$AO782:$AY782,0)),"Multiple strategies"))</f>
        <v>Silviculture for removals</v>
      </c>
      <c r="BI782" s="272" t="s">
        <v>229</v>
      </c>
      <c r="BJ782" s="253" t="s">
        <v>230</v>
      </c>
      <c r="BK782" s="273" t="s">
        <v>2754</v>
      </c>
      <c r="BL782" s="270" t="s">
        <v>231</v>
      </c>
      <c r="BM782" s="253">
        <v>95.977011489999995</v>
      </c>
      <c r="BN782" s="253">
        <v>114.0804598</v>
      </c>
      <c r="BO782" s="270">
        <v>1.1886227548550647</v>
      </c>
      <c r="BP782" s="253">
        <v>18.103448310000005</v>
      </c>
      <c r="BQ782" s="270">
        <v>36.945812877551027</v>
      </c>
      <c r="BR782" s="270" t="s">
        <v>232</v>
      </c>
      <c r="BS782" s="273" t="s">
        <v>2754</v>
      </c>
      <c r="BT782" s="270" t="s">
        <v>233</v>
      </c>
      <c r="BU782" s="253">
        <v>-8.1428571430000005</v>
      </c>
      <c r="BV782" s="253">
        <v>-7.6632653060000004</v>
      </c>
      <c r="BW782" s="255">
        <v>0.94110275686068245</v>
      </c>
      <c r="BX782" s="253">
        <v>0.47959183700000008</v>
      </c>
      <c r="BY782" s="253"/>
      <c r="BZ782" s="253">
        <v>4.7959183700000009E-4</v>
      </c>
      <c r="CA782" s="253">
        <v>1.2980952363654967E-5</v>
      </c>
      <c r="CB782" s="253">
        <v>0</v>
      </c>
      <c r="CC782" s="253">
        <v>0</v>
      </c>
      <c r="CD782" s="253">
        <v>0</v>
      </c>
      <c r="CE782" s="253">
        <v>0</v>
      </c>
      <c r="CF782" s="253">
        <v>0</v>
      </c>
      <c r="CG782" s="253">
        <v>0</v>
      </c>
      <c r="CH782" s="253">
        <v>0</v>
      </c>
      <c r="CI782" s="253">
        <v>0</v>
      </c>
      <c r="CJ782" s="253">
        <v>0</v>
      </c>
      <c r="CK782" s="253">
        <v>0</v>
      </c>
      <c r="CL782" s="253">
        <v>0</v>
      </c>
      <c r="CM782" s="253">
        <v>0</v>
      </c>
      <c r="CN782" s="253">
        <v>0</v>
      </c>
      <c r="CO782" s="253">
        <v>0</v>
      </c>
      <c r="CP782" s="253" t="s">
        <v>2755</v>
      </c>
      <c r="CQ782" s="253">
        <v>95.977011489999995</v>
      </c>
      <c r="CR782" s="253">
        <v>114.0804598</v>
      </c>
      <c r="CS782" s="253">
        <v>36.945812877551027</v>
      </c>
      <c r="CT782">
        <f>IF(BI782="Roundwood",$CS782/2,$CS782)</f>
        <v>36.945812877551027</v>
      </c>
      <c r="CU782" s="253">
        <v>-8.1428571430000005</v>
      </c>
      <c r="CV782" s="253">
        <v>-7.6632653060000004</v>
      </c>
      <c r="CW782" s="253">
        <v>4.7959183700000009E-4</v>
      </c>
      <c r="CX782">
        <f>IFERROR($CW782/$CS782,"")</f>
        <v>1.2980952363654967E-5</v>
      </c>
      <c r="CY782">
        <f>IFERROR($CW782/$CS782,"")</f>
        <v>1.2980952363654967E-5</v>
      </c>
      <c r="CZ782">
        <f>IFERROR($CW782/$CT782,"")</f>
        <v>1.2980952363654967E-5</v>
      </c>
      <c r="DA782" s="254">
        <v>5.8897243139317601E-2</v>
      </c>
      <c r="DB782" s="252" t="s">
        <v>234</v>
      </c>
      <c r="DC782" s="253" t="s">
        <v>2756</v>
      </c>
      <c r="DD782" s="253" t="s">
        <v>235</v>
      </c>
      <c r="DE782" s="253"/>
      <c r="DF782" s="270"/>
      <c r="DG782" s="270">
        <v>80</v>
      </c>
      <c r="DH782" s="253" t="s">
        <v>2757</v>
      </c>
      <c r="DI782" s="253">
        <v>0</v>
      </c>
      <c r="DJ782" s="253">
        <v>1</v>
      </c>
      <c r="DK782" s="253">
        <v>0</v>
      </c>
      <c r="DL782" s="253">
        <v>0</v>
      </c>
      <c r="DM782" s="253"/>
      <c r="DN782" s="253">
        <v>1</v>
      </c>
      <c r="DO782" s="253" t="s">
        <v>173</v>
      </c>
      <c r="DP782" s="253">
        <v>0</v>
      </c>
      <c r="DQ782" s="253" t="s">
        <v>180</v>
      </c>
      <c r="DR782" s="253">
        <v>0</v>
      </c>
      <c r="DS782" s="253">
        <v>0</v>
      </c>
      <c r="DT782" s="253">
        <v>0</v>
      </c>
      <c r="DU782" s="270">
        <v>0</v>
      </c>
      <c r="DV782" s="270">
        <v>0</v>
      </c>
      <c r="DW782" s="270">
        <v>0</v>
      </c>
      <c r="DX782" s="270">
        <v>0</v>
      </c>
      <c r="DY782" s="253">
        <v>0</v>
      </c>
      <c r="DZ782" s="270" t="s">
        <v>926</v>
      </c>
      <c r="EA782" s="270">
        <v>1</v>
      </c>
      <c r="EB782" s="270">
        <v>1</v>
      </c>
      <c r="EC782" s="270">
        <v>1</v>
      </c>
      <c r="ED782" s="270">
        <v>0</v>
      </c>
      <c r="EE782" s="253">
        <v>0</v>
      </c>
      <c r="EF782" s="270">
        <v>0</v>
      </c>
      <c r="EG782" s="270">
        <v>1</v>
      </c>
      <c r="EH782" s="270">
        <v>1</v>
      </c>
      <c r="EI782" s="270">
        <v>0</v>
      </c>
      <c r="EJ782" s="270">
        <v>0</v>
      </c>
      <c r="EK782" s="253">
        <v>1</v>
      </c>
      <c r="EL782" s="270">
        <v>0</v>
      </c>
      <c r="EM782" s="253">
        <v>0</v>
      </c>
      <c r="EN782" s="254">
        <v>0</v>
      </c>
      <c r="EO782" s="252"/>
      <c r="EP782" t="str">
        <f>IF(AND(AND(AND(OR($EC782=1,$EB782=1),OR($EH782=1,$EF782=1)),SUM($EA782:$EE782,$EK782)&gt;=3),SUM($EF782:$EJ782)&gt;=2),"Whole sector approach","")</f>
        <v>Whole sector approach</v>
      </c>
      <c r="EQ782" t="str">
        <f>IF(AND(AND(OR($EC782=1,$EB782=1),AND($EH782=0,$EF782=0)),SUM($EA782:$EE782,$EK782)&gt;=4),"Ecosystem approach","")</f>
        <v/>
      </c>
      <c r="ER782" s="254" t="s">
        <v>531</v>
      </c>
      <c r="ES782" t="str">
        <f>IF(AND($EC782+$EB782+$EE782+$EA782+$ED782+$EG782=0,$N782="included"),"C neutral forest and HWP assumption","")</f>
        <v/>
      </c>
      <c r="ET782" t="str">
        <f>IF(AND(AND(AND(AND($EC782=1,$EB782+$EA782+$EG782&gt;=1),$EF782=1),$EH782+$EI782+$ED782+$EE782&gt;=2),$N782="included"),"All C pools assumption","")</f>
        <v/>
      </c>
      <c r="EU782" t="str">
        <f>IF(AND($ED782+$EE782+$EI782+$EH782+$EF782=0,$N782="included"),"In-situ only assumption","")</f>
        <v/>
      </c>
      <c r="EV782" s="253"/>
      <c r="EW782" s="253" t="s">
        <v>236</v>
      </c>
      <c r="EX782" s="253"/>
      <c r="EY782" t="str">
        <f>IF(ISNUMBER(BW782),IF(ABS(BW782-[3]QC_indicators!$B$2)&gt;3*[3]QC_indicators!$C$2,"C ratio",IF(ISNUMBER(CA782),IF(ABS(CA782-[3]QC_indicators!$B$1)&gt;3*[3]QC_indicators!$C$1,"DF","no"))),IF(ISNUMBER(CA782),IF(ABS(CA782-[3]QC_indicators!$B$1)&gt;3*[3]QC_indicators!$C$1,"DF","no")))</f>
        <v>no</v>
      </c>
      <c r="EZ782" s="274"/>
      <c r="FA782" t="str">
        <f>IF(LEN($CY782)=0,"",IF(AND($CY782&lt;(-0.05),$ES782="C neutral forest and HWP assumption"),"Cneutral paradox",IF(AND($CY782&gt;0.05,$EU782="In-situ only assumption"),"In-situ only paradox","")))</f>
        <v/>
      </c>
      <c r="FB782" s="274"/>
      <c r="FC782" s="274"/>
    </row>
    <row r="783" spans="1:160" ht="15" hidden="1" customHeight="1">
      <c r="A783" s="252" t="s">
        <v>214</v>
      </c>
      <c r="B783" s="253" t="s">
        <v>215</v>
      </c>
      <c r="C783" s="253" t="s">
        <v>216</v>
      </c>
      <c r="D783" s="253" t="s">
        <v>217</v>
      </c>
      <c r="E783" s="253" t="s">
        <v>218</v>
      </c>
      <c r="F783" s="253" t="s">
        <v>219</v>
      </c>
      <c r="G783" s="253" t="s">
        <v>220</v>
      </c>
      <c r="H783" s="253"/>
      <c r="I783" s="253">
        <v>2012</v>
      </c>
      <c r="J783" s="253"/>
      <c r="K783" s="253" t="s">
        <v>221</v>
      </c>
      <c r="L783" s="253"/>
      <c r="M783" s="253" t="s">
        <v>2753</v>
      </c>
      <c r="N783" s="253" t="s">
        <v>222</v>
      </c>
      <c r="O783" s="269" t="s">
        <v>223</v>
      </c>
      <c r="P783" s="253"/>
      <c r="Q783" s="253" t="s">
        <v>224</v>
      </c>
      <c r="R783" s="254" t="s">
        <v>225</v>
      </c>
      <c r="S783" s="252" t="s">
        <v>226</v>
      </c>
      <c r="T783" s="253" t="s">
        <v>228</v>
      </c>
      <c r="U783" s="253" t="s">
        <v>238</v>
      </c>
      <c r="V783" s="253">
        <v>0</v>
      </c>
      <c r="W783" s="253">
        <v>0</v>
      </c>
      <c r="X783" s="253">
        <v>0</v>
      </c>
      <c r="Y783" s="253">
        <v>0</v>
      </c>
      <c r="Z783" s="253">
        <v>0</v>
      </c>
      <c r="AA783" s="253">
        <v>1</v>
      </c>
      <c r="AB783" s="253">
        <v>0</v>
      </c>
      <c r="AC783" s="253">
        <v>0</v>
      </c>
      <c r="AD783" s="253">
        <v>0</v>
      </c>
      <c r="AE783" s="253">
        <v>0</v>
      </c>
      <c r="AF783" s="253">
        <v>0</v>
      </c>
      <c r="AG783" s="253">
        <v>0</v>
      </c>
      <c r="AH783" s="253">
        <v>0</v>
      </c>
      <c r="AI783" s="253">
        <v>0</v>
      </c>
      <c r="AJ783" s="253">
        <v>0</v>
      </c>
      <c r="AK783" s="253">
        <v>0</v>
      </c>
      <c r="AL783" s="253">
        <v>0</v>
      </c>
      <c r="AM783" s="253">
        <v>0</v>
      </c>
      <c r="AN783" s="253">
        <v>0</v>
      </c>
      <c r="AO783" s="253">
        <v>0</v>
      </c>
      <c r="AP783" s="253">
        <v>0</v>
      </c>
      <c r="AQ783" s="253">
        <v>0</v>
      </c>
      <c r="AR783" s="253">
        <v>0</v>
      </c>
      <c r="AS783" s="253">
        <v>0</v>
      </c>
      <c r="AT783" s="253">
        <v>0</v>
      </c>
      <c r="AU783" s="253">
        <v>0</v>
      </c>
      <c r="AV783" s="253">
        <v>0</v>
      </c>
      <c r="AW783" s="253">
        <v>0</v>
      </c>
      <c r="AX783" s="253">
        <v>0</v>
      </c>
      <c r="AY783" s="253">
        <v>0</v>
      </c>
      <c r="AZ783" s="271">
        <v>1</v>
      </c>
      <c r="BA783" s="271">
        <v>1</v>
      </c>
      <c r="BB783" s="253">
        <v>1</v>
      </c>
      <c r="BC783" s="253">
        <v>0</v>
      </c>
      <c r="BD783" s="253">
        <v>0</v>
      </c>
      <c r="BE783" s="253">
        <v>0</v>
      </c>
      <c r="BF783" s="253">
        <v>0</v>
      </c>
      <c r="BG783" s="253" t="s">
        <v>91</v>
      </c>
      <c r="BH783" s="2" t="str" cm="1">
        <f t="array" ref="BH783">IF(COUNTIF(BB783:BD783,"&lt;&gt;0")=1,INDEX($X$4:$AY$4,MATCH(TRUE,INDEX($X783:$AY783&lt;&gt;0,),0)),IF(COUNTIF(BB783:BD783,"&lt;&gt;0")=0,INDEX($AO$4:$AY$4,MATCH(1,$AO783:$AY783,0)),"Multiple strategies"))</f>
        <v>Silviculture for removals</v>
      </c>
      <c r="BI783" s="272" t="s">
        <v>229</v>
      </c>
      <c r="BJ783" s="253" t="s">
        <v>230</v>
      </c>
      <c r="BK783" s="273" t="s">
        <v>2754</v>
      </c>
      <c r="BL783" s="270" t="s">
        <v>231</v>
      </c>
      <c r="BM783" s="253">
        <v>48.643391100000002</v>
      </c>
      <c r="BN783" s="253">
        <v>58.199966019999998</v>
      </c>
      <c r="BO783" s="270">
        <v>0.8357975859175597</v>
      </c>
      <c r="BP783" s="253">
        <v>9.5565749199999956</v>
      </c>
      <c r="BQ783" s="270">
        <v>19.50321412244897</v>
      </c>
      <c r="BR783" s="270" t="s">
        <v>232</v>
      </c>
      <c r="BS783" s="273" t="s">
        <v>2754</v>
      </c>
      <c r="BT783" s="270" t="s">
        <v>233</v>
      </c>
      <c r="BU783" s="253">
        <v>-9.3488297330000005</v>
      </c>
      <c r="BV783" s="253">
        <v>-9.137844007</v>
      </c>
      <c r="BW783" s="255">
        <v>0.97743185703176816</v>
      </c>
      <c r="BX783" s="253">
        <v>0.21098572600000054</v>
      </c>
      <c r="BY783" s="253"/>
      <c r="BZ783" s="253">
        <v>2.1098572600000053E-4</v>
      </c>
      <c r="CA783" s="253">
        <v>1.0817997724649274E-5</v>
      </c>
      <c r="CB783" s="253">
        <v>0</v>
      </c>
      <c r="CC783" s="253">
        <v>0</v>
      </c>
      <c r="CD783" s="253">
        <v>0</v>
      </c>
      <c r="CE783" s="253">
        <v>0</v>
      </c>
      <c r="CF783" s="253">
        <v>0</v>
      </c>
      <c r="CG783" s="253">
        <v>0</v>
      </c>
      <c r="CH783" s="253">
        <v>0</v>
      </c>
      <c r="CI783" s="253">
        <v>0</v>
      </c>
      <c r="CJ783" s="253">
        <v>0</v>
      </c>
      <c r="CK783" s="253">
        <v>0</v>
      </c>
      <c r="CL783" s="253">
        <v>0</v>
      </c>
      <c r="CM783" s="253">
        <v>0</v>
      </c>
      <c r="CN783" s="253">
        <v>0</v>
      </c>
      <c r="CO783" s="253">
        <v>0</v>
      </c>
      <c r="CP783" s="253" t="s">
        <v>2755</v>
      </c>
      <c r="CQ783" s="253">
        <v>48.643391100000002</v>
      </c>
      <c r="CR783" s="253">
        <v>58.199966019999998</v>
      </c>
      <c r="CS783" s="253">
        <v>19.50321412244897</v>
      </c>
      <c r="CT783">
        <f>IF(BI783="Roundwood",$CS783/2,$CS783)</f>
        <v>19.50321412244897</v>
      </c>
      <c r="CU783" s="253">
        <v>-9.3488297330000005</v>
      </c>
      <c r="CV783" s="253">
        <v>-9.137844007</v>
      </c>
      <c r="CW783" s="253">
        <v>2.1098572600000053E-4</v>
      </c>
      <c r="CX783">
        <f>IFERROR($CW783/$CS783,"")</f>
        <v>1.0817997724649274E-5</v>
      </c>
      <c r="CY783">
        <f>IFERROR($CW783/$CS783,"")</f>
        <v>1.0817997724649274E-5</v>
      </c>
      <c r="CZ783">
        <f>IFERROR($CW783/$CT783,"")</f>
        <v>1.0817997724649274E-5</v>
      </c>
      <c r="DA783" s="254">
        <v>2.256814296823182E-2</v>
      </c>
      <c r="DB783" s="252" t="s">
        <v>234</v>
      </c>
      <c r="DC783" s="253" t="s">
        <v>2756</v>
      </c>
      <c r="DD783" s="253" t="s">
        <v>235</v>
      </c>
      <c r="DE783" s="253"/>
      <c r="DF783" s="270"/>
      <c r="DG783" s="270">
        <v>80</v>
      </c>
      <c r="DH783" s="253" t="s">
        <v>2757</v>
      </c>
      <c r="DI783" s="253">
        <v>0</v>
      </c>
      <c r="DJ783" s="253">
        <v>1</v>
      </c>
      <c r="DK783" s="253">
        <v>0</v>
      </c>
      <c r="DL783" s="253">
        <v>0</v>
      </c>
      <c r="DM783" s="253"/>
      <c r="DN783" s="253">
        <v>1</v>
      </c>
      <c r="DO783" s="253" t="s">
        <v>173</v>
      </c>
      <c r="DP783" s="253">
        <v>0</v>
      </c>
      <c r="DQ783" s="253" t="s">
        <v>180</v>
      </c>
      <c r="DR783" s="253">
        <v>0</v>
      </c>
      <c r="DS783" s="253">
        <v>0</v>
      </c>
      <c r="DT783" s="253">
        <v>0</v>
      </c>
      <c r="DU783" s="270">
        <v>0</v>
      </c>
      <c r="DV783" s="270">
        <v>0</v>
      </c>
      <c r="DW783" s="270">
        <v>0</v>
      </c>
      <c r="DX783" s="270">
        <v>0</v>
      </c>
      <c r="DY783" s="253">
        <v>0</v>
      </c>
      <c r="DZ783" s="270" t="s">
        <v>926</v>
      </c>
      <c r="EA783" s="270">
        <v>1</v>
      </c>
      <c r="EB783" s="270">
        <v>1</v>
      </c>
      <c r="EC783" s="270">
        <v>1</v>
      </c>
      <c r="ED783" s="270">
        <v>0</v>
      </c>
      <c r="EE783" s="253">
        <v>0</v>
      </c>
      <c r="EF783" s="270">
        <v>0</v>
      </c>
      <c r="EG783" s="270">
        <v>1</v>
      </c>
      <c r="EH783" s="270">
        <v>1</v>
      </c>
      <c r="EI783" s="270">
        <v>0</v>
      </c>
      <c r="EJ783" s="270">
        <v>0</v>
      </c>
      <c r="EK783" s="253">
        <v>1</v>
      </c>
      <c r="EL783" s="270">
        <v>0</v>
      </c>
      <c r="EM783" s="253">
        <v>0</v>
      </c>
      <c r="EN783" s="254">
        <v>0</v>
      </c>
      <c r="EO783" s="252"/>
      <c r="EP783" t="str">
        <f>IF(AND(AND(AND(OR($EC783=1,$EB783=1),OR($EH783=1,$EF783=1)),SUM($EA783:$EE783,$EK783)&gt;=3),SUM($EF783:$EJ783)&gt;=2),"Whole sector approach","")</f>
        <v>Whole sector approach</v>
      </c>
      <c r="EQ783" t="str">
        <f>IF(AND(AND(OR($EC783=1,$EB783=1),AND($EH783=0,$EF783=0)),SUM($EA783:$EE783,$EK783)&gt;=4),"Ecosystem approach","")</f>
        <v/>
      </c>
      <c r="ER783" s="254" t="s">
        <v>531</v>
      </c>
      <c r="ES783" t="str">
        <f>IF(AND($EC783+$EB783+$EE783+$EA783+$ED783+$EG783=0,$N783="included"),"C neutral forest and HWP assumption","")</f>
        <v/>
      </c>
      <c r="ET783" t="str">
        <f>IF(AND(AND(AND(AND($EC783=1,$EB783+$EA783+$EG783&gt;=1),$EF783=1),$EH783+$EI783+$ED783+$EE783&gt;=2),$N783="included"),"All C pools assumption","")</f>
        <v/>
      </c>
      <c r="EU783" t="str">
        <f>IF(AND($ED783+$EE783+$EI783+$EH783+$EF783=0,$N783="included"),"In-situ only assumption","")</f>
        <v/>
      </c>
      <c r="EV783" s="253"/>
      <c r="EW783" s="253" t="s">
        <v>236</v>
      </c>
      <c r="EX783" s="253"/>
      <c r="EY783" t="str">
        <f>IF(ISNUMBER(BW783),IF(ABS(BW783-[3]QC_indicators!$B$2)&gt;3*[3]QC_indicators!$C$2,"C ratio",IF(ISNUMBER(CA783),IF(ABS(CA783-[3]QC_indicators!$B$1)&gt;3*[3]QC_indicators!$C$1,"DF","no"))),IF(ISNUMBER(CA783),IF(ABS(CA783-[3]QC_indicators!$B$1)&gt;3*[3]QC_indicators!$C$1,"DF","no")))</f>
        <v>no</v>
      </c>
      <c r="EZ783" s="274"/>
      <c r="FA783" t="str">
        <f>IF(LEN($CY783)=0,"",IF(AND($CY783&lt;(-0.05),$ES783="C neutral forest and HWP assumption"),"Cneutral paradox",IF(AND($CY783&gt;0.05,$EU783="In-situ only assumption"),"In-situ only paradox","")))</f>
        <v/>
      </c>
      <c r="FB783" s="274"/>
      <c r="FC783" s="274"/>
    </row>
    <row r="784" spans="1:160" ht="15" hidden="1" customHeight="1">
      <c r="A784" s="252" t="s">
        <v>214</v>
      </c>
      <c r="B784" s="253" t="s">
        <v>215</v>
      </c>
      <c r="C784" s="253" t="s">
        <v>216</v>
      </c>
      <c r="D784" s="253" t="s">
        <v>217</v>
      </c>
      <c r="E784" s="253" t="s">
        <v>218</v>
      </c>
      <c r="F784" s="253" t="s">
        <v>219</v>
      </c>
      <c r="G784" s="253" t="s">
        <v>220</v>
      </c>
      <c r="H784" s="253"/>
      <c r="I784" s="253">
        <v>2012</v>
      </c>
      <c r="J784" s="253"/>
      <c r="K784" s="253" t="s">
        <v>221</v>
      </c>
      <c r="L784" s="253"/>
      <c r="M784" s="253" t="s">
        <v>2753</v>
      </c>
      <c r="N784" s="253" t="s">
        <v>222</v>
      </c>
      <c r="O784" s="269" t="s">
        <v>223</v>
      </c>
      <c r="P784" s="253"/>
      <c r="Q784" s="253" t="s">
        <v>224</v>
      </c>
      <c r="R784" s="254" t="s">
        <v>225</v>
      </c>
      <c r="S784" s="252" t="s">
        <v>226</v>
      </c>
      <c r="T784" s="253" t="s">
        <v>228</v>
      </c>
      <c r="U784" s="253" t="s">
        <v>239</v>
      </c>
      <c r="V784" s="253">
        <v>0</v>
      </c>
      <c r="W784" s="253">
        <v>0</v>
      </c>
      <c r="X784" s="253">
        <v>0</v>
      </c>
      <c r="Y784" s="253">
        <v>0</v>
      </c>
      <c r="Z784" s="253">
        <v>0</v>
      </c>
      <c r="AA784" s="253">
        <v>1</v>
      </c>
      <c r="AB784" s="253">
        <v>0</v>
      </c>
      <c r="AC784" s="253">
        <v>0</v>
      </c>
      <c r="AD784" s="253">
        <v>0</v>
      </c>
      <c r="AE784" s="253">
        <v>0</v>
      </c>
      <c r="AF784" s="253">
        <v>0</v>
      </c>
      <c r="AG784" s="253">
        <v>0</v>
      </c>
      <c r="AH784" s="253">
        <v>0</v>
      </c>
      <c r="AI784" s="253">
        <v>0</v>
      </c>
      <c r="AJ784" s="253">
        <v>0</v>
      </c>
      <c r="AK784" s="253">
        <v>0</v>
      </c>
      <c r="AL784" s="253">
        <v>0</v>
      </c>
      <c r="AM784" s="253">
        <v>0</v>
      </c>
      <c r="AN784" s="253">
        <v>0</v>
      </c>
      <c r="AO784" s="253">
        <v>0</v>
      </c>
      <c r="AP784" s="253">
        <v>0</v>
      </c>
      <c r="AQ784" s="253">
        <v>0</v>
      </c>
      <c r="AR784" s="253">
        <v>0</v>
      </c>
      <c r="AS784" s="253">
        <v>0</v>
      </c>
      <c r="AT784" s="253">
        <v>0</v>
      </c>
      <c r="AU784" s="253">
        <v>0</v>
      </c>
      <c r="AV784" s="253">
        <v>0</v>
      </c>
      <c r="AW784" s="253">
        <v>0</v>
      </c>
      <c r="AX784" s="253">
        <v>0</v>
      </c>
      <c r="AY784" s="253">
        <v>0</v>
      </c>
      <c r="AZ784" s="271">
        <v>1</v>
      </c>
      <c r="BA784" s="271">
        <v>1</v>
      </c>
      <c r="BB784" s="253">
        <v>1</v>
      </c>
      <c r="BC784" s="253">
        <v>0</v>
      </c>
      <c r="BD784" s="253">
        <v>0</v>
      </c>
      <c r="BE784" s="253">
        <v>0</v>
      </c>
      <c r="BF784" s="253">
        <v>0</v>
      </c>
      <c r="BG784" s="253" t="s">
        <v>91</v>
      </c>
      <c r="BH784" s="2" t="str" cm="1">
        <f t="array" ref="BH784">IF(COUNTIF(BB784:BD784,"&lt;&gt;0")=1,INDEX($X$4:$AY$4,MATCH(TRUE,INDEX($X784:$AY784&lt;&gt;0,),0)),IF(COUNTIF(BB784:BD784,"&lt;&gt;0")=0,INDEX($AO$4:$AY$4,MATCH(1,$AO784:$AY784,0)),"Multiple strategies"))</f>
        <v>Silviculture for removals</v>
      </c>
      <c r="BI784" s="272" t="s">
        <v>229</v>
      </c>
      <c r="BJ784" s="253" t="s">
        <v>230</v>
      </c>
      <c r="BK784" s="273" t="s">
        <v>2754</v>
      </c>
      <c r="BL784" s="270" t="s">
        <v>231</v>
      </c>
      <c r="BM784" s="253">
        <v>43.296172429999999</v>
      </c>
      <c r="BN784" s="253">
        <v>56.739926740000001</v>
      </c>
      <c r="BO784" s="270">
        <v>0.76306359414943437</v>
      </c>
      <c r="BP784" s="253">
        <v>13.443754310000003</v>
      </c>
      <c r="BQ784" s="270">
        <v>27.436233285714291</v>
      </c>
      <c r="BR784" s="270" t="s">
        <v>232</v>
      </c>
      <c r="BS784" s="273" t="s">
        <v>2754</v>
      </c>
      <c r="BT784" s="270" t="s">
        <v>233</v>
      </c>
      <c r="BU784" s="253">
        <v>-9.8277857409999996</v>
      </c>
      <c r="BV784" s="253">
        <v>-9.5324096189999992</v>
      </c>
      <c r="BW784" s="255">
        <v>0.9699447943021654</v>
      </c>
      <c r="BX784" s="253">
        <v>0.29537612200000041</v>
      </c>
      <c r="BY784" s="253"/>
      <c r="BZ784" s="253">
        <v>2.9537612200000041E-4</v>
      </c>
      <c r="CA784" s="253">
        <v>1.0765913779928351E-5</v>
      </c>
      <c r="CB784" s="253">
        <v>0</v>
      </c>
      <c r="CC784" s="253">
        <v>0</v>
      </c>
      <c r="CD784" s="253">
        <v>0</v>
      </c>
      <c r="CE784" s="253">
        <v>0</v>
      </c>
      <c r="CF784" s="253">
        <v>0</v>
      </c>
      <c r="CG784" s="253">
        <v>0</v>
      </c>
      <c r="CH784" s="253">
        <v>0</v>
      </c>
      <c r="CI784" s="253">
        <v>0</v>
      </c>
      <c r="CJ784" s="253">
        <v>0</v>
      </c>
      <c r="CK784" s="253">
        <v>0</v>
      </c>
      <c r="CL784" s="253">
        <v>0</v>
      </c>
      <c r="CM784" s="253">
        <v>0</v>
      </c>
      <c r="CN784" s="253">
        <v>0</v>
      </c>
      <c r="CO784" s="253">
        <v>0</v>
      </c>
      <c r="CP784" s="253" t="s">
        <v>2755</v>
      </c>
      <c r="CQ784" s="253">
        <v>43.296172429999999</v>
      </c>
      <c r="CR784" s="253">
        <v>56.739926740000001</v>
      </c>
      <c r="CS784" s="253">
        <v>27.436233285714291</v>
      </c>
      <c r="CT784">
        <f>IF(BI784="Roundwood",$CS784/2,$CS784)</f>
        <v>27.436233285714291</v>
      </c>
      <c r="CU784" s="253">
        <v>-9.8277857409999996</v>
      </c>
      <c r="CV784" s="253">
        <v>-9.5324096189999992</v>
      </c>
      <c r="CW784" s="253">
        <v>2.9537612200000041E-4</v>
      </c>
      <c r="CX784">
        <f>IFERROR($CW784/$CS784,"")</f>
        <v>1.0765913779928351E-5</v>
      </c>
      <c r="CY784">
        <f>IFERROR($CW784/$CS784,"")</f>
        <v>1.0765913779928351E-5</v>
      </c>
      <c r="CZ784">
        <f>IFERROR($CW784/$CT784,"")</f>
        <v>1.0765913779928351E-5</v>
      </c>
      <c r="DA784" s="254">
        <v>3.0055205697834559E-2</v>
      </c>
      <c r="DB784" s="252" t="s">
        <v>234</v>
      </c>
      <c r="DC784" s="253" t="s">
        <v>2756</v>
      </c>
      <c r="DD784" s="253" t="s">
        <v>235</v>
      </c>
      <c r="DE784" s="253"/>
      <c r="DF784" s="270"/>
      <c r="DG784" s="270">
        <v>80</v>
      </c>
      <c r="DH784" s="253" t="s">
        <v>2757</v>
      </c>
      <c r="DI784" s="253">
        <v>0</v>
      </c>
      <c r="DJ784" s="253">
        <v>1</v>
      </c>
      <c r="DK784" s="253">
        <v>0</v>
      </c>
      <c r="DL784" s="253">
        <v>0</v>
      </c>
      <c r="DM784" s="253"/>
      <c r="DN784" s="253">
        <v>1</v>
      </c>
      <c r="DO784" s="253" t="s">
        <v>173</v>
      </c>
      <c r="DP784" s="253">
        <v>0</v>
      </c>
      <c r="DQ784" s="253" t="s">
        <v>180</v>
      </c>
      <c r="DR784" s="253">
        <v>0</v>
      </c>
      <c r="DS784" s="253">
        <v>0</v>
      </c>
      <c r="DT784" s="253">
        <v>0</v>
      </c>
      <c r="DU784" s="270">
        <v>0</v>
      </c>
      <c r="DV784" s="270">
        <v>0</v>
      </c>
      <c r="DW784" s="270">
        <v>0</v>
      </c>
      <c r="DX784" s="270">
        <v>0</v>
      </c>
      <c r="DY784" s="253">
        <v>0</v>
      </c>
      <c r="DZ784" s="270" t="s">
        <v>926</v>
      </c>
      <c r="EA784" s="270">
        <v>1</v>
      </c>
      <c r="EB784" s="270">
        <v>1</v>
      </c>
      <c r="EC784" s="270">
        <v>1</v>
      </c>
      <c r="ED784" s="270">
        <v>0</v>
      </c>
      <c r="EE784" s="253">
        <v>0</v>
      </c>
      <c r="EF784" s="270">
        <v>0</v>
      </c>
      <c r="EG784" s="270">
        <v>1</v>
      </c>
      <c r="EH784" s="270">
        <v>1</v>
      </c>
      <c r="EI784" s="270">
        <v>0</v>
      </c>
      <c r="EJ784" s="270">
        <v>0</v>
      </c>
      <c r="EK784" s="253">
        <v>1</v>
      </c>
      <c r="EL784" s="270">
        <v>0</v>
      </c>
      <c r="EM784" s="253">
        <v>0</v>
      </c>
      <c r="EN784" s="254">
        <v>0</v>
      </c>
      <c r="EO784" s="252"/>
      <c r="EP784" t="str">
        <f>IF(AND(AND(AND(OR($EC784=1,$EB784=1),OR($EH784=1,$EF784=1)),SUM($EA784:$EE784,$EK784)&gt;=3),SUM($EF784:$EJ784)&gt;=2),"Whole sector approach","")</f>
        <v>Whole sector approach</v>
      </c>
      <c r="EQ784" t="str">
        <f>IF(AND(AND(OR($EC784=1,$EB784=1),AND($EH784=0,$EF784=0)),SUM($EA784:$EE784,$EK784)&gt;=4),"Ecosystem approach","")</f>
        <v/>
      </c>
      <c r="ER784" s="254" t="s">
        <v>531</v>
      </c>
      <c r="ES784" t="str">
        <f>IF(AND($EC784+$EB784+$EE784+$EA784+$ED784+$EG784=0,$N784="included"),"C neutral forest and HWP assumption","")</f>
        <v/>
      </c>
      <c r="ET784" t="str">
        <f>IF(AND(AND(AND(AND($EC784=1,$EB784+$EA784+$EG784&gt;=1),$EF784=1),$EH784+$EI784+$ED784+$EE784&gt;=2),$N784="included"),"All C pools assumption","")</f>
        <v/>
      </c>
      <c r="EU784" t="str">
        <f>IF(AND($ED784+$EE784+$EI784+$EH784+$EF784=0,$N784="included"),"In-situ only assumption","")</f>
        <v/>
      </c>
      <c r="EV784" s="253"/>
      <c r="EW784" s="253" t="s">
        <v>236</v>
      </c>
      <c r="EX784" s="253"/>
      <c r="EY784" t="str">
        <f>IF(ISNUMBER(BW784),IF(ABS(BW784-[3]QC_indicators!$B$2)&gt;3*[3]QC_indicators!$C$2,"C ratio",IF(ISNUMBER(CA784),IF(ABS(CA784-[3]QC_indicators!$B$1)&gt;3*[3]QC_indicators!$C$1,"DF","no"))),IF(ISNUMBER(CA784),IF(ABS(CA784-[3]QC_indicators!$B$1)&gt;3*[3]QC_indicators!$C$1,"DF","no")))</f>
        <v>no</v>
      </c>
      <c r="EZ784" s="274"/>
      <c r="FA784" t="str">
        <f>IF(LEN($CY784)=0,"",IF(AND($CY784&lt;(-0.05),$ES784="C neutral forest and HWP assumption"),"Cneutral paradox",IF(AND($CY784&gt;0.05,$EU784="In-situ only assumption"),"In-situ only paradox","")))</f>
        <v/>
      </c>
      <c r="FB784" s="274"/>
      <c r="FC784" s="274"/>
    </row>
    <row r="785" spans="1:160" ht="15" hidden="1" customHeight="1">
      <c r="A785" s="252" t="s">
        <v>214</v>
      </c>
      <c r="B785" s="253" t="s">
        <v>215</v>
      </c>
      <c r="C785" s="253" t="s">
        <v>216</v>
      </c>
      <c r="D785" s="253" t="s">
        <v>217</v>
      </c>
      <c r="E785" s="253" t="s">
        <v>218</v>
      </c>
      <c r="F785" s="253" t="s">
        <v>219</v>
      </c>
      <c r="G785" s="253" t="s">
        <v>220</v>
      </c>
      <c r="H785" s="253"/>
      <c r="I785" s="253">
        <v>2012</v>
      </c>
      <c r="J785" s="253"/>
      <c r="K785" s="253" t="s">
        <v>221</v>
      </c>
      <c r="L785" s="253"/>
      <c r="M785" s="253" t="s">
        <v>2753</v>
      </c>
      <c r="N785" s="253" t="s">
        <v>222</v>
      </c>
      <c r="O785" s="269" t="s">
        <v>223</v>
      </c>
      <c r="P785" s="253"/>
      <c r="Q785" s="253" t="s">
        <v>224</v>
      </c>
      <c r="R785" s="254" t="s">
        <v>225</v>
      </c>
      <c r="S785" s="252" t="s">
        <v>226</v>
      </c>
      <c r="T785" s="253" t="s">
        <v>228</v>
      </c>
      <c r="U785" s="253" t="s">
        <v>239</v>
      </c>
      <c r="V785" s="253">
        <v>0</v>
      </c>
      <c r="W785" s="253">
        <v>0</v>
      </c>
      <c r="X785" s="253">
        <v>0</v>
      </c>
      <c r="Y785" s="253">
        <v>0</v>
      </c>
      <c r="Z785" s="253">
        <v>0</v>
      </c>
      <c r="AA785" s="253">
        <v>1</v>
      </c>
      <c r="AB785" s="253">
        <v>0</v>
      </c>
      <c r="AC785" s="253">
        <v>0</v>
      </c>
      <c r="AD785" s="253">
        <v>0</v>
      </c>
      <c r="AE785" s="253">
        <v>0</v>
      </c>
      <c r="AF785" s="253">
        <v>0</v>
      </c>
      <c r="AG785" s="253">
        <v>0</v>
      </c>
      <c r="AH785" s="253">
        <v>0</v>
      </c>
      <c r="AI785" s="253">
        <v>0</v>
      </c>
      <c r="AJ785" s="253">
        <v>0</v>
      </c>
      <c r="AK785" s="253">
        <v>0</v>
      </c>
      <c r="AL785" s="253">
        <v>0</v>
      </c>
      <c r="AM785" s="253">
        <v>0</v>
      </c>
      <c r="AN785" s="253">
        <v>0</v>
      </c>
      <c r="AO785" s="253">
        <v>0</v>
      </c>
      <c r="AP785" s="253">
        <v>0</v>
      </c>
      <c r="AQ785" s="253">
        <v>0</v>
      </c>
      <c r="AR785" s="253">
        <v>0</v>
      </c>
      <c r="AS785" s="253">
        <v>0</v>
      </c>
      <c r="AT785" s="253">
        <v>0</v>
      </c>
      <c r="AU785" s="253">
        <v>0</v>
      </c>
      <c r="AV785" s="253">
        <v>0</v>
      </c>
      <c r="AW785" s="253">
        <v>0</v>
      </c>
      <c r="AX785" s="253">
        <v>0</v>
      </c>
      <c r="AY785" s="253">
        <v>0</v>
      </c>
      <c r="AZ785" s="271">
        <v>1</v>
      </c>
      <c r="BA785" s="271">
        <v>1</v>
      </c>
      <c r="BB785" s="253">
        <v>1</v>
      </c>
      <c r="BC785" s="253">
        <v>0</v>
      </c>
      <c r="BD785" s="253">
        <v>0</v>
      </c>
      <c r="BE785" s="253">
        <v>0</v>
      </c>
      <c r="BF785" s="253">
        <v>0</v>
      </c>
      <c r="BG785" s="253" t="s">
        <v>91</v>
      </c>
      <c r="BH785" s="2" t="str" cm="1">
        <f t="array" ref="BH785">IF(COUNTIF(BB785:BD785,"&lt;&gt;0")=1,INDEX($X$4:$AY$4,MATCH(TRUE,INDEX($X785:$AY785&lt;&gt;0,),0)),IF(COUNTIF(BB785:BD785,"&lt;&gt;0")=0,INDEX($AO$4:$AY$4,MATCH(1,$AO785:$AY785,0)),"Multiple strategies"))</f>
        <v>Silviculture for removals</v>
      </c>
      <c r="BI785" s="272" t="s">
        <v>229</v>
      </c>
      <c r="BJ785" s="253" t="s">
        <v>230</v>
      </c>
      <c r="BK785" s="273" t="s">
        <v>2754</v>
      </c>
      <c r="BL785" s="270" t="s">
        <v>231</v>
      </c>
      <c r="BM785" s="253">
        <v>81.736456810000007</v>
      </c>
      <c r="BN785" s="253">
        <v>100.5900439</v>
      </c>
      <c r="BO785" s="270">
        <v>0.81257004809797095</v>
      </c>
      <c r="BP785" s="253">
        <v>18.853587089999991</v>
      </c>
      <c r="BQ785" s="270">
        <v>38.476708346938757</v>
      </c>
      <c r="BR785" s="270" t="s">
        <v>232</v>
      </c>
      <c r="BS785" s="345" t="s">
        <v>2308</v>
      </c>
      <c r="BT785" s="270" t="s">
        <v>233</v>
      </c>
      <c r="BU785" s="253">
        <v>-12.163201559999999</v>
      </c>
      <c r="BV785" s="253">
        <v>-11.804099559999999</v>
      </c>
      <c r="BW785" s="255">
        <v>0.9704763586931795</v>
      </c>
      <c r="BX785" s="253">
        <v>0.35910200000000003</v>
      </c>
      <c r="BY785" s="253"/>
      <c r="BZ785" s="253">
        <v>3.5910200000000003E-4</v>
      </c>
      <c r="CA785" s="253">
        <v>9.3329709174192014E-6</v>
      </c>
      <c r="CB785" s="253">
        <v>0</v>
      </c>
      <c r="CC785" s="253">
        <v>0</v>
      </c>
      <c r="CD785" s="253">
        <v>0</v>
      </c>
      <c r="CE785" s="253">
        <v>0</v>
      </c>
      <c r="CF785" s="253">
        <v>0</v>
      </c>
      <c r="CG785" s="253">
        <v>0</v>
      </c>
      <c r="CH785" s="253">
        <v>0</v>
      </c>
      <c r="CI785" s="253">
        <v>0</v>
      </c>
      <c r="CJ785" s="253">
        <v>0</v>
      </c>
      <c r="CK785" s="253">
        <v>0</v>
      </c>
      <c r="CL785" s="253">
        <v>0</v>
      </c>
      <c r="CM785" s="253">
        <v>0</v>
      </c>
      <c r="CN785" s="253">
        <v>0</v>
      </c>
      <c r="CO785" s="253">
        <v>0</v>
      </c>
      <c r="CP785" s="253" t="s">
        <v>2755</v>
      </c>
      <c r="CQ785" s="253">
        <v>81.736456810000007</v>
      </c>
      <c r="CR785" s="253">
        <v>100.5900439</v>
      </c>
      <c r="CS785" s="253">
        <v>38.476708346938757</v>
      </c>
      <c r="CT785">
        <f>IF(BI785="Roundwood",$CS785/2,$CS785)</f>
        <v>38.476708346938757</v>
      </c>
      <c r="CU785" s="253">
        <v>-12.163201559999999</v>
      </c>
      <c r="CV785" s="253">
        <v>-11.804099559999999</v>
      </c>
      <c r="CW785" s="253">
        <v>3.5910200000000003E-4</v>
      </c>
      <c r="CX785">
        <f>IFERROR($CW785/$CS785,"")</f>
        <v>9.3329709174192014E-6</v>
      </c>
      <c r="CY785">
        <f>IFERROR($CW785/$CS785,"")</f>
        <v>9.3329709174192014E-6</v>
      </c>
      <c r="CZ785">
        <f>IFERROR($CW785/$CT785,"")</f>
        <v>9.3329709174192014E-6</v>
      </c>
      <c r="DA785" s="254">
        <v>2.9523641306820541E-2</v>
      </c>
      <c r="DB785" s="252" t="s">
        <v>234</v>
      </c>
      <c r="DC785" s="253" t="s">
        <v>2756</v>
      </c>
      <c r="DD785" s="253" t="s">
        <v>235</v>
      </c>
      <c r="DE785" s="253"/>
      <c r="DF785" s="270"/>
      <c r="DG785" s="270">
        <v>80</v>
      </c>
      <c r="DH785" s="253" t="s">
        <v>2757</v>
      </c>
      <c r="DI785" s="253">
        <v>0</v>
      </c>
      <c r="DJ785" s="253">
        <v>1</v>
      </c>
      <c r="DK785" s="253">
        <v>0</v>
      </c>
      <c r="DL785" s="253">
        <v>0</v>
      </c>
      <c r="DM785" s="253"/>
      <c r="DN785" s="253">
        <v>1</v>
      </c>
      <c r="DO785" s="253" t="s">
        <v>173</v>
      </c>
      <c r="DP785" s="253">
        <v>0</v>
      </c>
      <c r="DQ785" s="253" t="s">
        <v>180</v>
      </c>
      <c r="DR785" s="253">
        <v>0</v>
      </c>
      <c r="DS785" s="253">
        <v>0</v>
      </c>
      <c r="DT785" s="253">
        <v>0</v>
      </c>
      <c r="DU785" s="270">
        <v>0</v>
      </c>
      <c r="DV785" s="270">
        <v>0</v>
      </c>
      <c r="DW785" s="270">
        <v>0</v>
      </c>
      <c r="DX785" s="270">
        <v>0</v>
      </c>
      <c r="DY785" s="253">
        <v>0</v>
      </c>
      <c r="DZ785" s="270" t="s">
        <v>926</v>
      </c>
      <c r="EA785" s="270">
        <v>1</v>
      </c>
      <c r="EB785" s="270">
        <v>1</v>
      </c>
      <c r="EC785" s="270">
        <v>1</v>
      </c>
      <c r="ED785" s="270">
        <v>0</v>
      </c>
      <c r="EE785" s="253">
        <v>0</v>
      </c>
      <c r="EF785" s="270">
        <v>0</v>
      </c>
      <c r="EG785" s="270">
        <v>1</v>
      </c>
      <c r="EH785" s="270">
        <v>1</v>
      </c>
      <c r="EI785" s="270">
        <v>0</v>
      </c>
      <c r="EJ785" s="270">
        <v>0</v>
      </c>
      <c r="EK785" s="253">
        <v>1</v>
      </c>
      <c r="EL785" s="270">
        <v>0</v>
      </c>
      <c r="EM785" s="253">
        <v>0</v>
      </c>
      <c r="EN785" s="254">
        <v>0</v>
      </c>
      <c r="EO785" s="252"/>
      <c r="EP785" t="str">
        <f>IF(AND(AND(AND(OR($EC785=1,$EB785=1),OR($EH785=1,$EF785=1)),SUM($EA785:$EE785,$EK785)&gt;=3),SUM($EF785:$EJ785)&gt;=2),"Whole sector approach","")</f>
        <v>Whole sector approach</v>
      </c>
      <c r="EQ785" t="str">
        <f>IF(AND(AND(OR($EC785=1,$EB785=1),AND($EH785=0,$EF785=0)),SUM($EA785:$EE785,$EK785)&gt;=4),"Ecosystem approach","")</f>
        <v/>
      </c>
      <c r="ER785" s="254" t="s">
        <v>531</v>
      </c>
      <c r="ES785" t="str">
        <f>IF(AND($EC785+$EB785+$EE785+$EA785+$ED785+$EG785=0,$N785="included"),"C neutral forest and HWP assumption","")</f>
        <v/>
      </c>
      <c r="ET785" t="str">
        <f>IF(AND(AND(AND(AND($EC785=1,$EB785+$EA785+$EG785&gt;=1),$EF785=1),$EH785+$EI785+$ED785+$EE785&gt;=2),$N785="included"),"All C pools assumption","")</f>
        <v/>
      </c>
      <c r="EU785" t="str">
        <f>IF(AND($ED785+$EE785+$EI785+$EH785+$EF785=0,$N785="included"),"In-situ only assumption","")</f>
        <v/>
      </c>
      <c r="EV785" s="253"/>
      <c r="EW785" s="253" t="s">
        <v>236</v>
      </c>
      <c r="EX785" s="253"/>
      <c r="EY785" t="str">
        <f>IF(ISNUMBER(BW785),IF(ABS(BW785-[3]QC_indicators!$B$2)&gt;3*[3]QC_indicators!$C$2,"C ratio",IF(ISNUMBER(CA785),IF(ABS(CA785-[3]QC_indicators!$B$1)&gt;3*[3]QC_indicators!$C$1,"DF","no"))),IF(ISNUMBER(CA785),IF(ABS(CA785-[3]QC_indicators!$B$1)&gt;3*[3]QC_indicators!$C$1,"DF","no")))</f>
        <v>no</v>
      </c>
      <c r="EZ785" s="274"/>
      <c r="FA785" t="str">
        <f>IF(LEN($CY785)=0,"",IF(AND($CY785&lt;(-0.05),$ES785="C neutral forest and HWP assumption"),"Cneutral paradox",IF(AND($CY785&gt;0.05,$EU785="In-situ only assumption"),"In-situ only paradox","")))</f>
        <v/>
      </c>
      <c r="FB785" s="274"/>
      <c r="FC785" s="274"/>
    </row>
    <row r="786" spans="1:160" ht="15" hidden="1" customHeight="1">
      <c r="A786" s="252" t="s">
        <v>214</v>
      </c>
      <c r="B786" s="253" t="s">
        <v>215</v>
      </c>
      <c r="C786" s="253" t="s">
        <v>216</v>
      </c>
      <c r="D786" s="253" t="s">
        <v>217</v>
      </c>
      <c r="E786" s="253" t="s">
        <v>218</v>
      </c>
      <c r="F786" s="253" t="s">
        <v>219</v>
      </c>
      <c r="G786" s="253" t="s">
        <v>220</v>
      </c>
      <c r="H786" s="253"/>
      <c r="I786" s="253">
        <v>2012</v>
      </c>
      <c r="J786" s="253"/>
      <c r="K786" s="253" t="s">
        <v>221</v>
      </c>
      <c r="L786" s="253"/>
      <c r="M786" s="253" t="s">
        <v>2753</v>
      </c>
      <c r="N786" s="253" t="s">
        <v>222</v>
      </c>
      <c r="O786" s="269" t="s">
        <v>223</v>
      </c>
      <c r="P786" s="253"/>
      <c r="Q786" s="253" t="s">
        <v>224</v>
      </c>
      <c r="R786" s="254" t="s">
        <v>225</v>
      </c>
      <c r="S786" s="252" t="s">
        <v>226</v>
      </c>
      <c r="T786" s="253" t="s">
        <v>228</v>
      </c>
      <c r="U786" s="253" t="s">
        <v>239</v>
      </c>
      <c r="V786" s="253">
        <v>0</v>
      </c>
      <c r="W786" s="253">
        <v>0</v>
      </c>
      <c r="X786" s="253">
        <v>0</v>
      </c>
      <c r="Y786" s="253">
        <v>0</v>
      </c>
      <c r="Z786" s="253">
        <v>0</v>
      </c>
      <c r="AA786" s="253">
        <v>1</v>
      </c>
      <c r="AB786" s="253">
        <v>0</v>
      </c>
      <c r="AC786" s="253">
        <v>0</v>
      </c>
      <c r="AD786" s="253">
        <v>0</v>
      </c>
      <c r="AE786" s="253">
        <v>0</v>
      </c>
      <c r="AF786" s="253">
        <v>0</v>
      </c>
      <c r="AG786" s="253">
        <v>0</v>
      </c>
      <c r="AH786" s="253">
        <v>0</v>
      </c>
      <c r="AI786" s="253">
        <v>0</v>
      </c>
      <c r="AJ786" s="253">
        <v>0</v>
      </c>
      <c r="AK786" s="253">
        <v>0</v>
      </c>
      <c r="AL786" s="253">
        <v>0</v>
      </c>
      <c r="AM786" s="253">
        <v>0</v>
      </c>
      <c r="AN786" s="253">
        <v>0</v>
      </c>
      <c r="AO786" s="253">
        <v>0</v>
      </c>
      <c r="AP786" s="253">
        <v>0</v>
      </c>
      <c r="AQ786" s="253">
        <v>0</v>
      </c>
      <c r="AR786" s="253">
        <v>0</v>
      </c>
      <c r="AS786" s="253">
        <v>0</v>
      </c>
      <c r="AT786" s="253">
        <v>0</v>
      </c>
      <c r="AU786" s="253">
        <v>0</v>
      </c>
      <c r="AV786" s="253">
        <v>0</v>
      </c>
      <c r="AW786" s="253">
        <v>0</v>
      </c>
      <c r="AX786" s="253">
        <v>0</v>
      </c>
      <c r="AY786" s="253">
        <v>0</v>
      </c>
      <c r="AZ786" s="271">
        <v>1</v>
      </c>
      <c r="BA786" s="271">
        <v>1</v>
      </c>
      <c r="BB786" s="253">
        <v>1</v>
      </c>
      <c r="BC786" s="253">
        <v>0</v>
      </c>
      <c r="BD786" s="253">
        <v>0</v>
      </c>
      <c r="BE786" s="253">
        <v>0</v>
      </c>
      <c r="BF786" s="253">
        <v>0</v>
      </c>
      <c r="BG786" s="253" t="s">
        <v>91</v>
      </c>
      <c r="BH786" s="2" t="str" cm="1">
        <f t="array" ref="BH786">IF(COUNTIF(BB786:BD786,"&lt;&gt;0")=1,INDEX($X$4:$AY$4,MATCH(TRUE,INDEX($X786:$AY786&lt;&gt;0,),0)),IF(COUNTIF(BB786:BD786,"&lt;&gt;0")=0,INDEX($AO$4:$AY$4,MATCH(1,$AO786:$AY786,0)),"Multiple strategies"))</f>
        <v>Silviculture for removals</v>
      </c>
      <c r="BI786" s="272" t="s">
        <v>229</v>
      </c>
      <c r="BJ786" s="253" t="s">
        <v>230</v>
      </c>
      <c r="BK786" s="273" t="s">
        <v>2754</v>
      </c>
      <c r="BL786" s="270" t="s">
        <v>231</v>
      </c>
      <c r="BM786" s="253">
        <v>49.052379729999998</v>
      </c>
      <c r="BN786" s="253">
        <v>66.639750489999997</v>
      </c>
      <c r="BO786" s="270">
        <v>0.73608288400420752</v>
      </c>
      <c r="BP786" s="253">
        <v>17.587370759999999</v>
      </c>
      <c r="BQ786" s="270">
        <v>35.892593387755099</v>
      </c>
      <c r="BR786" s="270" t="s">
        <v>232</v>
      </c>
      <c r="BS786" s="273" t="s">
        <v>2754</v>
      </c>
      <c r="BT786" s="270" t="s">
        <v>233</v>
      </c>
      <c r="BU786" s="253">
        <v>-9.7349397589999995</v>
      </c>
      <c r="BV786" s="253">
        <v>-9.4136546180000007</v>
      </c>
      <c r="BW786" s="255">
        <v>0.96699669962487755</v>
      </c>
      <c r="BX786" s="253">
        <v>0.32128514099999883</v>
      </c>
      <c r="BY786" s="253"/>
      <c r="BZ786" s="253">
        <v>3.2128514099999882E-4</v>
      </c>
      <c r="CA786" s="253">
        <v>8.9512935866486184E-6</v>
      </c>
      <c r="CB786" s="253">
        <v>0</v>
      </c>
      <c r="CC786" s="253">
        <v>0</v>
      </c>
      <c r="CD786" s="253">
        <v>0</v>
      </c>
      <c r="CE786" s="253">
        <v>0</v>
      </c>
      <c r="CF786" s="253">
        <v>0</v>
      </c>
      <c r="CG786" s="253">
        <v>0</v>
      </c>
      <c r="CH786" s="253">
        <v>0</v>
      </c>
      <c r="CI786" s="253">
        <v>0</v>
      </c>
      <c r="CJ786" s="253">
        <v>0</v>
      </c>
      <c r="CK786" s="253">
        <v>0</v>
      </c>
      <c r="CL786" s="253">
        <v>0</v>
      </c>
      <c r="CM786" s="253">
        <v>0</v>
      </c>
      <c r="CN786" s="253">
        <v>0</v>
      </c>
      <c r="CO786" s="253">
        <v>0</v>
      </c>
      <c r="CP786" s="253" t="s">
        <v>2755</v>
      </c>
      <c r="CQ786" s="253">
        <v>49.052379729999998</v>
      </c>
      <c r="CR786" s="253">
        <v>66.639750489999997</v>
      </c>
      <c r="CS786" s="253">
        <v>35.892593387755099</v>
      </c>
      <c r="CT786">
        <f>IF(BI786="Roundwood",$CS786/2,$CS786)</f>
        <v>35.892593387755099</v>
      </c>
      <c r="CU786" s="253">
        <v>-9.7349397589999995</v>
      </c>
      <c r="CV786" s="253">
        <v>-9.4136546180000007</v>
      </c>
      <c r="CW786" s="253">
        <v>3.2128514099999882E-4</v>
      </c>
      <c r="CX786">
        <f>IFERROR($CW786/$CS786,"")</f>
        <v>8.9512935866486184E-6</v>
      </c>
      <c r="CY786">
        <f>IFERROR($CW786/$CS786,"")</f>
        <v>8.9512935866486184E-6</v>
      </c>
      <c r="CZ786">
        <f>IFERROR($CW786/$CT786,"")</f>
        <v>8.9512935866486184E-6</v>
      </c>
      <c r="DA786" s="254">
        <v>3.3003300375122419E-2</v>
      </c>
      <c r="DB786" s="252" t="s">
        <v>234</v>
      </c>
      <c r="DC786" s="253" t="s">
        <v>2756</v>
      </c>
      <c r="DD786" s="253" t="s">
        <v>235</v>
      </c>
      <c r="DE786" s="253"/>
      <c r="DF786" s="270"/>
      <c r="DG786" s="270">
        <v>80</v>
      </c>
      <c r="DH786" s="253" t="s">
        <v>2757</v>
      </c>
      <c r="DI786" s="253">
        <v>0</v>
      </c>
      <c r="DJ786" s="253">
        <v>1</v>
      </c>
      <c r="DK786" s="253">
        <v>0</v>
      </c>
      <c r="DL786" s="253">
        <v>0</v>
      </c>
      <c r="DM786" s="253"/>
      <c r="DN786" s="253">
        <v>1</v>
      </c>
      <c r="DO786" s="253" t="s">
        <v>173</v>
      </c>
      <c r="DP786" s="253">
        <v>0</v>
      </c>
      <c r="DQ786" s="253" t="s">
        <v>180</v>
      </c>
      <c r="DR786" s="253">
        <v>0</v>
      </c>
      <c r="DS786" s="253">
        <v>0</v>
      </c>
      <c r="DT786" s="253">
        <v>0</v>
      </c>
      <c r="DU786" s="270">
        <v>0</v>
      </c>
      <c r="DV786" s="270">
        <v>0</v>
      </c>
      <c r="DW786" s="270">
        <v>0</v>
      </c>
      <c r="DX786" s="270">
        <v>0</v>
      </c>
      <c r="DY786" s="253">
        <v>0</v>
      </c>
      <c r="DZ786" s="270" t="s">
        <v>926</v>
      </c>
      <c r="EA786" s="270">
        <v>1</v>
      </c>
      <c r="EB786" s="270">
        <v>1</v>
      </c>
      <c r="EC786" s="270">
        <v>1</v>
      </c>
      <c r="ED786" s="270">
        <v>0</v>
      </c>
      <c r="EE786" s="253">
        <v>0</v>
      </c>
      <c r="EF786" s="270">
        <v>0</v>
      </c>
      <c r="EG786" s="270">
        <v>1</v>
      </c>
      <c r="EH786" s="270">
        <v>1</v>
      </c>
      <c r="EI786" s="270">
        <v>0</v>
      </c>
      <c r="EJ786" s="270">
        <v>0</v>
      </c>
      <c r="EK786" s="253">
        <v>1</v>
      </c>
      <c r="EL786" s="270">
        <v>0</v>
      </c>
      <c r="EM786" s="253">
        <v>0</v>
      </c>
      <c r="EN786" s="254">
        <v>0</v>
      </c>
      <c r="EO786" s="252"/>
      <c r="EP786" t="str">
        <f>IF(AND(AND(AND(OR($EC786=1,$EB786=1),OR($EH786=1,$EF786=1)),SUM($EA786:$EE786,$EK786)&gt;=3),SUM($EF786:$EJ786)&gt;=2),"Whole sector approach","")</f>
        <v>Whole sector approach</v>
      </c>
      <c r="EQ786" t="str">
        <f>IF(AND(AND(OR($EC786=1,$EB786=1),AND($EH786=0,$EF786=0)),SUM($EA786:$EE786,$EK786)&gt;=4),"Ecosystem approach","")</f>
        <v/>
      </c>
      <c r="ER786" s="254" t="s">
        <v>531</v>
      </c>
      <c r="ES786" t="str">
        <f>IF(AND($EC786+$EB786+$EE786+$EA786+$ED786+$EG786=0,$N786="included"),"C neutral forest and HWP assumption","")</f>
        <v/>
      </c>
      <c r="ET786" t="str">
        <f>IF(AND(AND(AND(AND($EC786=1,$EB786+$EA786+$EG786&gt;=1),$EF786=1),$EH786+$EI786+$ED786+$EE786&gt;=2),$N786="included"),"All C pools assumption","")</f>
        <v/>
      </c>
      <c r="EU786" t="str">
        <f>IF(AND($ED786+$EE786+$EI786+$EH786+$EF786=0,$N786="included"),"In-situ only assumption","")</f>
        <v/>
      </c>
      <c r="EV786" s="253"/>
      <c r="EW786" s="253" t="s">
        <v>236</v>
      </c>
      <c r="EX786" s="253"/>
      <c r="EY786" t="str">
        <f>IF(ISNUMBER(BW786),IF(ABS(BW786-[3]QC_indicators!$B$2)&gt;3*[3]QC_indicators!$C$2,"C ratio",IF(ISNUMBER(CA786),IF(ABS(CA786-[3]QC_indicators!$B$1)&gt;3*[3]QC_indicators!$C$1,"DF","no"))),IF(ISNUMBER(CA786),IF(ABS(CA786-[3]QC_indicators!$B$1)&gt;3*[3]QC_indicators!$C$1,"DF","no")))</f>
        <v>no</v>
      </c>
      <c r="EZ786" s="274"/>
      <c r="FA786" t="str">
        <f>IF(LEN($CY786)=0,"",IF(AND($CY786&lt;(-0.05),$ES786="C neutral forest and HWP assumption"),"Cneutral paradox",IF(AND($CY786&gt;0.05,$EU786="In-situ only assumption"),"In-situ only paradox","")))</f>
        <v/>
      </c>
      <c r="FB786" s="274"/>
      <c r="FC786" s="274"/>
    </row>
    <row r="787" spans="1:160" ht="15" hidden="1" customHeight="1">
      <c r="A787" s="252" t="s">
        <v>214</v>
      </c>
      <c r="B787" s="253" t="s">
        <v>215</v>
      </c>
      <c r="C787" s="253" t="s">
        <v>216</v>
      </c>
      <c r="D787" s="253" t="s">
        <v>217</v>
      </c>
      <c r="E787" s="253" t="s">
        <v>218</v>
      </c>
      <c r="F787" s="253" t="s">
        <v>219</v>
      </c>
      <c r="G787" s="253" t="s">
        <v>220</v>
      </c>
      <c r="H787" s="253"/>
      <c r="I787" s="253">
        <v>2012</v>
      </c>
      <c r="J787" s="253"/>
      <c r="K787" s="253" t="s">
        <v>221</v>
      </c>
      <c r="L787" s="253"/>
      <c r="M787" s="253" t="s">
        <v>2753</v>
      </c>
      <c r="N787" s="253" t="s">
        <v>222</v>
      </c>
      <c r="O787" s="269" t="s">
        <v>223</v>
      </c>
      <c r="P787" s="253"/>
      <c r="Q787" s="253" t="s">
        <v>224</v>
      </c>
      <c r="R787" s="254" t="s">
        <v>225</v>
      </c>
      <c r="S787" s="252" t="s">
        <v>226</v>
      </c>
      <c r="T787" s="253" t="s">
        <v>228</v>
      </c>
      <c r="U787" s="253" t="s">
        <v>239</v>
      </c>
      <c r="V787" s="253">
        <v>0</v>
      </c>
      <c r="W787" s="253">
        <v>0</v>
      </c>
      <c r="X787" s="253">
        <v>0</v>
      </c>
      <c r="Y787" s="253">
        <v>0</v>
      </c>
      <c r="Z787" s="253">
        <v>0</v>
      </c>
      <c r="AA787" s="253">
        <v>1</v>
      </c>
      <c r="AB787" s="253">
        <v>0</v>
      </c>
      <c r="AC787" s="253">
        <v>0</v>
      </c>
      <c r="AD787" s="253">
        <v>0</v>
      </c>
      <c r="AE787" s="253">
        <v>0</v>
      </c>
      <c r="AF787" s="253">
        <v>0</v>
      </c>
      <c r="AG787" s="253">
        <v>0</v>
      </c>
      <c r="AH787" s="253">
        <v>0</v>
      </c>
      <c r="AI787" s="253">
        <v>0</v>
      </c>
      <c r="AJ787" s="253">
        <v>0</v>
      </c>
      <c r="AK787" s="253">
        <v>0</v>
      </c>
      <c r="AL787" s="253">
        <v>0</v>
      </c>
      <c r="AM787" s="253">
        <v>0</v>
      </c>
      <c r="AN787" s="253">
        <v>0</v>
      </c>
      <c r="AO787" s="253">
        <v>0</v>
      </c>
      <c r="AP787" s="253">
        <v>0</v>
      </c>
      <c r="AQ787" s="253">
        <v>0</v>
      </c>
      <c r="AR787" s="253">
        <v>0</v>
      </c>
      <c r="AS787" s="253">
        <v>0</v>
      </c>
      <c r="AT787" s="253">
        <v>0</v>
      </c>
      <c r="AU787" s="253">
        <v>0</v>
      </c>
      <c r="AV787" s="253">
        <v>0</v>
      </c>
      <c r="AW787" s="253">
        <v>0</v>
      </c>
      <c r="AX787" s="253">
        <v>0</v>
      </c>
      <c r="AY787" s="253">
        <v>0</v>
      </c>
      <c r="AZ787" s="271">
        <v>1</v>
      </c>
      <c r="BA787" s="271">
        <v>1</v>
      </c>
      <c r="BB787" s="253">
        <v>1</v>
      </c>
      <c r="BC787" s="253">
        <v>0</v>
      </c>
      <c r="BD787" s="253">
        <v>0</v>
      </c>
      <c r="BE787" s="253">
        <v>0</v>
      </c>
      <c r="BF787" s="253">
        <v>0</v>
      </c>
      <c r="BG787" s="253" t="s">
        <v>91</v>
      </c>
      <c r="BH787" s="2" t="str" cm="1">
        <f t="array" ref="BH787">IF(COUNTIF(BB787:BD787,"&lt;&gt;0")=1,INDEX($X$4:$AY$4,MATCH(TRUE,INDEX($X787:$AY787&lt;&gt;0,),0)),IF(COUNTIF(BB787:BD787,"&lt;&gt;0")=0,INDEX($AO$4:$AY$4,MATCH(1,$AO787:$AY787,0)),"Multiple strategies"))</f>
        <v>Silviculture for removals</v>
      </c>
      <c r="BI787" s="272" t="s">
        <v>229</v>
      </c>
      <c r="BJ787" s="253" t="s">
        <v>230</v>
      </c>
      <c r="BK787" s="273" t="s">
        <v>2754</v>
      </c>
      <c r="BL787" s="270" t="s">
        <v>231</v>
      </c>
      <c r="BM787" s="253">
        <v>74.931604759999999</v>
      </c>
      <c r="BN787" s="253">
        <v>98.063244030000007</v>
      </c>
      <c r="BO787" s="270">
        <v>0.76411509226715502</v>
      </c>
      <c r="BP787" s="253">
        <v>23.131639270000008</v>
      </c>
      <c r="BQ787" s="270">
        <v>47.207427081632673</v>
      </c>
      <c r="BR787" s="270" t="s">
        <v>232</v>
      </c>
      <c r="BS787" s="273" t="s">
        <v>2754</v>
      </c>
      <c r="BT787" s="270" t="s">
        <v>233</v>
      </c>
      <c r="BU787" s="253">
        <v>-8.5161560640000005</v>
      </c>
      <c r="BV787" s="253">
        <v>-8.12446701</v>
      </c>
      <c r="BW787" s="255">
        <v>0.95400635556037172</v>
      </c>
      <c r="BX787" s="253">
        <v>0.39168905400000043</v>
      </c>
      <c r="BY787" s="253"/>
      <c r="BZ787" s="253">
        <v>3.916890540000004E-4</v>
      </c>
      <c r="CA787" s="253">
        <v>8.2971913153131285E-6</v>
      </c>
      <c r="CB787" s="253">
        <v>0</v>
      </c>
      <c r="CC787" s="253">
        <v>0</v>
      </c>
      <c r="CD787" s="253">
        <v>0</v>
      </c>
      <c r="CE787" s="253">
        <v>0</v>
      </c>
      <c r="CF787" s="253">
        <v>0</v>
      </c>
      <c r="CG787" s="253">
        <v>0</v>
      </c>
      <c r="CH787" s="253">
        <v>0</v>
      </c>
      <c r="CI787" s="253">
        <v>0</v>
      </c>
      <c r="CJ787" s="253">
        <v>0</v>
      </c>
      <c r="CK787" s="253">
        <v>0</v>
      </c>
      <c r="CL787" s="253">
        <v>0</v>
      </c>
      <c r="CM787" s="253">
        <v>0</v>
      </c>
      <c r="CN787" s="253">
        <v>0</v>
      </c>
      <c r="CO787" s="253">
        <v>0</v>
      </c>
      <c r="CP787" s="253" t="s">
        <v>2755</v>
      </c>
      <c r="CQ787" s="253">
        <v>74.931604759999999</v>
      </c>
      <c r="CR787" s="253">
        <v>98.063244030000007</v>
      </c>
      <c r="CS787" s="253">
        <v>47.207427081632673</v>
      </c>
      <c r="CT787">
        <f>IF(BI787="Roundwood",$CS787/2,$CS787)</f>
        <v>47.207427081632673</v>
      </c>
      <c r="CU787" s="253">
        <v>-8.5161560640000005</v>
      </c>
      <c r="CV787" s="253">
        <v>-8.12446701</v>
      </c>
      <c r="CW787" s="253">
        <v>3.916890540000004E-4</v>
      </c>
      <c r="CX787">
        <f>IFERROR($CW787/$CS787,"")</f>
        <v>8.2971913153131285E-6</v>
      </c>
      <c r="CY787">
        <f>IFERROR($CW787/$CS787,"")</f>
        <v>8.2971913153131285E-6</v>
      </c>
      <c r="CZ787">
        <f>IFERROR($CW787/$CT787,"")</f>
        <v>8.2971913153131285E-6</v>
      </c>
      <c r="DA787" s="254">
        <v>4.5993644439628299E-2</v>
      </c>
      <c r="DB787" s="252" t="s">
        <v>234</v>
      </c>
      <c r="DC787" s="253" t="s">
        <v>2756</v>
      </c>
      <c r="DD787" s="253" t="s">
        <v>235</v>
      </c>
      <c r="DE787" s="253"/>
      <c r="DF787" s="270"/>
      <c r="DG787" s="270">
        <v>80</v>
      </c>
      <c r="DH787" s="253" t="s">
        <v>2757</v>
      </c>
      <c r="DI787" s="253">
        <v>0</v>
      </c>
      <c r="DJ787" s="253">
        <v>1</v>
      </c>
      <c r="DK787" s="253">
        <v>0</v>
      </c>
      <c r="DL787" s="253">
        <v>0</v>
      </c>
      <c r="DM787" s="253"/>
      <c r="DN787" s="253">
        <v>1</v>
      </c>
      <c r="DO787" s="253" t="s">
        <v>173</v>
      </c>
      <c r="DP787" s="253">
        <v>0</v>
      </c>
      <c r="DQ787" s="253" t="s">
        <v>180</v>
      </c>
      <c r="DR787" s="253">
        <v>0</v>
      </c>
      <c r="DS787" s="253">
        <v>0</v>
      </c>
      <c r="DT787" s="253">
        <v>0</v>
      </c>
      <c r="DU787" s="270">
        <v>0</v>
      </c>
      <c r="DV787" s="270">
        <v>0</v>
      </c>
      <c r="DW787" s="270">
        <v>0</v>
      </c>
      <c r="DX787" s="270">
        <v>0</v>
      </c>
      <c r="DY787" s="253">
        <v>0</v>
      </c>
      <c r="DZ787" s="270" t="s">
        <v>926</v>
      </c>
      <c r="EA787" s="270">
        <v>1</v>
      </c>
      <c r="EB787" s="270">
        <v>1</v>
      </c>
      <c r="EC787" s="270">
        <v>1</v>
      </c>
      <c r="ED787" s="270">
        <v>0</v>
      </c>
      <c r="EE787" s="253">
        <v>0</v>
      </c>
      <c r="EF787" s="270">
        <v>0</v>
      </c>
      <c r="EG787" s="270">
        <v>1</v>
      </c>
      <c r="EH787" s="270">
        <v>1</v>
      </c>
      <c r="EI787" s="270">
        <v>0</v>
      </c>
      <c r="EJ787" s="270">
        <v>0</v>
      </c>
      <c r="EK787" s="253">
        <v>1</v>
      </c>
      <c r="EL787" s="270">
        <v>0</v>
      </c>
      <c r="EM787" s="253">
        <v>0</v>
      </c>
      <c r="EN787" s="254">
        <v>0</v>
      </c>
      <c r="EO787" s="252"/>
      <c r="EP787" t="str">
        <f>IF(AND(AND(AND(OR($EC787=1,$EB787=1),OR($EH787=1,$EF787=1)),SUM($EA787:$EE787,$EK787)&gt;=3),SUM($EF787:$EJ787)&gt;=2),"Whole sector approach","")</f>
        <v>Whole sector approach</v>
      </c>
      <c r="EQ787" t="str">
        <f>IF(AND(AND(OR($EC787=1,$EB787=1),AND($EH787=0,$EF787=0)),SUM($EA787:$EE787,$EK787)&gt;=4),"Ecosystem approach","")</f>
        <v/>
      </c>
      <c r="ER787" s="254" t="s">
        <v>531</v>
      </c>
      <c r="ES787" t="str">
        <f>IF(AND($EC787+$EB787+$EE787+$EA787+$ED787+$EG787=0,$N787="included"),"C neutral forest and HWP assumption","")</f>
        <v/>
      </c>
      <c r="ET787" t="str">
        <f>IF(AND(AND(AND(AND($EC787=1,$EB787+$EA787+$EG787&gt;=1),$EF787=1),$EH787+$EI787+$ED787+$EE787&gt;=2),$N787="included"),"All C pools assumption","")</f>
        <v/>
      </c>
      <c r="EU787" t="str">
        <f>IF(AND($ED787+$EE787+$EI787+$EH787+$EF787=0,$N787="included"),"In-situ only assumption","")</f>
        <v/>
      </c>
      <c r="EV787" s="253"/>
      <c r="EW787" s="253" t="s">
        <v>236</v>
      </c>
      <c r="EX787" s="253"/>
      <c r="EY787" t="str">
        <f>IF(ISNUMBER(BW787),IF(ABS(BW787-[3]QC_indicators!$B$2)&gt;3*[3]QC_indicators!$C$2,"C ratio",IF(ISNUMBER(CA787),IF(ABS(CA787-[3]QC_indicators!$B$1)&gt;3*[3]QC_indicators!$C$1,"DF","no"))),IF(ISNUMBER(CA787),IF(ABS(CA787-[3]QC_indicators!$B$1)&gt;3*[3]QC_indicators!$C$1,"DF","no")))</f>
        <v>no</v>
      </c>
      <c r="EZ787" s="274"/>
      <c r="FA787" t="str">
        <f>IF(LEN($CY787)=0,"",IF(AND($CY787&lt;(-0.05),$ES787="C neutral forest and HWP assumption"),"Cneutral paradox",IF(AND($CY787&gt;0.05,$EU787="In-situ only assumption"),"In-situ only paradox","")))</f>
        <v/>
      </c>
      <c r="FB787" s="274"/>
      <c r="FC787" s="274"/>
    </row>
    <row r="788" spans="1:160" ht="15" hidden="1" customHeight="1">
      <c r="A788" s="252" t="s">
        <v>214</v>
      </c>
      <c r="B788" s="253" t="s">
        <v>215</v>
      </c>
      <c r="C788" s="253" t="s">
        <v>216</v>
      </c>
      <c r="D788" s="253" t="s">
        <v>217</v>
      </c>
      <c r="E788" s="253" t="s">
        <v>218</v>
      </c>
      <c r="F788" s="253" t="s">
        <v>219</v>
      </c>
      <c r="G788" s="253" t="s">
        <v>220</v>
      </c>
      <c r="H788" s="253"/>
      <c r="I788" s="253">
        <v>2012</v>
      </c>
      <c r="J788" s="253"/>
      <c r="K788" s="253" t="s">
        <v>221</v>
      </c>
      <c r="L788" s="253"/>
      <c r="M788" s="253" t="s">
        <v>2753</v>
      </c>
      <c r="N788" s="253" t="s">
        <v>222</v>
      </c>
      <c r="O788" s="269" t="s">
        <v>223</v>
      </c>
      <c r="P788" s="253"/>
      <c r="Q788" s="253" t="s">
        <v>224</v>
      </c>
      <c r="R788" s="254" t="s">
        <v>225</v>
      </c>
      <c r="S788" s="252" t="s">
        <v>226</v>
      </c>
      <c r="T788" s="253" t="s">
        <v>228</v>
      </c>
      <c r="U788" s="253" t="s">
        <v>238</v>
      </c>
      <c r="V788" s="253">
        <v>0</v>
      </c>
      <c r="W788" s="253">
        <v>0</v>
      </c>
      <c r="X788" s="253">
        <v>0</v>
      </c>
      <c r="Y788" s="253">
        <v>0</v>
      </c>
      <c r="Z788" s="253">
        <v>0</v>
      </c>
      <c r="AA788" s="253">
        <v>1</v>
      </c>
      <c r="AB788" s="253">
        <v>0</v>
      </c>
      <c r="AC788" s="253">
        <v>0</v>
      </c>
      <c r="AD788" s="253">
        <v>0</v>
      </c>
      <c r="AE788" s="253">
        <v>0</v>
      </c>
      <c r="AF788" s="253">
        <v>0</v>
      </c>
      <c r="AG788" s="253">
        <v>0</v>
      </c>
      <c r="AH788" s="253">
        <v>0</v>
      </c>
      <c r="AI788" s="253">
        <v>0</v>
      </c>
      <c r="AJ788" s="253">
        <v>0</v>
      </c>
      <c r="AK788" s="253">
        <v>0</v>
      </c>
      <c r="AL788" s="253">
        <v>0</v>
      </c>
      <c r="AM788" s="253">
        <v>0</v>
      </c>
      <c r="AN788" s="253">
        <v>0</v>
      </c>
      <c r="AO788" s="253">
        <v>0</v>
      </c>
      <c r="AP788" s="253">
        <v>0</v>
      </c>
      <c r="AQ788" s="253">
        <v>0</v>
      </c>
      <c r="AR788" s="253">
        <v>0</v>
      </c>
      <c r="AS788" s="253">
        <v>0</v>
      </c>
      <c r="AT788" s="253">
        <v>0</v>
      </c>
      <c r="AU788" s="253">
        <v>0</v>
      </c>
      <c r="AV788" s="253">
        <v>0</v>
      </c>
      <c r="AW788" s="253">
        <v>0</v>
      </c>
      <c r="AX788" s="253">
        <v>0</v>
      </c>
      <c r="AY788" s="253">
        <v>0</v>
      </c>
      <c r="AZ788" s="271">
        <v>1</v>
      </c>
      <c r="BA788" s="271">
        <v>1</v>
      </c>
      <c r="BB788" s="253">
        <v>1</v>
      </c>
      <c r="BC788" s="253">
        <v>0</v>
      </c>
      <c r="BD788" s="253">
        <v>0</v>
      </c>
      <c r="BE788" s="253">
        <v>0</v>
      </c>
      <c r="BF788" s="253">
        <v>0</v>
      </c>
      <c r="BG788" s="253" t="s">
        <v>91</v>
      </c>
      <c r="BH788" s="2" t="str" cm="1">
        <f t="array" ref="BH788">IF(COUNTIF(BB788:BD788,"&lt;&gt;0")=1,INDEX($X$4:$AY$4,MATCH(TRUE,INDEX($X788:$AY788&lt;&gt;0,),0)),IF(COUNTIF(BB788:BD788,"&lt;&gt;0")=0,INDEX($AO$4:$AY$4,MATCH(1,$AO788:$AY788,0)),"Multiple strategies"))</f>
        <v>Silviculture for removals</v>
      </c>
      <c r="BI788" s="272" t="s">
        <v>229</v>
      </c>
      <c r="BJ788" s="253" t="s">
        <v>230</v>
      </c>
      <c r="BK788" s="273" t="s">
        <v>2754</v>
      </c>
      <c r="BL788" s="270" t="s">
        <v>231</v>
      </c>
      <c r="BM788" s="253">
        <v>64.183526540000003</v>
      </c>
      <c r="BN788" s="253">
        <v>89.04746797</v>
      </c>
      <c r="BO788" s="270">
        <v>0.72077879363872943</v>
      </c>
      <c r="BP788" s="253">
        <v>24.863941429999997</v>
      </c>
      <c r="BQ788" s="270">
        <v>50.742737612244895</v>
      </c>
      <c r="BR788" s="270" t="s">
        <v>232</v>
      </c>
      <c r="BS788" s="273" t="s">
        <v>2754</v>
      </c>
      <c r="BT788" s="270" t="s">
        <v>233</v>
      </c>
      <c r="BU788" s="253">
        <v>-8.4950335569999993</v>
      </c>
      <c r="BV788" s="253">
        <v>-8.1050396580000008</v>
      </c>
      <c r="BW788" s="255">
        <v>0.95409154108889427</v>
      </c>
      <c r="BX788" s="253">
        <v>0.38999389899999848</v>
      </c>
      <c r="BY788" s="253"/>
      <c r="BZ788" s="253">
        <v>3.8999389899999846E-4</v>
      </c>
      <c r="CA788" s="253">
        <v>7.6857086817067545E-6</v>
      </c>
      <c r="CB788" s="253">
        <v>0</v>
      </c>
      <c r="CC788" s="253">
        <v>0</v>
      </c>
      <c r="CD788" s="253">
        <v>0</v>
      </c>
      <c r="CE788" s="253">
        <v>0</v>
      </c>
      <c r="CF788" s="253">
        <v>0</v>
      </c>
      <c r="CG788" s="253">
        <v>0</v>
      </c>
      <c r="CH788" s="253">
        <v>0</v>
      </c>
      <c r="CI788" s="253">
        <v>0</v>
      </c>
      <c r="CJ788" s="253">
        <v>0</v>
      </c>
      <c r="CK788" s="253">
        <v>0</v>
      </c>
      <c r="CL788" s="253">
        <v>0</v>
      </c>
      <c r="CM788" s="253">
        <v>0</v>
      </c>
      <c r="CN788" s="253">
        <v>0</v>
      </c>
      <c r="CO788" s="253">
        <v>0</v>
      </c>
      <c r="CP788" s="253" t="s">
        <v>2755</v>
      </c>
      <c r="CQ788" s="253">
        <v>64.183526540000003</v>
      </c>
      <c r="CR788" s="253">
        <v>89.04746797</v>
      </c>
      <c r="CS788" s="253">
        <v>50.742737612244895</v>
      </c>
      <c r="CT788">
        <f>IF(BI788="Roundwood",$CS788/2,$CS788)</f>
        <v>50.742737612244895</v>
      </c>
      <c r="CU788" s="253">
        <v>-8.4950335569999993</v>
      </c>
      <c r="CV788" s="253">
        <v>-8.1050396580000008</v>
      </c>
      <c r="CW788" s="253">
        <v>3.8999389899999846E-4</v>
      </c>
      <c r="CX788">
        <f>IFERROR($CW788/$CS788,"")</f>
        <v>7.6857086817067545E-6</v>
      </c>
      <c r="CY788">
        <f>IFERROR($CW788/$CS788,"")</f>
        <v>7.6857086817067545E-6</v>
      </c>
      <c r="CZ788">
        <f>IFERROR($CW788/$CT788,"")</f>
        <v>7.6857086817067545E-6</v>
      </c>
      <c r="DA788" s="254">
        <v>4.590845891110569E-2</v>
      </c>
      <c r="DB788" s="252" t="s">
        <v>234</v>
      </c>
      <c r="DC788" s="253" t="s">
        <v>2756</v>
      </c>
      <c r="DD788" s="253" t="s">
        <v>235</v>
      </c>
      <c r="DE788" s="253"/>
      <c r="DF788" s="270"/>
      <c r="DG788" s="270">
        <v>80</v>
      </c>
      <c r="DH788" s="253" t="s">
        <v>2757</v>
      </c>
      <c r="DI788" s="253">
        <v>0</v>
      </c>
      <c r="DJ788" s="253">
        <v>1</v>
      </c>
      <c r="DK788" s="253">
        <v>0</v>
      </c>
      <c r="DL788" s="253">
        <v>0</v>
      </c>
      <c r="DM788" s="253"/>
      <c r="DN788" s="253">
        <v>1</v>
      </c>
      <c r="DO788" s="253" t="s">
        <v>173</v>
      </c>
      <c r="DP788" s="253">
        <v>0</v>
      </c>
      <c r="DQ788" s="253" t="s">
        <v>180</v>
      </c>
      <c r="DR788" s="253">
        <v>0</v>
      </c>
      <c r="DS788" s="253">
        <v>0</v>
      </c>
      <c r="DT788" s="253">
        <v>0</v>
      </c>
      <c r="DU788" s="270">
        <v>0</v>
      </c>
      <c r="DV788" s="270">
        <v>0</v>
      </c>
      <c r="DW788" s="270">
        <v>0</v>
      </c>
      <c r="DX788" s="270">
        <v>0</v>
      </c>
      <c r="DY788" s="253">
        <v>0</v>
      </c>
      <c r="DZ788" s="270" t="s">
        <v>926</v>
      </c>
      <c r="EA788" s="270">
        <v>1</v>
      </c>
      <c r="EB788" s="270">
        <v>1</v>
      </c>
      <c r="EC788" s="270">
        <v>1</v>
      </c>
      <c r="ED788" s="270">
        <v>0</v>
      </c>
      <c r="EE788" s="253">
        <v>0</v>
      </c>
      <c r="EF788" s="270">
        <v>0</v>
      </c>
      <c r="EG788" s="270">
        <v>1</v>
      </c>
      <c r="EH788" s="270">
        <v>1</v>
      </c>
      <c r="EI788" s="270">
        <v>0</v>
      </c>
      <c r="EJ788" s="270">
        <v>0</v>
      </c>
      <c r="EK788" s="253">
        <v>1</v>
      </c>
      <c r="EL788" s="270">
        <v>0</v>
      </c>
      <c r="EM788" s="253">
        <v>0</v>
      </c>
      <c r="EN788" s="254">
        <v>0</v>
      </c>
      <c r="EO788" s="252"/>
      <c r="EP788" t="str">
        <f>IF(AND(AND(AND(OR($EC788=1,$EB788=1),OR($EH788=1,$EF788=1)),SUM($EA788:$EE788,$EK788)&gt;=3),SUM($EF788:$EJ788)&gt;=2),"Whole sector approach","")</f>
        <v>Whole sector approach</v>
      </c>
      <c r="EQ788" t="str">
        <f>IF(AND(AND(OR($EC788=1,$EB788=1),AND($EH788=0,$EF788=0)),SUM($EA788:$EE788,$EK788)&gt;=4),"Ecosystem approach","")</f>
        <v/>
      </c>
      <c r="ER788" s="254" t="s">
        <v>531</v>
      </c>
      <c r="ES788" t="str">
        <f>IF(AND($EC788+$EB788+$EE788+$EA788+$ED788+$EG788=0,$N788="included"),"C neutral forest and HWP assumption","")</f>
        <v/>
      </c>
      <c r="ET788" t="str">
        <f>IF(AND(AND(AND(AND($EC788=1,$EB788+$EA788+$EG788&gt;=1),$EF788=1),$EH788+$EI788+$ED788+$EE788&gt;=2),$N788="included"),"All C pools assumption","")</f>
        <v/>
      </c>
      <c r="EU788" t="str">
        <f>IF(AND($ED788+$EE788+$EI788+$EH788+$EF788=0,$N788="included"),"In-situ only assumption","")</f>
        <v/>
      </c>
      <c r="EV788" s="253"/>
      <c r="EW788" s="253" t="s">
        <v>236</v>
      </c>
      <c r="EX788" s="253"/>
      <c r="EY788" t="str">
        <f>IF(ISNUMBER(BW788),IF(ABS(BW788-[3]QC_indicators!$B$2)&gt;3*[3]QC_indicators!$C$2,"C ratio",IF(ISNUMBER(CA788),IF(ABS(CA788-[3]QC_indicators!$B$1)&gt;3*[3]QC_indicators!$C$1,"DF","no"))),IF(ISNUMBER(CA788),IF(ABS(CA788-[3]QC_indicators!$B$1)&gt;3*[3]QC_indicators!$C$1,"DF","no")))</f>
        <v>no</v>
      </c>
      <c r="EZ788" s="274"/>
      <c r="FA788" t="str">
        <f>IF(LEN($CY788)=0,"",IF(AND($CY788&lt;(-0.05),$ES788="C neutral forest and HWP assumption"),"Cneutral paradox",IF(AND($CY788&gt;0.05,$EU788="In-situ only assumption"),"In-situ only paradox","")))</f>
        <v/>
      </c>
      <c r="FB788" s="274"/>
      <c r="FC788" s="274"/>
    </row>
    <row r="789" spans="1:160" ht="15" hidden="1" customHeight="1">
      <c r="A789" s="252" t="s">
        <v>214</v>
      </c>
      <c r="B789" s="253" t="s">
        <v>215</v>
      </c>
      <c r="C789" s="253" t="s">
        <v>216</v>
      </c>
      <c r="D789" s="253" t="s">
        <v>217</v>
      </c>
      <c r="E789" s="253" t="s">
        <v>218</v>
      </c>
      <c r="F789" s="253" t="s">
        <v>219</v>
      </c>
      <c r="G789" s="253" t="s">
        <v>220</v>
      </c>
      <c r="H789" s="253"/>
      <c r="I789" s="253">
        <v>2012</v>
      </c>
      <c r="J789" s="253"/>
      <c r="K789" s="253" t="s">
        <v>221</v>
      </c>
      <c r="L789" s="253"/>
      <c r="M789" s="253" t="s">
        <v>2753</v>
      </c>
      <c r="N789" s="253" t="s">
        <v>222</v>
      </c>
      <c r="O789" s="269" t="s">
        <v>223</v>
      </c>
      <c r="P789" s="253"/>
      <c r="Q789" s="253" t="s">
        <v>224</v>
      </c>
      <c r="R789" s="254" t="s">
        <v>225</v>
      </c>
      <c r="S789" s="252" t="s">
        <v>226</v>
      </c>
      <c r="T789" s="253" t="s">
        <v>228</v>
      </c>
      <c r="U789" s="253" t="s">
        <v>238</v>
      </c>
      <c r="V789" s="253">
        <v>0</v>
      </c>
      <c r="W789" s="253">
        <v>0</v>
      </c>
      <c r="X789" s="253">
        <v>0</v>
      </c>
      <c r="Y789" s="253">
        <v>0</v>
      </c>
      <c r="Z789" s="253">
        <v>0</v>
      </c>
      <c r="AA789" s="253">
        <v>1</v>
      </c>
      <c r="AB789" s="253">
        <v>0</v>
      </c>
      <c r="AC789" s="253">
        <v>0</v>
      </c>
      <c r="AD789" s="253">
        <v>0</v>
      </c>
      <c r="AE789" s="253">
        <v>0</v>
      </c>
      <c r="AF789" s="253">
        <v>0</v>
      </c>
      <c r="AG789" s="253">
        <v>0</v>
      </c>
      <c r="AH789" s="253">
        <v>0</v>
      </c>
      <c r="AI789" s="253">
        <v>0</v>
      </c>
      <c r="AJ789" s="253">
        <v>0</v>
      </c>
      <c r="AK789" s="253">
        <v>0</v>
      </c>
      <c r="AL789" s="253">
        <v>0</v>
      </c>
      <c r="AM789" s="253">
        <v>0</v>
      </c>
      <c r="AN789" s="253">
        <v>0</v>
      </c>
      <c r="AO789" s="253">
        <v>0</v>
      </c>
      <c r="AP789" s="253">
        <v>0</v>
      </c>
      <c r="AQ789" s="253">
        <v>0</v>
      </c>
      <c r="AR789" s="253">
        <v>0</v>
      </c>
      <c r="AS789" s="253">
        <v>0</v>
      </c>
      <c r="AT789" s="253">
        <v>0</v>
      </c>
      <c r="AU789" s="253">
        <v>0</v>
      </c>
      <c r="AV789" s="253">
        <v>0</v>
      </c>
      <c r="AW789" s="253">
        <v>0</v>
      </c>
      <c r="AX789" s="253">
        <v>0</v>
      </c>
      <c r="AY789" s="253">
        <v>0</v>
      </c>
      <c r="AZ789" s="271">
        <v>1</v>
      </c>
      <c r="BA789" s="271">
        <v>1</v>
      </c>
      <c r="BB789" s="253">
        <v>1</v>
      </c>
      <c r="BC789" s="253">
        <v>0</v>
      </c>
      <c r="BD789" s="253">
        <v>0</v>
      </c>
      <c r="BE789" s="253">
        <v>0</v>
      </c>
      <c r="BF789" s="253">
        <v>0</v>
      </c>
      <c r="BG789" s="253" t="s">
        <v>91</v>
      </c>
      <c r="BH789" s="2" t="str" cm="1">
        <f t="array" ref="BH789">IF(COUNTIF(BB789:BD789,"&lt;&gt;0")=1,INDEX($X$4:$AY$4,MATCH(TRUE,INDEX($X789:$AY789&lt;&gt;0,),0)),IF(COUNTIF(BB789:BD789,"&lt;&gt;0")=0,INDEX($AO$4:$AY$4,MATCH(1,$AO789:$AY789,0)),"Multiple strategies"))</f>
        <v>Silviculture for removals</v>
      </c>
      <c r="BI789" s="272" t="s">
        <v>229</v>
      </c>
      <c r="BJ789" s="253" t="s">
        <v>230</v>
      </c>
      <c r="BK789" s="273" t="s">
        <v>2754</v>
      </c>
      <c r="BL789" s="270" t="s">
        <v>231</v>
      </c>
      <c r="BM789" s="253">
        <v>75.212579790000007</v>
      </c>
      <c r="BN789" s="253">
        <v>98.063244030000007</v>
      </c>
      <c r="BO789" s="270">
        <v>0.76698033533329357</v>
      </c>
      <c r="BP789" s="253">
        <v>22.85066424</v>
      </c>
      <c r="BQ789" s="270">
        <v>46.63400865306123</v>
      </c>
      <c r="BR789" s="270" t="s">
        <v>232</v>
      </c>
      <c r="BS789" s="273" t="s">
        <v>2754</v>
      </c>
      <c r="BT789" s="270" t="s">
        <v>233</v>
      </c>
      <c r="BU789" s="253">
        <v>-8.4548837900000002</v>
      </c>
      <c r="BV789" s="253">
        <v>-8.12446701</v>
      </c>
      <c r="BW789" s="255">
        <v>0.96092000928613586</v>
      </c>
      <c r="BX789" s="253">
        <v>0.33041678000000019</v>
      </c>
      <c r="BY789" s="253"/>
      <c r="BZ789" s="253">
        <v>3.3041678000000018E-4</v>
      </c>
      <c r="CA789" s="253">
        <v>7.0853179802356617E-6</v>
      </c>
      <c r="CB789" s="253">
        <v>0</v>
      </c>
      <c r="CC789" s="253">
        <v>0</v>
      </c>
      <c r="CD789" s="253">
        <v>0</v>
      </c>
      <c r="CE789" s="253">
        <v>0</v>
      </c>
      <c r="CF789" s="253">
        <v>0</v>
      </c>
      <c r="CG789" s="253">
        <v>0</v>
      </c>
      <c r="CH789" s="253">
        <v>0</v>
      </c>
      <c r="CI789" s="253">
        <v>0</v>
      </c>
      <c r="CJ789" s="253">
        <v>0</v>
      </c>
      <c r="CK789" s="253">
        <v>0</v>
      </c>
      <c r="CL789" s="253">
        <v>0</v>
      </c>
      <c r="CM789" s="253">
        <v>0</v>
      </c>
      <c r="CN789" s="253">
        <v>0</v>
      </c>
      <c r="CO789" s="253">
        <v>0</v>
      </c>
      <c r="CP789" s="253" t="s">
        <v>2755</v>
      </c>
      <c r="CQ789" s="253">
        <v>75.212579790000007</v>
      </c>
      <c r="CR789" s="253">
        <v>98.063244030000007</v>
      </c>
      <c r="CS789" s="253">
        <v>46.63400865306123</v>
      </c>
      <c r="CT789">
        <f>IF(BI789="Roundwood",$CS789/2,$CS789)</f>
        <v>46.63400865306123</v>
      </c>
      <c r="CU789" s="253">
        <v>-8.4548837900000002</v>
      </c>
      <c r="CV789" s="253">
        <v>-8.12446701</v>
      </c>
      <c r="CW789" s="253">
        <v>3.3041678000000018E-4</v>
      </c>
      <c r="CX789">
        <f>IFERROR($CW789/$CS789,"")</f>
        <v>7.0853179802356617E-6</v>
      </c>
      <c r="CY789">
        <f>IFERROR($CW789/$CS789,"")</f>
        <v>7.0853179802356617E-6</v>
      </c>
      <c r="CZ789">
        <f>IFERROR($CW789/$CT789,"")</f>
        <v>7.0853179802356617E-6</v>
      </c>
      <c r="DA789" s="254">
        <v>3.9079990713864109E-2</v>
      </c>
      <c r="DB789" s="252" t="s">
        <v>234</v>
      </c>
      <c r="DC789" s="253" t="s">
        <v>2756</v>
      </c>
      <c r="DD789" s="253" t="s">
        <v>235</v>
      </c>
      <c r="DE789" s="253"/>
      <c r="DF789" s="270"/>
      <c r="DG789" s="270">
        <v>80</v>
      </c>
      <c r="DH789" s="253" t="s">
        <v>2757</v>
      </c>
      <c r="DI789" s="253">
        <v>0</v>
      </c>
      <c r="DJ789" s="253">
        <v>1</v>
      </c>
      <c r="DK789" s="253">
        <v>0</v>
      </c>
      <c r="DL789" s="253">
        <v>0</v>
      </c>
      <c r="DM789" s="253"/>
      <c r="DN789" s="253">
        <v>1</v>
      </c>
      <c r="DO789" s="253" t="s">
        <v>173</v>
      </c>
      <c r="DP789" s="253">
        <v>0</v>
      </c>
      <c r="DQ789" s="253" t="s">
        <v>180</v>
      </c>
      <c r="DR789" s="253">
        <v>0</v>
      </c>
      <c r="DS789" s="253">
        <v>0</v>
      </c>
      <c r="DT789" s="253">
        <v>0</v>
      </c>
      <c r="DU789" s="270">
        <v>0</v>
      </c>
      <c r="DV789" s="270">
        <v>0</v>
      </c>
      <c r="DW789" s="270">
        <v>0</v>
      </c>
      <c r="DX789" s="270">
        <v>0</v>
      </c>
      <c r="DY789" s="253">
        <v>0</v>
      </c>
      <c r="DZ789" s="270" t="s">
        <v>926</v>
      </c>
      <c r="EA789" s="270">
        <v>1</v>
      </c>
      <c r="EB789" s="270">
        <v>1</v>
      </c>
      <c r="EC789" s="270">
        <v>1</v>
      </c>
      <c r="ED789" s="270">
        <v>0</v>
      </c>
      <c r="EE789" s="253">
        <v>0</v>
      </c>
      <c r="EF789" s="270">
        <v>0</v>
      </c>
      <c r="EG789" s="270">
        <v>1</v>
      </c>
      <c r="EH789" s="270">
        <v>1</v>
      </c>
      <c r="EI789" s="270">
        <v>0</v>
      </c>
      <c r="EJ789" s="270">
        <v>0</v>
      </c>
      <c r="EK789" s="253">
        <v>1</v>
      </c>
      <c r="EL789" s="270">
        <v>0</v>
      </c>
      <c r="EM789" s="253">
        <v>0</v>
      </c>
      <c r="EN789" s="254">
        <v>0</v>
      </c>
      <c r="EO789" s="252"/>
      <c r="EP789" t="str">
        <f>IF(AND(AND(AND(OR($EC789=1,$EB789=1),OR($EH789=1,$EF789=1)),SUM($EA789:$EE789,$EK789)&gt;=3),SUM($EF789:$EJ789)&gt;=2),"Whole sector approach","")</f>
        <v>Whole sector approach</v>
      </c>
      <c r="EQ789" t="str">
        <f>IF(AND(AND(OR($EC789=1,$EB789=1),AND($EH789=0,$EF789=0)),SUM($EA789:$EE789,$EK789)&gt;=4),"Ecosystem approach","")</f>
        <v/>
      </c>
      <c r="ER789" s="254" t="s">
        <v>531</v>
      </c>
      <c r="ES789" t="str">
        <f>IF(AND($EC789+$EB789+$EE789+$EA789+$ED789+$EG789=0,$N789="included"),"C neutral forest and HWP assumption","")</f>
        <v/>
      </c>
      <c r="ET789" t="str">
        <f>IF(AND(AND(AND(AND($EC789=1,$EB789+$EA789+$EG789&gt;=1),$EF789=1),$EH789+$EI789+$ED789+$EE789&gt;=2),$N789="included"),"All C pools assumption","")</f>
        <v/>
      </c>
      <c r="EU789" t="str">
        <f>IF(AND($ED789+$EE789+$EI789+$EH789+$EF789=0,$N789="included"),"In-situ only assumption","")</f>
        <v/>
      </c>
      <c r="EV789" s="253"/>
      <c r="EW789" s="253" t="s">
        <v>236</v>
      </c>
      <c r="EX789" s="253"/>
      <c r="EY789" t="str">
        <f>IF(ISNUMBER(BW789),IF(ABS(BW789-[3]QC_indicators!$B$2)&gt;3*[3]QC_indicators!$C$2,"C ratio",IF(ISNUMBER(CA789),IF(ABS(CA789-[3]QC_indicators!$B$1)&gt;3*[3]QC_indicators!$C$1,"DF","no"))),IF(ISNUMBER(CA789),IF(ABS(CA789-[3]QC_indicators!$B$1)&gt;3*[3]QC_indicators!$C$1,"DF","no")))</f>
        <v>no</v>
      </c>
      <c r="EZ789" s="274"/>
      <c r="FA789" t="str">
        <f>IF(LEN($CY789)=0,"",IF(AND($CY789&lt;(-0.05),$ES789="C neutral forest and HWP assumption"),"Cneutral paradox",IF(AND($CY789&gt;0.05,$EU789="In-situ only assumption"),"In-situ only paradox","")))</f>
        <v/>
      </c>
      <c r="FB789" s="274"/>
      <c r="FC789" s="274"/>
    </row>
    <row r="790" spans="1:160" ht="15" hidden="1" customHeight="1">
      <c r="A790" s="252" t="s">
        <v>214</v>
      </c>
      <c r="B790" s="253" t="s">
        <v>215</v>
      </c>
      <c r="C790" s="253" t="s">
        <v>216</v>
      </c>
      <c r="D790" s="253" t="s">
        <v>217</v>
      </c>
      <c r="E790" s="253" t="s">
        <v>218</v>
      </c>
      <c r="F790" s="253" t="s">
        <v>219</v>
      </c>
      <c r="G790" s="253" t="s">
        <v>220</v>
      </c>
      <c r="H790" s="253"/>
      <c r="I790" s="253">
        <v>2012</v>
      </c>
      <c r="J790" s="253"/>
      <c r="K790" s="253" t="s">
        <v>221</v>
      </c>
      <c r="L790" s="253"/>
      <c r="M790" s="253" t="s">
        <v>2753</v>
      </c>
      <c r="N790" s="253" t="s">
        <v>222</v>
      </c>
      <c r="O790" s="269" t="s">
        <v>223</v>
      </c>
      <c r="P790" s="253"/>
      <c r="Q790" s="253" t="s">
        <v>224</v>
      </c>
      <c r="R790" s="254" t="s">
        <v>225</v>
      </c>
      <c r="S790" s="252" t="s">
        <v>226</v>
      </c>
      <c r="T790" s="253" t="s">
        <v>228</v>
      </c>
      <c r="U790" s="253" t="s">
        <v>238</v>
      </c>
      <c r="V790" s="253">
        <v>0</v>
      </c>
      <c r="W790" s="253">
        <v>0</v>
      </c>
      <c r="X790" s="253">
        <v>0</v>
      </c>
      <c r="Y790" s="253">
        <v>0</v>
      </c>
      <c r="Z790" s="253">
        <v>0</v>
      </c>
      <c r="AA790" s="253">
        <v>1</v>
      </c>
      <c r="AB790" s="253">
        <v>0</v>
      </c>
      <c r="AC790" s="253">
        <v>0</v>
      </c>
      <c r="AD790" s="253">
        <v>0</v>
      </c>
      <c r="AE790" s="253">
        <v>0</v>
      </c>
      <c r="AF790" s="253">
        <v>0</v>
      </c>
      <c r="AG790" s="253">
        <v>0</v>
      </c>
      <c r="AH790" s="253">
        <v>0</v>
      </c>
      <c r="AI790" s="253">
        <v>0</v>
      </c>
      <c r="AJ790" s="253">
        <v>0</v>
      </c>
      <c r="AK790" s="253">
        <v>0</v>
      </c>
      <c r="AL790" s="253">
        <v>0</v>
      </c>
      <c r="AM790" s="253">
        <v>0</v>
      </c>
      <c r="AN790" s="253">
        <v>0</v>
      </c>
      <c r="AO790" s="253">
        <v>0</v>
      </c>
      <c r="AP790" s="253">
        <v>0</v>
      </c>
      <c r="AQ790" s="253">
        <v>0</v>
      </c>
      <c r="AR790" s="253">
        <v>0</v>
      </c>
      <c r="AS790" s="253">
        <v>0</v>
      </c>
      <c r="AT790" s="253">
        <v>0</v>
      </c>
      <c r="AU790" s="253">
        <v>0</v>
      </c>
      <c r="AV790" s="253">
        <v>0</v>
      </c>
      <c r="AW790" s="253">
        <v>0</v>
      </c>
      <c r="AX790" s="253">
        <v>0</v>
      </c>
      <c r="AY790" s="253">
        <v>0</v>
      </c>
      <c r="AZ790" s="271">
        <v>1</v>
      </c>
      <c r="BA790" s="271">
        <v>1</v>
      </c>
      <c r="BB790" s="253">
        <v>1</v>
      </c>
      <c r="BC790" s="253">
        <v>0</v>
      </c>
      <c r="BD790" s="253">
        <v>0</v>
      </c>
      <c r="BE790" s="253">
        <v>0</v>
      </c>
      <c r="BF790" s="253">
        <v>0</v>
      </c>
      <c r="BG790" s="253" t="s">
        <v>91</v>
      </c>
      <c r="BH790" s="2" t="str" cm="1">
        <f t="array" ref="BH790">IF(COUNTIF(BB790:BD790,"&lt;&gt;0")=1,INDEX($X$4:$AY$4,MATCH(TRUE,INDEX($X790:$AY790&lt;&gt;0,),0)),IF(COUNTIF(BB790:BD790,"&lt;&gt;0")=0,INDEX($AO$4:$AY$4,MATCH(1,$AO790:$AY790,0)),"Multiple strategies"))</f>
        <v>Silviculture for removals</v>
      </c>
      <c r="BI790" s="272" t="s">
        <v>229</v>
      </c>
      <c r="BJ790" s="253" t="s">
        <v>230</v>
      </c>
      <c r="BK790" s="273" t="s">
        <v>2754</v>
      </c>
      <c r="BL790" s="270" t="s">
        <v>231</v>
      </c>
      <c r="BM790" s="253">
        <v>82.922401170000001</v>
      </c>
      <c r="BN790" s="253">
        <v>100.5900439</v>
      </c>
      <c r="BO790" s="270">
        <v>0.82435992624116949</v>
      </c>
      <c r="BP790" s="253">
        <v>17.667642729999997</v>
      </c>
      <c r="BQ790" s="270">
        <v>36.056413734693869</v>
      </c>
      <c r="BR790" s="270" t="s">
        <v>232</v>
      </c>
      <c r="BS790" s="345" t="s">
        <v>2308</v>
      </c>
      <c r="BT790" s="270" t="s">
        <v>233</v>
      </c>
      <c r="BU790" s="253">
        <v>-12.051927770000001</v>
      </c>
      <c r="BV790" s="253">
        <v>-11.804099559999999</v>
      </c>
      <c r="BW790" s="255">
        <v>0.97943663331463848</v>
      </c>
      <c r="BX790" s="253">
        <v>0.24782821000000155</v>
      </c>
      <c r="BY790" s="253"/>
      <c r="BZ790" s="253">
        <v>2.4782821000000156E-4</v>
      </c>
      <c r="CA790" s="253">
        <v>6.8733460799385768E-6</v>
      </c>
      <c r="CB790" s="253">
        <v>0</v>
      </c>
      <c r="CC790" s="253">
        <v>0</v>
      </c>
      <c r="CD790" s="253">
        <v>0</v>
      </c>
      <c r="CE790" s="253">
        <v>0</v>
      </c>
      <c r="CF790" s="253">
        <v>0</v>
      </c>
      <c r="CG790" s="253">
        <v>0</v>
      </c>
      <c r="CH790" s="253">
        <v>0</v>
      </c>
      <c r="CI790" s="253">
        <v>0</v>
      </c>
      <c r="CJ790" s="253">
        <v>0</v>
      </c>
      <c r="CK790" s="253">
        <v>0</v>
      </c>
      <c r="CL790" s="253">
        <v>0</v>
      </c>
      <c r="CM790" s="253">
        <v>0</v>
      </c>
      <c r="CN790" s="253">
        <v>0</v>
      </c>
      <c r="CO790" s="253">
        <v>0</v>
      </c>
      <c r="CP790" s="253" t="s">
        <v>2755</v>
      </c>
      <c r="CQ790" s="253">
        <v>82.922401170000001</v>
      </c>
      <c r="CR790" s="253">
        <v>100.5900439</v>
      </c>
      <c r="CS790" s="253">
        <v>36.056413734693869</v>
      </c>
      <c r="CT790">
        <f>IF(BI790="Roundwood",$CS790/2,$CS790)</f>
        <v>36.056413734693869</v>
      </c>
      <c r="CU790" s="253">
        <v>-12.051927770000001</v>
      </c>
      <c r="CV790" s="253">
        <v>-11.804099559999999</v>
      </c>
      <c r="CW790" s="253">
        <v>2.4782821000000156E-4</v>
      </c>
      <c r="CX790">
        <f>IFERROR($CW790/$CS790,"")</f>
        <v>6.8733460799385768E-6</v>
      </c>
      <c r="CY790">
        <f>IFERROR($CW790/$CS790,"")</f>
        <v>6.8733460799385768E-6</v>
      </c>
      <c r="CZ790">
        <f>IFERROR($CW790/$CT790,"")</f>
        <v>6.8733460799385768E-6</v>
      </c>
      <c r="DA790" s="254">
        <v>2.0563366685361534E-2</v>
      </c>
      <c r="DB790" s="252" t="s">
        <v>234</v>
      </c>
      <c r="DC790" s="253" t="s">
        <v>2756</v>
      </c>
      <c r="DD790" s="253" t="s">
        <v>235</v>
      </c>
      <c r="DE790" s="253"/>
      <c r="DF790" s="270"/>
      <c r="DG790" s="270">
        <v>80</v>
      </c>
      <c r="DH790" s="253" t="s">
        <v>2757</v>
      </c>
      <c r="DI790" s="253">
        <v>0</v>
      </c>
      <c r="DJ790" s="253">
        <v>1</v>
      </c>
      <c r="DK790" s="253">
        <v>0</v>
      </c>
      <c r="DL790" s="253">
        <v>0</v>
      </c>
      <c r="DM790" s="253"/>
      <c r="DN790" s="253">
        <v>1</v>
      </c>
      <c r="DO790" s="253" t="s">
        <v>173</v>
      </c>
      <c r="DP790" s="253">
        <v>0</v>
      </c>
      <c r="DQ790" s="253" t="s">
        <v>180</v>
      </c>
      <c r="DR790" s="253">
        <v>0</v>
      </c>
      <c r="DS790" s="253">
        <v>0</v>
      </c>
      <c r="DT790" s="253">
        <v>0</v>
      </c>
      <c r="DU790" s="270">
        <v>0</v>
      </c>
      <c r="DV790" s="270">
        <v>0</v>
      </c>
      <c r="DW790" s="270">
        <v>0</v>
      </c>
      <c r="DX790" s="270">
        <v>0</v>
      </c>
      <c r="DY790" s="253">
        <v>0</v>
      </c>
      <c r="DZ790" s="270" t="s">
        <v>926</v>
      </c>
      <c r="EA790" s="270">
        <v>1</v>
      </c>
      <c r="EB790" s="270">
        <v>1</v>
      </c>
      <c r="EC790" s="270">
        <v>1</v>
      </c>
      <c r="ED790" s="270">
        <v>0</v>
      </c>
      <c r="EE790" s="253">
        <v>0</v>
      </c>
      <c r="EF790" s="270">
        <v>0</v>
      </c>
      <c r="EG790" s="270">
        <v>1</v>
      </c>
      <c r="EH790" s="270">
        <v>1</v>
      </c>
      <c r="EI790" s="270">
        <v>0</v>
      </c>
      <c r="EJ790" s="270">
        <v>0</v>
      </c>
      <c r="EK790" s="253">
        <v>1</v>
      </c>
      <c r="EL790" s="270">
        <v>0</v>
      </c>
      <c r="EM790" s="253">
        <v>0</v>
      </c>
      <c r="EN790" s="254">
        <v>0</v>
      </c>
      <c r="EO790" s="252"/>
      <c r="EP790" t="str">
        <f>IF(AND(AND(AND(OR($EC790=1,$EB790=1),OR($EH790=1,$EF790=1)),SUM($EA790:$EE790,$EK790)&gt;=3),SUM($EF790:$EJ790)&gt;=2),"Whole sector approach","")</f>
        <v>Whole sector approach</v>
      </c>
      <c r="EQ790" t="str">
        <f>IF(AND(AND(OR($EC790=1,$EB790=1),AND($EH790=0,$EF790=0)),SUM($EA790:$EE790,$EK790)&gt;=4),"Ecosystem approach","")</f>
        <v/>
      </c>
      <c r="ER790" s="254" t="s">
        <v>531</v>
      </c>
      <c r="ES790" t="str">
        <f>IF(AND($EC790+$EB790+$EE790+$EA790+$ED790+$EG790=0,$N790="included"),"C neutral forest and HWP assumption","")</f>
        <v/>
      </c>
      <c r="ET790" t="str">
        <f>IF(AND(AND(AND(AND($EC790=1,$EB790+$EA790+$EG790&gt;=1),$EF790=1),$EH790+$EI790+$ED790+$EE790&gt;=2),$N790="included"),"All C pools assumption","")</f>
        <v/>
      </c>
      <c r="EU790" t="str">
        <f>IF(AND($ED790+$EE790+$EI790+$EH790+$EF790=0,$N790="included"),"In-situ only assumption","")</f>
        <v/>
      </c>
      <c r="EV790" s="253"/>
      <c r="EW790" s="253" t="s">
        <v>236</v>
      </c>
      <c r="EX790" s="253"/>
      <c r="EY790" t="str">
        <f>IF(ISNUMBER(BW790),IF(ABS(BW790-[3]QC_indicators!$B$2)&gt;3*[3]QC_indicators!$C$2,"C ratio",IF(ISNUMBER(CA790),IF(ABS(CA790-[3]QC_indicators!$B$1)&gt;3*[3]QC_indicators!$C$1,"DF","no"))),IF(ISNUMBER(CA790),IF(ABS(CA790-[3]QC_indicators!$B$1)&gt;3*[3]QC_indicators!$C$1,"DF","no")))</f>
        <v>no</v>
      </c>
      <c r="EZ790" s="274"/>
      <c r="FA790" t="str">
        <f>IF(LEN($CY790)=0,"",IF(AND($CY790&lt;(-0.05),$ES790="C neutral forest and HWP assumption"),"Cneutral paradox",IF(AND($CY790&gt;0.05,$EU790="In-situ only assumption"),"In-situ only paradox","")))</f>
        <v/>
      </c>
      <c r="FB790" s="274"/>
      <c r="FC790" s="274"/>
    </row>
    <row r="791" spans="1:160" ht="15" hidden="1" customHeight="1">
      <c r="A791" s="252" t="s">
        <v>214</v>
      </c>
      <c r="B791" s="253" t="s">
        <v>215</v>
      </c>
      <c r="C791" s="253" t="s">
        <v>216</v>
      </c>
      <c r="D791" s="253" t="s">
        <v>217</v>
      </c>
      <c r="E791" s="253" t="s">
        <v>218</v>
      </c>
      <c r="F791" s="253" t="s">
        <v>219</v>
      </c>
      <c r="G791" s="253" t="s">
        <v>220</v>
      </c>
      <c r="H791" s="253"/>
      <c r="I791" s="253">
        <v>2012</v>
      </c>
      <c r="J791" s="253"/>
      <c r="K791" s="253" t="s">
        <v>221</v>
      </c>
      <c r="L791" s="253"/>
      <c r="M791" s="253" t="s">
        <v>2753</v>
      </c>
      <c r="N791" s="253" t="s">
        <v>222</v>
      </c>
      <c r="O791" s="269" t="s">
        <v>223</v>
      </c>
      <c r="P791" s="253"/>
      <c r="Q791" s="253" t="s">
        <v>224</v>
      </c>
      <c r="R791" s="254" t="s">
        <v>225</v>
      </c>
      <c r="S791" s="252" t="s">
        <v>226</v>
      </c>
      <c r="T791" s="253" t="s">
        <v>228</v>
      </c>
      <c r="U791" s="253" t="s">
        <v>227</v>
      </c>
      <c r="V791" s="253">
        <v>0</v>
      </c>
      <c r="W791" s="253">
        <v>0</v>
      </c>
      <c r="X791" s="253">
        <v>0</v>
      </c>
      <c r="Y791" s="253">
        <v>0</v>
      </c>
      <c r="Z791" s="253">
        <v>0</v>
      </c>
      <c r="AA791" s="253">
        <v>1</v>
      </c>
      <c r="AB791" s="253">
        <v>0</v>
      </c>
      <c r="AC791" s="253">
        <v>0</v>
      </c>
      <c r="AD791" s="253">
        <v>0</v>
      </c>
      <c r="AE791" s="253">
        <v>0</v>
      </c>
      <c r="AF791" s="253">
        <v>0</v>
      </c>
      <c r="AG791" s="253">
        <v>0</v>
      </c>
      <c r="AH791" s="253">
        <v>0</v>
      </c>
      <c r="AI791" s="253">
        <v>0</v>
      </c>
      <c r="AJ791" s="253">
        <v>0</v>
      </c>
      <c r="AK791" s="253">
        <v>0</v>
      </c>
      <c r="AL791" s="253">
        <v>0</v>
      </c>
      <c r="AM791" s="253">
        <v>0</v>
      </c>
      <c r="AN791" s="253">
        <v>0</v>
      </c>
      <c r="AO791" s="253">
        <v>0</v>
      </c>
      <c r="AP791" s="253">
        <v>0</v>
      </c>
      <c r="AQ791" s="253">
        <v>0</v>
      </c>
      <c r="AR791" s="253">
        <v>0</v>
      </c>
      <c r="AS791" s="253">
        <v>0</v>
      </c>
      <c r="AT791" s="253">
        <v>0</v>
      </c>
      <c r="AU791" s="253">
        <v>0</v>
      </c>
      <c r="AV791" s="253">
        <v>0</v>
      </c>
      <c r="AW791" s="253">
        <v>0</v>
      </c>
      <c r="AX791" s="253">
        <v>0</v>
      </c>
      <c r="AY791" s="253">
        <v>0</v>
      </c>
      <c r="AZ791" s="271">
        <v>1</v>
      </c>
      <c r="BA791" s="271">
        <v>1</v>
      </c>
      <c r="BB791" s="253">
        <v>1</v>
      </c>
      <c r="BC791" s="253">
        <v>0</v>
      </c>
      <c r="BD791" s="253">
        <v>0</v>
      </c>
      <c r="BE791" s="253">
        <v>0</v>
      </c>
      <c r="BF791" s="253">
        <v>0</v>
      </c>
      <c r="BG791" s="253" t="s">
        <v>91</v>
      </c>
      <c r="BH791" s="2" t="str" cm="1">
        <f t="array" ref="BH791">IF(COUNTIF(BB791:BD791,"&lt;&gt;0")=1,INDEX($X$4:$AY$4,MATCH(TRUE,INDEX($X791:$AY791&lt;&gt;0,),0)),IF(COUNTIF(BB791:BD791,"&lt;&gt;0")=0,INDEX($AO$4:$AY$4,MATCH(1,$AO791:$AY791,0)),"Multiple strategies"))</f>
        <v>Silviculture for removals</v>
      </c>
      <c r="BI791" s="272" t="s">
        <v>229</v>
      </c>
      <c r="BJ791" s="253" t="s">
        <v>230</v>
      </c>
      <c r="BK791" s="273" t="s">
        <v>2754</v>
      </c>
      <c r="BL791" s="270" t="s">
        <v>231</v>
      </c>
      <c r="BM791" s="253">
        <v>100.5900439</v>
      </c>
      <c r="BN791" s="253">
        <v>102.3265007</v>
      </c>
      <c r="BO791" s="270">
        <v>1.0172627104301324</v>
      </c>
      <c r="BP791" s="253">
        <v>1.7364567999999991</v>
      </c>
      <c r="BQ791" s="270">
        <v>3.5437893877551003</v>
      </c>
      <c r="BR791" s="270" t="s">
        <v>232</v>
      </c>
      <c r="BS791" s="345" t="s">
        <v>2308</v>
      </c>
      <c r="BT791" s="270" t="s">
        <v>233</v>
      </c>
      <c r="BU791" s="253">
        <v>-11.804099559999999</v>
      </c>
      <c r="BV791" s="253">
        <v>-11.78438263</v>
      </c>
      <c r="BW791" s="255">
        <v>0.99832965404097296</v>
      </c>
      <c r="BX791" s="253">
        <v>1.9716929999999522E-2</v>
      </c>
      <c r="BY791" s="253"/>
      <c r="BZ791" s="253">
        <v>1.9716929999999522E-5</v>
      </c>
      <c r="CA791" s="253">
        <v>5.5637984774511927E-6</v>
      </c>
      <c r="CB791" s="253">
        <v>0</v>
      </c>
      <c r="CC791" s="253">
        <v>0</v>
      </c>
      <c r="CD791" s="253">
        <v>0</v>
      </c>
      <c r="CE791" s="253">
        <v>0</v>
      </c>
      <c r="CF791" s="253">
        <v>0</v>
      </c>
      <c r="CG791" s="253">
        <v>0</v>
      </c>
      <c r="CH791" s="253">
        <v>0</v>
      </c>
      <c r="CI791" s="253">
        <v>0</v>
      </c>
      <c r="CJ791" s="253">
        <v>0</v>
      </c>
      <c r="CK791" s="253">
        <v>0</v>
      </c>
      <c r="CL791" s="253">
        <v>0</v>
      </c>
      <c r="CM791" s="253">
        <v>0</v>
      </c>
      <c r="CN791" s="253">
        <v>0</v>
      </c>
      <c r="CO791" s="253">
        <v>0</v>
      </c>
      <c r="CP791" s="253" t="s">
        <v>2755</v>
      </c>
      <c r="CQ791" s="253">
        <v>100.5900439</v>
      </c>
      <c r="CR791" s="253">
        <v>102.3265007</v>
      </c>
      <c r="CS791" s="253">
        <v>3.5437893877551003</v>
      </c>
      <c r="CT791">
        <f>IF(BI791="Roundwood",$CS791/2,$CS791)</f>
        <v>3.5437893877551003</v>
      </c>
      <c r="CU791" s="253">
        <v>-11.804099559999999</v>
      </c>
      <c r="CV791" s="253">
        <v>-11.78438263</v>
      </c>
      <c r="CW791" s="253">
        <v>1.9716929999999522E-5</v>
      </c>
      <c r="CX791">
        <f>IFERROR($CW791/$CS791,"")</f>
        <v>5.5637984774511927E-6</v>
      </c>
      <c r="CY791">
        <f>IFERROR($CW791/$CS791,"")</f>
        <v>5.5637984774511927E-6</v>
      </c>
      <c r="CZ791">
        <f>IFERROR($CW791/$CT791,"")</f>
        <v>5.5637984774511927E-6</v>
      </c>
      <c r="DA791" s="254">
        <v>1.6703459590270962E-3</v>
      </c>
      <c r="DB791" s="252" t="s">
        <v>234</v>
      </c>
      <c r="DC791" s="253" t="s">
        <v>2756</v>
      </c>
      <c r="DD791" s="253" t="s">
        <v>235</v>
      </c>
      <c r="DE791" s="253"/>
      <c r="DF791" s="270"/>
      <c r="DG791" s="270">
        <v>80</v>
      </c>
      <c r="DH791" s="253" t="s">
        <v>2757</v>
      </c>
      <c r="DI791" s="253">
        <v>0</v>
      </c>
      <c r="DJ791" s="253">
        <v>1</v>
      </c>
      <c r="DK791" s="253">
        <v>0</v>
      </c>
      <c r="DL791" s="253">
        <v>0</v>
      </c>
      <c r="DM791" s="253"/>
      <c r="DN791" s="253">
        <v>1</v>
      </c>
      <c r="DO791" s="253" t="s">
        <v>173</v>
      </c>
      <c r="DP791" s="253">
        <v>0</v>
      </c>
      <c r="DQ791" s="253" t="s">
        <v>180</v>
      </c>
      <c r="DR791" s="253">
        <v>0</v>
      </c>
      <c r="DS791" s="253">
        <v>0</v>
      </c>
      <c r="DT791" s="253">
        <v>0</v>
      </c>
      <c r="DU791" s="270">
        <v>0</v>
      </c>
      <c r="DV791" s="270">
        <v>0</v>
      </c>
      <c r="DW791" s="270">
        <v>0</v>
      </c>
      <c r="DX791" s="270">
        <v>0</v>
      </c>
      <c r="DY791" s="253">
        <v>0</v>
      </c>
      <c r="DZ791" s="270" t="s">
        <v>926</v>
      </c>
      <c r="EA791" s="270">
        <v>1</v>
      </c>
      <c r="EB791" s="270">
        <v>1</v>
      </c>
      <c r="EC791" s="270">
        <v>1</v>
      </c>
      <c r="ED791" s="270">
        <v>0</v>
      </c>
      <c r="EE791" s="253">
        <v>0</v>
      </c>
      <c r="EF791" s="270">
        <v>0</v>
      </c>
      <c r="EG791" s="270">
        <v>1</v>
      </c>
      <c r="EH791" s="270">
        <v>1</v>
      </c>
      <c r="EI791" s="270">
        <v>0</v>
      </c>
      <c r="EJ791" s="270">
        <v>0</v>
      </c>
      <c r="EK791" s="253">
        <v>1</v>
      </c>
      <c r="EL791" s="270">
        <v>0</v>
      </c>
      <c r="EM791" s="253">
        <v>0</v>
      </c>
      <c r="EN791" s="254">
        <v>0</v>
      </c>
      <c r="EO791" s="252"/>
      <c r="EP791" t="str">
        <f>IF(AND(AND(AND(OR($EC791=1,$EB791=1),OR($EH791=1,$EF791=1)),SUM($EA791:$EE791,$EK791)&gt;=3),SUM($EF791:$EJ791)&gt;=2),"Whole sector approach","")</f>
        <v>Whole sector approach</v>
      </c>
      <c r="EQ791" t="str">
        <f>IF(AND(AND(OR($EC791=1,$EB791=1),AND($EH791=0,$EF791=0)),SUM($EA791:$EE791,$EK791)&gt;=4),"Ecosystem approach","")</f>
        <v/>
      </c>
      <c r="ER791" s="254" t="s">
        <v>531</v>
      </c>
      <c r="ES791" t="str">
        <f>IF(AND($EC791+$EB791+$EE791+$EA791+$ED791+$EG791=0,$N791="included"),"C neutral forest and HWP assumption","")</f>
        <v/>
      </c>
      <c r="ET791" t="str">
        <f>IF(AND(AND(AND(AND($EC791=1,$EB791+$EA791+$EG791&gt;=1),$EF791=1),$EH791+$EI791+$ED791+$EE791&gt;=2),$N791="included"),"All C pools assumption","")</f>
        <v/>
      </c>
      <c r="EU791" t="str">
        <f>IF(AND($ED791+$EE791+$EI791+$EH791+$EF791=0,$N791="included"),"In-situ only assumption","")</f>
        <v/>
      </c>
      <c r="EV791" s="253"/>
      <c r="EW791" s="253" t="s">
        <v>236</v>
      </c>
      <c r="EX791" s="253"/>
      <c r="EY791" t="str">
        <f>IF(ISNUMBER(BW791),IF(ABS(BW791-[3]QC_indicators!$B$2)&gt;3*[3]QC_indicators!$C$2,"C ratio",IF(ISNUMBER(CA791),IF(ABS(CA791-[3]QC_indicators!$B$1)&gt;3*[3]QC_indicators!$C$1,"DF","no"))),IF(ISNUMBER(CA791),IF(ABS(CA791-[3]QC_indicators!$B$1)&gt;3*[3]QC_indicators!$C$1,"DF","no")))</f>
        <v>no</v>
      </c>
      <c r="EZ791" s="274"/>
      <c r="FA791" t="str">
        <f>IF(LEN($CY791)=0,"",IF(AND($CY791&lt;(-0.05),$ES791="C neutral forest and HWP assumption"),"Cneutral paradox",IF(AND($CY791&gt;0.05,$EU791="In-situ only assumption"),"In-situ only paradox","")))</f>
        <v/>
      </c>
      <c r="FB791" s="274"/>
      <c r="FC791" s="274"/>
    </row>
    <row r="792" spans="1:160" ht="15" hidden="1" customHeight="1">
      <c r="A792" s="252" t="s">
        <v>214</v>
      </c>
      <c r="B792" s="253" t="s">
        <v>215</v>
      </c>
      <c r="C792" s="253" t="s">
        <v>216</v>
      </c>
      <c r="D792" s="253" t="s">
        <v>217</v>
      </c>
      <c r="E792" s="253" t="s">
        <v>218</v>
      </c>
      <c r="F792" s="253" t="s">
        <v>219</v>
      </c>
      <c r="G792" s="253" t="s">
        <v>220</v>
      </c>
      <c r="H792" s="253"/>
      <c r="I792" s="253">
        <v>2012</v>
      </c>
      <c r="J792" s="253"/>
      <c r="K792" s="253" t="s">
        <v>221</v>
      </c>
      <c r="L792" s="253"/>
      <c r="M792" s="253" t="s">
        <v>2753</v>
      </c>
      <c r="N792" s="253" t="s">
        <v>222</v>
      </c>
      <c r="O792" s="269" t="s">
        <v>223</v>
      </c>
      <c r="P792" s="253"/>
      <c r="Q792" s="253" t="s">
        <v>224</v>
      </c>
      <c r="R792" s="254" t="s">
        <v>225</v>
      </c>
      <c r="S792" s="252" t="s">
        <v>226</v>
      </c>
      <c r="T792" s="253" t="s">
        <v>228</v>
      </c>
      <c r="U792" s="253" t="s">
        <v>227</v>
      </c>
      <c r="V792" s="253">
        <v>0</v>
      </c>
      <c r="W792" s="253">
        <v>0</v>
      </c>
      <c r="X792" s="253">
        <v>0</v>
      </c>
      <c r="Y792" s="253">
        <v>0</v>
      </c>
      <c r="Z792" s="253">
        <v>0</v>
      </c>
      <c r="AA792" s="253">
        <v>1</v>
      </c>
      <c r="AB792" s="253">
        <v>0</v>
      </c>
      <c r="AC792" s="253">
        <v>0</v>
      </c>
      <c r="AD792" s="253">
        <v>0</v>
      </c>
      <c r="AE792" s="253">
        <v>0</v>
      </c>
      <c r="AF792" s="253">
        <v>0</v>
      </c>
      <c r="AG792" s="253">
        <v>0</v>
      </c>
      <c r="AH792" s="253">
        <v>0</v>
      </c>
      <c r="AI792" s="253">
        <v>0</v>
      </c>
      <c r="AJ792" s="253">
        <v>0</v>
      </c>
      <c r="AK792" s="253">
        <v>0</v>
      </c>
      <c r="AL792" s="253">
        <v>0</v>
      </c>
      <c r="AM792" s="253">
        <v>0</v>
      </c>
      <c r="AN792" s="253">
        <v>0</v>
      </c>
      <c r="AO792" s="253">
        <v>0</v>
      </c>
      <c r="AP792" s="253">
        <v>0</v>
      </c>
      <c r="AQ792" s="253">
        <v>0</v>
      </c>
      <c r="AR792" s="253">
        <v>0</v>
      </c>
      <c r="AS792" s="253">
        <v>0</v>
      </c>
      <c r="AT792" s="253">
        <v>0</v>
      </c>
      <c r="AU792" s="253">
        <v>0</v>
      </c>
      <c r="AV792" s="253">
        <v>0</v>
      </c>
      <c r="AW792" s="253">
        <v>0</v>
      </c>
      <c r="AX792" s="253">
        <v>0</v>
      </c>
      <c r="AY792" s="253">
        <v>0</v>
      </c>
      <c r="AZ792" s="271">
        <v>1</v>
      </c>
      <c r="BA792" s="271">
        <v>1</v>
      </c>
      <c r="BB792" s="253">
        <v>1</v>
      </c>
      <c r="BC792" s="253">
        <v>0</v>
      </c>
      <c r="BD792" s="253">
        <v>0</v>
      </c>
      <c r="BE792" s="253">
        <v>0</v>
      </c>
      <c r="BF792" s="253">
        <v>0</v>
      </c>
      <c r="BG792" s="253" t="s">
        <v>91</v>
      </c>
      <c r="BH792" s="2" t="str" cm="1">
        <f t="array" ref="BH792">IF(COUNTIF(BB792:BD792,"&lt;&gt;0")=1,INDEX($X$4:$AY$4,MATCH(TRUE,INDEX($X792:$AY792&lt;&gt;0,),0)),IF(COUNTIF(BB792:BD792,"&lt;&gt;0")=0,INDEX($AO$4:$AY$4,MATCH(1,$AO792:$AY792,0)),"Multiple strategies"))</f>
        <v>Silviculture for removals</v>
      </c>
      <c r="BI792" s="272" t="s">
        <v>229</v>
      </c>
      <c r="BJ792" s="253" t="s">
        <v>230</v>
      </c>
      <c r="BK792" s="273" t="s">
        <v>2754</v>
      </c>
      <c r="BL792" s="270" t="s">
        <v>231</v>
      </c>
      <c r="BM792" s="253">
        <v>90.539028419999994</v>
      </c>
      <c r="BN792" s="253">
        <v>98.063244030000007</v>
      </c>
      <c r="BO792" s="270">
        <v>0.92327180602246683</v>
      </c>
      <c r="BP792" s="253">
        <v>7.524215610000013</v>
      </c>
      <c r="BQ792" s="270">
        <v>15.355542061224517</v>
      </c>
      <c r="BR792" s="270" t="s">
        <v>232</v>
      </c>
      <c r="BS792" s="273" t="s">
        <v>2754</v>
      </c>
      <c r="BT792" s="270" t="s">
        <v>233</v>
      </c>
      <c r="BU792" s="253">
        <v>-8.2073792920000006</v>
      </c>
      <c r="BV792" s="253">
        <v>-8.12446701</v>
      </c>
      <c r="BW792" s="255">
        <v>0.98989783717187074</v>
      </c>
      <c r="BX792" s="253">
        <v>8.2912282000000559E-2</v>
      </c>
      <c r="BY792" s="253"/>
      <c r="BZ792" s="253">
        <v>8.2912282000000562E-5</v>
      </c>
      <c r="CA792" s="253">
        <v>5.3995021256441911E-6</v>
      </c>
      <c r="CB792" s="253">
        <v>0</v>
      </c>
      <c r="CC792" s="253">
        <v>0</v>
      </c>
      <c r="CD792" s="253">
        <v>0</v>
      </c>
      <c r="CE792" s="253">
        <v>0</v>
      </c>
      <c r="CF792" s="253">
        <v>0</v>
      </c>
      <c r="CG792" s="253">
        <v>0</v>
      </c>
      <c r="CH792" s="253">
        <v>0</v>
      </c>
      <c r="CI792" s="253">
        <v>0</v>
      </c>
      <c r="CJ792" s="253">
        <v>0</v>
      </c>
      <c r="CK792" s="253">
        <v>0</v>
      </c>
      <c r="CL792" s="253">
        <v>0</v>
      </c>
      <c r="CM792" s="253">
        <v>0</v>
      </c>
      <c r="CN792" s="253">
        <v>0</v>
      </c>
      <c r="CO792" s="253">
        <v>0</v>
      </c>
      <c r="CP792" s="253" t="s">
        <v>2755</v>
      </c>
      <c r="CQ792" s="253">
        <v>90.539028419999994</v>
      </c>
      <c r="CR792" s="253">
        <v>98.063244030000007</v>
      </c>
      <c r="CS792" s="253">
        <v>15.355542061224517</v>
      </c>
      <c r="CT792">
        <f>IF(BI792="Roundwood",$CS792/2,$CS792)</f>
        <v>15.355542061224517</v>
      </c>
      <c r="CU792" s="253">
        <v>-8.2073792920000006</v>
      </c>
      <c r="CV792" s="253">
        <v>-8.12446701</v>
      </c>
      <c r="CW792" s="253">
        <v>8.2912282000000562E-5</v>
      </c>
      <c r="CX792">
        <f>IFERROR($CW792/$CS792,"")</f>
        <v>5.3995021256441911E-6</v>
      </c>
      <c r="CY792">
        <f>IFERROR($CW792/$CS792,"")</f>
        <v>5.3995021256441911E-6</v>
      </c>
      <c r="CZ792">
        <f>IFERROR($CW792/$CT792,"")</f>
        <v>5.3995021256441911E-6</v>
      </c>
      <c r="DA792" s="254">
        <v>1.0102162828129297E-2</v>
      </c>
      <c r="DB792" s="252" t="s">
        <v>234</v>
      </c>
      <c r="DC792" s="253" t="s">
        <v>2756</v>
      </c>
      <c r="DD792" s="253" t="s">
        <v>235</v>
      </c>
      <c r="DE792" s="253"/>
      <c r="DF792" s="270"/>
      <c r="DG792" s="270">
        <v>80</v>
      </c>
      <c r="DH792" s="253" t="s">
        <v>2757</v>
      </c>
      <c r="DI792" s="253">
        <v>0</v>
      </c>
      <c r="DJ792" s="253">
        <v>1</v>
      </c>
      <c r="DK792" s="253">
        <v>0</v>
      </c>
      <c r="DL792" s="253">
        <v>0</v>
      </c>
      <c r="DM792" s="253"/>
      <c r="DN792" s="253">
        <v>1</v>
      </c>
      <c r="DO792" s="253" t="s">
        <v>173</v>
      </c>
      <c r="DP792" s="253">
        <v>0</v>
      </c>
      <c r="DQ792" s="253" t="s">
        <v>180</v>
      </c>
      <c r="DR792" s="253">
        <v>0</v>
      </c>
      <c r="DS792" s="253">
        <v>0</v>
      </c>
      <c r="DT792" s="253">
        <v>0</v>
      </c>
      <c r="DU792" s="270">
        <v>0</v>
      </c>
      <c r="DV792" s="270">
        <v>0</v>
      </c>
      <c r="DW792" s="270">
        <v>0</v>
      </c>
      <c r="DX792" s="270">
        <v>0</v>
      </c>
      <c r="DY792" s="253">
        <v>0</v>
      </c>
      <c r="DZ792" s="270" t="s">
        <v>926</v>
      </c>
      <c r="EA792" s="270">
        <v>1</v>
      </c>
      <c r="EB792" s="270">
        <v>1</v>
      </c>
      <c r="EC792" s="270">
        <v>1</v>
      </c>
      <c r="ED792" s="270">
        <v>0</v>
      </c>
      <c r="EE792" s="253">
        <v>0</v>
      </c>
      <c r="EF792" s="270">
        <v>0</v>
      </c>
      <c r="EG792" s="270">
        <v>1</v>
      </c>
      <c r="EH792" s="270">
        <v>1</v>
      </c>
      <c r="EI792" s="270">
        <v>0</v>
      </c>
      <c r="EJ792" s="270">
        <v>0</v>
      </c>
      <c r="EK792" s="253">
        <v>1</v>
      </c>
      <c r="EL792" s="270">
        <v>0</v>
      </c>
      <c r="EM792" s="253">
        <v>0</v>
      </c>
      <c r="EN792" s="254">
        <v>0</v>
      </c>
      <c r="EO792" s="252"/>
      <c r="EP792" t="str">
        <f>IF(AND(AND(AND(OR($EC792=1,$EB792=1),OR($EH792=1,$EF792=1)),SUM($EA792:$EE792,$EK792)&gt;=3),SUM($EF792:$EJ792)&gt;=2),"Whole sector approach","")</f>
        <v>Whole sector approach</v>
      </c>
      <c r="EQ792" t="str">
        <f>IF(AND(AND(OR($EC792=1,$EB792=1),AND($EH792=0,$EF792=0)),SUM($EA792:$EE792,$EK792)&gt;=4),"Ecosystem approach","")</f>
        <v/>
      </c>
      <c r="ER792" s="254" t="s">
        <v>531</v>
      </c>
      <c r="ES792" t="str">
        <f>IF(AND($EC792+$EB792+$EE792+$EA792+$ED792+$EG792=0,$N792="included"),"C neutral forest and HWP assumption","")</f>
        <v/>
      </c>
      <c r="ET792" t="str">
        <f>IF(AND(AND(AND(AND($EC792=1,$EB792+$EA792+$EG792&gt;=1),$EF792=1),$EH792+$EI792+$ED792+$EE792&gt;=2),$N792="included"),"All C pools assumption","")</f>
        <v/>
      </c>
      <c r="EU792" t="str">
        <f>IF(AND($ED792+$EE792+$EI792+$EH792+$EF792=0,$N792="included"),"In-situ only assumption","")</f>
        <v/>
      </c>
      <c r="EV792" s="253"/>
      <c r="EW792" s="253" t="s">
        <v>236</v>
      </c>
      <c r="EX792" s="253"/>
      <c r="EY792" t="str">
        <f>IF(ISNUMBER(BW792),IF(ABS(BW792-[3]QC_indicators!$B$2)&gt;3*[3]QC_indicators!$C$2,"C ratio",IF(ISNUMBER(CA792),IF(ABS(CA792-[3]QC_indicators!$B$1)&gt;3*[3]QC_indicators!$C$1,"DF","no"))),IF(ISNUMBER(CA792),IF(ABS(CA792-[3]QC_indicators!$B$1)&gt;3*[3]QC_indicators!$C$1,"DF","no")))</f>
        <v>no</v>
      </c>
      <c r="EZ792" s="274"/>
      <c r="FA792" t="str">
        <f>IF(LEN($CY792)=0,"",IF(AND($CY792&lt;(-0.05),$ES792="C neutral forest and HWP assumption"),"Cneutral paradox",IF(AND($CY792&gt;0.05,$EU792="In-situ only assumption"),"In-situ only paradox","")))</f>
        <v/>
      </c>
      <c r="FB792" s="274"/>
      <c r="FC792" s="274"/>
    </row>
    <row r="793" spans="1:160" ht="15" hidden="1" customHeight="1">
      <c r="A793" s="252" t="s">
        <v>214</v>
      </c>
      <c r="B793" s="253" t="s">
        <v>215</v>
      </c>
      <c r="C793" s="253" t="s">
        <v>216</v>
      </c>
      <c r="D793" s="253" t="s">
        <v>217</v>
      </c>
      <c r="E793" s="253" t="s">
        <v>218</v>
      </c>
      <c r="F793" s="253" t="s">
        <v>219</v>
      </c>
      <c r="G793" s="253" t="s">
        <v>220</v>
      </c>
      <c r="H793" s="253"/>
      <c r="I793" s="253">
        <v>2012</v>
      </c>
      <c r="J793" s="253"/>
      <c r="K793" s="253" t="s">
        <v>221</v>
      </c>
      <c r="L793" s="253"/>
      <c r="M793" s="253" t="s">
        <v>2753</v>
      </c>
      <c r="N793" s="253" t="s">
        <v>222</v>
      </c>
      <c r="O793" s="269" t="s">
        <v>223</v>
      </c>
      <c r="P793" s="253"/>
      <c r="Q793" s="253" t="s">
        <v>224</v>
      </c>
      <c r="R793" s="254" t="s">
        <v>225</v>
      </c>
      <c r="S793" s="252" t="s">
        <v>226</v>
      </c>
      <c r="T793" s="253" t="s">
        <v>228</v>
      </c>
      <c r="U793" s="253" t="s">
        <v>239</v>
      </c>
      <c r="V793" s="253">
        <v>0</v>
      </c>
      <c r="W793" s="253">
        <v>0</v>
      </c>
      <c r="X793" s="253">
        <v>0</v>
      </c>
      <c r="Y793" s="253">
        <v>0</v>
      </c>
      <c r="Z793" s="253">
        <v>0</v>
      </c>
      <c r="AA793" s="253">
        <v>1</v>
      </c>
      <c r="AB793" s="253">
        <v>0</v>
      </c>
      <c r="AC793" s="253">
        <v>0</v>
      </c>
      <c r="AD793" s="253">
        <v>0</v>
      </c>
      <c r="AE793" s="253">
        <v>0</v>
      </c>
      <c r="AF793" s="253">
        <v>0</v>
      </c>
      <c r="AG793" s="253">
        <v>0</v>
      </c>
      <c r="AH793" s="253">
        <v>0</v>
      </c>
      <c r="AI793" s="253">
        <v>0</v>
      </c>
      <c r="AJ793" s="253">
        <v>0</v>
      </c>
      <c r="AK793" s="253">
        <v>0</v>
      </c>
      <c r="AL793" s="253">
        <v>0</v>
      </c>
      <c r="AM793" s="253">
        <v>0</v>
      </c>
      <c r="AN793" s="253">
        <v>0</v>
      </c>
      <c r="AO793" s="253">
        <v>0</v>
      </c>
      <c r="AP793" s="253">
        <v>0</v>
      </c>
      <c r="AQ793" s="253">
        <v>0</v>
      </c>
      <c r="AR793" s="253">
        <v>0</v>
      </c>
      <c r="AS793" s="253">
        <v>0</v>
      </c>
      <c r="AT793" s="253">
        <v>0</v>
      </c>
      <c r="AU793" s="253">
        <v>0</v>
      </c>
      <c r="AV793" s="253">
        <v>0</v>
      </c>
      <c r="AW793" s="253">
        <v>0</v>
      </c>
      <c r="AX793" s="253">
        <v>0</v>
      </c>
      <c r="AY793" s="253">
        <v>0</v>
      </c>
      <c r="AZ793" s="271">
        <v>1</v>
      </c>
      <c r="BA793" s="271">
        <v>1</v>
      </c>
      <c r="BB793" s="253">
        <v>1</v>
      </c>
      <c r="BC793" s="253">
        <v>0</v>
      </c>
      <c r="BD793" s="253">
        <v>0</v>
      </c>
      <c r="BE793" s="253">
        <v>0</v>
      </c>
      <c r="BF793" s="253">
        <v>0</v>
      </c>
      <c r="BG793" s="253" t="s">
        <v>91</v>
      </c>
      <c r="BH793" s="2" t="str" cm="1">
        <f t="array" ref="BH793">IF(COUNTIF(BB793:BD793,"&lt;&gt;0")=1,INDEX($X$4:$AY$4,MATCH(TRUE,INDEX($X793:$AY793&lt;&gt;0,),0)),IF(COUNTIF(BB793:BD793,"&lt;&gt;0")=0,INDEX($AO$4:$AY$4,MATCH(1,$AO793:$AY793,0)),"Multiple strategies"))</f>
        <v>Silviculture for removals</v>
      </c>
      <c r="BI793" s="272" t="s">
        <v>229</v>
      </c>
      <c r="BJ793" s="253" t="s">
        <v>230</v>
      </c>
      <c r="BK793" s="273" t="s">
        <v>2754</v>
      </c>
      <c r="BL793" s="270" t="s">
        <v>231</v>
      </c>
      <c r="BM793" s="253">
        <v>69.827586210000007</v>
      </c>
      <c r="BN793" s="253">
        <v>95.977011489999995</v>
      </c>
      <c r="BO793" s="270">
        <v>0.72754491024421464</v>
      </c>
      <c r="BP793" s="253">
        <v>26.149425279999988</v>
      </c>
      <c r="BQ793" s="270">
        <v>53.366174040816304</v>
      </c>
      <c r="BR793" s="270" t="s">
        <v>232</v>
      </c>
      <c r="BS793" s="273" t="s">
        <v>2754</v>
      </c>
      <c r="BT793" s="270" t="s">
        <v>233</v>
      </c>
      <c r="BU793" s="253">
        <v>-8.4285714289999998</v>
      </c>
      <c r="BV793" s="253">
        <v>-8.1428571430000005</v>
      </c>
      <c r="BW793" s="255">
        <v>0.96610169488307962</v>
      </c>
      <c r="BX793" s="253">
        <v>0.28571428599999926</v>
      </c>
      <c r="BY793" s="253"/>
      <c r="BZ793" s="253">
        <v>2.8571428599999925E-4</v>
      </c>
      <c r="CA793" s="253">
        <v>5.3538461607061248E-6</v>
      </c>
      <c r="CB793" s="253">
        <v>0</v>
      </c>
      <c r="CC793" s="253">
        <v>0</v>
      </c>
      <c r="CD793" s="253">
        <v>0</v>
      </c>
      <c r="CE793" s="253">
        <v>0</v>
      </c>
      <c r="CF793" s="253">
        <v>0</v>
      </c>
      <c r="CG793" s="253">
        <v>0</v>
      </c>
      <c r="CH793" s="253">
        <v>0</v>
      </c>
      <c r="CI793" s="253">
        <v>0</v>
      </c>
      <c r="CJ793" s="253">
        <v>0</v>
      </c>
      <c r="CK793" s="253">
        <v>0</v>
      </c>
      <c r="CL793" s="253">
        <v>0</v>
      </c>
      <c r="CM793" s="253">
        <v>0</v>
      </c>
      <c r="CN793" s="253">
        <v>0</v>
      </c>
      <c r="CO793" s="253">
        <v>0</v>
      </c>
      <c r="CP793" s="253" t="s">
        <v>2755</v>
      </c>
      <c r="CQ793" s="253">
        <v>69.827586210000007</v>
      </c>
      <c r="CR793" s="253">
        <v>95.977011489999995</v>
      </c>
      <c r="CS793" s="253">
        <v>53.366174040816304</v>
      </c>
      <c r="CT793">
        <f>IF(BI793="Roundwood",$CS793/2,$CS793)</f>
        <v>53.366174040816304</v>
      </c>
      <c r="CU793" s="253">
        <v>-8.4285714289999998</v>
      </c>
      <c r="CV793" s="253">
        <v>-8.1428571430000005</v>
      </c>
      <c r="CW793" s="253">
        <v>2.8571428599999925E-4</v>
      </c>
      <c r="CX793">
        <f>IFERROR($CW793/$CS793,"")</f>
        <v>5.3538461607061248E-6</v>
      </c>
      <c r="CY793">
        <f>IFERROR($CW793/$CS793,"")</f>
        <v>5.3538461607061248E-6</v>
      </c>
      <c r="CZ793">
        <f>IFERROR($CW793/$CT793,"")</f>
        <v>5.3538461607061248E-6</v>
      </c>
      <c r="DA793" s="254">
        <v>3.3898305116920338E-2</v>
      </c>
      <c r="DB793" s="252" t="s">
        <v>234</v>
      </c>
      <c r="DC793" s="253" t="s">
        <v>2756</v>
      </c>
      <c r="DD793" s="253" t="s">
        <v>235</v>
      </c>
      <c r="DE793" s="253"/>
      <c r="DF793" s="270"/>
      <c r="DG793" s="270">
        <v>80</v>
      </c>
      <c r="DH793" s="253" t="s">
        <v>2757</v>
      </c>
      <c r="DI793" s="253">
        <v>0</v>
      </c>
      <c r="DJ793" s="253">
        <v>1</v>
      </c>
      <c r="DK793" s="253">
        <v>0</v>
      </c>
      <c r="DL793" s="253">
        <v>0</v>
      </c>
      <c r="DM793" s="253"/>
      <c r="DN793" s="253">
        <v>1</v>
      </c>
      <c r="DO793" s="253" t="s">
        <v>173</v>
      </c>
      <c r="DP793" s="253">
        <v>0</v>
      </c>
      <c r="DQ793" s="253" t="s">
        <v>180</v>
      </c>
      <c r="DR793" s="253">
        <v>0</v>
      </c>
      <c r="DS793" s="253">
        <v>0</v>
      </c>
      <c r="DT793" s="253">
        <v>0</v>
      </c>
      <c r="DU793" s="270">
        <v>0</v>
      </c>
      <c r="DV793" s="270">
        <v>0</v>
      </c>
      <c r="DW793" s="270">
        <v>0</v>
      </c>
      <c r="DX793" s="270">
        <v>0</v>
      </c>
      <c r="DY793" s="253">
        <v>0</v>
      </c>
      <c r="DZ793" s="270" t="s">
        <v>926</v>
      </c>
      <c r="EA793" s="270">
        <v>1</v>
      </c>
      <c r="EB793" s="270">
        <v>1</v>
      </c>
      <c r="EC793" s="270">
        <v>1</v>
      </c>
      <c r="ED793" s="270">
        <v>0</v>
      </c>
      <c r="EE793" s="253">
        <v>0</v>
      </c>
      <c r="EF793" s="270">
        <v>0</v>
      </c>
      <c r="EG793" s="270">
        <v>1</v>
      </c>
      <c r="EH793" s="270">
        <v>1</v>
      </c>
      <c r="EI793" s="270">
        <v>0</v>
      </c>
      <c r="EJ793" s="270">
        <v>0</v>
      </c>
      <c r="EK793" s="253">
        <v>1</v>
      </c>
      <c r="EL793" s="270">
        <v>0</v>
      </c>
      <c r="EM793" s="253">
        <v>0</v>
      </c>
      <c r="EN793" s="254">
        <v>0</v>
      </c>
      <c r="EO793" s="252"/>
      <c r="EP793" t="str">
        <f>IF(AND(AND(AND(OR($EC793=1,$EB793=1),OR($EH793=1,$EF793=1)),SUM($EA793:$EE793,$EK793)&gt;=3),SUM($EF793:$EJ793)&gt;=2),"Whole sector approach","")</f>
        <v>Whole sector approach</v>
      </c>
      <c r="EQ793" t="str">
        <f>IF(AND(AND(OR($EC793=1,$EB793=1),AND($EH793=0,$EF793=0)),SUM($EA793:$EE793,$EK793)&gt;=4),"Ecosystem approach","")</f>
        <v/>
      </c>
      <c r="ER793" s="254" t="s">
        <v>531</v>
      </c>
      <c r="ES793" t="str">
        <f>IF(AND($EC793+$EB793+$EE793+$EA793+$ED793+$EG793=0,$N793="included"),"C neutral forest and HWP assumption","")</f>
        <v/>
      </c>
      <c r="ET793" t="str">
        <f>IF(AND(AND(AND(AND($EC793=1,$EB793+$EA793+$EG793&gt;=1),$EF793=1),$EH793+$EI793+$ED793+$EE793&gt;=2),$N793="included"),"All C pools assumption","")</f>
        <v/>
      </c>
      <c r="EU793" t="str">
        <f>IF(AND($ED793+$EE793+$EI793+$EH793+$EF793=0,$N793="included"),"In-situ only assumption","")</f>
        <v/>
      </c>
      <c r="EV793" s="253"/>
      <c r="EW793" s="253" t="s">
        <v>236</v>
      </c>
      <c r="EX793" s="253"/>
      <c r="EY793" t="str">
        <f>IF(ISNUMBER(BW793),IF(ABS(BW793-[3]QC_indicators!$B$2)&gt;3*[3]QC_indicators!$C$2,"C ratio",IF(ISNUMBER(CA793),IF(ABS(CA793-[3]QC_indicators!$B$1)&gt;3*[3]QC_indicators!$C$1,"DF","no"))),IF(ISNUMBER(CA793),IF(ABS(CA793-[3]QC_indicators!$B$1)&gt;3*[3]QC_indicators!$C$1,"DF","no")))</f>
        <v>no</v>
      </c>
      <c r="EZ793" s="274"/>
      <c r="FA793" t="str">
        <f>IF(LEN($CY793)=0,"",IF(AND($CY793&lt;(-0.05),$ES793="C neutral forest and HWP assumption"),"Cneutral paradox",IF(AND($CY793&gt;0.05,$EU793="In-situ only assumption"),"In-situ only paradox","")))</f>
        <v/>
      </c>
      <c r="FB793" s="274"/>
      <c r="FC793" s="274"/>
    </row>
    <row r="794" spans="1:160" ht="15" hidden="1" customHeight="1">
      <c r="A794" s="252" t="s">
        <v>214</v>
      </c>
      <c r="B794" s="253" t="s">
        <v>215</v>
      </c>
      <c r="C794" s="253" t="s">
        <v>216</v>
      </c>
      <c r="D794" s="253" t="s">
        <v>217</v>
      </c>
      <c r="E794" s="253" t="s">
        <v>218</v>
      </c>
      <c r="F794" s="253" t="s">
        <v>219</v>
      </c>
      <c r="G794" s="253" t="s">
        <v>220</v>
      </c>
      <c r="H794" s="253"/>
      <c r="I794" s="253">
        <v>2012</v>
      </c>
      <c r="J794" s="253"/>
      <c r="K794" s="253" t="s">
        <v>221</v>
      </c>
      <c r="L794" s="253"/>
      <c r="M794" s="253" t="s">
        <v>2753</v>
      </c>
      <c r="N794" s="253" t="s">
        <v>222</v>
      </c>
      <c r="O794" s="269" t="s">
        <v>223</v>
      </c>
      <c r="P794" s="253"/>
      <c r="Q794" s="253" t="s">
        <v>224</v>
      </c>
      <c r="R794" s="254" t="s">
        <v>225</v>
      </c>
      <c r="S794" s="252" t="s">
        <v>226</v>
      </c>
      <c r="T794" s="253" t="s">
        <v>228</v>
      </c>
      <c r="U794" s="253" t="s">
        <v>237</v>
      </c>
      <c r="V794" s="253">
        <v>0</v>
      </c>
      <c r="W794" s="253">
        <v>0</v>
      </c>
      <c r="X794" s="253">
        <v>0</v>
      </c>
      <c r="Y794" s="253">
        <v>0</v>
      </c>
      <c r="Z794" s="253">
        <v>0</v>
      </c>
      <c r="AA794" s="253">
        <v>1</v>
      </c>
      <c r="AB794" s="253">
        <v>0</v>
      </c>
      <c r="AC794" s="253">
        <v>0</v>
      </c>
      <c r="AD794" s="253">
        <v>0</v>
      </c>
      <c r="AE794" s="253">
        <v>0</v>
      </c>
      <c r="AF794" s="253">
        <v>0</v>
      </c>
      <c r="AG794" s="253">
        <v>0</v>
      </c>
      <c r="AH794" s="253">
        <v>0</v>
      </c>
      <c r="AI794" s="253">
        <v>0</v>
      </c>
      <c r="AJ794" s="253">
        <v>0</v>
      </c>
      <c r="AK794" s="253">
        <v>0</v>
      </c>
      <c r="AL794" s="253">
        <v>0</v>
      </c>
      <c r="AM794" s="253">
        <v>0</v>
      </c>
      <c r="AN794" s="253">
        <v>0</v>
      </c>
      <c r="AO794" s="253">
        <v>0</v>
      </c>
      <c r="AP794" s="253">
        <v>0</v>
      </c>
      <c r="AQ794" s="253">
        <v>0</v>
      </c>
      <c r="AR794" s="253">
        <v>0</v>
      </c>
      <c r="AS794" s="253">
        <v>0</v>
      </c>
      <c r="AT794" s="253">
        <v>0</v>
      </c>
      <c r="AU794" s="253">
        <v>0</v>
      </c>
      <c r="AV794" s="253">
        <v>0</v>
      </c>
      <c r="AW794" s="253">
        <v>0</v>
      </c>
      <c r="AX794" s="253">
        <v>0</v>
      </c>
      <c r="AY794" s="253">
        <v>0</v>
      </c>
      <c r="AZ794" s="271">
        <v>1</v>
      </c>
      <c r="BA794" s="271">
        <v>1</v>
      </c>
      <c r="BB794" s="253">
        <v>1</v>
      </c>
      <c r="BC794" s="253">
        <v>0</v>
      </c>
      <c r="BD794" s="253">
        <v>0</v>
      </c>
      <c r="BE794" s="253">
        <v>0</v>
      </c>
      <c r="BF794" s="253">
        <v>0</v>
      </c>
      <c r="BG794" s="253" t="s">
        <v>91</v>
      </c>
      <c r="BH794" s="2" t="str" cm="1">
        <f t="array" ref="BH794">IF(COUNTIF(BB794:BD794,"&lt;&gt;0")=1,INDEX($X$4:$AY$4,MATCH(TRUE,INDEX($X794:$AY794&lt;&gt;0,),0)),IF(COUNTIF(BB794:BD794,"&lt;&gt;0")=0,INDEX($AO$4:$AY$4,MATCH(1,$AO794:$AY794,0)),"Multiple strategies"))</f>
        <v>Silviculture for removals</v>
      </c>
      <c r="BI794" s="272" t="s">
        <v>229</v>
      </c>
      <c r="BJ794" s="253" t="s">
        <v>230</v>
      </c>
      <c r="BK794" s="273" t="s">
        <v>2754</v>
      </c>
      <c r="BL794" s="270" t="s">
        <v>231</v>
      </c>
      <c r="BM794" s="253">
        <v>89.04746797</v>
      </c>
      <c r="BN794" s="253">
        <v>110.7133618</v>
      </c>
      <c r="BO794" s="270">
        <v>1.2433072419004572</v>
      </c>
      <c r="BP794" s="253">
        <v>21.665893830000002</v>
      </c>
      <c r="BQ794" s="270">
        <v>44.216109857142861</v>
      </c>
      <c r="BR794" s="270" t="s">
        <v>232</v>
      </c>
      <c r="BS794" s="273" t="s">
        <v>2754</v>
      </c>
      <c r="BT794" s="270" t="s">
        <v>233</v>
      </c>
      <c r="BU794" s="253">
        <v>-8.1050396580000008</v>
      </c>
      <c r="BV794" s="253">
        <v>-7.8881757170000002</v>
      </c>
      <c r="BW794" s="255">
        <v>0.97324332142089554</v>
      </c>
      <c r="BX794" s="253">
        <v>0.21686394100000062</v>
      </c>
      <c r="BY794" s="253"/>
      <c r="BZ794" s="253">
        <v>2.168639410000006E-4</v>
      </c>
      <c r="CA794" s="253">
        <v>4.9046363802845369E-6</v>
      </c>
      <c r="CB794" s="253">
        <v>0</v>
      </c>
      <c r="CC794" s="253">
        <v>0</v>
      </c>
      <c r="CD794" s="253">
        <v>0</v>
      </c>
      <c r="CE794" s="253">
        <v>0</v>
      </c>
      <c r="CF794" s="253">
        <v>0</v>
      </c>
      <c r="CG794" s="253">
        <v>0</v>
      </c>
      <c r="CH794" s="253">
        <v>0</v>
      </c>
      <c r="CI794" s="253">
        <v>0</v>
      </c>
      <c r="CJ794" s="253">
        <v>0</v>
      </c>
      <c r="CK794" s="253">
        <v>0</v>
      </c>
      <c r="CL794" s="253">
        <v>0</v>
      </c>
      <c r="CM794" s="253">
        <v>0</v>
      </c>
      <c r="CN794" s="253">
        <v>0</v>
      </c>
      <c r="CO794" s="253">
        <v>0</v>
      </c>
      <c r="CP794" s="253" t="s">
        <v>2755</v>
      </c>
      <c r="CQ794" s="253">
        <v>89.04746797</v>
      </c>
      <c r="CR794" s="253">
        <v>110.7133618</v>
      </c>
      <c r="CS794" s="253">
        <v>44.216109857142861</v>
      </c>
      <c r="CT794">
        <f>IF(BI794="Roundwood",$CS794/2,$CS794)</f>
        <v>44.216109857142861</v>
      </c>
      <c r="CU794" s="253">
        <v>-8.1050396580000008</v>
      </c>
      <c r="CV794" s="253">
        <v>-7.8881757170000002</v>
      </c>
      <c r="CW794" s="253">
        <v>2.168639410000006E-4</v>
      </c>
      <c r="CX794">
        <f>IFERROR($CW794/$CS794,"")</f>
        <v>4.9046363802845369E-6</v>
      </c>
      <c r="CY794">
        <f>IFERROR($CW794/$CS794,"")</f>
        <v>4.9046363802845369E-6</v>
      </c>
      <c r="CZ794">
        <f>IFERROR($CW794/$CT794,"")</f>
        <v>4.9046363802845369E-6</v>
      </c>
      <c r="DA794" s="254">
        <v>2.6756678579104441E-2</v>
      </c>
      <c r="DB794" s="252" t="s">
        <v>234</v>
      </c>
      <c r="DC794" s="253" t="s">
        <v>2756</v>
      </c>
      <c r="DD794" s="253" t="s">
        <v>235</v>
      </c>
      <c r="DE794" s="253"/>
      <c r="DF794" s="270"/>
      <c r="DG794" s="270">
        <v>80</v>
      </c>
      <c r="DH794" s="253" t="s">
        <v>2757</v>
      </c>
      <c r="DI794" s="253">
        <v>0</v>
      </c>
      <c r="DJ794" s="253">
        <v>1</v>
      </c>
      <c r="DK794" s="253">
        <v>0</v>
      </c>
      <c r="DL794" s="253">
        <v>0</v>
      </c>
      <c r="DM794" s="253"/>
      <c r="DN794" s="253">
        <v>1</v>
      </c>
      <c r="DO794" s="253" t="s">
        <v>173</v>
      </c>
      <c r="DP794" s="253">
        <v>0</v>
      </c>
      <c r="DQ794" s="253" t="s">
        <v>180</v>
      </c>
      <c r="DR794" s="253">
        <v>0</v>
      </c>
      <c r="DS794" s="253">
        <v>0</v>
      </c>
      <c r="DT794" s="253">
        <v>0</v>
      </c>
      <c r="DU794" s="270">
        <v>0</v>
      </c>
      <c r="DV794" s="270">
        <v>0</v>
      </c>
      <c r="DW794" s="270">
        <v>0</v>
      </c>
      <c r="DX794" s="270">
        <v>0</v>
      </c>
      <c r="DY794" s="253">
        <v>0</v>
      </c>
      <c r="DZ794" s="270" t="s">
        <v>926</v>
      </c>
      <c r="EA794" s="270">
        <v>1</v>
      </c>
      <c r="EB794" s="270">
        <v>1</v>
      </c>
      <c r="EC794" s="270">
        <v>1</v>
      </c>
      <c r="ED794" s="270">
        <v>0</v>
      </c>
      <c r="EE794" s="253">
        <v>0</v>
      </c>
      <c r="EF794" s="270">
        <v>0</v>
      </c>
      <c r="EG794" s="270">
        <v>1</v>
      </c>
      <c r="EH794" s="270">
        <v>1</v>
      </c>
      <c r="EI794" s="270">
        <v>0</v>
      </c>
      <c r="EJ794" s="270">
        <v>0</v>
      </c>
      <c r="EK794" s="253">
        <v>1</v>
      </c>
      <c r="EL794" s="270">
        <v>0</v>
      </c>
      <c r="EM794" s="253">
        <v>0</v>
      </c>
      <c r="EN794" s="254">
        <v>0</v>
      </c>
      <c r="EO794" s="252"/>
      <c r="EP794" t="str">
        <f>IF(AND(AND(AND(OR($EC794=1,$EB794=1),OR($EH794=1,$EF794=1)),SUM($EA794:$EE794,$EK794)&gt;=3),SUM($EF794:$EJ794)&gt;=2),"Whole sector approach","")</f>
        <v>Whole sector approach</v>
      </c>
      <c r="EQ794" t="str">
        <f>IF(AND(AND(OR($EC794=1,$EB794=1),AND($EH794=0,$EF794=0)),SUM($EA794:$EE794,$EK794)&gt;=4),"Ecosystem approach","")</f>
        <v/>
      </c>
      <c r="ER794" s="254" t="s">
        <v>531</v>
      </c>
      <c r="ES794" t="str">
        <f>IF(AND($EC794+$EB794+$EE794+$EA794+$ED794+$EG794=0,$N794="included"),"C neutral forest and HWP assumption","")</f>
        <v/>
      </c>
      <c r="ET794" t="str">
        <f>IF(AND(AND(AND(AND($EC794=1,$EB794+$EA794+$EG794&gt;=1),$EF794=1),$EH794+$EI794+$ED794+$EE794&gt;=2),$N794="included"),"All C pools assumption","")</f>
        <v/>
      </c>
      <c r="EU794" t="str">
        <f>IF(AND($ED794+$EE794+$EI794+$EH794+$EF794=0,$N794="included"),"In-situ only assumption","")</f>
        <v/>
      </c>
      <c r="EV794" s="253"/>
      <c r="EW794" s="253" t="s">
        <v>236</v>
      </c>
      <c r="EX794" s="253"/>
      <c r="EY794" t="str">
        <f>IF(ISNUMBER(BW794),IF(ABS(BW794-[3]QC_indicators!$B$2)&gt;3*[3]QC_indicators!$C$2,"C ratio",IF(ISNUMBER(CA794),IF(ABS(CA794-[3]QC_indicators!$B$1)&gt;3*[3]QC_indicators!$C$1,"DF","no"))),IF(ISNUMBER(CA794),IF(ABS(CA794-[3]QC_indicators!$B$1)&gt;3*[3]QC_indicators!$C$1,"DF","no")))</f>
        <v>no</v>
      </c>
      <c r="EZ794" s="274"/>
      <c r="FA794" t="str">
        <f>IF(LEN($CY794)=0,"",IF(AND($CY794&lt;(-0.05),$ES794="C neutral forest and HWP assumption"),"Cneutral paradox",IF(AND($CY794&gt;0.05,$EU794="In-situ only assumption"),"In-situ only paradox","")))</f>
        <v/>
      </c>
      <c r="FB794" s="274"/>
      <c r="FC794" s="274"/>
    </row>
    <row r="795" spans="1:160" ht="15" hidden="1" customHeight="1">
      <c r="A795" s="252" t="s">
        <v>214</v>
      </c>
      <c r="B795" s="253" t="s">
        <v>215</v>
      </c>
      <c r="C795" s="253" t="s">
        <v>216</v>
      </c>
      <c r="D795" s="253" t="s">
        <v>217</v>
      </c>
      <c r="E795" s="253" t="s">
        <v>218</v>
      </c>
      <c r="F795" s="253" t="s">
        <v>219</v>
      </c>
      <c r="G795" s="253" t="s">
        <v>220</v>
      </c>
      <c r="H795" s="253"/>
      <c r="I795" s="253">
        <v>2012</v>
      </c>
      <c r="J795" s="253"/>
      <c r="K795" s="253" t="s">
        <v>221</v>
      </c>
      <c r="L795" s="253"/>
      <c r="M795" s="253" t="s">
        <v>2753</v>
      </c>
      <c r="N795" s="253" t="s">
        <v>222</v>
      </c>
      <c r="O795" s="269" t="s">
        <v>223</v>
      </c>
      <c r="P795" s="253"/>
      <c r="Q795" s="253" t="s">
        <v>224</v>
      </c>
      <c r="R795" s="254" t="s">
        <v>225</v>
      </c>
      <c r="S795" s="252" t="s">
        <v>226</v>
      </c>
      <c r="T795" s="253" t="s">
        <v>228</v>
      </c>
      <c r="U795" s="253" t="s">
        <v>237</v>
      </c>
      <c r="V795" s="253">
        <v>0</v>
      </c>
      <c r="W795" s="253">
        <v>0</v>
      </c>
      <c r="X795" s="253">
        <v>0</v>
      </c>
      <c r="Y795" s="253">
        <v>0</v>
      </c>
      <c r="Z795" s="253">
        <v>0</v>
      </c>
      <c r="AA795" s="253">
        <v>1</v>
      </c>
      <c r="AB795" s="253">
        <v>0</v>
      </c>
      <c r="AC795" s="253">
        <v>0</v>
      </c>
      <c r="AD795" s="253">
        <v>0</v>
      </c>
      <c r="AE795" s="253">
        <v>0</v>
      </c>
      <c r="AF795" s="253">
        <v>0</v>
      </c>
      <c r="AG795" s="253">
        <v>0</v>
      </c>
      <c r="AH795" s="253">
        <v>0</v>
      </c>
      <c r="AI795" s="253">
        <v>0</v>
      </c>
      <c r="AJ795" s="253">
        <v>0</v>
      </c>
      <c r="AK795" s="253">
        <v>0</v>
      </c>
      <c r="AL795" s="253">
        <v>0</v>
      </c>
      <c r="AM795" s="253">
        <v>0</v>
      </c>
      <c r="AN795" s="253">
        <v>0</v>
      </c>
      <c r="AO795" s="253">
        <v>0</v>
      </c>
      <c r="AP795" s="253">
        <v>0</v>
      </c>
      <c r="AQ795" s="253">
        <v>0</v>
      </c>
      <c r="AR795" s="253">
        <v>0</v>
      </c>
      <c r="AS795" s="253">
        <v>0</v>
      </c>
      <c r="AT795" s="253">
        <v>0</v>
      </c>
      <c r="AU795" s="253">
        <v>0</v>
      </c>
      <c r="AV795" s="253">
        <v>0</v>
      </c>
      <c r="AW795" s="253">
        <v>0</v>
      </c>
      <c r="AX795" s="253">
        <v>0</v>
      </c>
      <c r="AY795" s="253">
        <v>0</v>
      </c>
      <c r="AZ795" s="271">
        <v>1</v>
      </c>
      <c r="BA795" s="271">
        <v>1</v>
      </c>
      <c r="BB795" s="253">
        <v>1</v>
      </c>
      <c r="BC795" s="253">
        <v>0</v>
      </c>
      <c r="BD795" s="253">
        <v>0</v>
      </c>
      <c r="BE795" s="253">
        <v>0</v>
      </c>
      <c r="BF795" s="253">
        <v>0</v>
      </c>
      <c r="BG795" s="253" t="s">
        <v>91</v>
      </c>
      <c r="BH795" s="2" t="str" cm="1">
        <f t="array" ref="BH795">IF(COUNTIF(BB795:BD795,"&lt;&gt;0")=1,INDEX($X$4:$AY$4,MATCH(TRUE,INDEX($X795:$AY795&lt;&gt;0,),0)),IF(COUNTIF(BB795:BD795,"&lt;&gt;0")=0,INDEX($AO$4:$AY$4,MATCH(1,$AO795:$AY795,0)),"Multiple strategies"))</f>
        <v>Silviculture for removals</v>
      </c>
      <c r="BI795" s="272" t="s">
        <v>229</v>
      </c>
      <c r="BJ795" s="253" t="s">
        <v>230</v>
      </c>
      <c r="BK795" s="273" t="s">
        <v>2754</v>
      </c>
      <c r="BL795" s="270" t="s">
        <v>231</v>
      </c>
      <c r="BM795" s="253">
        <v>100.5900439</v>
      </c>
      <c r="BN795" s="253">
        <v>127.1903367</v>
      </c>
      <c r="BO795" s="270">
        <v>1.2644426005663569</v>
      </c>
      <c r="BP795" s="253">
        <v>26.600292800000005</v>
      </c>
      <c r="BQ795" s="270">
        <v>54.286311836734704</v>
      </c>
      <c r="BR795" s="270" t="s">
        <v>232</v>
      </c>
      <c r="BS795" s="345" t="s">
        <v>2308</v>
      </c>
      <c r="BT795" s="270" t="s">
        <v>233</v>
      </c>
      <c r="BU795" s="253">
        <v>-11.804099559999999</v>
      </c>
      <c r="BV795" s="253">
        <v>-11.589751100000001</v>
      </c>
      <c r="BW795" s="255">
        <v>0.9818411850128449</v>
      </c>
      <c r="BX795" s="253">
        <v>0.2143484599999983</v>
      </c>
      <c r="BY795" s="253"/>
      <c r="BZ795" s="253">
        <v>2.143484599999983E-4</v>
      </c>
      <c r="CA795" s="253">
        <v>3.9484808001812348E-6</v>
      </c>
      <c r="CB795" s="253">
        <v>0</v>
      </c>
      <c r="CC795" s="253">
        <v>0</v>
      </c>
      <c r="CD795" s="253">
        <v>0</v>
      </c>
      <c r="CE795" s="253">
        <v>0</v>
      </c>
      <c r="CF795" s="253">
        <v>0</v>
      </c>
      <c r="CG795" s="253">
        <v>0</v>
      </c>
      <c r="CH795" s="253">
        <v>0</v>
      </c>
      <c r="CI795" s="253">
        <v>0</v>
      </c>
      <c r="CJ795" s="253">
        <v>0</v>
      </c>
      <c r="CK795" s="253">
        <v>0</v>
      </c>
      <c r="CL795" s="253">
        <v>0</v>
      </c>
      <c r="CM795" s="253">
        <v>0</v>
      </c>
      <c r="CN795" s="253">
        <v>0</v>
      </c>
      <c r="CO795" s="253">
        <v>0</v>
      </c>
      <c r="CP795" s="253" t="s">
        <v>2755</v>
      </c>
      <c r="CQ795" s="253">
        <v>100.5900439</v>
      </c>
      <c r="CR795" s="253">
        <v>127.1903367</v>
      </c>
      <c r="CS795" s="253">
        <v>54.286311836734704</v>
      </c>
      <c r="CT795">
        <f>IF(BI795="Roundwood",$CS795/2,$CS795)</f>
        <v>54.286311836734704</v>
      </c>
      <c r="CU795" s="253">
        <v>-11.804099559999999</v>
      </c>
      <c r="CV795" s="253">
        <v>-11.589751100000001</v>
      </c>
      <c r="CW795" s="253">
        <v>2.143484599999983E-4</v>
      </c>
      <c r="CX795">
        <f>IFERROR($CW795/$CS795,"")</f>
        <v>3.9484808001812348E-6</v>
      </c>
      <c r="CY795">
        <f>IFERROR($CW795/$CS795,"")</f>
        <v>3.9484808001812348E-6</v>
      </c>
      <c r="CZ795">
        <f>IFERROR($CW795/$CT795,"")</f>
        <v>3.9484808001812348E-6</v>
      </c>
      <c r="DA795" s="254">
        <v>1.8158814987155047E-2</v>
      </c>
      <c r="DB795" s="252" t="s">
        <v>234</v>
      </c>
      <c r="DC795" s="253" t="s">
        <v>2756</v>
      </c>
      <c r="DD795" s="253" t="s">
        <v>235</v>
      </c>
      <c r="DE795" s="253"/>
      <c r="DF795" s="270"/>
      <c r="DG795" s="270">
        <v>80</v>
      </c>
      <c r="DH795" s="253" t="s">
        <v>2757</v>
      </c>
      <c r="DI795" s="253">
        <v>0</v>
      </c>
      <c r="DJ795" s="253">
        <v>1</v>
      </c>
      <c r="DK795" s="253">
        <v>0</v>
      </c>
      <c r="DL795" s="253">
        <v>0</v>
      </c>
      <c r="DM795" s="253"/>
      <c r="DN795" s="253">
        <v>1</v>
      </c>
      <c r="DO795" s="253" t="s">
        <v>173</v>
      </c>
      <c r="DP795" s="253">
        <v>0</v>
      </c>
      <c r="DQ795" s="253" t="s">
        <v>180</v>
      </c>
      <c r="DR795" s="253">
        <v>0</v>
      </c>
      <c r="DS795" s="253">
        <v>0</v>
      </c>
      <c r="DT795" s="253">
        <v>0</v>
      </c>
      <c r="DU795" s="270">
        <v>0</v>
      </c>
      <c r="DV795" s="270">
        <v>0</v>
      </c>
      <c r="DW795" s="270">
        <v>0</v>
      </c>
      <c r="DX795" s="270">
        <v>0</v>
      </c>
      <c r="DY795" s="253">
        <v>0</v>
      </c>
      <c r="DZ795" s="270" t="s">
        <v>926</v>
      </c>
      <c r="EA795" s="270">
        <v>1</v>
      </c>
      <c r="EB795" s="270">
        <v>1</v>
      </c>
      <c r="EC795" s="270">
        <v>1</v>
      </c>
      <c r="ED795" s="270">
        <v>0</v>
      </c>
      <c r="EE795" s="253">
        <v>0</v>
      </c>
      <c r="EF795" s="270">
        <v>0</v>
      </c>
      <c r="EG795" s="270">
        <v>1</v>
      </c>
      <c r="EH795" s="270">
        <v>1</v>
      </c>
      <c r="EI795" s="270">
        <v>0</v>
      </c>
      <c r="EJ795" s="270">
        <v>0</v>
      </c>
      <c r="EK795" s="253">
        <v>1</v>
      </c>
      <c r="EL795" s="270">
        <v>0</v>
      </c>
      <c r="EM795" s="253">
        <v>0</v>
      </c>
      <c r="EN795" s="254">
        <v>0</v>
      </c>
      <c r="EO795" s="252"/>
      <c r="EP795" t="str">
        <f>IF(AND(AND(AND(OR($EC795=1,$EB795=1),OR($EH795=1,$EF795=1)),SUM($EA795:$EE795,$EK795)&gt;=3),SUM($EF795:$EJ795)&gt;=2),"Whole sector approach","")</f>
        <v>Whole sector approach</v>
      </c>
      <c r="EQ795" t="str">
        <f>IF(AND(AND(OR($EC795=1,$EB795=1),AND($EH795=0,$EF795=0)),SUM($EA795:$EE795,$EK795)&gt;=4),"Ecosystem approach","")</f>
        <v/>
      </c>
      <c r="ER795" s="254" t="s">
        <v>531</v>
      </c>
      <c r="ES795" t="str">
        <f>IF(AND($EC795+$EB795+$EE795+$EA795+$ED795+$EG795=0,$N795="included"),"C neutral forest and HWP assumption","")</f>
        <v/>
      </c>
      <c r="ET795" t="str">
        <f>IF(AND(AND(AND(AND($EC795=1,$EB795+$EA795+$EG795&gt;=1),$EF795=1),$EH795+$EI795+$ED795+$EE795&gt;=2),$N795="included"),"All C pools assumption","")</f>
        <v/>
      </c>
      <c r="EU795" t="str">
        <f>IF(AND($ED795+$EE795+$EI795+$EH795+$EF795=0,$N795="included"),"In-situ only assumption","")</f>
        <v/>
      </c>
      <c r="EV795" s="253"/>
      <c r="EW795" s="253" t="s">
        <v>236</v>
      </c>
      <c r="EX795" s="253"/>
      <c r="EY795" t="str">
        <f>IF(ISNUMBER(BW795),IF(ABS(BW795-[3]QC_indicators!$B$2)&gt;3*[3]QC_indicators!$C$2,"C ratio",IF(ISNUMBER(CA795),IF(ABS(CA795-[3]QC_indicators!$B$1)&gt;3*[3]QC_indicators!$C$1,"DF","no"))),IF(ISNUMBER(CA795),IF(ABS(CA795-[3]QC_indicators!$B$1)&gt;3*[3]QC_indicators!$C$1,"DF","no")))</f>
        <v>no</v>
      </c>
      <c r="EZ795" s="274"/>
      <c r="FA795" t="str">
        <f>IF(LEN($CY795)=0,"",IF(AND($CY795&lt;(-0.05),$ES795="C neutral forest and HWP assumption"),"Cneutral paradox",IF(AND($CY795&gt;0.05,$EU795="In-situ only assumption"),"In-situ only paradox","")))</f>
        <v/>
      </c>
      <c r="FB795" s="274"/>
      <c r="FC795" s="274"/>
    </row>
    <row r="796" spans="1:160" ht="15" hidden="1" customHeight="1">
      <c r="A796" s="252" t="s">
        <v>214</v>
      </c>
      <c r="B796" s="253" t="s">
        <v>215</v>
      </c>
      <c r="C796" s="253" t="s">
        <v>216</v>
      </c>
      <c r="D796" s="253" t="s">
        <v>217</v>
      </c>
      <c r="E796" s="253" t="s">
        <v>218</v>
      </c>
      <c r="F796" s="253" t="s">
        <v>219</v>
      </c>
      <c r="G796" s="253" t="s">
        <v>220</v>
      </c>
      <c r="H796" s="253"/>
      <c r="I796" s="253">
        <v>2012</v>
      </c>
      <c r="J796" s="253"/>
      <c r="K796" s="253" t="s">
        <v>221</v>
      </c>
      <c r="L796" s="253"/>
      <c r="M796" s="253" t="s">
        <v>2753</v>
      </c>
      <c r="N796" s="253" t="s">
        <v>222</v>
      </c>
      <c r="O796" s="269" t="s">
        <v>223</v>
      </c>
      <c r="P796" s="253"/>
      <c r="Q796" s="253" t="s">
        <v>224</v>
      </c>
      <c r="R796" s="254" t="s">
        <v>225</v>
      </c>
      <c r="S796" s="252" t="s">
        <v>226</v>
      </c>
      <c r="T796" s="253" t="s">
        <v>228</v>
      </c>
      <c r="U796" s="253" t="s">
        <v>237</v>
      </c>
      <c r="V796" s="253">
        <v>0</v>
      </c>
      <c r="W796" s="253">
        <v>0</v>
      </c>
      <c r="X796" s="253">
        <v>0</v>
      </c>
      <c r="Y796" s="253">
        <v>0</v>
      </c>
      <c r="Z796" s="253">
        <v>0</v>
      </c>
      <c r="AA796" s="253">
        <v>1</v>
      </c>
      <c r="AB796" s="253">
        <v>0</v>
      </c>
      <c r="AC796" s="253">
        <v>0</v>
      </c>
      <c r="AD796" s="253">
        <v>0</v>
      </c>
      <c r="AE796" s="253">
        <v>0</v>
      </c>
      <c r="AF796" s="253">
        <v>0</v>
      </c>
      <c r="AG796" s="253">
        <v>0</v>
      </c>
      <c r="AH796" s="253">
        <v>0</v>
      </c>
      <c r="AI796" s="253">
        <v>0</v>
      </c>
      <c r="AJ796" s="253">
        <v>0</v>
      </c>
      <c r="AK796" s="253">
        <v>0</v>
      </c>
      <c r="AL796" s="253">
        <v>0</v>
      </c>
      <c r="AM796" s="253">
        <v>0</v>
      </c>
      <c r="AN796" s="253">
        <v>0</v>
      </c>
      <c r="AO796" s="253">
        <v>0</v>
      </c>
      <c r="AP796" s="253">
        <v>0</v>
      </c>
      <c r="AQ796" s="253">
        <v>0</v>
      </c>
      <c r="AR796" s="253">
        <v>0</v>
      </c>
      <c r="AS796" s="253">
        <v>0</v>
      </c>
      <c r="AT796" s="253">
        <v>0</v>
      </c>
      <c r="AU796" s="253">
        <v>0</v>
      </c>
      <c r="AV796" s="253">
        <v>0</v>
      </c>
      <c r="AW796" s="253">
        <v>0</v>
      </c>
      <c r="AX796" s="253">
        <v>0</v>
      </c>
      <c r="AY796" s="253">
        <v>0</v>
      </c>
      <c r="AZ796" s="271">
        <v>1</v>
      </c>
      <c r="BA796" s="271">
        <v>1</v>
      </c>
      <c r="BB796" s="253">
        <v>1</v>
      </c>
      <c r="BC796" s="253">
        <v>0</v>
      </c>
      <c r="BD796" s="253">
        <v>0</v>
      </c>
      <c r="BE796" s="253">
        <v>0</v>
      </c>
      <c r="BF796" s="253">
        <v>0</v>
      </c>
      <c r="BG796" s="253" t="s">
        <v>91</v>
      </c>
      <c r="BH796" s="2" t="str" cm="1">
        <f t="array" ref="BH796">IF(COUNTIF(BB796:BD796,"&lt;&gt;0")=1,INDEX($X$4:$AY$4,MATCH(TRUE,INDEX($X796:$AY796&lt;&gt;0,),0)),IF(COUNTIF(BB796:BD796,"&lt;&gt;0")=0,INDEX($AO$4:$AY$4,MATCH(1,$AO796:$AY796,0)),"Multiple strategies"))</f>
        <v>Silviculture for removals</v>
      </c>
      <c r="BI796" s="272" t="s">
        <v>229</v>
      </c>
      <c r="BJ796" s="253" t="s">
        <v>230</v>
      </c>
      <c r="BK796" s="273" t="s">
        <v>2754</v>
      </c>
      <c r="BL796" s="270" t="s">
        <v>231</v>
      </c>
      <c r="BM796" s="253">
        <v>98.063244030000007</v>
      </c>
      <c r="BN796" s="253">
        <v>124.6996771</v>
      </c>
      <c r="BO796" s="270">
        <v>1.2716250449745599</v>
      </c>
      <c r="BP796" s="253">
        <v>26.636433069999995</v>
      </c>
      <c r="BQ796" s="270">
        <v>54.36006748979591</v>
      </c>
      <c r="BR796" s="270" t="s">
        <v>232</v>
      </c>
      <c r="BS796" s="273" t="s">
        <v>2754</v>
      </c>
      <c r="BT796" s="270" t="s">
        <v>233</v>
      </c>
      <c r="BU796" s="253">
        <v>-8.12446701</v>
      </c>
      <c r="BV796" s="253">
        <v>-7.9158553720000002</v>
      </c>
      <c r="BW796" s="255">
        <v>0.9743230370997592</v>
      </c>
      <c r="BX796" s="253">
        <v>0.20861163799999982</v>
      </c>
      <c r="BY796" s="253"/>
      <c r="BZ796" s="253">
        <v>2.0861163799999982E-4</v>
      </c>
      <c r="CA796" s="253">
        <v>3.83758975352926E-6</v>
      </c>
      <c r="CB796" s="253">
        <v>0</v>
      </c>
      <c r="CC796" s="253">
        <v>0</v>
      </c>
      <c r="CD796" s="253">
        <v>0</v>
      </c>
      <c r="CE796" s="253">
        <v>0</v>
      </c>
      <c r="CF796" s="253">
        <v>0</v>
      </c>
      <c r="CG796" s="253">
        <v>0</v>
      </c>
      <c r="CH796" s="253">
        <v>0</v>
      </c>
      <c r="CI796" s="253">
        <v>0</v>
      </c>
      <c r="CJ796" s="253">
        <v>0</v>
      </c>
      <c r="CK796" s="253">
        <v>0</v>
      </c>
      <c r="CL796" s="253">
        <v>0</v>
      </c>
      <c r="CM796" s="253">
        <v>0</v>
      </c>
      <c r="CN796" s="253">
        <v>0</v>
      </c>
      <c r="CO796" s="253">
        <v>0</v>
      </c>
      <c r="CP796" s="253" t="s">
        <v>2755</v>
      </c>
      <c r="CQ796" s="253">
        <v>98.063244030000007</v>
      </c>
      <c r="CR796" s="253">
        <v>124.6996771</v>
      </c>
      <c r="CS796" s="253">
        <v>54.36006748979591</v>
      </c>
      <c r="CT796">
        <f>IF(BI796="Roundwood",$CS796/2,$CS796)</f>
        <v>54.36006748979591</v>
      </c>
      <c r="CU796" s="253">
        <v>-8.12446701</v>
      </c>
      <c r="CV796" s="253">
        <v>-7.9158553720000002</v>
      </c>
      <c r="CW796" s="253">
        <v>2.0861163799999982E-4</v>
      </c>
      <c r="CX796">
        <f>IFERROR($CW796/$CS796,"")</f>
        <v>3.83758975352926E-6</v>
      </c>
      <c r="CY796">
        <f>IFERROR($CW796/$CS796,"")</f>
        <v>3.83758975352926E-6</v>
      </c>
      <c r="CZ796">
        <f>IFERROR($CW796/$CT796,"")</f>
        <v>3.83758975352926E-6</v>
      </c>
      <c r="DA796" s="254">
        <v>2.5676962900240741E-2</v>
      </c>
      <c r="DB796" s="252" t="s">
        <v>234</v>
      </c>
      <c r="DC796" s="253" t="s">
        <v>2756</v>
      </c>
      <c r="DD796" s="253" t="s">
        <v>235</v>
      </c>
      <c r="DE796" s="253"/>
      <c r="DF796" s="270"/>
      <c r="DG796" s="270">
        <v>80</v>
      </c>
      <c r="DH796" s="253" t="s">
        <v>2757</v>
      </c>
      <c r="DI796" s="253">
        <v>0</v>
      </c>
      <c r="DJ796" s="253">
        <v>1</v>
      </c>
      <c r="DK796" s="253">
        <v>0</v>
      </c>
      <c r="DL796" s="253">
        <v>0</v>
      </c>
      <c r="DM796" s="253"/>
      <c r="DN796" s="253">
        <v>1</v>
      </c>
      <c r="DO796" s="253" t="s">
        <v>173</v>
      </c>
      <c r="DP796" s="253">
        <v>0</v>
      </c>
      <c r="DQ796" s="253" t="s">
        <v>180</v>
      </c>
      <c r="DR796" s="253">
        <v>0</v>
      </c>
      <c r="DS796" s="253">
        <v>0</v>
      </c>
      <c r="DT796" s="253">
        <v>0</v>
      </c>
      <c r="DU796" s="270">
        <v>0</v>
      </c>
      <c r="DV796" s="270">
        <v>0</v>
      </c>
      <c r="DW796" s="270">
        <v>0</v>
      </c>
      <c r="DX796" s="270">
        <v>0</v>
      </c>
      <c r="DY796" s="253">
        <v>0</v>
      </c>
      <c r="DZ796" s="270" t="s">
        <v>926</v>
      </c>
      <c r="EA796" s="270">
        <v>1</v>
      </c>
      <c r="EB796" s="270">
        <v>1</v>
      </c>
      <c r="EC796" s="270">
        <v>1</v>
      </c>
      <c r="ED796" s="270">
        <v>0</v>
      </c>
      <c r="EE796" s="253">
        <v>0</v>
      </c>
      <c r="EF796" s="270">
        <v>0</v>
      </c>
      <c r="EG796" s="270">
        <v>1</v>
      </c>
      <c r="EH796" s="270">
        <v>1</v>
      </c>
      <c r="EI796" s="270">
        <v>0</v>
      </c>
      <c r="EJ796" s="270">
        <v>0</v>
      </c>
      <c r="EK796" s="253">
        <v>1</v>
      </c>
      <c r="EL796" s="270">
        <v>0</v>
      </c>
      <c r="EM796" s="253">
        <v>0</v>
      </c>
      <c r="EN796" s="254">
        <v>0</v>
      </c>
      <c r="EO796" s="252"/>
      <c r="EP796" t="str">
        <f>IF(AND(AND(AND(OR($EC796=1,$EB796=1),OR($EH796=1,$EF796=1)),SUM($EA796:$EE796,$EK796)&gt;=3),SUM($EF796:$EJ796)&gt;=2),"Whole sector approach","")</f>
        <v>Whole sector approach</v>
      </c>
      <c r="EQ796" t="str">
        <f>IF(AND(AND(OR($EC796=1,$EB796=1),AND($EH796=0,$EF796=0)),SUM($EA796:$EE796,$EK796)&gt;=4),"Ecosystem approach","")</f>
        <v/>
      </c>
      <c r="ER796" s="254" t="s">
        <v>531</v>
      </c>
      <c r="ES796" t="str">
        <f>IF(AND($EC796+$EB796+$EE796+$EA796+$ED796+$EG796=0,$N796="included"),"C neutral forest and HWP assumption","")</f>
        <v/>
      </c>
      <c r="ET796" t="str">
        <f>IF(AND(AND(AND(AND($EC796=1,$EB796+$EA796+$EG796&gt;=1),$EF796=1),$EH796+$EI796+$ED796+$EE796&gt;=2),$N796="included"),"All C pools assumption","")</f>
        <v/>
      </c>
      <c r="EU796" t="str">
        <f>IF(AND($ED796+$EE796+$EI796+$EH796+$EF796=0,$N796="included"),"In-situ only assumption","")</f>
        <v/>
      </c>
      <c r="EV796" s="253"/>
      <c r="EW796" s="253" t="s">
        <v>236</v>
      </c>
      <c r="EX796" s="253"/>
      <c r="EY796" t="str">
        <f>IF(ISNUMBER(BW796),IF(ABS(BW796-[3]QC_indicators!$B$2)&gt;3*[3]QC_indicators!$C$2,"C ratio",IF(ISNUMBER(CA796),IF(ABS(CA796-[3]QC_indicators!$B$1)&gt;3*[3]QC_indicators!$C$1,"DF","no"))),IF(ISNUMBER(CA796),IF(ABS(CA796-[3]QC_indicators!$B$1)&gt;3*[3]QC_indicators!$C$1,"DF","no")))</f>
        <v>no</v>
      </c>
      <c r="EZ796" s="253"/>
      <c r="FA796" t="str">
        <f>IF(LEN($CY796)=0,"",IF(AND($CY796&lt;(-0.05),$ES796="C neutral forest and HWP assumption"),"Cneutral paradox",IF(AND($CY796&gt;0.05,$EU796="In-situ only assumption"),"In-situ only paradox","")))</f>
        <v/>
      </c>
      <c r="FB796" s="253"/>
      <c r="FC796" s="253"/>
      <c r="FD796" s="253"/>
    </row>
    <row r="797" spans="1:160" ht="15" hidden="1" customHeight="1">
      <c r="A797" s="252" t="s">
        <v>214</v>
      </c>
      <c r="B797" s="253" t="s">
        <v>215</v>
      </c>
      <c r="C797" s="253" t="s">
        <v>216</v>
      </c>
      <c r="D797" s="253" t="s">
        <v>217</v>
      </c>
      <c r="E797" s="253" t="s">
        <v>218</v>
      </c>
      <c r="F797" s="253" t="s">
        <v>219</v>
      </c>
      <c r="G797" s="253" t="s">
        <v>220</v>
      </c>
      <c r="H797" s="253"/>
      <c r="I797" s="253">
        <v>2012</v>
      </c>
      <c r="J797" s="253"/>
      <c r="K797" s="253" t="s">
        <v>221</v>
      </c>
      <c r="L797" s="253"/>
      <c r="M797" s="253" t="s">
        <v>2753</v>
      </c>
      <c r="N797" s="253" t="s">
        <v>222</v>
      </c>
      <c r="O797" s="269" t="s">
        <v>223</v>
      </c>
      <c r="P797" s="253"/>
      <c r="Q797" s="253" t="s">
        <v>224</v>
      </c>
      <c r="R797" s="254" t="s">
        <v>225</v>
      </c>
      <c r="S797" s="252" t="s">
        <v>226</v>
      </c>
      <c r="T797" s="253" t="s">
        <v>228</v>
      </c>
      <c r="U797" s="253" t="s">
        <v>237</v>
      </c>
      <c r="V797" s="253">
        <v>0</v>
      </c>
      <c r="W797" s="253">
        <v>0</v>
      </c>
      <c r="X797" s="253">
        <v>0</v>
      </c>
      <c r="Y797" s="253">
        <v>0</v>
      </c>
      <c r="Z797" s="253">
        <v>0</v>
      </c>
      <c r="AA797" s="253">
        <v>1</v>
      </c>
      <c r="AB797" s="253">
        <v>0</v>
      </c>
      <c r="AC797" s="253">
        <v>0</v>
      </c>
      <c r="AD797" s="253">
        <v>0</v>
      </c>
      <c r="AE797" s="253">
        <v>0</v>
      </c>
      <c r="AF797" s="253">
        <v>0</v>
      </c>
      <c r="AG797" s="253">
        <v>0</v>
      </c>
      <c r="AH797" s="253">
        <v>0</v>
      </c>
      <c r="AI797" s="253">
        <v>0</v>
      </c>
      <c r="AJ797" s="253">
        <v>0</v>
      </c>
      <c r="AK797" s="253">
        <v>0</v>
      </c>
      <c r="AL797" s="253">
        <v>0</v>
      </c>
      <c r="AM797" s="253">
        <v>0</v>
      </c>
      <c r="AN797" s="253">
        <v>0</v>
      </c>
      <c r="AO797" s="253">
        <v>0</v>
      </c>
      <c r="AP797" s="253">
        <v>0</v>
      </c>
      <c r="AQ797" s="253">
        <v>0</v>
      </c>
      <c r="AR797" s="253">
        <v>0</v>
      </c>
      <c r="AS797" s="253">
        <v>0</v>
      </c>
      <c r="AT797" s="253">
        <v>0</v>
      </c>
      <c r="AU797" s="253">
        <v>0</v>
      </c>
      <c r="AV797" s="253">
        <v>0</v>
      </c>
      <c r="AW797" s="253">
        <v>0</v>
      </c>
      <c r="AX797" s="253">
        <v>0</v>
      </c>
      <c r="AY797" s="253">
        <v>0</v>
      </c>
      <c r="AZ797" s="271">
        <v>1</v>
      </c>
      <c r="BA797" s="271">
        <v>1</v>
      </c>
      <c r="BB797" s="253">
        <v>1</v>
      </c>
      <c r="BC797" s="253">
        <v>0</v>
      </c>
      <c r="BD797" s="253">
        <v>0</v>
      </c>
      <c r="BE797" s="253">
        <v>0</v>
      </c>
      <c r="BF797" s="253">
        <v>0</v>
      </c>
      <c r="BG797" s="253" t="s">
        <v>91</v>
      </c>
      <c r="BH797" s="2" t="str" cm="1">
        <f t="array" ref="BH797">IF(COUNTIF(BB797:BD797,"&lt;&gt;0")=1,INDEX($X$4:$AY$4,MATCH(TRUE,INDEX($X797:$AY797&lt;&gt;0,),0)),IF(COUNTIF(BB797:BD797,"&lt;&gt;0")=0,INDEX($AO$4:$AY$4,MATCH(1,$AO797:$AY797,0)),"Multiple strategies"))</f>
        <v>Silviculture for removals</v>
      </c>
      <c r="BI797" s="272" t="s">
        <v>229</v>
      </c>
      <c r="BJ797" s="253" t="s">
        <v>230</v>
      </c>
      <c r="BK797" s="273" t="s">
        <v>2754</v>
      </c>
      <c r="BL797" s="270" t="s">
        <v>231</v>
      </c>
      <c r="BM797" s="253">
        <v>47.845851490000001</v>
      </c>
      <c r="BN797" s="253">
        <v>54.766085619999998</v>
      </c>
      <c r="BO797" s="270">
        <v>0.87364015427327157</v>
      </c>
      <c r="BP797" s="253">
        <v>6.9202341299999972</v>
      </c>
      <c r="BQ797" s="270">
        <v>14.122926795918362</v>
      </c>
      <c r="BR797" s="270" t="s">
        <v>232</v>
      </c>
      <c r="BS797" s="273" t="s">
        <v>2754</v>
      </c>
      <c r="BT797" s="270" t="s">
        <v>233</v>
      </c>
      <c r="BU797" s="253">
        <v>-9.0763052210000001</v>
      </c>
      <c r="BV797" s="253">
        <v>-9.0261044179999992</v>
      </c>
      <c r="BW797" s="255">
        <v>0.99446902657219471</v>
      </c>
      <c r="BX797" s="253">
        <v>5.020080300000096E-2</v>
      </c>
      <c r="BY797" s="253"/>
      <c r="BZ797" s="253">
        <v>5.0200803000000959E-5</v>
      </c>
      <c r="CA797" s="253">
        <v>3.5545608729282225E-6</v>
      </c>
      <c r="CB797" s="253">
        <v>0</v>
      </c>
      <c r="CC797" s="253">
        <v>0</v>
      </c>
      <c r="CD797" s="253">
        <v>0</v>
      </c>
      <c r="CE797" s="253">
        <v>0</v>
      </c>
      <c r="CF797" s="253">
        <v>0</v>
      </c>
      <c r="CG797" s="253">
        <v>0</v>
      </c>
      <c r="CH797" s="253">
        <v>0</v>
      </c>
      <c r="CI797" s="253">
        <v>0</v>
      </c>
      <c r="CJ797" s="253">
        <v>0</v>
      </c>
      <c r="CK797" s="253">
        <v>0</v>
      </c>
      <c r="CL797" s="253">
        <v>0</v>
      </c>
      <c r="CM797" s="253">
        <v>0</v>
      </c>
      <c r="CN797" s="253">
        <v>0</v>
      </c>
      <c r="CO797" s="253">
        <v>0</v>
      </c>
      <c r="CP797" s="253" t="s">
        <v>2755</v>
      </c>
      <c r="CQ797" s="253">
        <v>47.845851490000001</v>
      </c>
      <c r="CR797" s="253">
        <v>54.766085619999998</v>
      </c>
      <c r="CS797" s="253">
        <v>14.122926795918362</v>
      </c>
      <c r="CT797">
        <f>IF(BI797="Roundwood",$CS797/2,$CS797)</f>
        <v>14.122926795918362</v>
      </c>
      <c r="CU797" s="253">
        <v>-9.0763052210000001</v>
      </c>
      <c r="CV797" s="253">
        <v>-9.0261044179999992</v>
      </c>
      <c r="CW797" s="253">
        <v>5.0200803000000959E-5</v>
      </c>
      <c r="CX797">
        <f>IFERROR($CW797/$CS797,"")</f>
        <v>3.5545608729282225E-6</v>
      </c>
      <c r="CY797">
        <f>IFERROR($CW797/$CS797,"")</f>
        <v>3.5545608729282225E-6</v>
      </c>
      <c r="CZ797">
        <f>IFERROR($CW797/$CT797,"")</f>
        <v>3.5545608729282225E-6</v>
      </c>
      <c r="DA797" s="254">
        <v>5.5309734278052389E-3</v>
      </c>
      <c r="DB797" s="252" t="s">
        <v>234</v>
      </c>
      <c r="DC797" s="253" t="s">
        <v>2756</v>
      </c>
      <c r="DD797" s="253" t="s">
        <v>235</v>
      </c>
      <c r="DE797" s="253"/>
      <c r="DF797" s="270"/>
      <c r="DG797" s="270">
        <v>80</v>
      </c>
      <c r="DH797" s="253" t="s">
        <v>2757</v>
      </c>
      <c r="DI797" s="253">
        <v>0</v>
      </c>
      <c r="DJ797" s="253">
        <v>1</v>
      </c>
      <c r="DK797" s="253">
        <v>0</v>
      </c>
      <c r="DL797" s="253">
        <v>0</v>
      </c>
      <c r="DM797" s="253"/>
      <c r="DN797" s="253">
        <v>1</v>
      </c>
      <c r="DO797" s="253" t="s">
        <v>173</v>
      </c>
      <c r="DP797" s="253">
        <v>0</v>
      </c>
      <c r="DQ797" s="253" t="s">
        <v>180</v>
      </c>
      <c r="DR797" s="253">
        <v>0</v>
      </c>
      <c r="DS797" s="253">
        <v>0</v>
      </c>
      <c r="DT797" s="253">
        <v>0</v>
      </c>
      <c r="DU797" s="270">
        <v>0</v>
      </c>
      <c r="DV797" s="270">
        <v>0</v>
      </c>
      <c r="DW797" s="270">
        <v>0</v>
      </c>
      <c r="DX797" s="270">
        <v>0</v>
      </c>
      <c r="DY797" s="253">
        <v>0</v>
      </c>
      <c r="DZ797" s="270" t="s">
        <v>926</v>
      </c>
      <c r="EA797" s="270">
        <v>1</v>
      </c>
      <c r="EB797" s="270">
        <v>1</v>
      </c>
      <c r="EC797" s="270">
        <v>1</v>
      </c>
      <c r="ED797" s="270">
        <v>0</v>
      </c>
      <c r="EE797" s="253">
        <v>0</v>
      </c>
      <c r="EF797" s="270">
        <v>0</v>
      </c>
      <c r="EG797" s="270">
        <v>1</v>
      </c>
      <c r="EH797" s="270">
        <v>1</v>
      </c>
      <c r="EI797" s="270">
        <v>0</v>
      </c>
      <c r="EJ797" s="270">
        <v>0</v>
      </c>
      <c r="EK797" s="253">
        <v>1</v>
      </c>
      <c r="EL797" s="270">
        <v>0</v>
      </c>
      <c r="EM797" s="253">
        <v>0</v>
      </c>
      <c r="EN797" s="254">
        <v>0</v>
      </c>
      <c r="EO797" s="252"/>
      <c r="EP797" t="str">
        <f>IF(AND(AND(AND(OR($EC797=1,$EB797=1),OR($EH797=1,$EF797=1)),SUM($EA797:$EE797,$EK797)&gt;=3),SUM($EF797:$EJ797)&gt;=2),"Whole sector approach","")</f>
        <v>Whole sector approach</v>
      </c>
      <c r="EQ797" t="str">
        <f>IF(AND(AND(OR($EC797=1,$EB797=1),AND($EH797=0,$EF797=0)),SUM($EA797:$EE797,$EK797)&gt;=4),"Ecosystem approach","")</f>
        <v/>
      </c>
      <c r="ER797" s="254" t="s">
        <v>531</v>
      </c>
      <c r="ES797" t="str">
        <f>IF(AND($EC797+$EB797+$EE797+$EA797+$ED797+$EG797=0,$N797="included"),"C neutral forest and HWP assumption","")</f>
        <v/>
      </c>
      <c r="ET797" t="str">
        <f>IF(AND(AND(AND(AND($EC797=1,$EB797+$EA797+$EG797&gt;=1),$EF797=1),$EH797+$EI797+$ED797+$EE797&gt;=2),$N797="included"),"All C pools assumption","")</f>
        <v/>
      </c>
      <c r="EU797" t="str">
        <f>IF(AND($ED797+$EE797+$EI797+$EH797+$EF797=0,$N797="included"),"In-situ only assumption","")</f>
        <v/>
      </c>
      <c r="EV797" s="253"/>
      <c r="EW797" s="253" t="s">
        <v>236</v>
      </c>
      <c r="EX797" s="253"/>
      <c r="EY797" t="str">
        <f>IF(ISNUMBER(BW797),IF(ABS(BW797-[3]QC_indicators!$B$2)&gt;3*[3]QC_indicators!$C$2,"C ratio",IF(ISNUMBER(CA797),IF(ABS(CA797-[3]QC_indicators!$B$1)&gt;3*[3]QC_indicators!$C$1,"DF","no"))),IF(ISNUMBER(CA797),IF(ABS(CA797-[3]QC_indicators!$B$1)&gt;3*[3]QC_indicators!$C$1,"DF","no")))</f>
        <v>no</v>
      </c>
      <c r="EZ797" s="253"/>
      <c r="FA797" t="str">
        <f>IF(LEN($CY797)=0,"",IF(AND($CY797&lt;(-0.05),$ES797="C neutral forest and HWP assumption"),"Cneutral paradox",IF(AND($CY797&gt;0.05,$EU797="In-situ only assumption"),"In-situ only paradox","")))</f>
        <v/>
      </c>
      <c r="FB797" s="253"/>
      <c r="FC797" s="253"/>
      <c r="FD797" s="253"/>
    </row>
    <row r="798" spans="1:160" ht="15" hidden="1" customHeight="1">
      <c r="A798" s="252" t="s">
        <v>214</v>
      </c>
      <c r="B798" s="253" t="s">
        <v>215</v>
      </c>
      <c r="C798" s="253" t="s">
        <v>216</v>
      </c>
      <c r="D798" s="253" t="s">
        <v>217</v>
      </c>
      <c r="E798" s="253" t="s">
        <v>218</v>
      </c>
      <c r="F798" s="253" t="s">
        <v>219</v>
      </c>
      <c r="G798" s="253" t="s">
        <v>220</v>
      </c>
      <c r="H798" s="253"/>
      <c r="I798" s="253">
        <v>2012</v>
      </c>
      <c r="J798" s="253"/>
      <c r="K798" s="253" t="s">
        <v>221</v>
      </c>
      <c r="L798" s="253"/>
      <c r="M798" s="253" t="s">
        <v>2753</v>
      </c>
      <c r="N798" s="253" t="s">
        <v>222</v>
      </c>
      <c r="O798" s="269" t="s">
        <v>223</v>
      </c>
      <c r="P798" s="253"/>
      <c r="Q798" s="253" t="s">
        <v>224</v>
      </c>
      <c r="R798" s="254" t="s">
        <v>225</v>
      </c>
      <c r="S798" s="252" t="s">
        <v>226</v>
      </c>
      <c r="T798" s="253" t="s">
        <v>228</v>
      </c>
      <c r="U798" s="253" t="s">
        <v>227</v>
      </c>
      <c r="V798" s="253">
        <v>0</v>
      </c>
      <c r="W798" s="253">
        <v>0</v>
      </c>
      <c r="X798" s="253">
        <v>0</v>
      </c>
      <c r="Y798" s="253">
        <v>0</v>
      </c>
      <c r="Z798" s="253">
        <v>0</v>
      </c>
      <c r="AA798" s="253">
        <v>1</v>
      </c>
      <c r="AB798" s="253">
        <v>0</v>
      </c>
      <c r="AC798" s="253">
        <v>0</v>
      </c>
      <c r="AD798" s="253">
        <v>0</v>
      </c>
      <c r="AE798" s="253">
        <v>0</v>
      </c>
      <c r="AF798" s="253">
        <v>0</v>
      </c>
      <c r="AG798" s="253">
        <v>0</v>
      </c>
      <c r="AH798" s="253">
        <v>0</v>
      </c>
      <c r="AI798" s="253">
        <v>0</v>
      </c>
      <c r="AJ798" s="253">
        <v>0</v>
      </c>
      <c r="AK798" s="253">
        <v>0</v>
      </c>
      <c r="AL798" s="253">
        <v>0</v>
      </c>
      <c r="AM798" s="253">
        <v>0</v>
      </c>
      <c r="AN798" s="253">
        <v>0</v>
      </c>
      <c r="AO798" s="253">
        <v>0</v>
      </c>
      <c r="AP798" s="253">
        <v>0</v>
      </c>
      <c r="AQ798" s="253">
        <v>0</v>
      </c>
      <c r="AR798" s="253">
        <v>0</v>
      </c>
      <c r="AS798" s="253">
        <v>0</v>
      </c>
      <c r="AT798" s="253">
        <v>0</v>
      </c>
      <c r="AU798" s="253">
        <v>0</v>
      </c>
      <c r="AV798" s="253">
        <v>0</v>
      </c>
      <c r="AW798" s="253">
        <v>0</v>
      </c>
      <c r="AX798" s="253">
        <v>0</v>
      </c>
      <c r="AY798" s="253">
        <v>0</v>
      </c>
      <c r="AZ798" s="271">
        <v>1</v>
      </c>
      <c r="BA798" s="271">
        <v>1</v>
      </c>
      <c r="BB798" s="253">
        <v>1</v>
      </c>
      <c r="BC798" s="253">
        <v>0</v>
      </c>
      <c r="BD798" s="253">
        <v>0</v>
      </c>
      <c r="BE798" s="253">
        <v>0</v>
      </c>
      <c r="BF798" s="253">
        <v>0</v>
      </c>
      <c r="BG798" s="253" t="s">
        <v>91</v>
      </c>
      <c r="BH798" s="2" t="str" cm="1">
        <f t="array" ref="BH798">IF(COUNTIF(BB798:BD798,"&lt;&gt;0")=1,INDEX($X$4:$AY$4,MATCH(TRUE,INDEX($X798:$AY798&lt;&gt;0,),0)),IF(COUNTIF(BB798:BD798,"&lt;&gt;0")=0,INDEX($AO$4:$AY$4,MATCH(1,$AO798:$AY798,0)),"Multiple strategies"))</f>
        <v>Silviculture for removals</v>
      </c>
      <c r="BI798" s="272" t="s">
        <v>229</v>
      </c>
      <c r="BJ798" s="253" t="s">
        <v>230</v>
      </c>
      <c r="BK798" s="273" t="s">
        <v>2754</v>
      </c>
      <c r="BL798" s="270" t="s">
        <v>231</v>
      </c>
      <c r="BM798" s="253">
        <v>85.005979260000004</v>
      </c>
      <c r="BN798" s="253">
        <v>89.04746797</v>
      </c>
      <c r="BO798" s="270">
        <v>0.9546142209078694</v>
      </c>
      <c r="BP798" s="253">
        <v>4.0414887099999959</v>
      </c>
      <c r="BQ798" s="270">
        <v>8.2479361428571352</v>
      </c>
      <c r="BR798" s="270" t="s">
        <v>232</v>
      </c>
      <c r="BS798" s="273" t="s">
        <v>2754</v>
      </c>
      <c r="BT798" s="270" t="s">
        <v>233</v>
      </c>
      <c r="BU798" s="253">
        <v>-8.1260280659999999</v>
      </c>
      <c r="BV798" s="253">
        <v>-8.1050396580000008</v>
      </c>
      <c r="BW798" s="255">
        <v>0.99741713813568811</v>
      </c>
      <c r="BX798" s="253">
        <v>2.0988407999999126E-2</v>
      </c>
      <c r="BY798" s="253"/>
      <c r="BZ798" s="253">
        <v>2.0988407999999125E-5</v>
      </c>
      <c r="CA798" s="253">
        <v>2.5446860446628788E-6</v>
      </c>
      <c r="CB798" s="253">
        <v>0</v>
      </c>
      <c r="CC798" s="253">
        <v>0</v>
      </c>
      <c r="CD798" s="253">
        <v>0</v>
      </c>
      <c r="CE798" s="253">
        <v>0</v>
      </c>
      <c r="CF798" s="253">
        <v>0</v>
      </c>
      <c r="CG798" s="253">
        <v>0</v>
      </c>
      <c r="CH798" s="253">
        <v>0</v>
      </c>
      <c r="CI798" s="253">
        <v>0</v>
      </c>
      <c r="CJ798" s="253">
        <v>0</v>
      </c>
      <c r="CK798" s="253">
        <v>0</v>
      </c>
      <c r="CL798" s="253">
        <v>0</v>
      </c>
      <c r="CM798" s="253">
        <v>0</v>
      </c>
      <c r="CN798" s="253">
        <v>0</v>
      </c>
      <c r="CO798" s="253">
        <v>0</v>
      </c>
      <c r="CP798" s="253" t="s">
        <v>2755</v>
      </c>
      <c r="CQ798" s="253">
        <v>85.005979260000004</v>
      </c>
      <c r="CR798" s="253">
        <v>89.04746797</v>
      </c>
      <c r="CS798" s="253">
        <v>8.2479361428571352</v>
      </c>
      <c r="CT798">
        <f>IF(BI798="Roundwood",$CS798/2,$CS798)</f>
        <v>8.2479361428571352</v>
      </c>
      <c r="CU798" s="253">
        <v>-8.1260280659999999</v>
      </c>
      <c r="CV798" s="253">
        <v>-8.1050396580000008</v>
      </c>
      <c r="CW798" s="253">
        <v>2.0988407999999125E-5</v>
      </c>
      <c r="CX798">
        <f>IFERROR($CW798/$CS798,"")</f>
        <v>2.5446860446628788E-6</v>
      </c>
      <c r="CY798">
        <f>IFERROR($CW798/$CS798,"")</f>
        <v>2.5446860446628788E-6</v>
      </c>
      <c r="CZ798">
        <f>IFERROR($CW798/$CT798,"")</f>
        <v>2.5446860446628788E-6</v>
      </c>
      <c r="DA798" s="254">
        <v>2.5828618643118435E-3</v>
      </c>
      <c r="DB798" s="252" t="s">
        <v>234</v>
      </c>
      <c r="DC798" s="253" t="s">
        <v>2756</v>
      </c>
      <c r="DD798" s="253" t="s">
        <v>235</v>
      </c>
      <c r="DE798" s="253"/>
      <c r="DF798" s="270"/>
      <c r="DG798" s="270">
        <v>80</v>
      </c>
      <c r="DH798" s="253" t="s">
        <v>2757</v>
      </c>
      <c r="DI798" s="253">
        <v>0</v>
      </c>
      <c r="DJ798" s="253">
        <v>1</v>
      </c>
      <c r="DK798" s="253">
        <v>0</v>
      </c>
      <c r="DL798" s="253">
        <v>0</v>
      </c>
      <c r="DM798" s="253"/>
      <c r="DN798" s="253">
        <v>1</v>
      </c>
      <c r="DO798" s="253" t="s">
        <v>173</v>
      </c>
      <c r="DP798" s="253">
        <v>0</v>
      </c>
      <c r="DQ798" s="253" t="s">
        <v>180</v>
      </c>
      <c r="DR798" s="253">
        <v>0</v>
      </c>
      <c r="DS798" s="253">
        <v>0</v>
      </c>
      <c r="DT798" s="253">
        <v>0</v>
      </c>
      <c r="DU798" s="270">
        <v>0</v>
      </c>
      <c r="DV798" s="270">
        <v>0</v>
      </c>
      <c r="DW798" s="270">
        <v>0</v>
      </c>
      <c r="DX798" s="270">
        <v>0</v>
      </c>
      <c r="DY798" s="253">
        <v>0</v>
      </c>
      <c r="DZ798" s="270" t="s">
        <v>926</v>
      </c>
      <c r="EA798" s="270">
        <v>1</v>
      </c>
      <c r="EB798" s="270">
        <v>1</v>
      </c>
      <c r="EC798" s="270">
        <v>1</v>
      </c>
      <c r="ED798" s="270">
        <v>0</v>
      </c>
      <c r="EE798" s="253">
        <v>0</v>
      </c>
      <c r="EF798" s="270">
        <v>0</v>
      </c>
      <c r="EG798" s="270">
        <v>1</v>
      </c>
      <c r="EH798" s="270">
        <v>1</v>
      </c>
      <c r="EI798" s="270">
        <v>0</v>
      </c>
      <c r="EJ798" s="270">
        <v>0</v>
      </c>
      <c r="EK798" s="253">
        <v>1</v>
      </c>
      <c r="EL798" s="270">
        <v>0</v>
      </c>
      <c r="EM798" s="253">
        <v>0</v>
      </c>
      <c r="EN798" s="254">
        <v>0</v>
      </c>
      <c r="EO798" s="252"/>
      <c r="EP798" t="str">
        <f>IF(AND(AND(AND(OR($EC798=1,$EB798=1),OR($EH798=1,$EF798=1)),SUM($EA798:$EE798,$EK798)&gt;=3),SUM($EF798:$EJ798)&gt;=2),"Whole sector approach","")</f>
        <v>Whole sector approach</v>
      </c>
      <c r="EQ798" t="str">
        <f>IF(AND(AND(OR($EC798=1,$EB798=1),AND($EH798=0,$EF798=0)),SUM($EA798:$EE798,$EK798)&gt;=4),"Ecosystem approach","")</f>
        <v/>
      </c>
      <c r="ER798" s="254" t="s">
        <v>531</v>
      </c>
      <c r="ES798" t="str">
        <f>IF(AND($EC798+$EB798+$EE798+$EA798+$ED798+$EG798=0,$N798="included"),"C neutral forest and HWP assumption","")</f>
        <v/>
      </c>
      <c r="ET798" t="str">
        <f>IF(AND(AND(AND(AND($EC798=1,$EB798+$EA798+$EG798&gt;=1),$EF798=1),$EH798+$EI798+$ED798+$EE798&gt;=2),$N798="included"),"All C pools assumption","")</f>
        <v/>
      </c>
      <c r="EU798" t="str">
        <f>IF(AND($ED798+$EE798+$EI798+$EH798+$EF798=0,$N798="included"),"In-situ only assumption","")</f>
        <v/>
      </c>
      <c r="EV798" s="253"/>
      <c r="EW798" s="253" t="s">
        <v>236</v>
      </c>
      <c r="EX798" s="253"/>
      <c r="EY798" t="str">
        <f>IF(ISNUMBER(BW798),IF(ABS(BW798-[3]QC_indicators!$B$2)&gt;3*[3]QC_indicators!$C$2,"C ratio",IF(ISNUMBER(CA798),IF(ABS(CA798-[3]QC_indicators!$B$1)&gt;3*[3]QC_indicators!$C$1,"DF","no"))),IF(ISNUMBER(CA798),IF(ABS(CA798-[3]QC_indicators!$B$1)&gt;3*[3]QC_indicators!$C$1,"DF","no")))</f>
        <v>no</v>
      </c>
      <c r="EZ798" s="253"/>
      <c r="FA798" t="str">
        <f>IF(LEN($CY798)=0,"",IF(AND($CY798&lt;(-0.05),$ES798="C neutral forest and HWP assumption"),"Cneutral paradox",IF(AND($CY798&gt;0.05,$EU798="In-situ only assumption"),"In-situ only paradox","")))</f>
        <v/>
      </c>
      <c r="FB798" s="253"/>
      <c r="FC798" s="253"/>
      <c r="FD798" s="253"/>
    </row>
    <row r="799" spans="1:160" ht="15" hidden="1" customHeight="1">
      <c r="A799" s="252" t="s">
        <v>214</v>
      </c>
      <c r="B799" s="253" t="s">
        <v>215</v>
      </c>
      <c r="C799" s="253" t="s">
        <v>216</v>
      </c>
      <c r="D799" s="253" t="s">
        <v>217</v>
      </c>
      <c r="E799" s="253" t="s">
        <v>218</v>
      </c>
      <c r="F799" s="253" t="s">
        <v>219</v>
      </c>
      <c r="G799" s="253" t="s">
        <v>220</v>
      </c>
      <c r="H799" s="253"/>
      <c r="I799" s="253">
        <v>2012</v>
      </c>
      <c r="J799" s="253"/>
      <c r="K799" s="253" t="s">
        <v>221</v>
      </c>
      <c r="L799" s="253"/>
      <c r="M799" s="253" t="s">
        <v>2753</v>
      </c>
      <c r="N799" s="253" t="s">
        <v>222</v>
      </c>
      <c r="O799" s="269" t="s">
        <v>223</v>
      </c>
      <c r="P799" s="253"/>
      <c r="Q799" s="253" t="s">
        <v>224</v>
      </c>
      <c r="R799" s="254" t="s">
        <v>225</v>
      </c>
      <c r="S799" s="252" t="s">
        <v>226</v>
      </c>
      <c r="T799" s="253" t="s">
        <v>228</v>
      </c>
      <c r="U799" s="253" t="s">
        <v>238</v>
      </c>
      <c r="V799" s="253">
        <v>0</v>
      </c>
      <c r="W799" s="253">
        <v>0</v>
      </c>
      <c r="X799" s="253">
        <v>0</v>
      </c>
      <c r="Y799" s="253">
        <v>0</v>
      </c>
      <c r="Z799" s="253">
        <v>0</v>
      </c>
      <c r="AA799" s="253">
        <v>1</v>
      </c>
      <c r="AB799" s="253">
        <v>0</v>
      </c>
      <c r="AC799" s="253">
        <v>0</v>
      </c>
      <c r="AD799" s="253">
        <v>0</v>
      </c>
      <c r="AE799" s="253">
        <v>0</v>
      </c>
      <c r="AF799" s="253">
        <v>0</v>
      </c>
      <c r="AG799" s="253">
        <v>0</v>
      </c>
      <c r="AH799" s="253">
        <v>0</v>
      </c>
      <c r="AI799" s="253">
        <v>0</v>
      </c>
      <c r="AJ799" s="253">
        <v>0</v>
      </c>
      <c r="AK799" s="253">
        <v>0</v>
      </c>
      <c r="AL799" s="253">
        <v>0</v>
      </c>
      <c r="AM799" s="253">
        <v>0</v>
      </c>
      <c r="AN799" s="253">
        <v>0</v>
      </c>
      <c r="AO799" s="253">
        <v>0</v>
      </c>
      <c r="AP799" s="253">
        <v>0</v>
      </c>
      <c r="AQ799" s="253">
        <v>0</v>
      </c>
      <c r="AR799" s="253">
        <v>0</v>
      </c>
      <c r="AS799" s="253">
        <v>0</v>
      </c>
      <c r="AT799" s="253">
        <v>0</v>
      </c>
      <c r="AU799" s="253">
        <v>0</v>
      </c>
      <c r="AV799" s="253">
        <v>0</v>
      </c>
      <c r="AW799" s="253">
        <v>0</v>
      </c>
      <c r="AX799" s="253">
        <v>0</v>
      </c>
      <c r="AY799" s="253">
        <v>0</v>
      </c>
      <c r="AZ799" s="271">
        <v>1</v>
      </c>
      <c r="BA799" s="271">
        <v>1</v>
      </c>
      <c r="BB799" s="253">
        <v>1</v>
      </c>
      <c r="BC799" s="253">
        <v>0</v>
      </c>
      <c r="BD799" s="253">
        <v>0</v>
      </c>
      <c r="BE799" s="253">
        <v>0</v>
      </c>
      <c r="BF799" s="253">
        <v>0</v>
      </c>
      <c r="BG799" s="253" t="s">
        <v>91</v>
      </c>
      <c r="BH799" s="2" t="str" cm="1">
        <f t="array" ref="BH799">IF(COUNTIF(BB799:BD799,"&lt;&gt;0")=1,INDEX($X$4:$AY$4,MATCH(TRUE,INDEX($X799:$AY799&lt;&gt;0,),0)),IF(COUNTIF(BB799:BD799,"&lt;&gt;0")=0,INDEX($AO$4:$AY$4,MATCH(1,$AO799:$AY799,0)),"Multiple strategies"))</f>
        <v>Silviculture for removals</v>
      </c>
      <c r="BI799" s="272" t="s">
        <v>229</v>
      </c>
      <c r="BJ799" s="253" t="s">
        <v>230</v>
      </c>
      <c r="BK799" s="273" t="s">
        <v>2754</v>
      </c>
      <c r="BL799" s="270" t="s">
        <v>231</v>
      </c>
      <c r="BM799" s="253">
        <v>46.459096459999998</v>
      </c>
      <c r="BN799" s="253">
        <v>56.739926740000001</v>
      </c>
      <c r="BO799" s="270">
        <v>0.81880783302541138</v>
      </c>
      <c r="BP799" s="253">
        <v>10.280830280000004</v>
      </c>
      <c r="BQ799" s="270">
        <v>20.981286285714294</v>
      </c>
      <c r="BR799" s="270" t="s">
        <v>232</v>
      </c>
      <c r="BS799" s="273" t="s">
        <v>2754</v>
      </c>
      <c r="BT799" s="270" t="s">
        <v>233</v>
      </c>
      <c r="BU799" s="253">
        <v>-9.5592716459999991</v>
      </c>
      <c r="BV799" s="253">
        <v>-9.5324096189999992</v>
      </c>
      <c r="BW799" s="255">
        <v>0.99718995044865788</v>
      </c>
      <c r="BX799" s="253">
        <v>2.6862026999999955E-2</v>
      </c>
      <c r="BY799" s="253"/>
      <c r="BZ799" s="253">
        <v>2.6862026999999954E-5</v>
      </c>
      <c r="CA799" s="253">
        <v>1.2802850423088564E-6</v>
      </c>
      <c r="CB799" s="253">
        <v>0</v>
      </c>
      <c r="CC799" s="253">
        <v>0</v>
      </c>
      <c r="CD799" s="253">
        <v>0</v>
      </c>
      <c r="CE799" s="253">
        <v>0</v>
      </c>
      <c r="CF799" s="253">
        <v>0</v>
      </c>
      <c r="CG799" s="253">
        <v>0</v>
      </c>
      <c r="CH799" s="253">
        <v>0</v>
      </c>
      <c r="CI799" s="253">
        <v>0</v>
      </c>
      <c r="CJ799" s="253">
        <v>0</v>
      </c>
      <c r="CK799" s="253">
        <v>0</v>
      </c>
      <c r="CL799" s="253">
        <v>0</v>
      </c>
      <c r="CM799" s="253">
        <v>0</v>
      </c>
      <c r="CN799" s="253">
        <v>0</v>
      </c>
      <c r="CO799" s="253">
        <v>0</v>
      </c>
      <c r="CP799" s="253" t="s">
        <v>2755</v>
      </c>
      <c r="CQ799" s="253">
        <v>46.459096459999998</v>
      </c>
      <c r="CR799" s="253">
        <v>56.739926740000001</v>
      </c>
      <c r="CS799" s="253">
        <v>20.981286285714294</v>
      </c>
      <c r="CT799">
        <f>IF(BI799="Roundwood",$CS799/2,$CS799)</f>
        <v>20.981286285714294</v>
      </c>
      <c r="CU799" s="253">
        <v>-9.5592716459999991</v>
      </c>
      <c r="CV799" s="253">
        <v>-9.5324096189999992</v>
      </c>
      <c r="CW799" s="253">
        <v>2.6862026999999954E-5</v>
      </c>
      <c r="CX799">
        <f>IFERROR($CW799/$CS799,"")</f>
        <v>1.2802850423088564E-6</v>
      </c>
      <c r="CY799">
        <f>IFERROR($CW799/$CS799,"")</f>
        <v>1.2802850423088564E-6</v>
      </c>
      <c r="CZ799">
        <f>IFERROR($CW799/$CT799,"")</f>
        <v>1.2802850423088564E-6</v>
      </c>
      <c r="DA799" s="254">
        <v>2.8100495513421419E-3</v>
      </c>
      <c r="DB799" s="252" t="s">
        <v>234</v>
      </c>
      <c r="DC799" s="253" t="s">
        <v>2756</v>
      </c>
      <c r="DD799" s="253" t="s">
        <v>235</v>
      </c>
      <c r="DE799" s="253"/>
      <c r="DF799" s="270"/>
      <c r="DG799" s="270">
        <v>80</v>
      </c>
      <c r="DH799" s="253" t="s">
        <v>2757</v>
      </c>
      <c r="DI799" s="253">
        <v>0</v>
      </c>
      <c r="DJ799" s="253">
        <v>1</v>
      </c>
      <c r="DK799" s="253">
        <v>0</v>
      </c>
      <c r="DL799" s="253">
        <v>0</v>
      </c>
      <c r="DM799" s="253"/>
      <c r="DN799" s="253">
        <v>1</v>
      </c>
      <c r="DO799" s="253" t="s">
        <v>173</v>
      </c>
      <c r="DP799" s="253">
        <v>0</v>
      </c>
      <c r="DQ799" s="253" t="s">
        <v>180</v>
      </c>
      <c r="DR799" s="253">
        <v>0</v>
      </c>
      <c r="DS799" s="253">
        <v>0</v>
      </c>
      <c r="DT799" s="253">
        <v>0</v>
      </c>
      <c r="DU799" s="270">
        <v>0</v>
      </c>
      <c r="DV799" s="270">
        <v>0</v>
      </c>
      <c r="DW799" s="270">
        <v>0</v>
      </c>
      <c r="DX799" s="270">
        <v>0</v>
      </c>
      <c r="DY799" s="253">
        <v>0</v>
      </c>
      <c r="DZ799" s="270" t="s">
        <v>926</v>
      </c>
      <c r="EA799" s="270">
        <v>1</v>
      </c>
      <c r="EB799" s="270">
        <v>1</v>
      </c>
      <c r="EC799" s="270">
        <v>1</v>
      </c>
      <c r="ED799" s="270">
        <v>0</v>
      </c>
      <c r="EE799" s="253">
        <v>0</v>
      </c>
      <c r="EF799" s="270">
        <v>0</v>
      </c>
      <c r="EG799" s="270">
        <v>1</v>
      </c>
      <c r="EH799" s="270">
        <v>1</v>
      </c>
      <c r="EI799" s="270">
        <v>0</v>
      </c>
      <c r="EJ799" s="270">
        <v>0</v>
      </c>
      <c r="EK799" s="253">
        <v>1</v>
      </c>
      <c r="EL799" s="270">
        <v>0</v>
      </c>
      <c r="EM799" s="253">
        <v>0</v>
      </c>
      <c r="EN799" s="254">
        <v>0</v>
      </c>
      <c r="EO799" s="252"/>
      <c r="EP799" t="str">
        <f>IF(AND(AND(AND(OR($EC799=1,$EB799=1),OR($EH799=1,$EF799=1)),SUM($EA799:$EE799,$EK799)&gt;=3),SUM($EF799:$EJ799)&gt;=2),"Whole sector approach","")</f>
        <v>Whole sector approach</v>
      </c>
      <c r="EQ799" t="str">
        <f>IF(AND(AND(OR($EC799=1,$EB799=1),AND($EH799=0,$EF799=0)),SUM($EA799:$EE799,$EK799)&gt;=4),"Ecosystem approach","")</f>
        <v/>
      </c>
      <c r="ER799" s="254" t="s">
        <v>531</v>
      </c>
      <c r="ES799" t="str">
        <f>IF(AND($EC799+$EB799+$EE799+$EA799+$ED799+$EG799=0,$N799="included"),"C neutral forest and HWP assumption","")</f>
        <v/>
      </c>
      <c r="ET799" t="str">
        <f>IF(AND(AND(AND(AND($EC799=1,$EB799+$EA799+$EG799&gt;=1),$EF799=1),$EH799+$EI799+$ED799+$EE799&gt;=2),$N799="included"),"All C pools assumption","")</f>
        <v/>
      </c>
      <c r="EU799" t="str">
        <f>IF(AND($ED799+$EE799+$EI799+$EH799+$EF799=0,$N799="included"),"In-situ only assumption","")</f>
        <v/>
      </c>
      <c r="EV799" s="253"/>
      <c r="EW799" s="253" t="s">
        <v>236</v>
      </c>
      <c r="EX799" s="253"/>
      <c r="EY799" t="str">
        <f>IF(ISNUMBER(BW799),IF(ABS(BW799-[3]QC_indicators!$B$2)&gt;3*[3]QC_indicators!$C$2,"C ratio",IF(ISNUMBER(CA799),IF(ABS(CA799-[3]QC_indicators!$B$1)&gt;3*[3]QC_indicators!$C$1,"DF","no"))),IF(ISNUMBER(CA799),IF(ABS(CA799-[3]QC_indicators!$B$1)&gt;3*[3]QC_indicators!$C$1,"DF","no")))</f>
        <v>no</v>
      </c>
      <c r="EZ799" s="253"/>
      <c r="FA799" t="str">
        <f>IF(LEN($CY799)=0,"",IF(AND($CY799&lt;(-0.05),$ES799="C neutral forest and HWP assumption"),"Cneutral paradox",IF(AND($CY799&gt;0.05,$EU799="In-situ only assumption"),"In-situ only paradox","")))</f>
        <v/>
      </c>
      <c r="FB799" s="253"/>
      <c r="FC799" s="253"/>
      <c r="FD799" s="253"/>
    </row>
    <row r="800" spans="1:160" ht="15" hidden="1" customHeight="1">
      <c r="A800" s="252" t="s">
        <v>214</v>
      </c>
      <c r="B800" s="253" t="s">
        <v>215</v>
      </c>
      <c r="C800" s="253" t="s">
        <v>216</v>
      </c>
      <c r="D800" s="253" t="s">
        <v>217</v>
      </c>
      <c r="E800" s="253" t="s">
        <v>218</v>
      </c>
      <c r="F800" s="253" t="s">
        <v>219</v>
      </c>
      <c r="G800" s="253" t="s">
        <v>220</v>
      </c>
      <c r="H800" s="253"/>
      <c r="I800" s="253">
        <v>2012</v>
      </c>
      <c r="J800" s="253"/>
      <c r="K800" s="253" t="s">
        <v>221</v>
      </c>
      <c r="L800" s="253"/>
      <c r="M800" s="253" t="s">
        <v>2753</v>
      </c>
      <c r="N800" s="253" t="s">
        <v>222</v>
      </c>
      <c r="O800" s="269" t="s">
        <v>223</v>
      </c>
      <c r="P800" s="253"/>
      <c r="Q800" s="253" t="s">
        <v>224</v>
      </c>
      <c r="R800" s="254" t="s">
        <v>225</v>
      </c>
      <c r="S800" s="252" t="s">
        <v>226</v>
      </c>
      <c r="T800" s="253" t="s">
        <v>228</v>
      </c>
      <c r="U800" s="253" t="s">
        <v>238</v>
      </c>
      <c r="V800" s="253">
        <v>0</v>
      </c>
      <c r="W800" s="253">
        <v>0</v>
      </c>
      <c r="X800" s="253">
        <v>0</v>
      </c>
      <c r="Y800" s="253">
        <v>0</v>
      </c>
      <c r="Z800" s="253">
        <v>0</v>
      </c>
      <c r="AA800" s="253">
        <v>1</v>
      </c>
      <c r="AB800" s="253">
        <v>0</v>
      </c>
      <c r="AC800" s="253">
        <v>0</v>
      </c>
      <c r="AD800" s="253">
        <v>0</v>
      </c>
      <c r="AE800" s="253">
        <v>0</v>
      </c>
      <c r="AF800" s="253">
        <v>0</v>
      </c>
      <c r="AG800" s="253">
        <v>0</v>
      </c>
      <c r="AH800" s="253">
        <v>0</v>
      </c>
      <c r="AI800" s="253">
        <v>0</v>
      </c>
      <c r="AJ800" s="253">
        <v>0</v>
      </c>
      <c r="AK800" s="253">
        <v>0</v>
      </c>
      <c r="AL800" s="253">
        <v>0</v>
      </c>
      <c r="AM800" s="253">
        <v>0</v>
      </c>
      <c r="AN800" s="253">
        <v>0</v>
      </c>
      <c r="AO800" s="253">
        <v>0</v>
      </c>
      <c r="AP800" s="253">
        <v>0</v>
      </c>
      <c r="AQ800" s="253">
        <v>0</v>
      </c>
      <c r="AR800" s="253">
        <v>0</v>
      </c>
      <c r="AS800" s="253">
        <v>0</v>
      </c>
      <c r="AT800" s="253">
        <v>0</v>
      </c>
      <c r="AU800" s="253">
        <v>0</v>
      </c>
      <c r="AV800" s="253">
        <v>0</v>
      </c>
      <c r="AW800" s="253">
        <v>0</v>
      </c>
      <c r="AX800" s="253">
        <v>0</v>
      </c>
      <c r="AY800" s="253">
        <v>0</v>
      </c>
      <c r="AZ800" s="271">
        <v>1</v>
      </c>
      <c r="BA800" s="271">
        <v>1</v>
      </c>
      <c r="BB800" s="253">
        <v>1</v>
      </c>
      <c r="BC800" s="253">
        <v>0</v>
      </c>
      <c r="BD800" s="253">
        <v>0</v>
      </c>
      <c r="BE800" s="253">
        <v>0</v>
      </c>
      <c r="BF800" s="253">
        <v>0</v>
      </c>
      <c r="BG800" s="253" t="s">
        <v>91</v>
      </c>
      <c r="BH800" s="2" t="str" cm="1">
        <f t="array" ref="BH800">IF(COUNTIF(BB800:BD800,"&lt;&gt;0")=1,INDEX($X$4:$AY$4,MATCH(TRUE,INDEX($X800:$AY800&lt;&gt;0,),0)),IF(COUNTIF(BB800:BD800,"&lt;&gt;0")=0,INDEX($AO$4:$AY$4,MATCH(1,$AO800:$AY800,0)),"Multiple strategies"))</f>
        <v>Silviculture for removals</v>
      </c>
      <c r="BI800" s="272" t="s">
        <v>229</v>
      </c>
      <c r="BJ800" s="253" t="s">
        <v>230</v>
      </c>
      <c r="BK800" s="273" t="s">
        <v>2754</v>
      </c>
      <c r="BL800" s="270" t="s">
        <v>231</v>
      </c>
      <c r="BM800" s="253">
        <v>53.696488080000002</v>
      </c>
      <c r="BN800" s="253">
        <v>66.639750489999997</v>
      </c>
      <c r="BO800" s="270">
        <v>0.80577264598338694</v>
      </c>
      <c r="BP800" s="253">
        <v>12.943262409999996</v>
      </c>
      <c r="BQ800" s="270">
        <v>26.414821244897951</v>
      </c>
      <c r="BR800" s="270" t="s">
        <v>232</v>
      </c>
      <c r="BS800" s="273" t="s">
        <v>2754</v>
      </c>
      <c r="BT800" s="270" t="s">
        <v>233</v>
      </c>
      <c r="BU800" s="253">
        <v>-9.4136546180000007</v>
      </c>
      <c r="BV800" s="253">
        <v>-9.4136546180000007</v>
      </c>
      <c r="BW800" s="255">
        <v>1</v>
      </c>
      <c r="BX800" s="253">
        <v>0</v>
      </c>
      <c r="BY800" s="253"/>
      <c r="BZ800" s="253">
        <v>0</v>
      </c>
      <c r="CA800" s="253">
        <v>0</v>
      </c>
      <c r="CB800" s="253">
        <v>0</v>
      </c>
      <c r="CC800" s="253">
        <v>0</v>
      </c>
      <c r="CD800" s="253">
        <v>0</v>
      </c>
      <c r="CE800" s="253">
        <v>0</v>
      </c>
      <c r="CF800" s="253">
        <v>0</v>
      </c>
      <c r="CG800" s="253">
        <v>0</v>
      </c>
      <c r="CH800" s="253">
        <v>0</v>
      </c>
      <c r="CI800" s="253">
        <v>0</v>
      </c>
      <c r="CJ800" s="253">
        <v>0</v>
      </c>
      <c r="CK800" s="253">
        <v>0</v>
      </c>
      <c r="CL800" s="253">
        <v>0</v>
      </c>
      <c r="CM800" s="253">
        <v>0</v>
      </c>
      <c r="CN800" s="253">
        <v>0</v>
      </c>
      <c r="CO800" s="253">
        <v>0</v>
      </c>
      <c r="CP800" s="253" t="s">
        <v>2755</v>
      </c>
      <c r="CQ800" s="253">
        <v>53.696488080000002</v>
      </c>
      <c r="CR800" s="253">
        <v>66.639750489999997</v>
      </c>
      <c r="CS800" s="253">
        <v>26.414821244897951</v>
      </c>
      <c r="CT800">
        <f>IF(BI800="Roundwood",$CS800/2,$CS800)</f>
        <v>26.414821244897951</v>
      </c>
      <c r="CU800" s="253">
        <v>-9.4136546180000007</v>
      </c>
      <c r="CV800" s="253">
        <v>-9.4136546180000007</v>
      </c>
      <c r="CW800" s="253">
        <v>0</v>
      </c>
      <c r="CX800">
        <f>IFERROR($CW800/$CS800,"")</f>
        <v>0</v>
      </c>
      <c r="CY800">
        <f>IFERROR($CW800/$CS800,"")</f>
        <v>0</v>
      </c>
      <c r="CZ800">
        <f>IFERROR($CW800/$CT800,"")</f>
        <v>0</v>
      </c>
      <c r="DA800" s="254">
        <v>0</v>
      </c>
      <c r="DB800" s="252" t="s">
        <v>234</v>
      </c>
      <c r="DC800" s="253" t="s">
        <v>2756</v>
      </c>
      <c r="DD800" s="253" t="s">
        <v>235</v>
      </c>
      <c r="DE800" s="253"/>
      <c r="DF800" s="270"/>
      <c r="DG800" s="270">
        <v>80</v>
      </c>
      <c r="DH800" s="253" t="s">
        <v>2757</v>
      </c>
      <c r="DI800" s="253">
        <v>0</v>
      </c>
      <c r="DJ800" s="253">
        <v>1</v>
      </c>
      <c r="DK800" s="253">
        <v>0</v>
      </c>
      <c r="DL800" s="253">
        <v>0</v>
      </c>
      <c r="DM800" s="253"/>
      <c r="DN800" s="253">
        <v>1</v>
      </c>
      <c r="DO800" s="253" t="s">
        <v>173</v>
      </c>
      <c r="DP800" s="253">
        <v>0</v>
      </c>
      <c r="DQ800" s="253" t="s">
        <v>180</v>
      </c>
      <c r="DR800" s="253">
        <v>0</v>
      </c>
      <c r="DS800" s="253">
        <v>0</v>
      </c>
      <c r="DT800" s="253">
        <v>0</v>
      </c>
      <c r="DU800" s="270">
        <v>0</v>
      </c>
      <c r="DV800" s="270">
        <v>0</v>
      </c>
      <c r="DW800" s="270">
        <v>0</v>
      </c>
      <c r="DX800" s="270">
        <v>0</v>
      </c>
      <c r="DY800" s="253">
        <v>0</v>
      </c>
      <c r="DZ800" s="270" t="s">
        <v>926</v>
      </c>
      <c r="EA800" s="270">
        <v>1</v>
      </c>
      <c r="EB800" s="270">
        <v>1</v>
      </c>
      <c r="EC800" s="270">
        <v>1</v>
      </c>
      <c r="ED800" s="270">
        <v>0</v>
      </c>
      <c r="EE800" s="253">
        <v>0</v>
      </c>
      <c r="EF800" s="270">
        <v>0</v>
      </c>
      <c r="EG800" s="270">
        <v>1</v>
      </c>
      <c r="EH800" s="270">
        <v>1</v>
      </c>
      <c r="EI800" s="270">
        <v>0</v>
      </c>
      <c r="EJ800" s="270">
        <v>0</v>
      </c>
      <c r="EK800" s="253">
        <v>1</v>
      </c>
      <c r="EL800" s="270">
        <v>0</v>
      </c>
      <c r="EM800" s="253">
        <v>0</v>
      </c>
      <c r="EN800" s="254">
        <v>0</v>
      </c>
      <c r="EO800" s="252"/>
      <c r="EP800" t="str">
        <f>IF(AND(AND(AND(OR($EC800=1,$EB800=1),OR($EH800=1,$EF800=1)),SUM($EA800:$EE800,$EK800)&gt;=3),SUM($EF800:$EJ800)&gt;=2),"Whole sector approach","")</f>
        <v>Whole sector approach</v>
      </c>
      <c r="EQ800" t="str">
        <f>IF(AND(AND(OR($EC800=1,$EB800=1),AND($EH800=0,$EF800=0)),SUM($EA800:$EE800,$EK800)&gt;=4),"Ecosystem approach","")</f>
        <v/>
      </c>
      <c r="ER800" s="254" t="s">
        <v>531</v>
      </c>
      <c r="ES800" t="str">
        <f>IF(AND($EC800+$EB800+$EE800+$EA800+$ED800+$EG800=0,$N800="included"),"C neutral forest and HWP assumption","")</f>
        <v/>
      </c>
      <c r="ET800" t="str">
        <f>IF(AND(AND(AND(AND($EC800=1,$EB800+$EA800+$EG800&gt;=1),$EF800=1),$EH800+$EI800+$ED800+$EE800&gt;=2),$N800="included"),"All C pools assumption","")</f>
        <v/>
      </c>
      <c r="EU800" t="str">
        <f>IF(AND($ED800+$EE800+$EI800+$EH800+$EF800=0,$N800="included"),"In-situ only assumption","")</f>
        <v/>
      </c>
      <c r="EV800" s="253"/>
      <c r="EW800" s="253" t="s">
        <v>236</v>
      </c>
      <c r="EX800" s="253"/>
      <c r="EY800" t="str">
        <f>IF(ISNUMBER(BW800),IF(ABS(BW800-[3]QC_indicators!$B$2)&gt;3*[3]QC_indicators!$C$2,"C ratio",IF(ISNUMBER(CA800),IF(ABS(CA800-[3]QC_indicators!$B$1)&gt;3*[3]QC_indicators!$C$1,"DF","no"))),IF(ISNUMBER(CA800),IF(ABS(CA800-[3]QC_indicators!$B$1)&gt;3*[3]QC_indicators!$C$1,"DF","no")))</f>
        <v>no</v>
      </c>
      <c r="EZ800" s="253"/>
      <c r="FA800" t="str">
        <f>IF(LEN($CY800)=0,"",IF(AND($CY800&lt;(-0.05),$ES800="C neutral forest and HWP assumption"),"Cneutral paradox",IF(AND($CY800&gt;0.05,$EU800="In-situ only assumption"),"In-situ only paradox","")))</f>
        <v/>
      </c>
      <c r="FB800" s="253"/>
      <c r="FC800" s="253"/>
      <c r="FD800" s="253"/>
    </row>
    <row r="801" spans="1:160" ht="15" hidden="1" customHeight="1">
      <c r="A801" s="252" t="s">
        <v>214</v>
      </c>
      <c r="B801" s="253" t="s">
        <v>215</v>
      </c>
      <c r="C801" s="253" t="s">
        <v>216</v>
      </c>
      <c r="D801" s="253" t="s">
        <v>217</v>
      </c>
      <c r="E801" s="253" t="s">
        <v>218</v>
      </c>
      <c r="F801" s="253" t="s">
        <v>219</v>
      </c>
      <c r="G801" s="253" t="s">
        <v>220</v>
      </c>
      <c r="H801" s="253"/>
      <c r="I801" s="253">
        <v>2012</v>
      </c>
      <c r="J801" s="253"/>
      <c r="K801" s="253" t="s">
        <v>221</v>
      </c>
      <c r="L801" s="253"/>
      <c r="M801" s="253" t="s">
        <v>2753</v>
      </c>
      <c r="N801" s="253" t="s">
        <v>222</v>
      </c>
      <c r="O801" s="269" t="s">
        <v>223</v>
      </c>
      <c r="P801" s="253"/>
      <c r="Q801" s="253" t="s">
        <v>224</v>
      </c>
      <c r="R801" s="254" t="s">
        <v>225</v>
      </c>
      <c r="S801" s="252" t="s">
        <v>226</v>
      </c>
      <c r="T801" s="253" t="s">
        <v>238</v>
      </c>
      <c r="U801" s="253" t="s">
        <v>228</v>
      </c>
      <c r="V801" s="253">
        <v>0</v>
      </c>
      <c r="W801" s="253">
        <v>0</v>
      </c>
      <c r="X801" s="253">
        <v>0</v>
      </c>
      <c r="Y801" s="253">
        <v>0</v>
      </c>
      <c r="Z801" s="253">
        <v>0</v>
      </c>
      <c r="AA801" s="253">
        <v>1</v>
      </c>
      <c r="AB801" s="253">
        <v>0</v>
      </c>
      <c r="AC801" s="253">
        <v>0</v>
      </c>
      <c r="AD801" s="253">
        <v>0</v>
      </c>
      <c r="AE801" s="253">
        <v>0</v>
      </c>
      <c r="AF801" s="253">
        <v>0</v>
      </c>
      <c r="AG801" s="253">
        <v>0</v>
      </c>
      <c r="AH801" s="253">
        <v>0</v>
      </c>
      <c r="AI801" s="253">
        <v>0</v>
      </c>
      <c r="AJ801" s="253">
        <v>0</v>
      </c>
      <c r="AK801" s="253">
        <v>0</v>
      </c>
      <c r="AL801" s="253">
        <v>0</v>
      </c>
      <c r="AM801" s="253">
        <v>0</v>
      </c>
      <c r="AN801" s="253">
        <v>0</v>
      </c>
      <c r="AO801" s="253">
        <v>0</v>
      </c>
      <c r="AP801" s="253">
        <v>0</v>
      </c>
      <c r="AQ801" s="253">
        <v>0</v>
      </c>
      <c r="AR801" s="253">
        <v>0</v>
      </c>
      <c r="AS801" s="253">
        <v>0</v>
      </c>
      <c r="AT801" s="253">
        <v>0</v>
      </c>
      <c r="AU801" s="253">
        <v>0</v>
      </c>
      <c r="AV801" s="253">
        <v>0</v>
      </c>
      <c r="AW801" s="253">
        <v>0</v>
      </c>
      <c r="AX801" s="253">
        <v>0</v>
      </c>
      <c r="AY801" s="253">
        <v>0</v>
      </c>
      <c r="AZ801" s="271">
        <v>1</v>
      </c>
      <c r="BA801" s="271">
        <v>1</v>
      </c>
      <c r="BB801" s="253">
        <v>1</v>
      </c>
      <c r="BC801" s="253">
        <v>0</v>
      </c>
      <c r="BD801" s="253">
        <v>0</v>
      </c>
      <c r="BE801" s="253">
        <v>0</v>
      </c>
      <c r="BF801" s="253">
        <v>0</v>
      </c>
      <c r="BG801" s="253" t="s">
        <v>91</v>
      </c>
      <c r="BH801" s="2" t="str" cm="1">
        <f t="array" ref="BH801">IF(COUNTIF(BB801:BD801,"&lt;&gt;0")=1,INDEX($X$4:$AY$4,MATCH(TRUE,INDEX($X801:$AY801&lt;&gt;0,),0)),IF(COUNTIF(BB801:BD801,"&lt;&gt;0")=0,INDEX($AO$4:$AY$4,MATCH(1,$AO801:$AY801,0)),"Multiple strategies"))</f>
        <v>Silviculture for removals</v>
      </c>
      <c r="BI801" s="272" t="s">
        <v>229</v>
      </c>
      <c r="BJ801" s="253" t="s">
        <v>230</v>
      </c>
      <c r="BK801" s="273" t="s">
        <v>2754</v>
      </c>
      <c r="BL801" s="270" t="s">
        <v>231</v>
      </c>
      <c r="BM801" s="253">
        <v>77.011494249999998</v>
      </c>
      <c r="BN801" s="253">
        <v>95.977011489999995</v>
      </c>
      <c r="BO801" s="253">
        <v>1.2462686567076966</v>
      </c>
      <c r="BP801" s="253">
        <v>18.965517239999997</v>
      </c>
      <c r="BQ801" s="270">
        <v>38.705137224489789</v>
      </c>
      <c r="BR801" s="270" t="s">
        <v>232</v>
      </c>
      <c r="BS801" s="273" t="s">
        <v>2754</v>
      </c>
      <c r="BT801" s="270" t="s">
        <v>233</v>
      </c>
      <c r="BU801" s="253">
        <v>-8</v>
      </c>
      <c r="BV801" s="253">
        <v>-8.1428571430000005</v>
      </c>
      <c r="BW801" s="255">
        <v>1.0178571428750001</v>
      </c>
      <c r="BX801" s="253">
        <v>-0.14285714300000052</v>
      </c>
      <c r="BY801" s="253"/>
      <c r="BZ801" s="253">
        <v>-1.4285714300000052E-4</v>
      </c>
      <c r="CA801" s="253">
        <v>-3.6909090948684437E-6</v>
      </c>
      <c r="CB801" s="253">
        <v>0</v>
      </c>
      <c r="CC801" s="253">
        <v>0</v>
      </c>
      <c r="CD801" s="253">
        <v>0</v>
      </c>
      <c r="CE801" s="253">
        <v>0</v>
      </c>
      <c r="CF801" s="253">
        <v>0</v>
      </c>
      <c r="CG801" s="253">
        <v>0</v>
      </c>
      <c r="CH801" s="253">
        <v>0</v>
      </c>
      <c r="CI801" s="253">
        <v>0</v>
      </c>
      <c r="CJ801" s="253">
        <v>0</v>
      </c>
      <c r="CK801" s="253">
        <v>0</v>
      </c>
      <c r="CL801" s="253">
        <v>0</v>
      </c>
      <c r="CM801" s="253">
        <v>0</v>
      </c>
      <c r="CN801" s="253">
        <v>0</v>
      </c>
      <c r="CO801" s="253">
        <v>0</v>
      </c>
      <c r="CP801" s="253" t="s">
        <v>2755</v>
      </c>
      <c r="CQ801" s="253">
        <v>77.011494249999998</v>
      </c>
      <c r="CR801" s="253">
        <v>95.977011489999995</v>
      </c>
      <c r="CS801" s="253">
        <v>38.705137224489789</v>
      </c>
      <c r="CT801">
        <f>IF(BI801="Roundwood",$CS801/2,$CS801)</f>
        <v>38.705137224489789</v>
      </c>
      <c r="CU801" s="253">
        <v>-8</v>
      </c>
      <c r="CV801" s="253">
        <v>-8.1428571430000005</v>
      </c>
      <c r="CW801" s="253">
        <v>-1.4285714300000052E-4</v>
      </c>
      <c r="CX801">
        <f>IFERROR($CW801/$CS801,"")</f>
        <v>-3.6909090948684437E-6</v>
      </c>
      <c r="CY801">
        <f>IFERROR($CW801/$CS801,"")</f>
        <v>-3.6909090948684437E-6</v>
      </c>
      <c r="CZ801">
        <f>IFERROR($CW801/$CT801,"")</f>
        <v>-3.6909090948684437E-6</v>
      </c>
      <c r="DA801" s="254">
        <v>-1.7857142875000065E-2</v>
      </c>
      <c r="DB801" s="252" t="s">
        <v>234</v>
      </c>
      <c r="DC801" s="253" t="s">
        <v>2756</v>
      </c>
      <c r="DD801" s="253" t="s">
        <v>235</v>
      </c>
      <c r="DE801" s="253"/>
      <c r="DF801" s="270"/>
      <c r="DG801" s="270">
        <v>80</v>
      </c>
      <c r="DH801" s="253" t="s">
        <v>2757</v>
      </c>
      <c r="DI801" s="253">
        <v>0</v>
      </c>
      <c r="DJ801" s="253">
        <v>1</v>
      </c>
      <c r="DK801" s="253">
        <v>0</v>
      </c>
      <c r="DL801" s="253">
        <v>0</v>
      </c>
      <c r="DM801" s="253"/>
      <c r="DN801" s="253">
        <v>1</v>
      </c>
      <c r="DO801" s="253" t="s">
        <v>173</v>
      </c>
      <c r="DP801" s="253">
        <v>0</v>
      </c>
      <c r="DQ801" s="253" t="s">
        <v>180</v>
      </c>
      <c r="DR801" s="253">
        <v>0</v>
      </c>
      <c r="DS801" s="253">
        <v>0</v>
      </c>
      <c r="DT801" s="253">
        <v>0</v>
      </c>
      <c r="DU801" s="270">
        <v>0</v>
      </c>
      <c r="DV801" s="270">
        <v>0</v>
      </c>
      <c r="DW801" s="270">
        <v>0</v>
      </c>
      <c r="DX801" s="270">
        <v>0</v>
      </c>
      <c r="DY801" s="253">
        <v>0</v>
      </c>
      <c r="DZ801" s="270" t="s">
        <v>926</v>
      </c>
      <c r="EA801" s="270">
        <v>1</v>
      </c>
      <c r="EB801" s="270">
        <v>1</v>
      </c>
      <c r="EC801" s="270">
        <v>1</v>
      </c>
      <c r="ED801" s="270">
        <v>0</v>
      </c>
      <c r="EE801" s="253">
        <v>0</v>
      </c>
      <c r="EF801" s="270">
        <v>0</v>
      </c>
      <c r="EG801" s="270">
        <v>1</v>
      </c>
      <c r="EH801" s="270">
        <v>1</v>
      </c>
      <c r="EI801" s="270">
        <v>0</v>
      </c>
      <c r="EJ801" s="270">
        <v>0</v>
      </c>
      <c r="EK801" s="253">
        <v>1</v>
      </c>
      <c r="EL801" s="270">
        <v>0</v>
      </c>
      <c r="EM801" s="253">
        <v>0</v>
      </c>
      <c r="EN801" s="254">
        <v>0</v>
      </c>
      <c r="EO801" s="252"/>
      <c r="EP801" t="str">
        <f>IF(AND(AND(AND(OR($EC801=1,$EB801=1),OR($EH801=1,$EF801=1)),SUM($EA801:$EE801,$EK801)&gt;=3),SUM($EF801:$EJ801)&gt;=2),"Whole sector approach","")</f>
        <v>Whole sector approach</v>
      </c>
      <c r="EQ801" t="str">
        <f>IF(AND(AND(OR($EC801=1,$EB801=1),AND($EH801=0,$EF801=0)),SUM($EA801:$EE801,$EK801)&gt;=4),"Ecosystem approach","")</f>
        <v/>
      </c>
      <c r="ER801" s="254" t="s">
        <v>531</v>
      </c>
      <c r="ES801" t="str">
        <f>IF(AND($EC801+$EB801+$EE801+$EA801+$ED801+$EG801=0,$N801="included"),"C neutral forest and HWP assumption","")</f>
        <v/>
      </c>
      <c r="ET801" t="str">
        <f>IF(AND(AND(AND(AND($EC801=1,$EB801+$EA801+$EG801&gt;=1),$EF801=1),$EH801+$EI801+$ED801+$EE801&gt;=2),$N801="included"),"All C pools assumption","")</f>
        <v/>
      </c>
      <c r="EU801" t="str">
        <f>IF(AND($ED801+$EE801+$EI801+$EH801+$EF801=0,$N801="included"),"In-situ only assumption","")</f>
        <v/>
      </c>
      <c r="EV801" s="253"/>
      <c r="EW801" s="253" t="s">
        <v>236</v>
      </c>
      <c r="EX801" s="253"/>
      <c r="EY801" t="str">
        <f>IF(ISNUMBER(BW801),IF(ABS(BW801-[3]QC_indicators!$B$2)&gt;3*[3]QC_indicators!$C$2,"C ratio",IF(ISNUMBER(CA801),IF(ABS(CA801-[3]QC_indicators!$B$1)&gt;3*[3]QC_indicators!$C$1,"DF","no"))),IF(ISNUMBER(CA801),IF(ABS(CA801-[3]QC_indicators!$B$1)&gt;3*[3]QC_indicators!$C$1,"DF","no")))</f>
        <v>no</v>
      </c>
      <c r="EZ801" s="253"/>
      <c r="FA801" t="str">
        <f>IF(LEN($CY801)=0,"",IF(AND($CY801&lt;(-0.05),$ES801="C neutral forest and HWP assumption"),"Cneutral paradox",IF(AND($CY801&gt;0.05,$EU801="In-situ only assumption"),"In-situ only paradox","")))</f>
        <v/>
      </c>
      <c r="FB801" s="253"/>
      <c r="FC801" s="253"/>
      <c r="FD801" s="253"/>
    </row>
    <row r="802" spans="1:160" ht="15" hidden="1" customHeight="1">
      <c r="A802" s="252" t="s">
        <v>214</v>
      </c>
      <c r="B802" s="253" t="s">
        <v>215</v>
      </c>
      <c r="C802" s="253" t="s">
        <v>216</v>
      </c>
      <c r="D802" s="253" t="s">
        <v>217</v>
      </c>
      <c r="E802" s="253" t="s">
        <v>218</v>
      </c>
      <c r="F802" s="253" t="s">
        <v>219</v>
      </c>
      <c r="G802" s="253" t="s">
        <v>220</v>
      </c>
      <c r="H802" s="253"/>
      <c r="I802" s="253">
        <v>2012</v>
      </c>
      <c r="J802" s="253"/>
      <c r="K802" s="253" t="s">
        <v>221</v>
      </c>
      <c r="L802" s="253"/>
      <c r="M802" s="253" t="s">
        <v>2753</v>
      </c>
      <c r="N802" s="253" t="s">
        <v>222</v>
      </c>
      <c r="O802" s="269" t="s">
        <v>223</v>
      </c>
      <c r="P802" s="253"/>
      <c r="Q802" s="253" t="s">
        <v>224</v>
      </c>
      <c r="R802" s="254" t="s">
        <v>225</v>
      </c>
      <c r="S802" s="252" t="s">
        <v>226</v>
      </c>
      <c r="T802" s="253" t="s">
        <v>227</v>
      </c>
      <c r="U802" s="253" t="s">
        <v>228</v>
      </c>
      <c r="V802" s="253">
        <v>0</v>
      </c>
      <c r="W802" s="253">
        <v>0</v>
      </c>
      <c r="X802" s="253">
        <v>0</v>
      </c>
      <c r="Y802" s="253">
        <v>0</v>
      </c>
      <c r="Z802" s="253">
        <v>0</v>
      </c>
      <c r="AA802" s="253">
        <v>1</v>
      </c>
      <c r="AB802" s="253">
        <v>0</v>
      </c>
      <c r="AC802" s="253">
        <v>0</v>
      </c>
      <c r="AD802" s="253">
        <v>0</v>
      </c>
      <c r="AE802" s="253">
        <v>0</v>
      </c>
      <c r="AF802" s="253">
        <v>0</v>
      </c>
      <c r="AG802" s="253">
        <v>0</v>
      </c>
      <c r="AH802" s="253">
        <v>0</v>
      </c>
      <c r="AI802" s="253">
        <v>0</v>
      </c>
      <c r="AJ802" s="253">
        <v>0</v>
      </c>
      <c r="AK802" s="253">
        <v>0</v>
      </c>
      <c r="AL802" s="253">
        <v>0</v>
      </c>
      <c r="AM802" s="253">
        <v>0</v>
      </c>
      <c r="AN802" s="253">
        <v>0</v>
      </c>
      <c r="AO802" s="253">
        <v>0</v>
      </c>
      <c r="AP802" s="253">
        <v>0</v>
      </c>
      <c r="AQ802" s="253">
        <v>0</v>
      </c>
      <c r="AR802" s="253">
        <v>0</v>
      </c>
      <c r="AS802" s="253">
        <v>0</v>
      </c>
      <c r="AT802" s="253">
        <v>0</v>
      </c>
      <c r="AU802" s="253">
        <v>0</v>
      </c>
      <c r="AV802" s="253">
        <v>0</v>
      </c>
      <c r="AW802" s="253">
        <v>0</v>
      </c>
      <c r="AX802" s="253">
        <v>0</v>
      </c>
      <c r="AY802" s="253">
        <v>0</v>
      </c>
      <c r="AZ802" s="271">
        <v>1</v>
      </c>
      <c r="BA802" s="271">
        <v>1</v>
      </c>
      <c r="BB802" s="253">
        <v>1</v>
      </c>
      <c r="BC802" s="253">
        <v>0</v>
      </c>
      <c r="BD802" s="253">
        <v>0</v>
      </c>
      <c r="BE802" s="253">
        <v>0</v>
      </c>
      <c r="BF802" s="253">
        <v>0</v>
      </c>
      <c r="BG802" s="253" t="s">
        <v>91</v>
      </c>
      <c r="BH802" s="2" t="str" cm="1">
        <f t="array" ref="BH802">IF(COUNTIF(BB802:BD802,"&lt;&gt;0")=1,INDEX($X$4:$AY$4,MATCH(TRUE,INDEX($X802:$AY802&lt;&gt;0,),0)),IF(COUNTIF(BB802:BD802,"&lt;&gt;0")=0,INDEX($AO$4:$AY$4,MATCH(1,$AO802:$AY802,0)),"Multiple strategies"))</f>
        <v>Silviculture for removals</v>
      </c>
      <c r="BI802" s="272" t="s">
        <v>229</v>
      </c>
      <c r="BJ802" s="253" t="s">
        <v>230</v>
      </c>
      <c r="BK802" s="273" t="s">
        <v>2754</v>
      </c>
      <c r="BL802" s="270" t="s">
        <v>231</v>
      </c>
      <c r="BM802" s="253">
        <v>53.012261809999998</v>
      </c>
      <c r="BN802" s="253">
        <v>54.766085619999998</v>
      </c>
      <c r="BO802" s="253">
        <v>1.0330833612850898</v>
      </c>
      <c r="BP802" s="253">
        <v>1.7538238100000001</v>
      </c>
      <c r="BQ802" s="270">
        <v>3.5792322653061226</v>
      </c>
      <c r="BR802" s="270" t="s">
        <v>232</v>
      </c>
      <c r="BS802" s="273" t="s">
        <v>2754</v>
      </c>
      <c r="BT802" s="270" t="s">
        <v>233</v>
      </c>
      <c r="BU802" s="253">
        <v>-8.8453815260000006</v>
      </c>
      <c r="BV802" s="253">
        <v>-9.0261044179999992</v>
      </c>
      <c r="BW802" s="255">
        <v>1.0204313280855986</v>
      </c>
      <c r="BX802" s="253">
        <v>-0.18072289199999858</v>
      </c>
      <c r="BY802" s="253"/>
      <c r="BZ802" s="253">
        <v>-1.8072289199999857E-4</v>
      </c>
      <c r="CA802" s="253">
        <v>-5.049208282786359E-5</v>
      </c>
      <c r="CB802" s="253">
        <v>0</v>
      </c>
      <c r="CC802" s="253">
        <v>0</v>
      </c>
      <c r="CD802" s="253">
        <v>0</v>
      </c>
      <c r="CE802" s="253">
        <v>0</v>
      </c>
      <c r="CF802" s="253">
        <v>0</v>
      </c>
      <c r="CG802" s="253">
        <v>0</v>
      </c>
      <c r="CH802" s="253">
        <v>0</v>
      </c>
      <c r="CI802" s="253">
        <v>0</v>
      </c>
      <c r="CJ802" s="253">
        <v>0</v>
      </c>
      <c r="CK802" s="253">
        <v>0</v>
      </c>
      <c r="CL802" s="253">
        <v>0</v>
      </c>
      <c r="CM802" s="253">
        <v>0</v>
      </c>
      <c r="CN802" s="253">
        <v>0</v>
      </c>
      <c r="CO802" s="253">
        <v>0</v>
      </c>
      <c r="CP802" s="253" t="s">
        <v>2755</v>
      </c>
      <c r="CQ802" s="253">
        <v>53.012261809999998</v>
      </c>
      <c r="CR802" s="253">
        <v>54.766085619999998</v>
      </c>
      <c r="CS802" s="253">
        <v>3.5792322653061226</v>
      </c>
      <c r="CT802">
        <f>IF(BI802="Roundwood",$CS802/2,$CS802)</f>
        <v>3.5792322653061226</v>
      </c>
      <c r="CU802" s="253">
        <v>-8.8453815260000006</v>
      </c>
      <c r="CV802" s="253">
        <v>-9.0261044179999992</v>
      </c>
      <c r="CW802" s="253">
        <v>-1.8072289199999857E-4</v>
      </c>
      <c r="CX802">
        <f>IFERROR($CW802/$CS802,"")</f>
        <v>-5.049208282786359E-5</v>
      </c>
      <c r="CY802">
        <f>IFERROR($CW802/$CS802,"")</f>
        <v>-5.049208282786359E-5</v>
      </c>
      <c r="CZ802">
        <f>IFERROR($CW802/$CT802,"")</f>
        <v>-5.049208282786359E-5</v>
      </c>
      <c r="DA802" s="254">
        <v>-2.0431328085598572E-2</v>
      </c>
      <c r="DB802" s="252" t="s">
        <v>234</v>
      </c>
      <c r="DC802" s="253" t="s">
        <v>2756</v>
      </c>
      <c r="DD802" s="253" t="s">
        <v>235</v>
      </c>
      <c r="DE802" s="253"/>
      <c r="DF802" s="270"/>
      <c r="DG802" s="270">
        <v>80</v>
      </c>
      <c r="DH802" s="253" t="s">
        <v>2757</v>
      </c>
      <c r="DI802" s="253">
        <v>0</v>
      </c>
      <c r="DJ802" s="253">
        <v>1</v>
      </c>
      <c r="DK802" s="253">
        <v>0</v>
      </c>
      <c r="DL802" s="253">
        <v>0</v>
      </c>
      <c r="DM802" s="253"/>
      <c r="DN802" s="253">
        <v>1</v>
      </c>
      <c r="DO802" s="253" t="s">
        <v>173</v>
      </c>
      <c r="DP802" s="253">
        <v>0</v>
      </c>
      <c r="DQ802" s="253" t="s">
        <v>180</v>
      </c>
      <c r="DR802" s="253">
        <v>0</v>
      </c>
      <c r="DS802" s="253">
        <v>0</v>
      </c>
      <c r="DT802" s="253">
        <v>0</v>
      </c>
      <c r="DU802" s="270">
        <v>0</v>
      </c>
      <c r="DV802" s="270">
        <v>0</v>
      </c>
      <c r="DW802" s="270">
        <v>0</v>
      </c>
      <c r="DX802" s="270">
        <v>0</v>
      </c>
      <c r="DY802" s="253">
        <v>0</v>
      </c>
      <c r="DZ802" s="270" t="s">
        <v>926</v>
      </c>
      <c r="EA802" s="270">
        <v>1</v>
      </c>
      <c r="EB802" s="270">
        <v>1</v>
      </c>
      <c r="EC802" s="270">
        <v>1</v>
      </c>
      <c r="ED802" s="270">
        <v>0</v>
      </c>
      <c r="EE802" s="253">
        <v>0</v>
      </c>
      <c r="EF802" s="270">
        <v>0</v>
      </c>
      <c r="EG802" s="270">
        <v>1</v>
      </c>
      <c r="EH802" s="270">
        <v>1</v>
      </c>
      <c r="EI802" s="270">
        <v>0</v>
      </c>
      <c r="EJ802" s="270">
        <v>0</v>
      </c>
      <c r="EK802" s="253">
        <v>1</v>
      </c>
      <c r="EL802" s="270">
        <v>0</v>
      </c>
      <c r="EM802" s="253">
        <v>0</v>
      </c>
      <c r="EN802" s="254">
        <v>0</v>
      </c>
      <c r="EO802" s="252"/>
      <c r="EP802" t="str">
        <f>IF(AND(AND(AND(OR($EC802=1,$EB802=1),OR($EH802=1,$EF802=1)),SUM($EA802:$EE802,$EK802)&gt;=3),SUM($EF802:$EJ802)&gt;=2),"Whole sector approach","")</f>
        <v>Whole sector approach</v>
      </c>
      <c r="EQ802" t="str">
        <f>IF(AND(AND(OR($EC802=1,$EB802=1),AND($EH802=0,$EF802=0)),SUM($EA802:$EE802,$EK802)&gt;=4),"Ecosystem approach","")</f>
        <v/>
      </c>
      <c r="ER802" s="254" t="s">
        <v>531</v>
      </c>
      <c r="ES802" t="str">
        <f>IF(AND($EC802+$EB802+$EE802+$EA802+$ED802+$EG802=0,$N802="included"),"C neutral forest and HWP assumption","")</f>
        <v/>
      </c>
      <c r="ET802" t="str">
        <f>IF(AND(AND(AND(AND($EC802=1,$EB802+$EA802+$EG802&gt;=1),$EF802=1),$EH802+$EI802+$ED802+$EE802&gt;=2),$N802="included"),"All C pools assumption","")</f>
        <v/>
      </c>
      <c r="EU802" t="str">
        <f>IF(AND($ED802+$EE802+$EI802+$EH802+$EF802=0,$N802="included"),"In-situ only assumption","")</f>
        <v/>
      </c>
      <c r="EV802" s="253"/>
      <c r="EW802" s="253" t="s">
        <v>236</v>
      </c>
      <c r="EX802" s="253"/>
      <c r="EY802" t="str">
        <f>IF(ISNUMBER(BW802),IF(ABS(BW802-[3]QC_indicators!$B$2)&gt;3*[3]QC_indicators!$C$2,"C ratio",IF(ISNUMBER(CA802),IF(ABS(CA802-[3]QC_indicators!$B$1)&gt;3*[3]QC_indicators!$C$1,"DF","no"))),IF(ISNUMBER(CA802),IF(ABS(CA802-[3]QC_indicators!$B$1)&gt;3*[3]QC_indicators!$C$1,"DF","no")))</f>
        <v>no</v>
      </c>
      <c r="EZ802" s="253"/>
      <c r="FA802" t="str">
        <f>IF(LEN($CY802)=0,"",IF(AND($CY802&lt;(-0.05),$ES802="C neutral forest and HWP assumption"),"Cneutral paradox",IF(AND($CY802&gt;0.05,$EU802="In-situ only assumption"),"In-situ only paradox","")))</f>
        <v/>
      </c>
      <c r="FB802" s="253"/>
      <c r="FC802" s="253"/>
      <c r="FD802" s="253"/>
    </row>
    <row r="803" spans="1:160" ht="15" hidden="1" customHeight="1">
      <c r="A803" s="252" t="s">
        <v>214</v>
      </c>
      <c r="B803" s="253" t="s">
        <v>215</v>
      </c>
      <c r="C803" s="253" t="s">
        <v>216</v>
      </c>
      <c r="D803" s="253" t="s">
        <v>217</v>
      </c>
      <c r="E803" s="253" t="s">
        <v>218</v>
      </c>
      <c r="F803" s="253" t="s">
        <v>219</v>
      </c>
      <c r="G803" s="253" t="s">
        <v>220</v>
      </c>
      <c r="H803" s="253"/>
      <c r="I803" s="253">
        <v>2012</v>
      </c>
      <c r="J803" s="253"/>
      <c r="K803" s="253" t="s">
        <v>221</v>
      </c>
      <c r="L803" s="253"/>
      <c r="M803" s="253" t="s">
        <v>2753</v>
      </c>
      <c r="N803" s="253" t="s">
        <v>222</v>
      </c>
      <c r="O803" s="269" t="s">
        <v>223</v>
      </c>
      <c r="P803" s="253"/>
      <c r="Q803" s="253" t="s">
        <v>224</v>
      </c>
      <c r="R803" s="254" t="s">
        <v>225</v>
      </c>
      <c r="S803" s="252" t="s">
        <v>226</v>
      </c>
      <c r="T803" s="253" t="s">
        <v>237</v>
      </c>
      <c r="U803" s="253" t="s">
        <v>228</v>
      </c>
      <c r="V803" s="253">
        <v>0</v>
      </c>
      <c r="W803" s="253">
        <v>0</v>
      </c>
      <c r="X803" s="253">
        <v>0</v>
      </c>
      <c r="Y803" s="253">
        <v>0</v>
      </c>
      <c r="Z803" s="253">
        <v>0</v>
      </c>
      <c r="AA803" s="253">
        <v>1</v>
      </c>
      <c r="AB803" s="253">
        <v>0</v>
      </c>
      <c r="AC803" s="253">
        <v>0</v>
      </c>
      <c r="AD803" s="253">
        <v>0</v>
      </c>
      <c r="AE803" s="253">
        <v>0</v>
      </c>
      <c r="AF803" s="253">
        <v>0</v>
      </c>
      <c r="AG803" s="253">
        <v>0</v>
      </c>
      <c r="AH803" s="253">
        <v>0</v>
      </c>
      <c r="AI803" s="253">
        <v>0</v>
      </c>
      <c r="AJ803" s="253">
        <v>0</v>
      </c>
      <c r="AK803" s="253">
        <v>0</v>
      </c>
      <c r="AL803" s="253">
        <v>0</v>
      </c>
      <c r="AM803" s="253">
        <v>0</v>
      </c>
      <c r="AN803" s="253">
        <v>0</v>
      </c>
      <c r="AO803" s="253">
        <v>0</v>
      </c>
      <c r="AP803" s="253">
        <v>0</v>
      </c>
      <c r="AQ803" s="253">
        <v>0</v>
      </c>
      <c r="AR803" s="253">
        <v>0</v>
      </c>
      <c r="AS803" s="253">
        <v>0</v>
      </c>
      <c r="AT803" s="253">
        <v>0</v>
      </c>
      <c r="AU803" s="253">
        <v>0</v>
      </c>
      <c r="AV803" s="253">
        <v>0</v>
      </c>
      <c r="AW803" s="253">
        <v>0</v>
      </c>
      <c r="AX803" s="253">
        <v>0</v>
      </c>
      <c r="AY803" s="253">
        <v>0</v>
      </c>
      <c r="AZ803" s="271">
        <v>1</v>
      </c>
      <c r="BA803" s="271">
        <v>1</v>
      </c>
      <c r="BB803" s="253">
        <v>1</v>
      </c>
      <c r="BC803" s="253">
        <v>0</v>
      </c>
      <c r="BD803" s="253">
        <v>0</v>
      </c>
      <c r="BE803" s="253">
        <v>0</v>
      </c>
      <c r="BF803" s="253">
        <v>0</v>
      </c>
      <c r="BG803" s="253" t="s">
        <v>91</v>
      </c>
      <c r="BH803" s="2" t="str" cm="1">
        <f t="array" ref="BH803">IF(COUNTIF(BB803:BD803,"&lt;&gt;0")=1,INDEX($X$4:$AY$4,MATCH(TRUE,INDEX($X803:$AY803&lt;&gt;0,),0)),IF(COUNTIF(BB803:BD803,"&lt;&gt;0")=0,INDEX($AO$4:$AY$4,MATCH(1,$AO803:$AY803,0)),"Multiple strategies"))</f>
        <v>Silviculture for removals</v>
      </c>
      <c r="BI803" s="272" t="s">
        <v>229</v>
      </c>
      <c r="BJ803" s="253" t="s">
        <v>230</v>
      </c>
      <c r="BK803" s="273" t="s">
        <v>2754</v>
      </c>
      <c r="BL803" s="270" t="s">
        <v>231</v>
      </c>
      <c r="BM803" s="253">
        <v>54.398789620000002</v>
      </c>
      <c r="BN803" s="253">
        <v>56.739926740000001</v>
      </c>
      <c r="BO803" s="253">
        <v>1.0430365663713088</v>
      </c>
      <c r="BP803" s="253">
        <v>2.3411371199999991</v>
      </c>
      <c r="BQ803" s="270">
        <v>4.7778308571428552</v>
      </c>
      <c r="BR803" s="270" t="s">
        <v>232</v>
      </c>
      <c r="BS803" s="273" t="s">
        <v>2754</v>
      </c>
      <c r="BT803" s="270" t="s">
        <v>233</v>
      </c>
      <c r="BU803" s="253">
        <v>-9.1923873230000002</v>
      </c>
      <c r="BV803" s="253">
        <v>-9.5324096189999992</v>
      </c>
      <c r="BW803" s="255">
        <v>1.0369895527736563</v>
      </c>
      <c r="BX803" s="253">
        <v>-0.340022295999999</v>
      </c>
      <c r="BY803" s="253"/>
      <c r="BZ803" s="253">
        <v>-3.4002229599999903E-4</v>
      </c>
      <c r="CA803" s="253">
        <v>-7.1166666666666495E-5</v>
      </c>
      <c r="CB803" s="253">
        <v>0</v>
      </c>
      <c r="CC803" s="253">
        <v>0</v>
      </c>
      <c r="CD803" s="253">
        <v>0</v>
      </c>
      <c r="CE803" s="253">
        <v>0</v>
      </c>
      <c r="CF803" s="253">
        <v>0</v>
      </c>
      <c r="CG803" s="253">
        <v>0</v>
      </c>
      <c r="CH803" s="253">
        <v>0</v>
      </c>
      <c r="CI803" s="253">
        <v>0</v>
      </c>
      <c r="CJ803" s="253">
        <v>0</v>
      </c>
      <c r="CK803" s="253">
        <v>0</v>
      </c>
      <c r="CL803" s="253">
        <v>0</v>
      </c>
      <c r="CM803" s="253">
        <v>0</v>
      </c>
      <c r="CN803" s="253">
        <v>0</v>
      </c>
      <c r="CO803" s="253">
        <v>0</v>
      </c>
      <c r="CP803" s="253" t="s">
        <v>2755</v>
      </c>
      <c r="CQ803" s="253">
        <v>54.398789620000002</v>
      </c>
      <c r="CR803" s="253">
        <v>56.739926740000001</v>
      </c>
      <c r="CS803" s="253">
        <v>4.7778308571428552</v>
      </c>
      <c r="CT803">
        <f>IF(BI803="Roundwood",$CS803/2,$CS803)</f>
        <v>4.7778308571428552</v>
      </c>
      <c r="CU803" s="253">
        <v>-9.1923873230000002</v>
      </c>
      <c r="CV803" s="253">
        <v>-9.5324096189999992</v>
      </c>
      <c r="CW803" s="253">
        <v>-3.4002229599999903E-4</v>
      </c>
      <c r="CX803">
        <f>IFERROR($CW803/$CS803,"")</f>
        <v>-7.1166666666666495E-5</v>
      </c>
      <c r="CY803">
        <f>IFERROR($CW803/$CS803,"")</f>
        <v>-7.1166666666666495E-5</v>
      </c>
      <c r="CZ803">
        <f>IFERROR($CW803/$CT803,"")</f>
        <v>-7.1166666666666495E-5</v>
      </c>
      <c r="DA803" s="254">
        <v>-3.6989552773656446E-2</v>
      </c>
      <c r="DB803" s="252" t="s">
        <v>234</v>
      </c>
      <c r="DC803" s="253" t="s">
        <v>2756</v>
      </c>
      <c r="DD803" s="253" t="s">
        <v>235</v>
      </c>
      <c r="DE803" s="253"/>
      <c r="DF803" s="270"/>
      <c r="DG803" s="270">
        <v>80</v>
      </c>
      <c r="DH803" s="253" t="s">
        <v>2757</v>
      </c>
      <c r="DI803" s="253">
        <v>0</v>
      </c>
      <c r="DJ803" s="253">
        <v>1</v>
      </c>
      <c r="DK803" s="253">
        <v>0</v>
      </c>
      <c r="DL803" s="253">
        <v>0</v>
      </c>
      <c r="DM803" s="253"/>
      <c r="DN803" s="253">
        <v>1</v>
      </c>
      <c r="DO803" s="253" t="s">
        <v>173</v>
      </c>
      <c r="DP803" s="253">
        <v>0</v>
      </c>
      <c r="DQ803" s="253" t="s">
        <v>180</v>
      </c>
      <c r="DR803" s="253">
        <v>0</v>
      </c>
      <c r="DS803" s="253">
        <v>0</v>
      </c>
      <c r="DT803" s="253">
        <v>0</v>
      </c>
      <c r="DU803" s="270">
        <v>0</v>
      </c>
      <c r="DV803" s="270">
        <v>0</v>
      </c>
      <c r="DW803" s="270">
        <v>0</v>
      </c>
      <c r="DX803" s="270">
        <v>0</v>
      </c>
      <c r="DY803" s="253">
        <v>0</v>
      </c>
      <c r="DZ803" s="270" t="s">
        <v>926</v>
      </c>
      <c r="EA803" s="270">
        <v>1</v>
      </c>
      <c r="EB803" s="270">
        <v>1</v>
      </c>
      <c r="EC803" s="270">
        <v>1</v>
      </c>
      <c r="ED803" s="270">
        <v>0</v>
      </c>
      <c r="EE803" s="253">
        <v>0</v>
      </c>
      <c r="EF803" s="270">
        <v>0</v>
      </c>
      <c r="EG803" s="270">
        <v>1</v>
      </c>
      <c r="EH803" s="270">
        <v>1</v>
      </c>
      <c r="EI803" s="270">
        <v>0</v>
      </c>
      <c r="EJ803" s="270">
        <v>0</v>
      </c>
      <c r="EK803" s="253">
        <v>1</v>
      </c>
      <c r="EL803" s="270">
        <v>0</v>
      </c>
      <c r="EM803" s="253">
        <v>0</v>
      </c>
      <c r="EN803" s="254">
        <v>0</v>
      </c>
      <c r="EO803" s="252"/>
      <c r="EP803" t="str">
        <f>IF(AND(AND(AND(OR($EC803=1,$EB803=1),OR($EH803=1,$EF803=1)),SUM($EA803:$EE803,$EK803)&gt;=3),SUM($EF803:$EJ803)&gt;=2),"Whole sector approach","")</f>
        <v>Whole sector approach</v>
      </c>
      <c r="EQ803" t="str">
        <f>IF(AND(AND(OR($EC803=1,$EB803=1),AND($EH803=0,$EF803=0)),SUM($EA803:$EE803,$EK803)&gt;=4),"Ecosystem approach","")</f>
        <v/>
      </c>
      <c r="ER803" s="254" t="s">
        <v>531</v>
      </c>
      <c r="ES803" t="str">
        <f>IF(AND($EC803+$EB803+$EE803+$EA803+$ED803+$EG803=0,$N803="included"),"C neutral forest and HWP assumption","")</f>
        <v/>
      </c>
      <c r="ET803" t="str">
        <f>IF(AND(AND(AND(AND($EC803=1,$EB803+$EA803+$EG803&gt;=1),$EF803=1),$EH803+$EI803+$ED803+$EE803&gt;=2),$N803="included"),"All C pools assumption","")</f>
        <v/>
      </c>
      <c r="EU803" t="str">
        <f>IF(AND($ED803+$EE803+$EI803+$EH803+$EF803=0,$N803="included"),"In-situ only assumption","")</f>
        <v/>
      </c>
      <c r="EV803" s="253"/>
      <c r="EW803" s="253" t="s">
        <v>236</v>
      </c>
      <c r="EX803" s="253"/>
      <c r="EY803" t="str">
        <f>IF(ISNUMBER(BW803),IF(ABS(BW803-[3]QC_indicators!$B$2)&gt;3*[3]QC_indicators!$C$2,"C ratio",IF(ISNUMBER(CA803),IF(ABS(CA803-[3]QC_indicators!$B$1)&gt;3*[3]QC_indicators!$C$1,"DF","no"))),IF(ISNUMBER(CA803),IF(ABS(CA803-[3]QC_indicators!$B$1)&gt;3*[3]QC_indicators!$C$1,"DF","no")))</f>
        <v>no</v>
      </c>
      <c r="EZ803" s="253"/>
      <c r="FA803" t="str">
        <f>IF(LEN($CY803)=0,"",IF(AND($CY803&lt;(-0.05),$ES803="C neutral forest and HWP assumption"),"Cneutral paradox",IF(AND($CY803&gt;0.05,$EU803="In-situ only assumption"),"In-situ only paradox","")))</f>
        <v/>
      </c>
      <c r="FB803" s="253"/>
      <c r="FC803" s="253"/>
      <c r="FD803" s="253"/>
    </row>
    <row r="804" spans="1:160" ht="15" hidden="1" customHeight="1">
      <c r="A804" s="252" t="s">
        <v>214</v>
      </c>
      <c r="B804" s="253" t="s">
        <v>215</v>
      </c>
      <c r="C804" s="253" t="s">
        <v>216</v>
      </c>
      <c r="D804" s="253" t="s">
        <v>217</v>
      </c>
      <c r="E804" s="253" t="s">
        <v>218</v>
      </c>
      <c r="F804" s="253" t="s">
        <v>219</v>
      </c>
      <c r="G804" s="253" t="s">
        <v>220</v>
      </c>
      <c r="H804" s="253"/>
      <c r="I804" s="253">
        <v>2012</v>
      </c>
      <c r="J804" s="253"/>
      <c r="K804" s="253" t="s">
        <v>221</v>
      </c>
      <c r="L804" s="253"/>
      <c r="M804" s="253" t="s">
        <v>2753</v>
      </c>
      <c r="N804" s="253" t="s">
        <v>222</v>
      </c>
      <c r="O804" s="269" t="s">
        <v>223</v>
      </c>
      <c r="P804" s="253"/>
      <c r="Q804" s="253" t="s">
        <v>224</v>
      </c>
      <c r="R804" s="254" t="s">
        <v>225</v>
      </c>
      <c r="S804" s="252" t="s">
        <v>226</v>
      </c>
      <c r="T804" s="253" t="s">
        <v>227</v>
      </c>
      <c r="U804" s="253" t="s">
        <v>228</v>
      </c>
      <c r="V804" s="253">
        <v>0</v>
      </c>
      <c r="W804" s="253">
        <v>0</v>
      </c>
      <c r="X804" s="253">
        <v>0</v>
      </c>
      <c r="Y804" s="253">
        <v>0</v>
      </c>
      <c r="Z804" s="253">
        <v>0</v>
      </c>
      <c r="AA804" s="253">
        <v>1</v>
      </c>
      <c r="AB804" s="253">
        <v>0</v>
      </c>
      <c r="AC804" s="253">
        <v>0</v>
      </c>
      <c r="AD804" s="253">
        <v>0</v>
      </c>
      <c r="AE804" s="253">
        <v>0</v>
      </c>
      <c r="AF804" s="253">
        <v>0</v>
      </c>
      <c r="AG804" s="253">
        <v>0</v>
      </c>
      <c r="AH804" s="253">
        <v>0</v>
      </c>
      <c r="AI804" s="253">
        <v>0</v>
      </c>
      <c r="AJ804" s="253">
        <v>0</v>
      </c>
      <c r="AK804" s="253">
        <v>0</v>
      </c>
      <c r="AL804" s="253">
        <v>0</v>
      </c>
      <c r="AM804" s="253">
        <v>0</v>
      </c>
      <c r="AN804" s="253">
        <v>0</v>
      </c>
      <c r="AO804" s="253">
        <v>0</v>
      </c>
      <c r="AP804" s="253">
        <v>0</v>
      </c>
      <c r="AQ804" s="253">
        <v>0</v>
      </c>
      <c r="AR804" s="253">
        <v>0</v>
      </c>
      <c r="AS804" s="253">
        <v>0</v>
      </c>
      <c r="AT804" s="253">
        <v>0</v>
      </c>
      <c r="AU804" s="253">
        <v>0</v>
      </c>
      <c r="AV804" s="253">
        <v>0</v>
      </c>
      <c r="AW804" s="253">
        <v>0</v>
      </c>
      <c r="AX804" s="253">
        <v>0</v>
      </c>
      <c r="AY804" s="253">
        <v>0</v>
      </c>
      <c r="AZ804" s="271">
        <v>1</v>
      </c>
      <c r="BA804" s="271">
        <v>1</v>
      </c>
      <c r="BB804" s="253">
        <v>1</v>
      </c>
      <c r="BC804" s="253">
        <v>0</v>
      </c>
      <c r="BD804" s="253">
        <v>0</v>
      </c>
      <c r="BE804" s="253">
        <v>0</v>
      </c>
      <c r="BF804" s="253">
        <v>0</v>
      </c>
      <c r="BG804" s="253" t="s">
        <v>91</v>
      </c>
      <c r="BH804" s="2" t="str" cm="1">
        <f t="array" ref="BH804">IF(COUNTIF(BB804:BD804,"&lt;&gt;0")=1,INDEX($X$4:$AY$4,MATCH(TRUE,INDEX($X804:$AY804&lt;&gt;0,),0)),IF(COUNTIF(BB804:BD804,"&lt;&gt;0")=0,INDEX($AO$4:$AY$4,MATCH(1,$AO804:$AY804,0)),"Multiple strategies"))</f>
        <v>Silviculture for removals</v>
      </c>
      <c r="BI804" s="272" t="s">
        <v>229</v>
      </c>
      <c r="BJ804" s="253" t="s">
        <v>230</v>
      </c>
      <c r="BK804" s="273" t="s">
        <v>2754</v>
      </c>
      <c r="BL804" s="270" t="s">
        <v>231</v>
      </c>
      <c r="BM804" s="253">
        <v>95.114942529999993</v>
      </c>
      <c r="BN804" s="253">
        <v>95.977011489999995</v>
      </c>
      <c r="BO804" s="253">
        <v>1.0090634440506348</v>
      </c>
      <c r="BP804" s="253">
        <v>0.86206896000000199</v>
      </c>
      <c r="BQ804" s="270">
        <v>1.7593244081632695</v>
      </c>
      <c r="BR804" s="270" t="s">
        <v>232</v>
      </c>
      <c r="BS804" s="273" t="s">
        <v>2754</v>
      </c>
      <c r="BT804" s="270" t="s">
        <v>233</v>
      </c>
      <c r="BU804" s="253">
        <v>-7.8979591840000003</v>
      </c>
      <c r="BV804" s="253">
        <v>-8.1428571430000005</v>
      </c>
      <c r="BW804" s="255">
        <v>1.0310077519134466</v>
      </c>
      <c r="BX804" s="253">
        <v>-0.24489795900000022</v>
      </c>
      <c r="BY804" s="253"/>
      <c r="BZ804" s="253">
        <v>-2.4489795900000023E-4</v>
      </c>
      <c r="CA804" s="253">
        <v>-1.3920000078647979E-4</v>
      </c>
      <c r="CB804" s="253">
        <v>0</v>
      </c>
      <c r="CC804" s="253">
        <v>0</v>
      </c>
      <c r="CD804" s="253">
        <v>0</v>
      </c>
      <c r="CE804" s="253">
        <v>0</v>
      </c>
      <c r="CF804" s="253">
        <v>0</v>
      </c>
      <c r="CG804" s="253">
        <v>0</v>
      </c>
      <c r="CH804" s="253">
        <v>0</v>
      </c>
      <c r="CI804" s="253">
        <v>0</v>
      </c>
      <c r="CJ804" s="253">
        <v>0</v>
      </c>
      <c r="CK804" s="253">
        <v>0</v>
      </c>
      <c r="CL804" s="253">
        <v>0</v>
      </c>
      <c r="CM804" s="253">
        <v>0</v>
      </c>
      <c r="CN804" s="253">
        <v>0</v>
      </c>
      <c r="CO804" s="253">
        <v>0</v>
      </c>
      <c r="CP804" s="253" t="s">
        <v>2755</v>
      </c>
      <c r="CQ804" s="253">
        <v>95.114942529999993</v>
      </c>
      <c r="CR804" s="253">
        <v>95.977011489999995</v>
      </c>
      <c r="CS804" s="253">
        <v>1.7593244081632695</v>
      </c>
      <c r="CT804">
        <f>IF(BI804="Roundwood",$CS804/2,$CS804)</f>
        <v>1.7593244081632695</v>
      </c>
      <c r="CU804" s="253">
        <v>-7.8979591840000003</v>
      </c>
      <c r="CV804" s="253">
        <v>-8.1428571430000005</v>
      </c>
      <c r="CW804" s="253">
        <v>-2.4489795900000023E-4</v>
      </c>
      <c r="CX804">
        <f>IFERROR($CW804/$CS804,"")</f>
        <v>-1.3920000078647979E-4</v>
      </c>
      <c r="CY804">
        <f>IFERROR($CW804/$CS804,"")</f>
        <v>-1.3920000078647979E-4</v>
      </c>
      <c r="CZ804">
        <f>IFERROR($CW804/$CT804,"")</f>
        <v>-1.3920000078647979E-4</v>
      </c>
      <c r="DA804" s="254">
        <v>-3.1007751913446735E-2</v>
      </c>
      <c r="DB804" s="252" t="s">
        <v>234</v>
      </c>
      <c r="DC804" s="253" t="s">
        <v>2756</v>
      </c>
      <c r="DD804" s="253" t="s">
        <v>235</v>
      </c>
      <c r="DE804" s="253"/>
      <c r="DF804" s="270"/>
      <c r="DG804" s="270">
        <v>80</v>
      </c>
      <c r="DH804" s="253" t="s">
        <v>2757</v>
      </c>
      <c r="DI804" s="253">
        <v>0</v>
      </c>
      <c r="DJ804" s="253">
        <v>1</v>
      </c>
      <c r="DK804" s="253">
        <v>0</v>
      </c>
      <c r="DL804" s="253">
        <v>0</v>
      </c>
      <c r="DM804" s="253"/>
      <c r="DN804" s="253">
        <v>1</v>
      </c>
      <c r="DO804" s="253" t="s">
        <v>173</v>
      </c>
      <c r="DP804" s="253">
        <v>0</v>
      </c>
      <c r="DQ804" s="253" t="s">
        <v>180</v>
      </c>
      <c r="DR804" s="253">
        <v>0</v>
      </c>
      <c r="DS804" s="253">
        <v>0</v>
      </c>
      <c r="DT804" s="253">
        <v>0</v>
      </c>
      <c r="DU804" s="270">
        <v>0</v>
      </c>
      <c r="DV804" s="270">
        <v>0</v>
      </c>
      <c r="DW804" s="270">
        <v>0</v>
      </c>
      <c r="DX804" s="270">
        <v>0</v>
      </c>
      <c r="DY804" s="253">
        <v>0</v>
      </c>
      <c r="DZ804" s="270" t="s">
        <v>926</v>
      </c>
      <c r="EA804" s="270">
        <v>1</v>
      </c>
      <c r="EB804" s="270">
        <v>1</v>
      </c>
      <c r="EC804" s="270">
        <v>1</v>
      </c>
      <c r="ED804" s="270">
        <v>0</v>
      </c>
      <c r="EE804" s="253">
        <v>0</v>
      </c>
      <c r="EF804" s="270">
        <v>0</v>
      </c>
      <c r="EG804" s="270">
        <v>1</v>
      </c>
      <c r="EH804" s="270">
        <v>1</v>
      </c>
      <c r="EI804" s="270">
        <v>0</v>
      </c>
      <c r="EJ804" s="270">
        <v>0</v>
      </c>
      <c r="EK804" s="253">
        <v>1</v>
      </c>
      <c r="EL804" s="270">
        <v>0</v>
      </c>
      <c r="EM804" s="253">
        <v>0</v>
      </c>
      <c r="EN804" s="254">
        <v>0</v>
      </c>
      <c r="EO804" s="252"/>
      <c r="EP804" t="str">
        <f>IF(AND(AND(AND(OR($EC804=1,$EB804=1),OR($EH804=1,$EF804=1)),SUM($EA804:$EE804,$EK804)&gt;=3),SUM($EF804:$EJ804)&gt;=2),"Whole sector approach","")</f>
        <v>Whole sector approach</v>
      </c>
      <c r="EQ804" t="str">
        <f>IF(AND(AND(OR($EC804=1,$EB804=1),AND($EH804=0,$EF804=0)),SUM($EA804:$EE804,$EK804)&gt;=4),"Ecosystem approach","")</f>
        <v/>
      </c>
      <c r="ER804" s="254" t="s">
        <v>531</v>
      </c>
      <c r="ES804" t="str">
        <f>IF(AND($EC804+$EB804+$EE804+$EA804+$ED804+$EG804=0,$N804="included"),"C neutral forest and HWP assumption","")</f>
        <v/>
      </c>
      <c r="ET804" t="str">
        <f>IF(AND(AND(AND(AND($EC804=1,$EB804+$EA804+$EG804&gt;=1),$EF804=1),$EH804+$EI804+$ED804+$EE804&gt;=2),$N804="included"),"All C pools assumption","")</f>
        <v/>
      </c>
      <c r="EU804" t="str">
        <f>IF(AND($ED804+$EE804+$EI804+$EH804+$EF804=0,$N804="included"),"In-situ only assumption","")</f>
        <v/>
      </c>
      <c r="EV804" s="253"/>
      <c r="EW804" s="253" t="s">
        <v>236</v>
      </c>
      <c r="EX804" s="253"/>
      <c r="EY804" t="str">
        <f>IF(ISNUMBER(BW804),IF(ABS(BW804-[3]QC_indicators!$B$2)&gt;3*[3]QC_indicators!$C$2,"C ratio",IF(ISNUMBER(CA804),IF(ABS(CA804-[3]QC_indicators!$B$1)&gt;3*[3]QC_indicators!$C$1,"DF","no"))),IF(ISNUMBER(CA804),IF(ABS(CA804-[3]QC_indicators!$B$1)&gt;3*[3]QC_indicators!$C$1,"DF","no")))</f>
        <v>no</v>
      </c>
      <c r="EZ804" s="253"/>
      <c r="FA804" t="str">
        <f>IF(LEN($CY804)=0,"",IF(AND($CY804&lt;(-0.05),$ES804="C neutral forest and HWP assumption"),"Cneutral paradox",IF(AND($CY804&gt;0.05,$EU804="In-situ only assumption"),"In-situ only paradox","")))</f>
        <v/>
      </c>
      <c r="FB804" s="253"/>
      <c r="FC804" s="253"/>
      <c r="FD804" s="275"/>
    </row>
    <row r="805" spans="1:160" ht="15" hidden="1" customHeight="1">
      <c r="A805" s="252" t="s">
        <v>214</v>
      </c>
      <c r="B805" s="253" t="s">
        <v>215</v>
      </c>
      <c r="C805" s="253" t="s">
        <v>216</v>
      </c>
      <c r="D805" s="253" t="s">
        <v>217</v>
      </c>
      <c r="E805" s="253" t="s">
        <v>218</v>
      </c>
      <c r="F805" s="253" t="s">
        <v>219</v>
      </c>
      <c r="G805" s="253" t="s">
        <v>220</v>
      </c>
      <c r="H805" s="253"/>
      <c r="I805" s="253">
        <v>2012</v>
      </c>
      <c r="J805" s="253"/>
      <c r="K805" s="253" t="s">
        <v>221</v>
      </c>
      <c r="L805" s="253"/>
      <c r="M805" s="253" t="s">
        <v>2753</v>
      </c>
      <c r="N805" s="253" t="s">
        <v>222</v>
      </c>
      <c r="O805" s="269" t="s">
        <v>223</v>
      </c>
      <c r="P805" s="253"/>
      <c r="Q805" s="253" t="s">
        <v>224</v>
      </c>
      <c r="R805" s="254" t="s">
        <v>225</v>
      </c>
      <c r="S805" s="252" t="s">
        <v>92</v>
      </c>
      <c r="T805" s="253" t="s">
        <v>245</v>
      </c>
      <c r="U805" s="270" t="s">
        <v>246</v>
      </c>
      <c r="V805" s="253">
        <v>0</v>
      </c>
      <c r="W805" s="253">
        <v>0</v>
      </c>
      <c r="X805" s="253">
        <v>0</v>
      </c>
      <c r="Y805" s="253">
        <v>0</v>
      </c>
      <c r="Z805" s="253">
        <v>0</v>
      </c>
      <c r="AA805" s="253">
        <v>0</v>
      </c>
      <c r="AB805" s="253">
        <v>1</v>
      </c>
      <c r="AC805" s="253">
        <v>0</v>
      </c>
      <c r="AD805" s="253">
        <v>0</v>
      </c>
      <c r="AE805" s="253">
        <v>0</v>
      </c>
      <c r="AF805" s="253">
        <v>0</v>
      </c>
      <c r="AG805" s="253">
        <v>0</v>
      </c>
      <c r="AH805" s="253">
        <v>0</v>
      </c>
      <c r="AI805" s="253">
        <v>0</v>
      </c>
      <c r="AJ805" s="253">
        <v>0</v>
      </c>
      <c r="AK805" s="253">
        <v>0</v>
      </c>
      <c r="AL805" s="253">
        <v>0</v>
      </c>
      <c r="AM805" s="253">
        <v>0</v>
      </c>
      <c r="AN805" s="253">
        <v>0</v>
      </c>
      <c r="AO805" s="253">
        <v>0</v>
      </c>
      <c r="AP805" s="253">
        <v>0</v>
      </c>
      <c r="AQ805" s="253">
        <v>0</v>
      </c>
      <c r="AR805" s="253">
        <v>0</v>
      </c>
      <c r="AS805" s="253">
        <v>0</v>
      </c>
      <c r="AT805" s="253">
        <v>0</v>
      </c>
      <c r="AU805" s="253">
        <v>0</v>
      </c>
      <c r="AV805" s="253">
        <v>0</v>
      </c>
      <c r="AW805" s="253">
        <v>0</v>
      </c>
      <c r="AX805" s="253">
        <v>0</v>
      </c>
      <c r="AY805" s="253">
        <v>0</v>
      </c>
      <c r="AZ805" s="271">
        <v>1</v>
      </c>
      <c r="BA805" s="271">
        <v>1</v>
      </c>
      <c r="BB805" s="253">
        <v>1</v>
      </c>
      <c r="BC805" s="253">
        <v>0</v>
      </c>
      <c r="BD805" s="253">
        <v>0</v>
      </c>
      <c r="BE805" s="253">
        <v>0</v>
      </c>
      <c r="BF805" s="253">
        <v>0</v>
      </c>
      <c r="BG805" s="253" t="s">
        <v>92</v>
      </c>
      <c r="BH805" s="2" t="str" cm="1">
        <f t="array" ref="BH805">IF(COUNTIF(BB805:BD805,"&lt;&gt;0")=1,INDEX($X$4:$AY$4,MATCH(TRUE,INDEX($X805:$AY805&lt;&gt;0,),0)),IF(COUNTIF(BB805:BD805,"&lt;&gt;0")=0,INDEX($AO$4:$AY$4,MATCH(1,$AO805:$AY805,0)),"Multiple strategies"))</f>
        <v>Silviculture for productivity</v>
      </c>
      <c r="BI805" s="272" t="s">
        <v>229</v>
      </c>
      <c r="BJ805" s="253" t="s">
        <v>230</v>
      </c>
      <c r="BK805" s="273" t="s">
        <v>2754</v>
      </c>
      <c r="BL805" s="270" t="s">
        <v>231</v>
      </c>
      <c r="BM805" s="253">
        <v>41.741420319401897</v>
      </c>
      <c r="BN805" s="253">
        <v>55.163392312385596</v>
      </c>
      <c r="BO805" s="270">
        <v>1.321550438156629</v>
      </c>
      <c r="BP805" s="253">
        <v>13.4219719929837</v>
      </c>
      <c r="BQ805" s="270">
        <v>27.391779577517756</v>
      </c>
      <c r="BR805" s="270" t="s">
        <v>232</v>
      </c>
      <c r="BS805" s="273" t="s">
        <v>2754</v>
      </c>
      <c r="BT805" s="270" t="s">
        <v>233</v>
      </c>
      <c r="BU805" s="253">
        <v>-10.1626318158436</v>
      </c>
      <c r="BV805" s="253">
        <v>-9.0346308724832198</v>
      </c>
      <c r="BW805" s="255">
        <v>0.88900503690374566</v>
      </c>
      <c r="BX805" s="253">
        <v>1.1280009433603801</v>
      </c>
      <c r="BY805" s="253"/>
      <c r="BZ805" s="253">
        <v>1.1280009433603801E-3</v>
      </c>
      <c r="CA805" s="253">
        <v>4.1180272357558146E-5</v>
      </c>
      <c r="CB805" s="253">
        <v>0</v>
      </c>
      <c r="CC805" s="253">
        <v>0</v>
      </c>
      <c r="CD805" s="253">
        <v>0</v>
      </c>
      <c r="CE805" s="253">
        <v>0</v>
      </c>
      <c r="CF805" s="253">
        <v>0</v>
      </c>
      <c r="CG805" s="253">
        <v>0</v>
      </c>
      <c r="CH805" s="253">
        <v>0</v>
      </c>
      <c r="CI805" s="253">
        <v>0</v>
      </c>
      <c r="CJ805" s="253">
        <v>0</v>
      </c>
      <c r="CK805" s="253">
        <v>0</v>
      </c>
      <c r="CL805" s="253">
        <v>0</v>
      </c>
      <c r="CM805" s="253">
        <v>0</v>
      </c>
      <c r="CN805" s="253">
        <v>0</v>
      </c>
      <c r="CO805" s="253">
        <v>0</v>
      </c>
      <c r="CP805" s="253" t="s">
        <v>2755</v>
      </c>
      <c r="CQ805" s="253">
        <v>41.741420319401897</v>
      </c>
      <c r="CR805" s="253">
        <v>55.163392312385596</v>
      </c>
      <c r="CS805" s="253">
        <v>27.391779577517756</v>
      </c>
      <c r="CT805">
        <f>IF(BI805="Roundwood",$CS805/2,$CS805)</f>
        <v>27.391779577517756</v>
      </c>
      <c r="CU805" s="253">
        <v>-10.1626318158436</v>
      </c>
      <c r="CV805" s="253">
        <v>-9.0346308724832198</v>
      </c>
      <c r="CW805" s="253">
        <v>1.1280009433603801E-3</v>
      </c>
      <c r="CX805">
        <f>IFERROR($CW805/$CS805,"")</f>
        <v>4.1180272357558146E-5</v>
      </c>
      <c r="CY805">
        <f>IFERROR($CW805/$CS805,"")</f>
        <v>4.1180272357558146E-5</v>
      </c>
      <c r="CZ805">
        <f>IFERROR($CW805/$CT805,"")</f>
        <v>4.1180272357558146E-5</v>
      </c>
      <c r="DA805" s="254">
        <v>0.1109949630962543</v>
      </c>
      <c r="DB805" s="252" t="s">
        <v>234</v>
      </c>
      <c r="DC805" s="253" t="s">
        <v>2756</v>
      </c>
      <c r="DD805" s="253" t="s">
        <v>235</v>
      </c>
      <c r="DE805" s="253"/>
      <c r="DF805" s="270"/>
      <c r="DG805" s="270">
        <v>80</v>
      </c>
      <c r="DH805" s="253" t="s">
        <v>2757</v>
      </c>
      <c r="DI805" s="253">
        <v>0</v>
      </c>
      <c r="DJ805" s="253">
        <v>1</v>
      </c>
      <c r="DK805" s="253">
        <v>0</v>
      </c>
      <c r="DL805" s="253">
        <v>0</v>
      </c>
      <c r="DM805" s="253"/>
      <c r="DN805" s="253">
        <v>1</v>
      </c>
      <c r="DO805" s="253" t="s">
        <v>173</v>
      </c>
      <c r="DP805" s="253">
        <v>0</v>
      </c>
      <c r="DQ805" s="253" t="s">
        <v>180</v>
      </c>
      <c r="DR805" s="253">
        <v>0</v>
      </c>
      <c r="DS805" s="253">
        <v>0</v>
      </c>
      <c r="DT805" s="253">
        <v>0</v>
      </c>
      <c r="DU805" s="270">
        <v>0</v>
      </c>
      <c r="DV805" s="270">
        <v>0</v>
      </c>
      <c r="DW805" s="270">
        <v>0</v>
      </c>
      <c r="DX805" s="270">
        <v>0</v>
      </c>
      <c r="DY805" s="253">
        <v>0</v>
      </c>
      <c r="DZ805" s="270" t="s">
        <v>926</v>
      </c>
      <c r="EA805" s="270">
        <v>1</v>
      </c>
      <c r="EB805" s="270">
        <v>1</v>
      </c>
      <c r="EC805" s="270">
        <v>1</v>
      </c>
      <c r="ED805" s="270">
        <v>0</v>
      </c>
      <c r="EE805" s="253">
        <v>0</v>
      </c>
      <c r="EF805" s="270">
        <v>0</v>
      </c>
      <c r="EG805" s="270">
        <v>1</v>
      </c>
      <c r="EH805" s="270">
        <v>1</v>
      </c>
      <c r="EI805" s="270">
        <v>0</v>
      </c>
      <c r="EJ805" s="270">
        <v>0</v>
      </c>
      <c r="EK805" s="253">
        <v>1</v>
      </c>
      <c r="EL805" s="270">
        <v>0</v>
      </c>
      <c r="EM805" s="253">
        <v>0</v>
      </c>
      <c r="EN805" s="254">
        <v>0</v>
      </c>
      <c r="EO805" s="252"/>
      <c r="EP805" t="str">
        <f>IF(AND(AND(AND(OR($EC805=1,$EB805=1),OR($EH805=1,$EF805=1)),SUM($EA805:$EE805,$EK805)&gt;=3),SUM($EF805:$EJ805)&gt;=2),"Whole sector approach","")</f>
        <v>Whole sector approach</v>
      </c>
      <c r="EQ805" t="str">
        <f>IF(AND(AND(OR($EC805=1,$EB805=1),AND($EH805=0,$EF805=0)),SUM($EA805:$EE805,$EK805)&gt;=4),"Ecosystem approach","")</f>
        <v/>
      </c>
      <c r="ER805" s="254" t="s">
        <v>531</v>
      </c>
      <c r="ES805" t="str">
        <f>IF(AND($EC805+$EB805+$EE805+$EA805+$ED805+$EG805=0,$N805="included"),"C neutral forest and HWP assumption","")</f>
        <v/>
      </c>
      <c r="ET805" t="str">
        <f>IF(AND(AND(AND(AND($EC805=1,$EB805+$EA805+$EG805&gt;=1),$EF805=1),$EH805+$EI805+$ED805+$EE805&gt;=2),$N805="included"),"All C pools assumption","")</f>
        <v/>
      </c>
      <c r="EU805" t="str">
        <f>IF(AND($ED805+$EE805+$EI805+$EH805+$EF805=0,$N805="included"),"In-situ only assumption","")</f>
        <v/>
      </c>
      <c r="EV805" s="253"/>
      <c r="EW805" s="253" t="s">
        <v>236</v>
      </c>
      <c r="EX805" s="253"/>
      <c r="EY805" t="str">
        <f>IF(ISNUMBER(BW805),IF(ABS(BW805-[3]QC_indicators!$B$2)&gt;3*[3]QC_indicators!$C$2,"C ratio",IF(ISNUMBER(CA805),IF(ABS(CA805-[3]QC_indicators!$B$1)&gt;3*[3]QC_indicators!$C$1,"DF","no"))),IF(ISNUMBER(CA805),IF(ABS(CA805-[3]QC_indicators!$B$1)&gt;3*[3]QC_indicators!$C$1,"DF","no")))</f>
        <v>no</v>
      </c>
      <c r="EZ805" s="253"/>
      <c r="FA805" t="str">
        <f>IF(LEN($CY805)=0,"",IF(AND($CY805&lt;(-0.05),$ES805="C neutral forest and HWP assumption"),"Cneutral paradox",IF(AND($CY805&gt;0.05,$EU805="In-situ only assumption"),"In-situ only paradox","")))</f>
        <v/>
      </c>
      <c r="FB805" s="253"/>
    </row>
    <row r="806" spans="1:160" ht="15" hidden="1" customHeight="1">
      <c r="A806" s="252" t="s">
        <v>214</v>
      </c>
      <c r="B806" s="253" t="s">
        <v>215</v>
      </c>
      <c r="C806" s="253" t="s">
        <v>216</v>
      </c>
      <c r="D806" s="253" t="s">
        <v>217</v>
      </c>
      <c r="E806" s="253" t="s">
        <v>218</v>
      </c>
      <c r="F806" s="253" t="s">
        <v>219</v>
      </c>
      <c r="G806" s="253" t="s">
        <v>220</v>
      </c>
      <c r="H806" s="253"/>
      <c r="I806" s="253">
        <v>2012</v>
      </c>
      <c r="J806" s="253"/>
      <c r="K806" s="253" t="s">
        <v>221</v>
      </c>
      <c r="L806" s="253"/>
      <c r="M806" s="253" t="s">
        <v>2753</v>
      </c>
      <c r="N806" s="253" t="s">
        <v>222</v>
      </c>
      <c r="O806" s="269" t="s">
        <v>223</v>
      </c>
      <c r="P806" s="253"/>
      <c r="Q806" s="253" t="s">
        <v>224</v>
      </c>
      <c r="R806" s="254" t="s">
        <v>225</v>
      </c>
      <c r="S806" s="252" t="s">
        <v>240</v>
      </c>
      <c r="T806" s="253">
        <v>2000</v>
      </c>
      <c r="U806" s="253">
        <v>4000</v>
      </c>
      <c r="V806" s="253">
        <v>0</v>
      </c>
      <c r="W806" s="253">
        <v>0</v>
      </c>
      <c r="X806" s="253">
        <v>0</v>
      </c>
      <c r="Y806" s="253">
        <v>0</v>
      </c>
      <c r="Z806" s="253">
        <v>0</v>
      </c>
      <c r="AA806" s="253">
        <v>0</v>
      </c>
      <c r="AB806" s="253">
        <v>0</v>
      </c>
      <c r="AC806" s="253">
        <v>1</v>
      </c>
      <c r="AD806" s="253">
        <v>0</v>
      </c>
      <c r="AE806" s="253">
        <v>0</v>
      </c>
      <c r="AF806" s="253">
        <v>0</v>
      </c>
      <c r="AG806" s="253">
        <v>0</v>
      </c>
      <c r="AH806" s="253">
        <v>0</v>
      </c>
      <c r="AI806" s="253">
        <v>0</v>
      </c>
      <c r="AJ806" s="253">
        <v>0</v>
      </c>
      <c r="AK806" s="253">
        <v>0</v>
      </c>
      <c r="AL806" s="253">
        <v>0</v>
      </c>
      <c r="AM806" s="253">
        <v>0</v>
      </c>
      <c r="AN806" s="253">
        <v>0</v>
      </c>
      <c r="AO806" s="253">
        <v>0</v>
      </c>
      <c r="AP806" s="253">
        <v>0</v>
      </c>
      <c r="AQ806" s="253">
        <v>0</v>
      </c>
      <c r="AR806" s="253">
        <v>0</v>
      </c>
      <c r="AS806" s="253">
        <v>0</v>
      </c>
      <c r="AT806" s="253">
        <v>0</v>
      </c>
      <c r="AU806" s="253">
        <v>0</v>
      </c>
      <c r="AV806" s="253">
        <v>0</v>
      </c>
      <c r="AW806" s="253">
        <v>0</v>
      </c>
      <c r="AX806" s="253">
        <v>0</v>
      </c>
      <c r="AY806" s="253">
        <v>0</v>
      </c>
      <c r="AZ806" s="271">
        <v>1</v>
      </c>
      <c r="BA806" s="271">
        <v>1</v>
      </c>
      <c r="BB806" s="253">
        <v>1</v>
      </c>
      <c r="BC806" s="253">
        <v>0</v>
      </c>
      <c r="BD806" s="253">
        <v>0</v>
      </c>
      <c r="BE806" s="253">
        <v>0</v>
      </c>
      <c r="BF806" s="253">
        <v>0</v>
      </c>
      <c r="BG806" s="253" t="s">
        <v>93</v>
      </c>
      <c r="BH806" s="2" t="str" cm="1">
        <f t="array" ref="BH806">IF(COUNTIF(BB806:BD806,"&lt;&gt;0")=1,INDEX($X$4:$AY$4,MATCH(TRUE,INDEX($X806:$AY806&lt;&gt;0,),0)),IF(COUNTIF(BB806:BD806,"&lt;&gt;0")=0,INDEX($AO$4:$AY$4,MATCH(1,$AO806:$AY806,0)),"Multiple strategies"))</f>
        <v>Silviculture for productivity</v>
      </c>
      <c r="BI806" s="272" t="s">
        <v>229</v>
      </c>
      <c r="BJ806" s="253" t="s">
        <v>230</v>
      </c>
      <c r="BK806" s="273" t="s">
        <v>2754</v>
      </c>
      <c r="BL806" s="270" t="s">
        <v>231</v>
      </c>
      <c r="BM806" s="253">
        <v>34.220071779999998</v>
      </c>
      <c r="BN806" s="253">
        <v>43.296172429999999</v>
      </c>
      <c r="BO806" s="270">
        <v>1.2652273995317727</v>
      </c>
      <c r="BP806" s="253">
        <v>9.0761006500000008</v>
      </c>
      <c r="BQ806" s="270">
        <v>18.522654387755104</v>
      </c>
      <c r="BR806" s="270" t="s">
        <v>232</v>
      </c>
      <c r="BS806" s="273" t="s">
        <v>2754</v>
      </c>
      <c r="BT806" s="270" t="s">
        <v>233</v>
      </c>
      <c r="BU806" s="253">
        <v>-10.49196787</v>
      </c>
      <c r="BV806" s="253">
        <v>-9.8277857409999996</v>
      </c>
      <c r="BW806" s="255">
        <v>0.93669613391601048</v>
      </c>
      <c r="BX806" s="253">
        <v>0.66418212900000029</v>
      </c>
      <c r="BY806" s="253"/>
      <c r="BZ806" s="253">
        <v>6.6418212900000028E-4</v>
      </c>
      <c r="CA806" s="253">
        <v>3.5857826588778529E-5</v>
      </c>
      <c r="CB806" s="253">
        <v>0</v>
      </c>
      <c r="CC806" s="253">
        <v>0</v>
      </c>
      <c r="CD806" s="253">
        <v>0</v>
      </c>
      <c r="CE806" s="253">
        <v>0</v>
      </c>
      <c r="CF806" s="253">
        <v>0</v>
      </c>
      <c r="CG806" s="253">
        <v>0</v>
      </c>
      <c r="CH806" s="253">
        <v>0</v>
      </c>
      <c r="CI806" s="253">
        <v>0</v>
      </c>
      <c r="CJ806" s="253">
        <v>0</v>
      </c>
      <c r="CK806" s="253">
        <v>0</v>
      </c>
      <c r="CL806" s="253">
        <v>0</v>
      </c>
      <c r="CM806" s="253">
        <v>0</v>
      </c>
      <c r="CN806" s="253">
        <v>0</v>
      </c>
      <c r="CO806" s="253">
        <v>0</v>
      </c>
      <c r="CP806" s="253" t="s">
        <v>2755</v>
      </c>
      <c r="CQ806" s="253">
        <v>34.220071779999998</v>
      </c>
      <c r="CR806" s="253">
        <v>43.296172429999999</v>
      </c>
      <c r="CS806" s="253">
        <v>18.522654387755104</v>
      </c>
      <c r="CT806">
        <f>IF(BI806="Roundwood",$CS806/2,$CS806)</f>
        <v>18.522654387755104</v>
      </c>
      <c r="CU806" s="253">
        <v>-10.49196787</v>
      </c>
      <c r="CV806" s="253">
        <v>-9.8277857409999996</v>
      </c>
      <c r="CW806" s="253">
        <v>6.6418212900000028E-4</v>
      </c>
      <c r="CX806">
        <f>IFERROR($CW806/$CS806,"")</f>
        <v>3.5857826588778529E-5</v>
      </c>
      <c r="CY806">
        <f>IFERROR($CW806/$CS806,"")</f>
        <v>3.5857826588778529E-5</v>
      </c>
      <c r="CZ806">
        <f>IFERROR($CW806/$CT806,"")</f>
        <v>3.5857826588778529E-5</v>
      </c>
      <c r="DA806" s="254">
        <v>6.3303866083989468E-2</v>
      </c>
      <c r="DB806" s="252" t="s">
        <v>234</v>
      </c>
      <c r="DC806" s="253" t="s">
        <v>2756</v>
      </c>
      <c r="DD806" s="253" t="s">
        <v>235</v>
      </c>
      <c r="DE806" s="253"/>
      <c r="DF806" s="270"/>
      <c r="DG806" s="270">
        <v>80</v>
      </c>
      <c r="DH806" s="253" t="s">
        <v>2757</v>
      </c>
      <c r="DI806" s="253">
        <v>0</v>
      </c>
      <c r="DJ806" s="253">
        <v>1</v>
      </c>
      <c r="DK806" s="253">
        <v>0</v>
      </c>
      <c r="DL806" s="253">
        <v>0</v>
      </c>
      <c r="DM806" s="253"/>
      <c r="DN806" s="253">
        <v>1</v>
      </c>
      <c r="DO806" s="253" t="s">
        <v>173</v>
      </c>
      <c r="DP806" s="253">
        <v>0</v>
      </c>
      <c r="DQ806" s="253" t="s">
        <v>180</v>
      </c>
      <c r="DR806" s="253">
        <v>0</v>
      </c>
      <c r="DS806" s="253">
        <v>0</v>
      </c>
      <c r="DT806" s="253">
        <v>0</v>
      </c>
      <c r="DU806" s="270">
        <v>0</v>
      </c>
      <c r="DV806" s="270">
        <v>0</v>
      </c>
      <c r="DW806" s="270">
        <v>0</v>
      </c>
      <c r="DX806" s="270">
        <v>0</v>
      </c>
      <c r="DY806" s="253">
        <v>0</v>
      </c>
      <c r="DZ806" s="270" t="s">
        <v>926</v>
      </c>
      <c r="EA806" s="270">
        <v>1</v>
      </c>
      <c r="EB806" s="270">
        <v>1</v>
      </c>
      <c r="EC806" s="270">
        <v>1</v>
      </c>
      <c r="ED806" s="270">
        <v>0</v>
      </c>
      <c r="EE806" s="253">
        <v>0</v>
      </c>
      <c r="EF806" s="270">
        <v>0</v>
      </c>
      <c r="EG806" s="270">
        <v>1</v>
      </c>
      <c r="EH806" s="270">
        <v>1</v>
      </c>
      <c r="EI806" s="270">
        <v>0</v>
      </c>
      <c r="EJ806" s="270">
        <v>0</v>
      </c>
      <c r="EK806" s="253">
        <v>1</v>
      </c>
      <c r="EL806" s="270">
        <v>0</v>
      </c>
      <c r="EM806" s="253">
        <v>0</v>
      </c>
      <c r="EN806" s="254">
        <v>0</v>
      </c>
      <c r="EO806" s="252"/>
      <c r="EP806" t="str">
        <f>IF(AND(AND(AND(OR($EC806=1,$EB806=1),OR($EH806=1,$EF806=1)),SUM($EA806:$EE806,$EK806)&gt;=3),SUM($EF806:$EJ806)&gt;=2),"Whole sector approach","")</f>
        <v>Whole sector approach</v>
      </c>
      <c r="EQ806" t="str">
        <f>IF(AND(AND(OR($EC806=1,$EB806=1),AND($EH806=0,$EF806=0)),SUM($EA806:$EE806,$EK806)&gt;=4),"Ecosystem approach","")</f>
        <v/>
      </c>
      <c r="ER806" s="254" t="s">
        <v>531</v>
      </c>
      <c r="ES806" t="str">
        <f>IF(AND($EC806+$EB806+$EE806+$EA806+$ED806+$EG806=0,$N806="included"),"C neutral forest and HWP assumption","")</f>
        <v/>
      </c>
      <c r="ET806" t="str">
        <f>IF(AND(AND(AND(AND($EC806=1,$EB806+$EA806+$EG806&gt;=1),$EF806=1),$EH806+$EI806+$ED806+$EE806&gt;=2),$N806="included"),"All C pools assumption","")</f>
        <v/>
      </c>
      <c r="EU806" t="str">
        <f>IF(AND($ED806+$EE806+$EI806+$EH806+$EF806=0,$N806="included"),"In-situ only assumption","")</f>
        <v/>
      </c>
      <c r="EV806" s="253"/>
      <c r="EW806" s="253" t="s">
        <v>236</v>
      </c>
      <c r="EX806" s="253"/>
      <c r="EY806" t="str">
        <f>IF(ISNUMBER(BW806),IF(ABS(BW806-[3]QC_indicators!$B$2)&gt;3*[3]QC_indicators!$C$2,"C ratio",IF(ISNUMBER(CA806),IF(ABS(CA806-[3]QC_indicators!$B$1)&gt;3*[3]QC_indicators!$C$1,"DF","no"))),IF(ISNUMBER(CA806),IF(ABS(CA806-[3]QC_indicators!$B$1)&gt;3*[3]QC_indicators!$C$1,"DF","no")))</f>
        <v>no</v>
      </c>
      <c r="EZ806" s="274"/>
      <c r="FA806" t="str">
        <f>IF(LEN($CY806)=0,"",IF(AND($CY806&lt;(-0.05),$ES806="C neutral forest and HWP assumption"),"Cneutral paradox",IF(AND($CY806&gt;0.05,$EU806="In-situ only assumption"),"In-situ only paradox","")))</f>
        <v/>
      </c>
      <c r="FB806" s="274"/>
      <c r="FC806" s="274"/>
    </row>
    <row r="807" spans="1:160" ht="15" hidden="1" customHeight="1">
      <c r="A807" s="252" t="s">
        <v>214</v>
      </c>
      <c r="B807" s="253" t="s">
        <v>215</v>
      </c>
      <c r="C807" s="253" t="s">
        <v>216</v>
      </c>
      <c r="D807" s="253" t="s">
        <v>217</v>
      </c>
      <c r="E807" s="253" t="s">
        <v>218</v>
      </c>
      <c r="F807" s="253" t="s">
        <v>219</v>
      </c>
      <c r="G807" s="253" t="s">
        <v>220</v>
      </c>
      <c r="H807" s="253"/>
      <c r="I807" s="253">
        <v>2012</v>
      </c>
      <c r="J807" s="253"/>
      <c r="K807" s="253" t="s">
        <v>221</v>
      </c>
      <c r="L807" s="253"/>
      <c r="M807" s="253" t="s">
        <v>2753</v>
      </c>
      <c r="N807" s="253" t="s">
        <v>222</v>
      </c>
      <c r="O807" s="269" t="s">
        <v>223</v>
      </c>
      <c r="P807" s="253"/>
      <c r="Q807" s="253" t="s">
        <v>224</v>
      </c>
      <c r="R807" s="254" t="s">
        <v>225</v>
      </c>
      <c r="S807" s="252" t="s">
        <v>241</v>
      </c>
      <c r="T807" s="253" t="s">
        <v>242</v>
      </c>
      <c r="U807" s="270" t="s">
        <v>243</v>
      </c>
      <c r="V807" s="253">
        <v>0</v>
      </c>
      <c r="W807" s="253">
        <v>0</v>
      </c>
      <c r="X807" s="253">
        <v>0</v>
      </c>
      <c r="Y807" s="253">
        <v>0</v>
      </c>
      <c r="Z807" s="253">
        <v>0</v>
      </c>
      <c r="AA807" s="253">
        <v>0</v>
      </c>
      <c r="AB807" s="253">
        <v>0</v>
      </c>
      <c r="AC807" s="253">
        <v>0</v>
      </c>
      <c r="AD807" s="253">
        <v>0</v>
      </c>
      <c r="AE807" s="253">
        <v>1</v>
      </c>
      <c r="AF807" s="253">
        <v>0</v>
      </c>
      <c r="AG807" s="253">
        <v>0</v>
      </c>
      <c r="AH807" s="253">
        <v>0</v>
      </c>
      <c r="AI807" s="253">
        <v>0</v>
      </c>
      <c r="AJ807" s="253">
        <v>0</v>
      </c>
      <c r="AK807" s="253">
        <v>0</v>
      </c>
      <c r="AL807" s="253">
        <v>0</v>
      </c>
      <c r="AM807" s="253">
        <v>0</v>
      </c>
      <c r="AN807" s="253">
        <v>0</v>
      </c>
      <c r="AO807" s="253">
        <v>0</v>
      </c>
      <c r="AP807" s="253">
        <v>0</v>
      </c>
      <c r="AQ807" s="253">
        <v>0</v>
      </c>
      <c r="AR807" s="253">
        <v>0</v>
      </c>
      <c r="AS807" s="253">
        <v>0</v>
      </c>
      <c r="AT807" s="253">
        <v>0</v>
      </c>
      <c r="AU807" s="253">
        <v>0</v>
      </c>
      <c r="AV807" s="253">
        <v>0</v>
      </c>
      <c r="AW807" s="253">
        <v>0</v>
      </c>
      <c r="AX807" s="253">
        <v>0</v>
      </c>
      <c r="AY807" s="253">
        <v>0</v>
      </c>
      <c r="AZ807" s="271">
        <v>1</v>
      </c>
      <c r="BA807" s="271">
        <v>1</v>
      </c>
      <c r="BB807" s="253">
        <v>1</v>
      </c>
      <c r="BC807" s="253">
        <v>0</v>
      </c>
      <c r="BD807" s="253">
        <v>0</v>
      </c>
      <c r="BE807" s="253">
        <v>0</v>
      </c>
      <c r="BF807" s="253">
        <v>0</v>
      </c>
      <c r="BG807" s="253" t="s">
        <v>95</v>
      </c>
      <c r="BH807" s="2" t="str" cm="1">
        <f t="array" ref="BH807">IF(COUNTIF(BB807:BD807,"&lt;&gt;0")=1,INDEX($X$4:$AY$4,MATCH(TRUE,INDEX($X807:$AY807&lt;&gt;0,),0)),IF(COUNTIF(BB807:BD807,"&lt;&gt;0")=0,INDEX($AO$4:$AY$4,MATCH(1,$AO807:$AY807,0)),"Multiple strategies"))</f>
        <v>Silviculture for productivity</v>
      </c>
      <c r="BI807" s="272" t="s">
        <v>229</v>
      </c>
      <c r="BJ807" s="253" t="s">
        <v>230</v>
      </c>
      <c r="BK807" s="273" t="s">
        <v>2754</v>
      </c>
      <c r="BL807" s="270" t="s">
        <v>231</v>
      </c>
      <c r="BM807" s="253">
        <v>110.71336180597901</v>
      </c>
      <c r="BN807" s="253">
        <v>114.080459770114</v>
      </c>
      <c r="BO807" s="270">
        <v>1.0304127515343244</v>
      </c>
      <c r="BP807" s="253">
        <v>3.3670979641349987</v>
      </c>
      <c r="BQ807" s="270">
        <v>6.8716284982346911</v>
      </c>
      <c r="BR807" s="270" t="s">
        <v>232</v>
      </c>
      <c r="BS807" s="273" t="s">
        <v>2754</v>
      </c>
      <c r="BT807" s="270" t="s">
        <v>233</v>
      </c>
      <c r="BU807" s="253">
        <v>-7.88817571690055</v>
      </c>
      <c r="BV807" s="253">
        <v>-7.6632653061224403</v>
      </c>
      <c r="BW807" s="255">
        <v>0.97148765204402898</v>
      </c>
      <c r="BX807" s="253">
        <v>0.22491041077810969</v>
      </c>
      <c r="BY807" s="253"/>
      <c r="BZ807" s="253">
        <v>2.249104107781097E-4</v>
      </c>
      <c r="CA807" s="253">
        <v>3.2730292511576952E-5</v>
      </c>
      <c r="CB807" s="253">
        <v>0</v>
      </c>
      <c r="CC807" s="253">
        <v>0</v>
      </c>
      <c r="CD807" s="253">
        <v>0</v>
      </c>
      <c r="CE807" s="253">
        <v>0</v>
      </c>
      <c r="CF807" s="253">
        <v>0</v>
      </c>
      <c r="CG807" s="253">
        <v>0</v>
      </c>
      <c r="CH807" s="253">
        <v>0</v>
      </c>
      <c r="CI807" s="253">
        <v>0</v>
      </c>
      <c r="CJ807" s="253">
        <v>0</v>
      </c>
      <c r="CK807" s="253">
        <v>0</v>
      </c>
      <c r="CL807" s="253">
        <v>0</v>
      </c>
      <c r="CM807" s="253">
        <v>0</v>
      </c>
      <c r="CN807" s="253">
        <v>0</v>
      </c>
      <c r="CO807" s="253">
        <v>0</v>
      </c>
      <c r="CP807" s="253" t="s">
        <v>2755</v>
      </c>
      <c r="CQ807" s="253">
        <v>110.71336180597901</v>
      </c>
      <c r="CR807" s="253">
        <v>114.080459770114</v>
      </c>
      <c r="CS807" s="253">
        <v>6.8716284982346911</v>
      </c>
      <c r="CT807">
        <f>IF(BI807="Roundwood",$CS807/2,$CS807)</f>
        <v>6.8716284982346911</v>
      </c>
      <c r="CU807" s="253">
        <v>-7.88817571690055</v>
      </c>
      <c r="CV807" s="253">
        <v>-7.6632653061224403</v>
      </c>
      <c r="CW807" s="253">
        <v>2.249104107781097E-4</v>
      </c>
      <c r="CX807">
        <f>IFERROR($CW807/$CS807,"")</f>
        <v>3.2730292511576952E-5</v>
      </c>
      <c r="CY807">
        <f>IFERROR($CW807/$CS807,"")</f>
        <v>3.2730292511576952E-5</v>
      </c>
      <c r="CZ807">
        <f>IFERROR($CW807/$CT807,"")</f>
        <v>3.2730292511576952E-5</v>
      </c>
      <c r="DA807" s="254">
        <v>2.8512347955971028E-2</v>
      </c>
      <c r="DB807" s="252" t="s">
        <v>234</v>
      </c>
      <c r="DC807" s="253" t="s">
        <v>2756</v>
      </c>
      <c r="DD807" s="253" t="s">
        <v>235</v>
      </c>
      <c r="DE807" s="253"/>
      <c r="DF807" s="270"/>
      <c r="DG807" s="270">
        <v>80</v>
      </c>
      <c r="DH807" s="253" t="s">
        <v>2757</v>
      </c>
      <c r="DI807" s="253">
        <v>0</v>
      </c>
      <c r="DJ807" s="253">
        <v>1</v>
      </c>
      <c r="DK807" s="253">
        <v>0</v>
      </c>
      <c r="DL807" s="253">
        <v>0</v>
      </c>
      <c r="DM807" s="253"/>
      <c r="DN807" s="253">
        <v>1</v>
      </c>
      <c r="DO807" s="253" t="s">
        <v>173</v>
      </c>
      <c r="DP807" s="253">
        <v>0</v>
      </c>
      <c r="DQ807" s="253" t="s">
        <v>180</v>
      </c>
      <c r="DR807" s="253">
        <v>0</v>
      </c>
      <c r="DS807" s="253">
        <v>0</v>
      </c>
      <c r="DT807" s="253">
        <v>0</v>
      </c>
      <c r="DU807" s="270">
        <v>0</v>
      </c>
      <c r="DV807" s="270">
        <v>0</v>
      </c>
      <c r="DW807" s="270">
        <v>0</v>
      </c>
      <c r="DX807" s="270">
        <v>0</v>
      </c>
      <c r="DY807" s="253">
        <v>0</v>
      </c>
      <c r="DZ807" s="270" t="s">
        <v>926</v>
      </c>
      <c r="EA807" s="270">
        <v>1</v>
      </c>
      <c r="EB807" s="270">
        <v>1</v>
      </c>
      <c r="EC807" s="270">
        <v>1</v>
      </c>
      <c r="ED807" s="270">
        <v>0</v>
      </c>
      <c r="EE807" s="253">
        <v>0</v>
      </c>
      <c r="EF807" s="270">
        <v>0</v>
      </c>
      <c r="EG807" s="270">
        <v>1</v>
      </c>
      <c r="EH807" s="270">
        <v>1</v>
      </c>
      <c r="EI807" s="270">
        <v>0</v>
      </c>
      <c r="EJ807" s="270">
        <v>0</v>
      </c>
      <c r="EK807" s="253">
        <v>1</v>
      </c>
      <c r="EL807" s="270">
        <v>0</v>
      </c>
      <c r="EM807" s="253">
        <v>0</v>
      </c>
      <c r="EN807" s="254">
        <v>0</v>
      </c>
      <c r="EO807" s="252"/>
      <c r="EP807" t="str">
        <f>IF(AND(AND(AND(OR($EC807=1,$EB807=1),OR($EH807=1,$EF807=1)),SUM($EA807:$EE807,$EK807)&gt;=3),SUM($EF807:$EJ807)&gt;=2),"Whole sector approach","")</f>
        <v>Whole sector approach</v>
      </c>
      <c r="EQ807" t="str">
        <f>IF(AND(AND(OR($EC807=1,$EB807=1),AND($EH807=0,$EF807=0)),SUM($EA807:$EE807,$EK807)&gt;=4),"Ecosystem approach","")</f>
        <v/>
      </c>
      <c r="ER807" s="254" t="s">
        <v>531</v>
      </c>
      <c r="ES807" t="str">
        <f>IF(AND($EC807+$EB807+$EE807+$EA807+$ED807+$EG807=0,$N807="included"),"C neutral forest and HWP assumption","")</f>
        <v/>
      </c>
      <c r="ET807" t="str">
        <f>IF(AND(AND(AND(AND($EC807=1,$EB807+$EA807+$EG807&gt;=1),$EF807=1),$EH807+$EI807+$ED807+$EE807&gt;=2),$N807="included"),"All C pools assumption","")</f>
        <v/>
      </c>
      <c r="EU807" t="str">
        <f>IF(AND($ED807+$EE807+$EI807+$EH807+$EF807=0,$N807="included"),"In-situ only assumption","")</f>
        <v/>
      </c>
      <c r="EV807" s="253"/>
      <c r="EW807" s="253" t="s">
        <v>236</v>
      </c>
      <c r="EX807" s="253"/>
      <c r="EY807" t="str">
        <f>IF(ISNUMBER(BW807),IF(ABS(BW807-[3]QC_indicators!$B$2)&gt;3*[3]QC_indicators!$C$2,"C ratio",IF(ISNUMBER(CA807),IF(ABS(CA807-[3]QC_indicators!$B$1)&gt;3*[3]QC_indicators!$C$1,"DF","no"))),IF(ISNUMBER(CA807),IF(ABS(CA807-[3]QC_indicators!$B$1)&gt;3*[3]QC_indicators!$C$1,"DF","no")))</f>
        <v>no</v>
      </c>
      <c r="FA807" t="str">
        <f>IF(LEN($CY807)=0,"",IF(AND($CY807&lt;(-0.05),$ES807="C neutral forest and HWP assumption"),"Cneutral paradox",IF(AND($CY807&gt;0.05,$EU807="In-situ only assumption"),"In-situ only paradox","")))</f>
        <v/>
      </c>
    </row>
    <row r="808" spans="1:160" ht="15" hidden="1" customHeight="1">
      <c r="A808" s="252" t="s">
        <v>214</v>
      </c>
      <c r="B808" s="253" t="s">
        <v>215</v>
      </c>
      <c r="C808" s="253" t="s">
        <v>216</v>
      </c>
      <c r="D808" s="253" t="s">
        <v>217</v>
      </c>
      <c r="E808" s="253" t="s">
        <v>218</v>
      </c>
      <c r="F808" s="253" t="s">
        <v>219</v>
      </c>
      <c r="G808" s="253" t="s">
        <v>220</v>
      </c>
      <c r="H808" s="253"/>
      <c r="I808" s="253">
        <v>2012</v>
      </c>
      <c r="J808" s="253"/>
      <c r="K808" s="253" t="s">
        <v>221</v>
      </c>
      <c r="L808" s="253"/>
      <c r="M808" s="253" t="s">
        <v>2753</v>
      </c>
      <c r="N808" s="253" t="s">
        <v>222</v>
      </c>
      <c r="O808" s="269" t="s">
        <v>223</v>
      </c>
      <c r="P808" s="253"/>
      <c r="Q808" s="253" t="s">
        <v>224</v>
      </c>
      <c r="R808" s="254" t="s">
        <v>225</v>
      </c>
      <c r="S808" s="252" t="s">
        <v>240</v>
      </c>
      <c r="T808" s="253">
        <v>2000</v>
      </c>
      <c r="U808" s="253">
        <v>4000</v>
      </c>
      <c r="V808" s="253">
        <v>0</v>
      </c>
      <c r="W808" s="253">
        <v>0</v>
      </c>
      <c r="X808" s="253">
        <v>0</v>
      </c>
      <c r="Y808" s="253">
        <v>0</v>
      </c>
      <c r="Z808" s="253">
        <v>0</v>
      </c>
      <c r="AA808" s="253">
        <v>0</v>
      </c>
      <c r="AB808" s="253">
        <v>0</v>
      </c>
      <c r="AC808" s="253">
        <v>1</v>
      </c>
      <c r="AD808" s="253">
        <v>0</v>
      </c>
      <c r="AE808" s="253">
        <v>0</v>
      </c>
      <c r="AF808" s="253">
        <v>0</v>
      </c>
      <c r="AG808" s="253">
        <v>0</v>
      </c>
      <c r="AH808" s="253">
        <v>0</v>
      </c>
      <c r="AI808" s="253">
        <v>0</v>
      </c>
      <c r="AJ808" s="253">
        <v>0</v>
      </c>
      <c r="AK808" s="253">
        <v>0</v>
      </c>
      <c r="AL808" s="253">
        <v>0</v>
      </c>
      <c r="AM808" s="253">
        <v>0</v>
      </c>
      <c r="AN808" s="253">
        <v>0</v>
      </c>
      <c r="AO808" s="253">
        <v>0</v>
      </c>
      <c r="AP808" s="253">
        <v>0</v>
      </c>
      <c r="AQ808" s="253">
        <v>0</v>
      </c>
      <c r="AR808" s="253">
        <v>0</v>
      </c>
      <c r="AS808" s="253">
        <v>0</v>
      </c>
      <c r="AT808" s="253">
        <v>0</v>
      </c>
      <c r="AU808" s="253">
        <v>0</v>
      </c>
      <c r="AV808" s="253">
        <v>0</v>
      </c>
      <c r="AW808" s="253">
        <v>0</v>
      </c>
      <c r="AX808" s="253">
        <v>0</v>
      </c>
      <c r="AY808" s="253">
        <v>0</v>
      </c>
      <c r="AZ808" s="271">
        <v>1</v>
      </c>
      <c r="BA808" s="271">
        <v>1</v>
      </c>
      <c r="BB808" s="253">
        <v>1</v>
      </c>
      <c r="BC808" s="253">
        <v>0</v>
      </c>
      <c r="BD808" s="253">
        <v>0</v>
      </c>
      <c r="BE808" s="253">
        <v>0</v>
      </c>
      <c r="BF808" s="253">
        <v>0</v>
      </c>
      <c r="BG808" s="253" t="s">
        <v>93</v>
      </c>
      <c r="BH808" s="2" t="str" cm="1">
        <f t="array" ref="BH808">IF(COUNTIF(BB808:BD808,"&lt;&gt;0")=1,INDEX($X$4:$AY$4,MATCH(TRUE,INDEX($X808:$AY808&lt;&gt;0,),0)),IF(COUNTIF(BB808:BD808,"&lt;&gt;0")=0,INDEX($AO$4:$AY$4,MATCH(1,$AO808:$AY808,0)),"Multiple strategies"))</f>
        <v>Silviculture for productivity</v>
      </c>
      <c r="BI808" s="272" t="s">
        <v>229</v>
      </c>
      <c r="BJ808" s="253" t="s">
        <v>230</v>
      </c>
      <c r="BK808" s="273" t="s">
        <v>2754</v>
      </c>
      <c r="BL808" s="270" t="s">
        <v>231</v>
      </c>
      <c r="BM808" s="253">
        <v>41.741420320000003</v>
      </c>
      <c r="BN808" s="253">
        <v>49.052379729999998</v>
      </c>
      <c r="BO808" s="270">
        <v>1.1751487935473297</v>
      </c>
      <c r="BP808" s="253">
        <v>7.3109594099999953</v>
      </c>
      <c r="BQ808" s="270">
        <v>14.920325326530604</v>
      </c>
      <c r="BR808" s="270" t="s">
        <v>232</v>
      </c>
      <c r="BS808" s="273" t="s">
        <v>2754</v>
      </c>
      <c r="BT808" s="270" t="s">
        <v>233</v>
      </c>
      <c r="BU808" s="253">
        <v>-10.16263182</v>
      </c>
      <c r="BV808" s="253">
        <v>-9.7349397589999995</v>
      </c>
      <c r="BW808" s="255">
        <v>0.95791522623516634</v>
      </c>
      <c r="BX808" s="253">
        <v>0.42769206100000012</v>
      </c>
      <c r="BY808" s="253"/>
      <c r="BZ808" s="253">
        <v>4.2769206100000011E-4</v>
      </c>
      <c r="CA808" s="253">
        <v>2.8665062700710601E-5</v>
      </c>
      <c r="CB808" s="253">
        <v>0</v>
      </c>
      <c r="CC808" s="253">
        <v>0</v>
      </c>
      <c r="CD808" s="253">
        <v>0</v>
      </c>
      <c r="CE808" s="253">
        <v>0</v>
      </c>
      <c r="CF808" s="253">
        <v>0</v>
      </c>
      <c r="CG808" s="253">
        <v>0</v>
      </c>
      <c r="CH808" s="253">
        <v>0</v>
      </c>
      <c r="CI808" s="253">
        <v>0</v>
      </c>
      <c r="CJ808" s="253">
        <v>0</v>
      </c>
      <c r="CK808" s="253">
        <v>0</v>
      </c>
      <c r="CL808" s="253">
        <v>0</v>
      </c>
      <c r="CM808" s="253">
        <v>0</v>
      </c>
      <c r="CN808" s="253">
        <v>0</v>
      </c>
      <c r="CO808" s="253">
        <v>0</v>
      </c>
      <c r="CP808" s="253" t="s">
        <v>2755</v>
      </c>
      <c r="CQ808" s="253">
        <v>41.741420320000003</v>
      </c>
      <c r="CR808" s="253">
        <v>49.052379729999998</v>
      </c>
      <c r="CS808" s="253">
        <v>14.920325326530604</v>
      </c>
      <c r="CT808">
        <f>IF(BI808="Roundwood",$CS808/2,$CS808)</f>
        <v>14.920325326530604</v>
      </c>
      <c r="CU808" s="253">
        <v>-10.16263182</v>
      </c>
      <c r="CV808" s="253">
        <v>-9.7349397589999995</v>
      </c>
      <c r="CW808" s="253">
        <v>4.2769206100000011E-4</v>
      </c>
      <c r="CX808">
        <f>IFERROR($CW808/$CS808,"")</f>
        <v>2.8665062700710601E-5</v>
      </c>
      <c r="CY808">
        <f>IFERROR($CW808/$CS808,"")</f>
        <v>2.8665062700710601E-5</v>
      </c>
      <c r="CZ808">
        <f>IFERROR($CW808/$CT808,"")</f>
        <v>2.8665062700710601E-5</v>
      </c>
      <c r="DA808" s="254">
        <v>4.2084773764833695E-2</v>
      </c>
      <c r="DB808" s="252" t="s">
        <v>234</v>
      </c>
      <c r="DC808" s="253" t="s">
        <v>2756</v>
      </c>
      <c r="DD808" s="253" t="s">
        <v>235</v>
      </c>
      <c r="DE808" s="253"/>
      <c r="DF808" s="270"/>
      <c r="DG808" s="270">
        <v>80</v>
      </c>
      <c r="DH808" s="253" t="s">
        <v>2757</v>
      </c>
      <c r="DI808" s="253">
        <v>0</v>
      </c>
      <c r="DJ808" s="253">
        <v>1</v>
      </c>
      <c r="DK808" s="253">
        <v>0</v>
      </c>
      <c r="DL808" s="253">
        <v>0</v>
      </c>
      <c r="DM808" s="253"/>
      <c r="DN808" s="253">
        <v>1</v>
      </c>
      <c r="DO808" s="253" t="s">
        <v>173</v>
      </c>
      <c r="DP808" s="253">
        <v>0</v>
      </c>
      <c r="DQ808" s="253" t="s">
        <v>180</v>
      </c>
      <c r="DR808" s="253">
        <v>0</v>
      </c>
      <c r="DS808" s="253">
        <v>0</v>
      </c>
      <c r="DT808" s="253">
        <v>0</v>
      </c>
      <c r="DU808" s="270">
        <v>0</v>
      </c>
      <c r="DV808" s="270">
        <v>0</v>
      </c>
      <c r="DW808" s="270">
        <v>0</v>
      </c>
      <c r="DX808" s="270">
        <v>0</v>
      </c>
      <c r="DY808" s="253">
        <v>0</v>
      </c>
      <c r="DZ808" s="270" t="s">
        <v>926</v>
      </c>
      <c r="EA808" s="270">
        <v>1</v>
      </c>
      <c r="EB808" s="270">
        <v>1</v>
      </c>
      <c r="EC808" s="270">
        <v>1</v>
      </c>
      <c r="ED808" s="270">
        <v>0</v>
      </c>
      <c r="EE808" s="253">
        <v>0</v>
      </c>
      <c r="EF808" s="270">
        <v>0</v>
      </c>
      <c r="EG808" s="270">
        <v>1</v>
      </c>
      <c r="EH808" s="270">
        <v>1</v>
      </c>
      <c r="EI808" s="270">
        <v>0</v>
      </c>
      <c r="EJ808" s="270">
        <v>0</v>
      </c>
      <c r="EK808" s="253">
        <v>1</v>
      </c>
      <c r="EL808" s="270">
        <v>0</v>
      </c>
      <c r="EM808" s="253">
        <v>0</v>
      </c>
      <c r="EN808" s="254">
        <v>0</v>
      </c>
      <c r="EO808" s="252"/>
      <c r="EP808" t="str">
        <f>IF(AND(AND(AND(OR($EC808=1,$EB808=1),OR($EH808=1,$EF808=1)),SUM($EA808:$EE808,$EK808)&gt;=3),SUM($EF808:$EJ808)&gt;=2),"Whole sector approach","")</f>
        <v>Whole sector approach</v>
      </c>
      <c r="EQ808" t="str">
        <f>IF(AND(AND(OR($EC808=1,$EB808=1),AND($EH808=0,$EF808=0)),SUM($EA808:$EE808,$EK808)&gt;=4),"Ecosystem approach","")</f>
        <v/>
      </c>
      <c r="ER808" s="254" t="s">
        <v>531</v>
      </c>
      <c r="ES808" t="str">
        <f>IF(AND($EC808+$EB808+$EE808+$EA808+$ED808+$EG808=0,$N808="included"),"C neutral forest and HWP assumption","")</f>
        <v/>
      </c>
      <c r="ET808" t="str">
        <f>IF(AND(AND(AND(AND($EC808=1,$EB808+$EA808+$EG808&gt;=1),$EF808=1),$EH808+$EI808+$ED808+$EE808&gt;=2),$N808="included"),"All C pools assumption","")</f>
        <v/>
      </c>
      <c r="EU808" t="str">
        <f>IF(AND($ED808+$EE808+$EI808+$EH808+$EF808=0,$N808="included"),"In-situ only assumption","")</f>
        <v/>
      </c>
      <c r="EV808" s="253"/>
      <c r="EW808" s="253" t="s">
        <v>236</v>
      </c>
      <c r="EX808" s="253"/>
      <c r="EY808" t="str">
        <f>IF(ISNUMBER(BW808),IF(ABS(BW808-[3]QC_indicators!$B$2)&gt;3*[3]QC_indicators!$C$2,"C ratio",IF(ISNUMBER(CA808),IF(ABS(CA808-[3]QC_indicators!$B$1)&gt;3*[3]QC_indicators!$C$1,"DF","no"))),IF(ISNUMBER(CA808),IF(ABS(CA808-[3]QC_indicators!$B$1)&gt;3*[3]QC_indicators!$C$1,"DF","no")))</f>
        <v>no</v>
      </c>
      <c r="EZ808" s="274"/>
      <c r="FA808" t="str">
        <f>IF(LEN($CY808)=0,"",IF(AND($CY808&lt;(-0.05),$ES808="C neutral forest and HWP assumption"),"Cneutral paradox",IF(AND($CY808&gt;0.05,$EU808="In-situ only assumption"),"In-situ only paradox","")))</f>
        <v/>
      </c>
      <c r="FB808" s="274"/>
      <c r="FC808" s="274"/>
    </row>
    <row r="809" spans="1:160" ht="15" hidden="1" customHeight="1">
      <c r="A809" s="252" t="s">
        <v>214</v>
      </c>
      <c r="B809" s="253" t="s">
        <v>215</v>
      </c>
      <c r="C809" s="253" t="s">
        <v>216</v>
      </c>
      <c r="D809" s="253" t="s">
        <v>217</v>
      </c>
      <c r="E809" s="253" t="s">
        <v>218</v>
      </c>
      <c r="F809" s="253" t="s">
        <v>219</v>
      </c>
      <c r="G809" s="253" t="s">
        <v>220</v>
      </c>
      <c r="H809" s="253"/>
      <c r="I809" s="253">
        <v>2012</v>
      </c>
      <c r="J809" s="253"/>
      <c r="K809" s="253" t="s">
        <v>221</v>
      </c>
      <c r="L809" s="253"/>
      <c r="M809" s="253" t="s">
        <v>2753</v>
      </c>
      <c r="N809" s="253" t="s">
        <v>222</v>
      </c>
      <c r="O809" s="269" t="s">
        <v>223</v>
      </c>
      <c r="P809" s="253"/>
      <c r="Q809" s="253" t="s">
        <v>224</v>
      </c>
      <c r="R809" s="254" t="s">
        <v>225</v>
      </c>
      <c r="S809" s="252" t="s">
        <v>92</v>
      </c>
      <c r="T809" s="253" t="s">
        <v>245</v>
      </c>
      <c r="U809" s="270" t="s">
        <v>246</v>
      </c>
      <c r="V809" s="253">
        <v>0</v>
      </c>
      <c r="W809" s="253">
        <v>0</v>
      </c>
      <c r="X809" s="253">
        <v>0</v>
      </c>
      <c r="Y809" s="253">
        <v>0</v>
      </c>
      <c r="Z809" s="253">
        <v>0</v>
      </c>
      <c r="AA809" s="253">
        <v>0</v>
      </c>
      <c r="AB809" s="253">
        <v>1</v>
      </c>
      <c r="AC809" s="253">
        <v>0</v>
      </c>
      <c r="AD809" s="253">
        <v>0</v>
      </c>
      <c r="AE809" s="253">
        <v>0</v>
      </c>
      <c r="AF809" s="253">
        <v>0</v>
      </c>
      <c r="AG809" s="253">
        <v>0</v>
      </c>
      <c r="AH809" s="253">
        <v>0</v>
      </c>
      <c r="AI809" s="253">
        <v>0</v>
      </c>
      <c r="AJ809" s="253">
        <v>0</v>
      </c>
      <c r="AK809" s="253">
        <v>0</v>
      </c>
      <c r="AL809" s="253">
        <v>0</v>
      </c>
      <c r="AM809" s="253">
        <v>0</v>
      </c>
      <c r="AN809" s="253">
        <v>0</v>
      </c>
      <c r="AO809" s="253">
        <v>0</v>
      </c>
      <c r="AP809" s="253">
        <v>0</v>
      </c>
      <c r="AQ809" s="253">
        <v>0</v>
      </c>
      <c r="AR809" s="253">
        <v>0</v>
      </c>
      <c r="AS809" s="253">
        <v>0</v>
      </c>
      <c r="AT809" s="253">
        <v>0</v>
      </c>
      <c r="AU809" s="253">
        <v>0</v>
      </c>
      <c r="AV809" s="253">
        <v>0</v>
      </c>
      <c r="AW809" s="253">
        <v>0</v>
      </c>
      <c r="AX809" s="253">
        <v>0</v>
      </c>
      <c r="AY809" s="253">
        <v>0</v>
      </c>
      <c r="AZ809" s="271">
        <v>1</v>
      </c>
      <c r="BA809" s="271">
        <v>1</v>
      </c>
      <c r="BB809" s="253">
        <v>1</v>
      </c>
      <c r="BC809" s="253">
        <v>0</v>
      </c>
      <c r="BD809" s="253">
        <v>0</v>
      </c>
      <c r="BE809" s="253">
        <v>0</v>
      </c>
      <c r="BF809" s="253">
        <v>0</v>
      </c>
      <c r="BG809" s="253" t="s">
        <v>92</v>
      </c>
      <c r="BH809" s="2" t="str" cm="1">
        <f t="array" ref="BH809">IF(COUNTIF(BB809:BD809,"&lt;&gt;0")=1,INDEX($X$4:$AY$4,MATCH(TRUE,INDEX($X809:$AY809&lt;&gt;0,),0)),IF(COUNTIF(BB809:BD809,"&lt;&gt;0")=0,INDEX($AO$4:$AY$4,MATCH(1,$AO809:$AY809,0)),"Multiple strategies"))</f>
        <v>Silviculture for productivity</v>
      </c>
      <c r="BI809" s="272" t="s">
        <v>229</v>
      </c>
      <c r="BJ809" s="253" t="s">
        <v>230</v>
      </c>
      <c r="BK809" s="273" t="s">
        <v>2754</v>
      </c>
      <c r="BL809" s="270" t="s">
        <v>231</v>
      </c>
      <c r="BM809" s="253">
        <v>48.643391097519498</v>
      </c>
      <c r="BN809" s="253">
        <v>64.183526540573496</v>
      </c>
      <c r="BO809" s="270">
        <v>1.3194706432349541</v>
      </c>
      <c r="BP809" s="253">
        <v>15.540135443053998</v>
      </c>
      <c r="BQ809" s="270">
        <v>31.714562128681628</v>
      </c>
      <c r="BR809" s="270" t="s">
        <v>232</v>
      </c>
      <c r="BS809" s="273" t="s">
        <v>2754</v>
      </c>
      <c r="BT809" s="270" t="s">
        <v>233</v>
      </c>
      <c r="BU809" s="253">
        <v>-9.3488297325102803</v>
      </c>
      <c r="BV809" s="253">
        <v>-8.4950335570469804</v>
      </c>
      <c r="BW809" s="255">
        <v>0.90867347038161916</v>
      </c>
      <c r="BX809" s="253">
        <v>0.85379617546329989</v>
      </c>
      <c r="BY809" s="253"/>
      <c r="BZ809" s="253">
        <v>8.537961754632999E-4</v>
      </c>
      <c r="CA809" s="253">
        <v>2.6921266388576564E-5</v>
      </c>
      <c r="CB809" s="253">
        <v>0</v>
      </c>
      <c r="CC809" s="253">
        <v>0</v>
      </c>
      <c r="CD809" s="253">
        <v>0</v>
      </c>
      <c r="CE809" s="253">
        <v>0</v>
      </c>
      <c r="CF809" s="253">
        <v>0</v>
      </c>
      <c r="CG809" s="253">
        <v>0</v>
      </c>
      <c r="CH809" s="253">
        <v>0</v>
      </c>
      <c r="CI809" s="253">
        <v>0</v>
      </c>
      <c r="CJ809" s="253">
        <v>0</v>
      </c>
      <c r="CK809" s="253">
        <v>0</v>
      </c>
      <c r="CL809" s="253">
        <v>0</v>
      </c>
      <c r="CM809" s="253">
        <v>0</v>
      </c>
      <c r="CN809" s="253">
        <v>0</v>
      </c>
      <c r="CO809" s="253">
        <v>0</v>
      </c>
      <c r="CP809" s="253" t="s">
        <v>2755</v>
      </c>
      <c r="CQ809" s="253">
        <v>48.643391097519498</v>
      </c>
      <c r="CR809" s="253">
        <v>64.183526540573496</v>
      </c>
      <c r="CS809" s="253">
        <v>31.714562128681628</v>
      </c>
      <c r="CT809">
        <f>IF(BI809="Roundwood",$CS809/2,$CS809)</f>
        <v>31.714562128681628</v>
      </c>
      <c r="CU809" s="253">
        <v>-9.3488297325102803</v>
      </c>
      <c r="CV809" s="253">
        <v>-8.4950335570469804</v>
      </c>
      <c r="CW809" s="253">
        <v>8.537961754632999E-4</v>
      </c>
      <c r="CX809">
        <f>IFERROR($CW809/$CS809,"")</f>
        <v>2.6921266388576564E-5</v>
      </c>
      <c r="CY809">
        <f>IFERROR($CW809/$CS809,"")</f>
        <v>2.6921266388576564E-5</v>
      </c>
      <c r="CZ809">
        <f>IFERROR($CW809/$CT809,"")</f>
        <v>2.6921266388576564E-5</v>
      </c>
      <c r="DA809" s="254">
        <v>9.1326529618380878E-2</v>
      </c>
      <c r="DB809" s="252" t="s">
        <v>234</v>
      </c>
      <c r="DC809" s="253" t="s">
        <v>2756</v>
      </c>
      <c r="DD809" s="253" t="s">
        <v>235</v>
      </c>
      <c r="DE809" s="253"/>
      <c r="DF809" s="270"/>
      <c r="DG809" s="270">
        <v>80</v>
      </c>
      <c r="DH809" s="253" t="s">
        <v>2757</v>
      </c>
      <c r="DI809" s="253">
        <v>0</v>
      </c>
      <c r="DJ809" s="253">
        <v>1</v>
      </c>
      <c r="DK809" s="253">
        <v>0</v>
      </c>
      <c r="DL809" s="253">
        <v>0</v>
      </c>
      <c r="DM809" s="253"/>
      <c r="DN809" s="253">
        <v>1</v>
      </c>
      <c r="DO809" s="253" t="s">
        <v>173</v>
      </c>
      <c r="DP809" s="253">
        <v>0</v>
      </c>
      <c r="DQ809" s="253" t="s">
        <v>180</v>
      </c>
      <c r="DR809" s="253">
        <v>0</v>
      </c>
      <c r="DS809" s="253">
        <v>0</v>
      </c>
      <c r="DT809" s="253">
        <v>0</v>
      </c>
      <c r="DU809" s="270">
        <v>0</v>
      </c>
      <c r="DV809" s="270">
        <v>0</v>
      </c>
      <c r="DW809" s="270">
        <v>0</v>
      </c>
      <c r="DX809" s="270">
        <v>0</v>
      </c>
      <c r="DY809" s="253">
        <v>0</v>
      </c>
      <c r="DZ809" s="270" t="s">
        <v>926</v>
      </c>
      <c r="EA809" s="270">
        <v>1</v>
      </c>
      <c r="EB809" s="270">
        <v>1</v>
      </c>
      <c r="EC809" s="270">
        <v>1</v>
      </c>
      <c r="ED809" s="270">
        <v>0</v>
      </c>
      <c r="EE809" s="253">
        <v>0</v>
      </c>
      <c r="EF809" s="270">
        <v>0</v>
      </c>
      <c r="EG809" s="270">
        <v>1</v>
      </c>
      <c r="EH809" s="270">
        <v>1</v>
      </c>
      <c r="EI809" s="270">
        <v>0</v>
      </c>
      <c r="EJ809" s="270">
        <v>0</v>
      </c>
      <c r="EK809" s="253">
        <v>1</v>
      </c>
      <c r="EL809" s="270">
        <v>0</v>
      </c>
      <c r="EM809" s="253">
        <v>0</v>
      </c>
      <c r="EN809" s="254">
        <v>0</v>
      </c>
      <c r="EO809" s="252"/>
      <c r="EP809" t="str">
        <f>IF(AND(AND(AND(OR($EC809=1,$EB809=1),OR($EH809=1,$EF809=1)),SUM($EA809:$EE809,$EK809)&gt;=3),SUM($EF809:$EJ809)&gt;=2),"Whole sector approach","")</f>
        <v>Whole sector approach</v>
      </c>
      <c r="EQ809" t="str">
        <f>IF(AND(AND(OR($EC809=1,$EB809=1),AND($EH809=0,$EF809=0)),SUM($EA809:$EE809,$EK809)&gt;=4),"Ecosystem approach","")</f>
        <v/>
      </c>
      <c r="ER809" s="254" t="s">
        <v>531</v>
      </c>
      <c r="ES809" t="str">
        <f>IF(AND($EC809+$EB809+$EE809+$EA809+$ED809+$EG809=0,$N809="included"),"C neutral forest and HWP assumption","")</f>
        <v/>
      </c>
      <c r="ET809" t="str">
        <f>IF(AND(AND(AND(AND($EC809=1,$EB809+$EA809+$EG809&gt;=1),$EF809=1),$EH809+$EI809+$ED809+$EE809&gt;=2),$N809="included"),"All C pools assumption","")</f>
        <v/>
      </c>
      <c r="EU809" t="str">
        <f>IF(AND($ED809+$EE809+$EI809+$EH809+$EF809=0,$N809="included"),"In-situ only assumption","")</f>
        <v/>
      </c>
      <c r="EV809" s="253"/>
      <c r="EW809" s="253" t="s">
        <v>236</v>
      </c>
      <c r="EX809" s="253"/>
      <c r="EY809" t="str">
        <f>IF(ISNUMBER(BW809),IF(ABS(BW809-[3]QC_indicators!$B$2)&gt;3*[3]QC_indicators!$C$2,"C ratio",IF(ISNUMBER(CA809),IF(ABS(CA809-[3]QC_indicators!$B$1)&gt;3*[3]QC_indicators!$C$1,"DF","no"))),IF(ISNUMBER(CA809),IF(ABS(CA809-[3]QC_indicators!$B$1)&gt;3*[3]QC_indicators!$C$1,"DF","no")))</f>
        <v>no</v>
      </c>
      <c r="EZ809" s="253"/>
      <c r="FA809" t="str">
        <f>IF(LEN($CY809)=0,"",IF(AND($CY809&lt;(-0.05),$ES809="C neutral forest and HWP assumption"),"Cneutral paradox",IF(AND($CY809&gt;0.05,$EU809="In-situ only assumption"),"In-situ only paradox","")))</f>
        <v/>
      </c>
      <c r="FB809" s="253"/>
    </row>
    <row r="810" spans="1:160" ht="15" hidden="1" customHeight="1">
      <c r="A810" s="252" t="s">
        <v>214</v>
      </c>
      <c r="B810" s="253" t="s">
        <v>215</v>
      </c>
      <c r="C810" s="253" t="s">
        <v>216</v>
      </c>
      <c r="D810" s="253" t="s">
        <v>217</v>
      </c>
      <c r="E810" s="253" t="s">
        <v>218</v>
      </c>
      <c r="F810" s="253" t="s">
        <v>219</v>
      </c>
      <c r="G810" s="253" t="s">
        <v>220</v>
      </c>
      <c r="H810" s="253"/>
      <c r="I810" s="253">
        <v>2012</v>
      </c>
      <c r="J810" s="253"/>
      <c r="K810" s="253" t="s">
        <v>221</v>
      </c>
      <c r="L810" s="253"/>
      <c r="M810" s="253" t="s">
        <v>2753</v>
      </c>
      <c r="N810" s="253" t="s">
        <v>222</v>
      </c>
      <c r="O810" s="269" t="s">
        <v>223</v>
      </c>
      <c r="P810" s="253"/>
      <c r="Q810" s="253" t="s">
        <v>224</v>
      </c>
      <c r="R810" s="254" t="s">
        <v>225</v>
      </c>
      <c r="S810" s="252" t="s">
        <v>92</v>
      </c>
      <c r="T810" s="253" t="s">
        <v>245</v>
      </c>
      <c r="U810" s="270" t="s">
        <v>246</v>
      </c>
      <c r="V810" s="253">
        <v>0</v>
      </c>
      <c r="W810" s="253">
        <v>0</v>
      </c>
      <c r="X810" s="253">
        <v>0</v>
      </c>
      <c r="Y810" s="253">
        <v>0</v>
      </c>
      <c r="Z810" s="253">
        <v>0</v>
      </c>
      <c r="AA810" s="253">
        <v>0</v>
      </c>
      <c r="AB810" s="253">
        <v>1</v>
      </c>
      <c r="AC810" s="253">
        <v>0</v>
      </c>
      <c r="AD810" s="253">
        <v>0</v>
      </c>
      <c r="AE810" s="253">
        <v>0</v>
      </c>
      <c r="AF810" s="253">
        <v>0</v>
      </c>
      <c r="AG810" s="253">
        <v>0</v>
      </c>
      <c r="AH810" s="253">
        <v>0</v>
      </c>
      <c r="AI810" s="253">
        <v>0</v>
      </c>
      <c r="AJ810" s="253">
        <v>0</v>
      </c>
      <c r="AK810" s="253">
        <v>0</v>
      </c>
      <c r="AL810" s="253">
        <v>0</v>
      </c>
      <c r="AM810" s="253">
        <v>0</v>
      </c>
      <c r="AN810" s="253">
        <v>0</v>
      </c>
      <c r="AO810" s="253">
        <v>0</v>
      </c>
      <c r="AP810" s="253">
        <v>0</v>
      </c>
      <c r="AQ810" s="253">
        <v>0</v>
      </c>
      <c r="AR810" s="253">
        <v>0</v>
      </c>
      <c r="AS810" s="253">
        <v>0</v>
      </c>
      <c r="AT810" s="253">
        <v>0</v>
      </c>
      <c r="AU810" s="253">
        <v>0</v>
      </c>
      <c r="AV810" s="253">
        <v>0</v>
      </c>
      <c r="AW810" s="253">
        <v>0</v>
      </c>
      <c r="AX810" s="253">
        <v>0</v>
      </c>
      <c r="AY810" s="253">
        <v>0</v>
      </c>
      <c r="AZ810" s="271">
        <v>1</v>
      </c>
      <c r="BA810" s="271">
        <v>1</v>
      </c>
      <c r="BB810" s="253">
        <v>1</v>
      </c>
      <c r="BC810" s="253">
        <v>0</v>
      </c>
      <c r="BD810" s="253">
        <v>0</v>
      </c>
      <c r="BE810" s="253">
        <v>0</v>
      </c>
      <c r="BF810" s="253">
        <v>0</v>
      </c>
      <c r="BG810" s="253" t="s">
        <v>92</v>
      </c>
      <c r="BH810" s="2" t="str" cm="1">
        <f t="array" ref="BH810">IF(COUNTIF(BB810:BD810,"&lt;&gt;0")=1,INDEX($X$4:$AY$4,MATCH(TRUE,INDEX($X810:$AY810&lt;&gt;0,),0)),IF(COUNTIF(BB810:BD810,"&lt;&gt;0")=0,INDEX($AO$4:$AY$4,MATCH(1,$AO810:$AY810,0)),"Multiple strategies"))</f>
        <v>Silviculture for productivity</v>
      </c>
      <c r="BI810" s="272" t="s">
        <v>229</v>
      </c>
      <c r="BJ810" s="253" t="s">
        <v>230</v>
      </c>
      <c r="BK810" s="273" t="s">
        <v>2754</v>
      </c>
      <c r="BL810" s="270" t="s">
        <v>231</v>
      </c>
      <c r="BM810" s="253">
        <v>49.052379731692703</v>
      </c>
      <c r="BN810" s="253">
        <v>74.931604761787398</v>
      </c>
      <c r="BO810" s="270">
        <v>1.5275834765132537</v>
      </c>
      <c r="BP810" s="253">
        <v>25.879225030094695</v>
      </c>
      <c r="BQ810" s="270">
        <v>52.814744959376931</v>
      </c>
      <c r="BR810" s="270" t="s">
        <v>232</v>
      </c>
      <c r="BS810" s="273" t="s">
        <v>2754</v>
      </c>
      <c r="BT810" s="270" t="s">
        <v>233</v>
      </c>
      <c r="BU810" s="253">
        <v>-9.7349397590361395</v>
      </c>
      <c r="BV810" s="253">
        <v>-8.5161560643777907</v>
      </c>
      <c r="BW810" s="255">
        <v>0.87480316007841208</v>
      </c>
      <c r="BX810" s="253">
        <v>1.2187836946583488</v>
      </c>
      <c r="BY810" s="253"/>
      <c r="BZ810" s="253">
        <v>1.2187836946583488E-3</v>
      </c>
      <c r="CA810" s="253">
        <v>2.3076580140560944E-5</v>
      </c>
      <c r="CB810" s="253">
        <v>0</v>
      </c>
      <c r="CC810" s="253">
        <v>0</v>
      </c>
      <c r="CD810" s="253">
        <v>0</v>
      </c>
      <c r="CE810" s="253">
        <v>0</v>
      </c>
      <c r="CF810" s="253">
        <v>0</v>
      </c>
      <c r="CG810" s="253">
        <v>0</v>
      </c>
      <c r="CH810" s="253">
        <v>0</v>
      </c>
      <c r="CI810" s="253">
        <v>0</v>
      </c>
      <c r="CJ810" s="253">
        <v>0</v>
      </c>
      <c r="CK810" s="253">
        <v>0</v>
      </c>
      <c r="CL810" s="253">
        <v>0</v>
      </c>
      <c r="CM810" s="253">
        <v>0</v>
      </c>
      <c r="CN810" s="253">
        <v>0</v>
      </c>
      <c r="CO810" s="253">
        <v>0</v>
      </c>
      <c r="CP810" s="253" t="s">
        <v>2755</v>
      </c>
      <c r="CQ810" s="253">
        <v>49.052379731692703</v>
      </c>
      <c r="CR810" s="253">
        <v>74.931604761787398</v>
      </c>
      <c r="CS810" s="253">
        <v>52.814744959376931</v>
      </c>
      <c r="CT810">
        <f>IF(BI810="Roundwood",$CS810/2,$CS810)</f>
        <v>52.814744959376931</v>
      </c>
      <c r="CU810" s="253">
        <v>-9.7349397590361395</v>
      </c>
      <c r="CV810" s="253">
        <v>-8.5161560643777907</v>
      </c>
      <c r="CW810" s="253">
        <v>1.2187836946583488E-3</v>
      </c>
      <c r="CX810">
        <f>IFERROR($CW810/$CS810,"")</f>
        <v>2.3076580140560944E-5</v>
      </c>
      <c r="CY810">
        <f>IFERROR($CW810/$CS810,"")</f>
        <v>2.3076580140560944E-5</v>
      </c>
      <c r="CZ810">
        <f>IFERROR($CW810/$CT810,"")</f>
        <v>2.3076580140560944E-5</v>
      </c>
      <c r="DA810" s="254">
        <v>0.12519683992158787</v>
      </c>
      <c r="DB810" s="252" t="s">
        <v>234</v>
      </c>
      <c r="DC810" s="253" t="s">
        <v>2756</v>
      </c>
      <c r="DD810" s="253" t="s">
        <v>235</v>
      </c>
      <c r="DE810" s="253"/>
      <c r="DF810" s="270"/>
      <c r="DG810" s="270">
        <v>80</v>
      </c>
      <c r="DH810" s="253" t="s">
        <v>2757</v>
      </c>
      <c r="DI810" s="253">
        <v>0</v>
      </c>
      <c r="DJ810" s="253">
        <v>1</v>
      </c>
      <c r="DK810" s="253">
        <v>0</v>
      </c>
      <c r="DL810" s="253">
        <v>0</v>
      </c>
      <c r="DM810" s="253"/>
      <c r="DN810" s="253">
        <v>1</v>
      </c>
      <c r="DO810" s="253" t="s">
        <v>173</v>
      </c>
      <c r="DP810" s="253">
        <v>0</v>
      </c>
      <c r="DQ810" s="253" t="s">
        <v>180</v>
      </c>
      <c r="DR810" s="253">
        <v>0</v>
      </c>
      <c r="DS810" s="253">
        <v>0</v>
      </c>
      <c r="DT810" s="253">
        <v>0</v>
      </c>
      <c r="DU810" s="270">
        <v>0</v>
      </c>
      <c r="DV810" s="270">
        <v>0</v>
      </c>
      <c r="DW810" s="270">
        <v>0</v>
      </c>
      <c r="DX810" s="270">
        <v>0</v>
      </c>
      <c r="DY810" s="253">
        <v>0</v>
      </c>
      <c r="DZ810" s="270" t="s">
        <v>926</v>
      </c>
      <c r="EA810" s="270">
        <v>1</v>
      </c>
      <c r="EB810" s="270">
        <v>1</v>
      </c>
      <c r="EC810" s="270">
        <v>1</v>
      </c>
      <c r="ED810" s="270">
        <v>0</v>
      </c>
      <c r="EE810" s="253">
        <v>0</v>
      </c>
      <c r="EF810" s="270">
        <v>0</v>
      </c>
      <c r="EG810" s="270">
        <v>1</v>
      </c>
      <c r="EH810" s="270">
        <v>1</v>
      </c>
      <c r="EI810" s="270">
        <v>0</v>
      </c>
      <c r="EJ810" s="270">
        <v>0</v>
      </c>
      <c r="EK810" s="253">
        <v>1</v>
      </c>
      <c r="EL810" s="270">
        <v>0</v>
      </c>
      <c r="EM810" s="253">
        <v>0</v>
      </c>
      <c r="EN810" s="254">
        <v>0</v>
      </c>
      <c r="EO810" s="252"/>
      <c r="EP810" t="str">
        <f>IF(AND(AND(AND(OR($EC810=1,$EB810=1),OR($EH810=1,$EF810=1)),SUM($EA810:$EE810,$EK810)&gt;=3),SUM($EF810:$EJ810)&gt;=2),"Whole sector approach","")</f>
        <v>Whole sector approach</v>
      </c>
      <c r="EQ810" t="str">
        <f>IF(AND(AND(OR($EC810=1,$EB810=1),AND($EH810=0,$EF810=0)),SUM($EA810:$EE810,$EK810)&gt;=4),"Ecosystem approach","")</f>
        <v/>
      </c>
      <c r="ER810" s="254" t="s">
        <v>531</v>
      </c>
      <c r="ES810" t="str">
        <f>IF(AND($EC810+$EB810+$EE810+$EA810+$ED810+$EG810=0,$N810="included"),"C neutral forest and HWP assumption","")</f>
        <v/>
      </c>
      <c r="ET810" t="str">
        <f>IF(AND(AND(AND(AND($EC810=1,$EB810+$EA810+$EG810&gt;=1),$EF810=1),$EH810+$EI810+$ED810+$EE810&gt;=2),$N810="included"),"All C pools assumption","")</f>
        <v/>
      </c>
      <c r="EU810" t="str">
        <f>IF(AND($ED810+$EE810+$EI810+$EH810+$EF810=0,$N810="included"),"In-situ only assumption","")</f>
        <v/>
      </c>
      <c r="EV810" s="253"/>
      <c r="EW810" s="253" t="s">
        <v>236</v>
      </c>
      <c r="EX810" s="253"/>
      <c r="EY810" t="str">
        <f>IF(ISNUMBER(BW810),IF(ABS(BW810-[3]QC_indicators!$B$2)&gt;3*[3]QC_indicators!$C$2,"C ratio",IF(ISNUMBER(CA810),IF(ABS(CA810-[3]QC_indicators!$B$1)&gt;3*[3]QC_indicators!$C$1,"DF","no"))),IF(ISNUMBER(CA810),IF(ABS(CA810-[3]QC_indicators!$B$1)&gt;3*[3]QC_indicators!$C$1,"DF","no")))</f>
        <v>no</v>
      </c>
      <c r="EZ810" s="253"/>
      <c r="FA810" t="str">
        <f>IF(LEN($CY810)=0,"",IF(AND($CY810&lt;(-0.05),$ES810="C neutral forest and HWP assumption"),"Cneutral paradox",IF(AND($CY810&gt;0.05,$EU810="In-situ only assumption"),"In-situ only paradox","")))</f>
        <v/>
      </c>
      <c r="FB810" s="253"/>
    </row>
    <row r="811" spans="1:160" ht="15" hidden="1" customHeight="1">
      <c r="A811" s="252" t="s">
        <v>214</v>
      </c>
      <c r="B811" s="253" t="s">
        <v>215</v>
      </c>
      <c r="C811" s="253" t="s">
        <v>216</v>
      </c>
      <c r="D811" s="253" t="s">
        <v>217</v>
      </c>
      <c r="E811" s="253" t="s">
        <v>218</v>
      </c>
      <c r="F811" s="253" t="s">
        <v>219</v>
      </c>
      <c r="G811" s="253" t="s">
        <v>220</v>
      </c>
      <c r="H811" s="253"/>
      <c r="I811" s="253">
        <v>2012</v>
      </c>
      <c r="J811" s="253"/>
      <c r="K811" s="253" t="s">
        <v>221</v>
      </c>
      <c r="L811" s="253"/>
      <c r="M811" s="253" t="s">
        <v>2753</v>
      </c>
      <c r="N811" s="253" t="s">
        <v>222</v>
      </c>
      <c r="O811" s="269" t="s">
        <v>223</v>
      </c>
      <c r="P811" s="253"/>
      <c r="Q811" s="253" t="s">
        <v>224</v>
      </c>
      <c r="R811" s="254" t="s">
        <v>225</v>
      </c>
      <c r="S811" s="252" t="s">
        <v>92</v>
      </c>
      <c r="T811" s="253" t="s">
        <v>245</v>
      </c>
      <c r="U811" s="270" t="s">
        <v>246</v>
      </c>
      <c r="V811" s="253">
        <v>0</v>
      </c>
      <c r="W811" s="253">
        <v>0</v>
      </c>
      <c r="X811" s="253">
        <v>0</v>
      </c>
      <c r="Y811" s="253">
        <v>0</v>
      </c>
      <c r="Z811" s="253">
        <v>0</v>
      </c>
      <c r="AA811" s="253">
        <v>0</v>
      </c>
      <c r="AB811" s="253">
        <v>1</v>
      </c>
      <c r="AC811" s="253">
        <v>0</v>
      </c>
      <c r="AD811" s="253">
        <v>0</v>
      </c>
      <c r="AE811" s="253">
        <v>0</v>
      </c>
      <c r="AF811" s="253">
        <v>0</v>
      </c>
      <c r="AG811" s="253">
        <v>0</v>
      </c>
      <c r="AH811" s="253">
        <v>0</v>
      </c>
      <c r="AI811" s="253">
        <v>0</v>
      </c>
      <c r="AJ811" s="253">
        <v>0</v>
      </c>
      <c r="AK811" s="253">
        <v>0</v>
      </c>
      <c r="AL811" s="253">
        <v>0</v>
      </c>
      <c r="AM811" s="253">
        <v>0</v>
      </c>
      <c r="AN811" s="253">
        <v>0</v>
      </c>
      <c r="AO811" s="253">
        <v>0</v>
      </c>
      <c r="AP811" s="253">
        <v>0</v>
      </c>
      <c r="AQ811" s="253">
        <v>0</v>
      </c>
      <c r="AR811" s="253">
        <v>0</v>
      </c>
      <c r="AS811" s="253">
        <v>0</v>
      </c>
      <c r="AT811" s="253">
        <v>0</v>
      </c>
      <c r="AU811" s="253">
        <v>0</v>
      </c>
      <c r="AV811" s="253">
        <v>0</v>
      </c>
      <c r="AW811" s="253">
        <v>0</v>
      </c>
      <c r="AX811" s="253">
        <v>0</v>
      </c>
      <c r="AY811" s="253">
        <v>0</v>
      </c>
      <c r="AZ811" s="271">
        <v>1</v>
      </c>
      <c r="BA811" s="271">
        <v>1</v>
      </c>
      <c r="BB811" s="253">
        <v>1</v>
      </c>
      <c r="BC811" s="253">
        <v>0</v>
      </c>
      <c r="BD811" s="253">
        <v>0</v>
      </c>
      <c r="BE811" s="253">
        <v>0</v>
      </c>
      <c r="BF811" s="253">
        <v>0</v>
      </c>
      <c r="BG811" s="253" t="s">
        <v>92</v>
      </c>
      <c r="BH811" s="2" t="str" cm="1">
        <f t="array" ref="BH811">IF(COUNTIF(BB811:BD811,"&lt;&gt;0")=1,INDEX($X$4:$AY$4,MATCH(TRUE,INDEX($X811:$AY811&lt;&gt;0,),0)),IF(COUNTIF(BB811:BD811,"&lt;&gt;0")=0,INDEX($AO$4:$AY$4,MATCH(1,$AO811:$AY811,0)),"Multiple strategies"))</f>
        <v>Silviculture for productivity</v>
      </c>
      <c r="BI811" s="272" t="s">
        <v>229</v>
      </c>
      <c r="BJ811" s="253" t="s">
        <v>230</v>
      </c>
      <c r="BK811" s="273" t="s">
        <v>2754</v>
      </c>
      <c r="BL811" s="270" t="s">
        <v>231</v>
      </c>
      <c r="BM811" s="253">
        <v>53.696488079979403</v>
      </c>
      <c r="BN811" s="253">
        <v>75.212579794444494</v>
      </c>
      <c r="BO811" s="270">
        <v>1.4006983041873704</v>
      </c>
      <c r="BP811" s="253">
        <v>21.516091714465091</v>
      </c>
      <c r="BQ811" s="270">
        <v>43.910391254010392</v>
      </c>
      <c r="BR811" s="270" t="s">
        <v>232</v>
      </c>
      <c r="BS811" s="273" t="s">
        <v>2754</v>
      </c>
      <c r="BT811" s="270" t="s">
        <v>233</v>
      </c>
      <c r="BU811" s="253">
        <v>-9.4136546184738901</v>
      </c>
      <c r="BV811" s="253">
        <v>-8.4548837897123708</v>
      </c>
      <c r="BW811" s="255">
        <v>0.89815105104026516</v>
      </c>
      <c r="BX811" s="253">
        <v>0.95877082876151931</v>
      </c>
      <c r="BY811" s="253"/>
      <c r="BZ811" s="253">
        <v>9.5877082876151933E-4</v>
      </c>
      <c r="CA811" s="253">
        <v>2.1834713865683297E-5</v>
      </c>
      <c r="CB811" s="253">
        <v>0</v>
      </c>
      <c r="CC811" s="253">
        <v>0</v>
      </c>
      <c r="CD811" s="253">
        <v>0</v>
      </c>
      <c r="CE811" s="253">
        <v>0</v>
      </c>
      <c r="CF811" s="253">
        <v>0</v>
      </c>
      <c r="CG811" s="253">
        <v>0</v>
      </c>
      <c r="CH811" s="253">
        <v>0</v>
      </c>
      <c r="CI811" s="253">
        <v>0</v>
      </c>
      <c r="CJ811" s="253">
        <v>0</v>
      </c>
      <c r="CK811" s="253">
        <v>0</v>
      </c>
      <c r="CL811" s="253">
        <v>0</v>
      </c>
      <c r="CM811" s="253">
        <v>0</v>
      </c>
      <c r="CN811" s="253">
        <v>0</v>
      </c>
      <c r="CO811" s="253">
        <v>0</v>
      </c>
      <c r="CP811" s="253" t="s">
        <v>2755</v>
      </c>
      <c r="CQ811" s="253">
        <v>53.696488079979403</v>
      </c>
      <c r="CR811" s="253">
        <v>75.212579794444494</v>
      </c>
      <c r="CS811" s="253">
        <v>43.910391254010392</v>
      </c>
      <c r="CT811">
        <f>IF(BI811="Roundwood",$CS811/2,$CS811)</f>
        <v>43.910391254010392</v>
      </c>
      <c r="CU811" s="253">
        <v>-9.4136546184738901</v>
      </c>
      <c r="CV811" s="253">
        <v>-8.4548837897123708</v>
      </c>
      <c r="CW811" s="253">
        <v>9.5877082876151933E-4</v>
      </c>
      <c r="CX811">
        <f>IFERROR($CW811/$CS811,"")</f>
        <v>2.1834713865683297E-5</v>
      </c>
      <c r="CY811">
        <f>IFERROR($CW811/$CS811,"")</f>
        <v>2.1834713865683297E-5</v>
      </c>
      <c r="CZ811">
        <f>IFERROR($CW811/$CT811,"")</f>
        <v>2.1834713865683297E-5</v>
      </c>
      <c r="DA811" s="254">
        <v>0.10184894895973483</v>
      </c>
      <c r="DB811" s="252" t="s">
        <v>234</v>
      </c>
      <c r="DC811" s="253" t="s">
        <v>2756</v>
      </c>
      <c r="DD811" s="253" t="s">
        <v>235</v>
      </c>
      <c r="DE811" s="253"/>
      <c r="DF811" s="270"/>
      <c r="DG811" s="270">
        <v>80</v>
      </c>
      <c r="DH811" s="253" t="s">
        <v>2757</v>
      </c>
      <c r="DI811" s="253">
        <v>0</v>
      </c>
      <c r="DJ811" s="253">
        <v>1</v>
      </c>
      <c r="DK811" s="253">
        <v>0</v>
      </c>
      <c r="DL811" s="253">
        <v>0</v>
      </c>
      <c r="DM811" s="253"/>
      <c r="DN811" s="253">
        <v>1</v>
      </c>
      <c r="DO811" s="253" t="s">
        <v>173</v>
      </c>
      <c r="DP811" s="253">
        <v>0</v>
      </c>
      <c r="DQ811" s="253" t="s">
        <v>180</v>
      </c>
      <c r="DR811" s="253">
        <v>0</v>
      </c>
      <c r="DS811" s="253">
        <v>0</v>
      </c>
      <c r="DT811" s="253">
        <v>0</v>
      </c>
      <c r="DU811" s="270">
        <v>0</v>
      </c>
      <c r="DV811" s="270">
        <v>0</v>
      </c>
      <c r="DW811" s="270">
        <v>0</v>
      </c>
      <c r="DX811" s="270">
        <v>0</v>
      </c>
      <c r="DY811" s="253">
        <v>0</v>
      </c>
      <c r="DZ811" s="270" t="s">
        <v>926</v>
      </c>
      <c r="EA811" s="270">
        <v>1</v>
      </c>
      <c r="EB811" s="270">
        <v>1</v>
      </c>
      <c r="EC811" s="270">
        <v>1</v>
      </c>
      <c r="ED811" s="270">
        <v>0</v>
      </c>
      <c r="EE811" s="253">
        <v>0</v>
      </c>
      <c r="EF811" s="270">
        <v>0</v>
      </c>
      <c r="EG811" s="270">
        <v>1</v>
      </c>
      <c r="EH811" s="270">
        <v>1</v>
      </c>
      <c r="EI811" s="270">
        <v>0</v>
      </c>
      <c r="EJ811" s="270">
        <v>0</v>
      </c>
      <c r="EK811" s="253">
        <v>1</v>
      </c>
      <c r="EL811" s="270">
        <v>0</v>
      </c>
      <c r="EM811" s="253">
        <v>0</v>
      </c>
      <c r="EN811" s="254">
        <v>0</v>
      </c>
      <c r="EO811" s="252"/>
      <c r="EP811" t="str">
        <f>IF(AND(AND(AND(OR($EC811=1,$EB811=1),OR($EH811=1,$EF811=1)),SUM($EA811:$EE811,$EK811)&gt;=3),SUM($EF811:$EJ811)&gt;=2),"Whole sector approach","")</f>
        <v>Whole sector approach</v>
      </c>
      <c r="EQ811" t="str">
        <f>IF(AND(AND(OR($EC811=1,$EB811=1),AND($EH811=0,$EF811=0)),SUM($EA811:$EE811,$EK811)&gt;=4),"Ecosystem approach","")</f>
        <v/>
      </c>
      <c r="ER811" s="254" t="s">
        <v>531</v>
      </c>
      <c r="ES811" t="str">
        <f>IF(AND($EC811+$EB811+$EE811+$EA811+$ED811+$EG811=0,$N811="included"),"C neutral forest and HWP assumption","")</f>
        <v/>
      </c>
      <c r="ET811" t="str">
        <f>IF(AND(AND(AND(AND($EC811=1,$EB811+$EA811+$EG811&gt;=1),$EF811=1),$EH811+$EI811+$ED811+$EE811&gt;=2),$N811="included"),"All C pools assumption","")</f>
        <v/>
      </c>
      <c r="EU811" t="str">
        <f>IF(AND($ED811+$EE811+$EI811+$EH811+$EF811=0,$N811="included"),"In-situ only assumption","")</f>
        <v/>
      </c>
      <c r="EV811" s="253"/>
      <c r="EW811" s="253" t="s">
        <v>236</v>
      </c>
      <c r="EX811" s="253"/>
      <c r="EY811" t="str">
        <f>IF(ISNUMBER(BW811),IF(ABS(BW811-[3]QC_indicators!$B$2)&gt;3*[3]QC_indicators!$C$2,"C ratio",IF(ISNUMBER(CA811),IF(ABS(CA811-[3]QC_indicators!$B$1)&gt;3*[3]QC_indicators!$C$1,"DF","no"))),IF(ISNUMBER(CA811),IF(ABS(CA811-[3]QC_indicators!$B$1)&gt;3*[3]QC_indicators!$C$1,"DF","no")))</f>
        <v>no</v>
      </c>
      <c r="EZ811" s="253"/>
      <c r="FA811" t="str">
        <f>IF(LEN($CY811)=0,"",IF(AND($CY811&lt;(-0.05),$ES811="C neutral forest and HWP assumption"),"Cneutral paradox",IF(AND($CY811&gt;0.05,$EU811="In-situ only assumption"),"In-situ only paradox","")))</f>
        <v/>
      </c>
      <c r="FB811" s="253"/>
    </row>
    <row r="812" spans="1:160" ht="15" hidden="1" customHeight="1">
      <c r="A812" s="252" t="s">
        <v>214</v>
      </c>
      <c r="B812" s="253" t="s">
        <v>215</v>
      </c>
      <c r="C812" s="253" t="s">
        <v>216</v>
      </c>
      <c r="D812" s="253" t="s">
        <v>217</v>
      </c>
      <c r="E812" s="253" t="s">
        <v>218</v>
      </c>
      <c r="F812" s="253" t="s">
        <v>219</v>
      </c>
      <c r="G812" s="253" t="s">
        <v>220</v>
      </c>
      <c r="H812" s="253"/>
      <c r="I812" s="253">
        <v>2012</v>
      </c>
      <c r="J812" s="253"/>
      <c r="K812" s="253" t="s">
        <v>221</v>
      </c>
      <c r="L812" s="253"/>
      <c r="M812" s="253" t="s">
        <v>2753</v>
      </c>
      <c r="N812" s="253" t="s">
        <v>222</v>
      </c>
      <c r="O812" s="269" t="s">
        <v>223</v>
      </c>
      <c r="P812" s="253"/>
      <c r="Q812" s="253" t="s">
        <v>224</v>
      </c>
      <c r="R812" s="254" t="s">
        <v>225</v>
      </c>
      <c r="S812" s="252" t="s">
        <v>241</v>
      </c>
      <c r="T812" s="253" t="s">
        <v>244</v>
      </c>
      <c r="U812" s="270" t="s">
        <v>242</v>
      </c>
      <c r="V812" s="253">
        <v>0</v>
      </c>
      <c r="W812" s="253">
        <v>0</v>
      </c>
      <c r="X812" s="253">
        <v>0</v>
      </c>
      <c r="Y812" s="253">
        <v>0</v>
      </c>
      <c r="Z812" s="253">
        <v>0</v>
      </c>
      <c r="AA812" s="253">
        <v>0</v>
      </c>
      <c r="AB812" s="253">
        <v>0</v>
      </c>
      <c r="AC812" s="253">
        <v>0</v>
      </c>
      <c r="AD812" s="253">
        <v>0</v>
      </c>
      <c r="AE812" s="253">
        <v>1</v>
      </c>
      <c r="AF812" s="253">
        <v>0</v>
      </c>
      <c r="AG812" s="253">
        <v>0</v>
      </c>
      <c r="AH812" s="253">
        <v>0</v>
      </c>
      <c r="AI812" s="253">
        <v>0</v>
      </c>
      <c r="AJ812" s="253">
        <v>0</v>
      </c>
      <c r="AK812" s="253">
        <v>0</v>
      </c>
      <c r="AL812" s="253">
        <v>0</v>
      </c>
      <c r="AM812" s="253">
        <v>0</v>
      </c>
      <c r="AN812" s="253">
        <v>0</v>
      </c>
      <c r="AO812" s="253">
        <v>0</v>
      </c>
      <c r="AP812" s="253">
        <v>0</v>
      </c>
      <c r="AQ812" s="253">
        <v>0</v>
      </c>
      <c r="AR812" s="253">
        <v>0</v>
      </c>
      <c r="AS812" s="253">
        <v>0</v>
      </c>
      <c r="AT812" s="253">
        <v>0</v>
      </c>
      <c r="AU812" s="253">
        <v>0</v>
      </c>
      <c r="AV812" s="253">
        <v>0</v>
      </c>
      <c r="AW812" s="253">
        <v>0</v>
      </c>
      <c r="AX812" s="253">
        <v>0</v>
      </c>
      <c r="AY812" s="253">
        <v>0</v>
      </c>
      <c r="AZ812" s="271">
        <v>1</v>
      </c>
      <c r="BA812" s="271">
        <v>1</v>
      </c>
      <c r="BB812" s="253">
        <v>1</v>
      </c>
      <c r="BC812" s="253">
        <v>0</v>
      </c>
      <c r="BD812" s="253">
        <v>0</v>
      </c>
      <c r="BE812" s="253">
        <v>0</v>
      </c>
      <c r="BF812" s="253">
        <v>0</v>
      </c>
      <c r="BG812" s="253" t="s">
        <v>95</v>
      </c>
      <c r="BH812" s="2" t="str" cm="1">
        <f t="array" ref="BH812">IF(COUNTIF(BB812:BD812,"&lt;&gt;0")=1,INDEX($X$4:$AY$4,MATCH(TRUE,INDEX($X812:$AY812&lt;&gt;0,),0)),IF(COUNTIF(BB812:BD812,"&lt;&gt;0")=0,INDEX($AO$4:$AY$4,MATCH(1,$AO812:$AY812,0)),"Multiple strategies"))</f>
        <v>Silviculture for productivity</v>
      </c>
      <c r="BI812" s="272" t="s">
        <v>229</v>
      </c>
      <c r="BJ812" s="253" t="s">
        <v>230</v>
      </c>
      <c r="BK812" s="273" t="s">
        <v>2754</v>
      </c>
      <c r="BL812" s="270" t="s">
        <v>231</v>
      </c>
      <c r="BM812" s="253">
        <v>34.220071776467499</v>
      </c>
      <c r="BN812" s="253">
        <v>41.741420319401897</v>
      </c>
      <c r="BO812" s="270">
        <v>1.2197934765322931</v>
      </c>
      <c r="BP812" s="253">
        <v>7.5213485429343976</v>
      </c>
      <c r="BQ812" s="270">
        <v>15.349690903947751</v>
      </c>
      <c r="BR812" s="270" t="s">
        <v>232</v>
      </c>
      <c r="BS812" s="273" t="s">
        <v>2754</v>
      </c>
      <c r="BT812" s="270" t="s">
        <v>233</v>
      </c>
      <c r="BU812" s="253">
        <v>-10.491967871485899</v>
      </c>
      <c r="BV812" s="253">
        <v>-10.1626318158436</v>
      </c>
      <c r="BW812" s="255">
        <v>0.96861064962490606</v>
      </c>
      <c r="BX812" s="253">
        <v>0.32933605564229929</v>
      </c>
      <c r="BY812" s="253"/>
      <c r="BZ812" s="253">
        <v>3.2933605564229926E-4</v>
      </c>
      <c r="CA812" s="253">
        <v>2.1455549672182527E-5</v>
      </c>
      <c r="CB812" s="253">
        <v>0</v>
      </c>
      <c r="CC812" s="253">
        <v>0</v>
      </c>
      <c r="CD812" s="253">
        <v>0</v>
      </c>
      <c r="CE812" s="253">
        <v>0</v>
      </c>
      <c r="CF812" s="253">
        <v>0</v>
      </c>
      <c r="CG812" s="253">
        <v>0</v>
      </c>
      <c r="CH812" s="253">
        <v>0</v>
      </c>
      <c r="CI812" s="253">
        <v>0</v>
      </c>
      <c r="CJ812" s="253">
        <v>0</v>
      </c>
      <c r="CK812" s="253">
        <v>0</v>
      </c>
      <c r="CL812" s="253">
        <v>0</v>
      </c>
      <c r="CM812" s="253">
        <v>0</v>
      </c>
      <c r="CN812" s="253">
        <v>0</v>
      </c>
      <c r="CO812" s="253">
        <v>0</v>
      </c>
      <c r="CP812" s="253" t="s">
        <v>2755</v>
      </c>
      <c r="CQ812" s="253">
        <v>34.220071776467499</v>
      </c>
      <c r="CR812" s="253">
        <v>41.741420319401897</v>
      </c>
      <c r="CS812" s="253">
        <v>15.349690903947751</v>
      </c>
      <c r="CT812">
        <f>IF(BI812="Roundwood",$CS812/2,$CS812)</f>
        <v>15.349690903947751</v>
      </c>
      <c r="CU812" s="253">
        <v>-10.491967871485899</v>
      </c>
      <c r="CV812" s="253">
        <v>-10.1626318158436</v>
      </c>
      <c r="CW812" s="253">
        <v>3.2933605564229926E-4</v>
      </c>
      <c r="CX812">
        <f>IFERROR($CW812/$CS812,"")</f>
        <v>2.1455549672182527E-5</v>
      </c>
      <c r="CY812">
        <f>IFERROR($CW812/$CS812,"")</f>
        <v>2.1455549672182527E-5</v>
      </c>
      <c r="CZ812">
        <f>IFERROR($CW812/$CT812,"")</f>
        <v>2.1455549672182527E-5</v>
      </c>
      <c r="DA812" s="254">
        <v>3.1389350375093925E-2</v>
      </c>
      <c r="DB812" s="252" t="s">
        <v>234</v>
      </c>
      <c r="DC812" s="253" t="s">
        <v>2756</v>
      </c>
      <c r="DD812" s="253" t="s">
        <v>235</v>
      </c>
      <c r="DE812" s="253"/>
      <c r="DF812" s="270"/>
      <c r="DG812" s="270">
        <v>80</v>
      </c>
      <c r="DH812" s="253" t="s">
        <v>2757</v>
      </c>
      <c r="DI812" s="253">
        <v>0</v>
      </c>
      <c r="DJ812" s="253">
        <v>1</v>
      </c>
      <c r="DK812" s="253">
        <v>0</v>
      </c>
      <c r="DL812" s="253">
        <v>0</v>
      </c>
      <c r="DM812" s="253"/>
      <c r="DN812" s="253">
        <v>1</v>
      </c>
      <c r="DO812" s="253" t="s">
        <v>173</v>
      </c>
      <c r="DP812" s="253">
        <v>0</v>
      </c>
      <c r="DQ812" s="253" t="s">
        <v>180</v>
      </c>
      <c r="DR812" s="253">
        <v>0</v>
      </c>
      <c r="DS812" s="253">
        <v>0</v>
      </c>
      <c r="DT812" s="253">
        <v>0</v>
      </c>
      <c r="DU812" s="270">
        <v>0</v>
      </c>
      <c r="DV812" s="270">
        <v>0</v>
      </c>
      <c r="DW812" s="270">
        <v>0</v>
      </c>
      <c r="DX812" s="270">
        <v>0</v>
      </c>
      <c r="DY812" s="253">
        <v>0</v>
      </c>
      <c r="DZ812" s="270" t="s">
        <v>926</v>
      </c>
      <c r="EA812" s="270">
        <v>1</v>
      </c>
      <c r="EB812" s="270">
        <v>1</v>
      </c>
      <c r="EC812" s="270">
        <v>1</v>
      </c>
      <c r="ED812" s="270">
        <v>0</v>
      </c>
      <c r="EE812" s="253">
        <v>0</v>
      </c>
      <c r="EF812" s="270">
        <v>0</v>
      </c>
      <c r="EG812" s="270">
        <v>1</v>
      </c>
      <c r="EH812" s="270">
        <v>1</v>
      </c>
      <c r="EI812" s="270">
        <v>0</v>
      </c>
      <c r="EJ812" s="270">
        <v>0</v>
      </c>
      <c r="EK812" s="253">
        <v>1</v>
      </c>
      <c r="EL812" s="270">
        <v>0</v>
      </c>
      <c r="EM812" s="253">
        <v>0</v>
      </c>
      <c r="EN812" s="254">
        <v>0</v>
      </c>
      <c r="EO812" s="252"/>
      <c r="EP812" t="str">
        <f>IF(AND(AND(AND(OR($EC812=1,$EB812=1),OR($EH812=1,$EF812=1)),SUM($EA812:$EE812,$EK812)&gt;=3),SUM($EF812:$EJ812)&gt;=2),"Whole sector approach","")</f>
        <v>Whole sector approach</v>
      </c>
      <c r="EQ812" t="str">
        <f>IF(AND(AND(OR($EC812=1,$EB812=1),AND($EH812=0,$EF812=0)),SUM($EA812:$EE812,$EK812)&gt;=4),"Ecosystem approach","")</f>
        <v/>
      </c>
      <c r="ER812" s="254" t="s">
        <v>531</v>
      </c>
      <c r="ES812" t="str">
        <f>IF(AND($EC812+$EB812+$EE812+$EA812+$ED812+$EG812=0,$N812="included"),"C neutral forest and HWP assumption","")</f>
        <v/>
      </c>
      <c r="ET812" t="str">
        <f>IF(AND(AND(AND(AND($EC812=1,$EB812+$EA812+$EG812&gt;=1),$EF812=1),$EH812+$EI812+$ED812+$EE812&gt;=2),$N812="included"),"All C pools assumption","")</f>
        <v/>
      </c>
      <c r="EU812" t="str">
        <f>IF(AND($ED812+$EE812+$EI812+$EH812+$EF812=0,$N812="included"),"In-situ only assumption","")</f>
        <v/>
      </c>
      <c r="EV812" s="253"/>
      <c r="EW812" s="253" t="s">
        <v>236</v>
      </c>
      <c r="EX812" s="253"/>
      <c r="EY812" t="str">
        <f>IF(ISNUMBER(BW812),IF(ABS(BW812-[3]QC_indicators!$B$2)&gt;3*[3]QC_indicators!$C$2,"C ratio",IF(ISNUMBER(CA812),IF(ABS(CA812-[3]QC_indicators!$B$1)&gt;3*[3]QC_indicators!$C$1,"DF","no"))),IF(ISNUMBER(CA812),IF(ABS(CA812-[3]QC_indicators!$B$1)&gt;3*[3]QC_indicators!$C$1,"DF","no")))</f>
        <v>no</v>
      </c>
      <c r="FA812" t="str">
        <f>IF(LEN($CY812)=0,"",IF(AND($CY812&lt;(-0.05),$ES812="C neutral forest and HWP assumption"),"Cneutral paradox",IF(AND($CY812&gt;0.05,$EU812="In-situ only assumption"),"In-situ only paradox","")))</f>
        <v/>
      </c>
    </row>
    <row r="813" spans="1:160" ht="15" hidden="1" customHeight="1">
      <c r="A813" s="252" t="s">
        <v>214</v>
      </c>
      <c r="B813" s="253" t="s">
        <v>215</v>
      </c>
      <c r="C813" s="253" t="s">
        <v>216</v>
      </c>
      <c r="D813" s="253" t="s">
        <v>217</v>
      </c>
      <c r="E813" s="253" t="s">
        <v>218</v>
      </c>
      <c r="F813" s="253" t="s">
        <v>219</v>
      </c>
      <c r="G813" s="253" t="s">
        <v>220</v>
      </c>
      <c r="H813" s="253"/>
      <c r="I813" s="253">
        <v>2012</v>
      </c>
      <c r="J813" s="253"/>
      <c r="K813" s="253" t="s">
        <v>221</v>
      </c>
      <c r="L813" s="253"/>
      <c r="M813" s="253" t="s">
        <v>2753</v>
      </c>
      <c r="N813" s="253" t="s">
        <v>222</v>
      </c>
      <c r="O813" s="269" t="s">
        <v>223</v>
      </c>
      <c r="P813" s="253"/>
      <c r="Q813" s="253" t="s">
        <v>224</v>
      </c>
      <c r="R813" s="254" t="s">
        <v>225</v>
      </c>
      <c r="S813" s="252" t="s">
        <v>241</v>
      </c>
      <c r="T813" s="253" t="s">
        <v>244</v>
      </c>
      <c r="U813" s="270" t="s">
        <v>242</v>
      </c>
      <c r="V813" s="253">
        <v>0</v>
      </c>
      <c r="W813" s="253">
        <v>0</v>
      </c>
      <c r="X813" s="253">
        <v>0</v>
      </c>
      <c r="Y813" s="253">
        <v>0</v>
      </c>
      <c r="Z813" s="253">
        <v>0</v>
      </c>
      <c r="AA813" s="253">
        <v>0</v>
      </c>
      <c r="AB813" s="253">
        <v>0</v>
      </c>
      <c r="AC813" s="253">
        <v>0</v>
      </c>
      <c r="AD813" s="253">
        <v>0</v>
      </c>
      <c r="AE813" s="253">
        <v>1</v>
      </c>
      <c r="AF813" s="253">
        <v>0</v>
      </c>
      <c r="AG813" s="253">
        <v>0</v>
      </c>
      <c r="AH813" s="253">
        <v>0</v>
      </c>
      <c r="AI813" s="253">
        <v>0</v>
      </c>
      <c r="AJ813" s="253">
        <v>0</v>
      </c>
      <c r="AK813" s="253">
        <v>0</v>
      </c>
      <c r="AL813" s="253">
        <v>0</v>
      </c>
      <c r="AM813" s="253">
        <v>0</v>
      </c>
      <c r="AN813" s="253">
        <v>0</v>
      </c>
      <c r="AO813" s="253">
        <v>0</v>
      </c>
      <c r="AP813" s="253">
        <v>0</v>
      </c>
      <c r="AQ813" s="253">
        <v>0</v>
      </c>
      <c r="AR813" s="253">
        <v>0</v>
      </c>
      <c r="AS813" s="253">
        <v>0</v>
      </c>
      <c r="AT813" s="253">
        <v>0</v>
      </c>
      <c r="AU813" s="253">
        <v>0</v>
      </c>
      <c r="AV813" s="253">
        <v>0</v>
      </c>
      <c r="AW813" s="253">
        <v>0</v>
      </c>
      <c r="AX813" s="253">
        <v>0</v>
      </c>
      <c r="AY813" s="253">
        <v>0</v>
      </c>
      <c r="AZ813" s="271">
        <v>1</v>
      </c>
      <c r="BA813" s="271">
        <v>1</v>
      </c>
      <c r="BB813" s="253">
        <v>1</v>
      </c>
      <c r="BC813" s="253">
        <v>0</v>
      </c>
      <c r="BD813" s="253">
        <v>0</v>
      </c>
      <c r="BE813" s="253">
        <v>0</v>
      </c>
      <c r="BF813" s="253">
        <v>0</v>
      </c>
      <c r="BG813" s="253" t="s">
        <v>95</v>
      </c>
      <c r="BH813" s="2" t="str" cm="1">
        <f t="array" ref="BH813">IF(COUNTIF(BB813:BD813,"&lt;&gt;0")=1,INDEX($X$4:$AY$4,MATCH(TRUE,INDEX($X813:$AY813&lt;&gt;0,),0)),IF(COUNTIF(BB813:BD813,"&lt;&gt;0")=0,INDEX($AO$4:$AY$4,MATCH(1,$AO813:$AY813,0)),"Multiple strategies"))</f>
        <v>Silviculture for productivity</v>
      </c>
      <c r="BI813" s="272" t="s">
        <v>229</v>
      </c>
      <c r="BJ813" s="253" t="s">
        <v>230</v>
      </c>
      <c r="BK813" s="273" t="s">
        <v>2754</v>
      </c>
      <c r="BL813" s="270" t="s">
        <v>231</v>
      </c>
      <c r="BM813" s="253">
        <v>37.305819020763899</v>
      </c>
      <c r="BN813" s="253">
        <v>48.643391097519498</v>
      </c>
      <c r="BO813" s="270">
        <v>1.3039089443511551</v>
      </c>
      <c r="BP813" s="253">
        <v>11.337572076755599</v>
      </c>
      <c r="BQ813" s="270">
        <v>23.137902197460406</v>
      </c>
      <c r="BR813" s="270" t="s">
        <v>232</v>
      </c>
      <c r="BS813" s="273" t="s">
        <v>2754</v>
      </c>
      <c r="BT813" s="270" t="s">
        <v>233</v>
      </c>
      <c r="BU813" s="253">
        <v>-9.8192771084337291</v>
      </c>
      <c r="BV813" s="253">
        <v>-9.3488297325102803</v>
      </c>
      <c r="BW813" s="255">
        <v>0.95208940834153832</v>
      </c>
      <c r="BX813" s="253">
        <v>0.47044737592344887</v>
      </c>
      <c r="BY813" s="253"/>
      <c r="BZ813" s="253">
        <v>4.7044737592344887E-4</v>
      </c>
      <c r="CA813" s="253">
        <v>2.0332326237211112E-5</v>
      </c>
      <c r="CB813" s="253">
        <v>0</v>
      </c>
      <c r="CC813" s="253">
        <v>0</v>
      </c>
      <c r="CD813" s="253">
        <v>0</v>
      </c>
      <c r="CE813" s="253">
        <v>0</v>
      </c>
      <c r="CF813" s="253">
        <v>0</v>
      </c>
      <c r="CG813" s="253">
        <v>0</v>
      </c>
      <c r="CH813" s="253">
        <v>0</v>
      </c>
      <c r="CI813" s="253">
        <v>0</v>
      </c>
      <c r="CJ813" s="253">
        <v>0</v>
      </c>
      <c r="CK813" s="253">
        <v>0</v>
      </c>
      <c r="CL813" s="253">
        <v>0</v>
      </c>
      <c r="CM813" s="253">
        <v>0</v>
      </c>
      <c r="CN813" s="253">
        <v>0</v>
      </c>
      <c r="CO813" s="253">
        <v>0</v>
      </c>
      <c r="CP813" s="253" t="s">
        <v>2755</v>
      </c>
      <c r="CQ813" s="253">
        <v>37.305819020763899</v>
      </c>
      <c r="CR813" s="253">
        <v>48.643391097519498</v>
      </c>
      <c r="CS813" s="253">
        <v>23.137902197460406</v>
      </c>
      <c r="CT813">
        <f>IF(BI813="Roundwood",$CS813/2,$CS813)</f>
        <v>23.137902197460406</v>
      </c>
      <c r="CU813" s="253">
        <v>-9.8192771084337291</v>
      </c>
      <c r="CV813" s="253">
        <v>-9.3488297325102803</v>
      </c>
      <c r="CW813" s="253">
        <v>4.7044737592344887E-4</v>
      </c>
      <c r="CX813">
        <f>IFERROR($CW813/$CS813,"")</f>
        <v>2.0332326237211112E-5</v>
      </c>
      <c r="CY813">
        <f>IFERROR($CW813/$CS813,"")</f>
        <v>2.0332326237211112E-5</v>
      </c>
      <c r="CZ813">
        <f>IFERROR($CW813/$CT813,"")</f>
        <v>2.0332326237211112E-5</v>
      </c>
      <c r="DA813" s="254">
        <v>4.791059165846169E-2</v>
      </c>
      <c r="DB813" s="252" t="s">
        <v>234</v>
      </c>
      <c r="DC813" s="253" t="s">
        <v>2756</v>
      </c>
      <c r="DD813" s="253" t="s">
        <v>235</v>
      </c>
      <c r="DE813" s="253"/>
      <c r="DF813" s="270"/>
      <c r="DG813" s="270">
        <v>80</v>
      </c>
      <c r="DH813" s="253" t="s">
        <v>2757</v>
      </c>
      <c r="DI813" s="253">
        <v>0</v>
      </c>
      <c r="DJ813" s="253">
        <v>1</v>
      </c>
      <c r="DK813" s="253">
        <v>0</v>
      </c>
      <c r="DL813" s="253">
        <v>0</v>
      </c>
      <c r="DM813" s="253"/>
      <c r="DN813" s="253">
        <v>1</v>
      </c>
      <c r="DO813" s="253" t="s">
        <v>173</v>
      </c>
      <c r="DP813" s="253">
        <v>0</v>
      </c>
      <c r="DQ813" s="253" t="s">
        <v>180</v>
      </c>
      <c r="DR813" s="253">
        <v>0</v>
      </c>
      <c r="DS813" s="253">
        <v>0</v>
      </c>
      <c r="DT813" s="253">
        <v>0</v>
      </c>
      <c r="DU813" s="270">
        <v>0</v>
      </c>
      <c r="DV813" s="270">
        <v>0</v>
      </c>
      <c r="DW813" s="270">
        <v>0</v>
      </c>
      <c r="DX813" s="270">
        <v>0</v>
      </c>
      <c r="DY813" s="253">
        <v>0</v>
      </c>
      <c r="DZ813" s="270" t="s">
        <v>926</v>
      </c>
      <c r="EA813" s="270">
        <v>1</v>
      </c>
      <c r="EB813" s="270">
        <v>1</v>
      </c>
      <c r="EC813" s="270">
        <v>1</v>
      </c>
      <c r="ED813" s="270">
        <v>0</v>
      </c>
      <c r="EE813" s="253">
        <v>0</v>
      </c>
      <c r="EF813" s="270">
        <v>0</v>
      </c>
      <c r="EG813" s="270">
        <v>1</v>
      </c>
      <c r="EH813" s="270">
        <v>1</v>
      </c>
      <c r="EI813" s="270">
        <v>0</v>
      </c>
      <c r="EJ813" s="270">
        <v>0</v>
      </c>
      <c r="EK813" s="253">
        <v>1</v>
      </c>
      <c r="EL813" s="270">
        <v>0</v>
      </c>
      <c r="EM813" s="253">
        <v>0</v>
      </c>
      <c r="EN813" s="254">
        <v>0</v>
      </c>
      <c r="EO813" s="252"/>
      <c r="EP813" t="str">
        <f>IF(AND(AND(AND(OR($EC813=1,$EB813=1),OR($EH813=1,$EF813=1)),SUM($EA813:$EE813,$EK813)&gt;=3),SUM($EF813:$EJ813)&gt;=2),"Whole sector approach","")</f>
        <v>Whole sector approach</v>
      </c>
      <c r="EQ813" t="str">
        <f>IF(AND(AND(OR($EC813=1,$EB813=1),AND($EH813=0,$EF813=0)),SUM($EA813:$EE813,$EK813)&gt;=4),"Ecosystem approach","")</f>
        <v/>
      </c>
      <c r="ER813" s="254" t="s">
        <v>531</v>
      </c>
      <c r="ES813" t="str">
        <f>IF(AND($EC813+$EB813+$EE813+$EA813+$ED813+$EG813=0,$N813="included"),"C neutral forest and HWP assumption","")</f>
        <v/>
      </c>
      <c r="ET813" t="str">
        <f>IF(AND(AND(AND(AND($EC813=1,$EB813+$EA813+$EG813&gt;=1),$EF813=1),$EH813+$EI813+$ED813+$EE813&gt;=2),$N813="included"),"All C pools assumption","")</f>
        <v/>
      </c>
      <c r="EU813" t="str">
        <f>IF(AND($ED813+$EE813+$EI813+$EH813+$EF813=0,$N813="included"),"In-situ only assumption","")</f>
        <v/>
      </c>
      <c r="EV813" s="253"/>
      <c r="EW813" s="253" t="s">
        <v>236</v>
      </c>
      <c r="EX813" s="253"/>
      <c r="EY813" t="str">
        <f>IF(ISNUMBER(BW813),IF(ABS(BW813-[3]QC_indicators!$B$2)&gt;3*[3]QC_indicators!$C$2,"C ratio",IF(ISNUMBER(CA813),IF(ABS(CA813-[3]QC_indicators!$B$1)&gt;3*[3]QC_indicators!$C$1,"DF","no"))),IF(ISNUMBER(CA813),IF(ABS(CA813-[3]QC_indicators!$B$1)&gt;3*[3]QC_indicators!$C$1,"DF","no")))</f>
        <v>no</v>
      </c>
      <c r="FA813" t="str">
        <f>IF(LEN($CY813)=0,"",IF(AND($CY813&lt;(-0.05),$ES813="C neutral forest and HWP assumption"),"Cneutral paradox",IF(AND($CY813&gt;0.05,$EU813="In-situ only assumption"),"In-situ only paradox","")))</f>
        <v/>
      </c>
    </row>
    <row r="814" spans="1:160" ht="15" hidden="1" customHeight="1">
      <c r="A814" s="252" t="s">
        <v>214</v>
      </c>
      <c r="B814" s="253" t="s">
        <v>215</v>
      </c>
      <c r="C814" s="253" t="s">
        <v>216</v>
      </c>
      <c r="D814" s="253" t="s">
        <v>217</v>
      </c>
      <c r="E814" s="253" t="s">
        <v>218</v>
      </c>
      <c r="F814" s="253" t="s">
        <v>219</v>
      </c>
      <c r="G814" s="253" t="s">
        <v>220</v>
      </c>
      <c r="H814" s="253"/>
      <c r="I814" s="253">
        <v>2012</v>
      </c>
      <c r="J814" s="253"/>
      <c r="K814" s="253" t="s">
        <v>221</v>
      </c>
      <c r="L814" s="253"/>
      <c r="M814" s="253" t="s">
        <v>2753</v>
      </c>
      <c r="N814" s="253" t="s">
        <v>222</v>
      </c>
      <c r="O814" s="269" t="s">
        <v>223</v>
      </c>
      <c r="P814" s="253"/>
      <c r="Q814" s="253" t="s">
        <v>224</v>
      </c>
      <c r="R814" s="254" t="s">
        <v>225</v>
      </c>
      <c r="S814" s="252" t="s">
        <v>241</v>
      </c>
      <c r="T814" s="253" t="s">
        <v>242</v>
      </c>
      <c r="U814" s="270" t="s">
        <v>243</v>
      </c>
      <c r="V814" s="253">
        <v>0</v>
      </c>
      <c r="W814" s="253">
        <v>0</v>
      </c>
      <c r="X814" s="253">
        <v>0</v>
      </c>
      <c r="Y814" s="253">
        <v>0</v>
      </c>
      <c r="Z814" s="253">
        <v>0</v>
      </c>
      <c r="AA814" s="253">
        <v>0</v>
      </c>
      <c r="AB814" s="253">
        <v>0</v>
      </c>
      <c r="AC814" s="253">
        <v>0</v>
      </c>
      <c r="AD814" s="253">
        <v>0</v>
      </c>
      <c r="AE814" s="253">
        <v>1</v>
      </c>
      <c r="AF814" s="253">
        <v>0</v>
      </c>
      <c r="AG814" s="253">
        <v>0</v>
      </c>
      <c r="AH814" s="253">
        <v>0</v>
      </c>
      <c r="AI814" s="253">
        <v>0</v>
      </c>
      <c r="AJ814" s="253">
        <v>0</v>
      </c>
      <c r="AK814" s="253">
        <v>0</v>
      </c>
      <c r="AL814" s="253">
        <v>0</v>
      </c>
      <c r="AM814" s="253">
        <v>0</v>
      </c>
      <c r="AN814" s="253">
        <v>0</v>
      </c>
      <c r="AO814" s="253">
        <v>0</v>
      </c>
      <c r="AP814" s="253">
        <v>0</v>
      </c>
      <c r="AQ814" s="253">
        <v>0</v>
      </c>
      <c r="AR814" s="253">
        <v>0</v>
      </c>
      <c r="AS814" s="253">
        <v>0</v>
      </c>
      <c r="AT814" s="253">
        <v>0</v>
      </c>
      <c r="AU814" s="253">
        <v>0</v>
      </c>
      <c r="AV814" s="253">
        <v>0</v>
      </c>
      <c r="AW814" s="253">
        <v>0</v>
      </c>
      <c r="AX814" s="253">
        <v>0</v>
      </c>
      <c r="AY814" s="253">
        <v>0</v>
      </c>
      <c r="AZ814" s="271">
        <v>1</v>
      </c>
      <c r="BA814" s="271">
        <v>1</v>
      </c>
      <c r="BB814" s="253">
        <v>1</v>
      </c>
      <c r="BC814" s="253">
        <v>0</v>
      </c>
      <c r="BD814" s="253">
        <v>0</v>
      </c>
      <c r="BE814" s="253">
        <v>0</v>
      </c>
      <c r="BF814" s="253">
        <v>0</v>
      </c>
      <c r="BG814" s="253" t="s">
        <v>95</v>
      </c>
      <c r="BH814" s="2" t="str" cm="1">
        <f t="array" ref="BH814">IF(COUNTIF(BB814:BD814,"&lt;&gt;0")=1,INDEX($X$4:$AY$4,MATCH(TRUE,INDEX($X814:$AY814&lt;&gt;0,),0)),IF(COUNTIF(BB814:BD814,"&lt;&gt;0")=0,INDEX($AO$4:$AY$4,MATCH(1,$AO814:$AY814,0)),"Multiple strategies"))</f>
        <v>Silviculture for productivity</v>
      </c>
      <c r="BI814" s="272" t="s">
        <v>229</v>
      </c>
      <c r="BJ814" s="253" t="s">
        <v>230</v>
      </c>
      <c r="BK814" s="273" t="s">
        <v>2754</v>
      </c>
      <c r="BL814" s="270" t="s">
        <v>231</v>
      </c>
      <c r="BM814" s="253">
        <v>55.163392312385596</v>
      </c>
      <c r="BN814" s="253">
        <v>69.827586206896498</v>
      </c>
      <c r="BO814" s="270">
        <v>1.2658319816785164</v>
      </c>
      <c r="BP814" s="253">
        <v>14.664193894510902</v>
      </c>
      <c r="BQ814" s="270">
        <v>29.926926315328373</v>
      </c>
      <c r="BR814" s="270" t="s">
        <v>232</v>
      </c>
      <c r="BS814" s="273" t="s">
        <v>2754</v>
      </c>
      <c r="BT814" s="270" t="s">
        <v>233</v>
      </c>
      <c r="BU814" s="253">
        <v>-9.0346308724832198</v>
      </c>
      <c r="BV814" s="253">
        <v>-8.4285714285714199</v>
      </c>
      <c r="BW814" s="255">
        <v>0.9329181842107489</v>
      </c>
      <c r="BX814" s="253">
        <v>0.60605944391179989</v>
      </c>
      <c r="BY814" s="253"/>
      <c r="BZ814" s="253">
        <v>6.0605944391179984E-4</v>
      </c>
      <c r="CA814" s="253">
        <v>2.0251309390279089E-5</v>
      </c>
      <c r="CB814" s="253">
        <v>0</v>
      </c>
      <c r="CC814" s="253">
        <v>0</v>
      </c>
      <c r="CD814" s="253">
        <v>0</v>
      </c>
      <c r="CE814" s="253">
        <v>0</v>
      </c>
      <c r="CF814" s="253">
        <v>0</v>
      </c>
      <c r="CG814" s="253">
        <v>0</v>
      </c>
      <c r="CH814" s="253">
        <v>0</v>
      </c>
      <c r="CI814" s="253">
        <v>0</v>
      </c>
      <c r="CJ814" s="253">
        <v>0</v>
      </c>
      <c r="CK814" s="253">
        <v>0</v>
      </c>
      <c r="CL814" s="253">
        <v>0</v>
      </c>
      <c r="CM814" s="253">
        <v>0</v>
      </c>
      <c r="CN814" s="253">
        <v>0</v>
      </c>
      <c r="CO814" s="253">
        <v>0</v>
      </c>
      <c r="CP814" s="253" t="s">
        <v>2755</v>
      </c>
      <c r="CQ814" s="253">
        <v>55.163392312385596</v>
      </c>
      <c r="CR814" s="253">
        <v>69.827586206896498</v>
      </c>
      <c r="CS814" s="253">
        <v>29.926926315328373</v>
      </c>
      <c r="CT814">
        <f>IF(BI814="Roundwood",$CS814/2,$CS814)</f>
        <v>29.926926315328373</v>
      </c>
      <c r="CU814" s="253">
        <v>-9.0346308724832198</v>
      </c>
      <c r="CV814" s="253">
        <v>-8.4285714285714199</v>
      </c>
      <c r="CW814" s="253">
        <v>6.0605944391179984E-4</v>
      </c>
      <c r="CX814">
        <f>IFERROR($CW814/$CS814,"")</f>
        <v>2.0251309390279089E-5</v>
      </c>
      <c r="CY814">
        <f>IFERROR($CW814/$CS814,"")</f>
        <v>2.0251309390279089E-5</v>
      </c>
      <c r="CZ814">
        <f>IFERROR($CW814/$CT814,"")</f>
        <v>2.0251309390279089E-5</v>
      </c>
      <c r="DA814" s="254">
        <v>6.7081815789251056E-2</v>
      </c>
      <c r="DB814" s="252" t="s">
        <v>234</v>
      </c>
      <c r="DC814" s="253" t="s">
        <v>2756</v>
      </c>
      <c r="DD814" s="253" t="s">
        <v>235</v>
      </c>
      <c r="DE814" s="253"/>
      <c r="DF814" s="270"/>
      <c r="DG814" s="270">
        <v>80</v>
      </c>
      <c r="DH814" s="253" t="s">
        <v>2757</v>
      </c>
      <c r="DI814" s="253">
        <v>0</v>
      </c>
      <c r="DJ814" s="253">
        <v>1</v>
      </c>
      <c r="DK814" s="253">
        <v>0</v>
      </c>
      <c r="DL814" s="253">
        <v>0</v>
      </c>
      <c r="DM814" s="253"/>
      <c r="DN814" s="253">
        <v>1</v>
      </c>
      <c r="DO814" s="253" t="s">
        <v>173</v>
      </c>
      <c r="DP814" s="253">
        <v>0</v>
      </c>
      <c r="DQ814" s="253" t="s">
        <v>180</v>
      </c>
      <c r="DR814" s="253">
        <v>0</v>
      </c>
      <c r="DS814" s="253">
        <v>0</v>
      </c>
      <c r="DT814" s="253">
        <v>0</v>
      </c>
      <c r="DU814" s="270">
        <v>0</v>
      </c>
      <c r="DV814" s="270">
        <v>0</v>
      </c>
      <c r="DW814" s="270">
        <v>0</v>
      </c>
      <c r="DX814" s="270">
        <v>0</v>
      </c>
      <c r="DY814" s="253">
        <v>0</v>
      </c>
      <c r="DZ814" s="270" t="s">
        <v>926</v>
      </c>
      <c r="EA814" s="270">
        <v>1</v>
      </c>
      <c r="EB814" s="270">
        <v>1</v>
      </c>
      <c r="EC814" s="270">
        <v>1</v>
      </c>
      <c r="ED814" s="270">
        <v>0</v>
      </c>
      <c r="EE814" s="253">
        <v>0</v>
      </c>
      <c r="EF814" s="270">
        <v>0</v>
      </c>
      <c r="EG814" s="270">
        <v>1</v>
      </c>
      <c r="EH814" s="270">
        <v>1</v>
      </c>
      <c r="EI814" s="270">
        <v>0</v>
      </c>
      <c r="EJ814" s="270">
        <v>0</v>
      </c>
      <c r="EK814" s="253">
        <v>1</v>
      </c>
      <c r="EL814" s="270">
        <v>0</v>
      </c>
      <c r="EM814" s="253">
        <v>0</v>
      </c>
      <c r="EN814" s="254">
        <v>0</v>
      </c>
      <c r="EO814" s="252"/>
      <c r="EP814" t="str">
        <f>IF(AND(AND(AND(OR($EC814=1,$EB814=1),OR($EH814=1,$EF814=1)),SUM($EA814:$EE814,$EK814)&gt;=3),SUM($EF814:$EJ814)&gt;=2),"Whole sector approach","")</f>
        <v>Whole sector approach</v>
      </c>
      <c r="EQ814" t="str">
        <f>IF(AND(AND(OR($EC814=1,$EB814=1),AND($EH814=0,$EF814=0)),SUM($EA814:$EE814,$EK814)&gt;=4),"Ecosystem approach","")</f>
        <v/>
      </c>
      <c r="ER814" s="254" t="s">
        <v>531</v>
      </c>
      <c r="ES814" t="str">
        <f>IF(AND($EC814+$EB814+$EE814+$EA814+$ED814+$EG814=0,$N814="included"),"C neutral forest and HWP assumption","")</f>
        <v/>
      </c>
      <c r="ET814" t="str">
        <f>IF(AND(AND(AND(AND($EC814=1,$EB814+$EA814+$EG814&gt;=1),$EF814=1),$EH814+$EI814+$ED814+$EE814&gt;=2),$N814="included"),"All C pools assumption","")</f>
        <v/>
      </c>
      <c r="EU814" t="str">
        <f>IF(AND($ED814+$EE814+$EI814+$EH814+$EF814=0,$N814="included"),"In-situ only assumption","")</f>
        <v/>
      </c>
      <c r="EV814" s="253"/>
      <c r="EW814" s="253" t="s">
        <v>236</v>
      </c>
      <c r="EX814" s="253"/>
      <c r="EY814" t="str">
        <f>IF(ISNUMBER(BW814),IF(ABS(BW814-[3]QC_indicators!$B$2)&gt;3*[3]QC_indicators!$C$2,"C ratio",IF(ISNUMBER(CA814),IF(ABS(CA814-[3]QC_indicators!$B$1)&gt;3*[3]QC_indicators!$C$1,"DF","no"))),IF(ISNUMBER(CA814),IF(ABS(CA814-[3]QC_indicators!$B$1)&gt;3*[3]QC_indicators!$C$1,"DF","no")))</f>
        <v>no</v>
      </c>
      <c r="FA814" t="str">
        <f>IF(LEN($CY814)=0,"",IF(AND($CY814&lt;(-0.05),$ES814="C neutral forest and HWP assumption"),"Cneutral paradox",IF(AND($CY814&gt;0.05,$EU814="In-situ only assumption"),"In-situ only paradox","")))</f>
        <v/>
      </c>
    </row>
    <row r="815" spans="1:160" ht="15" hidden="1" customHeight="1">
      <c r="A815" s="252" t="s">
        <v>214</v>
      </c>
      <c r="B815" s="253" t="s">
        <v>215</v>
      </c>
      <c r="C815" s="253" t="s">
        <v>216</v>
      </c>
      <c r="D815" s="253" t="s">
        <v>217</v>
      </c>
      <c r="E815" s="253" t="s">
        <v>218</v>
      </c>
      <c r="F815" s="253" t="s">
        <v>219</v>
      </c>
      <c r="G815" s="253" t="s">
        <v>220</v>
      </c>
      <c r="H815" s="253"/>
      <c r="I815" s="253">
        <v>2012</v>
      </c>
      <c r="J815" s="253"/>
      <c r="K815" s="253" t="s">
        <v>221</v>
      </c>
      <c r="L815" s="253"/>
      <c r="M815" s="253" t="s">
        <v>2753</v>
      </c>
      <c r="N815" s="253" t="s">
        <v>222</v>
      </c>
      <c r="O815" s="269" t="s">
        <v>223</v>
      </c>
      <c r="P815" s="253"/>
      <c r="Q815" s="253" t="s">
        <v>224</v>
      </c>
      <c r="R815" s="254" t="s">
        <v>225</v>
      </c>
      <c r="S815" s="252" t="s">
        <v>92</v>
      </c>
      <c r="T815" s="253" t="s">
        <v>245</v>
      </c>
      <c r="U815" s="270" t="s">
        <v>246</v>
      </c>
      <c r="V815" s="253">
        <v>0</v>
      </c>
      <c r="W815" s="253">
        <v>0</v>
      </c>
      <c r="X815" s="253">
        <v>0</v>
      </c>
      <c r="Y815" s="253">
        <v>0</v>
      </c>
      <c r="Z815" s="253">
        <v>0</v>
      </c>
      <c r="AA815" s="253">
        <v>0</v>
      </c>
      <c r="AB815" s="253">
        <v>1</v>
      </c>
      <c r="AC815" s="253">
        <v>0</v>
      </c>
      <c r="AD815" s="253">
        <v>0</v>
      </c>
      <c r="AE815" s="253">
        <v>0</v>
      </c>
      <c r="AF815" s="253">
        <v>0</v>
      </c>
      <c r="AG815" s="253">
        <v>0</v>
      </c>
      <c r="AH815" s="253">
        <v>0</v>
      </c>
      <c r="AI815" s="253">
        <v>0</v>
      </c>
      <c r="AJ815" s="253">
        <v>0</v>
      </c>
      <c r="AK815" s="253">
        <v>0</v>
      </c>
      <c r="AL815" s="253">
        <v>0</v>
      </c>
      <c r="AM815" s="253">
        <v>0</v>
      </c>
      <c r="AN815" s="253">
        <v>0</v>
      </c>
      <c r="AO815" s="253">
        <v>0</v>
      </c>
      <c r="AP815" s="253">
        <v>0</v>
      </c>
      <c r="AQ815" s="253">
        <v>0</v>
      </c>
      <c r="AR815" s="253">
        <v>0</v>
      </c>
      <c r="AS815" s="253">
        <v>0</v>
      </c>
      <c r="AT815" s="253">
        <v>0</v>
      </c>
      <c r="AU815" s="253">
        <v>0</v>
      </c>
      <c r="AV815" s="253">
        <v>0</v>
      </c>
      <c r="AW815" s="253">
        <v>0</v>
      </c>
      <c r="AX815" s="253">
        <v>0</v>
      </c>
      <c r="AY815" s="253">
        <v>0</v>
      </c>
      <c r="AZ815" s="271">
        <v>1</v>
      </c>
      <c r="BA815" s="271">
        <v>1</v>
      </c>
      <c r="BB815" s="253">
        <v>1</v>
      </c>
      <c r="BC815" s="253">
        <v>0</v>
      </c>
      <c r="BD815" s="253">
        <v>0</v>
      </c>
      <c r="BE815" s="253">
        <v>0</v>
      </c>
      <c r="BF815" s="253">
        <v>0</v>
      </c>
      <c r="BG815" s="253" t="s">
        <v>92</v>
      </c>
      <c r="BH815" s="2" t="str" cm="1">
        <f t="array" ref="BH815">IF(COUNTIF(BB815:BD815,"&lt;&gt;0")=1,INDEX($X$4:$AY$4,MATCH(TRUE,INDEX($X815:$AY815&lt;&gt;0,),0)),IF(COUNTIF(BB815:BD815,"&lt;&gt;0")=0,INDEX($AO$4:$AY$4,MATCH(1,$AO815:$AY815,0)),"Multiple strategies"))</f>
        <v>Silviculture for productivity</v>
      </c>
      <c r="BI815" s="272" t="s">
        <v>229</v>
      </c>
      <c r="BJ815" s="253" t="s">
        <v>230</v>
      </c>
      <c r="BK815" s="273" t="s">
        <v>2754</v>
      </c>
      <c r="BL815" s="270" t="s">
        <v>231</v>
      </c>
      <c r="BM815" s="253">
        <v>66.639750491326893</v>
      </c>
      <c r="BN815" s="253">
        <v>98.063244029280497</v>
      </c>
      <c r="BO815" s="270">
        <v>1.4715427849935203</v>
      </c>
      <c r="BP815" s="253">
        <v>31.423493537953604</v>
      </c>
      <c r="BQ815" s="270">
        <v>64.129578648884902</v>
      </c>
      <c r="BR815" s="270" t="s">
        <v>232</v>
      </c>
      <c r="BS815" s="273" t="s">
        <v>2754</v>
      </c>
      <c r="BT815" s="270" t="s">
        <v>233</v>
      </c>
      <c r="BU815" s="253">
        <v>-9.4136546184738901</v>
      </c>
      <c r="BV815" s="253">
        <v>-8.1244670100805898</v>
      </c>
      <c r="BW815" s="255">
        <v>0.86305131634388565</v>
      </c>
      <c r="BX815" s="253">
        <v>1.2891876083933003</v>
      </c>
      <c r="BY815" s="253"/>
      <c r="BZ815" s="253">
        <v>1.2891876083933002E-3</v>
      </c>
      <c r="CA815" s="253">
        <v>2.010285480669873E-5</v>
      </c>
      <c r="CB815" s="253">
        <v>0</v>
      </c>
      <c r="CC815" s="253">
        <v>0</v>
      </c>
      <c r="CD815" s="253">
        <v>0</v>
      </c>
      <c r="CE815" s="253">
        <v>0</v>
      </c>
      <c r="CF815" s="253">
        <v>0</v>
      </c>
      <c r="CG815" s="253">
        <v>0</v>
      </c>
      <c r="CH815" s="253">
        <v>0</v>
      </c>
      <c r="CI815" s="253">
        <v>0</v>
      </c>
      <c r="CJ815" s="253">
        <v>0</v>
      </c>
      <c r="CK815" s="253">
        <v>0</v>
      </c>
      <c r="CL815" s="253">
        <v>0</v>
      </c>
      <c r="CM815" s="253">
        <v>0</v>
      </c>
      <c r="CN815" s="253">
        <v>0</v>
      </c>
      <c r="CO815" s="253">
        <v>0</v>
      </c>
      <c r="CP815" s="253" t="s">
        <v>2755</v>
      </c>
      <c r="CQ815" s="253">
        <v>66.639750491326893</v>
      </c>
      <c r="CR815" s="253">
        <v>98.063244029280497</v>
      </c>
      <c r="CS815" s="253">
        <v>64.129578648884902</v>
      </c>
      <c r="CT815">
        <f>IF(BI815="Roundwood",$CS815/2,$CS815)</f>
        <v>64.129578648884902</v>
      </c>
      <c r="CU815" s="253">
        <v>-9.4136546184738901</v>
      </c>
      <c r="CV815" s="253">
        <v>-8.1244670100805898</v>
      </c>
      <c r="CW815" s="253">
        <v>1.2891876083933002E-3</v>
      </c>
      <c r="CX815">
        <f>IFERROR($CW815/$CS815,"")</f>
        <v>2.010285480669873E-5</v>
      </c>
      <c r="CY815">
        <f>IFERROR($CW815/$CS815,"")</f>
        <v>2.010285480669873E-5</v>
      </c>
      <c r="CZ815">
        <f>IFERROR($CW815/$CT815,"")</f>
        <v>2.010285480669873E-5</v>
      </c>
      <c r="DA815" s="254">
        <v>0.13694868365611432</v>
      </c>
      <c r="DB815" s="252" t="s">
        <v>234</v>
      </c>
      <c r="DC815" s="253" t="s">
        <v>2756</v>
      </c>
      <c r="DD815" s="253" t="s">
        <v>235</v>
      </c>
      <c r="DE815" s="253"/>
      <c r="DF815" s="270"/>
      <c r="DG815" s="270">
        <v>80</v>
      </c>
      <c r="DH815" s="253" t="s">
        <v>2757</v>
      </c>
      <c r="DI815" s="253">
        <v>0</v>
      </c>
      <c r="DJ815" s="253">
        <v>1</v>
      </c>
      <c r="DK815" s="253">
        <v>0</v>
      </c>
      <c r="DL815" s="253">
        <v>0</v>
      </c>
      <c r="DM815" s="253"/>
      <c r="DN815" s="253">
        <v>1</v>
      </c>
      <c r="DO815" s="253" t="s">
        <v>173</v>
      </c>
      <c r="DP815" s="253">
        <v>0</v>
      </c>
      <c r="DQ815" s="253" t="s">
        <v>180</v>
      </c>
      <c r="DR815" s="253">
        <v>0</v>
      </c>
      <c r="DS815" s="253">
        <v>0</v>
      </c>
      <c r="DT815" s="253">
        <v>0</v>
      </c>
      <c r="DU815" s="270">
        <v>0</v>
      </c>
      <c r="DV815" s="270">
        <v>0</v>
      </c>
      <c r="DW815" s="270">
        <v>0</v>
      </c>
      <c r="DX815" s="270">
        <v>0</v>
      </c>
      <c r="DY815" s="253">
        <v>0</v>
      </c>
      <c r="DZ815" s="270" t="s">
        <v>926</v>
      </c>
      <c r="EA815" s="270">
        <v>1</v>
      </c>
      <c r="EB815" s="270">
        <v>1</v>
      </c>
      <c r="EC815" s="270">
        <v>1</v>
      </c>
      <c r="ED815" s="270">
        <v>0</v>
      </c>
      <c r="EE815" s="253">
        <v>0</v>
      </c>
      <c r="EF815" s="270">
        <v>0</v>
      </c>
      <c r="EG815" s="270">
        <v>1</v>
      </c>
      <c r="EH815" s="270">
        <v>1</v>
      </c>
      <c r="EI815" s="270">
        <v>0</v>
      </c>
      <c r="EJ815" s="270">
        <v>0</v>
      </c>
      <c r="EK815" s="253">
        <v>1</v>
      </c>
      <c r="EL815" s="270">
        <v>0</v>
      </c>
      <c r="EM815" s="253">
        <v>0</v>
      </c>
      <c r="EN815" s="254">
        <v>0</v>
      </c>
      <c r="EO815" s="252"/>
      <c r="EP815" t="str">
        <f>IF(AND(AND(AND(OR($EC815=1,$EB815=1),OR($EH815=1,$EF815=1)),SUM($EA815:$EE815,$EK815)&gt;=3),SUM($EF815:$EJ815)&gt;=2),"Whole sector approach","")</f>
        <v>Whole sector approach</v>
      </c>
      <c r="EQ815" t="str">
        <f>IF(AND(AND(OR($EC815=1,$EB815=1),AND($EH815=0,$EF815=0)),SUM($EA815:$EE815,$EK815)&gt;=4),"Ecosystem approach","")</f>
        <v/>
      </c>
      <c r="ER815" s="254" t="s">
        <v>531</v>
      </c>
      <c r="ES815" t="str">
        <f>IF(AND($EC815+$EB815+$EE815+$EA815+$ED815+$EG815=0,$N815="included"),"C neutral forest and HWP assumption","")</f>
        <v/>
      </c>
      <c r="ET815" t="str">
        <f>IF(AND(AND(AND(AND($EC815=1,$EB815+$EA815+$EG815&gt;=1),$EF815=1),$EH815+$EI815+$ED815+$EE815&gt;=2),$N815="included"),"All C pools assumption","")</f>
        <v/>
      </c>
      <c r="EU815" t="str">
        <f>IF(AND($ED815+$EE815+$EI815+$EH815+$EF815=0,$N815="included"),"In-situ only assumption","")</f>
        <v/>
      </c>
      <c r="EV815" s="253"/>
      <c r="EW815" s="253" t="s">
        <v>236</v>
      </c>
      <c r="EX815" s="253"/>
      <c r="EY815" t="str">
        <f>IF(ISNUMBER(BW815),IF(ABS(BW815-[3]QC_indicators!$B$2)&gt;3*[3]QC_indicators!$C$2,"C ratio",IF(ISNUMBER(CA815),IF(ABS(CA815-[3]QC_indicators!$B$1)&gt;3*[3]QC_indicators!$C$1,"DF","no"))),IF(ISNUMBER(CA815),IF(ABS(CA815-[3]QC_indicators!$B$1)&gt;3*[3]QC_indicators!$C$1,"DF","no")))</f>
        <v>no</v>
      </c>
      <c r="EZ815" s="253"/>
      <c r="FA815" t="str">
        <f>IF(LEN($CY815)=0,"",IF(AND($CY815&lt;(-0.05),$ES815="C neutral forest and HWP assumption"),"Cneutral paradox",IF(AND($CY815&gt;0.05,$EU815="In-situ only assumption"),"In-situ only paradox","")))</f>
        <v/>
      </c>
      <c r="FB815" s="253"/>
    </row>
    <row r="816" spans="1:160" ht="15" hidden="1" customHeight="1">
      <c r="A816" s="252" t="s">
        <v>214</v>
      </c>
      <c r="B816" s="253" t="s">
        <v>215</v>
      </c>
      <c r="C816" s="253" t="s">
        <v>216</v>
      </c>
      <c r="D816" s="253" t="s">
        <v>217</v>
      </c>
      <c r="E816" s="253" t="s">
        <v>218</v>
      </c>
      <c r="F816" s="253" t="s">
        <v>219</v>
      </c>
      <c r="G816" s="253" t="s">
        <v>220</v>
      </c>
      <c r="H816" s="253"/>
      <c r="I816" s="253">
        <v>2012</v>
      </c>
      <c r="J816" s="253"/>
      <c r="K816" s="253" t="s">
        <v>221</v>
      </c>
      <c r="L816" s="253"/>
      <c r="M816" s="253" t="s">
        <v>2753</v>
      </c>
      <c r="N816" s="253" t="s">
        <v>222</v>
      </c>
      <c r="O816" s="269" t="s">
        <v>223</v>
      </c>
      <c r="P816" s="253"/>
      <c r="Q816" s="253" t="s">
        <v>224</v>
      </c>
      <c r="R816" s="254" t="s">
        <v>225</v>
      </c>
      <c r="S816" s="252" t="s">
        <v>241</v>
      </c>
      <c r="T816" s="253" t="s">
        <v>242</v>
      </c>
      <c r="U816" s="270" t="s">
        <v>243</v>
      </c>
      <c r="V816" s="253">
        <v>0</v>
      </c>
      <c r="W816" s="253">
        <v>0</v>
      </c>
      <c r="X816" s="253">
        <v>0</v>
      </c>
      <c r="Y816" s="253">
        <v>0</v>
      </c>
      <c r="Z816" s="253">
        <v>0</v>
      </c>
      <c r="AA816" s="253">
        <v>0</v>
      </c>
      <c r="AB816" s="253">
        <v>0</v>
      </c>
      <c r="AC816" s="253">
        <v>0</v>
      </c>
      <c r="AD816" s="253">
        <v>0</v>
      </c>
      <c r="AE816" s="253">
        <v>1</v>
      </c>
      <c r="AF816" s="253">
        <v>0</v>
      </c>
      <c r="AG816" s="253">
        <v>0</v>
      </c>
      <c r="AH816" s="253">
        <v>0</v>
      </c>
      <c r="AI816" s="253">
        <v>0</v>
      </c>
      <c r="AJ816" s="253">
        <v>0</v>
      </c>
      <c r="AK816" s="253">
        <v>0</v>
      </c>
      <c r="AL816" s="253">
        <v>0</v>
      </c>
      <c r="AM816" s="253">
        <v>0</v>
      </c>
      <c r="AN816" s="253">
        <v>0</v>
      </c>
      <c r="AO816" s="253">
        <v>0</v>
      </c>
      <c r="AP816" s="253">
        <v>0</v>
      </c>
      <c r="AQ816" s="253">
        <v>0</v>
      </c>
      <c r="AR816" s="253">
        <v>0</v>
      </c>
      <c r="AS816" s="253">
        <v>0</v>
      </c>
      <c r="AT816" s="253">
        <v>0</v>
      </c>
      <c r="AU816" s="253">
        <v>0</v>
      </c>
      <c r="AV816" s="253">
        <v>0</v>
      </c>
      <c r="AW816" s="253">
        <v>0</v>
      </c>
      <c r="AX816" s="253">
        <v>0</v>
      </c>
      <c r="AY816" s="253">
        <v>0</v>
      </c>
      <c r="AZ816" s="271">
        <v>1</v>
      </c>
      <c r="BA816" s="271">
        <v>1</v>
      </c>
      <c r="BB816" s="253">
        <v>1</v>
      </c>
      <c r="BC816" s="253">
        <v>0</v>
      </c>
      <c r="BD816" s="253">
        <v>0</v>
      </c>
      <c r="BE816" s="253">
        <v>0</v>
      </c>
      <c r="BF816" s="253">
        <v>0</v>
      </c>
      <c r="BG816" s="253" t="s">
        <v>95</v>
      </c>
      <c r="BH816" s="2" t="str" cm="1">
        <f t="array" ref="BH816">IF(COUNTIF(BB816:BD816,"&lt;&gt;0")=1,INDEX($X$4:$AY$4,MATCH(TRUE,INDEX($X816:$AY816&lt;&gt;0,),0)),IF(COUNTIF(BB816:BD816,"&lt;&gt;0")=0,INDEX($AO$4:$AY$4,MATCH(1,$AO816:$AY816,0)),"Multiple strategies"))</f>
        <v>Silviculture for productivity</v>
      </c>
      <c r="BI816" s="272" t="s">
        <v>229</v>
      </c>
      <c r="BJ816" s="253" t="s">
        <v>230</v>
      </c>
      <c r="BK816" s="273" t="s">
        <v>2754</v>
      </c>
      <c r="BL816" s="270" t="s">
        <v>231</v>
      </c>
      <c r="BM816" s="253">
        <v>64.183526540573496</v>
      </c>
      <c r="BN816" s="253">
        <v>77.011494252873504</v>
      </c>
      <c r="BO816" s="270">
        <v>1.1998638654451439</v>
      </c>
      <c r="BP816" s="253">
        <v>12.827967712300008</v>
      </c>
      <c r="BQ816" s="270">
        <v>26.179525943469404</v>
      </c>
      <c r="BR816" s="270" t="s">
        <v>232</v>
      </c>
      <c r="BS816" s="273" t="s">
        <v>2754</v>
      </c>
      <c r="BT816" s="270" t="s">
        <v>233</v>
      </c>
      <c r="BU816" s="253">
        <v>-8.4950335570469804</v>
      </c>
      <c r="BV816" s="253">
        <v>-8</v>
      </c>
      <c r="BW816" s="255">
        <v>0.94172670964479832</v>
      </c>
      <c r="BX816" s="253">
        <v>0.49503355704698038</v>
      </c>
      <c r="BY816" s="253"/>
      <c r="BZ816" s="253">
        <v>4.9503355704698035E-4</v>
      </c>
      <c r="CA816" s="253">
        <v>1.8909187206671654E-5</v>
      </c>
      <c r="CB816" s="253">
        <v>0</v>
      </c>
      <c r="CC816" s="253">
        <v>0</v>
      </c>
      <c r="CD816" s="253">
        <v>0</v>
      </c>
      <c r="CE816" s="253">
        <v>0</v>
      </c>
      <c r="CF816" s="253">
        <v>0</v>
      </c>
      <c r="CG816" s="253">
        <v>0</v>
      </c>
      <c r="CH816" s="253">
        <v>0</v>
      </c>
      <c r="CI816" s="253">
        <v>0</v>
      </c>
      <c r="CJ816" s="253">
        <v>0</v>
      </c>
      <c r="CK816" s="253">
        <v>0</v>
      </c>
      <c r="CL816" s="253">
        <v>0</v>
      </c>
      <c r="CM816" s="253">
        <v>0</v>
      </c>
      <c r="CN816" s="253">
        <v>0</v>
      </c>
      <c r="CO816" s="253">
        <v>0</v>
      </c>
      <c r="CP816" s="253" t="s">
        <v>2755</v>
      </c>
      <c r="CQ816" s="253">
        <v>64.183526540573496</v>
      </c>
      <c r="CR816" s="253">
        <v>77.011494252873504</v>
      </c>
      <c r="CS816" s="253">
        <v>26.179525943469404</v>
      </c>
      <c r="CT816">
        <f>IF(BI816="Roundwood",$CS816/2,$CS816)</f>
        <v>26.179525943469404</v>
      </c>
      <c r="CU816" s="253">
        <v>-8.4950335570469804</v>
      </c>
      <c r="CV816" s="253">
        <v>-8</v>
      </c>
      <c r="CW816" s="253">
        <v>4.9503355704698035E-4</v>
      </c>
      <c r="CX816">
        <f>IFERROR($CW816/$CS816,"")</f>
        <v>1.8909187206671654E-5</v>
      </c>
      <c r="CY816">
        <f>IFERROR($CW816/$CS816,"")</f>
        <v>1.8909187206671654E-5</v>
      </c>
      <c r="CZ816">
        <f>IFERROR($CW816/$CT816,"")</f>
        <v>1.8909187206671654E-5</v>
      </c>
      <c r="DA816" s="254">
        <v>5.8273290355201672E-2</v>
      </c>
      <c r="DB816" s="252" t="s">
        <v>234</v>
      </c>
      <c r="DC816" s="253" t="s">
        <v>2756</v>
      </c>
      <c r="DD816" s="253" t="s">
        <v>235</v>
      </c>
      <c r="DE816" s="253"/>
      <c r="DF816" s="270"/>
      <c r="DG816" s="270">
        <v>80</v>
      </c>
      <c r="DH816" s="253" t="s">
        <v>2757</v>
      </c>
      <c r="DI816" s="253">
        <v>0</v>
      </c>
      <c r="DJ816" s="253">
        <v>1</v>
      </c>
      <c r="DK816" s="253">
        <v>0</v>
      </c>
      <c r="DL816" s="253">
        <v>0</v>
      </c>
      <c r="DM816" s="253"/>
      <c r="DN816" s="253">
        <v>1</v>
      </c>
      <c r="DO816" s="253" t="s">
        <v>173</v>
      </c>
      <c r="DP816" s="253">
        <v>0</v>
      </c>
      <c r="DQ816" s="253" t="s">
        <v>180</v>
      </c>
      <c r="DR816" s="253">
        <v>0</v>
      </c>
      <c r="DS816" s="253">
        <v>0</v>
      </c>
      <c r="DT816" s="253">
        <v>0</v>
      </c>
      <c r="DU816" s="270">
        <v>0</v>
      </c>
      <c r="DV816" s="270">
        <v>0</v>
      </c>
      <c r="DW816" s="270">
        <v>0</v>
      </c>
      <c r="DX816" s="270">
        <v>0</v>
      </c>
      <c r="DY816" s="253">
        <v>0</v>
      </c>
      <c r="DZ816" s="270" t="s">
        <v>926</v>
      </c>
      <c r="EA816" s="270">
        <v>1</v>
      </c>
      <c r="EB816" s="270">
        <v>1</v>
      </c>
      <c r="EC816" s="270">
        <v>1</v>
      </c>
      <c r="ED816" s="270">
        <v>0</v>
      </c>
      <c r="EE816" s="253">
        <v>0</v>
      </c>
      <c r="EF816" s="270">
        <v>0</v>
      </c>
      <c r="EG816" s="270">
        <v>1</v>
      </c>
      <c r="EH816" s="270">
        <v>1</v>
      </c>
      <c r="EI816" s="270">
        <v>0</v>
      </c>
      <c r="EJ816" s="270">
        <v>0</v>
      </c>
      <c r="EK816" s="253">
        <v>1</v>
      </c>
      <c r="EL816" s="270">
        <v>0</v>
      </c>
      <c r="EM816" s="253">
        <v>0</v>
      </c>
      <c r="EN816" s="254">
        <v>0</v>
      </c>
      <c r="EO816" s="252"/>
      <c r="EP816" t="str">
        <f>IF(AND(AND(AND(OR($EC816=1,$EB816=1),OR($EH816=1,$EF816=1)),SUM($EA816:$EE816,$EK816)&gt;=3),SUM($EF816:$EJ816)&gt;=2),"Whole sector approach","")</f>
        <v>Whole sector approach</v>
      </c>
      <c r="EQ816" t="str">
        <f>IF(AND(AND(OR($EC816=1,$EB816=1),AND($EH816=0,$EF816=0)),SUM($EA816:$EE816,$EK816)&gt;=4),"Ecosystem approach","")</f>
        <v/>
      </c>
      <c r="ER816" s="254" t="s">
        <v>531</v>
      </c>
      <c r="ES816" t="str">
        <f>IF(AND($EC816+$EB816+$EE816+$EA816+$ED816+$EG816=0,$N816="included"),"C neutral forest and HWP assumption","")</f>
        <v/>
      </c>
      <c r="ET816" t="str">
        <f>IF(AND(AND(AND(AND($EC816=1,$EB816+$EA816+$EG816&gt;=1),$EF816=1),$EH816+$EI816+$ED816+$EE816&gt;=2),$N816="included"),"All C pools assumption","")</f>
        <v/>
      </c>
      <c r="EU816" t="str">
        <f>IF(AND($ED816+$EE816+$EI816+$EH816+$EF816=0,$N816="included"),"In-situ only assumption","")</f>
        <v/>
      </c>
      <c r="EV816" s="253"/>
      <c r="EW816" s="253" t="s">
        <v>236</v>
      </c>
      <c r="EX816" s="253"/>
      <c r="EY816" t="str">
        <f>IF(ISNUMBER(BW816),IF(ABS(BW816-[3]QC_indicators!$B$2)&gt;3*[3]QC_indicators!$C$2,"C ratio",IF(ISNUMBER(CA816),IF(ABS(CA816-[3]QC_indicators!$B$1)&gt;3*[3]QC_indicators!$C$1,"DF","no"))),IF(ISNUMBER(CA816),IF(ABS(CA816-[3]QC_indicators!$B$1)&gt;3*[3]QC_indicators!$C$1,"DF","no")))</f>
        <v>no</v>
      </c>
      <c r="FA816" t="str">
        <f>IF(LEN($CY816)=0,"",IF(AND($CY816&lt;(-0.05),$ES816="C neutral forest and HWP assumption"),"Cneutral paradox",IF(AND($CY816&gt;0.05,$EU816="In-situ only assumption"),"In-situ only paradox","")))</f>
        <v/>
      </c>
    </row>
    <row r="817" spans="1:159" ht="15" hidden="1" customHeight="1">
      <c r="A817" s="252" t="s">
        <v>214</v>
      </c>
      <c r="B817" s="253" t="s">
        <v>215</v>
      </c>
      <c r="C817" s="253" t="s">
        <v>216</v>
      </c>
      <c r="D817" s="253" t="s">
        <v>217</v>
      </c>
      <c r="E817" s="253" t="s">
        <v>218</v>
      </c>
      <c r="F817" s="253" t="s">
        <v>219</v>
      </c>
      <c r="G817" s="253" t="s">
        <v>220</v>
      </c>
      <c r="H817" s="253"/>
      <c r="I817" s="253">
        <v>2012</v>
      </c>
      <c r="J817" s="253"/>
      <c r="K817" s="253" t="s">
        <v>221</v>
      </c>
      <c r="L817" s="253"/>
      <c r="M817" s="253" t="s">
        <v>2753</v>
      </c>
      <c r="N817" s="253" t="s">
        <v>222</v>
      </c>
      <c r="O817" s="269" t="s">
        <v>223</v>
      </c>
      <c r="P817" s="253"/>
      <c r="Q817" s="253" t="s">
        <v>224</v>
      </c>
      <c r="R817" s="254" t="s">
        <v>225</v>
      </c>
      <c r="S817" s="252" t="s">
        <v>92</v>
      </c>
      <c r="T817" s="253" t="s">
        <v>245</v>
      </c>
      <c r="U817" s="270" t="s">
        <v>246</v>
      </c>
      <c r="V817" s="253">
        <v>0</v>
      </c>
      <c r="W817" s="253">
        <v>0</v>
      </c>
      <c r="X817" s="253">
        <v>0</v>
      </c>
      <c r="Y817" s="253">
        <v>0</v>
      </c>
      <c r="Z817" s="253">
        <v>0</v>
      </c>
      <c r="AA817" s="253">
        <v>0</v>
      </c>
      <c r="AB817" s="253">
        <v>1</v>
      </c>
      <c r="AC817" s="253">
        <v>0</v>
      </c>
      <c r="AD817" s="253">
        <v>0</v>
      </c>
      <c r="AE817" s="253">
        <v>0</v>
      </c>
      <c r="AF817" s="253">
        <v>0</v>
      </c>
      <c r="AG817" s="253">
        <v>0</v>
      </c>
      <c r="AH817" s="253">
        <v>0</v>
      </c>
      <c r="AI817" s="253">
        <v>0</v>
      </c>
      <c r="AJ817" s="253">
        <v>0</v>
      </c>
      <c r="AK817" s="253">
        <v>0</v>
      </c>
      <c r="AL817" s="253">
        <v>0</v>
      </c>
      <c r="AM817" s="253">
        <v>0</v>
      </c>
      <c r="AN817" s="253">
        <v>0</v>
      </c>
      <c r="AO817" s="253">
        <v>0</v>
      </c>
      <c r="AP817" s="253">
        <v>0</v>
      </c>
      <c r="AQ817" s="253">
        <v>0</v>
      </c>
      <c r="AR817" s="253">
        <v>0</v>
      </c>
      <c r="AS817" s="253">
        <v>0</v>
      </c>
      <c r="AT817" s="253">
        <v>0</v>
      </c>
      <c r="AU817" s="253">
        <v>0</v>
      </c>
      <c r="AV817" s="253">
        <v>0</v>
      </c>
      <c r="AW817" s="253">
        <v>0</v>
      </c>
      <c r="AX817" s="253">
        <v>0</v>
      </c>
      <c r="AY817" s="253">
        <v>0</v>
      </c>
      <c r="AZ817" s="271">
        <v>1</v>
      </c>
      <c r="BA817" s="271">
        <v>1</v>
      </c>
      <c r="BB817" s="253">
        <v>1</v>
      </c>
      <c r="BC817" s="253">
        <v>0</v>
      </c>
      <c r="BD817" s="253">
        <v>0</v>
      </c>
      <c r="BE817" s="253">
        <v>0</v>
      </c>
      <c r="BF817" s="253">
        <v>0</v>
      </c>
      <c r="BG817" s="253" t="s">
        <v>92</v>
      </c>
      <c r="BH817" s="2" t="str" cm="1">
        <f t="array" ref="BH817">IF(COUNTIF(BB817:BD817,"&lt;&gt;0")=1,INDEX($X$4:$AY$4,MATCH(TRUE,INDEX($X817:$AY817&lt;&gt;0,),0)),IF(COUNTIF(BB817:BD817,"&lt;&gt;0")=0,INDEX($AO$4:$AY$4,MATCH(1,$AO817:$AY817,0)),"Multiple strategies"))</f>
        <v>Silviculture for productivity</v>
      </c>
      <c r="BI817" s="272" t="s">
        <v>229</v>
      </c>
      <c r="BJ817" s="253" t="s">
        <v>230</v>
      </c>
      <c r="BK817" s="273" t="s">
        <v>2754</v>
      </c>
      <c r="BL817" s="270" t="s">
        <v>231</v>
      </c>
      <c r="BM817" s="253">
        <v>58.199966021066899</v>
      </c>
      <c r="BN817" s="253">
        <v>89.047467968273295</v>
      </c>
      <c r="BO817" s="270">
        <v>1.530026116098425</v>
      </c>
      <c r="BP817" s="253">
        <v>30.847501947206396</v>
      </c>
      <c r="BQ817" s="270">
        <v>62.954085606543664</v>
      </c>
      <c r="BR817" s="270" t="s">
        <v>232</v>
      </c>
      <c r="BS817" s="273" t="s">
        <v>2754</v>
      </c>
      <c r="BT817" s="270" t="s">
        <v>233</v>
      </c>
      <c r="BU817" s="253">
        <v>-9.1378440072016396</v>
      </c>
      <c r="BV817" s="253">
        <v>-8.1050396583282396</v>
      </c>
      <c r="BW817" s="255">
        <v>0.88697505143889133</v>
      </c>
      <c r="BX817" s="253">
        <v>1.0328043488734</v>
      </c>
      <c r="BY817" s="253"/>
      <c r="BZ817" s="253">
        <v>1.0328043488734E-3</v>
      </c>
      <c r="CA817" s="253">
        <v>1.6405676278555095E-5</v>
      </c>
      <c r="CB817" s="253">
        <v>0</v>
      </c>
      <c r="CC817" s="253">
        <v>0</v>
      </c>
      <c r="CD817" s="253">
        <v>0</v>
      </c>
      <c r="CE817" s="253">
        <v>0</v>
      </c>
      <c r="CF817" s="253">
        <v>0</v>
      </c>
      <c r="CG817" s="253">
        <v>0</v>
      </c>
      <c r="CH817" s="253">
        <v>0</v>
      </c>
      <c r="CI817" s="253">
        <v>0</v>
      </c>
      <c r="CJ817" s="253">
        <v>0</v>
      </c>
      <c r="CK817" s="253">
        <v>0</v>
      </c>
      <c r="CL817" s="253">
        <v>0</v>
      </c>
      <c r="CM817" s="253">
        <v>0</v>
      </c>
      <c r="CN817" s="253">
        <v>0</v>
      </c>
      <c r="CO817" s="253">
        <v>0</v>
      </c>
      <c r="CP817" s="253" t="s">
        <v>2755</v>
      </c>
      <c r="CQ817" s="253">
        <v>58.199966021066899</v>
      </c>
      <c r="CR817" s="253">
        <v>89.047467968273295</v>
      </c>
      <c r="CS817" s="253">
        <v>62.954085606543664</v>
      </c>
      <c r="CT817">
        <f>IF(BI817="Roundwood",$CS817/2,$CS817)</f>
        <v>62.954085606543664</v>
      </c>
      <c r="CU817" s="253">
        <v>-9.1378440072016396</v>
      </c>
      <c r="CV817" s="253">
        <v>-8.1050396583282396</v>
      </c>
      <c r="CW817" s="253">
        <v>1.0328043488734E-3</v>
      </c>
      <c r="CX817">
        <f>IFERROR($CW817/$CS817,"")</f>
        <v>1.6405676278555095E-5</v>
      </c>
      <c r="CY817">
        <f>IFERROR($CW817/$CS817,"")</f>
        <v>1.6405676278555095E-5</v>
      </c>
      <c r="CZ817">
        <f>IFERROR($CW817/$CT817,"")</f>
        <v>1.6405676278555095E-5</v>
      </c>
      <c r="DA817" s="254">
        <v>0.11302494856110862</v>
      </c>
      <c r="DB817" s="252" t="s">
        <v>234</v>
      </c>
      <c r="DC817" s="253" t="s">
        <v>2756</v>
      </c>
      <c r="DD817" s="253" t="s">
        <v>235</v>
      </c>
      <c r="DE817" s="253"/>
      <c r="DF817" s="270"/>
      <c r="DG817" s="270">
        <v>80</v>
      </c>
      <c r="DH817" s="253" t="s">
        <v>2757</v>
      </c>
      <c r="DI817" s="253">
        <v>0</v>
      </c>
      <c r="DJ817" s="253">
        <v>1</v>
      </c>
      <c r="DK817" s="253">
        <v>0</v>
      </c>
      <c r="DL817" s="253">
        <v>0</v>
      </c>
      <c r="DM817" s="253"/>
      <c r="DN817" s="253">
        <v>1</v>
      </c>
      <c r="DO817" s="253" t="s">
        <v>173</v>
      </c>
      <c r="DP817" s="253">
        <v>0</v>
      </c>
      <c r="DQ817" s="253" t="s">
        <v>180</v>
      </c>
      <c r="DR817" s="253">
        <v>0</v>
      </c>
      <c r="DS817" s="253">
        <v>0</v>
      </c>
      <c r="DT817" s="253">
        <v>0</v>
      </c>
      <c r="DU817" s="270">
        <v>0</v>
      </c>
      <c r="DV817" s="270">
        <v>0</v>
      </c>
      <c r="DW817" s="270">
        <v>0</v>
      </c>
      <c r="DX817" s="270">
        <v>0</v>
      </c>
      <c r="DY817" s="253">
        <v>0</v>
      </c>
      <c r="DZ817" s="270" t="s">
        <v>926</v>
      </c>
      <c r="EA817" s="270">
        <v>1</v>
      </c>
      <c r="EB817" s="270">
        <v>1</v>
      </c>
      <c r="EC817" s="270">
        <v>1</v>
      </c>
      <c r="ED817" s="270">
        <v>0</v>
      </c>
      <c r="EE817" s="253">
        <v>0</v>
      </c>
      <c r="EF817" s="270">
        <v>0</v>
      </c>
      <c r="EG817" s="270">
        <v>1</v>
      </c>
      <c r="EH817" s="270">
        <v>1</v>
      </c>
      <c r="EI817" s="270">
        <v>0</v>
      </c>
      <c r="EJ817" s="270">
        <v>0</v>
      </c>
      <c r="EK817" s="253">
        <v>1</v>
      </c>
      <c r="EL817" s="270">
        <v>0</v>
      </c>
      <c r="EM817" s="253">
        <v>0</v>
      </c>
      <c r="EN817" s="254">
        <v>0</v>
      </c>
      <c r="EO817" s="252"/>
      <c r="EP817" t="str">
        <f>IF(AND(AND(AND(OR($EC817=1,$EB817=1),OR($EH817=1,$EF817=1)),SUM($EA817:$EE817,$EK817)&gt;=3),SUM($EF817:$EJ817)&gt;=2),"Whole sector approach","")</f>
        <v>Whole sector approach</v>
      </c>
      <c r="EQ817" t="str">
        <f>IF(AND(AND(OR($EC817=1,$EB817=1),AND($EH817=0,$EF817=0)),SUM($EA817:$EE817,$EK817)&gt;=4),"Ecosystem approach","")</f>
        <v/>
      </c>
      <c r="ER817" s="254" t="s">
        <v>531</v>
      </c>
      <c r="ES817" t="str">
        <f>IF(AND($EC817+$EB817+$EE817+$EA817+$ED817+$EG817=0,$N817="included"),"C neutral forest and HWP assumption","")</f>
        <v/>
      </c>
      <c r="ET817" t="str">
        <f>IF(AND(AND(AND(AND($EC817=1,$EB817+$EA817+$EG817&gt;=1),$EF817=1),$EH817+$EI817+$ED817+$EE817&gt;=2),$N817="included"),"All C pools assumption","")</f>
        <v/>
      </c>
      <c r="EU817" t="str">
        <f>IF(AND($ED817+$EE817+$EI817+$EH817+$EF817=0,$N817="included"),"In-situ only assumption","")</f>
        <v/>
      </c>
      <c r="EV817" s="253"/>
      <c r="EW817" s="253" t="s">
        <v>236</v>
      </c>
      <c r="EX817" s="253"/>
      <c r="EY817" t="str">
        <f>IF(ISNUMBER(BW817),IF(ABS(BW817-[3]QC_indicators!$B$2)&gt;3*[3]QC_indicators!$C$2,"C ratio",IF(ISNUMBER(CA817),IF(ABS(CA817-[3]QC_indicators!$B$1)&gt;3*[3]QC_indicators!$C$1,"DF","no"))),IF(ISNUMBER(CA817),IF(ABS(CA817-[3]QC_indicators!$B$1)&gt;3*[3]QC_indicators!$C$1,"DF","no")))</f>
        <v>no</v>
      </c>
      <c r="EZ817" s="253"/>
      <c r="FA817" t="str">
        <f>IF(LEN($CY817)=0,"",IF(AND($CY817&lt;(-0.05),$ES817="C neutral forest and HWP assumption"),"Cneutral paradox",IF(AND($CY817&gt;0.05,$EU817="In-situ only assumption"),"In-situ only paradox","")))</f>
        <v/>
      </c>
      <c r="FB817" s="253"/>
    </row>
    <row r="818" spans="1:159" ht="15" hidden="1" customHeight="1">
      <c r="A818" s="252" t="s">
        <v>214</v>
      </c>
      <c r="B818" s="253" t="s">
        <v>215</v>
      </c>
      <c r="C818" s="253" t="s">
        <v>216</v>
      </c>
      <c r="D818" s="253" t="s">
        <v>217</v>
      </c>
      <c r="E818" s="253" t="s">
        <v>218</v>
      </c>
      <c r="F818" s="253" t="s">
        <v>219</v>
      </c>
      <c r="G818" s="253" t="s">
        <v>220</v>
      </c>
      <c r="H818" s="253"/>
      <c r="I818" s="253">
        <v>2012</v>
      </c>
      <c r="J818" s="253"/>
      <c r="K818" s="253" t="s">
        <v>221</v>
      </c>
      <c r="L818" s="253"/>
      <c r="M818" s="253" t="s">
        <v>2753</v>
      </c>
      <c r="N818" s="253" t="s">
        <v>222</v>
      </c>
      <c r="O818" s="269" t="s">
        <v>223</v>
      </c>
      <c r="P818" s="253"/>
      <c r="Q818" s="253" t="s">
        <v>224</v>
      </c>
      <c r="R818" s="254" t="s">
        <v>225</v>
      </c>
      <c r="S818" s="252" t="s">
        <v>92</v>
      </c>
      <c r="T818" s="253" t="s">
        <v>245</v>
      </c>
      <c r="U818" s="270" t="s">
        <v>246</v>
      </c>
      <c r="V818" s="253">
        <v>0</v>
      </c>
      <c r="W818" s="253">
        <v>0</v>
      </c>
      <c r="X818" s="253">
        <v>0</v>
      </c>
      <c r="Y818" s="253">
        <v>0</v>
      </c>
      <c r="Z818" s="253">
        <v>0</v>
      </c>
      <c r="AA818" s="253">
        <v>0</v>
      </c>
      <c r="AB818" s="253">
        <v>1</v>
      </c>
      <c r="AC818" s="253">
        <v>0</v>
      </c>
      <c r="AD818" s="253">
        <v>0</v>
      </c>
      <c r="AE818" s="253">
        <v>0</v>
      </c>
      <c r="AF818" s="253">
        <v>0</v>
      </c>
      <c r="AG818" s="253">
        <v>0</v>
      </c>
      <c r="AH818" s="253">
        <v>0</v>
      </c>
      <c r="AI818" s="253">
        <v>0</v>
      </c>
      <c r="AJ818" s="253">
        <v>0</v>
      </c>
      <c r="AK818" s="253">
        <v>0</v>
      </c>
      <c r="AL818" s="253">
        <v>0</v>
      </c>
      <c r="AM818" s="253">
        <v>0</v>
      </c>
      <c r="AN818" s="253">
        <v>0</v>
      </c>
      <c r="AO818" s="253">
        <v>0</v>
      </c>
      <c r="AP818" s="253">
        <v>0</v>
      </c>
      <c r="AQ818" s="253">
        <v>0</v>
      </c>
      <c r="AR818" s="253">
        <v>0</v>
      </c>
      <c r="AS818" s="253">
        <v>0</v>
      </c>
      <c r="AT818" s="253">
        <v>0</v>
      </c>
      <c r="AU818" s="253">
        <v>0</v>
      </c>
      <c r="AV818" s="253">
        <v>0</v>
      </c>
      <c r="AW818" s="253">
        <v>0</v>
      </c>
      <c r="AX818" s="253">
        <v>0</v>
      </c>
      <c r="AY818" s="253">
        <v>0</v>
      </c>
      <c r="AZ818" s="271">
        <v>1</v>
      </c>
      <c r="BA818" s="271">
        <v>1</v>
      </c>
      <c r="BB818" s="253">
        <v>1</v>
      </c>
      <c r="BC818" s="253">
        <v>0</v>
      </c>
      <c r="BD818" s="253">
        <v>0</v>
      </c>
      <c r="BE818" s="253">
        <v>0</v>
      </c>
      <c r="BF818" s="253">
        <v>0</v>
      </c>
      <c r="BG818" s="253" t="s">
        <v>92</v>
      </c>
      <c r="BH818" s="2" t="str" cm="1">
        <f t="array" ref="BH818">IF(COUNTIF(BB818:BD818,"&lt;&gt;0")=1,INDEX($X$4:$AY$4,MATCH(TRUE,INDEX($X818:$AY818&lt;&gt;0,),0)),IF(COUNTIF(BB818:BD818,"&lt;&gt;0")=0,INDEX($AO$4:$AY$4,MATCH(1,$AO818:$AY818,0)),"Multiple strategies"))</f>
        <v>Silviculture for productivity</v>
      </c>
      <c r="BI818" s="272" t="s">
        <v>229</v>
      </c>
      <c r="BJ818" s="253" t="s">
        <v>230</v>
      </c>
      <c r="BK818" s="273" t="s">
        <v>2754</v>
      </c>
      <c r="BL818" s="270" t="s">
        <v>231</v>
      </c>
      <c r="BM818" s="253">
        <v>68.821883277791997</v>
      </c>
      <c r="BN818" s="253">
        <v>90.5390284179134</v>
      </c>
      <c r="BO818" s="270">
        <v>1.3155558102422529</v>
      </c>
      <c r="BP818" s="253">
        <v>21.717145140121403</v>
      </c>
      <c r="BQ818" s="270">
        <v>44.320704367594701</v>
      </c>
      <c r="BR818" s="270" t="s">
        <v>232</v>
      </c>
      <c r="BS818" s="273" t="s">
        <v>2754</v>
      </c>
      <c r="BT818" s="270" t="s">
        <v>233</v>
      </c>
      <c r="BU818" s="253">
        <v>-8.9016064257028091</v>
      </c>
      <c r="BV818" s="253">
        <v>-8.2073792916471504</v>
      </c>
      <c r="BW818" s="255">
        <v>0.92201102802623092</v>
      </c>
      <c r="BX818" s="253">
        <v>0.69422713405565872</v>
      </c>
      <c r="BY818" s="253"/>
      <c r="BZ818" s="253">
        <v>6.9422713405565867E-4</v>
      </c>
      <c r="CA818" s="253">
        <v>1.5663720691299443E-5</v>
      </c>
      <c r="CB818" s="253">
        <v>0</v>
      </c>
      <c r="CC818" s="253">
        <v>0</v>
      </c>
      <c r="CD818" s="253">
        <v>0</v>
      </c>
      <c r="CE818" s="253">
        <v>0</v>
      </c>
      <c r="CF818" s="253">
        <v>0</v>
      </c>
      <c r="CG818" s="253">
        <v>0</v>
      </c>
      <c r="CH818" s="253">
        <v>0</v>
      </c>
      <c r="CI818" s="253">
        <v>0</v>
      </c>
      <c r="CJ818" s="253">
        <v>0</v>
      </c>
      <c r="CK818" s="253">
        <v>0</v>
      </c>
      <c r="CL818" s="253">
        <v>0</v>
      </c>
      <c r="CM818" s="253">
        <v>0</v>
      </c>
      <c r="CN818" s="253">
        <v>0</v>
      </c>
      <c r="CO818" s="253">
        <v>0</v>
      </c>
      <c r="CP818" s="253" t="s">
        <v>2755</v>
      </c>
      <c r="CQ818" s="253">
        <v>68.821883277791997</v>
      </c>
      <c r="CR818" s="253">
        <v>90.5390284179134</v>
      </c>
      <c r="CS818" s="253">
        <v>44.320704367594701</v>
      </c>
      <c r="CT818">
        <f>IF(BI818="Roundwood",$CS818/2,$CS818)</f>
        <v>44.320704367594701</v>
      </c>
      <c r="CU818" s="253">
        <v>-8.9016064257028091</v>
      </c>
      <c r="CV818" s="253">
        <v>-8.2073792916471504</v>
      </c>
      <c r="CW818" s="253">
        <v>6.9422713405565867E-4</v>
      </c>
      <c r="CX818">
        <f>IFERROR($CW818/$CS818,"")</f>
        <v>1.5663720691299443E-5</v>
      </c>
      <c r="CY818">
        <f>IFERROR($CW818/$CS818,"")</f>
        <v>1.5663720691299443E-5</v>
      </c>
      <c r="CZ818">
        <f>IFERROR($CW818/$CT818,"")</f>
        <v>1.5663720691299443E-5</v>
      </c>
      <c r="DA818" s="254">
        <v>7.7988971973769028E-2</v>
      </c>
      <c r="DB818" s="252" t="s">
        <v>234</v>
      </c>
      <c r="DC818" s="253" t="s">
        <v>2756</v>
      </c>
      <c r="DD818" s="253" t="s">
        <v>235</v>
      </c>
      <c r="DE818" s="253"/>
      <c r="DF818" s="270"/>
      <c r="DG818" s="270">
        <v>80</v>
      </c>
      <c r="DH818" s="253" t="s">
        <v>2757</v>
      </c>
      <c r="DI818" s="253">
        <v>0</v>
      </c>
      <c r="DJ818" s="253">
        <v>1</v>
      </c>
      <c r="DK818" s="253">
        <v>0</v>
      </c>
      <c r="DL818" s="253">
        <v>0</v>
      </c>
      <c r="DM818" s="253"/>
      <c r="DN818" s="253">
        <v>1</v>
      </c>
      <c r="DO818" s="253" t="s">
        <v>173</v>
      </c>
      <c r="DP818" s="253">
        <v>0</v>
      </c>
      <c r="DQ818" s="253" t="s">
        <v>180</v>
      </c>
      <c r="DR818" s="253">
        <v>0</v>
      </c>
      <c r="DS818" s="253">
        <v>0</v>
      </c>
      <c r="DT818" s="253">
        <v>0</v>
      </c>
      <c r="DU818" s="270">
        <v>0</v>
      </c>
      <c r="DV818" s="270">
        <v>0</v>
      </c>
      <c r="DW818" s="270">
        <v>0</v>
      </c>
      <c r="DX818" s="270">
        <v>0</v>
      </c>
      <c r="DY818" s="253">
        <v>0</v>
      </c>
      <c r="DZ818" s="270" t="s">
        <v>926</v>
      </c>
      <c r="EA818" s="270">
        <v>1</v>
      </c>
      <c r="EB818" s="270">
        <v>1</v>
      </c>
      <c r="EC818" s="270">
        <v>1</v>
      </c>
      <c r="ED818" s="270">
        <v>0</v>
      </c>
      <c r="EE818" s="253">
        <v>0</v>
      </c>
      <c r="EF818" s="270">
        <v>0</v>
      </c>
      <c r="EG818" s="270">
        <v>1</v>
      </c>
      <c r="EH818" s="270">
        <v>1</v>
      </c>
      <c r="EI818" s="270">
        <v>0</v>
      </c>
      <c r="EJ818" s="270">
        <v>0</v>
      </c>
      <c r="EK818" s="253">
        <v>1</v>
      </c>
      <c r="EL818" s="270">
        <v>0</v>
      </c>
      <c r="EM818" s="253">
        <v>0</v>
      </c>
      <c r="EN818" s="254">
        <v>0</v>
      </c>
      <c r="EO818" s="252"/>
      <c r="EP818" t="str">
        <f>IF(AND(AND(AND(OR($EC818=1,$EB818=1),OR($EH818=1,$EF818=1)),SUM($EA818:$EE818,$EK818)&gt;=3),SUM($EF818:$EJ818)&gt;=2),"Whole sector approach","")</f>
        <v>Whole sector approach</v>
      </c>
      <c r="EQ818" t="str">
        <f>IF(AND(AND(OR($EC818=1,$EB818=1),AND($EH818=0,$EF818=0)),SUM($EA818:$EE818,$EK818)&gt;=4),"Ecosystem approach","")</f>
        <v/>
      </c>
      <c r="ER818" s="254" t="s">
        <v>531</v>
      </c>
      <c r="ES818" t="str">
        <f>IF(AND($EC818+$EB818+$EE818+$EA818+$ED818+$EG818=0,$N818="included"),"C neutral forest and HWP assumption","")</f>
        <v/>
      </c>
      <c r="ET818" t="str">
        <f>IF(AND(AND(AND(AND($EC818=1,$EB818+$EA818+$EG818&gt;=1),$EF818=1),$EH818+$EI818+$ED818+$EE818&gt;=2),$N818="included"),"All C pools assumption","")</f>
        <v/>
      </c>
      <c r="EU818" t="str">
        <f>IF(AND($ED818+$EE818+$EI818+$EH818+$EF818=0,$N818="included"),"In-situ only assumption","")</f>
        <v/>
      </c>
      <c r="EV818" s="253"/>
      <c r="EW818" s="253" t="s">
        <v>236</v>
      </c>
      <c r="EX818" s="253"/>
      <c r="EY818" t="str">
        <f>IF(ISNUMBER(BW818),IF(ABS(BW818-[3]QC_indicators!$B$2)&gt;3*[3]QC_indicators!$C$2,"C ratio",IF(ISNUMBER(CA818),IF(ABS(CA818-[3]QC_indicators!$B$1)&gt;3*[3]QC_indicators!$C$1,"DF","no"))),IF(ISNUMBER(CA818),IF(ABS(CA818-[3]QC_indicators!$B$1)&gt;3*[3]QC_indicators!$C$1,"DF","no")))</f>
        <v>no</v>
      </c>
      <c r="EZ818" s="253"/>
      <c r="FA818" t="str">
        <f>IF(LEN($CY818)=0,"",IF(AND($CY818&lt;(-0.05),$ES818="C neutral forest and HWP assumption"),"Cneutral paradox",IF(AND($CY818&gt;0.05,$EU818="In-situ only assumption"),"In-situ only paradox","")))</f>
        <v/>
      </c>
      <c r="FB818" s="253"/>
    </row>
    <row r="819" spans="1:159" ht="15" hidden="1" customHeight="1">
      <c r="A819" s="252" t="s">
        <v>214</v>
      </c>
      <c r="B819" s="253" t="s">
        <v>215</v>
      </c>
      <c r="C819" s="253" t="s">
        <v>216</v>
      </c>
      <c r="D819" s="253" t="s">
        <v>217</v>
      </c>
      <c r="E819" s="253" t="s">
        <v>218</v>
      </c>
      <c r="F819" s="253" t="s">
        <v>219</v>
      </c>
      <c r="G819" s="253" t="s">
        <v>220</v>
      </c>
      <c r="H819" s="253"/>
      <c r="I819" s="253">
        <v>2012</v>
      </c>
      <c r="J819" s="253"/>
      <c r="K819" s="253" t="s">
        <v>221</v>
      </c>
      <c r="L819" s="253"/>
      <c r="M819" s="253" t="s">
        <v>2753</v>
      </c>
      <c r="N819" s="253" t="s">
        <v>222</v>
      </c>
      <c r="O819" s="269" t="s">
        <v>223</v>
      </c>
      <c r="P819" s="253"/>
      <c r="Q819" s="253" t="s">
        <v>224</v>
      </c>
      <c r="R819" s="254" t="s">
        <v>225</v>
      </c>
      <c r="S819" s="252" t="s">
        <v>240</v>
      </c>
      <c r="T819" s="253">
        <v>2000</v>
      </c>
      <c r="U819" s="253">
        <v>4000</v>
      </c>
      <c r="V819" s="253">
        <v>0</v>
      </c>
      <c r="W819" s="253">
        <v>0</v>
      </c>
      <c r="X819" s="253">
        <v>0</v>
      </c>
      <c r="Y819" s="253">
        <v>0</v>
      </c>
      <c r="Z819" s="253">
        <v>0</v>
      </c>
      <c r="AA819" s="253">
        <v>0</v>
      </c>
      <c r="AB819" s="253">
        <v>0</v>
      </c>
      <c r="AC819" s="253">
        <v>1</v>
      </c>
      <c r="AD819" s="253">
        <v>0</v>
      </c>
      <c r="AE819" s="253">
        <v>0</v>
      </c>
      <c r="AF819" s="253">
        <v>0</v>
      </c>
      <c r="AG819" s="253">
        <v>0</v>
      </c>
      <c r="AH819" s="253">
        <v>0</v>
      </c>
      <c r="AI819" s="253">
        <v>0</v>
      </c>
      <c r="AJ819" s="253">
        <v>0</v>
      </c>
      <c r="AK819" s="253">
        <v>0</v>
      </c>
      <c r="AL819" s="253">
        <v>0</v>
      </c>
      <c r="AM819" s="253">
        <v>0</v>
      </c>
      <c r="AN819" s="253">
        <v>0</v>
      </c>
      <c r="AO819" s="253">
        <v>0</v>
      </c>
      <c r="AP819" s="253">
        <v>0</v>
      </c>
      <c r="AQ819" s="253">
        <v>0</v>
      </c>
      <c r="AR819" s="253">
        <v>0</v>
      </c>
      <c r="AS819" s="253">
        <v>0</v>
      </c>
      <c r="AT819" s="253">
        <v>0</v>
      </c>
      <c r="AU819" s="253">
        <v>0</v>
      </c>
      <c r="AV819" s="253">
        <v>0</v>
      </c>
      <c r="AW819" s="253">
        <v>0</v>
      </c>
      <c r="AX819" s="253">
        <v>0</v>
      </c>
      <c r="AY819" s="253">
        <v>0</v>
      </c>
      <c r="AZ819" s="271">
        <v>1</v>
      </c>
      <c r="BA819" s="271">
        <v>1</v>
      </c>
      <c r="BB819" s="253">
        <v>1</v>
      </c>
      <c r="BC819" s="253">
        <v>0</v>
      </c>
      <c r="BD819" s="253">
        <v>0</v>
      </c>
      <c r="BE819" s="253">
        <v>0</v>
      </c>
      <c r="BF819" s="253">
        <v>0</v>
      </c>
      <c r="BG819" s="253" t="s">
        <v>93</v>
      </c>
      <c r="BH819" s="2" t="str" cm="1">
        <f t="array" ref="BH819">IF(COUNTIF(BB819:BD819,"&lt;&gt;0")=1,INDEX($X$4:$AY$4,MATCH(TRUE,INDEX($X819:$AY819&lt;&gt;0,),0)),IF(COUNTIF(BB819:BD819,"&lt;&gt;0")=0,INDEX($AO$4:$AY$4,MATCH(1,$AO819:$AY819,0)),"Multiple strategies"))</f>
        <v>Silviculture for productivity</v>
      </c>
      <c r="BI819" s="272" t="s">
        <v>229</v>
      </c>
      <c r="BJ819" s="253" t="s">
        <v>230</v>
      </c>
      <c r="BK819" s="273" t="s">
        <v>2754</v>
      </c>
      <c r="BL819" s="270" t="s">
        <v>231</v>
      </c>
      <c r="BM819" s="253">
        <v>37.305819020000001</v>
      </c>
      <c r="BN819" s="253">
        <v>46.459096459999998</v>
      </c>
      <c r="BO819" s="270">
        <v>1.2453579007364197</v>
      </c>
      <c r="BP819" s="253">
        <v>9.1532774399999965</v>
      </c>
      <c r="BQ819" s="270">
        <v>18.68015804081632</v>
      </c>
      <c r="BR819" s="270" t="s">
        <v>232</v>
      </c>
      <c r="BS819" s="273" t="s">
        <v>2754</v>
      </c>
      <c r="BT819" s="270" t="s">
        <v>233</v>
      </c>
      <c r="BU819" s="253">
        <v>-9.8192771079999996</v>
      </c>
      <c r="BV819" s="253">
        <v>-9.5592716459999991</v>
      </c>
      <c r="BW819" s="255">
        <v>0.97352091613870761</v>
      </c>
      <c r="BX819" s="253">
        <v>0.26000546200000052</v>
      </c>
      <c r="BY819" s="253"/>
      <c r="BZ819" s="253">
        <v>2.6000546200000054E-4</v>
      </c>
      <c r="CA819" s="253">
        <v>1.3918804189551619E-5</v>
      </c>
      <c r="CB819" s="253">
        <v>0</v>
      </c>
      <c r="CC819" s="253">
        <v>0</v>
      </c>
      <c r="CD819" s="253">
        <v>0</v>
      </c>
      <c r="CE819" s="253">
        <v>0</v>
      </c>
      <c r="CF819" s="253">
        <v>0</v>
      </c>
      <c r="CG819" s="253">
        <v>0</v>
      </c>
      <c r="CH819" s="253">
        <v>0</v>
      </c>
      <c r="CI819" s="253">
        <v>0</v>
      </c>
      <c r="CJ819" s="253">
        <v>0</v>
      </c>
      <c r="CK819" s="253">
        <v>0</v>
      </c>
      <c r="CL819" s="253">
        <v>0</v>
      </c>
      <c r="CM819" s="253">
        <v>0</v>
      </c>
      <c r="CN819" s="253">
        <v>0</v>
      </c>
      <c r="CO819" s="253">
        <v>0</v>
      </c>
      <c r="CP819" s="253" t="s">
        <v>2755</v>
      </c>
      <c r="CQ819" s="253">
        <v>37.305819020000001</v>
      </c>
      <c r="CR819" s="253">
        <v>46.459096459999998</v>
      </c>
      <c r="CS819" s="253">
        <v>18.68015804081632</v>
      </c>
      <c r="CT819">
        <f>IF(BI819="Roundwood",$CS819/2,$CS819)</f>
        <v>18.68015804081632</v>
      </c>
      <c r="CU819" s="253">
        <v>-9.8192771079999996</v>
      </c>
      <c r="CV819" s="253">
        <v>-9.5592716459999991</v>
      </c>
      <c r="CW819" s="253">
        <v>2.6000546200000054E-4</v>
      </c>
      <c r="CX819">
        <f>IFERROR($CW819/$CS819,"")</f>
        <v>1.3918804189551619E-5</v>
      </c>
      <c r="CY819">
        <f>IFERROR($CW819/$CS819,"")</f>
        <v>1.3918804189551619E-5</v>
      </c>
      <c r="CZ819">
        <f>IFERROR($CW819/$CT819,"")</f>
        <v>1.3918804189551619E-5</v>
      </c>
      <c r="DA819" s="254">
        <v>2.6479083861292382E-2</v>
      </c>
      <c r="DB819" s="252" t="s">
        <v>234</v>
      </c>
      <c r="DC819" s="253" t="s">
        <v>2756</v>
      </c>
      <c r="DD819" s="253" t="s">
        <v>235</v>
      </c>
      <c r="DE819" s="253"/>
      <c r="DF819" s="270"/>
      <c r="DG819" s="270">
        <v>80</v>
      </c>
      <c r="DH819" s="253" t="s">
        <v>2757</v>
      </c>
      <c r="DI819" s="253">
        <v>0</v>
      </c>
      <c r="DJ819" s="253">
        <v>1</v>
      </c>
      <c r="DK819" s="253">
        <v>0</v>
      </c>
      <c r="DL819" s="253">
        <v>0</v>
      </c>
      <c r="DM819" s="253"/>
      <c r="DN819" s="253">
        <v>1</v>
      </c>
      <c r="DO819" s="253" t="s">
        <v>173</v>
      </c>
      <c r="DP819" s="253">
        <v>0</v>
      </c>
      <c r="DQ819" s="253" t="s">
        <v>180</v>
      </c>
      <c r="DR819" s="253">
        <v>0</v>
      </c>
      <c r="DS819" s="253">
        <v>0</v>
      </c>
      <c r="DT819" s="253">
        <v>0</v>
      </c>
      <c r="DU819" s="270">
        <v>0</v>
      </c>
      <c r="DV819" s="270">
        <v>0</v>
      </c>
      <c r="DW819" s="270">
        <v>0</v>
      </c>
      <c r="DX819" s="270">
        <v>0</v>
      </c>
      <c r="DY819" s="253">
        <v>0</v>
      </c>
      <c r="DZ819" s="270" t="s">
        <v>926</v>
      </c>
      <c r="EA819" s="270">
        <v>1</v>
      </c>
      <c r="EB819" s="270">
        <v>1</v>
      </c>
      <c r="EC819" s="270">
        <v>1</v>
      </c>
      <c r="ED819" s="270">
        <v>0</v>
      </c>
      <c r="EE819" s="253">
        <v>0</v>
      </c>
      <c r="EF819" s="270">
        <v>0</v>
      </c>
      <c r="EG819" s="270">
        <v>1</v>
      </c>
      <c r="EH819" s="270">
        <v>1</v>
      </c>
      <c r="EI819" s="270">
        <v>0</v>
      </c>
      <c r="EJ819" s="270">
        <v>0</v>
      </c>
      <c r="EK819" s="253">
        <v>1</v>
      </c>
      <c r="EL819" s="270">
        <v>0</v>
      </c>
      <c r="EM819" s="253">
        <v>0</v>
      </c>
      <c r="EN819" s="254">
        <v>0</v>
      </c>
      <c r="EO819" s="252"/>
      <c r="EP819" t="str">
        <f>IF(AND(AND(AND(OR($EC819=1,$EB819=1),OR($EH819=1,$EF819=1)),SUM($EA819:$EE819,$EK819)&gt;=3),SUM($EF819:$EJ819)&gt;=2),"Whole sector approach","")</f>
        <v>Whole sector approach</v>
      </c>
      <c r="EQ819" t="str">
        <f>IF(AND(AND(OR($EC819=1,$EB819=1),AND($EH819=0,$EF819=0)),SUM($EA819:$EE819,$EK819)&gt;=4),"Ecosystem approach","")</f>
        <v/>
      </c>
      <c r="ER819" s="254" t="s">
        <v>531</v>
      </c>
      <c r="ES819" t="str">
        <f>IF(AND($EC819+$EB819+$EE819+$EA819+$ED819+$EG819=0,$N819="included"),"C neutral forest and HWP assumption","")</f>
        <v/>
      </c>
      <c r="ET819" t="str">
        <f>IF(AND(AND(AND(AND($EC819=1,$EB819+$EA819+$EG819&gt;=1),$EF819=1),$EH819+$EI819+$ED819+$EE819&gt;=2),$N819="included"),"All C pools assumption","")</f>
        <v/>
      </c>
      <c r="EU819" t="str">
        <f>IF(AND($ED819+$EE819+$EI819+$EH819+$EF819=0,$N819="included"),"In-situ only assumption","")</f>
        <v/>
      </c>
      <c r="EV819" s="253"/>
      <c r="EW819" s="253" t="s">
        <v>236</v>
      </c>
      <c r="EX819" s="253"/>
      <c r="EY819" t="str">
        <f>IF(ISNUMBER(BW819),IF(ABS(BW819-[3]QC_indicators!$B$2)&gt;3*[3]QC_indicators!$C$2,"C ratio",IF(ISNUMBER(CA819),IF(ABS(CA819-[3]QC_indicators!$B$1)&gt;3*[3]QC_indicators!$C$1,"DF","no"))),IF(ISNUMBER(CA819),IF(ABS(CA819-[3]QC_indicators!$B$1)&gt;3*[3]QC_indicators!$C$1,"DF","no")))</f>
        <v>no</v>
      </c>
      <c r="EZ819" s="274"/>
      <c r="FA819" t="str">
        <f>IF(LEN($CY819)=0,"",IF(AND($CY819&lt;(-0.05),$ES819="C neutral forest and HWP assumption"),"Cneutral paradox",IF(AND($CY819&gt;0.05,$EU819="In-situ only assumption"),"In-situ only paradox","")))</f>
        <v/>
      </c>
      <c r="FB819" s="274"/>
      <c r="FC819" s="274"/>
    </row>
    <row r="820" spans="1:159" ht="15" hidden="1" customHeight="1">
      <c r="A820" s="252" t="s">
        <v>214</v>
      </c>
      <c r="B820" s="253" t="s">
        <v>215</v>
      </c>
      <c r="C820" s="253" t="s">
        <v>216</v>
      </c>
      <c r="D820" s="253" t="s">
        <v>217</v>
      </c>
      <c r="E820" s="253" t="s">
        <v>218</v>
      </c>
      <c r="F820" s="253" t="s">
        <v>219</v>
      </c>
      <c r="G820" s="253" t="s">
        <v>220</v>
      </c>
      <c r="H820" s="253"/>
      <c r="I820" s="253">
        <v>2012</v>
      </c>
      <c r="J820" s="253"/>
      <c r="K820" s="253" t="s">
        <v>221</v>
      </c>
      <c r="L820" s="253"/>
      <c r="M820" s="253" t="s">
        <v>2753</v>
      </c>
      <c r="N820" s="253" t="s">
        <v>222</v>
      </c>
      <c r="O820" s="269" t="s">
        <v>223</v>
      </c>
      <c r="P820" s="253"/>
      <c r="Q820" s="253" t="s">
        <v>224</v>
      </c>
      <c r="R820" s="254" t="s">
        <v>225</v>
      </c>
      <c r="S820" s="252" t="s">
        <v>92</v>
      </c>
      <c r="T820" s="253" t="s">
        <v>245</v>
      </c>
      <c r="U820" s="270" t="s">
        <v>246</v>
      </c>
      <c r="V820" s="253">
        <v>0</v>
      </c>
      <c r="W820" s="253">
        <v>0</v>
      </c>
      <c r="X820" s="253">
        <v>0</v>
      </c>
      <c r="Y820" s="253">
        <v>0</v>
      </c>
      <c r="Z820" s="253">
        <v>0</v>
      </c>
      <c r="AA820" s="253">
        <v>0</v>
      </c>
      <c r="AB820" s="253">
        <v>1</v>
      </c>
      <c r="AC820" s="253">
        <v>0</v>
      </c>
      <c r="AD820" s="253">
        <v>0</v>
      </c>
      <c r="AE820" s="253">
        <v>0</v>
      </c>
      <c r="AF820" s="253">
        <v>0</v>
      </c>
      <c r="AG820" s="253">
        <v>0</v>
      </c>
      <c r="AH820" s="253">
        <v>0</v>
      </c>
      <c r="AI820" s="253">
        <v>0</v>
      </c>
      <c r="AJ820" s="253">
        <v>0</v>
      </c>
      <c r="AK820" s="253">
        <v>0</v>
      </c>
      <c r="AL820" s="253">
        <v>0</v>
      </c>
      <c r="AM820" s="253">
        <v>0</v>
      </c>
      <c r="AN820" s="253">
        <v>0</v>
      </c>
      <c r="AO820" s="253">
        <v>0</v>
      </c>
      <c r="AP820" s="253">
        <v>0</v>
      </c>
      <c r="AQ820" s="253">
        <v>0</v>
      </c>
      <c r="AR820" s="253">
        <v>0</v>
      </c>
      <c r="AS820" s="253">
        <v>0</v>
      </c>
      <c r="AT820" s="253">
        <v>0</v>
      </c>
      <c r="AU820" s="253">
        <v>0</v>
      </c>
      <c r="AV820" s="253">
        <v>0</v>
      </c>
      <c r="AW820" s="253">
        <v>0</v>
      </c>
      <c r="AX820" s="253">
        <v>0</v>
      </c>
      <c r="AY820" s="253">
        <v>0</v>
      </c>
      <c r="AZ820" s="271">
        <v>1</v>
      </c>
      <c r="BA820" s="271">
        <v>1</v>
      </c>
      <c r="BB820" s="253">
        <v>1</v>
      </c>
      <c r="BC820" s="253">
        <v>0</v>
      </c>
      <c r="BD820" s="253">
        <v>0</v>
      </c>
      <c r="BE820" s="253">
        <v>0</v>
      </c>
      <c r="BF820" s="253">
        <v>0</v>
      </c>
      <c r="BG820" s="253" t="s">
        <v>92</v>
      </c>
      <c r="BH820" s="2" t="str" cm="1">
        <f t="array" ref="BH820">IF(COUNTIF(BB820:BD820,"&lt;&gt;0")=1,INDEX($X$4:$AY$4,MATCH(TRUE,INDEX($X820:$AY820&lt;&gt;0,),0)),IF(COUNTIF(BB820:BD820,"&lt;&gt;0")=0,INDEX($AO$4:$AY$4,MATCH(1,$AO820:$AY820,0)),"Multiple strategies"))</f>
        <v>Silviculture for productivity</v>
      </c>
      <c r="BI820" s="272" t="s">
        <v>229</v>
      </c>
      <c r="BJ820" s="253" t="s">
        <v>230</v>
      </c>
      <c r="BK820" s="273" t="s">
        <v>2754</v>
      </c>
      <c r="BL820" s="270" t="s">
        <v>231</v>
      </c>
      <c r="BM820" s="253">
        <v>63.5091743119266</v>
      </c>
      <c r="BN820" s="253">
        <v>85.005979255643595</v>
      </c>
      <c r="BO820" s="270">
        <v>1.3384834581242546</v>
      </c>
      <c r="BP820" s="253">
        <v>21.496804943716995</v>
      </c>
      <c r="BQ820" s="270">
        <v>43.871030497381625</v>
      </c>
      <c r="BR820" s="270" t="s">
        <v>232</v>
      </c>
      <c r="BS820" s="273" t="s">
        <v>2754</v>
      </c>
      <c r="BT820" s="270" t="s">
        <v>233</v>
      </c>
      <c r="BU820" s="253">
        <v>-8.71587255658436</v>
      </c>
      <c r="BV820" s="253">
        <v>-8.1260280658938306</v>
      </c>
      <c r="BW820" s="255">
        <v>0.93232525064344429</v>
      </c>
      <c r="BX820" s="253">
        <v>0.58984449069052935</v>
      </c>
      <c r="BY820" s="253"/>
      <c r="BZ820" s="253">
        <v>5.898444906905294E-4</v>
      </c>
      <c r="CA820" s="253">
        <v>1.3444965481851021E-5</v>
      </c>
      <c r="CB820" s="253">
        <v>0</v>
      </c>
      <c r="CC820" s="253">
        <v>0</v>
      </c>
      <c r="CD820" s="253">
        <v>0</v>
      </c>
      <c r="CE820" s="253">
        <v>0</v>
      </c>
      <c r="CF820" s="253">
        <v>0</v>
      </c>
      <c r="CG820" s="253">
        <v>0</v>
      </c>
      <c r="CH820" s="253">
        <v>0</v>
      </c>
      <c r="CI820" s="253">
        <v>0</v>
      </c>
      <c r="CJ820" s="253">
        <v>0</v>
      </c>
      <c r="CK820" s="253">
        <v>0</v>
      </c>
      <c r="CL820" s="253">
        <v>0</v>
      </c>
      <c r="CM820" s="253">
        <v>0</v>
      </c>
      <c r="CN820" s="253">
        <v>0</v>
      </c>
      <c r="CO820" s="253">
        <v>0</v>
      </c>
      <c r="CP820" s="253" t="s">
        <v>2755</v>
      </c>
      <c r="CQ820" s="253">
        <v>63.5091743119266</v>
      </c>
      <c r="CR820" s="253">
        <v>85.005979255643595</v>
      </c>
      <c r="CS820" s="253">
        <v>43.871030497381625</v>
      </c>
      <c r="CT820">
        <f>IF(BI820="Roundwood",$CS820/2,$CS820)</f>
        <v>43.871030497381625</v>
      </c>
      <c r="CU820" s="253">
        <v>-8.71587255658436</v>
      </c>
      <c r="CV820" s="253">
        <v>-8.1260280658938306</v>
      </c>
      <c r="CW820" s="253">
        <v>5.898444906905294E-4</v>
      </c>
      <c r="CX820">
        <f>IFERROR($CW820/$CS820,"")</f>
        <v>1.3444965481851021E-5</v>
      </c>
      <c r="CY820">
        <f>IFERROR($CW820/$CS820,"")</f>
        <v>1.3444965481851021E-5</v>
      </c>
      <c r="CZ820">
        <f>IFERROR($CW820/$CT820,"")</f>
        <v>1.3444965481851021E-5</v>
      </c>
      <c r="DA820" s="254">
        <v>6.767474935655575E-2</v>
      </c>
      <c r="DB820" s="252" t="s">
        <v>234</v>
      </c>
      <c r="DC820" s="253" t="s">
        <v>2756</v>
      </c>
      <c r="DD820" s="253" t="s">
        <v>235</v>
      </c>
      <c r="DE820" s="253"/>
      <c r="DF820" s="270"/>
      <c r="DG820" s="270">
        <v>80</v>
      </c>
      <c r="DH820" s="253" t="s">
        <v>2757</v>
      </c>
      <c r="DI820" s="253">
        <v>0</v>
      </c>
      <c r="DJ820" s="253">
        <v>1</v>
      </c>
      <c r="DK820" s="253">
        <v>0</v>
      </c>
      <c r="DL820" s="253">
        <v>0</v>
      </c>
      <c r="DM820" s="253"/>
      <c r="DN820" s="253">
        <v>1</v>
      </c>
      <c r="DO820" s="253" t="s">
        <v>173</v>
      </c>
      <c r="DP820" s="253">
        <v>0</v>
      </c>
      <c r="DQ820" s="253" t="s">
        <v>180</v>
      </c>
      <c r="DR820" s="253">
        <v>0</v>
      </c>
      <c r="DS820" s="253">
        <v>0</v>
      </c>
      <c r="DT820" s="253">
        <v>0</v>
      </c>
      <c r="DU820" s="270">
        <v>0</v>
      </c>
      <c r="DV820" s="270">
        <v>0</v>
      </c>
      <c r="DW820" s="270">
        <v>0</v>
      </c>
      <c r="DX820" s="270">
        <v>0</v>
      </c>
      <c r="DY820" s="253">
        <v>0</v>
      </c>
      <c r="DZ820" s="270" t="s">
        <v>926</v>
      </c>
      <c r="EA820" s="270">
        <v>1</v>
      </c>
      <c r="EB820" s="270">
        <v>1</v>
      </c>
      <c r="EC820" s="270">
        <v>1</v>
      </c>
      <c r="ED820" s="270">
        <v>0</v>
      </c>
      <c r="EE820" s="253">
        <v>0</v>
      </c>
      <c r="EF820" s="270">
        <v>0</v>
      </c>
      <c r="EG820" s="270">
        <v>1</v>
      </c>
      <c r="EH820" s="270">
        <v>1</v>
      </c>
      <c r="EI820" s="270">
        <v>0</v>
      </c>
      <c r="EJ820" s="270">
        <v>0</v>
      </c>
      <c r="EK820" s="253">
        <v>1</v>
      </c>
      <c r="EL820" s="270">
        <v>0</v>
      </c>
      <c r="EM820" s="253">
        <v>0</v>
      </c>
      <c r="EN820" s="254">
        <v>0</v>
      </c>
      <c r="EO820" s="252"/>
      <c r="EP820" t="str">
        <f>IF(AND(AND(AND(OR($EC820=1,$EB820=1),OR($EH820=1,$EF820=1)),SUM($EA820:$EE820,$EK820)&gt;=3),SUM($EF820:$EJ820)&gt;=2),"Whole sector approach","")</f>
        <v>Whole sector approach</v>
      </c>
      <c r="EQ820" t="str">
        <f>IF(AND(AND(OR($EC820=1,$EB820=1),AND($EH820=0,$EF820=0)),SUM($EA820:$EE820,$EK820)&gt;=4),"Ecosystem approach","")</f>
        <v/>
      </c>
      <c r="ER820" s="254" t="s">
        <v>531</v>
      </c>
      <c r="ES820" t="str">
        <f>IF(AND($EC820+$EB820+$EE820+$EA820+$ED820+$EG820=0,$N820="included"),"C neutral forest and HWP assumption","")</f>
        <v/>
      </c>
      <c r="ET820" t="str">
        <f>IF(AND(AND(AND(AND($EC820=1,$EB820+$EA820+$EG820&gt;=1),$EF820=1),$EH820+$EI820+$ED820+$EE820&gt;=2),$N820="included"),"All C pools assumption","")</f>
        <v/>
      </c>
      <c r="EU820" t="str">
        <f>IF(AND($ED820+$EE820+$EI820+$EH820+$EF820=0,$N820="included"),"In-situ only assumption","")</f>
        <v/>
      </c>
      <c r="EV820" s="253"/>
      <c r="EW820" s="253" t="s">
        <v>236</v>
      </c>
      <c r="EX820" s="253"/>
      <c r="EY820" t="str">
        <f>IF(ISNUMBER(BW820),IF(ABS(BW820-[3]QC_indicators!$B$2)&gt;3*[3]QC_indicators!$C$2,"C ratio",IF(ISNUMBER(CA820),IF(ABS(CA820-[3]QC_indicators!$B$1)&gt;3*[3]QC_indicators!$C$1,"DF","no"))),IF(ISNUMBER(CA820),IF(ABS(CA820-[3]QC_indicators!$B$1)&gt;3*[3]QC_indicators!$C$1,"DF","no")))</f>
        <v>no</v>
      </c>
      <c r="EZ820" s="253"/>
      <c r="FA820" t="str">
        <f>IF(LEN($CY820)=0,"",IF(AND($CY820&lt;(-0.05),$ES820="C neutral forest and HWP assumption"),"Cneutral paradox",IF(AND($CY820&gt;0.05,$EU820="In-situ only assumption"),"In-situ only paradox","")))</f>
        <v/>
      </c>
      <c r="FB820" s="253"/>
    </row>
    <row r="821" spans="1:159" ht="15" hidden="1" customHeight="1">
      <c r="A821" s="252" t="s">
        <v>214</v>
      </c>
      <c r="B821" s="253" t="s">
        <v>215</v>
      </c>
      <c r="C821" s="253" t="s">
        <v>216</v>
      </c>
      <c r="D821" s="253" t="s">
        <v>217</v>
      </c>
      <c r="E821" s="253" t="s">
        <v>218</v>
      </c>
      <c r="F821" s="253" t="s">
        <v>219</v>
      </c>
      <c r="G821" s="253" t="s">
        <v>220</v>
      </c>
      <c r="H821" s="253"/>
      <c r="I821" s="253">
        <v>2012</v>
      </c>
      <c r="J821" s="253"/>
      <c r="K821" s="253" t="s">
        <v>221</v>
      </c>
      <c r="L821" s="253"/>
      <c r="M821" s="253" t="s">
        <v>2753</v>
      </c>
      <c r="N821" s="253" t="s">
        <v>222</v>
      </c>
      <c r="O821" s="269" t="s">
        <v>223</v>
      </c>
      <c r="P821" s="253"/>
      <c r="Q821" s="253" t="s">
        <v>224</v>
      </c>
      <c r="R821" s="254" t="s">
        <v>225</v>
      </c>
      <c r="S821" s="252" t="s">
        <v>240</v>
      </c>
      <c r="T821" s="253">
        <v>2000</v>
      </c>
      <c r="U821" s="253">
        <v>4000</v>
      </c>
      <c r="V821" s="253">
        <v>0</v>
      </c>
      <c r="W821" s="253">
        <v>0</v>
      </c>
      <c r="X821" s="253">
        <v>0</v>
      </c>
      <c r="Y821" s="253">
        <v>0</v>
      </c>
      <c r="Z821" s="253">
        <v>0</v>
      </c>
      <c r="AA821" s="253">
        <v>0</v>
      </c>
      <c r="AB821" s="253">
        <v>0</v>
      </c>
      <c r="AC821" s="253">
        <v>1</v>
      </c>
      <c r="AD821" s="253">
        <v>0</v>
      </c>
      <c r="AE821" s="253">
        <v>0</v>
      </c>
      <c r="AF821" s="253">
        <v>0</v>
      </c>
      <c r="AG821" s="253">
        <v>0</v>
      </c>
      <c r="AH821" s="253">
        <v>0</v>
      </c>
      <c r="AI821" s="253">
        <v>0</v>
      </c>
      <c r="AJ821" s="253">
        <v>0</v>
      </c>
      <c r="AK821" s="253">
        <v>0</v>
      </c>
      <c r="AL821" s="253">
        <v>0</v>
      </c>
      <c r="AM821" s="253">
        <v>0</v>
      </c>
      <c r="AN821" s="253">
        <v>0</v>
      </c>
      <c r="AO821" s="253">
        <v>0</v>
      </c>
      <c r="AP821" s="253">
        <v>0</v>
      </c>
      <c r="AQ821" s="253">
        <v>0</v>
      </c>
      <c r="AR821" s="253">
        <v>0</v>
      </c>
      <c r="AS821" s="253">
        <v>0</v>
      </c>
      <c r="AT821" s="253">
        <v>0</v>
      </c>
      <c r="AU821" s="253">
        <v>0</v>
      </c>
      <c r="AV821" s="253">
        <v>0</v>
      </c>
      <c r="AW821" s="253">
        <v>0</v>
      </c>
      <c r="AX821" s="253">
        <v>0</v>
      </c>
      <c r="AY821" s="253">
        <v>0</v>
      </c>
      <c r="AZ821" s="271">
        <v>1</v>
      </c>
      <c r="BA821" s="271">
        <v>1</v>
      </c>
      <c r="BB821" s="253">
        <v>1</v>
      </c>
      <c r="BC821" s="253">
        <v>0</v>
      </c>
      <c r="BD821" s="253">
        <v>0</v>
      </c>
      <c r="BE821" s="253">
        <v>0</v>
      </c>
      <c r="BF821" s="253">
        <v>0</v>
      </c>
      <c r="BG821" s="253" t="s">
        <v>93</v>
      </c>
      <c r="BH821" s="2" t="str" cm="1">
        <f t="array" ref="BH821">IF(COUNTIF(BB821:BD821,"&lt;&gt;0")=1,INDEX($X$4:$AY$4,MATCH(TRUE,INDEX($X821:$AY821&lt;&gt;0,),0)),IF(COUNTIF(BB821:BD821,"&lt;&gt;0")=0,INDEX($AO$4:$AY$4,MATCH(1,$AO821:$AY821,0)),"Multiple strategies"))</f>
        <v>Silviculture for productivity</v>
      </c>
      <c r="BI821" s="272" t="s">
        <v>229</v>
      </c>
      <c r="BJ821" s="253" t="s">
        <v>230</v>
      </c>
      <c r="BK821" s="273" t="s">
        <v>2754</v>
      </c>
      <c r="BL821" s="270" t="s">
        <v>231</v>
      </c>
      <c r="BM821" s="253">
        <v>55.163392309999999</v>
      </c>
      <c r="BN821" s="253">
        <v>74.931604759999999</v>
      </c>
      <c r="BO821" s="270">
        <v>1.3583574472525037</v>
      </c>
      <c r="BP821" s="253">
        <v>19.76821245</v>
      </c>
      <c r="BQ821" s="270">
        <v>40.343290714285715</v>
      </c>
      <c r="BR821" s="270" t="s">
        <v>232</v>
      </c>
      <c r="BS821" s="273" t="s">
        <v>2754</v>
      </c>
      <c r="BT821" s="270" t="s">
        <v>233</v>
      </c>
      <c r="BU821" s="253">
        <v>-9.0346308719999993</v>
      </c>
      <c r="BV821" s="253">
        <v>-8.5161560640000005</v>
      </c>
      <c r="BW821" s="255">
        <v>0.94261250787712325</v>
      </c>
      <c r="BX821" s="253">
        <v>0.51847480799999879</v>
      </c>
      <c r="BY821" s="253"/>
      <c r="BZ821" s="253">
        <v>5.1847480799999883E-4</v>
      </c>
      <c r="CA821" s="253">
        <v>1.2851574544869859E-5</v>
      </c>
      <c r="CB821" s="253">
        <v>0</v>
      </c>
      <c r="CC821" s="253">
        <v>0</v>
      </c>
      <c r="CD821" s="253">
        <v>0</v>
      </c>
      <c r="CE821" s="253">
        <v>0</v>
      </c>
      <c r="CF821" s="253">
        <v>0</v>
      </c>
      <c r="CG821" s="253">
        <v>0</v>
      </c>
      <c r="CH821" s="253">
        <v>0</v>
      </c>
      <c r="CI821" s="253">
        <v>0</v>
      </c>
      <c r="CJ821" s="253">
        <v>0</v>
      </c>
      <c r="CK821" s="253">
        <v>0</v>
      </c>
      <c r="CL821" s="253">
        <v>0</v>
      </c>
      <c r="CM821" s="253">
        <v>0</v>
      </c>
      <c r="CN821" s="253">
        <v>0</v>
      </c>
      <c r="CO821" s="253">
        <v>0</v>
      </c>
      <c r="CP821" s="253" t="s">
        <v>2755</v>
      </c>
      <c r="CQ821" s="253">
        <v>55.163392309999999</v>
      </c>
      <c r="CR821" s="253">
        <v>74.931604759999999</v>
      </c>
      <c r="CS821" s="253">
        <v>40.343290714285715</v>
      </c>
      <c r="CT821">
        <f>IF(BI821="Roundwood",$CS821/2,$CS821)</f>
        <v>40.343290714285715</v>
      </c>
      <c r="CU821" s="253">
        <v>-9.0346308719999993</v>
      </c>
      <c r="CV821" s="253">
        <v>-8.5161560640000005</v>
      </c>
      <c r="CW821" s="253">
        <v>5.1847480799999883E-4</v>
      </c>
      <c r="CX821">
        <f>IFERROR($CW821/$CS821,"")</f>
        <v>1.2851574544869859E-5</v>
      </c>
      <c r="CY821">
        <f>IFERROR($CW821/$CS821,"")</f>
        <v>1.2851574544869859E-5</v>
      </c>
      <c r="CZ821">
        <f>IFERROR($CW821/$CT821,"")</f>
        <v>1.2851574544869859E-5</v>
      </c>
      <c r="DA821" s="254">
        <v>5.7387492122876721E-2</v>
      </c>
      <c r="DB821" s="252" t="s">
        <v>234</v>
      </c>
      <c r="DC821" s="253" t="s">
        <v>2756</v>
      </c>
      <c r="DD821" s="253" t="s">
        <v>235</v>
      </c>
      <c r="DE821" s="253"/>
      <c r="DF821" s="270"/>
      <c r="DG821" s="270">
        <v>80</v>
      </c>
      <c r="DH821" s="253" t="s">
        <v>2757</v>
      </c>
      <c r="DI821" s="253">
        <v>0</v>
      </c>
      <c r="DJ821" s="253">
        <v>1</v>
      </c>
      <c r="DK821" s="253">
        <v>0</v>
      </c>
      <c r="DL821" s="253">
        <v>0</v>
      </c>
      <c r="DM821" s="253"/>
      <c r="DN821" s="253">
        <v>1</v>
      </c>
      <c r="DO821" s="253" t="s">
        <v>173</v>
      </c>
      <c r="DP821" s="253">
        <v>0</v>
      </c>
      <c r="DQ821" s="253" t="s">
        <v>180</v>
      </c>
      <c r="DR821" s="253">
        <v>0</v>
      </c>
      <c r="DS821" s="253">
        <v>0</v>
      </c>
      <c r="DT821" s="253">
        <v>0</v>
      </c>
      <c r="DU821" s="270">
        <v>0</v>
      </c>
      <c r="DV821" s="270">
        <v>0</v>
      </c>
      <c r="DW821" s="270">
        <v>0</v>
      </c>
      <c r="DX821" s="270">
        <v>0</v>
      </c>
      <c r="DY821" s="253">
        <v>0</v>
      </c>
      <c r="DZ821" s="270" t="s">
        <v>926</v>
      </c>
      <c r="EA821" s="270">
        <v>1</v>
      </c>
      <c r="EB821" s="270">
        <v>1</v>
      </c>
      <c r="EC821" s="270">
        <v>1</v>
      </c>
      <c r="ED821" s="270">
        <v>0</v>
      </c>
      <c r="EE821" s="253">
        <v>0</v>
      </c>
      <c r="EF821" s="270">
        <v>0</v>
      </c>
      <c r="EG821" s="270">
        <v>1</v>
      </c>
      <c r="EH821" s="270">
        <v>1</v>
      </c>
      <c r="EI821" s="270">
        <v>0</v>
      </c>
      <c r="EJ821" s="270">
        <v>0</v>
      </c>
      <c r="EK821" s="253">
        <v>1</v>
      </c>
      <c r="EL821" s="270">
        <v>0</v>
      </c>
      <c r="EM821" s="253">
        <v>0</v>
      </c>
      <c r="EN821" s="254">
        <v>0</v>
      </c>
      <c r="EO821" s="252"/>
      <c r="EP821" t="str">
        <f>IF(AND(AND(AND(OR($EC821=1,$EB821=1),OR($EH821=1,$EF821=1)),SUM($EA821:$EE821,$EK821)&gt;=3),SUM($EF821:$EJ821)&gt;=2),"Whole sector approach","")</f>
        <v>Whole sector approach</v>
      </c>
      <c r="EQ821" t="str">
        <f>IF(AND(AND(OR($EC821=1,$EB821=1),AND($EH821=0,$EF821=0)),SUM($EA821:$EE821,$EK821)&gt;=4),"Ecosystem approach","")</f>
        <v/>
      </c>
      <c r="ER821" s="254" t="s">
        <v>531</v>
      </c>
      <c r="ES821" t="str">
        <f>IF(AND($EC821+$EB821+$EE821+$EA821+$ED821+$EG821=0,$N821="included"),"C neutral forest and HWP assumption","")</f>
        <v/>
      </c>
      <c r="ET821" t="str">
        <f>IF(AND(AND(AND(AND($EC821=1,$EB821+$EA821+$EG821&gt;=1),$EF821=1),$EH821+$EI821+$ED821+$EE821&gt;=2),$N821="included"),"All C pools assumption","")</f>
        <v/>
      </c>
      <c r="EU821" t="str">
        <f>IF(AND($ED821+$EE821+$EI821+$EH821+$EF821=0,$N821="included"),"In-situ only assumption","")</f>
        <v/>
      </c>
      <c r="EV821" s="253"/>
      <c r="EW821" s="253" t="s">
        <v>236</v>
      </c>
      <c r="EX821" s="253"/>
      <c r="EY821" t="str">
        <f>IF(ISNUMBER(BW821),IF(ABS(BW821-[3]QC_indicators!$B$2)&gt;3*[3]QC_indicators!$C$2,"C ratio",IF(ISNUMBER(CA821),IF(ABS(CA821-[3]QC_indicators!$B$1)&gt;3*[3]QC_indicators!$C$1,"DF","no"))),IF(ISNUMBER(CA821),IF(ABS(CA821-[3]QC_indicators!$B$1)&gt;3*[3]QC_indicators!$C$1,"DF","no")))</f>
        <v>no</v>
      </c>
      <c r="EZ821" s="274"/>
      <c r="FA821" t="str">
        <f>IF(LEN($CY821)=0,"",IF(AND($CY821&lt;(-0.05),$ES821="C neutral forest and HWP assumption"),"Cneutral paradox",IF(AND($CY821&gt;0.05,$EU821="In-situ only assumption"),"In-situ only paradox","")))</f>
        <v/>
      </c>
      <c r="FB821" s="274"/>
      <c r="FC821" s="274"/>
    </row>
    <row r="822" spans="1:159" ht="15" hidden="1" customHeight="1">
      <c r="A822" s="252" t="s">
        <v>214</v>
      </c>
      <c r="B822" s="253" t="s">
        <v>215</v>
      </c>
      <c r="C822" s="253" t="s">
        <v>216</v>
      </c>
      <c r="D822" s="253" t="s">
        <v>217</v>
      </c>
      <c r="E822" s="253" t="s">
        <v>218</v>
      </c>
      <c r="F822" s="253" t="s">
        <v>219</v>
      </c>
      <c r="G822" s="253" t="s">
        <v>220</v>
      </c>
      <c r="H822" s="253"/>
      <c r="I822" s="253">
        <v>2012</v>
      </c>
      <c r="J822" s="253"/>
      <c r="K822" s="253" t="s">
        <v>221</v>
      </c>
      <c r="L822" s="253"/>
      <c r="M822" s="253" t="s">
        <v>2753</v>
      </c>
      <c r="N822" s="253" t="s">
        <v>222</v>
      </c>
      <c r="O822" s="269" t="s">
        <v>223</v>
      </c>
      <c r="P822" s="253"/>
      <c r="Q822" s="253" t="s">
        <v>224</v>
      </c>
      <c r="R822" s="254" t="s">
        <v>225</v>
      </c>
      <c r="S822" s="252" t="s">
        <v>241</v>
      </c>
      <c r="T822" s="253" t="s">
        <v>242</v>
      </c>
      <c r="U822" s="270" t="s">
        <v>243</v>
      </c>
      <c r="V822" s="253">
        <v>0</v>
      </c>
      <c r="W822" s="253">
        <v>0</v>
      </c>
      <c r="X822" s="253">
        <v>0</v>
      </c>
      <c r="Y822" s="253">
        <v>0</v>
      </c>
      <c r="Z822" s="253">
        <v>0</v>
      </c>
      <c r="AA822" s="253">
        <v>0</v>
      </c>
      <c r="AB822" s="253">
        <v>0</v>
      </c>
      <c r="AC822" s="253">
        <v>0</v>
      </c>
      <c r="AD822" s="253">
        <v>0</v>
      </c>
      <c r="AE822" s="253">
        <v>1</v>
      </c>
      <c r="AF822" s="253">
        <v>0</v>
      </c>
      <c r="AG822" s="253">
        <v>0</v>
      </c>
      <c r="AH822" s="253">
        <v>0</v>
      </c>
      <c r="AI822" s="253">
        <v>0</v>
      </c>
      <c r="AJ822" s="253">
        <v>0</v>
      </c>
      <c r="AK822" s="253">
        <v>0</v>
      </c>
      <c r="AL822" s="253">
        <v>0</v>
      </c>
      <c r="AM822" s="253">
        <v>0</v>
      </c>
      <c r="AN822" s="253">
        <v>0</v>
      </c>
      <c r="AO822" s="253">
        <v>0</v>
      </c>
      <c r="AP822" s="253">
        <v>0</v>
      </c>
      <c r="AQ822" s="253">
        <v>0</v>
      </c>
      <c r="AR822" s="253">
        <v>0</v>
      </c>
      <c r="AS822" s="253">
        <v>0</v>
      </c>
      <c r="AT822" s="253">
        <v>0</v>
      </c>
      <c r="AU822" s="253">
        <v>0</v>
      </c>
      <c r="AV822" s="253">
        <v>0</v>
      </c>
      <c r="AW822" s="253">
        <v>0</v>
      </c>
      <c r="AX822" s="253">
        <v>0</v>
      </c>
      <c r="AY822" s="253">
        <v>0</v>
      </c>
      <c r="AZ822" s="271">
        <v>1</v>
      </c>
      <c r="BA822" s="271">
        <v>1</v>
      </c>
      <c r="BB822" s="253">
        <v>1</v>
      </c>
      <c r="BC822" s="253">
        <v>0</v>
      </c>
      <c r="BD822" s="253">
        <v>0</v>
      </c>
      <c r="BE822" s="253">
        <v>0</v>
      </c>
      <c r="BF822" s="253">
        <v>0</v>
      </c>
      <c r="BG822" s="253" t="s">
        <v>95</v>
      </c>
      <c r="BH822" s="2" t="str" cm="1">
        <f t="array" ref="BH822">IF(COUNTIF(BB822:BD822,"&lt;&gt;0")=1,INDEX($X$4:$AY$4,MATCH(TRUE,INDEX($X822:$AY822&lt;&gt;0,),0)),IF(COUNTIF(BB822:BD822,"&lt;&gt;0")=0,INDEX($AO$4:$AY$4,MATCH(1,$AO822:$AY822,0)),"Multiple strategies"))</f>
        <v>Silviculture for productivity</v>
      </c>
      <c r="BI822" s="272" t="s">
        <v>229</v>
      </c>
      <c r="BJ822" s="253" t="s">
        <v>230</v>
      </c>
      <c r="BK822" s="273" t="s">
        <v>2754</v>
      </c>
      <c r="BL822" s="270" t="s">
        <v>231</v>
      </c>
      <c r="BM822" s="253">
        <v>85.005979255643595</v>
      </c>
      <c r="BN822" s="253">
        <v>95.114942528735597</v>
      </c>
      <c r="BO822" s="270">
        <v>1.1189206143098558</v>
      </c>
      <c r="BP822" s="253">
        <v>10.108963273092002</v>
      </c>
      <c r="BQ822" s="270">
        <v>20.630537292024492</v>
      </c>
      <c r="BR822" s="270" t="s">
        <v>232</v>
      </c>
      <c r="BS822" s="273" t="s">
        <v>2754</v>
      </c>
      <c r="BT822" s="270" t="s">
        <v>233</v>
      </c>
      <c r="BU822" s="253">
        <v>-8.1260280658938306</v>
      </c>
      <c r="BV822" s="253">
        <v>-7.8979591836734597</v>
      </c>
      <c r="BW822" s="255">
        <v>0.9719335350098518</v>
      </c>
      <c r="BX822" s="253">
        <v>0.22806888222037092</v>
      </c>
      <c r="BY822" s="253"/>
      <c r="BZ822" s="253">
        <v>2.2806888222037092E-4</v>
      </c>
      <c r="CA822" s="253">
        <v>1.1054917232259361E-5</v>
      </c>
      <c r="CB822" s="253">
        <v>0</v>
      </c>
      <c r="CC822" s="253">
        <v>0</v>
      </c>
      <c r="CD822" s="253">
        <v>0</v>
      </c>
      <c r="CE822" s="253">
        <v>0</v>
      </c>
      <c r="CF822" s="253">
        <v>0</v>
      </c>
      <c r="CG822" s="253">
        <v>0</v>
      </c>
      <c r="CH822" s="253">
        <v>0</v>
      </c>
      <c r="CI822" s="253">
        <v>0</v>
      </c>
      <c r="CJ822" s="253">
        <v>0</v>
      </c>
      <c r="CK822" s="253">
        <v>0</v>
      </c>
      <c r="CL822" s="253">
        <v>0</v>
      </c>
      <c r="CM822" s="253">
        <v>0</v>
      </c>
      <c r="CN822" s="253">
        <v>0</v>
      </c>
      <c r="CO822" s="253">
        <v>0</v>
      </c>
      <c r="CP822" s="253" t="s">
        <v>2755</v>
      </c>
      <c r="CQ822" s="253">
        <v>85.005979255643595</v>
      </c>
      <c r="CR822" s="253">
        <v>95.114942528735597</v>
      </c>
      <c r="CS822" s="253">
        <v>20.630537292024492</v>
      </c>
      <c r="CT822">
        <f>IF(BI822="Roundwood",$CS822/2,$CS822)</f>
        <v>20.630537292024492</v>
      </c>
      <c r="CU822" s="253">
        <v>-8.1260280658938306</v>
      </c>
      <c r="CV822" s="253">
        <v>-7.8979591836734597</v>
      </c>
      <c r="CW822" s="253">
        <v>2.2806888222037092E-4</v>
      </c>
      <c r="CX822">
        <f>IFERROR($CW822/$CS822,"")</f>
        <v>1.1054917232259361E-5</v>
      </c>
      <c r="CY822">
        <f>IFERROR($CW822/$CS822,"")</f>
        <v>1.1054917232259361E-5</v>
      </c>
      <c r="CZ822">
        <f>IFERROR($CW822/$CT822,"")</f>
        <v>1.1054917232259361E-5</v>
      </c>
      <c r="DA822" s="254">
        <v>2.8066464990148202E-2</v>
      </c>
      <c r="DB822" s="252" t="s">
        <v>234</v>
      </c>
      <c r="DC822" s="253" t="s">
        <v>2756</v>
      </c>
      <c r="DD822" s="253" t="s">
        <v>235</v>
      </c>
      <c r="DE822" s="253"/>
      <c r="DF822" s="270"/>
      <c r="DG822" s="270">
        <v>80</v>
      </c>
      <c r="DH822" s="253" t="s">
        <v>2757</v>
      </c>
      <c r="DI822" s="253">
        <v>0</v>
      </c>
      <c r="DJ822" s="253">
        <v>1</v>
      </c>
      <c r="DK822" s="253">
        <v>0</v>
      </c>
      <c r="DL822" s="253">
        <v>0</v>
      </c>
      <c r="DM822" s="253"/>
      <c r="DN822" s="253">
        <v>1</v>
      </c>
      <c r="DO822" s="253" t="s">
        <v>173</v>
      </c>
      <c r="DP822" s="253">
        <v>0</v>
      </c>
      <c r="DQ822" s="253" t="s">
        <v>180</v>
      </c>
      <c r="DR822" s="253">
        <v>0</v>
      </c>
      <c r="DS822" s="253">
        <v>0</v>
      </c>
      <c r="DT822" s="253">
        <v>0</v>
      </c>
      <c r="DU822" s="270">
        <v>0</v>
      </c>
      <c r="DV822" s="270">
        <v>0</v>
      </c>
      <c r="DW822" s="270">
        <v>0</v>
      </c>
      <c r="DX822" s="270">
        <v>0</v>
      </c>
      <c r="DY822" s="253">
        <v>0</v>
      </c>
      <c r="DZ822" s="270" t="s">
        <v>926</v>
      </c>
      <c r="EA822" s="270">
        <v>1</v>
      </c>
      <c r="EB822" s="270">
        <v>1</v>
      </c>
      <c r="EC822" s="270">
        <v>1</v>
      </c>
      <c r="ED822" s="270">
        <v>0</v>
      </c>
      <c r="EE822" s="253">
        <v>0</v>
      </c>
      <c r="EF822" s="270">
        <v>0</v>
      </c>
      <c r="EG822" s="270">
        <v>1</v>
      </c>
      <c r="EH822" s="270">
        <v>1</v>
      </c>
      <c r="EI822" s="270">
        <v>0</v>
      </c>
      <c r="EJ822" s="270">
        <v>0</v>
      </c>
      <c r="EK822" s="253">
        <v>1</v>
      </c>
      <c r="EL822" s="270">
        <v>0</v>
      </c>
      <c r="EM822" s="253">
        <v>0</v>
      </c>
      <c r="EN822" s="254">
        <v>0</v>
      </c>
      <c r="EO822" s="252"/>
      <c r="EP822" t="str">
        <f>IF(AND(AND(AND(OR($EC822=1,$EB822=1),OR($EH822=1,$EF822=1)),SUM($EA822:$EE822,$EK822)&gt;=3),SUM($EF822:$EJ822)&gt;=2),"Whole sector approach","")</f>
        <v>Whole sector approach</v>
      </c>
      <c r="EQ822" t="str">
        <f>IF(AND(AND(OR($EC822=1,$EB822=1),AND($EH822=0,$EF822=0)),SUM($EA822:$EE822,$EK822)&gt;=4),"Ecosystem approach","")</f>
        <v/>
      </c>
      <c r="ER822" s="254" t="s">
        <v>531</v>
      </c>
      <c r="ES822" t="str">
        <f>IF(AND($EC822+$EB822+$EE822+$EA822+$ED822+$EG822=0,$N822="included"),"C neutral forest and HWP assumption","")</f>
        <v/>
      </c>
      <c r="ET822" t="str">
        <f>IF(AND(AND(AND(AND($EC822=1,$EB822+$EA822+$EG822&gt;=1),$EF822=1),$EH822+$EI822+$ED822+$EE822&gt;=2),$N822="included"),"All C pools assumption","")</f>
        <v/>
      </c>
      <c r="EU822" t="str">
        <f>IF(AND($ED822+$EE822+$EI822+$EH822+$EF822=0,$N822="included"),"In-situ only assumption","")</f>
        <v/>
      </c>
      <c r="EV822" s="253"/>
      <c r="EW822" s="253" t="s">
        <v>236</v>
      </c>
      <c r="EX822" s="253"/>
      <c r="EY822" t="str">
        <f>IF(ISNUMBER(BW822),IF(ABS(BW822-[3]QC_indicators!$B$2)&gt;3*[3]QC_indicators!$C$2,"C ratio",IF(ISNUMBER(CA822),IF(ABS(CA822-[3]QC_indicators!$B$1)&gt;3*[3]QC_indicators!$C$1,"DF","no"))),IF(ISNUMBER(CA822),IF(ABS(CA822-[3]QC_indicators!$B$1)&gt;3*[3]QC_indicators!$C$1,"DF","no")))</f>
        <v>no</v>
      </c>
      <c r="FA822" t="str">
        <f>IF(LEN($CY822)=0,"",IF(AND($CY822&lt;(-0.05),$ES822="C neutral forest and HWP assumption"),"Cneutral paradox",IF(AND($CY822&gt;0.05,$EU822="In-situ only assumption"),"In-situ only paradox","")))</f>
        <v/>
      </c>
    </row>
    <row r="823" spans="1:159" ht="15" hidden="1" customHeight="1">
      <c r="A823" s="252" t="s">
        <v>214</v>
      </c>
      <c r="B823" s="253" t="s">
        <v>215</v>
      </c>
      <c r="C823" s="253" t="s">
        <v>216</v>
      </c>
      <c r="D823" s="253" t="s">
        <v>217</v>
      </c>
      <c r="E823" s="253" t="s">
        <v>218</v>
      </c>
      <c r="F823" s="253" t="s">
        <v>219</v>
      </c>
      <c r="G823" s="253" t="s">
        <v>220</v>
      </c>
      <c r="H823" s="253"/>
      <c r="I823" s="253">
        <v>2012</v>
      </c>
      <c r="J823" s="253"/>
      <c r="K823" s="253" t="s">
        <v>221</v>
      </c>
      <c r="L823" s="253"/>
      <c r="M823" s="253" t="s">
        <v>2753</v>
      </c>
      <c r="N823" s="253" t="s">
        <v>222</v>
      </c>
      <c r="O823" s="269" t="s">
        <v>223</v>
      </c>
      <c r="P823" s="253"/>
      <c r="Q823" s="253" t="s">
        <v>224</v>
      </c>
      <c r="R823" s="254" t="s">
        <v>225</v>
      </c>
      <c r="S823" s="252" t="s">
        <v>241</v>
      </c>
      <c r="T823" s="253" t="s">
        <v>244</v>
      </c>
      <c r="U823" s="270" t="s">
        <v>242</v>
      </c>
      <c r="V823" s="253">
        <v>0</v>
      </c>
      <c r="W823" s="253">
        <v>0</v>
      </c>
      <c r="X823" s="253">
        <v>0</v>
      </c>
      <c r="Y823" s="253">
        <v>0</v>
      </c>
      <c r="Z823" s="253">
        <v>0</v>
      </c>
      <c r="AA823" s="253">
        <v>0</v>
      </c>
      <c r="AB823" s="253">
        <v>0</v>
      </c>
      <c r="AC823" s="253">
        <v>0</v>
      </c>
      <c r="AD823" s="253">
        <v>0</v>
      </c>
      <c r="AE823" s="253">
        <v>1</v>
      </c>
      <c r="AF823" s="253">
        <v>0</v>
      </c>
      <c r="AG823" s="253">
        <v>0</v>
      </c>
      <c r="AH823" s="253">
        <v>0</v>
      </c>
      <c r="AI823" s="253">
        <v>0</v>
      </c>
      <c r="AJ823" s="253">
        <v>0</v>
      </c>
      <c r="AK823" s="253">
        <v>0</v>
      </c>
      <c r="AL823" s="253">
        <v>0</v>
      </c>
      <c r="AM823" s="253">
        <v>0</v>
      </c>
      <c r="AN823" s="253">
        <v>0</v>
      </c>
      <c r="AO823" s="253">
        <v>0</v>
      </c>
      <c r="AP823" s="253">
        <v>0</v>
      </c>
      <c r="AQ823" s="253">
        <v>0</v>
      </c>
      <c r="AR823" s="253">
        <v>0</v>
      </c>
      <c r="AS823" s="253">
        <v>0</v>
      </c>
      <c r="AT823" s="253">
        <v>0</v>
      </c>
      <c r="AU823" s="253">
        <v>0</v>
      </c>
      <c r="AV823" s="253">
        <v>0</v>
      </c>
      <c r="AW823" s="253">
        <v>0</v>
      </c>
      <c r="AX823" s="253">
        <v>0</v>
      </c>
      <c r="AY823" s="253">
        <v>0</v>
      </c>
      <c r="AZ823" s="271">
        <v>1</v>
      </c>
      <c r="BA823" s="271">
        <v>1</v>
      </c>
      <c r="BB823" s="253">
        <v>1</v>
      </c>
      <c r="BC823" s="253">
        <v>0</v>
      </c>
      <c r="BD823" s="253">
        <v>0</v>
      </c>
      <c r="BE823" s="253">
        <v>0</v>
      </c>
      <c r="BF823" s="253">
        <v>0</v>
      </c>
      <c r="BG823" s="253" t="s">
        <v>95</v>
      </c>
      <c r="BH823" s="2" t="str" cm="1">
        <f t="array" ref="BH823">IF(COUNTIF(BB823:BD823,"&lt;&gt;0")=1,INDEX($X$4:$AY$4,MATCH(TRUE,INDEX($X823:$AY823&lt;&gt;0,),0)),IF(COUNTIF(BB823:BD823,"&lt;&gt;0")=0,INDEX($AO$4:$AY$4,MATCH(1,$AO823:$AY823,0)),"Multiple strategies"))</f>
        <v>Silviculture for productivity</v>
      </c>
      <c r="BI823" s="272" t="s">
        <v>229</v>
      </c>
      <c r="BJ823" s="253" t="s">
        <v>230</v>
      </c>
      <c r="BK823" s="273" t="s">
        <v>2754</v>
      </c>
      <c r="BL823" s="270" t="s">
        <v>231</v>
      </c>
      <c r="BM823" s="253">
        <v>47.845851491070597</v>
      </c>
      <c r="BN823" s="253">
        <v>62.093385434364002</v>
      </c>
      <c r="BO823" s="270">
        <v>1.2977799223816175</v>
      </c>
      <c r="BP823" s="253">
        <v>14.247533943293405</v>
      </c>
      <c r="BQ823" s="270">
        <v>29.076599884272255</v>
      </c>
      <c r="BR823" s="270" t="s">
        <v>232</v>
      </c>
      <c r="BS823" s="273" t="s">
        <v>2754</v>
      </c>
      <c r="BT823" s="270" t="s">
        <v>233</v>
      </c>
      <c r="BU823" s="253">
        <v>-9.0763052208835298</v>
      </c>
      <c r="BV823" s="253">
        <v>-8.77615419238683</v>
      </c>
      <c r="BW823" s="255">
        <v>0.96693026278952288</v>
      </c>
      <c r="BX823" s="253">
        <v>0.30015102849669972</v>
      </c>
      <c r="BY823" s="253"/>
      <c r="BZ823" s="253">
        <v>3.001510284966997E-4</v>
      </c>
      <c r="CA823" s="253">
        <v>1.0322769157718938E-5</v>
      </c>
      <c r="CB823" s="253">
        <v>0</v>
      </c>
      <c r="CC823" s="253">
        <v>0</v>
      </c>
      <c r="CD823" s="253">
        <v>0</v>
      </c>
      <c r="CE823" s="253">
        <v>0</v>
      </c>
      <c r="CF823" s="253">
        <v>0</v>
      </c>
      <c r="CG823" s="253">
        <v>0</v>
      </c>
      <c r="CH823" s="253">
        <v>0</v>
      </c>
      <c r="CI823" s="253">
        <v>0</v>
      </c>
      <c r="CJ823" s="253">
        <v>0</v>
      </c>
      <c r="CK823" s="253">
        <v>0</v>
      </c>
      <c r="CL823" s="253">
        <v>0</v>
      </c>
      <c r="CM823" s="253">
        <v>0</v>
      </c>
      <c r="CN823" s="253">
        <v>0</v>
      </c>
      <c r="CO823" s="253">
        <v>0</v>
      </c>
      <c r="CP823" s="253" t="s">
        <v>2755</v>
      </c>
      <c r="CQ823" s="253">
        <v>47.845851491070597</v>
      </c>
      <c r="CR823" s="253">
        <v>62.093385434364002</v>
      </c>
      <c r="CS823" s="253">
        <v>29.076599884272255</v>
      </c>
      <c r="CT823">
        <f>IF(BI823="Roundwood",$CS823/2,$CS823)</f>
        <v>29.076599884272255</v>
      </c>
      <c r="CU823" s="253">
        <v>-9.0763052208835298</v>
      </c>
      <c r="CV823" s="253">
        <v>-8.77615419238683</v>
      </c>
      <c r="CW823" s="253">
        <v>3.001510284966997E-4</v>
      </c>
      <c r="CX823">
        <f>IFERROR($CW823/$CS823,"")</f>
        <v>1.0322769157718938E-5</v>
      </c>
      <c r="CY823">
        <f>IFERROR($CW823/$CS823,"")</f>
        <v>1.0322769157718938E-5</v>
      </c>
      <c r="CZ823">
        <f>IFERROR($CW823/$CT823,"")</f>
        <v>1.0322769157718938E-5</v>
      </c>
      <c r="DA823" s="254">
        <v>3.306973721047711E-2</v>
      </c>
      <c r="DB823" s="252" t="s">
        <v>234</v>
      </c>
      <c r="DC823" s="253" t="s">
        <v>2756</v>
      </c>
      <c r="DD823" s="253" t="s">
        <v>235</v>
      </c>
      <c r="DE823" s="253"/>
      <c r="DF823" s="270"/>
      <c r="DG823" s="270">
        <v>80</v>
      </c>
      <c r="DH823" s="253" t="s">
        <v>2757</v>
      </c>
      <c r="DI823" s="253">
        <v>0</v>
      </c>
      <c r="DJ823" s="253">
        <v>1</v>
      </c>
      <c r="DK823" s="253">
        <v>0</v>
      </c>
      <c r="DL823" s="253">
        <v>0</v>
      </c>
      <c r="DM823" s="253"/>
      <c r="DN823" s="253">
        <v>1</v>
      </c>
      <c r="DO823" s="253" t="s">
        <v>173</v>
      </c>
      <c r="DP823" s="253">
        <v>0</v>
      </c>
      <c r="DQ823" s="253" t="s">
        <v>180</v>
      </c>
      <c r="DR823" s="253">
        <v>0</v>
      </c>
      <c r="DS823" s="253">
        <v>0</v>
      </c>
      <c r="DT823" s="253">
        <v>0</v>
      </c>
      <c r="DU823" s="270">
        <v>0</v>
      </c>
      <c r="DV823" s="270">
        <v>0</v>
      </c>
      <c r="DW823" s="270">
        <v>0</v>
      </c>
      <c r="DX823" s="270">
        <v>0</v>
      </c>
      <c r="DY823" s="253">
        <v>0</v>
      </c>
      <c r="DZ823" s="270" t="s">
        <v>926</v>
      </c>
      <c r="EA823" s="270">
        <v>1</v>
      </c>
      <c r="EB823" s="270">
        <v>1</v>
      </c>
      <c r="EC823" s="270">
        <v>1</v>
      </c>
      <c r="ED823" s="270">
        <v>0</v>
      </c>
      <c r="EE823" s="253">
        <v>0</v>
      </c>
      <c r="EF823" s="270">
        <v>0</v>
      </c>
      <c r="EG823" s="270">
        <v>1</v>
      </c>
      <c r="EH823" s="270">
        <v>1</v>
      </c>
      <c r="EI823" s="270">
        <v>0</v>
      </c>
      <c r="EJ823" s="270">
        <v>0</v>
      </c>
      <c r="EK823" s="253">
        <v>1</v>
      </c>
      <c r="EL823" s="270">
        <v>0</v>
      </c>
      <c r="EM823" s="253">
        <v>0</v>
      </c>
      <c r="EN823" s="254">
        <v>0</v>
      </c>
      <c r="EO823" s="252"/>
      <c r="EP823" t="str">
        <f>IF(AND(AND(AND(OR($EC823=1,$EB823=1),OR($EH823=1,$EF823=1)),SUM($EA823:$EE823,$EK823)&gt;=3),SUM($EF823:$EJ823)&gt;=2),"Whole sector approach","")</f>
        <v>Whole sector approach</v>
      </c>
      <c r="EQ823" t="str">
        <f>IF(AND(AND(OR($EC823=1,$EB823=1),AND($EH823=0,$EF823=0)),SUM($EA823:$EE823,$EK823)&gt;=4),"Ecosystem approach","")</f>
        <v/>
      </c>
      <c r="ER823" s="254" t="s">
        <v>531</v>
      </c>
      <c r="ES823" t="str">
        <f>IF(AND($EC823+$EB823+$EE823+$EA823+$ED823+$EG823=0,$N823="included"),"C neutral forest and HWP assumption","")</f>
        <v/>
      </c>
      <c r="ET823" t="str">
        <f>IF(AND(AND(AND(AND($EC823=1,$EB823+$EA823+$EG823&gt;=1),$EF823=1),$EH823+$EI823+$ED823+$EE823&gt;=2),$N823="included"),"All C pools assumption","")</f>
        <v/>
      </c>
      <c r="EU823" t="str">
        <f>IF(AND($ED823+$EE823+$EI823+$EH823+$EF823=0,$N823="included"),"In-situ only assumption","")</f>
        <v/>
      </c>
      <c r="EV823" s="253"/>
      <c r="EW823" s="253" t="s">
        <v>236</v>
      </c>
      <c r="EX823" s="253"/>
      <c r="EY823" t="str">
        <f>IF(ISNUMBER(BW823),IF(ABS(BW823-[3]QC_indicators!$B$2)&gt;3*[3]QC_indicators!$C$2,"C ratio",IF(ISNUMBER(CA823),IF(ABS(CA823-[3]QC_indicators!$B$1)&gt;3*[3]QC_indicators!$C$1,"DF","no"))),IF(ISNUMBER(CA823),IF(ABS(CA823-[3]QC_indicators!$B$1)&gt;3*[3]QC_indicators!$C$1,"DF","no")))</f>
        <v>no</v>
      </c>
      <c r="FA823" t="str">
        <f>IF(LEN($CY823)=0,"",IF(AND($CY823&lt;(-0.05),$ES823="C neutral forest and HWP assumption"),"Cneutral paradox",IF(AND($CY823&gt;0.05,$EU823="In-situ only assumption"),"In-situ only paradox","")))</f>
        <v/>
      </c>
    </row>
    <row r="824" spans="1:159" ht="15" hidden="1" customHeight="1">
      <c r="A824" s="252" t="s">
        <v>214</v>
      </c>
      <c r="B824" s="253" t="s">
        <v>215</v>
      </c>
      <c r="C824" s="253" t="s">
        <v>216</v>
      </c>
      <c r="D824" s="253" t="s">
        <v>217</v>
      </c>
      <c r="E824" s="253" t="s">
        <v>218</v>
      </c>
      <c r="F824" s="253" t="s">
        <v>219</v>
      </c>
      <c r="G824" s="253" t="s">
        <v>220</v>
      </c>
      <c r="H824" s="253"/>
      <c r="I824" s="253">
        <v>2012</v>
      </c>
      <c r="J824" s="253"/>
      <c r="K824" s="253" t="s">
        <v>221</v>
      </c>
      <c r="L824" s="253"/>
      <c r="M824" s="253" t="s">
        <v>2753</v>
      </c>
      <c r="N824" s="253" t="s">
        <v>222</v>
      </c>
      <c r="O824" s="269" t="s">
        <v>223</v>
      </c>
      <c r="P824" s="253"/>
      <c r="Q824" s="253" t="s">
        <v>224</v>
      </c>
      <c r="R824" s="254" t="s">
        <v>225</v>
      </c>
      <c r="S824" s="252" t="s">
        <v>241</v>
      </c>
      <c r="T824" s="253" t="s">
        <v>244</v>
      </c>
      <c r="U824" s="270" t="s">
        <v>242</v>
      </c>
      <c r="V824" s="253">
        <v>0</v>
      </c>
      <c r="W824" s="253">
        <v>0</v>
      </c>
      <c r="X824" s="253">
        <v>0</v>
      </c>
      <c r="Y824" s="253">
        <v>0</v>
      </c>
      <c r="Z824" s="253">
        <v>0</v>
      </c>
      <c r="AA824" s="253">
        <v>0</v>
      </c>
      <c r="AB824" s="253">
        <v>0</v>
      </c>
      <c r="AC824" s="253">
        <v>0</v>
      </c>
      <c r="AD824" s="253">
        <v>0</v>
      </c>
      <c r="AE824" s="253">
        <v>1</v>
      </c>
      <c r="AF824" s="253">
        <v>0</v>
      </c>
      <c r="AG824" s="253">
        <v>0</v>
      </c>
      <c r="AH824" s="253">
        <v>0</v>
      </c>
      <c r="AI824" s="253">
        <v>0</v>
      </c>
      <c r="AJ824" s="253">
        <v>0</v>
      </c>
      <c r="AK824" s="253">
        <v>0</v>
      </c>
      <c r="AL824" s="253">
        <v>0</v>
      </c>
      <c r="AM824" s="253">
        <v>0</v>
      </c>
      <c r="AN824" s="253">
        <v>0</v>
      </c>
      <c r="AO824" s="253">
        <v>0</v>
      </c>
      <c r="AP824" s="253">
        <v>0</v>
      </c>
      <c r="AQ824" s="253">
        <v>0</v>
      </c>
      <c r="AR824" s="253">
        <v>0</v>
      </c>
      <c r="AS824" s="253">
        <v>0</v>
      </c>
      <c r="AT824" s="253">
        <v>0</v>
      </c>
      <c r="AU824" s="253">
        <v>0</v>
      </c>
      <c r="AV824" s="253">
        <v>0</v>
      </c>
      <c r="AW824" s="253">
        <v>0</v>
      </c>
      <c r="AX824" s="253">
        <v>0</v>
      </c>
      <c r="AY824" s="253">
        <v>0</v>
      </c>
      <c r="AZ824" s="271">
        <v>1</v>
      </c>
      <c r="BA824" s="271">
        <v>1</v>
      </c>
      <c r="BB824" s="253">
        <v>1</v>
      </c>
      <c r="BC824" s="253">
        <v>0</v>
      </c>
      <c r="BD824" s="253">
        <v>0</v>
      </c>
      <c r="BE824" s="253">
        <v>0</v>
      </c>
      <c r="BF824" s="253">
        <v>0</v>
      </c>
      <c r="BG824" s="253" t="s">
        <v>95</v>
      </c>
      <c r="BH824" s="2" t="str" cm="1">
        <f t="array" ref="BH824">IF(COUNTIF(BB824:BD824,"&lt;&gt;0")=1,INDEX($X$4:$AY$4,MATCH(TRUE,INDEX($X824:$AY824&lt;&gt;0,),0)),IF(COUNTIF(BB824:BD824,"&lt;&gt;0")=0,INDEX($AO$4:$AY$4,MATCH(1,$AO824:$AY824,0)),"Multiple strategies"))</f>
        <v>Silviculture for productivity</v>
      </c>
      <c r="BI824" s="272" t="s">
        <v>229</v>
      </c>
      <c r="BJ824" s="253" t="s">
        <v>230</v>
      </c>
      <c r="BK824" s="273" t="s">
        <v>2754</v>
      </c>
      <c r="BL824" s="270" t="s">
        <v>231</v>
      </c>
      <c r="BM824" s="253">
        <v>46.459096459096401</v>
      </c>
      <c r="BN824" s="253">
        <v>53.696488079979403</v>
      </c>
      <c r="BO824" s="270">
        <v>1.1557798616952217</v>
      </c>
      <c r="BP824" s="253">
        <v>7.2373916208830025</v>
      </c>
      <c r="BQ824" s="270">
        <v>14.770186981393882</v>
      </c>
      <c r="BR824" s="270" t="s">
        <v>232</v>
      </c>
      <c r="BS824" s="273" t="s">
        <v>2754</v>
      </c>
      <c r="BT824" s="270" t="s">
        <v>233</v>
      </c>
      <c r="BU824" s="253">
        <v>-9.5592716462281597</v>
      </c>
      <c r="BV824" s="253">
        <v>-9.4136546184738901</v>
      </c>
      <c r="BW824" s="255">
        <v>0.98476693275980642</v>
      </c>
      <c r="BX824" s="253">
        <v>0.14561702775426966</v>
      </c>
      <c r="BY824" s="253"/>
      <c r="BZ824" s="253">
        <v>1.4561702775426965E-4</v>
      </c>
      <c r="CA824" s="253">
        <v>9.8588479575583257E-6</v>
      </c>
      <c r="CB824" s="253">
        <v>0</v>
      </c>
      <c r="CC824" s="253">
        <v>0</v>
      </c>
      <c r="CD824" s="253">
        <v>0</v>
      </c>
      <c r="CE824" s="253">
        <v>0</v>
      </c>
      <c r="CF824" s="253">
        <v>0</v>
      </c>
      <c r="CG824" s="253">
        <v>0</v>
      </c>
      <c r="CH824" s="253">
        <v>0</v>
      </c>
      <c r="CI824" s="253">
        <v>0</v>
      </c>
      <c r="CJ824" s="253">
        <v>0</v>
      </c>
      <c r="CK824" s="253">
        <v>0</v>
      </c>
      <c r="CL824" s="253">
        <v>0</v>
      </c>
      <c r="CM824" s="253">
        <v>0</v>
      </c>
      <c r="CN824" s="253">
        <v>0</v>
      </c>
      <c r="CO824" s="253">
        <v>0</v>
      </c>
      <c r="CP824" s="253" t="s">
        <v>2755</v>
      </c>
      <c r="CQ824" s="253">
        <v>46.459096459096401</v>
      </c>
      <c r="CR824" s="253">
        <v>53.696488079979403</v>
      </c>
      <c r="CS824" s="253">
        <v>14.770186981393882</v>
      </c>
      <c r="CT824">
        <f>IF(BI824="Roundwood",$CS824/2,$CS824)</f>
        <v>14.770186981393882</v>
      </c>
      <c r="CU824" s="253">
        <v>-9.5592716462281597</v>
      </c>
      <c r="CV824" s="253">
        <v>-9.4136546184738901</v>
      </c>
      <c r="CW824" s="253">
        <v>1.4561702775426965E-4</v>
      </c>
      <c r="CX824">
        <f>IFERROR($CW824/$CS824,"")</f>
        <v>9.8588479575583257E-6</v>
      </c>
      <c r="CY824">
        <f>IFERROR($CW824/$CS824,"")</f>
        <v>9.8588479575583257E-6</v>
      </c>
      <c r="CZ824">
        <f>IFERROR($CW824/$CT824,"")</f>
        <v>9.8588479575583257E-6</v>
      </c>
      <c r="DA824" s="254">
        <v>1.5233067240193594E-2</v>
      </c>
      <c r="DB824" s="252" t="s">
        <v>234</v>
      </c>
      <c r="DC824" s="253" t="s">
        <v>2756</v>
      </c>
      <c r="DD824" s="253" t="s">
        <v>235</v>
      </c>
      <c r="DE824" s="253"/>
      <c r="DF824" s="270"/>
      <c r="DG824" s="270">
        <v>80</v>
      </c>
      <c r="DH824" s="253" t="s">
        <v>2757</v>
      </c>
      <c r="DI824" s="253">
        <v>0</v>
      </c>
      <c r="DJ824" s="253">
        <v>1</v>
      </c>
      <c r="DK824" s="253">
        <v>0</v>
      </c>
      <c r="DL824" s="253">
        <v>0</v>
      </c>
      <c r="DM824" s="253"/>
      <c r="DN824" s="253">
        <v>1</v>
      </c>
      <c r="DO824" s="253" t="s">
        <v>173</v>
      </c>
      <c r="DP824" s="253">
        <v>0</v>
      </c>
      <c r="DQ824" s="253" t="s">
        <v>180</v>
      </c>
      <c r="DR824" s="253">
        <v>0</v>
      </c>
      <c r="DS824" s="253">
        <v>0</v>
      </c>
      <c r="DT824" s="253">
        <v>0</v>
      </c>
      <c r="DU824" s="270">
        <v>0</v>
      </c>
      <c r="DV824" s="270">
        <v>0</v>
      </c>
      <c r="DW824" s="270">
        <v>0</v>
      </c>
      <c r="DX824" s="270">
        <v>0</v>
      </c>
      <c r="DY824" s="253">
        <v>0</v>
      </c>
      <c r="DZ824" s="270" t="s">
        <v>926</v>
      </c>
      <c r="EA824" s="270">
        <v>1</v>
      </c>
      <c r="EB824" s="270">
        <v>1</v>
      </c>
      <c r="EC824" s="270">
        <v>1</v>
      </c>
      <c r="ED824" s="270">
        <v>0</v>
      </c>
      <c r="EE824" s="253">
        <v>0</v>
      </c>
      <c r="EF824" s="270">
        <v>0</v>
      </c>
      <c r="EG824" s="270">
        <v>1</v>
      </c>
      <c r="EH824" s="270">
        <v>1</v>
      </c>
      <c r="EI824" s="270">
        <v>0</v>
      </c>
      <c r="EJ824" s="270">
        <v>0</v>
      </c>
      <c r="EK824" s="253">
        <v>1</v>
      </c>
      <c r="EL824" s="270">
        <v>0</v>
      </c>
      <c r="EM824" s="253">
        <v>0</v>
      </c>
      <c r="EN824" s="254">
        <v>0</v>
      </c>
      <c r="EO824" s="252"/>
      <c r="EP824" t="str">
        <f>IF(AND(AND(AND(OR($EC824=1,$EB824=1),OR($EH824=1,$EF824=1)),SUM($EA824:$EE824,$EK824)&gt;=3),SUM($EF824:$EJ824)&gt;=2),"Whole sector approach","")</f>
        <v>Whole sector approach</v>
      </c>
      <c r="EQ824" t="str">
        <f>IF(AND(AND(OR($EC824=1,$EB824=1),AND($EH824=0,$EF824=0)),SUM($EA824:$EE824,$EK824)&gt;=4),"Ecosystem approach","")</f>
        <v/>
      </c>
      <c r="ER824" s="254" t="s">
        <v>531</v>
      </c>
      <c r="ES824" t="str">
        <f>IF(AND($EC824+$EB824+$EE824+$EA824+$ED824+$EG824=0,$N824="included"),"C neutral forest and HWP assumption","")</f>
        <v/>
      </c>
      <c r="ET824" t="str">
        <f>IF(AND(AND(AND(AND($EC824=1,$EB824+$EA824+$EG824&gt;=1),$EF824=1),$EH824+$EI824+$ED824+$EE824&gt;=2),$N824="included"),"All C pools assumption","")</f>
        <v/>
      </c>
      <c r="EU824" t="str">
        <f>IF(AND($ED824+$EE824+$EI824+$EH824+$EF824=0,$N824="included"),"In-situ only assumption","")</f>
        <v/>
      </c>
      <c r="EV824" s="253"/>
      <c r="EW824" s="253" t="s">
        <v>236</v>
      </c>
      <c r="EX824" s="253"/>
      <c r="EY824" t="str">
        <f>IF(ISNUMBER(BW824),IF(ABS(BW824-[3]QC_indicators!$B$2)&gt;3*[3]QC_indicators!$C$2,"C ratio",IF(ISNUMBER(CA824),IF(ABS(CA824-[3]QC_indicators!$B$1)&gt;3*[3]QC_indicators!$C$1,"DF","no"))),IF(ISNUMBER(CA824),IF(ABS(CA824-[3]QC_indicators!$B$1)&gt;3*[3]QC_indicators!$C$1,"DF","no")))</f>
        <v>no</v>
      </c>
      <c r="FA824" t="str">
        <f>IF(LEN($CY824)=0,"",IF(AND($CY824&lt;(-0.05),$ES824="C neutral forest and HWP assumption"),"Cneutral paradox",IF(AND($CY824&gt;0.05,$EU824="In-situ only assumption"),"In-situ only paradox","")))</f>
        <v/>
      </c>
    </row>
    <row r="825" spans="1:159" ht="15" hidden="1" customHeight="1">
      <c r="A825" s="252" t="s">
        <v>214</v>
      </c>
      <c r="B825" s="253" t="s">
        <v>215</v>
      </c>
      <c r="C825" s="253" t="s">
        <v>216</v>
      </c>
      <c r="D825" s="253" t="s">
        <v>217</v>
      </c>
      <c r="E825" s="253" t="s">
        <v>218</v>
      </c>
      <c r="F825" s="253" t="s">
        <v>219</v>
      </c>
      <c r="G825" s="253" t="s">
        <v>220</v>
      </c>
      <c r="H825" s="253"/>
      <c r="I825" s="253">
        <v>2012</v>
      </c>
      <c r="J825" s="253"/>
      <c r="K825" s="253" t="s">
        <v>221</v>
      </c>
      <c r="L825" s="253"/>
      <c r="M825" s="253" t="s">
        <v>2753</v>
      </c>
      <c r="N825" s="253" t="s">
        <v>222</v>
      </c>
      <c r="O825" s="269" t="s">
        <v>223</v>
      </c>
      <c r="P825" s="253"/>
      <c r="Q825" s="253" t="s">
        <v>224</v>
      </c>
      <c r="R825" s="254" t="s">
        <v>225</v>
      </c>
      <c r="S825" s="252" t="s">
        <v>241</v>
      </c>
      <c r="T825" s="253" t="s">
        <v>244</v>
      </c>
      <c r="U825" s="270" t="s">
        <v>242</v>
      </c>
      <c r="V825" s="253">
        <v>0</v>
      </c>
      <c r="W825" s="253">
        <v>0</v>
      </c>
      <c r="X825" s="253">
        <v>0</v>
      </c>
      <c r="Y825" s="253">
        <v>0</v>
      </c>
      <c r="Z825" s="253">
        <v>0</v>
      </c>
      <c r="AA825" s="253">
        <v>0</v>
      </c>
      <c r="AB825" s="253">
        <v>0</v>
      </c>
      <c r="AC825" s="253">
        <v>0</v>
      </c>
      <c r="AD825" s="253">
        <v>0</v>
      </c>
      <c r="AE825" s="253">
        <v>1</v>
      </c>
      <c r="AF825" s="253">
        <v>0</v>
      </c>
      <c r="AG825" s="253">
        <v>0</v>
      </c>
      <c r="AH825" s="253">
        <v>0</v>
      </c>
      <c r="AI825" s="253">
        <v>0</v>
      </c>
      <c r="AJ825" s="253">
        <v>0</v>
      </c>
      <c r="AK825" s="253">
        <v>0</v>
      </c>
      <c r="AL825" s="253">
        <v>0</v>
      </c>
      <c r="AM825" s="253">
        <v>0</v>
      </c>
      <c r="AN825" s="253">
        <v>0</v>
      </c>
      <c r="AO825" s="253">
        <v>0</v>
      </c>
      <c r="AP825" s="253">
        <v>0</v>
      </c>
      <c r="AQ825" s="253">
        <v>0</v>
      </c>
      <c r="AR825" s="253">
        <v>0</v>
      </c>
      <c r="AS825" s="253">
        <v>0</v>
      </c>
      <c r="AT825" s="253">
        <v>0</v>
      </c>
      <c r="AU825" s="253">
        <v>0</v>
      </c>
      <c r="AV825" s="253">
        <v>0</v>
      </c>
      <c r="AW825" s="253">
        <v>0</v>
      </c>
      <c r="AX825" s="253">
        <v>0</v>
      </c>
      <c r="AY825" s="253">
        <v>0</v>
      </c>
      <c r="AZ825" s="271">
        <v>1</v>
      </c>
      <c r="BA825" s="271">
        <v>1</v>
      </c>
      <c r="BB825" s="253">
        <v>1</v>
      </c>
      <c r="BC825" s="253">
        <v>0</v>
      </c>
      <c r="BD825" s="253">
        <v>0</v>
      </c>
      <c r="BE825" s="253">
        <v>0</v>
      </c>
      <c r="BF825" s="253">
        <v>0</v>
      </c>
      <c r="BG825" s="253" t="s">
        <v>95</v>
      </c>
      <c r="BH825" s="2" t="str" cm="1">
        <f t="array" ref="BH825">IF(COUNTIF(BB825:BD825,"&lt;&gt;0")=1,INDEX($X$4:$AY$4,MATCH(TRUE,INDEX($X825:$AY825&lt;&gt;0,),0)),IF(COUNTIF(BB825:BD825,"&lt;&gt;0")=0,INDEX($AO$4:$AY$4,MATCH(1,$AO825:$AY825,0)),"Multiple strategies"))</f>
        <v>Silviculture for productivity</v>
      </c>
      <c r="BI825" s="272" t="s">
        <v>229</v>
      </c>
      <c r="BJ825" s="253" t="s">
        <v>230</v>
      </c>
      <c r="BK825" s="273" t="s">
        <v>2754</v>
      </c>
      <c r="BL825" s="270" t="s">
        <v>231</v>
      </c>
      <c r="BM825" s="253">
        <v>54.398789616180899</v>
      </c>
      <c r="BN825" s="253">
        <v>68.641374006664904</v>
      </c>
      <c r="BO825" s="270">
        <v>1.2618180384338469</v>
      </c>
      <c r="BP825" s="253">
        <v>14.242584390484005</v>
      </c>
      <c r="BQ825" s="270">
        <v>29.066498756089807</v>
      </c>
      <c r="BR825" s="270" t="s">
        <v>232</v>
      </c>
      <c r="BS825" s="273" t="s">
        <v>2754</v>
      </c>
      <c r="BT825" s="270" t="s">
        <v>233</v>
      </c>
      <c r="BU825" s="253">
        <v>-9.1923873228220998</v>
      </c>
      <c r="BV825" s="253">
        <v>-8.9317269076305195</v>
      </c>
      <c r="BW825" s="255">
        <v>0.97164388248258049</v>
      </c>
      <c r="BX825" s="253">
        <v>0.26066041519158034</v>
      </c>
      <c r="BY825" s="253"/>
      <c r="BZ825" s="253">
        <v>2.6066041519158035E-4</v>
      </c>
      <c r="CA825" s="253">
        <v>8.9677266387981676E-6</v>
      </c>
      <c r="CB825" s="253">
        <v>0</v>
      </c>
      <c r="CC825" s="253">
        <v>0</v>
      </c>
      <c r="CD825" s="253">
        <v>0</v>
      </c>
      <c r="CE825" s="253">
        <v>0</v>
      </c>
      <c r="CF825" s="253">
        <v>0</v>
      </c>
      <c r="CG825" s="253">
        <v>0</v>
      </c>
      <c r="CH825" s="253">
        <v>0</v>
      </c>
      <c r="CI825" s="253">
        <v>0</v>
      </c>
      <c r="CJ825" s="253">
        <v>0</v>
      </c>
      <c r="CK825" s="253">
        <v>0</v>
      </c>
      <c r="CL825" s="253">
        <v>0</v>
      </c>
      <c r="CM825" s="253">
        <v>0</v>
      </c>
      <c r="CN825" s="253">
        <v>0</v>
      </c>
      <c r="CO825" s="253">
        <v>0</v>
      </c>
      <c r="CP825" s="253" t="s">
        <v>2755</v>
      </c>
      <c r="CQ825" s="253">
        <v>54.398789616180899</v>
      </c>
      <c r="CR825" s="253">
        <v>68.641374006664904</v>
      </c>
      <c r="CS825" s="253">
        <v>29.066498756089807</v>
      </c>
      <c r="CT825">
        <f>IF(BI825="Roundwood",$CS825/2,$CS825)</f>
        <v>29.066498756089807</v>
      </c>
      <c r="CU825" s="253">
        <v>-9.1923873228220998</v>
      </c>
      <c r="CV825" s="253">
        <v>-8.9317269076305195</v>
      </c>
      <c r="CW825" s="253">
        <v>2.6066041519158035E-4</v>
      </c>
      <c r="CX825">
        <f>IFERROR($CW825/$CS825,"")</f>
        <v>8.9677266387981676E-6</v>
      </c>
      <c r="CY825">
        <f>IFERROR($CW825/$CS825,"")</f>
        <v>8.9677266387981676E-6</v>
      </c>
      <c r="CZ825">
        <f>IFERROR($CW825/$CT825,"")</f>
        <v>8.9677266387981676E-6</v>
      </c>
      <c r="DA825" s="254">
        <v>2.8356117517419462E-2</v>
      </c>
      <c r="DB825" s="252" t="s">
        <v>234</v>
      </c>
      <c r="DC825" s="253" t="s">
        <v>2756</v>
      </c>
      <c r="DD825" s="253" t="s">
        <v>235</v>
      </c>
      <c r="DE825" s="253"/>
      <c r="DF825" s="270"/>
      <c r="DG825" s="270">
        <v>80</v>
      </c>
      <c r="DH825" s="253" t="s">
        <v>2757</v>
      </c>
      <c r="DI825" s="253">
        <v>0</v>
      </c>
      <c r="DJ825" s="253">
        <v>1</v>
      </c>
      <c r="DK825" s="253">
        <v>0</v>
      </c>
      <c r="DL825" s="253">
        <v>0</v>
      </c>
      <c r="DM825" s="253"/>
      <c r="DN825" s="253">
        <v>1</v>
      </c>
      <c r="DO825" s="253" t="s">
        <v>173</v>
      </c>
      <c r="DP825" s="253">
        <v>0</v>
      </c>
      <c r="DQ825" s="253" t="s">
        <v>180</v>
      </c>
      <c r="DR825" s="253">
        <v>0</v>
      </c>
      <c r="DS825" s="253">
        <v>0</v>
      </c>
      <c r="DT825" s="253">
        <v>0</v>
      </c>
      <c r="DU825" s="270">
        <v>0</v>
      </c>
      <c r="DV825" s="270">
        <v>0</v>
      </c>
      <c r="DW825" s="270">
        <v>0</v>
      </c>
      <c r="DX825" s="270">
        <v>0</v>
      </c>
      <c r="DY825" s="253">
        <v>0</v>
      </c>
      <c r="DZ825" s="270" t="s">
        <v>926</v>
      </c>
      <c r="EA825" s="270">
        <v>1</v>
      </c>
      <c r="EB825" s="270">
        <v>1</v>
      </c>
      <c r="EC825" s="270">
        <v>1</v>
      </c>
      <c r="ED825" s="270">
        <v>0</v>
      </c>
      <c r="EE825" s="253">
        <v>0</v>
      </c>
      <c r="EF825" s="270">
        <v>0</v>
      </c>
      <c r="EG825" s="270">
        <v>1</v>
      </c>
      <c r="EH825" s="270">
        <v>1</v>
      </c>
      <c r="EI825" s="270">
        <v>0</v>
      </c>
      <c r="EJ825" s="270">
        <v>0</v>
      </c>
      <c r="EK825" s="253">
        <v>1</v>
      </c>
      <c r="EL825" s="270">
        <v>0</v>
      </c>
      <c r="EM825" s="253">
        <v>0</v>
      </c>
      <c r="EN825" s="254">
        <v>0</v>
      </c>
      <c r="EO825" s="252"/>
      <c r="EP825" t="str">
        <f>IF(AND(AND(AND(OR($EC825=1,$EB825=1),OR($EH825=1,$EF825=1)),SUM($EA825:$EE825,$EK825)&gt;=3),SUM($EF825:$EJ825)&gt;=2),"Whole sector approach","")</f>
        <v>Whole sector approach</v>
      </c>
      <c r="EQ825" t="str">
        <f>IF(AND(AND(OR($EC825=1,$EB825=1),AND($EH825=0,$EF825=0)),SUM($EA825:$EE825,$EK825)&gt;=4),"Ecosystem approach","")</f>
        <v/>
      </c>
      <c r="ER825" s="254" t="s">
        <v>531</v>
      </c>
      <c r="ES825" t="str">
        <f>IF(AND($EC825+$EB825+$EE825+$EA825+$ED825+$EG825=0,$N825="included"),"C neutral forest and HWP assumption","")</f>
        <v/>
      </c>
      <c r="ET825" t="str">
        <f>IF(AND(AND(AND(AND($EC825=1,$EB825+$EA825+$EG825&gt;=1),$EF825=1),$EH825+$EI825+$ED825+$EE825&gt;=2),$N825="included"),"All C pools assumption","")</f>
        <v/>
      </c>
      <c r="EU825" t="str">
        <f>IF(AND($ED825+$EE825+$EI825+$EH825+$EF825=0,$N825="included"),"In-situ only assumption","")</f>
        <v/>
      </c>
      <c r="EV825" s="253"/>
      <c r="EW825" s="253" t="s">
        <v>236</v>
      </c>
      <c r="EX825" s="253"/>
      <c r="EY825" t="str">
        <f>IF(ISNUMBER(BW825),IF(ABS(BW825-[3]QC_indicators!$B$2)&gt;3*[3]QC_indicators!$C$2,"C ratio",IF(ISNUMBER(CA825),IF(ABS(CA825-[3]QC_indicators!$B$1)&gt;3*[3]QC_indicators!$C$1,"DF","no"))),IF(ISNUMBER(CA825),IF(ABS(CA825-[3]QC_indicators!$B$1)&gt;3*[3]QC_indicators!$C$1,"DF","no")))</f>
        <v>no</v>
      </c>
      <c r="FA825" t="str">
        <f>IF(LEN($CY825)=0,"",IF(AND($CY825&lt;(-0.05),$ES825="C neutral forest and HWP assumption"),"Cneutral paradox",IF(AND($CY825&gt;0.05,$EU825="In-situ only assumption"),"In-situ only paradox","")))</f>
        <v/>
      </c>
    </row>
    <row r="826" spans="1:159" ht="15" hidden="1" customHeight="1">
      <c r="A826" s="252" t="s">
        <v>214</v>
      </c>
      <c r="B826" s="253" t="s">
        <v>215</v>
      </c>
      <c r="C826" s="253" t="s">
        <v>216</v>
      </c>
      <c r="D826" s="253" t="s">
        <v>217</v>
      </c>
      <c r="E826" s="253" t="s">
        <v>218</v>
      </c>
      <c r="F826" s="253" t="s">
        <v>219</v>
      </c>
      <c r="G826" s="253" t="s">
        <v>220</v>
      </c>
      <c r="H826" s="253"/>
      <c r="I826" s="253">
        <v>2012</v>
      </c>
      <c r="J826" s="253"/>
      <c r="K826" s="253" t="s">
        <v>221</v>
      </c>
      <c r="L826" s="253"/>
      <c r="M826" s="253" t="s">
        <v>2753</v>
      </c>
      <c r="N826" s="253" t="s">
        <v>222</v>
      </c>
      <c r="O826" s="269" t="s">
        <v>223</v>
      </c>
      <c r="P826" s="253"/>
      <c r="Q826" s="253" t="s">
        <v>224</v>
      </c>
      <c r="R826" s="254" t="s">
        <v>225</v>
      </c>
      <c r="S826" s="252" t="s">
        <v>92</v>
      </c>
      <c r="T826" s="253" t="s">
        <v>245</v>
      </c>
      <c r="U826" s="270" t="s">
        <v>246</v>
      </c>
      <c r="V826" s="253">
        <v>0</v>
      </c>
      <c r="W826" s="253">
        <v>0</v>
      </c>
      <c r="X826" s="253">
        <v>0</v>
      </c>
      <c r="Y826" s="253">
        <v>0</v>
      </c>
      <c r="Z826" s="253">
        <v>0</v>
      </c>
      <c r="AA826" s="253">
        <v>0</v>
      </c>
      <c r="AB826" s="253">
        <v>1</v>
      </c>
      <c r="AC826" s="253">
        <v>0</v>
      </c>
      <c r="AD826" s="253">
        <v>0</v>
      </c>
      <c r="AE826" s="253">
        <v>0</v>
      </c>
      <c r="AF826" s="253">
        <v>0</v>
      </c>
      <c r="AG826" s="253">
        <v>0</v>
      </c>
      <c r="AH826" s="253">
        <v>0</v>
      </c>
      <c r="AI826" s="253">
        <v>0</v>
      </c>
      <c r="AJ826" s="253">
        <v>0</v>
      </c>
      <c r="AK826" s="253">
        <v>0</v>
      </c>
      <c r="AL826" s="253">
        <v>0</v>
      </c>
      <c r="AM826" s="253">
        <v>0</v>
      </c>
      <c r="AN826" s="253">
        <v>0</v>
      </c>
      <c r="AO826" s="253">
        <v>0</v>
      </c>
      <c r="AP826" s="253">
        <v>0</v>
      </c>
      <c r="AQ826" s="253">
        <v>0</v>
      </c>
      <c r="AR826" s="253">
        <v>0</v>
      </c>
      <c r="AS826" s="253">
        <v>0</v>
      </c>
      <c r="AT826" s="253">
        <v>0</v>
      </c>
      <c r="AU826" s="253">
        <v>0</v>
      </c>
      <c r="AV826" s="253">
        <v>0</v>
      </c>
      <c r="AW826" s="253">
        <v>0</v>
      </c>
      <c r="AX826" s="253">
        <v>0</v>
      </c>
      <c r="AY826" s="253">
        <v>0</v>
      </c>
      <c r="AZ826" s="271">
        <v>1</v>
      </c>
      <c r="BA826" s="271">
        <v>1</v>
      </c>
      <c r="BB826" s="253">
        <v>1</v>
      </c>
      <c r="BC826" s="253">
        <v>0</v>
      </c>
      <c r="BD826" s="253">
        <v>0</v>
      </c>
      <c r="BE826" s="253">
        <v>0</v>
      </c>
      <c r="BF826" s="253">
        <v>0</v>
      </c>
      <c r="BG826" s="253" t="s">
        <v>92</v>
      </c>
      <c r="BH826" s="2" t="str" cm="1">
        <f t="array" ref="BH826">IF(COUNTIF(BB826:BD826,"&lt;&gt;0")=1,INDEX($X$4:$AY$4,MATCH(TRUE,INDEX($X826:$AY826&lt;&gt;0,),0)),IF(COUNTIF(BB826:BD826,"&lt;&gt;0")=0,INDEX($AO$4:$AY$4,MATCH(1,$AO826:$AY826,0)),"Multiple strategies"))</f>
        <v>Silviculture for productivity</v>
      </c>
      <c r="BI826" s="272" t="s">
        <v>229</v>
      </c>
      <c r="BJ826" s="253" t="s">
        <v>230</v>
      </c>
      <c r="BK826" s="273" t="s">
        <v>2754</v>
      </c>
      <c r="BL826" s="270" t="s">
        <v>231</v>
      </c>
      <c r="BM826" s="253">
        <v>62.093385434364002</v>
      </c>
      <c r="BN826" s="253">
        <v>110.71336180597901</v>
      </c>
      <c r="BO826" s="270">
        <v>1.783013778867137</v>
      </c>
      <c r="BP826" s="253">
        <v>48.619976371615003</v>
      </c>
      <c r="BQ826" s="270">
        <v>99.224441574724494</v>
      </c>
      <c r="BR826" s="270" t="s">
        <v>232</v>
      </c>
      <c r="BS826" s="273" t="s">
        <v>2754</v>
      </c>
      <c r="BT826" s="270" t="s">
        <v>233</v>
      </c>
      <c r="BU826" s="253">
        <v>-8.77615419238683</v>
      </c>
      <c r="BV826" s="253">
        <v>-7.88817571690055</v>
      </c>
      <c r="BW826" s="255">
        <v>0.89881918024451002</v>
      </c>
      <c r="BX826" s="253">
        <v>0.88797847548628006</v>
      </c>
      <c r="BY826" s="253"/>
      <c r="BZ826" s="253">
        <v>8.8797847548628011E-4</v>
      </c>
      <c r="CA826" s="253">
        <v>8.9491909593419723E-6</v>
      </c>
      <c r="CB826" s="253">
        <v>0</v>
      </c>
      <c r="CC826" s="253">
        <v>0</v>
      </c>
      <c r="CD826" s="253">
        <v>0</v>
      </c>
      <c r="CE826" s="253">
        <v>0</v>
      </c>
      <c r="CF826" s="253">
        <v>0</v>
      </c>
      <c r="CG826" s="253">
        <v>0</v>
      </c>
      <c r="CH826" s="253">
        <v>0</v>
      </c>
      <c r="CI826" s="253">
        <v>0</v>
      </c>
      <c r="CJ826" s="253">
        <v>0</v>
      </c>
      <c r="CK826" s="253">
        <v>0</v>
      </c>
      <c r="CL826" s="253">
        <v>0</v>
      </c>
      <c r="CM826" s="253">
        <v>0</v>
      </c>
      <c r="CN826" s="253">
        <v>0</v>
      </c>
      <c r="CO826" s="253">
        <v>0</v>
      </c>
      <c r="CP826" s="253" t="s">
        <v>2755</v>
      </c>
      <c r="CQ826" s="253">
        <v>62.093385434364002</v>
      </c>
      <c r="CR826" s="253">
        <v>110.71336180597901</v>
      </c>
      <c r="CS826" s="253">
        <v>99.224441574724494</v>
      </c>
      <c r="CT826">
        <f>IF(BI826="Roundwood",$CS826/2,$CS826)</f>
        <v>99.224441574724494</v>
      </c>
      <c r="CU826" s="253">
        <v>-8.77615419238683</v>
      </c>
      <c r="CV826" s="253">
        <v>-7.88817571690055</v>
      </c>
      <c r="CW826" s="253">
        <v>8.8797847548628011E-4</v>
      </c>
      <c r="CX826">
        <f>IFERROR($CW826/$CS826,"")</f>
        <v>8.9491909593419723E-6</v>
      </c>
      <c r="CY826">
        <f>IFERROR($CW826/$CS826,"")</f>
        <v>8.9491909593419723E-6</v>
      </c>
      <c r="CZ826">
        <f>IFERROR($CW826/$CT826,"")</f>
        <v>8.9491909593419723E-6</v>
      </c>
      <c r="DA826" s="254">
        <v>0.10118081975549004</v>
      </c>
      <c r="DB826" s="252" t="s">
        <v>234</v>
      </c>
      <c r="DC826" s="253" t="s">
        <v>2756</v>
      </c>
      <c r="DD826" s="253" t="s">
        <v>235</v>
      </c>
      <c r="DE826" s="253"/>
      <c r="DF826" s="270"/>
      <c r="DG826" s="270">
        <v>80</v>
      </c>
      <c r="DH826" s="253" t="s">
        <v>2757</v>
      </c>
      <c r="DI826" s="253">
        <v>0</v>
      </c>
      <c r="DJ826" s="253">
        <v>1</v>
      </c>
      <c r="DK826" s="253">
        <v>0</v>
      </c>
      <c r="DL826" s="253">
        <v>0</v>
      </c>
      <c r="DM826" s="253"/>
      <c r="DN826" s="253">
        <v>1</v>
      </c>
      <c r="DO826" s="253" t="s">
        <v>173</v>
      </c>
      <c r="DP826" s="253">
        <v>0</v>
      </c>
      <c r="DQ826" s="253" t="s">
        <v>180</v>
      </c>
      <c r="DR826" s="253">
        <v>0</v>
      </c>
      <c r="DS826" s="253">
        <v>0</v>
      </c>
      <c r="DT826" s="253">
        <v>0</v>
      </c>
      <c r="DU826" s="270">
        <v>0</v>
      </c>
      <c r="DV826" s="270">
        <v>0</v>
      </c>
      <c r="DW826" s="270">
        <v>0</v>
      </c>
      <c r="DX826" s="270">
        <v>0</v>
      </c>
      <c r="DY826" s="253">
        <v>0</v>
      </c>
      <c r="DZ826" s="270" t="s">
        <v>926</v>
      </c>
      <c r="EA826" s="270">
        <v>1</v>
      </c>
      <c r="EB826" s="270">
        <v>1</v>
      </c>
      <c r="EC826" s="270">
        <v>1</v>
      </c>
      <c r="ED826" s="270">
        <v>0</v>
      </c>
      <c r="EE826" s="253">
        <v>0</v>
      </c>
      <c r="EF826" s="270">
        <v>0</v>
      </c>
      <c r="EG826" s="270">
        <v>1</v>
      </c>
      <c r="EH826" s="270">
        <v>1</v>
      </c>
      <c r="EI826" s="270">
        <v>0</v>
      </c>
      <c r="EJ826" s="270">
        <v>0</v>
      </c>
      <c r="EK826" s="253">
        <v>1</v>
      </c>
      <c r="EL826" s="270">
        <v>0</v>
      </c>
      <c r="EM826" s="253">
        <v>0</v>
      </c>
      <c r="EN826" s="254">
        <v>0</v>
      </c>
      <c r="EO826" s="252"/>
      <c r="EP826" t="str">
        <f>IF(AND(AND(AND(OR($EC826=1,$EB826=1),OR($EH826=1,$EF826=1)),SUM($EA826:$EE826,$EK826)&gt;=3),SUM($EF826:$EJ826)&gt;=2),"Whole sector approach","")</f>
        <v>Whole sector approach</v>
      </c>
      <c r="EQ826" t="str">
        <f>IF(AND(AND(OR($EC826=1,$EB826=1),AND($EH826=0,$EF826=0)),SUM($EA826:$EE826,$EK826)&gt;=4),"Ecosystem approach","")</f>
        <v/>
      </c>
      <c r="ER826" s="254" t="s">
        <v>531</v>
      </c>
      <c r="ES826" t="str">
        <f>IF(AND($EC826+$EB826+$EE826+$EA826+$ED826+$EG826=0,$N826="included"),"C neutral forest and HWP assumption","")</f>
        <v/>
      </c>
      <c r="ET826" t="str">
        <f>IF(AND(AND(AND(AND($EC826=1,$EB826+$EA826+$EG826&gt;=1),$EF826=1),$EH826+$EI826+$ED826+$EE826&gt;=2),$N826="included"),"All C pools assumption","")</f>
        <v/>
      </c>
      <c r="EU826" t="str">
        <f>IF(AND($ED826+$EE826+$EI826+$EH826+$EF826=0,$N826="included"),"In-situ only assumption","")</f>
        <v/>
      </c>
      <c r="EV826" s="253"/>
      <c r="EW826" s="253" t="s">
        <v>236</v>
      </c>
      <c r="EX826" s="253"/>
      <c r="EY826" t="str">
        <f>IF(ISNUMBER(BW826),IF(ABS(BW826-[3]QC_indicators!$B$2)&gt;3*[3]QC_indicators!$C$2,"C ratio",IF(ISNUMBER(CA826),IF(ABS(CA826-[3]QC_indicators!$B$1)&gt;3*[3]QC_indicators!$C$1,"DF","no"))),IF(ISNUMBER(CA826),IF(ABS(CA826-[3]QC_indicators!$B$1)&gt;3*[3]QC_indicators!$C$1,"DF","no")))</f>
        <v>no</v>
      </c>
      <c r="EZ826" s="253"/>
      <c r="FA826" t="str">
        <f>IF(LEN($CY826)=0,"",IF(AND($CY826&lt;(-0.05),$ES826="C neutral forest and HWP assumption"),"Cneutral paradox",IF(AND($CY826&gt;0.05,$EU826="In-situ only assumption"),"In-situ only paradox","")))</f>
        <v/>
      </c>
      <c r="FB826" s="253"/>
    </row>
    <row r="827" spans="1:159" ht="15" hidden="1" customHeight="1">
      <c r="A827" s="252" t="s">
        <v>214</v>
      </c>
      <c r="B827" s="253" t="s">
        <v>215</v>
      </c>
      <c r="C827" s="253" t="s">
        <v>216</v>
      </c>
      <c r="D827" s="253" t="s">
        <v>217</v>
      </c>
      <c r="E827" s="253" t="s">
        <v>218</v>
      </c>
      <c r="F827" s="253" t="s">
        <v>219</v>
      </c>
      <c r="G827" s="253" t="s">
        <v>220</v>
      </c>
      <c r="H827" s="253"/>
      <c r="I827" s="253">
        <v>2012</v>
      </c>
      <c r="J827" s="253"/>
      <c r="K827" s="253" t="s">
        <v>221</v>
      </c>
      <c r="L827" s="253"/>
      <c r="M827" s="253" t="s">
        <v>2753</v>
      </c>
      <c r="N827" s="253" t="s">
        <v>222</v>
      </c>
      <c r="O827" s="269" t="s">
        <v>223</v>
      </c>
      <c r="P827" s="253"/>
      <c r="Q827" s="253" t="s">
        <v>224</v>
      </c>
      <c r="R827" s="254" t="s">
        <v>225</v>
      </c>
      <c r="S827" s="252" t="s">
        <v>92</v>
      </c>
      <c r="T827" s="253" t="s">
        <v>245</v>
      </c>
      <c r="U827" s="270" t="s">
        <v>246</v>
      </c>
      <c r="V827" s="253">
        <v>0</v>
      </c>
      <c r="W827" s="253">
        <v>0</v>
      </c>
      <c r="X827" s="253">
        <v>0</v>
      </c>
      <c r="Y827" s="253">
        <v>0</v>
      </c>
      <c r="Z827" s="253">
        <v>0</v>
      </c>
      <c r="AA827" s="253">
        <v>0</v>
      </c>
      <c r="AB827" s="253">
        <v>1</v>
      </c>
      <c r="AC827" s="253">
        <v>0</v>
      </c>
      <c r="AD827" s="253">
        <v>0</v>
      </c>
      <c r="AE827" s="253">
        <v>0</v>
      </c>
      <c r="AF827" s="253">
        <v>0</v>
      </c>
      <c r="AG827" s="253">
        <v>0</v>
      </c>
      <c r="AH827" s="253">
        <v>0</v>
      </c>
      <c r="AI827" s="253">
        <v>0</v>
      </c>
      <c r="AJ827" s="253">
        <v>0</v>
      </c>
      <c r="AK827" s="253">
        <v>0</v>
      </c>
      <c r="AL827" s="253">
        <v>0</v>
      </c>
      <c r="AM827" s="253">
        <v>0</v>
      </c>
      <c r="AN827" s="253">
        <v>0</v>
      </c>
      <c r="AO827" s="253">
        <v>0</v>
      </c>
      <c r="AP827" s="253">
        <v>0</v>
      </c>
      <c r="AQ827" s="253">
        <v>0</v>
      </c>
      <c r="AR827" s="253">
        <v>0</v>
      </c>
      <c r="AS827" s="253">
        <v>0</v>
      </c>
      <c r="AT827" s="253">
        <v>0</v>
      </c>
      <c r="AU827" s="253">
        <v>0</v>
      </c>
      <c r="AV827" s="253">
        <v>0</v>
      </c>
      <c r="AW827" s="253">
        <v>0</v>
      </c>
      <c r="AX827" s="253">
        <v>0</v>
      </c>
      <c r="AY827" s="253">
        <v>0</v>
      </c>
      <c r="AZ827" s="271">
        <v>1</v>
      </c>
      <c r="BA827" s="271">
        <v>1</v>
      </c>
      <c r="BB827" s="253">
        <v>1</v>
      </c>
      <c r="BC827" s="253">
        <v>0</v>
      </c>
      <c r="BD827" s="253">
        <v>0</v>
      </c>
      <c r="BE827" s="253">
        <v>0</v>
      </c>
      <c r="BF827" s="253">
        <v>0</v>
      </c>
      <c r="BG827" s="253" t="s">
        <v>92</v>
      </c>
      <c r="BH827" s="2" t="str" cm="1">
        <f t="array" ref="BH827">IF(COUNTIF(BB827:BD827,"&lt;&gt;0")=1,INDEX($X$4:$AY$4,MATCH(TRUE,INDEX($X827:$AY827&lt;&gt;0,),0)),IF(COUNTIF(BB827:BD827,"&lt;&gt;0")=0,INDEX($AO$4:$AY$4,MATCH(1,$AO827:$AY827,0)),"Multiple strategies"))</f>
        <v>Silviculture for productivity</v>
      </c>
      <c r="BI827" s="272" t="s">
        <v>229</v>
      </c>
      <c r="BJ827" s="253" t="s">
        <v>230</v>
      </c>
      <c r="BK827" s="273" t="s">
        <v>2754</v>
      </c>
      <c r="BL827" s="270" t="s">
        <v>231</v>
      </c>
      <c r="BM827" s="253">
        <v>68.641374006664904</v>
      </c>
      <c r="BN827" s="253">
        <v>124.699677125181</v>
      </c>
      <c r="BO827" s="270">
        <v>1.8166838722236676</v>
      </c>
      <c r="BP827" s="253">
        <v>56.058303118516093</v>
      </c>
      <c r="BQ827" s="270">
        <v>114.40470024186958</v>
      </c>
      <c r="BR827" s="270" t="s">
        <v>232</v>
      </c>
      <c r="BS827" s="273" t="s">
        <v>2754</v>
      </c>
      <c r="BT827" s="270" t="s">
        <v>233</v>
      </c>
      <c r="BU827" s="253">
        <v>-8.9317269076305195</v>
      </c>
      <c r="BV827" s="253">
        <v>-7.9158553717989797</v>
      </c>
      <c r="BW827" s="255">
        <v>0.88626258434260186</v>
      </c>
      <c r="BX827" s="253">
        <v>1.0158715358315398</v>
      </c>
      <c r="BY827" s="253"/>
      <c r="BZ827" s="253">
        <v>1.0158715358315397E-3</v>
      </c>
      <c r="CA827" s="253">
        <v>8.8796311137901422E-6</v>
      </c>
      <c r="CB827" s="253">
        <v>0</v>
      </c>
      <c r="CC827" s="253">
        <v>0</v>
      </c>
      <c r="CD827" s="253">
        <v>0</v>
      </c>
      <c r="CE827" s="253">
        <v>0</v>
      </c>
      <c r="CF827" s="253">
        <v>0</v>
      </c>
      <c r="CG827" s="253">
        <v>0</v>
      </c>
      <c r="CH827" s="253">
        <v>0</v>
      </c>
      <c r="CI827" s="253">
        <v>0</v>
      </c>
      <c r="CJ827" s="253">
        <v>0</v>
      </c>
      <c r="CK827" s="253">
        <v>0</v>
      </c>
      <c r="CL827" s="253">
        <v>0</v>
      </c>
      <c r="CM827" s="253">
        <v>0</v>
      </c>
      <c r="CN827" s="253">
        <v>0</v>
      </c>
      <c r="CO827" s="253">
        <v>0</v>
      </c>
      <c r="CP827" s="253" t="s">
        <v>2755</v>
      </c>
      <c r="CQ827" s="253">
        <v>68.641374006664904</v>
      </c>
      <c r="CR827" s="253">
        <v>124.699677125181</v>
      </c>
      <c r="CS827" s="253">
        <v>114.40470024186958</v>
      </c>
      <c r="CT827">
        <f>IF(BI827="Roundwood",$CS827/2,$CS827)</f>
        <v>114.40470024186958</v>
      </c>
      <c r="CU827" s="253">
        <v>-8.9317269076305195</v>
      </c>
      <c r="CV827" s="253">
        <v>-7.9158553717989797</v>
      </c>
      <c r="CW827" s="253">
        <v>1.0158715358315397E-3</v>
      </c>
      <c r="CX827">
        <f>IFERROR($CW827/$CS827,"")</f>
        <v>8.8796311137901422E-6</v>
      </c>
      <c r="CY827">
        <f>IFERROR($CW827/$CS827,"")</f>
        <v>8.8796311137901422E-6</v>
      </c>
      <c r="CZ827">
        <f>IFERROR($CW827/$CT827,"")</f>
        <v>8.8796311137901422E-6</v>
      </c>
      <c r="DA827" s="254">
        <v>0.11373741565739814</v>
      </c>
      <c r="DB827" s="252" t="s">
        <v>234</v>
      </c>
      <c r="DC827" s="253" t="s">
        <v>2756</v>
      </c>
      <c r="DD827" s="253" t="s">
        <v>235</v>
      </c>
      <c r="DE827" s="253"/>
      <c r="DF827" s="270"/>
      <c r="DG827" s="270">
        <v>80</v>
      </c>
      <c r="DH827" s="253" t="s">
        <v>2757</v>
      </c>
      <c r="DI827" s="253">
        <v>0</v>
      </c>
      <c r="DJ827" s="253">
        <v>1</v>
      </c>
      <c r="DK827" s="253">
        <v>0</v>
      </c>
      <c r="DL827" s="253">
        <v>0</v>
      </c>
      <c r="DM827" s="253"/>
      <c r="DN827" s="253">
        <v>1</v>
      </c>
      <c r="DO827" s="253" t="s">
        <v>173</v>
      </c>
      <c r="DP827" s="253">
        <v>0</v>
      </c>
      <c r="DQ827" s="253" t="s">
        <v>180</v>
      </c>
      <c r="DR827" s="253">
        <v>0</v>
      </c>
      <c r="DS827" s="253">
        <v>0</v>
      </c>
      <c r="DT827" s="253">
        <v>0</v>
      </c>
      <c r="DU827" s="270">
        <v>0</v>
      </c>
      <c r="DV827" s="270">
        <v>0</v>
      </c>
      <c r="DW827" s="270">
        <v>0</v>
      </c>
      <c r="DX827" s="270">
        <v>0</v>
      </c>
      <c r="DY827" s="253">
        <v>0</v>
      </c>
      <c r="DZ827" s="270" t="s">
        <v>926</v>
      </c>
      <c r="EA827" s="270">
        <v>1</v>
      </c>
      <c r="EB827" s="270">
        <v>1</v>
      </c>
      <c r="EC827" s="270">
        <v>1</v>
      </c>
      <c r="ED827" s="270">
        <v>0</v>
      </c>
      <c r="EE827" s="253">
        <v>0</v>
      </c>
      <c r="EF827" s="270">
        <v>0</v>
      </c>
      <c r="EG827" s="270">
        <v>1</v>
      </c>
      <c r="EH827" s="270">
        <v>1</v>
      </c>
      <c r="EI827" s="270">
        <v>0</v>
      </c>
      <c r="EJ827" s="270">
        <v>0</v>
      </c>
      <c r="EK827" s="253">
        <v>1</v>
      </c>
      <c r="EL827" s="270">
        <v>0</v>
      </c>
      <c r="EM827" s="253">
        <v>0</v>
      </c>
      <c r="EN827" s="254">
        <v>0</v>
      </c>
      <c r="EO827" s="252"/>
      <c r="EP827" t="str">
        <f>IF(AND(AND(AND(OR($EC827=1,$EB827=1),OR($EH827=1,$EF827=1)),SUM($EA827:$EE827,$EK827)&gt;=3),SUM($EF827:$EJ827)&gt;=2),"Whole sector approach","")</f>
        <v>Whole sector approach</v>
      </c>
      <c r="EQ827" t="str">
        <f>IF(AND(AND(OR($EC827=1,$EB827=1),AND($EH827=0,$EF827=0)),SUM($EA827:$EE827,$EK827)&gt;=4),"Ecosystem approach","")</f>
        <v/>
      </c>
      <c r="ER827" s="254" t="s">
        <v>531</v>
      </c>
      <c r="ES827" t="str">
        <f>IF(AND($EC827+$EB827+$EE827+$EA827+$ED827+$EG827=0,$N827="included"),"C neutral forest and HWP assumption","")</f>
        <v/>
      </c>
      <c r="ET827" t="str">
        <f>IF(AND(AND(AND(AND($EC827=1,$EB827+$EA827+$EG827&gt;=1),$EF827=1),$EH827+$EI827+$ED827+$EE827&gt;=2),$N827="included"),"All C pools assumption","")</f>
        <v/>
      </c>
      <c r="EU827" t="str">
        <f>IF(AND($ED827+$EE827+$EI827+$EH827+$EF827=0,$N827="included"),"In-situ only assumption","")</f>
        <v/>
      </c>
      <c r="EV827" s="253"/>
      <c r="EW827" s="253" t="s">
        <v>236</v>
      </c>
      <c r="EX827" s="253"/>
      <c r="EY827" t="str">
        <f>IF(ISNUMBER(BW827),IF(ABS(BW827-[3]QC_indicators!$B$2)&gt;3*[3]QC_indicators!$C$2,"C ratio",IF(ISNUMBER(CA827),IF(ABS(CA827-[3]QC_indicators!$B$1)&gt;3*[3]QC_indicators!$C$1,"DF","no"))),IF(ISNUMBER(CA827),IF(ABS(CA827-[3]QC_indicators!$B$1)&gt;3*[3]QC_indicators!$C$1,"DF","no")))</f>
        <v>no</v>
      </c>
      <c r="FA827" t="str">
        <f>IF(LEN($CY827)=0,"",IF(AND($CY827&lt;(-0.05),$ES827="C neutral forest and HWP assumption"),"Cneutral paradox",IF(AND($CY827&gt;0.05,$EU827="In-situ only assumption"),"In-situ only paradox","")))</f>
        <v/>
      </c>
    </row>
    <row r="828" spans="1:159" ht="15" hidden="1" customHeight="1">
      <c r="A828" s="252" t="s">
        <v>214</v>
      </c>
      <c r="B828" s="253" t="s">
        <v>215</v>
      </c>
      <c r="C828" s="253" t="s">
        <v>216</v>
      </c>
      <c r="D828" s="253" t="s">
        <v>217</v>
      </c>
      <c r="E828" s="253" t="s">
        <v>218</v>
      </c>
      <c r="F828" s="253" t="s">
        <v>219</v>
      </c>
      <c r="G828" s="253" t="s">
        <v>220</v>
      </c>
      <c r="H828" s="253"/>
      <c r="I828" s="253">
        <v>2012</v>
      </c>
      <c r="J828" s="253"/>
      <c r="K828" s="253" t="s">
        <v>221</v>
      </c>
      <c r="L828" s="253"/>
      <c r="M828" s="253" t="s">
        <v>2753</v>
      </c>
      <c r="N828" s="253" t="s">
        <v>222</v>
      </c>
      <c r="O828" s="269" t="s">
        <v>223</v>
      </c>
      <c r="P828" s="253"/>
      <c r="Q828" s="253" t="s">
        <v>224</v>
      </c>
      <c r="R828" s="254" t="s">
        <v>225</v>
      </c>
      <c r="S828" s="252" t="s">
        <v>241</v>
      </c>
      <c r="T828" s="253" t="s">
        <v>244</v>
      </c>
      <c r="U828" s="270" t="s">
        <v>242</v>
      </c>
      <c r="V828" s="253">
        <v>0</v>
      </c>
      <c r="W828" s="253">
        <v>0</v>
      </c>
      <c r="X828" s="253">
        <v>0</v>
      </c>
      <c r="Y828" s="253">
        <v>0</v>
      </c>
      <c r="Z828" s="253">
        <v>0</v>
      </c>
      <c r="AA828" s="253">
        <v>0</v>
      </c>
      <c r="AB828" s="253">
        <v>0</v>
      </c>
      <c r="AC828" s="253">
        <v>0</v>
      </c>
      <c r="AD828" s="253">
        <v>0</v>
      </c>
      <c r="AE828" s="253">
        <v>1</v>
      </c>
      <c r="AF828" s="253">
        <v>0</v>
      </c>
      <c r="AG828" s="253">
        <v>0</v>
      </c>
      <c r="AH828" s="253">
        <v>0</v>
      </c>
      <c r="AI828" s="253">
        <v>0</v>
      </c>
      <c r="AJ828" s="253">
        <v>0</v>
      </c>
      <c r="AK828" s="253">
        <v>0</v>
      </c>
      <c r="AL828" s="253">
        <v>0</v>
      </c>
      <c r="AM828" s="253">
        <v>0</v>
      </c>
      <c r="AN828" s="253">
        <v>0</v>
      </c>
      <c r="AO828" s="253">
        <v>0</v>
      </c>
      <c r="AP828" s="253">
        <v>0</v>
      </c>
      <c r="AQ828" s="253">
        <v>0</v>
      </c>
      <c r="AR828" s="253">
        <v>0</v>
      </c>
      <c r="AS828" s="253">
        <v>0</v>
      </c>
      <c r="AT828" s="253">
        <v>0</v>
      </c>
      <c r="AU828" s="253">
        <v>0</v>
      </c>
      <c r="AV828" s="253">
        <v>0</v>
      </c>
      <c r="AW828" s="253">
        <v>0</v>
      </c>
      <c r="AX828" s="253">
        <v>0</v>
      </c>
      <c r="AY828" s="253">
        <v>0</v>
      </c>
      <c r="AZ828" s="271">
        <v>1</v>
      </c>
      <c r="BA828" s="271">
        <v>1</v>
      </c>
      <c r="BB828" s="253">
        <v>1</v>
      </c>
      <c r="BC828" s="253">
        <v>0</v>
      </c>
      <c r="BD828" s="253">
        <v>0</v>
      </c>
      <c r="BE828" s="253">
        <v>0</v>
      </c>
      <c r="BF828" s="253">
        <v>0</v>
      </c>
      <c r="BG828" s="253" t="s">
        <v>95</v>
      </c>
      <c r="BH828" s="2" t="str" cm="1">
        <f t="array" ref="BH828">IF(COUNTIF(BB828:BD828,"&lt;&gt;0")=1,INDEX($X$4:$AY$4,MATCH(TRUE,INDEX($X828:$AY828&lt;&gt;0,),0)),IF(COUNTIF(BB828:BD828,"&lt;&gt;0")=0,INDEX($AO$4:$AY$4,MATCH(1,$AO828:$AY828,0)),"Multiple strategies"))</f>
        <v>Silviculture for productivity</v>
      </c>
      <c r="BI828" s="272" t="s">
        <v>229</v>
      </c>
      <c r="BJ828" s="253" t="s">
        <v>230</v>
      </c>
      <c r="BK828" s="273" t="s">
        <v>2754</v>
      </c>
      <c r="BL828" s="270" t="s">
        <v>231</v>
      </c>
      <c r="BM828" s="253">
        <v>43.2961724266072</v>
      </c>
      <c r="BN828" s="253">
        <v>49.052379731692703</v>
      </c>
      <c r="BO828" s="270">
        <v>1.1329495653419028</v>
      </c>
      <c r="BP828" s="253">
        <v>5.7562073050855034</v>
      </c>
      <c r="BQ828" s="270">
        <v>11.747361847113272</v>
      </c>
      <c r="BR828" s="270" t="s">
        <v>232</v>
      </c>
      <c r="BS828" s="273" t="s">
        <v>2754</v>
      </c>
      <c r="BT828" s="270" t="s">
        <v>233</v>
      </c>
      <c r="BU828" s="253">
        <v>-9.82778574082921</v>
      </c>
      <c r="BV828" s="253">
        <v>-9.7349397590361395</v>
      </c>
      <c r="BW828" s="255">
        <v>0.99055270594602562</v>
      </c>
      <c r="BX828" s="253">
        <v>9.2845981793070465E-2</v>
      </c>
      <c r="BY828" s="253"/>
      <c r="BZ828" s="253">
        <v>9.2845981793070463E-5</v>
      </c>
      <c r="CA828" s="253">
        <v>7.9035602207048637E-6</v>
      </c>
      <c r="CB828" s="253">
        <v>0</v>
      </c>
      <c r="CC828" s="253">
        <v>0</v>
      </c>
      <c r="CD828" s="253">
        <v>0</v>
      </c>
      <c r="CE828" s="253">
        <v>0</v>
      </c>
      <c r="CF828" s="253">
        <v>0</v>
      </c>
      <c r="CG828" s="253">
        <v>0</v>
      </c>
      <c r="CH828" s="253">
        <v>0</v>
      </c>
      <c r="CI828" s="253">
        <v>0</v>
      </c>
      <c r="CJ828" s="253">
        <v>0</v>
      </c>
      <c r="CK828" s="253">
        <v>0</v>
      </c>
      <c r="CL828" s="253">
        <v>0</v>
      </c>
      <c r="CM828" s="253">
        <v>0</v>
      </c>
      <c r="CN828" s="253">
        <v>0</v>
      </c>
      <c r="CO828" s="253">
        <v>0</v>
      </c>
      <c r="CP828" s="253" t="s">
        <v>2755</v>
      </c>
      <c r="CQ828" s="253">
        <v>43.2961724266072</v>
      </c>
      <c r="CR828" s="253">
        <v>49.052379731692703</v>
      </c>
      <c r="CS828" s="253">
        <v>11.747361847113272</v>
      </c>
      <c r="CT828">
        <f>IF(BI828="Roundwood",$CS828/2,$CS828)</f>
        <v>11.747361847113272</v>
      </c>
      <c r="CU828" s="253">
        <v>-9.82778574082921</v>
      </c>
      <c r="CV828" s="253">
        <v>-9.7349397590361395</v>
      </c>
      <c r="CW828" s="253">
        <v>9.2845981793070463E-5</v>
      </c>
      <c r="CX828">
        <f>IFERROR($CW828/$CS828,"")</f>
        <v>7.9035602207048637E-6</v>
      </c>
      <c r="CY828">
        <f>IFERROR($CW828/$CS828,"")</f>
        <v>7.9035602207048637E-6</v>
      </c>
      <c r="CZ828">
        <f>IFERROR($CW828/$CT828,"")</f>
        <v>7.9035602207048637E-6</v>
      </c>
      <c r="DA828" s="254">
        <v>9.4472940539744275E-3</v>
      </c>
      <c r="DB828" s="252" t="s">
        <v>234</v>
      </c>
      <c r="DC828" s="253" t="s">
        <v>2756</v>
      </c>
      <c r="DD828" s="253" t="s">
        <v>235</v>
      </c>
      <c r="DE828" s="253"/>
      <c r="DF828" s="270"/>
      <c r="DG828" s="270">
        <v>80</v>
      </c>
      <c r="DH828" s="253" t="s">
        <v>2757</v>
      </c>
      <c r="DI828" s="253">
        <v>0</v>
      </c>
      <c r="DJ828" s="253">
        <v>1</v>
      </c>
      <c r="DK828" s="253">
        <v>0</v>
      </c>
      <c r="DL828" s="253">
        <v>0</v>
      </c>
      <c r="DM828" s="253"/>
      <c r="DN828" s="253">
        <v>1</v>
      </c>
      <c r="DO828" s="253" t="s">
        <v>173</v>
      </c>
      <c r="DP828" s="253">
        <v>0</v>
      </c>
      <c r="DQ828" s="253" t="s">
        <v>180</v>
      </c>
      <c r="DR828" s="253">
        <v>0</v>
      </c>
      <c r="DS828" s="253">
        <v>0</v>
      </c>
      <c r="DT828" s="253">
        <v>0</v>
      </c>
      <c r="DU828" s="270">
        <v>0</v>
      </c>
      <c r="DV828" s="270">
        <v>0</v>
      </c>
      <c r="DW828" s="270">
        <v>0</v>
      </c>
      <c r="DX828" s="270">
        <v>0</v>
      </c>
      <c r="DY828" s="253">
        <v>0</v>
      </c>
      <c r="DZ828" s="270" t="s">
        <v>926</v>
      </c>
      <c r="EA828" s="270">
        <v>1</v>
      </c>
      <c r="EB828" s="270">
        <v>1</v>
      </c>
      <c r="EC828" s="270">
        <v>1</v>
      </c>
      <c r="ED828" s="270">
        <v>0</v>
      </c>
      <c r="EE828" s="253">
        <v>0</v>
      </c>
      <c r="EF828" s="270">
        <v>0</v>
      </c>
      <c r="EG828" s="270">
        <v>1</v>
      </c>
      <c r="EH828" s="270">
        <v>1</v>
      </c>
      <c r="EI828" s="270">
        <v>0</v>
      </c>
      <c r="EJ828" s="270">
        <v>0</v>
      </c>
      <c r="EK828" s="253">
        <v>1</v>
      </c>
      <c r="EL828" s="270">
        <v>0</v>
      </c>
      <c r="EM828" s="253">
        <v>0</v>
      </c>
      <c r="EN828" s="254">
        <v>0</v>
      </c>
      <c r="EO828" s="252"/>
      <c r="EP828" t="str">
        <f>IF(AND(AND(AND(OR($EC828=1,$EB828=1),OR($EH828=1,$EF828=1)),SUM($EA828:$EE828,$EK828)&gt;=3),SUM($EF828:$EJ828)&gt;=2),"Whole sector approach","")</f>
        <v>Whole sector approach</v>
      </c>
      <c r="EQ828" t="str">
        <f>IF(AND(AND(OR($EC828=1,$EB828=1),AND($EH828=0,$EF828=0)),SUM($EA828:$EE828,$EK828)&gt;=4),"Ecosystem approach","")</f>
        <v/>
      </c>
      <c r="ER828" s="254" t="s">
        <v>531</v>
      </c>
      <c r="ES828" t="str">
        <f>IF(AND($EC828+$EB828+$EE828+$EA828+$ED828+$EG828=0,$N828="included"),"C neutral forest and HWP assumption","")</f>
        <v/>
      </c>
      <c r="ET828" t="str">
        <f>IF(AND(AND(AND(AND($EC828=1,$EB828+$EA828+$EG828&gt;=1),$EF828=1),$EH828+$EI828+$ED828+$EE828&gt;=2),$N828="included"),"All C pools assumption","")</f>
        <v/>
      </c>
      <c r="EU828" t="str">
        <f>IF(AND($ED828+$EE828+$EI828+$EH828+$EF828=0,$N828="included"),"In-situ only assumption","")</f>
        <v/>
      </c>
      <c r="EV828" s="253"/>
      <c r="EW828" s="253" t="s">
        <v>236</v>
      </c>
      <c r="EX828" s="253"/>
      <c r="EY828" t="str">
        <f>IF(ISNUMBER(BW828),IF(ABS(BW828-[3]QC_indicators!$B$2)&gt;3*[3]QC_indicators!$C$2,"C ratio",IF(ISNUMBER(CA828),IF(ABS(CA828-[3]QC_indicators!$B$1)&gt;3*[3]QC_indicators!$C$1,"DF","no"))),IF(ISNUMBER(CA828),IF(ABS(CA828-[3]QC_indicators!$B$1)&gt;3*[3]QC_indicators!$C$1,"DF","no")))</f>
        <v>no</v>
      </c>
      <c r="FA828" t="str">
        <f>IF(LEN($CY828)=0,"",IF(AND($CY828&lt;(-0.05),$ES828="C neutral forest and HWP assumption"),"Cneutral paradox",IF(AND($CY828&gt;0.05,$EU828="In-situ only assumption"),"In-situ only paradox","")))</f>
        <v/>
      </c>
    </row>
    <row r="829" spans="1:159" ht="15" hidden="1" customHeight="1">
      <c r="A829" s="252" t="s">
        <v>214</v>
      </c>
      <c r="B829" s="253" t="s">
        <v>215</v>
      </c>
      <c r="C829" s="253" t="s">
        <v>216</v>
      </c>
      <c r="D829" s="253" t="s">
        <v>217</v>
      </c>
      <c r="E829" s="253" t="s">
        <v>218</v>
      </c>
      <c r="F829" s="253" t="s">
        <v>219</v>
      </c>
      <c r="G829" s="253" t="s">
        <v>220</v>
      </c>
      <c r="H829" s="253"/>
      <c r="I829" s="253">
        <v>2012</v>
      </c>
      <c r="J829" s="253"/>
      <c r="K829" s="253" t="s">
        <v>221</v>
      </c>
      <c r="L829" s="253"/>
      <c r="M829" s="253" t="s">
        <v>2753</v>
      </c>
      <c r="N829" s="253" t="s">
        <v>222</v>
      </c>
      <c r="O829" s="269" t="s">
        <v>223</v>
      </c>
      <c r="P829" s="253"/>
      <c r="Q829" s="253" t="s">
        <v>224</v>
      </c>
      <c r="R829" s="254" t="s">
        <v>225</v>
      </c>
      <c r="S829" s="252" t="s">
        <v>241</v>
      </c>
      <c r="T829" s="253" t="s">
        <v>244</v>
      </c>
      <c r="U829" s="270" t="s">
        <v>242</v>
      </c>
      <c r="V829" s="253">
        <v>0</v>
      </c>
      <c r="W829" s="253">
        <v>0</v>
      </c>
      <c r="X829" s="253">
        <v>0</v>
      </c>
      <c r="Y829" s="253">
        <v>0</v>
      </c>
      <c r="Z829" s="253">
        <v>0</v>
      </c>
      <c r="AA829" s="253">
        <v>0</v>
      </c>
      <c r="AB829" s="253">
        <v>0</v>
      </c>
      <c r="AC829" s="253">
        <v>0</v>
      </c>
      <c r="AD829" s="253">
        <v>0</v>
      </c>
      <c r="AE829" s="253">
        <v>1</v>
      </c>
      <c r="AF829" s="253">
        <v>0</v>
      </c>
      <c r="AG829" s="253">
        <v>0</v>
      </c>
      <c r="AH829" s="253">
        <v>0</v>
      </c>
      <c r="AI829" s="253">
        <v>0</v>
      </c>
      <c r="AJ829" s="253">
        <v>0</v>
      </c>
      <c r="AK829" s="253">
        <v>0</v>
      </c>
      <c r="AL829" s="253">
        <v>0</v>
      </c>
      <c r="AM829" s="253">
        <v>0</v>
      </c>
      <c r="AN829" s="253">
        <v>0</v>
      </c>
      <c r="AO829" s="253">
        <v>0</v>
      </c>
      <c r="AP829" s="253">
        <v>0</v>
      </c>
      <c r="AQ829" s="253">
        <v>0</v>
      </c>
      <c r="AR829" s="253">
        <v>0</v>
      </c>
      <c r="AS829" s="253">
        <v>0</v>
      </c>
      <c r="AT829" s="253">
        <v>0</v>
      </c>
      <c r="AU829" s="253">
        <v>0</v>
      </c>
      <c r="AV829" s="253">
        <v>0</v>
      </c>
      <c r="AW829" s="253">
        <v>0</v>
      </c>
      <c r="AX829" s="253">
        <v>0</v>
      </c>
      <c r="AY829" s="253">
        <v>0</v>
      </c>
      <c r="AZ829" s="271">
        <v>1</v>
      </c>
      <c r="BA829" s="271">
        <v>1</v>
      </c>
      <c r="BB829" s="253">
        <v>1</v>
      </c>
      <c r="BC829" s="253">
        <v>0</v>
      </c>
      <c r="BD829" s="253">
        <v>0</v>
      </c>
      <c r="BE829" s="253">
        <v>0</v>
      </c>
      <c r="BF829" s="253">
        <v>0</v>
      </c>
      <c r="BG829" s="253" t="s">
        <v>95</v>
      </c>
      <c r="BH829" s="2" t="str" cm="1">
        <f t="array" ref="BH829">IF(COUNTIF(BB829:BD829,"&lt;&gt;0")=1,INDEX($X$4:$AY$4,MATCH(TRUE,INDEX($X829:$AY829&lt;&gt;0,),0)),IF(COUNTIF(BB829:BD829,"&lt;&gt;0")=0,INDEX($AO$4:$AY$4,MATCH(1,$AO829:$AY829,0)),"Multiple strategies"))</f>
        <v>Silviculture for productivity</v>
      </c>
      <c r="BI829" s="272" t="s">
        <v>229</v>
      </c>
      <c r="BJ829" s="253" t="s">
        <v>230</v>
      </c>
      <c r="BK829" s="273" t="s">
        <v>2754</v>
      </c>
      <c r="BL829" s="270" t="s">
        <v>231</v>
      </c>
      <c r="BM829" s="253">
        <v>60.054679619897001</v>
      </c>
      <c r="BN829" s="253">
        <v>68.821883277791997</v>
      </c>
      <c r="BO829" s="270">
        <v>1.1459870190530546</v>
      </c>
      <c r="BP829" s="253">
        <v>8.7672036578949957</v>
      </c>
      <c r="BQ829" s="270">
        <v>17.892252363051011</v>
      </c>
      <c r="BR829" s="270" t="s">
        <v>232</v>
      </c>
      <c r="BS829" s="273" t="s">
        <v>2754</v>
      </c>
      <c r="BT829" s="270" t="s">
        <v>233</v>
      </c>
      <c r="BU829" s="253">
        <v>-9.0244200244200208</v>
      </c>
      <c r="BV829" s="253">
        <v>-8.9016064257028091</v>
      </c>
      <c r="BW829" s="255">
        <v>0.98639097045739466</v>
      </c>
      <c r="BX829" s="253">
        <v>0.12281359871721165</v>
      </c>
      <c r="BY829" s="253"/>
      <c r="BZ829" s="253">
        <v>1.2281359871721165E-4</v>
      </c>
      <c r="CA829" s="253">
        <v>6.8640658663429066E-6</v>
      </c>
      <c r="CB829" s="253">
        <v>0</v>
      </c>
      <c r="CC829" s="253">
        <v>0</v>
      </c>
      <c r="CD829" s="253">
        <v>0</v>
      </c>
      <c r="CE829" s="253">
        <v>0</v>
      </c>
      <c r="CF829" s="253">
        <v>0</v>
      </c>
      <c r="CG829" s="253">
        <v>0</v>
      </c>
      <c r="CH829" s="253">
        <v>0</v>
      </c>
      <c r="CI829" s="253">
        <v>0</v>
      </c>
      <c r="CJ829" s="253">
        <v>0</v>
      </c>
      <c r="CK829" s="253">
        <v>0</v>
      </c>
      <c r="CL829" s="253">
        <v>0</v>
      </c>
      <c r="CM829" s="253">
        <v>0</v>
      </c>
      <c r="CN829" s="253">
        <v>0</v>
      </c>
      <c r="CO829" s="253">
        <v>0</v>
      </c>
      <c r="CP829" s="253" t="s">
        <v>2755</v>
      </c>
      <c r="CQ829" s="253">
        <v>60.054679619897001</v>
      </c>
      <c r="CR829" s="253">
        <v>68.821883277791997</v>
      </c>
      <c r="CS829" s="253">
        <v>17.892252363051011</v>
      </c>
      <c r="CT829">
        <f>IF(BI829="Roundwood",$CS829/2,$CS829)</f>
        <v>17.892252363051011</v>
      </c>
      <c r="CU829" s="253">
        <v>-9.0244200244200208</v>
      </c>
      <c r="CV829" s="253">
        <v>-8.9016064257028091</v>
      </c>
      <c r="CW829" s="253">
        <v>1.2281359871721165E-4</v>
      </c>
      <c r="CX829">
        <f>IFERROR($CW829/$CS829,"")</f>
        <v>6.8640658663429066E-6</v>
      </c>
      <c r="CY829">
        <f>IFERROR($CW829/$CS829,"")</f>
        <v>6.8640658663429066E-6</v>
      </c>
      <c r="CZ829">
        <f>IFERROR($CW829/$CT829,"")</f>
        <v>6.8640658663429066E-6</v>
      </c>
      <c r="DA829" s="254">
        <v>1.3609029542605382E-2</v>
      </c>
      <c r="DB829" s="252" t="s">
        <v>234</v>
      </c>
      <c r="DC829" s="253" t="s">
        <v>2756</v>
      </c>
      <c r="DD829" s="253" t="s">
        <v>235</v>
      </c>
      <c r="DE829" s="253"/>
      <c r="DF829" s="270"/>
      <c r="DG829" s="270">
        <v>80</v>
      </c>
      <c r="DH829" s="253" t="s">
        <v>2757</v>
      </c>
      <c r="DI829" s="253">
        <v>0</v>
      </c>
      <c r="DJ829" s="253">
        <v>1</v>
      </c>
      <c r="DK829" s="253">
        <v>0</v>
      </c>
      <c r="DL829" s="253">
        <v>0</v>
      </c>
      <c r="DM829" s="253"/>
      <c r="DN829" s="253">
        <v>1</v>
      </c>
      <c r="DO829" s="253" t="s">
        <v>173</v>
      </c>
      <c r="DP829" s="253">
        <v>0</v>
      </c>
      <c r="DQ829" s="253" t="s">
        <v>180</v>
      </c>
      <c r="DR829" s="253">
        <v>0</v>
      </c>
      <c r="DS829" s="253">
        <v>0</v>
      </c>
      <c r="DT829" s="253">
        <v>0</v>
      </c>
      <c r="DU829" s="270">
        <v>0</v>
      </c>
      <c r="DV829" s="270">
        <v>0</v>
      </c>
      <c r="DW829" s="270">
        <v>0</v>
      </c>
      <c r="DX829" s="270">
        <v>0</v>
      </c>
      <c r="DY829" s="253">
        <v>0</v>
      </c>
      <c r="DZ829" s="270" t="s">
        <v>926</v>
      </c>
      <c r="EA829" s="270">
        <v>1</v>
      </c>
      <c r="EB829" s="270">
        <v>1</v>
      </c>
      <c r="EC829" s="270">
        <v>1</v>
      </c>
      <c r="ED829" s="270">
        <v>0</v>
      </c>
      <c r="EE829" s="253">
        <v>0</v>
      </c>
      <c r="EF829" s="270">
        <v>0</v>
      </c>
      <c r="EG829" s="270">
        <v>1</v>
      </c>
      <c r="EH829" s="270">
        <v>1</v>
      </c>
      <c r="EI829" s="270">
        <v>0</v>
      </c>
      <c r="EJ829" s="270">
        <v>0</v>
      </c>
      <c r="EK829" s="253">
        <v>1</v>
      </c>
      <c r="EL829" s="270">
        <v>0</v>
      </c>
      <c r="EM829" s="253">
        <v>0</v>
      </c>
      <c r="EN829" s="254">
        <v>0</v>
      </c>
      <c r="EO829" s="252"/>
      <c r="EP829" t="str">
        <f>IF(AND(AND(AND(OR($EC829=1,$EB829=1),OR($EH829=1,$EF829=1)),SUM($EA829:$EE829,$EK829)&gt;=3),SUM($EF829:$EJ829)&gt;=2),"Whole sector approach","")</f>
        <v>Whole sector approach</v>
      </c>
      <c r="EQ829" t="str">
        <f>IF(AND(AND(OR($EC829=1,$EB829=1),AND($EH829=0,$EF829=0)),SUM($EA829:$EE829,$EK829)&gt;=4),"Ecosystem approach","")</f>
        <v/>
      </c>
      <c r="ER829" s="254" t="s">
        <v>531</v>
      </c>
      <c r="ES829" t="str">
        <f>IF(AND($EC829+$EB829+$EE829+$EA829+$ED829+$EG829=0,$N829="included"),"C neutral forest and HWP assumption","")</f>
        <v/>
      </c>
      <c r="ET829" t="str">
        <f>IF(AND(AND(AND(AND($EC829=1,$EB829+$EA829+$EG829&gt;=1),$EF829=1),$EH829+$EI829+$ED829+$EE829&gt;=2),$N829="included"),"All C pools assumption","")</f>
        <v/>
      </c>
      <c r="EU829" t="str">
        <f>IF(AND($ED829+$EE829+$EI829+$EH829+$EF829=0,$N829="included"),"In-situ only assumption","")</f>
        <v/>
      </c>
      <c r="EV829" s="253"/>
      <c r="EW829" s="253" t="s">
        <v>236</v>
      </c>
      <c r="EX829" s="253"/>
      <c r="EY829" t="str">
        <f>IF(ISNUMBER(BW829),IF(ABS(BW829-[3]QC_indicators!$B$2)&gt;3*[3]QC_indicators!$C$2,"C ratio",IF(ISNUMBER(CA829),IF(ABS(CA829-[3]QC_indicators!$B$1)&gt;3*[3]QC_indicators!$C$1,"DF","no"))),IF(ISNUMBER(CA829),IF(ABS(CA829-[3]QC_indicators!$B$1)&gt;3*[3]QC_indicators!$C$1,"DF","no")))</f>
        <v>no</v>
      </c>
      <c r="FA829" t="str">
        <f>IF(LEN($CY829)=0,"",IF(AND($CY829&lt;(-0.05),$ES829="C neutral forest and HWP assumption"),"Cneutral paradox",IF(AND($CY829&gt;0.05,$EU829="In-situ only assumption"),"In-situ only paradox","")))</f>
        <v/>
      </c>
    </row>
    <row r="830" spans="1:159" ht="15" hidden="1" customHeight="1">
      <c r="A830" s="252" t="s">
        <v>214</v>
      </c>
      <c r="B830" s="253" t="s">
        <v>215</v>
      </c>
      <c r="C830" s="253" t="s">
        <v>216</v>
      </c>
      <c r="D830" s="253" t="s">
        <v>217</v>
      </c>
      <c r="E830" s="253" t="s">
        <v>218</v>
      </c>
      <c r="F830" s="253" t="s">
        <v>219</v>
      </c>
      <c r="G830" s="253" t="s">
        <v>220</v>
      </c>
      <c r="H830" s="253"/>
      <c r="I830" s="253">
        <v>2012</v>
      </c>
      <c r="J830" s="253"/>
      <c r="K830" s="253" t="s">
        <v>221</v>
      </c>
      <c r="L830" s="253"/>
      <c r="M830" s="253" t="s">
        <v>2753</v>
      </c>
      <c r="N830" s="253" t="s">
        <v>222</v>
      </c>
      <c r="O830" s="269" t="s">
        <v>223</v>
      </c>
      <c r="P830" s="253"/>
      <c r="Q830" s="253" t="s">
        <v>224</v>
      </c>
      <c r="R830" s="254" t="s">
        <v>225</v>
      </c>
      <c r="S830" s="252" t="s">
        <v>241</v>
      </c>
      <c r="T830" s="253" t="s">
        <v>244</v>
      </c>
      <c r="U830" s="270" t="s">
        <v>242</v>
      </c>
      <c r="V830" s="253">
        <v>0</v>
      </c>
      <c r="W830" s="253">
        <v>0</v>
      </c>
      <c r="X830" s="253">
        <v>0</v>
      </c>
      <c r="Y830" s="253">
        <v>0</v>
      </c>
      <c r="Z830" s="253">
        <v>0</v>
      </c>
      <c r="AA830" s="253">
        <v>0</v>
      </c>
      <c r="AB830" s="253">
        <v>0</v>
      </c>
      <c r="AC830" s="253">
        <v>0</v>
      </c>
      <c r="AD830" s="253">
        <v>0</v>
      </c>
      <c r="AE830" s="253">
        <v>1</v>
      </c>
      <c r="AF830" s="253">
        <v>0</v>
      </c>
      <c r="AG830" s="253">
        <v>0</v>
      </c>
      <c r="AH830" s="253">
        <v>0</v>
      </c>
      <c r="AI830" s="253">
        <v>0</v>
      </c>
      <c r="AJ830" s="253">
        <v>0</v>
      </c>
      <c r="AK830" s="253">
        <v>0</v>
      </c>
      <c r="AL830" s="253">
        <v>0</v>
      </c>
      <c r="AM830" s="253">
        <v>0</v>
      </c>
      <c r="AN830" s="253">
        <v>0</v>
      </c>
      <c r="AO830" s="253">
        <v>0</v>
      </c>
      <c r="AP830" s="253">
        <v>0</v>
      </c>
      <c r="AQ830" s="253">
        <v>0</v>
      </c>
      <c r="AR830" s="253">
        <v>0</v>
      </c>
      <c r="AS830" s="253">
        <v>0</v>
      </c>
      <c r="AT830" s="253">
        <v>0</v>
      </c>
      <c r="AU830" s="253">
        <v>0</v>
      </c>
      <c r="AV830" s="253">
        <v>0</v>
      </c>
      <c r="AW830" s="253">
        <v>0</v>
      </c>
      <c r="AX830" s="253">
        <v>0</v>
      </c>
      <c r="AY830" s="253">
        <v>0</v>
      </c>
      <c r="AZ830" s="271">
        <v>1</v>
      </c>
      <c r="BA830" s="271">
        <v>1</v>
      </c>
      <c r="BB830" s="253">
        <v>1</v>
      </c>
      <c r="BC830" s="253">
        <v>0</v>
      </c>
      <c r="BD830" s="253">
        <v>0</v>
      </c>
      <c r="BE830" s="253">
        <v>0</v>
      </c>
      <c r="BF830" s="253">
        <v>0</v>
      </c>
      <c r="BG830" s="253" t="s">
        <v>95</v>
      </c>
      <c r="BH830" s="2" t="str" cm="1">
        <f t="array" ref="BH830">IF(COUNTIF(BB830:BD830,"&lt;&gt;0")=1,INDEX($X$4:$AY$4,MATCH(TRUE,INDEX($X830:$AY830&lt;&gt;0,),0)),IF(COUNTIF(BB830:BD830,"&lt;&gt;0")=0,INDEX($AO$4:$AY$4,MATCH(1,$AO830:$AY830,0)),"Multiple strategies"))</f>
        <v>Silviculture for productivity</v>
      </c>
      <c r="BI830" s="272" t="s">
        <v>229</v>
      </c>
      <c r="BJ830" s="253" t="s">
        <v>230</v>
      </c>
      <c r="BK830" s="273" t="s">
        <v>2754</v>
      </c>
      <c r="BL830" s="270" t="s">
        <v>231</v>
      </c>
      <c r="BM830" s="253">
        <v>53.012261813210301</v>
      </c>
      <c r="BN830" s="253">
        <v>63.5091743119266</v>
      </c>
      <c r="BO830" s="270">
        <v>1.1980091424075126</v>
      </c>
      <c r="BP830" s="253">
        <v>10.496912498716299</v>
      </c>
      <c r="BQ830" s="270">
        <v>21.422270405543468</v>
      </c>
      <c r="BR830" s="270" t="s">
        <v>232</v>
      </c>
      <c r="BS830" s="273" t="s">
        <v>2754</v>
      </c>
      <c r="BT830" s="270" t="s">
        <v>233</v>
      </c>
      <c r="BU830" s="253">
        <v>-8.8453815261044095</v>
      </c>
      <c r="BV830" s="253">
        <v>-8.71587255658436</v>
      </c>
      <c r="BW830" s="255">
        <v>0.98535857733916354</v>
      </c>
      <c r="BX830" s="253">
        <v>0.12950896952004953</v>
      </c>
      <c r="BY830" s="253"/>
      <c r="BZ830" s="253">
        <v>1.2950896952004952E-4</v>
      </c>
      <c r="CA830" s="253">
        <v>6.0455295852551797E-6</v>
      </c>
      <c r="CB830" s="253">
        <v>0</v>
      </c>
      <c r="CC830" s="253">
        <v>0</v>
      </c>
      <c r="CD830" s="253">
        <v>0</v>
      </c>
      <c r="CE830" s="253">
        <v>0</v>
      </c>
      <c r="CF830" s="253">
        <v>0</v>
      </c>
      <c r="CG830" s="253">
        <v>0</v>
      </c>
      <c r="CH830" s="253">
        <v>0</v>
      </c>
      <c r="CI830" s="253">
        <v>0</v>
      </c>
      <c r="CJ830" s="253">
        <v>0</v>
      </c>
      <c r="CK830" s="253">
        <v>0</v>
      </c>
      <c r="CL830" s="253">
        <v>0</v>
      </c>
      <c r="CM830" s="253">
        <v>0</v>
      </c>
      <c r="CN830" s="253">
        <v>0</v>
      </c>
      <c r="CO830" s="253">
        <v>0</v>
      </c>
      <c r="CP830" s="253" t="s">
        <v>2755</v>
      </c>
      <c r="CQ830" s="253">
        <v>53.012261813210301</v>
      </c>
      <c r="CR830" s="253">
        <v>63.5091743119266</v>
      </c>
      <c r="CS830" s="253">
        <v>21.422270405543468</v>
      </c>
      <c r="CT830">
        <f>IF(BI830="Roundwood",$CS830/2,$CS830)</f>
        <v>21.422270405543468</v>
      </c>
      <c r="CU830" s="253">
        <v>-8.8453815261044095</v>
      </c>
      <c r="CV830" s="253">
        <v>-8.71587255658436</v>
      </c>
      <c r="CW830" s="253">
        <v>1.2950896952004952E-4</v>
      </c>
      <c r="CX830">
        <f>IFERROR($CW830/$CS830,"")</f>
        <v>6.0455295852551797E-6</v>
      </c>
      <c r="CY830">
        <f>IFERROR($CW830/$CS830,"")</f>
        <v>6.0455295852551797E-6</v>
      </c>
      <c r="CZ830">
        <f>IFERROR($CW830/$CT830,"")</f>
        <v>6.0455295852551797E-6</v>
      </c>
      <c r="DA830" s="254">
        <v>1.4641422660836487E-2</v>
      </c>
      <c r="DB830" s="252" t="s">
        <v>234</v>
      </c>
      <c r="DC830" s="253" t="s">
        <v>2756</v>
      </c>
      <c r="DD830" s="253" t="s">
        <v>235</v>
      </c>
      <c r="DE830" s="253"/>
      <c r="DF830" s="270"/>
      <c r="DG830" s="270">
        <v>80</v>
      </c>
      <c r="DH830" s="253" t="s">
        <v>2757</v>
      </c>
      <c r="DI830" s="253">
        <v>0</v>
      </c>
      <c r="DJ830" s="253">
        <v>1</v>
      </c>
      <c r="DK830" s="253">
        <v>0</v>
      </c>
      <c r="DL830" s="253">
        <v>0</v>
      </c>
      <c r="DM830" s="253"/>
      <c r="DN830" s="253">
        <v>1</v>
      </c>
      <c r="DO830" s="253" t="s">
        <v>173</v>
      </c>
      <c r="DP830" s="253">
        <v>0</v>
      </c>
      <c r="DQ830" s="253" t="s">
        <v>180</v>
      </c>
      <c r="DR830" s="253">
        <v>0</v>
      </c>
      <c r="DS830" s="253">
        <v>0</v>
      </c>
      <c r="DT830" s="253">
        <v>0</v>
      </c>
      <c r="DU830" s="270">
        <v>0</v>
      </c>
      <c r="DV830" s="270">
        <v>0</v>
      </c>
      <c r="DW830" s="270">
        <v>0</v>
      </c>
      <c r="DX830" s="270">
        <v>0</v>
      </c>
      <c r="DY830" s="253">
        <v>0</v>
      </c>
      <c r="DZ830" s="270" t="s">
        <v>926</v>
      </c>
      <c r="EA830" s="270">
        <v>1</v>
      </c>
      <c r="EB830" s="270">
        <v>1</v>
      </c>
      <c r="EC830" s="270">
        <v>1</v>
      </c>
      <c r="ED830" s="270">
        <v>0</v>
      </c>
      <c r="EE830" s="253">
        <v>0</v>
      </c>
      <c r="EF830" s="270">
        <v>0</v>
      </c>
      <c r="EG830" s="270">
        <v>1</v>
      </c>
      <c r="EH830" s="270">
        <v>1</v>
      </c>
      <c r="EI830" s="270">
        <v>0</v>
      </c>
      <c r="EJ830" s="270">
        <v>0</v>
      </c>
      <c r="EK830" s="253">
        <v>1</v>
      </c>
      <c r="EL830" s="270">
        <v>0</v>
      </c>
      <c r="EM830" s="253">
        <v>0</v>
      </c>
      <c r="EN830" s="254">
        <v>0</v>
      </c>
      <c r="EO830" s="252"/>
      <c r="EP830" t="str">
        <f>IF(AND(AND(AND(OR($EC830=1,$EB830=1),OR($EH830=1,$EF830=1)),SUM($EA830:$EE830,$EK830)&gt;=3),SUM($EF830:$EJ830)&gt;=2),"Whole sector approach","")</f>
        <v>Whole sector approach</v>
      </c>
      <c r="EQ830" t="str">
        <f>IF(AND(AND(OR($EC830=1,$EB830=1),AND($EH830=0,$EF830=0)),SUM($EA830:$EE830,$EK830)&gt;=4),"Ecosystem approach","")</f>
        <v/>
      </c>
      <c r="ER830" s="254" t="s">
        <v>531</v>
      </c>
      <c r="ES830" t="str">
        <f>IF(AND($EC830+$EB830+$EE830+$EA830+$ED830+$EG830=0,$N830="included"),"C neutral forest and HWP assumption","")</f>
        <v/>
      </c>
      <c r="ET830" t="str">
        <f>IF(AND(AND(AND(AND($EC830=1,$EB830+$EA830+$EG830&gt;=1),$EF830=1),$EH830+$EI830+$ED830+$EE830&gt;=2),$N830="included"),"All C pools assumption","")</f>
        <v/>
      </c>
      <c r="EU830" t="str">
        <f>IF(AND($ED830+$EE830+$EI830+$EH830+$EF830=0,$N830="included"),"In-situ only assumption","")</f>
        <v/>
      </c>
      <c r="EV830" s="253"/>
      <c r="EW830" s="253" t="s">
        <v>236</v>
      </c>
      <c r="EX830" s="253"/>
      <c r="EY830" t="str">
        <f>IF(ISNUMBER(BW830),IF(ABS(BW830-[3]QC_indicators!$B$2)&gt;3*[3]QC_indicators!$C$2,"C ratio",IF(ISNUMBER(CA830),IF(ABS(CA830-[3]QC_indicators!$B$1)&gt;3*[3]QC_indicators!$C$1,"DF","no"))),IF(ISNUMBER(CA830),IF(ABS(CA830-[3]QC_indicators!$B$1)&gt;3*[3]QC_indicators!$C$1,"DF","no")))</f>
        <v>no</v>
      </c>
      <c r="FA830" t="str">
        <f>IF(LEN($CY830)=0,"",IF(AND($CY830&lt;(-0.05),$ES830="C neutral forest and HWP assumption"),"Cneutral paradox",IF(AND($CY830&gt;0.05,$EU830="In-situ only assumption"),"In-situ only paradox","")))</f>
        <v/>
      </c>
    </row>
    <row r="831" spans="1:159" ht="15" hidden="1" customHeight="1">
      <c r="A831" s="252" t="s">
        <v>214</v>
      </c>
      <c r="B831" s="253" t="s">
        <v>215</v>
      </c>
      <c r="C831" s="253" t="s">
        <v>216</v>
      </c>
      <c r="D831" s="253" t="s">
        <v>217</v>
      </c>
      <c r="E831" s="253" t="s">
        <v>218</v>
      </c>
      <c r="F831" s="253" t="s">
        <v>219</v>
      </c>
      <c r="G831" s="253" t="s">
        <v>220</v>
      </c>
      <c r="H831" s="253"/>
      <c r="I831" s="253">
        <v>2012</v>
      </c>
      <c r="J831" s="253"/>
      <c r="K831" s="253" t="s">
        <v>221</v>
      </c>
      <c r="L831" s="253"/>
      <c r="M831" s="253" t="s">
        <v>2753</v>
      </c>
      <c r="N831" s="253" t="s">
        <v>222</v>
      </c>
      <c r="O831" s="269" t="s">
        <v>223</v>
      </c>
      <c r="P831" s="253"/>
      <c r="Q831" s="253" t="s">
        <v>224</v>
      </c>
      <c r="R831" s="254" t="s">
        <v>225</v>
      </c>
      <c r="S831" s="252" t="s">
        <v>241</v>
      </c>
      <c r="T831" s="253" t="s">
        <v>244</v>
      </c>
      <c r="U831" s="270" t="s">
        <v>242</v>
      </c>
      <c r="V831" s="253">
        <v>0</v>
      </c>
      <c r="W831" s="253">
        <v>0</v>
      </c>
      <c r="X831" s="253">
        <v>0</v>
      </c>
      <c r="Y831" s="253">
        <v>0</v>
      </c>
      <c r="Z831" s="253">
        <v>0</v>
      </c>
      <c r="AA831" s="253">
        <v>0</v>
      </c>
      <c r="AB831" s="253">
        <v>0</v>
      </c>
      <c r="AC831" s="253">
        <v>0</v>
      </c>
      <c r="AD831" s="253">
        <v>0</v>
      </c>
      <c r="AE831" s="253">
        <v>1</v>
      </c>
      <c r="AF831" s="253">
        <v>0</v>
      </c>
      <c r="AG831" s="253">
        <v>0</v>
      </c>
      <c r="AH831" s="253">
        <v>0</v>
      </c>
      <c r="AI831" s="253">
        <v>0</v>
      </c>
      <c r="AJ831" s="253">
        <v>0</v>
      </c>
      <c r="AK831" s="253">
        <v>0</v>
      </c>
      <c r="AL831" s="253">
        <v>0</v>
      </c>
      <c r="AM831" s="253">
        <v>0</v>
      </c>
      <c r="AN831" s="253">
        <v>0</v>
      </c>
      <c r="AO831" s="253">
        <v>0</v>
      </c>
      <c r="AP831" s="253">
        <v>0</v>
      </c>
      <c r="AQ831" s="253">
        <v>0</v>
      </c>
      <c r="AR831" s="253">
        <v>0</v>
      </c>
      <c r="AS831" s="253">
        <v>0</v>
      </c>
      <c r="AT831" s="253">
        <v>0</v>
      </c>
      <c r="AU831" s="253">
        <v>0</v>
      </c>
      <c r="AV831" s="253">
        <v>0</v>
      </c>
      <c r="AW831" s="253">
        <v>0</v>
      </c>
      <c r="AX831" s="253">
        <v>0</v>
      </c>
      <c r="AY831" s="253">
        <v>0</v>
      </c>
      <c r="AZ831" s="271">
        <v>1</v>
      </c>
      <c r="BA831" s="271">
        <v>1</v>
      </c>
      <c r="BB831" s="253">
        <v>1</v>
      </c>
      <c r="BC831" s="253">
        <v>0</v>
      </c>
      <c r="BD831" s="253">
        <v>0</v>
      </c>
      <c r="BE831" s="253">
        <v>0</v>
      </c>
      <c r="BF831" s="253">
        <v>0</v>
      </c>
      <c r="BG831" s="253" t="s">
        <v>95</v>
      </c>
      <c r="BH831" s="2" t="str" cm="1">
        <f t="array" ref="BH831">IF(COUNTIF(BB831:BD831,"&lt;&gt;0")=1,INDEX($X$4:$AY$4,MATCH(TRUE,INDEX($X831:$AY831&lt;&gt;0,),0)),IF(COUNTIF(BB831:BD831,"&lt;&gt;0")=0,INDEX($AO$4:$AY$4,MATCH(1,$AO831:$AY831,0)),"Multiple strategies"))</f>
        <v>Silviculture for productivity</v>
      </c>
      <c r="BI831" s="272" t="s">
        <v>229</v>
      </c>
      <c r="BJ831" s="253" t="s">
        <v>230</v>
      </c>
      <c r="BK831" s="273" t="s">
        <v>2754</v>
      </c>
      <c r="BL831" s="270" t="s">
        <v>231</v>
      </c>
      <c r="BM831" s="253">
        <v>56.739926739926702</v>
      </c>
      <c r="BN831" s="253">
        <v>66.639750491326893</v>
      </c>
      <c r="BO831" s="270">
        <v>1.1744772036237736</v>
      </c>
      <c r="BP831" s="253">
        <v>9.8998237514001914</v>
      </c>
      <c r="BQ831" s="270">
        <v>20.203721941633045</v>
      </c>
      <c r="BR831" s="270" t="s">
        <v>232</v>
      </c>
      <c r="BS831" s="273" t="s">
        <v>2754</v>
      </c>
      <c r="BT831" s="270" t="s">
        <v>233</v>
      </c>
      <c r="BU831" s="253">
        <v>-9.5324096193661401</v>
      </c>
      <c r="BV831" s="253">
        <v>-9.4136546184738901</v>
      </c>
      <c r="BW831" s="255">
        <v>0.98754197462822135</v>
      </c>
      <c r="BX831" s="253">
        <v>0.11875500089225</v>
      </c>
      <c r="BY831" s="253"/>
      <c r="BZ831" s="253">
        <v>1.1875500089224999E-4</v>
      </c>
      <c r="CA831" s="253">
        <v>5.8778774146329967E-6</v>
      </c>
      <c r="CB831" s="253">
        <v>0</v>
      </c>
      <c r="CC831" s="253">
        <v>0</v>
      </c>
      <c r="CD831" s="253">
        <v>0</v>
      </c>
      <c r="CE831" s="253">
        <v>0</v>
      </c>
      <c r="CF831" s="253">
        <v>0</v>
      </c>
      <c r="CG831" s="253">
        <v>0</v>
      </c>
      <c r="CH831" s="253">
        <v>0</v>
      </c>
      <c r="CI831" s="253">
        <v>0</v>
      </c>
      <c r="CJ831" s="253">
        <v>0</v>
      </c>
      <c r="CK831" s="253">
        <v>0</v>
      </c>
      <c r="CL831" s="253">
        <v>0</v>
      </c>
      <c r="CM831" s="253">
        <v>0</v>
      </c>
      <c r="CN831" s="253">
        <v>0</v>
      </c>
      <c r="CO831" s="253">
        <v>0</v>
      </c>
      <c r="CP831" s="253" t="s">
        <v>2755</v>
      </c>
      <c r="CQ831" s="253">
        <v>56.739926739926702</v>
      </c>
      <c r="CR831" s="253">
        <v>66.639750491326893</v>
      </c>
      <c r="CS831" s="253">
        <v>20.203721941633045</v>
      </c>
      <c r="CT831">
        <f>IF(BI831="Roundwood",$CS831/2,$CS831)</f>
        <v>20.203721941633045</v>
      </c>
      <c r="CU831" s="253">
        <v>-9.5324096193661401</v>
      </c>
      <c r="CV831" s="253">
        <v>-9.4136546184738901</v>
      </c>
      <c r="CW831" s="253">
        <v>1.1875500089224999E-4</v>
      </c>
      <c r="CX831">
        <f>IFERROR($CW831/$CS831,"")</f>
        <v>5.8778774146329967E-6</v>
      </c>
      <c r="CY831">
        <f>IFERROR($CW831/$CS831,"")</f>
        <v>5.8778774146329967E-6</v>
      </c>
      <c r="CZ831">
        <f>IFERROR($CW831/$CT831,"")</f>
        <v>5.8778774146329967E-6</v>
      </c>
      <c r="DA831" s="254">
        <v>1.2458025371778625E-2</v>
      </c>
      <c r="DB831" s="252" t="s">
        <v>234</v>
      </c>
      <c r="DC831" s="253" t="s">
        <v>2756</v>
      </c>
      <c r="DD831" s="253" t="s">
        <v>235</v>
      </c>
      <c r="DE831" s="253"/>
      <c r="DF831" s="270"/>
      <c r="DG831" s="270">
        <v>80</v>
      </c>
      <c r="DH831" s="253" t="s">
        <v>2757</v>
      </c>
      <c r="DI831" s="253">
        <v>0</v>
      </c>
      <c r="DJ831" s="253">
        <v>1</v>
      </c>
      <c r="DK831" s="253">
        <v>0</v>
      </c>
      <c r="DL831" s="253">
        <v>0</v>
      </c>
      <c r="DM831" s="253"/>
      <c r="DN831" s="253">
        <v>1</v>
      </c>
      <c r="DO831" s="253" t="s">
        <v>173</v>
      </c>
      <c r="DP831" s="253">
        <v>0</v>
      </c>
      <c r="DQ831" s="253" t="s">
        <v>180</v>
      </c>
      <c r="DR831" s="253">
        <v>0</v>
      </c>
      <c r="DS831" s="253">
        <v>0</v>
      </c>
      <c r="DT831" s="253">
        <v>0</v>
      </c>
      <c r="DU831" s="270">
        <v>0</v>
      </c>
      <c r="DV831" s="270">
        <v>0</v>
      </c>
      <c r="DW831" s="270">
        <v>0</v>
      </c>
      <c r="DX831" s="270">
        <v>0</v>
      </c>
      <c r="DY831" s="253">
        <v>0</v>
      </c>
      <c r="DZ831" s="270" t="s">
        <v>926</v>
      </c>
      <c r="EA831" s="270">
        <v>1</v>
      </c>
      <c r="EB831" s="270">
        <v>1</v>
      </c>
      <c r="EC831" s="270">
        <v>1</v>
      </c>
      <c r="ED831" s="270">
        <v>0</v>
      </c>
      <c r="EE831" s="253">
        <v>0</v>
      </c>
      <c r="EF831" s="270">
        <v>0</v>
      </c>
      <c r="EG831" s="270">
        <v>1</v>
      </c>
      <c r="EH831" s="270">
        <v>1</v>
      </c>
      <c r="EI831" s="270">
        <v>0</v>
      </c>
      <c r="EJ831" s="270">
        <v>0</v>
      </c>
      <c r="EK831" s="253">
        <v>1</v>
      </c>
      <c r="EL831" s="270">
        <v>0</v>
      </c>
      <c r="EM831" s="253">
        <v>0</v>
      </c>
      <c r="EN831" s="254">
        <v>0</v>
      </c>
      <c r="EO831" s="252"/>
      <c r="EP831" t="str">
        <f>IF(AND(AND(AND(OR($EC831=1,$EB831=1),OR($EH831=1,$EF831=1)),SUM($EA831:$EE831,$EK831)&gt;=3),SUM($EF831:$EJ831)&gt;=2),"Whole sector approach","")</f>
        <v>Whole sector approach</v>
      </c>
      <c r="EQ831" t="str">
        <f>IF(AND(AND(OR($EC831=1,$EB831=1),AND($EH831=0,$EF831=0)),SUM($EA831:$EE831,$EK831)&gt;=4),"Ecosystem approach","")</f>
        <v/>
      </c>
      <c r="ER831" s="254" t="s">
        <v>531</v>
      </c>
      <c r="ES831" t="str">
        <f>IF(AND($EC831+$EB831+$EE831+$EA831+$ED831+$EG831=0,$N831="included"),"C neutral forest and HWP assumption","")</f>
        <v/>
      </c>
      <c r="ET831" t="str">
        <f>IF(AND(AND(AND(AND($EC831=1,$EB831+$EA831+$EG831&gt;=1),$EF831=1),$EH831+$EI831+$ED831+$EE831&gt;=2),$N831="included"),"All C pools assumption","")</f>
        <v/>
      </c>
      <c r="EU831" t="str">
        <f>IF(AND($ED831+$EE831+$EI831+$EH831+$EF831=0,$N831="included"),"In-situ only assumption","")</f>
        <v/>
      </c>
      <c r="EV831" s="253"/>
      <c r="EW831" s="253" t="s">
        <v>236</v>
      </c>
      <c r="EX831" s="253"/>
      <c r="EY831" t="str">
        <f>IF(ISNUMBER(BW831),IF(ABS(BW831-[3]QC_indicators!$B$2)&gt;3*[3]QC_indicators!$C$2,"C ratio",IF(ISNUMBER(CA831),IF(ABS(CA831-[3]QC_indicators!$B$1)&gt;3*[3]QC_indicators!$C$1,"DF","no"))),IF(ISNUMBER(CA831),IF(ABS(CA831-[3]QC_indicators!$B$1)&gt;3*[3]QC_indicators!$C$1,"DF","no")))</f>
        <v>no</v>
      </c>
      <c r="FA831" t="str">
        <f>IF(LEN($CY831)=0,"",IF(AND($CY831&lt;(-0.05),$ES831="C neutral forest and HWP assumption"),"Cneutral paradox",IF(AND($CY831&gt;0.05,$EU831="In-situ only assumption"),"In-situ only paradox","")))</f>
        <v/>
      </c>
    </row>
    <row r="832" spans="1:159" ht="15" hidden="1" customHeight="1">
      <c r="A832" s="252" t="s">
        <v>214</v>
      </c>
      <c r="B832" s="253" t="s">
        <v>215</v>
      </c>
      <c r="C832" s="253" t="s">
        <v>216</v>
      </c>
      <c r="D832" s="253" t="s">
        <v>217</v>
      </c>
      <c r="E832" s="253" t="s">
        <v>218</v>
      </c>
      <c r="F832" s="253" t="s">
        <v>219</v>
      </c>
      <c r="G832" s="253" t="s">
        <v>220</v>
      </c>
      <c r="H832" s="253"/>
      <c r="I832" s="253">
        <v>2012</v>
      </c>
      <c r="J832" s="253"/>
      <c r="K832" s="253" t="s">
        <v>221</v>
      </c>
      <c r="L832" s="253"/>
      <c r="M832" s="253" t="s">
        <v>2753</v>
      </c>
      <c r="N832" s="253" t="s">
        <v>222</v>
      </c>
      <c r="O832" s="269" t="s">
        <v>223</v>
      </c>
      <c r="P832" s="253"/>
      <c r="Q832" s="253" t="s">
        <v>224</v>
      </c>
      <c r="R832" s="254" t="s">
        <v>225</v>
      </c>
      <c r="S832" s="252" t="s">
        <v>240</v>
      </c>
      <c r="T832" s="253">
        <v>2000</v>
      </c>
      <c r="U832" s="253">
        <v>4000</v>
      </c>
      <c r="V832" s="253">
        <v>0</v>
      </c>
      <c r="W832" s="253">
        <v>0</v>
      </c>
      <c r="X832" s="253">
        <v>0</v>
      </c>
      <c r="Y832" s="253">
        <v>0</v>
      </c>
      <c r="Z832" s="253">
        <v>0</v>
      </c>
      <c r="AA832" s="253">
        <v>0</v>
      </c>
      <c r="AB832" s="253">
        <v>0</v>
      </c>
      <c r="AC832" s="253">
        <v>1</v>
      </c>
      <c r="AD832" s="253">
        <v>0</v>
      </c>
      <c r="AE832" s="253">
        <v>0</v>
      </c>
      <c r="AF832" s="253">
        <v>0</v>
      </c>
      <c r="AG832" s="253">
        <v>0</v>
      </c>
      <c r="AH832" s="253">
        <v>0</v>
      </c>
      <c r="AI832" s="253">
        <v>0</v>
      </c>
      <c r="AJ832" s="253">
        <v>0</v>
      </c>
      <c r="AK832" s="253">
        <v>0</v>
      </c>
      <c r="AL832" s="253">
        <v>0</v>
      </c>
      <c r="AM832" s="253">
        <v>0</v>
      </c>
      <c r="AN832" s="253">
        <v>0</v>
      </c>
      <c r="AO832" s="253">
        <v>0</v>
      </c>
      <c r="AP832" s="253">
        <v>0</v>
      </c>
      <c r="AQ832" s="253">
        <v>0</v>
      </c>
      <c r="AR832" s="253">
        <v>0</v>
      </c>
      <c r="AS832" s="253">
        <v>0</v>
      </c>
      <c r="AT832" s="253">
        <v>0</v>
      </c>
      <c r="AU832" s="253">
        <v>0</v>
      </c>
      <c r="AV832" s="253">
        <v>0</v>
      </c>
      <c r="AW832" s="253">
        <v>0</v>
      </c>
      <c r="AX832" s="253">
        <v>0</v>
      </c>
      <c r="AY832" s="253">
        <v>0</v>
      </c>
      <c r="AZ832" s="271">
        <v>1</v>
      </c>
      <c r="BA832" s="271">
        <v>1</v>
      </c>
      <c r="BB832" s="253">
        <v>1</v>
      </c>
      <c r="BC832" s="253">
        <v>0</v>
      </c>
      <c r="BD832" s="253">
        <v>0</v>
      </c>
      <c r="BE832" s="253">
        <v>0</v>
      </c>
      <c r="BF832" s="253">
        <v>0</v>
      </c>
      <c r="BG832" s="253" t="s">
        <v>93</v>
      </c>
      <c r="BH832" s="2" t="str" cm="1">
        <f t="array" ref="BH832">IF(COUNTIF(BB832:BD832,"&lt;&gt;0")=1,INDEX($X$4:$AY$4,MATCH(TRUE,INDEX($X832:$AY832&lt;&gt;0,),0)),IF(COUNTIF(BB832:BD832,"&lt;&gt;0")=0,INDEX($AO$4:$AY$4,MATCH(1,$AO832:$AY832,0)),"Multiple strategies"))</f>
        <v>Silviculture for productivity</v>
      </c>
      <c r="BI832" s="272" t="s">
        <v>229</v>
      </c>
      <c r="BJ832" s="253" t="s">
        <v>230</v>
      </c>
      <c r="BK832" s="273" t="s">
        <v>2754</v>
      </c>
      <c r="BL832" s="270" t="s">
        <v>231</v>
      </c>
      <c r="BM832" s="253">
        <v>64.183526540000003</v>
      </c>
      <c r="BN832" s="253">
        <v>75.212579790000007</v>
      </c>
      <c r="BO832" s="270">
        <v>1.1718361991706168</v>
      </c>
      <c r="BP832" s="253">
        <v>11.029053250000004</v>
      </c>
      <c r="BQ832" s="270">
        <v>22.508271938775518</v>
      </c>
      <c r="BR832" s="270" t="s">
        <v>232</v>
      </c>
      <c r="BS832" s="273" t="s">
        <v>2754</v>
      </c>
      <c r="BT832" s="270" t="s">
        <v>233</v>
      </c>
      <c r="BU832" s="253">
        <v>-8.4950335569999993</v>
      </c>
      <c r="BV832" s="253">
        <v>-8.4548837900000002</v>
      </c>
      <c r="BW832" s="255">
        <v>0.99527373650373452</v>
      </c>
      <c r="BX832" s="253">
        <v>4.0149766999999059E-2</v>
      </c>
      <c r="BY832" s="253"/>
      <c r="BZ832" s="253">
        <v>4.0149766999999061E-5</v>
      </c>
      <c r="CA832" s="253">
        <v>1.783778297561446E-6</v>
      </c>
      <c r="CB832" s="253">
        <v>0</v>
      </c>
      <c r="CC832" s="253">
        <v>0</v>
      </c>
      <c r="CD832" s="253">
        <v>0</v>
      </c>
      <c r="CE832" s="253">
        <v>0</v>
      </c>
      <c r="CF832" s="253">
        <v>0</v>
      </c>
      <c r="CG832" s="253">
        <v>0</v>
      </c>
      <c r="CH832" s="253">
        <v>0</v>
      </c>
      <c r="CI832" s="253">
        <v>0</v>
      </c>
      <c r="CJ832" s="253">
        <v>0</v>
      </c>
      <c r="CK832" s="253">
        <v>0</v>
      </c>
      <c r="CL832" s="253">
        <v>0</v>
      </c>
      <c r="CM832" s="253">
        <v>0</v>
      </c>
      <c r="CN832" s="253">
        <v>0</v>
      </c>
      <c r="CO832" s="253">
        <v>0</v>
      </c>
      <c r="CP832" s="253" t="s">
        <v>2755</v>
      </c>
      <c r="CQ832" s="253">
        <v>64.183526540000003</v>
      </c>
      <c r="CR832" s="253">
        <v>75.212579790000007</v>
      </c>
      <c r="CS832" s="253">
        <v>22.508271938775518</v>
      </c>
      <c r="CT832">
        <f>IF(BI832="Roundwood",$CS832/2,$CS832)</f>
        <v>22.508271938775518</v>
      </c>
      <c r="CU832" s="253">
        <v>-8.4950335569999993</v>
      </c>
      <c r="CV832" s="253">
        <v>-8.4548837900000002</v>
      </c>
      <c r="CW832" s="253">
        <v>4.0149766999999061E-5</v>
      </c>
      <c r="CX832">
        <f>IFERROR($CW832/$CS832,"")</f>
        <v>1.783778297561446E-6</v>
      </c>
      <c r="CY832">
        <f>IFERROR($CW832/$CS832,"")</f>
        <v>1.783778297561446E-6</v>
      </c>
      <c r="CZ832">
        <f>IFERROR($CW832/$CT832,"")</f>
        <v>1.783778297561446E-6</v>
      </c>
      <c r="DA832" s="254">
        <v>4.7262634962654407E-3</v>
      </c>
      <c r="DB832" s="252" t="s">
        <v>234</v>
      </c>
      <c r="DC832" s="253" t="s">
        <v>2756</v>
      </c>
      <c r="DD832" s="253" t="s">
        <v>235</v>
      </c>
      <c r="DE832" s="253"/>
      <c r="DF832" s="270"/>
      <c r="DG832" s="270">
        <v>80</v>
      </c>
      <c r="DH832" s="253" t="s">
        <v>2757</v>
      </c>
      <c r="DI832" s="253">
        <v>0</v>
      </c>
      <c r="DJ832" s="253">
        <v>1</v>
      </c>
      <c r="DK832" s="253">
        <v>0</v>
      </c>
      <c r="DL832" s="253">
        <v>0</v>
      </c>
      <c r="DM832" s="253"/>
      <c r="DN832" s="253">
        <v>1</v>
      </c>
      <c r="DO832" s="253" t="s">
        <v>173</v>
      </c>
      <c r="DP832" s="253">
        <v>0</v>
      </c>
      <c r="DQ832" s="253" t="s">
        <v>180</v>
      </c>
      <c r="DR832" s="253">
        <v>0</v>
      </c>
      <c r="DS832" s="253">
        <v>0</v>
      </c>
      <c r="DT832" s="253">
        <v>0</v>
      </c>
      <c r="DU832" s="270">
        <v>0</v>
      </c>
      <c r="DV832" s="270">
        <v>0</v>
      </c>
      <c r="DW832" s="270">
        <v>0</v>
      </c>
      <c r="DX832" s="270">
        <v>0</v>
      </c>
      <c r="DY832" s="253">
        <v>0</v>
      </c>
      <c r="DZ832" s="270" t="s">
        <v>926</v>
      </c>
      <c r="EA832" s="270">
        <v>1</v>
      </c>
      <c r="EB832" s="270">
        <v>1</v>
      </c>
      <c r="EC832" s="270">
        <v>1</v>
      </c>
      <c r="ED832" s="270">
        <v>0</v>
      </c>
      <c r="EE832" s="253">
        <v>0</v>
      </c>
      <c r="EF832" s="270">
        <v>0</v>
      </c>
      <c r="EG832" s="270">
        <v>1</v>
      </c>
      <c r="EH832" s="270">
        <v>1</v>
      </c>
      <c r="EI832" s="270">
        <v>0</v>
      </c>
      <c r="EJ832" s="270">
        <v>0</v>
      </c>
      <c r="EK832" s="253">
        <v>1</v>
      </c>
      <c r="EL832" s="270">
        <v>0</v>
      </c>
      <c r="EM832" s="253">
        <v>0</v>
      </c>
      <c r="EN832" s="254">
        <v>0</v>
      </c>
      <c r="EO832" s="252"/>
      <c r="EP832" t="str">
        <f>IF(AND(AND(AND(OR($EC832=1,$EB832=1),OR($EH832=1,$EF832=1)),SUM($EA832:$EE832,$EK832)&gt;=3),SUM($EF832:$EJ832)&gt;=2),"Whole sector approach","")</f>
        <v>Whole sector approach</v>
      </c>
      <c r="EQ832" t="str">
        <f>IF(AND(AND(OR($EC832=1,$EB832=1),AND($EH832=0,$EF832=0)),SUM($EA832:$EE832,$EK832)&gt;=4),"Ecosystem approach","")</f>
        <v/>
      </c>
      <c r="ER832" s="254" t="s">
        <v>531</v>
      </c>
      <c r="ES832" t="str">
        <f>IF(AND($EC832+$EB832+$EE832+$EA832+$ED832+$EG832=0,$N832="included"),"C neutral forest and HWP assumption","")</f>
        <v/>
      </c>
      <c r="ET832" t="str">
        <f>IF(AND(AND(AND(AND($EC832=1,$EB832+$EA832+$EG832&gt;=1),$EF832=1),$EH832+$EI832+$ED832+$EE832&gt;=2),$N832="included"),"All C pools assumption","")</f>
        <v/>
      </c>
      <c r="EU832" t="str">
        <f>IF(AND($ED832+$EE832+$EI832+$EH832+$EF832=0,$N832="included"),"In-situ only assumption","")</f>
        <v/>
      </c>
      <c r="EV832" s="253"/>
      <c r="EW832" s="253" t="s">
        <v>236</v>
      </c>
      <c r="EX832" s="253"/>
      <c r="EY832" t="str">
        <f>IF(ISNUMBER(BW832),IF(ABS(BW832-[3]QC_indicators!$B$2)&gt;3*[3]QC_indicators!$C$2,"C ratio",IF(ISNUMBER(CA832),IF(ABS(CA832-[3]QC_indicators!$B$1)&gt;3*[3]QC_indicators!$C$1,"DF","no"))),IF(ISNUMBER(CA832),IF(ABS(CA832-[3]QC_indicators!$B$1)&gt;3*[3]QC_indicators!$C$1,"DF","no")))</f>
        <v>no</v>
      </c>
      <c r="EZ832" s="274"/>
      <c r="FA832" t="str">
        <f>IF(LEN($CY832)=0,"",IF(AND($CY832&lt;(-0.05),$ES832="C neutral forest and HWP assumption"),"Cneutral paradox",IF(AND($CY832&gt;0.05,$EU832="In-situ only assumption"),"In-situ only paradox","")))</f>
        <v/>
      </c>
      <c r="FB832" s="274"/>
      <c r="FC832" s="274"/>
    </row>
    <row r="833" spans="1:159" ht="15" hidden="1" customHeight="1">
      <c r="A833" s="252" t="s">
        <v>214</v>
      </c>
      <c r="B833" s="253" t="s">
        <v>215</v>
      </c>
      <c r="C833" s="253" t="s">
        <v>216</v>
      </c>
      <c r="D833" s="253" t="s">
        <v>217</v>
      </c>
      <c r="E833" s="253" t="s">
        <v>218</v>
      </c>
      <c r="F833" s="253" t="s">
        <v>219</v>
      </c>
      <c r="G833" s="253" t="s">
        <v>220</v>
      </c>
      <c r="H833" s="253"/>
      <c r="I833" s="253">
        <v>2012</v>
      </c>
      <c r="J833" s="253"/>
      <c r="K833" s="253" t="s">
        <v>221</v>
      </c>
      <c r="L833" s="253"/>
      <c r="M833" s="253" t="s">
        <v>2753</v>
      </c>
      <c r="N833" s="253" t="s">
        <v>222</v>
      </c>
      <c r="O833" s="269" t="s">
        <v>223</v>
      </c>
      <c r="P833" s="253"/>
      <c r="Q833" s="253" t="s">
        <v>224</v>
      </c>
      <c r="R833" s="254" t="s">
        <v>225</v>
      </c>
      <c r="S833" s="252" t="s">
        <v>240</v>
      </c>
      <c r="T833" s="253">
        <v>2000</v>
      </c>
      <c r="U833" s="253">
        <v>4000</v>
      </c>
      <c r="V833" s="253">
        <v>0</v>
      </c>
      <c r="W833" s="253">
        <v>0</v>
      </c>
      <c r="X833" s="253">
        <v>0</v>
      </c>
      <c r="Y833" s="253">
        <v>0</v>
      </c>
      <c r="Z833" s="253">
        <v>0</v>
      </c>
      <c r="AA833" s="253">
        <v>0</v>
      </c>
      <c r="AB833" s="253">
        <v>0</v>
      </c>
      <c r="AC833" s="253">
        <v>1</v>
      </c>
      <c r="AD833" s="253">
        <v>0</v>
      </c>
      <c r="AE833" s="253">
        <v>0</v>
      </c>
      <c r="AF833" s="253">
        <v>0</v>
      </c>
      <c r="AG833" s="253">
        <v>0</v>
      </c>
      <c r="AH833" s="253">
        <v>0</v>
      </c>
      <c r="AI833" s="253">
        <v>0</v>
      </c>
      <c r="AJ833" s="253">
        <v>0</v>
      </c>
      <c r="AK833" s="253">
        <v>0</v>
      </c>
      <c r="AL833" s="253">
        <v>0</v>
      </c>
      <c r="AM833" s="253">
        <v>0</v>
      </c>
      <c r="AN833" s="253">
        <v>0</v>
      </c>
      <c r="AO833" s="253">
        <v>0</v>
      </c>
      <c r="AP833" s="253">
        <v>0</v>
      </c>
      <c r="AQ833" s="253">
        <v>0</v>
      </c>
      <c r="AR833" s="253">
        <v>0</v>
      </c>
      <c r="AS833" s="253">
        <v>0</v>
      </c>
      <c r="AT833" s="253">
        <v>0</v>
      </c>
      <c r="AU833" s="253">
        <v>0</v>
      </c>
      <c r="AV833" s="253">
        <v>0</v>
      </c>
      <c r="AW833" s="253">
        <v>0</v>
      </c>
      <c r="AX833" s="253">
        <v>0</v>
      </c>
      <c r="AY833" s="253">
        <v>0</v>
      </c>
      <c r="AZ833" s="271">
        <v>1</v>
      </c>
      <c r="BA833" s="271">
        <v>1</v>
      </c>
      <c r="BB833" s="253">
        <v>1</v>
      </c>
      <c r="BC833" s="253">
        <v>0</v>
      </c>
      <c r="BD833" s="253">
        <v>0</v>
      </c>
      <c r="BE833" s="253">
        <v>0</v>
      </c>
      <c r="BF833" s="253">
        <v>0</v>
      </c>
      <c r="BG833" s="253" t="s">
        <v>93</v>
      </c>
      <c r="BH833" s="2" t="str" cm="1">
        <f t="array" ref="BH833">IF(COUNTIF(BB833:BD833,"&lt;&gt;0")=1,INDEX($X$4:$AY$4,MATCH(TRUE,INDEX($X833:$AY833&lt;&gt;0,),0)),IF(COUNTIF(BB833:BD833,"&lt;&gt;0")=0,INDEX($AO$4:$AY$4,MATCH(1,$AO833:$AY833,0)),"Multiple strategies"))</f>
        <v>Silviculture for productivity</v>
      </c>
      <c r="BI833" s="272" t="s">
        <v>229</v>
      </c>
      <c r="BJ833" s="253" t="s">
        <v>230</v>
      </c>
      <c r="BK833" s="273" t="s">
        <v>2754</v>
      </c>
      <c r="BL833" s="270" t="s">
        <v>231</v>
      </c>
      <c r="BM833" s="253">
        <v>110.7133618</v>
      </c>
      <c r="BN833" s="253">
        <v>124.6996771</v>
      </c>
      <c r="BO833" s="270">
        <v>1.1263290633813994</v>
      </c>
      <c r="BP833" s="253">
        <v>13.986315300000001</v>
      </c>
      <c r="BQ833" s="270">
        <v>28.543500612244902</v>
      </c>
      <c r="BR833" s="270" t="s">
        <v>232</v>
      </c>
      <c r="BS833" s="273" t="s">
        <v>2754</v>
      </c>
      <c r="BT833" s="270" t="s">
        <v>233</v>
      </c>
      <c r="BU833" s="253">
        <v>-7.8881757170000002</v>
      </c>
      <c r="BV833" s="253">
        <v>-7.9158553720000002</v>
      </c>
      <c r="BW833" s="255">
        <v>1.0035090058833689</v>
      </c>
      <c r="BX833" s="253">
        <v>-2.7679655000000025E-2</v>
      </c>
      <c r="BY833" s="253"/>
      <c r="BZ833" s="253">
        <v>-2.7679655000000026E-5</v>
      </c>
      <c r="CA833" s="253">
        <v>-9.6973582098496033E-7</v>
      </c>
      <c r="CB833" s="253">
        <v>0</v>
      </c>
      <c r="CC833" s="253">
        <v>0</v>
      </c>
      <c r="CD833" s="253">
        <v>0</v>
      </c>
      <c r="CE833" s="253">
        <v>0</v>
      </c>
      <c r="CF833" s="253">
        <v>0</v>
      </c>
      <c r="CG833" s="253">
        <v>0</v>
      </c>
      <c r="CH833" s="253">
        <v>0</v>
      </c>
      <c r="CI833" s="253">
        <v>0</v>
      </c>
      <c r="CJ833" s="253">
        <v>0</v>
      </c>
      <c r="CK833" s="253">
        <v>0</v>
      </c>
      <c r="CL833" s="253">
        <v>0</v>
      </c>
      <c r="CM833" s="253">
        <v>0</v>
      </c>
      <c r="CN833" s="253">
        <v>0</v>
      </c>
      <c r="CO833" s="253">
        <v>0</v>
      </c>
      <c r="CP833" s="253" t="s">
        <v>2755</v>
      </c>
      <c r="CQ833" s="253">
        <v>110.7133618</v>
      </c>
      <c r="CR833" s="253">
        <v>124.6996771</v>
      </c>
      <c r="CS833" s="253">
        <v>28.543500612244902</v>
      </c>
      <c r="CT833">
        <f>IF(BI833="Roundwood",$CS833/2,$CS833)</f>
        <v>28.543500612244902</v>
      </c>
      <c r="CU833" s="253">
        <v>-7.8881757170000002</v>
      </c>
      <c r="CV833" s="253">
        <v>-7.9158553720000002</v>
      </c>
      <c r="CW833" s="253">
        <v>-2.7679655000000026E-5</v>
      </c>
      <c r="CX833">
        <f>IFERROR($CW833/$CS833,"")</f>
        <v>-9.6973582098496033E-7</v>
      </c>
      <c r="CY833">
        <f>IFERROR($CW833/$CS833,"")</f>
        <v>-9.6973582098496033E-7</v>
      </c>
      <c r="CZ833">
        <f>IFERROR($CW833/$CT833,"")</f>
        <v>-9.6973582098496033E-7</v>
      </c>
      <c r="DA833" s="254">
        <v>-3.5090058833688155E-3</v>
      </c>
      <c r="DB833" s="252" t="s">
        <v>234</v>
      </c>
      <c r="DC833" s="253" t="s">
        <v>2756</v>
      </c>
      <c r="DD833" s="253" t="s">
        <v>235</v>
      </c>
      <c r="DE833" s="253"/>
      <c r="DF833" s="270"/>
      <c r="DG833" s="270">
        <v>80</v>
      </c>
      <c r="DH833" s="253" t="s">
        <v>2757</v>
      </c>
      <c r="DI833" s="253">
        <v>0</v>
      </c>
      <c r="DJ833" s="253">
        <v>1</v>
      </c>
      <c r="DK833" s="253">
        <v>0</v>
      </c>
      <c r="DL833" s="253">
        <v>0</v>
      </c>
      <c r="DM833" s="253"/>
      <c r="DN833" s="253">
        <v>1</v>
      </c>
      <c r="DO833" s="253" t="s">
        <v>173</v>
      </c>
      <c r="DP833" s="253">
        <v>0</v>
      </c>
      <c r="DQ833" s="253" t="s">
        <v>180</v>
      </c>
      <c r="DR833" s="253">
        <v>0</v>
      </c>
      <c r="DS833" s="253">
        <v>0</v>
      </c>
      <c r="DT833" s="253">
        <v>0</v>
      </c>
      <c r="DU833" s="270">
        <v>0</v>
      </c>
      <c r="DV833" s="270">
        <v>0</v>
      </c>
      <c r="DW833" s="270">
        <v>0</v>
      </c>
      <c r="DX833" s="270">
        <v>0</v>
      </c>
      <c r="DY833" s="253">
        <v>0</v>
      </c>
      <c r="DZ833" s="270" t="s">
        <v>926</v>
      </c>
      <c r="EA833" s="270">
        <v>1</v>
      </c>
      <c r="EB833" s="270">
        <v>1</v>
      </c>
      <c r="EC833" s="270">
        <v>1</v>
      </c>
      <c r="ED833" s="270">
        <v>0</v>
      </c>
      <c r="EE833" s="253">
        <v>0</v>
      </c>
      <c r="EF833" s="270">
        <v>0</v>
      </c>
      <c r="EG833" s="270">
        <v>1</v>
      </c>
      <c r="EH833" s="270">
        <v>1</v>
      </c>
      <c r="EI833" s="270">
        <v>0</v>
      </c>
      <c r="EJ833" s="270">
        <v>0</v>
      </c>
      <c r="EK833" s="253">
        <v>1</v>
      </c>
      <c r="EL833" s="270">
        <v>0</v>
      </c>
      <c r="EM833" s="253">
        <v>0</v>
      </c>
      <c r="EN833" s="254">
        <v>0</v>
      </c>
      <c r="EO833" s="252"/>
      <c r="EP833" t="str">
        <f>IF(AND(AND(AND(OR($EC833=1,$EB833=1),OR($EH833=1,$EF833=1)),SUM($EA833:$EE833,$EK833)&gt;=3),SUM($EF833:$EJ833)&gt;=2),"Whole sector approach","")</f>
        <v>Whole sector approach</v>
      </c>
      <c r="EQ833" t="str">
        <f>IF(AND(AND(OR($EC833=1,$EB833=1),AND($EH833=0,$EF833=0)),SUM($EA833:$EE833,$EK833)&gt;=4),"Ecosystem approach","")</f>
        <v/>
      </c>
      <c r="ER833" s="254" t="s">
        <v>531</v>
      </c>
      <c r="ES833" t="str">
        <f>IF(AND($EC833+$EB833+$EE833+$EA833+$ED833+$EG833=0,$N833="included"),"C neutral forest and HWP assumption","")</f>
        <v/>
      </c>
      <c r="ET833" t="str">
        <f>IF(AND(AND(AND(AND($EC833=1,$EB833+$EA833+$EG833&gt;=1),$EF833=1),$EH833+$EI833+$ED833+$EE833&gt;=2),$N833="included"),"All C pools assumption","")</f>
        <v/>
      </c>
      <c r="EU833" t="str">
        <f>IF(AND($ED833+$EE833+$EI833+$EH833+$EF833=0,$N833="included"),"In-situ only assumption","")</f>
        <v/>
      </c>
      <c r="EV833" s="253"/>
      <c r="EW833" s="253" t="s">
        <v>236</v>
      </c>
      <c r="EX833" s="253"/>
      <c r="EY833" t="str">
        <f>IF(ISNUMBER(BW833),IF(ABS(BW833-[3]QC_indicators!$B$2)&gt;3*[3]QC_indicators!$C$2,"C ratio",IF(ISNUMBER(CA833),IF(ABS(CA833-[3]QC_indicators!$B$1)&gt;3*[3]QC_indicators!$C$1,"DF","no"))),IF(ISNUMBER(CA833),IF(ABS(CA833-[3]QC_indicators!$B$1)&gt;3*[3]QC_indicators!$C$1,"DF","no")))</f>
        <v>no</v>
      </c>
      <c r="EZ833" s="274"/>
      <c r="FA833" t="str">
        <f>IF(LEN($CY833)=0,"",IF(AND($CY833&lt;(-0.05),$ES833="C neutral forest and HWP assumption"),"Cneutral paradox",IF(AND($CY833&gt;0.05,$EU833="In-situ only assumption"),"In-situ only paradox","")))</f>
        <v/>
      </c>
      <c r="FB833" s="274"/>
      <c r="FC833" s="274"/>
    </row>
    <row r="834" spans="1:159" ht="15" hidden="1" customHeight="1">
      <c r="A834" s="252" t="s">
        <v>214</v>
      </c>
      <c r="B834" s="253" t="s">
        <v>215</v>
      </c>
      <c r="C834" s="253" t="s">
        <v>216</v>
      </c>
      <c r="D834" s="253" t="s">
        <v>217</v>
      </c>
      <c r="E834" s="253" t="s">
        <v>218</v>
      </c>
      <c r="F834" s="253" t="s">
        <v>219</v>
      </c>
      <c r="G834" s="253" t="s">
        <v>220</v>
      </c>
      <c r="H834" s="253"/>
      <c r="I834" s="253">
        <v>2012</v>
      </c>
      <c r="J834" s="253"/>
      <c r="K834" s="253" t="s">
        <v>221</v>
      </c>
      <c r="L834" s="253"/>
      <c r="M834" s="253" t="s">
        <v>2753</v>
      </c>
      <c r="N834" s="253" t="s">
        <v>222</v>
      </c>
      <c r="O834" s="269" t="s">
        <v>223</v>
      </c>
      <c r="P834" s="253"/>
      <c r="Q834" s="253" t="s">
        <v>224</v>
      </c>
      <c r="R834" s="254" t="s">
        <v>225</v>
      </c>
      <c r="S834" s="252" t="s">
        <v>240</v>
      </c>
      <c r="T834" s="253">
        <v>2000</v>
      </c>
      <c r="U834" s="253">
        <v>4000</v>
      </c>
      <c r="V834" s="253">
        <v>0</v>
      </c>
      <c r="W834" s="253">
        <v>0</v>
      </c>
      <c r="X834" s="253">
        <v>0</v>
      </c>
      <c r="Y834" s="253">
        <v>0</v>
      </c>
      <c r="Z834" s="253">
        <v>0</v>
      </c>
      <c r="AA834" s="253">
        <v>0</v>
      </c>
      <c r="AB834" s="253">
        <v>0</v>
      </c>
      <c r="AC834" s="253">
        <v>1</v>
      </c>
      <c r="AD834" s="253">
        <v>0</v>
      </c>
      <c r="AE834" s="253">
        <v>0</v>
      </c>
      <c r="AF834" s="253">
        <v>0</v>
      </c>
      <c r="AG834" s="253">
        <v>0</v>
      </c>
      <c r="AH834" s="253">
        <v>0</v>
      </c>
      <c r="AI834" s="253">
        <v>0</v>
      </c>
      <c r="AJ834" s="253">
        <v>0</v>
      </c>
      <c r="AK834" s="253">
        <v>0</v>
      </c>
      <c r="AL834" s="253">
        <v>0</v>
      </c>
      <c r="AM834" s="253">
        <v>0</v>
      </c>
      <c r="AN834" s="253">
        <v>0</v>
      </c>
      <c r="AO834" s="253">
        <v>0</v>
      </c>
      <c r="AP834" s="253">
        <v>0</v>
      </c>
      <c r="AQ834" s="253">
        <v>0</v>
      </c>
      <c r="AR834" s="253">
        <v>0</v>
      </c>
      <c r="AS834" s="253">
        <v>0</v>
      </c>
      <c r="AT834" s="253">
        <v>0</v>
      </c>
      <c r="AU834" s="253">
        <v>0</v>
      </c>
      <c r="AV834" s="253">
        <v>0</v>
      </c>
      <c r="AW834" s="253">
        <v>0</v>
      </c>
      <c r="AX834" s="253">
        <v>0</v>
      </c>
      <c r="AY834" s="253">
        <v>0</v>
      </c>
      <c r="AZ834" s="271">
        <v>1</v>
      </c>
      <c r="BA834" s="271">
        <v>1</v>
      </c>
      <c r="BB834" s="253">
        <v>1</v>
      </c>
      <c r="BC834" s="253">
        <v>0</v>
      </c>
      <c r="BD834" s="253">
        <v>0</v>
      </c>
      <c r="BE834" s="253">
        <v>0</v>
      </c>
      <c r="BF834" s="253">
        <v>0</v>
      </c>
      <c r="BG834" s="253" t="s">
        <v>93</v>
      </c>
      <c r="BH834" s="2" t="str" cm="1">
        <f t="array" ref="BH834">IF(COUNTIF(BB834:BD834,"&lt;&gt;0")=1,INDEX($X$4:$AY$4,MATCH(TRUE,INDEX($X834:$AY834&lt;&gt;0,),0)),IF(COUNTIF(BB834:BD834,"&lt;&gt;0")=0,INDEX($AO$4:$AY$4,MATCH(1,$AO834:$AY834,0)),"Multiple strategies"))</f>
        <v>Silviculture for productivity</v>
      </c>
      <c r="BI834" s="272" t="s">
        <v>229</v>
      </c>
      <c r="BJ834" s="253" t="s">
        <v>230</v>
      </c>
      <c r="BK834" s="273" t="s">
        <v>2754</v>
      </c>
      <c r="BL834" s="270" t="s">
        <v>231</v>
      </c>
      <c r="BM834" s="253">
        <v>89.04746797</v>
      </c>
      <c r="BN834" s="253">
        <v>98.063244030000007</v>
      </c>
      <c r="BO834" s="270">
        <v>1.1012468548015022</v>
      </c>
      <c r="BP834" s="253">
        <v>9.0157760600000074</v>
      </c>
      <c r="BQ834" s="270">
        <v>18.399542979591853</v>
      </c>
      <c r="BR834" s="270" t="s">
        <v>232</v>
      </c>
      <c r="BS834" s="273" t="s">
        <v>2754</v>
      </c>
      <c r="BT834" s="270" t="s">
        <v>233</v>
      </c>
      <c r="BU834" s="253">
        <v>-8.1050396580000008</v>
      </c>
      <c r="BV834" s="253">
        <v>-8.12446701</v>
      </c>
      <c r="BW834" s="255">
        <v>1.0023969471859182</v>
      </c>
      <c r="BX834" s="253">
        <v>-1.9427351999999232E-2</v>
      </c>
      <c r="BY834" s="253"/>
      <c r="BZ834" s="253">
        <v>-1.9427351999999233E-5</v>
      </c>
      <c r="CA834" s="253">
        <v>-1.0558605733602943E-6</v>
      </c>
      <c r="CB834" s="253">
        <v>0</v>
      </c>
      <c r="CC834" s="253">
        <v>0</v>
      </c>
      <c r="CD834" s="253">
        <v>0</v>
      </c>
      <c r="CE834" s="253">
        <v>0</v>
      </c>
      <c r="CF834" s="253">
        <v>0</v>
      </c>
      <c r="CG834" s="253">
        <v>0</v>
      </c>
      <c r="CH834" s="253">
        <v>0</v>
      </c>
      <c r="CI834" s="253">
        <v>0</v>
      </c>
      <c r="CJ834" s="253">
        <v>0</v>
      </c>
      <c r="CK834" s="253">
        <v>0</v>
      </c>
      <c r="CL834" s="253">
        <v>0</v>
      </c>
      <c r="CM834" s="253">
        <v>0</v>
      </c>
      <c r="CN834" s="253">
        <v>0</v>
      </c>
      <c r="CO834" s="253">
        <v>0</v>
      </c>
      <c r="CP834" s="253" t="s">
        <v>2755</v>
      </c>
      <c r="CQ834" s="253">
        <v>89.04746797</v>
      </c>
      <c r="CR834" s="253">
        <v>98.063244030000007</v>
      </c>
      <c r="CS834" s="253">
        <v>18.399542979591853</v>
      </c>
      <c r="CT834">
        <f>IF(BI834="Roundwood",$CS834/2,$CS834)</f>
        <v>18.399542979591853</v>
      </c>
      <c r="CU834" s="253">
        <v>-8.1050396580000008</v>
      </c>
      <c r="CV834" s="253">
        <v>-8.12446701</v>
      </c>
      <c r="CW834" s="253">
        <v>-1.9427351999999233E-5</v>
      </c>
      <c r="CX834">
        <f>IFERROR($CW834/$CS834,"")</f>
        <v>-1.0558605733602943E-6</v>
      </c>
      <c r="CY834">
        <f>IFERROR($CW834/$CS834,"")</f>
        <v>-1.0558605733602943E-6</v>
      </c>
      <c r="CZ834">
        <f>IFERROR($CW834/$CT834,"")</f>
        <v>-1.0558605733602943E-6</v>
      </c>
      <c r="DA834" s="254">
        <v>-2.396947185918289E-3</v>
      </c>
      <c r="DB834" s="252" t="s">
        <v>234</v>
      </c>
      <c r="DC834" s="253" t="s">
        <v>2756</v>
      </c>
      <c r="DD834" s="253" t="s">
        <v>235</v>
      </c>
      <c r="DE834" s="253"/>
      <c r="DF834" s="270"/>
      <c r="DG834" s="270">
        <v>80</v>
      </c>
      <c r="DH834" s="253" t="s">
        <v>2757</v>
      </c>
      <c r="DI834" s="253">
        <v>0</v>
      </c>
      <c r="DJ834" s="253">
        <v>1</v>
      </c>
      <c r="DK834" s="253">
        <v>0</v>
      </c>
      <c r="DL834" s="253">
        <v>0</v>
      </c>
      <c r="DM834" s="253"/>
      <c r="DN834" s="253">
        <v>1</v>
      </c>
      <c r="DO834" s="253" t="s">
        <v>173</v>
      </c>
      <c r="DP834" s="253">
        <v>0</v>
      </c>
      <c r="DQ834" s="253" t="s">
        <v>180</v>
      </c>
      <c r="DR834" s="253">
        <v>0</v>
      </c>
      <c r="DS834" s="253">
        <v>0</v>
      </c>
      <c r="DT834" s="253">
        <v>0</v>
      </c>
      <c r="DU834" s="270">
        <v>0</v>
      </c>
      <c r="DV834" s="270">
        <v>0</v>
      </c>
      <c r="DW834" s="270">
        <v>0</v>
      </c>
      <c r="DX834" s="270">
        <v>0</v>
      </c>
      <c r="DY834" s="253">
        <v>0</v>
      </c>
      <c r="DZ834" s="270" t="s">
        <v>926</v>
      </c>
      <c r="EA834" s="270">
        <v>1</v>
      </c>
      <c r="EB834" s="270">
        <v>1</v>
      </c>
      <c r="EC834" s="270">
        <v>1</v>
      </c>
      <c r="ED834" s="270">
        <v>0</v>
      </c>
      <c r="EE834" s="253">
        <v>0</v>
      </c>
      <c r="EF834" s="270">
        <v>0</v>
      </c>
      <c r="EG834" s="270">
        <v>1</v>
      </c>
      <c r="EH834" s="270">
        <v>1</v>
      </c>
      <c r="EI834" s="270">
        <v>0</v>
      </c>
      <c r="EJ834" s="270">
        <v>0</v>
      </c>
      <c r="EK834" s="253">
        <v>1</v>
      </c>
      <c r="EL834" s="270">
        <v>0</v>
      </c>
      <c r="EM834" s="253">
        <v>0</v>
      </c>
      <c r="EN834" s="254">
        <v>0</v>
      </c>
      <c r="EO834" s="252"/>
      <c r="EP834" t="str">
        <f>IF(AND(AND(AND(OR($EC834=1,$EB834=1),OR($EH834=1,$EF834=1)),SUM($EA834:$EE834,$EK834)&gt;=3),SUM($EF834:$EJ834)&gt;=2),"Whole sector approach","")</f>
        <v>Whole sector approach</v>
      </c>
      <c r="EQ834" t="str">
        <f>IF(AND(AND(OR($EC834=1,$EB834=1),AND($EH834=0,$EF834=0)),SUM($EA834:$EE834,$EK834)&gt;=4),"Ecosystem approach","")</f>
        <v/>
      </c>
      <c r="ER834" s="254" t="s">
        <v>531</v>
      </c>
      <c r="ES834" t="str">
        <f>IF(AND($EC834+$EB834+$EE834+$EA834+$ED834+$EG834=0,$N834="included"),"C neutral forest and HWP assumption","")</f>
        <v/>
      </c>
      <c r="ET834" t="str">
        <f>IF(AND(AND(AND(AND($EC834=1,$EB834+$EA834+$EG834&gt;=1),$EF834=1),$EH834+$EI834+$ED834+$EE834&gt;=2),$N834="included"),"All C pools assumption","")</f>
        <v/>
      </c>
      <c r="EU834" t="str">
        <f>IF(AND($ED834+$EE834+$EI834+$EH834+$EF834=0,$N834="included"),"In-situ only assumption","")</f>
        <v/>
      </c>
      <c r="EV834" s="253"/>
      <c r="EW834" s="253" t="s">
        <v>236</v>
      </c>
      <c r="EX834" s="253"/>
      <c r="EY834" t="str">
        <f>IF(ISNUMBER(BW834),IF(ABS(BW834-[3]QC_indicators!$B$2)&gt;3*[3]QC_indicators!$C$2,"C ratio",IF(ISNUMBER(CA834),IF(ABS(CA834-[3]QC_indicators!$B$1)&gt;3*[3]QC_indicators!$C$1,"DF","no"))),IF(ISNUMBER(CA834),IF(ABS(CA834-[3]QC_indicators!$B$1)&gt;3*[3]QC_indicators!$C$1,"DF","no")))</f>
        <v>no</v>
      </c>
      <c r="EZ834" s="274"/>
      <c r="FA834" t="str">
        <f>IF(LEN($CY834)=0,"",IF(AND($CY834&lt;(-0.05),$ES834="C neutral forest and HWP assumption"),"Cneutral paradox",IF(AND($CY834&gt;0.05,$EU834="In-situ only assumption"),"In-situ only paradox","")))</f>
        <v/>
      </c>
      <c r="FB834" s="274"/>
      <c r="FC834" s="274"/>
    </row>
    <row r="835" spans="1:159" ht="15" hidden="1" customHeight="1">
      <c r="A835" s="252" t="s">
        <v>214</v>
      </c>
      <c r="B835" s="253" t="s">
        <v>215</v>
      </c>
      <c r="C835" s="253" t="s">
        <v>216</v>
      </c>
      <c r="D835" s="253" t="s">
        <v>217</v>
      </c>
      <c r="E835" s="253" t="s">
        <v>218</v>
      </c>
      <c r="F835" s="253" t="s">
        <v>219</v>
      </c>
      <c r="G835" s="253" t="s">
        <v>220</v>
      </c>
      <c r="H835" s="253"/>
      <c r="I835" s="253">
        <v>2012</v>
      </c>
      <c r="J835" s="253"/>
      <c r="K835" s="253" t="s">
        <v>221</v>
      </c>
      <c r="L835" s="253"/>
      <c r="M835" s="253" t="s">
        <v>2753</v>
      </c>
      <c r="N835" s="253" t="s">
        <v>222</v>
      </c>
      <c r="O835" s="269" t="s">
        <v>223</v>
      </c>
      <c r="P835" s="253"/>
      <c r="Q835" s="253" t="s">
        <v>224</v>
      </c>
      <c r="R835" s="254" t="s">
        <v>225</v>
      </c>
      <c r="S835" s="252" t="s">
        <v>241</v>
      </c>
      <c r="T835" s="253" t="s">
        <v>242</v>
      </c>
      <c r="U835" s="270" t="s">
        <v>243</v>
      </c>
      <c r="V835" s="253">
        <v>0</v>
      </c>
      <c r="W835" s="253">
        <v>0</v>
      </c>
      <c r="X835" s="253">
        <v>0</v>
      </c>
      <c r="Y835" s="253">
        <v>0</v>
      </c>
      <c r="Z835" s="253">
        <v>0</v>
      </c>
      <c r="AA835" s="253">
        <v>0</v>
      </c>
      <c r="AB835" s="253">
        <v>0</v>
      </c>
      <c r="AC835" s="253">
        <v>0</v>
      </c>
      <c r="AD835" s="253">
        <v>0</v>
      </c>
      <c r="AE835" s="253">
        <v>1</v>
      </c>
      <c r="AF835" s="253">
        <v>0</v>
      </c>
      <c r="AG835" s="253">
        <v>0</v>
      </c>
      <c r="AH835" s="253">
        <v>0</v>
      </c>
      <c r="AI835" s="253">
        <v>0</v>
      </c>
      <c r="AJ835" s="253">
        <v>0</v>
      </c>
      <c r="AK835" s="253">
        <v>0</v>
      </c>
      <c r="AL835" s="253">
        <v>0</v>
      </c>
      <c r="AM835" s="253">
        <v>0</v>
      </c>
      <c r="AN835" s="253">
        <v>0</v>
      </c>
      <c r="AO835" s="253">
        <v>0</v>
      </c>
      <c r="AP835" s="253">
        <v>0</v>
      </c>
      <c r="AQ835" s="253">
        <v>0</v>
      </c>
      <c r="AR835" s="253">
        <v>0</v>
      </c>
      <c r="AS835" s="253">
        <v>0</v>
      </c>
      <c r="AT835" s="253">
        <v>0</v>
      </c>
      <c r="AU835" s="253">
        <v>0</v>
      </c>
      <c r="AV835" s="253">
        <v>0</v>
      </c>
      <c r="AW835" s="253">
        <v>0</v>
      </c>
      <c r="AX835" s="253">
        <v>0</v>
      </c>
      <c r="AY835" s="253">
        <v>0</v>
      </c>
      <c r="AZ835" s="271">
        <v>1</v>
      </c>
      <c r="BA835" s="271">
        <v>1</v>
      </c>
      <c r="BB835" s="253">
        <v>1</v>
      </c>
      <c r="BC835" s="253">
        <v>0</v>
      </c>
      <c r="BD835" s="253">
        <v>0</v>
      </c>
      <c r="BE835" s="253">
        <v>0</v>
      </c>
      <c r="BF835" s="253">
        <v>0</v>
      </c>
      <c r="BG835" s="253" t="s">
        <v>95</v>
      </c>
      <c r="BH835" s="2" t="str" cm="1">
        <f t="array" ref="BH835">IF(COUNTIF(BB835:BD835,"&lt;&gt;0")=1,INDEX($X$4:$AY$4,MATCH(TRUE,INDEX($X835:$AY835&lt;&gt;0,),0)),IF(COUNTIF(BB835:BD835,"&lt;&gt;0")=0,INDEX($AO$4:$AY$4,MATCH(1,$AO835:$AY835,0)),"Multiple strategies"))</f>
        <v>Silviculture for productivity</v>
      </c>
      <c r="BI835" s="272" t="s">
        <v>229</v>
      </c>
      <c r="BJ835" s="253" t="s">
        <v>230</v>
      </c>
      <c r="BK835" s="273" t="s">
        <v>2754</v>
      </c>
      <c r="BL835" s="270" t="s">
        <v>231</v>
      </c>
      <c r="BM835" s="253">
        <v>89.047467968273295</v>
      </c>
      <c r="BN835" s="253">
        <v>95.977011494252807</v>
      </c>
      <c r="BO835" s="270">
        <v>1.0778185352608616</v>
      </c>
      <c r="BP835" s="253">
        <v>6.9295435259795113</v>
      </c>
      <c r="BQ835" s="270">
        <v>14.141925563223493</v>
      </c>
      <c r="BR835" s="270" t="s">
        <v>232</v>
      </c>
      <c r="BS835" s="273" t="s">
        <v>2754</v>
      </c>
      <c r="BT835" s="270" t="s">
        <v>233</v>
      </c>
      <c r="BU835" s="253">
        <v>-8.1050396583282396</v>
      </c>
      <c r="BV835" s="253">
        <v>-8.1428571428571406</v>
      </c>
      <c r="BW835" s="255">
        <v>1.0046659222068139</v>
      </c>
      <c r="BX835" s="253">
        <v>-3.7817484528900991E-2</v>
      </c>
      <c r="BY835" s="253"/>
      <c r="BZ835" s="253">
        <v>-3.781748452890099E-5</v>
      </c>
      <c r="CA835" s="253">
        <v>-2.6741396961702658E-6</v>
      </c>
      <c r="CB835" s="253">
        <v>0</v>
      </c>
      <c r="CC835" s="253">
        <v>0</v>
      </c>
      <c r="CD835" s="253">
        <v>0</v>
      </c>
      <c r="CE835" s="253">
        <v>0</v>
      </c>
      <c r="CF835" s="253">
        <v>0</v>
      </c>
      <c r="CG835" s="253">
        <v>0</v>
      </c>
      <c r="CH835" s="253">
        <v>0</v>
      </c>
      <c r="CI835" s="253">
        <v>0</v>
      </c>
      <c r="CJ835" s="253">
        <v>0</v>
      </c>
      <c r="CK835" s="253">
        <v>0</v>
      </c>
      <c r="CL835" s="253">
        <v>0</v>
      </c>
      <c r="CM835" s="253">
        <v>0</v>
      </c>
      <c r="CN835" s="253">
        <v>0</v>
      </c>
      <c r="CO835" s="253">
        <v>0</v>
      </c>
      <c r="CP835" s="253" t="s">
        <v>2755</v>
      </c>
      <c r="CQ835" s="253">
        <v>89.047467968273295</v>
      </c>
      <c r="CR835" s="253">
        <v>95.977011494252807</v>
      </c>
      <c r="CS835" s="253">
        <v>14.141925563223493</v>
      </c>
      <c r="CT835">
        <f>IF(BI835="Roundwood",$CS835/2,$CS835)</f>
        <v>14.141925563223493</v>
      </c>
      <c r="CU835" s="253">
        <v>-8.1050396583282396</v>
      </c>
      <c r="CV835" s="253">
        <v>-8.1428571428571406</v>
      </c>
      <c r="CW835" s="253">
        <v>-3.781748452890099E-5</v>
      </c>
      <c r="CX835">
        <f>IFERROR($CW835/$CS835,"")</f>
        <v>-2.6741396961702658E-6</v>
      </c>
      <c r="CY835">
        <f>IFERROR($CW835/$CS835,"")</f>
        <v>-2.6741396961702658E-6</v>
      </c>
      <c r="CZ835">
        <f>IFERROR($CW835/$CT835,"")</f>
        <v>-2.6741396961702658E-6</v>
      </c>
      <c r="DA835" s="254">
        <v>-4.6659222068138892E-3</v>
      </c>
      <c r="DB835" s="252" t="s">
        <v>234</v>
      </c>
      <c r="DC835" s="253" t="s">
        <v>2756</v>
      </c>
      <c r="DD835" s="253" t="s">
        <v>235</v>
      </c>
      <c r="DE835" s="253"/>
      <c r="DF835" s="270"/>
      <c r="DG835" s="270">
        <v>80</v>
      </c>
      <c r="DH835" s="253" t="s">
        <v>2757</v>
      </c>
      <c r="DI835" s="253">
        <v>0</v>
      </c>
      <c r="DJ835" s="253">
        <v>1</v>
      </c>
      <c r="DK835" s="253">
        <v>0</v>
      </c>
      <c r="DL835" s="253">
        <v>0</v>
      </c>
      <c r="DM835" s="253"/>
      <c r="DN835" s="253">
        <v>1</v>
      </c>
      <c r="DO835" s="253" t="s">
        <v>173</v>
      </c>
      <c r="DP835" s="253">
        <v>0</v>
      </c>
      <c r="DQ835" s="253" t="s">
        <v>180</v>
      </c>
      <c r="DR835" s="253">
        <v>0</v>
      </c>
      <c r="DS835" s="253">
        <v>0</v>
      </c>
      <c r="DT835" s="253">
        <v>0</v>
      </c>
      <c r="DU835" s="270">
        <v>0</v>
      </c>
      <c r="DV835" s="270">
        <v>0</v>
      </c>
      <c r="DW835" s="270">
        <v>0</v>
      </c>
      <c r="DX835" s="270">
        <v>0</v>
      </c>
      <c r="DY835" s="253">
        <v>0</v>
      </c>
      <c r="DZ835" s="270" t="s">
        <v>926</v>
      </c>
      <c r="EA835" s="270">
        <v>1</v>
      </c>
      <c r="EB835" s="270">
        <v>1</v>
      </c>
      <c r="EC835" s="270">
        <v>1</v>
      </c>
      <c r="ED835" s="270">
        <v>0</v>
      </c>
      <c r="EE835" s="253">
        <v>0</v>
      </c>
      <c r="EF835" s="270">
        <v>0</v>
      </c>
      <c r="EG835" s="270">
        <v>1</v>
      </c>
      <c r="EH835" s="270">
        <v>1</v>
      </c>
      <c r="EI835" s="270">
        <v>0</v>
      </c>
      <c r="EJ835" s="270">
        <v>0</v>
      </c>
      <c r="EK835" s="253">
        <v>1</v>
      </c>
      <c r="EL835" s="270">
        <v>0</v>
      </c>
      <c r="EM835" s="253">
        <v>0</v>
      </c>
      <c r="EN835" s="254">
        <v>0</v>
      </c>
      <c r="EO835" s="252"/>
      <c r="EP835" t="str">
        <f>IF(AND(AND(AND(OR($EC835=1,$EB835=1),OR($EH835=1,$EF835=1)),SUM($EA835:$EE835,$EK835)&gt;=3),SUM($EF835:$EJ835)&gt;=2),"Whole sector approach","")</f>
        <v>Whole sector approach</v>
      </c>
      <c r="EQ835" t="str">
        <f>IF(AND(AND(OR($EC835=1,$EB835=1),AND($EH835=0,$EF835=0)),SUM($EA835:$EE835,$EK835)&gt;=4),"Ecosystem approach","")</f>
        <v/>
      </c>
      <c r="ER835" s="254" t="s">
        <v>531</v>
      </c>
      <c r="ES835" t="str">
        <f>IF(AND($EC835+$EB835+$EE835+$EA835+$ED835+$EG835=0,$N835="included"),"C neutral forest and HWP assumption","")</f>
        <v/>
      </c>
      <c r="ET835" t="str">
        <f>IF(AND(AND(AND(AND($EC835=1,$EB835+$EA835+$EG835&gt;=1),$EF835=1),$EH835+$EI835+$ED835+$EE835&gt;=2),$N835="included"),"All C pools assumption","")</f>
        <v/>
      </c>
      <c r="EU835" t="str">
        <f>IF(AND($ED835+$EE835+$EI835+$EH835+$EF835=0,$N835="included"),"In-situ only assumption","")</f>
        <v/>
      </c>
      <c r="EV835" s="253"/>
      <c r="EW835" s="253" t="s">
        <v>236</v>
      </c>
      <c r="EX835" s="253"/>
      <c r="EY835" t="str">
        <f>IF(ISNUMBER(BW835),IF(ABS(BW835-[3]QC_indicators!$B$2)&gt;3*[3]QC_indicators!$C$2,"C ratio",IF(ISNUMBER(CA835),IF(ABS(CA835-[3]QC_indicators!$B$1)&gt;3*[3]QC_indicators!$C$1,"DF","no"))),IF(ISNUMBER(CA835),IF(ABS(CA835-[3]QC_indicators!$B$1)&gt;3*[3]QC_indicators!$C$1,"DF","no")))</f>
        <v>no</v>
      </c>
      <c r="FA835" t="str">
        <f>IF(LEN($CY835)=0,"",IF(AND($CY835&lt;(-0.05),$ES835="C neutral forest and HWP assumption"),"Cneutral paradox",IF(AND($CY835&gt;0.05,$EU835="In-situ only assumption"),"In-situ only paradox","")))</f>
        <v/>
      </c>
    </row>
    <row r="836" spans="1:159" ht="15" hidden="1" customHeight="1">
      <c r="A836" s="252" t="s">
        <v>214</v>
      </c>
      <c r="B836" s="253" t="s">
        <v>215</v>
      </c>
      <c r="C836" s="253" t="s">
        <v>216</v>
      </c>
      <c r="D836" s="253" t="s">
        <v>217</v>
      </c>
      <c r="E836" s="253" t="s">
        <v>218</v>
      </c>
      <c r="F836" s="253" t="s">
        <v>219</v>
      </c>
      <c r="G836" s="253" t="s">
        <v>220</v>
      </c>
      <c r="H836" s="253"/>
      <c r="I836" s="253">
        <v>2012</v>
      </c>
      <c r="J836" s="253"/>
      <c r="K836" s="253" t="s">
        <v>221</v>
      </c>
      <c r="L836" s="253"/>
      <c r="M836" s="253" t="s">
        <v>2753</v>
      </c>
      <c r="N836" s="253" t="s">
        <v>222</v>
      </c>
      <c r="O836" s="269" t="s">
        <v>223</v>
      </c>
      <c r="P836" s="253"/>
      <c r="Q836" s="253" t="s">
        <v>224</v>
      </c>
      <c r="R836" s="254" t="s">
        <v>225</v>
      </c>
      <c r="S836" s="252" t="s">
        <v>240</v>
      </c>
      <c r="T836" s="253">
        <v>2000</v>
      </c>
      <c r="U836" s="253">
        <v>4000</v>
      </c>
      <c r="V836" s="253">
        <v>0</v>
      </c>
      <c r="W836" s="253">
        <v>0</v>
      </c>
      <c r="X836" s="253">
        <v>0</v>
      </c>
      <c r="Y836" s="253">
        <v>0</v>
      </c>
      <c r="Z836" s="253">
        <v>0</v>
      </c>
      <c r="AA836" s="253">
        <v>0</v>
      </c>
      <c r="AB836" s="253">
        <v>0</v>
      </c>
      <c r="AC836" s="253">
        <v>1</v>
      </c>
      <c r="AD836" s="253">
        <v>0</v>
      </c>
      <c r="AE836" s="253">
        <v>0</v>
      </c>
      <c r="AF836" s="253">
        <v>0</v>
      </c>
      <c r="AG836" s="253">
        <v>0</v>
      </c>
      <c r="AH836" s="253">
        <v>0</v>
      </c>
      <c r="AI836" s="253">
        <v>0</v>
      </c>
      <c r="AJ836" s="253">
        <v>0</v>
      </c>
      <c r="AK836" s="253">
        <v>0</v>
      </c>
      <c r="AL836" s="253">
        <v>0</v>
      </c>
      <c r="AM836" s="253">
        <v>0</v>
      </c>
      <c r="AN836" s="253">
        <v>0</v>
      </c>
      <c r="AO836" s="253">
        <v>0</v>
      </c>
      <c r="AP836" s="253">
        <v>0</v>
      </c>
      <c r="AQ836" s="253">
        <v>0</v>
      </c>
      <c r="AR836" s="253">
        <v>0</v>
      </c>
      <c r="AS836" s="253">
        <v>0</v>
      </c>
      <c r="AT836" s="253">
        <v>0</v>
      </c>
      <c r="AU836" s="253">
        <v>0</v>
      </c>
      <c r="AV836" s="253">
        <v>0</v>
      </c>
      <c r="AW836" s="253">
        <v>0</v>
      </c>
      <c r="AX836" s="253">
        <v>0</v>
      </c>
      <c r="AY836" s="253">
        <v>0</v>
      </c>
      <c r="AZ836" s="271">
        <v>1</v>
      </c>
      <c r="BA836" s="271">
        <v>1</v>
      </c>
      <c r="BB836" s="253">
        <v>1</v>
      </c>
      <c r="BC836" s="253">
        <v>0</v>
      </c>
      <c r="BD836" s="253">
        <v>0</v>
      </c>
      <c r="BE836" s="253">
        <v>0</v>
      </c>
      <c r="BF836" s="253">
        <v>0</v>
      </c>
      <c r="BG836" s="253" t="s">
        <v>93</v>
      </c>
      <c r="BH836" s="2" t="str" cm="1">
        <f t="array" ref="BH836">IF(COUNTIF(BB836:BD836,"&lt;&gt;0")=1,INDEX($X$4:$AY$4,MATCH(TRUE,INDEX($X836:$AY836&lt;&gt;0,),0)),IF(COUNTIF(BB836:BD836,"&lt;&gt;0")=0,INDEX($AO$4:$AY$4,MATCH(1,$AO836:$AY836,0)),"Multiple strategies"))</f>
        <v>Silviculture for productivity</v>
      </c>
      <c r="BI836" s="272" t="s">
        <v>229</v>
      </c>
      <c r="BJ836" s="253" t="s">
        <v>230</v>
      </c>
      <c r="BK836" s="273" t="s">
        <v>2754</v>
      </c>
      <c r="BL836" s="270" t="s">
        <v>231</v>
      </c>
      <c r="BM836" s="253">
        <v>48.643391100000002</v>
      </c>
      <c r="BN836" s="253">
        <v>53.696488080000002</v>
      </c>
      <c r="BO836" s="270">
        <v>1.1038804422498414</v>
      </c>
      <c r="BP836" s="253">
        <v>5.0530969799999994</v>
      </c>
      <c r="BQ836" s="270">
        <v>10.312442816326529</v>
      </c>
      <c r="BR836" s="270" t="s">
        <v>232</v>
      </c>
      <c r="BS836" s="273" t="s">
        <v>2754</v>
      </c>
      <c r="BT836" s="270" t="s">
        <v>233</v>
      </c>
      <c r="BU836" s="253">
        <v>-9.3488297330000005</v>
      </c>
      <c r="BV836" s="253">
        <v>-9.4136546180000007</v>
      </c>
      <c r="BW836" s="255">
        <v>1.0069340106570963</v>
      </c>
      <c r="BX836" s="253">
        <v>-6.4824885000000165E-2</v>
      </c>
      <c r="BY836" s="253"/>
      <c r="BZ836" s="253">
        <v>-6.4824885000000165E-5</v>
      </c>
      <c r="CA836" s="253">
        <v>-6.2860843114077907E-6</v>
      </c>
      <c r="CB836" s="253">
        <v>0</v>
      </c>
      <c r="CC836" s="253">
        <v>0</v>
      </c>
      <c r="CD836" s="253">
        <v>0</v>
      </c>
      <c r="CE836" s="253">
        <v>0</v>
      </c>
      <c r="CF836" s="253">
        <v>0</v>
      </c>
      <c r="CG836" s="253">
        <v>0</v>
      </c>
      <c r="CH836" s="253">
        <v>0</v>
      </c>
      <c r="CI836" s="253">
        <v>0</v>
      </c>
      <c r="CJ836" s="253">
        <v>0</v>
      </c>
      <c r="CK836" s="253">
        <v>0</v>
      </c>
      <c r="CL836" s="253">
        <v>0</v>
      </c>
      <c r="CM836" s="253">
        <v>0</v>
      </c>
      <c r="CN836" s="253">
        <v>0</v>
      </c>
      <c r="CO836" s="253">
        <v>0</v>
      </c>
      <c r="CP836" s="253" t="s">
        <v>2755</v>
      </c>
      <c r="CQ836" s="253">
        <v>48.643391100000002</v>
      </c>
      <c r="CR836" s="253">
        <v>53.696488080000002</v>
      </c>
      <c r="CS836" s="253">
        <v>10.312442816326529</v>
      </c>
      <c r="CT836">
        <f>IF(BI836="Roundwood",$CS836/2,$CS836)</f>
        <v>10.312442816326529</v>
      </c>
      <c r="CU836" s="253">
        <v>-9.3488297330000005</v>
      </c>
      <c r="CV836" s="253">
        <v>-9.4136546180000007</v>
      </c>
      <c r="CW836" s="253">
        <v>-6.4824885000000165E-5</v>
      </c>
      <c r="CX836">
        <f>IFERROR($CW836/$CS836,"")</f>
        <v>-6.2860843114077907E-6</v>
      </c>
      <c r="CY836">
        <f>IFERROR($CW836/$CS836,"")</f>
        <v>-6.2860843114077907E-6</v>
      </c>
      <c r="CZ836">
        <f>IFERROR($CW836/$CT836,"")</f>
        <v>-6.2860843114077907E-6</v>
      </c>
      <c r="DA836" s="254">
        <v>-6.9340106570962359E-3</v>
      </c>
      <c r="DB836" s="252" t="s">
        <v>234</v>
      </c>
      <c r="DC836" s="253" t="s">
        <v>2756</v>
      </c>
      <c r="DD836" s="253" t="s">
        <v>235</v>
      </c>
      <c r="DE836" s="253"/>
      <c r="DF836" s="270"/>
      <c r="DG836" s="270">
        <v>80</v>
      </c>
      <c r="DH836" s="253" t="s">
        <v>2757</v>
      </c>
      <c r="DI836" s="253">
        <v>0</v>
      </c>
      <c r="DJ836" s="253">
        <v>1</v>
      </c>
      <c r="DK836" s="253">
        <v>0</v>
      </c>
      <c r="DL836" s="253">
        <v>0</v>
      </c>
      <c r="DM836" s="253"/>
      <c r="DN836" s="253">
        <v>1</v>
      </c>
      <c r="DO836" s="253" t="s">
        <v>173</v>
      </c>
      <c r="DP836" s="253">
        <v>0</v>
      </c>
      <c r="DQ836" s="253" t="s">
        <v>180</v>
      </c>
      <c r="DR836" s="253">
        <v>0</v>
      </c>
      <c r="DS836" s="253">
        <v>0</v>
      </c>
      <c r="DT836" s="253">
        <v>0</v>
      </c>
      <c r="DU836" s="270">
        <v>0</v>
      </c>
      <c r="DV836" s="270">
        <v>0</v>
      </c>
      <c r="DW836" s="270">
        <v>0</v>
      </c>
      <c r="DX836" s="270">
        <v>0</v>
      </c>
      <c r="DY836" s="253">
        <v>0</v>
      </c>
      <c r="DZ836" s="270" t="s">
        <v>926</v>
      </c>
      <c r="EA836" s="270">
        <v>1</v>
      </c>
      <c r="EB836" s="270">
        <v>1</v>
      </c>
      <c r="EC836" s="270">
        <v>1</v>
      </c>
      <c r="ED836" s="270">
        <v>0</v>
      </c>
      <c r="EE836" s="253">
        <v>0</v>
      </c>
      <c r="EF836" s="270">
        <v>0</v>
      </c>
      <c r="EG836" s="270">
        <v>1</v>
      </c>
      <c r="EH836" s="270">
        <v>1</v>
      </c>
      <c r="EI836" s="270">
        <v>0</v>
      </c>
      <c r="EJ836" s="270">
        <v>0</v>
      </c>
      <c r="EK836" s="253">
        <v>1</v>
      </c>
      <c r="EL836" s="270">
        <v>0</v>
      </c>
      <c r="EM836" s="253">
        <v>0</v>
      </c>
      <c r="EN836" s="254">
        <v>0</v>
      </c>
      <c r="EO836" s="252"/>
      <c r="EP836" t="str">
        <f>IF(AND(AND(AND(OR($EC836=1,$EB836=1),OR($EH836=1,$EF836=1)),SUM($EA836:$EE836,$EK836)&gt;=3),SUM($EF836:$EJ836)&gt;=2),"Whole sector approach","")</f>
        <v>Whole sector approach</v>
      </c>
      <c r="EQ836" t="str">
        <f>IF(AND(AND(OR($EC836=1,$EB836=1),AND($EH836=0,$EF836=0)),SUM($EA836:$EE836,$EK836)&gt;=4),"Ecosystem approach","")</f>
        <v/>
      </c>
      <c r="ER836" s="254" t="s">
        <v>531</v>
      </c>
      <c r="ES836" t="str">
        <f>IF(AND($EC836+$EB836+$EE836+$EA836+$ED836+$EG836=0,$N836="included"),"C neutral forest and HWP assumption","")</f>
        <v/>
      </c>
      <c r="ET836" t="str">
        <f>IF(AND(AND(AND(AND($EC836=1,$EB836+$EA836+$EG836&gt;=1),$EF836=1),$EH836+$EI836+$ED836+$EE836&gt;=2),$N836="included"),"All C pools assumption","")</f>
        <v/>
      </c>
      <c r="EU836" t="str">
        <f>IF(AND($ED836+$EE836+$EI836+$EH836+$EF836=0,$N836="included"),"In-situ only assumption","")</f>
        <v/>
      </c>
      <c r="EV836" s="253"/>
      <c r="EW836" s="253" t="s">
        <v>236</v>
      </c>
      <c r="EX836" s="253"/>
      <c r="EY836" t="str">
        <f>IF(ISNUMBER(BW836),IF(ABS(BW836-[3]QC_indicators!$B$2)&gt;3*[3]QC_indicators!$C$2,"C ratio",IF(ISNUMBER(CA836),IF(ABS(CA836-[3]QC_indicators!$B$1)&gt;3*[3]QC_indicators!$C$1,"DF","no"))),IF(ISNUMBER(CA836),IF(ABS(CA836-[3]QC_indicators!$B$1)&gt;3*[3]QC_indicators!$C$1,"DF","no")))</f>
        <v>no</v>
      </c>
      <c r="EZ836" s="274"/>
      <c r="FA836" t="str">
        <f>IF(LEN($CY836)=0,"",IF(AND($CY836&lt;(-0.05),$ES836="C neutral forest and HWP assumption"),"Cneutral paradox",IF(AND($CY836&gt;0.05,$EU836="In-situ only assumption"),"In-situ only paradox","")))</f>
        <v/>
      </c>
      <c r="FB836" s="274"/>
      <c r="FC836" s="274"/>
    </row>
    <row r="837" spans="1:159" ht="15" hidden="1" customHeight="1">
      <c r="A837" s="252" t="s">
        <v>214</v>
      </c>
      <c r="B837" s="253" t="s">
        <v>215</v>
      </c>
      <c r="C837" s="253" t="s">
        <v>216</v>
      </c>
      <c r="D837" s="253" t="s">
        <v>217</v>
      </c>
      <c r="E837" s="253" t="s">
        <v>218</v>
      </c>
      <c r="F837" s="253" t="s">
        <v>219</v>
      </c>
      <c r="G837" s="253" t="s">
        <v>220</v>
      </c>
      <c r="H837" s="253"/>
      <c r="I837" s="253">
        <v>2012</v>
      </c>
      <c r="J837" s="253"/>
      <c r="K837" s="253" t="s">
        <v>221</v>
      </c>
      <c r="L837" s="253"/>
      <c r="M837" s="253" t="s">
        <v>2753</v>
      </c>
      <c r="N837" s="253" t="s">
        <v>222</v>
      </c>
      <c r="O837" s="269" t="s">
        <v>223</v>
      </c>
      <c r="P837" s="253"/>
      <c r="Q837" s="253" t="s">
        <v>224</v>
      </c>
      <c r="R837" s="254" t="s">
        <v>225</v>
      </c>
      <c r="S837" s="252" t="s">
        <v>240</v>
      </c>
      <c r="T837" s="253">
        <v>2000</v>
      </c>
      <c r="U837" s="253">
        <v>4000</v>
      </c>
      <c r="V837" s="253">
        <v>0</v>
      </c>
      <c r="W837" s="253">
        <v>0</v>
      </c>
      <c r="X837" s="253">
        <v>0</v>
      </c>
      <c r="Y837" s="253">
        <v>0</v>
      </c>
      <c r="Z837" s="253">
        <v>0</v>
      </c>
      <c r="AA837" s="253">
        <v>0</v>
      </c>
      <c r="AB837" s="253">
        <v>0</v>
      </c>
      <c r="AC837" s="253">
        <v>1</v>
      </c>
      <c r="AD837" s="253">
        <v>0</v>
      </c>
      <c r="AE837" s="253">
        <v>0</v>
      </c>
      <c r="AF837" s="253">
        <v>0</v>
      </c>
      <c r="AG837" s="253">
        <v>0</v>
      </c>
      <c r="AH837" s="253">
        <v>0</v>
      </c>
      <c r="AI837" s="253">
        <v>0</v>
      </c>
      <c r="AJ837" s="253">
        <v>0</v>
      </c>
      <c r="AK837" s="253">
        <v>0</v>
      </c>
      <c r="AL837" s="253">
        <v>0</v>
      </c>
      <c r="AM837" s="253">
        <v>0</v>
      </c>
      <c r="AN837" s="253">
        <v>0</v>
      </c>
      <c r="AO837" s="253">
        <v>0</v>
      </c>
      <c r="AP837" s="253">
        <v>0</v>
      </c>
      <c r="AQ837" s="253">
        <v>0</v>
      </c>
      <c r="AR837" s="253">
        <v>0</v>
      </c>
      <c r="AS837" s="253">
        <v>0</v>
      </c>
      <c r="AT837" s="253">
        <v>0</v>
      </c>
      <c r="AU837" s="253">
        <v>0</v>
      </c>
      <c r="AV837" s="253">
        <v>0</v>
      </c>
      <c r="AW837" s="253">
        <v>0</v>
      </c>
      <c r="AX837" s="253">
        <v>0</v>
      </c>
      <c r="AY837" s="253">
        <v>0</v>
      </c>
      <c r="AZ837" s="271">
        <v>1</v>
      </c>
      <c r="BA837" s="271">
        <v>1</v>
      </c>
      <c r="BB837" s="253">
        <v>1</v>
      </c>
      <c r="BC837" s="253">
        <v>0</v>
      </c>
      <c r="BD837" s="253">
        <v>0</v>
      </c>
      <c r="BE837" s="253">
        <v>0</v>
      </c>
      <c r="BF837" s="253">
        <v>0</v>
      </c>
      <c r="BG837" s="253" t="s">
        <v>93</v>
      </c>
      <c r="BH837" s="2" t="str" cm="1">
        <f t="array" ref="BH837">IF(COUNTIF(BB837:BD837,"&lt;&gt;0")=1,INDEX($X$4:$AY$4,MATCH(TRUE,INDEX($X837:$AY837&lt;&gt;0,),0)),IF(COUNTIF(BB837:BD837,"&lt;&gt;0")=0,INDEX($AO$4:$AY$4,MATCH(1,$AO837:$AY837,0)),"Multiple strategies"))</f>
        <v>Silviculture for productivity</v>
      </c>
      <c r="BI837" s="272" t="s">
        <v>229</v>
      </c>
      <c r="BJ837" s="253" t="s">
        <v>230</v>
      </c>
      <c r="BK837" s="273" t="s">
        <v>2754</v>
      </c>
      <c r="BL837" s="270" t="s">
        <v>231</v>
      </c>
      <c r="BM837" s="253">
        <v>85.005979260000004</v>
      </c>
      <c r="BN837" s="253">
        <v>90.539028419999994</v>
      </c>
      <c r="BO837" s="270">
        <v>1.0650901172854743</v>
      </c>
      <c r="BP837" s="253">
        <v>5.5330491599999903</v>
      </c>
      <c r="BQ837" s="270">
        <v>11.29193706122447</v>
      </c>
      <c r="BR837" s="270" t="s">
        <v>232</v>
      </c>
      <c r="BS837" s="273" t="s">
        <v>2754</v>
      </c>
      <c r="BT837" s="270" t="s">
        <v>233</v>
      </c>
      <c r="BU837" s="253">
        <v>-8.1260280659999999</v>
      </c>
      <c r="BV837" s="253">
        <v>-8.2073792920000006</v>
      </c>
      <c r="BW837" s="255">
        <v>1.0100111918564965</v>
      </c>
      <c r="BX837" s="253">
        <v>-8.1351226000000665E-2</v>
      </c>
      <c r="BY837" s="253"/>
      <c r="BZ837" s="253">
        <v>-8.135122600000067E-5</v>
      </c>
      <c r="CA837" s="253">
        <v>-7.2043641014749993E-6</v>
      </c>
      <c r="CB837" s="253">
        <v>0</v>
      </c>
      <c r="CC837" s="253">
        <v>0</v>
      </c>
      <c r="CD837" s="253">
        <v>0</v>
      </c>
      <c r="CE837" s="253">
        <v>0</v>
      </c>
      <c r="CF837" s="253">
        <v>0</v>
      </c>
      <c r="CG837" s="253">
        <v>0</v>
      </c>
      <c r="CH837" s="253">
        <v>0</v>
      </c>
      <c r="CI837" s="253">
        <v>0</v>
      </c>
      <c r="CJ837" s="253">
        <v>0</v>
      </c>
      <c r="CK837" s="253">
        <v>0</v>
      </c>
      <c r="CL837" s="253">
        <v>0</v>
      </c>
      <c r="CM837" s="253">
        <v>0</v>
      </c>
      <c r="CN837" s="253">
        <v>0</v>
      </c>
      <c r="CO837" s="253">
        <v>0</v>
      </c>
      <c r="CP837" s="253" t="s">
        <v>2755</v>
      </c>
      <c r="CQ837" s="253">
        <v>85.005979260000004</v>
      </c>
      <c r="CR837" s="253">
        <v>90.539028419999994</v>
      </c>
      <c r="CS837" s="253">
        <v>11.29193706122447</v>
      </c>
      <c r="CT837">
        <f>IF(BI837="Roundwood",$CS837/2,$CS837)</f>
        <v>11.29193706122447</v>
      </c>
      <c r="CU837" s="253">
        <v>-8.1260280659999999</v>
      </c>
      <c r="CV837" s="253">
        <v>-8.2073792920000006</v>
      </c>
      <c r="CW837" s="253">
        <v>-8.135122600000067E-5</v>
      </c>
      <c r="CX837">
        <f>IFERROR($CW837/$CS837,"")</f>
        <v>-7.2043641014749993E-6</v>
      </c>
      <c r="CY837">
        <f>IFERROR($CW837/$CS837,"")</f>
        <v>-7.2043641014749993E-6</v>
      </c>
      <c r="CZ837">
        <f>IFERROR($CW837/$CT837,"")</f>
        <v>-7.2043641014749993E-6</v>
      </c>
      <c r="DA837" s="254">
        <v>-1.0011191856496434E-2</v>
      </c>
      <c r="DB837" s="252" t="s">
        <v>234</v>
      </c>
      <c r="DC837" s="253" t="s">
        <v>2756</v>
      </c>
      <c r="DD837" s="253" t="s">
        <v>235</v>
      </c>
      <c r="DE837" s="253"/>
      <c r="DF837" s="270"/>
      <c r="DG837" s="270">
        <v>80</v>
      </c>
      <c r="DH837" s="253" t="s">
        <v>2757</v>
      </c>
      <c r="DI837" s="253">
        <v>0</v>
      </c>
      <c r="DJ837" s="253">
        <v>1</v>
      </c>
      <c r="DK837" s="253">
        <v>0</v>
      </c>
      <c r="DL837" s="253">
        <v>0</v>
      </c>
      <c r="DM837" s="253"/>
      <c r="DN837" s="253">
        <v>1</v>
      </c>
      <c r="DO837" s="253" t="s">
        <v>173</v>
      </c>
      <c r="DP837" s="253">
        <v>0</v>
      </c>
      <c r="DQ837" s="253" t="s">
        <v>180</v>
      </c>
      <c r="DR837" s="253">
        <v>0</v>
      </c>
      <c r="DS837" s="253">
        <v>0</v>
      </c>
      <c r="DT837" s="253">
        <v>0</v>
      </c>
      <c r="DU837" s="270">
        <v>0</v>
      </c>
      <c r="DV837" s="270">
        <v>0</v>
      </c>
      <c r="DW837" s="270">
        <v>0</v>
      </c>
      <c r="DX837" s="270">
        <v>0</v>
      </c>
      <c r="DY837" s="253">
        <v>0</v>
      </c>
      <c r="DZ837" s="270" t="s">
        <v>926</v>
      </c>
      <c r="EA837" s="270">
        <v>1</v>
      </c>
      <c r="EB837" s="270">
        <v>1</v>
      </c>
      <c r="EC837" s="270">
        <v>1</v>
      </c>
      <c r="ED837" s="270">
        <v>0</v>
      </c>
      <c r="EE837" s="253">
        <v>0</v>
      </c>
      <c r="EF837" s="270">
        <v>0</v>
      </c>
      <c r="EG837" s="270">
        <v>1</v>
      </c>
      <c r="EH837" s="270">
        <v>1</v>
      </c>
      <c r="EI837" s="270">
        <v>0</v>
      </c>
      <c r="EJ837" s="270">
        <v>0</v>
      </c>
      <c r="EK837" s="253">
        <v>1</v>
      </c>
      <c r="EL837" s="270">
        <v>0</v>
      </c>
      <c r="EM837" s="253">
        <v>0</v>
      </c>
      <c r="EN837" s="254">
        <v>0</v>
      </c>
      <c r="EO837" s="252"/>
      <c r="EP837" t="str">
        <f>IF(AND(AND(AND(OR($EC837=1,$EB837=1),OR($EH837=1,$EF837=1)),SUM($EA837:$EE837,$EK837)&gt;=3),SUM($EF837:$EJ837)&gt;=2),"Whole sector approach","")</f>
        <v>Whole sector approach</v>
      </c>
      <c r="EQ837" t="str">
        <f>IF(AND(AND(OR($EC837=1,$EB837=1),AND($EH837=0,$EF837=0)),SUM($EA837:$EE837,$EK837)&gt;=4),"Ecosystem approach","")</f>
        <v/>
      </c>
      <c r="ER837" s="254" t="s">
        <v>531</v>
      </c>
      <c r="ES837" t="str">
        <f>IF(AND($EC837+$EB837+$EE837+$EA837+$ED837+$EG837=0,$N837="included"),"C neutral forest and HWP assumption","")</f>
        <v/>
      </c>
      <c r="ET837" t="str">
        <f>IF(AND(AND(AND(AND($EC837=1,$EB837+$EA837+$EG837&gt;=1),$EF837=1),$EH837+$EI837+$ED837+$EE837&gt;=2),$N837="included"),"All C pools assumption","")</f>
        <v/>
      </c>
      <c r="EU837" t="str">
        <f>IF(AND($ED837+$EE837+$EI837+$EH837+$EF837=0,$N837="included"),"In-situ only assumption","")</f>
        <v/>
      </c>
      <c r="EV837" s="253"/>
      <c r="EW837" s="253" t="s">
        <v>236</v>
      </c>
      <c r="EX837" s="253"/>
      <c r="EY837" t="str">
        <f>IF(ISNUMBER(BW837),IF(ABS(BW837-[3]QC_indicators!$B$2)&gt;3*[3]QC_indicators!$C$2,"C ratio",IF(ISNUMBER(CA837),IF(ABS(CA837-[3]QC_indicators!$B$1)&gt;3*[3]QC_indicators!$C$1,"DF","no"))),IF(ISNUMBER(CA837),IF(ABS(CA837-[3]QC_indicators!$B$1)&gt;3*[3]QC_indicators!$C$1,"DF","no")))</f>
        <v>no</v>
      </c>
      <c r="EZ837" s="274"/>
      <c r="FA837" t="str">
        <f>IF(LEN($CY837)=0,"",IF(AND($CY837&lt;(-0.05),$ES837="C neutral forest and HWP assumption"),"Cneutral paradox",IF(AND($CY837&gt;0.05,$EU837="In-situ only assumption"),"In-situ only paradox","")))</f>
        <v/>
      </c>
      <c r="FB837" s="274"/>
      <c r="FC837" s="274"/>
    </row>
    <row r="838" spans="1:159" ht="15" hidden="1" customHeight="1">
      <c r="A838" s="252" t="s">
        <v>214</v>
      </c>
      <c r="B838" s="253" t="s">
        <v>215</v>
      </c>
      <c r="C838" s="253" t="s">
        <v>216</v>
      </c>
      <c r="D838" s="253" t="s">
        <v>217</v>
      </c>
      <c r="E838" s="253" t="s">
        <v>218</v>
      </c>
      <c r="F838" s="253" t="s">
        <v>219</v>
      </c>
      <c r="G838" s="253" t="s">
        <v>220</v>
      </c>
      <c r="H838" s="253"/>
      <c r="I838" s="253">
        <v>2012</v>
      </c>
      <c r="J838" s="253"/>
      <c r="K838" s="253" t="s">
        <v>221</v>
      </c>
      <c r="L838" s="253"/>
      <c r="M838" s="253" t="s">
        <v>2753</v>
      </c>
      <c r="N838" s="253" t="s">
        <v>222</v>
      </c>
      <c r="O838" s="269" t="s">
        <v>223</v>
      </c>
      <c r="P838" s="253"/>
      <c r="Q838" s="253" t="s">
        <v>224</v>
      </c>
      <c r="R838" s="254" t="s">
        <v>225</v>
      </c>
      <c r="S838" s="252" t="s">
        <v>240</v>
      </c>
      <c r="T838" s="253">
        <v>2000</v>
      </c>
      <c r="U838" s="253">
        <v>4000</v>
      </c>
      <c r="V838" s="253">
        <v>0</v>
      </c>
      <c r="W838" s="253">
        <v>0</v>
      </c>
      <c r="X838" s="253">
        <v>0</v>
      </c>
      <c r="Y838" s="253">
        <v>0</v>
      </c>
      <c r="Z838" s="253">
        <v>0</v>
      </c>
      <c r="AA838" s="253">
        <v>0</v>
      </c>
      <c r="AB838" s="253">
        <v>0</v>
      </c>
      <c r="AC838" s="253">
        <v>1</v>
      </c>
      <c r="AD838" s="253">
        <v>0</v>
      </c>
      <c r="AE838" s="253">
        <v>0</v>
      </c>
      <c r="AF838" s="253">
        <v>0</v>
      </c>
      <c r="AG838" s="253">
        <v>0</v>
      </c>
      <c r="AH838" s="253">
        <v>0</v>
      </c>
      <c r="AI838" s="253">
        <v>0</v>
      </c>
      <c r="AJ838" s="253">
        <v>0</v>
      </c>
      <c r="AK838" s="253">
        <v>0</v>
      </c>
      <c r="AL838" s="253">
        <v>0</v>
      </c>
      <c r="AM838" s="253">
        <v>0</v>
      </c>
      <c r="AN838" s="253">
        <v>0</v>
      </c>
      <c r="AO838" s="253">
        <v>0</v>
      </c>
      <c r="AP838" s="253">
        <v>0</v>
      </c>
      <c r="AQ838" s="253">
        <v>0</v>
      </c>
      <c r="AR838" s="253">
        <v>0</v>
      </c>
      <c r="AS838" s="253">
        <v>0</v>
      </c>
      <c r="AT838" s="253">
        <v>0</v>
      </c>
      <c r="AU838" s="253">
        <v>0</v>
      </c>
      <c r="AV838" s="253">
        <v>0</v>
      </c>
      <c r="AW838" s="253">
        <v>0</v>
      </c>
      <c r="AX838" s="253">
        <v>0</v>
      </c>
      <c r="AY838" s="253">
        <v>0</v>
      </c>
      <c r="AZ838" s="271">
        <v>1</v>
      </c>
      <c r="BA838" s="271">
        <v>1</v>
      </c>
      <c r="BB838" s="253">
        <v>1</v>
      </c>
      <c r="BC838" s="253">
        <v>0</v>
      </c>
      <c r="BD838" s="253">
        <v>0</v>
      </c>
      <c r="BE838" s="253">
        <v>0</v>
      </c>
      <c r="BF838" s="253">
        <v>0</v>
      </c>
      <c r="BG838" s="253" t="s">
        <v>93</v>
      </c>
      <c r="BH838" s="2" t="str" cm="1">
        <f t="array" ref="BH838">IF(COUNTIF(BB838:BD838,"&lt;&gt;0")=1,INDEX($X$4:$AY$4,MATCH(TRUE,INDEX($X838:$AY838&lt;&gt;0,),0)),IF(COUNTIF(BB838:BD838,"&lt;&gt;0")=0,INDEX($AO$4:$AY$4,MATCH(1,$AO838:$AY838,0)),"Multiple strategies"))</f>
        <v>Silviculture for productivity</v>
      </c>
      <c r="BI838" s="272" t="s">
        <v>229</v>
      </c>
      <c r="BJ838" s="253" t="s">
        <v>230</v>
      </c>
      <c r="BK838" s="273" t="s">
        <v>2754</v>
      </c>
      <c r="BL838" s="270" t="s">
        <v>231</v>
      </c>
      <c r="BM838" s="253">
        <v>47.845851490000001</v>
      </c>
      <c r="BN838" s="253">
        <v>54.398789620000002</v>
      </c>
      <c r="BO838" s="270">
        <v>1.1369593794640607</v>
      </c>
      <c r="BP838" s="253">
        <v>6.5529381300000011</v>
      </c>
      <c r="BQ838" s="270">
        <v>13.373343122448983</v>
      </c>
      <c r="BR838" s="270" t="s">
        <v>232</v>
      </c>
      <c r="BS838" s="273" t="s">
        <v>2754</v>
      </c>
      <c r="BT838" s="270" t="s">
        <v>233</v>
      </c>
      <c r="BU838" s="253">
        <v>-9.0763052210000001</v>
      </c>
      <c r="BV838" s="253">
        <v>-9.1923873230000002</v>
      </c>
      <c r="BW838" s="255">
        <v>1.0127895767246147</v>
      </c>
      <c r="BX838" s="253">
        <v>-0.11608210200000002</v>
      </c>
      <c r="BY838" s="253"/>
      <c r="BZ838" s="253">
        <v>-1.1608210200000002E-4</v>
      </c>
      <c r="CA838" s="253">
        <v>-8.680110944371147E-6</v>
      </c>
      <c r="CB838" s="253">
        <v>0</v>
      </c>
      <c r="CC838" s="253">
        <v>0</v>
      </c>
      <c r="CD838" s="253">
        <v>0</v>
      </c>
      <c r="CE838" s="253">
        <v>0</v>
      </c>
      <c r="CF838" s="253">
        <v>0</v>
      </c>
      <c r="CG838" s="253">
        <v>0</v>
      </c>
      <c r="CH838" s="253">
        <v>0</v>
      </c>
      <c r="CI838" s="253">
        <v>0</v>
      </c>
      <c r="CJ838" s="253">
        <v>0</v>
      </c>
      <c r="CK838" s="253">
        <v>0</v>
      </c>
      <c r="CL838" s="253">
        <v>0</v>
      </c>
      <c r="CM838" s="253">
        <v>0</v>
      </c>
      <c r="CN838" s="253">
        <v>0</v>
      </c>
      <c r="CO838" s="253">
        <v>0</v>
      </c>
      <c r="CP838" s="253" t="s">
        <v>2755</v>
      </c>
      <c r="CQ838" s="253">
        <v>47.845851490000001</v>
      </c>
      <c r="CR838" s="253">
        <v>54.398789620000002</v>
      </c>
      <c r="CS838" s="253">
        <v>13.373343122448983</v>
      </c>
      <c r="CT838">
        <f>IF(BI838="Roundwood",$CS838/2,$CS838)</f>
        <v>13.373343122448983</v>
      </c>
      <c r="CU838" s="253">
        <v>-9.0763052210000001</v>
      </c>
      <c r="CV838" s="253">
        <v>-9.1923873230000002</v>
      </c>
      <c r="CW838" s="253">
        <v>-1.1608210200000002E-4</v>
      </c>
      <c r="CX838">
        <f>IFERROR($CW838/$CS838,"")</f>
        <v>-8.680110944371147E-6</v>
      </c>
      <c r="CY838">
        <f>IFERROR($CW838/$CS838,"")</f>
        <v>-8.680110944371147E-6</v>
      </c>
      <c r="CZ838">
        <f>IFERROR($CW838/$CT838,"")</f>
        <v>-8.680110944371147E-6</v>
      </c>
      <c r="DA838" s="254">
        <v>-1.2789576724614648E-2</v>
      </c>
      <c r="DB838" s="252" t="s">
        <v>234</v>
      </c>
      <c r="DC838" s="253" t="s">
        <v>2756</v>
      </c>
      <c r="DD838" s="253" t="s">
        <v>235</v>
      </c>
      <c r="DE838" s="253"/>
      <c r="DF838" s="270"/>
      <c r="DG838" s="270">
        <v>80</v>
      </c>
      <c r="DH838" s="253" t="s">
        <v>2757</v>
      </c>
      <c r="DI838" s="253">
        <v>0</v>
      </c>
      <c r="DJ838" s="253">
        <v>1</v>
      </c>
      <c r="DK838" s="253">
        <v>0</v>
      </c>
      <c r="DL838" s="253">
        <v>0</v>
      </c>
      <c r="DM838" s="253"/>
      <c r="DN838" s="253">
        <v>1</v>
      </c>
      <c r="DO838" s="253" t="s">
        <v>173</v>
      </c>
      <c r="DP838" s="253">
        <v>0</v>
      </c>
      <c r="DQ838" s="253" t="s">
        <v>180</v>
      </c>
      <c r="DR838" s="253">
        <v>0</v>
      </c>
      <c r="DS838" s="253">
        <v>0</v>
      </c>
      <c r="DT838" s="253">
        <v>0</v>
      </c>
      <c r="DU838" s="270">
        <v>0</v>
      </c>
      <c r="DV838" s="270">
        <v>0</v>
      </c>
      <c r="DW838" s="270">
        <v>0</v>
      </c>
      <c r="DX838" s="270">
        <v>0</v>
      </c>
      <c r="DY838" s="253">
        <v>0</v>
      </c>
      <c r="DZ838" s="270" t="s">
        <v>926</v>
      </c>
      <c r="EA838" s="270">
        <v>1</v>
      </c>
      <c r="EB838" s="270">
        <v>1</v>
      </c>
      <c r="EC838" s="270">
        <v>1</v>
      </c>
      <c r="ED838" s="270">
        <v>0</v>
      </c>
      <c r="EE838" s="253">
        <v>0</v>
      </c>
      <c r="EF838" s="270">
        <v>0</v>
      </c>
      <c r="EG838" s="270">
        <v>1</v>
      </c>
      <c r="EH838" s="270">
        <v>1</v>
      </c>
      <c r="EI838" s="270">
        <v>0</v>
      </c>
      <c r="EJ838" s="270">
        <v>0</v>
      </c>
      <c r="EK838" s="253">
        <v>1</v>
      </c>
      <c r="EL838" s="270">
        <v>0</v>
      </c>
      <c r="EM838" s="253">
        <v>0</v>
      </c>
      <c r="EN838" s="254">
        <v>0</v>
      </c>
      <c r="EO838" s="252"/>
      <c r="EP838" t="str">
        <f>IF(AND(AND(AND(OR($EC838=1,$EB838=1),OR($EH838=1,$EF838=1)),SUM($EA838:$EE838,$EK838)&gt;=3),SUM($EF838:$EJ838)&gt;=2),"Whole sector approach","")</f>
        <v>Whole sector approach</v>
      </c>
      <c r="EQ838" t="str">
        <f>IF(AND(AND(OR($EC838=1,$EB838=1),AND($EH838=0,$EF838=0)),SUM($EA838:$EE838,$EK838)&gt;=4),"Ecosystem approach","")</f>
        <v/>
      </c>
      <c r="ER838" s="254" t="s">
        <v>531</v>
      </c>
      <c r="ES838" t="str">
        <f>IF(AND($EC838+$EB838+$EE838+$EA838+$ED838+$EG838=0,$N838="included"),"C neutral forest and HWP assumption","")</f>
        <v/>
      </c>
      <c r="ET838" t="str">
        <f>IF(AND(AND(AND(AND($EC838=1,$EB838+$EA838+$EG838&gt;=1),$EF838=1),$EH838+$EI838+$ED838+$EE838&gt;=2),$N838="included"),"All C pools assumption","")</f>
        <v/>
      </c>
      <c r="EU838" t="str">
        <f>IF(AND($ED838+$EE838+$EI838+$EH838+$EF838=0,$N838="included"),"In-situ only assumption","")</f>
        <v/>
      </c>
      <c r="EV838" s="253"/>
      <c r="EW838" s="253" t="s">
        <v>236</v>
      </c>
      <c r="EX838" s="253"/>
      <c r="EY838" t="str">
        <f>IF(ISNUMBER(BW838),IF(ABS(BW838-[3]QC_indicators!$B$2)&gt;3*[3]QC_indicators!$C$2,"C ratio",IF(ISNUMBER(CA838),IF(ABS(CA838-[3]QC_indicators!$B$1)&gt;3*[3]QC_indicators!$C$1,"DF","no"))),IF(ISNUMBER(CA838),IF(ABS(CA838-[3]QC_indicators!$B$1)&gt;3*[3]QC_indicators!$C$1,"DF","no")))</f>
        <v>no</v>
      </c>
      <c r="EZ838" s="274"/>
      <c r="FA838" t="str">
        <f>IF(LEN($CY838)=0,"",IF(AND($CY838&lt;(-0.05),$ES838="C neutral forest and HWP assumption"),"Cneutral paradox",IF(AND($CY838&gt;0.05,$EU838="In-situ only assumption"),"In-situ only paradox","")))</f>
        <v/>
      </c>
      <c r="FB838" s="274"/>
      <c r="FC838" s="274"/>
    </row>
    <row r="839" spans="1:159" ht="15" hidden="1" customHeight="1">
      <c r="A839" s="252" t="s">
        <v>214</v>
      </c>
      <c r="B839" s="253" t="s">
        <v>215</v>
      </c>
      <c r="C839" s="253" t="s">
        <v>216</v>
      </c>
      <c r="D839" s="253" t="s">
        <v>217</v>
      </c>
      <c r="E839" s="253" t="s">
        <v>218</v>
      </c>
      <c r="F839" s="253" t="s">
        <v>219</v>
      </c>
      <c r="G839" s="253" t="s">
        <v>220</v>
      </c>
      <c r="H839" s="253"/>
      <c r="I839" s="253">
        <v>2012</v>
      </c>
      <c r="J839" s="253"/>
      <c r="K839" s="253" t="s">
        <v>221</v>
      </c>
      <c r="L839" s="253"/>
      <c r="M839" s="253" t="s">
        <v>2753</v>
      </c>
      <c r="N839" s="253" t="s">
        <v>222</v>
      </c>
      <c r="O839" s="269" t="s">
        <v>223</v>
      </c>
      <c r="P839" s="253"/>
      <c r="Q839" s="253" t="s">
        <v>224</v>
      </c>
      <c r="R839" s="254" t="s">
        <v>225</v>
      </c>
      <c r="S839" s="252" t="s">
        <v>240</v>
      </c>
      <c r="T839" s="253">
        <v>2000</v>
      </c>
      <c r="U839" s="253">
        <v>4000</v>
      </c>
      <c r="V839" s="253">
        <v>0</v>
      </c>
      <c r="W839" s="253">
        <v>0</v>
      </c>
      <c r="X839" s="253">
        <v>0</v>
      </c>
      <c r="Y839" s="253">
        <v>0</v>
      </c>
      <c r="Z839" s="253">
        <v>0</v>
      </c>
      <c r="AA839" s="253">
        <v>0</v>
      </c>
      <c r="AB839" s="253">
        <v>0</v>
      </c>
      <c r="AC839" s="253">
        <v>1</v>
      </c>
      <c r="AD839" s="253">
        <v>0</v>
      </c>
      <c r="AE839" s="253">
        <v>0</v>
      </c>
      <c r="AF839" s="253">
        <v>0</v>
      </c>
      <c r="AG839" s="253">
        <v>0</v>
      </c>
      <c r="AH839" s="253">
        <v>0</v>
      </c>
      <c r="AI839" s="253">
        <v>0</v>
      </c>
      <c r="AJ839" s="253">
        <v>0</v>
      </c>
      <c r="AK839" s="253">
        <v>0</v>
      </c>
      <c r="AL839" s="253">
        <v>0</v>
      </c>
      <c r="AM839" s="253">
        <v>0</v>
      </c>
      <c r="AN839" s="253">
        <v>0</v>
      </c>
      <c r="AO839" s="253">
        <v>0</v>
      </c>
      <c r="AP839" s="253">
        <v>0</v>
      </c>
      <c r="AQ839" s="253">
        <v>0</v>
      </c>
      <c r="AR839" s="253">
        <v>0</v>
      </c>
      <c r="AS839" s="253">
        <v>0</v>
      </c>
      <c r="AT839" s="253">
        <v>0</v>
      </c>
      <c r="AU839" s="253">
        <v>0</v>
      </c>
      <c r="AV839" s="253">
        <v>0</v>
      </c>
      <c r="AW839" s="253">
        <v>0</v>
      </c>
      <c r="AX839" s="253">
        <v>0</v>
      </c>
      <c r="AY839" s="253">
        <v>0</v>
      </c>
      <c r="AZ839" s="271">
        <v>1</v>
      </c>
      <c r="BA839" s="271">
        <v>1</v>
      </c>
      <c r="BB839" s="253">
        <v>1</v>
      </c>
      <c r="BC839" s="253">
        <v>0</v>
      </c>
      <c r="BD839" s="253">
        <v>0</v>
      </c>
      <c r="BE839" s="253">
        <v>0</v>
      </c>
      <c r="BF839" s="253">
        <v>0</v>
      </c>
      <c r="BG839" s="253" t="s">
        <v>93</v>
      </c>
      <c r="BH839" s="2" t="str" cm="1">
        <f t="array" ref="BH839">IF(COUNTIF(BB839:BD839,"&lt;&gt;0")=1,INDEX($X$4:$AY$4,MATCH(TRUE,INDEX($X839:$AY839&lt;&gt;0,),0)),IF(COUNTIF(BB839:BD839,"&lt;&gt;0")=0,INDEX($AO$4:$AY$4,MATCH(1,$AO839:$AY839,0)),"Multiple strategies"))</f>
        <v>Silviculture for productivity</v>
      </c>
      <c r="BI839" s="272" t="s">
        <v>229</v>
      </c>
      <c r="BJ839" s="253" t="s">
        <v>230</v>
      </c>
      <c r="BK839" s="273" t="s">
        <v>2754</v>
      </c>
      <c r="BL839" s="270" t="s">
        <v>231</v>
      </c>
      <c r="BM839" s="253">
        <v>62.093385429999998</v>
      </c>
      <c r="BN839" s="253">
        <v>68.641374010000007</v>
      </c>
      <c r="BO839" s="270">
        <v>1.1054538826423272</v>
      </c>
      <c r="BP839" s="253">
        <v>6.5479885800000091</v>
      </c>
      <c r="BQ839" s="270">
        <v>13.363242000000019</v>
      </c>
      <c r="BR839" s="270" t="s">
        <v>232</v>
      </c>
      <c r="BS839" s="273" t="s">
        <v>2754</v>
      </c>
      <c r="BT839" s="270" t="s">
        <v>233</v>
      </c>
      <c r="BU839" s="253">
        <v>-8.7761541919999999</v>
      </c>
      <c r="BV839" s="253">
        <v>-8.9317269079999999</v>
      </c>
      <c r="BW839" s="255">
        <v>1.0177267528118197</v>
      </c>
      <c r="BX839" s="253">
        <v>-0.155572716</v>
      </c>
      <c r="BY839" s="253"/>
      <c r="BZ839" s="253">
        <v>-1.5557271599999999E-4</v>
      </c>
      <c r="CA839" s="253">
        <v>-1.1641839308155893E-5</v>
      </c>
      <c r="CB839" s="253">
        <v>0</v>
      </c>
      <c r="CC839" s="253">
        <v>0</v>
      </c>
      <c r="CD839" s="253">
        <v>0</v>
      </c>
      <c r="CE839" s="253">
        <v>0</v>
      </c>
      <c r="CF839" s="253">
        <v>0</v>
      </c>
      <c r="CG839" s="253">
        <v>0</v>
      </c>
      <c r="CH839" s="253">
        <v>0</v>
      </c>
      <c r="CI839" s="253">
        <v>0</v>
      </c>
      <c r="CJ839" s="253">
        <v>0</v>
      </c>
      <c r="CK839" s="253">
        <v>0</v>
      </c>
      <c r="CL839" s="253">
        <v>0</v>
      </c>
      <c r="CM839" s="253">
        <v>0</v>
      </c>
      <c r="CN839" s="253">
        <v>0</v>
      </c>
      <c r="CO839" s="253">
        <v>0</v>
      </c>
      <c r="CP839" s="253" t="s">
        <v>2755</v>
      </c>
      <c r="CQ839" s="253">
        <v>62.093385429999998</v>
      </c>
      <c r="CR839" s="253">
        <v>68.641374010000007</v>
      </c>
      <c r="CS839" s="253">
        <v>13.363242000000019</v>
      </c>
      <c r="CT839">
        <f>IF(BI839="Roundwood",$CS839/2,$CS839)</f>
        <v>13.363242000000019</v>
      </c>
      <c r="CU839" s="253">
        <v>-8.7761541919999999</v>
      </c>
      <c r="CV839" s="253">
        <v>-8.9317269079999999</v>
      </c>
      <c r="CW839" s="253">
        <v>-1.5557271599999999E-4</v>
      </c>
      <c r="CX839">
        <f>IFERROR($CW839/$CS839,"")</f>
        <v>-1.1641839308155893E-5</v>
      </c>
      <c r="CY839">
        <f>IFERROR($CW839/$CS839,"")</f>
        <v>-1.1641839308155893E-5</v>
      </c>
      <c r="CZ839">
        <f>IFERROR($CW839/$CT839,"")</f>
        <v>-1.1641839308155893E-5</v>
      </c>
      <c r="DA839" s="254">
        <v>-1.7726752811819787E-2</v>
      </c>
      <c r="DB839" s="252" t="s">
        <v>234</v>
      </c>
      <c r="DC839" s="253" t="s">
        <v>2756</v>
      </c>
      <c r="DD839" s="253" t="s">
        <v>235</v>
      </c>
      <c r="DE839" s="253"/>
      <c r="DF839" s="270"/>
      <c r="DG839" s="270">
        <v>80</v>
      </c>
      <c r="DH839" s="253" t="s">
        <v>2757</v>
      </c>
      <c r="DI839" s="253">
        <v>0</v>
      </c>
      <c r="DJ839" s="253">
        <v>1</v>
      </c>
      <c r="DK839" s="253">
        <v>0</v>
      </c>
      <c r="DL839" s="253">
        <v>0</v>
      </c>
      <c r="DM839" s="253"/>
      <c r="DN839" s="253">
        <v>1</v>
      </c>
      <c r="DO839" s="253" t="s">
        <v>173</v>
      </c>
      <c r="DP839" s="253">
        <v>0</v>
      </c>
      <c r="DQ839" s="253" t="s">
        <v>180</v>
      </c>
      <c r="DR839" s="253">
        <v>0</v>
      </c>
      <c r="DS839" s="253">
        <v>0</v>
      </c>
      <c r="DT839" s="253">
        <v>0</v>
      </c>
      <c r="DU839" s="270">
        <v>0</v>
      </c>
      <c r="DV839" s="270">
        <v>0</v>
      </c>
      <c r="DW839" s="270">
        <v>0</v>
      </c>
      <c r="DX839" s="270">
        <v>0</v>
      </c>
      <c r="DY839" s="253">
        <v>0</v>
      </c>
      <c r="DZ839" s="270" t="s">
        <v>926</v>
      </c>
      <c r="EA839" s="270">
        <v>1</v>
      </c>
      <c r="EB839" s="270">
        <v>1</v>
      </c>
      <c r="EC839" s="270">
        <v>1</v>
      </c>
      <c r="ED839" s="270">
        <v>0</v>
      </c>
      <c r="EE839" s="253">
        <v>0</v>
      </c>
      <c r="EF839" s="270">
        <v>0</v>
      </c>
      <c r="EG839" s="270">
        <v>1</v>
      </c>
      <c r="EH839" s="270">
        <v>1</v>
      </c>
      <c r="EI839" s="270">
        <v>0</v>
      </c>
      <c r="EJ839" s="270">
        <v>0</v>
      </c>
      <c r="EK839" s="253">
        <v>1</v>
      </c>
      <c r="EL839" s="270">
        <v>0</v>
      </c>
      <c r="EM839" s="253">
        <v>0</v>
      </c>
      <c r="EN839" s="254">
        <v>0</v>
      </c>
      <c r="EO839" s="252"/>
      <c r="EP839" t="str">
        <f>IF(AND(AND(AND(OR($EC839=1,$EB839=1),OR($EH839=1,$EF839=1)),SUM($EA839:$EE839,$EK839)&gt;=3),SUM($EF839:$EJ839)&gt;=2),"Whole sector approach","")</f>
        <v>Whole sector approach</v>
      </c>
      <c r="EQ839" t="str">
        <f>IF(AND(AND(OR($EC839=1,$EB839=1),AND($EH839=0,$EF839=0)),SUM($EA839:$EE839,$EK839)&gt;=4),"Ecosystem approach","")</f>
        <v/>
      </c>
      <c r="ER839" s="254" t="s">
        <v>531</v>
      </c>
      <c r="ES839" t="str">
        <f>IF(AND($EC839+$EB839+$EE839+$EA839+$ED839+$EG839=0,$N839="included"),"C neutral forest and HWP assumption","")</f>
        <v/>
      </c>
      <c r="ET839" t="str">
        <f>IF(AND(AND(AND(AND($EC839=1,$EB839+$EA839+$EG839&gt;=1),$EF839=1),$EH839+$EI839+$ED839+$EE839&gt;=2),$N839="included"),"All C pools assumption","")</f>
        <v/>
      </c>
      <c r="EU839" t="str">
        <f>IF(AND($ED839+$EE839+$EI839+$EH839+$EF839=0,$N839="included"),"In-situ only assumption","")</f>
        <v/>
      </c>
      <c r="EV839" s="253"/>
      <c r="EW839" s="253" t="s">
        <v>236</v>
      </c>
      <c r="EX839" s="253"/>
      <c r="EY839" t="str">
        <f>IF(ISNUMBER(BW839),IF(ABS(BW839-[3]QC_indicators!$B$2)&gt;3*[3]QC_indicators!$C$2,"C ratio",IF(ISNUMBER(CA839),IF(ABS(CA839-[3]QC_indicators!$B$1)&gt;3*[3]QC_indicators!$C$1,"DF","no"))),IF(ISNUMBER(CA839),IF(ABS(CA839-[3]QC_indicators!$B$1)&gt;3*[3]QC_indicators!$C$1,"DF","no")))</f>
        <v>no</v>
      </c>
      <c r="EZ839" s="274"/>
      <c r="FA839" t="str">
        <f>IF(LEN($CY839)=0,"",IF(AND($CY839&lt;(-0.05),$ES839="C neutral forest and HWP assumption"),"Cneutral paradox",IF(AND($CY839&gt;0.05,$EU839="In-situ only assumption"),"In-situ only paradox","")))</f>
        <v/>
      </c>
      <c r="FB839" s="274"/>
      <c r="FC839" s="274"/>
    </row>
    <row r="840" spans="1:159" ht="15" hidden="1" customHeight="1">
      <c r="A840" s="252" t="s">
        <v>214</v>
      </c>
      <c r="B840" s="253" t="s">
        <v>215</v>
      </c>
      <c r="C840" s="253" t="s">
        <v>216</v>
      </c>
      <c r="D840" s="253" t="s">
        <v>217</v>
      </c>
      <c r="E840" s="253" t="s">
        <v>218</v>
      </c>
      <c r="F840" s="253" t="s">
        <v>219</v>
      </c>
      <c r="G840" s="253" t="s">
        <v>220</v>
      </c>
      <c r="H840" s="253"/>
      <c r="I840" s="253">
        <v>2012</v>
      </c>
      <c r="J840" s="253"/>
      <c r="K840" s="253" t="s">
        <v>221</v>
      </c>
      <c r="L840" s="253"/>
      <c r="M840" s="253" t="s">
        <v>2753</v>
      </c>
      <c r="N840" s="253" t="s">
        <v>222</v>
      </c>
      <c r="O840" s="269" t="s">
        <v>223</v>
      </c>
      <c r="P840" s="253"/>
      <c r="Q840" s="253" t="s">
        <v>224</v>
      </c>
      <c r="R840" s="254" t="s">
        <v>225</v>
      </c>
      <c r="S840" s="252" t="s">
        <v>240</v>
      </c>
      <c r="T840" s="253">
        <v>2000</v>
      </c>
      <c r="U840" s="253">
        <v>4000</v>
      </c>
      <c r="V840" s="253">
        <v>0</v>
      </c>
      <c r="W840" s="253">
        <v>0</v>
      </c>
      <c r="X840" s="253">
        <v>0</v>
      </c>
      <c r="Y840" s="253">
        <v>0</v>
      </c>
      <c r="Z840" s="253">
        <v>0</v>
      </c>
      <c r="AA840" s="253">
        <v>0</v>
      </c>
      <c r="AB840" s="253">
        <v>0</v>
      </c>
      <c r="AC840" s="253">
        <v>1</v>
      </c>
      <c r="AD840" s="253">
        <v>0</v>
      </c>
      <c r="AE840" s="253">
        <v>0</v>
      </c>
      <c r="AF840" s="253">
        <v>0</v>
      </c>
      <c r="AG840" s="253">
        <v>0</v>
      </c>
      <c r="AH840" s="253">
        <v>0</v>
      </c>
      <c r="AI840" s="253">
        <v>0</v>
      </c>
      <c r="AJ840" s="253">
        <v>0</v>
      </c>
      <c r="AK840" s="253">
        <v>0</v>
      </c>
      <c r="AL840" s="253">
        <v>0</v>
      </c>
      <c r="AM840" s="253">
        <v>0</v>
      </c>
      <c r="AN840" s="253">
        <v>0</v>
      </c>
      <c r="AO840" s="253">
        <v>0</v>
      </c>
      <c r="AP840" s="253">
        <v>0</v>
      </c>
      <c r="AQ840" s="253">
        <v>0</v>
      </c>
      <c r="AR840" s="253">
        <v>0</v>
      </c>
      <c r="AS840" s="253">
        <v>0</v>
      </c>
      <c r="AT840" s="253">
        <v>0</v>
      </c>
      <c r="AU840" s="253">
        <v>0</v>
      </c>
      <c r="AV840" s="253">
        <v>0</v>
      </c>
      <c r="AW840" s="253">
        <v>0</v>
      </c>
      <c r="AX840" s="253">
        <v>0</v>
      </c>
      <c r="AY840" s="253">
        <v>0</v>
      </c>
      <c r="AZ840" s="271">
        <v>1</v>
      </c>
      <c r="BA840" s="271">
        <v>1</v>
      </c>
      <c r="BB840" s="253">
        <v>1</v>
      </c>
      <c r="BC840" s="253">
        <v>0</v>
      </c>
      <c r="BD840" s="253">
        <v>0</v>
      </c>
      <c r="BE840" s="253">
        <v>0</v>
      </c>
      <c r="BF840" s="253">
        <v>0</v>
      </c>
      <c r="BG840" s="253" t="s">
        <v>93</v>
      </c>
      <c r="BH840" s="2" t="str" cm="1">
        <f t="array" ref="BH840">IF(COUNTIF(BB840:BD840,"&lt;&gt;0")=1,INDEX($X$4:$AY$4,MATCH(TRUE,INDEX($X840:$AY840&lt;&gt;0,),0)),IF(COUNTIF(BB840:BD840,"&lt;&gt;0")=0,INDEX($AO$4:$AY$4,MATCH(1,$AO840:$AY840,0)),"Multiple strategies"))</f>
        <v>Silviculture for productivity</v>
      </c>
      <c r="BI840" s="272" t="s">
        <v>229</v>
      </c>
      <c r="BJ840" s="253" t="s">
        <v>230</v>
      </c>
      <c r="BK840" s="273" t="s">
        <v>2754</v>
      </c>
      <c r="BL840" s="270" t="s">
        <v>231</v>
      </c>
      <c r="BM840" s="253">
        <v>53.012261809999998</v>
      </c>
      <c r="BN840" s="253">
        <v>60.054679620000002</v>
      </c>
      <c r="BO840" s="270">
        <v>1.1328450733764306</v>
      </c>
      <c r="BP840" s="253">
        <v>7.0424178100000034</v>
      </c>
      <c r="BQ840" s="270">
        <v>14.372281244897966</v>
      </c>
      <c r="BR840" s="270" t="s">
        <v>232</v>
      </c>
      <c r="BS840" s="273" t="s">
        <v>2754</v>
      </c>
      <c r="BT840" s="270" t="s">
        <v>233</v>
      </c>
      <c r="BU840" s="253">
        <v>-8.8453815260000006</v>
      </c>
      <c r="BV840" s="253">
        <v>-9.0244200239999994</v>
      </c>
      <c r="BW840" s="255">
        <v>1.0202409017037575</v>
      </c>
      <c r="BX840" s="253">
        <v>-0.17903849799999882</v>
      </c>
      <c r="BY840" s="253"/>
      <c r="BZ840" s="253">
        <v>-1.7903849799999881E-4</v>
      </c>
      <c r="CA840" s="253">
        <v>-1.2457208076383553E-5</v>
      </c>
      <c r="CB840" s="253">
        <v>0</v>
      </c>
      <c r="CC840" s="253">
        <v>0</v>
      </c>
      <c r="CD840" s="253">
        <v>0</v>
      </c>
      <c r="CE840" s="253">
        <v>0</v>
      </c>
      <c r="CF840" s="253">
        <v>0</v>
      </c>
      <c r="CG840" s="253">
        <v>0</v>
      </c>
      <c r="CH840" s="253">
        <v>0</v>
      </c>
      <c r="CI840" s="253">
        <v>0</v>
      </c>
      <c r="CJ840" s="253">
        <v>0</v>
      </c>
      <c r="CK840" s="253">
        <v>0</v>
      </c>
      <c r="CL840" s="253">
        <v>0</v>
      </c>
      <c r="CM840" s="253">
        <v>0</v>
      </c>
      <c r="CN840" s="253">
        <v>0</v>
      </c>
      <c r="CO840" s="253">
        <v>0</v>
      </c>
      <c r="CP840" s="253" t="s">
        <v>2755</v>
      </c>
      <c r="CQ840" s="253">
        <v>53.012261809999998</v>
      </c>
      <c r="CR840" s="253">
        <v>60.054679620000002</v>
      </c>
      <c r="CS840" s="253">
        <v>14.372281244897966</v>
      </c>
      <c r="CT840">
        <f>IF(BI840="Roundwood",$CS840/2,$CS840)</f>
        <v>14.372281244897966</v>
      </c>
      <c r="CU840" s="253">
        <v>-8.8453815260000006</v>
      </c>
      <c r="CV840" s="253">
        <v>-9.0244200239999994</v>
      </c>
      <c r="CW840" s="253">
        <v>-1.7903849799999881E-4</v>
      </c>
      <c r="CX840">
        <f>IFERROR($CW840/$CS840,"")</f>
        <v>-1.2457208076383553E-5</v>
      </c>
      <c r="CY840">
        <f>IFERROR($CW840/$CS840,"")</f>
        <v>-1.2457208076383553E-5</v>
      </c>
      <c r="CZ840">
        <f>IFERROR($CW840/$CT840,"")</f>
        <v>-1.2457208076383553E-5</v>
      </c>
      <c r="DA840" s="254">
        <v>-2.0240901703757534E-2</v>
      </c>
      <c r="DB840" s="252" t="s">
        <v>234</v>
      </c>
      <c r="DC840" s="253" t="s">
        <v>2756</v>
      </c>
      <c r="DD840" s="253" t="s">
        <v>235</v>
      </c>
      <c r="DE840" s="253"/>
      <c r="DF840" s="270"/>
      <c r="DG840" s="270">
        <v>80</v>
      </c>
      <c r="DH840" s="253" t="s">
        <v>2757</v>
      </c>
      <c r="DI840" s="253">
        <v>0</v>
      </c>
      <c r="DJ840" s="253">
        <v>1</v>
      </c>
      <c r="DK840" s="253">
        <v>0</v>
      </c>
      <c r="DL840" s="253">
        <v>0</v>
      </c>
      <c r="DM840" s="253"/>
      <c r="DN840" s="253">
        <v>1</v>
      </c>
      <c r="DO840" s="253" t="s">
        <v>173</v>
      </c>
      <c r="DP840" s="253">
        <v>0</v>
      </c>
      <c r="DQ840" s="253" t="s">
        <v>180</v>
      </c>
      <c r="DR840" s="253">
        <v>0</v>
      </c>
      <c r="DS840" s="253">
        <v>0</v>
      </c>
      <c r="DT840" s="253">
        <v>0</v>
      </c>
      <c r="DU840" s="270">
        <v>0</v>
      </c>
      <c r="DV840" s="270">
        <v>0</v>
      </c>
      <c r="DW840" s="270">
        <v>0</v>
      </c>
      <c r="DX840" s="270">
        <v>0</v>
      </c>
      <c r="DY840" s="253">
        <v>0</v>
      </c>
      <c r="DZ840" s="270" t="s">
        <v>926</v>
      </c>
      <c r="EA840" s="270">
        <v>1</v>
      </c>
      <c r="EB840" s="270">
        <v>1</v>
      </c>
      <c r="EC840" s="270">
        <v>1</v>
      </c>
      <c r="ED840" s="270">
        <v>0</v>
      </c>
      <c r="EE840" s="253">
        <v>0</v>
      </c>
      <c r="EF840" s="270">
        <v>0</v>
      </c>
      <c r="EG840" s="270">
        <v>1</v>
      </c>
      <c r="EH840" s="270">
        <v>1</v>
      </c>
      <c r="EI840" s="270">
        <v>0</v>
      </c>
      <c r="EJ840" s="270">
        <v>0</v>
      </c>
      <c r="EK840" s="253">
        <v>1</v>
      </c>
      <c r="EL840" s="270">
        <v>0</v>
      </c>
      <c r="EM840" s="253">
        <v>0</v>
      </c>
      <c r="EN840" s="254">
        <v>0</v>
      </c>
      <c r="EO840" s="252"/>
      <c r="EP840" t="str">
        <f>IF(AND(AND(AND(OR($EC840=1,$EB840=1),OR($EH840=1,$EF840=1)),SUM($EA840:$EE840,$EK840)&gt;=3),SUM($EF840:$EJ840)&gt;=2),"Whole sector approach","")</f>
        <v>Whole sector approach</v>
      </c>
      <c r="EQ840" t="str">
        <f>IF(AND(AND(OR($EC840=1,$EB840=1),AND($EH840=0,$EF840=0)),SUM($EA840:$EE840,$EK840)&gt;=4),"Ecosystem approach","")</f>
        <v/>
      </c>
      <c r="ER840" s="254" t="s">
        <v>531</v>
      </c>
      <c r="ES840" t="str">
        <f>IF(AND($EC840+$EB840+$EE840+$EA840+$ED840+$EG840=0,$N840="included"),"C neutral forest and HWP assumption","")</f>
        <v/>
      </c>
      <c r="ET840" t="str">
        <f>IF(AND(AND(AND(AND($EC840=1,$EB840+$EA840+$EG840&gt;=1),$EF840=1),$EH840+$EI840+$ED840+$EE840&gt;=2),$N840="included"),"All C pools assumption","")</f>
        <v/>
      </c>
      <c r="EU840" t="str">
        <f>IF(AND($ED840+$EE840+$EI840+$EH840+$EF840=0,$N840="included"),"In-situ only assumption","")</f>
        <v/>
      </c>
      <c r="EV840" s="253"/>
      <c r="EW840" s="253" t="s">
        <v>236</v>
      </c>
      <c r="EX840" s="253"/>
      <c r="EY840" t="str">
        <f>IF(ISNUMBER(BW840),IF(ABS(BW840-[3]QC_indicators!$B$2)&gt;3*[3]QC_indicators!$C$2,"C ratio",IF(ISNUMBER(CA840),IF(ABS(CA840-[3]QC_indicators!$B$1)&gt;3*[3]QC_indicators!$C$1,"DF","no"))),IF(ISNUMBER(CA840),IF(ABS(CA840-[3]QC_indicators!$B$1)&gt;3*[3]QC_indicators!$C$1,"DF","no")))</f>
        <v>no</v>
      </c>
      <c r="EZ840" s="274"/>
      <c r="FA840" t="str">
        <f>IF(LEN($CY840)=0,"",IF(AND($CY840&lt;(-0.05),$ES840="C neutral forest and HWP assumption"),"Cneutral paradox",IF(AND($CY840&gt;0.05,$EU840="In-situ only assumption"),"In-situ only paradox","")))</f>
        <v/>
      </c>
      <c r="FB840" s="274"/>
      <c r="FC840" s="274"/>
    </row>
    <row r="841" spans="1:159" ht="15" hidden="1" customHeight="1">
      <c r="A841" s="252" t="s">
        <v>214</v>
      </c>
      <c r="B841" s="253" t="s">
        <v>215</v>
      </c>
      <c r="C841" s="253" t="s">
        <v>216</v>
      </c>
      <c r="D841" s="253" t="s">
        <v>217</v>
      </c>
      <c r="E841" s="253" t="s">
        <v>218</v>
      </c>
      <c r="F841" s="253" t="s">
        <v>219</v>
      </c>
      <c r="G841" s="253" t="s">
        <v>220</v>
      </c>
      <c r="H841" s="253"/>
      <c r="I841" s="253">
        <v>2012</v>
      </c>
      <c r="J841" s="253"/>
      <c r="K841" s="253" t="s">
        <v>221</v>
      </c>
      <c r="L841" s="253"/>
      <c r="M841" s="253" t="s">
        <v>2753</v>
      </c>
      <c r="N841" s="253" t="s">
        <v>222</v>
      </c>
      <c r="O841" s="269" t="s">
        <v>223</v>
      </c>
      <c r="P841" s="253"/>
      <c r="Q841" s="253" t="s">
        <v>224</v>
      </c>
      <c r="R841" s="254" t="s">
        <v>225</v>
      </c>
      <c r="S841" s="252" t="s">
        <v>241</v>
      </c>
      <c r="T841" s="253" t="s">
        <v>244</v>
      </c>
      <c r="U841" s="270" t="s">
        <v>242</v>
      </c>
      <c r="V841" s="253">
        <v>0</v>
      </c>
      <c r="W841" s="253">
        <v>0</v>
      </c>
      <c r="X841" s="253">
        <v>0</v>
      </c>
      <c r="Y841" s="253">
        <v>0</v>
      </c>
      <c r="Z841" s="253">
        <v>0</v>
      </c>
      <c r="AA841" s="253">
        <v>0</v>
      </c>
      <c r="AB841" s="253">
        <v>0</v>
      </c>
      <c r="AC841" s="253">
        <v>0</v>
      </c>
      <c r="AD841" s="253">
        <v>0</v>
      </c>
      <c r="AE841" s="253">
        <v>1</v>
      </c>
      <c r="AF841" s="253">
        <v>0</v>
      </c>
      <c r="AG841" s="253">
        <v>0</v>
      </c>
      <c r="AH841" s="253">
        <v>0</v>
      </c>
      <c r="AI841" s="253">
        <v>0</v>
      </c>
      <c r="AJ841" s="253">
        <v>0</v>
      </c>
      <c r="AK841" s="253">
        <v>0</v>
      </c>
      <c r="AL841" s="253">
        <v>0</v>
      </c>
      <c r="AM841" s="253">
        <v>0</v>
      </c>
      <c r="AN841" s="253">
        <v>0</v>
      </c>
      <c r="AO841" s="253">
        <v>0</v>
      </c>
      <c r="AP841" s="253">
        <v>0</v>
      </c>
      <c r="AQ841" s="253">
        <v>0</v>
      </c>
      <c r="AR841" s="253">
        <v>0</v>
      </c>
      <c r="AS841" s="253">
        <v>0</v>
      </c>
      <c r="AT841" s="253">
        <v>0</v>
      </c>
      <c r="AU841" s="253">
        <v>0</v>
      </c>
      <c r="AV841" s="253">
        <v>0</v>
      </c>
      <c r="AW841" s="253">
        <v>0</v>
      </c>
      <c r="AX841" s="253">
        <v>0</v>
      </c>
      <c r="AY841" s="253">
        <v>0</v>
      </c>
      <c r="AZ841" s="271">
        <v>1</v>
      </c>
      <c r="BA841" s="271">
        <v>1</v>
      </c>
      <c r="BB841" s="253">
        <v>1</v>
      </c>
      <c r="BC841" s="253">
        <v>0</v>
      </c>
      <c r="BD841" s="253">
        <v>0</v>
      </c>
      <c r="BE841" s="253">
        <v>0</v>
      </c>
      <c r="BF841" s="253">
        <v>0</v>
      </c>
      <c r="BG841" s="253" t="s">
        <v>95</v>
      </c>
      <c r="BH841" s="2" t="str" cm="1">
        <f t="array" ref="BH841">IF(COUNTIF(BB841:BD841,"&lt;&gt;0")=1,INDEX($X$4:$AY$4,MATCH(TRUE,INDEX($X841:$AY841&lt;&gt;0,),0)),IF(COUNTIF(BB841:BD841,"&lt;&gt;0")=0,INDEX($AO$4:$AY$4,MATCH(1,$AO841:$AY841,0)),"Multiple strategies"))</f>
        <v>Silviculture for productivity</v>
      </c>
      <c r="BI841" s="272" t="s">
        <v>229</v>
      </c>
      <c r="BJ841" s="253" t="s">
        <v>230</v>
      </c>
      <c r="BK841" s="273" t="s">
        <v>2754</v>
      </c>
      <c r="BL841" s="270" t="s">
        <v>231</v>
      </c>
      <c r="BM841" s="253">
        <v>54.766085619072001</v>
      </c>
      <c r="BN841" s="253">
        <v>58.199966021066899</v>
      </c>
      <c r="BO841" s="270">
        <v>1.0627008551584169</v>
      </c>
      <c r="BP841" s="253">
        <v>3.4338804019948981</v>
      </c>
      <c r="BQ841" s="270">
        <v>7.0079191877446902</v>
      </c>
      <c r="BR841" s="270" t="s">
        <v>232</v>
      </c>
      <c r="BS841" s="273" t="s">
        <v>2754</v>
      </c>
      <c r="BT841" s="270" t="s">
        <v>233</v>
      </c>
      <c r="BU841" s="253">
        <v>-9.0261044176706804</v>
      </c>
      <c r="BV841" s="253">
        <v>-9.1378440072016396</v>
      </c>
      <c r="BW841" s="255">
        <v>1.0123796030225622</v>
      </c>
      <c r="BX841" s="253">
        <v>-0.11173958953095919</v>
      </c>
      <c r="BY841" s="253"/>
      <c r="BZ841" s="253">
        <v>-1.1173958953095919E-4</v>
      </c>
      <c r="CA841" s="253">
        <v>-1.5944759997570629E-5</v>
      </c>
      <c r="CB841" s="253">
        <v>0</v>
      </c>
      <c r="CC841" s="253">
        <v>0</v>
      </c>
      <c r="CD841" s="253">
        <v>0</v>
      </c>
      <c r="CE841" s="253">
        <v>0</v>
      </c>
      <c r="CF841" s="253">
        <v>0</v>
      </c>
      <c r="CG841" s="253">
        <v>0</v>
      </c>
      <c r="CH841" s="253">
        <v>0</v>
      </c>
      <c r="CI841" s="253">
        <v>0</v>
      </c>
      <c r="CJ841" s="253">
        <v>0</v>
      </c>
      <c r="CK841" s="253">
        <v>0</v>
      </c>
      <c r="CL841" s="253">
        <v>0</v>
      </c>
      <c r="CM841" s="253">
        <v>0</v>
      </c>
      <c r="CN841" s="253">
        <v>0</v>
      </c>
      <c r="CO841" s="253">
        <v>0</v>
      </c>
      <c r="CP841" s="253" t="s">
        <v>2755</v>
      </c>
      <c r="CQ841" s="253">
        <v>54.766085619072001</v>
      </c>
      <c r="CR841" s="253">
        <v>58.199966021066899</v>
      </c>
      <c r="CS841" s="253">
        <v>7.0079191877446902</v>
      </c>
      <c r="CT841">
        <f>IF(BI841="Roundwood",$CS841/2,$CS841)</f>
        <v>7.0079191877446902</v>
      </c>
      <c r="CU841" s="253">
        <v>-9.0261044176706804</v>
      </c>
      <c r="CV841" s="253">
        <v>-9.1378440072016396</v>
      </c>
      <c r="CW841" s="253">
        <v>-1.1173958953095919E-4</v>
      </c>
      <c r="CX841">
        <f>IFERROR($CW841/$CS841,"")</f>
        <v>-1.5944759997570629E-5</v>
      </c>
      <c r="CY841">
        <f>IFERROR($CW841/$CS841,"")</f>
        <v>-1.5944759997570629E-5</v>
      </c>
      <c r="CZ841">
        <f>IFERROR($CW841/$CT841,"")</f>
        <v>-1.5944759997570629E-5</v>
      </c>
      <c r="DA841" s="254">
        <v>-1.2379603022562335E-2</v>
      </c>
      <c r="DB841" s="252" t="s">
        <v>234</v>
      </c>
      <c r="DC841" s="253" t="s">
        <v>2756</v>
      </c>
      <c r="DD841" s="253" t="s">
        <v>235</v>
      </c>
      <c r="DE841" s="253"/>
      <c r="DF841" s="270"/>
      <c r="DG841" s="270">
        <v>80</v>
      </c>
      <c r="DH841" s="253" t="s">
        <v>2757</v>
      </c>
      <c r="DI841" s="253">
        <v>0</v>
      </c>
      <c r="DJ841" s="253">
        <v>1</v>
      </c>
      <c r="DK841" s="253">
        <v>0</v>
      </c>
      <c r="DL841" s="253">
        <v>0</v>
      </c>
      <c r="DM841" s="253"/>
      <c r="DN841" s="253">
        <v>1</v>
      </c>
      <c r="DO841" s="253" t="s">
        <v>173</v>
      </c>
      <c r="DP841" s="253">
        <v>0</v>
      </c>
      <c r="DQ841" s="253" t="s">
        <v>180</v>
      </c>
      <c r="DR841" s="253">
        <v>0</v>
      </c>
      <c r="DS841" s="253">
        <v>0</v>
      </c>
      <c r="DT841" s="253">
        <v>0</v>
      </c>
      <c r="DU841" s="270">
        <v>0</v>
      </c>
      <c r="DV841" s="270">
        <v>0</v>
      </c>
      <c r="DW841" s="270">
        <v>0</v>
      </c>
      <c r="DX841" s="270">
        <v>0</v>
      </c>
      <c r="DY841" s="253">
        <v>0</v>
      </c>
      <c r="DZ841" s="270" t="s">
        <v>926</v>
      </c>
      <c r="EA841" s="270">
        <v>1</v>
      </c>
      <c r="EB841" s="270">
        <v>1</v>
      </c>
      <c r="EC841" s="270">
        <v>1</v>
      </c>
      <c r="ED841" s="270">
        <v>0</v>
      </c>
      <c r="EE841" s="253">
        <v>0</v>
      </c>
      <c r="EF841" s="270">
        <v>0</v>
      </c>
      <c r="EG841" s="270">
        <v>1</v>
      </c>
      <c r="EH841" s="270">
        <v>1</v>
      </c>
      <c r="EI841" s="270">
        <v>0</v>
      </c>
      <c r="EJ841" s="270">
        <v>0</v>
      </c>
      <c r="EK841" s="253">
        <v>1</v>
      </c>
      <c r="EL841" s="270">
        <v>0</v>
      </c>
      <c r="EM841" s="253">
        <v>0</v>
      </c>
      <c r="EN841" s="254">
        <v>0</v>
      </c>
      <c r="EO841" s="252"/>
      <c r="EP841" t="str">
        <f>IF(AND(AND(AND(OR($EC841=1,$EB841=1),OR($EH841=1,$EF841=1)),SUM($EA841:$EE841,$EK841)&gt;=3),SUM($EF841:$EJ841)&gt;=2),"Whole sector approach","")</f>
        <v>Whole sector approach</v>
      </c>
      <c r="EQ841" t="str">
        <f>IF(AND(AND(OR($EC841=1,$EB841=1),AND($EH841=0,$EF841=0)),SUM($EA841:$EE841,$EK841)&gt;=4),"Ecosystem approach","")</f>
        <v/>
      </c>
      <c r="ER841" s="254" t="s">
        <v>531</v>
      </c>
      <c r="ES841" t="str">
        <f>IF(AND($EC841+$EB841+$EE841+$EA841+$ED841+$EG841=0,$N841="included"),"C neutral forest and HWP assumption","")</f>
        <v/>
      </c>
      <c r="ET841" t="str">
        <f>IF(AND(AND(AND(AND($EC841=1,$EB841+$EA841+$EG841&gt;=1),$EF841=1),$EH841+$EI841+$ED841+$EE841&gt;=2),$N841="included"),"All C pools assumption","")</f>
        <v/>
      </c>
      <c r="EU841" t="str">
        <f>IF(AND($ED841+$EE841+$EI841+$EH841+$EF841=0,$N841="included"),"In-situ only assumption","")</f>
        <v/>
      </c>
      <c r="EV841" s="253"/>
      <c r="EW841" s="253" t="s">
        <v>236</v>
      </c>
      <c r="EX841" s="253"/>
      <c r="EY841" t="str">
        <f>IF(ISNUMBER(BW841),IF(ABS(BW841-[3]QC_indicators!$B$2)&gt;3*[3]QC_indicators!$C$2,"C ratio",IF(ISNUMBER(CA841),IF(ABS(CA841-[3]QC_indicators!$B$1)&gt;3*[3]QC_indicators!$C$1,"DF","no"))),IF(ISNUMBER(CA841),IF(ABS(CA841-[3]QC_indicators!$B$1)&gt;3*[3]QC_indicators!$C$1,"DF","no")))</f>
        <v>no</v>
      </c>
      <c r="FA841" t="str">
        <f>IF(LEN($CY841)=0,"",IF(AND($CY841&lt;(-0.05),$ES841="C neutral forest and HWP assumption"),"Cneutral paradox",IF(AND($CY841&gt;0.05,$EU841="In-situ only assumption"),"In-situ only paradox","")))</f>
        <v/>
      </c>
    </row>
    <row r="842" spans="1:159" ht="15" hidden="1" customHeight="1">
      <c r="A842" s="252" t="s">
        <v>214</v>
      </c>
      <c r="B842" s="253" t="s">
        <v>215</v>
      </c>
      <c r="C842" s="253" t="s">
        <v>216</v>
      </c>
      <c r="D842" s="253" t="s">
        <v>217</v>
      </c>
      <c r="E842" s="253" t="s">
        <v>218</v>
      </c>
      <c r="F842" s="253" t="s">
        <v>219</v>
      </c>
      <c r="G842" s="253" t="s">
        <v>220</v>
      </c>
      <c r="H842" s="253"/>
      <c r="I842" s="253">
        <v>2012</v>
      </c>
      <c r="J842" s="253"/>
      <c r="K842" s="253" t="s">
        <v>221</v>
      </c>
      <c r="L842" s="253"/>
      <c r="M842" s="253" t="s">
        <v>2753</v>
      </c>
      <c r="N842" s="253" t="s">
        <v>222</v>
      </c>
      <c r="O842" s="269" t="s">
        <v>223</v>
      </c>
      <c r="P842" s="253"/>
      <c r="Q842" s="253" t="s">
        <v>224</v>
      </c>
      <c r="R842" s="254" t="s">
        <v>225</v>
      </c>
      <c r="S842" s="252" t="s">
        <v>240</v>
      </c>
      <c r="T842" s="253">
        <v>2000</v>
      </c>
      <c r="U842" s="253">
        <v>4000</v>
      </c>
      <c r="V842" s="253">
        <v>0</v>
      </c>
      <c r="W842" s="253">
        <v>0</v>
      </c>
      <c r="X842" s="253">
        <v>0</v>
      </c>
      <c r="Y842" s="253">
        <v>0</v>
      </c>
      <c r="Z842" s="253">
        <v>0</v>
      </c>
      <c r="AA842" s="253">
        <v>0</v>
      </c>
      <c r="AB842" s="253">
        <v>0</v>
      </c>
      <c r="AC842" s="253">
        <v>1</v>
      </c>
      <c r="AD842" s="253">
        <v>0</v>
      </c>
      <c r="AE842" s="253">
        <v>0</v>
      </c>
      <c r="AF842" s="253">
        <v>0</v>
      </c>
      <c r="AG842" s="253">
        <v>0</v>
      </c>
      <c r="AH842" s="253">
        <v>0</v>
      </c>
      <c r="AI842" s="253">
        <v>0</v>
      </c>
      <c r="AJ842" s="253">
        <v>0</v>
      </c>
      <c r="AK842" s="253">
        <v>0</v>
      </c>
      <c r="AL842" s="253">
        <v>0</v>
      </c>
      <c r="AM842" s="253">
        <v>0</v>
      </c>
      <c r="AN842" s="253">
        <v>0</v>
      </c>
      <c r="AO842" s="253">
        <v>0</v>
      </c>
      <c r="AP842" s="253">
        <v>0</v>
      </c>
      <c r="AQ842" s="253">
        <v>0</v>
      </c>
      <c r="AR842" s="253">
        <v>0</v>
      </c>
      <c r="AS842" s="253">
        <v>0</v>
      </c>
      <c r="AT842" s="253">
        <v>0</v>
      </c>
      <c r="AU842" s="253">
        <v>0</v>
      </c>
      <c r="AV842" s="253">
        <v>0</v>
      </c>
      <c r="AW842" s="253">
        <v>0</v>
      </c>
      <c r="AX842" s="253">
        <v>0</v>
      </c>
      <c r="AY842" s="253">
        <v>0</v>
      </c>
      <c r="AZ842" s="271">
        <v>1</v>
      </c>
      <c r="BA842" s="271">
        <v>1</v>
      </c>
      <c r="BB842" s="253">
        <v>1</v>
      </c>
      <c r="BC842" s="253">
        <v>0</v>
      </c>
      <c r="BD842" s="253">
        <v>0</v>
      </c>
      <c r="BE842" s="253">
        <v>0</v>
      </c>
      <c r="BF842" s="253">
        <v>0</v>
      </c>
      <c r="BG842" s="253" t="s">
        <v>93</v>
      </c>
      <c r="BH842" s="2" t="str" cm="1">
        <f t="array" ref="BH842">IF(COUNTIF(BB842:BD842,"&lt;&gt;0")=1,INDEX($X$4:$AY$4,MATCH(TRUE,INDEX($X842:$AY842&lt;&gt;0,),0)),IF(COUNTIF(BB842:BD842,"&lt;&gt;0")=0,INDEX($AO$4:$AY$4,MATCH(1,$AO842:$AY842,0)),"Multiple strategies"))</f>
        <v>Silviculture for productivity</v>
      </c>
      <c r="BI842" s="272" t="s">
        <v>229</v>
      </c>
      <c r="BJ842" s="253" t="s">
        <v>230</v>
      </c>
      <c r="BK842" s="273" t="s">
        <v>2754</v>
      </c>
      <c r="BL842" s="270" t="s">
        <v>231</v>
      </c>
      <c r="BM842" s="253">
        <v>58.199966019999998</v>
      </c>
      <c r="BN842" s="253">
        <v>66.639750489999997</v>
      </c>
      <c r="BO842" s="270">
        <v>1.145013563531974</v>
      </c>
      <c r="BP842" s="253">
        <v>8.4397844699999993</v>
      </c>
      <c r="BQ842" s="270">
        <v>17.224049938775508</v>
      </c>
      <c r="BR842" s="270" t="s">
        <v>232</v>
      </c>
      <c r="BS842" s="273" t="s">
        <v>2754</v>
      </c>
      <c r="BT842" s="270" t="s">
        <v>233</v>
      </c>
      <c r="BU842" s="253">
        <v>-9.137844007</v>
      </c>
      <c r="BV842" s="253">
        <v>-9.4136546180000007</v>
      </c>
      <c r="BW842" s="255">
        <v>1.0301833354551377</v>
      </c>
      <c r="BX842" s="253">
        <v>-0.2758106110000007</v>
      </c>
      <c r="BY842" s="253"/>
      <c r="BZ842" s="253">
        <v>-2.7581061100000068E-4</v>
      </c>
      <c r="CA842" s="253">
        <v>-1.6013110271997307E-5</v>
      </c>
      <c r="CB842" s="253">
        <v>0</v>
      </c>
      <c r="CC842" s="253">
        <v>0</v>
      </c>
      <c r="CD842" s="253">
        <v>0</v>
      </c>
      <c r="CE842" s="253">
        <v>0</v>
      </c>
      <c r="CF842" s="253">
        <v>0</v>
      </c>
      <c r="CG842" s="253">
        <v>0</v>
      </c>
      <c r="CH842" s="253">
        <v>0</v>
      </c>
      <c r="CI842" s="253">
        <v>0</v>
      </c>
      <c r="CJ842" s="253">
        <v>0</v>
      </c>
      <c r="CK842" s="253">
        <v>0</v>
      </c>
      <c r="CL842" s="253">
        <v>0</v>
      </c>
      <c r="CM842" s="253">
        <v>0</v>
      </c>
      <c r="CN842" s="253">
        <v>0</v>
      </c>
      <c r="CO842" s="253">
        <v>0</v>
      </c>
      <c r="CP842" s="253" t="s">
        <v>2755</v>
      </c>
      <c r="CQ842" s="253">
        <v>58.199966019999998</v>
      </c>
      <c r="CR842" s="253">
        <v>66.639750489999997</v>
      </c>
      <c r="CS842" s="253">
        <v>17.224049938775508</v>
      </c>
      <c r="CT842">
        <f>IF(BI842="Roundwood",$CS842/2,$CS842)</f>
        <v>17.224049938775508</v>
      </c>
      <c r="CU842" s="253">
        <v>-9.137844007</v>
      </c>
      <c r="CV842" s="253">
        <v>-9.4136546180000007</v>
      </c>
      <c r="CW842" s="253">
        <v>-2.7581061100000068E-4</v>
      </c>
      <c r="CX842">
        <f>IFERROR($CW842/$CS842,"")</f>
        <v>-1.6013110271997307E-5</v>
      </c>
      <c r="CY842">
        <f>IFERROR($CW842/$CS842,"")</f>
        <v>-1.6013110271997307E-5</v>
      </c>
      <c r="CZ842">
        <f>IFERROR($CW842/$CT842,"")</f>
        <v>-1.6013110271997307E-5</v>
      </c>
      <c r="DA842" s="254">
        <v>-3.0183335455137707E-2</v>
      </c>
      <c r="DB842" s="252" t="s">
        <v>234</v>
      </c>
      <c r="DC842" s="253" t="s">
        <v>2756</v>
      </c>
      <c r="DD842" s="253" t="s">
        <v>235</v>
      </c>
      <c r="DE842" s="253"/>
      <c r="DF842" s="270"/>
      <c r="DG842" s="270">
        <v>80</v>
      </c>
      <c r="DH842" s="253" t="s">
        <v>2757</v>
      </c>
      <c r="DI842" s="253">
        <v>0</v>
      </c>
      <c r="DJ842" s="253">
        <v>1</v>
      </c>
      <c r="DK842" s="253">
        <v>0</v>
      </c>
      <c r="DL842" s="253">
        <v>0</v>
      </c>
      <c r="DM842" s="253"/>
      <c r="DN842" s="253">
        <v>1</v>
      </c>
      <c r="DO842" s="253" t="s">
        <v>173</v>
      </c>
      <c r="DP842" s="253">
        <v>0</v>
      </c>
      <c r="DQ842" s="253" t="s">
        <v>180</v>
      </c>
      <c r="DR842" s="253">
        <v>0</v>
      </c>
      <c r="DS842" s="253">
        <v>0</v>
      </c>
      <c r="DT842" s="253">
        <v>0</v>
      </c>
      <c r="DU842" s="270">
        <v>0</v>
      </c>
      <c r="DV842" s="270">
        <v>0</v>
      </c>
      <c r="DW842" s="270">
        <v>0</v>
      </c>
      <c r="DX842" s="270">
        <v>0</v>
      </c>
      <c r="DY842" s="253">
        <v>0</v>
      </c>
      <c r="DZ842" s="270" t="s">
        <v>926</v>
      </c>
      <c r="EA842" s="270">
        <v>1</v>
      </c>
      <c r="EB842" s="270">
        <v>1</v>
      </c>
      <c r="EC842" s="270">
        <v>1</v>
      </c>
      <c r="ED842" s="270">
        <v>0</v>
      </c>
      <c r="EE842" s="253">
        <v>0</v>
      </c>
      <c r="EF842" s="270">
        <v>0</v>
      </c>
      <c r="EG842" s="270">
        <v>1</v>
      </c>
      <c r="EH842" s="270">
        <v>1</v>
      </c>
      <c r="EI842" s="270">
        <v>0</v>
      </c>
      <c r="EJ842" s="270">
        <v>0</v>
      </c>
      <c r="EK842" s="253">
        <v>1</v>
      </c>
      <c r="EL842" s="270">
        <v>0</v>
      </c>
      <c r="EM842" s="253">
        <v>0</v>
      </c>
      <c r="EN842" s="254">
        <v>0</v>
      </c>
      <c r="EO842" s="252"/>
      <c r="EP842" t="str">
        <f>IF(AND(AND(AND(OR($EC842=1,$EB842=1),OR($EH842=1,$EF842=1)),SUM($EA842:$EE842,$EK842)&gt;=3),SUM($EF842:$EJ842)&gt;=2),"Whole sector approach","")</f>
        <v>Whole sector approach</v>
      </c>
      <c r="EQ842" t="str">
        <f>IF(AND(AND(OR($EC842=1,$EB842=1),AND($EH842=0,$EF842=0)),SUM($EA842:$EE842,$EK842)&gt;=4),"Ecosystem approach","")</f>
        <v/>
      </c>
      <c r="ER842" s="254" t="s">
        <v>531</v>
      </c>
      <c r="ES842" t="str">
        <f>IF(AND($EC842+$EB842+$EE842+$EA842+$ED842+$EG842=0,$N842="included"),"C neutral forest and HWP assumption","")</f>
        <v/>
      </c>
      <c r="ET842" t="str">
        <f>IF(AND(AND(AND(AND($EC842=1,$EB842+$EA842+$EG842&gt;=1),$EF842=1),$EH842+$EI842+$ED842+$EE842&gt;=2),$N842="included"),"All C pools assumption","")</f>
        <v/>
      </c>
      <c r="EU842" t="str">
        <f>IF(AND($ED842+$EE842+$EI842+$EH842+$EF842=0,$N842="included"),"In-situ only assumption","")</f>
        <v/>
      </c>
      <c r="EV842" s="253"/>
      <c r="EW842" s="253" t="s">
        <v>236</v>
      </c>
      <c r="EX842" s="253"/>
      <c r="EY842" t="str">
        <f>IF(ISNUMBER(BW842),IF(ABS(BW842-[3]QC_indicators!$B$2)&gt;3*[3]QC_indicators!$C$2,"C ratio",IF(ISNUMBER(CA842),IF(ABS(CA842-[3]QC_indicators!$B$1)&gt;3*[3]QC_indicators!$C$1,"DF","no"))),IF(ISNUMBER(CA842),IF(ABS(CA842-[3]QC_indicators!$B$1)&gt;3*[3]QC_indicators!$C$1,"DF","no")))</f>
        <v>no</v>
      </c>
      <c r="EZ842" s="274"/>
      <c r="FA842" t="str">
        <f>IF(LEN($CY842)=0,"",IF(AND($CY842&lt;(-0.05),$ES842="C neutral forest and HWP assumption"),"Cneutral paradox",IF(AND($CY842&gt;0.05,$EU842="In-situ only assumption"),"In-situ only paradox","")))</f>
        <v/>
      </c>
      <c r="FB842" s="274"/>
      <c r="FC842" s="274"/>
    </row>
    <row r="843" spans="1:159" ht="15" hidden="1" customHeight="1">
      <c r="A843" s="252" t="s">
        <v>214</v>
      </c>
      <c r="B843" s="253" t="s">
        <v>215</v>
      </c>
      <c r="C843" s="253" t="s">
        <v>216</v>
      </c>
      <c r="D843" s="253" t="s">
        <v>217</v>
      </c>
      <c r="E843" s="253" t="s">
        <v>218</v>
      </c>
      <c r="F843" s="253" t="s">
        <v>219</v>
      </c>
      <c r="G843" s="253" t="s">
        <v>220</v>
      </c>
      <c r="H843" s="253"/>
      <c r="I843" s="253">
        <v>2012</v>
      </c>
      <c r="J843" s="253"/>
      <c r="K843" s="253" t="s">
        <v>221</v>
      </c>
      <c r="L843" s="253"/>
      <c r="M843" s="253" t="s">
        <v>2753</v>
      </c>
      <c r="N843" s="253" t="s">
        <v>222</v>
      </c>
      <c r="O843" s="269" t="s">
        <v>223</v>
      </c>
      <c r="P843" s="253"/>
      <c r="Q843" s="253" t="s">
        <v>224</v>
      </c>
      <c r="R843" s="254" t="s">
        <v>225</v>
      </c>
      <c r="S843" s="252" t="s">
        <v>240</v>
      </c>
      <c r="T843" s="253">
        <v>2000</v>
      </c>
      <c r="U843" s="253">
        <v>4000</v>
      </c>
      <c r="V843" s="253">
        <v>0</v>
      </c>
      <c r="W843" s="253">
        <v>0</v>
      </c>
      <c r="X843" s="253">
        <v>0</v>
      </c>
      <c r="Y843" s="253">
        <v>0</v>
      </c>
      <c r="Z843" s="253">
        <v>0</v>
      </c>
      <c r="AA843" s="253">
        <v>0</v>
      </c>
      <c r="AB843" s="253">
        <v>0</v>
      </c>
      <c r="AC843" s="253">
        <v>1</v>
      </c>
      <c r="AD843" s="253">
        <v>0</v>
      </c>
      <c r="AE843" s="253">
        <v>0</v>
      </c>
      <c r="AF843" s="253">
        <v>0</v>
      </c>
      <c r="AG843" s="253">
        <v>0</v>
      </c>
      <c r="AH843" s="253">
        <v>0</v>
      </c>
      <c r="AI843" s="253">
        <v>0</v>
      </c>
      <c r="AJ843" s="253">
        <v>0</v>
      </c>
      <c r="AK843" s="253">
        <v>0</v>
      </c>
      <c r="AL843" s="253">
        <v>0</v>
      </c>
      <c r="AM843" s="253">
        <v>0</v>
      </c>
      <c r="AN843" s="253">
        <v>0</v>
      </c>
      <c r="AO843" s="253">
        <v>0</v>
      </c>
      <c r="AP843" s="253">
        <v>0</v>
      </c>
      <c r="AQ843" s="253">
        <v>0</v>
      </c>
      <c r="AR843" s="253">
        <v>0</v>
      </c>
      <c r="AS843" s="253">
        <v>0</v>
      </c>
      <c r="AT843" s="253">
        <v>0</v>
      </c>
      <c r="AU843" s="253">
        <v>0</v>
      </c>
      <c r="AV843" s="253">
        <v>0</v>
      </c>
      <c r="AW843" s="253">
        <v>0</v>
      </c>
      <c r="AX843" s="253">
        <v>0</v>
      </c>
      <c r="AY843" s="253">
        <v>0</v>
      </c>
      <c r="AZ843" s="271">
        <v>1</v>
      </c>
      <c r="BA843" s="271">
        <v>1</v>
      </c>
      <c r="BB843" s="253">
        <v>1</v>
      </c>
      <c r="BC843" s="253">
        <v>0</v>
      </c>
      <c r="BD843" s="253">
        <v>0</v>
      </c>
      <c r="BE843" s="253">
        <v>0</v>
      </c>
      <c r="BF843" s="253">
        <v>0</v>
      </c>
      <c r="BG843" s="253" t="s">
        <v>93</v>
      </c>
      <c r="BH843" s="2" t="str" cm="1">
        <f t="array" ref="BH843">IF(COUNTIF(BB843:BD843,"&lt;&gt;0")=1,INDEX($X$4:$AY$4,MATCH(TRUE,INDEX($X843:$AY843&lt;&gt;0,),0)),IF(COUNTIF(BB843:BD843,"&lt;&gt;0")=0,INDEX($AO$4:$AY$4,MATCH(1,$AO843:$AY843,0)),"Multiple strategies"))</f>
        <v>Silviculture for productivity</v>
      </c>
      <c r="BI843" s="272" t="s">
        <v>229</v>
      </c>
      <c r="BJ843" s="253" t="s">
        <v>230</v>
      </c>
      <c r="BK843" s="273" t="s">
        <v>2754</v>
      </c>
      <c r="BL843" s="270" t="s">
        <v>231</v>
      </c>
      <c r="BM843" s="253">
        <v>63.509174309999999</v>
      </c>
      <c r="BN843" s="253">
        <v>68.821883279999994</v>
      </c>
      <c r="BO843" s="270">
        <v>1.0836526222820608</v>
      </c>
      <c r="BP843" s="253">
        <v>5.3127089699999956</v>
      </c>
      <c r="BQ843" s="270">
        <v>10.842263204081624</v>
      </c>
      <c r="BR843" s="270" t="s">
        <v>232</v>
      </c>
      <c r="BS843" s="273" t="s">
        <v>2754</v>
      </c>
      <c r="BT843" s="270" t="s">
        <v>233</v>
      </c>
      <c r="BU843" s="253">
        <v>-8.7158725570000009</v>
      </c>
      <c r="BV843" s="253">
        <v>-8.9016064260000007</v>
      </c>
      <c r="BW843" s="255">
        <v>1.0213098422200806</v>
      </c>
      <c r="BX843" s="253">
        <v>-0.18573386899999988</v>
      </c>
      <c r="BY843" s="253"/>
      <c r="BZ843" s="253">
        <v>-1.8573386899999988E-4</v>
      </c>
      <c r="CA843" s="253">
        <v>-1.7130544195798478E-5</v>
      </c>
      <c r="CB843" s="253">
        <v>0</v>
      </c>
      <c r="CC843" s="253">
        <v>0</v>
      </c>
      <c r="CD843" s="253">
        <v>0</v>
      </c>
      <c r="CE843" s="253">
        <v>0</v>
      </c>
      <c r="CF843" s="253">
        <v>0</v>
      </c>
      <c r="CG843" s="253">
        <v>0</v>
      </c>
      <c r="CH843" s="253">
        <v>0</v>
      </c>
      <c r="CI843" s="253">
        <v>0</v>
      </c>
      <c r="CJ843" s="253">
        <v>0</v>
      </c>
      <c r="CK843" s="253">
        <v>0</v>
      </c>
      <c r="CL843" s="253">
        <v>0</v>
      </c>
      <c r="CM843" s="253">
        <v>0</v>
      </c>
      <c r="CN843" s="253">
        <v>0</v>
      </c>
      <c r="CO843" s="253">
        <v>0</v>
      </c>
      <c r="CP843" s="253" t="s">
        <v>2755</v>
      </c>
      <c r="CQ843" s="253">
        <v>63.509174309999999</v>
      </c>
      <c r="CR843" s="253">
        <v>68.821883279999994</v>
      </c>
      <c r="CS843" s="253">
        <v>10.842263204081624</v>
      </c>
      <c r="CT843">
        <f>IF(BI843="Roundwood",$CS843/2,$CS843)</f>
        <v>10.842263204081624</v>
      </c>
      <c r="CU843" s="253">
        <v>-8.7158725570000009</v>
      </c>
      <c r="CV843" s="253">
        <v>-8.9016064260000007</v>
      </c>
      <c r="CW843" s="253">
        <v>-1.8573386899999988E-4</v>
      </c>
      <c r="CX843">
        <f>IFERROR($CW843/$CS843,"")</f>
        <v>-1.7130544195798478E-5</v>
      </c>
      <c r="CY843">
        <f>IFERROR($CW843/$CS843,"")</f>
        <v>-1.7130544195798478E-5</v>
      </c>
      <c r="CZ843">
        <f>IFERROR($CW843/$CT843,"")</f>
        <v>-1.7130544195798478E-5</v>
      </c>
      <c r="DA843" s="254">
        <v>-2.1309842220080533E-2</v>
      </c>
      <c r="DB843" s="252" t="s">
        <v>234</v>
      </c>
      <c r="DC843" s="253" t="s">
        <v>2756</v>
      </c>
      <c r="DD843" s="253" t="s">
        <v>235</v>
      </c>
      <c r="DE843" s="253"/>
      <c r="DF843" s="270"/>
      <c r="DG843" s="270">
        <v>80</v>
      </c>
      <c r="DH843" s="253" t="s">
        <v>2757</v>
      </c>
      <c r="DI843" s="253">
        <v>0</v>
      </c>
      <c r="DJ843" s="253">
        <v>1</v>
      </c>
      <c r="DK843" s="253">
        <v>0</v>
      </c>
      <c r="DL843" s="253">
        <v>0</v>
      </c>
      <c r="DM843" s="253"/>
      <c r="DN843" s="253">
        <v>1</v>
      </c>
      <c r="DO843" s="253" t="s">
        <v>173</v>
      </c>
      <c r="DP843" s="253">
        <v>0</v>
      </c>
      <c r="DQ843" s="253" t="s">
        <v>180</v>
      </c>
      <c r="DR843" s="253">
        <v>0</v>
      </c>
      <c r="DS843" s="253">
        <v>0</v>
      </c>
      <c r="DT843" s="253">
        <v>0</v>
      </c>
      <c r="DU843" s="270">
        <v>0</v>
      </c>
      <c r="DV843" s="270">
        <v>0</v>
      </c>
      <c r="DW843" s="270">
        <v>0</v>
      </c>
      <c r="DX843" s="270">
        <v>0</v>
      </c>
      <c r="DY843" s="253">
        <v>0</v>
      </c>
      <c r="DZ843" s="270" t="s">
        <v>926</v>
      </c>
      <c r="EA843" s="270">
        <v>1</v>
      </c>
      <c r="EB843" s="270">
        <v>1</v>
      </c>
      <c r="EC843" s="270">
        <v>1</v>
      </c>
      <c r="ED843" s="270">
        <v>0</v>
      </c>
      <c r="EE843" s="253">
        <v>0</v>
      </c>
      <c r="EF843" s="270">
        <v>0</v>
      </c>
      <c r="EG843" s="270">
        <v>1</v>
      </c>
      <c r="EH843" s="270">
        <v>1</v>
      </c>
      <c r="EI843" s="270">
        <v>0</v>
      </c>
      <c r="EJ843" s="270">
        <v>0</v>
      </c>
      <c r="EK843" s="253">
        <v>1</v>
      </c>
      <c r="EL843" s="270">
        <v>0</v>
      </c>
      <c r="EM843" s="253">
        <v>0</v>
      </c>
      <c r="EN843" s="254">
        <v>0</v>
      </c>
      <c r="EO843" s="252"/>
      <c r="EP843" t="str">
        <f>IF(AND(AND(AND(OR($EC843=1,$EB843=1),OR($EH843=1,$EF843=1)),SUM($EA843:$EE843,$EK843)&gt;=3),SUM($EF843:$EJ843)&gt;=2),"Whole sector approach","")</f>
        <v>Whole sector approach</v>
      </c>
      <c r="EQ843" t="str">
        <f>IF(AND(AND(OR($EC843=1,$EB843=1),AND($EH843=0,$EF843=0)),SUM($EA843:$EE843,$EK843)&gt;=4),"Ecosystem approach","")</f>
        <v/>
      </c>
      <c r="ER843" s="254" t="s">
        <v>531</v>
      </c>
      <c r="ES843" t="str">
        <f>IF(AND($EC843+$EB843+$EE843+$EA843+$ED843+$EG843=0,$N843="included"),"C neutral forest and HWP assumption","")</f>
        <v/>
      </c>
      <c r="ET843" t="str">
        <f>IF(AND(AND(AND(AND($EC843=1,$EB843+$EA843+$EG843&gt;=1),$EF843=1),$EH843+$EI843+$ED843+$EE843&gt;=2),$N843="included"),"All C pools assumption","")</f>
        <v/>
      </c>
      <c r="EU843" t="str">
        <f>IF(AND($ED843+$EE843+$EI843+$EH843+$EF843=0,$N843="included"),"In-situ only assumption","")</f>
        <v/>
      </c>
      <c r="EV843" s="253"/>
      <c r="EW843" s="253" t="s">
        <v>236</v>
      </c>
      <c r="EX843" s="253"/>
      <c r="EY843" t="str">
        <f>IF(ISNUMBER(BW843),IF(ABS(BW843-[3]QC_indicators!$B$2)&gt;3*[3]QC_indicators!$C$2,"C ratio",IF(ISNUMBER(CA843),IF(ABS(CA843-[3]QC_indicators!$B$1)&gt;3*[3]QC_indicators!$C$1,"DF","no"))),IF(ISNUMBER(CA843),IF(ABS(CA843-[3]QC_indicators!$B$1)&gt;3*[3]QC_indicators!$C$1,"DF","no")))</f>
        <v>no</v>
      </c>
      <c r="EZ843" s="274"/>
      <c r="FA843" t="str">
        <f>IF(LEN($CY843)=0,"",IF(AND($CY843&lt;(-0.05),$ES843="C neutral forest and HWP assumption"),"Cneutral paradox",IF(AND($CY843&gt;0.05,$EU843="In-situ only assumption"),"In-situ only paradox","")))</f>
        <v/>
      </c>
      <c r="FB843" s="274"/>
      <c r="FC843" s="274"/>
    </row>
    <row r="844" spans="1:159" ht="15" hidden="1" customHeight="1">
      <c r="A844" s="252" t="s">
        <v>214</v>
      </c>
      <c r="B844" s="253" t="s">
        <v>215</v>
      </c>
      <c r="C844" s="253" t="s">
        <v>216</v>
      </c>
      <c r="D844" s="253" t="s">
        <v>217</v>
      </c>
      <c r="E844" s="253" t="s">
        <v>218</v>
      </c>
      <c r="F844" s="253" t="s">
        <v>219</v>
      </c>
      <c r="G844" s="253" t="s">
        <v>220</v>
      </c>
      <c r="H844" s="253"/>
      <c r="I844" s="253">
        <v>2012</v>
      </c>
      <c r="J844" s="253"/>
      <c r="K844" s="253" t="s">
        <v>221</v>
      </c>
      <c r="L844" s="253"/>
      <c r="M844" s="253" t="s">
        <v>2753</v>
      </c>
      <c r="N844" s="253" t="s">
        <v>222</v>
      </c>
      <c r="O844" s="269" t="s">
        <v>223</v>
      </c>
      <c r="P844" s="253"/>
      <c r="Q844" s="253" t="s">
        <v>224</v>
      </c>
      <c r="R844" s="254" t="s">
        <v>225</v>
      </c>
      <c r="S844" s="252" t="s">
        <v>240</v>
      </c>
      <c r="T844" s="253">
        <v>2000</v>
      </c>
      <c r="U844" s="253">
        <v>4000</v>
      </c>
      <c r="V844" s="253">
        <v>0</v>
      </c>
      <c r="W844" s="253">
        <v>0</v>
      </c>
      <c r="X844" s="253">
        <v>0</v>
      </c>
      <c r="Y844" s="253">
        <v>0</v>
      </c>
      <c r="Z844" s="253">
        <v>0</v>
      </c>
      <c r="AA844" s="253">
        <v>0</v>
      </c>
      <c r="AB844" s="253">
        <v>0</v>
      </c>
      <c r="AC844" s="253">
        <v>1</v>
      </c>
      <c r="AD844" s="253">
        <v>0</v>
      </c>
      <c r="AE844" s="253">
        <v>0</v>
      </c>
      <c r="AF844" s="253">
        <v>0</v>
      </c>
      <c r="AG844" s="253">
        <v>0</v>
      </c>
      <c r="AH844" s="253">
        <v>0</v>
      </c>
      <c r="AI844" s="253">
        <v>0</v>
      </c>
      <c r="AJ844" s="253">
        <v>0</v>
      </c>
      <c r="AK844" s="253">
        <v>0</v>
      </c>
      <c r="AL844" s="253">
        <v>0</v>
      </c>
      <c r="AM844" s="253">
        <v>0</v>
      </c>
      <c r="AN844" s="253">
        <v>0</v>
      </c>
      <c r="AO844" s="253">
        <v>0</v>
      </c>
      <c r="AP844" s="253">
        <v>0</v>
      </c>
      <c r="AQ844" s="253">
        <v>0</v>
      </c>
      <c r="AR844" s="253">
        <v>0</v>
      </c>
      <c r="AS844" s="253">
        <v>0</v>
      </c>
      <c r="AT844" s="253">
        <v>0</v>
      </c>
      <c r="AU844" s="253">
        <v>0</v>
      </c>
      <c r="AV844" s="253">
        <v>0</v>
      </c>
      <c r="AW844" s="253">
        <v>0</v>
      </c>
      <c r="AX844" s="253">
        <v>0</v>
      </c>
      <c r="AY844" s="253">
        <v>0</v>
      </c>
      <c r="AZ844" s="271">
        <v>1</v>
      </c>
      <c r="BA844" s="271">
        <v>1</v>
      </c>
      <c r="BB844" s="253">
        <v>1</v>
      </c>
      <c r="BC844" s="253">
        <v>0</v>
      </c>
      <c r="BD844" s="253">
        <v>0</v>
      </c>
      <c r="BE844" s="253">
        <v>0</v>
      </c>
      <c r="BF844" s="253">
        <v>0</v>
      </c>
      <c r="BG844" s="253" t="s">
        <v>93</v>
      </c>
      <c r="BH844" s="2" t="str" cm="1">
        <f t="array" ref="BH844">IF(COUNTIF(BB844:BD844,"&lt;&gt;0")=1,INDEX($X$4:$AY$4,MATCH(TRUE,INDEX($X844:$AY844&lt;&gt;0,),0)),IF(COUNTIF(BB844:BD844,"&lt;&gt;0")=0,INDEX($AO$4:$AY$4,MATCH(1,$AO844:$AY844,0)),"Multiple strategies"))</f>
        <v>Silviculture for productivity</v>
      </c>
      <c r="BI844" s="272" t="s">
        <v>229</v>
      </c>
      <c r="BJ844" s="253" t="s">
        <v>230</v>
      </c>
      <c r="BK844" s="273" t="s">
        <v>2754</v>
      </c>
      <c r="BL844" s="270" t="s">
        <v>231</v>
      </c>
      <c r="BM844" s="253">
        <v>54.766085619999998</v>
      </c>
      <c r="BN844" s="253">
        <v>56.739926740000001</v>
      </c>
      <c r="BO844" s="270">
        <v>1.0360413036216556</v>
      </c>
      <c r="BP844" s="253">
        <v>1.973841120000003</v>
      </c>
      <c r="BQ844" s="270">
        <v>4.0282471836734759</v>
      </c>
      <c r="BR844" s="270" t="s">
        <v>232</v>
      </c>
      <c r="BS844" s="273" t="s">
        <v>2754</v>
      </c>
      <c r="BT844" s="270" t="s">
        <v>233</v>
      </c>
      <c r="BU844" s="253">
        <v>-9.0261044179999992</v>
      </c>
      <c r="BV844" s="253">
        <v>-9.5324096189999992</v>
      </c>
      <c r="BW844" s="255">
        <v>1.0560934349474529</v>
      </c>
      <c r="BX844" s="253">
        <v>-0.50630520099999998</v>
      </c>
      <c r="BY844" s="253"/>
      <c r="BZ844" s="253">
        <v>-5.0630520100000004E-4</v>
      </c>
      <c r="CA844" s="253">
        <v>-1.256887122150944E-4</v>
      </c>
      <c r="CB844" s="253">
        <v>0</v>
      </c>
      <c r="CC844" s="253">
        <v>0</v>
      </c>
      <c r="CD844" s="253">
        <v>0</v>
      </c>
      <c r="CE844" s="253">
        <v>0</v>
      </c>
      <c r="CF844" s="253">
        <v>0</v>
      </c>
      <c r="CG844" s="253">
        <v>0</v>
      </c>
      <c r="CH844" s="253">
        <v>0</v>
      </c>
      <c r="CI844" s="253">
        <v>0</v>
      </c>
      <c r="CJ844" s="253">
        <v>0</v>
      </c>
      <c r="CK844" s="253">
        <v>0</v>
      </c>
      <c r="CL844" s="253">
        <v>0</v>
      </c>
      <c r="CM844" s="253">
        <v>0</v>
      </c>
      <c r="CN844" s="253">
        <v>0</v>
      </c>
      <c r="CO844" s="253">
        <v>0</v>
      </c>
      <c r="CP844" s="253" t="s">
        <v>2755</v>
      </c>
      <c r="CQ844" s="253">
        <v>54.766085619999998</v>
      </c>
      <c r="CR844" s="253">
        <v>56.739926740000001</v>
      </c>
      <c r="CS844" s="253">
        <v>4.0282471836734759</v>
      </c>
      <c r="CT844">
        <f>IF(BI844="Roundwood",$CS844/2,$CS844)</f>
        <v>4.0282471836734759</v>
      </c>
      <c r="CU844" s="253">
        <v>-9.0261044179999992</v>
      </c>
      <c r="CV844" s="253">
        <v>-9.5324096189999992</v>
      </c>
      <c r="CW844" s="253">
        <v>-5.0630520100000004E-4</v>
      </c>
      <c r="CX844">
        <f>IFERROR($CW844/$CS844,"")</f>
        <v>-1.256887122150944E-4</v>
      </c>
      <c r="CY844">
        <f>IFERROR($CW844/$CS844,"")</f>
        <v>-1.256887122150944E-4</v>
      </c>
      <c r="CZ844">
        <f>IFERROR($CW844/$CT844,"")</f>
        <v>-1.256887122150944E-4</v>
      </c>
      <c r="DA844" s="254">
        <v>-5.6093434947452878E-2</v>
      </c>
      <c r="DB844" s="252" t="s">
        <v>234</v>
      </c>
      <c r="DC844" s="253" t="s">
        <v>2756</v>
      </c>
      <c r="DD844" s="253" t="s">
        <v>235</v>
      </c>
      <c r="DE844" s="253"/>
      <c r="DF844" s="270"/>
      <c r="DG844" s="270">
        <v>80</v>
      </c>
      <c r="DH844" s="253" t="s">
        <v>2757</v>
      </c>
      <c r="DI844" s="253">
        <v>0</v>
      </c>
      <c r="DJ844" s="253">
        <v>1</v>
      </c>
      <c r="DK844" s="253">
        <v>0</v>
      </c>
      <c r="DL844" s="253">
        <v>0</v>
      </c>
      <c r="DM844" s="253"/>
      <c r="DN844" s="253">
        <v>1</v>
      </c>
      <c r="DO844" s="253" t="s">
        <v>173</v>
      </c>
      <c r="DP844" s="253">
        <v>0</v>
      </c>
      <c r="DQ844" s="253" t="s">
        <v>180</v>
      </c>
      <c r="DR844" s="253">
        <v>0</v>
      </c>
      <c r="DS844" s="253">
        <v>0</v>
      </c>
      <c r="DT844" s="253">
        <v>0</v>
      </c>
      <c r="DU844" s="270">
        <v>0</v>
      </c>
      <c r="DV844" s="270">
        <v>0</v>
      </c>
      <c r="DW844" s="270">
        <v>0</v>
      </c>
      <c r="DX844" s="270">
        <v>0</v>
      </c>
      <c r="DY844" s="253">
        <v>0</v>
      </c>
      <c r="DZ844" s="270" t="s">
        <v>926</v>
      </c>
      <c r="EA844" s="270">
        <v>1</v>
      </c>
      <c r="EB844" s="270">
        <v>1</v>
      </c>
      <c r="EC844" s="270">
        <v>1</v>
      </c>
      <c r="ED844" s="270">
        <v>0</v>
      </c>
      <c r="EE844" s="253">
        <v>0</v>
      </c>
      <c r="EF844" s="270">
        <v>0</v>
      </c>
      <c r="EG844" s="270">
        <v>1</v>
      </c>
      <c r="EH844" s="270">
        <v>1</v>
      </c>
      <c r="EI844" s="270">
        <v>0</v>
      </c>
      <c r="EJ844" s="270">
        <v>0</v>
      </c>
      <c r="EK844" s="253">
        <v>1</v>
      </c>
      <c r="EL844" s="270">
        <v>0</v>
      </c>
      <c r="EM844" s="253">
        <v>0</v>
      </c>
      <c r="EN844" s="254">
        <v>0</v>
      </c>
      <c r="EO844" s="252"/>
      <c r="EP844" t="str">
        <f>IF(AND(AND(AND(OR($EC844=1,$EB844=1),OR($EH844=1,$EF844=1)),SUM($EA844:$EE844,$EK844)&gt;=3),SUM($EF844:$EJ844)&gt;=2),"Whole sector approach","")</f>
        <v>Whole sector approach</v>
      </c>
      <c r="EQ844" t="str">
        <f>IF(AND(AND(OR($EC844=1,$EB844=1),AND($EH844=0,$EF844=0)),SUM($EA844:$EE844,$EK844)&gt;=4),"Ecosystem approach","")</f>
        <v/>
      </c>
      <c r="ER844" s="254" t="s">
        <v>531</v>
      </c>
      <c r="ES844" t="str">
        <f>IF(AND($EC844+$EB844+$EE844+$EA844+$ED844+$EG844=0,$N844="included"),"C neutral forest and HWP assumption","")</f>
        <v/>
      </c>
      <c r="ET844" t="str">
        <f>IF(AND(AND(AND(AND($EC844=1,$EB844+$EA844+$EG844&gt;=1),$EF844=1),$EH844+$EI844+$ED844+$EE844&gt;=2),$N844="included"),"All C pools assumption","")</f>
        <v/>
      </c>
      <c r="EU844" t="str">
        <f>IF(AND($ED844+$EE844+$EI844+$EH844+$EF844=0,$N844="included"),"In-situ only assumption","")</f>
        <v/>
      </c>
      <c r="EV844" s="253"/>
      <c r="EW844" s="253" t="s">
        <v>236</v>
      </c>
      <c r="EX844" s="253"/>
      <c r="EY844" t="str">
        <f>IF(ISNUMBER(BW844),IF(ABS(BW844-[3]QC_indicators!$B$2)&gt;3*[3]QC_indicators!$C$2,"C ratio",IF(ISNUMBER(CA844),IF(ABS(CA844-[3]QC_indicators!$B$1)&gt;3*[3]QC_indicators!$C$1,"DF","no"))),IF(ISNUMBER(CA844),IF(ABS(CA844-[3]QC_indicators!$B$1)&gt;3*[3]QC_indicators!$C$1,"DF","no")))</f>
        <v>no</v>
      </c>
      <c r="EZ844" s="274"/>
      <c r="FA844" t="str">
        <f>IF(LEN($CY844)=0,"",IF(AND($CY844&lt;(-0.05),$ES844="C neutral forest and HWP assumption"),"Cneutral paradox",IF(AND($CY844&gt;0.05,$EU844="In-situ only assumption"),"In-situ only paradox","")))</f>
        <v/>
      </c>
      <c r="FB844" s="274"/>
      <c r="FC844" s="274"/>
    </row>
    <row r="845" spans="1:159" ht="15" hidden="1" customHeight="1">
      <c r="A845" s="252" t="s">
        <v>214</v>
      </c>
      <c r="B845" s="253" t="s">
        <v>215</v>
      </c>
      <c r="C845" s="253" t="s">
        <v>216</v>
      </c>
      <c r="D845" s="253" t="s">
        <v>217</v>
      </c>
      <c r="E845" s="253" t="s">
        <v>218</v>
      </c>
      <c r="F845" s="253" t="s">
        <v>219</v>
      </c>
      <c r="G845" s="253" t="s">
        <v>220</v>
      </c>
      <c r="H845" s="253"/>
      <c r="I845" s="253">
        <v>2012</v>
      </c>
      <c r="J845" s="253"/>
      <c r="K845" s="253" t="s">
        <v>221</v>
      </c>
      <c r="L845" s="253"/>
      <c r="M845" s="253" t="s">
        <v>2753</v>
      </c>
      <c r="N845" s="253" t="s">
        <v>222</v>
      </c>
      <c r="O845" s="269" t="s">
        <v>223</v>
      </c>
      <c r="P845" s="253"/>
      <c r="Q845" s="253" t="s">
        <v>224</v>
      </c>
      <c r="R845" s="254" t="s">
        <v>225</v>
      </c>
      <c r="S845" s="252" t="s">
        <v>240</v>
      </c>
      <c r="T845" s="253">
        <v>2000</v>
      </c>
      <c r="U845" s="253">
        <v>4000</v>
      </c>
      <c r="V845" s="253">
        <v>0</v>
      </c>
      <c r="W845" s="253">
        <v>0</v>
      </c>
      <c r="X845" s="253">
        <v>0</v>
      </c>
      <c r="Y845" s="253">
        <v>0</v>
      </c>
      <c r="Z845" s="253">
        <v>0</v>
      </c>
      <c r="AA845" s="253">
        <v>0</v>
      </c>
      <c r="AB845" s="253">
        <v>0</v>
      </c>
      <c r="AC845" s="253">
        <v>1</v>
      </c>
      <c r="AD845" s="253">
        <v>0</v>
      </c>
      <c r="AE845" s="253">
        <v>0</v>
      </c>
      <c r="AF845" s="253">
        <v>0</v>
      </c>
      <c r="AG845" s="253">
        <v>0</v>
      </c>
      <c r="AH845" s="253">
        <v>0</v>
      </c>
      <c r="AI845" s="253">
        <v>0</v>
      </c>
      <c r="AJ845" s="253">
        <v>0</v>
      </c>
      <c r="AK845" s="253">
        <v>0</v>
      </c>
      <c r="AL845" s="253">
        <v>0</v>
      </c>
      <c r="AM845" s="253">
        <v>0</v>
      </c>
      <c r="AN845" s="253">
        <v>0</v>
      </c>
      <c r="AO845" s="253">
        <v>0</v>
      </c>
      <c r="AP845" s="253">
        <v>0</v>
      </c>
      <c r="AQ845" s="253">
        <v>0</v>
      </c>
      <c r="AR845" s="253">
        <v>0</v>
      </c>
      <c r="AS845" s="253">
        <v>0</v>
      </c>
      <c r="AT845" s="253">
        <v>0</v>
      </c>
      <c r="AU845" s="253">
        <v>0</v>
      </c>
      <c r="AV845" s="253">
        <v>0</v>
      </c>
      <c r="AW845" s="253">
        <v>0</v>
      </c>
      <c r="AX845" s="253">
        <v>0</v>
      </c>
      <c r="AY845" s="253">
        <v>0</v>
      </c>
      <c r="AZ845" s="271">
        <v>1</v>
      </c>
      <c r="BA845" s="271">
        <v>1</v>
      </c>
      <c r="BB845" s="253">
        <v>1</v>
      </c>
      <c r="BC845" s="253">
        <v>0</v>
      </c>
      <c r="BD845" s="253">
        <v>0</v>
      </c>
      <c r="BE845" s="253">
        <v>0</v>
      </c>
      <c r="BF845" s="253">
        <v>0</v>
      </c>
      <c r="BG845" s="253" t="s">
        <v>93</v>
      </c>
      <c r="BH845" s="2" t="str" cm="1">
        <f t="array" ref="BH845">IF(COUNTIF(BB845:BD845,"&lt;&gt;0")=1,INDEX($X$4:$AY$4,MATCH(TRUE,INDEX($X845:$AY845&lt;&gt;0,),0)),IF(COUNTIF(BB845:BD845,"&lt;&gt;0")=0,INDEX($AO$4:$AY$4,MATCH(1,$AO845:$AY845,0)),"Multiple strategies"))</f>
        <v>Silviculture for productivity</v>
      </c>
      <c r="BI845" s="272" t="s">
        <v>229</v>
      </c>
      <c r="BJ845" s="253" t="s">
        <v>230</v>
      </c>
      <c r="BK845" s="273" t="s">
        <v>2754</v>
      </c>
      <c r="BL845" s="270" t="s">
        <v>231</v>
      </c>
      <c r="BM845" s="253">
        <v>114.0804598</v>
      </c>
      <c r="BN845" s="253">
        <v>127.1903367</v>
      </c>
      <c r="BO845" s="270">
        <v>1.1149178125945807</v>
      </c>
      <c r="BP845" s="253">
        <v>13.109876900000003</v>
      </c>
      <c r="BQ845" s="270">
        <v>26.754850816326538</v>
      </c>
      <c r="BR845" s="270" t="s">
        <v>232</v>
      </c>
      <c r="BS845" s="345" t="s">
        <v>2308</v>
      </c>
      <c r="BT845" s="270" t="s">
        <v>233</v>
      </c>
      <c r="BU845" s="253">
        <v>-7.6632653060000004</v>
      </c>
      <c r="BV845" s="253">
        <v>-11.589751100000001</v>
      </c>
      <c r="BW845" s="255">
        <v>1.5123776402372151</v>
      </c>
      <c r="BX845" s="253">
        <v>-3.9264857940000004</v>
      </c>
      <c r="BY845" s="253"/>
      <c r="BZ845" s="253">
        <v>-3.9264857940000007E-3</v>
      </c>
      <c r="CA845" s="253">
        <v>-1.4675790274277861E-4</v>
      </c>
      <c r="CB845" s="253">
        <v>0</v>
      </c>
      <c r="CC845" s="253">
        <v>0</v>
      </c>
      <c r="CD845" s="253">
        <v>0</v>
      </c>
      <c r="CE845" s="253">
        <v>0</v>
      </c>
      <c r="CF845" s="253">
        <v>0</v>
      </c>
      <c r="CG845" s="253">
        <v>0</v>
      </c>
      <c r="CH845" s="253">
        <v>0</v>
      </c>
      <c r="CI845" s="253">
        <v>0</v>
      </c>
      <c r="CJ845" s="253">
        <v>0</v>
      </c>
      <c r="CK845" s="253">
        <v>0</v>
      </c>
      <c r="CL845" s="253">
        <v>0</v>
      </c>
      <c r="CM845" s="253">
        <v>0</v>
      </c>
      <c r="CN845" s="253">
        <v>0</v>
      </c>
      <c r="CO845" s="253">
        <v>0</v>
      </c>
      <c r="CP845" s="253" t="s">
        <v>2755</v>
      </c>
      <c r="CQ845" s="253">
        <v>114.0804598</v>
      </c>
      <c r="CR845" s="253">
        <v>127.1903367</v>
      </c>
      <c r="CS845" s="253">
        <v>26.754850816326538</v>
      </c>
      <c r="CT845">
        <f>IF(BI845="Roundwood",$CS845/2,$CS845)</f>
        <v>26.754850816326538</v>
      </c>
      <c r="CU845" s="253">
        <v>-7.6632653060000004</v>
      </c>
      <c r="CV845" s="253">
        <v>-11.589751100000001</v>
      </c>
      <c r="CW845" s="253">
        <v>-3.9264857940000007E-3</v>
      </c>
      <c r="CX845">
        <f>IFERROR($CW845/$CS845,"")</f>
        <v>-1.4675790274277861E-4</v>
      </c>
      <c r="CY845">
        <f>IFERROR($CW845/$CS845,"")</f>
        <v>-1.4675790274277861E-4</v>
      </c>
      <c r="CZ845">
        <f>IFERROR($CW845/$CT845,"")</f>
        <v>-1.4675790274277861E-4</v>
      </c>
      <c r="DA845" s="254">
        <v>-0.5123776402372151</v>
      </c>
      <c r="DB845" s="252" t="s">
        <v>234</v>
      </c>
      <c r="DC845" s="253" t="s">
        <v>2756</v>
      </c>
      <c r="DD845" s="253" t="s">
        <v>235</v>
      </c>
      <c r="DE845" s="253"/>
      <c r="DF845" s="270"/>
      <c r="DG845" s="270">
        <v>80</v>
      </c>
      <c r="DH845" s="253" t="s">
        <v>2757</v>
      </c>
      <c r="DI845" s="253">
        <v>0</v>
      </c>
      <c r="DJ845" s="253">
        <v>1</v>
      </c>
      <c r="DK845" s="253">
        <v>0</v>
      </c>
      <c r="DL845" s="253">
        <v>0</v>
      </c>
      <c r="DM845" s="253"/>
      <c r="DN845" s="253">
        <v>1</v>
      </c>
      <c r="DO845" s="253" t="s">
        <v>173</v>
      </c>
      <c r="DP845" s="253">
        <v>0</v>
      </c>
      <c r="DQ845" s="253" t="s">
        <v>180</v>
      </c>
      <c r="DR845" s="253">
        <v>0</v>
      </c>
      <c r="DS845" s="253">
        <v>0</v>
      </c>
      <c r="DT845" s="253">
        <v>0</v>
      </c>
      <c r="DU845" s="270">
        <v>0</v>
      </c>
      <c r="DV845" s="270">
        <v>0</v>
      </c>
      <c r="DW845" s="270">
        <v>0</v>
      </c>
      <c r="DX845" s="270">
        <v>0</v>
      </c>
      <c r="DY845" s="253">
        <v>0</v>
      </c>
      <c r="DZ845" s="270" t="s">
        <v>926</v>
      </c>
      <c r="EA845" s="270">
        <v>1</v>
      </c>
      <c r="EB845" s="270">
        <v>1</v>
      </c>
      <c r="EC845" s="270">
        <v>1</v>
      </c>
      <c r="ED845" s="270">
        <v>0</v>
      </c>
      <c r="EE845" s="253">
        <v>0</v>
      </c>
      <c r="EF845" s="270">
        <v>0</v>
      </c>
      <c r="EG845" s="270">
        <v>1</v>
      </c>
      <c r="EH845" s="270">
        <v>1</v>
      </c>
      <c r="EI845" s="270">
        <v>0</v>
      </c>
      <c r="EJ845" s="270">
        <v>0</v>
      </c>
      <c r="EK845" s="253">
        <v>1</v>
      </c>
      <c r="EL845" s="270">
        <v>0</v>
      </c>
      <c r="EM845" s="253">
        <v>0</v>
      </c>
      <c r="EN845" s="254">
        <v>0</v>
      </c>
      <c r="EO845" s="252"/>
      <c r="EP845" t="str">
        <f>IF(AND(AND(AND(OR($EC845=1,$EB845=1),OR($EH845=1,$EF845=1)),SUM($EA845:$EE845,$EK845)&gt;=3),SUM($EF845:$EJ845)&gt;=2),"Whole sector approach","")</f>
        <v>Whole sector approach</v>
      </c>
      <c r="EQ845" t="str">
        <f>IF(AND(AND(OR($EC845=1,$EB845=1),AND($EH845=0,$EF845=0)),SUM($EA845:$EE845,$EK845)&gt;=4),"Ecosystem approach","")</f>
        <v/>
      </c>
      <c r="ER845" s="254" t="s">
        <v>531</v>
      </c>
      <c r="ES845" t="str">
        <f>IF(AND($EC845+$EB845+$EE845+$EA845+$ED845+$EG845=0,$N845="included"),"C neutral forest and HWP assumption","")</f>
        <v/>
      </c>
      <c r="ET845" t="str">
        <f>IF(AND(AND(AND(AND($EC845=1,$EB845+$EA845+$EG845&gt;=1),$EF845=1),$EH845+$EI845+$ED845+$EE845&gt;=2),$N845="included"),"All C pools assumption","")</f>
        <v/>
      </c>
      <c r="EU845" t="str">
        <f>IF(AND($ED845+$EE845+$EI845+$EH845+$EF845=0,$N845="included"),"In-situ only assumption","")</f>
        <v/>
      </c>
      <c r="EV845" s="253"/>
      <c r="EW845" s="253" t="s">
        <v>236</v>
      </c>
      <c r="EX845" s="253"/>
      <c r="EY845" t="str">
        <f>IF(ISNUMBER(BW845),IF(ABS(BW845-[3]QC_indicators!$B$2)&gt;3*[3]QC_indicators!$C$2,"C ratio",IF(ISNUMBER(CA845),IF(ABS(CA845-[3]QC_indicators!$B$1)&gt;3*[3]QC_indicators!$C$1,"DF","no"))),IF(ISNUMBER(CA845),IF(ABS(CA845-[3]QC_indicators!$B$1)&gt;3*[3]QC_indicators!$C$1,"DF","no")))</f>
        <v>no</v>
      </c>
      <c r="EZ845" s="274"/>
      <c r="FA845" t="str">
        <f>IF(LEN($CY845)=0,"",IF(AND($CY845&lt;(-0.05),$ES845="C neutral forest and HWP assumption"),"Cneutral paradox",IF(AND($CY845&gt;0.05,$EU845="In-situ only assumption"),"In-situ only paradox","")))</f>
        <v/>
      </c>
      <c r="FB845" s="274"/>
      <c r="FC845" s="274"/>
    </row>
    <row r="846" spans="1:159" ht="15" hidden="1" customHeight="1">
      <c r="A846" s="252" t="s">
        <v>214</v>
      </c>
      <c r="B846" s="253" t="s">
        <v>215</v>
      </c>
      <c r="C846" s="253" t="s">
        <v>216</v>
      </c>
      <c r="D846" s="253" t="s">
        <v>217</v>
      </c>
      <c r="E846" s="253" t="s">
        <v>218</v>
      </c>
      <c r="F846" s="253" t="s">
        <v>219</v>
      </c>
      <c r="G846" s="253" t="s">
        <v>220</v>
      </c>
      <c r="H846" s="253"/>
      <c r="I846" s="253">
        <v>2012</v>
      </c>
      <c r="J846" s="253"/>
      <c r="K846" s="253" t="s">
        <v>221</v>
      </c>
      <c r="L846" s="253"/>
      <c r="M846" s="253" t="s">
        <v>2753</v>
      </c>
      <c r="N846" s="253" t="s">
        <v>222</v>
      </c>
      <c r="O846" s="269" t="s">
        <v>223</v>
      </c>
      <c r="P846" s="253"/>
      <c r="Q846" s="253" t="s">
        <v>224</v>
      </c>
      <c r="R846" s="254" t="s">
        <v>225</v>
      </c>
      <c r="S846" s="252" t="s">
        <v>241</v>
      </c>
      <c r="T846" s="253" t="s">
        <v>242</v>
      </c>
      <c r="U846" s="270" t="s">
        <v>243</v>
      </c>
      <c r="V846" s="253">
        <v>0</v>
      </c>
      <c r="W846" s="253">
        <v>0</v>
      </c>
      <c r="X846" s="253">
        <v>0</v>
      </c>
      <c r="Y846" s="253">
        <v>0</v>
      </c>
      <c r="Z846" s="253">
        <v>0</v>
      </c>
      <c r="AA846" s="253">
        <v>0</v>
      </c>
      <c r="AB846" s="253">
        <v>0</v>
      </c>
      <c r="AC846" s="253">
        <v>0</v>
      </c>
      <c r="AD846" s="253">
        <v>0</v>
      </c>
      <c r="AE846" s="253">
        <v>1</v>
      </c>
      <c r="AF846" s="253">
        <v>0</v>
      </c>
      <c r="AG846" s="253">
        <v>0</v>
      </c>
      <c r="AH846" s="253">
        <v>0</v>
      </c>
      <c r="AI846" s="253">
        <v>0</v>
      </c>
      <c r="AJ846" s="253">
        <v>0</v>
      </c>
      <c r="AK846" s="253">
        <v>0</v>
      </c>
      <c r="AL846" s="253">
        <v>0</v>
      </c>
      <c r="AM846" s="253">
        <v>0</v>
      </c>
      <c r="AN846" s="253">
        <v>0</v>
      </c>
      <c r="AO846" s="253">
        <v>0</v>
      </c>
      <c r="AP846" s="253">
        <v>0</v>
      </c>
      <c r="AQ846" s="253">
        <v>0</v>
      </c>
      <c r="AR846" s="253">
        <v>0</v>
      </c>
      <c r="AS846" s="253">
        <v>0</v>
      </c>
      <c r="AT846" s="253">
        <v>0</v>
      </c>
      <c r="AU846" s="253">
        <v>0</v>
      </c>
      <c r="AV846" s="253">
        <v>0</v>
      </c>
      <c r="AW846" s="253">
        <v>0</v>
      </c>
      <c r="AX846" s="253">
        <v>0</v>
      </c>
      <c r="AY846" s="253">
        <v>0</v>
      </c>
      <c r="AZ846" s="271">
        <v>1</v>
      </c>
      <c r="BA846" s="271">
        <v>1</v>
      </c>
      <c r="BB846" s="253">
        <v>1</v>
      </c>
      <c r="BC846" s="253">
        <v>0</v>
      </c>
      <c r="BD846" s="253">
        <v>0</v>
      </c>
      <c r="BE846" s="253">
        <v>0</v>
      </c>
      <c r="BF846" s="253">
        <v>0</v>
      </c>
      <c r="BG846" s="253" t="s">
        <v>95</v>
      </c>
      <c r="BH846" s="2" t="str" cm="1">
        <f t="array" ref="BH846">IF(COUNTIF(BB846:BD846,"&lt;&gt;0")=1,INDEX($X$4:$AY$4,MATCH(TRUE,INDEX($X846:$AY846&lt;&gt;0,),0)),IF(COUNTIF(BB846:BD846,"&lt;&gt;0")=0,INDEX($AO$4:$AY$4,MATCH(1,$AO846:$AY846,0)),"Multiple strategies"))</f>
        <v>Silviculture for productivity</v>
      </c>
      <c r="BI846" s="272" t="s">
        <v>229</v>
      </c>
      <c r="BJ846" s="253" t="s">
        <v>230</v>
      </c>
      <c r="BK846" s="273" t="s">
        <v>2754</v>
      </c>
      <c r="BL846" s="270" t="s">
        <v>231</v>
      </c>
      <c r="BM846" s="253">
        <v>90.5390284179134</v>
      </c>
      <c r="BN846" s="253">
        <v>102.32650073206401</v>
      </c>
      <c r="BO846" s="270">
        <v>1.1301921670701121</v>
      </c>
      <c r="BP846" s="253">
        <v>11.787472314150605</v>
      </c>
      <c r="BQ846" s="270">
        <v>24.056065947246132</v>
      </c>
      <c r="BR846" s="270" t="s">
        <v>232</v>
      </c>
      <c r="BS846" s="345" t="s">
        <v>2308</v>
      </c>
      <c r="BT846" s="270" t="s">
        <v>233</v>
      </c>
      <c r="BU846" s="253">
        <v>-8.2073792916471504</v>
      </c>
      <c r="BV846" s="253">
        <v>-11.784382625671</v>
      </c>
      <c r="BW846" s="255">
        <v>1.4358277114918099</v>
      </c>
      <c r="BX846" s="253">
        <v>-3.5770033340238498</v>
      </c>
      <c r="BY846" s="253"/>
      <c r="BZ846" s="253">
        <v>-3.5770033340238499E-3</v>
      </c>
      <c r="CA846" s="253">
        <v>-1.4869444330041566E-4</v>
      </c>
      <c r="CB846" s="253">
        <v>0</v>
      </c>
      <c r="CC846" s="253">
        <v>0</v>
      </c>
      <c r="CD846" s="253">
        <v>0</v>
      </c>
      <c r="CE846" s="253">
        <v>0</v>
      </c>
      <c r="CF846" s="253">
        <v>0</v>
      </c>
      <c r="CG846" s="253">
        <v>0</v>
      </c>
      <c r="CH846" s="253">
        <v>0</v>
      </c>
      <c r="CI846" s="253">
        <v>0</v>
      </c>
      <c r="CJ846" s="253">
        <v>0</v>
      </c>
      <c r="CK846" s="253">
        <v>0</v>
      </c>
      <c r="CL846" s="253">
        <v>0</v>
      </c>
      <c r="CM846" s="253">
        <v>0</v>
      </c>
      <c r="CN846" s="253">
        <v>0</v>
      </c>
      <c r="CO846" s="253">
        <v>0</v>
      </c>
      <c r="CP846" s="253" t="s">
        <v>2755</v>
      </c>
      <c r="CQ846" s="253">
        <v>90.5390284179134</v>
      </c>
      <c r="CR846" s="253">
        <v>102.32650073206401</v>
      </c>
      <c r="CS846" s="253">
        <v>24.056065947246132</v>
      </c>
      <c r="CT846">
        <f>IF(BI846="Roundwood",$CS846/2,$CS846)</f>
        <v>24.056065947246132</v>
      </c>
      <c r="CU846" s="253">
        <v>-8.2073792916471504</v>
      </c>
      <c r="CV846" s="253">
        <v>-11.784382625671</v>
      </c>
      <c r="CW846" s="253">
        <v>-3.5770033340238499E-3</v>
      </c>
      <c r="CX846">
        <f>IFERROR($CW846/$CS846,"")</f>
        <v>-1.4869444330041566E-4</v>
      </c>
      <c r="CY846">
        <f>IFERROR($CW846/$CS846,"")</f>
        <v>-1.4869444330041566E-4</v>
      </c>
      <c r="CZ846">
        <f>IFERROR($CW846/$CT846,"")</f>
        <v>-1.4869444330041566E-4</v>
      </c>
      <c r="DA846" s="254">
        <v>-0.43582771149180993</v>
      </c>
      <c r="DB846" s="252" t="s">
        <v>234</v>
      </c>
      <c r="DC846" s="253" t="s">
        <v>2756</v>
      </c>
      <c r="DD846" s="253" t="s">
        <v>235</v>
      </c>
      <c r="DE846" s="253"/>
      <c r="DF846" s="270"/>
      <c r="DG846" s="270">
        <v>80</v>
      </c>
      <c r="DH846" s="253" t="s">
        <v>2757</v>
      </c>
      <c r="DI846" s="253">
        <v>0</v>
      </c>
      <c r="DJ846" s="253">
        <v>1</v>
      </c>
      <c r="DK846" s="253">
        <v>0</v>
      </c>
      <c r="DL846" s="253">
        <v>0</v>
      </c>
      <c r="DM846" s="253"/>
      <c r="DN846" s="253">
        <v>1</v>
      </c>
      <c r="DO846" s="253" t="s">
        <v>173</v>
      </c>
      <c r="DP846" s="253">
        <v>0</v>
      </c>
      <c r="DQ846" s="253" t="s">
        <v>180</v>
      </c>
      <c r="DR846" s="253">
        <v>0</v>
      </c>
      <c r="DS846" s="253">
        <v>0</v>
      </c>
      <c r="DT846" s="253">
        <v>0</v>
      </c>
      <c r="DU846" s="270">
        <v>0</v>
      </c>
      <c r="DV846" s="270">
        <v>0</v>
      </c>
      <c r="DW846" s="270">
        <v>0</v>
      </c>
      <c r="DX846" s="270">
        <v>0</v>
      </c>
      <c r="DY846" s="253">
        <v>0</v>
      </c>
      <c r="DZ846" s="270" t="s">
        <v>926</v>
      </c>
      <c r="EA846" s="270">
        <v>1</v>
      </c>
      <c r="EB846" s="270">
        <v>1</v>
      </c>
      <c r="EC846" s="270">
        <v>1</v>
      </c>
      <c r="ED846" s="270">
        <v>0</v>
      </c>
      <c r="EE846" s="253">
        <v>0</v>
      </c>
      <c r="EF846" s="270">
        <v>0</v>
      </c>
      <c r="EG846" s="270">
        <v>1</v>
      </c>
      <c r="EH846" s="270">
        <v>1</v>
      </c>
      <c r="EI846" s="270">
        <v>0</v>
      </c>
      <c r="EJ846" s="270">
        <v>0</v>
      </c>
      <c r="EK846" s="253">
        <v>1</v>
      </c>
      <c r="EL846" s="270">
        <v>0</v>
      </c>
      <c r="EM846" s="253">
        <v>0</v>
      </c>
      <c r="EN846" s="254">
        <v>0</v>
      </c>
      <c r="EO846" s="252"/>
      <c r="EP846" t="str">
        <f>IF(AND(AND(AND(OR($EC846=1,$EB846=1),OR($EH846=1,$EF846=1)),SUM($EA846:$EE846,$EK846)&gt;=3),SUM($EF846:$EJ846)&gt;=2),"Whole sector approach","")</f>
        <v>Whole sector approach</v>
      </c>
      <c r="EQ846" t="str">
        <f>IF(AND(AND(OR($EC846=1,$EB846=1),AND($EH846=0,$EF846=0)),SUM($EA846:$EE846,$EK846)&gt;=4),"Ecosystem approach","")</f>
        <v/>
      </c>
      <c r="ER846" s="254" t="s">
        <v>531</v>
      </c>
      <c r="ES846" t="str">
        <f>IF(AND($EC846+$EB846+$EE846+$EA846+$ED846+$EG846=0,$N846="included"),"C neutral forest and HWP assumption","")</f>
        <v/>
      </c>
      <c r="ET846" t="str">
        <f>IF(AND(AND(AND(AND($EC846=1,$EB846+$EA846+$EG846&gt;=1),$EF846=1),$EH846+$EI846+$ED846+$EE846&gt;=2),$N846="included"),"All C pools assumption","")</f>
        <v/>
      </c>
      <c r="EU846" t="str">
        <f>IF(AND($ED846+$EE846+$EI846+$EH846+$EF846=0,$N846="included"),"In-situ only assumption","")</f>
        <v/>
      </c>
      <c r="EV846" s="253"/>
      <c r="EW846" s="253" t="s">
        <v>236</v>
      </c>
      <c r="EX846" s="253"/>
      <c r="EY846" t="str">
        <f>IF(ISNUMBER(BW846),IF(ABS(BW846-[3]QC_indicators!$B$2)&gt;3*[3]QC_indicators!$C$2,"C ratio",IF(ISNUMBER(CA846),IF(ABS(CA846-[3]QC_indicators!$B$1)&gt;3*[3]QC_indicators!$C$1,"DF","no"))),IF(ISNUMBER(CA846),IF(ABS(CA846-[3]QC_indicators!$B$1)&gt;3*[3]QC_indicators!$C$1,"DF","no")))</f>
        <v>no</v>
      </c>
      <c r="FA846" t="str">
        <f>IF(LEN($CY846)=0,"",IF(AND($CY846&lt;(-0.05),$ES846="C neutral forest and HWP assumption"),"Cneutral paradox",IF(AND($CY846&gt;0.05,$EU846="In-situ only assumption"),"In-situ only paradox","")))</f>
        <v/>
      </c>
    </row>
    <row r="847" spans="1:159" ht="15" hidden="1" customHeight="1">
      <c r="A847" s="252" t="s">
        <v>214</v>
      </c>
      <c r="B847" s="253" t="s">
        <v>215</v>
      </c>
      <c r="C847" s="253" t="s">
        <v>216</v>
      </c>
      <c r="D847" s="253" t="s">
        <v>217</v>
      </c>
      <c r="E847" s="253" t="s">
        <v>218</v>
      </c>
      <c r="F847" s="253" t="s">
        <v>219</v>
      </c>
      <c r="G847" s="253" t="s">
        <v>220</v>
      </c>
      <c r="H847" s="253"/>
      <c r="I847" s="253">
        <v>2012</v>
      </c>
      <c r="J847" s="253"/>
      <c r="K847" s="253" t="s">
        <v>221</v>
      </c>
      <c r="L847" s="253"/>
      <c r="M847" s="253" t="s">
        <v>2753</v>
      </c>
      <c r="N847" s="253" t="s">
        <v>222</v>
      </c>
      <c r="O847" s="269" t="s">
        <v>223</v>
      </c>
      <c r="P847" s="253"/>
      <c r="Q847" s="253" t="s">
        <v>224</v>
      </c>
      <c r="R847" s="254" t="s">
        <v>225</v>
      </c>
      <c r="S847" s="252" t="s">
        <v>240</v>
      </c>
      <c r="T847" s="253">
        <v>2000</v>
      </c>
      <c r="U847" s="253">
        <v>4000</v>
      </c>
      <c r="V847" s="253">
        <v>0</v>
      </c>
      <c r="W847" s="253">
        <v>0</v>
      </c>
      <c r="X847" s="253">
        <v>0</v>
      </c>
      <c r="Y847" s="253">
        <v>0</v>
      </c>
      <c r="Z847" s="253">
        <v>0</v>
      </c>
      <c r="AA847" s="253">
        <v>0</v>
      </c>
      <c r="AB847" s="253">
        <v>0</v>
      </c>
      <c r="AC847" s="253">
        <v>1</v>
      </c>
      <c r="AD847" s="253">
        <v>0</v>
      </c>
      <c r="AE847" s="253">
        <v>0</v>
      </c>
      <c r="AF847" s="253">
        <v>0</v>
      </c>
      <c r="AG847" s="253">
        <v>0</v>
      </c>
      <c r="AH847" s="253">
        <v>0</v>
      </c>
      <c r="AI847" s="253">
        <v>0</v>
      </c>
      <c r="AJ847" s="253">
        <v>0</v>
      </c>
      <c r="AK847" s="253">
        <v>0</v>
      </c>
      <c r="AL847" s="253">
        <v>0</v>
      </c>
      <c r="AM847" s="253">
        <v>0</v>
      </c>
      <c r="AN847" s="253">
        <v>0</v>
      </c>
      <c r="AO847" s="253">
        <v>0</v>
      </c>
      <c r="AP847" s="253">
        <v>0</v>
      </c>
      <c r="AQ847" s="253">
        <v>0</v>
      </c>
      <c r="AR847" s="253">
        <v>0</v>
      </c>
      <c r="AS847" s="253">
        <v>0</v>
      </c>
      <c r="AT847" s="253">
        <v>0</v>
      </c>
      <c r="AU847" s="253">
        <v>0</v>
      </c>
      <c r="AV847" s="253">
        <v>0</v>
      </c>
      <c r="AW847" s="253">
        <v>0</v>
      </c>
      <c r="AX847" s="253">
        <v>0</v>
      </c>
      <c r="AY847" s="253">
        <v>0</v>
      </c>
      <c r="AZ847" s="271">
        <v>1</v>
      </c>
      <c r="BA847" s="271">
        <v>1</v>
      </c>
      <c r="BB847" s="253">
        <v>1</v>
      </c>
      <c r="BC847" s="253">
        <v>0</v>
      </c>
      <c r="BD847" s="253">
        <v>0</v>
      </c>
      <c r="BE847" s="253">
        <v>0</v>
      </c>
      <c r="BF847" s="253">
        <v>0</v>
      </c>
      <c r="BG847" s="253" t="s">
        <v>93</v>
      </c>
      <c r="BH847" s="2" t="str" cm="1">
        <f t="array" ref="BH847">IF(COUNTIF(BB847:BD847,"&lt;&gt;0")=1,INDEX($X$4:$AY$4,MATCH(TRUE,INDEX($X847:$AY847&lt;&gt;0,),0)),IF(COUNTIF(BB847:BD847,"&lt;&gt;0")=0,INDEX($AO$4:$AY$4,MATCH(1,$AO847:$AY847,0)),"Multiple strategies"))</f>
        <v>Silviculture for productivity</v>
      </c>
      <c r="BI847" s="272" t="s">
        <v>229</v>
      </c>
      <c r="BJ847" s="253" t="s">
        <v>230</v>
      </c>
      <c r="BK847" s="273" t="s">
        <v>2754</v>
      </c>
      <c r="BL847" s="270" t="s">
        <v>231</v>
      </c>
      <c r="BM847" s="253">
        <v>69.827586210000007</v>
      </c>
      <c r="BN847" s="253">
        <v>81.736456810000007</v>
      </c>
      <c r="BO847" s="270">
        <v>1.1705467888319263</v>
      </c>
      <c r="BP847" s="253">
        <v>11.9088706</v>
      </c>
      <c r="BQ847" s="270">
        <v>24.303817551020408</v>
      </c>
      <c r="BR847" s="270" t="s">
        <v>232</v>
      </c>
      <c r="BS847" s="345" t="s">
        <v>2308</v>
      </c>
      <c r="BT847" s="270" t="s">
        <v>233</v>
      </c>
      <c r="BU847" s="253">
        <v>-8.4285714289999998</v>
      </c>
      <c r="BV847" s="253">
        <v>-12.163201559999999</v>
      </c>
      <c r="BW847" s="255">
        <v>1.4430917104350969</v>
      </c>
      <c r="BX847" s="253">
        <v>-3.7346301309999994</v>
      </c>
      <c r="BY847" s="253"/>
      <c r="BZ847" s="253">
        <v>-3.7346301309999995E-3</v>
      </c>
      <c r="CA847" s="253">
        <v>-1.536643419561549E-4</v>
      </c>
      <c r="CB847" s="253">
        <v>0</v>
      </c>
      <c r="CC847" s="253">
        <v>0</v>
      </c>
      <c r="CD847" s="253">
        <v>0</v>
      </c>
      <c r="CE847" s="253">
        <v>0</v>
      </c>
      <c r="CF847" s="253">
        <v>0</v>
      </c>
      <c r="CG847" s="253">
        <v>0</v>
      </c>
      <c r="CH847" s="253">
        <v>0</v>
      </c>
      <c r="CI847" s="253">
        <v>0</v>
      </c>
      <c r="CJ847" s="253">
        <v>0</v>
      </c>
      <c r="CK847" s="253">
        <v>0</v>
      </c>
      <c r="CL847" s="253">
        <v>0</v>
      </c>
      <c r="CM847" s="253">
        <v>0</v>
      </c>
      <c r="CN847" s="253">
        <v>0</v>
      </c>
      <c r="CO847" s="253">
        <v>0</v>
      </c>
      <c r="CP847" s="253" t="s">
        <v>2755</v>
      </c>
      <c r="CQ847" s="253">
        <v>69.827586210000007</v>
      </c>
      <c r="CR847" s="253">
        <v>81.736456810000007</v>
      </c>
      <c r="CS847" s="253">
        <v>24.303817551020408</v>
      </c>
      <c r="CT847">
        <f>IF(BI847="Roundwood",$CS847/2,$CS847)</f>
        <v>24.303817551020408</v>
      </c>
      <c r="CU847" s="253">
        <v>-8.4285714289999998</v>
      </c>
      <c r="CV847" s="253">
        <v>-12.163201559999999</v>
      </c>
      <c r="CW847" s="253">
        <v>-3.7346301309999995E-3</v>
      </c>
      <c r="CX847">
        <f>IFERROR($CW847/$CS847,"")</f>
        <v>-1.536643419561549E-4</v>
      </c>
      <c r="CY847">
        <f>IFERROR($CW847/$CS847,"")</f>
        <v>-1.536643419561549E-4</v>
      </c>
      <c r="CZ847">
        <f>IFERROR($CW847/$CT847,"")</f>
        <v>-1.536643419561549E-4</v>
      </c>
      <c r="DA847" s="254">
        <v>-0.44309171043509699</v>
      </c>
      <c r="DB847" s="252" t="s">
        <v>234</v>
      </c>
      <c r="DC847" s="253" t="s">
        <v>2756</v>
      </c>
      <c r="DD847" s="253" t="s">
        <v>235</v>
      </c>
      <c r="DE847" s="253"/>
      <c r="DF847" s="270"/>
      <c r="DG847" s="270">
        <v>80</v>
      </c>
      <c r="DH847" s="253" t="s">
        <v>2757</v>
      </c>
      <c r="DI847" s="253">
        <v>0</v>
      </c>
      <c r="DJ847" s="253">
        <v>1</v>
      </c>
      <c r="DK847" s="253">
        <v>0</v>
      </c>
      <c r="DL847" s="253">
        <v>0</v>
      </c>
      <c r="DM847" s="253"/>
      <c r="DN847" s="253">
        <v>1</v>
      </c>
      <c r="DO847" s="253" t="s">
        <v>173</v>
      </c>
      <c r="DP847" s="253">
        <v>0</v>
      </c>
      <c r="DQ847" s="253" t="s">
        <v>180</v>
      </c>
      <c r="DR847" s="253">
        <v>0</v>
      </c>
      <c r="DS847" s="253">
        <v>0</v>
      </c>
      <c r="DT847" s="253">
        <v>0</v>
      </c>
      <c r="DU847" s="270">
        <v>0</v>
      </c>
      <c r="DV847" s="270">
        <v>0</v>
      </c>
      <c r="DW847" s="270">
        <v>0</v>
      </c>
      <c r="DX847" s="270">
        <v>0</v>
      </c>
      <c r="DY847" s="253">
        <v>0</v>
      </c>
      <c r="DZ847" s="270" t="s">
        <v>926</v>
      </c>
      <c r="EA847" s="270">
        <v>1</v>
      </c>
      <c r="EB847" s="270">
        <v>1</v>
      </c>
      <c r="EC847" s="270">
        <v>1</v>
      </c>
      <c r="ED847" s="270">
        <v>0</v>
      </c>
      <c r="EE847" s="253">
        <v>0</v>
      </c>
      <c r="EF847" s="270">
        <v>0</v>
      </c>
      <c r="EG847" s="270">
        <v>1</v>
      </c>
      <c r="EH847" s="270">
        <v>1</v>
      </c>
      <c r="EI847" s="270">
        <v>0</v>
      </c>
      <c r="EJ847" s="270">
        <v>0</v>
      </c>
      <c r="EK847" s="253">
        <v>1</v>
      </c>
      <c r="EL847" s="270">
        <v>0</v>
      </c>
      <c r="EM847" s="253">
        <v>0</v>
      </c>
      <c r="EN847" s="254">
        <v>0</v>
      </c>
      <c r="EO847" s="252"/>
      <c r="EP847" t="str">
        <f>IF(AND(AND(AND(OR($EC847=1,$EB847=1),OR($EH847=1,$EF847=1)),SUM($EA847:$EE847,$EK847)&gt;=3),SUM($EF847:$EJ847)&gt;=2),"Whole sector approach","")</f>
        <v>Whole sector approach</v>
      </c>
      <c r="EQ847" t="str">
        <f>IF(AND(AND(OR($EC847=1,$EB847=1),AND($EH847=0,$EF847=0)),SUM($EA847:$EE847,$EK847)&gt;=4),"Ecosystem approach","")</f>
        <v/>
      </c>
      <c r="ER847" s="254" t="s">
        <v>531</v>
      </c>
      <c r="ES847" t="str">
        <f>IF(AND($EC847+$EB847+$EE847+$EA847+$ED847+$EG847=0,$N847="included"),"C neutral forest and HWP assumption","")</f>
        <v/>
      </c>
      <c r="ET847" t="str">
        <f>IF(AND(AND(AND(AND($EC847=1,$EB847+$EA847+$EG847&gt;=1),$EF847=1),$EH847+$EI847+$ED847+$EE847&gt;=2),$N847="included"),"All C pools assumption","")</f>
        <v/>
      </c>
      <c r="EU847" t="str">
        <f>IF(AND($ED847+$EE847+$EI847+$EH847+$EF847=0,$N847="included"),"In-situ only assumption","")</f>
        <v/>
      </c>
      <c r="EV847" s="253"/>
      <c r="EW847" s="253" t="s">
        <v>236</v>
      </c>
      <c r="EX847" s="253"/>
      <c r="EY847" t="str">
        <f>IF(ISNUMBER(BW847),IF(ABS(BW847-[3]QC_indicators!$B$2)&gt;3*[3]QC_indicators!$C$2,"C ratio",IF(ISNUMBER(CA847),IF(ABS(CA847-[3]QC_indicators!$B$1)&gt;3*[3]QC_indicators!$C$1,"DF","no"))),IF(ISNUMBER(CA847),IF(ABS(CA847-[3]QC_indicators!$B$1)&gt;3*[3]QC_indicators!$C$1,"DF","no")))</f>
        <v>no</v>
      </c>
      <c r="EZ847" s="274"/>
      <c r="FA847" t="str">
        <f>IF(LEN($CY847)=0,"",IF(AND($CY847&lt;(-0.05),$ES847="C neutral forest and HWP assumption"),"Cneutral paradox",IF(AND($CY847&gt;0.05,$EU847="In-situ only assumption"),"In-situ only paradox","")))</f>
        <v/>
      </c>
      <c r="FB847" s="274"/>
      <c r="FC847" s="274"/>
    </row>
    <row r="848" spans="1:159" ht="15" hidden="1" customHeight="1">
      <c r="A848" s="252" t="s">
        <v>214</v>
      </c>
      <c r="B848" s="253" t="s">
        <v>215</v>
      </c>
      <c r="C848" s="253" t="s">
        <v>216</v>
      </c>
      <c r="D848" s="253" t="s">
        <v>217</v>
      </c>
      <c r="E848" s="253" t="s">
        <v>218</v>
      </c>
      <c r="F848" s="253" t="s">
        <v>219</v>
      </c>
      <c r="G848" s="253" t="s">
        <v>220</v>
      </c>
      <c r="H848" s="253"/>
      <c r="I848" s="253">
        <v>2012</v>
      </c>
      <c r="J848" s="253"/>
      <c r="K848" s="253" t="s">
        <v>221</v>
      </c>
      <c r="L848" s="253"/>
      <c r="M848" s="253" t="s">
        <v>2753</v>
      </c>
      <c r="N848" s="253" t="s">
        <v>222</v>
      </c>
      <c r="O848" s="269" t="s">
        <v>223</v>
      </c>
      <c r="P848" s="253"/>
      <c r="Q848" s="253" t="s">
        <v>224</v>
      </c>
      <c r="R848" s="254" t="s">
        <v>225</v>
      </c>
      <c r="S848" s="252" t="s">
        <v>241</v>
      </c>
      <c r="T848" s="253" t="s">
        <v>242</v>
      </c>
      <c r="U848" s="270" t="s">
        <v>243</v>
      </c>
      <c r="V848" s="253">
        <v>0</v>
      </c>
      <c r="W848" s="253">
        <v>0</v>
      </c>
      <c r="X848" s="253">
        <v>0</v>
      </c>
      <c r="Y848" s="253">
        <v>0</v>
      </c>
      <c r="Z848" s="253">
        <v>0</v>
      </c>
      <c r="AA848" s="253">
        <v>0</v>
      </c>
      <c r="AB848" s="253">
        <v>0</v>
      </c>
      <c r="AC848" s="253">
        <v>0</v>
      </c>
      <c r="AD848" s="253">
        <v>0</v>
      </c>
      <c r="AE848" s="253">
        <v>1</v>
      </c>
      <c r="AF848" s="253">
        <v>0</v>
      </c>
      <c r="AG848" s="253">
        <v>0</v>
      </c>
      <c r="AH848" s="253">
        <v>0</v>
      </c>
      <c r="AI848" s="253">
        <v>0</v>
      </c>
      <c r="AJ848" s="253">
        <v>0</v>
      </c>
      <c r="AK848" s="253">
        <v>0</v>
      </c>
      <c r="AL848" s="253">
        <v>0</v>
      </c>
      <c r="AM848" s="253">
        <v>0</v>
      </c>
      <c r="AN848" s="253">
        <v>0</v>
      </c>
      <c r="AO848" s="253">
        <v>0</v>
      </c>
      <c r="AP848" s="253">
        <v>0</v>
      </c>
      <c r="AQ848" s="253">
        <v>0</v>
      </c>
      <c r="AR848" s="253">
        <v>0</v>
      </c>
      <c r="AS848" s="253">
        <v>0</v>
      </c>
      <c r="AT848" s="253">
        <v>0</v>
      </c>
      <c r="AU848" s="253">
        <v>0</v>
      </c>
      <c r="AV848" s="253">
        <v>0</v>
      </c>
      <c r="AW848" s="253">
        <v>0</v>
      </c>
      <c r="AX848" s="253">
        <v>0</v>
      </c>
      <c r="AY848" s="253">
        <v>0</v>
      </c>
      <c r="AZ848" s="271">
        <v>1</v>
      </c>
      <c r="BA848" s="271">
        <v>1</v>
      </c>
      <c r="BB848" s="253">
        <v>1</v>
      </c>
      <c r="BC848" s="253">
        <v>0</v>
      </c>
      <c r="BD848" s="253">
        <v>0</v>
      </c>
      <c r="BE848" s="253">
        <v>0</v>
      </c>
      <c r="BF848" s="253">
        <v>0</v>
      </c>
      <c r="BG848" s="253" t="s">
        <v>95</v>
      </c>
      <c r="BH848" s="2" t="str" cm="1">
        <f t="array" ref="BH848">IF(COUNTIF(BB848:BD848,"&lt;&gt;0")=1,INDEX($X$4:$AY$4,MATCH(TRUE,INDEX($X848:$AY848&lt;&gt;0,),0)),IF(COUNTIF(BB848:BD848,"&lt;&gt;0")=0,INDEX($AO$4:$AY$4,MATCH(1,$AO848:$AY848,0)),"Multiple strategies"))</f>
        <v>Silviculture for productivity</v>
      </c>
      <c r="BI848" s="272" t="s">
        <v>229</v>
      </c>
      <c r="BJ848" s="253" t="s">
        <v>230</v>
      </c>
      <c r="BK848" s="273" t="s">
        <v>2754</v>
      </c>
      <c r="BL848" s="270" t="s">
        <v>231</v>
      </c>
      <c r="BM848" s="253">
        <v>75.212579794444494</v>
      </c>
      <c r="BN848" s="253">
        <v>82.922401171303093</v>
      </c>
      <c r="BO848" s="270">
        <v>1.1025070725925037</v>
      </c>
      <c r="BP848" s="253">
        <v>7.7098213768585993</v>
      </c>
      <c r="BQ848" s="270">
        <v>15.734329340527754</v>
      </c>
      <c r="BR848" s="270" t="s">
        <v>232</v>
      </c>
      <c r="BS848" s="345" t="s">
        <v>2308</v>
      </c>
      <c r="BT848" s="270" t="s">
        <v>233</v>
      </c>
      <c r="BU848" s="253">
        <v>-8.4548837897123708</v>
      </c>
      <c r="BV848" s="253">
        <v>-12.051927769643701</v>
      </c>
      <c r="BW848" s="255">
        <v>1.42543978952237</v>
      </c>
      <c r="BX848" s="253">
        <v>-3.5970439799313301</v>
      </c>
      <c r="BY848" s="253"/>
      <c r="BZ848" s="253">
        <v>-3.5970439799313299E-3</v>
      </c>
      <c r="CA848" s="253">
        <v>-2.286112043343488E-4</v>
      </c>
      <c r="CB848" s="253">
        <v>0</v>
      </c>
      <c r="CC848" s="253">
        <v>0</v>
      </c>
      <c r="CD848" s="253">
        <v>0</v>
      </c>
      <c r="CE848" s="253">
        <v>0</v>
      </c>
      <c r="CF848" s="253">
        <v>0</v>
      </c>
      <c r="CG848" s="253">
        <v>0</v>
      </c>
      <c r="CH848" s="253">
        <v>0</v>
      </c>
      <c r="CI848" s="253">
        <v>0</v>
      </c>
      <c r="CJ848" s="253">
        <v>0</v>
      </c>
      <c r="CK848" s="253">
        <v>0</v>
      </c>
      <c r="CL848" s="253">
        <v>0</v>
      </c>
      <c r="CM848" s="253">
        <v>0</v>
      </c>
      <c r="CN848" s="253">
        <v>0</v>
      </c>
      <c r="CO848" s="253">
        <v>0</v>
      </c>
      <c r="CP848" s="253" t="s">
        <v>2755</v>
      </c>
      <c r="CQ848" s="253">
        <v>75.212579794444494</v>
      </c>
      <c r="CR848" s="253">
        <v>82.922401171303093</v>
      </c>
      <c r="CS848" s="253">
        <v>15.734329340527754</v>
      </c>
      <c r="CT848">
        <f>IF(BI848="Roundwood",$CS848/2,$CS848)</f>
        <v>15.734329340527754</v>
      </c>
      <c r="CU848" s="253">
        <v>-8.4548837897123708</v>
      </c>
      <c r="CV848" s="253">
        <v>-12.051927769643701</v>
      </c>
      <c r="CW848" s="253">
        <v>-3.5970439799313299E-3</v>
      </c>
      <c r="CX848">
        <f>IFERROR($CW848/$CS848,"")</f>
        <v>-2.286112043343488E-4</v>
      </c>
      <c r="CY848">
        <f>IFERROR($CW848/$CS848,"")</f>
        <v>-2.286112043343488E-4</v>
      </c>
      <c r="CZ848">
        <f>IFERROR($CW848/$CT848,"")</f>
        <v>-2.286112043343488E-4</v>
      </c>
      <c r="DA848" s="254">
        <v>-0.4254397895223701</v>
      </c>
      <c r="DB848" s="252" t="s">
        <v>234</v>
      </c>
      <c r="DC848" s="253" t="s">
        <v>2756</v>
      </c>
      <c r="DD848" s="253" t="s">
        <v>235</v>
      </c>
      <c r="DE848" s="253"/>
      <c r="DF848" s="270"/>
      <c r="DG848" s="270">
        <v>80</v>
      </c>
      <c r="DH848" s="253" t="s">
        <v>2757</v>
      </c>
      <c r="DI848" s="253">
        <v>0</v>
      </c>
      <c r="DJ848" s="253">
        <v>1</v>
      </c>
      <c r="DK848" s="253">
        <v>0</v>
      </c>
      <c r="DL848" s="253">
        <v>0</v>
      </c>
      <c r="DM848" s="253"/>
      <c r="DN848" s="253">
        <v>1</v>
      </c>
      <c r="DO848" s="253" t="s">
        <v>173</v>
      </c>
      <c r="DP848" s="253">
        <v>0</v>
      </c>
      <c r="DQ848" s="253" t="s">
        <v>180</v>
      </c>
      <c r="DR848" s="253">
        <v>0</v>
      </c>
      <c r="DS848" s="253">
        <v>0</v>
      </c>
      <c r="DT848" s="253">
        <v>0</v>
      </c>
      <c r="DU848" s="270">
        <v>0</v>
      </c>
      <c r="DV848" s="270">
        <v>0</v>
      </c>
      <c r="DW848" s="270">
        <v>0</v>
      </c>
      <c r="DX848" s="270">
        <v>0</v>
      </c>
      <c r="DY848" s="253">
        <v>0</v>
      </c>
      <c r="DZ848" s="270" t="s">
        <v>926</v>
      </c>
      <c r="EA848" s="270">
        <v>1</v>
      </c>
      <c r="EB848" s="270">
        <v>1</v>
      </c>
      <c r="EC848" s="270">
        <v>1</v>
      </c>
      <c r="ED848" s="270">
        <v>0</v>
      </c>
      <c r="EE848" s="253">
        <v>0</v>
      </c>
      <c r="EF848" s="270">
        <v>0</v>
      </c>
      <c r="EG848" s="270">
        <v>1</v>
      </c>
      <c r="EH848" s="270">
        <v>1</v>
      </c>
      <c r="EI848" s="270">
        <v>0</v>
      </c>
      <c r="EJ848" s="270">
        <v>0</v>
      </c>
      <c r="EK848" s="253">
        <v>1</v>
      </c>
      <c r="EL848" s="270">
        <v>0</v>
      </c>
      <c r="EM848" s="253">
        <v>0</v>
      </c>
      <c r="EN848" s="254">
        <v>0</v>
      </c>
      <c r="EO848" s="252"/>
      <c r="EP848" t="str">
        <f>IF(AND(AND(AND(OR($EC848=1,$EB848=1),OR($EH848=1,$EF848=1)),SUM($EA848:$EE848,$EK848)&gt;=3),SUM($EF848:$EJ848)&gt;=2),"Whole sector approach","")</f>
        <v>Whole sector approach</v>
      </c>
      <c r="EQ848" t="str">
        <f>IF(AND(AND(OR($EC848=1,$EB848=1),AND($EH848=0,$EF848=0)),SUM($EA848:$EE848,$EK848)&gt;=4),"Ecosystem approach","")</f>
        <v/>
      </c>
      <c r="ER848" s="254" t="s">
        <v>531</v>
      </c>
      <c r="ES848" t="str">
        <f>IF(AND($EC848+$EB848+$EE848+$EA848+$ED848+$EG848=0,$N848="included"),"C neutral forest and HWP assumption","")</f>
        <v/>
      </c>
      <c r="ET848" t="str">
        <f>IF(AND(AND(AND(AND($EC848=1,$EB848+$EA848+$EG848&gt;=1),$EF848=1),$EH848+$EI848+$ED848+$EE848&gt;=2),$N848="included"),"All C pools assumption","")</f>
        <v/>
      </c>
      <c r="EU848" t="str">
        <f>IF(AND($ED848+$EE848+$EI848+$EH848+$EF848=0,$N848="included"),"In-situ only assumption","")</f>
        <v/>
      </c>
      <c r="EV848" s="253"/>
      <c r="EW848" s="253" t="s">
        <v>236</v>
      </c>
      <c r="EX848" s="253"/>
      <c r="EY848" t="str">
        <f>IF(ISNUMBER(BW848),IF(ABS(BW848-[3]QC_indicators!$B$2)&gt;3*[3]QC_indicators!$C$2,"C ratio",IF(ISNUMBER(CA848),IF(ABS(CA848-[3]QC_indicators!$B$1)&gt;3*[3]QC_indicators!$C$1,"DF","no"))),IF(ISNUMBER(CA848),IF(ABS(CA848-[3]QC_indicators!$B$1)&gt;3*[3]QC_indicators!$C$1,"DF","no")))</f>
        <v>no</v>
      </c>
      <c r="FA848" t="str">
        <f>IF(LEN($CY848)=0,"",IF(AND($CY848&lt;(-0.05),$ES848="C neutral forest and HWP assumption"),"Cneutral paradox",IF(AND($CY848&gt;0.05,$EU848="In-situ only assumption"),"In-situ only paradox","")))</f>
        <v/>
      </c>
    </row>
    <row r="849" spans="1:161" ht="15" hidden="1" customHeight="1">
      <c r="A849" s="252" t="s">
        <v>214</v>
      </c>
      <c r="B849" s="253" t="s">
        <v>215</v>
      </c>
      <c r="C849" s="253" t="s">
        <v>216</v>
      </c>
      <c r="D849" s="253" t="s">
        <v>217</v>
      </c>
      <c r="E849" s="253" t="s">
        <v>218</v>
      </c>
      <c r="F849" s="253" t="s">
        <v>219</v>
      </c>
      <c r="G849" s="253" t="s">
        <v>220</v>
      </c>
      <c r="H849" s="253"/>
      <c r="I849" s="253">
        <v>2012</v>
      </c>
      <c r="J849" s="253"/>
      <c r="K849" s="253" t="s">
        <v>221</v>
      </c>
      <c r="L849" s="253"/>
      <c r="M849" s="253" t="s">
        <v>2753</v>
      </c>
      <c r="N849" s="253" t="s">
        <v>222</v>
      </c>
      <c r="O849" s="269" t="s">
        <v>223</v>
      </c>
      <c r="P849" s="253"/>
      <c r="Q849" s="253" t="s">
        <v>224</v>
      </c>
      <c r="R849" s="254" t="s">
        <v>225</v>
      </c>
      <c r="S849" s="252" t="s">
        <v>241</v>
      </c>
      <c r="T849" s="253" t="s">
        <v>242</v>
      </c>
      <c r="U849" s="270" t="s">
        <v>243</v>
      </c>
      <c r="V849" s="253">
        <v>0</v>
      </c>
      <c r="W849" s="253">
        <v>0</v>
      </c>
      <c r="X849" s="253">
        <v>0</v>
      </c>
      <c r="Y849" s="253">
        <v>0</v>
      </c>
      <c r="Z849" s="253">
        <v>0</v>
      </c>
      <c r="AA849" s="253">
        <v>0</v>
      </c>
      <c r="AB849" s="253">
        <v>0</v>
      </c>
      <c r="AC849" s="253">
        <v>0</v>
      </c>
      <c r="AD849" s="253">
        <v>0</v>
      </c>
      <c r="AE849" s="253">
        <v>1</v>
      </c>
      <c r="AF849" s="253">
        <v>0</v>
      </c>
      <c r="AG849" s="253">
        <v>0</v>
      </c>
      <c r="AH849" s="253">
        <v>0</v>
      </c>
      <c r="AI849" s="253">
        <v>0</v>
      </c>
      <c r="AJ849" s="253">
        <v>0</v>
      </c>
      <c r="AK849" s="253">
        <v>0</v>
      </c>
      <c r="AL849" s="253">
        <v>0</v>
      </c>
      <c r="AM849" s="253">
        <v>0</v>
      </c>
      <c r="AN849" s="253">
        <v>0</v>
      </c>
      <c r="AO849" s="253">
        <v>0</v>
      </c>
      <c r="AP849" s="253">
        <v>0</v>
      </c>
      <c r="AQ849" s="253">
        <v>0</v>
      </c>
      <c r="AR849" s="253">
        <v>0</v>
      </c>
      <c r="AS849" s="253">
        <v>0</v>
      </c>
      <c r="AT849" s="253">
        <v>0</v>
      </c>
      <c r="AU849" s="253">
        <v>0</v>
      </c>
      <c r="AV849" s="253">
        <v>0</v>
      </c>
      <c r="AW849" s="253">
        <v>0</v>
      </c>
      <c r="AX849" s="253">
        <v>0</v>
      </c>
      <c r="AY849" s="253">
        <v>0</v>
      </c>
      <c r="AZ849" s="271">
        <v>1</v>
      </c>
      <c r="BA849" s="271">
        <v>1</v>
      </c>
      <c r="BB849" s="253">
        <v>1</v>
      </c>
      <c r="BC849" s="253">
        <v>0</v>
      </c>
      <c r="BD849" s="253">
        <v>0</v>
      </c>
      <c r="BE849" s="253">
        <v>0</v>
      </c>
      <c r="BF849" s="253">
        <v>0</v>
      </c>
      <c r="BG849" s="253" t="s">
        <v>95</v>
      </c>
      <c r="BH849" s="2" t="str" cm="1">
        <f t="array" ref="BH849">IF(COUNTIF(BB849:BD849,"&lt;&gt;0")=1,INDEX($X$4:$AY$4,MATCH(TRUE,INDEX($X849:$AY849&lt;&gt;0,),0)),IF(COUNTIF(BB849:BD849,"&lt;&gt;0")=0,INDEX($AO$4:$AY$4,MATCH(1,$AO849:$AY849,0)),"Multiple strategies"))</f>
        <v>Silviculture for productivity</v>
      </c>
      <c r="BI849" s="272" t="s">
        <v>229</v>
      </c>
      <c r="BJ849" s="253" t="s">
        <v>230</v>
      </c>
      <c r="BK849" s="273" t="s">
        <v>2754</v>
      </c>
      <c r="BL849" s="270" t="s">
        <v>231</v>
      </c>
      <c r="BM849" s="253">
        <v>74.931604761787398</v>
      </c>
      <c r="BN849" s="253">
        <v>81.736456808199094</v>
      </c>
      <c r="BO849" s="270">
        <v>1.0908141773827582</v>
      </c>
      <c r="BP849" s="253">
        <v>6.8048520464116962</v>
      </c>
      <c r="BQ849" s="270">
        <v>13.887453155942238</v>
      </c>
      <c r="BR849" s="270" t="s">
        <v>232</v>
      </c>
      <c r="BS849" s="273" t="s">
        <v>2308</v>
      </c>
      <c r="BT849" s="270" t="s">
        <v>233</v>
      </c>
      <c r="BU849" s="253">
        <v>-8.5161560643777907</v>
      </c>
      <c r="BV849" s="253">
        <v>-12.163201561737401</v>
      </c>
      <c r="BW849" s="255">
        <v>1.4282501952512152</v>
      </c>
      <c r="BX849" s="253">
        <v>-3.6470454973596098</v>
      </c>
      <c r="BY849" s="253"/>
      <c r="BZ849" s="253">
        <v>-3.6470454973596099E-3</v>
      </c>
      <c r="CA849" s="253">
        <v>-2.626144229908054E-4</v>
      </c>
      <c r="CB849" s="253">
        <v>0</v>
      </c>
      <c r="CC849" s="253">
        <v>0</v>
      </c>
      <c r="CD849" s="253">
        <v>0</v>
      </c>
      <c r="CE849" s="253">
        <v>0</v>
      </c>
      <c r="CF849" s="253">
        <v>0</v>
      </c>
      <c r="CG849" s="253">
        <v>0</v>
      </c>
      <c r="CH849" s="253">
        <v>0</v>
      </c>
      <c r="CI849" s="253">
        <v>0</v>
      </c>
      <c r="CJ849" s="253">
        <v>0</v>
      </c>
      <c r="CK849" s="253">
        <v>0</v>
      </c>
      <c r="CL849" s="253">
        <v>0</v>
      </c>
      <c r="CM849" s="253">
        <v>0</v>
      </c>
      <c r="CN849" s="253">
        <v>0</v>
      </c>
      <c r="CO849" s="253">
        <v>0</v>
      </c>
      <c r="CP849" s="253" t="s">
        <v>2755</v>
      </c>
      <c r="CQ849" s="253">
        <v>74.931604761787398</v>
      </c>
      <c r="CR849" s="253">
        <v>81.736456808199094</v>
      </c>
      <c r="CS849" s="253">
        <v>13.887453155942238</v>
      </c>
      <c r="CT849">
        <f>IF(BI849="Roundwood",$CS849/2,$CS849)</f>
        <v>13.887453155942238</v>
      </c>
      <c r="CU849" s="253">
        <v>-8.5161560643777907</v>
      </c>
      <c r="CV849" s="253">
        <v>-12.163201561737401</v>
      </c>
      <c r="CW849" s="253">
        <v>-3.6470454973596099E-3</v>
      </c>
      <c r="CX849">
        <f>IFERROR($CW849/$CS849,"")</f>
        <v>-2.626144229908054E-4</v>
      </c>
      <c r="CY849">
        <f>IFERROR($CW849/$CS849,"")</f>
        <v>-2.626144229908054E-4</v>
      </c>
      <c r="CZ849">
        <f>IFERROR($CW849/$CT849,"")</f>
        <v>-2.626144229908054E-4</v>
      </c>
      <c r="DA849" s="254">
        <v>-0.42825019525121527</v>
      </c>
      <c r="DB849" s="252" t="s">
        <v>234</v>
      </c>
      <c r="DC849" s="253" t="s">
        <v>2756</v>
      </c>
      <c r="DD849" s="253" t="s">
        <v>235</v>
      </c>
      <c r="DE849" s="253"/>
      <c r="DF849" s="270"/>
      <c r="DG849" s="270">
        <v>80</v>
      </c>
      <c r="DH849" s="253" t="s">
        <v>2757</v>
      </c>
      <c r="DI849" s="253">
        <v>0</v>
      </c>
      <c r="DJ849" s="253">
        <v>1</v>
      </c>
      <c r="DK849" s="253">
        <v>0</v>
      </c>
      <c r="DL849" s="253">
        <v>0</v>
      </c>
      <c r="DM849" s="253"/>
      <c r="DN849" s="253">
        <v>1</v>
      </c>
      <c r="DO849" s="253" t="s">
        <v>173</v>
      </c>
      <c r="DP849" s="253">
        <v>0</v>
      </c>
      <c r="DQ849" s="253" t="s">
        <v>180</v>
      </c>
      <c r="DR849" s="253">
        <v>0</v>
      </c>
      <c r="DS849" s="253">
        <v>0</v>
      </c>
      <c r="DT849" s="253">
        <v>0</v>
      </c>
      <c r="DU849" s="270">
        <v>0</v>
      </c>
      <c r="DV849" s="270">
        <v>0</v>
      </c>
      <c r="DW849" s="270">
        <v>0</v>
      </c>
      <c r="DX849" s="270">
        <v>0</v>
      </c>
      <c r="DY849" s="253">
        <v>0</v>
      </c>
      <c r="DZ849" s="270" t="s">
        <v>926</v>
      </c>
      <c r="EA849" s="270">
        <v>1</v>
      </c>
      <c r="EB849" s="270">
        <v>1</v>
      </c>
      <c r="EC849" s="270">
        <v>1</v>
      </c>
      <c r="ED849" s="270">
        <v>0</v>
      </c>
      <c r="EE849" s="253">
        <v>0</v>
      </c>
      <c r="EF849" s="270">
        <v>0</v>
      </c>
      <c r="EG849" s="270">
        <v>1</v>
      </c>
      <c r="EH849" s="270">
        <v>1</v>
      </c>
      <c r="EI849" s="270">
        <v>0</v>
      </c>
      <c r="EJ849" s="270">
        <v>0</v>
      </c>
      <c r="EK849" s="253">
        <v>1</v>
      </c>
      <c r="EL849" s="270">
        <v>0</v>
      </c>
      <c r="EM849" s="253">
        <v>0</v>
      </c>
      <c r="EN849" s="254">
        <v>0</v>
      </c>
      <c r="EO849" s="252"/>
      <c r="EP849" t="str">
        <f>IF(AND(AND(AND(OR($EC849=1,$EB849=1),OR($EH849=1,$EF849=1)),SUM($EA849:$EE849,$EK849)&gt;=3),SUM($EF849:$EJ849)&gt;=2),"Whole sector approach","")</f>
        <v>Whole sector approach</v>
      </c>
      <c r="EQ849" t="str">
        <f>IF(AND(AND(OR($EC849=1,$EB849=1),AND($EH849=0,$EF849=0)),SUM($EA849:$EE849,$EK849)&gt;=4),"Ecosystem approach","")</f>
        <v/>
      </c>
      <c r="ER849" s="254" t="s">
        <v>531</v>
      </c>
      <c r="ES849" t="str">
        <f>IF(AND($EC849+$EB849+$EE849+$EA849+$ED849+$EG849=0,$N849="included"),"C neutral forest and HWP assumption","")</f>
        <v/>
      </c>
      <c r="ET849" t="str">
        <f>IF(AND(AND(AND(AND($EC849=1,$EB849+$EA849+$EG849&gt;=1),$EF849=1),$EH849+$EI849+$ED849+$EE849&gt;=2),$N849="included"),"All C pools assumption","")</f>
        <v/>
      </c>
      <c r="EU849" t="str">
        <f>IF(AND($ED849+$EE849+$EI849+$EH849+$EF849=0,$N849="included"),"In-situ only assumption","")</f>
        <v/>
      </c>
      <c r="EV849" s="253"/>
      <c r="EW849" s="253" t="s">
        <v>236</v>
      </c>
      <c r="EX849" s="253"/>
      <c r="EY849" t="str">
        <f>IF(ISNUMBER(BW849),IF(ABS(BW849-[3]QC_indicators!$B$2)&gt;3*[3]QC_indicators!$C$2,"C ratio",IF(ISNUMBER(CA849),IF(ABS(CA849-[3]QC_indicators!$B$1)&gt;3*[3]QC_indicators!$C$1,"DF","no"))),IF(ISNUMBER(CA849),IF(ABS(CA849-[3]QC_indicators!$B$1)&gt;3*[3]QC_indicators!$C$1,"DF","no")))</f>
        <v>no</v>
      </c>
      <c r="FA849" t="str">
        <f>IF(LEN($CY849)=0,"",IF(AND($CY849&lt;(-0.05),$ES849="C neutral forest and HWP assumption"),"Cneutral paradox",IF(AND($CY849&gt;0.05,$EU849="In-situ only assumption"),"In-situ only paradox","")))</f>
        <v/>
      </c>
    </row>
    <row r="850" spans="1:161" ht="15" hidden="1" customHeight="1">
      <c r="A850" s="252" t="s">
        <v>214</v>
      </c>
      <c r="B850" s="253" t="s">
        <v>215</v>
      </c>
      <c r="C850" s="253" t="s">
        <v>216</v>
      </c>
      <c r="D850" s="253" t="s">
        <v>217</v>
      </c>
      <c r="E850" s="253" t="s">
        <v>218</v>
      </c>
      <c r="F850" s="253" t="s">
        <v>219</v>
      </c>
      <c r="G850" s="253" t="s">
        <v>220</v>
      </c>
      <c r="H850" s="253"/>
      <c r="I850" s="253">
        <v>2012</v>
      </c>
      <c r="J850" s="253"/>
      <c r="K850" s="253" t="s">
        <v>221</v>
      </c>
      <c r="L850" s="253"/>
      <c r="M850" s="253" t="s">
        <v>2753</v>
      </c>
      <c r="N850" s="253" t="s">
        <v>222</v>
      </c>
      <c r="O850" s="269" t="s">
        <v>223</v>
      </c>
      <c r="P850" s="253"/>
      <c r="Q850" s="253" t="s">
        <v>224</v>
      </c>
      <c r="R850" s="254" t="s">
        <v>225</v>
      </c>
      <c r="S850" s="252" t="s">
        <v>240</v>
      </c>
      <c r="T850" s="253">
        <v>2000</v>
      </c>
      <c r="U850" s="253">
        <v>4000</v>
      </c>
      <c r="V850" s="253">
        <v>0</v>
      </c>
      <c r="W850" s="253">
        <v>0</v>
      </c>
      <c r="X850" s="253">
        <v>0</v>
      </c>
      <c r="Y850" s="253">
        <v>0</v>
      </c>
      <c r="Z850" s="253">
        <v>0</v>
      </c>
      <c r="AA850" s="253">
        <v>0</v>
      </c>
      <c r="AB850" s="253">
        <v>0</v>
      </c>
      <c r="AC850" s="253">
        <v>1</v>
      </c>
      <c r="AD850" s="253">
        <v>0</v>
      </c>
      <c r="AE850" s="253">
        <v>0</v>
      </c>
      <c r="AF850" s="253">
        <v>0</v>
      </c>
      <c r="AG850" s="253">
        <v>0</v>
      </c>
      <c r="AH850" s="253">
        <v>0</v>
      </c>
      <c r="AI850" s="253">
        <v>0</v>
      </c>
      <c r="AJ850" s="253">
        <v>0</v>
      </c>
      <c r="AK850" s="253">
        <v>0</v>
      </c>
      <c r="AL850" s="253">
        <v>0</v>
      </c>
      <c r="AM850" s="253">
        <v>0</v>
      </c>
      <c r="AN850" s="253">
        <v>0</v>
      </c>
      <c r="AO850" s="253">
        <v>0</v>
      </c>
      <c r="AP850" s="253">
        <v>0</v>
      </c>
      <c r="AQ850" s="253">
        <v>0</v>
      </c>
      <c r="AR850" s="253">
        <v>0</v>
      </c>
      <c r="AS850" s="253">
        <v>0</v>
      </c>
      <c r="AT850" s="253">
        <v>0</v>
      </c>
      <c r="AU850" s="253">
        <v>0</v>
      </c>
      <c r="AV850" s="253">
        <v>0</v>
      </c>
      <c r="AW850" s="253">
        <v>0</v>
      </c>
      <c r="AX850" s="253">
        <v>0</v>
      </c>
      <c r="AY850" s="253">
        <v>0</v>
      </c>
      <c r="AZ850" s="271">
        <v>1</v>
      </c>
      <c r="BA850" s="271">
        <v>1</v>
      </c>
      <c r="BB850" s="253">
        <v>1</v>
      </c>
      <c r="BC850" s="253">
        <v>0</v>
      </c>
      <c r="BD850" s="253">
        <v>0</v>
      </c>
      <c r="BE850" s="253">
        <v>0</v>
      </c>
      <c r="BF850" s="253">
        <v>0</v>
      </c>
      <c r="BG850" s="253" t="s">
        <v>93</v>
      </c>
      <c r="BH850" s="2" t="str" cm="1">
        <f t="array" ref="BH850">IF(COUNTIF(BB850:BD850,"&lt;&gt;0")=1,INDEX($X$4:$AY$4,MATCH(TRUE,INDEX($X850:$AY850&lt;&gt;0,),0)),IF(COUNTIF(BB850:BD850,"&lt;&gt;0")=0,INDEX($AO$4:$AY$4,MATCH(1,$AO850:$AY850,0)),"Multiple strategies"))</f>
        <v>Silviculture for productivity</v>
      </c>
      <c r="BI850" s="272" t="s">
        <v>229</v>
      </c>
      <c r="BJ850" s="253" t="s">
        <v>230</v>
      </c>
      <c r="BK850" s="273" t="s">
        <v>2754</v>
      </c>
      <c r="BL850" s="270" t="s">
        <v>231</v>
      </c>
      <c r="BM850" s="253">
        <v>95.114942529999993</v>
      </c>
      <c r="BN850" s="253">
        <v>102.3265007</v>
      </c>
      <c r="BO850" s="270">
        <v>1.0758194031156085</v>
      </c>
      <c r="BP850" s="253">
        <v>7.2115581700000035</v>
      </c>
      <c r="BQ850" s="270">
        <v>14.717465653061232</v>
      </c>
      <c r="BR850" s="270" t="s">
        <v>232</v>
      </c>
      <c r="BS850" s="345" t="s">
        <v>2308</v>
      </c>
      <c r="BT850" s="270" t="s">
        <v>233</v>
      </c>
      <c r="BU850" s="253">
        <v>-7.8979591840000003</v>
      </c>
      <c r="BV850" s="253">
        <v>-11.78438263</v>
      </c>
      <c r="BW850" s="255">
        <v>1.4920794543827562</v>
      </c>
      <c r="BX850" s="253">
        <v>-3.8864234459999993</v>
      </c>
      <c r="BY850" s="253"/>
      <c r="BZ850" s="253">
        <v>-3.8864234459999995E-3</v>
      </c>
      <c r="CA850" s="253">
        <v>-2.6406879673550478E-4</v>
      </c>
      <c r="CB850" s="253">
        <v>0</v>
      </c>
      <c r="CC850" s="253">
        <v>0</v>
      </c>
      <c r="CD850" s="253">
        <v>0</v>
      </c>
      <c r="CE850" s="253">
        <v>0</v>
      </c>
      <c r="CF850" s="253">
        <v>0</v>
      </c>
      <c r="CG850" s="253">
        <v>0</v>
      </c>
      <c r="CH850" s="253">
        <v>0</v>
      </c>
      <c r="CI850" s="253">
        <v>0</v>
      </c>
      <c r="CJ850" s="253">
        <v>0</v>
      </c>
      <c r="CK850" s="253">
        <v>0</v>
      </c>
      <c r="CL850" s="253">
        <v>0</v>
      </c>
      <c r="CM850" s="253">
        <v>0</v>
      </c>
      <c r="CN850" s="253">
        <v>0</v>
      </c>
      <c r="CO850" s="253">
        <v>0</v>
      </c>
      <c r="CP850" s="253" t="s">
        <v>2755</v>
      </c>
      <c r="CQ850" s="253">
        <v>95.114942529999993</v>
      </c>
      <c r="CR850" s="253">
        <v>102.3265007</v>
      </c>
      <c r="CS850" s="253">
        <v>14.717465653061232</v>
      </c>
      <c r="CT850">
        <f>IF(BI850="Roundwood",$CS850/2,$CS850)</f>
        <v>14.717465653061232</v>
      </c>
      <c r="CU850" s="253">
        <v>-7.8979591840000003</v>
      </c>
      <c r="CV850" s="253">
        <v>-11.78438263</v>
      </c>
      <c r="CW850" s="253">
        <v>-3.8864234459999995E-3</v>
      </c>
      <c r="CX850">
        <f>IFERROR($CW850/$CS850,"")</f>
        <v>-2.6406879673550478E-4</v>
      </c>
      <c r="CY850">
        <f>IFERROR($CW850/$CS850,"")</f>
        <v>-2.6406879673550478E-4</v>
      </c>
      <c r="CZ850">
        <f>IFERROR($CW850/$CT850,"")</f>
        <v>-2.6406879673550478E-4</v>
      </c>
      <c r="DA850" s="254">
        <v>-0.4920794543827563</v>
      </c>
      <c r="DB850" s="252" t="s">
        <v>234</v>
      </c>
      <c r="DC850" s="253" t="s">
        <v>2756</v>
      </c>
      <c r="DD850" s="253" t="s">
        <v>235</v>
      </c>
      <c r="DE850" s="253"/>
      <c r="DF850" s="270"/>
      <c r="DG850" s="270">
        <v>80</v>
      </c>
      <c r="DH850" s="253" t="s">
        <v>2757</v>
      </c>
      <c r="DI850" s="253">
        <v>0</v>
      </c>
      <c r="DJ850" s="253">
        <v>1</v>
      </c>
      <c r="DK850" s="253">
        <v>0</v>
      </c>
      <c r="DL850" s="253">
        <v>0</v>
      </c>
      <c r="DM850" s="253"/>
      <c r="DN850" s="253">
        <v>1</v>
      </c>
      <c r="DO850" s="253" t="s">
        <v>173</v>
      </c>
      <c r="DP850" s="253">
        <v>0</v>
      </c>
      <c r="DQ850" s="253" t="s">
        <v>180</v>
      </c>
      <c r="DR850" s="253">
        <v>0</v>
      </c>
      <c r="DS850" s="253">
        <v>0</v>
      </c>
      <c r="DT850" s="253">
        <v>0</v>
      </c>
      <c r="DU850" s="270">
        <v>0</v>
      </c>
      <c r="DV850" s="270">
        <v>0</v>
      </c>
      <c r="DW850" s="270">
        <v>0</v>
      </c>
      <c r="DX850" s="270">
        <v>0</v>
      </c>
      <c r="DY850" s="253">
        <v>0</v>
      </c>
      <c r="DZ850" s="270" t="s">
        <v>926</v>
      </c>
      <c r="EA850" s="270">
        <v>1</v>
      </c>
      <c r="EB850" s="270">
        <v>1</v>
      </c>
      <c r="EC850" s="270">
        <v>1</v>
      </c>
      <c r="ED850" s="270">
        <v>0</v>
      </c>
      <c r="EE850" s="253">
        <v>0</v>
      </c>
      <c r="EF850" s="270">
        <v>0</v>
      </c>
      <c r="EG850" s="270">
        <v>1</v>
      </c>
      <c r="EH850" s="270">
        <v>1</v>
      </c>
      <c r="EI850" s="270">
        <v>0</v>
      </c>
      <c r="EJ850" s="270">
        <v>0</v>
      </c>
      <c r="EK850" s="253">
        <v>1</v>
      </c>
      <c r="EL850" s="270">
        <v>0</v>
      </c>
      <c r="EM850" s="253">
        <v>0</v>
      </c>
      <c r="EN850" s="254">
        <v>0</v>
      </c>
      <c r="EO850" s="252"/>
      <c r="EP850" t="str">
        <f>IF(AND(AND(AND(OR($EC850=1,$EB850=1),OR($EH850=1,$EF850=1)),SUM($EA850:$EE850,$EK850)&gt;=3),SUM($EF850:$EJ850)&gt;=2),"Whole sector approach","")</f>
        <v>Whole sector approach</v>
      </c>
      <c r="EQ850" t="str">
        <f>IF(AND(AND(OR($EC850=1,$EB850=1),AND($EH850=0,$EF850=0)),SUM($EA850:$EE850,$EK850)&gt;=4),"Ecosystem approach","")</f>
        <v/>
      </c>
      <c r="ER850" s="254" t="s">
        <v>531</v>
      </c>
      <c r="ES850" t="str">
        <f>IF(AND($EC850+$EB850+$EE850+$EA850+$ED850+$EG850=0,$N850="included"),"C neutral forest and HWP assumption","")</f>
        <v/>
      </c>
      <c r="ET850" t="str">
        <f>IF(AND(AND(AND(AND($EC850=1,$EB850+$EA850+$EG850&gt;=1),$EF850=1),$EH850+$EI850+$ED850+$EE850&gt;=2),$N850="included"),"All C pools assumption","")</f>
        <v/>
      </c>
      <c r="EU850" t="str">
        <f>IF(AND($ED850+$EE850+$EI850+$EH850+$EF850=0,$N850="included"),"In-situ only assumption","")</f>
        <v/>
      </c>
      <c r="EV850" s="253"/>
      <c r="EW850" s="253" t="s">
        <v>236</v>
      </c>
      <c r="EX850" s="253"/>
      <c r="EY850" t="str">
        <f>IF(ISNUMBER(BW850),IF(ABS(BW850-[3]QC_indicators!$B$2)&gt;3*[3]QC_indicators!$C$2,"C ratio",IF(ISNUMBER(CA850),IF(ABS(CA850-[3]QC_indicators!$B$1)&gt;3*[3]QC_indicators!$C$1,"DF","no"))),IF(ISNUMBER(CA850),IF(ABS(CA850-[3]QC_indicators!$B$1)&gt;3*[3]QC_indicators!$C$1,"DF","no")))</f>
        <v>no</v>
      </c>
      <c r="EZ850" s="274"/>
      <c r="FA850" t="str">
        <f>IF(LEN($CY850)=0,"",IF(AND($CY850&lt;(-0.05),$ES850="C neutral forest and HWP assumption"),"Cneutral paradox",IF(AND($CY850&gt;0.05,$EU850="In-situ only assumption"),"In-situ only paradox","")))</f>
        <v/>
      </c>
      <c r="FB850" s="274"/>
      <c r="FC850" s="274"/>
    </row>
    <row r="851" spans="1:161" ht="15" hidden="1" customHeight="1">
      <c r="A851" s="252" t="s">
        <v>214</v>
      </c>
      <c r="B851" s="253" t="s">
        <v>215</v>
      </c>
      <c r="C851" s="253" t="s">
        <v>216</v>
      </c>
      <c r="D851" s="253" t="s">
        <v>217</v>
      </c>
      <c r="E851" s="253" t="s">
        <v>218</v>
      </c>
      <c r="F851" s="253" t="s">
        <v>219</v>
      </c>
      <c r="G851" s="253" t="s">
        <v>220</v>
      </c>
      <c r="H851" s="253"/>
      <c r="I851" s="253">
        <v>2012</v>
      </c>
      <c r="J851" s="253"/>
      <c r="K851" s="253" t="s">
        <v>221</v>
      </c>
      <c r="L851" s="253"/>
      <c r="M851" s="253" t="s">
        <v>2753</v>
      </c>
      <c r="N851" s="253" t="s">
        <v>222</v>
      </c>
      <c r="O851" s="269" t="s">
        <v>223</v>
      </c>
      <c r="P851" s="253"/>
      <c r="Q851" s="253" t="s">
        <v>224</v>
      </c>
      <c r="R851" s="254" t="s">
        <v>225</v>
      </c>
      <c r="S851" s="252" t="s">
        <v>240</v>
      </c>
      <c r="T851" s="253">
        <v>2000</v>
      </c>
      <c r="U851" s="253">
        <v>4000</v>
      </c>
      <c r="V851" s="253">
        <v>0</v>
      </c>
      <c r="W851" s="253">
        <v>0</v>
      </c>
      <c r="X851" s="253">
        <v>0</v>
      </c>
      <c r="Y851" s="253">
        <v>0</v>
      </c>
      <c r="Z851" s="253">
        <v>0</v>
      </c>
      <c r="AA851" s="253">
        <v>0</v>
      </c>
      <c r="AB851" s="253">
        <v>0</v>
      </c>
      <c r="AC851" s="253">
        <v>1</v>
      </c>
      <c r="AD851" s="253">
        <v>0</v>
      </c>
      <c r="AE851" s="253">
        <v>0</v>
      </c>
      <c r="AF851" s="253">
        <v>0</v>
      </c>
      <c r="AG851" s="253">
        <v>0</v>
      </c>
      <c r="AH851" s="253">
        <v>0</v>
      </c>
      <c r="AI851" s="253">
        <v>0</v>
      </c>
      <c r="AJ851" s="253">
        <v>0</v>
      </c>
      <c r="AK851" s="253">
        <v>0</v>
      </c>
      <c r="AL851" s="253">
        <v>0</v>
      </c>
      <c r="AM851" s="253">
        <v>0</v>
      </c>
      <c r="AN851" s="253">
        <v>0</v>
      </c>
      <c r="AO851" s="253">
        <v>0</v>
      </c>
      <c r="AP851" s="253">
        <v>0</v>
      </c>
      <c r="AQ851" s="253">
        <v>0</v>
      </c>
      <c r="AR851" s="253">
        <v>0</v>
      </c>
      <c r="AS851" s="253">
        <v>0</v>
      </c>
      <c r="AT851" s="253">
        <v>0</v>
      </c>
      <c r="AU851" s="253">
        <v>0</v>
      </c>
      <c r="AV851" s="253">
        <v>0</v>
      </c>
      <c r="AW851" s="253">
        <v>0</v>
      </c>
      <c r="AX851" s="253">
        <v>0</v>
      </c>
      <c r="AY851" s="253">
        <v>0</v>
      </c>
      <c r="AZ851" s="271">
        <v>1</v>
      </c>
      <c r="BA851" s="271">
        <v>1</v>
      </c>
      <c r="BB851" s="253">
        <v>1</v>
      </c>
      <c r="BC851" s="253">
        <v>0</v>
      </c>
      <c r="BD851" s="253">
        <v>0</v>
      </c>
      <c r="BE851" s="253">
        <v>0</v>
      </c>
      <c r="BF851" s="253">
        <v>0</v>
      </c>
      <c r="BG851" s="253" t="s">
        <v>93</v>
      </c>
      <c r="BH851" s="2" t="str" cm="1">
        <f t="array" ref="BH851">IF(COUNTIF(BB851:BD851,"&lt;&gt;0")=1,INDEX($X$4:$AY$4,MATCH(TRUE,INDEX($X851:$AY851&lt;&gt;0,),0)),IF(COUNTIF(BB851:BD851,"&lt;&gt;0")=0,INDEX($AO$4:$AY$4,MATCH(1,$AO851:$AY851,0)),"Multiple strategies"))</f>
        <v>Silviculture for productivity</v>
      </c>
      <c r="BI851" s="272" t="s">
        <v>229</v>
      </c>
      <c r="BJ851" s="253" t="s">
        <v>230</v>
      </c>
      <c r="BK851" s="273" t="s">
        <v>2754</v>
      </c>
      <c r="BL851" s="270" t="s">
        <v>231</v>
      </c>
      <c r="BM851" s="253">
        <v>77.011494249999998</v>
      </c>
      <c r="BN851" s="253">
        <v>82.922401170000001</v>
      </c>
      <c r="BO851" s="270">
        <v>1.0767535674715207</v>
      </c>
      <c r="BP851" s="253">
        <v>5.9109069200000022</v>
      </c>
      <c r="BQ851" s="270">
        <v>12.063075346938779</v>
      </c>
      <c r="BR851" s="270" t="s">
        <v>232</v>
      </c>
      <c r="BS851" s="345" t="s">
        <v>2308</v>
      </c>
      <c r="BT851" s="270" t="s">
        <v>233</v>
      </c>
      <c r="BU851" s="253">
        <v>-8</v>
      </c>
      <c r="BV851" s="253">
        <v>-12.051927770000001</v>
      </c>
      <c r="BW851" s="255">
        <v>1.5064909712500001</v>
      </c>
      <c r="BX851" s="253">
        <v>-4.0519277700000007</v>
      </c>
      <c r="BY851" s="253"/>
      <c r="BZ851" s="253">
        <v>-4.0519277700000007E-3</v>
      </c>
      <c r="CA851" s="253">
        <v>-3.3589508922600317E-4</v>
      </c>
      <c r="CB851" s="253">
        <v>0</v>
      </c>
      <c r="CC851" s="253">
        <v>0</v>
      </c>
      <c r="CD851" s="253">
        <v>0</v>
      </c>
      <c r="CE851" s="253">
        <v>0</v>
      </c>
      <c r="CF851" s="253">
        <v>0</v>
      </c>
      <c r="CG851" s="253">
        <v>0</v>
      </c>
      <c r="CH851" s="253">
        <v>0</v>
      </c>
      <c r="CI851" s="253">
        <v>0</v>
      </c>
      <c r="CJ851" s="253">
        <v>0</v>
      </c>
      <c r="CK851" s="253">
        <v>0</v>
      </c>
      <c r="CL851" s="253">
        <v>0</v>
      </c>
      <c r="CM851" s="253">
        <v>0</v>
      </c>
      <c r="CN851" s="253">
        <v>0</v>
      </c>
      <c r="CO851" s="253">
        <v>0</v>
      </c>
      <c r="CP851" s="253" t="s">
        <v>2755</v>
      </c>
      <c r="CQ851" s="253">
        <v>77.011494249999998</v>
      </c>
      <c r="CR851" s="253">
        <v>82.922401170000001</v>
      </c>
      <c r="CS851" s="253">
        <v>12.063075346938779</v>
      </c>
      <c r="CT851">
        <f>IF(BI851="Roundwood",$CS851/2,$CS851)</f>
        <v>12.063075346938779</v>
      </c>
      <c r="CU851" s="253">
        <v>-8</v>
      </c>
      <c r="CV851" s="253">
        <v>-12.051927770000001</v>
      </c>
      <c r="CW851" s="253">
        <v>-4.0519277700000007E-3</v>
      </c>
      <c r="CX851">
        <f>IFERROR($CW851/$CS851,"")</f>
        <v>-3.3589508922600317E-4</v>
      </c>
      <c r="CY851">
        <f>IFERROR($CW851/$CS851,"")</f>
        <v>-3.3589508922600317E-4</v>
      </c>
      <c r="CZ851">
        <f>IFERROR($CW851/$CT851,"")</f>
        <v>-3.3589508922600317E-4</v>
      </c>
      <c r="DA851" s="254">
        <v>-0.50649097125000009</v>
      </c>
      <c r="DB851" s="252" t="s">
        <v>234</v>
      </c>
      <c r="DC851" s="253" t="s">
        <v>2756</v>
      </c>
      <c r="DD851" s="253" t="s">
        <v>235</v>
      </c>
      <c r="DE851" s="253"/>
      <c r="DF851" s="270"/>
      <c r="DG851" s="270">
        <v>80</v>
      </c>
      <c r="DH851" s="253" t="s">
        <v>2757</v>
      </c>
      <c r="DI851" s="253">
        <v>0</v>
      </c>
      <c r="DJ851" s="253">
        <v>1</v>
      </c>
      <c r="DK851" s="253">
        <v>0</v>
      </c>
      <c r="DL851" s="253">
        <v>0</v>
      </c>
      <c r="DM851" s="253"/>
      <c r="DN851" s="253">
        <v>1</v>
      </c>
      <c r="DO851" s="253" t="s">
        <v>173</v>
      </c>
      <c r="DP851" s="253">
        <v>0</v>
      </c>
      <c r="DQ851" s="253" t="s">
        <v>180</v>
      </c>
      <c r="DR851" s="253">
        <v>0</v>
      </c>
      <c r="DS851" s="253">
        <v>0</v>
      </c>
      <c r="DT851" s="253">
        <v>0</v>
      </c>
      <c r="DU851" s="270">
        <v>0</v>
      </c>
      <c r="DV851" s="270">
        <v>0</v>
      </c>
      <c r="DW851" s="270">
        <v>0</v>
      </c>
      <c r="DX851" s="270">
        <v>0</v>
      </c>
      <c r="DY851" s="253">
        <v>0</v>
      </c>
      <c r="DZ851" s="270" t="s">
        <v>926</v>
      </c>
      <c r="EA851" s="270">
        <v>1</v>
      </c>
      <c r="EB851" s="270">
        <v>1</v>
      </c>
      <c r="EC851" s="270">
        <v>1</v>
      </c>
      <c r="ED851" s="270">
        <v>0</v>
      </c>
      <c r="EE851" s="253">
        <v>0</v>
      </c>
      <c r="EF851" s="270">
        <v>0</v>
      </c>
      <c r="EG851" s="270">
        <v>1</v>
      </c>
      <c r="EH851" s="270">
        <v>1</v>
      </c>
      <c r="EI851" s="270">
        <v>0</v>
      </c>
      <c r="EJ851" s="270">
        <v>0</v>
      </c>
      <c r="EK851" s="253">
        <v>1</v>
      </c>
      <c r="EL851" s="270">
        <v>0</v>
      </c>
      <c r="EM851" s="253">
        <v>0</v>
      </c>
      <c r="EN851" s="254">
        <v>0</v>
      </c>
      <c r="EO851" s="252"/>
      <c r="EP851" t="str">
        <f>IF(AND(AND(AND(OR($EC851=1,$EB851=1),OR($EH851=1,$EF851=1)),SUM($EA851:$EE851,$EK851)&gt;=3),SUM($EF851:$EJ851)&gt;=2),"Whole sector approach","")</f>
        <v>Whole sector approach</v>
      </c>
      <c r="EQ851" t="str">
        <f>IF(AND(AND(OR($EC851=1,$EB851=1),AND($EH851=0,$EF851=0)),SUM($EA851:$EE851,$EK851)&gt;=4),"Ecosystem approach","")</f>
        <v/>
      </c>
      <c r="ER851" s="254" t="s">
        <v>531</v>
      </c>
      <c r="ES851" t="str">
        <f>IF(AND($EC851+$EB851+$EE851+$EA851+$ED851+$EG851=0,$N851="included"),"C neutral forest and HWP assumption","")</f>
        <v/>
      </c>
      <c r="ET851" t="str">
        <f>IF(AND(AND(AND(AND($EC851=1,$EB851+$EA851+$EG851&gt;=1),$EF851=1),$EH851+$EI851+$ED851+$EE851&gt;=2),$N851="included"),"All C pools assumption","")</f>
        <v/>
      </c>
      <c r="EU851" t="str">
        <f>IF(AND($ED851+$EE851+$EI851+$EH851+$EF851=0,$N851="included"),"In-situ only assumption","")</f>
        <v/>
      </c>
      <c r="EV851" s="253"/>
      <c r="EW851" s="253" t="s">
        <v>236</v>
      </c>
      <c r="EX851" s="253"/>
      <c r="EY851" t="str">
        <f>IF(ISNUMBER(BW851),IF(ABS(BW851-[3]QC_indicators!$B$2)&gt;3*[3]QC_indicators!$C$2,"C ratio",IF(ISNUMBER(CA851),IF(ABS(CA851-[3]QC_indicators!$B$1)&gt;3*[3]QC_indicators!$C$1,"DF","no"))),IF(ISNUMBER(CA851),IF(ABS(CA851-[3]QC_indicators!$B$1)&gt;3*[3]QC_indicators!$C$1,"DF","no")))</f>
        <v>no</v>
      </c>
      <c r="EZ851" s="274"/>
      <c r="FA851" t="str">
        <f>IF(LEN($CY851)=0,"",IF(AND($CY851&lt;(-0.05),$ES851="C neutral forest and HWP assumption"),"Cneutral paradox",IF(AND($CY851&gt;0.05,$EU851="In-situ only assumption"),"In-situ only paradox","")))</f>
        <v/>
      </c>
      <c r="FB851" s="274"/>
      <c r="FC851" s="274"/>
    </row>
    <row r="852" spans="1:161" ht="15" hidden="1" customHeight="1">
      <c r="A852" s="252" t="s">
        <v>214</v>
      </c>
      <c r="B852" s="253" t="s">
        <v>215</v>
      </c>
      <c r="C852" s="253" t="s">
        <v>216</v>
      </c>
      <c r="D852" s="253" t="s">
        <v>217</v>
      </c>
      <c r="E852" s="253" t="s">
        <v>218</v>
      </c>
      <c r="F852" s="253" t="s">
        <v>219</v>
      </c>
      <c r="G852" s="253" t="s">
        <v>220</v>
      </c>
      <c r="H852" s="253"/>
      <c r="I852" s="253">
        <v>2012</v>
      </c>
      <c r="J852" s="253"/>
      <c r="K852" s="253" t="s">
        <v>221</v>
      </c>
      <c r="L852" s="253"/>
      <c r="M852" s="253" t="s">
        <v>2753</v>
      </c>
      <c r="N852" s="253" t="s">
        <v>222</v>
      </c>
      <c r="O852" s="269" t="s">
        <v>223</v>
      </c>
      <c r="P852" s="253"/>
      <c r="Q852" s="253" t="s">
        <v>224</v>
      </c>
      <c r="R852" s="254" t="s">
        <v>225</v>
      </c>
      <c r="S852" s="252" t="s">
        <v>240</v>
      </c>
      <c r="T852" s="253">
        <v>2000</v>
      </c>
      <c r="U852" s="253">
        <v>4000</v>
      </c>
      <c r="V852" s="253">
        <v>0</v>
      </c>
      <c r="W852" s="253">
        <v>0</v>
      </c>
      <c r="X852" s="253">
        <v>0</v>
      </c>
      <c r="Y852" s="253">
        <v>0</v>
      </c>
      <c r="Z852" s="253">
        <v>0</v>
      </c>
      <c r="AA852" s="253">
        <v>0</v>
      </c>
      <c r="AB852" s="253">
        <v>0</v>
      </c>
      <c r="AC852" s="253">
        <v>1</v>
      </c>
      <c r="AD852" s="253">
        <v>0</v>
      </c>
      <c r="AE852" s="253">
        <v>0</v>
      </c>
      <c r="AF852" s="253">
        <v>0</v>
      </c>
      <c r="AG852" s="253">
        <v>0</v>
      </c>
      <c r="AH852" s="253">
        <v>0</v>
      </c>
      <c r="AI852" s="253">
        <v>0</v>
      </c>
      <c r="AJ852" s="253">
        <v>0</v>
      </c>
      <c r="AK852" s="253">
        <v>0</v>
      </c>
      <c r="AL852" s="253">
        <v>0</v>
      </c>
      <c r="AM852" s="253">
        <v>0</v>
      </c>
      <c r="AN852" s="253">
        <v>0</v>
      </c>
      <c r="AO852" s="253">
        <v>0</v>
      </c>
      <c r="AP852" s="253">
        <v>0</v>
      </c>
      <c r="AQ852" s="253">
        <v>0</v>
      </c>
      <c r="AR852" s="253">
        <v>0</v>
      </c>
      <c r="AS852" s="253">
        <v>0</v>
      </c>
      <c r="AT852" s="253">
        <v>0</v>
      </c>
      <c r="AU852" s="253">
        <v>0</v>
      </c>
      <c r="AV852" s="253">
        <v>0</v>
      </c>
      <c r="AW852" s="253">
        <v>0</v>
      </c>
      <c r="AX852" s="253">
        <v>0</v>
      </c>
      <c r="AY852" s="253">
        <v>0</v>
      </c>
      <c r="AZ852" s="271">
        <v>1</v>
      </c>
      <c r="BA852" s="271">
        <v>1</v>
      </c>
      <c r="BB852" s="253">
        <v>1</v>
      </c>
      <c r="BC852" s="253">
        <v>0</v>
      </c>
      <c r="BD852" s="253">
        <v>0</v>
      </c>
      <c r="BE852" s="253">
        <v>0</v>
      </c>
      <c r="BF852" s="253">
        <v>0</v>
      </c>
      <c r="BG852" s="253" t="s">
        <v>93</v>
      </c>
      <c r="BH852" s="2" t="str" cm="1">
        <f t="array" ref="BH852">IF(COUNTIF(BB852:BD852,"&lt;&gt;0")=1,INDEX($X$4:$AY$4,MATCH(TRUE,INDEX($X852:$AY852&lt;&gt;0,),0)),IF(COUNTIF(BB852:BD852,"&lt;&gt;0")=0,INDEX($AO$4:$AY$4,MATCH(1,$AO852:$AY852,0)),"Multiple strategies"))</f>
        <v>Silviculture for productivity</v>
      </c>
      <c r="BI852" s="272" t="s">
        <v>229</v>
      </c>
      <c r="BJ852" s="253" t="s">
        <v>230</v>
      </c>
      <c r="BK852" s="273" t="s">
        <v>2754</v>
      </c>
      <c r="BL852" s="270" t="s">
        <v>231</v>
      </c>
      <c r="BM852" s="253">
        <v>95.977011489999995</v>
      </c>
      <c r="BN852" s="253">
        <v>100.5900439</v>
      </c>
      <c r="BO852" s="270">
        <v>1.0480639305015309</v>
      </c>
      <c r="BP852" s="253">
        <v>4.6130324100000024</v>
      </c>
      <c r="BQ852" s="270">
        <v>9.4143518571428615</v>
      </c>
      <c r="BR852" s="270" t="s">
        <v>232</v>
      </c>
      <c r="BS852" s="345" t="s">
        <v>2308</v>
      </c>
      <c r="BT852" s="270" t="s">
        <v>233</v>
      </c>
      <c r="BU852" s="253">
        <v>-8.1428571430000005</v>
      </c>
      <c r="BV852" s="253">
        <v>-11.804099559999999</v>
      </c>
      <c r="BW852" s="255">
        <v>1.4496262617289537</v>
      </c>
      <c r="BX852" s="253">
        <v>-3.6612424169999986</v>
      </c>
      <c r="BY852" s="253"/>
      <c r="BZ852" s="253">
        <v>-3.6612424169999986E-3</v>
      </c>
      <c r="CA852" s="253">
        <v>-3.889001040705887E-4</v>
      </c>
      <c r="CB852" s="253">
        <v>0</v>
      </c>
      <c r="CC852" s="253">
        <v>0</v>
      </c>
      <c r="CD852" s="253">
        <v>0</v>
      </c>
      <c r="CE852" s="253">
        <v>0</v>
      </c>
      <c r="CF852" s="253">
        <v>0</v>
      </c>
      <c r="CG852" s="253">
        <v>0</v>
      </c>
      <c r="CH852" s="253">
        <v>0</v>
      </c>
      <c r="CI852" s="253">
        <v>0</v>
      </c>
      <c r="CJ852" s="253">
        <v>0</v>
      </c>
      <c r="CK852" s="253">
        <v>0</v>
      </c>
      <c r="CL852" s="253">
        <v>0</v>
      </c>
      <c r="CM852" s="253">
        <v>0</v>
      </c>
      <c r="CN852" s="253">
        <v>0</v>
      </c>
      <c r="CO852" s="253">
        <v>0</v>
      </c>
      <c r="CP852" s="253" t="s">
        <v>2755</v>
      </c>
      <c r="CQ852" s="253">
        <v>95.977011489999995</v>
      </c>
      <c r="CR852" s="253">
        <v>100.5900439</v>
      </c>
      <c r="CS852" s="253">
        <v>9.4143518571428615</v>
      </c>
      <c r="CT852">
        <f>IF(BI852="Roundwood",$CS852/2,$CS852)</f>
        <v>9.4143518571428615</v>
      </c>
      <c r="CU852" s="253">
        <v>-8.1428571430000005</v>
      </c>
      <c r="CV852" s="253">
        <v>-11.804099559999999</v>
      </c>
      <c r="CW852" s="253">
        <v>-3.6612424169999986E-3</v>
      </c>
      <c r="CX852">
        <f>IFERROR($CW852/$CS852,"")</f>
        <v>-3.889001040705887E-4</v>
      </c>
      <c r="CY852">
        <f>IFERROR($CW852/$CS852,"")</f>
        <v>-3.889001040705887E-4</v>
      </c>
      <c r="CZ852">
        <f>IFERROR($CW852/$CT852,"")</f>
        <v>-3.889001040705887E-4</v>
      </c>
      <c r="DA852" s="254">
        <v>-0.4496262617289537</v>
      </c>
      <c r="DB852" s="252" t="s">
        <v>234</v>
      </c>
      <c r="DC852" s="253" t="s">
        <v>2756</v>
      </c>
      <c r="DD852" s="253" t="s">
        <v>235</v>
      </c>
      <c r="DE852" s="253"/>
      <c r="DF852" s="270"/>
      <c r="DG852" s="270">
        <v>80</v>
      </c>
      <c r="DH852" s="253" t="s">
        <v>2757</v>
      </c>
      <c r="DI852" s="253">
        <v>0</v>
      </c>
      <c r="DJ852" s="253">
        <v>1</v>
      </c>
      <c r="DK852" s="253">
        <v>0</v>
      </c>
      <c r="DL852" s="253">
        <v>0</v>
      </c>
      <c r="DM852" s="253"/>
      <c r="DN852" s="253">
        <v>1</v>
      </c>
      <c r="DO852" s="253" t="s">
        <v>173</v>
      </c>
      <c r="DP852" s="253">
        <v>0</v>
      </c>
      <c r="DQ852" s="253" t="s">
        <v>180</v>
      </c>
      <c r="DR852" s="253">
        <v>0</v>
      </c>
      <c r="DS852" s="253">
        <v>0</v>
      </c>
      <c r="DT852" s="253">
        <v>0</v>
      </c>
      <c r="DU852" s="270">
        <v>0</v>
      </c>
      <c r="DV852" s="270">
        <v>0</v>
      </c>
      <c r="DW852" s="270">
        <v>0</v>
      </c>
      <c r="DX852" s="270">
        <v>0</v>
      </c>
      <c r="DY852" s="253">
        <v>0</v>
      </c>
      <c r="DZ852" s="270" t="s">
        <v>926</v>
      </c>
      <c r="EA852" s="270">
        <v>1</v>
      </c>
      <c r="EB852" s="270">
        <v>1</v>
      </c>
      <c r="EC852" s="270">
        <v>1</v>
      </c>
      <c r="ED852" s="270">
        <v>0</v>
      </c>
      <c r="EE852" s="253">
        <v>0</v>
      </c>
      <c r="EF852" s="270">
        <v>0</v>
      </c>
      <c r="EG852" s="270">
        <v>1</v>
      </c>
      <c r="EH852" s="270">
        <v>1</v>
      </c>
      <c r="EI852" s="270">
        <v>0</v>
      </c>
      <c r="EJ852" s="270">
        <v>0</v>
      </c>
      <c r="EK852" s="253">
        <v>1</v>
      </c>
      <c r="EL852" s="270">
        <v>0</v>
      </c>
      <c r="EM852" s="253">
        <v>0</v>
      </c>
      <c r="EN852" s="254">
        <v>0</v>
      </c>
      <c r="EO852" s="252"/>
      <c r="EP852" t="str">
        <f>IF(AND(AND(AND(OR($EC852=1,$EB852=1),OR($EH852=1,$EF852=1)),SUM($EA852:$EE852,$EK852)&gt;=3),SUM($EF852:$EJ852)&gt;=2),"Whole sector approach","")</f>
        <v>Whole sector approach</v>
      </c>
      <c r="EQ852" t="str">
        <f>IF(AND(AND(OR($EC852=1,$EB852=1),AND($EH852=0,$EF852=0)),SUM($EA852:$EE852,$EK852)&gt;=4),"Ecosystem approach","")</f>
        <v/>
      </c>
      <c r="ER852" s="254" t="s">
        <v>531</v>
      </c>
      <c r="ES852" t="str">
        <f>IF(AND($EC852+$EB852+$EE852+$EA852+$ED852+$EG852=0,$N852="included"),"C neutral forest and HWP assumption","")</f>
        <v/>
      </c>
      <c r="ET852" t="str">
        <f>IF(AND(AND(AND(AND($EC852=1,$EB852+$EA852+$EG852&gt;=1),$EF852=1),$EH852+$EI852+$ED852+$EE852&gt;=2),$N852="included"),"All C pools assumption","")</f>
        <v/>
      </c>
      <c r="EU852" t="str">
        <f>IF(AND($ED852+$EE852+$EI852+$EH852+$EF852=0,$N852="included"),"In-situ only assumption","")</f>
        <v/>
      </c>
      <c r="EV852" s="253"/>
      <c r="EW852" s="253" t="s">
        <v>236</v>
      </c>
      <c r="EX852" s="253"/>
      <c r="EY852" t="str">
        <f>IF(ISNUMBER(BW852),IF(ABS(BW852-[3]QC_indicators!$B$2)&gt;3*[3]QC_indicators!$C$2,"C ratio",IF(ISNUMBER(CA852),IF(ABS(CA852-[3]QC_indicators!$B$1)&gt;3*[3]QC_indicators!$C$1,"DF","no"))),IF(ISNUMBER(CA852),IF(ABS(CA852-[3]QC_indicators!$B$1)&gt;3*[3]QC_indicators!$C$1,"DF","no")))</f>
        <v>no</v>
      </c>
      <c r="EZ852" s="274"/>
      <c r="FA852" t="str">
        <f>IF(LEN($CY852)=0,"",IF(AND($CY852&lt;(-0.05),$ES852="C neutral forest and HWP assumption"),"Cneutral paradox",IF(AND($CY852&gt;0.05,$EU852="In-situ only assumption"),"In-situ only paradox","")))</f>
        <v/>
      </c>
      <c r="FB852" s="274"/>
      <c r="FC852" s="274"/>
    </row>
    <row r="853" spans="1:161" ht="15" hidden="1" customHeight="1">
      <c r="A853" s="252" t="s">
        <v>214</v>
      </c>
      <c r="B853" s="253" t="s">
        <v>215</v>
      </c>
      <c r="C853" s="253" t="s">
        <v>216</v>
      </c>
      <c r="D853" s="253" t="s">
        <v>217</v>
      </c>
      <c r="E853" s="253" t="s">
        <v>218</v>
      </c>
      <c r="F853" s="253" t="s">
        <v>219</v>
      </c>
      <c r="G853" s="253" t="s">
        <v>220</v>
      </c>
      <c r="H853" s="253"/>
      <c r="I853" s="253">
        <v>2012</v>
      </c>
      <c r="J853" s="253"/>
      <c r="K853" s="253" t="s">
        <v>221</v>
      </c>
      <c r="L853" s="253"/>
      <c r="M853" s="253" t="s">
        <v>2753</v>
      </c>
      <c r="N853" s="253" t="s">
        <v>222</v>
      </c>
      <c r="O853" s="269" t="s">
        <v>223</v>
      </c>
      <c r="P853" s="253"/>
      <c r="Q853" s="253" t="s">
        <v>224</v>
      </c>
      <c r="R853" s="254" t="s">
        <v>225</v>
      </c>
      <c r="S853" s="252" t="s">
        <v>241</v>
      </c>
      <c r="T853" s="253" t="s">
        <v>242</v>
      </c>
      <c r="U853" s="270" t="s">
        <v>243</v>
      </c>
      <c r="V853" s="253">
        <v>0</v>
      </c>
      <c r="W853" s="253">
        <v>0</v>
      </c>
      <c r="X853" s="253">
        <v>0</v>
      </c>
      <c r="Y853" s="253">
        <v>0</v>
      </c>
      <c r="Z853" s="253">
        <v>0</v>
      </c>
      <c r="AA853" s="253">
        <v>0</v>
      </c>
      <c r="AB853" s="253">
        <v>0</v>
      </c>
      <c r="AC853" s="253">
        <v>0</v>
      </c>
      <c r="AD853" s="253">
        <v>0</v>
      </c>
      <c r="AE853" s="253">
        <v>1</v>
      </c>
      <c r="AF853" s="253">
        <v>0</v>
      </c>
      <c r="AG853" s="253">
        <v>0</v>
      </c>
      <c r="AH853" s="253">
        <v>0</v>
      </c>
      <c r="AI853" s="253">
        <v>0</v>
      </c>
      <c r="AJ853" s="253">
        <v>0</v>
      </c>
      <c r="AK853" s="253">
        <v>0</v>
      </c>
      <c r="AL853" s="253">
        <v>0</v>
      </c>
      <c r="AM853" s="253">
        <v>0</v>
      </c>
      <c r="AN853" s="253">
        <v>0</v>
      </c>
      <c r="AO853" s="253">
        <v>0</v>
      </c>
      <c r="AP853" s="253">
        <v>0</v>
      </c>
      <c r="AQ853" s="253">
        <v>0</v>
      </c>
      <c r="AR853" s="253">
        <v>0</v>
      </c>
      <c r="AS853" s="253">
        <v>0</v>
      </c>
      <c r="AT853" s="253">
        <v>0</v>
      </c>
      <c r="AU853" s="253">
        <v>0</v>
      </c>
      <c r="AV853" s="253">
        <v>0</v>
      </c>
      <c r="AW853" s="253">
        <v>0</v>
      </c>
      <c r="AX853" s="253">
        <v>0</v>
      </c>
      <c r="AY853" s="253">
        <v>0</v>
      </c>
      <c r="AZ853" s="271">
        <v>1</v>
      </c>
      <c r="BA853" s="271">
        <v>1</v>
      </c>
      <c r="BB853" s="253">
        <v>1</v>
      </c>
      <c r="BC853" s="253">
        <v>0</v>
      </c>
      <c r="BD853" s="253">
        <v>0</v>
      </c>
      <c r="BE853" s="253">
        <v>0</v>
      </c>
      <c r="BF853" s="253">
        <v>0</v>
      </c>
      <c r="BG853" s="253" t="s">
        <v>95</v>
      </c>
      <c r="BH853" s="2" t="str" cm="1">
        <f t="array" ref="BH853">IF(COUNTIF(BB853:BD853,"&lt;&gt;0")=1,INDEX($X$4:$AY$4,MATCH(TRUE,INDEX($X853:$AY853&lt;&gt;0,),0)),IF(COUNTIF(BB853:BD853,"&lt;&gt;0")=0,INDEX($AO$4:$AY$4,MATCH(1,$AO853:$AY853,0)),"Multiple strategies"))</f>
        <v>Silviculture for productivity</v>
      </c>
      <c r="BI853" s="272" t="s">
        <v>229</v>
      </c>
      <c r="BJ853" s="253" t="s">
        <v>230</v>
      </c>
      <c r="BK853" s="273" t="s">
        <v>2754</v>
      </c>
      <c r="BL853" s="270" t="s">
        <v>231</v>
      </c>
      <c r="BM853" s="253">
        <v>98.063244029280497</v>
      </c>
      <c r="BN853" s="253">
        <v>100.590043923865</v>
      </c>
      <c r="BO853" s="270">
        <v>1.0257670437032456</v>
      </c>
      <c r="BP853" s="253">
        <v>2.5267998945844994</v>
      </c>
      <c r="BQ853" s="270">
        <v>5.1567344787438767</v>
      </c>
      <c r="BR853" s="270" t="s">
        <v>232</v>
      </c>
      <c r="BS853" s="345" t="s">
        <v>2308</v>
      </c>
      <c r="BT853" s="270" t="s">
        <v>233</v>
      </c>
      <c r="BU853" s="253">
        <v>-8.1244670100805898</v>
      </c>
      <c r="BV853" s="253">
        <v>-11.8040995607613</v>
      </c>
      <c r="BW853" s="255">
        <v>1.4529075625656593</v>
      </c>
      <c r="BX853" s="253">
        <v>-3.6796325506807097</v>
      </c>
      <c r="BY853" s="253"/>
      <c r="BZ853" s="253">
        <v>-3.6796325506807098E-3</v>
      </c>
      <c r="CA853" s="253">
        <v>-7.1355866117369445E-4</v>
      </c>
      <c r="CB853" s="253">
        <v>0</v>
      </c>
      <c r="CC853" s="253">
        <v>0</v>
      </c>
      <c r="CD853" s="253">
        <v>0</v>
      </c>
      <c r="CE853" s="253">
        <v>0</v>
      </c>
      <c r="CF853" s="253">
        <v>0</v>
      </c>
      <c r="CG853" s="253">
        <v>0</v>
      </c>
      <c r="CH853" s="253">
        <v>0</v>
      </c>
      <c r="CI853" s="253">
        <v>0</v>
      </c>
      <c r="CJ853" s="253">
        <v>0</v>
      </c>
      <c r="CK853" s="253">
        <v>0</v>
      </c>
      <c r="CL853" s="253">
        <v>0</v>
      </c>
      <c r="CM853" s="253">
        <v>0</v>
      </c>
      <c r="CN853" s="253">
        <v>0</v>
      </c>
      <c r="CO853" s="253">
        <v>0</v>
      </c>
      <c r="CP853" s="253" t="s">
        <v>2755</v>
      </c>
      <c r="CQ853" s="253">
        <v>98.063244029280497</v>
      </c>
      <c r="CR853" s="253">
        <v>100.590043923865</v>
      </c>
      <c r="CS853" s="253">
        <v>5.1567344787438767</v>
      </c>
      <c r="CT853">
        <f>IF(BI853="Roundwood",$CS853/2,$CS853)</f>
        <v>5.1567344787438767</v>
      </c>
      <c r="CU853" s="253">
        <v>-8.1244670100805898</v>
      </c>
      <c r="CV853" s="253">
        <v>-11.8040995607613</v>
      </c>
      <c r="CW853" s="253">
        <v>-3.6796325506807098E-3</v>
      </c>
      <c r="CX853">
        <f>IFERROR($CW853/$CS853,"")</f>
        <v>-7.1355866117369445E-4</v>
      </c>
      <c r="CY853">
        <f>IFERROR($CW853/$CS853,"")</f>
        <v>-7.1355866117369445E-4</v>
      </c>
      <c r="CZ853">
        <f>IFERROR($CW853/$CT853,"")</f>
        <v>-7.1355866117369445E-4</v>
      </c>
      <c r="DA853" s="254">
        <v>-0.45290756256565928</v>
      </c>
      <c r="DB853" s="252" t="s">
        <v>234</v>
      </c>
      <c r="DC853" s="253" t="s">
        <v>2756</v>
      </c>
      <c r="DD853" s="253" t="s">
        <v>235</v>
      </c>
      <c r="DE853" s="253"/>
      <c r="DF853" s="270"/>
      <c r="DG853" s="270">
        <v>80</v>
      </c>
      <c r="DH853" s="253" t="s">
        <v>2757</v>
      </c>
      <c r="DI853" s="253">
        <v>0</v>
      </c>
      <c r="DJ853" s="253">
        <v>1</v>
      </c>
      <c r="DK853" s="253">
        <v>0</v>
      </c>
      <c r="DL853" s="253">
        <v>0</v>
      </c>
      <c r="DM853" s="253"/>
      <c r="DN853" s="253">
        <v>1</v>
      </c>
      <c r="DO853" s="253" t="s">
        <v>173</v>
      </c>
      <c r="DP853" s="253">
        <v>0</v>
      </c>
      <c r="DQ853" s="253" t="s">
        <v>180</v>
      </c>
      <c r="DR853" s="253">
        <v>0</v>
      </c>
      <c r="DS853" s="253">
        <v>0</v>
      </c>
      <c r="DT853" s="253">
        <v>0</v>
      </c>
      <c r="DU853" s="270">
        <v>0</v>
      </c>
      <c r="DV853" s="270">
        <v>0</v>
      </c>
      <c r="DW853" s="270">
        <v>0</v>
      </c>
      <c r="DX853" s="270">
        <v>0</v>
      </c>
      <c r="DY853" s="253">
        <v>0</v>
      </c>
      <c r="DZ853" s="270" t="s">
        <v>926</v>
      </c>
      <c r="EA853" s="270">
        <v>1</v>
      </c>
      <c r="EB853" s="270">
        <v>1</v>
      </c>
      <c r="EC853" s="270">
        <v>1</v>
      </c>
      <c r="ED853" s="270">
        <v>0</v>
      </c>
      <c r="EE853" s="253">
        <v>0</v>
      </c>
      <c r="EF853" s="270">
        <v>0</v>
      </c>
      <c r="EG853" s="270">
        <v>1</v>
      </c>
      <c r="EH853" s="270">
        <v>1</v>
      </c>
      <c r="EI853" s="270">
        <v>0</v>
      </c>
      <c r="EJ853" s="270">
        <v>0</v>
      </c>
      <c r="EK853" s="253">
        <v>1</v>
      </c>
      <c r="EL853" s="270">
        <v>0</v>
      </c>
      <c r="EM853" s="253">
        <v>0</v>
      </c>
      <c r="EN853" s="254">
        <v>0</v>
      </c>
      <c r="EO853" s="252"/>
      <c r="EP853" t="str">
        <f>IF(AND(AND(AND(OR($EC853=1,$EB853=1),OR($EH853=1,$EF853=1)),SUM($EA853:$EE853,$EK853)&gt;=3),SUM($EF853:$EJ853)&gt;=2),"Whole sector approach","")</f>
        <v>Whole sector approach</v>
      </c>
      <c r="EQ853" t="str">
        <f>IF(AND(AND(OR($EC853=1,$EB853=1),AND($EH853=0,$EF853=0)),SUM($EA853:$EE853,$EK853)&gt;=4),"Ecosystem approach","")</f>
        <v/>
      </c>
      <c r="ER853" s="254" t="s">
        <v>531</v>
      </c>
      <c r="ES853" t="str">
        <f>IF(AND($EC853+$EB853+$EE853+$EA853+$ED853+$EG853=0,$N853="included"),"C neutral forest and HWP assumption","")</f>
        <v/>
      </c>
      <c r="ET853" t="str">
        <f>IF(AND(AND(AND(AND($EC853=1,$EB853+$EA853+$EG853&gt;=1),$EF853=1),$EH853+$EI853+$ED853+$EE853&gt;=2),$N853="included"),"All C pools assumption","")</f>
        <v/>
      </c>
      <c r="EU853" t="str">
        <f>IF(AND($ED853+$EE853+$EI853+$EH853+$EF853=0,$N853="included"),"In-situ only assumption","")</f>
        <v/>
      </c>
      <c r="EV853" s="253"/>
      <c r="EW853" s="253" t="s">
        <v>236</v>
      </c>
      <c r="EX853" s="253"/>
      <c r="EY853" t="str">
        <f>IF(ISNUMBER(BW853),IF(ABS(BW853-[3]QC_indicators!$B$2)&gt;3*[3]QC_indicators!$C$2,"C ratio",IF(ISNUMBER(CA853),IF(ABS(CA853-[3]QC_indicators!$B$1)&gt;3*[3]QC_indicators!$C$1,"DF","no"))),IF(ISNUMBER(CA853),IF(ABS(CA853-[3]QC_indicators!$B$1)&gt;3*[3]QC_indicators!$C$1,"DF","no")))</f>
        <v>no</v>
      </c>
      <c r="FA853" t="str">
        <f>IF(LEN($CY853)=0,"",IF(AND($CY853&lt;(-0.05),$ES853="C neutral forest and HWP assumption"),"Cneutral paradox",IF(AND($CY853&gt;0.05,$EU853="In-situ only assumption"),"In-situ only paradox","")))</f>
        <v/>
      </c>
    </row>
    <row r="854" spans="1:161" ht="15" hidden="1" customHeight="1">
      <c r="A854" s="252" t="s">
        <v>214</v>
      </c>
      <c r="B854" s="253" t="s">
        <v>215</v>
      </c>
      <c r="C854" s="253" t="s">
        <v>216</v>
      </c>
      <c r="D854" s="253" t="s">
        <v>217</v>
      </c>
      <c r="E854" s="253" t="s">
        <v>218</v>
      </c>
      <c r="F854" s="253" t="s">
        <v>219</v>
      </c>
      <c r="G854" s="253" t="s">
        <v>220</v>
      </c>
      <c r="H854" s="253"/>
      <c r="I854" s="253">
        <v>2012</v>
      </c>
      <c r="J854" s="253"/>
      <c r="K854" s="253" t="s">
        <v>221</v>
      </c>
      <c r="L854" s="253"/>
      <c r="M854" s="253" t="s">
        <v>2753</v>
      </c>
      <c r="N854" s="253" t="s">
        <v>222</v>
      </c>
      <c r="O854" s="269" t="s">
        <v>223</v>
      </c>
      <c r="P854" s="253"/>
      <c r="Q854" s="253" t="s">
        <v>224</v>
      </c>
      <c r="R854" s="254" t="s">
        <v>225</v>
      </c>
      <c r="S854" s="252" t="s">
        <v>241</v>
      </c>
      <c r="T854" s="253" t="s">
        <v>242</v>
      </c>
      <c r="U854" s="270" t="s">
        <v>243</v>
      </c>
      <c r="V854" s="253">
        <v>0</v>
      </c>
      <c r="W854" s="253">
        <v>0</v>
      </c>
      <c r="X854" s="253">
        <v>0</v>
      </c>
      <c r="Y854" s="253">
        <v>0</v>
      </c>
      <c r="Z854" s="253">
        <v>0</v>
      </c>
      <c r="AA854" s="253">
        <v>0</v>
      </c>
      <c r="AB854" s="253">
        <v>0</v>
      </c>
      <c r="AC854" s="253">
        <v>0</v>
      </c>
      <c r="AD854" s="253">
        <v>0</v>
      </c>
      <c r="AE854" s="253">
        <v>1</v>
      </c>
      <c r="AF854" s="253">
        <v>0</v>
      </c>
      <c r="AG854" s="253">
        <v>0</v>
      </c>
      <c r="AH854" s="253">
        <v>0</v>
      </c>
      <c r="AI854" s="253">
        <v>0</v>
      </c>
      <c r="AJ854" s="253">
        <v>0</v>
      </c>
      <c r="AK854" s="253">
        <v>0</v>
      </c>
      <c r="AL854" s="253">
        <v>0</v>
      </c>
      <c r="AM854" s="253">
        <v>0</v>
      </c>
      <c r="AN854" s="253">
        <v>0</v>
      </c>
      <c r="AO854" s="253">
        <v>0</v>
      </c>
      <c r="AP854" s="253">
        <v>0</v>
      </c>
      <c r="AQ854" s="253">
        <v>0</v>
      </c>
      <c r="AR854" s="253">
        <v>0</v>
      </c>
      <c r="AS854" s="253">
        <v>0</v>
      </c>
      <c r="AT854" s="253">
        <v>0</v>
      </c>
      <c r="AU854" s="253">
        <v>0</v>
      </c>
      <c r="AV854" s="253">
        <v>0</v>
      </c>
      <c r="AW854" s="253">
        <v>0</v>
      </c>
      <c r="AX854" s="253">
        <v>0</v>
      </c>
      <c r="AY854" s="253">
        <v>0</v>
      </c>
      <c r="AZ854" s="271">
        <v>1</v>
      </c>
      <c r="BA854" s="271">
        <v>1</v>
      </c>
      <c r="BB854" s="253">
        <v>1</v>
      </c>
      <c r="BC854" s="253">
        <v>0</v>
      </c>
      <c r="BD854" s="253">
        <v>0</v>
      </c>
      <c r="BE854" s="253">
        <v>0</v>
      </c>
      <c r="BF854" s="253">
        <v>0</v>
      </c>
      <c r="BG854" s="253" t="s">
        <v>95</v>
      </c>
      <c r="BH854" s="2" t="str" cm="1">
        <f t="array" ref="BH854">IF(COUNTIF(BB854:BD854,"&lt;&gt;0")=1,INDEX($X$4:$AY$4,MATCH(TRUE,INDEX($X854:$AY854&lt;&gt;0,),0)),IF(COUNTIF(BB854:BD854,"&lt;&gt;0")=0,INDEX($AO$4:$AY$4,MATCH(1,$AO854:$AY854,0)),"Multiple strategies"))</f>
        <v>Silviculture for productivity</v>
      </c>
      <c r="BI854" s="272" t="s">
        <v>229</v>
      </c>
      <c r="BJ854" s="253" t="s">
        <v>230</v>
      </c>
      <c r="BK854" s="273" t="s">
        <v>2754</v>
      </c>
      <c r="BL854" s="270" t="s">
        <v>231</v>
      </c>
      <c r="BM854" s="253">
        <v>124.699677125181</v>
      </c>
      <c r="BN854" s="253">
        <v>127.190336749634</v>
      </c>
      <c r="BO854" s="270">
        <v>1.0199732644211479</v>
      </c>
      <c r="BP854" s="253">
        <v>2.4906596244530022</v>
      </c>
      <c r="BQ854" s="270">
        <v>5.0829788254142905</v>
      </c>
      <c r="BR854" s="270" t="s">
        <v>232</v>
      </c>
      <c r="BS854" s="345" t="s">
        <v>2308</v>
      </c>
      <c r="BT854" s="270" t="s">
        <v>233</v>
      </c>
      <c r="BU854" s="253">
        <v>-7.9158553717989797</v>
      </c>
      <c r="BV854" s="253">
        <v>-11.589751098096601</v>
      </c>
      <c r="BW854" s="255">
        <v>1.4641186016846945</v>
      </c>
      <c r="BX854" s="253">
        <v>-3.6738957262976211</v>
      </c>
      <c r="BY854" s="253"/>
      <c r="BZ854" s="253">
        <v>-3.6738957262976209E-3</v>
      </c>
      <c r="CA854" s="253">
        <v>-7.2278399192390462E-4</v>
      </c>
      <c r="CB854" s="253">
        <v>0</v>
      </c>
      <c r="CC854" s="253">
        <v>0</v>
      </c>
      <c r="CD854" s="253">
        <v>0</v>
      </c>
      <c r="CE854" s="253">
        <v>0</v>
      </c>
      <c r="CF854" s="253">
        <v>0</v>
      </c>
      <c r="CG854" s="253">
        <v>0</v>
      </c>
      <c r="CH854" s="253">
        <v>0</v>
      </c>
      <c r="CI854" s="253">
        <v>0</v>
      </c>
      <c r="CJ854" s="253">
        <v>0</v>
      </c>
      <c r="CK854" s="253">
        <v>0</v>
      </c>
      <c r="CL854" s="253">
        <v>0</v>
      </c>
      <c r="CM854" s="253">
        <v>0</v>
      </c>
      <c r="CN854" s="253">
        <v>0</v>
      </c>
      <c r="CO854" s="253">
        <v>0</v>
      </c>
      <c r="CP854" s="253" t="s">
        <v>2755</v>
      </c>
      <c r="CQ854" s="253">
        <v>124.699677125181</v>
      </c>
      <c r="CR854" s="253">
        <v>127.190336749634</v>
      </c>
      <c r="CS854" s="253">
        <v>5.0829788254142905</v>
      </c>
      <c r="CT854">
        <f>IF(BI854="Roundwood",$CS854/2,$CS854)</f>
        <v>5.0829788254142905</v>
      </c>
      <c r="CU854" s="253">
        <v>-7.9158553717989797</v>
      </c>
      <c r="CV854" s="253">
        <v>-11.589751098096601</v>
      </c>
      <c r="CW854" s="253">
        <v>-3.6738957262976209E-3</v>
      </c>
      <c r="CX854">
        <f>IFERROR($CW854/$CS854,"")</f>
        <v>-7.2278399192390462E-4</v>
      </c>
      <c r="CY854">
        <f>IFERROR($CW854/$CS854,"")</f>
        <v>-7.2278399192390462E-4</v>
      </c>
      <c r="CZ854">
        <f>IFERROR($CW854/$CT854,"")</f>
        <v>-7.2278399192390462E-4</v>
      </c>
      <c r="DA854" s="254">
        <v>-0.46411860168469465</v>
      </c>
      <c r="DB854" s="252" t="s">
        <v>234</v>
      </c>
      <c r="DC854" s="253" t="s">
        <v>2756</v>
      </c>
      <c r="DD854" s="253" t="s">
        <v>235</v>
      </c>
      <c r="DE854" s="253"/>
      <c r="DF854" s="270"/>
      <c r="DG854" s="270">
        <v>80</v>
      </c>
      <c r="DH854" s="253" t="s">
        <v>2757</v>
      </c>
      <c r="DI854" s="253">
        <v>0</v>
      </c>
      <c r="DJ854" s="253">
        <v>1</v>
      </c>
      <c r="DK854" s="253">
        <v>0</v>
      </c>
      <c r="DL854" s="253">
        <v>0</v>
      </c>
      <c r="DM854" s="253"/>
      <c r="DN854" s="253">
        <v>1</v>
      </c>
      <c r="DO854" s="253" t="s">
        <v>173</v>
      </c>
      <c r="DP854" s="253">
        <v>0</v>
      </c>
      <c r="DQ854" s="253" t="s">
        <v>180</v>
      </c>
      <c r="DR854" s="253">
        <v>0</v>
      </c>
      <c r="DS854" s="253">
        <v>0</v>
      </c>
      <c r="DT854" s="253">
        <v>0</v>
      </c>
      <c r="DU854" s="270">
        <v>0</v>
      </c>
      <c r="DV854" s="270">
        <v>0</v>
      </c>
      <c r="DW854" s="270">
        <v>0</v>
      </c>
      <c r="DX854" s="270">
        <v>0</v>
      </c>
      <c r="DY854" s="253">
        <v>0</v>
      </c>
      <c r="DZ854" s="270" t="s">
        <v>926</v>
      </c>
      <c r="EA854" s="270">
        <v>1</v>
      </c>
      <c r="EB854" s="270">
        <v>1</v>
      </c>
      <c r="EC854" s="270">
        <v>1</v>
      </c>
      <c r="ED854" s="270">
        <v>0</v>
      </c>
      <c r="EE854" s="253">
        <v>0</v>
      </c>
      <c r="EF854" s="270">
        <v>0</v>
      </c>
      <c r="EG854" s="270">
        <v>1</v>
      </c>
      <c r="EH854" s="270">
        <v>1</v>
      </c>
      <c r="EI854" s="270">
        <v>0</v>
      </c>
      <c r="EJ854" s="270">
        <v>0</v>
      </c>
      <c r="EK854" s="253">
        <v>1</v>
      </c>
      <c r="EL854" s="270">
        <v>0</v>
      </c>
      <c r="EM854" s="253">
        <v>0</v>
      </c>
      <c r="EN854" s="254">
        <v>0</v>
      </c>
      <c r="EO854" s="252"/>
      <c r="EP854" t="str">
        <f>IF(AND(AND(AND(OR($EC854=1,$EB854=1),OR($EH854=1,$EF854=1)),SUM($EA854:$EE854,$EK854)&gt;=3),SUM($EF854:$EJ854)&gt;=2),"Whole sector approach","")</f>
        <v>Whole sector approach</v>
      </c>
      <c r="EQ854" t="str">
        <f>IF(AND(AND(OR($EC854=1,$EB854=1),AND($EH854=0,$EF854=0)),SUM($EA854:$EE854,$EK854)&gt;=4),"Ecosystem approach","")</f>
        <v/>
      </c>
      <c r="ER854" s="254" t="s">
        <v>531</v>
      </c>
      <c r="ES854" t="str">
        <f>IF(AND($EC854+$EB854+$EE854+$EA854+$ED854+$EG854=0,$N854="included"),"C neutral forest and HWP assumption","")</f>
        <v/>
      </c>
      <c r="ET854" t="str">
        <f>IF(AND(AND(AND(AND($EC854=1,$EB854+$EA854+$EG854&gt;=1),$EF854=1),$EH854+$EI854+$ED854+$EE854&gt;=2),$N854="included"),"All C pools assumption","")</f>
        <v/>
      </c>
      <c r="EU854" t="str">
        <f>IF(AND($ED854+$EE854+$EI854+$EH854+$EF854=0,$N854="included"),"In-situ only assumption","")</f>
        <v/>
      </c>
      <c r="EV854" s="253"/>
      <c r="EW854" s="253" t="s">
        <v>236</v>
      </c>
      <c r="EX854" s="253"/>
      <c r="EY854" t="str">
        <f>IF(ISNUMBER(BW854),IF(ABS(BW854-[3]QC_indicators!$B$2)&gt;3*[3]QC_indicators!$C$2,"C ratio",IF(ISNUMBER(CA854),IF(ABS(CA854-[3]QC_indicators!$B$1)&gt;3*[3]QC_indicators!$C$1,"DF","no"))),IF(ISNUMBER(CA854),IF(ABS(CA854-[3]QC_indicators!$B$1)&gt;3*[3]QC_indicators!$C$1,"DF","no")))</f>
        <v>no</v>
      </c>
      <c r="FA854" t="str">
        <f>IF(LEN($CY854)=0,"",IF(AND($CY854&lt;(-0.05),$ES854="C neutral forest and HWP assumption"),"Cneutral paradox",IF(AND($CY854&gt;0.05,$EU854="In-situ only assumption"),"In-situ only paradox","")))</f>
        <v/>
      </c>
    </row>
    <row r="855" spans="1:161" ht="15" hidden="1" customHeight="1">
      <c r="A855" s="1" t="s">
        <v>1233</v>
      </c>
      <c r="B855" t="s">
        <v>1234</v>
      </c>
      <c r="C855" t="s">
        <v>1235</v>
      </c>
      <c r="D855" t="s">
        <v>1236</v>
      </c>
      <c r="E855" t="s">
        <v>1237</v>
      </c>
      <c r="F855" t="s">
        <v>1238</v>
      </c>
      <c r="G855" t="s">
        <v>1239</v>
      </c>
      <c r="H855" t="s">
        <v>254</v>
      </c>
      <c r="I855">
        <v>2012</v>
      </c>
      <c r="J855">
        <v>27</v>
      </c>
      <c r="K855" t="s">
        <v>1240</v>
      </c>
      <c r="M855" t="str">
        <f>LEFT($D855,FIND(",",$D855)-1)&amp;"_"&amp;I855&amp;L855</f>
        <v>Colombo_2012</v>
      </c>
      <c r="N855" t="s">
        <v>222</v>
      </c>
      <c r="O855" s="145" t="s">
        <v>223</v>
      </c>
      <c r="Q855" t="s">
        <v>256</v>
      </c>
      <c r="R855" s="264" t="s">
        <v>274</v>
      </c>
      <c r="S855" s="1" t="s">
        <v>1241</v>
      </c>
      <c r="T855" t="s">
        <v>1242</v>
      </c>
      <c r="U855" t="s">
        <v>1243</v>
      </c>
      <c r="V855">
        <v>1</v>
      </c>
      <c r="W855">
        <v>0</v>
      </c>
      <c r="X855">
        <v>1</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s="141">
        <f>COUNTIF(X855:AY855,"&lt;&gt;0")</f>
        <v>1</v>
      </c>
      <c r="BA855" s="141">
        <f>COUNTIF(X855:AN855,"&lt;&gt;0")</f>
        <v>1</v>
      </c>
      <c r="BB855">
        <f>COUNTIF(X855:AE855,"&lt;&gt;0")</f>
        <v>1</v>
      </c>
      <c r="BC855">
        <f>COUNTIF(AF855:AK855,"&lt;&gt;0")</f>
        <v>0</v>
      </c>
      <c r="BD855">
        <f>COUNTIF(AL855:AN855,"&lt;&gt;0")</f>
        <v>0</v>
      </c>
      <c r="BE855">
        <f>COUNTIF(AU855:AY855,"&lt;&gt;0")</f>
        <v>0</v>
      </c>
      <c r="BF855">
        <f>COUNTIF(AO855:AT855,"&lt;&gt;0")</f>
        <v>0</v>
      </c>
      <c r="BG855" t="str">
        <f t="array" ref="BG855">IF(BA855=1,INDEX($X$7:$AN$7,MATCH(TRUE,INDEX($X855:$AY855&lt;&gt;0,),0)),IF(BA855=0,INDEX($AO$7:$AY$7,MATCH(1,$AO855:$AY855,0)),IF(BH855="Multiple strategies","mixed drivers",IF(BH855="Supply chain","multiple supply","multiple silviculture"))))</f>
        <v>area subject to harvest</v>
      </c>
      <c r="BH855" s="2" t="str" cm="1">
        <f t="array" ref="BH855">IF(COUNTIF(BB855:BD855,"&lt;&gt;0")=1,INDEX($X$4:$AY$4,MATCH(TRUE,INDEX($X855:$AY855&lt;&gt;0,),0)),IF(COUNTIF(BB855:BD855,"&lt;&gt;0")=0,INDEX($AO$4:$AY$4,MATCH(1,$AO855:$AY855,0)),"Multiple strategies"))</f>
        <v>Silviculture for removals</v>
      </c>
      <c r="BI855" s="1" t="s">
        <v>229</v>
      </c>
      <c r="BJ855" t="s">
        <v>1244</v>
      </c>
      <c r="BK855" s="260" t="s">
        <v>2851</v>
      </c>
      <c r="BL855" t="s">
        <v>1245</v>
      </c>
      <c r="BM855">
        <v>0</v>
      </c>
      <c r="BN855">
        <v>38</v>
      </c>
      <c r="BP855">
        <f>BN855-BM855</f>
        <v>38</v>
      </c>
      <c r="BQ855">
        <f>BP855*10^6*tC_to_m3</f>
        <v>165002171.08119845</v>
      </c>
      <c r="BR855" s="143" t="s">
        <v>232</v>
      </c>
      <c r="BS855" s="143" t="s">
        <v>676</v>
      </c>
      <c r="BT855" t="s">
        <v>1245</v>
      </c>
      <c r="BU855">
        <v>590.28571428571399</v>
      </c>
      <c r="BV855">
        <v>594.28571428571399</v>
      </c>
      <c r="BW855" s="144">
        <f>IFERROR(BV855/BU855,"")</f>
        <v>1.0067763794772506</v>
      </c>
      <c r="BX855">
        <f>BV855-BU855</f>
        <v>4</v>
      </c>
      <c r="BZ855">
        <f>BX855*10^6*C_to_CO2</f>
        <v>14680000</v>
      </c>
      <c r="CA855">
        <f>IFERROR(BZ855/BQ855,"")</f>
        <v>8.896852631578947E-2</v>
      </c>
      <c r="CB855">
        <v>0</v>
      </c>
      <c r="CC855">
        <v>0</v>
      </c>
      <c r="CD855">
        <v>0</v>
      </c>
      <c r="CE855">
        <v>0</v>
      </c>
      <c r="CF855">
        <v>0</v>
      </c>
      <c r="CG855">
        <v>0</v>
      </c>
      <c r="CH855">
        <v>0</v>
      </c>
      <c r="CI855">
        <v>0</v>
      </c>
      <c r="CJ855">
        <v>0</v>
      </c>
      <c r="CK855">
        <v>0</v>
      </c>
      <c r="CL855">
        <v>0</v>
      </c>
      <c r="CM855">
        <v>0</v>
      </c>
      <c r="CN855">
        <v>0</v>
      </c>
      <c r="CO855">
        <v>0</v>
      </c>
      <c r="CP855" t="str">
        <f>IF($BN855&lt;$BM855,"refNeedCorrection","refOK")</f>
        <v>refOK</v>
      </c>
      <c r="CQ855">
        <f>IF($CP855="refOK",$BM855,$BN855)</f>
        <v>0</v>
      </c>
      <c r="CR855">
        <f>IF($CP855="refOK",$BN855,$BM855)</f>
        <v>38</v>
      </c>
      <c r="CS855">
        <f>IF($CP855="refOK",$BQ855,-$BQ855)</f>
        <v>165002171.08119845</v>
      </c>
      <c r="CT855">
        <f>IF(BI855="Roundwood",$CS855/2,$CS855)</f>
        <v>165002171.08119845</v>
      </c>
      <c r="CU855">
        <f>IF($CP855="refOK",$BU855,$BV855)*IF($BR855="Emissions positive",-1,1)</f>
        <v>590.28571428571399</v>
      </c>
      <c r="CV855">
        <f>IF($CP855="refOK",$BV855,$BU855)*IF($BR855="Emissions positive",-1,1)</f>
        <v>594.28571428571399</v>
      </c>
      <c r="CW855">
        <f>IF($CP855="refNeedCorrection",-BZ855,BZ855)*IF($BR855="Emissions positive",-1,1)</f>
        <v>14680000</v>
      </c>
      <c r="CX855">
        <f>IFERROR($CW855/$CS855,"")</f>
        <v>8.896852631578947E-2</v>
      </c>
      <c r="CY855">
        <f>IFERROR($CW855/$CS855,"")</f>
        <v>8.896852631578947E-2</v>
      </c>
      <c r="CZ855">
        <f>IFERROR($CW855/$CT855,"")</f>
        <v>8.896852631578947E-2</v>
      </c>
      <c r="DA855" s="2">
        <f>IFERROR((CV855-CU855)/ABS(CU855),"")</f>
        <v>6.7763794772507293E-3</v>
      </c>
      <c r="DB855" s="1" t="s">
        <v>1074</v>
      </c>
      <c r="DC855" t="str">
        <f>IF(OR($DB855="prd",$DB855="std",$DB855="cit"),"loc",IF(OR($DB855="eur",$DB855="reg",$DB855="coy"),"reg",$DB855))</f>
        <v>reg</v>
      </c>
      <c r="DD855" t="s">
        <v>527</v>
      </c>
      <c r="DE855">
        <v>2010</v>
      </c>
      <c r="DF855">
        <v>2110</v>
      </c>
      <c r="DG855">
        <f>DF855-DE855</f>
        <v>100</v>
      </c>
      <c r="DH855" t="str">
        <f>IF(DG855=0,"0",IF(AND(DG855&gt;=1,DG855&lt;=30),"1-30",IF(AND(DG855&gt;30,DG855&lt;=70),"31-70",IF(AND(DG855&gt;70,DG855&lt;=100),"71-100",IF(DG855&gt;100,"+100")))))</f>
        <v>71-100</v>
      </c>
      <c r="DI855">
        <v>0</v>
      </c>
      <c r="DJ855">
        <v>1</v>
      </c>
      <c r="DK855">
        <v>1</v>
      </c>
      <c r="DL855">
        <v>1</v>
      </c>
      <c r="DN855">
        <f>SUM(DI855:DL855)</f>
        <v>3</v>
      </c>
      <c r="DO855" t="str">
        <f>IF(DN855=1,INDEX($DI$7:$DL$7,MATCH(1,$DI855:$DL855,0)),"mixedProduct")</f>
        <v>mixedProduct</v>
      </c>
      <c r="DP855">
        <f>IF(DI855=1,DP$7,0)</f>
        <v>0</v>
      </c>
      <c r="DQ855" t="str">
        <f>IF(DJ855=1,DQ$7,0)</f>
        <v>Energy</v>
      </c>
      <c r="DR855" t="str">
        <f>IF(DK855=1,DR$7,0)</f>
        <v>Pulp/Paper</v>
      </c>
      <c r="DS855" t="str">
        <f>IF(DL855=1,DS$7,0)</f>
        <v>Timber</v>
      </c>
      <c r="DT855">
        <v>0</v>
      </c>
      <c r="DU855">
        <v>0</v>
      </c>
      <c r="DV855">
        <v>0</v>
      </c>
      <c r="DW855">
        <v>0</v>
      </c>
      <c r="DX855">
        <v>0</v>
      </c>
      <c r="DY855">
        <f>SUM(DT855:DU855)</f>
        <v>0</v>
      </c>
      <c r="DZ855" s="143" t="str">
        <f>IF(DT855=1,"self-calculated DF",IF(DU855=1,"external DF used","explicit C balance"))</f>
        <v>explicit C balance</v>
      </c>
      <c r="EA855">
        <v>1</v>
      </c>
      <c r="EB855">
        <v>1</v>
      </c>
      <c r="EC855">
        <v>1</v>
      </c>
      <c r="ED855">
        <v>1</v>
      </c>
      <c r="EE855">
        <v>0</v>
      </c>
      <c r="EF855" s="143">
        <v>0</v>
      </c>
      <c r="EG855">
        <v>0</v>
      </c>
      <c r="EH855">
        <v>0</v>
      </c>
      <c r="EI855">
        <v>0</v>
      </c>
      <c r="EJ855">
        <v>0</v>
      </c>
      <c r="EK855">
        <v>1</v>
      </c>
      <c r="EL855">
        <v>0</v>
      </c>
      <c r="EM855">
        <v>0</v>
      </c>
      <c r="EN855" s="2">
        <v>0</v>
      </c>
      <c r="EP855" t="str">
        <f>IF(AND(AND(AND(OR($EC855=1,$EB855=1),OR($EH855=1,$EF855=1)),SUM($EA855:$EE855,$EK855)&gt;=3),SUM($EF855:$EJ855)&gt;=2),"Whole sector approach","")</f>
        <v/>
      </c>
      <c r="EQ855" t="str">
        <f>IF(AND(AND(OR($EC855=1,$EB855=1),AND($EH855=0,$EF855=0)),SUM($EA855:$EE855,$EK855)&gt;=4),"Ecosystem approach","")</f>
        <v>Ecosystem approach</v>
      </c>
      <c r="ER855" s="2" t="str">
        <f>IF(AND(AND(AND($EC855=0,$EB855=0),OR($EH855=1,$EF855=1)),SUM($EG855:$EJ855)&gt;=2),"Technology approach","")</f>
        <v/>
      </c>
      <c r="ES855" t="str">
        <f>IF(AND($EC855+$EB855+$EE855+$EA855+$ED855+$EG855=0,$N855="included"),"C neutral forest and HWP assumption","")</f>
        <v/>
      </c>
      <c r="ET855" t="str">
        <f>IF(AND(AND(AND(AND($EC855=1,$EB855+$EA855+$EG855&gt;=1),$EF855=1),$EH855+$EI855+$ED855+$EE855&gt;=2),$N855="included"),"All C pools assumption","")</f>
        <v/>
      </c>
      <c r="EU855" t="str">
        <f>IF(AND($ED855+$EE855+$EI855+$EH855+$EF855=0,$N855="included"),"In-situ only assumption","")</f>
        <v/>
      </c>
      <c r="EY855" t="str">
        <f>IF(ISNUMBER(BW855),IF(ABS(BW855-[3]QC_indicators!$B$2)&gt;3*[3]QC_indicators!$C$2,"C ratio",IF(ISNUMBER(CA855),IF(ABS(CA855-[3]QC_indicators!$B$1)&gt;3*[3]QC_indicators!$C$1,"DF","no"))),IF(ISNUMBER(CA855),IF(ABS(CA855-[3]QC_indicators!$B$1)&gt;3*[3]QC_indicators!$C$1,"DF","no")))</f>
        <v>no</v>
      </c>
      <c r="FA855" t="str">
        <f>IF(LEN($CY855)=0,"",IF(AND($CY855&lt;(-0.05),$ES855="C neutral forest and HWP assumption"),"Cneutral paradox",IF(AND($CY855&gt;0.05,$EU855="In-situ only assumption"),"In-situ only paradox","")))</f>
        <v/>
      </c>
      <c r="FB855" t="s">
        <v>1246</v>
      </c>
      <c r="FD855" s="260" t="s">
        <v>2939</v>
      </c>
    </row>
    <row r="856" spans="1:161" ht="15" hidden="1" customHeight="1">
      <c r="A856" s="1" t="s">
        <v>1233</v>
      </c>
      <c r="B856" t="s">
        <v>1234</v>
      </c>
      <c r="C856" t="s">
        <v>1235</v>
      </c>
      <c r="D856" t="s">
        <v>1236</v>
      </c>
      <c r="E856" t="s">
        <v>1237</v>
      </c>
      <c r="F856" t="s">
        <v>1238</v>
      </c>
      <c r="G856" t="s">
        <v>1239</v>
      </c>
      <c r="H856" t="s">
        <v>254</v>
      </c>
      <c r="I856">
        <v>2012</v>
      </c>
      <c r="J856">
        <v>27</v>
      </c>
      <c r="K856" t="s">
        <v>1240</v>
      </c>
      <c r="M856" t="str">
        <f>LEFT($D856,FIND(",",$D856)-1)&amp;"_"&amp;I856&amp;L856</f>
        <v>Colombo_2012</v>
      </c>
      <c r="N856" t="s">
        <v>222</v>
      </c>
      <c r="O856" s="145" t="s">
        <v>223</v>
      </c>
      <c r="Q856" t="s">
        <v>256</v>
      </c>
      <c r="R856" s="264" t="s">
        <v>274</v>
      </c>
      <c r="S856" s="1" t="s">
        <v>1241</v>
      </c>
      <c r="T856" t="s">
        <v>1242</v>
      </c>
      <c r="U856" t="s">
        <v>1247</v>
      </c>
      <c r="V856">
        <v>1</v>
      </c>
      <c r="W856">
        <v>0</v>
      </c>
      <c r="X856">
        <v>1</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s="141">
        <f>COUNTIF(X856:AY856,"&lt;&gt;0")</f>
        <v>1</v>
      </c>
      <c r="BA856" s="141">
        <f>COUNTIF(X856:AN856,"&lt;&gt;0")</f>
        <v>1</v>
      </c>
      <c r="BB856">
        <f>COUNTIF(X856:AE856,"&lt;&gt;0")</f>
        <v>1</v>
      </c>
      <c r="BC856">
        <f>COUNTIF(AF856:AK856,"&lt;&gt;0")</f>
        <v>0</v>
      </c>
      <c r="BD856">
        <f>COUNTIF(AL856:AN856,"&lt;&gt;0")</f>
        <v>0</v>
      </c>
      <c r="BE856">
        <f>COUNTIF(AU856:AY856,"&lt;&gt;0")</f>
        <v>0</v>
      </c>
      <c r="BF856">
        <f>COUNTIF(AO856:AT856,"&lt;&gt;0")</f>
        <v>0</v>
      </c>
      <c r="BG856" t="str">
        <f t="array" ref="BG856">IF(BA856=1,INDEX($X$7:$AN$7,MATCH(TRUE,INDEX($X856:$AY856&lt;&gt;0,),0)),IF(BA856=0,INDEX($AO$7:$AY$7,MATCH(1,$AO856:$AY856,0)),IF(BH856="Multiple strategies","mixed drivers",IF(BH856="Supply chain","multiple supply","multiple silviculture"))))</f>
        <v>area subject to harvest</v>
      </c>
      <c r="BH856" s="2" t="str" cm="1">
        <f t="array" ref="BH856">IF(COUNTIF(BB856:BD856,"&lt;&gt;0")=1,INDEX($X$4:$AY$4,MATCH(TRUE,INDEX($X856:$AY856&lt;&gt;0,),0)),IF(COUNTIF(BB856:BD856,"&lt;&gt;0")=0,INDEX($AO$4:$AY$4,MATCH(1,$AO856:$AY856,0)),"Multiple strategies"))</f>
        <v>Silviculture for removals</v>
      </c>
      <c r="BI856" s="1" t="s">
        <v>229</v>
      </c>
      <c r="BJ856" t="s">
        <v>1244</v>
      </c>
      <c r="BK856" s="260" t="s">
        <v>2851</v>
      </c>
      <c r="BL856" t="s">
        <v>1245</v>
      </c>
      <c r="BM856">
        <v>0</v>
      </c>
      <c r="BN856">
        <f>27+42</f>
        <v>69</v>
      </c>
      <c r="BP856">
        <f>BN856-BM856</f>
        <v>69</v>
      </c>
      <c r="BQ856">
        <f>BP856*10^6*tC_to_m3</f>
        <v>299609205.3842814</v>
      </c>
      <c r="BR856" s="143" t="s">
        <v>232</v>
      </c>
      <c r="BS856" s="143" t="s">
        <v>676</v>
      </c>
      <c r="BT856" t="s">
        <v>1245</v>
      </c>
      <c r="BU856">
        <v>590.28571428571399</v>
      </c>
      <c r="BV856">
        <v>587.80952380952294</v>
      </c>
      <c r="BW856" s="144">
        <f>IFERROR(BV856/BU856,"")</f>
        <v>0.99580509841884379</v>
      </c>
      <c r="BX856">
        <f>BV856-BU856</f>
        <v>-2.47619047619105</v>
      </c>
      <c r="BZ856">
        <f>BX856*10^6*C_to_CO2</f>
        <v>-9087619.0476211533</v>
      </c>
      <c r="CA856">
        <f>IFERROR(BZ856/BQ856,"")</f>
        <v>-3.0331574879234078E-2</v>
      </c>
      <c r="CB856">
        <v>0</v>
      </c>
      <c r="CC856">
        <v>0</v>
      </c>
      <c r="CD856">
        <v>0</v>
      </c>
      <c r="CE856">
        <v>0</v>
      </c>
      <c r="CF856">
        <v>0</v>
      </c>
      <c r="CG856">
        <v>0</v>
      </c>
      <c r="CH856">
        <v>0</v>
      </c>
      <c r="CI856">
        <v>0</v>
      </c>
      <c r="CJ856">
        <v>0</v>
      </c>
      <c r="CK856">
        <v>0</v>
      </c>
      <c r="CL856">
        <v>0</v>
      </c>
      <c r="CM856">
        <v>0</v>
      </c>
      <c r="CN856">
        <v>0</v>
      </c>
      <c r="CO856">
        <v>0</v>
      </c>
      <c r="CP856" t="str">
        <f>IF($BN856&lt;$BM856,"refNeedCorrection","refOK")</f>
        <v>refOK</v>
      </c>
      <c r="CQ856">
        <f>IF($CP856="refOK",$BM856,$BN856)</f>
        <v>0</v>
      </c>
      <c r="CR856">
        <f>IF($CP856="refOK",$BN856,$BM856)</f>
        <v>69</v>
      </c>
      <c r="CS856">
        <f>IF($CP856="refOK",$BQ856,-$BQ856)</f>
        <v>299609205.3842814</v>
      </c>
      <c r="CT856">
        <f>IF(BI856="Roundwood",$CS856/2,$CS856)</f>
        <v>299609205.3842814</v>
      </c>
      <c r="CU856">
        <f>IF($CP856="refOK",$BU856,$BV856)*IF($BR856="Emissions positive",-1,1)</f>
        <v>590.28571428571399</v>
      </c>
      <c r="CV856">
        <f>IF($CP856="refOK",$BV856,$BU856)*IF($BR856="Emissions positive",-1,1)</f>
        <v>587.80952380952294</v>
      </c>
      <c r="CW856">
        <f>IF($CP856="refNeedCorrection",-BZ856,BZ856)*IF($BR856="Emissions positive",-1,1)</f>
        <v>-9087619.0476211533</v>
      </c>
      <c r="CX856">
        <f>IFERROR($CW856/$CS856,"")</f>
        <v>-3.0331574879234078E-2</v>
      </c>
      <c r="CY856">
        <f>IFERROR($CW856/$CS856,"")</f>
        <v>-3.0331574879234078E-2</v>
      </c>
      <c r="CZ856">
        <f>IFERROR($CW856/$CT856,"")</f>
        <v>-3.0331574879234078E-2</v>
      </c>
      <c r="DA856" s="2">
        <f>IFERROR((CV856-CU856)/ABS(CU856),"")</f>
        <v>-4.1949015811561857E-3</v>
      </c>
      <c r="DB856" s="1" t="s">
        <v>1074</v>
      </c>
      <c r="DC856" t="str">
        <f>IF(OR($DB856="prd",$DB856="std",$DB856="cit"),"loc",IF(OR($DB856="eur",$DB856="reg",$DB856="coy"),"reg",$DB856))</f>
        <v>reg</v>
      </c>
      <c r="DD856" t="s">
        <v>527</v>
      </c>
      <c r="DE856">
        <v>2010</v>
      </c>
      <c r="DF856">
        <v>2110</v>
      </c>
      <c r="DG856">
        <f>DF856-DE856</f>
        <v>100</v>
      </c>
      <c r="DH856" t="str">
        <f>IF(DG856=0,"0",IF(AND(DG856&gt;=1,DG856&lt;=30),"1-30",IF(AND(DG856&gt;30,DG856&lt;=70),"31-70",IF(AND(DG856&gt;70,DG856&lt;=100),"71-100",IF(DG856&gt;100,"+100")))))</f>
        <v>71-100</v>
      </c>
      <c r="DI856">
        <v>0</v>
      </c>
      <c r="DJ856">
        <v>1</v>
      </c>
      <c r="DK856">
        <v>1</v>
      </c>
      <c r="DL856">
        <v>1</v>
      </c>
      <c r="DN856">
        <f>SUM(DI856:DL856)</f>
        <v>3</v>
      </c>
      <c r="DO856" t="str">
        <f>IF(DN856=1,INDEX($DI$7:$DL$7,MATCH(1,$DI856:$DL856,0)),"mixedProduct")</f>
        <v>mixedProduct</v>
      </c>
      <c r="DP856">
        <f>IF(DI856=1,DP$7,0)</f>
        <v>0</v>
      </c>
      <c r="DQ856" t="str">
        <f>IF(DJ856=1,DQ$7,0)</f>
        <v>Energy</v>
      </c>
      <c r="DR856" t="str">
        <f>IF(DK856=1,DR$7,0)</f>
        <v>Pulp/Paper</v>
      </c>
      <c r="DS856" t="str">
        <f>IF(DL856=1,DS$7,0)</f>
        <v>Timber</v>
      </c>
      <c r="DT856">
        <v>0</v>
      </c>
      <c r="DU856">
        <v>0</v>
      </c>
      <c r="DV856">
        <v>0</v>
      </c>
      <c r="DW856">
        <v>0</v>
      </c>
      <c r="DX856">
        <v>0</v>
      </c>
      <c r="DY856">
        <f>SUM(DT856:DU856)</f>
        <v>0</v>
      </c>
      <c r="DZ856" s="143" t="str">
        <f>IF(DT856=1,"self-calculated DF",IF(DU856=1,"external DF used","explicit C balance"))</f>
        <v>explicit C balance</v>
      </c>
      <c r="EA856">
        <v>1</v>
      </c>
      <c r="EB856">
        <v>1</v>
      </c>
      <c r="EC856">
        <v>1</v>
      </c>
      <c r="ED856">
        <v>1</v>
      </c>
      <c r="EE856">
        <v>0</v>
      </c>
      <c r="EF856" s="143">
        <v>0</v>
      </c>
      <c r="EG856">
        <v>0</v>
      </c>
      <c r="EH856">
        <v>0</v>
      </c>
      <c r="EI856">
        <v>0</v>
      </c>
      <c r="EJ856">
        <v>0</v>
      </c>
      <c r="EK856">
        <v>1</v>
      </c>
      <c r="EL856">
        <v>0</v>
      </c>
      <c r="EM856">
        <v>0</v>
      </c>
      <c r="EN856" s="2">
        <v>0</v>
      </c>
      <c r="EP856" t="str">
        <f>IF(AND(AND(AND(OR($EC856=1,$EB856=1),OR($EH856=1,$EF856=1)),SUM($EA856:$EE856,$EK856)&gt;=3),SUM($EF856:$EJ856)&gt;=2),"Whole sector approach","")</f>
        <v/>
      </c>
      <c r="EQ856" t="str">
        <f>IF(AND(AND(OR($EC856=1,$EB856=1),AND($EH856=0,$EF856=0)),SUM($EA856:$EE856,$EK856)&gt;=4),"Ecosystem approach","")</f>
        <v>Ecosystem approach</v>
      </c>
      <c r="ER856" s="2" t="str">
        <f>IF(AND(AND(AND($EC856=0,$EB856=0),OR($EH856=1,$EF856=1)),SUM($EG856:$EJ856)&gt;=2),"Technology approach","")</f>
        <v/>
      </c>
      <c r="ES856" t="str">
        <f>IF(AND($EC856+$EB856+$EE856+$EA856+$ED856+$EG856=0,$N856="included"),"C neutral forest and HWP assumption","")</f>
        <v/>
      </c>
      <c r="ET856" t="str">
        <f>IF(AND(AND(AND(AND($EC856=1,$EB856+$EA856+$EG856&gt;=1),$EF856=1),$EH856+$EI856+$ED856+$EE856&gt;=2),$N856="included"),"All C pools assumption","")</f>
        <v/>
      </c>
      <c r="EU856" t="str">
        <f>IF(AND($ED856+$EE856+$EI856+$EH856+$EF856=0,$N856="included"),"In-situ only assumption","")</f>
        <v/>
      </c>
      <c r="EY856" t="str">
        <f>IF(ISNUMBER(BW856),IF(ABS(BW856-[3]QC_indicators!$B$2)&gt;3*[3]QC_indicators!$C$2,"C ratio",IF(ISNUMBER(CA856),IF(ABS(CA856-[3]QC_indicators!$B$1)&gt;3*[3]QC_indicators!$C$1,"DF","no"))),IF(ISNUMBER(CA856),IF(ABS(CA856-[3]QC_indicators!$B$1)&gt;3*[3]QC_indicators!$C$1,"DF","no")))</f>
        <v>no</v>
      </c>
      <c r="FA856" t="str">
        <f>IF(LEN($CY856)=0,"",IF(AND($CY856&lt;(-0.05),$ES856="C neutral forest and HWP assumption"),"Cneutral paradox",IF(AND($CY856&gt;0.05,$EU856="In-situ only assumption"),"In-situ only paradox","")))</f>
        <v/>
      </c>
      <c r="FB856" t="s">
        <v>1246</v>
      </c>
      <c r="FD856" s="260" t="s">
        <v>2939</v>
      </c>
    </row>
    <row r="857" spans="1:161" ht="15" hidden="1" customHeight="1">
      <c r="A857" s="1" t="s">
        <v>1233</v>
      </c>
      <c r="B857" t="s">
        <v>1234</v>
      </c>
      <c r="C857" t="s">
        <v>1235</v>
      </c>
      <c r="D857" t="s">
        <v>1236</v>
      </c>
      <c r="E857" t="s">
        <v>1237</v>
      </c>
      <c r="F857" t="s">
        <v>1238</v>
      </c>
      <c r="G857" t="s">
        <v>1239</v>
      </c>
      <c r="H857" t="s">
        <v>254</v>
      </c>
      <c r="I857">
        <v>2012</v>
      </c>
      <c r="J857">
        <v>27</v>
      </c>
      <c r="K857" t="s">
        <v>1240</v>
      </c>
      <c r="M857" t="str">
        <f>LEFT($D857,FIND(",",$D857)-1)&amp;"_"&amp;I857&amp;L857</f>
        <v>Colombo_2012</v>
      </c>
      <c r="N857" t="s">
        <v>222</v>
      </c>
      <c r="O857" s="145" t="s">
        <v>223</v>
      </c>
      <c r="Q857" t="s">
        <v>256</v>
      </c>
      <c r="R857" s="264" t="s">
        <v>274</v>
      </c>
      <c r="S857" s="1" t="s">
        <v>1241</v>
      </c>
      <c r="T857" t="s">
        <v>1242</v>
      </c>
      <c r="U857" t="s">
        <v>1247</v>
      </c>
      <c r="V857">
        <v>1</v>
      </c>
      <c r="W857">
        <v>0</v>
      </c>
      <c r="X857">
        <v>1</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s="141">
        <f>COUNTIF(X857:AY857,"&lt;&gt;0")</f>
        <v>1</v>
      </c>
      <c r="BA857" s="141">
        <f>COUNTIF(X857:AN857,"&lt;&gt;0")</f>
        <v>1</v>
      </c>
      <c r="BB857">
        <f>COUNTIF(X857:AE857,"&lt;&gt;0")</f>
        <v>1</v>
      </c>
      <c r="BC857">
        <f>COUNTIF(AF857:AK857,"&lt;&gt;0")</f>
        <v>0</v>
      </c>
      <c r="BD857">
        <f>COUNTIF(AL857:AN857,"&lt;&gt;0")</f>
        <v>0</v>
      </c>
      <c r="BE857">
        <f>COUNTIF(AU857:AY857,"&lt;&gt;0")</f>
        <v>0</v>
      </c>
      <c r="BF857">
        <f>COUNTIF(AO857:AT857,"&lt;&gt;0")</f>
        <v>0</v>
      </c>
      <c r="BG857" t="str">
        <f t="array" ref="BG857">IF(BA857=1,INDEX($X$7:$AN$7,MATCH(TRUE,INDEX($X857:$AY857&lt;&gt;0,),0)),IF(BA857=0,INDEX($AO$7:$AY$7,MATCH(1,$AO857:$AY857,0)),IF(BH857="Multiple strategies","mixed drivers",IF(BH857="Supply chain","multiple supply","multiple silviculture"))))</f>
        <v>area subject to harvest</v>
      </c>
      <c r="BH857" s="2" t="str" cm="1">
        <f t="array" ref="BH857">IF(COUNTIF(BB857:BD857,"&lt;&gt;0")=1,INDEX($X$4:$AY$4,MATCH(TRUE,INDEX($X857:$AY857&lt;&gt;0,),0)),IF(COUNTIF(BB857:BD857,"&lt;&gt;0")=0,INDEX($AO$4:$AY$4,MATCH(1,$AO857:$AY857,0)),"Multiple strategies"))</f>
        <v>Silviculture for removals</v>
      </c>
      <c r="BI857" s="1" t="s">
        <v>229</v>
      </c>
      <c r="BJ857" t="s">
        <v>1244</v>
      </c>
      <c r="BK857" s="260" t="s">
        <v>2851</v>
      </c>
      <c r="BL857" t="s">
        <v>1245</v>
      </c>
      <c r="BM857">
        <v>0</v>
      </c>
      <c r="BN857">
        <v>31</v>
      </c>
      <c r="BP857">
        <f>BN857-BM857</f>
        <v>31</v>
      </c>
      <c r="BQ857">
        <f>BP857*10^6*tC_to_m3</f>
        <v>134607034.30308294</v>
      </c>
      <c r="BR857" s="143" t="s">
        <v>232</v>
      </c>
      <c r="BS857" s="143" t="s">
        <v>676</v>
      </c>
      <c r="BT857" t="s">
        <v>1245</v>
      </c>
      <c r="BU857">
        <v>592.19047619047603</v>
      </c>
      <c r="BV857">
        <v>557.142857142857</v>
      </c>
      <c r="BW857" s="144">
        <f>IFERROR(BV857/BU857,"")</f>
        <v>0.94081698295271787</v>
      </c>
      <c r="BX857">
        <f>BV857-BU857</f>
        <v>-35.047619047619037</v>
      </c>
      <c r="BZ857">
        <f>BX857*10^6*C_to_CO2</f>
        <v>-128624761.90476187</v>
      </c>
      <c r="CA857">
        <f>IFERROR(BZ857/BQ857,"")</f>
        <v>-0.95555750537634376</v>
      </c>
      <c r="CB857">
        <v>0</v>
      </c>
      <c r="CC857">
        <v>0</v>
      </c>
      <c r="CD857">
        <v>0</v>
      </c>
      <c r="CE857">
        <v>0</v>
      </c>
      <c r="CF857">
        <v>0</v>
      </c>
      <c r="CG857">
        <v>0</v>
      </c>
      <c r="CH857">
        <v>0</v>
      </c>
      <c r="CI857">
        <v>0</v>
      </c>
      <c r="CJ857">
        <v>0</v>
      </c>
      <c r="CK857">
        <v>0</v>
      </c>
      <c r="CL857">
        <v>0</v>
      </c>
      <c r="CM857">
        <v>0</v>
      </c>
      <c r="CN857">
        <v>0</v>
      </c>
      <c r="CO857">
        <v>0</v>
      </c>
      <c r="CP857" t="str">
        <f>IF($BN857&lt;$BM857,"refNeedCorrection","refOK")</f>
        <v>refOK</v>
      </c>
      <c r="CQ857">
        <f>IF($CP857="refOK",$BM857,$BN857)</f>
        <v>0</v>
      </c>
      <c r="CR857">
        <f>IF($CP857="refOK",$BN857,$BM857)</f>
        <v>31</v>
      </c>
      <c r="CS857">
        <f>IF($CP857="refOK",$BQ857,-$BQ857)</f>
        <v>134607034.30308294</v>
      </c>
      <c r="CT857">
        <f>IF(BI857="Roundwood",$CS857/2,$CS857)</f>
        <v>134607034.30308294</v>
      </c>
      <c r="CU857">
        <f>IF($CP857="refOK",$BU857,$BV857)*IF($BR857="Emissions positive",-1,1)</f>
        <v>592.19047619047603</v>
      </c>
      <c r="CV857">
        <f>IF($CP857="refOK",$BV857,$BU857)*IF($BR857="Emissions positive",-1,1)</f>
        <v>557.142857142857</v>
      </c>
      <c r="CW857">
        <f>IF($CP857="refNeedCorrection",-BZ857,BZ857)*IF($BR857="Emissions positive",-1,1)</f>
        <v>-128624761.90476187</v>
      </c>
      <c r="CX857">
        <f>IFERROR($CW857/$CS857,"")</f>
        <v>-0.95555750537634376</v>
      </c>
      <c r="CY857">
        <f>IFERROR($CW857/$CS857,"")</f>
        <v>-0.95555750537634376</v>
      </c>
      <c r="CZ857">
        <f>IFERROR($CW857/$CT857,"")</f>
        <v>-0.95555750537634376</v>
      </c>
      <c r="DA857" s="2">
        <f>IFERROR((CV857-CU857)/ABS(CU857),"")</f>
        <v>-5.9183017047282079E-2</v>
      </c>
      <c r="DB857" s="1" t="s">
        <v>1074</v>
      </c>
      <c r="DC857" t="str">
        <f>IF(OR($DB857="prd",$DB857="std",$DB857="cit"),"loc",IF(OR($DB857="eur",$DB857="reg",$DB857="coy"),"reg",$DB857))</f>
        <v>reg</v>
      </c>
      <c r="DD857" t="s">
        <v>527</v>
      </c>
      <c r="DE857">
        <v>2010</v>
      </c>
      <c r="DF857">
        <v>2050</v>
      </c>
      <c r="DG857">
        <f>DF857-DE857</f>
        <v>40</v>
      </c>
      <c r="DH857" t="str">
        <f>IF(DG857=0,"0",IF(AND(DG857&gt;=1,DG857&lt;=30),"1-30",IF(AND(DG857&gt;30,DG857&lt;=70),"31-70",IF(AND(DG857&gt;70,DG857&lt;=100),"71-100",IF(DG857&gt;100,"+100")))))</f>
        <v>31-70</v>
      </c>
      <c r="DI857">
        <v>0</v>
      </c>
      <c r="DJ857">
        <v>1</v>
      </c>
      <c r="DK857">
        <v>1</v>
      </c>
      <c r="DL857">
        <v>1</v>
      </c>
      <c r="DN857">
        <f>SUM(DI857:DL857)</f>
        <v>3</v>
      </c>
      <c r="DO857" t="str">
        <f>IF(DN857=1,INDEX($DI$7:$DL$7,MATCH(1,$DI857:$DL857,0)),"mixedProduct")</f>
        <v>mixedProduct</v>
      </c>
      <c r="DP857">
        <f>IF(DI857=1,DP$7,0)</f>
        <v>0</v>
      </c>
      <c r="DQ857" t="str">
        <f>IF(DJ857=1,DQ$7,0)</f>
        <v>Energy</v>
      </c>
      <c r="DR857" t="str">
        <f>IF(DK857=1,DR$7,0)</f>
        <v>Pulp/Paper</v>
      </c>
      <c r="DS857" t="str">
        <f>IF(DL857=1,DS$7,0)</f>
        <v>Timber</v>
      </c>
      <c r="DT857">
        <v>0</v>
      </c>
      <c r="DU857">
        <v>0</v>
      </c>
      <c r="DV857">
        <v>0</v>
      </c>
      <c r="DW857">
        <v>0</v>
      </c>
      <c r="DX857">
        <v>0</v>
      </c>
      <c r="DY857">
        <f>SUM(DT857:DU857)</f>
        <v>0</v>
      </c>
      <c r="DZ857" s="143" t="str">
        <f>IF(DT857=1,"self-calculated DF",IF(DU857=1,"external DF used","explicit C balance"))</f>
        <v>explicit C balance</v>
      </c>
      <c r="EA857">
        <v>1</v>
      </c>
      <c r="EB857">
        <v>1</v>
      </c>
      <c r="EC857">
        <v>1</v>
      </c>
      <c r="ED857">
        <v>1</v>
      </c>
      <c r="EE857">
        <v>0</v>
      </c>
      <c r="EF857" s="143">
        <v>0</v>
      </c>
      <c r="EG857">
        <v>0</v>
      </c>
      <c r="EH857">
        <v>0</v>
      </c>
      <c r="EI857">
        <v>0</v>
      </c>
      <c r="EJ857">
        <v>0</v>
      </c>
      <c r="EK857">
        <v>1</v>
      </c>
      <c r="EL857">
        <v>0</v>
      </c>
      <c r="EM857">
        <v>0</v>
      </c>
      <c r="EN857" s="2">
        <v>0</v>
      </c>
      <c r="EP857" t="str">
        <f>IF(AND(AND(AND(OR($EC857=1,$EB857=1),OR($EH857=1,$EF857=1)),SUM($EA857:$EE857,$EK857)&gt;=3),SUM($EF857:$EJ857)&gt;=2),"Whole sector approach","")</f>
        <v/>
      </c>
      <c r="EQ857" t="str">
        <f>IF(AND(AND(OR($EC857=1,$EB857=1),AND($EH857=0,$EF857=0)),SUM($EA857:$EE857,$EK857)&gt;=4),"Ecosystem approach","")</f>
        <v>Ecosystem approach</v>
      </c>
      <c r="ER857" s="2" t="str">
        <f>IF(AND(AND(AND($EC857=0,$EB857=0),OR($EH857=1,$EF857=1)),SUM($EG857:$EJ857)&gt;=2),"Technology approach","")</f>
        <v/>
      </c>
      <c r="ES857" t="str">
        <f>IF(AND($EC857+$EB857+$EE857+$EA857+$ED857+$EG857=0,$N857="included"),"C neutral forest and HWP assumption","")</f>
        <v/>
      </c>
      <c r="ET857" t="str">
        <f>IF(AND(AND(AND(AND($EC857=1,$EB857+$EA857+$EG857&gt;=1),$EF857=1),$EH857+$EI857+$ED857+$EE857&gt;=2),$N857="included"),"All C pools assumption","")</f>
        <v/>
      </c>
      <c r="EU857" t="str">
        <f>IF(AND($ED857+$EE857+$EI857+$EH857+$EF857=0,$N857="included"),"In-situ only assumption","")</f>
        <v/>
      </c>
      <c r="EY857" t="str">
        <f>IF(ISNUMBER(BW857),IF(ABS(BW857-[3]QC_indicators!$B$2)&gt;3*[3]QC_indicators!$C$2,"C ratio",IF(ISNUMBER(CA857),IF(ABS(CA857-[3]QC_indicators!$B$1)&gt;3*[3]QC_indicators!$C$1,"DF","no"))),IF(ISNUMBER(CA857),IF(ABS(CA857-[3]QC_indicators!$B$1)&gt;3*[3]QC_indicators!$C$1,"DF","no")))</f>
        <v>no</v>
      </c>
      <c r="FA857" t="str">
        <f>IF(LEN($CY857)=0,"",IF(AND($CY857&lt;(-0.05),$ES857="C neutral forest and HWP assumption"),"Cneutral paradox",IF(AND($CY857&gt;0.05,$EU857="In-situ only assumption"),"In-situ only paradox","")))</f>
        <v/>
      </c>
      <c r="FB857" t="s">
        <v>1246</v>
      </c>
      <c r="FD857" s="260" t="s">
        <v>2939</v>
      </c>
    </row>
    <row r="858" spans="1:161" ht="15" hidden="1" customHeight="1">
      <c r="A858" s="1" t="s">
        <v>1233</v>
      </c>
      <c r="B858" t="s">
        <v>1234</v>
      </c>
      <c r="C858" t="s">
        <v>1235</v>
      </c>
      <c r="D858" t="s">
        <v>1236</v>
      </c>
      <c r="E858" t="s">
        <v>1237</v>
      </c>
      <c r="F858" t="s">
        <v>1238</v>
      </c>
      <c r="G858" t="s">
        <v>1239</v>
      </c>
      <c r="H858" t="s">
        <v>254</v>
      </c>
      <c r="I858">
        <v>2012</v>
      </c>
      <c r="J858">
        <v>27</v>
      </c>
      <c r="K858" t="s">
        <v>1240</v>
      </c>
      <c r="M858" t="str">
        <f>LEFT($D858,FIND(",",$D858)-1)&amp;"_"&amp;I858&amp;L858</f>
        <v>Colombo_2012</v>
      </c>
      <c r="N858" t="s">
        <v>222</v>
      </c>
      <c r="O858" s="145" t="s">
        <v>223</v>
      </c>
      <c r="Q858" t="s">
        <v>256</v>
      </c>
      <c r="R858" s="264" t="s">
        <v>274</v>
      </c>
      <c r="S858" s="1" t="s">
        <v>1241</v>
      </c>
      <c r="T858" t="s">
        <v>1242</v>
      </c>
      <c r="U858" t="s">
        <v>1243</v>
      </c>
      <c r="V858">
        <v>1</v>
      </c>
      <c r="W858">
        <v>0</v>
      </c>
      <c r="X858">
        <v>1</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s="141">
        <f>COUNTIF(X858:AY858,"&lt;&gt;0")</f>
        <v>1</v>
      </c>
      <c r="BA858" s="141">
        <f>COUNTIF(X858:AN858,"&lt;&gt;0")</f>
        <v>1</v>
      </c>
      <c r="BB858">
        <f>COUNTIF(X858:AE858,"&lt;&gt;0")</f>
        <v>1</v>
      </c>
      <c r="BC858">
        <f>COUNTIF(AF858:AK858,"&lt;&gt;0")</f>
        <v>0</v>
      </c>
      <c r="BD858">
        <f>COUNTIF(AL858:AN858,"&lt;&gt;0")</f>
        <v>0</v>
      </c>
      <c r="BE858">
        <f>COUNTIF(AU858:AY858,"&lt;&gt;0")</f>
        <v>0</v>
      </c>
      <c r="BF858">
        <f>COUNTIF(AO858:AT858,"&lt;&gt;0")</f>
        <v>0</v>
      </c>
      <c r="BG858" t="str">
        <f t="array" ref="BG858">IF(BA858=1,INDEX($X$7:$AN$7,MATCH(TRUE,INDEX($X858:$AY858&lt;&gt;0,),0)),IF(BA858=0,INDEX($AO$7:$AY$7,MATCH(1,$AO858:$AY858,0)),IF(BH858="Multiple strategies","mixed drivers",IF(BH858="Supply chain","multiple supply","multiple silviculture"))))</f>
        <v>area subject to harvest</v>
      </c>
      <c r="BH858" s="2" t="str" cm="1">
        <f t="array" ref="BH858">IF(COUNTIF(BB858:BD858,"&lt;&gt;0")=1,INDEX($X$4:$AY$4,MATCH(TRUE,INDEX($X858:$AY858&lt;&gt;0,),0)),IF(COUNTIF(BB858:BD858,"&lt;&gt;0")=0,INDEX($AO$4:$AY$4,MATCH(1,$AO858:$AY858,0)),"Multiple strategies"))</f>
        <v>Silviculture for removals</v>
      </c>
      <c r="BI858" s="1" t="s">
        <v>229</v>
      </c>
      <c r="BJ858" t="s">
        <v>1244</v>
      </c>
      <c r="BK858" s="260" t="s">
        <v>2851</v>
      </c>
      <c r="BL858" t="s">
        <v>1245</v>
      </c>
      <c r="BM858">
        <v>0</v>
      </c>
      <c r="BN858">
        <v>16</v>
      </c>
      <c r="BP858">
        <f>BN858-BM858</f>
        <v>16</v>
      </c>
      <c r="BQ858">
        <f>BP858*10^6*tC_to_m3</f>
        <v>69474598.349978298</v>
      </c>
      <c r="BR858" s="143" t="s">
        <v>232</v>
      </c>
      <c r="BS858" s="143" t="s">
        <v>676</v>
      </c>
      <c r="BT858" t="s">
        <v>1245</v>
      </c>
      <c r="BU858">
        <v>592.19047619047603</v>
      </c>
      <c r="BV858">
        <v>569.33333333333303</v>
      </c>
      <c r="BW858" s="144">
        <f>IFERROR(BV858/BU858,"")</f>
        <v>0.96140238018655488</v>
      </c>
      <c r="BX858">
        <f>BV858-BU858</f>
        <v>-22.857142857143003</v>
      </c>
      <c r="BZ858">
        <f>BX858*10^6*C_to_CO2</f>
        <v>-83885714.28571482</v>
      </c>
      <c r="CA858">
        <f>IFERROR(BZ858/BQ858,"")</f>
        <v>-1.2074300000000076</v>
      </c>
      <c r="CB858">
        <v>0</v>
      </c>
      <c r="CC858">
        <v>0</v>
      </c>
      <c r="CD858">
        <v>0</v>
      </c>
      <c r="CE858">
        <v>0</v>
      </c>
      <c r="CF858">
        <v>0</v>
      </c>
      <c r="CG858">
        <v>0</v>
      </c>
      <c r="CH858">
        <v>0</v>
      </c>
      <c r="CI858">
        <v>0</v>
      </c>
      <c r="CJ858">
        <v>0</v>
      </c>
      <c r="CK858">
        <v>0</v>
      </c>
      <c r="CL858">
        <v>0</v>
      </c>
      <c r="CM858">
        <v>0</v>
      </c>
      <c r="CN858">
        <v>0</v>
      </c>
      <c r="CO858">
        <v>0</v>
      </c>
      <c r="CP858" t="str">
        <f>IF($BN858&lt;$BM858,"refNeedCorrection","refOK")</f>
        <v>refOK</v>
      </c>
      <c r="CQ858">
        <f>IF($CP858="refOK",$BM858,$BN858)</f>
        <v>0</v>
      </c>
      <c r="CR858">
        <f>IF($CP858="refOK",$BN858,$BM858)</f>
        <v>16</v>
      </c>
      <c r="CS858">
        <f>IF($CP858="refOK",$BQ858,-$BQ858)</f>
        <v>69474598.349978298</v>
      </c>
      <c r="CT858">
        <f>IF(BI858="Roundwood",$CS858/2,$CS858)</f>
        <v>69474598.349978298</v>
      </c>
      <c r="CU858">
        <f>IF($CP858="refOK",$BU858,$BV858)*IF($BR858="Emissions positive",-1,1)</f>
        <v>592.19047619047603</v>
      </c>
      <c r="CV858">
        <f>IF($CP858="refOK",$BV858,$BU858)*IF($BR858="Emissions positive",-1,1)</f>
        <v>569.33333333333303</v>
      </c>
      <c r="CW858">
        <f>IF($CP858="refNeedCorrection",-BZ858,BZ858)*IF($BR858="Emissions positive",-1,1)</f>
        <v>-83885714.28571482</v>
      </c>
      <c r="CX858">
        <f>IFERROR($CW858/$CS858,"")</f>
        <v>-1.2074300000000076</v>
      </c>
      <c r="CY858">
        <f>IFERROR($CW858/$CS858,"")</f>
        <v>-1.2074300000000076</v>
      </c>
      <c r="CZ858">
        <f>IFERROR($CW858/$CT858,"")</f>
        <v>-1.2074300000000076</v>
      </c>
      <c r="DA858" s="2">
        <f>IFERROR((CV858-CU858)/ABS(CU858),"")</f>
        <v>-3.8597619813445096E-2</v>
      </c>
      <c r="DB858" s="1" t="s">
        <v>1074</v>
      </c>
      <c r="DC858" t="str">
        <f>IF(OR($DB858="prd",$DB858="std",$DB858="cit"),"loc",IF(OR($DB858="eur",$DB858="reg",$DB858="coy"),"reg",$DB858))</f>
        <v>reg</v>
      </c>
      <c r="DD858" t="s">
        <v>527</v>
      </c>
      <c r="DE858">
        <v>2010</v>
      </c>
      <c r="DF858">
        <v>2050</v>
      </c>
      <c r="DG858">
        <f>DF858-DE858</f>
        <v>40</v>
      </c>
      <c r="DH858" t="str">
        <f>IF(DG858=0,"0",IF(AND(DG858&gt;=1,DG858&lt;=30),"1-30",IF(AND(DG858&gt;30,DG858&lt;=70),"31-70",IF(AND(DG858&gt;70,DG858&lt;=100),"71-100",IF(DG858&gt;100,"+100")))))</f>
        <v>31-70</v>
      </c>
      <c r="DI858">
        <v>0</v>
      </c>
      <c r="DJ858">
        <v>1</v>
      </c>
      <c r="DK858">
        <v>1</v>
      </c>
      <c r="DL858">
        <v>1</v>
      </c>
      <c r="DN858">
        <f>SUM(DI858:DL858)</f>
        <v>3</v>
      </c>
      <c r="DO858" t="str">
        <f>IF(DN858=1,INDEX($DI$7:$DL$7,MATCH(1,$DI858:$DL858,0)),"mixedProduct")</f>
        <v>mixedProduct</v>
      </c>
      <c r="DP858">
        <f>IF(DI858=1,DP$7,0)</f>
        <v>0</v>
      </c>
      <c r="DQ858" t="str">
        <f>IF(DJ858=1,DQ$7,0)</f>
        <v>Energy</v>
      </c>
      <c r="DR858" t="str">
        <f>IF(DK858=1,DR$7,0)</f>
        <v>Pulp/Paper</v>
      </c>
      <c r="DS858" t="str">
        <f>IF(DL858=1,DS$7,0)</f>
        <v>Timber</v>
      </c>
      <c r="DT858">
        <v>0</v>
      </c>
      <c r="DU858">
        <v>0</v>
      </c>
      <c r="DV858">
        <v>0</v>
      </c>
      <c r="DW858">
        <v>0</v>
      </c>
      <c r="DX858">
        <v>0</v>
      </c>
      <c r="DY858">
        <f>SUM(DT858:DU858)</f>
        <v>0</v>
      </c>
      <c r="DZ858" s="143" t="str">
        <f>IF(DT858=1,"self-calculated DF",IF(DU858=1,"external DF used","explicit C balance"))</f>
        <v>explicit C balance</v>
      </c>
      <c r="EA858">
        <v>1</v>
      </c>
      <c r="EB858">
        <v>1</v>
      </c>
      <c r="EC858">
        <v>1</v>
      </c>
      <c r="ED858">
        <v>1</v>
      </c>
      <c r="EE858">
        <v>0</v>
      </c>
      <c r="EF858" s="143">
        <v>0</v>
      </c>
      <c r="EG858">
        <v>0</v>
      </c>
      <c r="EH858">
        <v>0</v>
      </c>
      <c r="EI858">
        <v>0</v>
      </c>
      <c r="EJ858">
        <v>0</v>
      </c>
      <c r="EK858">
        <v>1</v>
      </c>
      <c r="EL858">
        <v>0</v>
      </c>
      <c r="EM858">
        <v>0</v>
      </c>
      <c r="EN858" s="2">
        <v>0</v>
      </c>
      <c r="EP858" t="str">
        <f>IF(AND(AND(AND(OR($EC858=1,$EB858=1),OR($EH858=1,$EF858=1)),SUM($EA858:$EE858,$EK858)&gt;=3),SUM($EF858:$EJ858)&gt;=2),"Whole sector approach","")</f>
        <v/>
      </c>
      <c r="EQ858" t="str">
        <f>IF(AND(AND(OR($EC858=1,$EB858=1),AND($EH858=0,$EF858=0)),SUM($EA858:$EE858,$EK858)&gt;=4),"Ecosystem approach","")</f>
        <v>Ecosystem approach</v>
      </c>
      <c r="ER858" s="2" t="str">
        <f>IF(AND(AND(AND($EC858=0,$EB858=0),OR($EH858=1,$EF858=1)),SUM($EG858:$EJ858)&gt;=2),"Technology approach","")</f>
        <v/>
      </c>
      <c r="ES858" t="str">
        <f>IF(AND($EC858+$EB858+$EE858+$EA858+$ED858+$EG858=0,$N858="included"),"C neutral forest and HWP assumption","")</f>
        <v/>
      </c>
      <c r="ET858" t="str">
        <f>IF(AND(AND(AND(AND($EC858=1,$EB858+$EA858+$EG858&gt;=1),$EF858=1),$EH858+$EI858+$ED858+$EE858&gt;=2),$N858="included"),"All C pools assumption","")</f>
        <v/>
      </c>
      <c r="EU858" t="str">
        <f>IF(AND($ED858+$EE858+$EI858+$EH858+$EF858=0,$N858="included"),"In-situ only assumption","")</f>
        <v/>
      </c>
      <c r="EY858" t="str">
        <f>IF(ISNUMBER(BW858),IF(ABS(BW858-[3]QC_indicators!$B$2)&gt;3*[3]QC_indicators!$C$2,"C ratio",IF(ISNUMBER(CA858),IF(ABS(CA858-[3]QC_indicators!$B$1)&gt;3*[3]QC_indicators!$C$1,"DF","no"))),IF(ISNUMBER(CA858),IF(ABS(CA858-[3]QC_indicators!$B$1)&gt;3*[3]QC_indicators!$C$1,"DF","no")))</f>
        <v>no</v>
      </c>
      <c r="FA858" t="str">
        <f>IF(LEN($CY858)=0,"",IF(AND($CY858&lt;(-0.05),$ES858="C neutral forest and HWP assumption"),"Cneutral paradox",IF(AND($CY858&gt;0.05,$EU858="In-situ only assumption"),"In-situ only paradox","")))</f>
        <v/>
      </c>
      <c r="FB858" t="s">
        <v>1246</v>
      </c>
      <c r="FD858" s="260" t="s">
        <v>2939</v>
      </c>
    </row>
    <row r="859" spans="1:161" ht="15" hidden="1" customHeight="1">
      <c r="A859" s="1" t="s">
        <v>1233</v>
      </c>
      <c r="B859" t="s">
        <v>1234</v>
      </c>
      <c r="C859" t="s">
        <v>1235</v>
      </c>
      <c r="D859" t="s">
        <v>1236</v>
      </c>
      <c r="E859" t="s">
        <v>1237</v>
      </c>
      <c r="F859" t="s">
        <v>1238</v>
      </c>
      <c r="G859" t="s">
        <v>1239</v>
      </c>
      <c r="H859" t="s">
        <v>254</v>
      </c>
      <c r="I859">
        <v>2012</v>
      </c>
      <c r="J859">
        <v>27</v>
      </c>
      <c r="K859" t="s">
        <v>1240</v>
      </c>
      <c r="M859" t="str">
        <f>LEFT($D859,FIND(",",$D859)-1)&amp;"_"&amp;I859&amp;L859</f>
        <v>Colombo_2012</v>
      </c>
      <c r="N859" t="s">
        <v>222</v>
      </c>
      <c r="O859" s="145" t="s">
        <v>223</v>
      </c>
      <c r="Q859" t="s">
        <v>256</v>
      </c>
      <c r="R859" s="264" t="s">
        <v>274</v>
      </c>
      <c r="S859" s="1" t="s">
        <v>1248</v>
      </c>
      <c r="T859" t="s">
        <v>1249</v>
      </c>
      <c r="U859" t="s">
        <v>1250</v>
      </c>
      <c r="V859" s="253">
        <v>0</v>
      </c>
      <c r="W859" s="253">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1</v>
      </c>
      <c r="AT859">
        <v>0</v>
      </c>
      <c r="AU859">
        <v>0</v>
      </c>
      <c r="AV859">
        <v>0</v>
      </c>
      <c r="AW859">
        <v>0</v>
      </c>
      <c r="AX859">
        <v>0</v>
      </c>
      <c r="AY859">
        <v>0</v>
      </c>
      <c r="AZ859" s="141">
        <f>COUNTIF(X859:AY859,"&lt;&gt;0")</f>
        <v>1</v>
      </c>
      <c r="BA859" s="141">
        <f>COUNTIF(X859:AN859,"&lt;&gt;0")</f>
        <v>0</v>
      </c>
      <c r="BB859">
        <f>COUNTIF(X859:AE859,"&lt;&gt;0")</f>
        <v>0</v>
      </c>
      <c r="BC859">
        <f>COUNTIF(AF859:AK859,"&lt;&gt;0")</f>
        <v>0</v>
      </c>
      <c r="BD859">
        <f>COUNTIF(AL859:AN859,"&lt;&gt;0")</f>
        <v>0</v>
      </c>
      <c r="BE859">
        <f>COUNTIF(AU859:AY859,"&lt;&gt;0")</f>
        <v>0</v>
      </c>
      <c r="BF859">
        <f>COUNTIF(AO859:AT859,"&lt;&gt;0")</f>
        <v>1</v>
      </c>
      <c r="BG859" t="str">
        <f t="array" ref="BG859">IF(BA859=1,INDEX($X$7:$AN$7,MATCH(TRUE,INDEX($X859:$AY859&lt;&gt;0,),0)),IF(BA859=0,INDEX($AO$7:$AY$7,MATCH(1,$AO859:$AY859,0)),IF(BH859="Multiple strategies","mixed drivers",IF(BH859="Supply chain","multiple supply","multiple silviculture"))))</f>
        <v>disturbance</v>
      </c>
      <c r="BH859" s="2" t="str" cm="1">
        <f t="array" ref="BH859">IF(COUNTIF(BB859:BD859,"&lt;&gt;0")=1,INDEX($X$4:$AY$4,MATCH(TRUE,INDEX($X859:$AY859&lt;&gt;0,),0)),IF(COUNTIF(BB859:BD859,"&lt;&gt;0")=0,INDEX($AO$4:$AY$4,MATCH(1,$AO859:$AY859,0)),"Multiple strategies"))</f>
        <v>Environmental change</v>
      </c>
      <c r="BI859" s="1" t="s">
        <v>229</v>
      </c>
      <c r="BJ859" t="s">
        <v>1244</v>
      </c>
      <c r="BK859" s="260"/>
      <c r="BL859" t="s">
        <v>1245</v>
      </c>
      <c r="BM859">
        <v>0</v>
      </c>
      <c r="BN859">
        <v>0</v>
      </c>
      <c r="BP859">
        <f>BN859-BM859</f>
        <v>0</v>
      </c>
      <c r="BQ859">
        <f>BP859*10^6*t_to_m3</f>
        <v>0</v>
      </c>
      <c r="BR859" s="143" t="s">
        <v>232</v>
      </c>
      <c r="BS859" s="143" t="s">
        <v>676</v>
      </c>
      <c r="BT859" t="s">
        <v>1245</v>
      </c>
      <c r="BU859">
        <v>501.90476190476198</v>
      </c>
      <c r="BV859">
        <v>554.66666666666595</v>
      </c>
      <c r="BW859" s="144">
        <f>IFERROR(BV859/BU859,"")</f>
        <v>1.1051233396584423</v>
      </c>
      <c r="BX859">
        <f>BV859-BU859</f>
        <v>52.761904761903963</v>
      </c>
      <c r="BZ859">
        <f>BX859*10^6*C_to_CO2</f>
        <v>193636190.47618756</v>
      </c>
      <c r="CA859" t="str">
        <f>IFERROR(BZ859/BQ859,"")</f>
        <v/>
      </c>
      <c r="CB859">
        <v>0</v>
      </c>
      <c r="CC859">
        <v>0</v>
      </c>
      <c r="CD859">
        <v>0</v>
      </c>
      <c r="CE859">
        <v>0</v>
      </c>
      <c r="CF859">
        <v>0</v>
      </c>
      <c r="CG859">
        <v>0</v>
      </c>
      <c r="CH859">
        <v>0</v>
      </c>
      <c r="CI859">
        <v>0</v>
      </c>
      <c r="CJ859">
        <v>0</v>
      </c>
      <c r="CK859">
        <v>0</v>
      </c>
      <c r="CL859">
        <v>0</v>
      </c>
      <c r="CM859">
        <v>0</v>
      </c>
      <c r="CN859">
        <v>0</v>
      </c>
      <c r="CO859">
        <v>0</v>
      </c>
      <c r="CP859" t="str">
        <f>IF($BN859&lt;$BM859,"refNeedCorrection","refOK")</f>
        <v>refOK</v>
      </c>
      <c r="CQ859" s="265">
        <f>IF($CP859="refOK",$BM859,$BN859)</f>
        <v>0</v>
      </c>
      <c r="CR859" s="265">
        <f>IF($CP859="refOK",$BN859,$BM859)</f>
        <v>0</v>
      </c>
      <c r="CS859">
        <f>IF($CP859="refOK",$BQ859,-$BQ859)</f>
        <v>0</v>
      </c>
      <c r="CT859">
        <f>IF(BI859="Roundwood",$CS859/2,$CS859)</f>
        <v>0</v>
      </c>
      <c r="CU859">
        <f>IF($CP859="refOK",$BU859,$BV859)*IF($BR859="Emissions positive",-1,1)</f>
        <v>501.90476190476198</v>
      </c>
      <c r="CV859">
        <f>IF($CP859="refOK",$BV859,$BU859)*IF($BR859="Emissions positive",-1,1)</f>
        <v>554.66666666666595</v>
      </c>
      <c r="CW859">
        <f>IF($CP859="refNeedCorrection",-BZ859,BZ859)*IF($BR859="Emissions positive",-1,1)</f>
        <v>193636190.47618756</v>
      </c>
      <c r="CX859" t="str">
        <f>IFERROR($CW859/$CS859,"")</f>
        <v/>
      </c>
      <c r="CY859" t="str">
        <f>IFERROR($CW859/$CS859,"")</f>
        <v/>
      </c>
      <c r="CZ859" t="str">
        <f>IFERROR($CW859/$CT859,"")</f>
        <v/>
      </c>
      <c r="DA859" s="2">
        <f>IFERROR((CV859-CU859)/ABS(CU859),"")</f>
        <v>0.10512333965844242</v>
      </c>
      <c r="DB859" s="1" t="s">
        <v>1074</v>
      </c>
      <c r="DC859" t="str">
        <f>IF(OR($DB859="prd",$DB859="std",$DB859="cit"),"loc",IF(OR($DB859="eur",$DB859="reg",$DB859="coy"),"reg",$DB859))</f>
        <v>reg</v>
      </c>
      <c r="DD859" t="s">
        <v>527</v>
      </c>
      <c r="DE859">
        <v>2010</v>
      </c>
      <c r="DF859">
        <v>2050</v>
      </c>
      <c r="DG859">
        <f>DF859-DE859</f>
        <v>40</v>
      </c>
      <c r="DH859" t="str">
        <f>IF(DG859=0,"0",IF(AND(DG859&gt;=1,DG859&lt;=30),"1-30",IF(AND(DG859&gt;30,DG859&lt;=70),"31-70",IF(AND(DG859&gt;70,DG859&lt;=100),"71-100",IF(DG859&gt;100,"+100")))))</f>
        <v>31-70</v>
      </c>
      <c r="DI859">
        <v>0</v>
      </c>
      <c r="DJ859">
        <v>1</v>
      </c>
      <c r="DK859">
        <v>1</v>
      </c>
      <c r="DL859">
        <v>1</v>
      </c>
      <c r="DN859">
        <f>SUM(DI859:DL859)</f>
        <v>3</v>
      </c>
      <c r="DO859" t="str">
        <f>IF(DN859=1,INDEX($DI$7:$DL$7,MATCH(1,$DI859:$DL859,0)),"mixedProduct")</f>
        <v>mixedProduct</v>
      </c>
      <c r="DP859">
        <f>IF(DI859=1,DP$7,0)</f>
        <v>0</v>
      </c>
      <c r="DQ859" t="str">
        <f>IF(DJ859=1,DQ$7,0)</f>
        <v>Energy</v>
      </c>
      <c r="DR859" t="str">
        <f>IF(DK859=1,DR$7,0)</f>
        <v>Pulp/Paper</v>
      </c>
      <c r="DS859" t="str">
        <f>IF(DL859=1,DS$7,0)</f>
        <v>Timber</v>
      </c>
      <c r="DT859">
        <v>0</v>
      </c>
      <c r="DU859">
        <v>0</v>
      </c>
      <c r="DV859">
        <v>0</v>
      </c>
      <c r="DW859">
        <v>0</v>
      </c>
      <c r="DX859">
        <v>0</v>
      </c>
      <c r="DY859">
        <f>SUM(DT859:DU859)</f>
        <v>0</v>
      </c>
      <c r="DZ859" s="143" t="str">
        <f>IF(DT859=1,"self-calculated DF",IF(DU859=1,"external DF used","explicit C balance"))</f>
        <v>explicit C balance</v>
      </c>
      <c r="EA859">
        <v>1</v>
      </c>
      <c r="EB859">
        <v>1</v>
      </c>
      <c r="EC859">
        <v>1</v>
      </c>
      <c r="ED859">
        <v>1</v>
      </c>
      <c r="EE859">
        <v>0</v>
      </c>
      <c r="EF859" s="143">
        <v>0</v>
      </c>
      <c r="EG859">
        <v>0</v>
      </c>
      <c r="EH859">
        <v>0</v>
      </c>
      <c r="EI859">
        <v>0</v>
      </c>
      <c r="EJ859">
        <v>0</v>
      </c>
      <c r="EK859">
        <v>1</v>
      </c>
      <c r="EL859">
        <v>0</v>
      </c>
      <c r="EM859">
        <v>0</v>
      </c>
      <c r="EN859" s="2">
        <v>0</v>
      </c>
      <c r="EP859" t="str">
        <f>IF(AND(AND(AND(OR($EC859=1,$EB859=1),OR($EH859=1,$EF859=1)),SUM($EA859:$EE859,$EK859)&gt;=3),SUM($EF859:$EJ859)&gt;=2),"Whole sector approach","")</f>
        <v/>
      </c>
      <c r="EQ859" t="str">
        <f>IF(AND(AND(OR($EC859=1,$EB859=1),AND($EH859=0,$EF859=0)),SUM($EA859:$EE859,$EK859)&gt;=4),"Ecosystem approach","")</f>
        <v>Ecosystem approach</v>
      </c>
      <c r="ER859" s="2" t="str">
        <f>IF(AND(AND(AND($EC859=0,$EB859=0),OR($EH859=1,$EF859=1)),SUM($EG859:$EJ859)&gt;=2),"Technology approach","")</f>
        <v/>
      </c>
      <c r="ES859" t="str">
        <f>IF(AND($EC859+$EB859+$EE859+$EA859+$ED859+$EG859=0,$N859="included"),"C neutral forest and HWP assumption","")</f>
        <v/>
      </c>
      <c r="ET859" t="str">
        <f>IF(AND(AND(AND(AND($EC859=1,$EB859+$EA859+$EG859&gt;=1),$EF859=1),$EH859+$EI859+$ED859+$EE859&gt;=2),$N859="included"),"All C pools assumption","")</f>
        <v/>
      </c>
      <c r="EU859" t="str">
        <f>IF(AND($ED859+$EE859+$EI859+$EH859+$EF859=0,$N859="included"),"In-situ only assumption","")</f>
        <v/>
      </c>
      <c r="EY859" t="b">
        <f>IF(ISNUMBER(BW859),IF(ABS(BW859-[3]QC_indicators!$B$2)&gt;3*[3]QC_indicators!$C$2,"C ratio",IF(ISNUMBER(CA859),IF(ABS(CA859-[3]QC_indicators!$B$1)&gt;3*[3]QC_indicators!$C$1,"DF","no"))),IF(ISNUMBER(CA859),IF(ABS(CA859-[3]QC_indicators!$B$1)&gt;3*[3]QC_indicators!$C$1,"DF","no")))</f>
        <v>0</v>
      </c>
      <c r="FA859" t="str">
        <f>IF(LEN($CY859)=0,"",IF(AND($CY859&lt;(-0.05),$ES859="C neutral forest and HWP assumption"),"Cneutral paradox",IF(AND($CY859&gt;0.05,$EU859="In-situ only assumption"),"In-situ only paradox","")))</f>
        <v/>
      </c>
      <c r="FD859" s="260" t="s">
        <v>2827</v>
      </c>
    </row>
    <row r="860" spans="1:161" ht="15" hidden="1" customHeight="1">
      <c r="A860" s="1" t="s">
        <v>1233</v>
      </c>
      <c r="B860" t="s">
        <v>1234</v>
      </c>
      <c r="C860" t="s">
        <v>1235</v>
      </c>
      <c r="D860" t="s">
        <v>1236</v>
      </c>
      <c r="E860" t="s">
        <v>1237</v>
      </c>
      <c r="F860" t="s">
        <v>1238</v>
      </c>
      <c r="G860" t="s">
        <v>1239</v>
      </c>
      <c r="H860" t="s">
        <v>254</v>
      </c>
      <c r="I860">
        <v>2012</v>
      </c>
      <c r="J860">
        <v>27</v>
      </c>
      <c r="K860" t="s">
        <v>1240</v>
      </c>
      <c r="M860" t="str">
        <f>LEFT($D860,FIND(",",$D860)-1)&amp;"_"&amp;I860&amp;L860</f>
        <v>Colombo_2012</v>
      </c>
      <c r="N860" t="s">
        <v>222</v>
      </c>
      <c r="O860" s="145" t="s">
        <v>223</v>
      </c>
      <c r="Q860" t="s">
        <v>256</v>
      </c>
      <c r="R860" s="264" t="s">
        <v>274</v>
      </c>
      <c r="S860" s="1" t="s">
        <v>1248</v>
      </c>
      <c r="T860" t="s">
        <v>1249</v>
      </c>
      <c r="U860" t="s">
        <v>1250</v>
      </c>
      <c r="V860" s="253">
        <v>0</v>
      </c>
      <c r="W860" s="253">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1</v>
      </c>
      <c r="AT860">
        <v>0</v>
      </c>
      <c r="AU860">
        <v>0</v>
      </c>
      <c r="AV860">
        <v>0</v>
      </c>
      <c r="AW860">
        <v>0</v>
      </c>
      <c r="AX860">
        <v>0</v>
      </c>
      <c r="AY860">
        <v>0</v>
      </c>
      <c r="AZ860" s="141">
        <f>COUNTIF(X860:AY860,"&lt;&gt;0")</f>
        <v>1</v>
      </c>
      <c r="BA860" s="141">
        <f>COUNTIF(X860:AN860,"&lt;&gt;0")</f>
        <v>0</v>
      </c>
      <c r="BB860">
        <f>COUNTIF(X860:AE860,"&lt;&gt;0")</f>
        <v>0</v>
      </c>
      <c r="BC860">
        <f>COUNTIF(AF860:AK860,"&lt;&gt;0")</f>
        <v>0</v>
      </c>
      <c r="BD860">
        <f>COUNTIF(AL860:AN860,"&lt;&gt;0")</f>
        <v>0</v>
      </c>
      <c r="BE860">
        <f>COUNTIF(AU860:AY860,"&lt;&gt;0")</f>
        <v>0</v>
      </c>
      <c r="BF860">
        <f>COUNTIF(AO860:AT860,"&lt;&gt;0")</f>
        <v>1</v>
      </c>
      <c r="BG860" t="str">
        <f t="array" ref="BG860">IF(BA860=1,INDEX($X$7:$AN$7,MATCH(TRUE,INDEX($X860:$AY860&lt;&gt;0,),0)),IF(BA860=0,INDEX($AO$7:$AY$7,MATCH(1,$AO860:$AY860,0)),IF(BH860="Multiple strategies","mixed drivers",IF(BH860="Supply chain","multiple supply","multiple silviculture"))))</f>
        <v>disturbance</v>
      </c>
      <c r="BH860" s="2" t="str" cm="1">
        <f t="array" ref="BH860">IF(COUNTIF(BB860:BD860,"&lt;&gt;0")=1,INDEX($X$4:$AY$4,MATCH(TRUE,INDEX($X860:$AY860&lt;&gt;0,),0)),IF(COUNTIF(BB860:BD860,"&lt;&gt;0")=0,INDEX($AO$4:$AY$4,MATCH(1,$AO860:$AY860,0)),"Multiple strategies"))</f>
        <v>Environmental change</v>
      </c>
      <c r="BI860" s="1" t="s">
        <v>229</v>
      </c>
      <c r="BJ860" t="s">
        <v>1244</v>
      </c>
      <c r="BK860" s="260"/>
      <c r="BL860" t="s">
        <v>1245</v>
      </c>
      <c r="BM860">
        <v>0</v>
      </c>
      <c r="BN860">
        <v>0</v>
      </c>
      <c r="BP860">
        <f>BN860-BM860</f>
        <v>0</v>
      </c>
      <c r="BQ860">
        <f>BP860*10^6*t_to_m3</f>
        <v>0</v>
      </c>
      <c r="BR860" s="143" t="s">
        <v>232</v>
      </c>
      <c r="BS860" s="143" t="s">
        <v>676</v>
      </c>
      <c r="BT860" t="s">
        <v>1245</v>
      </c>
      <c r="BU860">
        <v>492.76190476190402</v>
      </c>
      <c r="BV860">
        <v>548.57142857142799</v>
      </c>
      <c r="BW860" s="144">
        <f>IFERROR(BV860/BU860,"")</f>
        <v>1.1132586006957872</v>
      </c>
      <c r="BX860">
        <f>BV860-BU860</f>
        <v>55.809523809523967</v>
      </c>
      <c r="BZ860">
        <f>BX860*10^6*C_to_CO2</f>
        <v>204820952.38095295</v>
      </c>
      <c r="CA860" t="str">
        <f>IFERROR(BZ860/BQ860,"")</f>
        <v/>
      </c>
      <c r="CB860">
        <v>0</v>
      </c>
      <c r="CC860">
        <v>0</v>
      </c>
      <c r="CD860">
        <v>0</v>
      </c>
      <c r="CE860">
        <v>0</v>
      </c>
      <c r="CF860">
        <v>0</v>
      </c>
      <c r="CG860">
        <v>0</v>
      </c>
      <c r="CH860">
        <v>0</v>
      </c>
      <c r="CI860">
        <v>0</v>
      </c>
      <c r="CJ860">
        <v>0</v>
      </c>
      <c r="CK860">
        <v>0</v>
      </c>
      <c r="CL860">
        <v>0</v>
      </c>
      <c r="CM860">
        <v>0</v>
      </c>
      <c r="CN860">
        <v>0</v>
      </c>
      <c r="CO860">
        <v>0</v>
      </c>
      <c r="CP860" t="str">
        <f>IF($BN860&lt;$BM860,"refNeedCorrection","refOK")</f>
        <v>refOK</v>
      </c>
      <c r="CQ860" s="265">
        <f>IF($CP860="refOK",$BM860,$BN860)</f>
        <v>0</v>
      </c>
      <c r="CR860" s="265">
        <f>IF($CP860="refOK",$BN860,$BM860)</f>
        <v>0</v>
      </c>
      <c r="CS860">
        <f>IF($CP860="refOK",$BQ860,-$BQ860)</f>
        <v>0</v>
      </c>
      <c r="CT860">
        <f>IF(BI860="Roundwood",$CS860/2,$CS860)</f>
        <v>0</v>
      </c>
      <c r="CU860">
        <f>IF($CP860="refOK",$BU860,$BV860)*IF($BR860="Emissions positive",-1,1)</f>
        <v>492.76190476190402</v>
      </c>
      <c r="CV860">
        <f>IF($CP860="refOK",$BV860,$BU860)*IF($BR860="Emissions positive",-1,1)</f>
        <v>548.57142857142799</v>
      </c>
      <c r="CW860">
        <f>IF($CP860="refNeedCorrection",-BZ860,BZ860)*IF($BR860="Emissions positive",-1,1)</f>
        <v>204820952.38095295</v>
      </c>
      <c r="CX860" t="str">
        <f>IFERROR($CW860/$CS860,"")</f>
        <v/>
      </c>
      <c r="CY860" t="str">
        <f>IFERROR($CW860/$CS860,"")</f>
        <v/>
      </c>
      <c r="CZ860" t="str">
        <f>IFERROR($CW860/$CT860,"")</f>
        <v/>
      </c>
      <c r="DA860" s="2">
        <f>IFERROR((CV860-CU860)/ABS(CU860),"")</f>
        <v>0.11325860069578711</v>
      </c>
      <c r="DB860" s="1" t="s">
        <v>1074</v>
      </c>
      <c r="DC860" t="str">
        <f>IF(OR($DB860="prd",$DB860="std",$DB860="cit"),"loc",IF(OR($DB860="eur",$DB860="reg",$DB860="coy"),"reg",$DB860))</f>
        <v>reg</v>
      </c>
      <c r="DD860" t="s">
        <v>527</v>
      </c>
      <c r="DE860">
        <v>2010</v>
      </c>
      <c r="DF860">
        <v>2110</v>
      </c>
      <c r="DG860">
        <f>DF860-DE860</f>
        <v>100</v>
      </c>
      <c r="DH860" t="str">
        <f>IF(DG860=0,"0",IF(AND(DG860&gt;=1,DG860&lt;=30),"1-30",IF(AND(DG860&gt;30,DG860&lt;=70),"31-70",IF(AND(DG860&gt;70,DG860&lt;=100),"71-100",IF(DG860&gt;100,"+100")))))</f>
        <v>71-100</v>
      </c>
      <c r="DI860">
        <v>0</v>
      </c>
      <c r="DJ860">
        <v>1</v>
      </c>
      <c r="DK860">
        <v>1</v>
      </c>
      <c r="DL860">
        <v>1</v>
      </c>
      <c r="DN860">
        <f>SUM(DI860:DL860)</f>
        <v>3</v>
      </c>
      <c r="DO860" t="str">
        <f>IF(DN860=1,INDEX($DI$7:$DL$7,MATCH(1,$DI860:$DL860,0)),"mixedProduct")</f>
        <v>mixedProduct</v>
      </c>
      <c r="DP860">
        <f>IF(DI860=1,DP$7,0)</f>
        <v>0</v>
      </c>
      <c r="DQ860" t="str">
        <f>IF(DJ860=1,DQ$7,0)</f>
        <v>Energy</v>
      </c>
      <c r="DR860" t="str">
        <f>IF(DK860=1,DR$7,0)</f>
        <v>Pulp/Paper</v>
      </c>
      <c r="DS860" t="str">
        <f>IF(DL860=1,DS$7,0)</f>
        <v>Timber</v>
      </c>
      <c r="DT860">
        <v>0</v>
      </c>
      <c r="DU860">
        <v>0</v>
      </c>
      <c r="DV860">
        <v>0</v>
      </c>
      <c r="DW860">
        <v>0</v>
      </c>
      <c r="DX860">
        <v>0</v>
      </c>
      <c r="DY860">
        <f>SUM(DT860:DU860)</f>
        <v>0</v>
      </c>
      <c r="DZ860" s="143" t="str">
        <f>IF(DT860=1,"self-calculated DF",IF(DU860=1,"external DF used","explicit C balance"))</f>
        <v>explicit C balance</v>
      </c>
      <c r="EA860">
        <v>1</v>
      </c>
      <c r="EB860">
        <v>1</v>
      </c>
      <c r="EC860">
        <v>1</v>
      </c>
      <c r="ED860">
        <v>1</v>
      </c>
      <c r="EE860">
        <v>0</v>
      </c>
      <c r="EF860" s="143">
        <v>0</v>
      </c>
      <c r="EG860">
        <v>0</v>
      </c>
      <c r="EH860">
        <v>0</v>
      </c>
      <c r="EI860">
        <v>0</v>
      </c>
      <c r="EJ860">
        <v>0</v>
      </c>
      <c r="EK860">
        <v>1</v>
      </c>
      <c r="EL860">
        <v>0</v>
      </c>
      <c r="EM860">
        <v>0</v>
      </c>
      <c r="EN860" s="2">
        <v>0</v>
      </c>
      <c r="EP860" t="str">
        <f>IF(AND(AND(AND(OR($EC860=1,$EB860=1),OR($EH860=1,$EF860=1)),SUM($EA860:$EE860,$EK860)&gt;=3),SUM($EF860:$EJ860)&gt;=2),"Whole sector approach","")</f>
        <v/>
      </c>
      <c r="EQ860" t="str">
        <f>IF(AND(AND(OR($EC860=1,$EB860=1),AND($EH860=0,$EF860=0)),SUM($EA860:$EE860,$EK860)&gt;=4),"Ecosystem approach","")</f>
        <v>Ecosystem approach</v>
      </c>
      <c r="ER860" s="2" t="str">
        <f>IF(AND(AND(AND($EC860=0,$EB860=0),OR($EH860=1,$EF860=1)),SUM($EG860:$EJ860)&gt;=2),"Technology approach","")</f>
        <v/>
      </c>
      <c r="ES860" t="str">
        <f>IF(AND($EC860+$EB860+$EE860+$EA860+$ED860+$EG860=0,$N860="included"),"C neutral forest and HWP assumption","")</f>
        <v/>
      </c>
      <c r="ET860" t="str">
        <f>IF(AND(AND(AND(AND($EC860=1,$EB860+$EA860+$EG860&gt;=1),$EF860=1),$EH860+$EI860+$ED860+$EE860&gt;=2),$N860="included"),"All C pools assumption","")</f>
        <v/>
      </c>
      <c r="EU860" t="str">
        <f>IF(AND($ED860+$EE860+$EI860+$EH860+$EF860=0,$N860="included"),"In-situ only assumption","")</f>
        <v/>
      </c>
      <c r="EY860" t="b">
        <f>IF(ISNUMBER(BW860),IF(ABS(BW860-[3]QC_indicators!$B$2)&gt;3*[3]QC_indicators!$C$2,"C ratio",IF(ISNUMBER(CA860),IF(ABS(CA860-[3]QC_indicators!$B$1)&gt;3*[3]QC_indicators!$C$1,"DF","no"))),IF(ISNUMBER(CA860),IF(ABS(CA860-[3]QC_indicators!$B$1)&gt;3*[3]QC_indicators!$C$1,"DF","no")))</f>
        <v>0</v>
      </c>
      <c r="FA860" t="str">
        <f>IF(LEN($CY860)=0,"",IF(AND($CY860&lt;(-0.05),$ES860="C neutral forest and HWP assumption"),"Cneutral paradox",IF(AND($CY860&gt;0.05,$EU860="In-situ only assumption"),"In-situ only paradox","")))</f>
        <v/>
      </c>
      <c r="FD860" s="260" t="s">
        <v>2827</v>
      </c>
    </row>
    <row r="861" spans="1:161" ht="15" hidden="1" customHeight="1">
      <c r="A861" s="1" t="s">
        <v>1233</v>
      </c>
      <c r="B861" t="s">
        <v>1425</v>
      </c>
      <c r="C861" t="s">
        <v>1426</v>
      </c>
      <c r="D861" t="s">
        <v>1427</v>
      </c>
      <c r="E861" t="s">
        <v>1428</v>
      </c>
      <c r="F861" t="s">
        <v>1429</v>
      </c>
      <c r="G861" t="s">
        <v>1239</v>
      </c>
      <c r="H861" t="s">
        <v>254</v>
      </c>
      <c r="I861">
        <v>2012</v>
      </c>
      <c r="J861">
        <v>38</v>
      </c>
      <c r="K861" t="s">
        <v>1430</v>
      </c>
      <c r="M861" t="str">
        <f>LEFT($D861,FIND(",",$D861)-1)&amp;"_"&amp;I861&amp;L861</f>
        <v>Fortin_2012</v>
      </c>
      <c r="N861" t="s">
        <v>222</v>
      </c>
      <c r="O861" s="145" t="s">
        <v>225</v>
      </c>
      <c r="Q861" s="260" t="s">
        <v>256</v>
      </c>
      <c r="R861" s="264" t="s">
        <v>341</v>
      </c>
      <c r="S861" s="1" t="s">
        <v>1431</v>
      </c>
      <c r="T861" t="s">
        <v>1433</v>
      </c>
      <c r="U861" s="143" t="s">
        <v>1437</v>
      </c>
      <c r="V861" s="253">
        <v>0</v>
      </c>
      <c r="W861" s="253">
        <v>0</v>
      </c>
      <c r="X861">
        <v>0</v>
      </c>
      <c r="Y861">
        <v>0</v>
      </c>
      <c r="Z861">
        <v>0</v>
      </c>
      <c r="AA861">
        <v>1</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s="141">
        <f>COUNTIF(X861:AY861,"&lt;&gt;0")</f>
        <v>1</v>
      </c>
      <c r="BA861" s="141">
        <f>COUNTIF(X861:AN861,"&lt;&gt;0")</f>
        <v>1</v>
      </c>
      <c r="BB861">
        <f>COUNTIF(X861:AE861,"&lt;&gt;0")</f>
        <v>1</v>
      </c>
      <c r="BC861">
        <f>COUNTIF(AF861:AK861,"&lt;&gt;0")</f>
        <v>0</v>
      </c>
      <c r="BD861">
        <f>COUNTIF(AL861:AN861,"&lt;&gt;0")</f>
        <v>0</v>
      </c>
      <c r="BE861">
        <f>COUNTIF(AU861:AY861,"&lt;&gt;0")</f>
        <v>0</v>
      </c>
      <c r="BF861">
        <f>COUNTIF(AO861:AT861,"&lt;&gt;0")</f>
        <v>0</v>
      </c>
      <c r="BG861" t="str" cm="1">
        <f t="array" ref="BG861">IF(BA861=1,INDEX($X$7:$AN$7,MATCH(TRUE,INDEX($X861:$AY861&lt;&gt;0,),0)),IF(BA861=0,INDEX($AO$7:$AY$7,MATCH(1,$AO861:$AY861,0)),IF(BH861="Multiple strategies","mixed drivers",IF(BH861="Supply chain","multiple supply","multiple silviculture"))))</f>
        <v xml:space="preserve">cutting intensity </v>
      </c>
      <c r="BH861" s="2" t="str" cm="1">
        <f t="array" ref="BH861">IF(COUNTIF(BB861:BD861,"&lt;&gt;0")=1,INDEX($X$4:$AY$4,MATCH(TRUE,INDEX($X861:$AY861&lt;&gt;0,),0)),IF(COUNTIF(BB861:BD861,"&lt;&gt;0")=0,INDEX($AO$4:$AY$4,MATCH(1,$AO861:$AY861,0)),"Multiple strategies"))</f>
        <v>Silviculture for removals</v>
      </c>
      <c r="BI861" s="142" t="s">
        <v>321</v>
      </c>
      <c r="BJ861" s="294" t="s">
        <v>3087</v>
      </c>
      <c r="BK861" s="294" t="s">
        <v>1025</v>
      </c>
      <c r="BL861" s="143" t="s">
        <v>1004</v>
      </c>
      <c r="BM861">
        <v>6.2</v>
      </c>
      <c r="BN861" s="143">
        <v>6.9</v>
      </c>
      <c r="BO861" s="163">
        <f>BN861/BM861</f>
        <v>1.1129032258064517</v>
      </c>
      <c r="BP861">
        <f>BN861-BM861</f>
        <v>0.70000000000000018</v>
      </c>
      <c r="BQ861" s="159">
        <f>BP861</f>
        <v>0.70000000000000018</v>
      </c>
      <c r="BR861" t="s">
        <v>232</v>
      </c>
      <c r="BS861" s="347" t="s">
        <v>3088</v>
      </c>
      <c r="BT861" s="260" t="s">
        <v>1434</v>
      </c>
      <c r="BU861" s="143">
        <v>0.45</v>
      </c>
      <c r="BV861">
        <v>0.49</v>
      </c>
      <c r="BW861" s="144">
        <f>IFERROR(BV861/BU861,"")</f>
        <v>1.0888888888888888</v>
      </c>
      <c r="BX861">
        <f>BV861-BU861</f>
        <v>3.999999999999998E-2</v>
      </c>
      <c r="BZ861">
        <f>BX861*C_to_CO2</f>
        <v>0.14679999999999993</v>
      </c>
      <c r="CA861">
        <f>IFERROR(BZ861/BQ861,"")</f>
        <v>0.20971428571428558</v>
      </c>
      <c r="CB861">
        <v>0</v>
      </c>
      <c r="CC861">
        <v>0</v>
      </c>
      <c r="CD861">
        <v>0</v>
      </c>
      <c r="CE861">
        <v>0</v>
      </c>
      <c r="CF861">
        <v>0</v>
      </c>
      <c r="CG861">
        <v>0</v>
      </c>
      <c r="CH861">
        <v>0</v>
      </c>
      <c r="CI861">
        <v>0</v>
      </c>
      <c r="CJ861">
        <v>0</v>
      </c>
      <c r="CK861">
        <v>0</v>
      </c>
      <c r="CL861">
        <v>0</v>
      </c>
      <c r="CM861">
        <v>0</v>
      </c>
      <c r="CN861">
        <v>0</v>
      </c>
      <c r="CO861">
        <v>0</v>
      </c>
      <c r="CP861" t="str">
        <f>IF($BN861&lt;$BM861,"refNeedCorrection","refOK")</f>
        <v>refOK</v>
      </c>
      <c r="CQ861">
        <f>IF($CP861="refNeedCorrection",BN861,BM861)</f>
        <v>6.2</v>
      </c>
      <c r="CR861">
        <f>IF($CP861="refNeedCorrection",BM861,BN861)</f>
        <v>6.9</v>
      </c>
      <c r="CS861">
        <f>IF($CP861="refOK",$BQ861,-$BQ861)</f>
        <v>0.70000000000000018</v>
      </c>
      <c r="CT861">
        <f>IF(BI861="Roundwood",$CS861/2,$CS861)</f>
        <v>0.35000000000000009</v>
      </c>
      <c r="CU861">
        <f>IF($CP861="refOK",$BU861,$BV861)*IF($BR861="Emissions positive",-1,1)</f>
        <v>0.45</v>
      </c>
      <c r="CV861">
        <f>IF($CP861="refOK",$BV861,$BU861)*IF($BR861="Emissions positive",-1,1)</f>
        <v>0.49</v>
      </c>
      <c r="CW861">
        <f>IF($CP861="refNeedCorrection",-BZ861,BZ861)*IF($BR861="Emissions positive",-1,1)</f>
        <v>0.14679999999999993</v>
      </c>
      <c r="CX861">
        <f>IFERROR($CW861/$CS861,"")</f>
        <v>0.20971428571428558</v>
      </c>
      <c r="CY861">
        <f>IFERROR($CW861/$CS861,"")</f>
        <v>0.20971428571428558</v>
      </c>
      <c r="CZ861">
        <f>IFERROR($CW861/$CT861,"")</f>
        <v>0.41942857142857115</v>
      </c>
      <c r="DA861" s="2">
        <f>IFERROR((CV861-CU861)/ABS(CU861),"")</f>
        <v>8.8888888888888837E-2</v>
      </c>
      <c r="DB861" s="1" t="s">
        <v>1078</v>
      </c>
      <c r="DC861" s="260" t="str">
        <f>IF(OR($DB861="prd",$DB861="std",$DB861="cit"),"loc",IF(OR($DB861="eur",$DB861="reg",$DB861="coy"),"reg",$DB861))</f>
        <v>reg</v>
      </c>
      <c r="DD861" t="s">
        <v>715</v>
      </c>
      <c r="DF861" s="143"/>
      <c r="DG861" s="143">
        <v>250</v>
      </c>
      <c r="DH861" t="str">
        <f>IF(DG861=0,"0",IF(AND(DG861&gt;=1,DG861&lt;=30),"1-30",IF(AND(DG861&gt;30,DG861&lt;=70),"31-70",IF(AND(DG861&gt;70,DG861&lt;=100),"71-100",IF(DG861&gt;100,"+100")))))</f>
        <v>+100</v>
      </c>
      <c r="DI861">
        <v>0</v>
      </c>
      <c r="DJ861">
        <v>1</v>
      </c>
      <c r="DK861">
        <v>1</v>
      </c>
      <c r="DL861">
        <v>1</v>
      </c>
      <c r="DM861">
        <v>0</v>
      </c>
      <c r="DN861">
        <f>SUM(DI861:DM861)</f>
        <v>3</v>
      </c>
      <c r="DO861" t="str">
        <f>IF(DN861=1,INDEX($DI$7:$DL$7,MATCH(1,$DI861:$DL861,0)),"mixedProduct")</f>
        <v>mixedProduct</v>
      </c>
      <c r="DP861">
        <f>IF(DI861=1,DP$7,0)</f>
        <v>0</v>
      </c>
      <c r="DQ861" t="str">
        <f>IF(DJ861=1,DQ$7,0)</f>
        <v>Energy</v>
      </c>
      <c r="DR861" t="str">
        <f>IF(DK861=1,DR$7,0)</f>
        <v>Pulp/Paper</v>
      </c>
      <c r="DS861" t="str">
        <f>IF(DL861=1,DS$7,0)</f>
        <v>Timber</v>
      </c>
      <c r="DT861">
        <v>0</v>
      </c>
      <c r="DU861" s="143">
        <v>1</v>
      </c>
      <c r="DV861" t="s">
        <v>1435</v>
      </c>
      <c r="DW861" s="143" t="s">
        <v>1436</v>
      </c>
      <c r="DX861" s="143">
        <v>0</v>
      </c>
      <c r="DY861">
        <f>SUM(DT861:DU861)</f>
        <v>1</v>
      </c>
      <c r="DZ861" s="143" t="str">
        <f>IF(DT861=1,"self-calculated DF",IF(DU861=1,"external DF used","explicit C balance"))</f>
        <v>external DF used</v>
      </c>
      <c r="EA861" s="143">
        <v>1</v>
      </c>
      <c r="EB861" s="143">
        <v>1</v>
      </c>
      <c r="EC861" s="143">
        <v>1</v>
      </c>
      <c r="ED861" s="143">
        <v>1</v>
      </c>
      <c r="EE861">
        <v>1</v>
      </c>
      <c r="EF861" s="143">
        <v>1</v>
      </c>
      <c r="EG861" s="143">
        <v>0</v>
      </c>
      <c r="EH861" s="143">
        <v>1</v>
      </c>
      <c r="EI861" s="143">
        <v>0</v>
      </c>
      <c r="EJ861">
        <v>0</v>
      </c>
      <c r="EK861">
        <v>0</v>
      </c>
      <c r="EL861" s="143">
        <v>0</v>
      </c>
      <c r="EM861">
        <v>0</v>
      </c>
      <c r="EN861" s="2">
        <v>0</v>
      </c>
      <c r="EP861" t="str">
        <f>IF(AND(AND(AND(OR($EC861=1,$EB861=1),OR($EH861=1,$EF861=1)),SUM($EA861:$EE861,$EK861)&gt;=3),SUM($EF861:$EJ861)&gt;=2),"Whole sector approach","")</f>
        <v>Whole sector approach</v>
      </c>
      <c r="EQ861" t="str">
        <f>IF(AND(AND(OR($EC861=1,$EB861=1),AND($EH861=0,$EF861=0)),SUM($EA861:$EE861,$EK861)&gt;=4),"Ecosystem approach","")</f>
        <v/>
      </c>
      <c r="ER861" s="2" t="str">
        <f>IF(AND(AND(AND($EC861=0,$EB861=0),OR($EH861=1,$EF861=1)),SUM($EG861:$EJ861)&gt;=2),"Technology approach","")</f>
        <v/>
      </c>
      <c r="ES861" t="str">
        <f>IF(AND($EC861+$EB861+$EE861+$EA861+$ED861+$EG861=0,$N861="included"),"C neutral forest and HWP assumption","")</f>
        <v/>
      </c>
      <c r="ET861" t="str">
        <f>IF(AND(AND(AND(AND($EC861=1,$EB861+$EA861+$EG861&gt;=1),$EF861=1),$EH861+$EI861+$ED861+$EE861&gt;=2),$N861="included"),"All C pools assumption","")</f>
        <v>All C pools assumption</v>
      </c>
      <c r="EU861" t="str">
        <f>IF(AND($ED861+$EE861+$EI861+$EH861+$EF861=0,$N861="included"),"In-situ only assumption","")</f>
        <v/>
      </c>
      <c r="EY861" t="str">
        <f>IF(ISNUMBER(BW861),IF(ABS(BW861-[5]QC_indicators!$B$2)&gt;3*[5]QC_indicators!$C$2,"C ratio",IF(ISNUMBER(CA861),IF(ABS(CA861-[5]QC_indicators!$B$1)&gt;3*[5]QC_indicators!$C$1,"DF","no"))),IF(ISNUMBER(CA861),IF(ABS(CA861-[5]QC_indicators!$B$1)&gt;3*[5]QC_indicators!$C$1,"DF","no")))</f>
        <v>no</v>
      </c>
      <c r="FA861" t="str">
        <f>IF(LEN($CY861)=0,"",IF(AND($CY861&lt;(-0.05),$ES861="C neutral forest and HWP assumption"),"Cneutral paradox",IF(AND($CY861&gt;0.05,$EU861="In-situ only assumption"),"In-situ only paradox","")))</f>
        <v/>
      </c>
      <c r="FD861" s="294" t="s">
        <v>3089</v>
      </c>
    </row>
    <row r="862" spans="1:161" ht="15" hidden="1" customHeight="1">
      <c r="A862" s="1" t="s">
        <v>1233</v>
      </c>
      <c r="B862" t="s">
        <v>1425</v>
      </c>
      <c r="C862" t="s">
        <v>1426</v>
      </c>
      <c r="D862" t="s">
        <v>1427</v>
      </c>
      <c r="E862" t="s">
        <v>1428</v>
      </c>
      <c r="F862" t="s">
        <v>1429</v>
      </c>
      <c r="G862" t="s">
        <v>1239</v>
      </c>
      <c r="H862" t="s">
        <v>254</v>
      </c>
      <c r="I862">
        <v>2012</v>
      </c>
      <c r="J862">
        <v>38</v>
      </c>
      <c r="K862" t="s">
        <v>1430</v>
      </c>
      <c r="M862" t="str">
        <f>LEFT($D862,FIND(",",$D862)-1)&amp;"_"&amp;I862&amp;L862</f>
        <v>Fortin_2012</v>
      </c>
      <c r="N862" t="s">
        <v>222</v>
      </c>
      <c r="O862" s="145" t="s">
        <v>225</v>
      </c>
      <c r="Q862" s="260" t="s">
        <v>256</v>
      </c>
      <c r="R862" s="264" t="s">
        <v>341</v>
      </c>
      <c r="S862" s="1" t="s">
        <v>1431</v>
      </c>
      <c r="T862" s="143" t="s">
        <v>1432</v>
      </c>
      <c r="U862" t="s">
        <v>1433</v>
      </c>
      <c r="V862" s="253">
        <v>0</v>
      </c>
      <c r="W862" s="253">
        <v>0</v>
      </c>
      <c r="X862">
        <v>0</v>
      </c>
      <c r="Y862">
        <v>0</v>
      </c>
      <c r="Z862">
        <v>0</v>
      </c>
      <c r="AA862">
        <v>1</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s="141">
        <f>COUNTIF(X862:AY862,"&lt;&gt;0")</f>
        <v>1</v>
      </c>
      <c r="BA862" s="141">
        <f>COUNTIF(X862:AN862,"&lt;&gt;0")</f>
        <v>1</v>
      </c>
      <c r="BB862">
        <f>COUNTIF(X862:AE862,"&lt;&gt;0")</f>
        <v>1</v>
      </c>
      <c r="BC862">
        <f>COUNTIF(AF862:AK862,"&lt;&gt;0")</f>
        <v>0</v>
      </c>
      <c r="BD862">
        <f>COUNTIF(AL862:AN862,"&lt;&gt;0")</f>
        <v>0</v>
      </c>
      <c r="BE862">
        <f>COUNTIF(AU862:AY862,"&lt;&gt;0")</f>
        <v>0</v>
      </c>
      <c r="BF862">
        <f>COUNTIF(AO862:AT862,"&lt;&gt;0")</f>
        <v>0</v>
      </c>
      <c r="BG862" t="str" cm="1">
        <f t="array" ref="BG862">IF(BA862=1,INDEX($X$7:$AN$7,MATCH(TRUE,INDEX($X862:$AY862&lt;&gt;0,),0)),IF(BA862=0,INDEX($AO$7:$AY$7,MATCH(1,$AO862:$AY862,0)),IF(BH862="Multiple strategies","mixed drivers",IF(BH862="Supply chain","multiple supply","multiple silviculture"))))</f>
        <v xml:space="preserve">cutting intensity </v>
      </c>
      <c r="BH862" s="2" t="str" cm="1">
        <f t="array" ref="BH862">IF(COUNTIF(BB862:BD862,"&lt;&gt;0")=1,INDEX($X$4:$AY$4,MATCH(TRUE,INDEX($X862:$AY862&lt;&gt;0,),0)),IF(COUNTIF(BB862:BD862,"&lt;&gt;0")=0,INDEX($AO$4:$AY$4,MATCH(1,$AO862:$AY862,0)),"Multiple strategies"))</f>
        <v>Silviculture for removals</v>
      </c>
      <c r="BI862" s="142" t="s">
        <v>321</v>
      </c>
      <c r="BJ862" s="294" t="s">
        <v>3087</v>
      </c>
      <c r="BK862" s="294" t="s">
        <v>1025</v>
      </c>
      <c r="BL862" s="143" t="s">
        <v>1004</v>
      </c>
      <c r="BM862" s="143">
        <v>5.3</v>
      </c>
      <c r="BN862">
        <v>6.2</v>
      </c>
      <c r="BO862" s="260">
        <f>BN862/BM862</f>
        <v>1.1698113207547169</v>
      </c>
      <c r="BP862">
        <f>BN862-BM862</f>
        <v>0.90000000000000036</v>
      </c>
      <c r="BQ862" s="159">
        <f>BP862</f>
        <v>0.90000000000000036</v>
      </c>
      <c r="BR862" t="s">
        <v>232</v>
      </c>
      <c r="BS862" s="347" t="s">
        <v>3088</v>
      </c>
      <c r="BT862" s="294" t="s">
        <v>1434</v>
      </c>
      <c r="BU862">
        <v>0.4</v>
      </c>
      <c r="BV862" s="143">
        <v>0.45</v>
      </c>
      <c r="BW862" s="144">
        <f>IFERROR(BV862/BU862,"")</f>
        <v>1.125</v>
      </c>
      <c r="BX862">
        <f>BV862-BU862</f>
        <v>4.9999999999999989E-2</v>
      </c>
      <c r="BZ862">
        <f>BX862*C_to_CO2</f>
        <v>0.18349999999999997</v>
      </c>
      <c r="CA862">
        <f>IFERROR(BZ862/BQ862,"")</f>
        <v>0.20388888888888879</v>
      </c>
      <c r="CB862">
        <v>0</v>
      </c>
      <c r="CC862">
        <v>0</v>
      </c>
      <c r="CD862">
        <v>0</v>
      </c>
      <c r="CE862">
        <v>0</v>
      </c>
      <c r="CF862">
        <v>0</v>
      </c>
      <c r="CG862">
        <v>0</v>
      </c>
      <c r="CH862">
        <v>0</v>
      </c>
      <c r="CI862">
        <v>0</v>
      </c>
      <c r="CJ862">
        <v>0</v>
      </c>
      <c r="CK862">
        <v>0</v>
      </c>
      <c r="CL862">
        <v>0</v>
      </c>
      <c r="CM862">
        <v>0</v>
      </c>
      <c r="CN862">
        <v>0</v>
      </c>
      <c r="CO862">
        <v>0</v>
      </c>
      <c r="CP862" t="str">
        <f>IF($BN862&lt;$BM862,"refNeedCorrection","refOK")</f>
        <v>refOK</v>
      </c>
      <c r="CQ862">
        <f>IF($CP862="refNeedCorrection",BM862,BN862)</f>
        <v>6.2</v>
      </c>
      <c r="CR862">
        <f>IF($CP862="refNeedCorrection",BN862,BM862)</f>
        <v>5.3</v>
      </c>
      <c r="CS862">
        <f>IF($CP862="refOK",$BQ862,-$BQ862)</f>
        <v>0.90000000000000036</v>
      </c>
      <c r="CT862">
        <f>IF(BI862="Roundwood",$CS862/2,$CS862)</f>
        <v>0.45000000000000018</v>
      </c>
      <c r="CU862">
        <f>IF($CP862="refOK",$BU862,$BV862)*IF($BR862="Emissions positive",-1,1)</f>
        <v>0.4</v>
      </c>
      <c r="CV862">
        <f>IF($CP862="refOK",$BV862,$BU862)*IF($BR862="Emissions positive",-1,1)</f>
        <v>0.45</v>
      </c>
      <c r="CW862">
        <f>IF($CP862="refNeedCorrection",-BZ862,BZ862)*IF($BR862="Emissions positive",-1,1)</f>
        <v>0.18349999999999997</v>
      </c>
      <c r="CX862">
        <f>IFERROR($CW862/$CS862,"")</f>
        <v>0.20388888888888879</v>
      </c>
      <c r="CY862">
        <f>IFERROR($CW862/$CS862,"")</f>
        <v>0.20388888888888879</v>
      </c>
      <c r="CZ862">
        <f>IFERROR($CW862/$CT862,"")</f>
        <v>0.40777777777777757</v>
      </c>
      <c r="DA862" s="2">
        <f>IFERROR((CV862-CU862)/ABS(CU862),"")</f>
        <v>0.12499999999999997</v>
      </c>
      <c r="DB862" s="1" t="s">
        <v>1078</v>
      </c>
      <c r="DC862" s="260" t="str">
        <f>IF(OR($DB862="prd",$DB862="std",$DB862="cit"),"loc",IF(OR($DB862="eur",$DB862="reg",$DB862="coy"),"reg",$DB862))</f>
        <v>reg</v>
      </c>
      <c r="DD862" t="s">
        <v>715</v>
      </c>
      <c r="DF862" s="143"/>
      <c r="DG862" s="143">
        <v>250</v>
      </c>
      <c r="DH862" t="str">
        <f>IF(DG862=0,"0",IF(AND(DG862&gt;=1,DG862&lt;=30),"1-30",IF(AND(DG862&gt;30,DG862&lt;=70),"31-70",IF(AND(DG862&gt;70,DG862&lt;=100),"71-100",IF(DG862&gt;100,"+100")))))</f>
        <v>+100</v>
      </c>
      <c r="DI862">
        <v>0</v>
      </c>
      <c r="DJ862">
        <v>1</v>
      </c>
      <c r="DK862">
        <v>1</v>
      </c>
      <c r="DL862">
        <v>1</v>
      </c>
      <c r="DM862">
        <v>0</v>
      </c>
      <c r="DN862">
        <f>SUM(DI862:DM862)</f>
        <v>3</v>
      </c>
      <c r="DO862" t="str">
        <f>IF(DN862=1,INDEX($DI$7:$DL$7,MATCH(1,$DI862:$DL862,0)),"mixedProduct")</f>
        <v>mixedProduct</v>
      </c>
      <c r="DP862">
        <f>IF(DI862=1,DP$7,0)</f>
        <v>0</v>
      </c>
      <c r="DQ862" t="str">
        <f>IF(DJ862=1,DQ$7,0)</f>
        <v>Energy</v>
      </c>
      <c r="DR862" t="str">
        <f>IF(DK862=1,DR$7,0)</f>
        <v>Pulp/Paper</v>
      </c>
      <c r="DS862" t="str">
        <f>IF(DL862=1,DS$7,0)</f>
        <v>Timber</v>
      </c>
      <c r="DT862">
        <v>0</v>
      </c>
      <c r="DU862" s="143">
        <v>1</v>
      </c>
      <c r="DV862" t="s">
        <v>1435</v>
      </c>
      <c r="DW862" s="143" t="s">
        <v>1436</v>
      </c>
      <c r="DX862" s="143">
        <v>0</v>
      </c>
      <c r="DY862">
        <f>SUM(DT862:DU862)</f>
        <v>1</v>
      </c>
      <c r="DZ862" s="143" t="str">
        <f>IF(DT862=1,"self-calculated DF",IF(DU862=1,"external DF used","explicit C balance"))</f>
        <v>external DF used</v>
      </c>
      <c r="EA862" s="143">
        <v>1</v>
      </c>
      <c r="EB862" s="143">
        <v>1</v>
      </c>
      <c r="EC862" s="143">
        <v>1</v>
      </c>
      <c r="ED862" s="143">
        <v>1</v>
      </c>
      <c r="EE862">
        <v>1</v>
      </c>
      <c r="EF862" s="143">
        <v>1</v>
      </c>
      <c r="EG862" s="143">
        <v>0</v>
      </c>
      <c r="EH862" s="143">
        <v>1</v>
      </c>
      <c r="EI862" s="143">
        <v>0</v>
      </c>
      <c r="EJ862">
        <v>0</v>
      </c>
      <c r="EK862">
        <v>0</v>
      </c>
      <c r="EL862" s="143">
        <v>0</v>
      </c>
      <c r="EM862">
        <v>0</v>
      </c>
      <c r="EN862" s="2">
        <v>0</v>
      </c>
      <c r="EP862" t="str">
        <f>IF(AND(AND(AND(OR($EC862=1,$EB862=1),OR($EH862=1,$EF862=1)),SUM($EA862:$EE862,$EK862)&gt;=3),SUM($EF862:$EJ862)&gt;=2),"Whole sector approach","")</f>
        <v>Whole sector approach</v>
      </c>
      <c r="EQ862" t="str">
        <f>IF(AND(AND(OR($EC862=1,$EB862=1),AND($EH862=0,$EF862=0)),SUM($EA862:$EE862,$EK862)&gt;=4),"Ecosystem approach","")</f>
        <v/>
      </c>
      <c r="ER862" s="2" t="str">
        <f>IF(AND(AND(AND($EC862=0,$EB862=0),OR($EH862=1,$EF862=1)),SUM($EG862:$EJ862)&gt;=2),"Technology approach","")</f>
        <v/>
      </c>
      <c r="ES862" t="str">
        <f>IF(AND($EC862+$EB862+$EE862+$EA862+$ED862+$EG862=0,$N862="included"),"C neutral forest and HWP assumption","")</f>
        <v/>
      </c>
      <c r="ET862" t="str">
        <f>IF(AND(AND(AND(AND($EC862=1,$EB862+$EA862+$EG862&gt;=1),$EF862=1),$EH862+$EI862+$ED862+$EE862&gt;=2),$N862="included"),"All C pools assumption","")</f>
        <v>All C pools assumption</v>
      </c>
      <c r="EU862" t="str">
        <f>IF(AND($ED862+$EE862+$EI862+$EH862+$EF862=0,$N862="included"),"In-situ only assumption","")</f>
        <v/>
      </c>
      <c r="EY862" t="str">
        <f>IF(ISNUMBER(BW862),IF(ABS(BW862-[5]QC_indicators!$B$2)&gt;3*[5]QC_indicators!$C$2,"C ratio",IF(ISNUMBER(CA862),IF(ABS(CA862-[5]QC_indicators!$B$1)&gt;3*[5]QC_indicators!$C$1,"DF","no"))),IF(ISNUMBER(CA862),IF(ABS(CA862-[5]QC_indicators!$B$1)&gt;3*[5]QC_indicators!$C$1,"DF","no")))</f>
        <v>no</v>
      </c>
      <c r="FA862" t="str">
        <f>IF(LEN($CY862)=0,"",IF(AND($CY862&lt;(-0.05),$ES862="C neutral forest and HWP assumption"),"Cneutral paradox",IF(AND($CY862&gt;0.05,$EU862="In-situ only assumption"),"In-situ only paradox","")))</f>
        <v/>
      </c>
      <c r="FD862" s="294" t="s">
        <v>3089</v>
      </c>
    </row>
    <row r="863" spans="1:161" ht="15" hidden="1" customHeight="1">
      <c r="A863" s="1" t="s">
        <v>1233</v>
      </c>
      <c r="B863" t="s">
        <v>1941</v>
      </c>
      <c r="C863" t="s">
        <v>1942</v>
      </c>
      <c r="D863" t="s">
        <v>1943</v>
      </c>
      <c r="E863" t="s">
        <v>1944</v>
      </c>
      <c r="F863" t="s">
        <v>1945</v>
      </c>
      <c r="G863" t="s">
        <v>1239</v>
      </c>
      <c r="H863" t="s">
        <v>254</v>
      </c>
      <c r="I863">
        <v>2012</v>
      </c>
      <c r="J863">
        <v>21</v>
      </c>
      <c r="K863" t="s">
        <v>1946</v>
      </c>
      <c r="L863" s="191"/>
      <c r="M863" t="str">
        <f>LEFT($D863,FIND(",",$D863)-1)&amp;"_"&amp;I863&amp;L863</f>
        <v>Pyorala_2012</v>
      </c>
      <c r="N863" t="s">
        <v>222</v>
      </c>
      <c r="O863" s="145" t="s">
        <v>341</v>
      </c>
      <c r="P863" s="179" t="s">
        <v>223</v>
      </c>
      <c r="Q863" s="317" t="s">
        <v>256</v>
      </c>
      <c r="R863" s="318" t="s">
        <v>1029</v>
      </c>
      <c r="S863" s="320" t="s">
        <v>5027</v>
      </c>
      <c r="T863" s="317" t="s">
        <v>5028</v>
      </c>
      <c r="U863" s="317" t="s">
        <v>5029</v>
      </c>
      <c r="V863" s="253">
        <v>0</v>
      </c>
      <c r="W863" s="253">
        <v>0</v>
      </c>
      <c r="X863">
        <v>0</v>
      </c>
      <c r="Y863">
        <v>0</v>
      </c>
      <c r="Z863">
        <v>0</v>
      </c>
      <c r="AA863">
        <v>1</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s="141">
        <f>COUNTIF(X863:AY863,"&lt;&gt;0")</f>
        <v>1</v>
      </c>
      <c r="BA863" s="141">
        <f>COUNTIF(X863:AN863,"&lt;&gt;0")</f>
        <v>1</v>
      </c>
      <c r="BB863">
        <f>COUNTIF(X863:AE863,"&lt;&gt;0")</f>
        <v>1</v>
      </c>
      <c r="BC863">
        <f>COUNTIF(AF863:AK863,"&lt;&gt;0")</f>
        <v>0</v>
      </c>
      <c r="BD863">
        <f>COUNTIF(AL863:AN863,"&lt;&gt;0")</f>
        <v>0</v>
      </c>
      <c r="BE863">
        <f>COUNTIF(AU863:AY863,"&lt;&gt;0")</f>
        <v>0</v>
      </c>
      <c r="BF863">
        <f>COUNTIF(AO863:AT863,"&lt;&gt;0")</f>
        <v>0</v>
      </c>
      <c r="BG863" t="str" cm="1">
        <f t="array" ref="BG863">IF(BA863=1,INDEX($X$7:$AN$7,MATCH(TRUE,INDEX($X863:$AY863&lt;&gt;0,),0)),IF(BA863=0,INDEX($AO$7:$AY$7,MATCH(1,$AO863:$AY863,0)),IF(BH863="Multiple strategies","mixed drivers",IF(BH863="Supply chain","multiple supply","multiple silviculture"))))</f>
        <v xml:space="preserve">cutting intensity </v>
      </c>
      <c r="BH863" s="2" t="str" cm="1">
        <f t="array" ref="BH863">IF(COUNTIF(BB863:BD863,"&lt;&gt;0")=1,INDEX($X$4:$AY$4,MATCH(TRUE,INDEX($X863:$AY863&lt;&gt;0,),0)),IF(COUNTIF(BB863:BD863,"&lt;&gt;0")=0,INDEX($AO$4:$AY$4,MATCH(1,$AO863:$AY863,0)),"Multiple strategies"))</f>
        <v>Silviculture for removals</v>
      </c>
      <c r="BI863" s="177" t="s">
        <v>321</v>
      </c>
      <c r="BJ863" s="317" t="s">
        <v>1949</v>
      </c>
      <c r="BK863" s="317" t="s">
        <v>687</v>
      </c>
      <c r="BL863" s="160" t="s">
        <v>691</v>
      </c>
      <c r="BM863">
        <v>7.3</v>
      </c>
      <c r="BN863">
        <v>7.6</v>
      </c>
      <c r="BO863" s="317">
        <f>BN863/BM863</f>
        <v>1.0410958904109588</v>
      </c>
      <c r="BP863">
        <f>BN863-BM863</f>
        <v>0.29999999999999982</v>
      </c>
      <c r="BQ863">
        <f>BP863</f>
        <v>0.29999999999999982</v>
      </c>
      <c r="BR863" s="155" t="s">
        <v>232</v>
      </c>
      <c r="BS863" s="317" t="s">
        <v>5030</v>
      </c>
      <c r="BT863" s="321" t="s">
        <v>5031</v>
      </c>
      <c r="BU863" s="317">
        <v>4.9415999999999869</v>
      </c>
      <c r="BV863" s="317">
        <v>-6.2451999999999899</v>
      </c>
      <c r="BW863" s="144">
        <f>BV863/BU863</f>
        <v>-1.2638011979925543</v>
      </c>
      <c r="BX863">
        <f>BV863-BU863</f>
        <v>-11.186799999999977</v>
      </c>
      <c r="BZ863">
        <f>BX863*100/10^4</f>
        <v>-0.11186799999999976</v>
      </c>
      <c r="CA863">
        <f>IFERROR(BZ863/BQ863,"")</f>
        <v>-0.37289333333333274</v>
      </c>
      <c r="CB863">
        <v>0</v>
      </c>
      <c r="CC863">
        <v>0</v>
      </c>
      <c r="CD863">
        <v>0</v>
      </c>
      <c r="CE863">
        <v>0</v>
      </c>
      <c r="CF863">
        <v>0</v>
      </c>
      <c r="CG863">
        <v>0</v>
      </c>
      <c r="CH863">
        <v>0</v>
      </c>
      <c r="CI863">
        <v>0</v>
      </c>
      <c r="CJ863">
        <v>0</v>
      </c>
      <c r="CK863">
        <v>0</v>
      </c>
      <c r="CL863">
        <v>0</v>
      </c>
      <c r="CM863">
        <v>0</v>
      </c>
      <c r="CN863">
        <v>0</v>
      </c>
      <c r="CO863">
        <v>0</v>
      </c>
      <c r="CP863" t="str">
        <f>IF($BN863&lt;$BM863,"refNeedCorrection","refOK")</f>
        <v>refOK</v>
      </c>
      <c r="CQ863">
        <f>IF($CP863="refOK",$BM863,$BN863)</f>
        <v>7.3</v>
      </c>
      <c r="CR863">
        <f>IF($CP863="refOK",$BN863,$BM863)</f>
        <v>7.6</v>
      </c>
      <c r="CS863">
        <f>IF($CP863="refOK",$BQ863,-$BQ863)</f>
        <v>0.29999999999999982</v>
      </c>
      <c r="CT863">
        <f>IF(BI863="Roundwood",$CS863/2,$CS863)</f>
        <v>0.14999999999999991</v>
      </c>
      <c r="CU863">
        <f>IF($CP863="refOK",$BU863,$BV863)*IF($BR863="Emissions positive",-1,1)</f>
        <v>4.9415999999999869</v>
      </c>
      <c r="CV863">
        <f>IF($CP863="refOK",$BV863,$BU863)*IF($BR863="Emissions positive",-1,1)</f>
        <v>-6.2451999999999899</v>
      </c>
      <c r="CW863">
        <f>IF($CP863="refNeedCorrection",-BZ863,BZ863)*IF($BR863="Emissions positive",-1,1)</f>
        <v>-0.11186799999999976</v>
      </c>
      <c r="CX863">
        <f>IFERROR($CW863/$CS863,"")</f>
        <v>-0.37289333333333274</v>
      </c>
      <c r="CY863">
        <f>IFERROR($CW863/$CS863,"")</f>
        <v>-0.37289333333333274</v>
      </c>
      <c r="CZ863">
        <f>IFERROR($CW863/$CT863,"")</f>
        <v>-0.74578666666666549</v>
      </c>
      <c r="DA863" s="2">
        <f>IFERROR((CV863-CU863)/ABS(CU863),"")</f>
        <v>-2.2638011979925543</v>
      </c>
      <c r="DB863" s="1" t="s">
        <v>1074</v>
      </c>
      <c r="DC863" s="317" t="str">
        <f>IF(OR($DB863="prd",$DB863="std",$DB863="cit"),"loc",IF(OR($DB863="eur",$DB863="reg",$DB863="coy"),"reg",$DB863))</f>
        <v>reg</v>
      </c>
      <c r="DD863" t="s">
        <v>235</v>
      </c>
      <c r="DG863">
        <v>80</v>
      </c>
      <c r="DH863" t="str">
        <f>IF(DG863=0,"0",IF(AND(DG863&gt;=1,DG863&lt;=30),"1-30",IF(AND(DG863&gt;30,DG863&lt;=70),"31-70",IF(AND(DG863&gt;70,DG863&lt;=100),"71-100",IF(DG863&gt;100,"+100")))))</f>
        <v>71-100</v>
      </c>
      <c r="DI863">
        <v>0</v>
      </c>
      <c r="DJ863">
        <v>1</v>
      </c>
      <c r="DK863">
        <v>1</v>
      </c>
      <c r="DL863">
        <v>1</v>
      </c>
      <c r="DN863">
        <f>SUM(DI863:DL863)</f>
        <v>3</v>
      </c>
      <c r="DO863" t="str">
        <f>IF(DN863=1,INDEX($DI$7:$DL$7,MATCH(1,$DI863:$DL863,0)),"mixedProduct")</f>
        <v>mixedProduct</v>
      </c>
      <c r="DP863">
        <f>IF(DI863=1,DP$7,0)</f>
        <v>0</v>
      </c>
      <c r="DQ863" t="str">
        <f>IF(DJ863=1,DQ$7,0)</f>
        <v>Energy</v>
      </c>
      <c r="DR863" t="str">
        <f>IF(DK863=1,DR$7,0)</f>
        <v>Pulp/Paper</v>
      </c>
      <c r="DS863" t="str">
        <f>IF(DL863=1,DS$7,0)</f>
        <v>Timber</v>
      </c>
      <c r="DT863">
        <v>0</v>
      </c>
      <c r="DU863">
        <v>1</v>
      </c>
      <c r="DV863" t="s">
        <v>1950</v>
      </c>
      <c r="DW863">
        <v>0</v>
      </c>
      <c r="DX863">
        <v>0</v>
      </c>
      <c r="DY863">
        <f>SUM(DT863:DU863)</f>
        <v>1</v>
      </c>
      <c r="DZ863" s="143" t="str">
        <f>IF(DT863=1,"self-calculated DF",IF(DU863=1,"external DF used","explicit C balance"))</f>
        <v>external DF used</v>
      </c>
      <c r="EA863">
        <v>1</v>
      </c>
      <c r="EB863">
        <v>1</v>
      </c>
      <c r="EC863">
        <v>1</v>
      </c>
      <c r="ED863">
        <v>0</v>
      </c>
      <c r="EE863">
        <v>1</v>
      </c>
      <c r="EF863" s="143">
        <v>1</v>
      </c>
      <c r="EG863">
        <v>1</v>
      </c>
      <c r="EH863">
        <v>1</v>
      </c>
      <c r="EI863">
        <v>0</v>
      </c>
      <c r="EJ863">
        <v>0</v>
      </c>
      <c r="EK863">
        <v>1</v>
      </c>
      <c r="EL863">
        <v>0</v>
      </c>
      <c r="EM863">
        <v>0</v>
      </c>
      <c r="EN863" s="2">
        <v>0</v>
      </c>
      <c r="EP863" t="str">
        <f>IF(AND(AND(AND(OR($EC863=1,$EB863=1),OR($EH863=1,$EF863=1)),SUM($EA863:$EE863,$EK863)&gt;=3),SUM($EF863:$EJ863)&gt;=2),"Whole sector approach","")</f>
        <v>Whole sector approach</v>
      </c>
      <c r="EQ863" t="str">
        <f>IF(AND(AND(OR($EC863=1,$EB863=1),AND($EH863=0,$EF863=0)),SUM($EA863:$EE863,$EK863)&gt;=3),"Ecosystem approach","")</f>
        <v/>
      </c>
      <c r="ER863" s="2" t="str">
        <f>IF(AND(AND(AND($EC863=0,$EB863=0),OR($EH863=1,$EF863=1)),SUM($EG863:$EJ863)&gt;=2),"Technology approach","")</f>
        <v/>
      </c>
      <c r="ES863" t="str">
        <f>IF(AND($EC863+$EB863+$EE863+$EA863+$ED863+$EG863=0,$N863="included"),"C neutral forest and HWP assumption","")</f>
        <v/>
      </c>
      <c r="ET863" t="str">
        <f>IF(AND(AND(AND(AND($EC863=1,$EB863+$EA863+$EG863&gt;=1),$EF863=1),$EH863+$EI863+$ED863+$EE863&gt;=2),$N863="included"),"All C pools assumption","")</f>
        <v>All C pools assumption</v>
      </c>
      <c r="EU863" t="str">
        <f>IF(AND($ED863+$EE863+$EI863+$EH863+$EF863=0,$N863="included"),"In-situ only assumption","")</f>
        <v/>
      </c>
      <c r="EY863" t="str">
        <f>IF(ISNUMBER(BW863),IF(ABS(BW863-[4]QC_indicators!$B$2)&gt;3*[4]QC_indicators!$C$2,"C ratio",IF(ISNUMBER(CA863),IF(ABS(CA863-[4]QC_indicators!$B$1)&gt;3*[4]QC_indicators!$C$1,"DF","no"))),IF(ISNUMBER(CA863),IF(ABS(CA863-[4]QC_indicators!$B$1)&gt;3*[4]QC_indicators!$C$1,"DF","no")))</f>
        <v>no</v>
      </c>
      <c r="FA863" t="str">
        <f>IF(LEN($CY863)=0,"",IF(AND($CY863&lt;(-0.05),$ES863="C neutral forest and HWP assumption"),"Cneutral paradox",IF(AND($CY863&gt;0.05,$EU863="In-situ only assumption"),"In-situ only paradox","")))</f>
        <v/>
      </c>
      <c r="FD863" t="s">
        <v>5032</v>
      </c>
      <c r="FE863" s="334" t="s">
        <v>5074</v>
      </c>
    </row>
    <row r="864" spans="1:161" ht="15" customHeight="1">
      <c r="A864" s="1" t="s">
        <v>1233</v>
      </c>
      <c r="B864" t="s">
        <v>1941</v>
      </c>
      <c r="C864" t="s">
        <v>1942</v>
      </c>
      <c r="D864" t="s">
        <v>1943</v>
      </c>
      <c r="E864" t="s">
        <v>1944</v>
      </c>
      <c r="F864" t="s">
        <v>1945</v>
      </c>
      <c r="G864" t="s">
        <v>1239</v>
      </c>
      <c r="H864" t="s">
        <v>254</v>
      </c>
      <c r="I864">
        <v>2012</v>
      </c>
      <c r="J864">
        <v>21</v>
      </c>
      <c r="K864" t="s">
        <v>1946</v>
      </c>
      <c r="L864" s="191"/>
      <c r="M864" t="str">
        <f>LEFT($D864,FIND(",",$D864)-1)&amp;"_"&amp;I864&amp;L864</f>
        <v>Pyorala_2012</v>
      </c>
      <c r="N864" t="s">
        <v>222</v>
      </c>
      <c r="O864" s="145" t="s">
        <v>341</v>
      </c>
      <c r="P864" s="179" t="s">
        <v>223</v>
      </c>
      <c r="Q864" s="317" t="s">
        <v>256</v>
      </c>
      <c r="R864" s="318" t="s">
        <v>1029</v>
      </c>
      <c r="S864" s="320" t="s">
        <v>5027</v>
      </c>
      <c r="T864" s="317" t="s">
        <v>5028</v>
      </c>
      <c r="U864" s="317" t="s">
        <v>5029</v>
      </c>
      <c r="V864" s="253">
        <v>0</v>
      </c>
      <c r="W864" s="253">
        <v>0</v>
      </c>
      <c r="X864">
        <v>0</v>
      </c>
      <c r="Y864">
        <v>0</v>
      </c>
      <c r="Z864">
        <v>0</v>
      </c>
      <c r="AA864">
        <v>1</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s="141">
        <f>COUNTIF(X864:AY864,"&lt;&gt;0")</f>
        <v>1</v>
      </c>
      <c r="BA864" s="141">
        <f>COUNTIF(X864:AN864,"&lt;&gt;0")</f>
        <v>1</v>
      </c>
      <c r="BB864">
        <f>COUNTIF(X864:AE864,"&lt;&gt;0")</f>
        <v>1</v>
      </c>
      <c r="BC864">
        <f>COUNTIF(AF864:AK864,"&lt;&gt;0")</f>
        <v>0</v>
      </c>
      <c r="BD864">
        <f>COUNTIF(AL864:AN864,"&lt;&gt;0")</f>
        <v>0</v>
      </c>
      <c r="BE864">
        <f>COUNTIF(AU864:AY864,"&lt;&gt;0")</f>
        <v>0</v>
      </c>
      <c r="BF864">
        <f>COUNTIF(AO864:AT864,"&lt;&gt;0")</f>
        <v>0</v>
      </c>
      <c r="BG864" t="str" cm="1">
        <f t="array" ref="BG864">IF(BA864=1,INDEX($X$7:$AN$7,MATCH(TRUE,INDEX($X864:$AY864&lt;&gt;0,),0)),IF(BA864=0,INDEX($AO$7:$AY$7,MATCH(1,$AO864:$AY864,0)),IF(BH864="Multiple strategies","mixed drivers",IF(BH864="Supply chain","multiple supply","multiple silviculture"))))</f>
        <v xml:space="preserve">cutting intensity </v>
      </c>
      <c r="BH864" s="2" t="str" cm="1">
        <f t="array" ref="BH864">IF(COUNTIF(BB864:BD864,"&lt;&gt;0")=1,INDEX($X$4:$AY$4,MATCH(TRUE,INDEX($X864:$AY864&lt;&gt;0,),0)),IF(COUNTIF(BB864:BD864,"&lt;&gt;0")=0,INDEX($AO$4:$AY$4,MATCH(1,$AO864:$AY864,0)),"Multiple strategies"))</f>
        <v>Silviculture for removals</v>
      </c>
      <c r="BI864" s="177" t="s">
        <v>321</v>
      </c>
      <c r="BJ864" s="317" t="s">
        <v>1949</v>
      </c>
      <c r="BK864" s="317" t="s">
        <v>687</v>
      </c>
      <c r="BL864" s="160" t="s">
        <v>691</v>
      </c>
      <c r="BM864">
        <v>7.3</v>
      </c>
      <c r="BN864">
        <v>7.6</v>
      </c>
      <c r="BO864" s="317">
        <f>BN864/BM864</f>
        <v>1.0410958904109588</v>
      </c>
      <c r="BP864">
        <f>BN864-BM864</f>
        <v>0.29999999999999982</v>
      </c>
      <c r="BQ864">
        <f>BP864</f>
        <v>0.29999999999999982</v>
      </c>
      <c r="BR864" s="155" t="s">
        <v>232</v>
      </c>
      <c r="BS864" s="317" t="s">
        <v>5030</v>
      </c>
      <c r="BT864" s="321" t="s">
        <v>5031</v>
      </c>
      <c r="BU864" s="317">
        <v>425.3</v>
      </c>
      <c r="BV864" s="317">
        <v>409.8</v>
      </c>
      <c r="BW864" s="144">
        <f>BV864/BU864</f>
        <v>0.96355513754996469</v>
      </c>
      <c r="BX864">
        <f>BV864-BU864</f>
        <v>-15.5</v>
      </c>
      <c r="BZ864">
        <f>BX864*100/10^4</f>
        <v>-0.155</v>
      </c>
      <c r="CA864">
        <f>IFERROR(BZ864/BQ864,"")</f>
        <v>-0.51666666666666694</v>
      </c>
      <c r="CB864">
        <v>0</v>
      </c>
      <c r="CC864">
        <v>0</v>
      </c>
      <c r="CD864">
        <v>0</v>
      </c>
      <c r="CE864">
        <v>0</v>
      </c>
      <c r="CF864">
        <v>0</v>
      </c>
      <c r="CG864">
        <v>0</v>
      </c>
      <c r="CH864">
        <v>0</v>
      </c>
      <c r="CI864">
        <v>0</v>
      </c>
      <c r="CJ864">
        <v>0</v>
      </c>
      <c r="CK864">
        <v>0</v>
      </c>
      <c r="CL864">
        <v>0</v>
      </c>
      <c r="CM864">
        <v>0</v>
      </c>
      <c r="CN864">
        <v>0</v>
      </c>
      <c r="CO864">
        <v>0</v>
      </c>
      <c r="CP864" t="str">
        <f>IF($BN864&lt;$BM864,"refNeedCorrection","refOK")</f>
        <v>refOK</v>
      </c>
      <c r="CQ864">
        <f>IF($CP864="refOK",$BM864,$BN864)</f>
        <v>7.3</v>
      </c>
      <c r="CR864">
        <f>IF($CP864="refOK",$BN864,$BM864)</f>
        <v>7.6</v>
      </c>
      <c r="CS864">
        <f>IF($CP864="refOK",$BQ864,-$BQ864)</f>
        <v>0.29999999999999982</v>
      </c>
      <c r="CT864">
        <f>IF(BI864="Roundwood",$CS864/2,$CS864)</f>
        <v>0.14999999999999991</v>
      </c>
      <c r="CU864">
        <f>IF($CP864="refOK",$BU864,$BV864)*IF($BR864="Emissions positive",-1,1)</f>
        <v>425.3</v>
      </c>
      <c r="CV864">
        <f>IF($CP864="refOK",$BV864,$BU864)*IF($BR864="Emissions positive",-1,1)</f>
        <v>409.8</v>
      </c>
      <c r="CW864">
        <f>IF($CP864="refNeedCorrection",-BZ864,BZ864)*IF($BR864="Emissions positive",-1,1)</f>
        <v>-0.155</v>
      </c>
      <c r="CX864">
        <f>IFERROR($CW864/$CS864,"")</f>
        <v>-0.51666666666666694</v>
      </c>
      <c r="CY864">
        <f>IFERROR($CW864/$CS864,"")</f>
        <v>-0.51666666666666694</v>
      </c>
      <c r="CZ864">
        <f>IFERROR($CW864/$CT864,"")</f>
        <v>-1.0333333333333339</v>
      </c>
      <c r="DA864" s="2">
        <f>IFERROR((CV864-CU864)/ABS(CU864),"")</f>
        <v>-3.6444862450035267E-2</v>
      </c>
      <c r="DB864" s="1" t="s">
        <v>1074</v>
      </c>
      <c r="DC864" s="317" t="str">
        <f>IF(OR($DB864="prd",$DB864="std",$DB864="cit"),"loc",IF(OR($DB864="eur",$DB864="reg",$DB864="coy"),"reg",$DB864))</f>
        <v>reg</v>
      </c>
      <c r="DD864" t="s">
        <v>235</v>
      </c>
      <c r="DG864">
        <v>80</v>
      </c>
      <c r="DH864" t="str">
        <f>IF(DG864=0,"0",IF(AND(DG864&gt;=1,DG864&lt;=30),"1-30",IF(AND(DG864&gt;30,DG864&lt;=70),"31-70",IF(AND(DG864&gt;70,DG864&lt;=100),"71-100",IF(DG864&gt;100,"+100")))))</f>
        <v>71-100</v>
      </c>
      <c r="DI864">
        <v>0</v>
      </c>
      <c r="DJ864">
        <v>1</v>
      </c>
      <c r="DK864">
        <v>1</v>
      </c>
      <c r="DL864">
        <v>1</v>
      </c>
      <c r="DN864">
        <f>SUM(DI864:DL864)</f>
        <v>3</v>
      </c>
      <c r="DO864" t="str">
        <f>IF(DN864=1,INDEX($DI$7:$DL$7,MATCH(1,$DI864:$DL864,0)),"mixedProduct")</f>
        <v>mixedProduct</v>
      </c>
      <c r="DP864">
        <f>IF(DI864=1,DP$7,0)</f>
        <v>0</v>
      </c>
      <c r="DQ864" t="str">
        <f>IF(DJ864=1,DQ$7,0)</f>
        <v>Energy</v>
      </c>
      <c r="DR864" t="str">
        <f>IF(DK864=1,DR$7,0)</f>
        <v>Pulp/Paper</v>
      </c>
      <c r="DS864" t="str">
        <f>IF(DL864=1,DS$7,0)</f>
        <v>Timber</v>
      </c>
      <c r="DT864">
        <v>0</v>
      </c>
      <c r="DU864">
        <v>1</v>
      </c>
      <c r="DV864" t="s">
        <v>1950</v>
      </c>
      <c r="DW864">
        <v>0</v>
      </c>
      <c r="DX864">
        <v>0</v>
      </c>
      <c r="DY864">
        <f>SUM(DT864:DU864)</f>
        <v>1</v>
      </c>
      <c r="DZ864" s="143" t="str">
        <f>IF(DT864=1,"self-calculated DF",IF(DU864=1,"external DF used","explicit C balance"))</f>
        <v>external DF used</v>
      </c>
      <c r="EA864">
        <v>1</v>
      </c>
      <c r="EB864">
        <v>1</v>
      </c>
      <c r="EC864">
        <v>1</v>
      </c>
      <c r="ED864">
        <v>0</v>
      </c>
      <c r="EE864">
        <v>0</v>
      </c>
      <c r="EF864" s="143">
        <v>0</v>
      </c>
      <c r="EG864">
        <v>1</v>
      </c>
      <c r="EH864">
        <v>0</v>
      </c>
      <c r="EI864">
        <v>0</v>
      </c>
      <c r="EJ864">
        <v>0</v>
      </c>
      <c r="EK864">
        <v>1</v>
      </c>
      <c r="EL864">
        <v>0</v>
      </c>
      <c r="EM864">
        <v>0</v>
      </c>
      <c r="EN864" s="2">
        <v>0</v>
      </c>
      <c r="EP864" t="str">
        <f>IF(AND(AND(AND(OR($EC864=1,$EB864=1),OR($EH864=1,$EF864=1)),SUM($EA864:$EE864,$EK864)&gt;=3),SUM($EF864:$EJ864)&gt;=2),"Whole sector approach","")</f>
        <v/>
      </c>
      <c r="EQ864" t="str">
        <f>IF(AND(AND(OR($EC864=1,$EB864=1),AND($EH864=0,$EF864=0)),SUM($EA864:$EE864,$EK864)&gt;=3),"Ecosystem approach","")</f>
        <v>Ecosystem approach</v>
      </c>
      <c r="ER864" s="2" t="str">
        <f>IF(AND(AND(AND($EC864=0,$EB864=0),OR($EH864=1,$EF864=1)),SUM($EG864:$EJ864)&gt;=2),"Technology approach","")</f>
        <v/>
      </c>
      <c r="ES864" t="str">
        <f>IF(AND($EC864+$EB864+$EE864+$EA864+$ED864+$EG864=0,$N864="included"),"C neutral forest and HWP assumption","")</f>
        <v/>
      </c>
      <c r="ET864" t="str">
        <f>IF(AND(AND(AND(AND($EC864=1,$EB864+$EA864+$EG864&gt;=1),$EF864=1),$EH864+$EI864+$ED864+$EE864&gt;=2),$N864="included"),"All C pools assumption","")</f>
        <v/>
      </c>
      <c r="EU864" t="str">
        <f>IF(AND($ED864+$EE864+$EI864+$EH864+$EF864=0,$N864="included"),"In-situ only assumption","")</f>
        <v>In-situ only assumption</v>
      </c>
      <c r="EY864" t="str">
        <f>IF(ISNUMBER(BW864),IF(ABS(BW864-[4]QC_indicators!$B$2)&gt;3*[4]QC_indicators!$C$2,"C ratio",IF(ISNUMBER(CA864),IF(ABS(CA864-[4]QC_indicators!$B$1)&gt;3*[4]QC_indicators!$C$1,"DF","no"))),IF(ISNUMBER(CA864),IF(ABS(CA864-[4]QC_indicators!$B$1)&gt;3*[4]QC_indicators!$C$1,"DF","no")))</f>
        <v>no</v>
      </c>
      <c r="FA864" t="str">
        <f>IF(LEN($CY864)=0,"",IF(AND($CY864&lt;(-0.05),$ES864="C neutral forest and HWP assumption"),"Cneutral paradox",IF(AND($CY864&gt;0.05,$EU864="In-situ only assumption"),"In-situ only paradox","")))</f>
        <v/>
      </c>
      <c r="FD864" t="s">
        <v>5032</v>
      </c>
      <c r="FE864" s="334" t="s">
        <v>5074</v>
      </c>
    </row>
    <row r="865" spans="1:161" ht="15" hidden="1" customHeight="1">
      <c r="A865" s="1" t="s">
        <v>1233</v>
      </c>
      <c r="B865" t="s">
        <v>1941</v>
      </c>
      <c r="C865" t="s">
        <v>1942</v>
      </c>
      <c r="D865" t="s">
        <v>1943</v>
      </c>
      <c r="E865" t="s">
        <v>1944</v>
      </c>
      <c r="F865" t="s">
        <v>1945</v>
      </c>
      <c r="G865" t="s">
        <v>1239</v>
      </c>
      <c r="H865" t="s">
        <v>254</v>
      </c>
      <c r="I865">
        <v>2012</v>
      </c>
      <c r="J865">
        <v>21</v>
      </c>
      <c r="K865" t="s">
        <v>1946</v>
      </c>
      <c r="L865" s="191"/>
      <c r="M865" t="str">
        <f>LEFT($D865,FIND(",",$D865)-1)&amp;"_"&amp;I865&amp;L865</f>
        <v>Pyorala_2012</v>
      </c>
      <c r="N865" t="s">
        <v>222</v>
      </c>
      <c r="O865" s="145" t="s">
        <v>341</v>
      </c>
      <c r="P865" s="179" t="s">
        <v>223</v>
      </c>
      <c r="Q865" s="317" t="s">
        <v>256</v>
      </c>
      <c r="R865" s="318" t="s">
        <v>1029</v>
      </c>
      <c r="S865" s="320" t="s">
        <v>5027</v>
      </c>
      <c r="T865" s="317" t="s">
        <v>5035</v>
      </c>
      <c r="U865" s="317" t="s">
        <v>5034</v>
      </c>
      <c r="V865" s="253">
        <v>0</v>
      </c>
      <c r="W865" s="253">
        <v>0</v>
      </c>
      <c r="X865">
        <v>0</v>
      </c>
      <c r="Y865">
        <v>0</v>
      </c>
      <c r="Z865">
        <v>0</v>
      </c>
      <c r="AA865">
        <v>1</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s="141">
        <f>COUNTIF(X865:AY865,"&lt;&gt;0")</f>
        <v>1</v>
      </c>
      <c r="BA865" s="141">
        <f>COUNTIF(X865:AN865,"&lt;&gt;0")</f>
        <v>1</v>
      </c>
      <c r="BB865">
        <f>COUNTIF(X865:AE865,"&lt;&gt;0")</f>
        <v>1</v>
      </c>
      <c r="BC865">
        <f>COUNTIF(AF865:AK865,"&lt;&gt;0")</f>
        <v>0</v>
      </c>
      <c r="BD865">
        <f>COUNTIF(AL865:AN865,"&lt;&gt;0")</f>
        <v>0</v>
      </c>
      <c r="BE865">
        <f>COUNTIF(AU865:AY865,"&lt;&gt;0")</f>
        <v>0</v>
      </c>
      <c r="BF865">
        <f>COUNTIF(AO865:AT865,"&lt;&gt;0")</f>
        <v>0</v>
      </c>
      <c r="BG865" t="str" cm="1">
        <f t="array" ref="BG865">IF(BA865=1,INDEX($X$7:$AN$7,MATCH(TRUE,INDEX($X865:$AY865&lt;&gt;0,),0)),IF(BA865=0,INDEX($AO$7:$AY$7,MATCH(1,$AO865:$AY865,0)),IF(BH865="Multiple strategies","mixed drivers",IF(BH865="Supply chain","multiple supply","multiple silviculture"))))</f>
        <v xml:space="preserve">cutting intensity </v>
      </c>
      <c r="BH865" s="2" t="str" cm="1">
        <f t="array" ref="BH865">IF(COUNTIF(BB865:BD865,"&lt;&gt;0")=1,INDEX($X$4:$AY$4,MATCH(TRUE,INDEX($X865:$AY865&lt;&gt;0,),0)),IF(COUNTIF(BB865:BD865,"&lt;&gt;0")=0,INDEX($AO$4:$AY$4,MATCH(1,$AO865:$AY865,0)),"Multiple strategies"))</f>
        <v>Silviculture for removals</v>
      </c>
      <c r="BI865" s="177" t="s">
        <v>321</v>
      </c>
      <c r="BJ865" s="317" t="s">
        <v>1949</v>
      </c>
      <c r="BK865" s="317" t="s">
        <v>687</v>
      </c>
      <c r="BL865" s="160" t="s">
        <v>691</v>
      </c>
      <c r="BM865">
        <v>8.1</v>
      </c>
      <c r="BN865">
        <v>8.4</v>
      </c>
      <c r="BO865" s="317">
        <f>BN865/BM865</f>
        <v>1.0370370370370372</v>
      </c>
      <c r="BP865">
        <f>BN865-BM865</f>
        <v>0.30000000000000071</v>
      </c>
      <c r="BQ865">
        <f>BP865</f>
        <v>0.30000000000000071</v>
      </c>
      <c r="BR865" s="155" t="s">
        <v>232</v>
      </c>
      <c r="BS865" s="317" t="s">
        <v>5030</v>
      </c>
      <c r="BT865" s="321" t="s">
        <v>5031</v>
      </c>
      <c r="BU865" s="317">
        <v>-0.82439999999999714</v>
      </c>
      <c r="BV865" s="317">
        <v>-31.297999999999988</v>
      </c>
      <c r="BW865" s="144">
        <f>BV865/BU865</f>
        <v>37.964580300824956</v>
      </c>
      <c r="BX865">
        <f>BV865-BU865</f>
        <v>-30.47359999999999</v>
      </c>
      <c r="BZ865">
        <f>BX865*100/10^4</f>
        <v>-0.3047359999999999</v>
      </c>
      <c r="CA865">
        <f>IFERROR(BZ865/BQ865,"")</f>
        <v>-1.015786666666664</v>
      </c>
      <c r="CB865">
        <v>0</v>
      </c>
      <c r="CC865">
        <v>0</v>
      </c>
      <c r="CD865">
        <v>0</v>
      </c>
      <c r="CE865">
        <v>0</v>
      </c>
      <c r="CF865">
        <v>0</v>
      </c>
      <c r="CG865">
        <v>0</v>
      </c>
      <c r="CH865">
        <v>0</v>
      </c>
      <c r="CI865">
        <v>0</v>
      </c>
      <c r="CJ865">
        <v>0</v>
      </c>
      <c r="CK865">
        <v>0</v>
      </c>
      <c r="CL865">
        <v>0</v>
      </c>
      <c r="CM865">
        <v>0</v>
      </c>
      <c r="CN865">
        <v>0</v>
      </c>
      <c r="CO865">
        <v>0</v>
      </c>
      <c r="CP865" t="str">
        <f>IF($BN865&lt;$BM865,"refNeedCorrection","refOK")</f>
        <v>refOK</v>
      </c>
      <c r="CQ865">
        <f>IF($CP865="refOK",$BM865,$BN865)</f>
        <v>8.1</v>
      </c>
      <c r="CR865">
        <f>IF($CP865="refOK",$BN865,$BM865)</f>
        <v>8.4</v>
      </c>
      <c r="CS865">
        <f>IF($CP865="refOK",$BQ865,-$BQ865)</f>
        <v>0.30000000000000071</v>
      </c>
      <c r="CT865">
        <f>IF(BI865="Roundwood",$CS865/2,$CS865)</f>
        <v>0.15000000000000036</v>
      </c>
      <c r="CU865">
        <f>IF($CP865="refOK",$BU865,$BV865)*IF($BR865="Emissions positive",-1,1)</f>
        <v>-0.82439999999999714</v>
      </c>
      <c r="CV865">
        <f>IF($CP865="refOK",$BV865,$BU865)*IF($BR865="Emissions positive",-1,1)</f>
        <v>-31.297999999999988</v>
      </c>
      <c r="CW865">
        <f>IF($CP865="refNeedCorrection",-BZ865,BZ865)*IF($BR865="Emissions positive",-1,1)</f>
        <v>-0.3047359999999999</v>
      </c>
      <c r="CX865">
        <f>IFERROR($CW865/$CS865,"")</f>
        <v>-1.015786666666664</v>
      </c>
      <c r="CY865">
        <f>IFERROR($CW865/$CS865,"")</f>
        <v>-1.015786666666664</v>
      </c>
      <c r="CZ865">
        <f>IFERROR($CW865/$CT865,"")</f>
        <v>-2.0315733333333279</v>
      </c>
      <c r="DA865" s="2">
        <f>IFERROR((CV865-CU865)/ABS(CU865),"")</f>
        <v>-36.964580300824956</v>
      </c>
      <c r="DB865" s="1" t="s">
        <v>1074</v>
      </c>
      <c r="DC865" s="317" t="str">
        <f>IF(OR($DB865="prd",$DB865="std",$DB865="cit"),"loc",IF(OR($DB865="eur",$DB865="reg",$DB865="coy"),"reg",$DB865))</f>
        <v>reg</v>
      </c>
      <c r="DD865" t="s">
        <v>235</v>
      </c>
      <c r="DG865">
        <v>50</v>
      </c>
      <c r="DH865" t="str">
        <f>IF(DG865=0,"0",IF(AND(DG865&gt;=1,DG865&lt;=30),"1-30",IF(AND(DG865&gt;30,DG865&lt;=70),"31-70",IF(AND(DG865&gt;70,DG865&lt;=100),"71-100",IF(DG865&gt;100,"+100")))))</f>
        <v>31-70</v>
      </c>
      <c r="DI865">
        <v>0</v>
      </c>
      <c r="DJ865">
        <v>1</v>
      </c>
      <c r="DK865">
        <v>1</v>
      </c>
      <c r="DL865">
        <v>1</v>
      </c>
      <c r="DN865">
        <f>SUM(DI865:DL865)</f>
        <v>3</v>
      </c>
      <c r="DO865" t="str">
        <f>IF(DN865=1,INDEX($DI$7:$DL$7,MATCH(1,$DI865:$DL865,0)),"mixedProduct")</f>
        <v>mixedProduct</v>
      </c>
      <c r="DP865">
        <f>IF(DI865=1,DP$7,0)</f>
        <v>0</v>
      </c>
      <c r="DQ865" t="str">
        <f>IF(DJ865=1,DQ$7,0)</f>
        <v>Energy</v>
      </c>
      <c r="DR865" t="str">
        <f>IF(DK865=1,DR$7,0)</f>
        <v>Pulp/Paper</v>
      </c>
      <c r="DS865" t="str">
        <f>IF(DL865=1,DS$7,0)</f>
        <v>Timber</v>
      </c>
      <c r="DT865">
        <v>0</v>
      </c>
      <c r="DU865">
        <v>1</v>
      </c>
      <c r="DV865" t="s">
        <v>1950</v>
      </c>
      <c r="DW865">
        <v>0</v>
      </c>
      <c r="DX865">
        <v>0</v>
      </c>
      <c r="DY865">
        <f>SUM(DT865:DU865)</f>
        <v>1</v>
      </c>
      <c r="DZ865" s="143" t="str">
        <f>IF(DT865=1,"self-calculated DF",IF(DU865=1,"external DF used","explicit C balance"))</f>
        <v>external DF used</v>
      </c>
      <c r="EA865">
        <v>1</v>
      </c>
      <c r="EB865">
        <v>1</v>
      </c>
      <c r="EC865">
        <v>1</v>
      </c>
      <c r="ED865">
        <v>0</v>
      </c>
      <c r="EE865">
        <v>1</v>
      </c>
      <c r="EF865" s="143">
        <v>1</v>
      </c>
      <c r="EG865">
        <v>1</v>
      </c>
      <c r="EH865">
        <v>1</v>
      </c>
      <c r="EI865">
        <v>0</v>
      </c>
      <c r="EJ865">
        <v>0</v>
      </c>
      <c r="EK865">
        <v>1</v>
      </c>
      <c r="EL865">
        <v>0</v>
      </c>
      <c r="EM865">
        <v>0</v>
      </c>
      <c r="EN865" s="2">
        <v>0</v>
      </c>
      <c r="EP865" t="str">
        <f>IF(AND(AND(AND(OR($EC865=1,$EB865=1),OR($EH865=1,$EF865=1)),SUM($EA865:$EE865,$EK865)&gt;=3),SUM($EF865:$EJ865)&gt;=2),"Whole sector approach","")</f>
        <v>Whole sector approach</v>
      </c>
      <c r="EQ865" t="str">
        <f>IF(AND(AND(OR($EC865=1,$EB865=1),AND($EH865=0,$EF865=0)),SUM($EA865:$EE865,$EK865)&gt;=3),"Ecosystem approach","")</f>
        <v/>
      </c>
      <c r="ER865" s="2" t="str">
        <f>IF(AND(AND(AND($EC865=0,$EB865=0),OR($EH865=1,$EF865=1)),SUM($EG865:$EJ865)&gt;=2),"Technology approach","")</f>
        <v/>
      </c>
      <c r="ES865" t="str">
        <f>IF(AND($EC865+$EB865+$EE865+$EA865+$ED865+$EG865=0,$N865="included"),"C neutral forest and HWP assumption","")</f>
        <v/>
      </c>
      <c r="ET865" t="str">
        <f>IF(AND(AND(AND(AND($EC865=1,$EB865+$EA865+$EG865&gt;=1),$EF865=1),$EH865+$EI865+$ED865+$EE865&gt;=2),$N865="included"),"All C pools assumption","")</f>
        <v>All C pools assumption</v>
      </c>
      <c r="EU865" t="str">
        <f>IF(AND($ED865+$EE865+$EI865+$EH865+$EF865=0,$N865="included"),"In-situ only assumption","")</f>
        <v/>
      </c>
      <c r="EY865" t="str">
        <f>IF(ISNUMBER(BW865),IF(ABS(BW865-[4]QC_indicators!$B$2)&gt;3*[4]QC_indicators!$C$2,"C ratio",IF(ISNUMBER(CA865),IF(ABS(CA865-[4]QC_indicators!$B$1)&gt;3*[4]QC_indicators!$C$1,"DF","no"))),IF(ISNUMBER(CA865),IF(ABS(CA865-[4]QC_indicators!$B$1)&gt;3*[4]QC_indicators!$C$1,"DF","no")))</f>
        <v>C ratio</v>
      </c>
      <c r="FA865" t="str">
        <f>IF(LEN($CY865)=0,"",IF(AND($CY865&lt;(-0.05),$ES865="C neutral forest and HWP assumption"),"Cneutral paradox",IF(AND($CY865&gt;0.05,$EU865="In-situ only assumption"),"In-situ only paradox","")))</f>
        <v/>
      </c>
      <c r="FD865" t="s">
        <v>5032</v>
      </c>
      <c r="FE865" s="334" t="s">
        <v>5074</v>
      </c>
    </row>
    <row r="866" spans="1:161" ht="15" customHeight="1">
      <c r="A866" s="1" t="s">
        <v>1233</v>
      </c>
      <c r="B866" t="s">
        <v>1941</v>
      </c>
      <c r="C866" t="s">
        <v>1942</v>
      </c>
      <c r="D866" t="s">
        <v>1943</v>
      </c>
      <c r="E866" t="s">
        <v>1944</v>
      </c>
      <c r="F866" t="s">
        <v>1945</v>
      </c>
      <c r="G866" t="s">
        <v>1239</v>
      </c>
      <c r="H866" t="s">
        <v>254</v>
      </c>
      <c r="I866">
        <v>2012</v>
      </c>
      <c r="J866">
        <v>21</v>
      </c>
      <c r="K866" t="s">
        <v>1946</v>
      </c>
      <c r="L866" s="191"/>
      <c r="M866" t="str">
        <f>LEFT($D866,FIND(",",$D866)-1)&amp;"_"&amp;I866&amp;L866</f>
        <v>Pyorala_2012</v>
      </c>
      <c r="N866" t="s">
        <v>222</v>
      </c>
      <c r="O866" s="145" t="s">
        <v>341</v>
      </c>
      <c r="P866" s="179" t="s">
        <v>223</v>
      </c>
      <c r="Q866" s="317" t="s">
        <v>256</v>
      </c>
      <c r="R866" s="318" t="s">
        <v>1029</v>
      </c>
      <c r="S866" s="320" t="s">
        <v>5027</v>
      </c>
      <c r="T866" s="317" t="s">
        <v>5035</v>
      </c>
      <c r="U866" s="317" t="s">
        <v>5034</v>
      </c>
      <c r="V866" s="253">
        <v>0</v>
      </c>
      <c r="W866" s="253">
        <v>0</v>
      </c>
      <c r="X866">
        <v>0</v>
      </c>
      <c r="Y866">
        <v>0</v>
      </c>
      <c r="Z866">
        <v>0</v>
      </c>
      <c r="AA866">
        <v>1</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s="141">
        <f>COUNTIF(X866:AY866,"&lt;&gt;0")</f>
        <v>1</v>
      </c>
      <c r="BA866" s="141">
        <f>COUNTIF(X866:AN866,"&lt;&gt;0")</f>
        <v>1</v>
      </c>
      <c r="BB866">
        <f>COUNTIF(X866:AE866,"&lt;&gt;0")</f>
        <v>1</v>
      </c>
      <c r="BC866">
        <f>COUNTIF(AF866:AK866,"&lt;&gt;0")</f>
        <v>0</v>
      </c>
      <c r="BD866">
        <f>COUNTIF(AL866:AN866,"&lt;&gt;0")</f>
        <v>0</v>
      </c>
      <c r="BE866">
        <f>COUNTIF(AU866:AY866,"&lt;&gt;0")</f>
        <v>0</v>
      </c>
      <c r="BF866">
        <f>COUNTIF(AO866:AT866,"&lt;&gt;0")</f>
        <v>0</v>
      </c>
      <c r="BG866" t="str" cm="1">
        <f t="array" ref="BG866">IF(BA866=1,INDEX($X$7:$AN$7,MATCH(TRUE,INDEX($X866:$AY866&lt;&gt;0,),0)),IF(BA866=0,INDEX($AO$7:$AY$7,MATCH(1,$AO866:$AY866,0)),IF(BH866="Multiple strategies","mixed drivers",IF(BH866="Supply chain","multiple supply","multiple silviculture"))))</f>
        <v xml:space="preserve">cutting intensity </v>
      </c>
      <c r="BH866" s="2" t="str" cm="1">
        <f t="array" ref="BH866">IF(COUNTIF(BB866:BD866,"&lt;&gt;0")=1,INDEX($X$4:$AY$4,MATCH(TRUE,INDEX($X866:$AY866&lt;&gt;0,),0)),IF(COUNTIF(BB866:BD866,"&lt;&gt;0")=0,INDEX($AO$4:$AY$4,MATCH(1,$AO866:$AY866,0)),"Multiple strategies"))</f>
        <v>Silviculture for removals</v>
      </c>
      <c r="BI866" s="177" t="s">
        <v>321</v>
      </c>
      <c r="BJ866" s="317" t="s">
        <v>1949</v>
      </c>
      <c r="BK866" s="317" t="s">
        <v>687</v>
      </c>
      <c r="BL866" s="160" t="s">
        <v>691</v>
      </c>
      <c r="BM866">
        <v>8.1</v>
      </c>
      <c r="BN866">
        <v>8.4</v>
      </c>
      <c r="BO866" s="317">
        <f>BN866/BM866</f>
        <v>1.0370370370370372</v>
      </c>
      <c r="BP866">
        <f>BN866-BM866</f>
        <v>0.30000000000000071</v>
      </c>
      <c r="BQ866">
        <f>BP866</f>
        <v>0.30000000000000071</v>
      </c>
      <c r="BR866" s="155" t="s">
        <v>232</v>
      </c>
      <c r="BS866" s="317" t="s">
        <v>5030</v>
      </c>
      <c r="BT866" s="321" t="s">
        <v>5031</v>
      </c>
      <c r="BU866" s="317">
        <v>441.5</v>
      </c>
      <c r="BV866" s="317">
        <v>380.6</v>
      </c>
      <c r="BW866" s="144">
        <f>BV866/BU866</f>
        <v>0.86206115515288795</v>
      </c>
      <c r="BX866">
        <f>BV866-BU866</f>
        <v>-60.899999999999977</v>
      </c>
      <c r="BZ866">
        <f>BX866*100/10^4</f>
        <v>-0.60899999999999976</v>
      </c>
      <c r="CA866">
        <f>IFERROR(BZ866/BQ866,"")</f>
        <v>-2.0299999999999945</v>
      </c>
      <c r="CB866">
        <v>0</v>
      </c>
      <c r="CC866">
        <v>0</v>
      </c>
      <c r="CD866">
        <v>0</v>
      </c>
      <c r="CE866">
        <v>0</v>
      </c>
      <c r="CF866">
        <v>0</v>
      </c>
      <c r="CG866">
        <v>0</v>
      </c>
      <c r="CH866">
        <v>0</v>
      </c>
      <c r="CI866">
        <v>0</v>
      </c>
      <c r="CJ866">
        <v>0</v>
      </c>
      <c r="CK866">
        <v>0</v>
      </c>
      <c r="CL866">
        <v>0</v>
      </c>
      <c r="CM866">
        <v>0</v>
      </c>
      <c r="CN866">
        <v>0</v>
      </c>
      <c r="CO866">
        <v>0</v>
      </c>
      <c r="CP866" t="str">
        <f>IF($BN866&lt;$BM866,"refNeedCorrection","refOK")</f>
        <v>refOK</v>
      </c>
      <c r="CQ866">
        <f>IF($CP866="refOK",$BM866,$BN866)</f>
        <v>8.1</v>
      </c>
      <c r="CR866">
        <f>IF($CP866="refOK",$BN866,$BM866)</f>
        <v>8.4</v>
      </c>
      <c r="CS866">
        <f>IF($CP866="refOK",$BQ866,-$BQ866)</f>
        <v>0.30000000000000071</v>
      </c>
      <c r="CT866">
        <f>IF(BI866="Roundwood",$CS866/2,$CS866)</f>
        <v>0.15000000000000036</v>
      </c>
      <c r="CU866">
        <f>IF($CP866="refOK",$BU866,$BV866)*IF($BR866="Emissions positive",-1,1)</f>
        <v>441.5</v>
      </c>
      <c r="CV866">
        <f>IF($CP866="refOK",$BV866,$BU866)*IF($BR866="Emissions positive",-1,1)</f>
        <v>380.6</v>
      </c>
      <c r="CW866">
        <f>IF($CP866="refNeedCorrection",-BZ866,BZ866)*IF($BR866="Emissions positive",-1,1)</f>
        <v>-0.60899999999999976</v>
      </c>
      <c r="CX866">
        <f>IFERROR($CW866/$CS866,"")</f>
        <v>-2.0299999999999945</v>
      </c>
      <c r="CY866">
        <f>IFERROR($CW866/$CS866,"")</f>
        <v>-2.0299999999999945</v>
      </c>
      <c r="CZ866">
        <f>IFERROR($CW866/$CT866,"")</f>
        <v>-4.059999999999989</v>
      </c>
      <c r="DA866" s="2">
        <f>IFERROR((CV866-CU866)/ABS(CU866),"")</f>
        <v>-0.13793884484711208</v>
      </c>
      <c r="DB866" s="1" t="s">
        <v>1074</v>
      </c>
      <c r="DC866" s="317" t="str">
        <f>IF(OR($DB866="prd",$DB866="std",$DB866="cit"),"loc",IF(OR($DB866="eur",$DB866="reg",$DB866="coy"),"reg",$DB866))</f>
        <v>reg</v>
      </c>
      <c r="DD866" t="s">
        <v>235</v>
      </c>
      <c r="DG866">
        <v>50</v>
      </c>
      <c r="DH866" t="str">
        <f>IF(DG866=0,"0",IF(AND(DG866&gt;=1,DG866&lt;=30),"1-30",IF(AND(DG866&gt;30,DG866&lt;=70),"31-70",IF(AND(DG866&gt;70,DG866&lt;=100),"71-100",IF(DG866&gt;100,"+100")))))</f>
        <v>31-70</v>
      </c>
      <c r="DI866">
        <v>0</v>
      </c>
      <c r="DJ866">
        <v>1</v>
      </c>
      <c r="DK866">
        <v>1</v>
      </c>
      <c r="DL866">
        <v>1</v>
      </c>
      <c r="DN866">
        <f>SUM(DI866:DL866)</f>
        <v>3</v>
      </c>
      <c r="DO866" t="str">
        <f>IF(DN866=1,INDEX($DI$7:$DL$7,MATCH(1,$DI866:$DL866,0)),"mixedProduct")</f>
        <v>mixedProduct</v>
      </c>
      <c r="DP866">
        <f>IF(DI866=1,DP$7,0)</f>
        <v>0</v>
      </c>
      <c r="DQ866" t="str">
        <f>IF(DJ866=1,DQ$7,0)</f>
        <v>Energy</v>
      </c>
      <c r="DR866" t="str">
        <f>IF(DK866=1,DR$7,0)</f>
        <v>Pulp/Paper</v>
      </c>
      <c r="DS866" t="str">
        <f>IF(DL866=1,DS$7,0)</f>
        <v>Timber</v>
      </c>
      <c r="DT866">
        <v>0</v>
      </c>
      <c r="DU866">
        <v>1</v>
      </c>
      <c r="DV866" t="s">
        <v>1950</v>
      </c>
      <c r="DW866">
        <v>0</v>
      </c>
      <c r="DX866">
        <v>0</v>
      </c>
      <c r="DY866">
        <f>SUM(DT866:DU866)</f>
        <v>1</v>
      </c>
      <c r="DZ866" s="143" t="str">
        <f>IF(DT866=1,"self-calculated DF",IF(DU866=1,"external DF used","explicit C balance"))</f>
        <v>external DF used</v>
      </c>
      <c r="EA866">
        <v>1</v>
      </c>
      <c r="EB866">
        <v>1</v>
      </c>
      <c r="EC866">
        <v>1</v>
      </c>
      <c r="ED866">
        <v>0</v>
      </c>
      <c r="EE866">
        <v>0</v>
      </c>
      <c r="EF866" s="143">
        <v>0</v>
      </c>
      <c r="EG866">
        <v>1</v>
      </c>
      <c r="EH866">
        <v>0</v>
      </c>
      <c r="EI866">
        <v>0</v>
      </c>
      <c r="EJ866">
        <v>0</v>
      </c>
      <c r="EK866">
        <v>1</v>
      </c>
      <c r="EL866">
        <v>0</v>
      </c>
      <c r="EM866">
        <v>0</v>
      </c>
      <c r="EN866" s="2">
        <v>0</v>
      </c>
      <c r="EP866" t="str">
        <f>IF(AND(AND(AND(OR($EC866=1,$EB866=1),OR($EH866=1,$EF866=1)),SUM($EA866:$EE866,$EK866)&gt;=3),SUM($EF866:$EJ866)&gt;=2),"Whole sector approach","")</f>
        <v/>
      </c>
      <c r="EQ866" t="str">
        <f>IF(AND(AND(OR($EC866=1,$EB866=1),AND($EH866=0,$EF866=0)),SUM($EA866:$EE866,$EK866)&gt;=3),"Ecosystem approach","")</f>
        <v>Ecosystem approach</v>
      </c>
      <c r="ER866" s="2" t="str">
        <f>IF(AND(AND(AND($EC866=0,$EB866=0),OR($EH866=1,$EF866=1)),SUM($EG866:$EJ866)&gt;=2),"Technology approach","")</f>
        <v/>
      </c>
      <c r="ES866" t="str">
        <f>IF(AND($EC866+$EB866+$EE866+$EA866+$ED866+$EG866=0,$N866="included"),"C neutral forest and HWP assumption","")</f>
        <v/>
      </c>
      <c r="ET866" t="str">
        <f>IF(AND(AND(AND(AND($EC866=1,$EB866+$EA866+$EG866&gt;=1),$EF866=1),$EH866+$EI866+$ED866+$EE866&gt;=2),$N866="included"),"All C pools assumption","")</f>
        <v/>
      </c>
      <c r="EU866" t="str">
        <f>IF(AND($ED866+$EE866+$EI866+$EH866+$EF866=0,$N866="included"),"In-situ only assumption","")</f>
        <v>In-situ only assumption</v>
      </c>
      <c r="EY866" t="str">
        <f>IF(ISNUMBER(BW866),IF(ABS(BW866-[4]QC_indicators!$B$2)&gt;3*[4]QC_indicators!$C$2,"C ratio",IF(ISNUMBER(CA866),IF(ABS(CA866-[4]QC_indicators!$B$1)&gt;3*[4]QC_indicators!$C$1,"DF","no"))),IF(ISNUMBER(CA866),IF(ABS(CA866-[4]QC_indicators!$B$1)&gt;3*[4]QC_indicators!$C$1,"DF","no")))</f>
        <v>no</v>
      </c>
      <c r="FA866" t="str">
        <f>IF(LEN($CY866)=0,"",IF(AND($CY866&lt;(-0.05),$ES866="C neutral forest and HWP assumption"),"Cneutral paradox",IF(AND($CY866&gt;0.05,$EU866="In-situ only assumption"),"In-situ only paradox","")))</f>
        <v/>
      </c>
      <c r="FD866" t="s">
        <v>5032</v>
      </c>
      <c r="FE866" s="334" t="s">
        <v>5074</v>
      </c>
    </row>
    <row r="867" spans="1:161" ht="15" hidden="1" customHeight="1">
      <c r="A867" s="1" t="s">
        <v>1233</v>
      </c>
      <c r="B867" t="s">
        <v>1941</v>
      </c>
      <c r="C867" t="s">
        <v>1942</v>
      </c>
      <c r="D867" t="s">
        <v>1943</v>
      </c>
      <c r="E867" t="s">
        <v>1944</v>
      </c>
      <c r="F867" t="s">
        <v>1945</v>
      </c>
      <c r="G867" t="s">
        <v>1239</v>
      </c>
      <c r="H867" t="s">
        <v>254</v>
      </c>
      <c r="I867">
        <v>2012</v>
      </c>
      <c r="J867">
        <v>21</v>
      </c>
      <c r="K867" t="s">
        <v>1946</v>
      </c>
      <c r="L867" s="191"/>
      <c r="M867" t="str">
        <f>LEFT($D867,FIND(",",$D867)-1)&amp;"_"&amp;I867&amp;L867</f>
        <v>Pyorala_2012</v>
      </c>
      <c r="N867" t="s">
        <v>222</v>
      </c>
      <c r="O867" s="145" t="s">
        <v>341</v>
      </c>
      <c r="P867" s="179" t="s">
        <v>223</v>
      </c>
      <c r="Q867" s="317" t="s">
        <v>256</v>
      </c>
      <c r="R867" s="318" t="s">
        <v>1029</v>
      </c>
      <c r="S867" s="320" t="s">
        <v>5027</v>
      </c>
      <c r="T867" s="317" t="s">
        <v>5033</v>
      </c>
      <c r="U867" s="317" t="s">
        <v>5034</v>
      </c>
      <c r="V867" s="253">
        <v>0</v>
      </c>
      <c r="W867" s="253">
        <v>0</v>
      </c>
      <c r="X867">
        <v>0</v>
      </c>
      <c r="Y867">
        <v>0</v>
      </c>
      <c r="Z867">
        <v>0</v>
      </c>
      <c r="AA867">
        <v>1</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s="141">
        <f>COUNTIF(X867:AY867,"&lt;&gt;0")</f>
        <v>1</v>
      </c>
      <c r="BA867" s="141">
        <f>COUNTIF(X867:AN867,"&lt;&gt;0")</f>
        <v>1</v>
      </c>
      <c r="BB867">
        <f>COUNTIF(X867:AE867,"&lt;&gt;0")</f>
        <v>1</v>
      </c>
      <c r="BC867">
        <f>COUNTIF(AF867:AK867,"&lt;&gt;0")</f>
        <v>0</v>
      </c>
      <c r="BD867">
        <f>COUNTIF(AL867:AN867,"&lt;&gt;0")</f>
        <v>0</v>
      </c>
      <c r="BE867">
        <f>COUNTIF(AU867:AY867,"&lt;&gt;0")</f>
        <v>0</v>
      </c>
      <c r="BF867">
        <f>COUNTIF(AO867:AT867,"&lt;&gt;0")</f>
        <v>0</v>
      </c>
      <c r="BG867" t="str" cm="1">
        <f t="array" ref="BG867">IF(BA867=1,INDEX($X$7:$AN$7,MATCH(TRUE,INDEX($X867:$AY867&lt;&gt;0,),0)),IF(BA867=0,INDEX($AO$7:$AY$7,MATCH(1,$AO867:$AY867,0)),IF(BH867="Multiple strategies","mixed drivers",IF(BH867="Supply chain","multiple supply","multiple silviculture"))))</f>
        <v xml:space="preserve">cutting intensity </v>
      </c>
      <c r="BH867" s="2" t="str" cm="1">
        <f t="array" ref="BH867">IF(COUNTIF(BB867:BD867,"&lt;&gt;0")=1,INDEX($X$4:$AY$4,MATCH(TRUE,INDEX($X867:$AY867&lt;&gt;0,),0)),IF(COUNTIF(BB867:BD867,"&lt;&gt;0")=0,INDEX($AO$4:$AY$4,MATCH(1,$AO867:$AY867,0)),"Multiple strategies"))</f>
        <v>Silviculture for removals</v>
      </c>
      <c r="BI867" s="177" t="s">
        <v>321</v>
      </c>
      <c r="BJ867" s="317" t="s">
        <v>1949</v>
      </c>
      <c r="BK867" s="317" t="s">
        <v>687</v>
      </c>
      <c r="BL867" s="160" t="s">
        <v>691</v>
      </c>
      <c r="BM867">
        <v>8.3000000000000007</v>
      </c>
      <c r="BN867">
        <v>8.4</v>
      </c>
      <c r="BO867" s="317">
        <f>BN867/BM867</f>
        <v>1.0120481927710843</v>
      </c>
      <c r="BP867">
        <f>BN867-BM867</f>
        <v>9.9999999999999645E-2</v>
      </c>
      <c r="BQ867">
        <f>BP867</f>
        <v>9.9999999999999645E-2</v>
      </c>
      <c r="BR867" s="155" t="s">
        <v>232</v>
      </c>
      <c r="BS867" s="317" t="s">
        <v>5030</v>
      </c>
      <c r="BT867" s="321" t="s">
        <v>5031</v>
      </c>
      <c r="BU867" s="317">
        <v>-5.4244000000000057</v>
      </c>
      <c r="BV867" s="317">
        <v>-31.297999999999988</v>
      </c>
      <c r="BW867" s="144">
        <f>BV867/BU867</f>
        <v>5.7698547304770953</v>
      </c>
      <c r="BX867">
        <f>BV867-BU867</f>
        <v>-25.873599999999982</v>
      </c>
      <c r="BZ867">
        <f>BX867*100/10^4</f>
        <v>-0.25873599999999985</v>
      </c>
      <c r="CA867">
        <f>IFERROR(BZ867/BQ867,"")</f>
        <v>-2.5873600000000079</v>
      </c>
      <c r="CB867">
        <v>0</v>
      </c>
      <c r="CC867">
        <v>0</v>
      </c>
      <c r="CD867">
        <v>0</v>
      </c>
      <c r="CE867">
        <v>0</v>
      </c>
      <c r="CF867">
        <v>0</v>
      </c>
      <c r="CG867">
        <v>0</v>
      </c>
      <c r="CH867">
        <v>0</v>
      </c>
      <c r="CI867">
        <v>0</v>
      </c>
      <c r="CJ867">
        <v>0</v>
      </c>
      <c r="CK867">
        <v>0</v>
      </c>
      <c r="CL867">
        <v>0</v>
      </c>
      <c r="CM867">
        <v>0</v>
      </c>
      <c r="CN867">
        <v>0</v>
      </c>
      <c r="CO867">
        <v>0</v>
      </c>
      <c r="CP867" t="str">
        <f>IF($BN867&lt;$BM867,"refNeedCorrection","refOK")</f>
        <v>refOK</v>
      </c>
      <c r="CQ867">
        <f>IF($CP867="refOK",$BM867,$BN867)</f>
        <v>8.3000000000000007</v>
      </c>
      <c r="CR867">
        <f>IF($CP867="refOK",$BN867,$BM867)</f>
        <v>8.4</v>
      </c>
      <c r="CS867">
        <f>IF($CP867="refOK",$BQ867,-$BQ867)</f>
        <v>9.9999999999999645E-2</v>
      </c>
      <c r="CT867">
        <f>IF(BI867="Roundwood",$CS867/2,$CS867)</f>
        <v>4.9999999999999822E-2</v>
      </c>
      <c r="CU867">
        <f>IF($CP867="refOK",$BU867,$BV867)*IF($BR867="Emissions positive",-1,1)</f>
        <v>-5.4244000000000057</v>
      </c>
      <c r="CV867">
        <f>IF($CP867="refOK",$BV867,$BU867)*IF($BR867="Emissions positive",-1,1)</f>
        <v>-31.297999999999988</v>
      </c>
      <c r="CW867">
        <f>IF($CP867="refNeedCorrection",-BZ867,BZ867)*IF($BR867="Emissions positive",-1,1)</f>
        <v>-0.25873599999999985</v>
      </c>
      <c r="CX867">
        <f>IFERROR($CW867/$CS867,"")</f>
        <v>-2.5873600000000079</v>
      </c>
      <c r="CY867">
        <f>IFERROR($CW867/$CS867,"")</f>
        <v>-2.5873600000000079</v>
      </c>
      <c r="CZ867">
        <f>IFERROR($CW867/$CT867,"")</f>
        <v>-5.1747200000000158</v>
      </c>
      <c r="DA867" s="2">
        <f>IFERROR((CV867-CU867)/ABS(CU867),"")</f>
        <v>-4.7698547304770953</v>
      </c>
      <c r="DB867" s="1" t="s">
        <v>1074</v>
      </c>
      <c r="DC867" s="317" t="str">
        <f>IF(OR($DB867="prd",$DB867="std",$DB867="cit"),"loc",IF(OR($DB867="eur",$DB867="reg",$DB867="coy"),"reg",$DB867))</f>
        <v>reg</v>
      </c>
      <c r="DD867" t="s">
        <v>235</v>
      </c>
      <c r="DG867">
        <v>50</v>
      </c>
      <c r="DH867" t="str">
        <f>IF(DG867=0,"0",IF(AND(DG867&gt;=1,DG867&lt;=30),"1-30",IF(AND(DG867&gt;30,DG867&lt;=70),"31-70",IF(AND(DG867&gt;70,DG867&lt;=100),"71-100",IF(DG867&gt;100,"+100")))))</f>
        <v>31-70</v>
      </c>
      <c r="DI867">
        <v>0</v>
      </c>
      <c r="DJ867">
        <v>1</v>
      </c>
      <c r="DK867">
        <v>1</v>
      </c>
      <c r="DL867">
        <v>1</v>
      </c>
      <c r="DN867">
        <f>SUM(DI867:DL867)</f>
        <v>3</v>
      </c>
      <c r="DO867" t="str">
        <f>IF(DN867=1,INDEX($DI$7:$DL$7,MATCH(1,$DI867:$DL867,0)),"mixedProduct")</f>
        <v>mixedProduct</v>
      </c>
      <c r="DP867">
        <f>IF(DI867=1,DP$7,0)</f>
        <v>0</v>
      </c>
      <c r="DQ867" t="str">
        <f>IF(DJ867=1,DQ$7,0)</f>
        <v>Energy</v>
      </c>
      <c r="DR867" t="str">
        <f>IF(DK867=1,DR$7,0)</f>
        <v>Pulp/Paper</v>
      </c>
      <c r="DS867" t="str">
        <f>IF(DL867=1,DS$7,0)</f>
        <v>Timber</v>
      </c>
      <c r="DT867">
        <v>0</v>
      </c>
      <c r="DU867">
        <v>1</v>
      </c>
      <c r="DV867" t="s">
        <v>1950</v>
      </c>
      <c r="DW867">
        <v>0</v>
      </c>
      <c r="DX867">
        <v>0</v>
      </c>
      <c r="DY867">
        <f>SUM(DT867:DU867)</f>
        <v>1</v>
      </c>
      <c r="DZ867" s="143" t="str">
        <f>IF(DT867=1,"self-calculated DF",IF(DU867=1,"external DF used","explicit C balance"))</f>
        <v>external DF used</v>
      </c>
      <c r="EA867">
        <v>1</v>
      </c>
      <c r="EB867">
        <v>1</v>
      </c>
      <c r="EC867">
        <v>1</v>
      </c>
      <c r="ED867">
        <v>0</v>
      </c>
      <c r="EE867">
        <v>1</v>
      </c>
      <c r="EF867" s="143">
        <v>1</v>
      </c>
      <c r="EG867">
        <v>1</v>
      </c>
      <c r="EH867">
        <v>1</v>
      </c>
      <c r="EI867">
        <v>0</v>
      </c>
      <c r="EJ867">
        <v>0</v>
      </c>
      <c r="EK867">
        <v>1</v>
      </c>
      <c r="EL867">
        <v>0</v>
      </c>
      <c r="EM867">
        <v>0</v>
      </c>
      <c r="EN867" s="2">
        <v>0</v>
      </c>
      <c r="EP867" t="str">
        <f>IF(AND(AND(AND(OR($EC867=1,$EB867=1),OR($EH867=1,$EF867=1)),SUM($EA867:$EE867,$EK867)&gt;=3),SUM($EF867:$EJ867)&gt;=2),"Whole sector approach","")</f>
        <v>Whole sector approach</v>
      </c>
      <c r="EQ867" t="str">
        <f>IF(AND(AND(OR($EC867=1,$EB867=1),AND($EH867=0,$EF867=0)),SUM($EA867:$EE867,$EK867)&gt;=3),"Ecosystem approach","")</f>
        <v/>
      </c>
      <c r="ER867" s="2" t="str">
        <f>IF(AND(AND(AND($EC867=0,$EB867=0),OR($EH867=1,$EF867=1)),SUM($EG867:$EJ867)&gt;=2),"Technology approach","")</f>
        <v/>
      </c>
      <c r="ES867" t="str">
        <f>IF(AND($EC867+$EB867+$EE867+$EA867+$ED867+$EG867=0,$N867="included"),"C neutral forest and HWP assumption","")</f>
        <v/>
      </c>
      <c r="ET867" t="str">
        <f>IF(AND(AND(AND(AND($EC867=1,$EB867+$EA867+$EG867&gt;=1),$EF867=1),$EH867+$EI867+$ED867+$EE867&gt;=2),$N867="included"),"All C pools assumption","")</f>
        <v>All C pools assumption</v>
      </c>
      <c r="EU867" t="str">
        <f>IF(AND($ED867+$EE867+$EI867+$EH867+$EF867=0,$N867="included"),"In-situ only assumption","")</f>
        <v/>
      </c>
      <c r="EY867" t="str">
        <f>IF(ISNUMBER(BW867),IF(ABS(BW867-[4]QC_indicators!$B$2)&gt;3*[4]QC_indicators!$C$2,"C ratio",IF(ISNUMBER(CA867),IF(ABS(CA867-[4]QC_indicators!$B$1)&gt;3*[4]QC_indicators!$C$1,"DF","no"))),IF(ISNUMBER(CA867),IF(ABS(CA867-[4]QC_indicators!$B$1)&gt;3*[4]QC_indicators!$C$1,"DF","no")))</f>
        <v>no</v>
      </c>
      <c r="FA867" t="str">
        <f>IF(LEN($CY867)=0,"",IF(AND($CY867&lt;(-0.05),$ES867="C neutral forest and HWP assumption"),"Cneutral paradox",IF(AND($CY867&gt;0.05,$EU867="In-situ only assumption"),"In-situ only paradox","")))</f>
        <v/>
      </c>
      <c r="FD867" t="s">
        <v>5032</v>
      </c>
      <c r="FE867" s="334" t="s">
        <v>5074</v>
      </c>
    </row>
    <row r="868" spans="1:161" ht="15" customHeight="1">
      <c r="A868" s="1" t="s">
        <v>1233</v>
      </c>
      <c r="B868" t="s">
        <v>1941</v>
      </c>
      <c r="C868" t="s">
        <v>1942</v>
      </c>
      <c r="D868" t="s">
        <v>1943</v>
      </c>
      <c r="E868" t="s">
        <v>1944</v>
      </c>
      <c r="F868" t="s">
        <v>1945</v>
      </c>
      <c r="G868" t="s">
        <v>1239</v>
      </c>
      <c r="H868" t="s">
        <v>254</v>
      </c>
      <c r="I868">
        <v>2012</v>
      </c>
      <c r="J868">
        <v>21</v>
      </c>
      <c r="K868" t="s">
        <v>1946</v>
      </c>
      <c r="L868" s="191"/>
      <c r="M868" t="str">
        <f>LEFT($D868,FIND(",",$D868)-1)&amp;"_"&amp;I868&amp;L868</f>
        <v>Pyorala_2012</v>
      </c>
      <c r="N868" t="s">
        <v>222</v>
      </c>
      <c r="O868" s="145" t="s">
        <v>341</v>
      </c>
      <c r="P868" s="179" t="s">
        <v>223</v>
      </c>
      <c r="Q868" s="317" t="s">
        <v>256</v>
      </c>
      <c r="R868" s="318" t="s">
        <v>1029</v>
      </c>
      <c r="S868" s="320" t="s">
        <v>5027</v>
      </c>
      <c r="T868" s="317" t="s">
        <v>5033</v>
      </c>
      <c r="U868" s="317" t="s">
        <v>5034</v>
      </c>
      <c r="V868" s="253">
        <v>0</v>
      </c>
      <c r="W868" s="253">
        <v>0</v>
      </c>
      <c r="X868">
        <v>0</v>
      </c>
      <c r="Y868">
        <v>0</v>
      </c>
      <c r="Z868">
        <v>0</v>
      </c>
      <c r="AA868">
        <v>1</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s="141">
        <f>COUNTIF(X868:AY868,"&lt;&gt;0")</f>
        <v>1</v>
      </c>
      <c r="BA868" s="141">
        <f>COUNTIF(X868:AN868,"&lt;&gt;0")</f>
        <v>1</v>
      </c>
      <c r="BB868">
        <f>COUNTIF(X868:AE868,"&lt;&gt;0")</f>
        <v>1</v>
      </c>
      <c r="BC868">
        <f>COUNTIF(AF868:AK868,"&lt;&gt;0")</f>
        <v>0</v>
      </c>
      <c r="BD868">
        <f>COUNTIF(AL868:AN868,"&lt;&gt;0")</f>
        <v>0</v>
      </c>
      <c r="BE868">
        <f>COUNTIF(AU868:AY868,"&lt;&gt;0")</f>
        <v>0</v>
      </c>
      <c r="BF868">
        <f>COUNTIF(AO868:AT868,"&lt;&gt;0")</f>
        <v>0</v>
      </c>
      <c r="BG868" t="str" cm="1">
        <f t="array" ref="BG868">IF(BA868=1,INDEX($X$7:$AN$7,MATCH(TRUE,INDEX($X868:$AY868&lt;&gt;0,),0)),IF(BA868=0,INDEX($AO$7:$AY$7,MATCH(1,$AO868:$AY868,0)),IF(BH868="Multiple strategies","mixed drivers",IF(BH868="Supply chain","multiple supply","multiple silviculture"))))</f>
        <v xml:space="preserve">cutting intensity </v>
      </c>
      <c r="BH868" s="2" t="str" cm="1">
        <f t="array" ref="BH868">IF(COUNTIF(BB868:BD868,"&lt;&gt;0")=1,INDEX($X$4:$AY$4,MATCH(TRUE,INDEX($X868:$AY868&lt;&gt;0,),0)),IF(COUNTIF(BB868:BD868,"&lt;&gt;0")=0,INDEX($AO$4:$AY$4,MATCH(1,$AO868:$AY868,0)),"Multiple strategies"))</f>
        <v>Silviculture for removals</v>
      </c>
      <c r="BI868" s="177" t="s">
        <v>321</v>
      </c>
      <c r="BJ868" s="317" t="s">
        <v>1949</v>
      </c>
      <c r="BK868" s="317" t="s">
        <v>687</v>
      </c>
      <c r="BL868" s="160" t="s">
        <v>691</v>
      </c>
      <c r="BM868">
        <v>8.3000000000000007</v>
      </c>
      <c r="BN868">
        <v>8.4</v>
      </c>
      <c r="BO868" s="317">
        <f>BN868/BM868</f>
        <v>1.0120481927710843</v>
      </c>
      <c r="BP868">
        <f>BN868-BM868</f>
        <v>9.9999999999999645E-2</v>
      </c>
      <c r="BQ868">
        <f>BP868</f>
        <v>9.9999999999999645E-2</v>
      </c>
      <c r="BR868" s="155" t="s">
        <v>232</v>
      </c>
      <c r="BS868" s="317" t="s">
        <v>5030</v>
      </c>
      <c r="BT868" s="321" t="s">
        <v>5031</v>
      </c>
      <c r="BU868" s="317">
        <v>449.1</v>
      </c>
      <c r="BV868" s="317">
        <v>380.6</v>
      </c>
      <c r="BW868" s="144">
        <f>BV868/BU868</f>
        <v>0.84747272322422629</v>
      </c>
      <c r="BX868">
        <f>BV868-BU868</f>
        <v>-68.5</v>
      </c>
      <c r="BZ868">
        <f>BX868*100/10^4</f>
        <v>-0.68500000000000005</v>
      </c>
      <c r="CA868">
        <f>IFERROR(BZ868/BQ868,"")</f>
        <v>-6.8500000000000245</v>
      </c>
      <c r="CB868">
        <v>0</v>
      </c>
      <c r="CC868">
        <v>0</v>
      </c>
      <c r="CD868">
        <v>0</v>
      </c>
      <c r="CE868">
        <v>0</v>
      </c>
      <c r="CF868">
        <v>0</v>
      </c>
      <c r="CG868">
        <v>0</v>
      </c>
      <c r="CH868">
        <v>0</v>
      </c>
      <c r="CI868">
        <v>0</v>
      </c>
      <c r="CJ868">
        <v>0</v>
      </c>
      <c r="CK868">
        <v>0</v>
      </c>
      <c r="CL868">
        <v>0</v>
      </c>
      <c r="CM868">
        <v>0</v>
      </c>
      <c r="CN868">
        <v>0</v>
      </c>
      <c r="CO868">
        <v>0</v>
      </c>
      <c r="CP868" t="str">
        <f>IF($BN868&lt;$BM868,"refNeedCorrection","refOK")</f>
        <v>refOK</v>
      </c>
      <c r="CQ868">
        <f>IF($CP868="refOK",$BM868,$BN868)</f>
        <v>8.3000000000000007</v>
      </c>
      <c r="CR868">
        <f>IF($CP868="refOK",$BN868,$BM868)</f>
        <v>8.4</v>
      </c>
      <c r="CS868">
        <f>IF($CP868="refOK",$BQ868,-$BQ868)</f>
        <v>9.9999999999999645E-2</v>
      </c>
      <c r="CT868">
        <f>IF(BI868="Roundwood",$CS868/2,$CS868)</f>
        <v>4.9999999999999822E-2</v>
      </c>
      <c r="CU868">
        <f>IF($CP868="refOK",$BU868,$BV868)*IF($BR868="Emissions positive",-1,1)</f>
        <v>449.1</v>
      </c>
      <c r="CV868">
        <f>IF($CP868="refOK",$BV868,$BU868)*IF($BR868="Emissions positive",-1,1)</f>
        <v>380.6</v>
      </c>
      <c r="CW868">
        <f>IF($CP868="refNeedCorrection",-BZ868,BZ868)*IF($BR868="Emissions positive",-1,1)</f>
        <v>-0.68500000000000005</v>
      </c>
      <c r="CX868">
        <f>IFERROR($CW868/$CS868,"")</f>
        <v>-6.8500000000000245</v>
      </c>
      <c r="CY868">
        <f>IFERROR($CW868/$CS868,"")</f>
        <v>-6.8500000000000245</v>
      </c>
      <c r="CZ868">
        <f>IFERROR($CW868/$CT868,"")</f>
        <v>-13.700000000000049</v>
      </c>
      <c r="DA868" s="2">
        <f>IFERROR((CV868-CU868)/ABS(CU868),"")</f>
        <v>-0.15252727677577377</v>
      </c>
      <c r="DB868" s="1" t="s">
        <v>1074</v>
      </c>
      <c r="DC868" s="317" t="str">
        <f>IF(OR($DB868="prd",$DB868="std",$DB868="cit"),"loc",IF(OR($DB868="eur",$DB868="reg",$DB868="coy"),"reg",$DB868))</f>
        <v>reg</v>
      </c>
      <c r="DD868" t="s">
        <v>235</v>
      </c>
      <c r="DG868">
        <v>50</v>
      </c>
      <c r="DH868" t="str">
        <f>IF(DG868=0,"0",IF(AND(DG868&gt;=1,DG868&lt;=30),"1-30",IF(AND(DG868&gt;30,DG868&lt;=70),"31-70",IF(AND(DG868&gt;70,DG868&lt;=100),"71-100",IF(DG868&gt;100,"+100")))))</f>
        <v>31-70</v>
      </c>
      <c r="DI868">
        <v>0</v>
      </c>
      <c r="DJ868">
        <v>1</v>
      </c>
      <c r="DK868">
        <v>1</v>
      </c>
      <c r="DL868">
        <v>1</v>
      </c>
      <c r="DN868">
        <f>SUM(DI868:DL868)</f>
        <v>3</v>
      </c>
      <c r="DO868" t="str">
        <f>IF(DN868=1,INDEX($DI$7:$DL$7,MATCH(1,$DI868:$DL868,0)),"mixedProduct")</f>
        <v>mixedProduct</v>
      </c>
      <c r="DP868">
        <f>IF(DI868=1,DP$7,0)</f>
        <v>0</v>
      </c>
      <c r="DQ868" t="str">
        <f>IF(DJ868=1,DQ$7,0)</f>
        <v>Energy</v>
      </c>
      <c r="DR868" t="str">
        <f>IF(DK868=1,DR$7,0)</f>
        <v>Pulp/Paper</v>
      </c>
      <c r="DS868" t="str">
        <f>IF(DL868=1,DS$7,0)</f>
        <v>Timber</v>
      </c>
      <c r="DT868">
        <v>0</v>
      </c>
      <c r="DU868">
        <v>1</v>
      </c>
      <c r="DV868" t="s">
        <v>1950</v>
      </c>
      <c r="DW868">
        <v>0</v>
      </c>
      <c r="DX868">
        <v>0</v>
      </c>
      <c r="DY868">
        <f>SUM(DT868:DU868)</f>
        <v>1</v>
      </c>
      <c r="DZ868" s="143" t="str">
        <f>IF(DT868=1,"self-calculated DF",IF(DU868=1,"external DF used","explicit C balance"))</f>
        <v>external DF used</v>
      </c>
      <c r="EA868">
        <v>1</v>
      </c>
      <c r="EB868">
        <v>1</v>
      </c>
      <c r="EC868">
        <v>1</v>
      </c>
      <c r="ED868">
        <v>0</v>
      </c>
      <c r="EE868">
        <v>0</v>
      </c>
      <c r="EF868" s="143">
        <v>0</v>
      </c>
      <c r="EG868">
        <v>1</v>
      </c>
      <c r="EH868">
        <v>0</v>
      </c>
      <c r="EI868">
        <v>0</v>
      </c>
      <c r="EJ868">
        <v>0</v>
      </c>
      <c r="EK868">
        <v>1</v>
      </c>
      <c r="EL868">
        <v>0</v>
      </c>
      <c r="EM868">
        <v>0</v>
      </c>
      <c r="EN868" s="2">
        <v>0</v>
      </c>
      <c r="EP868" t="str">
        <f>IF(AND(AND(AND(OR($EC868=1,$EB868=1),OR($EH868=1,$EF868=1)),SUM($EA868:$EE868,$EK868)&gt;=3),SUM($EF868:$EJ868)&gt;=2),"Whole sector approach","")</f>
        <v/>
      </c>
      <c r="EQ868" t="str">
        <f>IF(AND(AND(OR($EC868=1,$EB868=1),AND($EH868=0,$EF868=0)),SUM($EA868:$EE868,$EK868)&gt;=3),"Ecosystem approach","")</f>
        <v>Ecosystem approach</v>
      </c>
      <c r="ER868" s="2" t="str">
        <f>IF(AND(AND(AND($EC868=0,$EB868=0),OR($EH868=1,$EF868=1)),SUM($EG868:$EJ868)&gt;=2),"Technology approach","")</f>
        <v/>
      </c>
      <c r="ES868" t="str">
        <f>IF(AND($EC868+$EB868+$EE868+$EA868+$ED868+$EG868=0,$N868="included"),"C neutral forest and HWP assumption","")</f>
        <v/>
      </c>
      <c r="ET868" t="str">
        <f>IF(AND(AND(AND(AND($EC868=1,$EB868+$EA868+$EG868&gt;=1),$EF868=1),$EH868+$EI868+$ED868+$EE868&gt;=2),$N868="included"),"All C pools assumption","")</f>
        <v/>
      </c>
      <c r="EU868" t="str">
        <f>IF(AND($ED868+$EE868+$EI868+$EH868+$EF868=0,$N868="included"),"In-situ only assumption","")</f>
        <v>In-situ only assumption</v>
      </c>
      <c r="EY868" t="str">
        <f>IF(ISNUMBER(BW868),IF(ABS(BW868-[4]QC_indicators!$B$2)&gt;3*[4]QC_indicators!$C$2,"C ratio",IF(ISNUMBER(CA868),IF(ABS(CA868-[4]QC_indicators!$B$1)&gt;3*[4]QC_indicators!$C$1,"DF","no"))),IF(ISNUMBER(CA868),IF(ABS(CA868-[4]QC_indicators!$B$1)&gt;3*[4]QC_indicators!$C$1,"DF","no")))</f>
        <v>DF</v>
      </c>
      <c r="FA868" t="str">
        <f>IF(LEN($CY868)=0,"",IF(AND($CY868&lt;(-0.05),$ES868="C neutral forest and HWP assumption"),"Cneutral paradox",IF(AND($CY868&gt;0.05,$EU868="In-situ only assumption"),"In-situ only paradox","")))</f>
        <v/>
      </c>
      <c r="FD868" t="s">
        <v>5032</v>
      </c>
      <c r="FE868" s="334" t="s">
        <v>5074</v>
      </c>
    </row>
    <row r="869" spans="1:161" ht="15" customHeight="1">
      <c r="A869" s="1" t="s">
        <v>1233</v>
      </c>
      <c r="B869" t="s">
        <v>1941</v>
      </c>
      <c r="C869" t="s">
        <v>1942</v>
      </c>
      <c r="D869" t="s">
        <v>1943</v>
      </c>
      <c r="E869" t="s">
        <v>1944</v>
      </c>
      <c r="F869" t="s">
        <v>1945</v>
      </c>
      <c r="G869" t="s">
        <v>1239</v>
      </c>
      <c r="H869" t="s">
        <v>254</v>
      </c>
      <c r="I869">
        <v>2012</v>
      </c>
      <c r="J869">
        <v>21</v>
      </c>
      <c r="K869" t="s">
        <v>1946</v>
      </c>
      <c r="L869" s="191"/>
      <c r="M869" t="str">
        <f>LEFT($D869,FIND(",",$D869)-1)&amp;"_"&amp;I869&amp;L869</f>
        <v>Pyorala_2012</v>
      </c>
      <c r="N869" t="s">
        <v>222</v>
      </c>
      <c r="O869" s="145" t="s">
        <v>341</v>
      </c>
      <c r="P869" s="179" t="s">
        <v>223</v>
      </c>
      <c r="Q869" s="317" t="s">
        <v>256</v>
      </c>
      <c r="R869" s="318" t="s">
        <v>1029</v>
      </c>
      <c r="S869" s="320" t="s">
        <v>683</v>
      </c>
      <c r="T869" s="317" t="s">
        <v>5043</v>
      </c>
      <c r="U869" s="317" t="s">
        <v>5044</v>
      </c>
      <c r="V869" s="253">
        <v>0</v>
      </c>
      <c r="W869" s="253">
        <v>0</v>
      </c>
      <c r="X869">
        <v>0</v>
      </c>
      <c r="Y869">
        <v>0</v>
      </c>
      <c r="Z869">
        <v>0</v>
      </c>
      <c r="AA869">
        <v>0</v>
      </c>
      <c r="AB869">
        <v>0</v>
      </c>
      <c r="AC869">
        <v>0</v>
      </c>
      <c r="AD869">
        <v>1</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s="141">
        <f>COUNTIF(X869:AY869,"&lt;&gt;0")</f>
        <v>1</v>
      </c>
      <c r="BA869" s="141">
        <f>COUNTIF(X869:AN869,"&lt;&gt;0")</f>
        <v>1</v>
      </c>
      <c r="BB869">
        <f>COUNTIF(X869:AE869,"&lt;&gt;0")</f>
        <v>1</v>
      </c>
      <c r="BC869">
        <f>COUNTIF(AF869:AK869,"&lt;&gt;0")</f>
        <v>0</v>
      </c>
      <c r="BD869">
        <f>COUNTIF(AL869:AN869,"&lt;&gt;0")</f>
        <v>0</v>
      </c>
      <c r="BE869">
        <f>COUNTIF(AU869:AY869,"&lt;&gt;0")</f>
        <v>0</v>
      </c>
      <c r="BF869">
        <f>COUNTIF(AO869:AT869,"&lt;&gt;0")</f>
        <v>0</v>
      </c>
      <c r="BG869" t="str" cm="1">
        <f t="array" ref="BG869">IF(BA869=1,INDEX($X$7:$AN$7,MATCH(TRUE,INDEX($X869:$AY869&lt;&gt;0,),0)),IF(BA869=0,INDEX($AO$7:$AY$7,MATCH(1,$AO869:$AY869,0)),IF(BH869="Multiple strategies","mixed drivers",IF(BH869="Supply chain","multiple supply","multiple silviculture"))))</f>
        <v>fertilisation</v>
      </c>
      <c r="BH869" s="2" t="str" cm="1">
        <f t="array" ref="BH869">IF(COUNTIF(BB869:BD869,"&lt;&gt;0")=1,INDEX($X$4:$AY$4,MATCH(TRUE,INDEX($X869:$AY869&lt;&gt;0,),0)),IF(COUNTIF(BB869:BD869,"&lt;&gt;0")=0,INDEX($AO$4:$AY$4,MATCH(1,$AO869:$AY869,0)),"Multiple strategies"))</f>
        <v>Silviculture for productivity</v>
      </c>
      <c r="BI869" s="177" t="s">
        <v>321</v>
      </c>
      <c r="BJ869" s="317" t="s">
        <v>1949</v>
      </c>
      <c r="BK869" s="317" t="s">
        <v>687</v>
      </c>
      <c r="BL869" s="160" t="s">
        <v>691</v>
      </c>
      <c r="BM869">
        <v>8.6999999999999993</v>
      </c>
      <c r="BN869">
        <v>9.1</v>
      </c>
      <c r="BO869" s="317">
        <f>BN869/BM869</f>
        <v>1.0459770114942528</v>
      </c>
      <c r="BP869">
        <f>BN869-BM869</f>
        <v>0.40000000000000036</v>
      </c>
      <c r="BQ869">
        <f>BP869</f>
        <v>0.40000000000000036</v>
      </c>
      <c r="BR869" s="155" t="s">
        <v>232</v>
      </c>
      <c r="BS869" s="317" t="s">
        <v>5030</v>
      </c>
      <c r="BT869" s="321" t="s">
        <v>5031</v>
      </c>
      <c r="BU869" s="317">
        <v>517.6</v>
      </c>
      <c r="BV869" s="317">
        <v>574.70000000000005</v>
      </c>
      <c r="BW869" s="144">
        <f>BV869/BU869</f>
        <v>1.1103168469860898</v>
      </c>
      <c r="BX869">
        <f>BV869-BU869</f>
        <v>57.100000000000023</v>
      </c>
      <c r="BZ869">
        <f>BX869*100/10^4</f>
        <v>0.57100000000000017</v>
      </c>
      <c r="CA869">
        <f>IFERROR(BZ869/BQ869,"")</f>
        <v>1.4274999999999991</v>
      </c>
      <c r="CB869">
        <v>0</v>
      </c>
      <c r="CC869">
        <v>0</v>
      </c>
      <c r="CD869">
        <v>0</v>
      </c>
      <c r="CE869">
        <v>0</v>
      </c>
      <c r="CF869">
        <v>0</v>
      </c>
      <c r="CG869">
        <v>0</v>
      </c>
      <c r="CH869">
        <v>0</v>
      </c>
      <c r="CI869">
        <v>0</v>
      </c>
      <c r="CJ869">
        <v>0</v>
      </c>
      <c r="CK869">
        <v>0</v>
      </c>
      <c r="CL869">
        <v>0</v>
      </c>
      <c r="CM869">
        <v>0</v>
      </c>
      <c r="CN869">
        <v>0</v>
      </c>
      <c r="CO869">
        <v>0</v>
      </c>
      <c r="CP869" t="str">
        <f>IF($BN869&lt;$BM869,"refNeedCorrection","refOK")</f>
        <v>refOK</v>
      </c>
      <c r="CQ869">
        <f>IF($CP869="refOK",$BM869,$BN869)</f>
        <v>8.6999999999999993</v>
      </c>
      <c r="CR869">
        <f>IF($CP869="refOK",$BN869,$BM869)</f>
        <v>9.1</v>
      </c>
      <c r="CS869">
        <f>IF($CP869="refOK",$BQ869,-$BQ869)</f>
        <v>0.40000000000000036</v>
      </c>
      <c r="CT869">
        <f>IF(BI869="Roundwood",$CS869/2,$CS869)</f>
        <v>0.20000000000000018</v>
      </c>
      <c r="CU869">
        <f>IF($CP869="refOK",$BU869,$BV869)*IF($BR869="Emissions positive",-1,1)</f>
        <v>517.6</v>
      </c>
      <c r="CV869">
        <f>IF($CP869="refOK",$BV869,$BU869)*IF($BR869="Emissions positive",-1,1)</f>
        <v>574.70000000000005</v>
      </c>
      <c r="CW869">
        <f>IF($CP869="refNeedCorrection",-BZ869,BZ869)*IF($BR869="Emissions positive",-1,1)</f>
        <v>0.57100000000000017</v>
      </c>
      <c r="CX869">
        <f>IFERROR($CW869/$CS869,"")</f>
        <v>1.4274999999999991</v>
      </c>
      <c r="CY869">
        <f>IFERROR($CW869/$CS869,"")</f>
        <v>1.4274999999999991</v>
      </c>
      <c r="CZ869">
        <f>IFERROR($CW869/$CT869,"")</f>
        <v>2.8549999999999982</v>
      </c>
      <c r="DA869" s="2">
        <f>IFERROR((CV869-CU869)/ABS(CU869),"")</f>
        <v>0.11031684698608968</v>
      </c>
      <c r="DB869" s="1" t="s">
        <v>1074</v>
      </c>
      <c r="DC869" s="317" t="str">
        <f>IF(OR($DB869="prd",$DB869="std",$DB869="cit"),"loc",IF(OR($DB869="eur",$DB869="reg",$DB869="coy"),"reg",$DB869))</f>
        <v>reg</v>
      </c>
      <c r="DD869" t="s">
        <v>235</v>
      </c>
      <c r="DG869">
        <v>80</v>
      </c>
      <c r="DH869" t="str">
        <f>IF(DG869=0,"0",IF(AND(DG869&gt;=1,DG869&lt;=30),"1-30",IF(AND(DG869&gt;30,DG869&lt;=70),"31-70",IF(AND(DG869&gt;70,DG869&lt;=100),"71-100",IF(DG869&gt;100,"+100")))))</f>
        <v>71-100</v>
      </c>
      <c r="DI869">
        <v>0</v>
      </c>
      <c r="DJ869">
        <v>1</v>
      </c>
      <c r="DK869">
        <v>1</v>
      </c>
      <c r="DL869">
        <v>1</v>
      </c>
      <c r="DN869">
        <f>SUM(DI869:DL869)</f>
        <v>3</v>
      </c>
      <c r="DO869" t="str">
        <f>IF(DN869=1,INDEX($DI$7:$DL$7,MATCH(1,$DI869:$DL869,0)),"mixedProduct")</f>
        <v>mixedProduct</v>
      </c>
      <c r="DP869">
        <f>IF(DI869=1,DP$7,0)</f>
        <v>0</v>
      </c>
      <c r="DQ869" t="str">
        <f>IF(DJ869=1,DQ$7,0)</f>
        <v>Energy</v>
      </c>
      <c r="DR869" t="str">
        <f>IF(DK869=1,DR$7,0)</f>
        <v>Pulp/Paper</v>
      </c>
      <c r="DS869" t="str">
        <f>IF(DL869=1,DS$7,0)</f>
        <v>Timber</v>
      </c>
      <c r="DT869">
        <v>0</v>
      </c>
      <c r="DU869">
        <v>1</v>
      </c>
      <c r="DV869" t="s">
        <v>1950</v>
      </c>
      <c r="DW869">
        <v>0</v>
      </c>
      <c r="DX869">
        <v>0</v>
      </c>
      <c r="DY869">
        <f>SUM(DT869:DU869)</f>
        <v>1</v>
      </c>
      <c r="DZ869" s="143" t="str">
        <f>IF(DT869=1,"self-calculated DF",IF(DU869=1,"external DF used","explicit C balance"))</f>
        <v>external DF used</v>
      </c>
      <c r="EA869">
        <v>1</v>
      </c>
      <c r="EB869">
        <v>1</v>
      </c>
      <c r="EC869">
        <v>1</v>
      </c>
      <c r="ED869">
        <v>0</v>
      </c>
      <c r="EE869">
        <v>0</v>
      </c>
      <c r="EF869" s="143">
        <v>0</v>
      </c>
      <c r="EG869">
        <v>1</v>
      </c>
      <c r="EH869">
        <v>0</v>
      </c>
      <c r="EI869">
        <v>0</v>
      </c>
      <c r="EJ869">
        <v>0</v>
      </c>
      <c r="EK869">
        <v>1</v>
      </c>
      <c r="EL869">
        <v>0</v>
      </c>
      <c r="EM869">
        <v>0</v>
      </c>
      <c r="EN869" s="2">
        <v>0</v>
      </c>
      <c r="EP869" t="str">
        <f>IF(AND(AND(AND(OR($EC869=1,$EB869=1),OR($EH869=1,$EF869=1)),SUM($EA869:$EE869,$EK869)&gt;=3),SUM($EF869:$EJ869)&gt;=2),"Whole sector approach","")</f>
        <v/>
      </c>
      <c r="EQ869" t="str">
        <f>IF(AND(AND(OR($EC869=1,$EB869=1),AND($EH869=0,$EF869=0)),SUM($EA869:$EE869,$EK869)&gt;=3),"Ecosystem approach","")</f>
        <v>Ecosystem approach</v>
      </c>
      <c r="ER869" s="2" t="str">
        <f>IF(AND(AND(AND($EC869=0,$EB869=0),OR($EH869=1,$EF869=1)),SUM($EG869:$EJ869)&gt;=2),"Technology approach","")</f>
        <v/>
      </c>
      <c r="ES869" t="str">
        <f>IF(AND($EC869+$EB869+$EE869+$EA869+$ED869+$EG869=0,$N869="included"),"C neutral forest and HWP assumption","")</f>
        <v/>
      </c>
      <c r="ET869" t="str">
        <f>IF(AND(AND(AND(AND($EC869=1,$EB869+$EA869+$EG869&gt;=1),$EF869=1),$EH869+$EI869+$ED869+$EE869&gt;=2),$N869="included"),"All C pools assumption","")</f>
        <v/>
      </c>
      <c r="EU869" t="str">
        <f>IF(AND($ED869+$EE869+$EI869+$EH869+$EF869=0,$N869="included"),"In-situ only assumption","")</f>
        <v>In-situ only assumption</v>
      </c>
      <c r="EY869" t="str">
        <f>IF(ISNUMBER(BW869),IF(ABS(BW869-[4]QC_indicators!$B$2)&gt;3*[4]QC_indicators!$C$2,"C ratio",IF(ISNUMBER(CA869),IF(ABS(CA869-[4]QC_indicators!$B$1)&gt;3*[4]QC_indicators!$C$1,"DF","no"))),IF(ISNUMBER(CA869),IF(ABS(CA869-[4]QC_indicators!$B$1)&gt;3*[4]QC_indicators!$C$1,"DF","no")))</f>
        <v>no</v>
      </c>
      <c r="FA869" t="str">
        <f>IF(LEN($CY869)=0,"",IF(AND($CY869&lt;(-0.05),$ES869="C neutral forest and HWP assumption"),"Cneutral paradox",IF(AND($CY869&gt;0.05,$EU869="In-situ only assumption"),"In-situ only paradox","")))</f>
        <v>In-situ only paradox</v>
      </c>
      <c r="FD869" t="s">
        <v>5032</v>
      </c>
      <c r="FE869" s="334" t="s">
        <v>5074</v>
      </c>
    </row>
    <row r="870" spans="1:161" ht="15" customHeight="1">
      <c r="A870" s="1" t="s">
        <v>1233</v>
      </c>
      <c r="B870" t="s">
        <v>1941</v>
      </c>
      <c r="C870" t="s">
        <v>1942</v>
      </c>
      <c r="D870" t="s">
        <v>1943</v>
      </c>
      <c r="E870" t="s">
        <v>1944</v>
      </c>
      <c r="F870" t="s">
        <v>1945</v>
      </c>
      <c r="G870" t="s">
        <v>1239</v>
      </c>
      <c r="H870" t="s">
        <v>254</v>
      </c>
      <c r="I870">
        <v>2012</v>
      </c>
      <c r="J870">
        <v>21</v>
      </c>
      <c r="K870" t="s">
        <v>1946</v>
      </c>
      <c r="L870" s="191"/>
      <c r="M870" t="str">
        <f>LEFT($D870,FIND(",",$D870)-1)&amp;"_"&amp;I870&amp;L870</f>
        <v>Pyorala_2012</v>
      </c>
      <c r="N870" t="s">
        <v>222</v>
      </c>
      <c r="O870" s="145" t="s">
        <v>341</v>
      </c>
      <c r="P870" s="179" t="s">
        <v>223</v>
      </c>
      <c r="Q870" s="317" t="s">
        <v>256</v>
      </c>
      <c r="R870" s="318" t="s">
        <v>1029</v>
      </c>
      <c r="S870" s="320" t="s">
        <v>683</v>
      </c>
      <c r="T870" s="317" t="s">
        <v>5045</v>
      </c>
      <c r="U870" s="317" t="s">
        <v>5046</v>
      </c>
      <c r="V870" s="253">
        <v>0</v>
      </c>
      <c r="W870" s="253">
        <v>0</v>
      </c>
      <c r="X870">
        <v>0</v>
      </c>
      <c r="Y870">
        <v>0</v>
      </c>
      <c r="Z870">
        <v>0</v>
      </c>
      <c r="AA870">
        <v>0</v>
      </c>
      <c r="AB870">
        <v>0</v>
      </c>
      <c r="AC870">
        <v>0</v>
      </c>
      <c r="AD870">
        <v>1</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s="141">
        <f>COUNTIF(X870:AY870,"&lt;&gt;0")</f>
        <v>1</v>
      </c>
      <c r="BA870" s="141">
        <f>COUNTIF(X870:AN870,"&lt;&gt;0")</f>
        <v>1</v>
      </c>
      <c r="BB870">
        <f>COUNTIF(X870:AE870,"&lt;&gt;0")</f>
        <v>1</v>
      </c>
      <c r="BC870">
        <f>COUNTIF(AF870:AK870,"&lt;&gt;0")</f>
        <v>0</v>
      </c>
      <c r="BD870">
        <f>COUNTIF(AL870:AN870,"&lt;&gt;0")</f>
        <v>0</v>
      </c>
      <c r="BE870">
        <f>COUNTIF(AU870:AY870,"&lt;&gt;0")</f>
        <v>0</v>
      </c>
      <c r="BF870">
        <f>COUNTIF(AO870:AT870,"&lt;&gt;0")</f>
        <v>0</v>
      </c>
      <c r="BG870" t="str" cm="1">
        <f t="array" ref="BG870">IF(BA870=1,INDEX($X$7:$AN$7,MATCH(TRUE,INDEX($X870:$AY870&lt;&gt;0,),0)),IF(BA870=0,INDEX($AO$7:$AY$7,MATCH(1,$AO870:$AY870,0)),IF(BH870="Multiple strategies","mixed drivers",IF(BH870="Supply chain","multiple supply","multiple silviculture"))))</f>
        <v>fertilisation</v>
      </c>
      <c r="BH870" s="2" t="str" cm="1">
        <f t="array" ref="BH870">IF(COUNTIF(BB870:BD870,"&lt;&gt;0")=1,INDEX($X$4:$AY$4,MATCH(TRUE,INDEX($X870:$AY870&lt;&gt;0,),0)),IF(COUNTIF(BB870:BD870,"&lt;&gt;0")=0,INDEX($AO$4:$AY$4,MATCH(1,$AO870:$AY870,0)),"Multiple strategies"))</f>
        <v>Silviculture for productivity</v>
      </c>
      <c r="BI870" s="177" t="s">
        <v>321</v>
      </c>
      <c r="BJ870" s="317" t="s">
        <v>1949</v>
      </c>
      <c r="BK870" s="317" t="s">
        <v>687</v>
      </c>
      <c r="BL870" s="160" t="s">
        <v>691</v>
      </c>
      <c r="BM870">
        <v>6.7</v>
      </c>
      <c r="BN870">
        <v>7.3</v>
      </c>
      <c r="BO870" s="317">
        <f>BN870/BM870</f>
        <v>1.0895522388059702</v>
      </c>
      <c r="BP870">
        <f>BN870-BM870</f>
        <v>0.59999999999999964</v>
      </c>
      <c r="BQ870">
        <f>BP870</f>
        <v>0.59999999999999964</v>
      </c>
      <c r="BR870" s="155" t="s">
        <v>232</v>
      </c>
      <c r="BS870" s="317" t="s">
        <v>5030</v>
      </c>
      <c r="BT870" s="321" t="s">
        <v>5031</v>
      </c>
      <c r="BU870" s="317">
        <v>324.5</v>
      </c>
      <c r="BV870" s="317">
        <v>395.6</v>
      </c>
      <c r="BW870" s="144">
        <f>BV870/BU870</f>
        <v>1.2191063174114023</v>
      </c>
      <c r="BX870">
        <f>BV870-BU870</f>
        <v>71.100000000000023</v>
      </c>
      <c r="BZ870">
        <f>BX870*100/10^4</f>
        <v>0.71100000000000019</v>
      </c>
      <c r="CA870">
        <f>IFERROR(BZ870/BQ870,"")</f>
        <v>1.1850000000000009</v>
      </c>
      <c r="CB870">
        <v>0</v>
      </c>
      <c r="CC870">
        <v>0</v>
      </c>
      <c r="CD870">
        <v>0</v>
      </c>
      <c r="CE870">
        <v>0</v>
      </c>
      <c r="CF870">
        <v>0</v>
      </c>
      <c r="CG870">
        <v>0</v>
      </c>
      <c r="CH870">
        <v>0</v>
      </c>
      <c r="CI870">
        <v>0</v>
      </c>
      <c r="CJ870">
        <v>0</v>
      </c>
      <c r="CK870">
        <v>0</v>
      </c>
      <c r="CL870">
        <v>0</v>
      </c>
      <c r="CM870">
        <v>0</v>
      </c>
      <c r="CN870">
        <v>0</v>
      </c>
      <c r="CO870">
        <v>0</v>
      </c>
      <c r="CP870" t="str">
        <f>IF($BN870&lt;$BM870,"refNeedCorrection","refOK")</f>
        <v>refOK</v>
      </c>
      <c r="CQ870">
        <f>IF($CP870="refOK",$BM870,$BN870)</f>
        <v>6.7</v>
      </c>
      <c r="CR870">
        <f>IF($CP870="refOK",$BN870,$BM870)</f>
        <v>7.3</v>
      </c>
      <c r="CS870">
        <f>IF($CP870="refOK",$BQ870,-$BQ870)</f>
        <v>0.59999999999999964</v>
      </c>
      <c r="CT870">
        <f>IF(BI870="Roundwood",$CS870/2,$CS870)</f>
        <v>0.29999999999999982</v>
      </c>
      <c r="CU870">
        <f>IF($CP870="refOK",$BU870,$BV870)*IF($BR870="Emissions positive",-1,1)</f>
        <v>324.5</v>
      </c>
      <c r="CV870">
        <f>IF($CP870="refOK",$BV870,$BU870)*IF($BR870="Emissions positive",-1,1)</f>
        <v>395.6</v>
      </c>
      <c r="CW870">
        <f>IF($CP870="refNeedCorrection",-BZ870,BZ870)*IF($BR870="Emissions positive",-1,1)</f>
        <v>0.71100000000000019</v>
      </c>
      <c r="CX870">
        <f>IFERROR($CW870/$CS870,"")</f>
        <v>1.1850000000000009</v>
      </c>
      <c r="CY870">
        <f>IFERROR($CW870/$CS870,"")</f>
        <v>1.1850000000000009</v>
      </c>
      <c r="CZ870">
        <f>IFERROR($CW870/$CT870,"")</f>
        <v>2.3700000000000019</v>
      </c>
      <c r="DA870" s="2">
        <f>IFERROR((CV870-CU870)/ABS(CU870),"")</f>
        <v>0.21910631741140224</v>
      </c>
      <c r="DB870" s="1" t="s">
        <v>1074</v>
      </c>
      <c r="DC870" s="317" t="str">
        <f>IF(OR($DB870="prd",$DB870="std",$DB870="cit"),"loc",IF(OR($DB870="eur",$DB870="reg",$DB870="coy"),"reg",$DB870))</f>
        <v>reg</v>
      </c>
      <c r="DD870" t="s">
        <v>235</v>
      </c>
      <c r="DG870">
        <v>50</v>
      </c>
      <c r="DH870" t="str">
        <f>IF(DG870=0,"0",IF(AND(DG870&gt;=1,DG870&lt;=30),"1-30",IF(AND(DG870&gt;30,DG870&lt;=70),"31-70",IF(AND(DG870&gt;70,DG870&lt;=100),"71-100",IF(DG870&gt;100,"+100")))))</f>
        <v>31-70</v>
      </c>
      <c r="DI870">
        <v>0</v>
      </c>
      <c r="DJ870">
        <v>1</v>
      </c>
      <c r="DK870">
        <v>1</v>
      </c>
      <c r="DL870">
        <v>1</v>
      </c>
      <c r="DN870">
        <f>SUM(DI870:DL870)</f>
        <v>3</v>
      </c>
      <c r="DO870" t="str">
        <f>IF(DN870=1,INDEX($DI$7:$DL$7,MATCH(1,$DI870:$DL870,0)),"mixedProduct")</f>
        <v>mixedProduct</v>
      </c>
      <c r="DP870">
        <f>IF(DI870=1,DP$7,0)</f>
        <v>0</v>
      </c>
      <c r="DQ870" t="str">
        <f>IF(DJ870=1,DQ$7,0)</f>
        <v>Energy</v>
      </c>
      <c r="DR870" t="str">
        <f>IF(DK870=1,DR$7,0)</f>
        <v>Pulp/Paper</v>
      </c>
      <c r="DS870" t="str">
        <f>IF(DL870=1,DS$7,0)</f>
        <v>Timber</v>
      </c>
      <c r="DT870">
        <v>0</v>
      </c>
      <c r="DU870">
        <v>1</v>
      </c>
      <c r="DV870" t="s">
        <v>1950</v>
      </c>
      <c r="DW870">
        <v>0</v>
      </c>
      <c r="DX870">
        <v>0</v>
      </c>
      <c r="DY870">
        <f>SUM(DT870:DU870)</f>
        <v>1</v>
      </c>
      <c r="DZ870" s="143" t="str">
        <f>IF(DT870=1,"self-calculated DF",IF(DU870=1,"external DF used","explicit C balance"))</f>
        <v>external DF used</v>
      </c>
      <c r="EA870">
        <v>1</v>
      </c>
      <c r="EB870">
        <v>1</v>
      </c>
      <c r="EC870">
        <v>1</v>
      </c>
      <c r="ED870">
        <v>0</v>
      </c>
      <c r="EE870">
        <v>0</v>
      </c>
      <c r="EF870" s="143">
        <v>0</v>
      </c>
      <c r="EG870">
        <v>1</v>
      </c>
      <c r="EH870">
        <v>0</v>
      </c>
      <c r="EI870">
        <v>0</v>
      </c>
      <c r="EJ870">
        <v>0</v>
      </c>
      <c r="EK870">
        <v>1</v>
      </c>
      <c r="EL870">
        <v>0</v>
      </c>
      <c r="EM870">
        <v>0</v>
      </c>
      <c r="EN870" s="2">
        <v>0</v>
      </c>
      <c r="EP870" t="str">
        <f>IF(AND(AND(AND(OR($EC870=1,$EB870=1),OR($EH870=1,$EF870=1)),SUM($EA870:$EE870,$EK870)&gt;=3),SUM($EF870:$EJ870)&gt;=2),"Whole sector approach","")</f>
        <v/>
      </c>
      <c r="EQ870" t="str">
        <f>IF(AND(AND(OR($EC870=1,$EB870=1),AND($EH870=0,$EF870=0)),SUM($EA870:$EE870,$EK870)&gt;=3),"Ecosystem approach","")</f>
        <v>Ecosystem approach</v>
      </c>
      <c r="ER870" s="2" t="str">
        <f>IF(AND(AND(AND($EC870=0,$EB870=0),OR($EH870=1,$EF870=1)),SUM($EG870:$EJ870)&gt;=2),"Technology approach","")</f>
        <v/>
      </c>
      <c r="ES870" t="str">
        <f>IF(AND($EC870+$EB870+$EE870+$EA870+$ED870+$EG870=0,$N870="included"),"C neutral forest and HWP assumption","")</f>
        <v/>
      </c>
      <c r="ET870" t="str">
        <f>IF(AND(AND(AND(AND($EC870=1,$EB870+$EA870+$EG870&gt;=1),$EF870=1),$EH870+$EI870+$ED870+$EE870&gt;=2),$N870="included"),"All C pools assumption","")</f>
        <v/>
      </c>
      <c r="EU870" t="str">
        <f>IF(AND($ED870+$EE870+$EI870+$EH870+$EF870=0,$N870="included"),"In-situ only assumption","")</f>
        <v>In-situ only assumption</v>
      </c>
      <c r="EY870" t="str">
        <f>IF(ISNUMBER(BW870),IF(ABS(BW870-[4]QC_indicators!$B$2)&gt;3*[4]QC_indicators!$C$2,"C ratio",IF(ISNUMBER(CA870),IF(ABS(CA870-[4]QC_indicators!$B$1)&gt;3*[4]QC_indicators!$C$1,"DF","no"))),IF(ISNUMBER(CA870),IF(ABS(CA870-[4]QC_indicators!$B$1)&gt;3*[4]QC_indicators!$C$1,"DF","no")))</f>
        <v>no</v>
      </c>
      <c r="FA870" t="str">
        <f>IF(LEN($CY870)=0,"",IF(AND($CY870&lt;(-0.05),$ES870="C neutral forest and HWP assumption"),"Cneutral paradox",IF(AND($CY870&gt;0.05,$EU870="In-situ only assumption"),"In-situ only paradox","")))</f>
        <v>In-situ only paradox</v>
      </c>
      <c r="FD870" t="s">
        <v>5032</v>
      </c>
      <c r="FE870" s="334" t="s">
        <v>5074</v>
      </c>
    </row>
    <row r="871" spans="1:161" ht="15" customHeight="1">
      <c r="A871" s="1" t="s">
        <v>1233</v>
      </c>
      <c r="B871" t="s">
        <v>1941</v>
      </c>
      <c r="C871" t="s">
        <v>1942</v>
      </c>
      <c r="D871" t="s">
        <v>1943</v>
      </c>
      <c r="E871" t="s">
        <v>1944</v>
      </c>
      <c r="F871" t="s">
        <v>1945</v>
      </c>
      <c r="G871" t="s">
        <v>1239</v>
      </c>
      <c r="H871" t="s">
        <v>254</v>
      </c>
      <c r="I871">
        <v>2012</v>
      </c>
      <c r="J871">
        <v>21</v>
      </c>
      <c r="K871" t="s">
        <v>1946</v>
      </c>
      <c r="L871" s="191"/>
      <c r="M871" t="str">
        <f>LEFT($D871,FIND(",",$D871)-1)&amp;"_"&amp;I871&amp;L871</f>
        <v>Pyorala_2012</v>
      </c>
      <c r="N871" t="s">
        <v>222</v>
      </c>
      <c r="O871" s="145" t="s">
        <v>341</v>
      </c>
      <c r="P871" s="179" t="s">
        <v>223</v>
      </c>
      <c r="Q871" s="317" t="s">
        <v>256</v>
      </c>
      <c r="R871" s="318" t="s">
        <v>1029</v>
      </c>
      <c r="S871" s="320" t="s">
        <v>683</v>
      </c>
      <c r="T871" s="317" t="s">
        <v>5029</v>
      </c>
      <c r="U871" s="317" t="s">
        <v>5036</v>
      </c>
      <c r="V871" s="253">
        <v>0</v>
      </c>
      <c r="W871" s="253">
        <v>0</v>
      </c>
      <c r="X871">
        <v>0</v>
      </c>
      <c r="Y871">
        <v>0</v>
      </c>
      <c r="Z871">
        <v>0</v>
      </c>
      <c r="AA871">
        <v>0</v>
      </c>
      <c r="AB871">
        <v>0</v>
      </c>
      <c r="AC871">
        <v>0</v>
      </c>
      <c r="AD871">
        <v>1</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s="141">
        <f>COUNTIF(X871:AY871,"&lt;&gt;0")</f>
        <v>1</v>
      </c>
      <c r="BA871" s="141">
        <f>COUNTIF(X871:AN871,"&lt;&gt;0")</f>
        <v>1</v>
      </c>
      <c r="BB871">
        <f>COUNTIF(X871:AE871,"&lt;&gt;0")</f>
        <v>1</v>
      </c>
      <c r="BC871">
        <f>COUNTIF(AF871:AK871,"&lt;&gt;0")</f>
        <v>0</v>
      </c>
      <c r="BD871">
        <f>COUNTIF(AL871:AN871,"&lt;&gt;0")</f>
        <v>0</v>
      </c>
      <c r="BE871">
        <f>COUNTIF(AU871:AY871,"&lt;&gt;0")</f>
        <v>0</v>
      </c>
      <c r="BF871">
        <f>COUNTIF(AO871:AT871,"&lt;&gt;0")</f>
        <v>0</v>
      </c>
      <c r="BG871" t="str" cm="1">
        <f t="array" ref="BG871">IF(BA871=1,INDEX($X$7:$AN$7,MATCH(TRUE,INDEX($X871:$AY871&lt;&gt;0,),0)),IF(BA871=0,INDEX($AO$7:$AY$7,MATCH(1,$AO871:$AY871,0)),IF(BH871="Multiple strategies","mixed drivers",IF(BH871="Supply chain","multiple supply","multiple silviculture"))))</f>
        <v>fertilisation</v>
      </c>
      <c r="BH871" s="2" t="str" cm="1">
        <f t="array" ref="BH871">IF(COUNTIF(BB871:BD871,"&lt;&gt;0")=1,INDEX($X$4:$AY$4,MATCH(TRUE,INDEX($X871:$AY871&lt;&gt;0,),0)),IF(COUNTIF(BB871:BD871,"&lt;&gt;0")=0,INDEX($AO$4:$AY$4,MATCH(1,$AO871:$AY871,0)),"Multiple strategies"))</f>
        <v>Silviculture for productivity</v>
      </c>
      <c r="BI871" s="177" t="s">
        <v>321</v>
      </c>
      <c r="BJ871" s="317" t="s">
        <v>1949</v>
      </c>
      <c r="BK871" s="317" t="s">
        <v>687</v>
      </c>
      <c r="BL871" s="160" t="s">
        <v>691</v>
      </c>
      <c r="BM871">
        <v>7.6</v>
      </c>
      <c r="BN871">
        <v>7.9</v>
      </c>
      <c r="BO871" s="317">
        <f>BN871/BM871</f>
        <v>1.0394736842105263</v>
      </c>
      <c r="BP871">
        <f>BN871-BM871</f>
        <v>0.30000000000000071</v>
      </c>
      <c r="BQ871">
        <f>BP871</f>
        <v>0.30000000000000071</v>
      </c>
      <c r="BR871" s="155" t="s">
        <v>232</v>
      </c>
      <c r="BS871" s="317" t="s">
        <v>5030</v>
      </c>
      <c r="BT871" s="321" t="s">
        <v>5031</v>
      </c>
      <c r="BU871" s="317">
        <v>409.8</v>
      </c>
      <c r="BV871" s="317">
        <v>443.4</v>
      </c>
      <c r="BW871" s="144">
        <f>BV871/BU871</f>
        <v>1.08199121522694</v>
      </c>
      <c r="BX871">
        <f>BV871-BU871</f>
        <v>33.599999999999966</v>
      </c>
      <c r="BZ871">
        <f>BX871*100/10^4</f>
        <v>0.33599999999999963</v>
      </c>
      <c r="CA871">
        <f>IFERROR(BZ871/BQ871,"")</f>
        <v>1.1199999999999961</v>
      </c>
      <c r="CB871">
        <v>0</v>
      </c>
      <c r="CC871">
        <v>0</v>
      </c>
      <c r="CD871">
        <v>0</v>
      </c>
      <c r="CE871">
        <v>0</v>
      </c>
      <c r="CF871">
        <v>0</v>
      </c>
      <c r="CG871">
        <v>0</v>
      </c>
      <c r="CH871">
        <v>0</v>
      </c>
      <c r="CI871">
        <v>0</v>
      </c>
      <c r="CJ871">
        <v>0</v>
      </c>
      <c r="CK871">
        <v>0</v>
      </c>
      <c r="CL871">
        <v>0</v>
      </c>
      <c r="CM871">
        <v>0</v>
      </c>
      <c r="CN871">
        <v>0</v>
      </c>
      <c r="CO871">
        <v>0</v>
      </c>
      <c r="CP871" t="str">
        <f>IF($BN871&lt;$BM871,"refNeedCorrection","refOK")</f>
        <v>refOK</v>
      </c>
      <c r="CQ871">
        <f>IF($CP871="refOK",$BM871,$BN871)</f>
        <v>7.6</v>
      </c>
      <c r="CR871">
        <f>IF($CP871="refOK",$BN871,$BM871)</f>
        <v>7.9</v>
      </c>
      <c r="CS871">
        <f>IF($CP871="refOK",$BQ871,-$BQ871)</f>
        <v>0.30000000000000071</v>
      </c>
      <c r="CT871">
        <f>IF(BI871="Roundwood",$CS871/2,$CS871)</f>
        <v>0.15000000000000036</v>
      </c>
      <c r="CU871">
        <f>IF($CP871="refOK",$BU871,$BV871)*IF($BR871="Emissions positive",-1,1)</f>
        <v>409.8</v>
      </c>
      <c r="CV871">
        <f>IF($CP871="refOK",$BV871,$BU871)*IF($BR871="Emissions positive",-1,1)</f>
        <v>443.4</v>
      </c>
      <c r="CW871">
        <f>IF($CP871="refNeedCorrection",-BZ871,BZ871)*IF($BR871="Emissions positive",-1,1)</f>
        <v>0.33599999999999963</v>
      </c>
      <c r="CX871">
        <f>IFERROR($CW871/$CS871,"")</f>
        <v>1.1199999999999961</v>
      </c>
      <c r="CY871">
        <f>IFERROR($CW871/$CS871,"")</f>
        <v>1.1199999999999961</v>
      </c>
      <c r="CZ871">
        <f>IFERROR($CW871/$CT871,"")</f>
        <v>2.2399999999999922</v>
      </c>
      <c r="DA871" s="2">
        <f>IFERROR((CV871-CU871)/ABS(CU871),"")</f>
        <v>8.199121522693989E-2</v>
      </c>
      <c r="DB871" s="1" t="s">
        <v>1074</v>
      </c>
      <c r="DC871" s="317" t="str">
        <f>IF(OR($DB871="prd",$DB871="std",$DB871="cit"),"loc",IF(OR($DB871="eur",$DB871="reg",$DB871="coy"),"reg",$DB871))</f>
        <v>reg</v>
      </c>
      <c r="DD871" t="s">
        <v>235</v>
      </c>
      <c r="DG871">
        <v>80</v>
      </c>
      <c r="DH871" t="str">
        <f>IF(DG871=0,"0",IF(AND(DG871&gt;=1,DG871&lt;=30),"1-30",IF(AND(DG871&gt;30,DG871&lt;=70),"31-70",IF(AND(DG871&gt;70,DG871&lt;=100),"71-100",IF(DG871&gt;100,"+100")))))</f>
        <v>71-100</v>
      </c>
      <c r="DI871">
        <v>0</v>
      </c>
      <c r="DJ871">
        <v>1</v>
      </c>
      <c r="DK871">
        <v>1</v>
      </c>
      <c r="DL871">
        <v>1</v>
      </c>
      <c r="DN871">
        <f>SUM(DI871:DL871)</f>
        <v>3</v>
      </c>
      <c r="DO871" t="str">
        <f>IF(DN871=1,INDEX($DI$7:$DL$7,MATCH(1,$DI871:$DL871,0)),"mixedProduct")</f>
        <v>mixedProduct</v>
      </c>
      <c r="DP871">
        <f>IF(DI871=1,DP$7,0)</f>
        <v>0</v>
      </c>
      <c r="DQ871" t="str">
        <f>IF(DJ871=1,DQ$7,0)</f>
        <v>Energy</v>
      </c>
      <c r="DR871" t="str">
        <f>IF(DK871=1,DR$7,0)</f>
        <v>Pulp/Paper</v>
      </c>
      <c r="DS871" t="str">
        <f>IF(DL871=1,DS$7,0)</f>
        <v>Timber</v>
      </c>
      <c r="DT871">
        <v>0</v>
      </c>
      <c r="DU871">
        <v>1</v>
      </c>
      <c r="DV871" t="s">
        <v>1950</v>
      </c>
      <c r="DW871">
        <v>0</v>
      </c>
      <c r="DX871">
        <v>0</v>
      </c>
      <c r="DY871">
        <f>SUM(DT871:DU871)</f>
        <v>1</v>
      </c>
      <c r="DZ871" s="143" t="str">
        <f>IF(DT871=1,"self-calculated DF",IF(DU871=1,"external DF used","explicit C balance"))</f>
        <v>external DF used</v>
      </c>
      <c r="EA871">
        <v>1</v>
      </c>
      <c r="EB871">
        <v>1</v>
      </c>
      <c r="EC871">
        <v>1</v>
      </c>
      <c r="ED871">
        <v>0</v>
      </c>
      <c r="EE871">
        <v>0</v>
      </c>
      <c r="EF871" s="143">
        <v>0</v>
      </c>
      <c r="EG871">
        <v>1</v>
      </c>
      <c r="EH871">
        <v>0</v>
      </c>
      <c r="EI871">
        <v>0</v>
      </c>
      <c r="EJ871">
        <v>0</v>
      </c>
      <c r="EK871">
        <v>1</v>
      </c>
      <c r="EL871">
        <v>0</v>
      </c>
      <c r="EM871">
        <v>0</v>
      </c>
      <c r="EN871" s="2">
        <v>0</v>
      </c>
      <c r="EP871" t="str">
        <f>IF(AND(AND(AND(OR($EC871=1,$EB871=1),OR($EH871=1,$EF871=1)),SUM($EA871:$EE871,$EK871)&gt;=3),SUM($EF871:$EJ871)&gt;=2),"Whole sector approach","")</f>
        <v/>
      </c>
      <c r="EQ871" t="str">
        <f>IF(AND(AND(OR($EC871=1,$EB871=1),AND($EH871=0,$EF871=0)),SUM($EA871:$EE871,$EK871)&gt;=3),"Ecosystem approach","")</f>
        <v>Ecosystem approach</v>
      </c>
      <c r="ER871" s="2" t="str">
        <f>IF(AND(AND(AND($EC871=0,$EB871=0),OR($EH871=1,$EF871=1)),SUM($EG871:$EJ871)&gt;=2),"Technology approach","")</f>
        <v/>
      </c>
      <c r="ES871" t="str">
        <f>IF(AND($EC871+$EB871+$EE871+$EA871+$ED871+$EG871=0,$N871="included"),"C neutral forest and HWP assumption","")</f>
        <v/>
      </c>
      <c r="ET871" t="str">
        <f>IF(AND(AND(AND(AND($EC871=1,$EB871+$EA871+$EG871&gt;=1),$EF871=1),$EH871+$EI871+$ED871+$EE871&gt;=2),$N871="included"),"All C pools assumption","")</f>
        <v/>
      </c>
      <c r="EU871" t="str">
        <f>IF(AND($ED871+$EE871+$EI871+$EH871+$EF871=0,$N871="included"),"In-situ only assumption","")</f>
        <v>In-situ only assumption</v>
      </c>
      <c r="EY871" t="str">
        <f>IF(ISNUMBER(BW871),IF(ABS(BW871-[4]QC_indicators!$B$2)&gt;3*[4]QC_indicators!$C$2,"C ratio",IF(ISNUMBER(CA871),IF(ABS(CA871-[4]QC_indicators!$B$1)&gt;3*[4]QC_indicators!$C$1,"DF","no"))),IF(ISNUMBER(CA871),IF(ABS(CA871-[4]QC_indicators!$B$1)&gt;3*[4]QC_indicators!$C$1,"DF","no")))</f>
        <v>no</v>
      </c>
      <c r="FA871" t="str">
        <f>IF(LEN($CY871)=0,"",IF(AND($CY871&lt;(-0.05),$ES871="C neutral forest and HWP assumption"),"Cneutral paradox",IF(AND($CY871&gt;0.05,$EU871="In-situ only assumption"),"In-situ only paradox","")))</f>
        <v>In-situ only paradox</v>
      </c>
      <c r="FD871" t="s">
        <v>5032</v>
      </c>
      <c r="FE871" s="334" t="s">
        <v>5074</v>
      </c>
    </row>
    <row r="872" spans="1:161" ht="15" customHeight="1">
      <c r="A872" s="1" t="s">
        <v>1233</v>
      </c>
      <c r="B872" t="s">
        <v>1941</v>
      </c>
      <c r="C872" t="s">
        <v>1942</v>
      </c>
      <c r="D872" t="s">
        <v>1943</v>
      </c>
      <c r="E872" t="s">
        <v>1944</v>
      </c>
      <c r="F872" t="s">
        <v>1945</v>
      </c>
      <c r="G872" t="s">
        <v>1239</v>
      </c>
      <c r="H872" t="s">
        <v>254</v>
      </c>
      <c r="I872">
        <v>2012</v>
      </c>
      <c r="J872">
        <v>21</v>
      </c>
      <c r="K872" t="s">
        <v>1946</v>
      </c>
      <c r="L872" s="191"/>
      <c r="M872" t="str">
        <f>LEFT($D872,FIND(",",$D872)-1)&amp;"_"&amp;I872&amp;L872</f>
        <v>Pyorala_2012</v>
      </c>
      <c r="N872" t="s">
        <v>222</v>
      </c>
      <c r="O872" s="145" t="s">
        <v>341</v>
      </c>
      <c r="P872" s="179" t="s">
        <v>223</v>
      </c>
      <c r="Q872" s="317" t="s">
        <v>256</v>
      </c>
      <c r="R872" s="318" t="s">
        <v>1029</v>
      </c>
      <c r="S872" s="320" t="s">
        <v>683</v>
      </c>
      <c r="T872" s="317" t="s">
        <v>5028</v>
      </c>
      <c r="U872" s="317" t="s">
        <v>5042</v>
      </c>
      <c r="V872" s="253">
        <v>0</v>
      </c>
      <c r="W872" s="253">
        <v>0</v>
      </c>
      <c r="X872">
        <v>0</v>
      </c>
      <c r="Y872">
        <v>0</v>
      </c>
      <c r="Z872">
        <v>0</v>
      </c>
      <c r="AA872">
        <v>0</v>
      </c>
      <c r="AB872">
        <v>0</v>
      </c>
      <c r="AC872">
        <v>0</v>
      </c>
      <c r="AD872">
        <v>1</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s="141">
        <f>COUNTIF(X872:AY872,"&lt;&gt;0")</f>
        <v>1</v>
      </c>
      <c r="BA872" s="141">
        <f>COUNTIF(X872:AN872,"&lt;&gt;0")</f>
        <v>1</v>
      </c>
      <c r="BB872">
        <f>COUNTIF(X872:AE872,"&lt;&gt;0")</f>
        <v>1</v>
      </c>
      <c r="BC872">
        <f>COUNTIF(AF872:AK872,"&lt;&gt;0")</f>
        <v>0</v>
      </c>
      <c r="BD872">
        <f>COUNTIF(AL872:AN872,"&lt;&gt;0")</f>
        <v>0</v>
      </c>
      <c r="BE872">
        <f>COUNTIF(AU872:AY872,"&lt;&gt;0")</f>
        <v>0</v>
      </c>
      <c r="BF872">
        <f>COUNTIF(AO872:AT872,"&lt;&gt;0")</f>
        <v>0</v>
      </c>
      <c r="BG872" t="str" cm="1">
        <f t="array" ref="BG872">IF(BA872=1,INDEX($X$7:$AN$7,MATCH(TRUE,INDEX($X872:$AY872&lt;&gt;0,),0)),IF(BA872=0,INDEX($AO$7:$AY$7,MATCH(1,$AO872:$AY872,0)),IF(BH872="Multiple strategies","mixed drivers",IF(BH872="Supply chain","multiple supply","multiple silviculture"))))</f>
        <v>fertilisation</v>
      </c>
      <c r="BH872" s="2" t="str" cm="1">
        <f t="array" ref="BH872">IF(COUNTIF(BB872:BD872,"&lt;&gt;0")=1,INDEX($X$4:$AY$4,MATCH(TRUE,INDEX($X872:$AY872&lt;&gt;0,),0)),IF(COUNTIF(BB872:BD872,"&lt;&gt;0")=0,INDEX($AO$4:$AY$4,MATCH(1,$AO872:$AY872,0)),"Multiple strategies"))</f>
        <v>Silviculture for productivity</v>
      </c>
      <c r="BI872" s="177" t="s">
        <v>321</v>
      </c>
      <c r="BJ872" s="317" t="s">
        <v>1949</v>
      </c>
      <c r="BK872" s="317" t="s">
        <v>687</v>
      </c>
      <c r="BL872" s="160" t="s">
        <v>691</v>
      </c>
      <c r="BM872">
        <v>7.3</v>
      </c>
      <c r="BN872">
        <v>7.8</v>
      </c>
      <c r="BO872" s="317">
        <f>BN872/BM872</f>
        <v>1.0684931506849316</v>
      </c>
      <c r="BP872">
        <f>BN872-BM872</f>
        <v>0.5</v>
      </c>
      <c r="BQ872">
        <f>BP872</f>
        <v>0.5</v>
      </c>
      <c r="BR872" s="155" t="s">
        <v>232</v>
      </c>
      <c r="BS872" s="317" t="s">
        <v>5030</v>
      </c>
      <c r="BT872" s="321" t="s">
        <v>5031</v>
      </c>
      <c r="BU872" s="317">
        <v>425.3</v>
      </c>
      <c r="BV872" s="317">
        <v>473.2</v>
      </c>
      <c r="BW872" s="144">
        <f>BV872/BU872</f>
        <v>1.112626381377851</v>
      </c>
      <c r="BX872">
        <f>BV872-BU872</f>
        <v>47.899999999999977</v>
      </c>
      <c r="BZ872">
        <f>BX872*100/10^4</f>
        <v>0.47899999999999981</v>
      </c>
      <c r="CA872">
        <f>IFERROR(BZ872/BQ872,"")</f>
        <v>0.95799999999999963</v>
      </c>
      <c r="CB872">
        <v>0</v>
      </c>
      <c r="CC872">
        <v>0</v>
      </c>
      <c r="CD872">
        <v>0</v>
      </c>
      <c r="CE872">
        <v>0</v>
      </c>
      <c r="CF872">
        <v>0</v>
      </c>
      <c r="CG872">
        <v>0</v>
      </c>
      <c r="CH872">
        <v>0</v>
      </c>
      <c r="CI872">
        <v>0</v>
      </c>
      <c r="CJ872">
        <v>0</v>
      </c>
      <c r="CK872">
        <v>0</v>
      </c>
      <c r="CL872">
        <v>0</v>
      </c>
      <c r="CM872">
        <v>0</v>
      </c>
      <c r="CN872">
        <v>0</v>
      </c>
      <c r="CO872">
        <v>0</v>
      </c>
      <c r="CP872" t="str">
        <f>IF($BN872&lt;$BM872,"refNeedCorrection","refOK")</f>
        <v>refOK</v>
      </c>
      <c r="CQ872">
        <f>IF($CP872="refOK",$BM872,$BN872)</f>
        <v>7.3</v>
      </c>
      <c r="CR872">
        <f>IF($CP872="refOK",$BN872,$BM872)</f>
        <v>7.8</v>
      </c>
      <c r="CS872">
        <f>IF($CP872="refOK",$BQ872,-$BQ872)</f>
        <v>0.5</v>
      </c>
      <c r="CT872">
        <f>IF(BI872="Roundwood",$CS872/2,$CS872)</f>
        <v>0.25</v>
      </c>
      <c r="CU872">
        <f>IF($CP872="refOK",$BU872,$BV872)*IF($BR872="Emissions positive",-1,1)</f>
        <v>425.3</v>
      </c>
      <c r="CV872">
        <f>IF($CP872="refOK",$BV872,$BU872)*IF($BR872="Emissions positive",-1,1)</f>
        <v>473.2</v>
      </c>
      <c r="CW872">
        <f>IF($CP872="refNeedCorrection",-BZ872,BZ872)*IF($BR872="Emissions positive",-1,1)</f>
        <v>0.47899999999999981</v>
      </c>
      <c r="CX872">
        <f>IFERROR($CW872/$CS872,"")</f>
        <v>0.95799999999999963</v>
      </c>
      <c r="CY872">
        <f>IFERROR($CW872/$CS872,"")</f>
        <v>0.95799999999999963</v>
      </c>
      <c r="CZ872">
        <f>IFERROR($CW872/$CT872,"")</f>
        <v>1.9159999999999993</v>
      </c>
      <c r="DA872" s="2">
        <f>IFERROR((CV872-CU872)/ABS(CU872),"")</f>
        <v>0.11262638137785087</v>
      </c>
      <c r="DB872" s="1" t="s">
        <v>1074</v>
      </c>
      <c r="DC872" s="317" t="str">
        <f>IF(OR($DB872="prd",$DB872="std",$DB872="cit"),"loc",IF(OR($DB872="eur",$DB872="reg",$DB872="coy"),"reg",$DB872))</f>
        <v>reg</v>
      </c>
      <c r="DD872" t="s">
        <v>235</v>
      </c>
      <c r="DG872">
        <v>80</v>
      </c>
      <c r="DH872" t="str">
        <f>IF(DG872=0,"0",IF(AND(DG872&gt;=1,DG872&lt;=30),"1-30",IF(AND(DG872&gt;30,DG872&lt;=70),"31-70",IF(AND(DG872&gt;70,DG872&lt;=100),"71-100",IF(DG872&gt;100,"+100")))))</f>
        <v>71-100</v>
      </c>
      <c r="DI872">
        <v>0</v>
      </c>
      <c r="DJ872">
        <v>1</v>
      </c>
      <c r="DK872">
        <v>1</v>
      </c>
      <c r="DL872">
        <v>1</v>
      </c>
      <c r="DN872">
        <f>SUM(DI872:DL872)</f>
        <v>3</v>
      </c>
      <c r="DO872" t="str">
        <f>IF(DN872=1,INDEX($DI$7:$DL$7,MATCH(1,$DI872:$DL872,0)),"mixedProduct")</f>
        <v>mixedProduct</v>
      </c>
      <c r="DP872">
        <f>IF(DI872=1,DP$7,0)</f>
        <v>0</v>
      </c>
      <c r="DQ872" t="str">
        <f>IF(DJ872=1,DQ$7,0)</f>
        <v>Energy</v>
      </c>
      <c r="DR872" t="str">
        <f>IF(DK872=1,DR$7,0)</f>
        <v>Pulp/Paper</v>
      </c>
      <c r="DS872" t="str">
        <f>IF(DL872=1,DS$7,0)</f>
        <v>Timber</v>
      </c>
      <c r="DT872">
        <v>0</v>
      </c>
      <c r="DU872">
        <v>1</v>
      </c>
      <c r="DV872" t="s">
        <v>1950</v>
      </c>
      <c r="DW872">
        <v>0</v>
      </c>
      <c r="DX872">
        <v>0</v>
      </c>
      <c r="DY872">
        <f>SUM(DT872:DU872)</f>
        <v>1</v>
      </c>
      <c r="DZ872" s="143" t="str">
        <f>IF(DT872=1,"self-calculated DF",IF(DU872=1,"external DF used","explicit C balance"))</f>
        <v>external DF used</v>
      </c>
      <c r="EA872">
        <v>1</v>
      </c>
      <c r="EB872">
        <v>1</v>
      </c>
      <c r="EC872">
        <v>1</v>
      </c>
      <c r="ED872">
        <v>0</v>
      </c>
      <c r="EE872">
        <v>0</v>
      </c>
      <c r="EF872" s="143">
        <v>0</v>
      </c>
      <c r="EG872">
        <v>1</v>
      </c>
      <c r="EH872">
        <v>0</v>
      </c>
      <c r="EI872">
        <v>0</v>
      </c>
      <c r="EJ872">
        <v>0</v>
      </c>
      <c r="EK872">
        <v>1</v>
      </c>
      <c r="EL872">
        <v>0</v>
      </c>
      <c r="EM872">
        <v>0</v>
      </c>
      <c r="EN872" s="2">
        <v>0</v>
      </c>
      <c r="EP872" t="str">
        <f>IF(AND(AND(AND(OR($EC872=1,$EB872=1),OR($EH872=1,$EF872=1)),SUM($EA872:$EE872,$EK872)&gt;=3),SUM($EF872:$EJ872)&gt;=2),"Whole sector approach","")</f>
        <v/>
      </c>
      <c r="EQ872" t="str">
        <f>IF(AND(AND(OR($EC872=1,$EB872=1),AND($EH872=0,$EF872=0)),SUM($EA872:$EE872,$EK872)&gt;=3),"Ecosystem approach","")</f>
        <v>Ecosystem approach</v>
      </c>
      <c r="ER872" s="2" t="str">
        <f>IF(AND(AND(AND($EC872=0,$EB872=0),OR($EH872=1,$EF872=1)),SUM($EG872:$EJ872)&gt;=2),"Technology approach","")</f>
        <v/>
      </c>
      <c r="ES872" t="str">
        <f>IF(AND($EC872+$EB872+$EE872+$EA872+$ED872+$EG872=0,$N872="included"),"C neutral forest and HWP assumption","")</f>
        <v/>
      </c>
      <c r="ET872" t="str">
        <f>IF(AND(AND(AND(AND($EC872=1,$EB872+$EA872+$EG872&gt;=1),$EF872=1),$EH872+$EI872+$ED872+$EE872&gt;=2),$N872="included"),"All C pools assumption","")</f>
        <v/>
      </c>
      <c r="EU872" t="str">
        <f>IF(AND($ED872+$EE872+$EI872+$EH872+$EF872=0,$N872="included"),"In-situ only assumption","")</f>
        <v>In-situ only assumption</v>
      </c>
      <c r="EY872" t="str">
        <f>IF(ISNUMBER(BW872),IF(ABS(BW872-[4]QC_indicators!$B$2)&gt;3*[4]QC_indicators!$C$2,"C ratio",IF(ISNUMBER(CA872),IF(ABS(CA872-[4]QC_indicators!$B$1)&gt;3*[4]QC_indicators!$C$1,"DF","no"))),IF(ISNUMBER(CA872),IF(ABS(CA872-[4]QC_indicators!$B$1)&gt;3*[4]QC_indicators!$C$1,"DF","no")))</f>
        <v>no</v>
      </c>
      <c r="FA872" t="str">
        <f>IF(LEN($CY872)=0,"",IF(AND($CY872&lt;(-0.05),$ES872="C neutral forest and HWP assumption"),"Cneutral paradox",IF(AND($CY872&gt;0.05,$EU872="In-situ only assumption"),"In-situ only paradox","")))</f>
        <v>In-situ only paradox</v>
      </c>
      <c r="FD872" t="s">
        <v>5032</v>
      </c>
      <c r="FE872" s="334" t="s">
        <v>5074</v>
      </c>
    </row>
    <row r="873" spans="1:161" ht="15" customHeight="1">
      <c r="A873" s="1" t="s">
        <v>1233</v>
      </c>
      <c r="B873" t="s">
        <v>1941</v>
      </c>
      <c r="C873" t="s">
        <v>1942</v>
      </c>
      <c r="D873" t="s">
        <v>1943</v>
      </c>
      <c r="E873" t="s">
        <v>1944</v>
      </c>
      <c r="F873" t="s">
        <v>1945</v>
      </c>
      <c r="G873" t="s">
        <v>1239</v>
      </c>
      <c r="H873" t="s">
        <v>254</v>
      </c>
      <c r="I873">
        <v>2012</v>
      </c>
      <c r="J873">
        <v>21</v>
      </c>
      <c r="K873" t="s">
        <v>1946</v>
      </c>
      <c r="L873" s="191"/>
      <c r="M873" t="str">
        <f>LEFT($D873,FIND(",",$D873)-1)&amp;"_"&amp;I873&amp;L873</f>
        <v>Pyorala_2012</v>
      </c>
      <c r="N873" t="s">
        <v>222</v>
      </c>
      <c r="O873" s="145" t="s">
        <v>341</v>
      </c>
      <c r="P873" s="179" t="s">
        <v>223</v>
      </c>
      <c r="Q873" s="317" t="s">
        <v>256</v>
      </c>
      <c r="R873" s="318" t="s">
        <v>1029</v>
      </c>
      <c r="S873" s="320" t="s">
        <v>683</v>
      </c>
      <c r="T873" s="317" t="s">
        <v>5034</v>
      </c>
      <c r="U873" s="317" t="s">
        <v>5041</v>
      </c>
      <c r="V873" s="253">
        <v>0</v>
      </c>
      <c r="W873" s="253">
        <v>0</v>
      </c>
      <c r="X873">
        <v>0</v>
      </c>
      <c r="Y873">
        <v>0</v>
      </c>
      <c r="Z873">
        <v>0</v>
      </c>
      <c r="AA873">
        <v>0</v>
      </c>
      <c r="AB873">
        <v>0</v>
      </c>
      <c r="AC873">
        <v>0</v>
      </c>
      <c r="AD873">
        <v>1</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s="141">
        <f>COUNTIF(X873:AY873,"&lt;&gt;0")</f>
        <v>1</v>
      </c>
      <c r="BA873" s="141">
        <f>COUNTIF(X873:AN873,"&lt;&gt;0")</f>
        <v>1</v>
      </c>
      <c r="BB873">
        <f>COUNTIF(X873:AE873,"&lt;&gt;0")</f>
        <v>1</v>
      </c>
      <c r="BC873">
        <f>COUNTIF(AF873:AK873,"&lt;&gt;0")</f>
        <v>0</v>
      </c>
      <c r="BD873">
        <f>COUNTIF(AL873:AN873,"&lt;&gt;0")</f>
        <v>0</v>
      </c>
      <c r="BE873">
        <f>COUNTIF(AU873:AY873,"&lt;&gt;0")</f>
        <v>0</v>
      </c>
      <c r="BF873">
        <f>COUNTIF(AO873:AT873,"&lt;&gt;0")</f>
        <v>0</v>
      </c>
      <c r="BG873" t="str" cm="1">
        <f t="array" ref="BG873">IF(BA873=1,INDEX($X$7:$AN$7,MATCH(TRUE,INDEX($X873:$AY873&lt;&gt;0,),0)),IF(BA873=0,INDEX($AO$7:$AY$7,MATCH(1,$AO873:$AY873,0)),IF(BH873="Multiple strategies","mixed drivers",IF(BH873="Supply chain","multiple supply","multiple silviculture"))))</f>
        <v>fertilisation</v>
      </c>
      <c r="BH873" s="2" t="str" cm="1">
        <f t="array" ref="BH873">IF(COUNTIF(BB873:BD873,"&lt;&gt;0")=1,INDEX($X$4:$AY$4,MATCH(TRUE,INDEX($X873:$AY873&lt;&gt;0,),0)),IF(COUNTIF(BB873:BD873,"&lt;&gt;0")=0,INDEX($AO$4:$AY$4,MATCH(1,$AO873:$AY873,0)),"Multiple strategies"))</f>
        <v>Silviculture for productivity</v>
      </c>
      <c r="BI873" s="177" t="s">
        <v>321</v>
      </c>
      <c r="BJ873" s="317" t="s">
        <v>1949</v>
      </c>
      <c r="BK873" s="317" t="s">
        <v>687</v>
      </c>
      <c r="BL873" s="160" t="s">
        <v>691</v>
      </c>
      <c r="BM873">
        <v>8.4</v>
      </c>
      <c r="BN873">
        <v>8.6999999999999993</v>
      </c>
      <c r="BO873" s="317">
        <f>BN873/BM873</f>
        <v>1.0357142857142856</v>
      </c>
      <c r="BP873">
        <f>BN873-BM873</f>
        <v>0.29999999999999893</v>
      </c>
      <c r="BQ873">
        <f>BP873</f>
        <v>0.29999999999999893</v>
      </c>
      <c r="BR873" s="155" t="s">
        <v>232</v>
      </c>
      <c r="BS873" s="317" t="s">
        <v>5030</v>
      </c>
      <c r="BT873" s="321" t="s">
        <v>5031</v>
      </c>
      <c r="BU873" s="317">
        <v>380.6</v>
      </c>
      <c r="BV873" s="317">
        <v>408.5</v>
      </c>
      <c r="BW873" s="144">
        <f>BV873/BU873</f>
        <v>1.0733053074093535</v>
      </c>
      <c r="BX873">
        <f>BV873-BU873</f>
        <v>27.899999999999977</v>
      </c>
      <c r="BZ873">
        <f>BX873*100/10^4</f>
        <v>0.27899999999999975</v>
      </c>
      <c r="CA873">
        <f>IFERROR(BZ873/BQ873,"")</f>
        <v>0.93000000000000249</v>
      </c>
      <c r="CB873">
        <v>0</v>
      </c>
      <c r="CC873">
        <v>0</v>
      </c>
      <c r="CD873">
        <v>0</v>
      </c>
      <c r="CE873">
        <v>0</v>
      </c>
      <c r="CF873">
        <v>0</v>
      </c>
      <c r="CG873">
        <v>0</v>
      </c>
      <c r="CH873">
        <v>0</v>
      </c>
      <c r="CI873">
        <v>0</v>
      </c>
      <c r="CJ873">
        <v>0</v>
      </c>
      <c r="CK873">
        <v>0</v>
      </c>
      <c r="CL873">
        <v>0</v>
      </c>
      <c r="CM873">
        <v>0</v>
      </c>
      <c r="CN873">
        <v>0</v>
      </c>
      <c r="CO873">
        <v>0</v>
      </c>
      <c r="CP873" t="str">
        <f>IF($BN873&lt;$BM873,"refNeedCorrection","refOK")</f>
        <v>refOK</v>
      </c>
      <c r="CQ873">
        <f>IF($CP873="refOK",$BM873,$BN873)</f>
        <v>8.4</v>
      </c>
      <c r="CR873">
        <f>IF($CP873="refOK",$BN873,$BM873)</f>
        <v>8.6999999999999993</v>
      </c>
      <c r="CS873">
        <f>IF($CP873="refOK",$BQ873,-$BQ873)</f>
        <v>0.29999999999999893</v>
      </c>
      <c r="CT873">
        <f>IF(BI873="Roundwood",$CS873/2,$CS873)</f>
        <v>0.14999999999999947</v>
      </c>
      <c r="CU873">
        <f>IF($CP873="refOK",$BU873,$BV873)*IF($BR873="Emissions positive",-1,1)</f>
        <v>380.6</v>
      </c>
      <c r="CV873">
        <f>IF($CP873="refOK",$BV873,$BU873)*IF($BR873="Emissions positive",-1,1)</f>
        <v>408.5</v>
      </c>
      <c r="CW873">
        <f>IF($CP873="refNeedCorrection",-BZ873,BZ873)*IF($BR873="Emissions positive",-1,1)</f>
        <v>0.27899999999999975</v>
      </c>
      <c r="CX873">
        <f>IFERROR($CW873/$CS873,"")</f>
        <v>0.93000000000000249</v>
      </c>
      <c r="CY873">
        <f>IFERROR($CW873/$CS873,"")</f>
        <v>0.93000000000000249</v>
      </c>
      <c r="CZ873">
        <f>IFERROR($CW873/$CT873,"")</f>
        <v>1.860000000000005</v>
      </c>
      <c r="DA873" s="2">
        <f>IFERROR((CV873-CU873)/ABS(CU873),"")</f>
        <v>7.3305307409353593E-2</v>
      </c>
      <c r="DB873" s="1" t="s">
        <v>1074</v>
      </c>
      <c r="DC873" s="317" t="str">
        <f>IF(OR($DB873="prd",$DB873="std",$DB873="cit"),"loc",IF(OR($DB873="eur",$DB873="reg",$DB873="coy"),"reg",$DB873))</f>
        <v>reg</v>
      </c>
      <c r="DD873" t="s">
        <v>235</v>
      </c>
      <c r="DG873">
        <v>50</v>
      </c>
      <c r="DH873" t="str">
        <f>IF(DG873=0,"0",IF(AND(DG873&gt;=1,DG873&lt;=30),"1-30",IF(AND(DG873&gt;30,DG873&lt;=70),"31-70",IF(AND(DG873&gt;70,DG873&lt;=100),"71-100",IF(DG873&gt;100,"+100")))))</f>
        <v>31-70</v>
      </c>
      <c r="DI873">
        <v>0</v>
      </c>
      <c r="DJ873">
        <v>1</v>
      </c>
      <c r="DK873">
        <v>1</v>
      </c>
      <c r="DL873">
        <v>1</v>
      </c>
      <c r="DN873">
        <f>SUM(DI873:DL873)</f>
        <v>3</v>
      </c>
      <c r="DO873" t="str">
        <f>IF(DN873=1,INDEX($DI$7:$DL$7,MATCH(1,$DI873:$DL873,0)),"mixedProduct")</f>
        <v>mixedProduct</v>
      </c>
      <c r="DP873">
        <f>IF(DI873=1,DP$7,0)</f>
        <v>0</v>
      </c>
      <c r="DQ873" t="str">
        <f>IF(DJ873=1,DQ$7,0)</f>
        <v>Energy</v>
      </c>
      <c r="DR873" t="str">
        <f>IF(DK873=1,DR$7,0)</f>
        <v>Pulp/Paper</v>
      </c>
      <c r="DS873" t="str">
        <f>IF(DL873=1,DS$7,0)</f>
        <v>Timber</v>
      </c>
      <c r="DT873">
        <v>0</v>
      </c>
      <c r="DU873">
        <v>1</v>
      </c>
      <c r="DV873" t="s">
        <v>1950</v>
      </c>
      <c r="DW873">
        <v>0</v>
      </c>
      <c r="DX873">
        <v>0</v>
      </c>
      <c r="DY873">
        <f>SUM(DT873:DU873)</f>
        <v>1</v>
      </c>
      <c r="DZ873" s="143" t="str">
        <f>IF(DT873=1,"self-calculated DF",IF(DU873=1,"external DF used","explicit C balance"))</f>
        <v>external DF used</v>
      </c>
      <c r="EA873">
        <v>1</v>
      </c>
      <c r="EB873">
        <v>1</v>
      </c>
      <c r="EC873">
        <v>1</v>
      </c>
      <c r="ED873">
        <v>0</v>
      </c>
      <c r="EE873">
        <v>0</v>
      </c>
      <c r="EF873" s="143">
        <v>0</v>
      </c>
      <c r="EG873">
        <v>1</v>
      </c>
      <c r="EH873">
        <v>0</v>
      </c>
      <c r="EI873">
        <v>0</v>
      </c>
      <c r="EJ873">
        <v>0</v>
      </c>
      <c r="EK873">
        <v>1</v>
      </c>
      <c r="EL873">
        <v>0</v>
      </c>
      <c r="EM873">
        <v>0</v>
      </c>
      <c r="EN873" s="2">
        <v>0</v>
      </c>
      <c r="EP873" t="str">
        <f>IF(AND(AND(AND(OR($EC873=1,$EB873=1),OR($EH873=1,$EF873=1)),SUM($EA873:$EE873,$EK873)&gt;=3),SUM($EF873:$EJ873)&gt;=2),"Whole sector approach","")</f>
        <v/>
      </c>
      <c r="EQ873" t="str">
        <f>IF(AND(AND(OR($EC873=1,$EB873=1),AND($EH873=0,$EF873=0)),SUM($EA873:$EE873,$EK873)&gt;=3),"Ecosystem approach","")</f>
        <v>Ecosystem approach</v>
      </c>
      <c r="ER873" s="2" t="str">
        <f>IF(AND(AND(AND($EC873=0,$EB873=0),OR($EH873=1,$EF873=1)),SUM($EG873:$EJ873)&gt;=2),"Technology approach","")</f>
        <v/>
      </c>
      <c r="ES873" t="str">
        <f>IF(AND($EC873+$EB873+$EE873+$EA873+$ED873+$EG873=0,$N873="included"),"C neutral forest and HWP assumption","")</f>
        <v/>
      </c>
      <c r="ET873" t="str">
        <f>IF(AND(AND(AND(AND($EC873=1,$EB873+$EA873+$EG873&gt;=1),$EF873=1),$EH873+$EI873+$ED873+$EE873&gt;=2),$N873="included"),"All C pools assumption","")</f>
        <v/>
      </c>
      <c r="EU873" t="str">
        <f>IF(AND($ED873+$EE873+$EI873+$EH873+$EF873=0,$N873="included"),"In-situ only assumption","")</f>
        <v>In-situ only assumption</v>
      </c>
      <c r="EY873" t="str">
        <f>IF(ISNUMBER(BW873),IF(ABS(BW873-[4]QC_indicators!$B$2)&gt;3*[4]QC_indicators!$C$2,"C ratio",IF(ISNUMBER(CA873),IF(ABS(CA873-[4]QC_indicators!$B$1)&gt;3*[4]QC_indicators!$C$1,"DF","no"))),IF(ISNUMBER(CA873),IF(ABS(CA873-[4]QC_indicators!$B$1)&gt;3*[4]QC_indicators!$C$1,"DF","no")))</f>
        <v>no</v>
      </c>
      <c r="FA873" t="str">
        <f>IF(LEN($CY873)=0,"",IF(AND($CY873&lt;(-0.05),$ES873="C neutral forest and HWP assumption"),"Cneutral paradox",IF(AND($CY873&gt;0.05,$EU873="In-situ only assumption"),"In-situ only paradox","")))</f>
        <v>In-situ only paradox</v>
      </c>
      <c r="FD873" t="s">
        <v>5032</v>
      </c>
      <c r="FE873" s="334" t="s">
        <v>5074</v>
      </c>
    </row>
    <row r="874" spans="1:161" ht="15" customHeight="1">
      <c r="A874" s="1" t="s">
        <v>1233</v>
      </c>
      <c r="B874" t="s">
        <v>1941</v>
      </c>
      <c r="C874" t="s">
        <v>1942</v>
      </c>
      <c r="D874" t="s">
        <v>1943</v>
      </c>
      <c r="E874" t="s">
        <v>1944</v>
      </c>
      <c r="F874" t="s">
        <v>1945</v>
      </c>
      <c r="G874" t="s">
        <v>1239</v>
      </c>
      <c r="H874" t="s">
        <v>254</v>
      </c>
      <c r="I874">
        <v>2012</v>
      </c>
      <c r="J874">
        <v>21</v>
      </c>
      <c r="K874" t="s">
        <v>1946</v>
      </c>
      <c r="L874" s="191"/>
      <c r="M874" t="str">
        <f>LEFT($D874,FIND(",",$D874)-1)&amp;"_"&amp;I874&amp;L874</f>
        <v>Pyorala_2012</v>
      </c>
      <c r="N874" t="s">
        <v>222</v>
      </c>
      <c r="O874" s="145" t="s">
        <v>341</v>
      </c>
      <c r="P874" s="179" t="s">
        <v>223</v>
      </c>
      <c r="Q874" s="317" t="s">
        <v>256</v>
      </c>
      <c r="R874" s="318" t="s">
        <v>1029</v>
      </c>
      <c r="S874" s="320" t="s">
        <v>683</v>
      </c>
      <c r="T874" s="317" t="s">
        <v>5033</v>
      </c>
      <c r="U874" s="317" t="s">
        <v>5047</v>
      </c>
      <c r="V874" s="253">
        <v>0</v>
      </c>
      <c r="W874" s="253">
        <v>0</v>
      </c>
      <c r="X874">
        <v>0</v>
      </c>
      <c r="Y874">
        <v>0</v>
      </c>
      <c r="Z874">
        <v>0</v>
      </c>
      <c r="AA874">
        <v>0</v>
      </c>
      <c r="AB874">
        <v>0</v>
      </c>
      <c r="AC874">
        <v>0</v>
      </c>
      <c r="AD874">
        <v>1</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s="141">
        <f>COUNTIF(X874:AY874,"&lt;&gt;0")</f>
        <v>1</v>
      </c>
      <c r="BA874" s="141">
        <f>COUNTIF(X874:AN874,"&lt;&gt;0")</f>
        <v>1</v>
      </c>
      <c r="BB874">
        <f>COUNTIF(X874:AE874,"&lt;&gt;0")</f>
        <v>1</v>
      </c>
      <c r="BC874">
        <f>COUNTIF(AF874:AK874,"&lt;&gt;0")</f>
        <v>0</v>
      </c>
      <c r="BD874">
        <f>COUNTIF(AL874:AN874,"&lt;&gt;0")</f>
        <v>0</v>
      </c>
      <c r="BE874">
        <f>COUNTIF(AU874:AY874,"&lt;&gt;0")</f>
        <v>0</v>
      </c>
      <c r="BF874">
        <f>COUNTIF(AO874:AT874,"&lt;&gt;0")</f>
        <v>0</v>
      </c>
      <c r="BG874" t="str" cm="1">
        <f t="array" ref="BG874">IF(BA874=1,INDEX($X$7:$AN$7,MATCH(TRUE,INDEX($X874:$AY874&lt;&gt;0,),0)),IF(BA874=0,INDEX($AO$7:$AY$7,MATCH(1,$AO874:$AY874,0)),IF(BH874="Multiple strategies","mixed drivers",IF(BH874="Supply chain","multiple supply","multiple silviculture"))))</f>
        <v>fertilisation</v>
      </c>
      <c r="BH874" s="2" t="str" cm="1">
        <f t="array" ref="BH874">IF(COUNTIF(BB874:BD874,"&lt;&gt;0")=1,INDEX($X$4:$AY$4,MATCH(TRUE,INDEX($X874:$AY874&lt;&gt;0,),0)),IF(COUNTIF(BB874:BD874,"&lt;&gt;0")=0,INDEX($AO$4:$AY$4,MATCH(1,$AO874:$AY874,0)),"Multiple strategies"))</f>
        <v>Silviculture for productivity</v>
      </c>
      <c r="BI874" s="177" t="s">
        <v>321</v>
      </c>
      <c r="BJ874" s="317" t="s">
        <v>1949</v>
      </c>
      <c r="BK874" s="317" t="s">
        <v>687</v>
      </c>
      <c r="BL874" s="160" t="s">
        <v>691</v>
      </c>
      <c r="BM874">
        <v>8.3000000000000007</v>
      </c>
      <c r="BN874">
        <v>9.1999999999999993</v>
      </c>
      <c r="BO874" s="317">
        <f>BN874/BM874</f>
        <v>1.1084337349397588</v>
      </c>
      <c r="BP874">
        <f>BN874-BM874</f>
        <v>0.89999999999999858</v>
      </c>
      <c r="BQ874">
        <f>BP874</f>
        <v>0.89999999999999858</v>
      </c>
      <c r="BR874" s="155" t="s">
        <v>232</v>
      </c>
      <c r="BS874" s="317" t="s">
        <v>5030</v>
      </c>
      <c r="BT874" s="321" t="s">
        <v>5031</v>
      </c>
      <c r="BU874" s="317">
        <v>449.1</v>
      </c>
      <c r="BV874" s="317">
        <v>530.29999999999995</v>
      </c>
      <c r="BW874" s="144">
        <f>BV874/BU874</f>
        <v>1.1808060565575593</v>
      </c>
      <c r="BX874">
        <f>BV874-BU874</f>
        <v>81.199999999999932</v>
      </c>
      <c r="BZ874">
        <f>BX874*100/10^4</f>
        <v>0.81199999999999928</v>
      </c>
      <c r="CA874">
        <f>IFERROR(BZ874/BQ874,"")</f>
        <v>0.90222222222222281</v>
      </c>
      <c r="CB874">
        <v>0</v>
      </c>
      <c r="CC874">
        <v>0</v>
      </c>
      <c r="CD874">
        <v>0</v>
      </c>
      <c r="CE874">
        <v>0</v>
      </c>
      <c r="CF874">
        <v>0</v>
      </c>
      <c r="CG874">
        <v>0</v>
      </c>
      <c r="CH874">
        <v>0</v>
      </c>
      <c r="CI874">
        <v>0</v>
      </c>
      <c r="CJ874">
        <v>0</v>
      </c>
      <c r="CK874">
        <v>0</v>
      </c>
      <c r="CL874">
        <v>0</v>
      </c>
      <c r="CM874">
        <v>0</v>
      </c>
      <c r="CN874">
        <v>0</v>
      </c>
      <c r="CO874">
        <v>0</v>
      </c>
      <c r="CP874" t="str">
        <f>IF($BN874&lt;$BM874,"refNeedCorrection","refOK")</f>
        <v>refOK</v>
      </c>
      <c r="CQ874">
        <f>IF($CP874="refOK",$BM874,$BN874)</f>
        <v>8.3000000000000007</v>
      </c>
      <c r="CR874">
        <f>IF($CP874="refOK",$BN874,$BM874)</f>
        <v>9.1999999999999993</v>
      </c>
      <c r="CS874">
        <f>IF($CP874="refOK",$BQ874,-$BQ874)</f>
        <v>0.89999999999999858</v>
      </c>
      <c r="CT874">
        <f>IF(BI874="Roundwood",$CS874/2,$CS874)</f>
        <v>0.44999999999999929</v>
      </c>
      <c r="CU874">
        <f>IF($CP874="refOK",$BU874,$BV874)*IF($BR874="Emissions positive",-1,1)</f>
        <v>449.1</v>
      </c>
      <c r="CV874">
        <f>IF($CP874="refOK",$BV874,$BU874)*IF($BR874="Emissions positive",-1,1)</f>
        <v>530.29999999999995</v>
      </c>
      <c r="CW874">
        <f>IF($CP874="refNeedCorrection",-BZ874,BZ874)*IF($BR874="Emissions positive",-1,1)</f>
        <v>0.81199999999999928</v>
      </c>
      <c r="CX874">
        <f>IFERROR($CW874/$CS874,"")</f>
        <v>0.90222222222222281</v>
      </c>
      <c r="CY874">
        <f>IFERROR($CW874/$CS874,"")</f>
        <v>0.90222222222222281</v>
      </c>
      <c r="CZ874">
        <f>IFERROR($CW874/$CT874,"")</f>
        <v>1.8044444444444456</v>
      </c>
      <c r="DA874" s="2">
        <f>IFERROR((CV874-CU874)/ABS(CU874),"")</f>
        <v>0.18080605655755941</v>
      </c>
      <c r="DB874" s="1" t="s">
        <v>1074</v>
      </c>
      <c r="DC874" s="317" t="str">
        <f>IF(OR($DB874="prd",$DB874="std",$DB874="cit"),"loc",IF(OR($DB874="eur",$DB874="reg",$DB874="coy"),"reg",$DB874))</f>
        <v>reg</v>
      </c>
      <c r="DD874" t="s">
        <v>235</v>
      </c>
      <c r="DG874">
        <v>50</v>
      </c>
      <c r="DH874" t="str">
        <f>IF(DG874=0,"0",IF(AND(DG874&gt;=1,DG874&lt;=30),"1-30",IF(AND(DG874&gt;30,DG874&lt;=70),"31-70",IF(AND(DG874&gt;70,DG874&lt;=100),"71-100",IF(DG874&gt;100,"+100")))))</f>
        <v>31-70</v>
      </c>
      <c r="DI874">
        <v>0</v>
      </c>
      <c r="DJ874">
        <v>1</v>
      </c>
      <c r="DK874">
        <v>1</v>
      </c>
      <c r="DL874">
        <v>1</v>
      </c>
      <c r="DN874">
        <f>SUM(DI874:DL874)</f>
        <v>3</v>
      </c>
      <c r="DO874" t="str">
        <f>IF(DN874=1,INDEX($DI$7:$DL$7,MATCH(1,$DI874:$DL874,0)),"mixedProduct")</f>
        <v>mixedProduct</v>
      </c>
      <c r="DP874">
        <f>IF(DI874=1,DP$7,0)</f>
        <v>0</v>
      </c>
      <c r="DQ874" t="str">
        <f>IF(DJ874=1,DQ$7,0)</f>
        <v>Energy</v>
      </c>
      <c r="DR874" t="str">
        <f>IF(DK874=1,DR$7,0)</f>
        <v>Pulp/Paper</v>
      </c>
      <c r="DS874" t="str">
        <f>IF(DL874=1,DS$7,0)</f>
        <v>Timber</v>
      </c>
      <c r="DT874">
        <v>0</v>
      </c>
      <c r="DU874">
        <v>1</v>
      </c>
      <c r="DV874" t="s">
        <v>1950</v>
      </c>
      <c r="DW874">
        <v>0</v>
      </c>
      <c r="DX874">
        <v>0</v>
      </c>
      <c r="DY874">
        <f>SUM(DT874:DU874)</f>
        <v>1</v>
      </c>
      <c r="DZ874" s="143" t="str">
        <f>IF(DT874=1,"self-calculated DF",IF(DU874=1,"external DF used","explicit C balance"))</f>
        <v>external DF used</v>
      </c>
      <c r="EA874">
        <v>1</v>
      </c>
      <c r="EB874">
        <v>1</v>
      </c>
      <c r="EC874">
        <v>1</v>
      </c>
      <c r="ED874">
        <v>0</v>
      </c>
      <c r="EE874">
        <v>0</v>
      </c>
      <c r="EF874" s="143">
        <v>0</v>
      </c>
      <c r="EG874">
        <v>1</v>
      </c>
      <c r="EH874">
        <v>0</v>
      </c>
      <c r="EI874">
        <v>0</v>
      </c>
      <c r="EJ874">
        <v>0</v>
      </c>
      <c r="EK874">
        <v>1</v>
      </c>
      <c r="EL874">
        <v>0</v>
      </c>
      <c r="EM874">
        <v>0</v>
      </c>
      <c r="EN874" s="2">
        <v>0</v>
      </c>
      <c r="EP874" t="str">
        <f>IF(AND(AND(AND(OR($EC874=1,$EB874=1),OR($EH874=1,$EF874=1)),SUM($EA874:$EE874,$EK874)&gt;=3),SUM($EF874:$EJ874)&gt;=2),"Whole sector approach","")</f>
        <v/>
      </c>
      <c r="EQ874" t="str">
        <f>IF(AND(AND(OR($EC874=1,$EB874=1),AND($EH874=0,$EF874=0)),SUM($EA874:$EE874,$EK874)&gt;=3),"Ecosystem approach","")</f>
        <v>Ecosystem approach</v>
      </c>
      <c r="ER874" s="2" t="str">
        <f>IF(AND(AND(AND($EC874=0,$EB874=0),OR($EH874=1,$EF874=1)),SUM($EG874:$EJ874)&gt;=2),"Technology approach","")</f>
        <v/>
      </c>
      <c r="ES874" t="str">
        <f>IF(AND($EC874+$EB874+$EE874+$EA874+$ED874+$EG874=0,$N874="included"),"C neutral forest and HWP assumption","")</f>
        <v/>
      </c>
      <c r="ET874" t="str">
        <f>IF(AND(AND(AND(AND($EC874=1,$EB874+$EA874+$EG874&gt;=1),$EF874=1),$EH874+$EI874+$ED874+$EE874&gt;=2),$N874="included"),"All C pools assumption","")</f>
        <v/>
      </c>
      <c r="EU874" t="str">
        <f>IF(AND($ED874+$EE874+$EI874+$EH874+$EF874=0,$N874="included"),"In-situ only assumption","")</f>
        <v>In-situ only assumption</v>
      </c>
      <c r="EY874" t="str">
        <f>IF(ISNUMBER(BW874),IF(ABS(BW874-[4]QC_indicators!$B$2)&gt;3*[4]QC_indicators!$C$2,"C ratio",IF(ISNUMBER(CA874),IF(ABS(CA874-[4]QC_indicators!$B$1)&gt;3*[4]QC_indicators!$C$1,"DF","no"))),IF(ISNUMBER(CA874),IF(ABS(CA874-[4]QC_indicators!$B$1)&gt;3*[4]QC_indicators!$C$1,"DF","no")))</f>
        <v>no</v>
      </c>
      <c r="FA874" t="str">
        <f>IF(LEN($CY874)=0,"",IF(AND($CY874&lt;(-0.05),$ES874="C neutral forest and HWP assumption"),"Cneutral paradox",IF(AND($CY874&gt;0.05,$EU874="In-situ only assumption"),"In-situ only paradox","")))</f>
        <v>In-situ only paradox</v>
      </c>
      <c r="FD874" t="s">
        <v>5032</v>
      </c>
      <c r="FE874" s="334" t="s">
        <v>5074</v>
      </c>
    </row>
    <row r="875" spans="1:161" ht="15" customHeight="1">
      <c r="A875" s="1" t="s">
        <v>1233</v>
      </c>
      <c r="B875" t="s">
        <v>1941</v>
      </c>
      <c r="C875" t="s">
        <v>1942</v>
      </c>
      <c r="D875" t="s">
        <v>1943</v>
      </c>
      <c r="E875" t="s">
        <v>1944</v>
      </c>
      <c r="F875" t="s">
        <v>1945</v>
      </c>
      <c r="G875" t="s">
        <v>1239</v>
      </c>
      <c r="H875" t="s">
        <v>254</v>
      </c>
      <c r="I875">
        <v>2012</v>
      </c>
      <c r="J875">
        <v>21</v>
      </c>
      <c r="K875" t="s">
        <v>1946</v>
      </c>
      <c r="L875" s="191"/>
      <c r="M875" t="str">
        <f>LEFT($D875,FIND(",",$D875)-1)&amp;"_"&amp;I875&amp;L875</f>
        <v>Pyorala_2012</v>
      </c>
      <c r="N875" t="s">
        <v>222</v>
      </c>
      <c r="O875" s="145" t="s">
        <v>341</v>
      </c>
      <c r="P875" s="179" t="s">
        <v>223</v>
      </c>
      <c r="Q875" s="317" t="s">
        <v>256</v>
      </c>
      <c r="R875" s="318" t="s">
        <v>1029</v>
      </c>
      <c r="S875" s="320" t="s">
        <v>683</v>
      </c>
      <c r="T875" s="317" t="s">
        <v>5039</v>
      </c>
      <c r="U875" s="317" t="s">
        <v>5040</v>
      </c>
      <c r="V875" s="253">
        <v>0</v>
      </c>
      <c r="W875" s="253">
        <v>0</v>
      </c>
      <c r="X875">
        <v>0</v>
      </c>
      <c r="Y875">
        <v>0</v>
      </c>
      <c r="Z875">
        <v>0</v>
      </c>
      <c r="AA875">
        <v>0</v>
      </c>
      <c r="AB875">
        <v>0</v>
      </c>
      <c r="AC875">
        <v>0</v>
      </c>
      <c r="AD875">
        <v>1</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s="141">
        <f>COUNTIF(X875:AY875,"&lt;&gt;0")</f>
        <v>1</v>
      </c>
      <c r="BA875" s="141">
        <f>COUNTIF(X875:AN875,"&lt;&gt;0")</f>
        <v>1</v>
      </c>
      <c r="BB875">
        <f>COUNTIF(X875:AE875,"&lt;&gt;0")</f>
        <v>1</v>
      </c>
      <c r="BC875">
        <f>COUNTIF(AF875:AK875,"&lt;&gt;0")</f>
        <v>0</v>
      </c>
      <c r="BD875">
        <f>COUNTIF(AL875:AN875,"&lt;&gt;0")</f>
        <v>0</v>
      </c>
      <c r="BE875">
        <f>COUNTIF(AU875:AY875,"&lt;&gt;0")</f>
        <v>0</v>
      </c>
      <c r="BF875">
        <f>COUNTIF(AO875:AT875,"&lt;&gt;0")</f>
        <v>0</v>
      </c>
      <c r="BG875" t="str" cm="1">
        <f t="array" ref="BG875">IF(BA875=1,INDEX($X$7:$AN$7,MATCH(TRUE,INDEX($X875:$AY875&lt;&gt;0,),0)),IF(BA875=0,INDEX($AO$7:$AY$7,MATCH(1,$AO875:$AY875,0)),IF(BH875="Multiple strategies","mixed drivers",IF(BH875="Supply chain","multiple supply","multiple silviculture"))))</f>
        <v>fertilisation</v>
      </c>
      <c r="BH875" s="2" t="str" cm="1">
        <f t="array" ref="BH875">IF(COUNTIF(BB875:BD875,"&lt;&gt;0")=1,INDEX($X$4:$AY$4,MATCH(TRUE,INDEX($X875:$AY875&lt;&gt;0,),0)),IF(COUNTIF(BB875:BD875,"&lt;&gt;0")=0,INDEX($AO$4:$AY$4,MATCH(1,$AO875:$AY875,0)),"Multiple strategies"))</f>
        <v>Silviculture for productivity</v>
      </c>
      <c r="BI875" s="177" t="s">
        <v>321</v>
      </c>
      <c r="BJ875" s="317" t="s">
        <v>1949</v>
      </c>
      <c r="BK875" s="317" t="s">
        <v>687</v>
      </c>
      <c r="BL875" s="160" t="s">
        <v>691</v>
      </c>
      <c r="BM875">
        <v>6.5</v>
      </c>
      <c r="BN875">
        <v>7</v>
      </c>
      <c r="BO875" s="317">
        <f>BN875/BM875</f>
        <v>1.0769230769230769</v>
      </c>
      <c r="BP875">
        <f>BN875-BM875</f>
        <v>0.5</v>
      </c>
      <c r="BQ875">
        <f>BP875</f>
        <v>0.5</v>
      </c>
      <c r="BR875" s="155" t="s">
        <v>232</v>
      </c>
      <c r="BS875" s="317" t="s">
        <v>5030</v>
      </c>
      <c r="BT875" s="321" t="s">
        <v>5031</v>
      </c>
      <c r="BU875" s="317">
        <v>258.60000000000002</v>
      </c>
      <c r="BV875" s="317">
        <v>302.5</v>
      </c>
      <c r="BW875" s="144">
        <f>BV875/BU875</f>
        <v>1.1697602474864655</v>
      </c>
      <c r="BX875">
        <f>BV875-BU875</f>
        <v>43.899999999999977</v>
      </c>
      <c r="BZ875">
        <f>BX875*100/10^4</f>
        <v>0.43899999999999983</v>
      </c>
      <c r="CA875">
        <f>IFERROR(BZ875/BQ875,"")</f>
        <v>0.87799999999999967</v>
      </c>
      <c r="CB875">
        <v>0</v>
      </c>
      <c r="CC875">
        <v>0</v>
      </c>
      <c r="CD875">
        <v>0</v>
      </c>
      <c r="CE875">
        <v>0</v>
      </c>
      <c r="CF875">
        <v>0</v>
      </c>
      <c r="CG875">
        <v>0</v>
      </c>
      <c r="CH875">
        <v>0</v>
      </c>
      <c r="CI875">
        <v>0</v>
      </c>
      <c r="CJ875">
        <v>0</v>
      </c>
      <c r="CK875">
        <v>0</v>
      </c>
      <c r="CL875">
        <v>0</v>
      </c>
      <c r="CM875">
        <v>0</v>
      </c>
      <c r="CN875">
        <v>0</v>
      </c>
      <c r="CO875">
        <v>0</v>
      </c>
      <c r="CP875" t="str">
        <f>IF($BN875&lt;$BM875,"refNeedCorrection","refOK")</f>
        <v>refOK</v>
      </c>
      <c r="CQ875">
        <f>IF($CP875="refOK",$BM875,$BN875)</f>
        <v>6.5</v>
      </c>
      <c r="CR875">
        <f>IF($CP875="refOK",$BN875,$BM875)</f>
        <v>7</v>
      </c>
      <c r="CS875">
        <f>IF($CP875="refOK",$BQ875,-$BQ875)</f>
        <v>0.5</v>
      </c>
      <c r="CT875">
        <f>IF(BI875="Roundwood",$CS875/2,$CS875)</f>
        <v>0.25</v>
      </c>
      <c r="CU875">
        <f>IF($CP875="refOK",$BU875,$BV875)*IF($BR875="Emissions positive",-1,1)</f>
        <v>258.60000000000002</v>
      </c>
      <c r="CV875">
        <f>IF($CP875="refOK",$BV875,$BU875)*IF($BR875="Emissions positive",-1,1)</f>
        <v>302.5</v>
      </c>
      <c r="CW875">
        <f>IF($CP875="refNeedCorrection",-BZ875,BZ875)*IF($BR875="Emissions positive",-1,1)</f>
        <v>0.43899999999999983</v>
      </c>
      <c r="CX875">
        <f>IFERROR($CW875/$CS875,"")</f>
        <v>0.87799999999999967</v>
      </c>
      <c r="CY875">
        <f>IFERROR($CW875/$CS875,"")</f>
        <v>0.87799999999999967</v>
      </c>
      <c r="CZ875">
        <f>IFERROR($CW875/$CT875,"")</f>
        <v>1.7559999999999993</v>
      </c>
      <c r="DA875" s="2">
        <f>IFERROR((CV875-CU875)/ABS(CU875),"")</f>
        <v>0.16976024748646548</v>
      </c>
      <c r="DB875" s="1" t="s">
        <v>1074</v>
      </c>
      <c r="DC875" s="317" t="str">
        <f>IF(OR($DB875="prd",$DB875="std",$DB875="cit"),"loc",IF(OR($DB875="eur",$DB875="reg",$DB875="coy"),"reg",$DB875))</f>
        <v>reg</v>
      </c>
      <c r="DD875" t="s">
        <v>235</v>
      </c>
      <c r="DG875">
        <v>50</v>
      </c>
      <c r="DH875" t="str">
        <f>IF(DG875=0,"0",IF(AND(DG875&gt;=1,DG875&lt;=30),"1-30",IF(AND(DG875&gt;30,DG875&lt;=70),"31-70",IF(AND(DG875&gt;70,DG875&lt;=100),"71-100",IF(DG875&gt;100,"+100")))))</f>
        <v>31-70</v>
      </c>
      <c r="DI875">
        <v>0</v>
      </c>
      <c r="DJ875">
        <v>1</v>
      </c>
      <c r="DK875">
        <v>1</v>
      </c>
      <c r="DL875">
        <v>1</v>
      </c>
      <c r="DN875">
        <f>SUM(DI875:DL875)</f>
        <v>3</v>
      </c>
      <c r="DO875" t="str">
        <f>IF(DN875=1,INDEX($DI$7:$DL$7,MATCH(1,$DI875:$DL875,0)),"mixedProduct")</f>
        <v>mixedProduct</v>
      </c>
      <c r="DP875">
        <f>IF(DI875=1,DP$7,0)</f>
        <v>0</v>
      </c>
      <c r="DQ875" t="str">
        <f>IF(DJ875=1,DQ$7,0)</f>
        <v>Energy</v>
      </c>
      <c r="DR875" t="str">
        <f>IF(DK875=1,DR$7,0)</f>
        <v>Pulp/Paper</v>
      </c>
      <c r="DS875" t="str">
        <f>IF(DL875=1,DS$7,0)</f>
        <v>Timber</v>
      </c>
      <c r="DT875">
        <v>0</v>
      </c>
      <c r="DU875">
        <v>1</v>
      </c>
      <c r="DV875" t="s">
        <v>1950</v>
      </c>
      <c r="DW875">
        <v>0</v>
      </c>
      <c r="DX875">
        <v>0</v>
      </c>
      <c r="DY875">
        <f>SUM(DT875:DU875)</f>
        <v>1</v>
      </c>
      <c r="DZ875" s="143" t="str">
        <f>IF(DT875=1,"self-calculated DF",IF(DU875=1,"external DF used","explicit C balance"))</f>
        <v>external DF used</v>
      </c>
      <c r="EA875">
        <v>1</v>
      </c>
      <c r="EB875">
        <v>1</v>
      </c>
      <c r="EC875">
        <v>1</v>
      </c>
      <c r="ED875">
        <v>0</v>
      </c>
      <c r="EE875">
        <v>0</v>
      </c>
      <c r="EF875" s="143">
        <v>0</v>
      </c>
      <c r="EG875">
        <v>1</v>
      </c>
      <c r="EH875">
        <v>0</v>
      </c>
      <c r="EI875">
        <v>0</v>
      </c>
      <c r="EJ875">
        <v>0</v>
      </c>
      <c r="EK875">
        <v>1</v>
      </c>
      <c r="EL875">
        <v>0</v>
      </c>
      <c r="EM875">
        <v>0</v>
      </c>
      <c r="EN875" s="2">
        <v>0</v>
      </c>
      <c r="EP875" t="str">
        <f>IF(AND(AND(AND(OR($EC875=1,$EB875=1),OR($EH875=1,$EF875=1)),SUM($EA875:$EE875,$EK875)&gt;=3),SUM($EF875:$EJ875)&gt;=2),"Whole sector approach","")</f>
        <v/>
      </c>
      <c r="EQ875" t="str">
        <f>IF(AND(AND(OR($EC875=1,$EB875=1),AND($EH875=0,$EF875=0)),SUM($EA875:$EE875,$EK875)&gt;=3),"Ecosystem approach","")</f>
        <v>Ecosystem approach</v>
      </c>
      <c r="ER875" s="2" t="str">
        <f>IF(AND(AND(AND($EC875=0,$EB875=0),OR($EH875=1,$EF875=1)),SUM($EG875:$EJ875)&gt;=2),"Technology approach","")</f>
        <v/>
      </c>
      <c r="ES875" t="str">
        <f>IF(AND($EC875+$EB875+$EE875+$EA875+$ED875+$EG875=0,$N875="included"),"C neutral forest and HWP assumption","")</f>
        <v/>
      </c>
      <c r="ET875" t="str">
        <f>IF(AND(AND(AND(AND($EC875=1,$EB875+$EA875+$EG875&gt;=1),$EF875=1),$EH875+$EI875+$ED875+$EE875&gt;=2),$N875="included"),"All C pools assumption","")</f>
        <v/>
      </c>
      <c r="EU875" t="str">
        <f>IF(AND($ED875+$EE875+$EI875+$EH875+$EF875=0,$N875="included"),"In-situ only assumption","")</f>
        <v>In-situ only assumption</v>
      </c>
      <c r="EY875" t="str">
        <f>IF(ISNUMBER(BW875),IF(ABS(BW875-[4]QC_indicators!$B$2)&gt;3*[4]QC_indicators!$C$2,"C ratio",IF(ISNUMBER(CA875),IF(ABS(CA875-[4]QC_indicators!$B$1)&gt;3*[4]QC_indicators!$C$1,"DF","no"))),IF(ISNUMBER(CA875),IF(ABS(CA875-[4]QC_indicators!$B$1)&gt;3*[4]QC_indicators!$C$1,"DF","no")))</f>
        <v>no</v>
      </c>
      <c r="FA875" t="str">
        <f>IF(LEN($CY875)=0,"",IF(AND($CY875&lt;(-0.05),$ES875="C neutral forest and HWP assumption"),"Cneutral paradox",IF(AND($CY875&gt;0.05,$EU875="In-situ only assumption"),"In-situ only paradox","")))</f>
        <v>In-situ only paradox</v>
      </c>
      <c r="FD875" t="s">
        <v>5032</v>
      </c>
      <c r="FE875" s="334" t="s">
        <v>5074</v>
      </c>
    </row>
    <row r="876" spans="1:161" ht="15" customHeight="1">
      <c r="A876" s="1" t="s">
        <v>1233</v>
      </c>
      <c r="B876" t="s">
        <v>1941</v>
      </c>
      <c r="C876" t="s">
        <v>1942</v>
      </c>
      <c r="D876" t="s">
        <v>1943</v>
      </c>
      <c r="E876" t="s">
        <v>1944</v>
      </c>
      <c r="F876" t="s">
        <v>1945</v>
      </c>
      <c r="G876" t="s">
        <v>1239</v>
      </c>
      <c r="H876" t="s">
        <v>254</v>
      </c>
      <c r="I876">
        <v>2012</v>
      </c>
      <c r="J876">
        <v>21</v>
      </c>
      <c r="K876" t="s">
        <v>1946</v>
      </c>
      <c r="L876" s="191"/>
      <c r="M876" t="str">
        <f>LEFT($D876,FIND(",",$D876)-1)&amp;"_"&amp;I876&amp;L876</f>
        <v>Pyorala_2012</v>
      </c>
      <c r="N876" t="s">
        <v>222</v>
      </c>
      <c r="O876" s="145" t="s">
        <v>341</v>
      </c>
      <c r="P876" s="179" t="s">
        <v>223</v>
      </c>
      <c r="Q876" s="317" t="s">
        <v>256</v>
      </c>
      <c r="R876" s="318" t="s">
        <v>1029</v>
      </c>
      <c r="S876" s="320" t="s">
        <v>683</v>
      </c>
      <c r="T876" s="317" t="s">
        <v>5037</v>
      </c>
      <c r="U876" s="317" t="s">
        <v>5038</v>
      </c>
      <c r="V876" s="253">
        <v>0</v>
      </c>
      <c r="W876" s="253">
        <v>0</v>
      </c>
      <c r="X876">
        <v>0</v>
      </c>
      <c r="Y876">
        <v>0</v>
      </c>
      <c r="Z876">
        <v>0</v>
      </c>
      <c r="AA876">
        <v>0</v>
      </c>
      <c r="AB876">
        <v>0</v>
      </c>
      <c r="AC876">
        <v>0</v>
      </c>
      <c r="AD876">
        <v>1</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s="141">
        <f>COUNTIF(X876:AY876,"&lt;&gt;0")</f>
        <v>1</v>
      </c>
      <c r="BA876" s="141">
        <f>COUNTIF(X876:AN876,"&lt;&gt;0")</f>
        <v>1</v>
      </c>
      <c r="BB876">
        <f>COUNTIF(X876:AE876,"&lt;&gt;0")</f>
        <v>1</v>
      </c>
      <c r="BC876">
        <f>COUNTIF(AF876:AK876,"&lt;&gt;0")</f>
        <v>0</v>
      </c>
      <c r="BD876">
        <f>COUNTIF(AL876:AN876,"&lt;&gt;0")</f>
        <v>0</v>
      </c>
      <c r="BE876">
        <f>COUNTIF(AU876:AY876,"&lt;&gt;0")</f>
        <v>0</v>
      </c>
      <c r="BF876">
        <f>COUNTIF(AO876:AT876,"&lt;&gt;0")</f>
        <v>0</v>
      </c>
      <c r="BG876" t="str" cm="1">
        <f t="array" ref="BG876">IF(BA876=1,INDEX($X$7:$AN$7,MATCH(TRUE,INDEX($X876:$AY876&lt;&gt;0,),0)),IF(BA876=0,INDEX($AO$7:$AY$7,MATCH(1,$AO876:$AY876,0)),IF(BH876="Multiple strategies","mixed drivers",IF(BH876="Supply chain","multiple supply","multiple silviculture"))))</f>
        <v>fertilisation</v>
      </c>
      <c r="BH876" s="2" t="str" cm="1">
        <f t="array" ref="BH876">IF(COUNTIF(BB876:BD876,"&lt;&gt;0")=1,INDEX($X$4:$AY$4,MATCH(TRUE,INDEX($X876:$AY876&lt;&gt;0,),0)),IF(COUNTIF(BB876:BD876,"&lt;&gt;0")=0,INDEX($AO$4:$AY$4,MATCH(1,$AO876:$AY876,0)),"Multiple strategies"))</f>
        <v>Silviculture for productivity</v>
      </c>
      <c r="BI876" s="177" t="s">
        <v>321</v>
      </c>
      <c r="BJ876" s="317" t="s">
        <v>1949</v>
      </c>
      <c r="BK876" s="317" t="s">
        <v>687</v>
      </c>
      <c r="BL876" s="160" t="s">
        <v>691</v>
      </c>
      <c r="BM876">
        <v>7.8</v>
      </c>
      <c r="BN876">
        <v>10.6</v>
      </c>
      <c r="BO876" s="317">
        <f>BN876/BM876</f>
        <v>1.358974358974359</v>
      </c>
      <c r="BP876">
        <f>BN876-BM876</f>
        <v>2.8</v>
      </c>
      <c r="BQ876">
        <f>BP876</f>
        <v>2.8</v>
      </c>
      <c r="BR876" s="155" t="s">
        <v>232</v>
      </c>
      <c r="BS876" s="317" t="s">
        <v>5030</v>
      </c>
      <c r="BT876" s="321" t="s">
        <v>5031</v>
      </c>
      <c r="BU876" s="317">
        <v>354</v>
      </c>
      <c r="BV876" s="317">
        <v>508.7</v>
      </c>
      <c r="BW876" s="144">
        <f>BV876/BU876</f>
        <v>1.4370056497175141</v>
      </c>
      <c r="BX876">
        <f>BV876-BU876</f>
        <v>154.69999999999999</v>
      </c>
      <c r="BZ876">
        <f>BX876*100/10^4</f>
        <v>1.5469999999999997</v>
      </c>
      <c r="CA876">
        <f>IFERROR(BZ876/BQ876,"")</f>
        <v>0.55249999999999988</v>
      </c>
      <c r="CB876">
        <v>0</v>
      </c>
      <c r="CC876">
        <v>0</v>
      </c>
      <c r="CD876">
        <v>0</v>
      </c>
      <c r="CE876">
        <v>0</v>
      </c>
      <c r="CF876">
        <v>0</v>
      </c>
      <c r="CG876">
        <v>0</v>
      </c>
      <c r="CH876">
        <v>0</v>
      </c>
      <c r="CI876">
        <v>0</v>
      </c>
      <c r="CJ876">
        <v>0</v>
      </c>
      <c r="CK876">
        <v>0</v>
      </c>
      <c r="CL876">
        <v>0</v>
      </c>
      <c r="CM876">
        <v>0</v>
      </c>
      <c r="CN876">
        <v>0</v>
      </c>
      <c r="CO876">
        <v>0</v>
      </c>
      <c r="CP876" t="str">
        <f>IF($BN876&lt;$BM876,"refNeedCorrection","refOK")</f>
        <v>refOK</v>
      </c>
      <c r="CQ876">
        <f>IF($CP876="refOK",$BM876,$BN876)</f>
        <v>7.8</v>
      </c>
      <c r="CR876">
        <f>IF($CP876="refOK",$BN876,$BM876)</f>
        <v>10.6</v>
      </c>
      <c r="CS876">
        <f>IF($CP876="refOK",$BQ876,-$BQ876)</f>
        <v>2.8</v>
      </c>
      <c r="CT876">
        <f>IF(BI876="Roundwood",$CS876/2,$CS876)</f>
        <v>1.4</v>
      </c>
      <c r="CU876">
        <f>IF($CP876="refOK",$BU876,$BV876)*IF($BR876="Emissions positive",-1,1)</f>
        <v>354</v>
      </c>
      <c r="CV876">
        <f>IF($CP876="refOK",$BV876,$BU876)*IF($BR876="Emissions positive",-1,1)</f>
        <v>508.7</v>
      </c>
      <c r="CW876">
        <f>IF($CP876="refNeedCorrection",-BZ876,BZ876)*IF($BR876="Emissions positive",-1,1)</f>
        <v>1.5469999999999997</v>
      </c>
      <c r="CX876">
        <f>IFERROR($CW876/$CS876,"")</f>
        <v>0.55249999999999988</v>
      </c>
      <c r="CY876">
        <f>IFERROR($CW876/$CS876,"")</f>
        <v>0.55249999999999988</v>
      </c>
      <c r="CZ876">
        <f>IFERROR($CW876/$CT876,"")</f>
        <v>1.1049999999999998</v>
      </c>
      <c r="DA876" s="2">
        <f>IFERROR((CV876-CU876)/ABS(CU876),"")</f>
        <v>0.4370056497175141</v>
      </c>
      <c r="DB876" s="1" t="s">
        <v>1074</v>
      </c>
      <c r="DC876" s="317" t="str">
        <f>IF(OR($DB876="prd",$DB876="std",$DB876="cit"),"loc",IF(OR($DB876="eur",$DB876="reg",$DB876="coy"),"reg",$DB876))</f>
        <v>reg</v>
      </c>
      <c r="DD876" t="s">
        <v>235</v>
      </c>
      <c r="DG876">
        <v>80</v>
      </c>
      <c r="DH876" t="str">
        <f>IF(DG876=0,"0",IF(AND(DG876&gt;=1,DG876&lt;=30),"1-30",IF(AND(DG876&gt;30,DG876&lt;=70),"31-70",IF(AND(DG876&gt;70,DG876&lt;=100),"71-100",IF(DG876&gt;100,"+100")))))</f>
        <v>71-100</v>
      </c>
      <c r="DI876">
        <v>0</v>
      </c>
      <c r="DJ876">
        <v>1</v>
      </c>
      <c r="DK876">
        <v>1</v>
      </c>
      <c r="DL876">
        <v>1</v>
      </c>
      <c r="DN876">
        <f>SUM(DI876:DL876)</f>
        <v>3</v>
      </c>
      <c r="DO876" t="str">
        <f>IF(DN876=1,INDEX($DI$7:$DL$7,MATCH(1,$DI876:$DL876,0)),"mixedProduct")</f>
        <v>mixedProduct</v>
      </c>
      <c r="DP876">
        <f>IF(DI876=1,DP$7,0)</f>
        <v>0</v>
      </c>
      <c r="DQ876" t="str">
        <f>IF(DJ876=1,DQ$7,0)</f>
        <v>Energy</v>
      </c>
      <c r="DR876" t="str">
        <f>IF(DK876=1,DR$7,0)</f>
        <v>Pulp/Paper</v>
      </c>
      <c r="DS876" t="str">
        <f>IF(DL876=1,DS$7,0)</f>
        <v>Timber</v>
      </c>
      <c r="DT876">
        <v>0</v>
      </c>
      <c r="DU876">
        <v>1</v>
      </c>
      <c r="DV876" t="s">
        <v>1950</v>
      </c>
      <c r="DW876">
        <v>0</v>
      </c>
      <c r="DX876">
        <v>0</v>
      </c>
      <c r="DY876">
        <f>SUM(DT876:DU876)</f>
        <v>1</v>
      </c>
      <c r="DZ876" s="143" t="str">
        <f>IF(DT876=1,"self-calculated DF",IF(DU876=1,"external DF used","explicit C balance"))</f>
        <v>external DF used</v>
      </c>
      <c r="EA876">
        <v>1</v>
      </c>
      <c r="EB876">
        <v>1</v>
      </c>
      <c r="EC876">
        <v>1</v>
      </c>
      <c r="ED876">
        <v>0</v>
      </c>
      <c r="EE876">
        <v>0</v>
      </c>
      <c r="EF876" s="143">
        <v>0</v>
      </c>
      <c r="EG876">
        <v>1</v>
      </c>
      <c r="EH876">
        <v>0</v>
      </c>
      <c r="EI876">
        <v>0</v>
      </c>
      <c r="EJ876">
        <v>0</v>
      </c>
      <c r="EK876">
        <v>1</v>
      </c>
      <c r="EL876">
        <v>0</v>
      </c>
      <c r="EM876">
        <v>0</v>
      </c>
      <c r="EN876" s="2">
        <v>0</v>
      </c>
      <c r="EP876" t="str">
        <f>IF(AND(AND(AND(OR($EC876=1,$EB876=1),OR($EH876=1,$EF876=1)),SUM($EA876:$EE876,$EK876)&gt;=3),SUM($EF876:$EJ876)&gt;=2),"Whole sector approach","")</f>
        <v/>
      </c>
      <c r="EQ876" t="str">
        <f>IF(AND(AND(OR($EC876=1,$EB876=1),AND($EH876=0,$EF876=0)),SUM($EA876:$EE876,$EK876)&gt;=3),"Ecosystem approach","")</f>
        <v>Ecosystem approach</v>
      </c>
      <c r="ER876" s="2" t="str">
        <f>IF(AND(AND(AND($EC876=0,$EB876=0),OR($EH876=1,$EF876=1)),SUM($EG876:$EJ876)&gt;=2),"Technology approach","")</f>
        <v/>
      </c>
      <c r="ES876" t="str">
        <f>IF(AND($EC876+$EB876+$EE876+$EA876+$ED876+$EG876=0,$N876="included"),"C neutral forest and HWP assumption","")</f>
        <v/>
      </c>
      <c r="ET876" t="str">
        <f>IF(AND(AND(AND(AND($EC876=1,$EB876+$EA876+$EG876&gt;=1),$EF876=1),$EH876+$EI876+$ED876+$EE876&gt;=2),$N876="included"),"All C pools assumption","")</f>
        <v/>
      </c>
      <c r="EU876" t="str">
        <f>IF(AND($ED876+$EE876+$EI876+$EH876+$EF876=0,$N876="included"),"In-situ only assumption","")</f>
        <v>In-situ only assumption</v>
      </c>
      <c r="EY876" t="str">
        <f>IF(ISNUMBER(BW876),IF(ABS(BW876-[4]QC_indicators!$B$2)&gt;3*[4]QC_indicators!$C$2,"C ratio",IF(ISNUMBER(CA876),IF(ABS(CA876-[4]QC_indicators!$B$1)&gt;3*[4]QC_indicators!$C$1,"DF","no"))),IF(ISNUMBER(CA876),IF(ABS(CA876-[4]QC_indicators!$B$1)&gt;3*[4]QC_indicators!$C$1,"DF","no")))</f>
        <v>no</v>
      </c>
      <c r="FA876" t="str">
        <f>IF(LEN($CY876)=0,"",IF(AND($CY876&lt;(-0.05),$ES876="C neutral forest and HWP assumption"),"Cneutral paradox",IF(AND($CY876&gt;0.05,$EU876="In-situ only assumption"),"In-situ only paradox","")))</f>
        <v>In-situ only paradox</v>
      </c>
      <c r="FD876" t="s">
        <v>5032</v>
      </c>
      <c r="FE876" s="334" t="s">
        <v>5074</v>
      </c>
    </row>
    <row r="877" spans="1:161" ht="15" hidden="1" customHeight="1">
      <c r="A877" s="1" t="s">
        <v>1233</v>
      </c>
      <c r="B877" t="s">
        <v>1941</v>
      </c>
      <c r="C877" t="s">
        <v>1942</v>
      </c>
      <c r="D877" t="s">
        <v>1943</v>
      </c>
      <c r="E877" t="s">
        <v>1944</v>
      </c>
      <c r="F877" t="s">
        <v>1945</v>
      </c>
      <c r="G877" t="s">
        <v>1239</v>
      </c>
      <c r="H877" t="s">
        <v>254</v>
      </c>
      <c r="I877">
        <v>2012</v>
      </c>
      <c r="J877">
        <v>21</v>
      </c>
      <c r="K877" t="s">
        <v>1946</v>
      </c>
      <c r="L877" s="191"/>
      <c r="M877" t="str">
        <f>LEFT($D877,FIND(",",$D877)-1)&amp;"_"&amp;I877&amp;L877</f>
        <v>Pyorala_2012</v>
      </c>
      <c r="N877" t="s">
        <v>222</v>
      </c>
      <c r="O877" s="145" t="s">
        <v>341</v>
      </c>
      <c r="P877" s="179" t="s">
        <v>223</v>
      </c>
      <c r="Q877" s="317" t="s">
        <v>256</v>
      </c>
      <c r="R877" s="318" t="s">
        <v>1029</v>
      </c>
      <c r="S877" s="320" t="s">
        <v>683</v>
      </c>
      <c r="T877" s="317" t="s">
        <v>5045</v>
      </c>
      <c r="U877" s="317" t="s">
        <v>5046</v>
      </c>
      <c r="V877" s="253">
        <v>0</v>
      </c>
      <c r="W877" s="253">
        <v>0</v>
      </c>
      <c r="X877">
        <v>0</v>
      </c>
      <c r="Y877">
        <v>0</v>
      </c>
      <c r="Z877">
        <v>0</v>
      </c>
      <c r="AA877">
        <v>0</v>
      </c>
      <c r="AB877">
        <v>0</v>
      </c>
      <c r="AC877">
        <v>0</v>
      </c>
      <c r="AD877">
        <v>1</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s="141">
        <f>COUNTIF(X877:AY877,"&lt;&gt;0")</f>
        <v>1</v>
      </c>
      <c r="BA877" s="141">
        <f>COUNTIF(X877:AN877,"&lt;&gt;0")</f>
        <v>1</v>
      </c>
      <c r="BB877">
        <f>COUNTIF(X877:AE877,"&lt;&gt;0")</f>
        <v>1</v>
      </c>
      <c r="BC877">
        <f>COUNTIF(AF877:AK877,"&lt;&gt;0")</f>
        <v>0</v>
      </c>
      <c r="BD877">
        <f>COUNTIF(AL877:AN877,"&lt;&gt;0")</f>
        <v>0</v>
      </c>
      <c r="BE877">
        <f>COUNTIF(AU877:AY877,"&lt;&gt;0")</f>
        <v>0</v>
      </c>
      <c r="BF877">
        <f>COUNTIF(AO877:AT877,"&lt;&gt;0")</f>
        <v>0</v>
      </c>
      <c r="BG877" t="str" cm="1">
        <f t="array" ref="BG877">IF(BA877=1,INDEX($X$7:$AN$7,MATCH(TRUE,INDEX($X877:$AY877&lt;&gt;0,),0)),IF(BA877=0,INDEX($AO$7:$AY$7,MATCH(1,$AO877:$AY877,0)),IF(BH877="Multiple strategies","mixed drivers",IF(BH877="Supply chain","multiple supply","multiple silviculture"))))</f>
        <v>fertilisation</v>
      </c>
      <c r="BH877" s="2" t="str" cm="1">
        <f t="array" ref="BH877">IF(COUNTIF(BB877:BD877,"&lt;&gt;0")=1,INDEX($X$4:$AY$4,MATCH(TRUE,INDEX($X877:$AY877&lt;&gt;0,),0)),IF(COUNTIF(BB877:BD877,"&lt;&gt;0")=0,INDEX($AO$4:$AY$4,MATCH(1,$AO877:$AY877,0)),"Multiple strategies"))</f>
        <v>Silviculture for productivity</v>
      </c>
      <c r="BI877" s="177" t="s">
        <v>321</v>
      </c>
      <c r="BJ877" s="317" t="s">
        <v>1949</v>
      </c>
      <c r="BK877" s="317" t="s">
        <v>687</v>
      </c>
      <c r="BL877" s="160" t="s">
        <v>691</v>
      </c>
      <c r="BM877">
        <v>6.7</v>
      </c>
      <c r="BN877">
        <v>7.3</v>
      </c>
      <c r="BO877" s="317">
        <f>BN877/BM877</f>
        <v>1.0895522388059702</v>
      </c>
      <c r="BP877">
        <f>BN877-BM877</f>
        <v>0.59999999999999964</v>
      </c>
      <c r="BQ877">
        <f>BP877</f>
        <v>0.59999999999999964</v>
      </c>
      <c r="BR877" s="155" t="s">
        <v>232</v>
      </c>
      <c r="BS877" s="317" t="s">
        <v>5030</v>
      </c>
      <c r="BT877" s="321" t="s">
        <v>5031</v>
      </c>
      <c r="BU877" s="317">
        <v>-30.384800000000013</v>
      </c>
      <c r="BV877" s="317">
        <v>-10.211199999999977</v>
      </c>
      <c r="BW877" s="144">
        <f>BV877/BU877</f>
        <v>0.33606276822621745</v>
      </c>
      <c r="BX877">
        <f>BV877-BU877</f>
        <v>20.173600000000036</v>
      </c>
      <c r="BZ877">
        <f>BX877*100/10^4</f>
        <v>0.20173600000000036</v>
      </c>
      <c r="CA877">
        <f>IFERROR(BZ877/BQ877,"")</f>
        <v>0.33622666666666745</v>
      </c>
      <c r="CB877">
        <v>0</v>
      </c>
      <c r="CC877">
        <v>0</v>
      </c>
      <c r="CD877">
        <v>0</v>
      </c>
      <c r="CE877">
        <v>0</v>
      </c>
      <c r="CF877">
        <v>0</v>
      </c>
      <c r="CG877">
        <v>0</v>
      </c>
      <c r="CH877">
        <v>0</v>
      </c>
      <c r="CI877">
        <v>0</v>
      </c>
      <c r="CJ877">
        <v>0</v>
      </c>
      <c r="CK877">
        <v>0</v>
      </c>
      <c r="CL877">
        <v>0</v>
      </c>
      <c r="CM877">
        <v>0</v>
      </c>
      <c r="CN877">
        <v>0</v>
      </c>
      <c r="CO877">
        <v>0</v>
      </c>
      <c r="CP877" t="str">
        <f>IF($BN877&lt;$BM877,"refNeedCorrection","refOK")</f>
        <v>refOK</v>
      </c>
      <c r="CQ877">
        <f>IF($CP877="refOK",$BM877,$BN877)</f>
        <v>6.7</v>
      </c>
      <c r="CR877">
        <f>IF($CP877="refOK",$BN877,$BM877)</f>
        <v>7.3</v>
      </c>
      <c r="CS877">
        <f>IF($CP877="refOK",$BQ877,-$BQ877)</f>
        <v>0.59999999999999964</v>
      </c>
      <c r="CT877">
        <f>IF(BI877="Roundwood",$CS877/2,$CS877)</f>
        <v>0.29999999999999982</v>
      </c>
      <c r="CU877">
        <f>IF($CP877="refOK",$BU877,$BV877)*IF($BR877="Emissions positive",-1,1)</f>
        <v>-30.384800000000013</v>
      </c>
      <c r="CV877">
        <f>IF($CP877="refOK",$BV877,$BU877)*IF($BR877="Emissions positive",-1,1)</f>
        <v>-10.211199999999977</v>
      </c>
      <c r="CW877">
        <f>IF($CP877="refNeedCorrection",-BZ877,BZ877)*IF($BR877="Emissions positive",-1,1)</f>
        <v>0.20173600000000036</v>
      </c>
      <c r="CX877">
        <f>IFERROR($CW877/$CS877,"")</f>
        <v>0.33622666666666745</v>
      </c>
      <c r="CY877">
        <f>IFERROR($CW877/$CS877,"")</f>
        <v>0.33622666666666745</v>
      </c>
      <c r="CZ877">
        <f>IFERROR($CW877/$CT877,"")</f>
        <v>0.6724533333333349</v>
      </c>
      <c r="DA877" s="2">
        <f>IFERROR((CV877-CU877)/ABS(CU877),"")</f>
        <v>0.6639372317737825</v>
      </c>
      <c r="DB877" s="1" t="s">
        <v>1074</v>
      </c>
      <c r="DC877" s="317" t="str">
        <f>IF(OR($DB877="prd",$DB877="std",$DB877="cit"),"loc",IF(OR($DB877="eur",$DB877="reg",$DB877="coy"),"reg",$DB877))</f>
        <v>reg</v>
      </c>
      <c r="DD877" t="s">
        <v>235</v>
      </c>
      <c r="DG877">
        <v>50</v>
      </c>
      <c r="DH877" t="str">
        <f>IF(DG877=0,"0",IF(AND(DG877&gt;=1,DG877&lt;=30),"1-30",IF(AND(DG877&gt;30,DG877&lt;=70),"31-70",IF(AND(DG877&gt;70,DG877&lt;=100),"71-100",IF(DG877&gt;100,"+100")))))</f>
        <v>31-70</v>
      </c>
      <c r="DI877">
        <v>0</v>
      </c>
      <c r="DJ877">
        <v>1</v>
      </c>
      <c r="DK877">
        <v>1</v>
      </c>
      <c r="DL877">
        <v>1</v>
      </c>
      <c r="DN877">
        <f>SUM(DI877:DL877)</f>
        <v>3</v>
      </c>
      <c r="DO877" t="str">
        <f>IF(DN877=1,INDEX($DI$7:$DL$7,MATCH(1,$DI877:$DL877,0)),"mixedProduct")</f>
        <v>mixedProduct</v>
      </c>
      <c r="DP877">
        <f>IF(DI877=1,DP$7,0)</f>
        <v>0</v>
      </c>
      <c r="DQ877" t="str">
        <f>IF(DJ877=1,DQ$7,0)</f>
        <v>Energy</v>
      </c>
      <c r="DR877" t="str">
        <f>IF(DK877=1,DR$7,0)</f>
        <v>Pulp/Paper</v>
      </c>
      <c r="DS877" t="str">
        <f>IF(DL877=1,DS$7,0)</f>
        <v>Timber</v>
      </c>
      <c r="DT877">
        <v>0</v>
      </c>
      <c r="DU877">
        <v>1</v>
      </c>
      <c r="DV877" t="s">
        <v>1950</v>
      </c>
      <c r="DW877">
        <v>0</v>
      </c>
      <c r="DX877">
        <v>0</v>
      </c>
      <c r="DY877">
        <f>SUM(DT877:DU877)</f>
        <v>1</v>
      </c>
      <c r="DZ877" s="143" t="str">
        <f>IF(DT877=1,"self-calculated DF",IF(DU877=1,"external DF used","explicit C balance"))</f>
        <v>external DF used</v>
      </c>
      <c r="EA877">
        <v>1</v>
      </c>
      <c r="EB877">
        <v>1</v>
      </c>
      <c r="EC877">
        <v>1</v>
      </c>
      <c r="ED877">
        <v>0</v>
      </c>
      <c r="EE877">
        <v>1</v>
      </c>
      <c r="EF877" s="143">
        <v>1</v>
      </c>
      <c r="EG877">
        <v>1</v>
      </c>
      <c r="EH877">
        <v>1</v>
      </c>
      <c r="EI877">
        <v>0</v>
      </c>
      <c r="EJ877">
        <v>0</v>
      </c>
      <c r="EK877">
        <v>1</v>
      </c>
      <c r="EL877">
        <v>0</v>
      </c>
      <c r="EM877">
        <v>0</v>
      </c>
      <c r="EN877" s="2">
        <v>0</v>
      </c>
      <c r="EP877" t="str">
        <f>IF(AND(AND(AND(OR($EC877=1,$EB877=1),OR($EH877=1,$EF877=1)),SUM($EA877:$EE877,$EK877)&gt;=3),SUM($EF877:$EJ877)&gt;=2),"Whole sector approach","")</f>
        <v>Whole sector approach</v>
      </c>
      <c r="EQ877" t="str">
        <f>IF(AND(AND(OR($EC877=1,$EB877=1),AND($EH877=0,$EF877=0)),SUM($EA877:$EE877,$EK877)&gt;=3),"Ecosystem approach","")</f>
        <v/>
      </c>
      <c r="ER877" s="2" t="str">
        <f>IF(AND(AND(AND($EC877=0,$EB877=0),OR($EH877=1,$EF877=1)),SUM($EG877:$EJ877)&gt;=2),"Technology approach","")</f>
        <v/>
      </c>
      <c r="ES877" t="str">
        <f>IF(AND($EC877+$EB877+$EE877+$EA877+$ED877+$EG877=0,$N877="included"),"C neutral forest and HWP assumption","")</f>
        <v/>
      </c>
      <c r="ET877" t="str">
        <f>IF(AND(AND(AND(AND($EC877=1,$EB877+$EA877+$EG877&gt;=1),$EF877=1),$EH877+$EI877+$ED877+$EE877&gt;=2),$N877="included"),"All C pools assumption","")</f>
        <v>All C pools assumption</v>
      </c>
      <c r="EU877" t="str">
        <f>IF(AND($ED877+$EE877+$EI877+$EH877+$EF877=0,$N877="included"),"In-situ only assumption","")</f>
        <v/>
      </c>
      <c r="EY877" t="str">
        <f>IF(ISNUMBER(BW877),IF(ABS(BW877-[4]QC_indicators!$B$2)&gt;3*[4]QC_indicators!$C$2,"C ratio",IF(ISNUMBER(CA877),IF(ABS(CA877-[4]QC_indicators!$B$1)&gt;3*[4]QC_indicators!$C$1,"DF","no"))),IF(ISNUMBER(CA877),IF(ABS(CA877-[4]QC_indicators!$B$1)&gt;3*[4]QC_indicators!$C$1,"DF","no")))</f>
        <v>no</v>
      </c>
      <c r="FA877" t="str">
        <f>IF(LEN($CY877)=0,"",IF(AND($CY877&lt;(-0.05),$ES877="C neutral forest and HWP assumption"),"Cneutral paradox",IF(AND($CY877&gt;0.05,$EU877="In-situ only assumption"),"In-situ only paradox","")))</f>
        <v/>
      </c>
      <c r="FD877" t="s">
        <v>5032</v>
      </c>
      <c r="FE877" s="334" t="s">
        <v>5074</v>
      </c>
    </row>
    <row r="878" spans="1:161" ht="15" hidden="1" customHeight="1">
      <c r="A878" s="1" t="s">
        <v>1233</v>
      </c>
      <c r="B878" t="s">
        <v>1941</v>
      </c>
      <c r="C878" t="s">
        <v>1942</v>
      </c>
      <c r="D878" t="s">
        <v>1943</v>
      </c>
      <c r="E878" t="s">
        <v>1944</v>
      </c>
      <c r="F878" t="s">
        <v>1945</v>
      </c>
      <c r="G878" t="s">
        <v>1239</v>
      </c>
      <c r="H878" t="s">
        <v>254</v>
      </c>
      <c r="I878">
        <v>2012</v>
      </c>
      <c r="J878">
        <v>21</v>
      </c>
      <c r="K878" t="s">
        <v>1946</v>
      </c>
      <c r="L878" s="191"/>
      <c r="M878" t="str">
        <f>LEFT($D878,FIND(",",$D878)-1)&amp;"_"&amp;I878&amp;L878</f>
        <v>Pyorala_2012</v>
      </c>
      <c r="N878" t="s">
        <v>222</v>
      </c>
      <c r="O878" s="145" t="s">
        <v>341</v>
      </c>
      <c r="P878" s="179" t="s">
        <v>223</v>
      </c>
      <c r="Q878" s="317" t="s">
        <v>256</v>
      </c>
      <c r="R878" s="318" t="s">
        <v>1029</v>
      </c>
      <c r="S878" s="320" t="s">
        <v>683</v>
      </c>
      <c r="T878" s="317" t="s">
        <v>5043</v>
      </c>
      <c r="U878" s="317" t="s">
        <v>5044</v>
      </c>
      <c r="V878" s="253">
        <v>0</v>
      </c>
      <c r="W878" s="253">
        <v>0</v>
      </c>
      <c r="X878">
        <v>0</v>
      </c>
      <c r="Y878">
        <v>0</v>
      </c>
      <c r="Z878">
        <v>0</v>
      </c>
      <c r="AA878">
        <v>0</v>
      </c>
      <c r="AB878">
        <v>0</v>
      </c>
      <c r="AC878">
        <v>0</v>
      </c>
      <c r="AD878">
        <v>1</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s="141">
        <f>COUNTIF(X878:AY878,"&lt;&gt;0")</f>
        <v>1</v>
      </c>
      <c r="BA878" s="141">
        <f>COUNTIF(X878:AN878,"&lt;&gt;0")</f>
        <v>1</v>
      </c>
      <c r="BB878">
        <f>COUNTIF(X878:AE878,"&lt;&gt;0")</f>
        <v>1</v>
      </c>
      <c r="BC878">
        <f>COUNTIF(AF878:AK878,"&lt;&gt;0")</f>
        <v>0</v>
      </c>
      <c r="BD878">
        <f>COUNTIF(AL878:AN878,"&lt;&gt;0")</f>
        <v>0</v>
      </c>
      <c r="BE878">
        <f>COUNTIF(AU878:AY878,"&lt;&gt;0")</f>
        <v>0</v>
      </c>
      <c r="BF878">
        <f>COUNTIF(AO878:AT878,"&lt;&gt;0")</f>
        <v>0</v>
      </c>
      <c r="BG878" t="str" cm="1">
        <f t="array" ref="BG878">IF(BA878=1,INDEX($X$7:$AN$7,MATCH(TRUE,INDEX($X878:$AY878&lt;&gt;0,),0)),IF(BA878=0,INDEX($AO$7:$AY$7,MATCH(1,$AO878:$AY878,0)),IF(BH878="Multiple strategies","mixed drivers",IF(BH878="Supply chain","multiple supply","multiple silviculture"))))</f>
        <v>fertilisation</v>
      </c>
      <c r="BH878" s="2" t="str" cm="1">
        <f t="array" ref="BH878">IF(COUNTIF(BB878:BD878,"&lt;&gt;0")=1,INDEX($X$4:$AY$4,MATCH(TRUE,INDEX($X878:$AY878&lt;&gt;0,),0)),IF(COUNTIF(BB878:BD878,"&lt;&gt;0")=0,INDEX($AO$4:$AY$4,MATCH(1,$AO878:$AY878,0)),"Multiple strategies"))</f>
        <v>Silviculture for productivity</v>
      </c>
      <c r="BI878" s="177" t="s">
        <v>321</v>
      </c>
      <c r="BJ878" s="317" t="s">
        <v>1949</v>
      </c>
      <c r="BK878" s="317" t="s">
        <v>687</v>
      </c>
      <c r="BL878" s="160" t="s">
        <v>691</v>
      </c>
      <c r="BM878">
        <v>8.6999999999999993</v>
      </c>
      <c r="BN878">
        <v>9.1</v>
      </c>
      <c r="BO878" s="317">
        <f>BN878/BM878</f>
        <v>1.0459770114942528</v>
      </c>
      <c r="BP878">
        <f>BN878-BM878</f>
        <v>0.40000000000000036</v>
      </c>
      <c r="BQ878">
        <f>BP878</f>
        <v>0.40000000000000036</v>
      </c>
      <c r="BR878" s="155" t="s">
        <v>232</v>
      </c>
      <c r="BS878" s="317" t="s">
        <v>5030</v>
      </c>
      <c r="BT878" s="321" t="s">
        <v>5031</v>
      </c>
      <c r="BU878" s="317">
        <v>8.2151999999999816</v>
      </c>
      <c r="BV878" s="317">
        <v>17.415199999999984</v>
      </c>
      <c r="BW878" s="144">
        <f>BV878/BU878</f>
        <v>2.1198753530041903</v>
      </c>
      <c r="BX878">
        <f>BV878-BU878</f>
        <v>9.2000000000000028</v>
      </c>
      <c r="BZ878">
        <f>BX878*100/10^4</f>
        <v>9.2000000000000026E-2</v>
      </c>
      <c r="CA878">
        <f>IFERROR(BZ878/BQ878,"")</f>
        <v>0.22999999999999987</v>
      </c>
      <c r="CB878">
        <v>0</v>
      </c>
      <c r="CC878">
        <v>0</v>
      </c>
      <c r="CD878">
        <v>0</v>
      </c>
      <c r="CE878">
        <v>0</v>
      </c>
      <c r="CF878">
        <v>0</v>
      </c>
      <c r="CG878">
        <v>0</v>
      </c>
      <c r="CH878">
        <v>0</v>
      </c>
      <c r="CI878">
        <v>0</v>
      </c>
      <c r="CJ878">
        <v>0</v>
      </c>
      <c r="CK878">
        <v>0</v>
      </c>
      <c r="CL878">
        <v>0</v>
      </c>
      <c r="CM878">
        <v>0</v>
      </c>
      <c r="CN878">
        <v>0</v>
      </c>
      <c r="CO878">
        <v>0</v>
      </c>
      <c r="CP878" t="str">
        <f>IF($BN878&lt;$BM878,"refNeedCorrection","refOK")</f>
        <v>refOK</v>
      </c>
      <c r="CQ878">
        <f>IF($CP878="refOK",$BM878,$BN878)</f>
        <v>8.6999999999999993</v>
      </c>
      <c r="CR878">
        <f>IF($CP878="refOK",$BN878,$BM878)</f>
        <v>9.1</v>
      </c>
      <c r="CS878">
        <f>IF($CP878="refOK",$BQ878,-$BQ878)</f>
        <v>0.40000000000000036</v>
      </c>
      <c r="CT878">
        <f>IF(BI878="Roundwood",$CS878/2,$CS878)</f>
        <v>0.20000000000000018</v>
      </c>
      <c r="CU878">
        <f>IF($CP878="refOK",$BU878,$BV878)*IF($BR878="Emissions positive",-1,1)</f>
        <v>8.2151999999999816</v>
      </c>
      <c r="CV878">
        <f>IF($CP878="refOK",$BV878,$BU878)*IF($BR878="Emissions positive",-1,1)</f>
        <v>17.415199999999984</v>
      </c>
      <c r="CW878">
        <f>IF($CP878="refNeedCorrection",-BZ878,BZ878)*IF($BR878="Emissions positive",-1,1)</f>
        <v>9.2000000000000026E-2</v>
      </c>
      <c r="CX878">
        <f>IFERROR($CW878/$CS878,"")</f>
        <v>0.22999999999999987</v>
      </c>
      <c r="CY878">
        <f>IFERROR($CW878/$CS878,"")</f>
        <v>0.22999999999999987</v>
      </c>
      <c r="CZ878">
        <f>IFERROR($CW878/$CT878,"")</f>
        <v>0.45999999999999974</v>
      </c>
      <c r="DA878" s="2">
        <f>IFERROR((CV878-CU878)/ABS(CU878),"")</f>
        <v>1.1198753530041903</v>
      </c>
      <c r="DB878" s="1" t="s">
        <v>1074</v>
      </c>
      <c r="DC878" s="317" t="str">
        <f>IF(OR($DB878="prd",$DB878="std",$DB878="cit"),"loc",IF(OR($DB878="eur",$DB878="reg",$DB878="coy"),"reg",$DB878))</f>
        <v>reg</v>
      </c>
      <c r="DD878" t="s">
        <v>235</v>
      </c>
      <c r="DG878">
        <v>80</v>
      </c>
      <c r="DH878" t="str">
        <f>IF(DG878=0,"0",IF(AND(DG878&gt;=1,DG878&lt;=30),"1-30",IF(AND(DG878&gt;30,DG878&lt;=70),"31-70",IF(AND(DG878&gt;70,DG878&lt;=100),"71-100",IF(DG878&gt;100,"+100")))))</f>
        <v>71-100</v>
      </c>
      <c r="DI878">
        <v>0</v>
      </c>
      <c r="DJ878">
        <v>1</v>
      </c>
      <c r="DK878">
        <v>1</v>
      </c>
      <c r="DL878">
        <v>1</v>
      </c>
      <c r="DN878">
        <f>SUM(DI878:DL878)</f>
        <v>3</v>
      </c>
      <c r="DO878" t="str">
        <f>IF(DN878=1,INDEX($DI$7:$DL$7,MATCH(1,$DI878:$DL878,0)),"mixedProduct")</f>
        <v>mixedProduct</v>
      </c>
      <c r="DP878">
        <f>IF(DI878=1,DP$7,0)</f>
        <v>0</v>
      </c>
      <c r="DQ878" t="str">
        <f>IF(DJ878=1,DQ$7,0)</f>
        <v>Energy</v>
      </c>
      <c r="DR878" t="str">
        <f>IF(DK878=1,DR$7,0)</f>
        <v>Pulp/Paper</v>
      </c>
      <c r="DS878" t="str">
        <f>IF(DL878=1,DS$7,0)</f>
        <v>Timber</v>
      </c>
      <c r="DT878">
        <v>0</v>
      </c>
      <c r="DU878">
        <v>1</v>
      </c>
      <c r="DV878" t="s">
        <v>1950</v>
      </c>
      <c r="DW878">
        <v>0</v>
      </c>
      <c r="DX878">
        <v>0</v>
      </c>
      <c r="DY878">
        <f>SUM(DT878:DU878)</f>
        <v>1</v>
      </c>
      <c r="DZ878" s="143" t="str">
        <f>IF(DT878=1,"self-calculated DF",IF(DU878=1,"external DF used","explicit C balance"))</f>
        <v>external DF used</v>
      </c>
      <c r="EA878">
        <v>1</v>
      </c>
      <c r="EB878">
        <v>1</v>
      </c>
      <c r="EC878">
        <v>1</v>
      </c>
      <c r="ED878">
        <v>0</v>
      </c>
      <c r="EE878">
        <v>1</v>
      </c>
      <c r="EF878" s="143">
        <v>1</v>
      </c>
      <c r="EG878">
        <v>1</v>
      </c>
      <c r="EH878">
        <v>1</v>
      </c>
      <c r="EI878">
        <v>0</v>
      </c>
      <c r="EJ878">
        <v>0</v>
      </c>
      <c r="EK878">
        <v>1</v>
      </c>
      <c r="EL878">
        <v>0</v>
      </c>
      <c r="EM878">
        <v>0</v>
      </c>
      <c r="EN878" s="2">
        <v>0</v>
      </c>
      <c r="EP878" t="str">
        <f>IF(AND(AND(AND(OR($EC878=1,$EB878=1),OR($EH878=1,$EF878=1)),SUM($EA878:$EE878,$EK878)&gt;=3),SUM($EF878:$EJ878)&gt;=2),"Whole sector approach","")</f>
        <v>Whole sector approach</v>
      </c>
      <c r="EQ878" t="str">
        <f>IF(AND(AND(OR($EC878=1,$EB878=1),AND($EH878=0,$EF878=0)),SUM($EA878:$EE878,$EK878)&gt;=3),"Ecosystem approach","")</f>
        <v/>
      </c>
      <c r="ER878" s="2" t="str">
        <f>IF(AND(AND(AND($EC878=0,$EB878=0),OR($EH878=1,$EF878=1)),SUM($EG878:$EJ878)&gt;=2),"Technology approach","")</f>
        <v/>
      </c>
      <c r="ES878" t="str">
        <f>IF(AND($EC878+$EB878+$EE878+$EA878+$ED878+$EG878=0,$N878="included"),"C neutral forest and HWP assumption","")</f>
        <v/>
      </c>
      <c r="ET878" t="str">
        <f>IF(AND(AND(AND(AND($EC878=1,$EB878+$EA878+$EG878&gt;=1),$EF878=1),$EH878+$EI878+$ED878+$EE878&gt;=2),$N878="included"),"All C pools assumption","")</f>
        <v>All C pools assumption</v>
      </c>
      <c r="EU878" t="str">
        <f>IF(AND($ED878+$EE878+$EI878+$EH878+$EF878=0,$N878="included"),"In-situ only assumption","")</f>
        <v/>
      </c>
      <c r="EY878" t="str">
        <f>IF(ISNUMBER(BW878),IF(ABS(BW878-[4]QC_indicators!$B$2)&gt;3*[4]QC_indicators!$C$2,"C ratio",IF(ISNUMBER(CA878),IF(ABS(CA878-[4]QC_indicators!$B$1)&gt;3*[4]QC_indicators!$C$1,"DF","no"))),IF(ISNUMBER(CA878),IF(ABS(CA878-[4]QC_indicators!$B$1)&gt;3*[4]QC_indicators!$C$1,"DF","no")))</f>
        <v>no</v>
      </c>
      <c r="FA878" t="str">
        <f>IF(LEN($CY878)=0,"",IF(AND($CY878&lt;(-0.05),$ES878="C neutral forest and HWP assumption"),"Cneutral paradox",IF(AND($CY878&gt;0.05,$EU878="In-situ only assumption"),"In-situ only paradox","")))</f>
        <v/>
      </c>
      <c r="FD878" t="s">
        <v>5032</v>
      </c>
      <c r="FE878" s="334" t="s">
        <v>5074</v>
      </c>
    </row>
    <row r="879" spans="1:161" ht="15" hidden="1" customHeight="1">
      <c r="A879" s="1" t="s">
        <v>1233</v>
      </c>
      <c r="B879" t="s">
        <v>1941</v>
      </c>
      <c r="C879" t="s">
        <v>1942</v>
      </c>
      <c r="D879" t="s">
        <v>1943</v>
      </c>
      <c r="E879" t="s">
        <v>1944</v>
      </c>
      <c r="F879" t="s">
        <v>1945</v>
      </c>
      <c r="G879" t="s">
        <v>1239</v>
      </c>
      <c r="H879" t="s">
        <v>254</v>
      </c>
      <c r="I879">
        <v>2012</v>
      </c>
      <c r="J879">
        <v>21</v>
      </c>
      <c r="K879" t="s">
        <v>1946</v>
      </c>
      <c r="L879" s="191"/>
      <c r="M879" t="str">
        <f>LEFT($D879,FIND(",",$D879)-1)&amp;"_"&amp;I879&amp;L879</f>
        <v>Pyorala_2012</v>
      </c>
      <c r="N879" t="s">
        <v>222</v>
      </c>
      <c r="O879" s="145" t="s">
        <v>341</v>
      </c>
      <c r="P879" s="179" t="s">
        <v>223</v>
      </c>
      <c r="Q879" s="317" t="s">
        <v>256</v>
      </c>
      <c r="R879" s="318" t="s">
        <v>1029</v>
      </c>
      <c r="S879" s="320" t="s">
        <v>683</v>
      </c>
      <c r="T879" s="317" t="s">
        <v>5033</v>
      </c>
      <c r="U879" s="317" t="s">
        <v>5047</v>
      </c>
      <c r="V879" s="253">
        <v>0</v>
      </c>
      <c r="W879" s="253">
        <v>0</v>
      </c>
      <c r="X879">
        <v>0</v>
      </c>
      <c r="Y879">
        <v>0</v>
      </c>
      <c r="Z879">
        <v>0</v>
      </c>
      <c r="AA879">
        <v>0</v>
      </c>
      <c r="AB879">
        <v>0</v>
      </c>
      <c r="AC879">
        <v>0</v>
      </c>
      <c r="AD879">
        <v>1</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s="141">
        <f>COUNTIF(X879:AY879,"&lt;&gt;0")</f>
        <v>1</v>
      </c>
      <c r="BA879" s="141">
        <f>COUNTIF(X879:AN879,"&lt;&gt;0")</f>
        <v>1</v>
      </c>
      <c r="BB879">
        <f>COUNTIF(X879:AE879,"&lt;&gt;0")</f>
        <v>1</v>
      </c>
      <c r="BC879">
        <f>COUNTIF(AF879:AK879,"&lt;&gt;0")</f>
        <v>0</v>
      </c>
      <c r="BD879">
        <f>COUNTIF(AL879:AN879,"&lt;&gt;0")</f>
        <v>0</v>
      </c>
      <c r="BE879">
        <f>COUNTIF(AU879:AY879,"&lt;&gt;0")</f>
        <v>0</v>
      </c>
      <c r="BF879">
        <f>COUNTIF(AO879:AT879,"&lt;&gt;0")</f>
        <v>0</v>
      </c>
      <c r="BG879" t="str" cm="1">
        <f t="array" ref="BG879">IF(BA879=1,INDEX($X$7:$AN$7,MATCH(TRUE,INDEX($X879:$AY879&lt;&gt;0,),0)),IF(BA879=0,INDEX($AO$7:$AY$7,MATCH(1,$AO879:$AY879,0)),IF(BH879="Multiple strategies","mixed drivers",IF(BH879="Supply chain","multiple supply","multiple silviculture"))))</f>
        <v>fertilisation</v>
      </c>
      <c r="BH879" s="2" t="str" cm="1">
        <f t="array" ref="BH879">IF(COUNTIF(BB879:BD879,"&lt;&gt;0")=1,INDEX($X$4:$AY$4,MATCH(TRUE,INDEX($X879:$AY879&lt;&gt;0,),0)),IF(COUNTIF(BB879:BD879,"&lt;&gt;0")=0,INDEX($AO$4:$AY$4,MATCH(1,$AO879:$AY879,0)),"Multiple strategies"))</f>
        <v>Silviculture for productivity</v>
      </c>
      <c r="BI879" s="177" t="s">
        <v>321</v>
      </c>
      <c r="BJ879" s="317" t="s">
        <v>1949</v>
      </c>
      <c r="BK879" s="317" t="s">
        <v>687</v>
      </c>
      <c r="BL879" s="160" t="s">
        <v>691</v>
      </c>
      <c r="BM879">
        <v>8.3000000000000007</v>
      </c>
      <c r="BN879">
        <v>9.1999999999999993</v>
      </c>
      <c r="BO879" s="317">
        <f>BN879/BM879</f>
        <v>1.1084337349397588</v>
      </c>
      <c r="BP879">
        <f>BN879-BM879</f>
        <v>0.89999999999999858</v>
      </c>
      <c r="BQ879">
        <f>BP879</f>
        <v>0.89999999999999858</v>
      </c>
      <c r="BR879" s="155" t="s">
        <v>232</v>
      </c>
      <c r="BS879" s="317" t="s">
        <v>5030</v>
      </c>
      <c r="BT879" s="321" t="s">
        <v>5031</v>
      </c>
      <c r="BU879" s="317">
        <v>-5.4244000000000057</v>
      </c>
      <c r="BV879" s="317">
        <v>12.649199999999993</v>
      </c>
      <c r="BW879" s="144">
        <f>BV879/BU879</f>
        <v>-2.3319076764250388</v>
      </c>
      <c r="BX879">
        <f>BV879-BU879</f>
        <v>18.073599999999999</v>
      </c>
      <c r="BZ879">
        <f>BX879*100/10^4</f>
        <v>0.18073599999999998</v>
      </c>
      <c r="CA879">
        <f>IFERROR(BZ879/BQ879,"")</f>
        <v>0.20081777777777807</v>
      </c>
      <c r="CB879">
        <v>0</v>
      </c>
      <c r="CC879">
        <v>0</v>
      </c>
      <c r="CD879">
        <v>0</v>
      </c>
      <c r="CE879">
        <v>0</v>
      </c>
      <c r="CF879">
        <v>0</v>
      </c>
      <c r="CG879">
        <v>0</v>
      </c>
      <c r="CH879">
        <v>0</v>
      </c>
      <c r="CI879">
        <v>0</v>
      </c>
      <c r="CJ879">
        <v>0</v>
      </c>
      <c r="CK879">
        <v>0</v>
      </c>
      <c r="CL879">
        <v>0</v>
      </c>
      <c r="CM879">
        <v>0</v>
      </c>
      <c r="CN879">
        <v>0</v>
      </c>
      <c r="CO879">
        <v>0</v>
      </c>
      <c r="CP879" t="str">
        <f>IF($BN879&lt;$BM879,"refNeedCorrection","refOK")</f>
        <v>refOK</v>
      </c>
      <c r="CQ879">
        <f>IF($CP879="refOK",$BM879,$BN879)</f>
        <v>8.3000000000000007</v>
      </c>
      <c r="CR879">
        <f>IF($CP879="refOK",$BN879,$BM879)</f>
        <v>9.1999999999999993</v>
      </c>
      <c r="CS879">
        <f>IF($CP879="refOK",$BQ879,-$BQ879)</f>
        <v>0.89999999999999858</v>
      </c>
      <c r="CT879">
        <f>IF(BI879="Roundwood",$CS879/2,$CS879)</f>
        <v>0.44999999999999929</v>
      </c>
      <c r="CU879">
        <f>IF($CP879="refOK",$BU879,$BV879)*IF($BR879="Emissions positive",-1,1)</f>
        <v>-5.4244000000000057</v>
      </c>
      <c r="CV879">
        <f>IF($CP879="refOK",$BV879,$BU879)*IF($BR879="Emissions positive",-1,1)</f>
        <v>12.649199999999993</v>
      </c>
      <c r="CW879">
        <f>IF($CP879="refNeedCorrection",-BZ879,BZ879)*IF($BR879="Emissions positive",-1,1)</f>
        <v>0.18073599999999998</v>
      </c>
      <c r="CX879">
        <f>IFERROR($CW879/$CS879,"")</f>
        <v>0.20081777777777807</v>
      </c>
      <c r="CY879">
        <f>IFERROR($CW879/$CS879,"")</f>
        <v>0.20081777777777807</v>
      </c>
      <c r="CZ879">
        <f>IFERROR($CW879/$CT879,"")</f>
        <v>0.40163555555555613</v>
      </c>
      <c r="DA879" s="2">
        <f>IFERROR((CV879-CU879)/ABS(CU879),"")</f>
        <v>3.3319076764250388</v>
      </c>
      <c r="DB879" s="1" t="s">
        <v>1074</v>
      </c>
      <c r="DC879" s="317" t="str">
        <f>IF(OR($DB879="prd",$DB879="std",$DB879="cit"),"loc",IF(OR($DB879="eur",$DB879="reg",$DB879="coy"),"reg",$DB879))</f>
        <v>reg</v>
      </c>
      <c r="DD879" t="s">
        <v>235</v>
      </c>
      <c r="DG879">
        <v>50</v>
      </c>
      <c r="DH879" t="str">
        <f>IF(DG879=0,"0",IF(AND(DG879&gt;=1,DG879&lt;=30),"1-30",IF(AND(DG879&gt;30,DG879&lt;=70),"31-70",IF(AND(DG879&gt;70,DG879&lt;=100),"71-100",IF(DG879&gt;100,"+100")))))</f>
        <v>31-70</v>
      </c>
      <c r="DI879">
        <v>0</v>
      </c>
      <c r="DJ879">
        <v>1</v>
      </c>
      <c r="DK879">
        <v>1</v>
      </c>
      <c r="DL879">
        <v>1</v>
      </c>
      <c r="DN879">
        <f>SUM(DI879:DL879)</f>
        <v>3</v>
      </c>
      <c r="DO879" t="str">
        <f>IF(DN879=1,INDEX($DI$7:$DL$7,MATCH(1,$DI879:$DL879,0)),"mixedProduct")</f>
        <v>mixedProduct</v>
      </c>
      <c r="DP879">
        <f>IF(DI879=1,DP$7,0)</f>
        <v>0</v>
      </c>
      <c r="DQ879" t="str">
        <f>IF(DJ879=1,DQ$7,0)</f>
        <v>Energy</v>
      </c>
      <c r="DR879" t="str">
        <f>IF(DK879=1,DR$7,0)</f>
        <v>Pulp/Paper</v>
      </c>
      <c r="DS879" t="str">
        <f>IF(DL879=1,DS$7,0)</f>
        <v>Timber</v>
      </c>
      <c r="DT879">
        <v>0</v>
      </c>
      <c r="DU879">
        <v>1</v>
      </c>
      <c r="DV879" t="s">
        <v>1950</v>
      </c>
      <c r="DW879">
        <v>0</v>
      </c>
      <c r="DX879">
        <v>0</v>
      </c>
      <c r="DY879">
        <f>SUM(DT879:DU879)</f>
        <v>1</v>
      </c>
      <c r="DZ879" s="143" t="str">
        <f>IF(DT879=1,"self-calculated DF",IF(DU879=1,"external DF used","explicit C balance"))</f>
        <v>external DF used</v>
      </c>
      <c r="EA879">
        <v>1</v>
      </c>
      <c r="EB879">
        <v>1</v>
      </c>
      <c r="EC879">
        <v>1</v>
      </c>
      <c r="ED879">
        <v>0</v>
      </c>
      <c r="EE879">
        <v>1</v>
      </c>
      <c r="EF879" s="143">
        <v>1</v>
      </c>
      <c r="EG879">
        <v>1</v>
      </c>
      <c r="EH879">
        <v>1</v>
      </c>
      <c r="EI879">
        <v>0</v>
      </c>
      <c r="EJ879">
        <v>0</v>
      </c>
      <c r="EK879">
        <v>1</v>
      </c>
      <c r="EL879">
        <v>0</v>
      </c>
      <c r="EM879">
        <v>0</v>
      </c>
      <c r="EN879" s="2">
        <v>0</v>
      </c>
      <c r="EP879" t="str">
        <f>IF(AND(AND(AND(OR($EC879=1,$EB879=1),OR($EH879=1,$EF879=1)),SUM($EA879:$EE879,$EK879)&gt;=3),SUM($EF879:$EJ879)&gt;=2),"Whole sector approach","")</f>
        <v>Whole sector approach</v>
      </c>
      <c r="EQ879" t="str">
        <f>IF(AND(AND(OR($EC879=1,$EB879=1),AND($EH879=0,$EF879=0)),SUM($EA879:$EE879,$EK879)&gt;=3),"Ecosystem approach","")</f>
        <v/>
      </c>
      <c r="ER879" s="2" t="str">
        <f>IF(AND(AND(AND($EC879=0,$EB879=0),OR($EH879=1,$EF879=1)),SUM($EG879:$EJ879)&gt;=2),"Technology approach","")</f>
        <v/>
      </c>
      <c r="ES879" t="str">
        <f>IF(AND($EC879+$EB879+$EE879+$EA879+$ED879+$EG879=0,$N879="included"),"C neutral forest and HWP assumption","")</f>
        <v/>
      </c>
      <c r="ET879" t="str">
        <f>IF(AND(AND(AND(AND($EC879=1,$EB879+$EA879+$EG879&gt;=1),$EF879=1),$EH879+$EI879+$ED879+$EE879&gt;=2),$N879="included"),"All C pools assumption","")</f>
        <v>All C pools assumption</v>
      </c>
      <c r="EU879" t="str">
        <f>IF(AND($ED879+$EE879+$EI879+$EH879+$EF879=0,$N879="included"),"In-situ only assumption","")</f>
        <v/>
      </c>
      <c r="EY879" t="str">
        <f>IF(ISNUMBER(BW879),IF(ABS(BW879-[4]QC_indicators!$B$2)&gt;3*[4]QC_indicators!$C$2,"C ratio",IF(ISNUMBER(CA879),IF(ABS(CA879-[4]QC_indicators!$B$1)&gt;3*[4]QC_indicators!$C$1,"DF","no"))),IF(ISNUMBER(CA879),IF(ABS(CA879-[4]QC_indicators!$B$1)&gt;3*[4]QC_indicators!$C$1,"DF","no")))</f>
        <v>no</v>
      </c>
      <c r="FA879" t="str">
        <f>IF(LEN($CY879)=0,"",IF(AND($CY879&lt;(-0.05),$ES879="C neutral forest and HWP assumption"),"Cneutral paradox",IF(AND($CY879&gt;0.05,$EU879="In-situ only assumption"),"In-situ only paradox","")))</f>
        <v/>
      </c>
      <c r="FD879" t="s">
        <v>5032</v>
      </c>
      <c r="FE879" s="334" t="s">
        <v>5074</v>
      </c>
    </row>
    <row r="880" spans="1:161" ht="15" hidden="1" customHeight="1">
      <c r="A880" s="1" t="s">
        <v>1233</v>
      </c>
      <c r="B880" t="s">
        <v>1941</v>
      </c>
      <c r="C880" t="s">
        <v>1942</v>
      </c>
      <c r="D880" t="s">
        <v>1943</v>
      </c>
      <c r="E880" t="s">
        <v>1944</v>
      </c>
      <c r="F880" t="s">
        <v>1945</v>
      </c>
      <c r="G880" t="s">
        <v>1239</v>
      </c>
      <c r="H880" t="s">
        <v>254</v>
      </c>
      <c r="I880">
        <v>2012</v>
      </c>
      <c r="J880">
        <v>21</v>
      </c>
      <c r="K880" t="s">
        <v>1946</v>
      </c>
      <c r="L880" s="191"/>
      <c r="M880" t="str">
        <f>LEFT($D880,FIND(",",$D880)-1)&amp;"_"&amp;I880&amp;L880</f>
        <v>Pyorala_2012</v>
      </c>
      <c r="N880" t="s">
        <v>222</v>
      </c>
      <c r="O880" s="145" t="s">
        <v>341</v>
      </c>
      <c r="P880" s="179" t="s">
        <v>223</v>
      </c>
      <c r="Q880" s="317" t="s">
        <v>256</v>
      </c>
      <c r="R880" s="318" t="s">
        <v>1029</v>
      </c>
      <c r="S880" s="320" t="s">
        <v>683</v>
      </c>
      <c r="T880" s="317" t="s">
        <v>5028</v>
      </c>
      <c r="U880" s="317" t="s">
        <v>5042</v>
      </c>
      <c r="V880" s="253">
        <v>0</v>
      </c>
      <c r="W880" s="253">
        <v>0</v>
      </c>
      <c r="X880">
        <v>0</v>
      </c>
      <c r="Y880">
        <v>0</v>
      </c>
      <c r="Z880">
        <v>0</v>
      </c>
      <c r="AA880">
        <v>0</v>
      </c>
      <c r="AB880">
        <v>0</v>
      </c>
      <c r="AC880">
        <v>0</v>
      </c>
      <c r="AD880">
        <v>1</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s="141">
        <f>COUNTIF(X880:AY880,"&lt;&gt;0")</f>
        <v>1</v>
      </c>
      <c r="BA880" s="141">
        <f>COUNTIF(X880:AN880,"&lt;&gt;0")</f>
        <v>1</v>
      </c>
      <c r="BB880">
        <f>COUNTIF(X880:AE880,"&lt;&gt;0")</f>
        <v>1</v>
      </c>
      <c r="BC880">
        <f>COUNTIF(AF880:AK880,"&lt;&gt;0")</f>
        <v>0</v>
      </c>
      <c r="BD880">
        <f>COUNTIF(AL880:AN880,"&lt;&gt;0")</f>
        <v>0</v>
      </c>
      <c r="BE880">
        <f>COUNTIF(AU880:AY880,"&lt;&gt;0")</f>
        <v>0</v>
      </c>
      <c r="BF880">
        <f>COUNTIF(AO880:AT880,"&lt;&gt;0")</f>
        <v>0</v>
      </c>
      <c r="BG880" t="str" cm="1">
        <f t="array" ref="BG880">IF(BA880=1,INDEX($X$7:$AN$7,MATCH(TRUE,INDEX($X880:$AY880&lt;&gt;0,),0)),IF(BA880=0,INDEX($AO$7:$AY$7,MATCH(1,$AO880:$AY880,0)),IF(BH880="Multiple strategies","mixed drivers",IF(BH880="Supply chain","multiple supply","multiple silviculture"))))</f>
        <v>fertilisation</v>
      </c>
      <c r="BH880" s="2" t="str" cm="1">
        <f t="array" ref="BH880">IF(COUNTIF(BB880:BD880,"&lt;&gt;0")=1,INDEX($X$4:$AY$4,MATCH(TRUE,INDEX($X880:$AY880&lt;&gt;0,),0)),IF(COUNTIF(BB880:BD880,"&lt;&gt;0")=0,INDEX($AO$4:$AY$4,MATCH(1,$AO880:$AY880,0)),"Multiple strategies"))</f>
        <v>Silviculture for productivity</v>
      </c>
      <c r="BI880" s="177" t="s">
        <v>321</v>
      </c>
      <c r="BJ880" s="317" t="s">
        <v>1949</v>
      </c>
      <c r="BK880" s="317" t="s">
        <v>687</v>
      </c>
      <c r="BL880" s="160" t="s">
        <v>691</v>
      </c>
      <c r="BM880">
        <v>7.3</v>
      </c>
      <c r="BN880">
        <v>7.8</v>
      </c>
      <c r="BO880" s="317">
        <f>BN880/BM880</f>
        <v>1.0684931506849316</v>
      </c>
      <c r="BP880">
        <f>BN880-BM880</f>
        <v>0.5</v>
      </c>
      <c r="BQ880">
        <f>BP880</f>
        <v>0.5</v>
      </c>
      <c r="BR880" s="155" t="s">
        <v>232</v>
      </c>
      <c r="BS880" s="317" t="s">
        <v>5030</v>
      </c>
      <c r="BT880" s="321" t="s">
        <v>5031</v>
      </c>
      <c r="BU880" s="317">
        <v>4.9415999999999869</v>
      </c>
      <c r="BV880" s="317">
        <v>12.628400000000013</v>
      </c>
      <c r="BW880" s="144">
        <f>BV880/BU880</f>
        <v>2.555528573741308</v>
      </c>
      <c r="BX880">
        <f>BV880-BU880</f>
        <v>7.6868000000000265</v>
      </c>
      <c r="BZ880">
        <f>BX880*100/10^4</f>
        <v>7.6868000000000269E-2</v>
      </c>
      <c r="CA880">
        <f>IFERROR(BZ880/BQ880,"")</f>
        <v>0.15373600000000054</v>
      </c>
      <c r="CB880">
        <v>0</v>
      </c>
      <c r="CC880">
        <v>0</v>
      </c>
      <c r="CD880">
        <v>0</v>
      </c>
      <c r="CE880">
        <v>0</v>
      </c>
      <c r="CF880">
        <v>0</v>
      </c>
      <c r="CG880">
        <v>0</v>
      </c>
      <c r="CH880">
        <v>0</v>
      </c>
      <c r="CI880">
        <v>0</v>
      </c>
      <c r="CJ880">
        <v>0</v>
      </c>
      <c r="CK880">
        <v>0</v>
      </c>
      <c r="CL880">
        <v>0</v>
      </c>
      <c r="CM880">
        <v>0</v>
      </c>
      <c r="CN880">
        <v>0</v>
      </c>
      <c r="CO880">
        <v>0</v>
      </c>
      <c r="CP880" t="str">
        <f>IF($BN880&lt;$BM880,"refNeedCorrection","refOK")</f>
        <v>refOK</v>
      </c>
      <c r="CQ880">
        <f>IF($CP880="refOK",$BM880,$BN880)</f>
        <v>7.3</v>
      </c>
      <c r="CR880">
        <f>IF($CP880="refOK",$BN880,$BM880)</f>
        <v>7.8</v>
      </c>
      <c r="CS880">
        <f>IF($CP880="refOK",$BQ880,-$BQ880)</f>
        <v>0.5</v>
      </c>
      <c r="CT880">
        <f>IF(BI880="Roundwood",$CS880/2,$CS880)</f>
        <v>0.25</v>
      </c>
      <c r="CU880">
        <f>IF($CP880="refOK",$BU880,$BV880)*IF($BR880="Emissions positive",-1,1)</f>
        <v>4.9415999999999869</v>
      </c>
      <c r="CV880">
        <f>IF($CP880="refOK",$BV880,$BU880)*IF($BR880="Emissions positive",-1,1)</f>
        <v>12.628400000000013</v>
      </c>
      <c r="CW880">
        <f>IF($CP880="refNeedCorrection",-BZ880,BZ880)*IF($BR880="Emissions positive",-1,1)</f>
        <v>7.6868000000000269E-2</v>
      </c>
      <c r="CX880">
        <f>IFERROR($CW880/$CS880,"")</f>
        <v>0.15373600000000054</v>
      </c>
      <c r="CY880">
        <f>IFERROR($CW880/$CS880,"")</f>
        <v>0.15373600000000054</v>
      </c>
      <c r="CZ880">
        <f>IFERROR($CW880/$CT880,"")</f>
        <v>0.30747200000000108</v>
      </c>
      <c r="DA880" s="2">
        <f>IFERROR((CV880-CU880)/ABS(CU880),"")</f>
        <v>1.5555285737413078</v>
      </c>
      <c r="DB880" s="1" t="s">
        <v>1074</v>
      </c>
      <c r="DC880" s="317" t="str">
        <f>IF(OR($DB880="prd",$DB880="std",$DB880="cit"),"loc",IF(OR($DB880="eur",$DB880="reg",$DB880="coy"),"reg",$DB880))</f>
        <v>reg</v>
      </c>
      <c r="DD880" t="s">
        <v>235</v>
      </c>
      <c r="DG880">
        <v>80</v>
      </c>
      <c r="DH880" t="str">
        <f>IF(DG880=0,"0",IF(AND(DG880&gt;=1,DG880&lt;=30),"1-30",IF(AND(DG880&gt;30,DG880&lt;=70),"31-70",IF(AND(DG880&gt;70,DG880&lt;=100),"71-100",IF(DG880&gt;100,"+100")))))</f>
        <v>71-100</v>
      </c>
      <c r="DI880">
        <v>0</v>
      </c>
      <c r="DJ880">
        <v>1</v>
      </c>
      <c r="DK880">
        <v>1</v>
      </c>
      <c r="DL880">
        <v>1</v>
      </c>
      <c r="DN880">
        <f>SUM(DI880:DL880)</f>
        <v>3</v>
      </c>
      <c r="DO880" t="str">
        <f>IF(DN880=1,INDEX($DI$7:$DL$7,MATCH(1,$DI880:$DL880,0)),"mixedProduct")</f>
        <v>mixedProduct</v>
      </c>
      <c r="DP880">
        <f>IF(DI880=1,DP$7,0)</f>
        <v>0</v>
      </c>
      <c r="DQ880" t="str">
        <f>IF(DJ880=1,DQ$7,0)</f>
        <v>Energy</v>
      </c>
      <c r="DR880" t="str">
        <f>IF(DK880=1,DR$7,0)</f>
        <v>Pulp/Paper</v>
      </c>
      <c r="DS880" t="str">
        <f>IF(DL880=1,DS$7,0)</f>
        <v>Timber</v>
      </c>
      <c r="DT880">
        <v>0</v>
      </c>
      <c r="DU880">
        <v>1</v>
      </c>
      <c r="DV880" t="s">
        <v>1950</v>
      </c>
      <c r="DW880">
        <v>0</v>
      </c>
      <c r="DX880">
        <v>0</v>
      </c>
      <c r="DY880">
        <f>SUM(DT880:DU880)</f>
        <v>1</v>
      </c>
      <c r="DZ880" s="143" t="str">
        <f>IF(DT880=1,"self-calculated DF",IF(DU880=1,"external DF used","explicit C balance"))</f>
        <v>external DF used</v>
      </c>
      <c r="EA880">
        <v>1</v>
      </c>
      <c r="EB880">
        <v>1</v>
      </c>
      <c r="EC880">
        <v>1</v>
      </c>
      <c r="ED880">
        <v>0</v>
      </c>
      <c r="EE880">
        <v>1</v>
      </c>
      <c r="EF880" s="143">
        <v>1</v>
      </c>
      <c r="EG880">
        <v>1</v>
      </c>
      <c r="EH880">
        <v>1</v>
      </c>
      <c r="EI880">
        <v>0</v>
      </c>
      <c r="EJ880">
        <v>0</v>
      </c>
      <c r="EK880">
        <v>1</v>
      </c>
      <c r="EL880">
        <v>0</v>
      </c>
      <c r="EM880">
        <v>0</v>
      </c>
      <c r="EN880" s="2">
        <v>0</v>
      </c>
      <c r="EP880" t="str">
        <f>IF(AND(AND(AND(OR($EC880=1,$EB880=1),OR($EH880=1,$EF880=1)),SUM($EA880:$EE880,$EK880)&gt;=3),SUM($EF880:$EJ880)&gt;=2),"Whole sector approach","")</f>
        <v>Whole sector approach</v>
      </c>
      <c r="EQ880" t="str">
        <f>IF(AND(AND(OR($EC880=1,$EB880=1),AND($EH880=0,$EF880=0)),SUM($EA880:$EE880,$EK880)&gt;=3),"Ecosystem approach","")</f>
        <v/>
      </c>
      <c r="ER880" s="2" t="str">
        <f>IF(AND(AND(AND($EC880=0,$EB880=0),OR($EH880=1,$EF880=1)),SUM($EG880:$EJ880)&gt;=2),"Technology approach","")</f>
        <v/>
      </c>
      <c r="ES880" t="str">
        <f>IF(AND($EC880+$EB880+$EE880+$EA880+$ED880+$EG880=0,$N880="included"),"C neutral forest and HWP assumption","")</f>
        <v/>
      </c>
      <c r="ET880" t="str">
        <f>IF(AND(AND(AND(AND($EC880=1,$EB880+$EA880+$EG880&gt;=1),$EF880=1),$EH880+$EI880+$ED880+$EE880&gt;=2),$N880="included"),"All C pools assumption","")</f>
        <v>All C pools assumption</v>
      </c>
      <c r="EU880" t="str">
        <f>IF(AND($ED880+$EE880+$EI880+$EH880+$EF880=0,$N880="included"),"In-situ only assumption","")</f>
        <v/>
      </c>
      <c r="EY880" t="str">
        <f>IF(ISNUMBER(BW880),IF(ABS(BW880-[4]QC_indicators!$B$2)&gt;3*[4]QC_indicators!$C$2,"C ratio",IF(ISNUMBER(CA880),IF(ABS(CA880-[4]QC_indicators!$B$1)&gt;3*[4]QC_indicators!$C$1,"DF","no"))),IF(ISNUMBER(CA880),IF(ABS(CA880-[4]QC_indicators!$B$1)&gt;3*[4]QC_indicators!$C$1,"DF","no")))</f>
        <v>no</v>
      </c>
      <c r="FA880" t="str">
        <f>IF(LEN($CY880)=0,"",IF(AND($CY880&lt;(-0.05),$ES880="C neutral forest and HWP assumption"),"Cneutral paradox",IF(AND($CY880&gt;0.05,$EU880="In-situ only assumption"),"In-situ only paradox","")))</f>
        <v/>
      </c>
      <c r="FD880" t="s">
        <v>5032</v>
      </c>
      <c r="FE880" s="334" t="s">
        <v>5074</v>
      </c>
    </row>
    <row r="881" spans="1:161" ht="15" hidden="1" customHeight="1">
      <c r="A881" s="1" t="s">
        <v>1233</v>
      </c>
      <c r="B881" t="s">
        <v>1941</v>
      </c>
      <c r="C881" t="s">
        <v>1942</v>
      </c>
      <c r="D881" t="s">
        <v>1943</v>
      </c>
      <c r="E881" t="s">
        <v>1944</v>
      </c>
      <c r="F881" t="s">
        <v>1945</v>
      </c>
      <c r="G881" t="s">
        <v>1239</v>
      </c>
      <c r="H881" t="s">
        <v>254</v>
      </c>
      <c r="I881">
        <v>2012</v>
      </c>
      <c r="J881">
        <v>21</v>
      </c>
      <c r="K881" t="s">
        <v>1946</v>
      </c>
      <c r="L881" s="191"/>
      <c r="M881" t="str">
        <f>LEFT($D881,FIND(",",$D881)-1)&amp;"_"&amp;I881&amp;L881</f>
        <v>Pyorala_2012</v>
      </c>
      <c r="N881" t="s">
        <v>222</v>
      </c>
      <c r="O881" s="145" t="s">
        <v>341</v>
      </c>
      <c r="P881" s="179" t="s">
        <v>223</v>
      </c>
      <c r="Q881" s="317" t="s">
        <v>256</v>
      </c>
      <c r="R881" s="318" t="s">
        <v>1029</v>
      </c>
      <c r="S881" s="320" t="s">
        <v>683</v>
      </c>
      <c r="T881" s="317" t="s">
        <v>5034</v>
      </c>
      <c r="U881" s="317" t="s">
        <v>5041</v>
      </c>
      <c r="V881" s="253">
        <v>0</v>
      </c>
      <c r="W881" s="253">
        <v>0</v>
      </c>
      <c r="X881">
        <v>0</v>
      </c>
      <c r="Y881">
        <v>0</v>
      </c>
      <c r="Z881">
        <v>0</v>
      </c>
      <c r="AA881">
        <v>0</v>
      </c>
      <c r="AB881">
        <v>0</v>
      </c>
      <c r="AC881">
        <v>0</v>
      </c>
      <c r="AD881">
        <v>1</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s="141">
        <f>COUNTIF(X881:AY881,"&lt;&gt;0")</f>
        <v>1</v>
      </c>
      <c r="BA881" s="141">
        <f>COUNTIF(X881:AN881,"&lt;&gt;0")</f>
        <v>1</v>
      </c>
      <c r="BB881">
        <f>COUNTIF(X881:AE881,"&lt;&gt;0")</f>
        <v>1</v>
      </c>
      <c r="BC881">
        <f>COUNTIF(AF881:AK881,"&lt;&gt;0")</f>
        <v>0</v>
      </c>
      <c r="BD881">
        <f>COUNTIF(AL881:AN881,"&lt;&gt;0")</f>
        <v>0</v>
      </c>
      <c r="BE881">
        <f>COUNTIF(AU881:AY881,"&lt;&gt;0")</f>
        <v>0</v>
      </c>
      <c r="BF881">
        <f>COUNTIF(AO881:AT881,"&lt;&gt;0")</f>
        <v>0</v>
      </c>
      <c r="BG881" t="str" cm="1">
        <f t="array" ref="BG881">IF(BA881=1,INDEX($X$7:$AN$7,MATCH(TRUE,INDEX($X881:$AY881&lt;&gt;0,),0)),IF(BA881=0,INDEX($AO$7:$AY$7,MATCH(1,$AO881:$AY881,0)),IF(BH881="Multiple strategies","mixed drivers",IF(BH881="Supply chain","multiple supply","multiple silviculture"))))</f>
        <v>fertilisation</v>
      </c>
      <c r="BH881" s="2" t="str" cm="1">
        <f t="array" ref="BH881">IF(COUNTIF(BB881:BD881,"&lt;&gt;0")=1,INDEX($X$4:$AY$4,MATCH(TRUE,INDEX($X881:$AY881&lt;&gt;0,),0)),IF(COUNTIF(BB881:BD881,"&lt;&gt;0")=0,INDEX($AO$4:$AY$4,MATCH(1,$AO881:$AY881,0)),"Multiple strategies"))</f>
        <v>Silviculture for productivity</v>
      </c>
      <c r="BI881" s="177" t="s">
        <v>321</v>
      </c>
      <c r="BJ881" s="317" t="s">
        <v>1949</v>
      </c>
      <c r="BK881" s="317" t="s">
        <v>687</v>
      </c>
      <c r="BL881" s="160" t="s">
        <v>691</v>
      </c>
      <c r="BM881">
        <v>8.4</v>
      </c>
      <c r="BN881">
        <v>8.6999999999999993</v>
      </c>
      <c r="BO881" s="317">
        <f>BN881/BM881</f>
        <v>1.0357142857142856</v>
      </c>
      <c r="BP881">
        <f>BN881-BM881</f>
        <v>0.29999999999999893</v>
      </c>
      <c r="BQ881">
        <f>BP881</f>
        <v>0.29999999999999893</v>
      </c>
      <c r="BR881" s="155" t="s">
        <v>232</v>
      </c>
      <c r="BS881" s="317" t="s">
        <v>5030</v>
      </c>
      <c r="BT881" s="321" t="s">
        <v>5031</v>
      </c>
      <c r="BU881" s="317">
        <v>-31.297999999999988</v>
      </c>
      <c r="BV881" s="317">
        <v>-26.697999999999993</v>
      </c>
      <c r="BW881" s="144">
        <f>BV881/BU881</f>
        <v>0.85302575244424572</v>
      </c>
      <c r="BX881">
        <f>BV881-BU881</f>
        <v>4.5999999999999943</v>
      </c>
      <c r="BZ881">
        <f>BX881*100/10^4</f>
        <v>4.5999999999999944E-2</v>
      </c>
      <c r="CA881">
        <f>IFERROR(BZ881/BQ881,"")</f>
        <v>0.15333333333333368</v>
      </c>
      <c r="CB881">
        <v>0</v>
      </c>
      <c r="CC881">
        <v>0</v>
      </c>
      <c r="CD881">
        <v>0</v>
      </c>
      <c r="CE881">
        <v>0</v>
      </c>
      <c r="CF881">
        <v>0</v>
      </c>
      <c r="CG881">
        <v>0</v>
      </c>
      <c r="CH881">
        <v>0</v>
      </c>
      <c r="CI881">
        <v>0</v>
      </c>
      <c r="CJ881">
        <v>0</v>
      </c>
      <c r="CK881">
        <v>0</v>
      </c>
      <c r="CL881">
        <v>0</v>
      </c>
      <c r="CM881">
        <v>0</v>
      </c>
      <c r="CN881">
        <v>0</v>
      </c>
      <c r="CO881">
        <v>0</v>
      </c>
      <c r="CP881" t="str">
        <f>IF($BN881&lt;$BM881,"refNeedCorrection","refOK")</f>
        <v>refOK</v>
      </c>
      <c r="CQ881">
        <f>IF($CP881="refOK",$BM881,$BN881)</f>
        <v>8.4</v>
      </c>
      <c r="CR881">
        <f>IF($CP881="refOK",$BN881,$BM881)</f>
        <v>8.6999999999999993</v>
      </c>
      <c r="CS881">
        <f>IF($CP881="refOK",$BQ881,-$BQ881)</f>
        <v>0.29999999999999893</v>
      </c>
      <c r="CT881">
        <f>IF(BI881="Roundwood",$CS881/2,$CS881)</f>
        <v>0.14999999999999947</v>
      </c>
      <c r="CU881">
        <f>IF($CP881="refOK",$BU881,$BV881)*IF($BR881="Emissions positive",-1,1)</f>
        <v>-31.297999999999988</v>
      </c>
      <c r="CV881">
        <f>IF($CP881="refOK",$BV881,$BU881)*IF($BR881="Emissions positive",-1,1)</f>
        <v>-26.697999999999993</v>
      </c>
      <c r="CW881">
        <f>IF($CP881="refNeedCorrection",-BZ881,BZ881)*IF($BR881="Emissions positive",-1,1)</f>
        <v>4.5999999999999944E-2</v>
      </c>
      <c r="CX881">
        <f>IFERROR($CW881/$CS881,"")</f>
        <v>0.15333333333333368</v>
      </c>
      <c r="CY881">
        <f>IFERROR($CW881/$CS881,"")</f>
        <v>0.15333333333333368</v>
      </c>
      <c r="CZ881">
        <f>IFERROR($CW881/$CT881,"")</f>
        <v>0.30666666666666736</v>
      </c>
      <c r="DA881" s="2">
        <f>IFERROR((CV881-CU881)/ABS(CU881),"")</f>
        <v>0.14697424755575425</v>
      </c>
      <c r="DB881" s="1" t="s">
        <v>1074</v>
      </c>
      <c r="DC881" s="317" t="str">
        <f>IF(OR($DB881="prd",$DB881="std",$DB881="cit"),"loc",IF(OR($DB881="eur",$DB881="reg",$DB881="coy"),"reg",$DB881))</f>
        <v>reg</v>
      </c>
      <c r="DD881" t="s">
        <v>235</v>
      </c>
      <c r="DG881">
        <v>50</v>
      </c>
      <c r="DH881" t="str">
        <f>IF(DG881=0,"0",IF(AND(DG881&gt;=1,DG881&lt;=30),"1-30",IF(AND(DG881&gt;30,DG881&lt;=70),"31-70",IF(AND(DG881&gt;70,DG881&lt;=100),"71-100",IF(DG881&gt;100,"+100")))))</f>
        <v>31-70</v>
      </c>
      <c r="DI881">
        <v>0</v>
      </c>
      <c r="DJ881">
        <v>1</v>
      </c>
      <c r="DK881">
        <v>1</v>
      </c>
      <c r="DL881">
        <v>1</v>
      </c>
      <c r="DN881">
        <f>SUM(DI881:DL881)</f>
        <v>3</v>
      </c>
      <c r="DO881" t="str">
        <f>IF(DN881=1,INDEX($DI$7:$DL$7,MATCH(1,$DI881:$DL881,0)),"mixedProduct")</f>
        <v>mixedProduct</v>
      </c>
      <c r="DP881">
        <f>IF(DI881=1,DP$7,0)</f>
        <v>0</v>
      </c>
      <c r="DQ881" t="str">
        <f>IF(DJ881=1,DQ$7,0)</f>
        <v>Energy</v>
      </c>
      <c r="DR881" t="str">
        <f>IF(DK881=1,DR$7,0)</f>
        <v>Pulp/Paper</v>
      </c>
      <c r="DS881" t="str">
        <f>IF(DL881=1,DS$7,0)</f>
        <v>Timber</v>
      </c>
      <c r="DT881">
        <v>0</v>
      </c>
      <c r="DU881">
        <v>1</v>
      </c>
      <c r="DV881" t="s">
        <v>1950</v>
      </c>
      <c r="DW881">
        <v>0</v>
      </c>
      <c r="DX881">
        <v>0</v>
      </c>
      <c r="DY881">
        <f>SUM(DT881:DU881)</f>
        <v>1</v>
      </c>
      <c r="DZ881" s="143" t="str">
        <f>IF(DT881=1,"self-calculated DF",IF(DU881=1,"external DF used","explicit C balance"))</f>
        <v>external DF used</v>
      </c>
      <c r="EA881">
        <v>1</v>
      </c>
      <c r="EB881">
        <v>1</v>
      </c>
      <c r="EC881">
        <v>1</v>
      </c>
      <c r="ED881">
        <v>0</v>
      </c>
      <c r="EE881">
        <v>1</v>
      </c>
      <c r="EF881" s="143">
        <v>1</v>
      </c>
      <c r="EG881">
        <v>1</v>
      </c>
      <c r="EH881">
        <v>1</v>
      </c>
      <c r="EI881">
        <v>0</v>
      </c>
      <c r="EJ881">
        <v>0</v>
      </c>
      <c r="EK881">
        <v>1</v>
      </c>
      <c r="EL881">
        <v>0</v>
      </c>
      <c r="EM881">
        <v>0</v>
      </c>
      <c r="EN881" s="2">
        <v>0</v>
      </c>
      <c r="EP881" t="str">
        <f>IF(AND(AND(AND(OR($EC881=1,$EB881=1),OR($EH881=1,$EF881=1)),SUM($EA881:$EE881,$EK881)&gt;=3),SUM($EF881:$EJ881)&gt;=2),"Whole sector approach","")</f>
        <v>Whole sector approach</v>
      </c>
      <c r="EQ881" t="str">
        <f>IF(AND(AND(OR($EC881=1,$EB881=1),AND($EH881=0,$EF881=0)),SUM($EA881:$EE881,$EK881)&gt;=3),"Ecosystem approach","")</f>
        <v/>
      </c>
      <c r="ER881" s="2" t="str">
        <f>IF(AND(AND(AND($EC881=0,$EB881=0),OR($EH881=1,$EF881=1)),SUM($EG881:$EJ881)&gt;=2),"Technology approach","")</f>
        <v/>
      </c>
      <c r="ES881" t="str">
        <f>IF(AND($EC881+$EB881+$EE881+$EA881+$ED881+$EG881=0,$N881="included"),"C neutral forest and HWP assumption","")</f>
        <v/>
      </c>
      <c r="ET881" t="str">
        <f>IF(AND(AND(AND(AND($EC881=1,$EB881+$EA881+$EG881&gt;=1),$EF881=1),$EH881+$EI881+$ED881+$EE881&gt;=2),$N881="included"),"All C pools assumption","")</f>
        <v>All C pools assumption</v>
      </c>
      <c r="EU881" t="str">
        <f>IF(AND($ED881+$EE881+$EI881+$EH881+$EF881=0,$N881="included"),"In-situ only assumption","")</f>
        <v/>
      </c>
      <c r="EY881" t="str">
        <f>IF(ISNUMBER(BW881),IF(ABS(BW881-[4]QC_indicators!$B$2)&gt;3*[4]QC_indicators!$C$2,"C ratio",IF(ISNUMBER(CA881),IF(ABS(CA881-[4]QC_indicators!$B$1)&gt;3*[4]QC_indicators!$C$1,"DF","no"))),IF(ISNUMBER(CA881),IF(ABS(CA881-[4]QC_indicators!$B$1)&gt;3*[4]QC_indicators!$C$1,"DF","no")))</f>
        <v>no</v>
      </c>
      <c r="FA881" t="str">
        <f>IF(LEN($CY881)=0,"",IF(AND($CY881&lt;(-0.05),$ES881="C neutral forest and HWP assumption"),"Cneutral paradox",IF(AND($CY881&gt;0.05,$EU881="In-situ only assumption"),"In-situ only paradox","")))</f>
        <v/>
      </c>
      <c r="FD881" t="s">
        <v>5032</v>
      </c>
      <c r="FE881" s="334" t="s">
        <v>5074</v>
      </c>
    </row>
    <row r="882" spans="1:161" ht="15" hidden="1" customHeight="1">
      <c r="A882" s="1" t="s">
        <v>1233</v>
      </c>
      <c r="B882" t="s">
        <v>1941</v>
      </c>
      <c r="C882" t="s">
        <v>1942</v>
      </c>
      <c r="D882" t="s">
        <v>1943</v>
      </c>
      <c r="E882" t="s">
        <v>1944</v>
      </c>
      <c r="F882" t="s">
        <v>1945</v>
      </c>
      <c r="G882" t="s">
        <v>1239</v>
      </c>
      <c r="H882" t="s">
        <v>254</v>
      </c>
      <c r="I882">
        <v>2012</v>
      </c>
      <c r="J882">
        <v>21</v>
      </c>
      <c r="K882" t="s">
        <v>1946</v>
      </c>
      <c r="L882" s="191"/>
      <c r="M882" t="str">
        <f>LEFT($D882,FIND(",",$D882)-1)&amp;"_"&amp;I882&amp;L882</f>
        <v>Pyorala_2012</v>
      </c>
      <c r="N882" t="s">
        <v>222</v>
      </c>
      <c r="O882" s="145" t="s">
        <v>341</v>
      </c>
      <c r="P882" s="179" t="s">
        <v>223</v>
      </c>
      <c r="Q882" s="317" t="s">
        <v>256</v>
      </c>
      <c r="R882" s="318" t="s">
        <v>1029</v>
      </c>
      <c r="S882" s="320" t="s">
        <v>683</v>
      </c>
      <c r="T882" s="317" t="s">
        <v>5039</v>
      </c>
      <c r="U882" s="317" t="s">
        <v>5040</v>
      </c>
      <c r="V882" s="253">
        <v>0</v>
      </c>
      <c r="W882" s="253">
        <v>0</v>
      </c>
      <c r="X882">
        <v>0</v>
      </c>
      <c r="Y882">
        <v>0</v>
      </c>
      <c r="Z882">
        <v>0</v>
      </c>
      <c r="AA882">
        <v>0</v>
      </c>
      <c r="AB882">
        <v>0</v>
      </c>
      <c r="AC882">
        <v>0</v>
      </c>
      <c r="AD882">
        <v>1</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s="141">
        <f>COUNTIF(X882:AY882,"&lt;&gt;0")</f>
        <v>1</v>
      </c>
      <c r="BA882" s="141">
        <f>COUNTIF(X882:AN882,"&lt;&gt;0")</f>
        <v>1</v>
      </c>
      <c r="BB882">
        <f>COUNTIF(X882:AE882,"&lt;&gt;0")</f>
        <v>1</v>
      </c>
      <c r="BC882">
        <f>COUNTIF(AF882:AK882,"&lt;&gt;0")</f>
        <v>0</v>
      </c>
      <c r="BD882">
        <f>COUNTIF(AL882:AN882,"&lt;&gt;0")</f>
        <v>0</v>
      </c>
      <c r="BE882">
        <f>COUNTIF(AU882:AY882,"&lt;&gt;0")</f>
        <v>0</v>
      </c>
      <c r="BF882">
        <f>COUNTIF(AO882:AT882,"&lt;&gt;0")</f>
        <v>0</v>
      </c>
      <c r="BG882" t="str" cm="1">
        <f t="array" ref="BG882">IF(BA882=1,INDEX($X$7:$AN$7,MATCH(TRUE,INDEX($X882:$AY882&lt;&gt;0,),0)),IF(BA882=0,INDEX($AO$7:$AY$7,MATCH(1,$AO882:$AY882,0)),IF(BH882="Multiple strategies","mixed drivers",IF(BH882="Supply chain","multiple supply","multiple silviculture"))))</f>
        <v>fertilisation</v>
      </c>
      <c r="BH882" s="2" t="str" cm="1">
        <f t="array" ref="BH882">IF(COUNTIF(BB882:BD882,"&lt;&gt;0")=1,INDEX($X$4:$AY$4,MATCH(TRUE,INDEX($X882:$AY882&lt;&gt;0,),0)),IF(COUNTIF(BB882:BD882,"&lt;&gt;0")=0,INDEX($AO$4:$AY$4,MATCH(1,$AO882:$AY882,0)),"Multiple strategies"))</f>
        <v>Silviculture for productivity</v>
      </c>
      <c r="BI882" s="177" t="s">
        <v>321</v>
      </c>
      <c r="BJ882" s="317" t="s">
        <v>1949</v>
      </c>
      <c r="BK882" s="317" t="s">
        <v>687</v>
      </c>
      <c r="BL882" s="160" t="s">
        <v>691</v>
      </c>
      <c r="BM882">
        <v>6.5</v>
      </c>
      <c r="BN882">
        <v>7</v>
      </c>
      <c r="BO882" s="317">
        <f>BN882/BM882</f>
        <v>1.0769230769230769</v>
      </c>
      <c r="BP882">
        <f>BN882-BM882</f>
        <v>0.5</v>
      </c>
      <c r="BQ882">
        <f>BP882</f>
        <v>0.5</v>
      </c>
      <c r="BR882" s="155" t="s">
        <v>232</v>
      </c>
      <c r="BS882" s="317" t="s">
        <v>5030</v>
      </c>
      <c r="BT882" s="321" t="s">
        <v>5031</v>
      </c>
      <c r="BU882" s="317">
        <v>-44.345199999999984</v>
      </c>
      <c r="BV882" s="317">
        <v>-37.858400000000017</v>
      </c>
      <c r="BW882" s="144">
        <f>BV882/BU882</f>
        <v>0.85372035755842868</v>
      </c>
      <c r="BX882">
        <f>BV882-BU882</f>
        <v>6.4867999999999668</v>
      </c>
      <c r="BZ882">
        <f>BX882*100/10^4</f>
        <v>6.4867999999999662E-2</v>
      </c>
      <c r="CA882">
        <f>IFERROR(BZ882/BQ882,"")</f>
        <v>0.12973599999999932</v>
      </c>
      <c r="CB882">
        <v>0</v>
      </c>
      <c r="CC882">
        <v>0</v>
      </c>
      <c r="CD882">
        <v>0</v>
      </c>
      <c r="CE882">
        <v>0</v>
      </c>
      <c r="CF882">
        <v>0</v>
      </c>
      <c r="CG882">
        <v>0</v>
      </c>
      <c r="CH882">
        <v>0</v>
      </c>
      <c r="CI882">
        <v>0</v>
      </c>
      <c r="CJ882">
        <v>0</v>
      </c>
      <c r="CK882">
        <v>0</v>
      </c>
      <c r="CL882">
        <v>0</v>
      </c>
      <c r="CM882">
        <v>0</v>
      </c>
      <c r="CN882">
        <v>0</v>
      </c>
      <c r="CO882">
        <v>0</v>
      </c>
      <c r="CP882" t="str">
        <f>IF($BN882&lt;$BM882,"refNeedCorrection","refOK")</f>
        <v>refOK</v>
      </c>
      <c r="CQ882">
        <f>IF($CP882="refOK",$BM882,$BN882)</f>
        <v>6.5</v>
      </c>
      <c r="CR882">
        <f>IF($CP882="refOK",$BN882,$BM882)</f>
        <v>7</v>
      </c>
      <c r="CS882">
        <f>IF($CP882="refOK",$BQ882,-$BQ882)</f>
        <v>0.5</v>
      </c>
      <c r="CT882">
        <f>IF(BI882="Roundwood",$CS882/2,$CS882)</f>
        <v>0.25</v>
      </c>
      <c r="CU882">
        <f>IF($CP882="refOK",$BU882,$BV882)*IF($BR882="Emissions positive",-1,1)</f>
        <v>-44.345199999999984</v>
      </c>
      <c r="CV882">
        <f>IF($CP882="refOK",$BV882,$BU882)*IF($BR882="Emissions positive",-1,1)</f>
        <v>-37.858400000000017</v>
      </c>
      <c r="CW882">
        <f>IF($CP882="refNeedCorrection",-BZ882,BZ882)*IF($BR882="Emissions positive",-1,1)</f>
        <v>6.4867999999999662E-2</v>
      </c>
      <c r="CX882">
        <f>IFERROR($CW882/$CS882,"")</f>
        <v>0.12973599999999932</v>
      </c>
      <c r="CY882">
        <f>IFERROR($CW882/$CS882,"")</f>
        <v>0.12973599999999932</v>
      </c>
      <c r="CZ882">
        <f>IFERROR($CW882/$CT882,"")</f>
        <v>0.25947199999999865</v>
      </c>
      <c r="DA882" s="2">
        <f>IFERROR((CV882-CU882)/ABS(CU882),"")</f>
        <v>0.14627964244157132</v>
      </c>
      <c r="DB882" s="1" t="s">
        <v>1074</v>
      </c>
      <c r="DC882" s="317" t="str">
        <f>IF(OR($DB882="prd",$DB882="std",$DB882="cit"),"loc",IF(OR($DB882="eur",$DB882="reg",$DB882="coy"),"reg",$DB882))</f>
        <v>reg</v>
      </c>
      <c r="DD882" t="s">
        <v>235</v>
      </c>
      <c r="DG882">
        <v>50</v>
      </c>
      <c r="DH882" t="str">
        <f>IF(DG882=0,"0",IF(AND(DG882&gt;=1,DG882&lt;=30),"1-30",IF(AND(DG882&gt;30,DG882&lt;=70),"31-70",IF(AND(DG882&gt;70,DG882&lt;=100),"71-100",IF(DG882&gt;100,"+100")))))</f>
        <v>31-70</v>
      </c>
      <c r="DI882">
        <v>0</v>
      </c>
      <c r="DJ882">
        <v>1</v>
      </c>
      <c r="DK882">
        <v>1</v>
      </c>
      <c r="DL882">
        <v>1</v>
      </c>
      <c r="DN882">
        <f>SUM(DI882:DL882)</f>
        <v>3</v>
      </c>
      <c r="DO882" t="str">
        <f>IF(DN882=1,INDEX($DI$7:$DL$7,MATCH(1,$DI882:$DL882,0)),"mixedProduct")</f>
        <v>mixedProduct</v>
      </c>
      <c r="DP882">
        <f>IF(DI882=1,DP$7,0)</f>
        <v>0</v>
      </c>
      <c r="DQ882" t="str">
        <f>IF(DJ882=1,DQ$7,0)</f>
        <v>Energy</v>
      </c>
      <c r="DR882" t="str">
        <f>IF(DK882=1,DR$7,0)</f>
        <v>Pulp/Paper</v>
      </c>
      <c r="DS882" t="str">
        <f>IF(DL882=1,DS$7,0)</f>
        <v>Timber</v>
      </c>
      <c r="DT882">
        <v>0</v>
      </c>
      <c r="DU882">
        <v>1</v>
      </c>
      <c r="DV882" t="s">
        <v>1950</v>
      </c>
      <c r="DW882">
        <v>0</v>
      </c>
      <c r="DX882">
        <v>0</v>
      </c>
      <c r="DY882">
        <f>SUM(DT882:DU882)</f>
        <v>1</v>
      </c>
      <c r="DZ882" s="143" t="str">
        <f>IF(DT882=1,"self-calculated DF",IF(DU882=1,"external DF used","explicit C balance"))</f>
        <v>external DF used</v>
      </c>
      <c r="EA882">
        <v>1</v>
      </c>
      <c r="EB882">
        <v>1</v>
      </c>
      <c r="EC882">
        <v>1</v>
      </c>
      <c r="ED882">
        <v>0</v>
      </c>
      <c r="EE882">
        <v>1</v>
      </c>
      <c r="EF882" s="143">
        <v>1</v>
      </c>
      <c r="EG882">
        <v>1</v>
      </c>
      <c r="EH882">
        <v>1</v>
      </c>
      <c r="EI882">
        <v>0</v>
      </c>
      <c r="EJ882">
        <v>0</v>
      </c>
      <c r="EK882">
        <v>1</v>
      </c>
      <c r="EL882">
        <v>0</v>
      </c>
      <c r="EM882">
        <v>0</v>
      </c>
      <c r="EN882" s="2">
        <v>0</v>
      </c>
      <c r="EP882" t="str">
        <f>IF(AND(AND(AND(OR($EC882=1,$EB882=1),OR($EH882=1,$EF882=1)),SUM($EA882:$EE882,$EK882)&gt;=3),SUM($EF882:$EJ882)&gt;=2),"Whole sector approach","")</f>
        <v>Whole sector approach</v>
      </c>
      <c r="EQ882" t="str">
        <f>IF(AND(AND(OR($EC882=1,$EB882=1),AND($EH882=0,$EF882=0)),SUM($EA882:$EE882,$EK882)&gt;=3),"Ecosystem approach","")</f>
        <v/>
      </c>
      <c r="ER882" s="2" t="str">
        <f>IF(AND(AND(AND($EC882=0,$EB882=0),OR($EH882=1,$EF882=1)),SUM($EG882:$EJ882)&gt;=2),"Technology approach","")</f>
        <v/>
      </c>
      <c r="ES882" t="str">
        <f>IF(AND($EC882+$EB882+$EE882+$EA882+$ED882+$EG882=0,$N882="included"),"C neutral forest and HWP assumption","")</f>
        <v/>
      </c>
      <c r="ET882" t="str">
        <f>IF(AND(AND(AND(AND($EC882=1,$EB882+$EA882+$EG882&gt;=1),$EF882=1),$EH882+$EI882+$ED882+$EE882&gt;=2),$N882="included"),"All C pools assumption","")</f>
        <v>All C pools assumption</v>
      </c>
      <c r="EU882" t="str">
        <f>IF(AND($ED882+$EE882+$EI882+$EH882+$EF882=0,$N882="included"),"In-situ only assumption","")</f>
        <v/>
      </c>
      <c r="EY882" t="str">
        <f>IF(ISNUMBER(BW882),IF(ABS(BW882-[4]QC_indicators!$B$2)&gt;3*[4]QC_indicators!$C$2,"C ratio",IF(ISNUMBER(CA882),IF(ABS(CA882-[4]QC_indicators!$B$1)&gt;3*[4]QC_indicators!$C$1,"DF","no"))),IF(ISNUMBER(CA882),IF(ABS(CA882-[4]QC_indicators!$B$1)&gt;3*[4]QC_indicators!$C$1,"DF","no")))</f>
        <v>no</v>
      </c>
      <c r="FA882" t="str">
        <f>IF(LEN($CY882)=0,"",IF(AND($CY882&lt;(-0.05),$ES882="C neutral forest and HWP assumption"),"Cneutral paradox",IF(AND($CY882&gt;0.05,$EU882="In-situ only assumption"),"In-situ only paradox","")))</f>
        <v/>
      </c>
      <c r="FD882" t="s">
        <v>5032</v>
      </c>
      <c r="FE882" s="334" t="s">
        <v>5074</v>
      </c>
    </row>
    <row r="883" spans="1:161" ht="15" hidden="1" customHeight="1">
      <c r="A883" s="1" t="s">
        <v>1233</v>
      </c>
      <c r="B883" t="s">
        <v>1941</v>
      </c>
      <c r="C883" t="s">
        <v>1942</v>
      </c>
      <c r="D883" t="s">
        <v>1943</v>
      </c>
      <c r="E883" t="s">
        <v>1944</v>
      </c>
      <c r="F883" t="s">
        <v>1945</v>
      </c>
      <c r="G883" t="s">
        <v>1239</v>
      </c>
      <c r="H883" t="s">
        <v>254</v>
      </c>
      <c r="I883">
        <v>2012</v>
      </c>
      <c r="J883">
        <v>21</v>
      </c>
      <c r="K883" t="s">
        <v>1946</v>
      </c>
      <c r="L883" s="191"/>
      <c r="M883" t="str">
        <f>LEFT($D883,FIND(",",$D883)-1)&amp;"_"&amp;I883&amp;L883</f>
        <v>Pyorala_2012</v>
      </c>
      <c r="N883" t="s">
        <v>222</v>
      </c>
      <c r="O883" s="145" t="s">
        <v>341</v>
      </c>
      <c r="P883" s="179" t="s">
        <v>223</v>
      </c>
      <c r="Q883" s="317" t="s">
        <v>256</v>
      </c>
      <c r="R883" s="318" t="s">
        <v>1029</v>
      </c>
      <c r="S883" s="320" t="s">
        <v>683</v>
      </c>
      <c r="T883" s="317" t="s">
        <v>5029</v>
      </c>
      <c r="U883" s="317" t="s">
        <v>5036</v>
      </c>
      <c r="V883" s="253">
        <v>0</v>
      </c>
      <c r="W883" s="253">
        <v>0</v>
      </c>
      <c r="X883">
        <v>0</v>
      </c>
      <c r="Y883">
        <v>0</v>
      </c>
      <c r="Z883">
        <v>0</v>
      </c>
      <c r="AA883">
        <v>0</v>
      </c>
      <c r="AB883">
        <v>0</v>
      </c>
      <c r="AC883">
        <v>0</v>
      </c>
      <c r="AD883">
        <v>1</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s="141">
        <f>COUNTIF(X883:AY883,"&lt;&gt;0")</f>
        <v>1</v>
      </c>
      <c r="BA883" s="141">
        <f>COUNTIF(X883:AN883,"&lt;&gt;0")</f>
        <v>1</v>
      </c>
      <c r="BB883">
        <f>COUNTIF(X883:AE883,"&lt;&gt;0")</f>
        <v>1</v>
      </c>
      <c r="BC883">
        <f>COUNTIF(AF883:AK883,"&lt;&gt;0")</f>
        <v>0</v>
      </c>
      <c r="BD883">
        <f>COUNTIF(AL883:AN883,"&lt;&gt;0")</f>
        <v>0</v>
      </c>
      <c r="BE883">
        <f>COUNTIF(AU883:AY883,"&lt;&gt;0")</f>
        <v>0</v>
      </c>
      <c r="BF883">
        <f>COUNTIF(AO883:AT883,"&lt;&gt;0")</f>
        <v>0</v>
      </c>
      <c r="BG883" t="str" cm="1">
        <f t="array" ref="BG883">IF(BA883=1,INDEX($X$7:$AN$7,MATCH(TRUE,INDEX($X883:$AY883&lt;&gt;0,),0)),IF(BA883=0,INDEX($AO$7:$AY$7,MATCH(1,$AO883:$AY883,0)),IF(BH883="Multiple strategies","mixed drivers",IF(BH883="Supply chain","multiple supply","multiple silviculture"))))</f>
        <v>fertilisation</v>
      </c>
      <c r="BH883" s="2" t="str" cm="1">
        <f t="array" ref="BH883">IF(COUNTIF(BB883:BD883,"&lt;&gt;0")=1,INDEX($X$4:$AY$4,MATCH(TRUE,INDEX($X883:$AY883&lt;&gt;0,),0)),IF(COUNTIF(BB883:BD883,"&lt;&gt;0")=0,INDEX($AO$4:$AY$4,MATCH(1,$AO883:$AY883,0)),"Multiple strategies"))</f>
        <v>Silviculture for productivity</v>
      </c>
      <c r="BI883" s="177" t="s">
        <v>321</v>
      </c>
      <c r="BJ883" s="317" t="s">
        <v>1949</v>
      </c>
      <c r="BK883" s="317" t="s">
        <v>687</v>
      </c>
      <c r="BL883" s="160" t="s">
        <v>691</v>
      </c>
      <c r="BM883">
        <v>7.6</v>
      </c>
      <c r="BN883">
        <v>7.9</v>
      </c>
      <c r="BO883" s="317">
        <f>BN883/BM883</f>
        <v>1.0394736842105263</v>
      </c>
      <c r="BP883">
        <f>BN883-BM883</f>
        <v>0.30000000000000071</v>
      </c>
      <c r="BQ883">
        <f>BP883</f>
        <v>0.30000000000000071</v>
      </c>
      <c r="BR883" s="155" t="s">
        <v>232</v>
      </c>
      <c r="BS883" s="317" t="s">
        <v>5030</v>
      </c>
      <c r="BT883" s="321" t="s">
        <v>5031</v>
      </c>
      <c r="BU883" s="317">
        <v>-6.2451999999999899</v>
      </c>
      <c r="BV883" s="317">
        <v>-3.545199999999987</v>
      </c>
      <c r="BW883" s="144">
        <f>BV883/BU883</f>
        <v>0.56766796900019101</v>
      </c>
      <c r="BX883">
        <f>BV883-BU883</f>
        <v>2.7000000000000028</v>
      </c>
      <c r="BZ883">
        <f>BX883*100/10^4</f>
        <v>2.7000000000000027E-2</v>
      </c>
      <c r="CA883">
        <f>IFERROR(BZ883/BQ883,"")</f>
        <v>8.9999999999999872E-2</v>
      </c>
      <c r="CB883">
        <v>0</v>
      </c>
      <c r="CC883">
        <v>0</v>
      </c>
      <c r="CD883">
        <v>0</v>
      </c>
      <c r="CE883">
        <v>0</v>
      </c>
      <c r="CF883">
        <v>0</v>
      </c>
      <c r="CG883">
        <v>0</v>
      </c>
      <c r="CH883">
        <v>0</v>
      </c>
      <c r="CI883">
        <v>0</v>
      </c>
      <c r="CJ883">
        <v>0</v>
      </c>
      <c r="CK883">
        <v>0</v>
      </c>
      <c r="CL883">
        <v>0</v>
      </c>
      <c r="CM883">
        <v>0</v>
      </c>
      <c r="CN883">
        <v>0</v>
      </c>
      <c r="CO883">
        <v>0</v>
      </c>
      <c r="CP883" t="str">
        <f>IF($BN883&lt;$BM883,"refNeedCorrection","refOK")</f>
        <v>refOK</v>
      </c>
      <c r="CQ883">
        <f>IF($CP883="refOK",$BM883,$BN883)</f>
        <v>7.6</v>
      </c>
      <c r="CR883">
        <f>IF($CP883="refOK",$BN883,$BM883)</f>
        <v>7.9</v>
      </c>
      <c r="CS883">
        <f>IF($CP883="refOK",$BQ883,-$BQ883)</f>
        <v>0.30000000000000071</v>
      </c>
      <c r="CT883">
        <f>IF(BI883="Roundwood",$CS883/2,$CS883)</f>
        <v>0.15000000000000036</v>
      </c>
      <c r="CU883">
        <f>IF($CP883="refOK",$BU883,$BV883)*IF($BR883="Emissions positive",-1,1)</f>
        <v>-6.2451999999999899</v>
      </c>
      <c r="CV883">
        <f>IF($CP883="refOK",$BV883,$BU883)*IF($BR883="Emissions positive",-1,1)</f>
        <v>-3.545199999999987</v>
      </c>
      <c r="CW883">
        <f>IF($CP883="refNeedCorrection",-BZ883,BZ883)*IF($BR883="Emissions positive",-1,1)</f>
        <v>2.7000000000000027E-2</v>
      </c>
      <c r="CX883">
        <f>IFERROR($CW883/$CS883,"")</f>
        <v>8.9999999999999872E-2</v>
      </c>
      <c r="CY883">
        <f>IFERROR($CW883/$CS883,"")</f>
        <v>8.9999999999999872E-2</v>
      </c>
      <c r="CZ883">
        <f>IFERROR($CW883/$CT883,"")</f>
        <v>0.17999999999999974</v>
      </c>
      <c r="DA883" s="2">
        <f>IFERROR((CV883-CU883)/ABS(CU883),"")</f>
        <v>0.43233203099980899</v>
      </c>
      <c r="DB883" s="1" t="s">
        <v>1074</v>
      </c>
      <c r="DC883" s="317" t="str">
        <f>IF(OR($DB883="prd",$DB883="std",$DB883="cit"),"loc",IF(OR($DB883="eur",$DB883="reg",$DB883="coy"),"reg",$DB883))</f>
        <v>reg</v>
      </c>
      <c r="DD883" t="s">
        <v>235</v>
      </c>
      <c r="DG883">
        <v>80</v>
      </c>
      <c r="DH883" t="str">
        <f>IF(DG883=0,"0",IF(AND(DG883&gt;=1,DG883&lt;=30),"1-30",IF(AND(DG883&gt;30,DG883&lt;=70),"31-70",IF(AND(DG883&gt;70,DG883&lt;=100),"71-100",IF(DG883&gt;100,"+100")))))</f>
        <v>71-100</v>
      </c>
      <c r="DI883">
        <v>0</v>
      </c>
      <c r="DJ883">
        <v>1</v>
      </c>
      <c r="DK883">
        <v>1</v>
      </c>
      <c r="DL883">
        <v>1</v>
      </c>
      <c r="DN883">
        <f>SUM(DI883:DL883)</f>
        <v>3</v>
      </c>
      <c r="DO883" t="str">
        <f>IF(DN883=1,INDEX($DI$7:$DL$7,MATCH(1,$DI883:$DL883,0)),"mixedProduct")</f>
        <v>mixedProduct</v>
      </c>
      <c r="DP883">
        <f>IF(DI883=1,DP$7,0)</f>
        <v>0</v>
      </c>
      <c r="DQ883" t="str">
        <f>IF(DJ883=1,DQ$7,0)</f>
        <v>Energy</v>
      </c>
      <c r="DR883" t="str">
        <f>IF(DK883=1,DR$7,0)</f>
        <v>Pulp/Paper</v>
      </c>
      <c r="DS883" t="str">
        <f>IF(DL883=1,DS$7,0)</f>
        <v>Timber</v>
      </c>
      <c r="DT883">
        <v>0</v>
      </c>
      <c r="DU883">
        <v>1</v>
      </c>
      <c r="DV883" t="s">
        <v>1950</v>
      </c>
      <c r="DW883">
        <v>0</v>
      </c>
      <c r="DX883">
        <v>0</v>
      </c>
      <c r="DY883">
        <f>SUM(DT883:DU883)</f>
        <v>1</v>
      </c>
      <c r="DZ883" s="143" t="str">
        <f>IF(DT883=1,"self-calculated DF",IF(DU883=1,"external DF used","explicit C balance"))</f>
        <v>external DF used</v>
      </c>
      <c r="EA883">
        <v>1</v>
      </c>
      <c r="EB883">
        <v>1</v>
      </c>
      <c r="EC883">
        <v>1</v>
      </c>
      <c r="ED883">
        <v>0</v>
      </c>
      <c r="EE883">
        <v>1</v>
      </c>
      <c r="EF883" s="143">
        <v>1</v>
      </c>
      <c r="EG883">
        <v>1</v>
      </c>
      <c r="EH883">
        <v>1</v>
      </c>
      <c r="EI883">
        <v>0</v>
      </c>
      <c r="EJ883">
        <v>0</v>
      </c>
      <c r="EK883">
        <v>1</v>
      </c>
      <c r="EL883">
        <v>0</v>
      </c>
      <c r="EM883">
        <v>0</v>
      </c>
      <c r="EN883" s="2">
        <v>0</v>
      </c>
      <c r="EP883" t="str">
        <f>IF(AND(AND(AND(OR($EC883=1,$EB883=1),OR($EH883=1,$EF883=1)),SUM($EA883:$EE883,$EK883)&gt;=3),SUM($EF883:$EJ883)&gt;=2),"Whole sector approach","")</f>
        <v>Whole sector approach</v>
      </c>
      <c r="EQ883" t="str">
        <f>IF(AND(AND(OR($EC883=1,$EB883=1),AND($EH883=0,$EF883=0)),SUM($EA883:$EE883,$EK883)&gt;=3),"Ecosystem approach","")</f>
        <v/>
      </c>
      <c r="ER883" s="2" t="str">
        <f>IF(AND(AND(AND($EC883=0,$EB883=0),OR($EH883=1,$EF883=1)),SUM($EG883:$EJ883)&gt;=2),"Technology approach","")</f>
        <v/>
      </c>
      <c r="ES883" t="str">
        <f>IF(AND($EC883+$EB883+$EE883+$EA883+$ED883+$EG883=0,$N883="included"),"C neutral forest and HWP assumption","")</f>
        <v/>
      </c>
      <c r="ET883" t="str">
        <f>IF(AND(AND(AND(AND($EC883=1,$EB883+$EA883+$EG883&gt;=1),$EF883=1),$EH883+$EI883+$ED883+$EE883&gt;=2),$N883="included"),"All C pools assumption","")</f>
        <v>All C pools assumption</v>
      </c>
      <c r="EU883" t="str">
        <f>IF(AND($ED883+$EE883+$EI883+$EH883+$EF883=0,$N883="included"),"In-situ only assumption","")</f>
        <v/>
      </c>
      <c r="EY883" t="str">
        <f>IF(ISNUMBER(BW883),IF(ABS(BW883-[4]QC_indicators!$B$2)&gt;3*[4]QC_indicators!$C$2,"C ratio",IF(ISNUMBER(CA883),IF(ABS(CA883-[4]QC_indicators!$B$1)&gt;3*[4]QC_indicators!$C$1,"DF","no"))),IF(ISNUMBER(CA883),IF(ABS(CA883-[4]QC_indicators!$B$1)&gt;3*[4]QC_indicators!$C$1,"DF","no")))</f>
        <v>no</v>
      </c>
      <c r="FA883" t="str">
        <f>IF(LEN($CY883)=0,"",IF(AND($CY883&lt;(-0.05),$ES883="C neutral forest and HWP assumption"),"Cneutral paradox",IF(AND($CY883&gt;0.05,$EU883="In-situ only assumption"),"In-situ only paradox","")))</f>
        <v/>
      </c>
      <c r="FD883" t="s">
        <v>5032</v>
      </c>
      <c r="FE883" s="334" t="s">
        <v>5074</v>
      </c>
    </row>
    <row r="884" spans="1:161" ht="15" hidden="1" customHeight="1">
      <c r="A884" s="1" t="s">
        <v>1233</v>
      </c>
      <c r="B884" t="s">
        <v>1941</v>
      </c>
      <c r="C884" t="s">
        <v>1942</v>
      </c>
      <c r="D884" t="s">
        <v>1943</v>
      </c>
      <c r="E884" t="s">
        <v>1944</v>
      </c>
      <c r="F884" t="s">
        <v>1945</v>
      </c>
      <c r="G884" t="s">
        <v>1239</v>
      </c>
      <c r="H884" t="s">
        <v>254</v>
      </c>
      <c r="I884">
        <v>2012</v>
      </c>
      <c r="J884">
        <v>21</v>
      </c>
      <c r="K884" t="s">
        <v>1946</v>
      </c>
      <c r="L884" s="191"/>
      <c r="M884" t="str">
        <f>LEFT($D884,FIND(",",$D884)-1)&amp;"_"&amp;I884&amp;L884</f>
        <v>Pyorala_2012</v>
      </c>
      <c r="N884" t="s">
        <v>222</v>
      </c>
      <c r="O884" s="145" t="s">
        <v>341</v>
      </c>
      <c r="P884" s="179" t="s">
        <v>223</v>
      </c>
      <c r="Q884" s="317" t="s">
        <v>256</v>
      </c>
      <c r="R884" s="318" t="s">
        <v>1029</v>
      </c>
      <c r="S884" s="320" t="s">
        <v>683</v>
      </c>
      <c r="T884" s="317" t="s">
        <v>5037</v>
      </c>
      <c r="U884" s="317" t="s">
        <v>5038</v>
      </c>
      <c r="V884" s="253">
        <v>0</v>
      </c>
      <c r="W884" s="253">
        <v>0</v>
      </c>
      <c r="X884">
        <v>0</v>
      </c>
      <c r="Y884">
        <v>0</v>
      </c>
      <c r="Z884">
        <v>0</v>
      </c>
      <c r="AA884">
        <v>0</v>
      </c>
      <c r="AB884">
        <v>0</v>
      </c>
      <c r="AC884">
        <v>0</v>
      </c>
      <c r="AD884">
        <v>1</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s="141">
        <f>COUNTIF(X884:AY884,"&lt;&gt;0")</f>
        <v>1</v>
      </c>
      <c r="BA884" s="141">
        <f>COUNTIF(X884:AN884,"&lt;&gt;0")</f>
        <v>1</v>
      </c>
      <c r="BB884">
        <f>COUNTIF(X884:AE884,"&lt;&gt;0")</f>
        <v>1</v>
      </c>
      <c r="BC884">
        <f>COUNTIF(AF884:AK884,"&lt;&gt;0")</f>
        <v>0</v>
      </c>
      <c r="BD884">
        <f>COUNTIF(AL884:AN884,"&lt;&gt;0")</f>
        <v>0</v>
      </c>
      <c r="BE884">
        <f>COUNTIF(AU884:AY884,"&lt;&gt;0")</f>
        <v>0</v>
      </c>
      <c r="BF884">
        <f>COUNTIF(AO884:AT884,"&lt;&gt;0")</f>
        <v>0</v>
      </c>
      <c r="BG884" t="str" cm="1">
        <f t="array" ref="BG884">IF(BA884=1,INDEX($X$7:$AN$7,MATCH(TRUE,INDEX($X884:$AY884&lt;&gt;0,),0)),IF(BA884=0,INDEX($AO$7:$AY$7,MATCH(1,$AO884:$AY884,0)),IF(BH884="Multiple strategies","mixed drivers",IF(BH884="Supply chain","multiple supply","multiple silviculture"))))</f>
        <v>fertilisation</v>
      </c>
      <c r="BH884" s="2" t="str" cm="1">
        <f t="array" ref="BH884">IF(COUNTIF(BB884:BD884,"&lt;&gt;0")=1,INDEX($X$4:$AY$4,MATCH(TRUE,INDEX($X884:$AY884&lt;&gt;0,),0)),IF(COUNTIF(BB884:BD884,"&lt;&gt;0")=0,INDEX($AO$4:$AY$4,MATCH(1,$AO884:$AY884,0)),"Multiple strategies"))</f>
        <v>Silviculture for productivity</v>
      </c>
      <c r="BI884" s="177" t="s">
        <v>321</v>
      </c>
      <c r="BJ884" s="317" t="s">
        <v>1949</v>
      </c>
      <c r="BK884" s="317" t="s">
        <v>687</v>
      </c>
      <c r="BL884" s="160" t="s">
        <v>691</v>
      </c>
      <c r="BM884">
        <v>7.8</v>
      </c>
      <c r="BN884">
        <v>10.6</v>
      </c>
      <c r="BO884" s="317">
        <f>BN884/BM884</f>
        <v>1.358974358974359</v>
      </c>
      <c r="BP884">
        <f>BN884-BM884</f>
        <v>2.8</v>
      </c>
      <c r="BQ884">
        <f>BP884</f>
        <v>2.8</v>
      </c>
      <c r="BR884" s="155" t="s">
        <v>232</v>
      </c>
      <c r="BS884" s="317" t="s">
        <v>5030</v>
      </c>
      <c r="BT884" s="321" t="s">
        <v>5031</v>
      </c>
      <c r="BU884" s="317">
        <v>-19.70559999999999</v>
      </c>
      <c r="BV884" s="317">
        <v>-3.4715999999999809</v>
      </c>
      <c r="BW884" s="144">
        <f>BV884/BU884</f>
        <v>0.17617327054238302</v>
      </c>
      <c r="BX884">
        <f>BV884-BU884</f>
        <v>16.234000000000009</v>
      </c>
      <c r="BZ884">
        <f>BX884*100/10^4</f>
        <v>0.1623400000000001</v>
      </c>
      <c r="CA884">
        <f>IFERROR(BZ884/BQ884,"")</f>
        <v>5.797857142857147E-2</v>
      </c>
      <c r="CB884">
        <v>0</v>
      </c>
      <c r="CC884">
        <v>0</v>
      </c>
      <c r="CD884">
        <v>0</v>
      </c>
      <c r="CE884">
        <v>0</v>
      </c>
      <c r="CF884">
        <v>0</v>
      </c>
      <c r="CG884">
        <v>0</v>
      </c>
      <c r="CH884">
        <v>0</v>
      </c>
      <c r="CI884">
        <v>0</v>
      </c>
      <c r="CJ884">
        <v>0</v>
      </c>
      <c r="CK884">
        <v>0</v>
      </c>
      <c r="CL884">
        <v>0</v>
      </c>
      <c r="CM884">
        <v>0</v>
      </c>
      <c r="CN884">
        <v>0</v>
      </c>
      <c r="CO884">
        <v>0</v>
      </c>
      <c r="CP884" t="str">
        <f>IF($BN884&lt;$BM884,"refNeedCorrection","refOK")</f>
        <v>refOK</v>
      </c>
      <c r="CQ884">
        <f>IF($CP884="refOK",$BM884,$BN884)</f>
        <v>7.8</v>
      </c>
      <c r="CR884">
        <f>IF($CP884="refOK",$BN884,$BM884)</f>
        <v>10.6</v>
      </c>
      <c r="CS884">
        <f>IF($CP884="refOK",$BQ884,-$BQ884)</f>
        <v>2.8</v>
      </c>
      <c r="CT884">
        <f>IF(BI884="Roundwood",$CS884/2,$CS884)</f>
        <v>1.4</v>
      </c>
      <c r="CU884">
        <f>IF($CP884="refOK",$BU884,$BV884)*IF($BR884="Emissions positive",-1,1)</f>
        <v>-19.70559999999999</v>
      </c>
      <c r="CV884">
        <f>IF($CP884="refOK",$BV884,$BU884)*IF($BR884="Emissions positive",-1,1)</f>
        <v>-3.4715999999999809</v>
      </c>
      <c r="CW884">
        <f>IF($CP884="refNeedCorrection",-BZ884,BZ884)*IF($BR884="Emissions positive",-1,1)</f>
        <v>0.1623400000000001</v>
      </c>
      <c r="CX884">
        <f>IFERROR($CW884/$CS884,"")</f>
        <v>5.797857142857147E-2</v>
      </c>
      <c r="CY884">
        <f>IFERROR($CW884/$CS884,"")</f>
        <v>5.797857142857147E-2</v>
      </c>
      <c r="CZ884">
        <f>IFERROR($CW884/$CT884,"")</f>
        <v>0.11595714285714294</v>
      </c>
      <c r="DA884" s="2">
        <f>IFERROR((CV884-CU884)/ABS(CU884),"")</f>
        <v>0.82382672945761704</v>
      </c>
      <c r="DB884" s="1" t="s">
        <v>1074</v>
      </c>
      <c r="DC884" s="317" t="str">
        <f>IF(OR($DB884="prd",$DB884="std",$DB884="cit"),"loc",IF(OR($DB884="eur",$DB884="reg",$DB884="coy"),"reg",$DB884))</f>
        <v>reg</v>
      </c>
      <c r="DD884" t="s">
        <v>235</v>
      </c>
      <c r="DG884">
        <v>80</v>
      </c>
      <c r="DH884" t="str">
        <f>IF(DG884=0,"0",IF(AND(DG884&gt;=1,DG884&lt;=30),"1-30",IF(AND(DG884&gt;30,DG884&lt;=70),"31-70",IF(AND(DG884&gt;70,DG884&lt;=100),"71-100",IF(DG884&gt;100,"+100")))))</f>
        <v>71-100</v>
      </c>
      <c r="DI884">
        <v>0</v>
      </c>
      <c r="DJ884">
        <v>1</v>
      </c>
      <c r="DK884">
        <v>1</v>
      </c>
      <c r="DL884">
        <v>1</v>
      </c>
      <c r="DN884">
        <f>SUM(DI884:DL884)</f>
        <v>3</v>
      </c>
      <c r="DO884" t="str">
        <f>IF(DN884=1,INDEX($DI$7:$DL$7,MATCH(1,$DI884:$DL884,0)),"mixedProduct")</f>
        <v>mixedProduct</v>
      </c>
      <c r="DP884">
        <f>IF(DI884=1,DP$7,0)</f>
        <v>0</v>
      </c>
      <c r="DQ884" t="str">
        <f>IF(DJ884=1,DQ$7,0)</f>
        <v>Energy</v>
      </c>
      <c r="DR884" t="str">
        <f>IF(DK884=1,DR$7,0)</f>
        <v>Pulp/Paper</v>
      </c>
      <c r="DS884" t="str">
        <f>IF(DL884=1,DS$7,0)</f>
        <v>Timber</v>
      </c>
      <c r="DT884">
        <v>0</v>
      </c>
      <c r="DU884">
        <v>1</v>
      </c>
      <c r="DV884" t="s">
        <v>1950</v>
      </c>
      <c r="DW884">
        <v>0</v>
      </c>
      <c r="DX884">
        <v>0</v>
      </c>
      <c r="DY884">
        <f>SUM(DT884:DU884)</f>
        <v>1</v>
      </c>
      <c r="DZ884" s="143" t="str">
        <f>IF(DT884=1,"self-calculated DF",IF(DU884=1,"external DF used","explicit C balance"))</f>
        <v>external DF used</v>
      </c>
      <c r="EA884">
        <v>1</v>
      </c>
      <c r="EB884">
        <v>1</v>
      </c>
      <c r="EC884">
        <v>1</v>
      </c>
      <c r="ED884">
        <v>0</v>
      </c>
      <c r="EE884">
        <v>1</v>
      </c>
      <c r="EF884" s="143">
        <v>1</v>
      </c>
      <c r="EG884">
        <v>1</v>
      </c>
      <c r="EH884">
        <v>1</v>
      </c>
      <c r="EI884">
        <v>0</v>
      </c>
      <c r="EJ884">
        <v>0</v>
      </c>
      <c r="EK884">
        <v>1</v>
      </c>
      <c r="EL884">
        <v>0</v>
      </c>
      <c r="EM884">
        <v>0</v>
      </c>
      <c r="EN884" s="2">
        <v>0</v>
      </c>
      <c r="EP884" t="str">
        <f>IF(AND(AND(AND(OR($EC884=1,$EB884=1),OR($EH884=1,$EF884=1)),SUM($EA884:$EE884,$EK884)&gt;=3),SUM($EF884:$EJ884)&gt;=2),"Whole sector approach","")</f>
        <v>Whole sector approach</v>
      </c>
      <c r="EQ884" t="str">
        <f>IF(AND(AND(OR($EC884=1,$EB884=1),AND($EH884=0,$EF884=0)),SUM($EA884:$EE884,$EK884)&gt;=3),"Ecosystem approach","")</f>
        <v/>
      </c>
      <c r="ER884" s="2" t="str">
        <f>IF(AND(AND(AND($EC884=0,$EB884=0),OR($EH884=1,$EF884=1)),SUM($EG884:$EJ884)&gt;=2),"Technology approach","")</f>
        <v/>
      </c>
      <c r="ES884" t="str">
        <f>IF(AND($EC884+$EB884+$EE884+$EA884+$ED884+$EG884=0,$N884="included"),"C neutral forest and HWP assumption","")</f>
        <v/>
      </c>
      <c r="ET884" t="str">
        <f>IF(AND(AND(AND(AND($EC884=1,$EB884+$EA884+$EG884&gt;=1),$EF884=1),$EH884+$EI884+$ED884+$EE884&gt;=2),$N884="included"),"All C pools assumption","")</f>
        <v>All C pools assumption</v>
      </c>
      <c r="EU884" t="str">
        <f>IF(AND($ED884+$EE884+$EI884+$EH884+$EF884=0,$N884="included"),"In-situ only assumption","")</f>
        <v/>
      </c>
      <c r="EY884" t="str">
        <f>IF(ISNUMBER(BW884),IF(ABS(BW884-[4]QC_indicators!$B$2)&gt;3*[4]QC_indicators!$C$2,"C ratio",IF(ISNUMBER(CA884),IF(ABS(CA884-[4]QC_indicators!$B$1)&gt;3*[4]QC_indicators!$C$1,"DF","no"))),IF(ISNUMBER(CA884),IF(ABS(CA884-[4]QC_indicators!$B$1)&gt;3*[4]QC_indicators!$C$1,"DF","no")))</f>
        <v>no</v>
      </c>
      <c r="FA884" t="str">
        <f>IF(LEN($CY884)=0,"",IF(AND($CY884&lt;(-0.05),$ES884="C neutral forest and HWP assumption"),"Cneutral paradox",IF(AND($CY884&gt;0.05,$EU884="In-situ only assumption"),"In-situ only paradox","")))</f>
        <v/>
      </c>
      <c r="FD884" t="s">
        <v>5032</v>
      </c>
      <c r="FE884" s="334" t="s">
        <v>5074</v>
      </c>
    </row>
    <row r="885" spans="1:161" ht="15" hidden="1" customHeight="1">
      <c r="A885" s="1" t="s">
        <v>1016</v>
      </c>
      <c r="B885" t="s">
        <v>1678</v>
      </c>
      <c r="C885" t="s">
        <v>1679</v>
      </c>
      <c r="D885" t="s">
        <v>1680</v>
      </c>
      <c r="E885" t="s">
        <v>1681</v>
      </c>
      <c r="F885" t="s">
        <v>1682</v>
      </c>
      <c r="G885" t="s">
        <v>1017</v>
      </c>
      <c r="H885" t="s">
        <v>254</v>
      </c>
      <c r="I885">
        <v>2013</v>
      </c>
      <c r="J885">
        <v>26</v>
      </c>
      <c r="K885" t="s">
        <v>1683</v>
      </c>
      <c r="M885" t="str">
        <f>LEFT($D885,FIND(",",$D885)-1)&amp;"_"&amp;I885&amp;L885</f>
        <v>Klein_2013</v>
      </c>
      <c r="N885" t="s">
        <v>222</v>
      </c>
      <c r="O885" s="145" t="s">
        <v>508</v>
      </c>
      <c r="Q885" t="s">
        <v>256</v>
      </c>
      <c r="R885" s="251" t="s">
        <v>225</v>
      </c>
      <c r="S885" s="1" t="s">
        <v>1684</v>
      </c>
      <c r="T885" t="s">
        <v>1685</v>
      </c>
      <c r="U885" t="s">
        <v>1686</v>
      </c>
      <c r="V885" s="253">
        <v>0</v>
      </c>
      <c r="W885" s="253">
        <v>0</v>
      </c>
      <c r="X885">
        <v>0</v>
      </c>
      <c r="Y885">
        <v>0</v>
      </c>
      <c r="Z885">
        <v>0</v>
      </c>
      <c r="AA885">
        <v>1</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s="141">
        <f>COUNTIF(X885:AY885,"&lt;&gt;0")</f>
        <v>1</v>
      </c>
      <c r="BA885" s="141">
        <f>COUNTIF(X885:AN885,"&lt;&gt;0")</f>
        <v>1</v>
      </c>
      <c r="BB885">
        <f>COUNTIF(X885:AE885,"&lt;&gt;0")</f>
        <v>1</v>
      </c>
      <c r="BC885">
        <f>COUNTIF(AF885:AK885,"&lt;&gt;0")</f>
        <v>0</v>
      </c>
      <c r="BD885">
        <f>COUNTIF(AL885:AN885,"&lt;&gt;0")</f>
        <v>0</v>
      </c>
      <c r="BE885">
        <f>COUNTIF(AU885:AY885,"&lt;&gt;0")</f>
        <v>0</v>
      </c>
      <c r="BF885">
        <f>COUNTIF(AO885:AT885,"&lt;&gt;0")</f>
        <v>0</v>
      </c>
      <c r="BG885" t="str">
        <f t="array" ref="BG885">IF(BA885=1,INDEX($X$7:$AN$7,MATCH(TRUE,INDEX($X885:$AY885&lt;&gt;0,),0)),IF(BA885=0,INDEX($AO$7:$AY$7,MATCH(1,$AO885:$AY885,0)),IF(BH885="Multiple strategies","mixed drivers",IF(BH885="Supply chain","multiple supply","multiple silviculture"))))</f>
        <v xml:space="preserve">cutting intensity </v>
      </c>
      <c r="BH885" s="2" t="str" cm="1">
        <f t="array" ref="BH885">IF(COUNTIF(BB885:BD885,"&lt;&gt;0")=1,INDEX($X$4:$AY$4,MATCH(TRUE,INDEX($X885:$AY885&lt;&gt;0,),0)),IF(COUNTIF(BB885:BD885,"&lt;&gt;0")=0,INDEX($AO$4:$AY$4,MATCH(1,$AO885:$AY885,0)),"Multiple strategies"))</f>
        <v>Silviculture for removals</v>
      </c>
      <c r="BI885" s="1" t="s">
        <v>321</v>
      </c>
      <c r="BJ885" t="s">
        <v>1687</v>
      </c>
      <c r="BK885" s="256" t="s">
        <v>3041</v>
      </c>
      <c r="BL885" t="s">
        <v>278</v>
      </c>
      <c r="BM885">
        <v>0</v>
      </c>
      <c r="BN885">
        <v>72.8</v>
      </c>
      <c r="BP885">
        <f>BN885-BM885</f>
        <v>72.8</v>
      </c>
      <c r="BQ885">
        <f>BP885*tC_to_m3</f>
        <v>316.10942249240122</v>
      </c>
      <c r="BR885" t="s">
        <v>232</v>
      </c>
      <c r="BS885" s="256" t="s">
        <v>3042</v>
      </c>
      <c r="BT885" t="s">
        <v>278</v>
      </c>
      <c r="BU885">
        <v>392.4</v>
      </c>
      <c r="BV885">
        <v>664.2</v>
      </c>
      <c r="BW885" s="144">
        <f>IFERROR(BV885/BU885,"")</f>
        <v>1.6926605504587158</v>
      </c>
      <c r="BX885">
        <f>BV885-BU885</f>
        <v>271.80000000000007</v>
      </c>
      <c r="BZ885">
        <f>BX885*C_to_CO2</f>
        <v>997.5060000000002</v>
      </c>
      <c r="CA885">
        <f>IFERROR(BZ885/BQ885,"")</f>
        <v>3.1555718653846161</v>
      </c>
      <c r="CB885">
        <v>0</v>
      </c>
      <c r="CC885">
        <v>0</v>
      </c>
      <c r="CD885">
        <v>0</v>
      </c>
      <c r="CE885">
        <v>0</v>
      </c>
      <c r="CF885">
        <v>0</v>
      </c>
      <c r="CG885">
        <v>0</v>
      </c>
      <c r="CH885">
        <v>0</v>
      </c>
      <c r="CI885">
        <v>0</v>
      </c>
      <c r="CJ885">
        <v>0</v>
      </c>
      <c r="CK885">
        <v>0</v>
      </c>
      <c r="CL885">
        <v>0</v>
      </c>
      <c r="CM885">
        <v>0</v>
      </c>
      <c r="CN885">
        <v>0</v>
      </c>
      <c r="CO885">
        <v>0</v>
      </c>
      <c r="CP885" t="str">
        <f>IF($BN885&lt;$BM885,"refNeedCorrection","refOK")</f>
        <v>refOK</v>
      </c>
      <c r="CQ885">
        <f>IF($CP885="refOK",$BM885,$BN885)</f>
        <v>0</v>
      </c>
      <c r="CR885">
        <f>IF($CP885="refOK",$BN885,$BM885)</f>
        <v>72.8</v>
      </c>
      <c r="CS885">
        <f>IF($CP885="refOK",$BQ885,-$BQ885)</f>
        <v>316.10942249240122</v>
      </c>
      <c r="CT885">
        <f>IF(BI885="Roundwood",$CS885/2,$CS885)</f>
        <v>158.05471124620061</v>
      </c>
      <c r="CU885">
        <f>IF($CP885="refOK",$BU885,$BV885)*IF($BR885="Emissions positive",-1,1)</f>
        <v>392.4</v>
      </c>
      <c r="CV885">
        <f>IF($CP885="refOK",$BV885,$BU885)*IF($BR885="Emissions positive",-1,1)</f>
        <v>664.2</v>
      </c>
      <c r="CW885">
        <f>IF($CP885="refNeedCorrection",-BZ885,BZ885)*IF($BR885="Emissions positive",-1,1)</f>
        <v>997.5060000000002</v>
      </c>
      <c r="CX885">
        <f>IFERROR($CW885/$CS885,"")</f>
        <v>3.1555718653846161</v>
      </c>
      <c r="CY885">
        <f>IFERROR($CW885/$CS885,"")</f>
        <v>3.1555718653846161</v>
      </c>
      <c r="CZ885">
        <f>IFERROR($CW885/$CT885,"")</f>
        <v>6.3111437307692322</v>
      </c>
      <c r="DA885" s="2">
        <f>IFERROR((CV885-CU885)/ABS(CU885),"")</f>
        <v>0.69266055045871577</v>
      </c>
      <c r="DB885" s="1" t="s">
        <v>1074</v>
      </c>
      <c r="DC885" t="str">
        <f>IF(OR($DB885="prd",$DB885="std",$DB885="cit"),"loc",IF(OR($DB885="eur",$DB885="reg",$DB885="coy"),"reg",$DB885))</f>
        <v>reg</v>
      </c>
      <c r="DD885" t="s">
        <v>1176</v>
      </c>
      <c r="DG885">
        <v>180</v>
      </c>
      <c r="DH885" t="str">
        <f>IF(DG885=0,"0",IF(AND(DG885&gt;=1,DG885&lt;=30),"1-30",IF(AND(DG885&gt;30,DG885&lt;=70),"31-70",IF(AND(DG885&gt;70,DG885&lt;=100),"71-100",IF(DG885&gt;100,"+100")))))</f>
        <v>+100</v>
      </c>
      <c r="DI885">
        <v>0</v>
      </c>
      <c r="DJ885">
        <v>1</v>
      </c>
      <c r="DK885">
        <v>1</v>
      </c>
      <c r="DL885">
        <v>1</v>
      </c>
      <c r="DM885">
        <v>1</v>
      </c>
      <c r="DN885">
        <f>SUM(DI885:DL885)</f>
        <v>3</v>
      </c>
      <c r="DO885" t="str">
        <f>IF(DN885=1,INDEX($DI$7:$DL$7,MATCH(1,$DI885:$DL885,0)),"mixedProduct")</f>
        <v>mixedProduct</v>
      </c>
      <c r="DP885">
        <f>IF(DI885=1,DP$7,0)</f>
        <v>0</v>
      </c>
      <c r="DQ885" t="str">
        <f>IF(DJ885=1,DQ$7,0)</f>
        <v>Energy</v>
      </c>
      <c r="DR885" t="str">
        <f>IF(DK885=1,DR$7,0)</f>
        <v>Pulp/Paper</v>
      </c>
      <c r="DS885" t="str">
        <f>IF(DL885=1,DS$7,0)</f>
        <v>Timber</v>
      </c>
      <c r="DT885">
        <v>0</v>
      </c>
      <c r="DU885">
        <v>1</v>
      </c>
      <c r="DV885" t="s">
        <v>1688</v>
      </c>
      <c r="DW885" t="s">
        <v>1689</v>
      </c>
      <c r="DX885">
        <v>0</v>
      </c>
      <c r="DY885">
        <f>SUM(DT885:DU885)</f>
        <v>1</v>
      </c>
      <c r="DZ885" s="143" t="str">
        <f>IF(DT885=1,"self-calculated DF",IF(DU885=1,"external DF used","explicit C balance"))</f>
        <v>external DF used</v>
      </c>
      <c r="EA885">
        <v>1</v>
      </c>
      <c r="EB885">
        <v>1</v>
      </c>
      <c r="EC885">
        <v>1</v>
      </c>
      <c r="ED885">
        <v>1</v>
      </c>
      <c r="EE885">
        <v>1</v>
      </c>
      <c r="EF885">
        <v>1</v>
      </c>
      <c r="EG885">
        <v>0</v>
      </c>
      <c r="EH885">
        <v>0</v>
      </c>
      <c r="EI885">
        <v>0</v>
      </c>
      <c r="EJ885">
        <v>0</v>
      </c>
      <c r="EK885">
        <v>1</v>
      </c>
      <c r="EL885">
        <v>0</v>
      </c>
      <c r="EM885">
        <v>0</v>
      </c>
      <c r="EN885" s="2">
        <v>0</v>
      </c>
      <c r="EP885" t="str">
        <f>IF(AND(AND(AND(OR($EC885=1,$EB885=1),OR($EH885=1,$EF885=1)),SUM($EA885:$EE885,$EK885)&gt;=3),SUM($EF885:$EJ885)&gt;=2),"Whole sector approach","")</f>
        <v/>
      </c>
      <c r="EQ885" t="str">
        <f>IF(AND(AND(OR($EC885=1,$EB885=1),AND($EH885=0,$EF885=0)),SUM($EA885:$EE885,$EK885)&gt;=4),"Ecosystem approach","")</f>
        <v/>
      </c>
      <c r="ER885" s="2" t="str">
        <f>IF(AND(AND(AND($EC885=0,$EB885=0),OR($EH885=1,$EF885=1)),SUM($EG885:$EJ885)&gt;=2),"Technology approach","")</f>
        <v/>
      </c>
      <c r="ES885" t="str">
        <f>IF(AND($EC885+$EB885+$EE885+$EA885+$ED885+$EG885=0,$N885="included"),"C neutral forest and HWP assumption","")</f>
        <v/>
      </c>
      <c r="ET885" t="str">
        <f>IF(AND(AND(AND(AND($EC885=1,$EB885+$EA885+$EG885&gt;=1),$EF885=1),$EH885+$EI885+$ED885+$EE885&gt;=2),$N885="included"),"All C pools assumption","")</f>
        <v>All C pools assumption</v>
      </c>
      <c r="EU885" t="str">
        <f>IF(AND($ED885+$EE885+$EI885+$EH885+$EF885=0,$N885="included"),"In-situ only assumption","")</f>
        <v/>
      </c>
      <c r="EY885" t="str">
        <f>IF(ISNUMBER(BW885),IF(ABS(BW885-[6]QC_indicators!$B$2)&gt;3*[6]QC_indicators!$C$2,"C ratio",IF(ISNUMBER(CA885),IF(ABS(CA885-[6]QC_indicators!$B$1)&gt;3*[6]QC_indicators!$C$1,"DF","no"))),IF(ISNUMBER(CA885),IF(ABS(CA885-[6]QC_indicators!$B$1)&gt;3*[6]QC_indicators!$C$1,"DF","no")))</f>
        <v>no</v>
      </c>
      <c r="FA885" t="str">
        <f>IF(LEN($CY885)=0,"",IF(AND($CY885&lt;(-0.05),$ES885="C neutral forest and HWP assumption"),"Cneutral paradox",IF(AND($CY885&gt;0.05,$EU885="In-situ only assumption"),"In-situ only paradox","")))</f>
        <v/>
      </c>
      <c r="FD885" s="260" t="s">
        <v>2948</v>
      </c>
    </row>
    <row r="886" spans="1:161" ht="15" hidden="1" customHeight="1">
      <c r="A886" s="1" t="s">
        <v>1016</v>
      </c>
      <c r="B886" t="s">
        <v>1678</v>
      </c>
      <c r="C886" t="s">
        <v>1679</v>
      </c>
      <c r="D886" t="s">
        <v>1680</v>
      </c>
      <c r="E886" t="s">
        <v>1681</v>
      </c>
      <c r="F886" t="s">
        <v>1682</v>
      </c>
      <c r="G886" t="s">
        <v>1017</v>
      </c>
      <c r="H886" t="s">
        <v>254</v>
      </c>
      <c r="I886">
        <v>2013</v>
      </c>
      <c r="J886">
        <v>26</v>
      </c>
      <c r="K886" t="s">
        <v>1683</v>
      </c>
      <c r="M886" t="str">
        <f>LEFT($D886,FIND(",",$D886)-1)&amp;"_"&amp;I886&amp;L886</f>
        <v>Klein_2013</v>
      </c>
      <c r="N886" t="s">
        <v>222</v>
      </c>
      <c r="O886" s="145" t="s">
        <v>508</v>
      </c>
      <c r="Q886" t="s">
        <v>256</v>
      </c>
      <c r="R886" s="251" t="s">
        <v>225</v>
      </c>
      <c r="S886" s="1" t="s">
        <v>1690</v>
      </c>
      <c r="T886" t="s">
        <v>1691</v>
      </c>
      <c r="U886" t="s">
        <v>1694</v>
      </c>
      <c r="V886" s="253">
        <v>0</v>
      </c>
      <c r="W886" s="253">
        <v>0</v>
      </c>
      <c r="X886">
        <v>0</v>
      </c>
      <c r="Y886">
        <v>0</v>
      </c>
      <c r="Z886">
        <v>0</v>
      </c>
      <c r="AA886">
        <v>0</v>
      </c>
      <c r="AB886">
        <v>1</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s="141">
        <f>COUNTIF(X886:AY886,"&lt;&gt;0")</f>
        <v>1</v>
      </c>
      <c r="BA886" s="141">
        <f>COUNTIF(X886:AN886,"&lt;&gt;0")</f>
        <v>1</v>
      </c>
      <c r="BB886">
        <f>COUNTIF(X886:AE886,"&lt;&gt;0")</f>
        <v>1</v>
      </c>
      <c r="BC886">
        <f>COUNTIF(AF886:AK886,"&lt;&gt;0")</f>
        <v>0</v>
      </c>
      <c r="BD886">
        <f>COUNTIF(AL886:AN886,"&lt;&gt;0")</f>
        <v>0</v>
      </c>
      <c r="BE886">
        <f>COUNTIF(AU886:AY886,"&lt;&gt;0")</f>
        <v>0</v>
      </c>
      <c r="BF886">
        <f>COUNTIF(AO886:AT886,"&lt;&gt;0")</f>
        <v>0</v>
      </c>
      <c r="BG886" t="str">
        <f t="array" ref="BG886">IF(BA886=1,INDEX($X$7:$AN$7,MATCH(TRUE,INDEX($X886:$AY886&lt;&gt;0,),0)),IF(BA886=0,INDEX($AO$7:$AY$7,MATCH(1,$AO886:$AY886,0)),IF(BH886="Multiple strategies","mixed drivers",IF(BH886="Supply chain","multiple supply","multiple silviculture"))))</f>
        <v>species</v>
      </c>
      <c r="BH886" s="2" t="str" cm="1">
        <f t="array" ref="BH886">IF(COUNTIF(BB886:BD886,"&lt;&gt;0")=1,INDEX($X$4:$AY$4,MATCH(TRUE,INDEX($X886:$AY886&lt;&gt;0,),0)),IF(COUNTIF(BB886:BD886,"&lt;&gt;0")=0,INDEX($AO$4:$AY$4,MATCH(1,$AO886:$AY886,0)),"Multiple strategies"))</f>
        <v>Silviculture for productivity</v>
      </c>
      <c r="BI886" s="1" t="s">
        <v>321</v>
      </c>
      <c r="BJ886" t="s">
        <v>1687</v>
      </c>
      <c r="BK886" s="256" t="s">
        <v>3043</v>
      </c>
      <c r="BL886" t="s">
        <v>278</v>
      </c>
      <c r="BM886">
        <v>25.2</v>
      </c>
      <c r="BN886">
        <v>72.8</v>
      </c>
      <c r="BO886">
        <f>BN886/BM886</f>
        <v>2.8888888888888888</v>
      </c>
      <c r="BP886">
        <f>BN886-BM886</f>
        <v>47.599999999999994</v>
      </c>
      <c r="BQ886">
        <f>BP886*tC_to_m3</f>
        <v>206.68693009118539</v>
      </c>
      <c r="BR886" t="s">
        <v>232</v>
      </c>
      <c r="BS886" s="256" t="s">
        <v>3042</v>
      </c>
      <c r="BT886" t="s">
        <v>278</v>
      </c>
      <c r="BU886">
        <v>444.6</v>
      </c>
      <c r="BV886">
        <v>664.2</v>
      </c>
      <c r="BW886" s="144">
        <f>IFERROR(BV886/BU886,"")</f>
        <v>1.4939271255060729</v>
      </c>
      <c r="BX886">
        <f>BV886-BU886</f>
        <v>219.60000000000002</v>
      </c>
      <c r="BZ886">
        <f>BX886*C_to_CO2</f>
        <v>805.93200000000002</v>
      </c>
      <c r="CA886">
        <f>IFERROR(BZ886/BQ886,"")</f>
        <v>3.8992886470588242</v>
      </c>
      <c r="CB886">
        <v>0</v>
      </c>
      <c r="CC886">
        <v>0</v>
      </c>
      <c r="CD886">
        <v>0</v>
      </c>
      <c r="CE886">
        <v>0</v>
      </c>
      <c r="CF886">
        <v>0</v>
      </c>
      <c r="CG886">
        <v>0</v>
      </c>
      <c r="CH886">
        <v>0</v>
      </c>
      <c r="CI886">
        <v>0</v>
      </c>
      <c r="CJ886">
        <v>0</v>
      </c>
      <c r="CK886">
        <v>0</v>
      </c>
      <c r="CL886">
        <v>0</v>
      </c>
      <c r="CM886">
        <v>0</v>
      </c>
      <c r="CN886">
        <v>0</v>
      </c>
      <c r="CO886">
        <v>0</v>
      </c>
      <c r="CP886" t="str">
        <f>IF($BN886&lt;$BM886,"refNeedCorrection","refOK")</f>
        <v>refOK</v>
      </c>
      <c r="CQ886">
        <f>IF($CP886="refOK",$BM886,$BN886)</f>
        <v>25.2</v>
      </c>
      <c r="CR886">
        <f>IF($CP886="refOK",$BN886,$BM886)</f>
        <v>72.8</v>
      </c>
      <c r="CS886">
        <f>IF($CP886="refOK",$BQ886,-$BQ886)</f>
        <v>206.68693009118539</v>
      </c>
      <c r="CT886">
        <f>IF(BI886="Roundwood",$CS886/2,$CS886)</f>
        <v>103.34346504559269</v>
      </c>
      <c r="CU886">
        <f>IF($CP886="refOK",$BU886,$BV886)*IF($BR886="Emissions positive",-1,1)</f>
        <v>444.6</v>
      </c>
      <c r="CV886">
        <f>IF($CP886="refOK",$BV886,$BU886)*IF($BR886="Emissions positive",-1,1)</f>
        <v>664.2</v>
      </c>
      <c r="CW886">
        <f>IF($CP886="refNeedCorrection",-BZ886,BZ886)*IF($BR886="Emissions positive",-1,1)</f>
        <v>805.93200000000002</v>
      </c>
      <c r="CX886">
        <f>IFERROR($CW886/$CS886,"")</f>
        <v>3.8992886470588242</v>
      </c>
      <c r="CY886">
        <f>IFERROR($CW886/$CS886,"")</f>
        <v>3.8992886470588242</v>
      </c>
      <c r="CZ886">
        <f>IFERROR($CW886/$CT886,"")</f>
        <v>7.7985772941176483</v>
      </c>
      <c r="DA886" s="2">
        <f>IFERROR((CV886-CU886)/ABS(CU886),"")</f>
        <v>0.49392712550607287</v>
      </c>
      <c r="DB886" s="1" t="s">
        <v>1074</v>
      </c>
      <c r="DC886" t="str">
        <f>IF(OR($DB886="prd",$DB886="std",$DB886="cit"),"loc",IF(OR($DB886="eur",$DB886="reg",$DB886="coy"),"reg",$DB886))</f>
        <v>reg</v>
      </c>
      <c r="DD886" t="s">
        <v>1176</v>
      </c>
      <c r="DG886">
        <v>180</v>
      </c>
      <c r="DH886" t="str">
        <f>IF(DG886=0,"0",IF(AND(DG886&gt;=1,DG886&lt;=30),"1-30",IF(AND(DG886&gt;30,DG886&lt;=70),"31-70",IF(AND(DG886&gt;70,DG886&lt;=100),"71-100",IF(DG886&gt;100,"+100")))))</f>
        <v>+100</v>
      </c>
      <c r="DI886">
        <v>0</v>
      </c>
      <c r="DJ886">
        <v>1</v>
      </c>
      <c r="DK886">
        <v>1</v>
      </c>
      <c r="DL886">
        <v>1</v>
      </c>
      <c r="DM886">
        <v>1</v>
      </c>
      <c r="DN886">
        <f>SUM(DI886:DL886)</f>
        <v>3</v>
      </c>
      <c r="DO886" t="str">
        <f>IF(DN886=1,INDEX($DI$7:$DL$7,MATCH(1,$DI886:$DL886,0)),"mixedProduct")</f>
        <v>mixedProduct</v>
      </c>
      <c r="DP886">
        <f>IF(DI886=1,DP$7,0)</f>
        <v>0</v>
      </c>
      <c r="DQ886" t="str">
        <f>IF(DJ886=1,DQ$7,0)</f>
        <v>Energy</v>
      </c>
      <c r="DR886" t="str">
        <f>IF(DK886=1,DR$7,0)</f>
        <v>Pulp/Paper</v>
      </c>
      <c r="DS886" t="str">
        <f>IF(DL886=1,DS$7,0)</f>
        <v>Timber</v>
      </c>
      <c r="DT886">
        <v>0</v>
      </c>
      <c r="DU886">
        <v>1</v>
      </c>
      <c r="DV886" t="s">
        <v>1688</v>
      </c>
      <c r="DW886" t="s">
        <v>1689</v>
      </c>
      <c r="DX886">
        <v>0</v>
      </c>
      <c r="DY886">
        <f>SUM(DT886:DU886)</f>
        <v>1</v>
      </c>
      <c r="DZ886" s="143" t="str">
        <f>IF(DT886=1,"self-calculated DF",IF(DU886=1,"external DF used","explicit C balance"))</f>
        <v>external DF used</v>
      </c>
      <c r="EA886">
        <v>1</v>
      </c>
      <c r="EB886">
        <v>1</v>
      </c>
      <c r="EC886">
        <v>1</v>
      </c>
      <c r="ED886">
        <v>1</v>
      </c>
      <c r="EE886">
        <v>1</v>
      </c>
      <c r="EF886">
        <v>1</v>
      </c>
      <c r="EG886">
        <v>0</v>
      </c>
      <c r="EH886">
        <v>0</v>
      </c>
      <c r="EI886">
        <v>0</v>
      </c>
      <c r="EJ886">
        <v>0</v>
      </c>
      <c r="EK886">
        <v>1</v>
      </c>
      <c r="EL886">
        <v>0</v>
      </c>
      <c r="EM886">
        <v>0</v>
      </c>
      <c r="EN886" s="2">
        <v>0</v>
      </c>
      <c r="EP886" t="str">
        <f>IF(AND(AND(AND(OR($EC886=1,$EB886=1),OR($EH886=1,$EF886=1)),SUM($EA886:$EE886,$EK886)&gt;=3),SUM($EF886:$EJ886)&gt;=2),"Whole sector approach","")</f>
        <v/>
      </c>
      <c r="EQ886" t="str">
        <f>IF(AND(AND(OR($EC886=1,$EB886=1),AND($EH886=0,$EF886=0)),SUM($EA886:$EE886,$EK886)&gt;=4),"Ecosystem approach","")</f>
        <v/>
      </c>
      <c r="ER886" s="2" t="str">
        <f>IF(AND(AND(AND($EC886=0,$EB886=0),OR($EH886=1,$EF886=1)),SUM($EG886:$EJ886)&gt;=2),"Technology approach","")</f>
        <v/>
      </c>
      <c r="ES886" t="str">
        <f>IF(AND($EC886+$EB886+$EE886+$EA886+$ED886+$EG886=0,$N886="included"),"C neutral forest and HWP assumption","")</f>
        <v/>
      </c>
      <c r="ET886" t="str">
        <f>IF(AND(AND(AND(AND($EC886=1,$EB886+$EA886+$EG886&gt;=1),$EF886=1),$EH886+$EI886+$ED886+$EE886&gt;=2),$N886="included"),"All C pools assumption","")</f>
        <v>All C pools assumption</v>
      </c>
      <c r="EU886" t="str">
        <f>IF(AND($ED886+$EE886+$EI886+$EH886+$EF886=0,$N886="included"),"In-situ only assumption","")</f>
        <v/>
      </c>
      <c r="EY886" t="str">
        <f>IF(ISNUMBER(BW886),IF(ABS(BW886-[6]QC_indicators!$B$2)&gt;3*[6]QC_indicators!$C$2,"C ratio",IF(ISNUMBER(CA886),IF(ABS(CA886-[6]QC_indicators!$B$1)&gt;3*[6]QC_indicators!$C$1,"DF","no"))),IF(ISNUMBER(CA886),IF(ABS(CA886-[6]QC_indicators!$B$1)&gt;3*[6]QC_indicators!$C$1,"DF","no")))</f>
        <v>no</v>
      </c>
      <c r="FA886" t="str">
        <f>IF(LEN($CY886)=0,"",IF(AND($CY886&lt;(-0.05),$ES886="C neutral forest and HWP assumption"),"Cneutral paradox",IF(AND($CY886&gt;0.05,$EU886="In-situ only assumption"),"In-situ only paradox","")))</f>
        <v/>
      </c>
      <c r="FD886" s="260" t="s">
        <v>2948</v>
      </c>
    </row>
    <row r="887" spans="1:161" ht="15" hidden="1" customHeight="1">
      <c r="A887" s="1" t="s">
        <v>1016</v>
      </c>
      <c r="B887" t="s">
        <v>1678</v>
      </c>
      <c r="C887" t="s">
        <v>1679</v>
      </c>
      <c r="D887" t="s">
        <v>1680</v>
      </c>
      <c r="E887" t="s">
        <v>1681</v>
      </c>
      <c r="F887" t="s">
        <v>1682</v>
      </c>
      <c r="G887" t="s">
        <v>1017</v>
      </c>
      <c r="H887" t="s">
        <v>254</v>
      </c>
      <c r="I887">
        <v>2013</v>
      </c>
      <c r="J887">
        <v>26</v>
      </c>
      <c r="K887" t="s">
        <v>1683</v>
      </c>
      <c r="M887" t="str">
        <f>LEFT($D887,FIND(",",$D887)-1)&amp;"_"&amp;I887&amp;L887</f>
        <v>Klein_2013</v>
      </c>
      <c r="N887" t="s">
        <v>222</v>
      </c>
      <c r="O887" s="145" t="s">
        <v>508</v>
      </c>
      <c r="Q887" t="s">
        <v>256</v>
      </c>
      <c r="R887" s="251" t="s">
        <v>225</v>
      </c>
      <c r="S887" s="1" t="s">
        <v>1690</v>
      </c>
      <c r="T887" t="s">
        <v>1691</v>
      </c>
      <c r="U887" t="s">
        <v>1693</v>
      </c>
      <c r="V887" s="253">
        <v>0</v>
      </c>
      <c r="W887" s="253">
        <v>0</v>
      </c>
      <c r="X887">
        <v>0</v>
      </c>
      <c r="Y887">
        <v>0</v>
      </c>
      <c r="Z887">
        <v>0</v>
      </c>
      <c r="AA887">
        <v>0</v>
      </c>
      <c r="AB887">
        <v>1</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0</v>
      </c>
      <c r="AZ887" s="141">
        <f>COUNTIF(X887:AY887,"&lt;&gt;0")</f>
        <v>1</v>
      </c>
      <c r="BA887" s="141">
        <f>COUNTIF(X887:AN887,"&lt;&gt;0")</f>
        <v>1</v>
      </c>
      <c r="BB887">
        <f>COUNTIF(X887:AE887,"&lt;&gt;0")</f>
        <v>1</v>
      </c>
      <c r="BC887">
        <f>COUNTIF(AF887:AK887,"&lt;&gt;0")</f>
        <v>0</v>
      </c>
      <c r="BD887">
        <f>COUNTIF(AL887:AN887,"&lt;&gt;0")</f>
        <v>0</v>
      </c>
      <c r="BE887">
        <f>COUNTIF(AU887:AY887,"&lt;&gt;0")</f>
        <v>0</v>
      </c>
      <c r="BF887">
        <f>COUNTIF(AO887:AT887,"&lt;&gt;0")</f>
        <v>0</v>
      </c>
      <c r="BG887" t="str">
        <f t="array" ref="BG887">IF(BA887=1,INDEX($X$7:$AN$7,MATCH(TRUE,INDEX($X887:$AY887&lt;&gt;0,),0)),IF(BA887=0,INDEX($AO$7:$AY$7,MATCH(1,$AO887:$AY887,0)),IF(BH887="Multiple strategies","mixed drivers",IF(BH887="Supply chain","multiple supply","multiple silviculture"))))</f>
        <v>species</v>
      </c>
      <c r="BH887" s="2" t="str" cm="1">
        <f t="array" ref="BH887">IF(COUNTIF(BB887:BD887,"&lt;&gt;0")=1,INDEX($X$4:$AY$4,MATCH(TRUE,INDEX($X887:$AY887&lt;&gt;0,),0)),IF(COUNTIF(BB887:BD887,"&lt;&gt;0")=0,INDEX($AO$4:$AY$4,MATCH(1,$AO887:$AY887,0)),"Multiple strategies"))</f>
        <v>Silviculture for productivity</v>
      </c>
      <c r="BI887" s="1" t="s">
        <v>321</v>
      </c>
      <c r="BJ887" t="s">
        <v>1687</v>
      </c>
      <c r="BK887" s="256" t="s">
        <v>3043</v>
      </c>
      <c r="BL887" t="s">
        <v>278</v>
      </c>
      <c r="BM887">
        <v>25.2</v>
      </c>
      <c r="BN887">
        <v>63</v>
      </c>
      <c r="BO887">
        <f>BN887/BM887</f>
        <v>2.5</v>
      </c>
      <c r="BP887">
        <f>BN887-BM887</f>
        <v>37.799999999999997</v>
      </c>
      <c r="BQ887">
        <f>BP887*tC_to_m3</f>
        <v>164.13373860182369</v>
      </c>
      <c r="BR887" t="s">
        <v>232</v>
      </c>
      <c r="BS887" s="256" t="s">
        <v>3042</v>
      </c>
      <c r="BT887" t="s">
        <v>278</v>
      </c>
      <c r="BU887">
        <v>444.6</v>
      </c>
      <c r="BV887">
        <v>493.2</v>
      </c>
      <c r="BW887" s="144">
        <f>IFERROR(BV887/BU887,"")</f>
        <v>1.1093117408906881</v>
      </c>
      <c r="BX887">
        <f>BV887-BU887</f>
        <v>48.599999999999966</v>
      </c>
      <c r="BZ887">
        <f>BX887*C_to_CO2</f>
        <v>178.36199999999988</v>
      </c>
      <c r="CA887">
        <f>IFERROR(BZ887/BQ887,"")</f>
        <v>1.0866869999999993</v>
      </c>
      <c r="CB887">
        <v>0</v>
      </c>
      <c r="CC887">
        <v>0</v>
      </c>
      <c r="CD887">
        <v>0</v>
      </c>
      <c r="CE887">
        <v>0</v>
      </c>
      <c r="CF887">
        <v>0</v>
      </c>
      <c r="CG887">
        <v>0</v>
      </c>
      <c r="CH887">
        <v>0</v>
      </c>
      <c r="CI887">
        <v>0</v>
      </c>
      <c r="CJ887">
        <v>0</v>
      </c>
      <c r="CK887">
        <v>0</v>
      </c>
      <c r="CL887">
        <v>0</v>
      </c>
      <c r="CM887">
        <v>0</v>
      </c>
      <c r="CN887">
        <v>0</v>
      </c>
      <c r="CO887">
        <v>0</v>
      </c>
      <c r="CP887" t="str">
        <f>IF($BN887&lt;$BM887,"refNeedCorrection","refOK")</f>
        <v>refOK</v>
      </c>
      <c r="CQ887">
        <f>IF($CP887="refOK",$BM887,$BN887)</f>
        <v>25.2</v>
      </c>
      <c r="CR887">
        <f>IF($CP887="refOK",$BN887,$BM887)</f>
        <v>63</v>
      </c>
      <c r="CS887">
        <f>IF($CP887="refOK",$BQ887,-$BQ887)</f>
        <v>164.13373860182369</v>
      </c>
      <c r="CT887">
        <f>IF(BI887="Roundwood",$CS887/2,$CS887)</f>
        <v>82.066869300911847</v>
      </c>
      <c r="CU887">
        <f>IF($CP887="refOK",$BU887,$BV887)*IF($BR887="Emissions positive",-1,1)</f>
        <v>444.6</v>
      </c>
      <c r="CV887">
        <f>IF($CP887="refOK",$BV887,$BU887)*IF($BR887="Emissions positive",-1,1)</f>
        <v>493.2</v>
      </c>
      <c r="CW887">
        <f>IF($CP887="refNeedCorrection",-BZ887,BZ887)*IF($BR887="Emissions positive",-1,1)</f>
        <v>178.36199999999988</v>
      </c>
      <c r="CX887">
        <f>IFERROR($CW887/$CS887,"")</f>
        <v>1.0866869999999993</v>
      </c>
      <c r="CY887">
        <f>IFERROR($CW887/$CS887,"")</f>
        <v>1.0866869999999993</v>
      </c>
      <c r="CZ887">
        <f>IFERROR($CW887/$CT887,"")</f>
        <v>2.1733739999999986</v>
      </c>
      <c r="DA887" s="2">
        <f>IFERROR((CV887-CU887)/ABS(CU887),"")</f>
        <v>0.10931174089068818</v>
      </c>
      <c r="DB887" s="1" t="s">
        <v>1074</v>
      </c>
      <c r="DC887" t="str">
        <f>IF(OR($DB887="prd",$DB887="std",$DB887="cit"),"loc",IF(OR($DB887="eur",$DB887="reg",$DB887="coy"),"reg",$DB887))</f>
        <v>reg</v>
      </c>
      <c r="DD887" t="s">
        <v>1176</v>
      </c>
      <c r="DG887">
        <v>180</v>
      </c>
      <c r="DH887" t="str">
        <f>IF(DG887=0,"0",IF(AND(DG887&gt;=1,DG887&lt;=30),"1-30",IF(AND(DG887&gt;30,DG887&lt;=70),"31-70",IF(AND(DG887&gt;70,DG887&lt;=100),"71-100",IF(DG887&gt;100,"+100")))))</f>
        <v>+100</v>
      </c>
      <c r="DI887">
        <v>0</v>
      </c>
      <c r="DJ887">
        <v>1</v>
      </c>
      <c r="DK887">
        <v>1</v>
      </c>
      <c r="DL887">
        <v>1</v>
      </c>
      <c r="DM887">
        <v>1</v>
      </c>
      <c r="DN887">
        <f>SUM(DI887:DL887)</f>
        <v>3</v>
      </c>
      <c r="DO887" t="str">
        <f>IF(DN887=1,INDEX($DI$7:$DL$7,MATCH(1,$DI887:$DL887,0)),"mixedProduct")</f>
        <v>mixedProduct</v>
      </c>
      <c r="DP887">
        <f>IF(DI887=1,DP$7,0)</f>
        <v>0</v>
      </c>
      <c r="DQ887" t="str">
        <f>IF(DJ887=1,DQ$7,0)</f>
        <v>Energy</v>
      </c>
      <c r="DR887" t="str">
        <f>IF(DK887=1,DR$7,0)</f>
        <v>Pulp/Paper</v>
      </c>
      <c r="DS887" t="str">
        <f>IF(DL887=1,DS$7,0)</f>
        <v>Timber</v>
      </c>
      <c r="DT887">
        <v>0</v>
      </c>
      <c r="DU887">
        <v>1</v>
      </c>
      <c r="DV887" t="s">
        <v>1688</v>
      </c>
      <c r="DW887" t="s">
        <v>1689</v>
      </c>
      <c r="DX887">
        <v>0</v>
      </c>
      <c r="DY887">
        <f>SUM(DT887:DU887)</f>
        <v>1</v>
      </c>
      <c r="DZ887" s="143" t="str">
        <f>IF(DT887=1,"self-calculated DF",IF(DU887=1,"external DF used","explicit C balance"))</f>
        <v>external DF used</v>
      </c>
      <c r="EA887">
        <v>1</v>
      </c>
      <c r="EB887">
        <v>1</v>
      </c>
      <c r="EC887">
        <v>1</v>
      </c>
      <c r="ED887">
        <v>1</v>
      </c>
      <c r="EE887">
        <v>1</v>
      </c>
      <c r="EF887">
        <v>1</v>
      </c>
      <c r="EG887">
        <v>0</v>
      </c>
      <c r="EH887">
        <v>0</v>
      </c>
      <c r="EI887">
        <v>0</v>
      </c>
      <c r="EJ887">
        <v>0</v>
      </c>
      <c r="EK887">
        <v>1</v>
      </c>
      <c r="EL887">
        <v>0</v>
      </c>
      <c r="EM887">
        <v>0</v>
      </c>
      <c r="EN887" s="2">
        <v>0</v>
      </c>
      <c r="EP887" t="str">
        <f>IF(AND(AND(AND(OR($EC887=1,$EB887=1),OR($EH887=1,$EF887=1)),SUM($EA887:$EE887,$EK887)&gt;=3),SUM($EF887:$EJ887)&gt;=2),"Whole sector approach","")</f>
        <v/>
      </c>
      <c r="EQ887" t="str">
        <f>IF(AND(AND(OR($EC887=1,$EB887=1),AND($EH887=0,$EF887=0)),SUM($EA887:$EE887,$EK887)&gt;=4),"Ecosystem approach","")</f>
        <v/>
      </c>
      <c r="ER887" s="2" t="str">
        <f>IF(AND(AND(AND($EC887=0,$EB887=0),OR($EH887=1,$EF887=1)),SUM($EG887:$EJ887)&gt;=2),"Technology approach","")</f>
        <v/>
      </c>
      <c r="ES887" t="str">
        <f>IF(AND($EC887+$EB887+$EE887+$EA887+$ED887+$EG887=0,$N887="included"),"C neutral forest and HWP assumption","")</f>
        <v/>
      </c>
      <c r="ET887" t="str">
        <f>IF(AND(AND(AND(AND($EC887=1,$EB887+$EA887+$EG887&gt;=1),$EF887=1),$EH887+$EI887+$ED887+$EE887&gt;=2),$N887="included"),"All C pools assumption","")</f>
        <v>All C pools assumption</v>
      </c>
      <c r="EU887" t="str">
        <f>IF(AND($ED887+$EE887+$EI887+$EH887+$EF887=0,$N887="included"),"In-situ only assumption","")</f>
        <v/>
      </c>
      <c r="EY887" t="str">
        <f>IF(ISNUMBER(BW887),IF(ABS(BW887-[6]QC_indicators!$B$2)&gt;3*[6]QC_indicators!$C$2,"C ratio",IF(ISNUMBER(CA887),IF(ABS(CA887-[6]QC_indicators!$B$1)&gt;3*[6]QC_indicators!$C$1,"DF","no"))),IF(ISNUMBER(CA887),IF(ABS(CA887-[6]QC_indicators!$B$1)&gt;3*[6]QC_indicators!$C$1,"DF","no")))</f>
        <v>no</v>
      </c>
      <c r="FA887" t="str">
        <f>IF(LEN($CY887)=0,"",IF(AND($CY887&lt;(-0.05),$ES887="C neutral forest and HWP assumption"),"Cneutral paradox",IF(AND($CY887&gt;0.05,$EU887="In-situ only assumption"),"In-situ only paradox","")))</f>
        <v/>
      </c>
      <c r="FD887" s="260" t="s">
        <v>2948</v>
      </c>
    </row>
    <row r="888" spans="1:161" ht="15" hidden="1" customHeight="1">
      <c r="A888" s="1" t="s">
        <v>1016</v>
      </c>
      <c r="B888" t="s">
        <v>1678</v>
      </c>
      <c r="C888" t="s">
        <v>1679</v>
      </c>
      <c r="D888" t="s">
        <v>1680</v>
      </c>
      <c r="E888" t="s">
        <v>1681</v>
      </c>
      <c r="F888" t="s">
        <v>1682</v>
      </c>
      <c r="G888" t="s">
        <v>1017</v>
      </c>
      <c r="H888" t="s">
        <v>254</v>
      </c>
      <c r="I888">
        <v>2013</v>
      </c>
      <c r="J888">
        <v>26</v>
      </c>
      <c r="K888" t="s">
        <v>1683</v>
      </c>
      <c r="M888" t="str">
        <f>LEFT($D888,FIND(",",$D888)-1)&amp;"_"&amp;I888&amp;L888</f>
        <v>Klein_2013</v>
      </c>
      <c r="N888" t="s">
        <v>222</v>
      </c>
      <c r="O888" s="145" t="s">
        <v>508</v>
      </c>
      <c r="Q888" t="s">
        <v>256</v>
      </c>
      <c r="R888" s="251" t="s">
        <v>225</v>
      </c>
      <c r="S888" s="1" t="s">
        <v>1690</v>
      </c>
      <c r="T888" t="s">
        <v>1691</v>
      </c>
      <c r="U888" t="s">
        <v>1692</v>
      </c>
      <c r="V888" s="253">
        <v>0</v>
      </c>
      <c r="W888" s="253">
        <v>0</v>
      </c>
      <c r="X888">
        <v>0</v>
      </c>
      <c r="Y888">
        <v>0</v>
      </c>
      <c r="Z888">
        <v>0</v>
      </c>
      <c r="AA888">
        <v>0</v>
      </c>
      <c r="AB888">
        <v>1</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s="141">
        <f>COUNTIF(X888:AY888,"&lt;&gt;0")</f>
        <v>1</v>
      </c>
      <c r="BA888" s="141">
        <f>COUNTIF(X888:AN888,"&lt;&gt;0")</f>
        <v>1</v>
      </c>
      <c r="BB888">
        <f>COUNTIF(X888:AE888,"&lt;&gt;0")</f>
        <v>1</v>
      </c>
      <c r="BC888">
        <f>COUNTIF(AF888:AK888,"&lt;&gt;0")</f>
        <v>0</v>
      </c>
      <c r="BD888">
        <f>COUNTIF(AL888:AN888,"&lt;&gt;0")</f>
        <v>0</v>
      </c>
      <c r="BE888">
        <f>COUNTIF(AU888:AY888,"&lt;&gt;0")</f>
        <v>0</v>
      </c>
      <c r="BF888">
        <f>COUNTIF(AO888:AT888,"&lt;&gt;0")</f>
        <v>0</v>
      </c>
      <c r="BG888" t="str">
        <f t="array" ref="BG888">IF(BA888=1,INDEX($X$7:$AN$7,MATCH(TRUE,INDEX($X888:$AY888&lt;&gt;0,),0)),IF(BA888=0,INDEX($AO$7:$AY$7,MATCH(1,$AO888:$AY888,0)),IF(BH888="Multiple strategies","mixed drivers",IF(BH888="Supply chain","multiple supply","multiple silviculture"))))</f>
        <v>species</v>
      </c>
      <c r="BH888" s="2" t="str" cm="1">
        <f t="array" ref="BH888">IF(COUNTIF(BB888:BD888,"&lt;&gt;0")=1,INDEX($X$4:$AY$4,MATCH(TRUE,INDEX($X888:$AY888&lt;&gt;0,),0)),IF(COUNTIF(BB888:BD888,"&lt;&gt;0")=0,INDEX($AO$4:$AY$4,MATCH(1,$AO888:$AY888,0)),"Multiple strategies"))</f>
        <v>Silviculture for productivity</v>
      </c>
      <c r="BI888" s="1" t="s">
        <v>321</v>
      </c>
      <c r="BJ888" t="s">
        <v>1687</v>
      </c>
      <c r="BK888" s="256" t="s">
        <v>3043</v>
      </c>
      <c r="BL888" t="s">
        <v>278</v>
      </c>
      <c r="BM888">
        <v>25.2</v>
      </c>
      <c r="BN888">
        <v>52.7</v>
      </c>
      <c r="BO888">
        <f>BN888/BM888</f>
        <v>2.0912698412698414</v>
      </c>
      <c r="BP888">
        <f>BN888-BM888</f>
        <v>27.500000000000004</v>
      </c>
      <c r="BQ888">
        <f>BP888*tC_to_m3</f>
        <v>119.4094659140252</v>
      </c>
      <c r="BR888" t="s">
        <v>232</v>
      </c>
      <c r="BS888" s="256" t="s">
        <v>3042</v>
      </c>
      <c r="BT888" t="s">
        <v>278</v>
      </c>
      <c r="BU888">
        <v>444.6</v>
      </c>
      <c r="BV888">
        <v>351</v>
      </c>
      <c r="BW888" s="144">
        <f>IFERROR(BV888/BU888,"")</f>
        <v>0.78947368421052633</v>
      </c>
      <c r="BX888">
        <f>BV888-BU888</f>
        <v>-93.600000000000023</v>
      </c>
      <c r="BZ888">
        <f>BX888*C_to_CO2</f>
        <v>-343.51200000000006</v>
      </c>
      <c r="CA888">
        <f>IFERROR(BZ888/BQ888,"")</f>
        <v>-2.8767568581818184</v>
      </c>
      <c r="CB888">
        <v>0</v>
      </c>
      <c r="CC888">
        <v>0</v>
      </c>
      <c r="CD888">
        <v>0</v>
      </c>
      <c r="CE888">
        <v>0</v>
      </c>
      <c r="CF888">
        <v>0</v>
      </c>
      <c r="CG888">
        <v>0</v>
      </c>
      <c r="CH888">
        <v>0</v>
      </c>
      <c r="CI888">
        <v>0</v>
      </c>
      <c r="CJ888">
        <v>0</v>
      </c>
      <c r="CK888">
        <v>0</v>
      </c>
      <c r="CL888">
        <v>0</v>
      </c>
      <c r="CM888">
        <v>0</v>
      </c>
      <c r="CN888">
        <v>0</v>
      </c>
      <c r="CO888">
        <v>0</v>
      </c>
      <c r="CP888" t="str">
        <f>IF($BN888&lt;$BM888,"refNeedCorrection","refOK")</f>
        <v>refOK</v>
      </c>
      <c r="CQ888">
        <f>IF($CP888="refOK",$BM888,$BN888)</f>
        <v>25.2</v>
      </c>
      <c r="CR888">
        <f>IF($CP888="refOK",$BN888,$BM888)</f>
        <v>52.7</v>
      </c>
      <c r="CS888">
        <f>IF($CP888="refOK",$BQ888,-$BQ888)</f>
        <v>119.4094659140252</v>
      </c>
      <c r="CT888">
        <f>IF(BI888="Roundwood",$CS888/2,$CS888)</f>
        <v>59.704732957012602</v>
      </c>
      <c r="CU888">
        <f>IF($CP888="refOK",$BU888,$BV888)*IF($BR888="Emissions positive",-1,1)</f>
        <v>444.6</v>
      </c>
      <c r="CV888">
        <f>IF($CP888="refOK",$BV888,$BU888)*IF($BR888="Emissions positive",-1,1)</f>
        <v>351</v>
      </c>
      <c r="CW888">
        <f>IF($CP888="refNeedCorrection",-BZ888,BZ888)*IF($BR888="Emissions positive",-1,1)</f>
        <v>-343.51200000000006</v>
      </c>
      <c r="CX888">
        <f>IFERROR($CW888/$CS888,"")</f>
        <v>-2.8767568581818184</v>
      </c>
      <c r="CY888">
        <f>IFERROR($CW888/$CS888,"")</f>
        <v>-2.8767568581818184</v>
      </c>
      <c r="CZ888">
        <f>IFERROR($CW888/$CT888,"")</f>
        <v>-5.7535137163636367</v>
      </c>
      <c r="DA888" s="2">
        <f>IFERROR((CV888-CU888)/ABS(CU888),"")</f>
        <v>-0.21052631578947373</v>
      </c>
      <c r="DB888" s="1" t="s">
        <v>1074</v>
      </c>
      <c r="DC888" t="str">
        <f>IF(OR($DB888="prd",$DB888="std",$DB888="cit"),"loc",IF(OR($DB888="eur",$DB888="reg",$DB888="coy"),"reg",$DB888))</f>
        <v>reg</v>
      </c>
      <c r="DD888" t="s">
        <v>1176</v>
      </c>
      <c r="DG888">
        <v>180</v>
      </c>
      <c r="DH888" t="str">
        <f>IF(DG888=0,"0",IF(AND(DG888&gt;=1,DG888&lt;=30),"1-30",IF(AND(DG888&gt;30,DG888&lt;=70),"31-70",IF(AND(DG888&gt;70,DG888&lt;=100),"71-100",IF(DG888&gt;100,"+100")))))</f>
        <v>+100</v>
      </c>
      <c r="DI888">
        <v>0</v>
      </c>
      <c r="DJ888">
        <v>1</v>
      </c>
      <c r="DK888">
        <v>1</v>
      </c>
      <c r="DL888">
        <v>1</v>
      </c>
      <c r="DM888">
        <v>1</v>
      </c>
      <c r="DN888">
        <f>SUM(DI888:DL888)</f>
        <v>3</v>
      </c>
      <c r="DO888" t="str">
        <f>IF(DN888=1,INDEX($DI$7:$DL$7,MATCH(1,$DI888:$DL888,0)),"mixedProduct")</f>
        <v>mixedProduct</v>
      </c>
      <c r="DP888">
        <f>IF(DI888=1,DP$7,0)</f>
        <v>0</v>
      </c>
      <c r="DQ888" t="str">
        <f>IF(DJ888=1,DQ$7,0)</f>
        <v>Energy</v>
      </c>
      <c r="DR888" t="str">
        <f>IF(DK888=1,DR$7,0)</f>
        <v>Pulp/Paper</v>
      </c>
      <c r="DS888" t="str">
        <f>IF(DL888=1,DS$7,0)</f>
        <v>Timber</v>
      </c>
      <c r="DT888">
        <v>0</v>
      </c>
      <c r="DU888">
        <v>1</v>
      </c>
      <c r="DV888" t="s">
        <v>1688</v>
      </c>
      <c r="DW888" t="s">
        <v>1689</v>
      </c>
      <c r="DX888">
        <v>0</v>
      </c>
      <c r="DY888">
        <f>SUM(DT888:DU888)</f>
        <v>1</v>
      </c>
      <c r="DZ888" s="143" t="str">
        <f>IF(DT888=1,"self-calculated DF",IF(DU888=1,"external DF used","explicit C balance"))</f>
        <v>external DF used</v>
      </c>
      <c r="EA888">
        <v>1</v>
      </c>
      <c r="EB888">
        <v>1</v>
      </c>
      <c r="EC888">
        <v>1</v>
      </c>
      <c r="ED888">
        <v>1</v>
      </c>
      <c r="EE888">
        <v>1</v>
      </c>
      <c r="EF888">
        <v>1</v>
      </c>
      <c r="EG888">
        <v>0</v>
      </c>
      <c r="EH888">
        <v>0</v>
      </c>
      <c r="EI888">
        <v>0</v>
      </c>
      <c r="EJ888">
        <v>0</v>
      </c>
      <c r="EK888">
        <v>1</v>
      </c>
      <c r="EL888">
        <v>0</v>
      </c>
      <c r="EM888">
        <v>0</v>
      </c>
      <c r="EN888" s="2">
        <v>0</v>
      </c>
      <c r="EP888" t="str">
        <f>IF(AND(AND(AND(OR($EC888=1,$EB888=1),OR($EH888=1,$EF888=1)),SUM($EA888:$EE888,$EK888)&gt;=3),SUM($EF888:$EJ888)&gt;=2),"Whole sector approach","")</f>
        <v/>
      </c>
      <c r="EQ888" t="str">
        <f>IF(AND(AND(OR($EC888=1,$EB888=1),AND($EH888=0,$EF888=0)),SUM($EA888:$EE888,$EK888)&gt;=4),"Ecosystem approach","")</f>
        <v/>
      </c>
      <c r="ER888" s="2" t="str">
        <f>IF(AND(AND(AND($EC888=0,$EB888=0),OR($EH888=1,$EF888=1)),SUM($EG888:$EJ888)&gt;=2),"Technology approach","")</f>
        <v/>
      </c>
      <c r="ES888" t="str">
        <f>IF(AND($EC888+$EB888+$EE888+$EA888+$ED888+$EG888=0,$N888="included"),"C neutral forest and HWP assumption","")</f>
        <v/>
      </c>
      <c r="ET888" t="str">
        <f>IF(AND(AND(AND(AND($EC888=1,$EB888+$EA888+$EG888&gt;=1),$EF888=1),$EH888+$EI888+$ED888+$EE888&gt;=2),$N888="included"),"All C pools assumption","")</f>
        <v>All C pools assumption</v>
      </c>
      <c r="EU888" t="str">
        <f>IF(AND($ED888+$EE888+$EI888+$EH888+$EF888=0,$N888="included"),"In-situ only assumption","")</f>
        <v/>
      </c>
      <c r="EY888" t="str">
        <f>IF(ISNUMBER(BW888),IF(ABS(BW888-[6]QC_indicators!$B$2)&gt;3*[6]QC_indicators!$C$2,"C ratio",IF(ISNUMBER(CA888),IF(ABS(CA888-[6]QC_indicators!$B$1)&gt;3*[6]QC_indicators!$C$1,"DF","no"))),IF(ISNUMBER(CA888),IF(ABS(CA888-[6]QC_indicators!$B$1)&gt;3*[6]QC_indicators!$C$1,"DF","no")))</f>
        <v>no</v>
      </c>
      <c r="FA888" t="str">
        <f>IF(LEN($CY888)=0,"",IF(AND($CY888&lt;(-0.05),$ES888="C neutral forest and HWP assumption"),"Cneutral paradox",IF(AND($CY888&gt;0.05,$EU888="In-situ only assumption"),"In-situ only paradox","")))</f>
        <v/>
      </c>
      <c r="FD888" s="260" t="s">
        <v>2948</v>
      </c>
    </row>
    <row r="889" spans="1:161" ht="15" hidden="1" customHeight="1">
      <c r="A889" s="1" t="s">
        <v>1654</v>
      </c>
      <c r="B889" t="s">
        <v>2003</v>
      </c>
      <c r="C889" t="s">
        <v>2004</v>
      </c>
      <c r="D889" t="s">
        <v>2005</v>
      </c>
      <c r="E889" t="s">
        <v>2006</v>
      </c>
      <c r="F889" t="s">
        <v>2007</v>
      </c>
      <c r="G889" t="s">
        <v>1660</v>
      </c>
      <c r="H889" t="s">
        <v>254</v>
      </c>
      <c r="I889">
        <v>2013</v>
      </c>
      <c r="J889">
        <v>49</v>
      </c>
      <c r="K889" t="s">
        <v>2008</v>
      </c>
      <c r="M889" t="str">
        <f>LEFT($D889,FIND(",",$D889)-1)&amp;"_"&amp;I889&amp;L889</f>
        <v>Sikkema_2013</v>
      </c>
      <c r="N889" t="s">
        <v>222</v>
      </c>
      <c r="O889" s="145" t="s">
        <v>341</v>
      </c>
      <c r="Q889" s="317" t="s">
        <v>256</v>
      </c>
      <c r="R889" s="318" t="s">
        <v>1029</v>
      </c>
      <c r="S889" s="1" t="s">
        <v>2017</v>
      </c>
      <c r="T889" t="s">
        <v>2017</v>
      </c>
      <c r="U889" t="s">
        <v>2009</v>
      </c>
      <c r="V889" s="253">
        <v>0</v>
      </c>
      <c r="W889" s="253">
        <v>0</v>
      </c>
      <c r="X889">
        <v>0</v>
      </c>
      <c r="Y889">
        <v>0</v>
      </c>
      <c r="Z889">
        <v>0</v>
      </c>
      <c r="AA889">
        <v>0</v>
      </c>
      <c r="AB889">
        <v>0</v>
      </c>
      <c r="AC889">
        <v>0</v>
      </c>
      <c r="AD889">
        <v>0</v>
      </c>
      <c r="AE889">
        <v>0</v>
      </c>
      <c r="AF889">
        <v>0</v>
      </c>
      <c r="AG889">
        <v>0</v>
      </c>
      <c r="AH889">
        <v>1</v>
      </c>
      <c r="AI889">
        <v>0</v>
      </c>
      <c r="AJ889">
        <v>0</v>
      </c>
      <c r="AK889">
        <v>0</v>
      </c>
      <c r="AL889">
        <v>0</v>
      </c>
      <c r="AM889">
        <v>0</v>
      </c>
      <c r="AN889">
        <v>0</v>
      </c>
      <c r="AO889">
        <v>0</v>
      </c>
      <c r="AP889">
        <v>0</v>
      </c>
      <c r="AQ889">
        <v>0</v>
      </c>
      <c r="AR889">
        <v>0</v>
      </c>
      <c r="AS889">
        <v>0</v>
      </c>
      <c r="AT889">
        <v>0</v>
      </c>
      <c r="AU889">
        <v>0</v>
      </c>
      <c r="AV889">
        <v>0</v>
      </c>
      <c r="AW889">
        <v>0</v>
      </c>
      <c r="AX889">
        <v>0</v>
      </c>
      <c r="AY889">
        <v>0</v>
      </c>
      <c r="AZ889" s="141">
        <f>COUNTIF(X889:AY889,"&lt;&gt;0")</f>
        <v>1</v>
      </c>
      <c r="BA889" s="141">
        <f>COUNTIF(X889:AN889,"&lt;&gt;0")</f>
        <v>1</v>
      </c>
      <c r="BB889">
        <f>COUNTIF(X889:AE889,"&lt;&gt;0")</f>
        <v>0</v>
      </c>
      <c r="BC889">
        <f>COUNTIF(AF889:AK889,"&lt;&gt;0")</f>
        <v>1</v>
      </c>
      <c r="BD889">
        <f>COUNTIF(AL889:AN889,"&lt;&gt;0")</f>
        <v>0</v>
      </c>
      <c r="BE889">
        <f>COUNTIF(AU889:AY889,"&lt;&gt;0")</f>
        <v>0</v>
      </c>
      <c r="BF889">
        <f>COUNTIF(AO889:AT889,"&lt;&gt;0")</f>
        <v>0</v>
      </c>
      <c r="BG889" t="str" cm="1">
        <f t="array" ref="BG889">IF(BA889=1,INDEX($X$7:$AN$7,MATCH(TRUE,INDEX($X889:$AY889&lt;&gt;0,),0)),IF(BA889=0,INDEX($AO$7:$AY$7,MATCH(1,$AO889:$AY889,0)),IF(BH889="Multiple strategies","mixed drivers",IF(BH889="Supply chain","multiple supply","multiple silviculture"))))</f>
        <v>supply chain organization</v>
      </c>
      <c r="BH889" s="2" t="str" cm="1">
        <f t="array" ref="BH889">IF(COUNTIF(BB889:BD889,"&lt;&gt;0")=1,INDEX($X$4:$AY$4,MATCH(TRUE,INDEX($X889:$AY889&lt;&gt;0,),0)),IF(COUNTIF(BB889:BD889,"&lt;&gt;0")=0,INDEX($AO$4:$AY$4,MATCH(1,$AO889:$AY889,0)),"Multiple strategies"))</f>
        <v>Supply chain</v>
      </c>
      <c r="BI889" s="1" t="s">
        <v>321</v>
      </c>
      <c r="BJ889" t="s">
        <v>2010</v>
      </c>
      <c r="BK889" s="317" t="s">
        <v>5059</v>
      </c>
      <c r="BL889" t="s">
        <v>1228</v>
      </c>
      <c r="BM889">
        <v>180</v>
      </c>
      <c r="BN889">
        <v>180</v>
      </c>
      <c r="BO889" s="317">
        <f>BN889/BM889</f>
        <v>1</v>
      </c>
      <c r="BP889">
        <f>BN889-BM889</f>
        <v>0</v>
      </c>
      <c r="BQ889">
        <f>BP889*10^6</f>
        <v>0</v>
      </c>
      <c r="BR889" s="317" t="s">
        <v>232</v>
      </c>
      <c r="BS889" s="317" t="s">
        <v>396</v>
      </c>
      <c r="BT889" t="s">
        <v>1018</v>
      </c>
      <c r="BU889">
        <f>-18.1</f>
        <v>-18.100000000000001</v>
      </c>
      <c r="BV889">
        <v>-24.3</v>
      </c>
      <c r="BW889" s="144">
        <v>0.46489104116222763</v>
      </c>
      <c r="BX889">
        <v>22.099999999999998</v>
      </c>
      <c r="BZ889">
        <f>BX889*10^6</f>
        <v>22099999.999999996</v>
      </c>
      <c r="CA889" t="str">
        <f>IFERROR(BZ889/BQ889,"")</f>
        <v/>
      </c>
      <c r="CB889">
        <v>0</v>
      </c>
      <c r="CC889">
        <v>0</v>
      </c>
      <c r="CD889">
        <v>0</v>
      </c>
      <c r="CE889">
        <v>0</v>
      </c>
      <c r="CF889">
        <v>0</v>
      </c>
      <c r="CG889">
        <v>0</v>
      </c>
      <c r="CH889">
        <v>0</v>
      </c>
      <c r="CI889">
        <v>0</v>
      </c>
      <c r="CJ889">
        <v>0</v>
      </c>
      <c r="CK889">
        <v>0</v>
      </c>
      <c r="CL889">
        <v>0</v>
      </c>
      <c r="CM889">
        <v>0</v>
      </c>
      <c r="CN889">
        <v>0</v>
      </c>
      <c r="CO889">
        <v>0</v>
      </c>
      <c r="CP889" t="str">
        <f>IF($BN889&lt;$BM889,"refNeedCorrection","refOK")</f>
        <v>refOK</v>
      </c>
      <c r="CQ889">
        <f>IF($CP889="refOK",$BM889,$BN889)</f>
        <v>180</v>
      </c>
      <c r="CR889">
        <f>IF($CP889="refOK",$BN889,$BM889)</f>
        <v>180</v>
      </c>
      <c r="CS889">
        <f>IF($CP889="refOK",$BQ889,-$BQ889)</f>
        <v>0</v>
      </c>
      <c r="CT889">
        <f>IF(BI889="Roundwood",$CS889/2,$CS889)</f>
        <v>0</v>
      </c>
      <c r="CU889">
        <f>IF($CP889="refOK",$BU889,$BV889)*IF($BR889="Emissions positive",-1,1)</f>
        <v>-18.100000000000001</v>
      </c>
      <c r="CV889">
        <f>IF($CP889="refOK",$BV889,$BU889)*IF($BR889="Emissions positive",-1,1)</f>
        <v>-24.3</v>
      </c>
      <c r="CW889">
        <f>IF($CP889="refNeedCorrection",-BZ889,BZ889)*IF($BR889="Emissions positive",-1,1)</f>
        <v>22099999.999999996</v>
      </c>
      <c r="CX889" t="str">
        <f>IFERROR($CW889/$CS889,"")</f>
        <v/>
      </c>
      <c r="CY889" t="str">
        <f>IFERROR($CW889/$CS889,"")</f>
        <v/>
      </c>
      <c r="CZ889" t="str">
        <f>IFERROR($CW889/$CT889,"")</f>
        <v/>
      </c>
      <c r="DA889" s="2">
        <f>IFERROR((CV889-CU889)/ABS(CU889),"")</f>
        <v>-0.34254143646408836</v>
      </c>
      <c r="DB889" s="1" t="s">
        <v>1078</v>
      </c>
      <c r="DC889" s="317" t="str">
        <f>IF(OR($DB889="prd",$DB889="std",$DB889="cit"),"loc",IF(OR($DB889="eur",$DB889="reg",$DB889="coy"),"reg",$DB889))</f>
        <v>reg</v>
      </c>
      <c r="DD889" t="s">
        <v>527</v>
      </c>
      <c r="DE889">
        <v>2012</v>
      </c>
      <c r="DF889">
        <v>2112</v>
      </c>
      <c r="DG889">
        <v>100</v>
      </c>
      <c r="DH889" t="str">
        <f>IF(DG889=0,"0",IF(AND(DG889&gt;=1,DG889&lt;=30),"1-30",IF(AND(DG889&gt;30,DG889&lt;=70),"31-70",IF(AND(DG889&gt;70,DG889&lt;=100),"71-100",IF(DG889&gt;100,"+100")))))</f>
        <v>71-100</v>
      </c>
      <c r="DI889">
        <v>0</v>
      </c>
      <c r="DJ889">
        <v>1</v>
      </c>
      <c r="DK889">
        <v>1</v>
      </c>
      <c r="DL889">
        <v>1</v>
      </c>
      <c r="DN889">
        <f>SUM(DI889:DL889)</f>
        <v>3</v>
      </c>
      <c r="DO889" t="str">
        <f>IF(DN889=1,INDEX($DI$7:$DL$7,MATCH(1,$DI889:$DL889,0)),"mixedProduct")</f>
        <v>mixedProduct</v>
      </c>
      <c r="DP889">
        <f>IF(DI889=1,DP$7,0)</f>
        <v>0</v>
      </c>
      <c r="DQ889" t="str">
        <f>IF(DJ889=1,DQ$7,0)</f>
        <v>Energy</v>
      </c>
      <c r="DR889" t="str">
        <f>IF(DK889=1,DR$7,0)</f>
        <v>Pulp/Paper</v>
      </c>
      <c r="DS889" t="str">
        <f>IF(DL889=1,DS$7,0)</f>
        <v>Timber</v>
      </c>
      <c r="DT889">
        <v>1</v>
      </c>
      <c r="DU889">
        <v>1</v>
      </c>
      <c r="DV889">
        <v>1</v>
      </c>
      <c r="DW889" t="s">
        <v>2011</v>
      </c>
      <c r="DY889">
        <f>SUM(DT889:DU889)</f>
        <v>2</v>
      </c>
      <c r="DZ889" s="143" t="str">
        <f>IF(DT889=1,"self-calculated DF",IF(DU889=1,"external DF used","explicit C balance"))</f>
        <v>self-calculated DF</v>
      </c>
      <c r="EA889">
        <v>0</v>
      </c>
      <c r="EB889">
        <v>0</v>
      </c>
      <c r="EC889">
        <v>0</v>
      </c>
      <c r="ED889">
        <v>1</v>
      </c>
      <c r="EE889">
        <v>1</v>
      </c>
      <c r="EF889">
        <v>1</v>
      </c>
      <c r="EG889">
        <v>0</v>
      </c>
      <c r="EH889">
        <v>1</v>
      </c>
      <c r="EI889">
        <v>0</v>
      </c>
      <c r="EJ889">
        <v>1</v>
      </c>
      <c r="EK889">
        <v>0</v>
      </c>
      <c r="EL889">
        <v>0</v>
      </c>
      <c r="EM889">
        <v>0</v>
      </c>
      <c r="EN889" s="2">
        <v>0</v>
      </c>
      <c r="EP889" t="str">
        <f>IF(AND(AND(AND(OR($EC889=1,$EB889=1),OR($EH889=1,$EF889=1)),SUM($EA889:$EE889,$EK889)&gt;=3),SUM($EF889:$EJ889)&gt;=2),"Whole sector approach","")</f>
        <v/>
      </c>
      <c r="EQ889" t="str">
        <f>IF(AND(AND(OR($EC889=1,$EB889=1),AND($EH889=0,$EF889=0)),SUM($EA889:$EE889,$EK889)&gt;=3),"Ecosystem approach","")</f>
        <v/>
      </c>
      <c r="ER889" s="2" t="str">
        <f>IF(AND(AND(AND($EC889=0,$EB889=0),OR($EH889=1,$EF889=1)),SUM($EG889:$EJ889)&gt;=2),"Technology approach","")</f>
        <v>Technology approach</v>
      </c>
      <c r="ES889" t="str">
        <f>IF(AND($EC889+$EB889+$EE889+$EA889+$ED889+$EG889=0,$N889="included"),"C neutral forest and HWP assumption","")</f>
        <v/>
      </c>
      <c r="ET889" t="str">
        <f>IF(AND(AND(AND(AND($EC889=1,$EB889+$EA889+$EG889&gt;=1),$EF889=1),$EH889+$EI889+$ED889+$EE889&gt;=2),$N889="included"),"All C pools assumption","")</f>
        <v/>
      </c>
      <c r="EU889" t="str">
        <f>IF(AND($ED889+$EE889+$EI889+$EH889+$EF889=0,$N889="included"),"In-situ only assumption","")</f>
        <v/>
      </c>
      <c r="EY889" t="b">
        <f>IF(ISNUMBER(BW889),IF(ABS(BW889-[4]QC_indicators!$B$2)&gt;3*[4]QC_indicators!$C$2,"C ratio",IF(ISNUMBER(CA889),IF(ABS(CA889-[4]QC_indicators!$B$1)&gt;3*[4]QC_indicators!$C$1,"DF","no"))),IF(ISNUMBER(CA889),IF(ABS(CA889-[4]QC_indicators!$B$1)&gt;3*[4]QC_indicators!$C$1,"DF","no")))</f>
        <v>0</v>
      </c>
      <c r="FA889" t="str">
        <f>IF(LEN($CY889)=0,"",IF(AND($CY889&lt;(-0.05),$ES889="C neutral forest and HWP assumption"),"Cneutral paradox",IF(AND($CY889&gt;0.05,$EU889="In-situ only assumption"),"In-situ only paradox","")))</f>
        <v/>
      </c>
      <c r="FB889" s="317" t="s">
        <v>2012</v>
      </c>
      <c r="FD889" t="s">
        <v>5060</v>
      </c>
    </row>
    <row r="890" spans="1:161" ht="15" hidden="1" customHeight="1">
      <c r="A890" s="1" t="s">
        <v>1654</v>
      </c>
      <c r="B890" t="s">
        <v>2003</v>
      </c>
      <c r="C890" t="s">
        <v>2004</v>
      </c>
      <c r="D890" t="s">
        <v>2005</v>
      </c>
      <c r="E890" t="s">
        <v>2006</v>
      </c>
      <c r="F890" t="s">
        <v>2007</v>
      </c>
      <c r="G890" t="s">
        <v>1660</v>
      </c>
      <c r="H890" t="s">
        <v>254</v>
      </c>
      <c r="I890">
        <v>2013</v>
      </c>
      <c r="J890">
        <v>49</v>
      </c>
      <c r="K890" t="s">
        <v>2008</v>
      </c>
      <c r="M890" t="str">
        <f>LEFT($D890,FIND(",",$D890)-1)&amp;"_"&amp;I890&amp;L890</f>
        <v>Sikkema_2013</v>
      </c>
      <c r="N890" t="s">
        <v>222</v>
      </c>
      <c r="O890" s="145" t="s">
        <v>341</v>
      </c>
      <c r="Q890" s="317" t="s">
        <v>256</v>
      </c>
      <c r="R890" s="318" t="s">
        <v>1029</v>
      </c>
      <c r="S890" s="1" t="s">
        <v>2020</v>
      </c>
      <c r="T890" t="s">
        <v>2020</v>
      </c>
      <c r="U890" t="s">
        <v>2013</v>
      </c>
      <c r="V890" s="253">
        <v>0</v>
      </c>
      <c r="W890" s="253">
        <v>0</v>
      </c>
      <c r="X890">
        <v>0</v>
      </c>
      <c r="Y890">
        <v>0</v>
      </c>
      <c r="Z890">
        <v>0</v>
      </c>
      <c r="AA890">
        <v>0</v>
      </c>
      <c r="AB890">
        <v>0</v>
      </c>
      <c r="AC890">
        <v>0</v>
      </c>
      <c r="AD890">
        <v>0</v>
      </c>
      <c r="AE890">
        <v>0</v>
      </c>
      <c r="AF890">
        <v>0</v>
      </c>
      <c r="AG890">
        <v>0</v>
      </c>
      <c r="AH890">
        <v>1</v>
      </c>
      <c r="AI890">
        <v>0</v>
      </c>
      <c r="AJ890">
        <v>0</v>
      </c>
      <c r="AK890">
        <v>0</v>
      </c>
      <c r="AL890">
        <v>0</v>
      </c>
      <c r="AM890">
        <v>0</v>
      </c>
      <c r="AN890">
        <v>0</v>
      </c>
      <c r="AO890">
        <v>0</v>
      </c>
      <c r="AP890">
        <v>0</v>
      </c>
      <c r="AQ890">
        <v>0</v>
      </c>
      <c r="AR890">
        <v>0</v>
      </c>
      <c r="AS890">
        <v>0</v>
      </c>
      <c r="AT890">
        <v>0</v>
      </c>
      <c r="AU890">
        <v>0</v>
      </c>
      <c r="AV890">
        <v>0</v>
      </c>
      <c r="AW890">
        <v>0</v>
      </c>
      <c r="AX890">
        <v>0</v>
      </c>
      <c r="AY890">
        <v>0</v>
      </c>
      <c r="AZ890" s="141">
        <f>COUNTIF(X890:AY890,"&lt;&gt;0")</f>
        <v>1</v>
      </c>
      <c r="BA890" s="141">
        <f>COUNTIF(X890:AN890,"&lt;&gt;0")</f>
        <v>1</v>
      </c>
      <c r="BB890">
        <f>COUNTIF(X890:AE890,"&lt;&gt;0")</f>
        <v>0</v>
      </c>
      <c r="BC890">
        <f>COUNTIF(AF890:AK890,"&lt;&gt;0")</f>
        <v>1</v>
      </c>
      <c r="BD890">
        <f>COUNTIF(AL890:AN890,"&lt;&gt;0")</f>
        <v>0</v>
      </c>
      <c r="BE890">
        <f>COUNTIF(AU890:AY890,"&lt;&gt;0")</f>
        <v>0</v>
      </c>
      <c r="BF890">
        <f>COUNTIF(AO890:AT890,"&lt;&gt;0")</f>
        <v>0</v>
      </c>
      <c r="BG890" t="str" cm="1">
        <f t="array" ref="BG890">IF(BA890=1,INDEX($X$7:$AN$7,MATCH(TRUE,INDEX($X890:$AY890&lt;&gt;0,),0)),IF(BA890=0,INDEX($AO$7:$AY$7,MATCH(1,$AO890:$AY890,0)),IF(BH890="Multiple strategies","mixed drivers",IF(BH890="Supply chain","multiple supply","multiple silviculture"))))</f>
        <v>supply chain organization</v>
      </c>
      <c r="BH890" s="2" t="str" cm="1">
        <f t="array" ref="BH890">IF(COUNTIF(BB890:BD890,"&lt;&gt;0")=1,INDEX($X$4:$AY$4,MATCH(TRUE,INDEX($X890:$AY890&lt;&gt;0,),0)),IF(COUNTIF(BB890:BD890,"&lt;&gt;0")=0,INDEX($AO$4:$AY$4,MATCH(1,$AO890:$AY890,0)),"Multiple strategies"))</f>
        <v>Supply chain</v>
      </c>
      <c r="BI890" s="1" t="s">
        <v>321</v>
      </c>
      <c r="BJ890" t="s">
        <v>2010</v>
      </c>
      <c r="BK890" s="317" t="s">
        <v>5059</v>
      </c>
      <c r="BL890" t="s">
        <v>1228</v>
      </c>
      <c r="BM890">
        <v>180</v>
      </c>
      <c r="BN890">
        <v>180</v>
      </c>
      <c r="BO890" s="317">
        <f>BN890/BM890</f>
        <v>1</v>
      </c>
      <c r="BP890">
        <f>BN890-BM890</f>
        <v>0</v>
      </c>
      <c r="BQ890">
        <f>BP890*10^6</f>
        <v>0</v>
      </c>
      <c r="BR890" s="317" t="s">
        <v>232</v>
      </c>
      <c r="BS890" s="317" t="s">
        <v>396</v>
      </c>
      <c r="BT890" t="s">
        <v>1018</v>
      </c>
      <c r="BU890">
        <f>-19.2</f>
        <v>-19.2</v>
      </c>
      <c r="BV890">
        <f>-25.4</f>
        <v>-25.4</v>
      </c>
      <c r="BW890" s="144">
        <v>0.43825665859564172</v>
      </c>
      <c r="BX890">
        <v>23.199999999999996</v>
      </c>
      <c r="BZ890">
        <f>BX890*10^6</f>
        <v>23199999.999999996</v>
      </c>
      <c r="CA890" t="str">
        <f>IFERROR(BZ890/BQ890,"")</f>
        <v/>
      </c>
      <c r="CB890">
        <v>0</v>
      </c>
      <c r="CC890">
        <v>0</v>
      </c>
      <c r="CD890">
        <v>0</v>
      </c>
      <c r="CE890">
        <v>0</v>
      </c>
      <c r="CF890">
        <v>0</v>
      </c>
      <c r="CG890">
        <v>0</v>
      </c>
      <c r="CH890">
        <v>0</v>
      </c>
      <c r="CI890">
        <v>0</v>
      </c>
      <c r="CJ890">
        <v>0</v>
      </c>
      <c r="CK890">
        <v>0</v>
      </c>
      <c r="CL890">
        <v>0</v>
      </c>
      <c r="CM890">
        <v>0</v>
      </c>
      <c r="CN890">
        <v>0</v>
      </c>
      <c r="CO890">
        <v>0</v>
      </c>
      <c r="CP890" t="str">
        <f>IF($BN890&lt;$BM890,"refNeedCorrection","refOK")</f>
        <v>refOK</v>
      </c>
      <c r="CQ890">
        <f>IF($CP890="refOK",$BM890,$BN890)</f>
        <v>180</v>
      </c>
      <c r="CR890">
        <f>IF($CP890="refOK",$BN890,$BM890)</f>
        <v>180</v>
      </c>
      <c r="CS890">
        <f>IF($CP890="refOK",$BQ890,-$BQ890)</f>
        <v>0</v>
      </c>
      <c r="CT890">
        <f>IF(BI890="Roundwood",$CS890/2,$CS890)</f>
        <v>0</v>
      </c>
      <c r="CU890">
        <f>IF($CP890="refOK",$BU890,$BV890)*IF($BR890="Emissions positive",-1,1)</f>
        <v>-19.2</v>
      </c>
      <c r="CV890">
        <f>IF($CP890="refOK",$BV890,$BU890)*IF($BR890="Emissions positive",-1,1)</f>
        <v>-25.4</v>
      </c>
      <c r="CW890">
        <f>IF($CP890="refNeedCorrection",-BZ890,BZ890)*IF($BR890="Emissions positive",-1,1)</f>
        <v>23199999.999999996</v>
      </c>
      <c r="CX890" t="str">
        <f>IFERROR($CW890/$CS890,"")</f>
        <v/>
      </c>
      <c r="CY890" t="str">
        <f>IFERROR($CW890/$CS890,"")</f>
        <v/>
      </c>
      <c r="CZ890" t="str">
        <f>IFERROR($CW890/$CT890,"")</f>
        <v/>
      </c>
      <c r="DA890" s="2">
        <f>IFERROR((CV890-CU890)/ABS(CU890),"")</f>
        <v>-0.32291666666666663</v>
      </c>
      <c r="DB890" s="1" t="s">
        <v>1078</v>
      </c>
      <c r="DC890" s="317" t="str">
        <f>IF(OR($DB890="prd",$DB890="std",$DB890="cit"),"loc",IF(OR($DB890="eur",$DB890="reg",$DB890="coy"),"reg",$DB890))</f>
        <v>reg</v>
      </c>
      <c r="DD890" t="s">
        <v>527</v>
      </c>
      <c r="DE890">
        <v>2012</v>
      </c>
      <c r="DF890">
        <v>2112</v>
      </c>
      <c r="DG890">
        <v>100</v>
      </c>
      <c r="DH890" t="str">
        <f>IF(DG890=0,"0",IF(AND(DG890&gt;=1,DG890&lt;=30),"1-30",IF(AND(DG890&gt;30,DG890&lt;=70),"31-70",IF(AND(DG890&gt;70,DG890&lt;=100),"71-100",IF(DG890&gt;100,"+100")))))</f>
        <v>71-100</v>
      </c>
      <c r="DI890">
        <v>0</v>
      </c>
      <c r="DJ890">
        <v>1</v>
      </c>
      <c r="DK890">
        <v>1</v>
      </c>
      <c r="DL890">
        <v>1</v>
      </c>
      <c r="DN890">
        <f>SUM(DI890:DL890)</f>
        <v>3</v>
      </c>
      <c r="DO890" t="str">
        <f>IF(DN890=1,INDEX($DI$7:$DL$7,MATCH(1,$DI890:$DL890,0)),"mixedProduct")</f>
        <v>mixedProduct</v>
      </c>
      <c r="DP890">
        <f>IF(DI890=1,DP$7,0)</f>
        <v>0</v>
      </c>
      <c r="DQ890" t="str">
        <f>IF(DJ890=1,DQ$7,0)</f>
        <v>Energy</v>
      </c>
      <c r="DR890" t="str">
        <f>IF(DK890=1,DR$7,0)</f>
        <v>Pulp/Paper</v>
      </c>
      <c r="DS890" t="str">
        <f>IF(DL890=1,DS$7,0)</f>
        <v>Timber</v>
      </c>
      <c r="DT890">
        <v>1</v>
      </c>
      <c r="DU890">
        <v>1</v>
      </c>
      <c r="DV890">
        <v>1</v>
      </c>
      <c r="DW890" t="s">
        <v>2011</v>
      </c>
      <c r="DY890">
        <f>SUM(DT890:DU890)</f>
        <v>2</v>
      </c>
      <c r="DZ890" s="143" t="str">
        <f>IF(DT890=1,"self-calculated DF",IF(DU890=1,"external DF used","explicit C balance"))</f>
        <v>self-calculated DF</v>
      </c>
      <c r="EA890">
        <v>0</v>
      </c>
      <c r="EB890">
        <v>0</v>
      </c>
      <c r="EC890">
        <v>0</v>
      </c>
      <c r="ED890">
        <v>1</v>
      </c>
      <c r="EE890">
        <v>1</v>
      </c>
      <c r="EF890">
        <v>1</v>
      </c>
      <c r="EG890">
        <v>0</v>
      </c>
      <c r="EH890">
        <v>1</v>
      </c>
      <c r="EI890">
        <v>0</v>
      </c>
      <c r="EJ890">
        <v>1</v>
      </c>
      <c r="EK890">
        <v>0</v>
      </c>
      <c r="EL890">
        <v>0</v>
      </c>
      <c r="EM890">
        <v>0</v>
      </c>
      <c r="EN890" s="2">
        <v>0</v>
      </c>
      <c r="EP890" t="str">
        <f>IF(AND(AND(AND(OR($EC890=1,$EB890=1),OR($EH890=1,$EF890=1)),SUM($EA890:$EE890,$EK890)&gt;=3),SUM($EF890:$EJ890)&gt;=2),"Whole sector approach","")</f>
        <v/>
      </c>
      <c r="EQ890" t="str">
        <f>IF(AND(AND(OR($EC890=1,$EB890=1),AND($EH890=0,$EF890=0)),SUM($EA890:$EE890,$EK890)&gt;=3),"Ecosystem approach","")</f>
        <v/>
      </c>
      <c r="ER890" s="2" t="str">
        <f>IF(AND(AND(AND($EC890=0,$EB890=0),OR($EH890=1,$EF890=1)),SUM($EG890:$EJ890)&gt;=2),"Technology approach","")</f>
        <v>Technology approach</v>
      </c>
      <c r="ES890" t="str">
        <f>IF(AND($EC890+$EB890+$EE890+$EA890+$ED890+$EG890=0,$N890="included"),"C neutral forest and HWP assumption","")</f>
        <v/>
      </c>
      <c r="ET890" t="str">
        <f>IF(AND(AND(AND(AND($EC890=1,$EB890+$EA890+$EG890&gt;=1),$EF890=1),$EH890+$EI890+$ED890+$EE890&gt;=2),$N890="included"),"All C pools assumption","")</f>
        <v/>
      </c>
      <c r="EU890" t="str">
        <f>IF(AND($ED890+$EE890+$EI890+$EH890+$EF890=0,$N890="included"),"In-situ only assumption","")</f>
        <v/>
      </c>
      <c r="EY890" t="b">
        <f>IF(ISNUMBER(BW890),IF(ABS(BW890-[4]QC_indicators!$B$2)&gt;3*[4]QC_indicators!$C$2,"C ratio",IF(ISNUMBER(CA890),IF(ABS(CA890-[4]QC_indicators!$B$1)&gt;3*[4]QC_indicators!$C$1,"DF","no"))),IF(ISNUMBER(CA890),IF(ABS(CA890-[4]QC_indicators!$B$1)&gt;3*[4]QC_indicators!$C$1,"DF","no")))</f>
        <v>0</v>
      </c>
      <c r="FA890" t="str">
        <f>IF(LEN($CY890)=0,"",IF(AND($CY890&lt;(-0.05),$ES890="C neutral forest and HWP assumption"),"Cneutral paradox",IF(AND($CY890&gt;0.05,$EU890="In-situ only assumption"),"In-situ only paradox","")))</f>
        <v/>
      </c>
      <c r="FB890" s="317" t="s">
        <v>2012</v>
      </c>
      <c r="FD890" t="s">
        <v>5060</v>
      </c>
    </row>
    <row r="891" spans="1:161" ht="15" hidden="1" customHeight="1">
      <c r="A891" s="1" t="s">
        <v>1654</v>
      </c>
      <c r="B891" t="s">
        <v>2003</v>
      </c>
      <c r="C891" t="s">
        <v>2004</v>
      </c>
      <c r="D891" t="s">
        <v>2005</v>
      </c>
      <c r="E891" t="s">
        <v>2006</v>
      </c>
      <c r="F891" t="s">
        <v>2007</v>
      </c>
      <c r="G891" t="s">
        <v>1660</v>
      </c>
      <c r="H891" t="s">
        <v>254</v>
      </c>
      <c r="I891">
        <v>2013</v>
      </c>
      <c r="J891">
        <v>49</v>
      </c>
      <c r="K891" t="s">
        <v>2008</v>
      </c>
      <c r="M891" t="str">
        <f>LEFT($D891,FIND(",",$D891)-1)&amp;"_"&amp;I891&amp;L891</f>
        <v>Sikkema_2013</v>
      </c>
      <c r="N891" t="s">
        <v>222</v>
      </c>
      <c r="O891" s="145" t="s">
        <v>341</v>
      </c>
      <c r="Q891" s="317" t="s">
        <v>256</v>
      </c>
      <c r="R891" s="318" t="s">
        <v>1029</v>
      </c>
      <c r="S891" s="1" t="s">
        <v>2018</v>
      </c>
      <c r="T891" t="s">
        <v>2018</v>
      </c>
      <c r="U891" t="s">
        <v>2009</v>
      </c>
      <c r="V891" s="253">
        <v>0</v>
      </c>
      <c r="W891" s="253">
        <v>0</v>
      </c>
      <c r="X891">
        <v>0</v>
      </c>
      <c r="Y891">
        <v>0</v>
      </c>
      <c r="Z891">
        <v>0</v>
      </c>
      <c r="AA891">
        <v>0</v>
      </c>
      <c r="AB891">
        <v>0</v>
      </c>
      <c r="AC891">
        <v>0</v>
      </c>
      <c r="AD891">
        <v>0</v>
      </c>
      <c r="AE891">
        <v>0</v>
      </c>
      <c r="AF891">
        <v>0</v>
      </c>
      <c r="AG891">
        <v>0</v>
      </c>
      <c r="AH891">
        <v>1</v>
      </c>
      <c r="AI891">
        <v>0</v>
      </c>
      <c r="AJ891">
        <v>0</v>
      </c>
      <c r="AK891">
        <v>0</v>
      </c>
      <c r="AL891">
        <v>0</v>
      </c>
      <c r="AM891">
        <v>0</v>
      </c>
      <c r="AN891">
        <v>0</v>
      </c>
      <c r="AO891">
        <v>0</v>
      </c>
      <c r="AP891">
        <v>0</v>
      </c>
      <c r="AQ891">
        <v>0</v>
      </c>
      <c r="AR891">
        <v>0</v>
      </c>
      <c r="AS891">
        <v>0</v>
      </c>
      <c r="AT891">
        <v>0</v>
      </c>
      <c r="AU891">
        <v>0</v>
      </c>
      <c r="AV891">
        <v>0</v>
      </c>
      <c r="AW891">
        <v>0</v>
      </c>
      <c r="AX891">
        <v>0</v>
      </c>
      <c r="AY891">
        <v>0</v>
      </c>
      <c r="AZ891" s="141">
        <f>COUNTIF(X891:AY891,"&lt;&gt;0")</f>
        <v>1</v>
      </c>
      <c r="BA891" s="141">
        <f>COUNTIF(X891:AN891,"&lt;&gt;0")</f>
        <v>1</v>
      </c>
      <c r="BB891">
        <f>COUNTIF(X891:AE891,"&lt;&gt;0")</f>
        <v>0</v>
      </c>
      <c r="BC891">
        <f>COUNTIF(AF891:AK891,"&lt;&gt;0")</f>
        <v>1</v>
      </c>
      <c r="BD891">
        <f>COUNTIF(AL891:AN891,"&lt;&gt;0")</f>
        <v>0</v>
      </c>
      <c r="BE891">
        <f>COUNTIF(AU891:AY891,"&lt;&gt;0")</f>
        <v>0</v>
      </c>
      <c r="BF891">
        <f>COUNTIF(AO891:AT891,"&lt;&gt;0")</f>
        <v>0</v>
      </c>
      <c r="BG891" t="str" cm="1">
        <f t="array" ref="BG891">IF(BA891=1,INDEX($X$7:$AN$7,MATCH(TRUE,INDEX($X891:$AY891&lt;&gt;0,),0)),IF(BA891=0,INDEX($AO$7:$AY$7,MATCH(1,$AO891:$AY891,0)),IF(BH891="Multiple strategies","mixed drivers",IF(BH891="Supply chain","multiple supply","multiple silviculture"))))</f>
        <v>supply chain organization</v>
      </c>
      <c r="BH891" s="2" t="str" cm="1">
        <f t="array" ref="BH891">IF(COUNTIF(BB891:BD891,"&lt;&gt;0")=1,INDEX($X$4:$AY$4,MATCH(TRUE,INDEX($X891:$AY891&lt;&gt;0,),0)),IF(COUNTIF(BB891:BD891,"&lt;&gt;0")=0,INDEX($AO$4:$AY$4,MATCH(1,$AO891:$AY891,0)),"Multiple strategies"))</f>
        <v>Supply chain</v>
      </c>
      <c r="BI891" s="1" t="s">
        <v>321</v>
      </c>
      <c r="BJ891" t="s">
        <v>2010</v>
      </c>
      <c r="BK891" s="317" t="s">
        <v>5059</v>
      </c>
      <c r="BL891" t="s">
        <v>1228</v>
      </c>
      <c r="BM891">
        <v>180</v>
      </c>
      <c r="BN891">
        <v>180</v>
      </c>
      <c r="BO891" s="317">
        <f>BN891/BM891</f>
        <v>1</v>
      </c>
      <c r="BP891">
        <f>BN891-BM891</f>
        <v>0</v>
      </c>
      <c r="BQ891">
        <f>BP891*10^6</f>
        <v>0</v>
      </c>
      <c r="BR891" s="317" t="s">
        <v>232</v>
      </c>
      <c r="BS891" s="317" t="s">
        <v>396</v>
      </c>
      <c r="BT891" t="s">
        <v>1018</v>
      </c>
      <c r="BU891">
        <f>-19</f>
        <v>-19</v>
      </c>
      <c r="BV891">
        <v>-24.3</v>
      </c>
      <c r="BW891" s="144">
        <v>0.46004842615012109</v>
      </c>
      <c r="BX891">
        <v>22.299999999999997</v>
      </c>
      <c r="BZ891">
        <f>BX891*10^6</f>
        <v>22299999.999999996</v>
      </c>
      <c r="CA891" t="str">
        <f>IFERROR(BZ891/BQ891,"")</f>
        <v/>
      </c>
      <c r="CB891">
        <v>0</v>
      </c>
      <c r="CC891">
        <v>0</v>
      </c>
      <c r="CD891">
        <v>0</v>
      </c>
      <c r="CE891">
        <v>0</v>
      </c>
      <c r="CF891">
        <v>0</v>
      </c>
      <c r="CG891">
        <v>0</v>
      </c>
      <c r="CH891">
        <v>0</v>
      </c>
      <c r="CI891">
        <v>0</v>
      </c>
      <c r="CJ891">
        <v>0</v>
      </c>
      <c r="CK891">
        <v>0</v>
      </c>
      <c r="CL891">
        <v>0</v>
      </c>
      <c r="CM891">
        <v>0</v>
      </c>
      <c r="CN891">
        <v>0</v>
      </c>
      <c r="CO891">
        <v>0</v>
      </c>
      <c r="CP891" t="str">
        <f>IF($BN891&lt;$BM891,"refNeedCorrection","refOK")</f>
        <v>refOK</v>
      </c>
      <c r="CQ891">
        <f>IF($CP891="refOK",$BM891,$BN891)</f>
        <v>180</v>
      </c>
      <c r="CR891">
        <f>IF($CP891="refOK",$BN891,$BM891)</f>
        <v>180</v>
      </c>
      <c r="CS891">
        <f>IF($CP891="refOK",$BQ891,-$BQ891)</f>
        <v>0</v>
      </c>
      <c r="CT891">
        <f>IF(BI891="Roundwood",$CS891/2,$CS891)</f>
        <v>0</v>
      </c>
      <c r="CU891">
        <f>IF($CP891="refOK",$BU891,$BV891)*IF($BR891="Emissions positive",-1,1)</f>
        <v>-19</v>
      </c>
      <c r="CV891">
        <f>IF($CP891="refOK",$BV891,$BU891)*IF($BR891="Emissions positive",-1,1)</f>
        <v>-24.3</v>
      </c>
      <c r="CW891">
        <f>IF($CP891="refNeedCorrection",-BZ891,BZ891)*IF($BR891="Emissions positive",-1,1)</f>
        <v>22299999.999999996</v>
      </c>
      <c r="CX891" t="str">
        <f>IFERROR($CW891/$CS891,"")</f>
        <v/>
      </c>
      <c r="CY891" t="str">
        <f>IFERROR($CW891/$CS891,"")</f>
        <v/>
      </c>
      <c r="CZ891" t="str">
        <f>IFERROR($CW891/$CT891,"")</f>
        <v/>
      </c>
      <c r="DA891" s="2">
        <f>IFERROR((CV891-CU891)/ABS(CU891),"")</f>
        <v>-0.27894736842105267</v>
      </c>
      <c r="DB891" s="1" t="s">
        <v>1078</v>
      </c>
      <c r="DC891" s="317" t="str">
        <f>IF(OR($DB891="prd",$DB891="std",$DB891="cit"),"loc",IF(OR($DB891="eur",$DB891="reg",$DB891="coy"),"reg",$DB891))</f>
        <v>reg</v>
      </c>
      <c r="DD891" t="s">
        <v>527</v>
      </c>
      <c r="DE891">
        <v>2012</v>
      </c>
      <c r="DF891">
        <v>2112</v>
      </c>
      <c r="DG891">
        <v>100</v>
      </c>
      <c r="DH891" t="str">
        <f>IF(DG891=0,"0",IF(AND(DG891&gt;=1,DG891&lt;=30),"1-30",IF(AND(DG891&gt;30,DG891&lt;=70),"31-70",IF(AND(DG891&gt;70,DG891&lt;=100),"71-100",IF(DG891&gt;100,"+100")))))</f>
        <v>71-100</v>
      </c>
      <c r="DI891">
        <v>0</v>
      </c>
      <c r="DJ891">
        <v>1</v>
      </c>
      <c r="DK891">
        <v>1</v>
      </c>
      <c r="DL891">
        <v>1</v>
      </c>
      <c r="DN891">
        <f>SUM(DI891:DL891)</f>
        <v>3</v>
      </c>
      <c r="DO891" t="str">
        <f>IF(DN891=1,INDEX($DI$7:$DL$7,MATCH(1,$DI891:$DL891,0)),"mixedProduct")</f>
        <v>mixedProduct</v>
      </c>
      <c r="DP891">
        <f>IF(DI891=1,DP$7,0)</f>
        <v>0</v>
      </c>
      <c r="DQ891" t="str">
        <f>IF(DJ891=1,DQ$7,0)</f>
        <v>Energy</v>
      </c>
      <c r="DR891" t="str">
        <f>IF(DK891=1,DR$7,0)</f>
        <v>Pulp/Paper</v>
      </c>
      <c r="DS891" t="str">
        <f>IF(DL891=1,DS$7,0)</f>
        <v>Timber</v>
      </c>
      <c r="DT891">
        <v>1</v>
      </c>
      <c r="DU891">
        <v>1</v>
      </c>
      <c r="DV891">
        <v>1</v>
      </c>
      <c r="DW891" t="s">
        <v>2011</v>
      </c>
      <c r="DY891">
        <f>SUM(DT891:DU891)</f>
        <v>2</v>
      </c>
      <c r="DZ891" s="143" t="str">
        <f>IF(DT891=1,"self-calculated DF",IF(DU891=1,"external DF used","explicit C balance"))</f>
        <v>self-calculated DF</v>
      </c>
      <c r="EA891">
        <v>0</v>
      </c>
      <c r="EB891">
        <v>0</v>
      </c>
      <c r="EC891">
        <v>0</v>
      </c>
      <c r="ED891">
        <v>1</v>
      </c>
      <c r="EE891">
        <v>1</v>
      </c>
      <c r="EF891">
        <v>1</v>
      </c>
      <c r="EG891">
        <v>0</v>
      </c>
      <c r="EH891">
        <v>1</v>
      </c>
      <c r="EI891">
        <v>0</v>
      </c>
      <c r="EJ891">
        <v>1</v>
      </c>
      <c r="EK891">
        <v>0</v>
      </c>
      <c r="EL891">
        <v>0</v>
      </c>
      <c r="EM891">
        <v>0</v>
      </c>
      <c r="EN891" s="2">
        <v>0</v>
      </c>
      <c r="EP891" t="str">
        <f>IF(AND(AND(AND(OR($EC891=1,$EB891=1),OR($EH891=1,$EF891=1)),SUM($EA891:$EE891,$EK891)&gt;=3),SUM($EF891:$EJ891)&gt;=2),"Whole sector approach","")</f>
        <v/>
      </c>
      <c r="EQ891" t="str">
        <f>IF(AND(AND(OR($EC891=1,$EB891=1),AND($EH891=0,$EF891=0)),SUM($EA891:$EE891,$EK891)&gt;=3),"Ecosystem approach","")</f>
        <v/>
      </c>
      <c r="ER891" s="2" t="str">
        <f>IF(AND(AND(AND($EC891=0,$EB891=0),OR($EH891=1,$EF891=1)),SUM($EG891:$EJ891)&gt;=2),"Technology approach","")</f>
        <v>Technology approach</v>
      </c>
      <c r="ES891" t="str">
        <f>IF(AND($EC891+$EB891+$EE891+$EA891+$ED891+$EG891=0,$N891="included"),"C neutral forest and HWP assumption","")</f>
        <v/>
      </c>
      <c r="ET891" t="str">
        <f>IF(AND(AND(AND(AND($EC891=1,$EB891+$EA891+$EG891&gt;=1),$EF891=1),$EH891+$EI891+$ED891+$EE891&gt;=2),$N891="included"),"All C pools assumption","")</f>
        <v/>
      </c>
      <c r="EU891" t="str">
        <f>IF(AND($ED891+$EE891+$EI891+$EH891+$EF891=0,$N891="included"),"In-situ only assumption","")</f>
        <v/>
      </c>
      <c r="EY891" t="b">
        <f>IF(ISNUMBER(BW891),IF(ABS(BW891-[4]QC_indicators!$B$2)&gt;3*[4]QC_indicators!$C$2,"C ratio",IF(ISNUMBER(CA891),IF(ABS(CA891-[4]QC_indicators!$B$1)&gt;3*[4]QC_indicators!$C$1,"DF","no"))),IF(ISNUMBER(CA891),IF(ABS(CA891-[4]QC_indicators!$B$1)&gt;3*[4]QC_indicators!$C$1,"DF","no")))</f>
        <v>0</v>
      </c>
      <c r="FA891" t="str">
        <f>IF(LEN($CY891)=0,"",IF(AND($CY891&lt;(-0.05),$ES891="C neutral forest and HWP assumption"),"Cneutral paradox",IF(AND($CY891&gt;0.05,$EU891="In-situ only assumption"),"In-situ only paradox","")))</f>
        <v/>
      </c>
      <c r="FB891" s="317" t="s">
        <v>2012</v>
      </c>
      <c r="FD891" t="s">
        <v>5060</v>
      </c>
    </row>
    <row r="892" spans="1:161" ht="15" hidden="1" customHeight="1">
      <c r="A892" s="1" t="s">
        <v>1654</v>
      </c>
      <c r="B892" t="s">
        <v>2003</v>
      </c>
      <c r="C892" t="s">
        <v>2004</v>
      </c>
      <c r="D892" t="s">
        <v>2005</v>
      </c>
      <c r="E892" t="s">
        <v>2006</v>
      </c>
      <c r="F892" t="s">
        <v>2007</v>
      </c>
      <c r="G892" t="s">
        <v>1660</v>
      </c>
      <c r="H892" t="s">
        <v>254</v>
      </c>
      <c r="I892">
        <v>2013</v>
      </c>
      <c r="J892">
        <v>49</v>
      </c>
      <c r="K892" t="s">
        <v>2008</v>
      </c>
      <c r="M892" t="str">
        <f>LEFT($D892,FIND(",",$D892)-1)&amp;"_"&amp;I892&amp;L892</f>
        <v>Sikkema_2013</v>
      </c>
      <c r="N892" t="s">
        <v>222</v>
      </c>
      <c r="O892" s="145" t="s">
        <v>341</v>
      </c>
      <c r="Q892" s="317" t="s">
        <v>256</v>
      </c>
      <c r="R892" s="318" t="s">
        <v>1029</v>
      </c>
      <c r="S892" s="1" t="s">
        <v>2019</v>
      </c>
      <c r="T892" t="s">
        <v>2019</v>
      </c>
      <c r="U892" t="s">
        <v>2015</v>
      </c>
      <c r="V892" s="253">
        <v>0</v>
      </c>
      <c r="W892" s="253">
        <v>0</v>
      </c>
      <c r="X892">
        <v>0</v>
      </c>
      <c r="Y892">
        <v>0</v>
      </c>
      <c r="Z892">
        <v>0</v>
      </c>
      <c r="AA892">
        <v>0</v>
      </c>
      <c r="AB892">
        <v>0</v>
      </c>
      <c r="AC892">
        <v>0</v>
      </c>
      <c r="AD892">
        <v>0</v>
      </c>
      <c r="AE892">
        <v>0</v>
      </c>
      <c r="AF892">
        <v>0</v>
      </c>
      <c r="AG892">
        <v>0</v>
      </c>
      <c r="AH892">
        <v>1</v>
      </c>
      <c r="AI892">
        <v>0</v>
      </c>
      <c r="AJ892">
        <v>0</v>
      </c>
      <c r="AK892">
        <v>0</v>
      </c>
      <c r="AL892">
        <v>0</v>
      </c>
      <c r="AM892">
        <v>0</v>
      </c>
      <c r="AN892">
        <v>0</v>
      </c>
      <c r="AO892">
        <v>0</v>
      </c>
      <c r="AP892">
        <v>0</v>
      </c>
      <c r="AQ892">
        <v>0</v>
      </c>
      <c r="AR892">
        <v>0</v>
      </c>
      <c r="AS892">
        <v>0</v>
      </c>
      <c r="AT892">
        <v>0</v>
      </c>
      <c r="AU892">
        <v>0</v>
      </c>
      <c r="AV892">
        <v>0</v>
      </c>
      <c r="AW892">
        <v>0</v>
      </c>
      <c r="AX892">
        <v>0</v>
      </c>
      <c r="AY892">
        <v>0</v>
      </c>
      <c r="AZ892" s="141">
        <f>COUNTIF(X892:AY892,"&lt;&gt;0")</f>
        <v>1</v>
      </c>
      <c r="BA892" s="141">
        <f>COUNTIF(X892:AN892,"&lt;&gt;0")</f>
        <v>1</v>
      </c>
      <c r="BB892">
        <f>COUNTIF(X892:AE892,"&lt;&gt;0")</f>
        <v>0</v>
      </c>
      <c r="BC892">
        <f>COUNTIF(AF892:AK892,"&lt;&gt;0")</f>
        <v>1</v>
      </c>
      <c r="BD892">
        <f>COUNTIF(AL892:AN892,"&lt;&gt;0")</f>
        <v>0</v>
      </c>
      <c r="BE892">
        <f>COUNTIF(AU892:AY892,"&lt;&gt;0")</f>
        <v>0</v>
      </c>
      <c r="BF892">
        <f>COUNTIF(AO892:AT892,"&lt;&gt;0")</f>
        <v>0</v>
      </c>
      <c r="BG892" t="str" cm="1">
        <f t="array" ref="BG892">IF(BA892=1,INDEX($X$7:$AN$7,MATCH(TRUE,INDEX($X892:$AY892&lt;&gt;0,),0)),IF(BA892=0,INDEX($AO$7:$AY$7,MATCH(1,$AO892:$AY892,0)),IF(BH892="Multiple strategies","mixed drivers",IF(BH892="Supply chain","multiple supply","multiple silviculture"))))</f>
        <v>supply chain organization</v>
      </c>
      <c r="BH892" s="2" t="str" cm="1">
        <f t="array" ref="BH892">IF(COUNTIF(BB892:BD892,"&lt;&gt;0")=1,INDEX($X$4:$AY$4,MATCH(TRUE,INDEX($X892:$AY892&lt;&gt;0,),0)),IF(COUNTIF(BB892:BD892,"&lt;&gt;0")=0,INDEX($AO$4:$AY$4,MATCH(1,$AO892:$AY892,0)),"Multiple strategies"))</f>
        <v>Supply chain</v>
      </c>
      <c r="BI892" s="1" t="s">
        <v>321</v>
      </c>
      <c r="BJ892" t="s">
        <v>2010</v>
      </c>
      <c r="BK892" s="317" t="s">
        <v>5059</v>
      </c>
      <c r="BL892" t="s">
        <v>1228</v>
      </c>
      <c r="BM892">
        <v>180</v>
      </c>
      <c r="BN892">
        <v>180</v>
      </c>
      <c r="BO892" s="317">
        <f>BN892/BM892</f>
        <v>1</v>
      </c>
      <c r="BP892">
        <f>BN892-BM892</f>
        <v>0</v>
      </c>
      <c r="BQ892">
        <f>BP892*10^6</f>
        <v>0</v>
      </c>
      <c r="BR892" s="317" t="s">
        <v>232</v>
      </c>
      <c r="BS892" s="317" t="s">
        <v>396</v>
      </c>
      <c r="BT892" t="s">
        <v>1018</v>
      </c>
      <c r="BU892">
        <v>-19.5</v>
      </c>
      <c r="BV892">
        <f>-20.9</f>
        <v>-20.9</v>
      </c>
      <c r="BW892" s="144">
        <v>0.44552058111380144</v>
      </c>
      <c r="BX892">
        <v>22.9</v>
      </c>
      <c r="BZ892">
        <f>BX892*10^6</f>
        <v>22900000</v>
      </c>
      <c r="CA892" t="str">
        <f>IFERROR(BZ892/BQ892,"")</f>
        <v/>
      </c>
      <c r="CB892">
        <v>0</v>
      </c>
      <c r="CC892">
        <v>0</v>
      </c>
      <c r="CD892">
        <v>0</v>
      </c>
      <c r="CE892">
        <v>0</v>
      </c>
      <c r="CF892">
        <v>0</v>
      </c>
      <c r="CG892">
        <v>0</v>
      </c>
      <c r="CH892">
        <v>0</v>
      </c>
      <c r="CI892">
        <v>0</v>
      </c>
      <c r="CJ892">
        <v>0</v>
      </c>
      <c r="CK892">
        <v>0</v>
      </c>
      <c r="CL892">
        <v>0</v>
      </c>
      <c r="CM892">
        <v>0</v>
      </c>
      <c r="CN892">
        <v>0</v>
      </c>
      <c r="CO892">
        <v>0</v>
      </c>
      <c r="CP892" t="str">
        <f>IF($BN892&lt;$BM892,"refNeedCorrection","refOK")</f>
        <v>refOK</v>
      </c>
      <c r="CQ892">
        <f>IF($CP892="refOK",$BM892,$BN892)</f>
        <v>180</v>
      </c>
      <c r="CR892">
        <f>IF($CP892="refOK",$BN892,$BM892)</f>
        <v>180</v>
      </c>
      <c r="CS892">
        <f>IF($CP892="refOK",$BQ892,-$BQ892)</f>
        <v>0</v>
      </c>
      <c r="CT892">
        <f>IF(BI892="Roundwood",$CS892/2,$CS892)</f>
        <v>0</v>
      </c>
      <c r="CU892">
        <f>IF($CP892="refOK",$BU892,$BV892)*IF($BR892="Emissions positive",-1,1)</f>
        <v>-19.5</v>
      </c>
      <c r="CV892">
        <f>IF($CP892="refOK",$BV892,$BU892)*IF($BR892="Emissions positive",-1,1)</f>
        <v>-20.9</v>
      </c>
      <c r="CW892">
        <f>IF($CP892="refNeedCorrection",-BZ892,BZ892)*IF($BR892="Emissions positive",-1,1)</f>
        <v>22900000</v>
      </c>
      <c r="CX892" t="str">
        <f>IFERROR($CW892/$CS892,"")</f>
        <v/>
      </c>
      <c r="CY892" t="str">
        <f>IFERROR($CW892/$CS892,"")</f>
        <v/>
      </c>
      <c r="CZ892" t="str">
        <f>IFERROR($CW892/$CT892,"")</f>
        <v/>
      </c>
      <c r="DA892" s="2">
        <f>IFERROR((CV892-CU892)/ABS(CU892),"")</f>
        <v>-7.179487179487172E-2</v>
      </c>
      <c r="DB892" s="1" t="s">
        <v>1078</v>
      </c>
      <c r="DC892" s="317" t="str">
        <f>IF(OR($DB892="prd",$DB892="std",$DB892="cit"),"loc",IF(OR($DB892="eur",$DB892="reg",$DB892="coy"),"reg",$DB892))</f>
        <v>reg</v>
      </c>
      <c r="DD892" t="s">
        <v>527</v>
      </c>
      <c r="DE892">
        <v>2012</v>
      </c>
      <c r="DF892">
        <v>2112</v>
      </c>
      <c r="DG892">
        <v>100</v>
      </c>
      <c r="DH892" t="str">
        <f>IF(DG892=0,"0",IF(AND(DG892&gt;=1,DG892&lt;=30),"1-30",IF(AND(DG892&gt;30,DG892&lt;=70),"31-70",IF(AND(DG892&gt;70,DG892&lt;=100),"71-100",IF(DG892&gt;100,"+100")))))</f>
        <v>71-100</v>
      </c>
      <c r="DI892">
        <v>0</v>
      </c>
      <c r="DJ892">
        <v>1</v>
      </c>
      <c r="DK892">
        <v>1</v>
      </c>
      <c r="DL892">
        <v>1</v>
      </c>
      <c r="DN892">
        <f>SUM(DI892:DL892)</f>
        <v>3</v>
      </c>
      <c r="DO892" t="str">
        <f>IF(DN892=1,INDEX($DI$7:$DL$7,MATCH(1,$DI892:$DL892,0)),"mixedProduct")</f>
        <v>mixedProduct</v>
      </c>
      <c r="DP892">
        <f>IF(DI892=1,DP$7,0)</f>
        <v>0</v>
      </c>
      <c r="DQ892" t="str">
        <f>IF(DJ892=1,DQ$7,0)</f>
        <v>Energy</v>
      </c>
      <c r="DR892" t="str">
        <f>IF(DK892=1,DR$7,0)</f>
        <v>Pulp/Paper</v>
      </c>
      <c r="DS892" t="str">
        <f>IF(DL892=1,DS$7,0)</f>
        <v>Timber</v>
      </c>
      <c r="DT892">
        <v>1</v>
      </c>
      <c r="DU892">
        <v>1</v>
      </c>
      <c r="DV892">
        <v>1</v>
      </c>
      <c r="DW892" t="s">
        <v>2011</v>
      </c>
      <c r="DY892">
        <f>SUM(DT892:DU892)</f>
        <v>2</v>
      </c>
      <c r="DZ892" s="143" t="str">
        <f>IF(DT892=1,"self-calculated DF",IF(DU892=1,"external DF used","explicit C balance"))</f>
        <v>self-calculated DF</v>
      </c>
      <c r="EA892">
        <v>0</v>
      </c>
      <c r="EB892">
        <v>0</v>
      </c>
      <c r="EC892">
        <v>0</v>
      </c>
      <c r="ED892">
        <v>1</v>
      </c>
      <c r="EE892">
        <v>1</v>
      </c>
      <c r="EF892">
        <v>1</v>
      </c>
      <c r="EG892">
        <v>0</v>
      </c>
      <c r="EH892">
        <v>1</v>
      </c>
      <c r="EI892">
        <v>0</v>
      </c>
      <c r="EJ892">
        <v>1</v>
      </c>
      <c r="EK892">
        <v>0</v>
      </c>
      <c r="EL892">
        <v>0</v>
      </c>
      <c r="EM892">
        <v>0</v>
      </c>
      <c r="EN892" s="2">
        <v>0</v>
      </c>
      <c r="EP892" t="str">
        <f>IF(AND(AND(AND(OR($EC892=1,$EB892=1),OR($EH892=1,$EF892=1)),SUM($EA892:$EE892,$EK892)&gt;=3),SUM($EF892:$EJ892)&gt;=2),"Whole sector approach","")</f>
        <v/>
      </c>
      <c r="EQ892" t="str">
        <f>IF(AND(AND(OR($EC892=1,$EB892=1),AND($EH892=0,$EF892=0)),SUM($EA892:$EE892,$EK892)&gt;=3),"Ecosystem approach","")</f>
        <v/>
      </c>
      <c r="ER892" s="2" t="str">
        <f>IF(AND(AND(AND($EC892=0,$EB892=0),OR($EH892=1,$EF892=1)),SUM($EG892:$EJ892)&gt;=2),"Technology approach","")</f>
        <v>Technology approach</v>
      </c>
      <c r="ES892" t="str">
        <f>IF(AND($EC892+$EB892+$EE892+$EA892+$ED892+$EG892=0,$N892="included"),"C neutral forest and HWP assumption","")</f>
        <v/>
      </c>
      <c r="ET892" t="str">
        <f>IF(AND(AND(AND(AND($EC892=1,$EB892+$EA892+$EG892&gt;=1),$EF892=1),$EH892+$EI892+$ED892+$EE892&gt;=2),$N892="included"),"All C pools assumption","")</f>
        <v/>
      </c>
      <c r="EU892" t="str">
        <f>IF(AND($ED892+$EE892+$EI892+$EH892+$EF892=0,$N892="included"),"In-situ only assumption","")</f>
        <v/>
      </c>
      <c r="EY892" t="b">
        <f>IF(ISNUMBER(BW892),IF(ABS(BW892-[4]QC_indicators!$B$2)&gt;3*[4]QC_indicators!$C$2,"C ratio",IF(ISNUMBER(CA892),IF(ABS(CA892-[4]QC_indicators!$B$1)&gt;3*[4]QC_indicators!$C$1,"DF","no"))),IF(ISNUMBER(CA892),IF(ABS(CA892-[4]QC_indicators!$B$1)&gt;3*[4]QC_indicators!$C$1,"DF","no")))</f>
        <v>0</v>
      </c>
      <c r="FA892" t="str">
        <f>IF(LEN($CY892)=0,"",IF(AND($CY892&lt;(-0.05),$ES892="C neutral forest and HWP assumption"),"Cneutral paradox",IF(AND($CY892&gt;0.05,$EU892="In-situ only assumption"),"In-situ only paradox","")))</f>
        <v/>
      </c>
      <c r="FB892" s="317" t="s">
        <v>2012</v>
      </c>
      <c r="FD892" t="s">
        <v>5060</v>
      </c>
    </row>
    <row r="893" spans="1:161" ht="15" hidden="1" customHeight="1">
      <c r="A893" s="1" t="s">
        <v>1654</v>
      </c>
      <c r="B893" t="s">
        <v>2003</v>
      </c>
      <c r="C893" t="s">
        <v>2004</v>
      </c>
      <c r="D893" t="s">
        <v>2005</v>
      </c>
      <c r="E893" t="s">
        <v>2006</v>
      </c>
      <c r="F893" t="s">
        <v>2007</v>
      </c>
      <c r="G893" t="s">
        <v>1660</v>
      </c>
      <c r="H893" t="s">
        <v>254</v>
      </c>
      <c r="I893">
        <v>2013</v>
      </c>
      <c r="J893">
        <v>49</v>
      </c>
      <c r="K893" t="s">
        <v>2008</v>
      </c>
      <c r="M893" t="str">
        <f>LEFT($D893,FIND(",",$D893)-1)&amp;"_"&amp;I893&amp;L893</f>
        <v>Sikkema_2013</v>
      </c>
      <c r="N893" t="s">
        <v>222</v>
      </c>
      <c r="O893" s="145" t="s">
        <v>341</v>
      </c>
      <c r="Q893" s="317" t="s">
        <v>256</v>
      </c>
      <c r="R893" s="318" t="s">
        <v>1029</v>
      </c>
      <c r="S893" s="1" t="s">
        <v>2016</v>
      </c>
      <c r="T893" t="s">
        <v>2016</v>
      </c>
      <c r="U893" t="s">
        <v>2014</v>
      </c>
      <c r="V893" s="253">
        <v>0</v>
      </c>
      <c r="W893" s="253">
        <v>0</v>
      </c>
      <c r="X893">
        <v>0</v>
      </c>
      <c r="Y893">
        <v>0</v>
      </c>
      <c r="Z893">
        <v>0</v>
      </c>
      <c r="AA893">
        <v>0</v>
      </c>
      <c r="AB893">
        <v>0</v>
      </c>
      <c r="AC893">
        <v>0</v>
      </c>
      <c r="AD893">
        <v>0</v>
      </c>
      <c r="AE893">
        <v>0</v>
      </c>
      <c r="AF893">
        <v>0</v>
      </c>
      <c r="AG893">
        <v>0</v>
      </c>
      <c r="AH893">
        <v>1</v>
      </c>
      <c r="AI893">
        <v>0</v>
      </c>
      <c r="AJ893">
        <v>0</v>
      </c>
      <c r="AK893">
        <v>0</v>
      </c>
      <c r="AL893">
        <v>0</v>
      </c>
      <c r="AM893">
        <v>0</v>
      </c>
      <c r="AN893">
        <v>0</v>
      </c>
      <c r="AO893">
        <v>0</v>
      </c>
      <c r="AP893">
        <v>0</v>
      </c>
      <c r="AQ893">
        <v>0</v>
      </c>
      <c r="AR893">
        <v>0</v>
      </c>
      <c r="AS893">
        <v>0</v>
      </c>
      <c r="AT893">
        <v>0</v>
      </c>
      <c r="AU893">
        <v>0</v>
      </c>
      <c r="AV893">
        <v>0</v>
      </c>
      <c r="AW893">
        <v>0</v>
      </c>
      <c r="AX893">
        <v>0</v>
      </c>
      <c r="AY893">
        <v>0</v>
      </c>
      <c r="AZ893" s="141">
        <f>COUNTIF(X893:AY893,"&lt;&gt;0")</f>
        <v>1</v>
      </c>
      <c r="BA893" s="141">
        <f>COUNTIF(X893:AN893,"&lt;&gt;0")</f>
        <v>1</v>
      </c>
      <c r="BB893">
        <f>COUNTIF(X893:AE893,"&lt;&gt;0")</f>
        <v>0</v>
      </c>
      <c r="BC893">
        <f>COUNTIF(AF893:AK893,"&lt;&gt;0")</f>
        <v>1</v>
      </c>
      <c r="BD893">
        <f>COUNTIF(AL893:AN893,"&lt;&gt;0")</f>
        <v>0</v>
      </c>
      <c r="BE893">
        <f>COUNTIF(AU893:AY893,"&lt;&gt;0")</f>
        <v>0</v>
      </c>
      <c r="BF893">
        <f>COUNTIF(AO893:AT893,"&lt;&gt;0")</f>
        <v>0</v>
      </c>
      <c r="BG893" t="str" cm="1">
        <f t="array" ref="BG893">IF(BA893=1,INDEX($X$7:$AN$7,MATCH(TRUE,INDEX($X893:$AY893&lt;&gt;0,),0)),IF(BA893=0,INDEX($AO$7:$AY$7,MATCH(1,$AO893:$AY893,0)),IF(BH893="Multiple strategies","mixed drivers",IF(BH893="Supply chain","multiple supply","multiple silviculture"))))</f>
        <v>supply chain organization</v>
      </c>
      <c r="BH893" s="2" t="str" cm="1">
        <f t="array" ref="BH893">IF(COUNTIF(BB893:BD893,"&lt;&gt;0")=1,INDEX($X$4:$AY$4,MATCH(TRUE,INDEX($X893:$AY893&lt;&gt;0,),0)),IF(COUNTIF(BB893:BD893,"&lt;&gt;0")=0,INDEX($AO$4:$AY$4,MATCH(1,$AO893:$AY893,0)),"Multiple strategies"))</f>
        <v>Supply chain</v>
      </c>
      <c r="BI893" s="1" t="s">
        <v>321</v>
      </c>
      <c r="BJ893" t="s">
        <v>2010</v>
      </c>
      <c r="BK893" s="317" t="s">
        <v>5059</v>
      </c>
      <c r="BL893" t="s">
        <v>1228</v>
      </c>
      <c r="BM893">
        <v>180</v>
      </c>
      <c r="BN893">
        <v>180</v>
      </c>
      <c r="BO893" s="317">
        <f>BN893/BM893</f>
        <v>1</v>
      </c>
      <c r="BP893">
        <f>BN893-BM893</f>
        <v>0</v>
      </c>
      <c r="BQ893">
        <f>BP893*10^6</f>
        <v>0</v>
      </c>
      <c r="BR893" s="317" t="s">
        <v>232</v>
      </c>
      <c r="BS893" s="317" t="s">
        <v>396</v>
      </c>
      <c r="BT893" t="s">
        <v>1018</v>
      </c>
      <c r="BU893">
        <v>-18.399999999999999</v>
      </c>
      <c r="BV893">
        <v>-19.7</v>
      </c>
      <c r="BW893" s="144">
        <v>0.47215496368038745</v>
      </c>
      <c r="BX893">
        <v>21.799999999999997</v>
      </c>
      <c r="BZ893">
        <f>BX893*10^6</f>
        <v>21799999.999999996</v>
      </c>
      <c r="CA893" t="str">
        <f>IFERROR(BZ893/BQ893,"")</f>
        <v/>
      </c>
      <c r="CB893">
        <v>0</v>
      </c>
      <c r="CC893">
        <v>0</v>
      </c>
      <c r="CD893">
        <v>0</v>
      </c>
      <c r="CE893">
        <v>0</v>
      </c>
      <c r="CF893">
        <v>0</v>
      </c>
      <c r="CG893">
        <v>0</v>
      </c>
      <c r="CH893">
        <v>0</v>
      </c>
      <c r="CI893">
        <v>0</v>
      </c>
      <c r="CJ893">
        <v>0</v>
      </c>
      <c r="CK893">
        <v>0</v>
      </c>
      <c r="CL893">
        <v>0</v>
      </c>
      <c r="CM893">
        <v>0</v>
      </c>
      <c r="CN893">
        <v>0</v>
      </c>
      <c r="CO893">
        <v>0</v>
      </c>
      <c r="CP893" t="str">
        <f>IF($BN893&lt;$BM893,"refNeedCorrection","refOK")</f>
        <v>refOK</v>
      </c>
      <c r="CQ893">
        <f>IF($CP893="refOK",$BM893,$BN893)</f>
        <v>180</v>
      </c>
      <c r="CR893">
        <f>IF($CP893="refOK",$BN893,$BM893)</f>
        <v>180</v>
      </c>
      <c r="CS893">
        <f>IF($CP893="refOK",$BQ893,-$BQ893)</f>
        <v>0</v>
      </c>
      <c r="CT893">
        <f>IF(BI893="Roundwood",$CS893/2,$CS893)</f>
        <v>0</v>
      </c>
      <c r="CU893">
        <f>IF($CP893="refOK",$BU893,$BV893)*IF($BR893="Emissions positive",-1,1)</f>
        <v>-18.399999999999999</v>
      </c>
      <c r="CV893">
        <f>IF($CP893="refOK",$BV893,$BU893)*IF($BR893="Emissions positive",-1,1)</f>
        <v>-19.7</v>
      </c>
      <c r="CW893">
        <f>IF($CP893="refNeedCorrection",-BZ893,BZ893)*IF($BR893="Emissions positive",-1,1)</f>
        <v>21799999.999999996</v>
      </c>
      <c r="CX893" t="str">
        <f>IFERROR($CW893/$CS893,"")</f>
        <v/>
      </c>
      <c r="CY893" t="str">
        <f>IFERROR($CW893/$CS893,"")</f>
        <v/>
      </c>
      <c r="CZ893" t="str">
        <f>IFERROR($CW893/$CT893,"")</f>
        <v/>
      </c>
      <c r="DA893" s="2">
        <f>IFERROR((CV893-CU893)/ABS(CU893),"")</f>
        <v>-7.0652173913043528E-2</v>
      </c>
      <c r="DB893" s="1" t="s">
        <v>1078</v>
      </c>
      <c r="DC893" s="317" t="str">
        <f>IF(OR($DB893="prd",$DB893="std",$DB893="cit"),"loc",IF(OR($DB893="eur",$DB893="reg",$DB893="coy"),"reg",$DB893))</f>
        <v>reg</v>
      </c>
      <c r="DD893" t="s">
        <v>527</v>
      </c>
      <c r="DE893">
        <v>2012</v>
      </c>
      <c r="DF893">
        <v>2112</v>
      </c>
      <c r="DG893">
        <v>100</v>
      </c>
      <c r="DH893" t="str">
        <f>IF(DG893=0,"0",IF(AND(DG893&gt;=1,DG893&lt;=30),"1-30",IF(AND(DG893&gt;30,DG893&lt;=70),"31-70",IF(AND(DG893&gt;70,DG893&lt;=100),"71-100",IF(DG893&gt;100,"+100")))))</f>
        <v>71-100</v>
      </c>
      <c r="DI893">
        <v>0</v>
      </c>
      <c r="DJ893">
        <v>1</v>
      </c>
      <c r="DK893">
        <v>1</v>
      </c>
      <c r="DL893">
        <v>1</v>
      </c>
      <c r="DN893">
        <f>SUM(DI893:DL893)</f>
        <v>3</v>
      </c>
      <c r="DO893" t="str">
        <f>IF(DN893=1,INDEX($DI$7:$DL$7,MATCH(1,$DI893:$DL893,0)),"mixedProduct")</f>
        <v>mixedProduct</v>
      </c>
      <c r="DP893">
        <f>IF(DI893=1,DP$7,0)</f>
        <v>0</v>
      </c>
      <c r="DQ893" t="str">
        <f>IF(DJ893=1,DQ$7,0)</f>
        <v>Energy</v>
      </c>
      <c r="DR893" t="str">
        <f>IF(DK893=1,DR$7,0)</f>
        <v>Pulp/Paper</v>
      </c>
      <c r="DS893" t="str">
        <f>IF(DL893=1,DS$7,0)</f>
        <v>Timber</v>
      </c>
      <c r="DT893">
        <v>1</v>
      </c>
      <c r="DU893">
        <v>1</v>
      </c>
      <c r="DV893">
        <v>1</v>
      </c>
      <c r="DW893" t="s">
        <v>2011</v>
      </c>
      <c r="DY893">
        <f>SUM(DT893:DU893)</f>
        <v>2</v>
      </c>
      <c r="DZ893" s="143" t="str">
        <f>IF(DT893=1,"self-calculated DF",IF(DU893=1,"external DF used","explicit C balance"))</f>
        <v>self-calculated DF</v>
      </c>
      <c r="EA893">
        <v>0</v>
      </c>
      <c r="EB893">
        <v>0</v>
      </c>
      <c r="EC893">
        <v>0</v>
      </c>
      <c r="ED893">
        <v>1</v>
      </c>
      <c r="EE893">
        <v>1</v>
      </c>
      <c r="EF893">
        <v>1</v>
      </c>
      <c r="EG893">
        <v>0</v>
      </c>
      <c r="EH893">
        <v>1</v>
      </c>
      <c r="EI893">
        <v>0</v>
      </c>
      <c r="EJ893">
        <v>1</v>
      </c>
      <c r="EK893">
        <v>0</v>
      </c>
      <c r="EL893">
        <v>0</v>
      </c>
      <c r="EM893">
        <v>0</v>
      </c>
      <c r="EN893" s="2">
        <v>0</v>
      </c>
      <c r="EP893" t="str">
        <f>IF(AND(AND(AND(OR($EC893=1,$EB893=1),OR($EH893=1,$EF893=1)),SUM($EA893:$EE893,$EK893)&gt;=3),SUM($EF893:$EJ893)&gt;=2),"Whole sector approach","")</f>
        <v/>
      </c>
      <c r="EQ893" t="str">
        <f>IF(AND(AND(OR($EC893=1,$EB893=1),AND($EH893=0,$EF893=0)),SUM($EA893:$EE893,$EK893)&gt;=3),"Ecosystem approach","")</f>
        <v/>
      </c>
      <c r="ER893" s="2" t="str">
        <f>IF(AND(AND(AND($EC893=0,$EB893=0),OR($EH893=1,$EF893=1)),SUM($EG893:$EJ893)&gt;=2),"Technology approach","")</f>
        <v>Technology approach</v>
      </c>
      <c r="ES893" t="str">
        <f>IF(AND($EC893+$EB893+$EE893+$EA893+$ED893+$EG893=0,$N893="included"),"C neutral forest and HWP assumption","")</f>
        <v/>
      </c>
      <c r="ET893" t="str">
        <f>IF(AND(AND(AND(AND($EC893=1,$EB893+$EA893+$EG893&gt;=1),$EF893=1),$EH893+$EI893+$ED893+$EE893&gt;=2),$N893="included"),"All C pools assumption","")</f>
        <v/>
      </c>
      <c r="EU893" t="str">
        <f>IF(AND($ED893+$EE893+$EI893+$EH893+$EF893=0,$N893="included"),"In-situ only assumption","")</f>
        <v/>
      </c>
      <c r="EY893" t="b">
        <f>IF(ISNUMBER(BW893),IF(ABS(BW893-[4]QC_indicators!$B$2)&gt;3*[4]QC_indicators!$C$2,"C ratio",IF(ISNUMBER(CA893),IF(ABS(CA893-[4]QC_indicators!$B$1)&gt;3*[4]QC_indicators!$C$1,"DF","no"))),IF(ISNUMBER(CA893),IF(ABS(CA893-[4]QC_indicators!$B$1)&gt;3*[4]QC_indicators!$C$1,"DF","no")))</f>
        <v>0</v>
      </c>
      <c r="FA893" t="str">
        <f>IF(LEN($CY893)=0,"",IF(AND($CY893&lt;(-0.05),$ES893="C neutral forest and HWP assumption"),"Cneutral paradox",IF(AND($CY893&gt;0.05,$EU893="In-situ only assumption"),"In-situ only paradox","")))</f>
        <v/>
      </c>
      <c r="FB893" s="317" t="s">
        <v>2012</v>
      </c>
      <c r="FD893" t="s">
        <v>5060</v>
      </c>
    </row>
    <row r="894" spans="1:161" ht="15" hidden="1" customHeight="1">
      <c r="A894" s="1" t="s">
        <v>1654</v>
      </c>
      <c r="B894" t="s">
        <v>2003</v>
      </c>
      <c r="C894" t="s">
        <v>2004</v>
      </c>
      <c r="D894" t="s">
        <v>2005</v>
      </c>
      <c r="E894" t="s">
        <v>2006</v>
      </c>
      <c r="F894" t="s">
        <v>2007</v>
      </c>
      <c r="G894" t="s">
        <v>1660</v>
      </c>
      <c r="H894" t="s">
        <v>254</v>
      </c>
      <c r="I894">
        <v>2013</v>
      </c>
      <c r="J894">
        <v>49</v>
      </c>
      <c r="K894" t="s">
        <v>2008</v>
      </c>
      <c r="M894" t="str">
        <f>LEFT($D894,FIND(",",$D894)-1)&amp;"_"&amp;I894&amp;L894</f>
        <v>Sikkema_2013</v>
      </c>
      <c r="N894" t="s">
        <v>222</v>
      </c>
      <c r="O894" s="145" t="s">
        <v>341</v>
      </c>
      <c r="Q894" s="317" t="s">
        <v>256</v>
      </c>
      <c r="R894" s="318" t="s">
        <v>1029</v>
      </c>
      <c r="S894" s="1" t="s">
        <v>2015</v>
      </c>
      <c r="T894" t="s">
        <v>2013</v>
      </c>
      <c r="U894" t="s">
        <v>2015</v>
      </c>
      <c r="V894" s="253">
        <v>0</v>
      </c>
      <c r="W894" s="253">
        <v>0</v>
      </c>
      <c r="X894">
        <v>0</v>
      </c>
      <c r="Y894">
        <v>0</v>
      </c>
      <c r="Z894">
        <v>0</v>
      </c>
      <c r="AA894">
        <v>0</v>
      </c>
      <c r="AB894">
        <v>0</v>
      </c>
      <c r="AC894">
        <v>0</v>
      </c>
      <c r="AD894">
        <v>0</v>
      </c>
      <c r="AE894">
        <v>0</v>
      </c>
      <c r="AF894">
        <v>0</v>
      </c>
      <c r="AG894">
        <v>0</v>
      </c>
      <c r="AH894">
        <v>0</v>
      </c>
      <c r="AI894">
        <v>1</v>
      </c>
      <c r="AJ894">
        <v>0</v>
      </c>
      <c r="AK894">
        <v>0</v>
      </c>
      <c r="AL894">
        <v>0</v>
      </c>
      <c r="AM894">
        <v>0</v>
      </c>
      <c r="AN894">
        <v>0</v>
      </c>
      <c r="AO894">
        <v>0</v>
      </c>
      <c r="AP894">
        <v>0</v>
      </c>
      <c r="AQ894">
        <v>0</v>
      </c>
      <c r="AR894">
        <v>0</v>
      </c>
      <c r="AS894">
        <v>0</v>
      </c>
      <c r="AT894">
        <v>0</v>
      </c>
      <c r="AU894">
        <v>0</v>
      </c>
      <c r="AV894">
        <v>0</v>
      </c>
      <c r="AW894">
        <v>0</v>
      </c>
      <c r="AX894">
        <v>0</v>
      </c>
      <c r="AY894">
        <v>0</v>
      </c>
      <c r="AZ894" s="141">
        <f>COUNTIF(X894:AY894,"&lt;&gt;0")</f>
        <v>1</v>
      </c>
      <c r="BA894" s="141">
        <f>COUNTIF(X894:AN894,"&lt;&gt;0")</f>
        <v>1</v>
      </c>
      <c r="BB894">
        <f>COUNTIF(X894:AE894,"&lt;&gt;0")</f>
        <v>0</v>
      </c>
      <c r="BC894">
        <f>COUNTIF(AF894:AK894,"&lt;&gt;0")</f>
        <v>1</v>
      </c>
      <c r="BD894">
        <f>COUNTIF(AL894:AN894,"&lt;&gt;0")</f>
        <v>0</v>
      </c>
      <c r="BE894">
        <f>COUNTIF(AU894:AY894,"&lt;&gt;0")</f>
        <v>0</v>
      </c>
      <c r="BF894">
        <f>COUNTIF(AO894:AT894,"&lt;&gt;0")</f>
        <v>0</v>
      </c>
      <c r="BG894" t="str" cm="1">
        <f t="array" ref="BG894">IF(BA894=1,INDEX($X$7:$AN$7,MATCH(TRUE,INDEX($X894:$AY894&lt;&gt;0,),0)),IF(BA894=0,INDEX($AO$7:$AY$7,MATCH(1,$AO894:$AY894,0)),IF(BH894="Multiple strategies","mixed drivers",IF(BH894="Supply chain","multiple supply","multiple silviculture"))))</f>
        <v>recycling</v>
      </c>
      <c r="BH894" s="2" t="str" cm="1">
        <f t="array" ref="BH894">IF(COUNTIF(BB894:BD894,"&lt;&gt;0")=1,INDEX($X$4:$AY$4,MATCH(TRUE,INDEX($X894:$AY894&lt;&gt;0,),0)),IF(COUNTIF(BB894:BD894,"&lt;&gt;0")=0,INDEX($AO$4:$AY$4,MATCH(1,$AO894:$AY894,0)),"Multiple strategies"))</f>
        <v>Supply chain</v>
      </c>
      <c r="BI894" s="1" t="s">
        <v>321</v>
      </c>
      <c r="BJ894" t="s">
        <v>2010</v>
      </c>
      <c r="BK894" s="317" t="s">
        <v>5059</v>
      </c>
      <c r="BL894" t="s">
        <v>1228</v>
      </c>
      <c r="BM894">
        <v>180</v>
      </c>
      <c r="BN894">
        <v>180</v>
      </c>
      <c r="BO894" s="317">
        <f>BN894/BM894</f>
        <v>1</v>
      </c>
      <c r="BP894">
        <f>BN894-BM894</f>
        <v>0</v>
      </c>
      <c r="BQ894">
        <f>BP894*10^6</f>
        <v>0</v>
      </c>
      <c r="BR894" s="317" t="s">
        <v>232</v>
      </c>
      <c r="BS894" s="317" t="s">
        <v>396</v>
      </c>
      <c r="BT894" t="s">
        <v>1018</v>
      </c>
      <c r="BU894">
        <v>-25.4</v>
      </c>
      <c r="BV894">
        <v>-20.9</v>
      </c>
      <c r="BW894" s="144">
        <v>0.47699757869249398</v>
      </c>
      <c r="BX894">
        <v>21.599999999999998</v>
      </c>
      <c r="BZ894">
        <f>BX894*10^6</f>
        <v>21599999.999999996</v>
      </c>
      <c r="CA894" t="str">
        <f>IFERROR(BZ894/BQ894,"")</f>
        <v/>
      </c>
      <c r="CB894">
        <v>0</v>
      </c>
      <c r="CC894">
        <v>0</v>
      </c>
      <c r="CD894">
        <v>0</v>
      </c>
      <c r="CE894">
        <v>0</v>
      </c>
      <c r="CF894">
        <v>0</v>
      </c>
      <c r="CG894">
        <v>0</v>
      </c>
      <c r="CH894">
        <v>0</v>
      </c>
      <c r="CI894">
        <v>0</v>
      </c>
      <c r="CJ894">
        <v>0</v>
      </c>
      <c r="CK894">
        <v>0</v>
      </c>
      <c r="CL894">
        <v>0</v>
      </c>
      <c r="CM894">
        <v>0</v>
      </c>
      <c r="CN894">
        <v>0</v>
      </c>
      <c r="CO894">
        <v>0</v>
      </c>
      <c r="CP894" t="str">
        <f>IF($BN894&lt;$BM894,"refNeedCorrection","refOK")</f>
        <v>refOK</v>
      </c>
      <c r="CQ894">
        <f>IF($CP894="refOK",$BM894,$BN894)</f>
        <v>180</v>
      </c>
      <c r="CR894">
        <f>IF($CP894="refOK",$BN894,$BM894)</f>
        <v>180</v>
      </c>
      <c r="CS894">
        <f>IF($CP894="refOK",$BQ894,-$BQ894)</f>
        <v>0</v>
      </c>
      <c r="CT894">
        <f>IF(BI894="Roundwood",$CS894/2,$CS894)</f>
        <v>0</v>
      </c>
      <c r="CU894">
        <f>IF($CP894="refOK",$BU894,$BV894)*IF($BR894="Emissions positive",-1,1)</f>
        <v>-25.4</v>
      </c>
      <c r="CV894">
        <f>IF($CP894="refOK",$BV894,$BU894)*IF($BR894="Emissions positive",-1,1)</f>
        <v>-20.9</v>
      </c>
      <c r="CW894">
        <f>IF($CP894="refNeedCorrection",-BZ894,BZ894)*IF($BR894="Emissions positive",-1,1)</f>
        <v>21599999.999999996</v>
      </c>
      <c r="CX894" t="str">
        <f>IFERROR($CW894/$CS894,"")</f>
        <v/>
      </c>
      <c r="CY894" t="str">
        <f>IFERROR($CW894/$CS894,"")</f>
        <v/>
      </c>
      <c r="CZ894" t="str">
        <f>IFERROR($CW894/$CT894,"")</f>
        <v/>
      </c>
      <c r="DA894" s="2">
        <f>IFERROR((CV894-CU894)/ABS(CU894),"")</f>
        <v>0.17716535433070868</v>
      </c>
      <c r="DB894" s="1" t="s">
        <v>1078</v>
      </c>
      <c r="DC894" s="317" t="str">
        <f>IF(OR($DB894="prd",$DB894="std",$DB894="cit"),"loc",IF(OR($DB894="eur",$DB894="reg",$DB894="coy"),"reg",$DB894))</f>
        <v>reg</v>
      </c>
      <c r="DD894" t="s">
        <v>527</v>
      </c>
      <c r="DE894">
        <v>2012</v>
      </c>
      <c r="DF894">
        <v>2112</v>
      </c>
      <c r="DG894">
        <v>100</v>
      </c>
      <c r="DH894" t="str">
        <f>IF(DG894=0,"0",IF(AND(DG894&gt;=1,DG894&lt;=30),"1-30",IF(AND(DG894&gt;30,DG894&lt;=70),"31-70",IF(AND(DG894&gt;70,DG894&lt;=100),"71-100",IF(DG894&gt;100,"+100")))))</f>
        <v>71-100</v>
      </c>
      <c r="DI894">
        <v>0</v>
      </c>
      <c r="DJ894">
        <v>1</v>
      </c>
      <c r="DK894">
        <v>1</v>
      </c>
      <c r="DL894">
        <v>1</v>
      </c>
      <c r="DN894">
        <f>SUM(DI894:DL894)</f>
        <v>3</v>
      </c>
      <c r="DO894" t="str">
        <f>IF(DN894=1,INDEX($DI$7:$DL$7,MATCH(1,$DI894:$DL894,0)),"mixedProduct")</f>
        <v>mixedProduct</v>
      </c>
      <c r="DP894">
        <f>IF(DI894=1,DP$7,0)</f>
        <v>0</v>
      </c>
      <c r="DQ894" t="str">
        <f>IF(DJ894=1,DQ$7,0)</f>
        <v>Energy</v>
      </c>
      <c r="DR894" t="str">
        <f>IF(DK894=1,DR$7,0)</f>
        <v>Pulp/Paper</v>
      </c>
      <c r="DS894" t="str">
        <f>IF(DL894=1,DS$7,0)</f>
        <v>Timber</v>
      </c>
      <c r="DT894">
        <v>1</v>
      </c>
      <c r="DU894">
        <v>1</v>
      </c>
      <c r="DV894">
        <v>1</v>
      </c>
      <c r="DW894" t="s">
        <v>2011</v>
      </c>
      <c r="DY894">
        <f>SUM(DT894:DU894)</f>
        <v>2</v>
      </c>
      <c r="DZ894" s="143" t="str">
        <f>IF(DT894=1,"self-calculated DF",IF(DU894=1,"external DF used","explicit C balance"))</f>
        <v>self-calculated DF</v>
      </c>
      <c r="EA894">
        <v>0</v>
      </c>
      <c r="EB894">
        <v>0</v>
      </c>
      <c r="EC894">
        <v>0</v>
      </c>
      <c r="ED894">
        <v>1</v>
      </c>
      <c r="EE894">
        <v>1</v>
      </c>
      <c r="EF894">
        <v>1</v>
      </c>
      <c r="EG894">
        <v>0</v>
      </c>
      <c r="EH894">
        <v>1</v>
      </c>
      <c r="EI894">
        <v>0</v>
      </c>
      <c r="EJ894">
        <v>1</v>
      </c>
      <c r="EK894">
        <v>0</v>
      </c>
      <c r="EL894">
        <v>0</v>
      </c>
      <c r="EM894">
        <v>0</v>
      </c>
      <c r="EN894" s="2">
        <v>0</v>
      </c>
      <c r="EP894" t="str">
        <f>IF(AND(AND(AND(OR($EC894=1,$EB894=1),OR($EH894=1,$EF894=1)),SUM($EA894:$EE894,$EK894)&gt;=3),SUM($EF894:$EJ894)&gt;=2),"Whole sector approach","")</f>
        <v/>
      </c>
      <c r="EQ894" t="str">
        <f>IF(AND(AND(OR($EC894=1,$EB894=1),AND($EH894=0,$EF894=0)),SUM($EA894:$EE894,$EK894)&gt;=3),"Ecosystem approach","")</f>
        <v/>
      </c>
      <c r="ER894" s="2" t="str">
        <f>IF(AND(AND(AND($EC894=0,$EB894=0),OR($EH894=1,$EF894=1)),SUM($EG894:$EJ894)&gt;=2),"Technology approach","")</f>
        <v>Technology approach</v>
      </c>
      <c r="ES894" t="str">
        <f>IF(AND($EC894+$EB894+$EE894+$EA894+$ED894+$EG894=0,$N894="included"),"C neutral forest and HWP assumption","")</f>
        <v/>
      </c>
      <c r="ET894" t="str">
        <f>IF(AND(AND(AND(AND($EC894=1,$EB894+$EA894+$EG894&gt;=1),$EF894=1),$EH894+$EI894+$ED894+$EE894&gt;=2),$N894="included"),"All C pools assumption","")</f>
        <v/>
      </c>
      <c r="EU894" t="str">
        <f>IF(AND($ED894+$EE894+$EI894+$EH894+$EF894=0,$N894="included"),"In-situ only assumption","")</f>
        <v/>
      </c>
      <c r="EY894" t="b">
        <f>IF(ISNUMBER(BW894),IF(ABS(BW894-[4]QC_indicators!$B$2)&gt;3*[4]QC_indicators!$C$2,"C ratio",IF(ISNUMBER(CA894),IF(ABS(CA894-[4]QC_indicators!$B$1)&gt;3*[4]QC_indicators!$C$1,"DF","no"))),IF(ISNUMBER(CA894),IF(ABS(CA894-[4]QC_indicators!$B$1)&gt;3*[4]QC_indicators!$C$1,"DF","no")))</f>
        <v>0</v>
      </c>
      <c r="FA894" t="str">
        <f>IF(LEN($CY894)=0,"",IF(AND($CY894&lt;(-0.05),$ES894="C neutral forest and HWP assumption"),"Cneutral paradox",IF(AND($CY894&gt;0.05,$EU894="In-situ only assumption"),"In-situ only paradox","")))</f>
        <v/>
      </c>
      <c r="FB894" s="319" t="s">
        <v>349</v>
      </c>
      <c r="FD894" t="s">
        <v>5060</v>
      </c>
    </row>
    <row r="895" spans="1:161" ht="15" hidden="1" customHeight="1">
      <c r="A895" s="1" t="s">
        <v>1654</v>
      </c>
      <c r="B895" t="s">
        <v>2003</v>
      </c>
      <c r="C895" t="s">
        <v>2004</v>
      </c>
      <c r="D895" t="s">
        <v>2005</v>
      </c>
      <c r="E895" t="s">
        <v>2006</v>
      </c>
      <c r="F895" t="s">
        <v>2007</v>
      </c>
      <c r="G895" t="s">
        <v>1660</v>
      </c>
      <c r="H895" t="s">
        <v>254</v>
      </c>
      <c r="I895">
        <v>2013</v>
      </c>
      <c r="J895">
        <v>49</v>
      </c>
      <c r="K895" t="s">
        <v>2008</v>
      </c>
      <c r="M895" t="str">
        <f>LEFT($D895,FIND(",",$D895)-1)&amp;"_"&amp;I895&amp;L895</f>
        <v>Sikkema_2013</v>
      </c>
      <c r="N895" t="s">
        <v>222</v>
      </c>
      <c r="O895" s="145" t="s">
        <v>341</v>
      </c>
      <c r="Q895" s="317" t="s">
        <v>256</v>
      </c>
      <c r="R895" s="318" t="s">
        <v>1029</v>
      </c>
      <c r="S895" s="1" t="s">
        <v>2014</v>
      </c>
      <c r="T895" t="s">
        <v>2009</v>
      </c>
      <c r="U895" t="s">
        <v>2014</v>
      </c>
      <c r="V895" s="253">
        <v>0</v>
      </c>
      <c r="W895" s="253">
        <v>0</v>
      </c>
      <c r="X895">
        <v>0</v>
      </c>
      <c r="Y895">
        <v>0</v>
      </c>
      <c r="Z895">
        <v>0</v>
      </c>
      <c r="AA895">
        <v>0</v>
      </c>
      <c r="AB895">
        <v>0</v>
      </c>
      <c r="AC895">
        <v>0</v>
      </c>
      <c r="AD895">
        <v>0</v>
      </c>
      <c r="AE895">
        <v>0</v>
      </c>
      <c r="AF895">
        <v>0</v>
      </c>
      <c r="AG895">
        <v>0</v>
      </c>
      <c r="AH895">
        <v>0</v>
      </c>
      <c r="AI895">
        <v>1</v>
      </c>
      <c r="AJ895">
        <v>0</v>
      </c>
      <c r="AK895">
        <v>0</v>
      </c>
      <c r="AL895">
        <v>0</v>
      </c>
      <c r="AM895">
        <v>0</v>
      </c>
      <c r="AN895">
        <v>0</v>
      </c>
      <c r="AO895">
        <v>0</v>
      </c>
      <c r="AP895">
        <v>0</v>
      </c>
      <c r="AQ895">
        <v>0</v>
      </c>
      <c r="AR895">
        <v>0</v>
      </c>
      <c r="AS895">
        <v>0</v>
      </c>
      <c r="AT895">
        <v>0</v>
      </c>
      <c r="AU895">
        <v>0</v>
      </c>
      <c r="AV895">
        <v>0</v>
      </c>
      <c r="AW895">
        <v>0</v>
      </c>
      <c r="AX895">
        <v>0</v>
      </c>
      <c r="AY895">
        <v>0</v>
      </c>
      <c r="AZ895" s="141">
        <f>COUNTIF(X895:AY895,"&lt;&gt;0")</f>
        <v>1</v>
      </c>
      <c r="BA895" s="141">
        <f>COUNTIF(X895:AN895,"&lt;&gt;0")</f>
        <v>1</v>
      </c>
      <c r="BB895">
        <f>COUNTIF(X895:AE895,"&lt;&gt;0")</f>
        <v>0</v>
      </c>
      <c r="BC895">
        <f>COUNTIF(AF895:AK895,"&lt;&gt;0")</f>
        <v>1</v>
      </c>
      <c r="BD895">
        <f>COUNTIF(AL895:AN895,"&lt;&gt;0")</f>
        <v>0</v>
      </c>
      <c r="BE895">
        <f>COUNTIF(AU895:AY895,"&lt;&gt;0")</f>
        <v>0</v>
      </c>
      <c r="BF895">
        <f>COUNTIF(AO895:AT895,"&lt;&gt;0")</f>
        <v>0</v>
      </c>
      <c r="BG895" t="str" cm="1">
        <f t="array" ref="BG895">IF(BA895=1,INDEX($X$7:$AN$7,MATCH(TRUE,INDEX($X895:$AY895&lt;&gt;0,),0)),IF(BA895=0,INDEX($AO$7:$AY$7,MATCH(1,$AO895:$AY895,0)),IF(BH895="Multiple strategies","mixed drivers",IF(BH895="Supply chain","multiple supply","multiple silviculture"))))</f>
        <v>recycling</v>
      </c>
      <c r="BH895" s="2" t="str" cm="1">
        <f t="array" ref="BH895">IF(COUNTIF(BB895:BD895,"&lt;&gt;0")=1,INDEX($X$4:$AY$4,MATCH(TRUE,INDEX($X895:$AY895&lt;&gt;0,),0)),IF(COUNTIF(BB895:BD895,"&lt;&gt;0")=0,INDEX($AO$4:$AY$4,MATCH(1,$AO895:$AY895,0)),"Multiple strategies"))</f>
        <v>Supply chain</v>
      </c>
      <c r="BI895" s="1" t="s">
        <v>321</v>
      </c>
      <c r="BJ895" t="s">
        <v>2010</v>
      </c>
      <c r="BK895" s="317" t="s">
        <v>5059</v>
      </c>
      <c r="BL895" t="s">
        <v>1228</v>
      </c>
      <c r="BM895">
        <v>180</v>
      </c>
      <c r="BN895">
        <v>180</v>
      </c>
      <c r="BO895" s="317">
        <f>BN895/BM895</f>
        <v>1</v>
      </c>
      <c r="BP895">
        <f>BN895-BM895</f>
        <v>0</v>
      </c>
      <c r="BQ895">
        <f>BP895*10^6</f>
        <v>0</v>
      </c>
      <c r="BR895" s="317" t="s">
        <v>232</v>
      </c>
      <c r="BS895" s="317" t="s">
        <v>396</v>
      </c>
      <c r="BT895" t="s">
        <v>1018</v>
      </c>
      <c r="BU895">
        <v>-24.3</v>
      </c>
      <c r="BV895">
        <v>-19.7</v>
      </c>
      <c r="BW895" s="144">
        <v>0.50605326876513312</v>
      </c>
      <c r="BX895">
        <v>20.399999999999999</v>
      </c>
      <c r="BZ895">
        <f>BX895*10^6</f>
        <v>20400000</v>
      </c>
      <c r="CA895" t="str">
        <f>IFERROR(BZ895/BQ895,"")</f>
        <v/>
      </c>
      <c r="CB895">
        <v>0</v>
      </c>
      <c r="CC895">
        <v>0</v>
      </c>
      <c r="CD895">
        <v>0</v>
      </c>
      <c r="CE895">
        <v>0</v>
      </c>
      <c r="CF895">
        <v>0</v>
      </c>
      <c r="CG895">
        <v>0</v>
      </c>
      <c r="CH895">
        <v>0</v>
      </c>
      <c r="CI895">
        <v>0</v>
      </c>
      <c r="CJ895">
        <v>0</v>
      </c>
      <c r="CK895">
        <v>0</v>
      </c>
      <c r="CL895">
        <v>0</v>
      </c>
      <c r="CM895">
        <v>0</v>
      </c>
      <c r="CN895">
        <v>0</v>
      </c>
      <c r="CO895">
        <v>0</v>
      </c>
      <c r="CP895" t="str">
        <f>IF($BN895&lt;$BM895,"refNeedCorrection","refOK")</f>
        <v>refOK</v>
      </c>
      <c r="CQ895">
        <f>IF($CP895="refOK",$BM895,$BN895)</f>
        <v>180</v>
      </c>
      <c r="CR895">
        <f>IF($CP895="refOK",$BN895,$BM895)</f>
        <v>180</v>
      </c>
      <c r="CS895">
        <f>IF($CP895="refOK",$BQ895,-$BQ895)</f>
        <v>0</v>
      </c>
      <c r="CT895">
        <f>IF(BI895="Roundwood",$CS895/2,$CS895)</f>
        <v>0</v>
      </c>
      <c r="CU895">
        <f>IF($CP895="refOK",$BU895,$BV895)*IF($BR895="Emissions positive",-1,1)</f>
        <v>-24.3</v>
      </c>
      <c r="CV895">
        <f>IF($CP895="refOK",$BV895,$BU895)*IF($BR895="Emissions positive",-1,1)</f>
        <v>-19.7</v>
      </c>
      <c r="CW895">
        <f>IF($CP895="refNeedCorrection",-BZ895,BZ895)*IF($BR895="Emissions positive",-1,1)</f>
        <v>20400000</v>
      </c>
      <c r="CX895" t="str">
        <f>IFERROR($CW895/$CS895,"")</f>
        <v/>
      </c>
      <c r="CY895" t="str">
        <f>IFERROR($CW895/$CS895,"")</f>
        <v/>
      </c>
      <c r="CZ895" t="str">
        <f>IFERROR($CW895/$CT895,"")</f>
        <v/>
      </c>
      <c r="DA895" s="2">
        <f>IFERROR((CV895-CU895)/ABS(CU895),"")</f>
        <v>0.1893004115226338</v>
      </c>
      <c r="DB895" s="1" t="s">
        <v>1078</v>
      </c>
      <c r="DC895" s="317" t="str">
        <f>IF(OR($DB895="prd",$DB895="std",$DB895="cit"),"loc",IF(OR($DB895="eur",$DB895="reg",$DB895="coy"),"reg",$DB895))</f>
        <v>reg</v>
      </c>
      <c r="DD895" t="s">
        <v>527</v>
      </c>
      <c r="DE895">
        <v>2012</v>
      </c>
      <c r="DF895">
        <v>2112</v>
      </c>
      <c r="DG895">
        <v>100</v>
      </c>
      <c r="DH895" t="str">
        <f>IF(DG895=0,"0",IF(AND(DG895&gt;=1,DG895&lt;=30),"1-30",IF(AND(DG895&gt;30,DG895&lt;=70),"31-70",IF(AND(DG895&gt;70,DG895&lt;=100),"71-100",IF(DG895&gt;100,"+100")))))</f>
        <v>71-100</v>
      </c>
      <c r="DI895">
        <v>0</v>
      </c>
      <c r="DJ895">
        <v>1</v>
      </c>
      <c r="DK895">
        <v>1</v>
      </c>
      <c r="DL895">
        <v>1</v>
      </c>
      <c r="DN895">
        <f>SUM(DI895:DL895)</f>
        <v>3</v>
      </c>
      <c r="DO895" t="str">
        <f>IF(DN895=1,INDEX($DI$7:$DL$7,MATCH(1,$DI895:$DL895,0)),"mixedProduct")</f>
        <v>mixedProduct</v>
      </c>
      <c r="DP895">
        <f>IF(DI895=1,DP$7,0)</f>
        <v>0</v>
      </c>
      <c r="DQ895" t="str">
        <f>IF(DJ895=1,DQ$7,0)</f>
        <v>Energy</v>
      </c>
      <c r="DR895" t="str">
        <f>IF(DK895=1,DR$7,0)</f>
        <v>Pulp/Paper</v>
      </c>
      <c r="DS895" t="str">
        <f>IF(DL895=1,DS$7,0)</f>
        <v>Timber</v>
      </c>
      <c r="DT895">
        <v>1</v>
      </c>
      <c r="DU895">
        <v>1</v>
      </c>
      <c r="DV895">
        <v>1</v>
      </c>
      <c r="DW895" t="s">
        <v>2011</v>
      </c>
      <c r="DY895">
        <f>SUM(DT895:DU895)</f>
        <v>2</v>
      </c>
      <c r="DZ895" s="143" t="str">
        <f>IF(DT895=1,"self-calculated DF",IF(DU895=1,"external DF used","explicit C balance"))</f>
        <v>self-calculated DF</v>
      </c>
      <c r="EA895">
        <v>0</v>
      </c>
      <c r="EB895">
        <v>0</v>
      </c>
      <c r="EC895">
        <v>0</v>
      </c>
      <c r="ED895">
        <v>1</v>
      </c>
      <c r="EE895">
        <v>1</v>
      </c>
      <c r="EF895">
        <v>1</v>
      </c>
      <c r="EG895">
        <v>0</v>
      </c>
      <c r="EH895">
        <v>1</v>
      </c>
      <c r="EI895">
        <v>0</v>
      </c>
      <c r="EJ895">
        <v>1</v>
      </c>
      <c r="EK895">
        <v>0</v>
      </c>
      <c r="EL895">
        <v>0</v>
      </c>
      <c r="EM895">
        <v>0</v>
      </c>
      <c r="EN895" s="2">
        <v>0</v>
      </c>
      <c r="EP895" t="str">
        <f>IF(AND(AND(AND(OR($EC895=1,$EB895=1),OR($EH895=1,$EF895=1)),SUM($EA895:$EE895,$EK895)&gt;=3),SUM($EF895:$EJ895)&gt;=2),"Whole sector approach","")</f>
        <v/>
      </c>
      <c r="EQ895" t="str">
        <f>IF(AND(AND(OR($EC895=1,$EB895=1),AND($EH895=0,$EF895=0)),SUM($EA895:$EE895,$EK895)&gt;=3),"Ecosystem approach","")</f>
        <v/>
      </c>
      <c r="ER895" s="2" t="str">
        <f>IF(AND(AND(AND($EC895=0,$EB895=0),OR($EH895=1,$EF895=1)),SUM($EG895:$EJ895)&gt;=2),"Technology approach","")</f>
        <v>Technology approach</v>
      </c>
      <c r="ES895" t="str">
        <f>IF(AND($EC895+$EB895+$EE895+$EA895+$ED895+$EG895=0,$N895="included"),"C neutral forest and HWP assumption","")</f>
        <v/>
      </c>
      <c r="ET895" t="str">
        <f>IF(AND(AND(AND(AND($EC895=1,$EB895+$EA895+$EG895&gt;=1),$EF895=1),$EH895+$EI895+$ED895+$EE895&gt;=2),$N895="included"),"All C pools assumption","")</f>
        <v/>
      </c>
      <c r="EU895" t="str">
        <f>IF(AND($ED895+$EE895+$EI895+$EH895+$EF895=0,$N895="included"),"In-situ only assumption","")</f>
        <v/>
      </c>
      <c r="EY895" t="b">
        <f>IF(ISNUMBER(BW895),IF(ABS(BW895-[4]QC_indicators!$B$2)&gt;3*[4]QC_indicators!$C$2,"C ratio",IF(ISNUMBER(CA895),IF(ABS(CA895-[4]QC_indicators!$B$1)&gt;3*[4]QC_indicators!$C$1,"DF","no"))),IF(ISNUMBER(CA895),IF(ABS(CA895-[4]QC_indicators!$B$1)&gt;3*[4]QC_indicators!$C$1,"DF","no")))</f>
        <v>0</v>
      </c>
      <c r="FA895" t="str">
        <f>IF(LEN($CY895)=0,"",IF(AND($CY895&lt;(-0.05),$ES895="C neutral forest and HWP assumption"),"Cneutral paradox",IF(AND($CY895&gt;0.05,$EU895="In-situ only assumption"),"In-situ only paradox","")))</f>
        <v/>
      </c>
      <c r="FB895" s="317" t="s">
        <v>2012</v>
      </c>
      <c r="FD895" t="s">
        <v>5060</v>
      </c>
    </row>
    <row r="896" spans="1:161" ht="15" hidden="1" customHeight="1">
      <c r="A896" s="1" t="s">
        <v>1654</v>
      </c>
      <c r="B896" t="s">
        <v>2003</v>
      </c>
      <c r="C896" t="s">
        <v>2004</v>
      </c>
      <c r="D896" t="s">
        <v>2005</v>
      </c>
      <c r="E896" t="s">
        <v>2006</v>
      </c>
      <c r="F896" t="s">
        <v>2007</v>
      </c>
      <c r="G896" t="s">
        <v>1660</v>
      </c>
      <c r="H896" t="s">
        <v>254</v>
      </c>
      <c r="I896">
        <v>2013</v>
      </c>
      <c r="J896">
        <v>49</v>
      </c>
      <c r="K896" t="s">
        <v>2008</v>
      </c>
      <c r="M896" t="str">
        <f>LEFT($D896,FIND(",",$D896)-1)&amp;"_"&amp;I896&amp;L896</f>
        <v>Sikkema_2013</v>
      </c>
      <c r="N896" t="s">
        <v>222</v>
      </c>
      <c r="O896" s="145" t="s">
        <v>341</v>
      </c>
      <c r="Q896" s="317" t="s">
        <v>256</v>
      </c>
      <c r="R896" s="318" t="s">
        <v>1029</v>
      </c>
      <c r="S896" s="1" t="s">
        <v>2013</v>
      </c>
      <c r="T896" t="s">
        <v>2013</v>
      </c>
      <c r="U896" t="s">
        <v>2009</v>
      </c>
      <c r="V896" s="253">
        <v>0</v>
      </c>
      <c r="W896" s="253">
        <v>0</v>
      </c>
      <c r="X896">
        <v>0</v>
      </c>
      <c r="Y896">
        <v>0</v>
      </c>
      <c r="Z896">
        <v>0</v>
      </c>
      <c r="AA896">
        <v>0</v>
      </c>
      <c r="AB896">
        <v>0</v>
      </c>
      <c r="AC896">
        <v>0</v>
      </c>
      <c r="AD896">
        <v>0</v>
      </c>
      <c r="AE896">
        <v>0</v>
      </c>
      <c r="AF896">
        <v>0</v>
      </c>
      <c r="AG896">
        <v>0</v>
      </c>
      <c r="AH896">
        <v>0</v>
      </c>
      <c r="AI896">
        <v>0</v>
      </c>
      <c r="AJ896">
        <v>0</v>
      </c>
      <c r="AK896">
        <v>0</v>
      </c>
      <c r="AL896">
        <v>1</v>
      </c>
      <c r="AM896">
        <v>0</v>
      </c>
      <c r="AN896">
        <v>0</v>
      </c>
      <c r="AO896">
        <v>0</v>
      </c>
      <c r="AP896">
        <v>0</v>
      </c>
      <c r="AQ896">
        <v>0</v>
      </c>
      <c r="AR896">
        <v>0</v>
      </c>
      <c r="AS896">
        <v>0</v>
      </c>
      <c r="AT896">
        <v>0</v>
      </c>
      <c r="AU896">
        <v>0</v>
      </c>
      <c r="AV896">
        <v>0</v>
      </c>
      <c r="AW896">
        <v>0</v>
      </c>
      <c r="AX896">
        <v>0</v>
      </c>
      <c r="AY896">
        <v>0</v>
      </c>
      <c r="AZ896" s="141">
        <f>COUNTIF(X896:AY896,"&lt;&gt;0")</f>
        <v>1</v>
      </c>
      <c r="BA896" s="141">
        <f>COUNTIF(X896:AN896,"&lt;&gt;0")</f>
        <v>1</v>
      </c>
      <c r="BB896">
        <f>COUNTIF(X896:AE896,"&lt;&gt;0")</f>
        <v>0</v>
      </c>
      <c r="BC896">
        <f>COUNTIF(AF896:AK896,"&lt;&gt;0")</f>
        <v>0</v>
      </c>
      <c r="BD896">
        <f>COUNTIF(AL896:AN896,"&lt;&gt;0")</f>
        <v>1</v>
      </c>
      <c r="BE896">
        <f>COUNTIF(AU896:AY896,"&lt;&gt;0")</f>
        <v>0</v>
      </c>
      <c r="BF896">
        <f>COUNTIF(AO896:AT896,"&lt;&gt;0")</f>
        <v>0</v>
      </c>
      <c r="BG896" t="str" cm="1">
        <f t="array" ref="BG896">IF(BA896=1,INDEX($X$7:$AN$7,MATCH(TRUE,INDEX($X896:$AY896&lt;&gt;0,),0)),IF(BA896=0,INDEX($AO$7:$AY$7,MATCH(1,$AO896:$AY896,0)),IF(BH896="Multiple strategies","mixed drivers",IF(BH896="Supply chain","multiple supply","multiple silviculture"))))</f>
        <v>efficiency improvement</v>
      </c>
      <c r="BH896" s="2" t="str" cm="1">
        <f t="array" ref="BH896">IF(COUNTIF(BB896:BD896,"&lt;&gt;0")=1,INDEX($X$4:$AY$4,MATCH(TRUE,INDEX($X896:$AY896&lt;&gt;0,),0)),IF(COUNTIF(BB896:BD896,"&lt;&gt;0")=0,INDEX($AO$4:$AY$4,MATCH(1,$AO896:$AY896,0)),"Multiple strategies"))</f>
        <v>Technology</v>
      </c>
      <c r="BI896" s="1" t="s">
        <v>321</v>
      </c>
      <c r="BJ896" t="s">
        <v>2010</v>
      </c>
      <c r="BK896" s="317" t="s">
        <v>5059</v>
      </c>
      <c r="BL896" t="s">
        <v>1228</v>
      </c>
      <c r="BM896">
        <v>180</v>
      </c>
      <c r="BN896">
        <v>180</v>
      </c>
      <c r="BO896" s="317">
        <f>BN896/BM896</f>
        <v>1</v>
      </c>
      <c r="BP896">
        <f>BN896-BM896</f>
        <v>0</v>
      </c>
      <c r="BQ896">
        <f>BP896*10^6</f>
        <v>0</v>
      </c>
      <c r="BR896" s="317" t="s">
        <v>232</v>
      </c>
      <c r="BS896" s="317" t="s">
        <v>396</v>
      </c>
      <c r="BT896" t="s">
        <v>1018</v>
      </c>
      <c r="BU896">
        <v>-25.4</v>
      </c>
      <c r="BV896">
        <v>-24.3</v>
      </c>
      <c r="BW896" s="144">
        <v>0.58837772397094434</v>
      </c>
      <c r="BX896">
        <v>16.999999999999996</v>
      </c>
      <c r="BZ896">
        <f>BX896*10^6</f>
        <v>16999999.999999996</v>
      </c>
      <c r="CA896" t="str">
        <f>IFERROR(BZ896/BQ896,"")</f>
        <v/>
      </c>
      <c r="CB896">
        <v>0</v>
      </c>
      <c r="CC896">
        <v>0</v>
      </c>
      <c r="CD896">
        <v>0</v>
      </c>
      <c r="CE896">
        <v>0</v>
      </c>
      <c r="CF896">
        <v>0</v>
      </c>
      <c r="CG896">
        <v>0</v>
      </c>
      <c r="CH896">
        <v>0</v>
      </c>
      <c r="CI896">
        <v>0</v>
      </c>
      <c r="CJ896">
        <v>0</v>
      </c>
      <c r="CK896">
        <v>0</v>
      </c>
      <c r="CL896">
        <v>0</v>
      </c>
      <c r="CM896">
        <v>0</v>
      </c>
      <c r="CN896">
        <v>0</v>
      </c>
      <c r="CO896">
        <v>0</v>
      </c>
      <c r="CP896" t="str">
        <f>IF($BN896&lt;$BM896,"refNeedCorrection","refOK")</f>
        <v>refOK</v>
      </c>
      <c r="CQ896">
        <f>IF($CP896="refOK",$BM896,$BN896)</f>
        <v>180</v>
      </c>
      <c r="CR896">
        <f>IF($CP896="refOK",$BN896,$BM896)</f>
        <v>180</v>
      </c>
      <c r="CS896">
        <f>IF($CP896="refOK",$BQ896,-$BQ896)</f>
        <v>0</v>
      </c>
      <c r="CT896">
        <f>IF(BI896="Roundwood",$CS896/2,$CS896)</f>
        <v>0</v>
      </c>
      <c r="CU896">
        <f>IF($CP896="refOK",$BU896,$BV896)*IF($BR896="Emissions positive",-1,1)</f>
        <v>-25.4</v>
      </c>
      <c r="CV896">
        <f>IF($CP896="refOK",$BV896,$BU896)*IF($BR896="Emissions positive",-1,1)</f>
        <v>-24.3</v>
      </c>
      <c r="CW896">
        <f>IF($CP896="refNeedCorrection",-BZ896,BZ896)*IF($BR896="Emissions positive",-1,1)</f>
        <v>16999999.999999996</v>
      </c>
      <c r="CX896" t="str">
        <f>IFERROR($CW896/$CS896,"")</f>
        <v/>
      </c>
      <c r="CY896" t="str">
        <f>IFERROR($CW896/$CS896,"")</f>
        <v/>
      </c>
      <c r="CZ896" t="str">
        <f>IFERROR($CW896/$CT896,"")</f>
        <v/>
      </c>
      <c r="DA896" s="2">
        <f>IFERROR((CV896-CU896)/ABS(CU896),"")</f>
        <v>4.3307086614173144E-2</v>
      </c>
      <c r="DB896" s="1" t="s">
        <v>1078</v>
      </c>
      <c r="DC896" s="317" t="str">
        <f>IF(OR($DB896="prd",$DB896="std",$DB896="cit"),"loc",IF(OR($DB896="eur",$DB896="reg",$DB896="coy"),"reg",$DB896))</f>
        <v>reg</v>
      </c>
      <c r="DD896" t="s">
        <v>527</v>
      </c>
      <c r="DE896">
        <v>2012</v>
      </c>
      <c r="DF896">
        <v>2112</v>
      </c>
      <c r="DG896">
        <v>100</v>
      </c>
      <c r="DH896" t="str">
        <f>IF(DG896=0,"0",IF(AND(DG896&gt;=1,DG896&lt;=30),"1-30",IF(AND(DG896&gt;30,DG896&lt;=70),"31-70",IF(AND(DG896&gt;70,DG896&lt;=100),"71-100",IF(DG896&gt;100,"+100")))))</f>
        <v>71-100</v>
      </c>
      <c r="DI896">
        <v>0</v>
      </c>
      <c r="DJ896">
        <v>1</v>
      </c>
      <c r="DK896">
        <v>1</v>
      </c>
      <c r="DL896">
        <v>1</v>
      </c>
      <c r="DN896">
        <f>SUM(DI896:DL896)</f>
        <v>3</v>
      </c>
      <c r="DO896" t="str">
        <f>IF(DN896=1,INDEX($DI$7:$DL$7,MATCH(1,$DI896:$DL896,0)),"mixedProduct")</f>
        <v>mixedProduct</v>
      </c>
      <c r="DP896">
        <f>IF(DI896=1,DP$7,0)</f>
        <v>0</v>
      </c>
      <c r="DQ896" t="str">
        <f>IF(DJ896=1,DQ$7,0)</f>
        <v>Energy</v>
      </c>
      <c r="DR896" t="str">
        <f>IF(DK896=1,DR$7,0)</f>
        <v>Pulp/Paper</v>
      </c>
      <c r="DS896" t="str">
        <f>IF(DL896=1,DS$7,0)</f>
        <v>Timber</v>
      </c>
      <c r="DT896">
        <v>1</v>
      </c>
      <c r="DU896">
        <v>1</v>
      </c>
      <c r="DV896">
        <v>1</v>
      </c>
      <c r="DW896" t="s">
        <v>2011</v>
      </c>
      <c r="DY896">
        <f>SUM(DT896:DU896)</f>
        <v>2</v>
      </c>
      <c r="DZ896" s="143" t="str">
        <f>IF(DT896=1,"self-calculated DF",IF(DU896=1,"external DF used","explicit C balance"))</f>
        <v>self-calculated DF</v>
      </c>
      <c r="EA896">
        <v>0</v>
      </c>
      <c r="EB896">
        <v>0</v>
      </c>
      <c r="EC896">
        <v>0</v>
      </c>
      <c r="ED896">
        <v>1</v>
      </c>
      <c r="EE896">
        <v>1</v>
      </c>
      <c r="EF896">
        <v>1</v>
      </c>
      <c r="EG896">
        <v>0</v>
      </c>
      <c r="EH896">
        <v>1</v>
      </c>
      <c r="EI896">
        <v>0</v>
      </c>
      <c r="EJ896">
        <v>1</v>
      </c>
      <c r="EK896">
        <v>0</v>
      </c>
      <c r="EL896">
        <v>0</v>
      </c>
      <c r="EM896">
        <v>0</v>
      </c>
      <c r="EN896" s="2">
        <v>0</v>
      </c>
      <c r="EP896" t="str">
        <f>IF(AND(AND(AND(OR($EC896=1,$EB896=1),OR($EH896=1,$EF896=1)),SUM($EA896:$EE896,$EK896)&gt;=3),SUM($EF896:$EJ896)&gt;=2),"Whole sector approach","")</f>
        <v/>
      </c>
      <c r="EQ896" t="str">
        <f>IF(AND(AND(OR($EC896=1,$EB896=1),AND($EH896=0,$EF896=0)),SUM($EA896:$EE896,$EK896)&gt;=3),"Ecosystem approach","")</f>
        <v/>
      </c>
      <c r="ER896" s="2" t="str">
        <f>IF(AND(AND(AND($EC896=0,$EB896=0),OR($EH896=1,$EF896=1)),SUM($EG896:$EJ896)&gt;=2),"Technology approach","")</f>
        <v>Technology approach</v>
      </c>
      <c r="ES896" t="str">
        <f>IF(AND($EC896+$EB896+$EE896+$EA896+$ED896+$EG896=0,$N896="included"),"C neutral forest and HWP assumption","")</f>
        <v/>
      </c>
      <c r="ET896" t="str">
        <f>IF(AND(AND(AND(AND($EC896=1,$EB896+$EA896+$EG896&gt;=1),$EF896=1),$EH896+$EI896+$ED896+$EE896&gt;=2),$N896="included"),"All C pools assumption","")</f>
        <v/>
      </c>
      <c r="EU896" t="str">
        <f>IF(AND($ED896+$EE896+$EI896+$EH896+$EF896=0,$N896="included"),"In-situ only assumption","")</f>
        <v/>
      </c>
      <c r="EY896" t="b">
        <f>IF(ISNUMBER(BW896),IF(ABS(BW896-[4]QC_indicators!$B$2)&gt;3*[4]QC_indicators!$C$2,"C ratio",IF(ISNUMBER(CA896),IF(ABS(CA896-[4]QC_indicators!$B$1)&gt;3*[4]QC_indicators!$C$1,"DF","no"))),IF(ISNUMBER(CA896),IF(ABS(CA896-[4]QC_indicators!$B$1)&gt;3*[4]QC_indicators!$C$1,"DF","no")))</f>
        <v>0</v>
      </c>
      <c r="FA896" t="str">
        <f>IF(LEN($CY896)=0,"",IF(AND($CY896&lt;(-0.05),$ES896="C neutral forest and HWP assumption"),"Cneutral paradox",IF(AND($CY896&gt;0.05,$EU896="In-situ only assumption"),"In-situ only paradox","")))</f>
        <v/>
      </c>
      <c r="FB896" s="317" t="s">
        <v>2012</v>
      </c>
      <c r="FD896" t="s">
        <v>5060</v>
      </c>
    </row>
    <row r="897" spans="1:160" ht="15" hidden="1" customHeight="1">
      <c r="A897" s="1" t="s">
        <v>1654</v>
      </c>
      <c r="B897" t="s">
        <v>2003</v>
      </c>
      <c r="C897" t="s">
        <v>2004</v>
      </c>
      <c r="D897" t="s">
        <v>2005</v>
      </c>
      <c r="E897" t="s">
        <v>2006</v>
      </c>
      <c r="F897" t="s">
        <v>2007</v>
      </c>
      <c r="G897" t="s">
        <v>1660</v>
      </c>
      <c r="H897" t="s">
        <v>254</v>
      </c>
      <c r="I897">
        <v>2013</v>
      </c>
      <c r="J897">
        <v>49</v>
      </c>
      <c r="K897" t="s">
        <v>2008</v>
      </c>
      <c r="M897" t="str">
        <f>LEFT($D897,FIND(",",$D897)-1)&amp;"_"&amp;I897&amp;L897</f>
        <v>Sikkema_2013</v>
      </c>
      <c r="N897" t="s">
        <v>222</v>
      </c>
      <c r="O897" s="145" t="s">
        <v>341</v>
      </c>
      <c r="Q897" s="317" t="s">
        <v>256</v>
      </c>
      <c r="R897" s="318" t="s">
        <v>1029</v>
      </c>
      <c r="S897" s="1" t="s">
        <v>2015</v>
      </c>
      <c r="T897" t="s">
        <v>2015</v>
      </c>
      <c r="U897" t="s">
        <v>2014</v>
      </c>
      <c r="V897" s="253">
        <v>0</v>
      </c>
      <c r="W897" s="253">
        <v>0</v>
      </c>
      <c r="X897">
        <v>0</v>
      </c>
      <c r="Y897">
        <v>0</v>
      </c>
      <c r="Z897">
        <v>0</v>
      </c>
      <c r="AA897">
        <v>0</v>
      </c>
      <c r="AB897">
        <v>0</v>
      </c>
      <c r="AC897">
        <v>0</v>
      </c>
      <c r="AD897">
        <v>0</v>
      </c>
      <c r="AE897">
        <v>0</v>
      </c>
      <c r="AF897">
        <v>0</v>
      </c>
      <c r="AG897">
        <v>0</v>
      </c>
      <c r="AH897">
        <v>0</v>
      </c>
      <c r="AI897">
        <v>0</v>
      </c>
      <c r="AJ897">
        <v>0</v>
      </c>
      <c r="AK897">
        <v>0</v>
      </c>
      <c r="AL897">
        <v>1</v>
      </c>
      <c r="AM897">
        <v>0</v>
      </c>
      <c r="AN897">
        <v>0</v>
      </c>
      <c r="AO897">
        <v>0</v>
      </c>
      <c r="AP897">
        <v>0</v>
      </c>
      <c r="AQ897">
        <v>0</v>
      </c>
      <c r="AR897">
        <v>0</v>
      </c>
      <c r="AS897">
        <v>0</v>
      </c>
      <c r="AT897">
        <v>0</v>
      </c>
      <c r="AU897">
        <v>0</v>
      </c>
      <c r="AV897">
        <v>0</v>
      </c>
      <c r="AW897">
        <v>0</v>
      </c>
      <c r="AX897">
        <v>0</v>
      </c>
      <c r="AY897">
        <v>0</v>
      </c>
      <c r="AZ897" s="141">
        <f>COUNTIF(X897:AY897,"&lt;&gt;0")</f>
        <v>1</v>
      </c>
      <c r="BA897" s="141">
        <f>COUNTIF(X897:AN897,"&lt;&gt;0")</f>
        <v>1</v>
      </c>
      <c r="BB897">
        <f>COUNTIF(X897:AE897,"&lt;&gt;0")</f>
        <v>0</v>
      </c>
      <c r="BC897">
        <f>COUNTIF(AF897:AK897,"&lt;&gt;0")</f>
        <v>0</v>
      </c>
      <c r="BD897">
        <f>COUNTIF(AL897:AN897,"&lt;&gt;0")</f>
        <v>1</v>
      </c>
      <c r="BE897">
        <f>COUNTIF(AU897:AY897,"&lt;&gt;0")</f>
        <v>0</v>
      </c>
      <c r="BF897">
        <f>COUNTIF(AO897:AT897,"&lt;&gt;0")</f>
        <v>0</v>
      </c>
      <c r="BG897" t="str" cm="1">
        <f t="array" ref="BG897">IF(BA897=1,INDEX($X$7:$AN$7,MATCH(TRUE,INDEX($X897:$AY897&lt;&gt;0,),0)),IF(BA897=0,INDEX($AO$7:$AY$7,MATCH(1,$AO897:$AY897,0)),IF(BH897="Multiple strategies","mixed drivers",IF(BH897="Supply chain","multiple supply","multiple silviculture"))))</f>
        <v>efficiency improvement</v>
      </c>
      <c r="BH897" s="2" t="str" cm="1">
        <f t="array" ref="BH897">IF(COUNTIF(BB897:BD897,"&lt;&gt;0")=1,INDEX($X$4:$AY$4,MATCH(TRUE,INDEX($X897:$AY897&lt;&gt;0,),0)),IF(COUNTIF(BB897:BD897,"&lt;&gt;0")=0,INDEX($AO$4:$AY$4,MATCH(1,$AO897:$AY897,0)),"Multiple strategies"))</f>
        <v>Technology</v>
      </c>
      <c r="BI897" s="1" t="s">
        <v>321</v>
      </c>
      <c r="BJ897" t="s">
        <v>2010</v>
      </c>
      <c r="BK897" s="317" t="s">
        <v>5059</v>
      </c>
      <c r="BL897" t="s">
        <v>1228</v>
      </c>
      <c r="BM897">
        <v>180</v>
      </c>
      <c r="BN897">
        <v>180</v>
      </c>
      <c r="BO897" s="317">
        <f>BN897/BM897</f>
        <v>1</v>
      </c>
      <c r="BP897">
        <f>BN897-BM897</f>
        <v>0</v>
      </c>
      <c r="BQ897">
        <f>BP897*10^6</f>
        <v>0</v>
      </c>
      <c r="BR897" s="317" t="s">
        <v>232</v>
      </c>
      <c r="BS897" s="317" t="s">
        <v>396</v>
      </c>
      <c r="BT897" t="s">
        <v>1018</v>
      </c>
      <c r="BU897">
        <f>-19.5</f>
        <v>-19.5</v>
      </c>
      <c r="BV897">
        <f>-18.4</f>
        <v>-18.399999999999999</v>
      </c>
      <c r="BW897" s="144">
        <v>0.58837772397094434</v>
      </c>
      <c r="BX897">
        <v>16.999999999999996</v>
      </c>
      <c r="BZ897">
        <f>BX897*10^6</f>
        <v>16999999.999999996</v>
      </c>
      <c r="CA897" t="str">
        <f>IFERROR(BZ897/BQ897,"")</f>
        <v/>
      </c>
      <c r="CB897">
        <v>0</v>
      </c>
      <c r="CC897">
        <v>0</v>
      </c>
      <c r="CD897">
        <v>0</v>
      </c>
      <c r="CE897">
        <v>0</v>
      </c>
      <c r="CF897">
        <v>0</v>
      </c>
      <c r="CG897">
        <v>0</v>
      </c>
      <c r="CH897">
        <v>0</v>
      </c>
      <c r="CI897">
        <v>0</v>
      </c>
      <c r="CJ897">
        <v>0</v>
      </c>
      <c r="CK897">
        <v>0</v>
      </c>
      <c r="CL897">
        <v>0</v>
      </c>
      <c r="CM897">
        <v>0</v>
      </c>
      <c r="CN897">
        <v>0</v>
      </c>
      <c r="CO897">
        <v>0</v>
      </c>
      <c r="CP897" t="str">
        <f>IF($BN897&lt;$BM897,"refNeedCorrection","refOK")</f>
        <v>refOK</v>
      </c>
      <c r="CQ897">
        <f>IF($CP897="refOK",$BM897,$BN897)</f>
        <v>180</v>
      </c>
      <c r="CR897">
        <f>IF($CP897="refOK",$BN897,$BM897)</f>
        <v>180</v>
      </c>
      <c r="CS897">
        <f>IF($CP897="refOK",$BQ897,-$BQ897)</f>
        <v>0</v>
      </c>
      <c r="CT897">
        <f>IF(BI897="Roundwood",$CS897/2,$CS897)</f>
        <v>0</v>
      </c>
      <c r="CU897">
        <f>IF($CP897="refOK",$BU897,$BV897)*IF($BR897="Emissions positive",-1,1)</f>
        <v>-19.5</v>
      </c>
      <c r="CV897">
        <f>IF($CP897="refOK",$BV897,$BU897)*IF($BR897="Emissions positive",-1,1)</f>
        <v>-18.399999999999999</v>
      </c>
      <c r="CW897">
        <f>IF($CP897="refNeedCorrection",-BZ897,BZ897)*IF($BR897="Emissions positive",-1,1)</f>
        <v>16999999.999999996</v>
      </c>
      <c r="CX897" t="str">
        <f>IFERROR($CW897/$CS897,"")</f>
        <v/>
      </c>
      <c r="CY897" t="str">
        <f>IFERROR($CW897/$CS897,"")</f>
        <v/>
      </c>
      <c r="CZ897" t="str">
        <f>IFERROR($CW897/$CT897,"")</f>
        <v/>
      </c>
      <c r="DA897" s="2">
        <f>IFERROR((CV897-CU897)/ABS(CU897),"")</f>
        <v>5.641025641025648E-2</v>
      </c>
      <c r="DB897" s="1" t="s">
        <v>1078</v>
      </c>
      <c r="DC897" s="317" t="str">
        <f>IF(OR($DB897="prd",$DB897="std",$DB897="cit"),"loc",IF(OR($DB897="eur",$DB897="reg",$DB897="coy"),"reg",$DB897))</f>
        <v>reg</v>
      </c>
      <c r="DD897" t="s">
        <v>527</v>
      </c>
      <c r="DE897">
        <v>2012</v>
      </c>
      <c r="DF897">
        <v>2112</v>
      </c>
      <c r="DG897">
        <v>100</v>
      </c>
      <c r="DH897" t="str">
        <f>IF(DG897=0,"0",IF(AND(DG897&gt;=1,DG897&lt;=30),"1-30",IF(AND(DG897&gt;30,DG897&lt;=70),"31-70",IF(AND(DG897&gt;70,DG897&lt;=100),"71-100",IF(DG897&gt;100,"+100")))))</f>
        <v>71-100</v>
      </c>
      <c r="DI897">
        <v>0</v>
      </c>
      <c r="DJ897">
        <v>1</v>
      </c>
      <c r="DK897">
        <v>1</v>
      </c>
      <c r="DL897">
        <v>1</v>
      </c>
      <c r="DN897">
        <f>SUM(DI897:DL897)</f>
        <v>3</v>
      </c>
      <c r="DO897" t="str">
        <f>IF(DN897=1,INDEX($DI$7:$DL$7,MATCH(1,$DI897:$DL897,0)),"mixedProduct")</f>
        <v>mixedProduct</v>
      </c>
      <c r="DP897">
        <f>IF(DI897=1,DP$7,0)</f>
        <v>0</v>
      </c>
      <c r="DQ897" t="str">
        <f>IF(DJ897=1,DQ$7,0)</f>
        <v>Energy</v>
      </c>
      <c r="DR897" t="str">
        <f>IF(DK897=1,DR$7,0)</f>
        <v>Pulp/Paper</v>
      </c>
      <c r="DS897" t="str">
        <f>IF(DL897=1,DS$7,0)</f>
        <v>Timber</v>
      </c>
      <c r="DT897">
        <v>1</v>
      </c>
      <c r="DU897">
        <v>1</v>
      </c>
      <c r="DV897">
        <v>1</v>
      </c>
      <c r="DW897" t="s">
        <v>2011</v>
      </c>
      <c r="DY897">
        <f>SUM(DT897:DU897)</f>
        <v>2</v>
      </c>
      <c r="DZ897" s="143" t="str">
        <f>IF(DT897=1,"self-calculated DF",IF(DU897=1,"external DF used","explicit C balance"))</f>
        <v>self-calculated DF</v>
      </c>
      <c r="EA897">
        <v>0</v>
      </c>
      <c r="EB897">
        <v>0</v>
      </c>
      <c r="EC897">
        <v>0</v>
      </c>
      <c r="ED897">
        <v>1</v>
      </c>
      <c r="EE897">
        <v>1</v>
      </c>
      <c r="EF897">
        <v>1</v>
      </c>
      <c r="EG897">
        <v>0</v>
      </c>
      <c r="EH897">
        <v>1</v>
      </c>
      <c r="EI897">
        <v>0</v>
      </c>
      <c r="EJ897">
        <v>1</v>
      </c>
      <c r="EK897">
        <v>0</v>
      </c>
      <c r="EL897">
        <v>0</v>
      </c>
      <c r="EM897">
        <v>0</v>
      </c>
      <c r="EN897" s="2">
        <v>0</v>
      </c>
      <c r="EP897" t="str">
        <f>IF(AND(AND(AND(OR($EC897=1,$EB897=1),OR($EH897=1,$EF897=1)),SUM($EA897:$EE897,$EK897)&gt;=3),SUM($EF897:$EJ897)&gt;=2),"Whole sector approach","")</f>
        <v/>
      </c>
      <c r="EQ897" t="str">
        <f>IF(AND(AND(OR($EC897=1,$EB897=1),AND($EH897=0,$EF897=0)),SUM($EA897:$EE897,$EK897)&gt;=3),"Ecosystem approach","")</f>
        <v/>
      </c>
      <c r="ER897" s="2" t="str">
        <f>IF(AND(AND(AND($EC897=0,$EB897=0),OR($EH897=1,$EF897=1)),SUM($EG897:$EJ897)&gt;=2),"Technology approach","")</f>
        <v>Technology approach</v>
      </c>
      <c r="ES897" t="str">
        <f>IF(AND($EC897+$EB897+$EE897+$EA897+$ED897+$EG897=0,$N897="included"),"C neutral forest and HWP assumption","")</f>
        <v/>
      </c>
      <c r="ET897" t="str">
        <f>IF(AND(AND(AND(AND($EC897=1,$EB897+$EA897+$EG897&gt;=1),$EF897=1),$EH897+$EI897+$ED897+$EE897&gt;=2),$N897="included"),"All C pools assumption","")</f>
        <v/>
      </c>
      <c r="EU897" t="str">
        <f>IF(AND($ED897+$EE897+$EI897+$EH897+$EF897=0,$N897="included"),"In-situ only assumption","")</f>
        <v/>
      </c>
      <c r="EY897" t="b">
        <f>IF(ISNUMBER(BW897),IF(ABS(BW897-[4]QC_indicators!$B$2)&gt;3*[4]QC_indicators!$C$2,"C ratio",IF(ISNUMBER(CA897),IF(ABS(CA897-[4]QC_indicators!$B$1)&gt;3*[4]QC_indicators!$C$1,"DF","no"))),IF(ISNUMBER(CA897),IF(ABS(CA897-[4]QC_indicators!$B$1)&gt;3*[4]QC_indicators!$C$1,"DF","no")))</f>
        <v>0</v>
      </c>
      <c r="FA897" t="str">
        <f>IF(LEN($CY897)=0,"",IF(AND($CY897&lt;(-0.05),$ES897="C neutral forest and HWP assumption"),"Cneutral paradox",IF(AND($CY897&gt;0.05,$EU897="In-situ only assumption"),"In-situ only paradox","")))</f>
        <v/>
      </c>
      <c r="FB897" s="317" t="s">
        <v>2012</v>
      </c>
      <c r="FD897" t="s">
        <v>5060</v>
      </c>
    </row>
    <row r="898" spans="1:160" ht="15" hidden="1" customHeight="1">
      <c r="A898" s="1" t="s">
        <v>1654</v>
      </c>
      <c r="B898" t="s">
        <v>2003</v>
      </c>
      <c r="C898" t="s">
        <v>2004</v>
      </c>
      <c r="D898" t="s">
        <v>2005</v>
      </c>
      <c r="E898" t="s">
        <v>2006</v>
      </c>
      <c r="F898" t="s">
        <v>2007</v>
      </c>
      <c r="G898" t="s">
        <v>1660</v>
      </c>
      <c r="H898" t="s">
        <v>254</v>
      </c>
      <c r="I898">
        <v>2013</v>
      </c>
      <c r="J898">
        <v>49</v>
      </c>
      <c r="K898" t="s">
        <v>2008</v>
      </c>
      <c r="M898" t="str">
        <f>LEFT($D898,FIND(",",$D898)-1)&amp;"_"&amp;I898&amp;L898</f>
        <v>Sikkema_2013</v>
      </c>
      <c r="N898" t="s">
        <v>222</v>
      </c>
      <c r="O898" s="145" t="s">
        <v>341</v>
      </c>
      <c r="Q898" s="317" t="s">
        <v>256</v>
      </c>
      <c r="R898" s="318" t="s">
        <v>1029</v>
      </c>
      <c r="S898" s="1" t="s">
        <v>2009</v>
      </c>
      <c r="T898" t="s">
        <v>1000</v>
      </c>
      <c r="U898" t="s">
        <v>2009</v>
      </c>
      <c r="V898" s="253">
        <v>0</v>
      </c>
      <c r="W898" s="253">
        <v>0</v>
      </c>
      <c r="X898">
        <v>0</v>
      </c>
      <c r="Y898">
        <v>1</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s="141">
        <f>COUNTIF(X898:AY898,"&lt;&gt;0")</f>
        <v>1</v>
      </c>
      <c r="BA898" s="141">
        <f>COUNTIF(X898:AN898,"&lt;&gt;0")</f>
        <v>1</v>
      </c>
      <c r="BB898">
        <f>COUNTIF(X898:AE898,"&lt;&gt;0")</f>
        <v>1</v>
      </c>
      <c r="BC898">
        <f>COUNTIF(AF898:AK898,"&lt;&gt;0")</f>
        <v>0</v>
      </c>
      <c r="BD898">
        <f>COUNTIF(AL898:AN898,"&lt;&gt;0")</f>
        <v>0</v>
      </c>
      <c r="BE898">
        <f>COUNTIF(AU898:AY898,"&lt;&gt;0")</f>
        <v>0</v>
      </c>
      <c r="BF898">
        <f>COUNTIF(AO898:AT898,"&lt;&gt;0")</f>
        <v>0</v>
      </c>
      <c r="BG898" t="str" cm="1">
        <f t="array" ref="BG898">IF(BA898=1,INDEX($X$7:$AN$7,MATCH(TRUE,INDEX($X898:$AY898&lt;&gt;0,),0)),IF(BA898=0,INDEX($AO$7:$AY$7,MATCH(1,$AO898:$AY898,0)),IF(BH898="Multiple strategies","mixed drivers",IF(BH898="Supply chain","multiple supply","multiple silviculture"))))</f>
        <v>unspecified harvest increase</v>
      </c>
      <c r="BH898" s="2" t="str" cm="1">
        <f t="array" ref="BH898">IF(COUNTIF(BB898:BD898,"&lt;&gt;0")=1,INDEX($X$4:$AY$4,MATCH(TRUE,INDEX($X898:$AY898&lt;&gt;0,),0)),IF(COUNTIF(BB898:BD898,"&lt;&gt;0")=0,INDEX($AO$4:$AY$4,MATCH(1,$AO898:$AY898,0)),"Multiple strategies"))</f>
        <v>Silviculture for removals</v>
      </c>
      <c r="BI898" s="1" t="s">
        <v>321</v>
      </c>
      <c r="BJ898" t="s">
        <v>2010</v>
      </c>
      <c r="BK898" s="317" t="s">
        <v>5059</v>
      </c>
      <c r="BL898" t="s">
        <v>1228</v>
      </c>
      <c r="BM898">
        <v>130</v>
      </c>
      <c r="BN898">
        <v>180</v>
      </c>
      <c r="BO898" s="317">
        <f>BN898/BM898</f>
        <v>1.3846153846153846</v>
      </c>
      <c r="BP898">
        <f>BN898-BM898</f>
        <v>50</v>
      </c>
      <c r="BQ898">
        <f>BP898*10^6</f>
        <v>50000000</v>
      </c>
      <c r="BR898" s="317" t="s">
        <v>232</v>
      </c>
      <c r="BS898" s="357" t="s">
        <v>396</v>
      </c>
      <c r="BT898" t="s">
        <v>1018</v>
      </c>
      <c r="BU898">
        <v>-41.3</v>
      </c>
      <c r="BV898">
        <v>-24.3</v>
      </c>
      <c r="BW898" s="144">
        <v>0.61501210653753025</v>
      </c>
      <c r="BX898">
        <v>15.899999999999999</v>
      </c>
      <c r="BZ898">
        <f>BX898*10^6</f>
        <v>15899999.999999998</v>
      </c>
      <c r="CA898">
        <f>IFERROR(BZ898/BQ898,"")</f>
        <v>0.31799999999999995</v>
      </c>
      <c r="CB898">
        <v>0</v>
      </c>
      <c r="CC898">
        <v>0</v>
      </c>
      <c r="CD898">
        <v>0</v>
      </c>
      <c r="CE898">
        <v>0</v>
      </c>
      <c r="CF898">
        <v>0</v>
      </c>
      <c r="CG898">
        <v>0</v>
      </c>
      <c r="CH898">
        <v>0</v>
      </c>
      <c r="CI898">
        <v>0</v>
      </c>
      <c r="CJ898">
        <v>0</v>
      </c>
      <c r="CK898">
        <v>0</v>
      </c>
      <c r="CL898">
        <v>0</v>
      </c>
      <c r="CM898">
        <v>0</v>
      </c>
      <c r="CN898">
        <v>0</v>
      </c>
      <c r="CO898">
        <v>0</v>
      </c>
      <c r="CP898" t="str">
        <f>IF($BN898&lt;$BM898,"refNeedCorrection","refOK")</f>
        <v>refOK</v>
      </c>
      <c r="CQ898">
        <f>IF($CP898="refOK",$BM898,$BN898)</f>
        <v>130</v>
      </c>
      <c r="CR898">
        <f>IF($CP898="refOK",$BN898,$BM898)</f>
        <v>180</v>
      </c>
      <c r="CS898">
        <f>IF($CP898="refOK",$BQ898,-$BQ898)</f>
        <v>50000000</v>
      </c>
      <c r="CT898">
        <f>IF(BI898="Roundwood",$CS898/2,$CS898)</f>
        <v>25000000</v>
      </c>
      <c r="CU898">
        <f>IF($CP898="refOK",$BU898,$BV898)*IF($BR898="Emissions positive",-1,1)</f>
        <v>-41.3</v>
      </c>
      <c r="CV898">
        <f>IF($CP898="refOK",$BV898,$BU898)*IF($BR898="Emissions positive",-1,1)</f>
        <v>-24.3</v>
      </c>
      <c r="CW898">
        <f>IF($CP898="refNeedCorrection",-BZ898,BZ898)*IF($BR898="Emissions positive",-1,1)</f>
        <v>15899999.999999998</v>
      </c>
      <c r="CX898">
        <f>IFERROR($CW898/$CS898,"")</f>
        <v>0.31799999999999995</v>
      </c>
      <c r="CY898">
        <f>IFERROR($CW898/$CS898,"")</f>
        <v>0.31799999999999995</v>
      </c>
      <c r="CZ898">
        <f>IFERROR($CW898/$CT898,"")</f>
        <v>0.6359999999999999</v>
      </c>
      <c r="DA898" s="2">
        <f>IFERROR((CV898-CU898)/ABS(CU898),"")</f>
        <v>0.41162227602905566</v>
      </c>
      <c r="DB898" s="1" t="s">
        <v>1078</v>
      </c>
      <c r="DC898" s="317" t="str">
        <f>IF(OR($DB898="prd",$DB898="std",$DB898="cit"),"loc",IF(OR($DB898="eur",$DB898="reg",$DB898="coy"),"reg",$DB898))</f>
        <v>reg</v>
      </c>
      <c r="DD898" t="s">
        <v>527</v>
      </c>
      <c r="DE898">
        <v>2012</v>
      </c>
      <c r="DF898">
        <v>2112</v>
      </c>
      <c r="DG898">
        <v>100</v>
      </c>
      <c r="DH898" t="str">
        <f>IF(DG898=0,"0",IF(AND(DG898&gt;=1,DG898&lt;=30),"1-30",IF(AND(DG898&gt;30,DG898&lt;=70),"31-70",IF(AND(DG898&gt;70,DG898&lt;=100),"71-100",IF(DG898&gt;100,"+100")))))</f>
        <v>71-100</v>
      </c>
      <c r="DI898">
        <v>0</v>
      </c>
      <c r="DJ898">
        <v>1</v>
      </c>
      <c r="DK898">
        <v>1</v>
      </c>
      <c r="DL898">
        <v>1</v>
      </c>
      <c r="DN898">
        <f>SUM(DI898:DL898)</f>
        <v>3</v>
      </c>
      <c r="DO898" t="str">
        <f>IF(DN898=1,INDEX($DI$7:$DL$7,MATCH(1,$DI898:$DL898,0)),"mixedProduct")</f>
        <v>mixedProduct</v>
      </c>
      <c r="DP898">
        <f>IF(DI898=1,DP$7,0)</f>
        <v>0</v>
      </c>
      <c r="DQ898" t="str">
        <f>IF(DJ898=1,DQ$7,0)</f>
        <v>Energy</v>
      </c>
      <c r="DR898" t="str">
        <f>IF(DK898=1,DR$7,0)</f>
        <v>Pulp/Paper</v>
      </c>
      <c r="DS898" t="str">
        <f>IF(DL898=1,DS$7,0)</f>
        <v>Timber</v>
      </c>
      <c r="DT898">
        <v>1</v>
      </c>
      <c r="DU898">
        <v>1</v>
      </c>
      <c r="DV898">
        <v>1</v>
      </c>
      <c r="DW898" t="s">
        <v>2011</v>
      </c>
      <c r="DY898">
        <f>SUM(DT898:DU898)</f>
        <v>2</v>
      </c>
      <c r="DZ898" s="143" t="str">
        <f>IF(DT898=1,"self-calculated DF",IF(DU898=1,"external DF used","explicit C balance"))</f>
        <v>self-calculated DF</v>
      </c>
      <c r="EA898">
        <v>0</v>
      </c>
      <c r="EB898">
        <v>0</v>
      </c>
      <c r="EC898">
        <v>0</v>
      </c>
      <c r="ED898">
        <v>1</v>
      </c>
      <c r="EE898">
        <v>1</v>
      </c>
      <c r="EF898">
        <v>1</v>
      </c>
      <c r="EG898">
        <v>0</v>
      </c>
      <c r="EH898">
        <v>1</v>
      </c>
      <c r="EI898">
        <v>0</v>
      </c>
      <c r="EJ898">
        <v>1</v>
      </c>
      <c r="EK898">
        <v>0</v>
      </c>
      <c r="EL898">
        <v>0</v>
      </c>
      <c r="EM898">
        <v>0</v>
      </c>
      <c r="EN898" s="2">
        <v>0</v>
      </c>
      <c r="EP898" t="str">
        <f>IF(AND(AND(AND(OR($EC898=1,$EB898=1),OR($EH898=1,$EF898=1)),SUM($EA898:$EE898,$EK898)&gt;=3),SUM($EF898:$EJ898)&gt;=2),"Whole sector approach","")</f>
        <v/>
      </c>
      <c r="EQ898" t="str">
        <f>IF(AND(AND(OR($EC898=1,$EB898=1),AND($EH898=0,$EF898=0)),SUM($EA898:$EE898,$EK898)&gt;=3),"Ecosystem approach","")</f>
        <v/>
      </c>
      <c r="ER898" s="2" t="str">
        <f>IF(AND(AND(AND($EC898=0,$EB898=0),OR($EH898=1,$EF898=1)),SUM($EG898:$EJ898)&gt;=2),"Technology approach","")</f>
        <v>Technology approach</v>
      </c>
      <c r="ES898" t="str">
        <f>IF(AND($EC898+$EB898+$EE898+$EA898+$ED898+$EG898=0,$N898="included"),"C neutral forest and HWP assumption","")</f>
        <v/>
      </c>
      <c r="ET898" t="str">
        <f>IF(AND(AND(AND(AND($EC898=1,$EB898+$EA898+$EG898&gt;=1),$EF898=1),$EH898+$EI898+$ED898+$EE898&gt;=2),$N898="included"),"All C pools assumption","")</f>
        <v/>
      </c>
      <c r="EU898" t="str">
        <f>IF(AND($ED898+$EE898+$EI898+$EH898+$EF898=0,$N898="included"),"In-situ only assumption","")</f>
        <v/>
      </c>
      <c r="EY898" t="str">
        <f>IF(ISNUMBER(BW898),IF(ABS(BW898-[4]QC_indicators!$B$2)&gt;3*[4]QC_indicators!$C$2,"C ratio",IF(ISNUMBER(CA898),IF(ABS(CA898-[4]QC_indicators!$B$1)&gt;3*[4]QC_indicators!$C$1,"DF","no"))),IF(ISNUMBER(CA898),IF(ABS(CA898-[4]QC_indicators!$B$1)&gt;3*[4]QC_indicators!$C$1,"DF","no")))</f>
        <v>no</v>
      </c>
      <c r="FA898" t="str">
        <f>IF(LEN($CY898)=0,"",IF(AND($CY898&lt;(-0.05),$ES898="C neutral forest and HWP assumption"),"Cneutral paradox",IF(AND($CY898&gt;0.05,$EU898="In-situ only assumption"),"In-situ only paradox","")))</f>
        <v/>
      </c>
      <c r="FB898" s="317" t="s">
        <v>2012</v>
      </c>
      <c r="FD898" t="s">
        <v>5060</v>
      </c>
    </row>
    <row r="899" spans="1:160" ht="15" hidden="1" customHeight="1">
      <c r="A899" s="1" t="s">
        <v>380</v>
      </c>
      <c r="B899" t="s">
        <v>1060</v>
      </c>
      <c r="C899" t="s">
        <v>1061</v>
      </c>
      <c r="D899" t="s">
        <v>1062</v>
      </c>
      <c r="E899" t="s">
        <v>1063</v>
      </c>
      <c r="F899" t="s">
        <v>1064</v>
      </c>
      <c r="G899" t="s">
        <v>386</v>
      </c>
      <c r="H899" t="s">
        <v>254</v>
      </c>
      <c r="I899">
        <v>2013</v>
      </c>
      <c r="J899">
        <v>44</v>
      </c>
      <c r="K899" t="s">
        <v>1065</v>
      </c>
      <c r="M899" t="str">
        <f>LEFT($D899,FIND(",",$D899)-1)&amp;"_"&amp;I899&amp;L899</f>
        <v>Ximenes_2013</v>
      </c>
      <c r="N899" t="s">
        <v>222</v>
      </c>
      <c r="O899" s="145" t="s">
        <v>1029</v>
      </c>
      <c r="Q899" t="s">
        <v>256</v>
      </c>
      <c r="R899" s="251" t="s">
        <v>225</v>
      </c>
      <c r="S899" s="1" t="s">
        <v>1066</v>
      </c>
      <c r="T899" t="s">
        <v>1067</v>
      </c>
      <c r="U899" t="s">
        <v>1068</v>
      </c>
      <c r="V899" s="253">
        <v>0</v>
      </c>
      <c r="W899" s="253">
        <v>0</v>
      </c>
      <c r="X899">
        <v>0</v>
      </c>
      <c r="Y899">
        <v>0</v>
      </c>
      <c r="Z899">
        <v>0</v>
      </c>
      <c r="AA899">
        <v>0</v>
      </c>
      <c r="AB899">
        <v>0</v>
      </c>
      <c r="AC899">
        <v>0</v>
      </c>
      <c r="AD899">
        <v>0</v>
      </c>
      <c r="AE899">
        <v>0</v>
      </c>
      <c r="AF899">
        <v>0</v>
      </c>
      <c r="AG899">
        <v>0</v>
      </c>
      <c r="AH899">
        <v>0</v>
      </c>
      <c r="AI899">
        <v>0</v>
      </c>
      <c r="AJ899">
        <v>0</v>
      </c>
      <c r="AK899">
        <v>0</v>
      </c>
      <c r="AL899">
        <v>0</v>
      </c>
      <c r="AM899">
        <v>1</v>
      </c>
      <c r="AN899">
        <v>0</v>
      </c>
      <c r="AO899">
        <v>0</v>
      </c>
      <c r="AP899">
        <v>0</v>
      </c>
      <c r="AQ899">
        <v>0</v>
      </c>
      <c r="AR899">
        <v>0</v>
      </c>
      <c r="AS899">
        <v>0</v>
      </c>
      <c r="AT899">
        <v>0</v>
      </c>
      <c r="AU899">
        <v>0</v>
      </c>
      <c r="AV899">
        <v>0</v>
      </c>
      <c r="AW899">
        <v>0</v>
      </c>
      <c r="AX899">
        <v>0</v>
      </c>
      <c r="AY899">
        <v>0</v>
      </c>
      <c r="AZ899" s="141">
        <f>COUNTIF(X899:AY899,"&lt;&gt;0")</f>
        <v>1</v>
      </c>
      <c r="BA899" s="141">
        <f>COUNTIF(X899:AN899,"&lt;&gt;0")</f>
        <v>1</v>
      </c>
      <c r="BB899">
        <f>COUNTIF(X899:AE899,"&lt;&gt;0")</f>
        <v>0</v>
      </c>
      <c r="BC899">
        <f>COUNTIF(AF899:AK899,"&lt;&gt;0")</f>
        <v>0</v>
      </c>
      <c r="BD899">
        <f>COUNTIF(AL899:AN899,"&lt;&gt;0")</f>
        <v>1</v>
      </c>
      <c r="BE899">
        <f>COUNTIF(AU899:AY899,"&lt;&gt;0")</f>
        <v>0</v>
      </c>
      <c r="BF899">
        <f>COUNTIF(AO899:AT899,"&lt;&gt;0")</f>
        <v>0</v>
      </c>
      <c r="BG899" t="str">
        <f t="array" ref="BG899">IF(BA899=1,INDEX($X$7:$AN$7,MATCH(TRUE,INDEX($X899:$AY899&lt;&gt;0,),0)),IF(BA899=0,INDEX($AO$7:$AY$7,MATCH(1,$AO899:$AY899,0)),IF(BH899="Multiple strategies","mixed drivers",IF(BH899="Supply chain","multiple supply","multiple silviculture"))))</f>
        <v>technologies/design switch</v>
      </c>
      <c r="BH899" s="2" t="str" cm="1">
        <f t="array" ref="BH899">IF(COUNTIF(BB899:BD899,"&lt;&gt;0")=1,INDEX($X$4:$AY$4,MATCH(TRUE,INDEX($X899:$AY899&lt;&gt;0,),0)),IF(COUNTIF(BB899:BD899,"&lt;&gt;0")=0,INDEX($AO$4:$AY$4,MATCH(1,$AO899:$AY899,0)),"Multiple strategies"))</f>
        <v>Technology</v>
      </c>
      <c r="BI899" s="1" t="s">
        <v>229</v>
      </c>
      <c r="BJ899" t="s">
        <v>1069</v>
      </c>
      <c r="BK899" s="256" t="s">
        <v>3078</v>
      </c>
      <c r="BL899" s="260" t="s">
        <v>3079</v>
      </c>
      <c r="BM899" s="256">
        <v>12.616199999999999</v>
      </c>
      <c r="BN899" s="256">
        <v>19.1279</v>
      </c>
      <c r="BO899" s="143">
        <f>BN899/BM899</f>
        <v>1.5161379813255973</v>
      </c>
      <c r="BP899" s="223">
        <f>BN899-BM899</f>
        <v>6.5117000000000012</v>
      </c>
      <c r="BQ899">
        <f>+BP899/C_to_CO2*1000/0.245</f>
        <v>7242.0619473947627</v>
      </c>
      <c r="BR899" t="s">
        <v>232</v>
      </c>
      <c r="BS899" s="356" t="s">
        <v>3080</v>
      </c>
      <c r="BT899" t="s">
        <v>1070</v>
      </c>
      <c r="BU899">
        <v>-59.999999999999993</v>
      </c>
      <c r="BV899">
        <v>-26.6279069767441</v>
      </c>
      <c r="BW899" s="144">
        <f>IFERROR(BV899/BU899,"")</f>
        <v>0.44379844961240172</v>
      </c>
      <c r="BX899" s="144">
        <f>BV899-BU899</f>
        <v>33.372093023255893</v>
      </c>
      <c r="BY899" s="144"/>
      <c r="BZ899" s="144">
        <f>BX899</f>
        <v>33.372093023255893</v>
      </c>
      <c r="CA899">
        <f>IFERROR(BZ899/BQ899,"")</f>
        <v>4.6080927318304793E-3</v>
      </c>
      <c r="CB899">
        <v>0</v>
      </c>
      <c r="CC899">
        <v>0</v>
      </c>
      <c r="CD899">
        <v>0</v>
      </c>
      <c r="CE899">
        <v>0</v>
      </c>
      <c r="CF899">
        <v>0</v>
      </c>
      <c r="CG899">
        <v>0</v>
      </c>
      <c r="CH899">
        <v>0</v>
      </c>
      <c r="CI899">
        <v>0</v>
      </c>
      <c r="CJ899">
        <v>0</v>
      </c>
      <c r="CK899">
        <v>0</v>
      </c>
      <c r="CL899">
        <v>0</v>
      </c>
      <c r="CM899">
        <v>0</v>
      </c>
      <c r="CN899">
        <v>0</v>
      </c>
      <c r="CO899">
        <v>0</v>
      </c>
      <c r="CP899" t="str">
        <f>IF($BN899&lt;$BM899,"refNeedCorrection","refOK")</f>
        <v>refOK</v>
      </c>
      <c r="CQ899">
        <f>IF($CP899="refNeedCorrection",BN899,BM899)</f>
        <v>12.616199999999999</v>
      </c>
      <c r="CR899">
        <f>IF($CP899="refNeedCorrection",BM899,BN899)</f>
        <v>19.1279</v>
      </c>
      <c r="CS899">
        <f>IF($CP899="refOK",$BQ899,-$BQ899)</f>
        <v>7242.0619473947627</v>
      </c>
      <c r="CT899">
        <f>IF(BI899="Roundwood",$CS899/2,$CS899)</f>
        <v>7242.0619473947627</v>
      </c>
      <c r="CU899">
        <f>IF($CP899="refOK",$BU899,$BV899)*IF($BR899="Emissions positive",-1,1)</f>
        <v>-59.999999999999993</v>
      </c>
      <c r="CV899">
        <f>IF($CP899="refOK",$BV899,$BU899)*IF($BR899="Emissions positive",-1,1)</f>
        <v>-26.6279069767441</v>
      </c>
      <c r="CW899">
        <f>IF($CP899="refNeedCorrection",-BZ899,BZ899)*IF($BR899="Emissions positive",-1,1)</f>
        <v>33.372093023255893</v>
      </c>
      <c r="CX899">
        <f>IFERROR($CW899/$CS899,"")</f>
        <v>4.6080927318304793E-3</v>
      </c>
      <c r="CY899">
        <f>IFERROR($CW899/$CS899,"")</f>
        <v>4.6080927318304793E-3</v>
      </c>
      <c r="CZ899">
        <f>IFERROR($CW899/$CT899,"")</f>
        <v>4.6080927318304793E-3</v>
      </c>
      <c r="DA899" s="2">
        <f>IFERROR((CV899-CU899)/ABS(CU899),"")</f>
        <v>0.55620155038759833</v>
      </c>
      <c r="DB899" s="1" t="s">
        <v>263</v>
      </c>
      <c r="DC899" t="str">
        <f>IF(OR($DB899="prd",$DB899="std",$DB899="cit"),"loc",IF(OR($DB899="eur",$DB899="reg",$DB899="coy"),"reg",$DB899))</f>
        <v>loc</v>
      </c>
      <c r="DD899" t="s">
        <v>561</v>
      </c>
      <c r="DG899">
        <f>DF899-DE899</f>
        <v>0</v>
      </c>
      <c r="DH899" t="str">
        <f>IF(DG899=0,"0",IF(AND(DG899&gt;=1,DG899&lt;=30),"1-30",IF(AND(DG899&gt;30,DG899&lt;=70),"31-70",IF(AND(DG899&gt;70,DG899&lt;=100),"71-100",IF(DG899&gt;100,"+100")))))</f>
        <v>0</v>
      </c>
      <c r="DI899">
        <v>0</v>
      </c>
      <c r="DJ899">
        <v>0</v>
      </c>
      <c r="DK899">
        <v>0</v>
      </c>
      <c r="DL899">
        <v>1</v>
      </c>
      <c r="DM899">
        <v>0</v>
      </c>
      <c r="DN899">
        <f>SUM(DI899:DL899)</f>
        <v>1</v>
      </c>
      <c r="DO899" t="str">
        <f>IF(DN899=1,INDEX($DI$7:$DL$7,MATCH(1,$DI899:$DL899,0)),"mixedProduct")</f>
        <v>TimberInput</v>
      </c>
      <c r="DP899">
        <f>IF(DI899=1,DP$7,0)</f>
        <v>0</v>
      </c>
      <c r="DQ899">
        <f>IF(DJ899=1,DQ$7,0)</f>
        <v>0</v>
      </c>
      <c r="DR899">
        <f>IF(DK899=1,DR$7,0)</f>
        <v>0</v>
      </c>
      <c r="DS899" t="str">
        <f>IF(DL899=1,DS$7,0)</f>
        <v>Timber</v>
      </c>
      <c r="DT899">
        <v>0</v>
      </c>
      <c r="DU899">
        <v>0</v>
      </c>
      <c r="DV899">
        <v>0</v>
      </c>
      <c r="DW899">
        <v>0</v>
      </c>
      <c r="DX899">
        <v>0</v>
      </c>
      <c r="DY899">
        <f>SUM(DT899:DU899)</f>
        <v>0</v>
      </c>
      <c r="DZ899" s="143" t="str">
        <f>IF(DT899=1,"self-calculated DF",IF(DU899=1,"external DF used","explicit C balance"))</f>
        <v>explicit C balance</v>
      </c>
      <c r="EA899">
        <v>0</v>
      </c>
      <c r="EB899">
        <v>0</v>
      </c>
      <c r="EC899">
        <v>0</v>
      </c>
      <c r="ED899">
        <v>0</v>
      </c>
      <c r="EE899">
        <v>0</v>
      </c>
      <c r="EF899" s="143">
        <v>0</v>
      </c>
      <c r="EG899">
        <v>1</v>
      </c>
      <c r="EH899">
        <v>1</v>
      </c>
      <c r="EI899">
        <v>1</v>
      </c>
      <c r="EJ899">
        <v>1</v>
      </c>
      <c r="EK899">
        <v>0</v>
      </c>
      <c r="EL899">
        <v>0</v>
      </c>
      <c r="EM899">
        <v>0</v>
      </c>
      <c r="EN899" s="2">
        <v>0</v>
      </c>
      <c r="EP899" t="str">
        <f>IF(AND(AND(AND(OR($EC899=1,$EB899=1),OR($EH899=1,$EF899=1)),SUM($EA899:$EE899,$EK899)&gt;=3),SUM($EF899:$EJ899)&gt;=2),"Whole sector approach","")</f>
        <v/>
      </c>
      <c r="EQ899" t="str">
        <f>IF(AND(AND(OR($EC899=1,$EB899=1),AND($EH899=0,$EF899=0)),SUM($EA899:$EE899,$EK899)&gt;=4),"Ecosystem approach","")</f>
        <v/>
      </c>
      <c r="ER899" s="2" t="str">
        <f>IF(AND(AND(AND($EC899=0,$EB899=0),OR($EH899=1,$EF899=1)),SUM($EG899:$EJ899)&gt;=2),"Technology approach","")</f>
        <v>Technology approach</v>
      </c>
      <c r="ES899" t="str">
        <f>IF(AND($EC899+$EB899+$EE899+$EA899+$ED899+$EG899=0,$N899="included"),"C neutral forest and HWP assumption","")</f>
        <v/>
      </c>
      <c r="ET899" t="str">
        <f>IF(AND(AND(AND(AND($EC899=1,$EB899+$EA899+$EG899&gt;=1),$EF899=1),$EH899+$EI899+$ED899+$EE899&gt;=2),$N899="included"),"All C pools assumption","")</f>
        <v/>
      </c>
      <c r="EU899" t="str">
        <f>IF(AND($ED899+$EE899+$EI899+$EH899+$EF899=0,$N899="included"),"In-situ only assumption","")</f>
        <v/>
      </c>
      <c r="EW899" t="s">
        <v>1071</v>
      </c>
      <c r="EY899" t="str">
        <f>IF(ISNUMBER(BW899),IF(ABS(BW899-[6]QC_indicators!$B$2)&gt;3*[6]QC_indicators!$C$2,"C ratio",IF(ISNUMBER(CA899),IF(ABS(CA899-[6]QC_indicators!$B$1)&gt;3*[6]QC_indicators!$C$1,"DF","no"))),IF(ISNUMBER(CA899),IF(ABS(CA899-[6]QC_indicators!$B$1)&gt;3*[6]QC_indicators!$C$1,"DF","no")))</f>
        <v>no</v>
      </c>
      <c r="FA899" t="str">
        <f>IF(LEN($CY899)=0,"",IF(AND($CY899&lt;(-0.05),$ES899="C neutral forest and HWP assumption"),"Cneutral paradox",IF(AND($CY899&gt;0.05,$EU899="In-situ only assumption"),"In-situ only paradox","")))</f>
        <v/>
      </c>
      <c r="FD899" s="260" t="s">
        <v>2948</v>
      </c>
    </row>
    <row r="900" spans="1:160" ht="15" hidden="1" customHeight="1">
      <c r="A900" s="1" t="s">
        <v>380</v>
      </c>
      <c r="B900" t="s">
        <v>1060</v>
      </c>
      <c r="C900" t="s">
        <v>1061</v>
      </c>
      <c r="D900" t="s">
        <v>1062</v>
      </c>
      <c r="E900" t="s">
        <v>1063</v>
      </c>
      <c r="F900" t="s">
        <v>1064</v>
      </c>
      <c r="G900" t="s">
        <v>386</v>
      </c>
      <c r="H900" t="s">
        <v>254</v>
      </c>
      <c r="I900">
        <v>2013</v>
      </c>
      <c r="J900">
        <v>44</v>
      </c>
      <c r="K900" t="s">
        <v>1065</v>
      </c>
      <c r="M900" t="str">
        <f>LEFT($D900,FIND(",",$D900)-1)&amp;"_"&amp;I900&amp;L900</f>
        <v>Ximenes_2013</v>
      </c>
      <c r="N900" t="s">
        <v>222</v>
      </c>
      <c r="O900" s="145" t="s">
        <v>1029</v>
      </c>
      <c r="Q900" t="s">
        <v>256</v>
      </c>
      <c r="R900" s="251" t="s">
        <v>225</v>
      </c>
      <c r="S900" s="1" t="s">
        <v>1066</v>
      </c>
      <c r="T900" t="s">
        <v>1067</v>
      </c>
      <c r="U900" t="s">
        <v>1068</v>
      </c>
      <c r="V900" s="253">
        <v>0</v>
      </c>
      <c r="W900" s="253">
        <v>0</v>
      </c>
      <c r="X900">
        <v>0</v>
      </c>
      <c r="Y900">
        <v>0</v>
      </c>
      <c r="Z900">
        <v>0</v>
      </c>
      <c r="AA900">
        <v>0</v>
      </c>
      <c r="AB900">
        <v>0</v>
      </c>
      <c r="AC900">
        <v>0</v>
      </c>
      <c r="AD900">
        <v>0</v>
      </c>
      <c r="AE900">
        <v>0</v>
      </c>
      <c r="AF900">
        <v>0</v>
      </c>
      <c r="AG900">
        <v>0</v>
      </c>
      <c r="AH900">
        <v>0</v>
      </c>
      <c r="AI900">
        <v>0</v>
      </c>
      <c r="AJ900">
        <v>0</v>
      </c>
      <c r="AK900">
        <v>0</v>
      </c>
      <c r="AL900">
        <v>0</v>
      </c>
      <c r="AM900">
        <v>1</v>
      </c>
      <c r="AN900">
        <v>0</v>
      </c>
      <c r="AO900">
        <v>0</v>
      </c>
      <c r="AP900">
        <v>0</v>
      </c>
      <c r="AQ900">
        <v>0</v>
      </c>
      <c r="AR900">
        <v>0</v>
      </c>
      <c r="AS900">
        <v>0</v>
      </c>
      <c r="AT900">
        <v>0</v>
      </c>
      <c r="AU900">
        <v>0</v>
      </c>
      <c r="AV900">
        <v>0</v>
      </c>
      <c r="AW900">
        <v>0</v>
      </c>
      <c r="AX900">
        <v>0</v>
      </c>
      <c r="AY900">
        <v>0</v>
      </c>
      <c r="AZ900" s="141">
        <f>COUNTIF(X900:AY900,"&lt;&gt;0")</f>
        <v>1</v>
      </c>
      <c r="BA900" s="141">
        <f>COUNTIF(X900:AN900,"&lt;&gt;0")</f>
        <v>1</v>
      </c>
      <c r="BB900">
        <f>COUNTIF(X900:AE900,"&lt;&gt;0")</f>
        <v>0</v>
      </c>
      <c r="BC900">
        <f>COUNTIF(AF900:AK900,"&lt;&gt;0")</f>
        <v>0</v>
      </c>
      <c r="BD900">
        <f>COUNTIF(AL900:AN900,"&lt;&gt;0")</f>
        <v>1</v>
      </c>
      <c r="BE900">
        <f>COUNTIF(AU900:AY900,"&lt;&gt;0")</f>
        <v>0</v>
      </c>
      <c r="BF900">
        <f>COUNTIF(AO900:AT900,"&lt;&gt;0")</f>
        <v>0</v>
      </c>
      <c r="BG900" t="str">
        <f t="array" ref="BG900">IF(BA900=1,INDEX($X$7:$AN$7,MATCH(TRUE,INDEX($X900:$AY900&lt;&gt;0,),0)),IF(BA900=0,INDEX($AO$7:$AY$7,MATCH(1,$AO900:$AY900,0)),IF(BH900="Multiple strategies","mixed drivers",IF(BH900="Supply chain","multiple supply","multiple silviculture"))))</f>
        <v>technologies/design switch</v>
      </c>
      <c r="BH900" s="2" t="str" cm="1">
        <f t="array" ref="BH900">IF(COUNTIF(BB900:BD900,"&lt;&gt;0")=1,INDEX($X$4:$AY$4,MATCH(TRUE,INDEX($X900:$AY900&lt;&gt;0,),0)),IF(COUNTIF(BB900:BD900,"&lt;&gt;0")=0,INDEX($AO$4:$AY$4,MATCH(1,$AO900:$AY900,0)),"Multiple strategies"))</f>
        <v>Technology</v>
      </c>
      <c r="BI900" s="1" t="s">
        <v>229</v>
      </c>
      <c r="BJ900" t="s">
        <v>1069</v>
      </c>
      <c r="BK900" s="256" t="s">
        <v>3078</v>
      </c>
      <c r="BL900" s="260" t="s">
        <v>3079</v>
      </c>
      <c r="BM900" s="256">
        <f>7.325</f>
        <v>7.3250000000000002</v>
      </c>
      <c r="BN900" s="256">
        <v>14.244</v>
      </c>
      <c r="BO900" s="143">
        <f>BN900/BM900</f>
        <v>1.9445733788395905</v>
      </c>
      <c r="BP900">
        <f>BN900-BM900</f>
        <v>6.9189999999999996</v>
      </c>
      <c r="BQ900">
        <f>+BP900/C_to_CO2*1000/0.245</f>
        <v>7695.0453205805479</v>
      </c>
      <c r="BR900" t="s">
        <v>232</v>
      </c>
      <c r="BS900" s="356" t="s">
        <v>3080</v>
      </c>
      <c r="BT900" t="s">
        <v>1070</v>
      </c>
      <c r="BU900">
        <v>-59.593023255813996</v>
      </c>
      <c r="BV900">
        <v>-31.918604651162703</v>
      </c>
      <c r="BW900" s="144">
        <f>IFERROR(BV900/BU900,"")</f>
        <v>0.53560975609755912</v>
      </c>
      <c r="BX900" s="144">
        <f>BV900-BU900</f>
        <v>27.674418604651294</v>
      </c>
      <c r="BY900" s="144"/>
      <c r="BZ900" s="144">
        <f>BX900</f>
        <v>27.674418604651294</v>
      </c>
      <c r="CA900">
        <f>IFERROR(BZ900/BQ900,"")</f>
        <v>3.5963944917433463E-3</v>
      </c>
      <c r="CB900">
        <v>0</v>
      </c>
      <c r="CC900">
        <v>0</v>
      </c>
      <c r="CD900">
        <v>0</v>
      </c>
      <c r="CE900">
        <v>0</v>
      </c>
      <c r="CF900">
        <v>0</v>
      </c>
      <c r="CG900">
        <v>0</v>
      </c>
      <c r="CH900">
        <v>0</v>
      </c>
      <c r="CI900">
        <v>0</v>
      </c>
      <c r="CJ900">
        <v>0</v>
      </c>
      <c r="CK900">
        <v>0</v>
      </c>
      <c r="CL900">
        <v>0</v>
      </c>
      <c r="CM900">
        <v>0</v>
      </c>
      <c r="CN900">
        <v>0</v>
      </c>
      <c r="CO900">
        <v>0</v>
      </c>
      <c r="CP900" t="str">
        <f>IF($BN900&lt;$BM900,"refNeedCorrection","refOK")</f>
        <v>refOK</v>
      </c>
      <c r="CQ900">
        <f>IF($CP900="refNeedCorrection",BN900,BM900)</f>
        <v>7.3250000000000002</v>
      </c>
      <c r="CR900">
        <f>IF($CP900="refNeedCorrection",BM900,BN900)</f>
        <v>14.244</v>
      </c>
      <c r="CS900">
        <f>IF($CP900="refOK",$BQ900,-$BQ900)</f>
        <v>7695.0453205805479</v>
      </c>
      <c r="CT900">
        <f>IF(BI900="Roundwood",$CS900/2,$CS900)</f>
        <v>7695.0453205805479</v>
      </c>
      <c r="CU900">
        <f>IF($CP900="refOK",$BU900,$BV900)*IF($BR900="Emissions positive",-1,1)</f>
        <v>-59.593023255813996</v>
      </c>
      <c r="CV900">
        <f>IF($CP900="refOK",$BV900,$BU900)*IF($BR900="Emissions positive",-1,1)</f>
        <v>-31.918604651162703</v>
      </c>
      <c r="CW900">
        <f>IF($CP900="refNeedCorrection",-BZ900,BZ900)*IF($BR900="Emissions positive",-1,1)</f>
        <v>27.674418604651294</v>
      </c>
      <c r="CX900">
        <f>IFERROR($CW900/$CS900,"")</f>
        <v>3.5963944917433463E-3</v>
      </c>
      <c r="CY900">
        <f>IFERROR($CW900/$CS900,"")</f>
        <v>3.5963944917433463E-3</v>
      </c>
      <c r="CZ900">
        <f>IFERROR($CW900/$CT900,"")</f>
        <v>3.5963944917433463E-3</v>
      </c>
      <c r="DA900" s="2">
        <f>IFERROR((CV900-CU900)/ABS(CU900),"")</f>
        <v>0.46439024390244088</v>
      </c>
      <c r="DB900" s="1" t="s">
        <v>263</v>
      </c>
      <c r="DC900" t="str">
        <f>IF(OR($DB900="prd",$DB900="std",$DB900="cit"),"loc",IF(OR($DB900="eur",$DB900="reg",$DB900="coy"),"reg",$DB900))</f>
        <v>loc</v>
      </c>
      <c r="DD900" t="s">
        <v>561</v>
      </c>
      <c r="DG900">
        <f>DF900-DE900</f>
        <v>0</v>
      </c>
      <c r="DH900" t="str">
        <f>IF(DG900=0,"0",IF(AND(DG900&gt;=1,DG900&lt;=30),"1-30",IF(AND(DG900&gt;30,DG900&lt;=70),"31-70",IF(AND(DG900&gt;70,DG900&lt;=100),"71-100",IF(DG900&gt;100,"+100")))))</f>
        <v>0</v>
      </c>
      <c r="DI900">
        <v>0</v>
      </c>
      <c r="DJ900">
        <v>0</v>
      </c>
      <c r="DK900">
        <v>0</v>
      </c>
      <c r="DL900">
        <v>1</v>
      </c>
      <c r="DM900">
        <v>0</v>
      </c>
      <c r="DN900">
        <f>SUM(DI900:DL900)</f>
        <v>1</v>
      </c>
      <c r="DO900" t="str">
        <f>IF(DN900=1,INDEX($DI$7:$DL$7,MATCH(1,$DI900:$DL900,0)),"mixedProduct")</f>
        <v>TimberInput</v>
      </c>
      <c r="DP900">
        <f>IF(DI900=1,DP$7,0)</f>
        <v>0</v>
      </c>
      <c r="DQ900">
        <f>IF(DJ900=1,DQ$7,0)</f>
        <v>0</v>
      </c>
      <c r="DR900">
        <f>IF(DK900=1,DR$7,0)</f>
        <v>0</v>
      </c>
      <c r="DS900" t="str">
        <f>IF(DL900=1,DS$7,0)</f>
        <v>Timber</v>
      </c>
      <c r="DT900">
        <v>0</v>
      </c>
      <c r="DU900">
        <v>0</v>
      </c>
      <c r="DV900">
        <v>0</v>
      </c>
      <c r="DW900">
        <v>0</v>
      </c>
      <c r="DX900">
        <v>0</v>
      </c>
      <c r="DY900">
        <f>SUM(DT900:DU900)</f>
        <v>0</v>
      </c>
      <c r="DZ900" s="143" t="str">
        <f>IF(DT900=1,"self-calculated DF",IF(DU900=1,"external DF used","explicit C balance"))</f>
        <v>explicit C balance</v>
      </c>
      <c r="EA900">
        <v>0</v>
      </c>
      <c r="EB900">
        <v>0</v>
      </c>
      <c r="EC900">
        <v>0</v>
      </c>
      <c r="ED900">
        <v>0</v>
      </c>
      <c r="EE900">
        <v>0</v>
      </c>
      <c r="EF900" s="143">
        <v>0</v>
      </c>
      <c r="EG900">
        <v>1</v>
      </c>
      <c r="EH900">
        <v>1</v>
      </c>
      <c r="EI900">
        <v>1</v>
      </c>
      <c r="EJ900">
        <v>1</v>
      </c>
      <c r="EK900">
        <v>0</v>
      </c>
      <c r="EL900">
        <v>0</v>
      </c>
      <c r="EM900">
        <v>0</v>
      </c>
      <c r="EN900" s="2">
        <v>0</v>
      </c>
      <c r="EP900" t="str">
        <f>IF(AND(AND(AND(OR($EC900=1,$EB900=1),OR($EH900=1,$EF900=1)),SUM($EA900:$EE900,$EK900)&gt;=3),SUM($EF900:$EJ900)&gt;=2),"Whole sector approach","")</f>
        <v/>
      </c>
      <c r="EQ900" t="str">
        <f>IF(AND(AND(OR($EC900=1,$EB900=1),AND($EH900=0,$EF900=0)),SUM($EA900:$EE900,$EK900)&gt;=4),"Ecosystem approach","")</f>
        <v/>
      </c>
      <c r="ER900" s="2" t="str">
        <f>IF(AND(AND(AND($EC900=0,$EB900=0),OR($EH900=1,$EF900=1)),SUM($EG900:$EJ900)&gt;=2),"Technology approach","")</f>
        <v>Technology approach</v>
      </c>
      <c r="ES900" t="str">
        <f>IF(AND($EC900+$EB900+$EE900+$EA900+$ED900+$EG900=0,$N900="included"),"C neutral forest and HWP assumption","")</f>
        <v/>
      </c>
      <c r="ET900" t="str">
        <f>IF(AND(AND(AND(AND($EC900=1,$EB900+$EA900+$EG900&gt;=1),$EF900=1),$EH900+$EI900+$ED900+$EE900&gt;=2),$N900="included"),"All C pools assumption","")</f>
        <v/>
      </c>
      <c r="EU900" t="str">
        <f>IF(AND($ED900+$EE900+$EI900+$EH900+$EF900=0,$N900="included"),"In-situ only assumption","")</f>
        <v/>
      </c>
      <c r="EW900" t="s">
        <v>1071</v>
      </c>
      <c r="EY900" t="str">
        <f>IF(ISNUMBER(BW900),IF(ABS(BW900-[6]QC_indicators!$B$2)&gt;3*[6]QC_indicators!$C$2,"C ratio",IF(ISNUMBER(CA900),IF(ABS(CA900-[6]QC_indicators!$B$1)&gt;3*[6]QC_indicators!$C$1,"DF","no"))),IF(ISNUMBER(CA900),IF(ABS(CA900-[6]QC_indicators!$B$1)&gt;3*[6]QC_indicators!$C$1,"DF","no")))</f>
        <v>no</v>
      </c>
      <c r="FA900" t="str">
        <f>IF(LEN($CY900)=0,"",IF(AND($CY900&lt;(-0.05),$ES900="C neutral forest and HWP assumption"),"Cneutral paradox",IF(AND($CY900&gt;0.05,$EU900="In-situ only assumption"),"In-situ only paradox","")))</f>
        <v/>
      </c>
      <c r="FD900" s="260" t="s">
        <v>2948</v>
      </c>
    </row>
    <row r="901" spans="1:160" ht="15" hidden="1" customHeight="1">
      <c r="A901" s="1" t="s">
        <v>1108</v>
      </c>
      <c r="B901" t="s">
        <v>1109</v>
      </c>
      <c r="C901" t="s">
        <v>1110</v>
      </c>
      <c r="D901" t="s">
        <v>336</v>
      </c>
      <c r="E901" t="s">
        <v>1111</v>
      </c>
      <c r="F901" t="s">
        <v>1112</v>
      </c>
      <c r="G901" t="s">
        <v>1113</v>
      </c>
      <c r="I901">
        <v>2018</v>
      </c>
      <c r="K901" t="s">
        <v>1114</v>
      </c>
      <c r="M901" t="str">
        <f>LEFT($D901,FIND(",",$D901)-1)&amp;"_"&amp;I901&amp;L901</f>
        <v>Balasbaneh_2018</v>
      </c>
      <c r="N901" t="s">
        <v>222</v>
      </c>
      <c r="O901" s="140" t="s">
        <v>508</v>
      </c>
      <c r="Q901" t="s">
        <v>224</v>
      </c>
      <c r="R901" s="258" t="s">
        <v>223</v>
      </c>
      <c r="S901" s="1" t="s">
        <v>1117</v>
      </c>
      <c r="T901" s="260" t="s">
        <v>2792</v>
      </c>
      <c r="U901" s="260" t="s">
        <v>2790</v>
      </c>
      <c r="V901" s="253">
        <v>0</v>
      </c>
      <c r="W901" s="253">
        <v>0</v>
      </c>
      <c r="X901">
        <v>0</v>
      </c>
      <c r="Y901">
        <v>0</v>
      </c>
      <c r="Z901">
        <v>0</v>
      </c>
      <c r="AA901">
        <v>0</v>
      </c>
      <c r="AB901">
        <v>0</v>
      </c>
      <c r="AC901">
        <v>0</v>
      </c>
      <c r="AD901">
        <v>0</v>
      </c>
      <c r="AE901">
        <v>0</v>
      </c>
      <c r="AF901">
        <v>0</v>
      </c>
      <c r="AG901">
        <v>0</v>
      </c>
      <c r="AH901">
        <v>0</v>
      </c>
      <c r="AI901">
        <v>0</v>
      </c>
      <c r="AJ901">
        <v>0</v>
      </c>
      <c r="AK901">
        <v>0</v>
      </c>
      <c r="AL901">
        <v>0</v>
      </c>
      <c r="AM901">
        <v>1</v>
      </c>
      <c r="AN901">
        <v>0</v>
      </c>
      <c r="AO901">
        <v>0</v>
      </c>
      <c r="AP901">
        <v>0</v>
      </c>
      <c r="AQ901">
        <v>0</v>
      </c>
      <c r="AR901">
        <v>0</v>
      </c>
      <c r="AS901">
        <v>0</v>
      </c>
      <c r="AT901">
        <v>0</v>
      </c>
      <c r="AU901">
        <v>0</v>
      </c>
      <c r="AV901">
        <v>0</v>
      </c>
      <c r="AW901">
        <v>0</v>
      </c>
      <c r="AX901">
        <v>0</v>
      </c>
      <c r="AY901">
        <v>0</v>
      </c>
      <c r="AZ901" s="141">
        <f>COUNTIF(X901:AY901,"&lt;&gt;0")</f>
        <v>1</v>
      </c>
      <c r="BA901" s="141">
        <f>COUNTIF(X901:AN901,"&lt;&gt;0")</f>
        <v>1</v>
      </c>
      <c r="BB901">
        <f>COUNTIF(X901:AE901,"&lt;&gt;0")</f>
        <v>0</v>
      </c>
      <c r="BC901">
        <f>COUNTIF(AF901:AK901,"&lt;&gt;0")</f>
        <v>0</v>
      </c>
      <c r="BD901">
        <f>COUNTIF(AL901:AN901,"&lt;&gt;0")</f>
        <v>1</v>
      </c>
      <c r="BE901">
        <f>COUNTIF(AU901:AY901,"&lt;&gt;0")</f>
        <v>0</v>
      </c>
      <c r="BF901">
        <f>COUNTIF(AO901:AT901,"&lt;&gt;0")</f>
        <v>0</v>
      </c>
      <c r="BG901" t="str">
        <f t="array" ref="BG901">IF(BA901=1,INDEX($X$7:$AN$7,MATCH(TRUE,INDEX($X901:$AY901&lt;&gt;0,),0)),IF(BA901=0,INDEX($AO$7:$AY$7,MATCH(1,$AO901:$AY901,0)),IF(BH901="Multiple strategies","mixed drivers",IF(BH901="Supply chain","multiple supply","multiple silviculture"))))</f>
        <v>technologies/design switch</v>
      </c>
      <c r="BH901" s="2" t="str" cm="1">
        <f t="array" ref="BH901">IF(COUNTIF(BB901:BD901,"&lt;&gt;0")=1,INDEX($X$4:$AY$4,MATCH(TRUE,INDEX($X901:$AY901&lt;&gt;0,),0)),IF(COUNTIF(BB901:BD901,"&lt;&gt;0")=0,INDEX($AO$4:$AY$4,MATCH(1,$AO901:$AY901,0)),"Multiple strategies"))</f>
        <v>Technology</v>
      </c>
      <c r="BI901" s="1" t="s">
        <v>229</v>
      </c>
      <c r="BJ901" t="s">
        <v>229</v>
      </c>
      <c r="BL901" t="s">
        <v>345</v>
      </c>
      <c r="BM901">
        <v>0</v>
      </c>
      <c r="BN901">
        <v>15468</v>
      </c>
      <c r="BO901" s="143"/>
      <c r="BP901">
        <f>BN901-BM901</f>
        <v>15468</v>
      </c>
      <c r="BQ901" s="143">
        <f>BP901*kg_to_m3</f>
        <v>31.567346938775515</v>
      </c>
      <c r="BR901" t="s">
        <v>232</v>
      </c>
      <c r="BS901" s="292" t="s">
        <v>987</v>
      </c>
      <c r="BT901" t="s">
        <v>397</v>
      </c>
      <c r="BU901">
        <v>-8790</v>
      </c>
      <c r="BV901">
        <v>-5840</v>
      </c>
      <c r="BW901" s="144">
        <v>0.664391353811149</v>
      </c>
      <c r="BX901">
        <v>2950</v>
      </c>
      <c r="BZ901">
        <f>BX901/1000</f>
        <v>2.95</v>
      </c>
      <c r="CA901">
        <f>IFERROR(BZ901/BQ901,"")</f>
        <v>9.3450995603827247E-2</v>
      </c>
      <c r="CB901">
        <v>0</v>
      </c>
      <c r="CC901">
        <v>0</v>
      </c>
      <c r="CD901">
        <v>0</v>
      </c>
      <c r="CE901">
        <v>0</v>
      </c>
      <c r="CF901">
        <v>0</v>
      </c>
      <c r="CG901">
        <v>0</v>
      </c>
      <c r="CH901">
        <v>0</v>
      </c>
      <c r="CI901">
        <v>0</v>
      </c>
      <c r="CJ901">
        <v>0</v>
      </c>
      <c r="CK901">
        <v>0</v>
      </c>
      <c r="CL901">
        <v>0</v>
      </c>
      <c r="CM901">
        <v>0</v>
      </c>
      <c r="CN901">
        <v>0</v>
      </c>
      <c r="CO901">
        <v>0</v>
      </c>
      <c r="CP901" t="str">
        <f>IF($BN901&lt;$BM901,"refNeedCorrection","refOK")</f>
        <v>refOK</v>
      </c>
      <c r="CQ901">
        <f>IF($CP901="refNeedCorrection",BN901,BM901)</f>
        <v>0</v>
      </c>
      <c r="CR901">
        <f>IF($CP901="refNeedCorrection",BM901,BN901)</f>
        <v>15468</v>
      </c>
      <c r="CS901">
        <f>IF($CP901="refOK",$BQ901,-$BQ901)</f>
        <v>31.567346938775515</v>
      </c>
      <c r="CT901">
        <f>IF(BI901="Roundwood",$CS901/2,$CS901)</f>
        <v>31.567346938775515</v>
      </c>
      <c r="CU901">
        <f>IF($CP901="refOK",$BU901,$BV901)*IF($BR901="Emissions positive",-1,1)</f>
        <v>-8790</v>
      </c>
      <c r="CV901">
        <f>IF($CP901="refOK",$BV901,$BU901)*IF($BR901="Emissions positive",-1,1)</f>
        <v>-5840</v>
      </c>
      <c r="CW901">
        <f>IF($CP901="refNeedCorrection",-BZ901,BZ901)*IF($BR901="Emissions positive",-1,1)</f>
        <v>2.95</v>
      </c>
      <c r="CX901">
        <f>IFERROR($CW901/$CS901,"")</f>
        <v>9.3450995603827247E-2</v>
      </c>
      <c r="CY901">
        <f>IFERROR($CW901/$CS901,"")</f>
        <v>9.3450995603827247E-2</v>
      </c>
      <c r="CZ901">
        <f>IFERROR($CW901/$CT901,"")</f>
        <v>9.3450995603827247E-2</v>
      </c>
      <c r="DA901" s="2">
        <f>IFERROR((CV901-CU901)/ABS(CU901),"")</f>
        <v>0.33560864618885095</v>
      </c>
      <c r="DB901" s="1" t="s">
        <v>1078</v>
      </c>
      <c r="DC901" t="str">
        <f>IF(OR($DB901="prd",$DB901="std",$DB901="cit"),"loc",IF(OR($DB901="eur",$DB901="reg",$DB901="coy"),"reg",$DB901))</f>
        <v>reg</v>
      </c>
      <c r="DD901" t="s">
        <v>348</v>
      </c>
      <c r="DE901">
        <v>2014</v>
      </c>
      <c r="DF901">
        <v>2034</v>
      </c>
      <c r="DG901">
        <v>20</v>
      </c>
      <c r="DH901" t="str">
        <f>IF(DG901=0,"0",IF(AND(DG901&gt;=1,DG901&lt;=30),"1-30",IF(AND(DG901&gt;30,DG901&lt;=70),"31-70",IF(AND(DG901&gt;70,DG901&lt;=100),"71-100",IF(DG901&gt;100,"+100")))))</f>
        <v>1-30</v>
      </c>
      <c r="DI901">
        <v>0</v>
      </c>
      <c r="DJ901">
        <v>0</v>
      </c>
      <c r="DK901">
        <v>0</v>
      </c>
      <c r="DL901">
        <v>1</v>
      </c>
      <c r="DN901">
        <f>SUM(DI901:DL901)</f>
        <v>1</v>
      </c>
      <c r="DO901" t="str">
        <f>IF(DN901=1,INDEX($DI$7:$DL$7,MATCH(1,$DI901:$DL901,0)),"mixedProduct")</f>
        <v>TimberInput</v>
      </c>
      <c r="DP901">
        <f>IF(DI901=1,DP$7,0)</f>
        <v>0</v>
      </c>
      <c r="DQ901">
        <f>IF(DJ901=1,DQ$7,0)</f>
        <v>0</v>
      </c>
      <c r="DR901">
        <f>IF(DK901=1,DR$7,0)</f>
        <v>0</v>
      </c>
      <c r="DS901" t="str">
        <f>IF(DL901=1,DS$7,0)</f>
        <v>Timber</v>
      </c>
      <c r="DT901">
        <v>0</v>
      </c>
      <c r="DU901">
        <v>0</v>
      </c>
      <c r="DV901">
        <v>0</v>
      </c>
      <c r="DW901">
        <v>0</v>
      </c>
      <c r="DX901">
        <v>0</v>
      </c>
      <c r="DY901">
        <f>SUM(DT901:DU901)</f>
        <v>0</v>
      </c>
      <c r="DZ901" s="143" t="str">
        <f>IF(DT901=1,"self-calculated DF",IF(DU901=1,"external DF used","explicit C balance"))</f>
        <v>explicit C balance</v>
      </c>
      <c r="EA901">
        <v>0</v>
      </c>
      <c r="EB901">
        <v>0</v>
      </c>
      <c r="EC901">
        <v>0</v>
      </c>
      <c r="ED901">
        <v>0</v>
      </c>
      <c r="EE901">
        <v>0</v>
      </c>
      <c r="EF901" s="143">
        <v>1</v>
      </c>
      <c r="EG901">
        <v>0</v>
      </c>
      <c r="EH901">
        <v>1</v>
      </c>
      <c r="EI901">
        <v>1</v>
      </c>
      <c r="EJ901">
        <v>1</v>
      </c>
      <c r="EK901">
        <v>0</v>
      </c>
      <c r="EL901">
        <v>0</v>
      </c>
      <c r="EM901">
        <v>0</v>
      </c>
      <c r="EN901" s="2">
        <v>0</v>
      </c>
      <c r="EP901" t="str">
        <f>IF(AND(AND(AND(OR($EC901=1,$EB901=1),OR($EH901=1,$EF901=1)),SUM($EA901:$EE901,$EK901)&gt;=3),SUM($EF901:$EJ901)&gt;=2),"Whole sector approach","")</f>
        <v/>
      </c>
      <c r="EQ901" t="str">
        <f>IF(AND(AND(OR($EC901=1,$EB901=1),AND($EH901=0,$EF901=0)),SUM($EA901:$EE901,$EK901)&gt;=4),"Ecosystem approach","")</f>
        <v/>
      </c>
      <c r="ER901" s="2" t="str">
        <f>IF(AND(AND(AND($EC901=0,$EB901=0),OR($EH901=1,$EF901=1)),SUM($EG901:$EJ901)&gt;=2),"Technology approach","")</f>
        <v>Technology approach</v>
      </c>
      <c r="ES901" t="str">
        <f>IF(AND($EC901+$EB901+$EE901+$EA901+$ED901+$EG901=0,$N901="included"),"C neutral forest and HWP assumption","")</f>
        <v>C neutral forest and HWP assumption</v>
      </c>
      <c r="ET901" t="str">
        <f>IF(AND(AND(AND(AND($EC901=1,$EB901+$EA901+$EG901&gt;=1),$EF901=1),$EH901+$EI901+$ED901+$EE901&gt;=2),$N901="included"),"All C pools assumption","")</f>
        <v/>
      </c>
      <c r="EU901" t="str">
        <f>IF(AND($ED901+$EE901+$EI901+$EH901+$EF901=0,$N901="included"),"In-situ only assumption","")</f>
        <v/>
      </c>
      <c r="EY901" t="str">
        <f>IF(ISNUMBER(BW901),IF(ABS(BW901-[2]QC_indicators!$B$2)&gt;3*[2]QC_indicators!$C$2,"C ratio",IF(ISNUMBER(CA901),IF(ABS(CA901-[2]QC_indicators!$B$1)&gt;3*[2]QC_indicators!$C$1,"DF","no"))),IF(ISNUMBER(CA901),IF(ABS(CA901-[2]QC_indicators!$B$1)&gt;3*[2]QC_indicators!$C$1,"DF","no")))</f>
        <v>no</v>
      </c>
      <c r="FA901" t="str">
        <f>IF(LEN($CY901)=0,"",IF(AND($CY901&lt;(-0.05),$ES901="C neutral forest and HWP assumption"),"Cneutral paradox",IF(AND($CY901&gt;0.05,$EU901="In-situ only assumption"),"In-situ only paradox","")))</f>
        <v/>
      </c>
      <c r="FB901" s="149" t="s">
        <v>349</v>
      </c>
      <c r="FD901" s="260" t="s">
        <v>2948</v>
      </c>
    </row>
    <row r="902" spans="1:160" ht="15" hidden="1" customHeight="1">
      <c r="A902" s="1" t="s">
        <v>549</v>
      </c>
      <c r="B902" t="s">
        <v>531</v>
      </c>
      <c r="C902" t="s">
        <v>1465</v>
      </c>
      <c r="D902" t="s">
        <v>1466</v>
      </c>
      <c r="E902" t="s">
        <v>1467</v>
      </c>
      <c r="F902" t="s">
        <v>1468</v>
      </c>
      <c r="G902" t="s">
        <v>554</v>
      </c>
      <c r="H902" t="s">
        <v>254</v>
      </c>
      <c r="I902">
        <v>2019</v>
      </c>
      <c r="J902">
        <v>15</v>
      </c>
      <c r="K902" t="s">
        <v>1469</v>
      </c>
      <c r="M902" t="str">
        <f>LEFT($D902,FIND(",",$D902)-1)&amp;"_"&amp;I902&amp;L902</f>
        <v>Geng_2019</v>
      </c>
      <c r="N902" t="s">
        <v>222</v>
      </c>
      <c r="O902" s="180" t="s">
        <v>225</v>
      </c>
      <c r="Q902" s="317" t="s">
        <v>256</v>
      </c>
      <c r="R902" s="318" t="s">
        <v>1029</v>
      </c>
      <c r="S902" s="1" t="s">
        <v>1470</v>
      </c>
      <c r="T902" t="s">
        <v>4935</v>
      </c>
      <c r="U902" t="s">
        <v>4936</v>
      </c>
      <c r="V902" s="253">
        <v>0</v>
      </c>
      <c r="W902" s="253">
        <v>0</v>
      </c>
      <c r="X902">
        <v>0</v>
      </c>
      <c r="Y902">
        <v>0</v>
      </c>
      <c r="Z902">
        <v>0</v>
      </c>
      <c r="AA902">
        <v>0</v>
      </c>
      <c r="AB902">
        <v>0</v>
      </c>
      <c r="AC902">
        <v>0</v>
      </c>
      <c r="AD902">
        <v>0</v>
      </c>
      <c r="AE902">
        <v>0</v>
      </c>
      <c r="AF902">
        <v>0</v>
      </c>
      <c r="AG902">
        <v>0</v>
      </c>
      <c r="AH902">
        <v>0</v>
      </c>
      <c r="AI902">
        <v>0</v>
      </c>
      <c r="AJ902">
        <v>0</v>
      </c>
      <c r="AK902">
        <v>0</v>
      </c>
      <c r="AL902">
        <v>0</v>
      </c>
      <c r="AM902">
        <v>1</v>
      </c>
      <c r="AN902">
        <v>0</v>
      </c>
      <c r="AO902">
        <v>0</v>
      </c>
      <c r="AP902">
        <v>0</v>
      </c>
      <c r="AQ902">
        <v>0</v>
      </c>
      <c r="AR902">
        <v>0</v>
      </c>
      <c r="AS902">
        <v>0</v>
      </c>
      <c r="AT902">
        <v>0</v>
      </c>
      <c r="AU902">
        <v>0</v>
      </c>
      <c r="AV902">
        <v>0</v>
      </c>
      <c r="AW902">
        <v>0</v>
      </c>
      <c r="AX902">
        <v>0</v>
      </c>
      <c r="AY902">
        <v>0</v>
      </c>
      <c r="AZ902" s="141">
        <f>COUNTIF(X902:AY902,"&lt;&gt;0")</f>
        <v>1</v>
      </c>
      <c r="BA902" s="141">
        <f>COUNTIF(X902:AN902,"&lt;&gt;0")</f>
        <v>1</v>
      </c>
      <c r="BB902">
        <f>COUNTIF(X902:AE902,"&lt;&gt;0")</f>
        <v>0</v>
      </c>
      <c r="BC902">
        <f>COUNTIF(AF902:AK902,"&lt;&gt;0")</f>
        <v>0</v>
      </c>
      <c r="BD902">
        <f>COUNTIF(AL902:AN902,"&lt;&gt;0")</f>
        <v>1</v>
      </c>
      <c r="BE902">
        <f>COUNTIF(AU902:AY902,"&lt;&gt;0")</f>
        <v>0</v>
      </c>
      <c r="BF902">
        <f>COUNTIF(AO902:AT902,"&lt;&gt;0")</f>
        <v>0</v>
      </c>
      <c r="BG902" t="str" cm="1">
        <f t="array" ref="BG902">IF(BA902=1,INDEX($X$7:$AN$7,MATCH(TRUE,INDEX($X902:$AY902&lt;&gt;0,),0)),IF(BA902=0,INDEX($AO$7:$AY$7,MATCH(1,$AO902:$AY902,0)),IF(BH902="Multiple strategies","mixed drivers",IF(BH902="Supply chain","multiple supply","multiple silviculture"))))</f>
        <v>technologies/design switch</v>
      </c>
      <c r="BH902" s="2" t="str" cm="1">
        <f t="array" ref="BH902">IF(COUNTIF(BB902:BD902,"&lt;&gt;0")=1,INDEX($X$4:$AY$4,MATCH(TRUE,INDEX($X902:$AY902&lt;&gt;0,),0)),IF(COUNTIF(BB902:BD902,"&lt;&gt;0")=0,INDEX($AO$4:$AY$4,MATCH(1,$AO902:$AY902,0)),"Multiple strategies"))</f>
        <v>Technology</v>
      </c>
      <c r="BI902" s="1" t="s">
        <v>229</v>
      </c>
      <c r="BJ902" t="s">
        <v>1471</v>
      </c>
      <c r="BK902" t="s">
        <v>424</v>
      </c>
      <c r="BL902" t="s">
        <v>1472</v>
      </c>
      <c r="BM902">
        <v>30.52</v>
      </c>
      <c r="BN902">
        <v>81.7</v>
      </c>
      <c r="BO902">
        <f>BN902/BM902</f>
        <v>2.6769331585845348</v>
      </c>
      <c r="BP902">
        <f>BN902-BM902</f>
        <v>51.180000000000007</v>
      </c>
      <c r="BQ902">
        <f>BP902*kg_to_m3</f>
        <v>0.10444897959183676</v>
      </c>
      <c r="BR902" t="s">
        <v>232</v>
      </c>
      <c r="BS902" s="230" t="s">
        <v>424</v>
      </c>
      <c r="BT902" t="s">
        <v>1473</v>
      </c>
      <c r="BW902" s="144" t="str">
        <f>IFERROR(BV902/BU902,"")</f>
        <v/>
      </c>
      <c r="BX902">
        <v>10.02</v>
      </c>
      <c r="BZ902">
        <f>BX902/1000</f>
        <v>1.0019999999999999E-2</v>
      </c>
      <c r="CA902">
        <f>IFERROR(BZ902/BQ902,"")</f>
        <v>9.5932004689331746E-2</v>
      </c>
      <c r="CB902">
        <v>0</v>
      </c>
      <c r="CC902">
        <v>0</v>
      </c>
      <c r="CD902">
        <v>0</v>
      </c>
      <c r="CE902">
        <v>0</v>
      </c>
      <c r="CF902">
        <v>0</v>
      </c>
      <c r="CG902">
        <v>0</v>
      </c>
      <c r="CH902">
        <v>0</v>
      </c>
      <c r="CI902">
        <v>0</v>
      </c>
      <c r="CJ902">
        <v>0</v>
      </c>
      <c r="CK902">
        <v>0</v>
      </c>
      <c r="CL902">
        <v>0</v>
      </c>
      <c r="CM902">
        <v>0</v>
      </c>
      <c r="CN902">
        <v>0</v>
      </c>
      <c r="CO902">
        <v>0</v>
      </c>
      <c r="CP902" t="str">
        <f>IF(BN902&lt;BM902,"refNeedCorrection","refOK")</f>
        <v>refOK</v>
      </c>
      <c r="CQ902">
        <f>IF($CP902="refOK",$BM902,$BN902)</f>
        <v>30.52</v>
      </c>
      <c r="CR902">
        <f>IF($CP902="refOK",$BN902,$BM902)</f>
        <v>81.7</v>
      </c>
      <c r="CS902">
        <f>IF($CP902="refOK",$BQ902,-$BQ902)</f>
        <v>0.10444897959183676</v>
      </c>
      <c r="CT902">
        <f>IF(BI902="Roundwood",$CS902/2,$CS902)</f>
        <v>0.10444897959183676</v>
      </c>
      <c r="CU902">
        <f>IF($CP902="refOK",$BU902,$BV902)*IF($BR902="Emissions positive",-1,1)</f>
        <v>0</v>
      </c>
      <c r="CV902">
        <f>IF($CP902="refOK",$BV902,$BU902)*IF($BR902="Emissions positive",-1,1)</f>
        <v>0</v>
      </c>
      <c r="CW902">
        <f>IF($CP902="refNeedCorrection",-BZ902,BZ902)*IF($BR902="Emissions positive",-1,1)</f>
        <v>1.0019999999999999E-2</v>
      </c>
      <c r="CX902">
        <f>IFERROR($CW902/$CS902,"")</f>
        <v>9.5932004689331746E-2</v>
      </c>
      <c r="CY902">
        <f>IFERROR($CW902/$CS902,"")</f>
        <v>9.5932004689331746E-2</v>
      </c>
      <c r="CZ902">
        <f>IFERROR($CW902/$CT902,"")</f>
        <v>9.5932004689331746E-2</v>
      </c>
      <c r="DA902" s="2" t="str">
        <f>IFERROR((CV902-CU902)/ABS(CU902),"")</f>
        <v/>
      </c>
      <c r="DB902" s="1" t="s">
        <v>1078</v>
      </c>
      <c r="DC902" s="317" t="str">
        <f>IF(OR($DB902="prd",$DB902="std",$DB902="cit"),"loc",IF(OR($DB902="eur",$DB902="reg",$DB902="coy"),"reg",$DB902))</f>
        <v>reg</v>
      </c>
      <c r="DD902" t="s">
        <v>677</v>
      </c>
      <c r="DE902">
        <v>2019</v>
      </c>
      <c r="DG902">
        <v>0</v>
      </c>
      <c r="DH902" t="str">
        <f>IF(DG902=0,"0",IF(AND(DG902&gt;=1,DG902&lt;=30),"1-30",IF(AND(DG902&gt;30,DG902&lt;=70),"31-70",IF(AND(DG902&gt;70,DG902&lt;=100),"71-100",IF(DG902&gt;100,"+100")))))</f>
        <v>0</v>
      </c>
      <c r="DI902">
        <v>0</v>
      </c>
      <c r="DJ902">
        <v>0</v>
      </c>
      <c r="DK902">
        <v>0</v>
      </c>
      <c r="DL902">
        <v>1</v>
      </c>
      <c r="DN902">
        <f>SUM(DI902:DL902)</f>
        <v>1</v>
      </c>
      <c r="DO902" t="str">
        <f>IF(DN902=1,INDEX($DI$7:$DL$7,MATCH(1,$DI902:$DL902,0)),"mixedProduct")</f>
        <v>TimberInput</v>
      </c>
      <c r="DP902">
        <f>IF(DI902=1,DP$7,0)</f>
        <v>0</v>
      </c>
      <c r="DQ902">
        <f>IF(DJ902=1,DQ$7,0)</f>
        <v>0</v>
      </c>
      <c r="DR902">
        <f>IF(DK902=1,DR$7,0)</f>
        <v>0</v>
      </c>
      <c r="DS902" t="str">
        <f>IF(DL902=1,DS$7,0)</f>
        <v>Timber</v>
      </c>
      <c r="DT902">
        <v>1</v>
      </c>
      <c r="DU902">
        <v>0</v>
      </c>
      <c r="DV902">
        <v>0</v>
      </c>
      <c r="DW902">
        <v>0</v>
      </c>
      <c r="DX902">
        <v>0</v>
      </c>
      <c r="DY902">
        <f>SUM(DT902:DU902)</f>
        <v>1</v>
      </c>
      <c r="DZ902" s="143" t="str">
        <f>IF(DT902=1,"self-calculated DF",IF(DU902=1,"external DF used","explicit C balance"))</f>
        <v>self-calculated DF</v>
      </c>
      <c r="EA902">
        <v>0</v>
      </c>
      <c r="EB902">
        <v>0</v>
      </c>
      <c r="EC902">
        <v>0</v>
      </c>
      <c r="ED902">
        <v>0</v>
      </c>
      <c r="EE902">
        <v>0</v>
      </c>
      <c r="EF902" s="143">
        <v>1</v>
      </c>
      <c r="EG902">
        <v>0</v>
      </c>
      <c r="EH902">
        <v>1</v>
      </c>
      <c r="EI902">
        <v>0</v>
      </c>
      <c r="EJ902">
        <v>0</v>
      </c>
      <c r="EK902">
        <v>0</v>
      </c>
      <c r="EL902">
        <v>0</v>
      </c>
      <c r="EM902">
        <v>0</v>
      </c>
      <c r="EN902" s="2">
        <v>0</v>
      </c>
      <c r="EP902" t="str">
        <f>IF(AND(AND(AND(OR($EC902=1,$EB902=1),OR($EH902=1,$EF902=1)),SUM($EA902:$EE902,$EK902)&gt;=3),SUM($EF902:$EJ902)&gt;=2),"Whole sector approach","")</f>
        <v/>
      </c>
      <c r="EQ902" t="str">
        <f>IF(AND(AND(OR($EC902=1,$EB902=1),AND($EH902=0,$EF902=0)),SUM($EA902:$EE902,$EK902)&gt;=3),"Ecosystem approach","")</f>
        <v/>
      </c>
      <c r="ER902" s="2" t="str">
        <f>IF(AND(AND(AND($EC902=0,$EB902=0),OR($EH902=1,$EF902=1)),SUM($EG902:$EJ902)&gt;=2),"Technology approach","")</f>
        <v/>
      </c>
      <c r="ES902" t="str">
        <f>IF(AND($EC902+$EB902+$EE902+$EA902+$ED902+$EG902=0,$N902="included"),"C neutral forest and HWP assumption","")</f>
        <v>C neutral forest and HWP assumption</v>
      </c>
      <c r="ET902" t="str">
        <f>IF(AND(AND(AND(AND($EC902=1,$EB902+$EA902+$EG902&gt;=1),$EF902=1),$EH902+$EI902+$ED902+$EE902&gt;=2),$N902="included"),"All C pools assumption","")</f>
        <v/>
      </c>
      <c r="EU902" t="str">
        <f>IF(AND($ED902+$EE902+$EI902+$EH902+$EF902=0,$N902="included"),"In-situ only assumption","")</f>
        <v/>
      </c>
      <c r="EW902" t="s">
        <v>1474</v>
      </c>
      <c r="EY902" t="str">
        <f>IF(ISNUMBER(BW902),IF(ABS(BW902-[4]QC_indicators!$B$2)&gt;3*[4]QC_indicators!$C$2,"C ratio",IF(ISNUMBER(CA902),IF(ABS(CA902-[4]QC_indicators!$B$1)&gt;3*[4]QC_indicators!$C$1,"DF","no"))),IF(ISNUMBER(CA902),IF(ABS(CA902-[4]QC_indicators!$B$1)&gt;3*[4]QC_indicators!$C$1,"DF","no")))</f>
        <v>no</v>
      </c>
      <c r="FA902" t="str">
        <f>IF(LEN($CY902)=0,"",IF(AND($CY902&lt;(-0.05),$ES902="C neutral forest and HWP assumption"),"Cneutral paradox",IF(AND($CY902&gt;0.05,$EU902="In-situ only assumption"),"In-situ only paradox","")))</f>
        <v/>
      </c>
      <c r="FB902" t="s">
        <v>1475</v>
      </c>
    </row>
    <row r="903" spans="1:160" ht="15" hidden="1" customHeight="1">
      <c r="D903" t="s">
        <v>927</v>
      </c>
      <c r="E903" t="s">
        <v>949</v>
      </c>
      <c r="G903" t="s">
        <v>950</v>
      </c>
      <c r="I903">
        <v>2004</v>
      </c>
      <c r="K903" t="s">
        <v>951</v>
      </c>
      <c r="M903" t="str">
        <f>LEFT($D903,FIND(",",$D903)-1)&amp;"_"&amp;I903&amp;L903</f>
        <v>Petersen_2004</v>
      </c>
      <c r="N903" t="s">
        <v>222</v>
      </c>
      <c r="O903" s="171" t="s">
        <v>508</v>
      </c>
      <c r="P903" s="141" t="s">
        <v>225</v>
      </c>
      <c r="Q903" t="s">
        <v>389</v>
      </c>
      <c r="R903" s="258" t="s">
        <v>223</v>
      </c>
      <c r="S903" s="1" t="s">
        <v>956</v>
      </c>
      <c r="T903" t="s">
        <v>957</v>
      </c>
      <c r="U903" t="s">
        <v>958</v>
      </c>
      <c r="V903" s="253">
        <v>0</v>
      </c>
      <c r="W903" s="253">
        <v>0</v>
      </c>
      <c r="X903">
        <v>0</v>
      </c>
      <c r="Y903">
        <v>0</v>
      </c>
      <c r="Z903">
        <v>0</v>
      </c>
      <c r="AA903">
        <v>0</v>
      </c>
      <c r="AB903">
        <v>0</v>
      </c>
      <c r="AC903">
        <v>0</v>
      </c>
      <c r="AD903">
        <v>0</v>
      </c>
      <c r="AE903">
        <v>0</v>
      </c>
      <c r="AF903">
        <v>0</v>
      </c>
      <c r="AG903">
        <v>0</v>
      </c>
      <c r="AH903">
        <v>0</v>
      </c>
      <c r="AI903">
        <v>0</v>
      </c>
      <c r="AJ903">
        <v>0</v>
      </c>
      <c r="AK903">
        <v>0</v>
      </c>
      <c r="AL903">
        <v>0</v>
      </c>
      <c r="AM903">
        <v>1</v>
      </c>
      <c r="AN903">
        <v>0</v>
      </c>
      <c r="AO903">
        <v>0</v>
      </c>
      <c r="AP903">
        <v>0</v>
      </c>
      <c r="AQ903">
        <v>0</v>
      </c>
      <c r="AR903">
        <v>0</v>
      </c>
      <c r="AS903">
        <v>0</v>
      </c>
      <c r="AT903">
        <v>0</v>
      </c>
      <c r="AU903">
        <v>0</v>
      </c>
      <c r="AV903">
        <v>0</v>
      </c>
      <c r="AW903">
        <v>0</v>
      </c>
      <c r="AX903">
        <v>0</v>
      </c>
      <c r="AY903">
        <v>0</v>
      </c>
      <c r="AZ903" s="141">
        <f>COUNTIF(X903:AY903,"&lt;&gt;0")</f>
        <v>1</v>
      </c>
      <c r="BA903" s="141">
        <f>COUNTIF(X903:AN903,"&lt;&gt;0")</f>
        <v>1</v>
      </c>
      <c r="BB903">
        <f>COUNTIF(X903:AE903,"&lt;&gt;0")</f>
        <v>0</v>
      </c>
      <c r="BC903">
        <f>COUNTIF(AF903:AK903,"&lt;&gt;0")</f>
        <v>0</v>
      </c>
      <c r="BD903">
        <f>COUNTIF(AL903:AN903,"&lt;&gt;0")</f>
        <v>1</v>
      </c>
      <c r="BE903">
        <f>COUNTIF(AU903:AY903,"&lt;&gt;0")</f>
        <v>0</v>
      </c>
      <c r="BF903">
        <f>COUNTIF(AO903:AT903,"&lt;&gt;0")</f>
        <v>0</v>
      </c>
      <c r="BG903" t="str">
        <f t="array" ref="BG903">IF(BA903=1,INDEX($X$7:$AN$7,MATCH(TRUE,INDEX($X903:$AY903&lt;&gt;0,),0)),IF(BA903=0,INDEX($AO$7:$AY$7,MATCH(1,$AO903:$AY903,0)),IF(BH903="Multiple strategies","mixed drivers",IF(BH903="Supply chain","multiple supply","multiple silviculture"))))</f>
        <v>technologies/design switch</v>
      </c>
      <c r="BH903" s="2" t="str" cm="1">
        <f t="array" ref="BH903">IF(COUNTIF(BB903:BD903,"&lt;&gt;0")=1,INDEX($X$4:$AY$4,MATCH(TRUE,INDEX($X903:$AY903&lt;&gt;0,),0)),IF(COUNTIF(BB903:BD903,"&lt;&gt;0")=0,INDEX($AO$4:$AY$4,MATCH(1,$AO903:$AY903,0)),"Multiple strategies"))</f>
        <v>Technology</v>
      </c>
      <c r="BI903" s="142" t="s">
        <v>229</v>
      </c>
      <c r="BJ903" t="s">
        <v>933</v>
      </c>
      <c r="BK903" t="s">
        <v>954</v>
      </c>
      <c r="BL903" t="s">
        <v>498</v>
      </c>
      <c r="BM903">
        <v>0</v>
      </c>
      <c r="BN903" s="143">
        <v>1</v>
      </c>
      <c r="BO903" t="str">
        <f>IFERROR(BN903/BM903,"")</f>
        <v/>
      </c>
      <c r="BP903">
        <f>BN903-BM903</f>
        <v>1</v>
      </c>
      <c r="BQ903" s="159">
        <v>1</v>
      </c>
      <c r="BR903" t="s">
        <v>232</v>
      </c>
      <c r="BS903" t="s">
        <v>955</v>
      </c>
      <c r="BT903" t="s">
        <v>946</v>
      </c>
      <c r="BW903" s="144"/>
      <c r="BX903">
        <v>0.1</v>
      </c>
      <c r="BZ903">
        <f>BX903</f>
        <v>0.1</v>
      </c>
      <c r="CA903">
        <f>IFERROR(BZ903/BQ903,"")</f>
        <v>0.1</v>
      </c>
      <c r="CB903">
        <v>0</v>
      </c>
      <c r="CC903">
        <v>0</v>
      </c>
      <c r="CD903">
        <v>0</v>
      </c>
      <c r="CE903">
        <v>0</v>
      </c>
      <c r="CF903">
        <v>0</v>
      </c>
      <c r="CG903">
        <v>0</v>
      </c>
      <c r="CH903">
        <v>0</v>
      </c>
      <c r="CI903">
        <v>0</v>
      </c>
      <c r="CJ903">
        <v>0</v>
      </c>
      <c r="CK903">
        <v>0</v>
      </c>
      <c r="CL903">
        <v>0</v>
      </c>
      <c r="CM903">
        <v>0</v>
      </c>
      <c r="CN903">
        <v>0</v>
      </c>
      <c r="CO903">
        <v>0</v>
      </c>
      <c r="CP903" t="str">
        <f>IF($BN903&lt;$BM903,"refNeedCorrection","refOK")</f>
        <v>refOK</v>
      </c>
      <c r="CQ903">
        <f>IF($CP903="refOK",$BM903,$BN903)</f>
        <v>0</v>
      </c>
      <c r="CR903">
        <f>IF($CP903="refOK",$BN903,$BM903)</f>
        <v>1</v>
      </c>
      <c r="CS903">
        <f>IF($CP903="refOK",$BQ903,-$BQ903)</f>
        <v>1</v>
      </c>
      <c r="CT903">
        <f>IF(BI903="Roundwood",$CS903/2,$CS903)</f>
        <v>1</v>
      </c>
      <c r="CU903">
        <f>IF($CP903="refOK",$BU903,$BV903)*IF($BR903="Emissions positive",-1,1)</f>
        <v>0</v>
      </c>
      <c r="CV903">
        <f>IF($CP903="refOK",$BV903,$BU903)*IF($BR903="Emissions positive",-1,1)</f>
        <v>0</v>
      </c>
      <c r="CW903">
        <f>IF($CP903="refNeedCorrection",-BZ903,BZ903)*IF($BR903="Emissions positive",-1,1)</f>
        <v>0.1</v>
      </c>
      <c r="CX903">
        <f>IFERROR($CW903/$CS903,"")</f>
        <v>0.1</v>
      </c>
      <c r="CY903">
        <f>IFERROR($CW903/$CS903,"")</f>
        <v>0.1</v>
      </c>
      <c r="CZ903">
        <f>IFERROR($CW903/$CT903,"")</f>
        <v>0.1</v>
      </c>
      <c r="DA903" s="2" t="str">
        <f>IFERROR((CV903-CU903)/ABS(CU903),"")</f>
        <v/>
      </c>
      <c r="DB903" s="1" t="s">
        <v>263</v>
      </c>
      <c r="DC903" t="str">
        <f>IF(OR($DB903="prd",$DB903="std",$DB903="cit"),"loc",IF(OR($DB903="eur",$DB903="reg",$DB903="coy"),"reg",$DB903))</f>
        <v>loc</v>
      </c>
      <c r="DD903" t="s">
        <v>264</v>
      </c>
      <c r="DF903" s="143"/>
      <c r="DG903" s="143">
        <v>45</v>
      </c>
      <c r="DH903" t="str">
        <f>IF(DG903=0,"0",IF(AND(DG903&gt;=1,DG903&lt;=30),"1-30",IF(AND(DG903&gt;30,DG903&lt;=70),"31-70",IF(AND(DG903&gt;70,DG903&lt;=100),"71-100",IF(DG903&gt;100,"+100")))))</f>
        <v>31-70</v>
      </c>
      <c r="DI903">
        <v>0</v>
      </c>
      <c r="DJ903">
        <v>0</v>
      </c>
      <c r="DK903">
        <v>0</v>
      </c>
      <c r="DL903">
        <v>1</v>
      </c>
      <c r="DM903">
        <v>0</v>
      </c>
      <c r="DN903">
        <f>SUM(DI903:DL903)</f>
        <v>1</v>
      </c>
      <c r="DO903" t="str">
        <f>IF(DN903=1,INDEX($DI$7:$DL$7,MATCH(1,$DI903:$DL903,0)),"mixedProduct")</f>
        <v>TimberInput</v>
      </c>
      <c r="DP903">
        <f>IF(DI903=1,DP$7,0)</f>
        <v>0</v>
      </c>
      <c r="DQ903">
        <f>IF(DJ903=1,DQ$7,0)</f>
        <v>0</v>
      </c>
      <c r="DR903">
        <f>IF(DK903=1,DR$7,0)</f>
        <v>0</v>
      </c>
      <c r="DS903" t="str">
        <f>IF(DL903=1,DS$7,0)</f>
        <v>Timber</v>
      </c>
      <c r="DT903">
        <v>1</v>
      </c>
      <c r="DU903">
        <v>0</v>
      </c>
      <c r="DV903">
        <v>0</v>
      </c>
      <c r="DW903">
        <v>0</v>
      </c>
      <c r="DX903">
        <v>0</v>
      </c>
      <c r="DY903">
        <f>SUM(DT903:DU903)</f>
        <v>1</v>
      </c>
      <c r="DZ903" s="143" t="str">
        <f>IF(DT903=1,"self-calculated DF",IF(DU903=1,"external DF used","explicit C balance"))</f>
        <v>self-calculated DF</v>
      </c>
      <c r="EA903" s="143">
        <v>0</v>
      </c>
      <c r="EB903" s="143">
        <v>0</v>
      </c>
      <c r="EC903" s="143">
        <v>0</v>
      </c>
      <c r="ED903" s="143">
        <v>0</v>
      </c>
      <c r="EE903">
        <v>0</v>
      </c>
      <c r="EF903" s="143">
        <v>0</v>
      </c>
      <c r="EG903" s="143">
        <v>0</v>
      </c>
      <c r="EH903" s="143">
        <v>1</v>
      </c>
      <c r="EI903" s="143">
        <v>0</v>
      </c>
      <c r="EJ903">
        <v>0</v>
      </c>
      <c r="EK903">
        <v>0</v>
      </c>
      <c r="EL903" s="143">
        <v>0</v>
      </c>
      <c r="EM903" s="143">
        <v>0</v>
      </c>
      <c r="EN903" s="2">
        <v>0</v>
      </c>
      <c r="EP903" t="str">
        <f>IF(AND(AND(AND(OR($EC903=1,$EB903=1),OR($EH903=1,$EF903=1)),SUM($EA903:$EE903,$EK903)&gt;=3),SUM($EF903:$EJ903)&gt;=2),"Whole sector approach","")</f>
        <v/>
      </c>
      <c r="EQ903" t="str">
        <f>IF(AND(AND(OR($EC903=1,$EB903=1),AND($EH903=0,$EF903=0)),SUM($EA903:$EE903,$EK903)&gt;=4),"Ecosystem approach","")</f>
        <v/>
      </c>
      <c r="ER903" s="2" t="str">
        <f>IF(AND(AND(AND($EC903=0,$EB903=0),OR($EH903=1,$EF903=1)),SUM($EG903:$EJ903)&gt;=2),"Technology approach","")</f>
        <v/>
      </c>
      <c r="ES903" t="str">
        <f>IF(AND($EC903+$EB903+$EE903+$EA903+$ED903+$EG903=0,$N903="included"),"C neutral forest and HWP assumption","")</f>
        <v>C neutral forest and HWP assumption</v>
      </c>
      <c r="ET903" t="str">
        <f>IF(AND(AND(AND(AND($EC903=1,$EB903+$EA903+$EG903&gt;=1),$EF903=1),$EH903+$EI903+$ED903+$EE903&gt;=2),$N903="included"),"All C pools assumption","")</f>
        <v/>
      </c>
      <c r="EU903" t="str">
        <f>IF(AND($ED903+$EE903+$EI903+$EH903+$EF903=0,$N903="included"),"In-situ only assumption","")</f>
        <v/>
      </c>
      <c r="EY903" t="str">
        <f>IF(ISNUMBER(BW903),IF(ABS(BW903-[2]QC_indicators!$B$2)&gt;3*[2]QC_indicators!$C$2,"C ratio",IF(ISNUMBER(CA903),IF(ABS(CA903-[2]QC_indicators!$B$1)&gt;3*[2]QC_indicators!$C$1,"DF","no"))),IF(ISNUMBER(CA903),IF(ABS(CA903-[2]QC_indicators!$B$1)&gt;3*[2]QC_indicators!$C$1,"DF","no")))</f>
        <v>no</v>
      </c>
      <c r="FA903" t="str">
        <f>IF(LEN($CY903)=0,"",IF(AND($CY903&lt;(-0.05),$ES903="C neutral forest and HWP assumption"),"Cneutral paradox",IF(AND($CY903&gt;0.05,$EU903="In-situ only assumption"),"In-situ only paradox","")))</f>
        <v/>
      </c>
      <c r="FB903" t="s">
        <v>944</v>
      </c>
      <c r="FD903" s="260" t="s">
        <v>2887</v>
      </c>
    </row>
    <row r="904" spans="1:160" ht="15" hidden="1" customHeight="1">
      <c r="A904" s="1" t="s">
        <v>601</v>
      </c>
      <c r="B904" t="s">
        <v>617</v>
      </c>
      <c r="C904" t="s">
        <v>618</v>
      </c>
      <c r="D904" t="s">
        <v>619</v>
      </c>
      <c r="E904" s="260" t="s">
        <v>620</v>
      </c>
      <c r="F904" t="s">
        <v>621</v>
      </c>
      <c r="G904" t="s">
        <v>607</v>
      </c>
      <c r="H904" t="s">
        <v>254</v>
      </c>
      <c r="I904">
        <v>2022</v>
      </c>
      <c r="J904">
        <v>1</v>
      </c>
      <c r="K904" t="s">
        <v>622</v>
      </c>
      <c r="M904" t="str">
        <f>LEFT($D904,FIND(",",$D904)-1)&amp;"_"&amp;I904&amp;L904</f>
        <v>Devenes_2022</v>
      </c>
      <c r="N904" t="s">
        <v>222</v>
      </c>
      <c r="O904" s="145" t="s">
        <v>223</v>
      </c>
      <c r="Q904" t="s">
        <v>389</v>
      </c>
      <c r="R904" s="251" t="s">
        <v>225</v>
      </c>
      <c r="S904" s="1" t="s">
        <v>623</v>
      </c>
      <c r="T904" t="s">
        <v>624</v>
      </c>
      <c r="U904" t="s">
        <v>611</v>
      </c>
      <c r="V904" s="253">
        <v>0</v>
      </c>
      <c r="W904" s="253">
        <v>0</v>
      </c>
      <c r="X904">
        <v>0</v>
      </c>
      <c r="Y904">
        <v>0</v>
      </c>
      <c r="Z904">
        <v>0</v>
      </c>
      <c r="AA904">
        <v>0</v>
      </c>
      <c r="AB904">
        <v>0</v>
      </c>
      <c r="AC904">
        <v>0</v>
      </c>
      <c r="AD904">
        <v>0</v>
      </c>
      <c r="AE904">
        <v>0</v>
      </c>
      <c r="AF904">
        <v>0</v>
      </c>
      <c r="AG904">
        <v>0</v>
      </c>
      <c r="AH904">
        <v>0</v>
      </c>
      <c r="AI904">
        <v>0</v>
      </c>
      <c r="AJ904">
        <v>0</v>
      </c>
      <c r="AK904">
        <v>0</v>
      </c>
      <c r="AL904">
        <v>0</v>
      </c>
      <c r="AM904">
        <v>1</v>
      </c>
      <c r="AN904">
        <v>0</v>
      </c>
      <c r="AO904">
        <v>0</v>
      </c>
      <c r="AP904">
        <v>0</v>
      </c>
      <c r="AQ904">
        <v>0</v>
      </c>
      <c r="AR904">
        <v>0</v>
      </c>
      <c r="AS904">
        <v>0</v>
      </c>
      <c r="AT904">
        <v>0</v>
      </c>
      <c r="AU904">
        <v>0</v>
      </c>
      <c r="AV904">
        <v>0</v>
      </c>
      <c r="AW904">
        <v>0</v>
      </c>
      <c r="AX904">
        <v>0</v>
      </c>
      <c r="AY904">
        <v>0</v>
      </c>
      <c r="AZ904" s="141">
        <f>COUNTIF(X904:AY904,"&lt;&gt;0")</f>
        <v>1</v>
      </c>
      <c r="BA904" s="141">
        <f>COUNTIF(X904:AN904,"&lt;&gt;0")</f>
        <v>1</v>
      </c>
      <c r="BB904">
        <f>COUNTIF(X904:AE904,"&lt;&gt;0")</f>
        <v>0</v>
      </c>
      <c r="BC904">
        <f>COUNTIF(AF904:AK904,"&lt;&gt;0")</f>
        <v>0</v>
      </c>
      <c r="BD904">
        <f>COUNTIF(AL904:AN904,"&lt;&gt;0")</f>
        <v>1</v>
      </c>
      <c r="BE904">
        <f>COUNTIF(AU904:AY904,"&lt;&gt;0")</f>
        <v>0</v>
      </c>
      <c r="BF904">
        <f>COUNTIF(AO904:AT904,"&lt;&gt;0")</f>
        <v>0</v>
      </c>
      <c r="BG904" t="str">
        <f t="array" ref="BG904">IF(BA904=1,INDEX($X$7:$AN$7,MATCH(TRUE,INDEX($X904:$AY904&lt;&gt;0,),0)),IF(BA904=0,INDEX($AO$7:$AY$7,MATCH(1,$AO904:$AY904,0)),IF(BH904="Multiple strategies","mixed drivers",IF(BH904="Supply chain","multiple supply","multiple silviculture"))))</f>
        <v>technologies/design switch</v>
      </c>
      <c r="BH904" s="2" t="str" cm="1">
        <f t="array" ref="BH904">IF(COUNTIF(BB904:BD904,"&lt;&gt;0")=1,INDEX($X$4:$AY$4,MATCH(TRUE,INDEX($X904:$AY904&lt;&gt;0,),0)),IF(COUNTIF(BB904:BD904,"&lt;&gt;0")=0,INDEX($AO$4:$AY$4,MATCH(1,$AO904:$AY904,0)),"Multiple strategies"))</f>
        <v>Technology</v>
      </c>
      <c r="BI904" s="1" t="s">
        <v>229</v>
      </c>
      <c r="BJ904" t="s">
        <v>625</v>
      </c>
      <c r="BK904" s="260" t="s">
        <v>2980</v>
      </c>
      <c r="BL904" s="260" t="s">
        <v>345</v>
      </c>
      <c r="BM904">
        <f>179+195+12</f>
        <v>386</v>
      </c>
      <c r="BN904">
        <f>268+139+104</f>
        <v>511</v>
      </c>
      <c r="BP904">
        <f>BN904-BM904</f>
        <v>125</v>
      </c>
      <c r="BQ904" s="256">
        <f>BP904*t_to_m3/1000</f>
        <v>0.25510204081632654</v>
      </c>
      <c r="BR904" t="s">
        <v>395</v>
      </c>
      <c r="BS904" s="256" t="s">
        <v>2981</v>
      </c>
      <c r="BT904" t="s">
        <v>397</v>
      </c>
      <c r="BU904">
        <v>301.89999999999998</v>
      </c>
      <c r="BV904">
        <v>275.89999999999998</v>
      </c>
      <c r="BW904" s="144">
        <f>IFERROR(BV904/BU904,"")</f>
        <v>0.91387876780390853</v>
      </c>
      <c r="BX904">
        <f>BV904-BU904</f>
        <v>-26</v>
      </c>
      <c r="BZ904">
        <f>BX904/1000</f>
        <v>-2.5999999999999999E-2</v>
      </c>
      <c r="CA904">
        <f>IFERROR(BZ904/BQ904,"")</f>
        <v>-0.10192</v>
      </c>
      <c r="CB904">
        <v>0</v>
      </c>
      <c r="CC904">
        <v>0</v>
      </c>
      <c r="CD904">
        <v>0</v>
      </c>
      <c r="CE904">
        <v>0</v>
      </c>
      <c r="CF904">
        <v>0</v>
      </c>
      <c r="CG904">
        <v>0</v>
      </c>
      <c r="CH904">
        <v>0</v>
      </c>
      <c r="CI904">
        <v>0</v>
      </c>
      <c r="CJ904">
        <v>0</v>
      </c>
      <c r="CK904">
        <v>0</v>
      </c>
      <c r="CL904">
        <v>0</v>
      </c>
      <c r="CM904">
        <v>0</v>
      </c>
      <c r="CN904">
        <v>0</v>
      </c>
      <c r="CO904">
        <v>0</v>
      </c>
      <c r="CP904" t="str">
        <f>IF($BN904&lt;$BM904,"refNeedCorrection","refOK")</f>
        <v>refOK</v>
      </c>
      <c r="CQ904"/>
      <c r="CR904"/>
      <c r="CS904">
        <f>IF($CP904="refOK",$BQ904,-$BQ904)</f>
        <v>0.25510204081632654</v>
      </c>
      <c r="CT904">
        <f>IF(BI904="Roundwood",$CS904/2,$CS904)</f>
        <v>0.25510204081632654</v>
      </c>
      <c r="CU904">
        <f>IF($CP904="refOK",$BU904,$BV904)*IF($BR904="Emissions positive",-1,1)</f>
        <v>-301.89999999999998</v>
      </c>
      <c r="CV904">
        <f>IF($CP904="refOK",$BV904,$BU904)*IF($BR904="Emissions positive",-1,1)</f>
        <v>-275.89999999999998</v>
      </c>
      <c r="CW904">
        <f>IF($CP904="refNeedCorrection",-BZ904,BZ904)*IF($BR904="Emissions positive",-1,1)</f>
        <v>2.5999999999999999E-2</v>
      </c>
      <c r="CX904">
        <f>IFERROR($CW904/$CS904,"")</f>
        <v>0.10192</v>
      </c>
      <c r="CY904">
        <f>IFERROR($CW904/$CS904,"")</f>
        <v>0.10192</v>
      </c>
      <c r="CZ904">
        <f>IFERROR($CW904/$CT904,"")</f>
        <v>0.10192</v>
      </c>
      <c r="DA904" s="2">
        <f>IFERROR((CV904-CU904)/ABS(CU904),"")</f>
        <v>8.6121232196091427E-2</v>
      </c>
      <c r="DB904" s="1" t="s">
        <v>263</v>
      </c>
      <c r="DC904" t="str">
        <f>IF(OR($DB904="prd",$DB904="std",$DB904="cit"),"loc",IF(OR($DB904="eur",$DB904="reg",$DB904="coy"),"reg",$DB904))</f>
        <v>loc</v>
      </c>
      <c r="DD904" t="s">
        <v>626</v>
      </c>
      <c r="DG904">
        <v>0</v>
      </c>
      <c r="DH904" t="str">
        <f>IF(DG904=0,"0",IF(AND(DG904&gt;=1,DG904&lt;=30),"1-30",IF(AND(DG904&gt;30,DG904&lt;=70),"31-70",IF(AND(DG904&gt;70,DG904&lt;=100),"71-100",IF(DG904&gt;100,"+100")))))</f>
        <v>0</v>
      </c>
      <c r="DI904">
        <v>0</v>
      </c>
      <c r="DJ904">
        <v>0</v>
      </c>
      <c r="DK904">
        <v>0</v>
      </c>
      <c r="DL904">
        <v>1</v>
      </c>
      <c r="DM904">
        <v>0</v>
      </c>
      <c r="DN904">
        <f>SUM(DI904:DM904)</f>
        <v>1</v>
      </c>
      <c r="DO904" t="str">
        <f>IF(DN904=1,INDEX($DI$7:$DL$7,MATCH(1,$DI904:$DL904,0)),"mixedProduct")</f>
        <v>TimberInput</v>
      </c>
      <c r="DP904">
        <f>IF(DI904=1,DP$7,0)</f>
        <v>0</v>
      </c>
      <c r="DQ904">
        <f>IF(DJ904=1,DQ$7,0)</f>
        <v>0</v>
      </c>
      <c r="DR904">
        <f>IF(DK904=1,DR$7,0)</f>
        <v>0</v>
      </c>
      <c r="DS904" t="str">
        <f>IF(DL904=1,DS$7,0)</f>
        <v>Timber</v>
      </c>
      <c r="DT904">
        <v>0</v>
      </c>
      <c r="DU904">
        <v>0</v>
      </c>
      <c r="DV904">
        <v>0</v>
      </c>
      <c r="DW904">
        <v>0</v>
      </c>
      <c r="DX904">
        <v>0</v>
      </c>
      <c r="DY904">
        <f>SUM(DT904:DU904)</f>
        <v>0</v>
      </c>
      <c r="DZ904" t="str">
        <f>IF(DT904=1,"self-calculated DF",IF(DU904=1,"external DF used","explicit C balance"))</f>
        <v>explicit C balance</v>
      </c>
      <c r="EA904">
        <v>0</v>
      </c>
      <c r="EB904">
        <v>0</v>
      </c>
      <c r="EC904">
        <v>0</v>
      </c>
      <c r="ED904">
        <v>0</v>
      </c>
      <c r="EE904">
        <v>0</v>
      </c>
      <c r="EF904" s="143">
        <v>0</v>
      </c>
      <c r="EG904">
        <v>0</v>
      </c>
      <c r="EH904">
        <v>1</v>
      </c>
      <c r="EI904">
        <v>0</v>
      </c>
      <c r="EJ904">
        <v>0</v>
      </c>
      <c r="EK904">
        <v>0</v>
      </c>
      <c r="EL904">
        <v>0</v>
      </c>
      <c r="EM904">
        <v>0</v>
      </c>
      <c r="EN904" s="2">
        <v>0</v>
      </c>
      <c r="EP904" t="str">
        <f>IF(AND(AND(AND(OR($EC904=1,$EB904=1),OR($EH904=1,$EF904=1)),SUM($EA904:$EE904,$EK904)&gt;=3),SUM($EF904:$EJ904)&gt;=2),"Whole sector approach","")</f>
        <v/>
      </c>
      <c r="EQ904" t="str">
        <f>IF(AND(AND(OR($EC904=1,$EB904=1),AND($EH904=0,$EF904=0)),SUM($EA904:$EE904,$EK904)&gt;=4),"Ecosystem approach","")</f>
        <v/>
      </c>
      <c r="ER904" s="2" t="str">
        <f>IF(AND(AND(AND($EC904=0,$EB904=0),OR($EH904=1,$EF904=1)),SUM($EG904:$EJ904)&gt;=2),"Technology approach","")</f>
        <v/>
      </c>
      <c r="ES904" t="str">
        <f>IF(AND($EC904+$EB904+$EE904+$EA904+$ED904+$EG904=0,$N904="included"),"C neutral forest and HWP assumption","")</f>
        <v>C neutral forest and HWP assumption</v>
      </c>
      <c r="ET904" t="str">
        <f>IF(AND(AND(AND(AND($EC904=1,$EB904+$EA904+$EG904&gt;=1),$EF904=1),$EH904+$EI904+$ED904+$EE904&gt;=2),$N904="included"),"All C pools assumption","")</f>
        <v/>
      </c>
      <c r="EU904" t="str">
        <f>IF(AND($ED904+$EE904+$EI904+$EH904+$EF904=0,$N904="included"),"In-situ only assumption","")</f>
        <v/>
      </c>
      <c r="EY904" t="str">
        <f>IF(ISNUMBER(BW904),IF(ABS(BW904-[6]QC_indicators!$B$2)&gt;3*[6]QC_indicators!$C$2,"C ratio",IF(ISNUMBER(CA904),IF(ABS(CA904-[6]QC_indicators!$B$1)&gt;3*[6]QC_indicators!$C$1,"DF","no"))),IF(ISNUMBER(CA904),IF(ABS(CA904-[6]QC_indicators!$B$1)&gt;3*[6]QC_indicators!$C$1,"DF","no")))</f>
        <v>no</v>
      </c>
      <c r="FA904" t="str">
        <f>IF(LEN($CY904)=0,"",IF(AND($CY904&lt;(-0.05),$ES904="C neutral forest and HWP assumption"),"Cneutral paradox",IF(AND($CY904&gt;0.05,$EU904="In-situ only assumption"),"In-situ only paradox","")))</f>
        <v/>
      </c>
      <c r="FD904" s="260" t="s">
        <v>2948</v>
      </c>
    </row>
    <row r="905" spans="1:160" ht="15" hidden="1" customHeight="1">
      <c r="A905" s="1" t="s">
        <v>247</v>
      </c>
      <c r="B905" t="s">
        <v>628</v>
      </c>
      <c r="C905" t="s">
        <v>629</v>
      </c>
      <c r="D905" t="s">
        <v>630</v>
      </c>
      <c r="E905" t="s">
        <v>631</v>
      </c>
      <c r="F905" t="s">
        <v>632</v>
      </c>
      <c r="G905" t="s">
        <v>253</v>
      </c>
      <c r="H905" t="s">
        <v>254</v>
      </c>
      <c r="I905">
        <v>2014</v>
      </c>
      <c r="J905">
        <v>76</v>
      </c>
      <c r="K905" t="s">
        <v>633</v>
      </c>
      <c r="M905" t="str">
        <f>LEFT($D905,FIND(",",$D905)-1)&amp;"_"&amp;I905&amp;L905</f>
        <v>Dodoo_2014</v>
      </c>
      <c r="N905" t="s">
        <v>222</v>
      </c>
      <c r="O905" s="145" t="s">
        <v>223</v>
      </c>
      <c r="Q905" t="s">
        <v>256</v>
      </c>
      <c r="R905" s="251" t="s">
        <v>225</v>
      </c>
      <c r="S905" s="1" t="s">
        <v>634</v>
      </c>
      <c r="T905" t="s">
        <v>635</v>
      </c>
      <c r="U905" t="s">
        <v>636</v>
      </c>
      <c r="V905" s="253">
        <v>0</v>
      </c>
      <c r="W905" s="253">
        <v>0</v>
      </c>
      <c r="X905">
        <v>0</v>
      </c>
      <c r="Y905">
        <v>0</v>
      </c>
      <c r="Z905">
        <v>0</v>
      </c>
      <c r="AA905">
        <v>0</v>
      </c>
      <c r="AB905">
        <v>0</v>
      </c>
      <c r="AC905">
        <v>0</v>
      </c>
      <c r="AD905">
        <v>0</v>
      </c>
      <c r="AE905">
        <v>0</v>
      </c>
      <c r="AF905">
        <v>0</v>
      </c>
      <c r="AG905">
        <v>0</v>
      </c>
      <c r="AH905">
        <v>0</v>
      </c>
      <c r="AI905">
        <v>0</v>
      </c>
      <c r="AJ905">
        <v>0</v>
      </c>
      <c r="AK905">
        <v>0</v>
      </c>
      <c r="AL905">
        <v>0</v>
      </c>
      <c r="AM905">
        <v>1</v>
      </c>
      <c r="AN905">
        <v>0</v>
      </c>
      <c r="AO905">
        <v>0</v>
      </c>
      <c r="AP905">
        <v>0</v>
      </c>
      <c r="AQ905">
        <v>0</v>
      </c>
      <c r="AR905">
        <v>0</v>
      </c>
      <c r="AS905">
        <v>0</v>
      </c>
      <c r="AT905">
        <v>0</v>
      </c>
      <c r="AU905">
        <v>0</v>
      </c>
      <c r="AV905">
        <v>0</v>
      </c>
      <c r="AW905">
        <v>0</v>
      </c>
      <c r="AX905">
        <v>0</v>
      </c>
      <c r="AY905">
        <v>0</v>
      </c>
      <c r="AZ905" s="141">
        <f>COUNTIF(X905:AY905,"&lt;&gt;0")</f>
        <v>1</v>
      </c>
      <c r="BA905" s="141">
        <f>COUNTIF(X905:AN905,"&lt;&gt;0")</f>
        <v>1</v>
      </c>
      <c r="BB905">
        <f>COUNTIF(X905:AE905,"&lt;&gt;0")</f>
        <v>0</v>
      </c>
      <c r="BC905">
        <f>COUNTIF(AF905:AK905,"&lt;&gt;0")</f>
        <v>0</v>
      </c>
      <c r="BD905">
        <f>COUNTIF(AL905:AN905,"&lt;&gt;0")</f>
        <v>1</v>
      </c>
      <c r="BE905">
        <f>COUNTIF(AU905:AY905,"&lt;&gt;0")</f>
        <v>0</v>
      </c>
      <c r="BF905">
        <f>COUNTIF(AO905:AT905,"&lt;&gt;0")</f>
        <v>0</v>
      </c>
      <c r="BG905" t="str">
        <f t="array" ref="BG905">IF(BA905=1,INDEX($X$7:$AN$7,MATCH(TRUE,INDEX($X905:$AY905&lt;&gt;0,),0)),IF(BA905=0,INDEX($AO$7:$AY$7,MATCH(1,$AO905:$AY905,0)),IF(BH905="Multiple strategies","mixed drivers",IF(BH905="Supply chain","multiple supply","multiple silviculture"))))</f>
        <v>technologies/design switch</v>
      </c>
      <c r="BH905" s="2" t="str" cm="1">
        <f t="array" ref="BH905">IF(COUNTIF(BB905:BD905,"&lt;&gt;0")=1,INDEX($X$4:$AY$4,MATCH(TRUE,INDEX($X905:$AY905&lt;&gt;0,),0)),IF(COUNTIF(BB905:BD905,"&lt;&gt;0")=0,INDEX($AO$4:$AY$4,MATCH(1,$AO905:$AY905,0)),"Multiple strategies"))</f>
        <v>Technology</v>
      </c>
      <c r="BI905" s="1" t="s">
        <v>229</v>
      </c>
      <c r="BJ905" t="s">
        <v>637</v>
      </c>
      <c r="BK905" s="256" t="s">
        <v>2983</v>
      </c>
      <c r="BL905" t="s">
        <v>638</v>
      </c>
      <c r="BM905" s="256">
        <f>55+21+10+5+5</f>
        <v>96</v>
      </c>
      <c r="BN905" s="256">
        <v>120</v>
      </c>
      <c r="BP905">
        <f>BN905-BM905</f>
        <v>24</v>
      </c>
      <c r="BQ905">
        <f>BP905*t_to_m3</f>
        <v>48.979591836734699</v>
      </c>
      <c r="BR905" t="s">
        <v>232</v>
      </c>
      <c r="BS905" s="256" t="s">
        <v>2986</v>
      </c>
      <c r="BT905" t="s">
        <v>262</v>
      </c>
      <c r="BU905">
        <v>230</v>
      </c>
      <c r="BV905">
        <v>434</v>
      </c>
      <c r="BW905" s="144">
        <v>1.8869565217391304</v>
      </c>
      <c r="BX905">
        <v>204</v>
      </c>
      <c r="BZ905">
        <f>BX905/1000</f>
        <v>0.20399999999999999</v>
      </c>
      <c r="CA905">
        <f>IFERROR(BZ905/BQ905,"")</f>
        <v>4.1649999999999994E-3</v>
      </c>
      <c r="CB905">
        <v>0</v>
      </c>
      <c r="CC905">
        <v>0</v>
      </c>
      <c r="CD905">
        <v>0</v>
      </c>
      <c r="CE905">
        <v>0</v>
      </c>
      <c r="CF905">
        <v>0</v>
      </c>
      <c r="CG905">
        <v>0</v>
      </c>
      <c r="CH905">
        <v>0</v>
      </c>
      <c r="CI905">
        <v>0</v>
      </c>
      <c r="CJ905">
        <v>0</v>
      </c>
      <c r="CK905">
        <v>0</v>
      </c>
      <c r="CL905">
        <v>0</v>
      </c>
      <c r="CM905">
        <v>0</v>
      </c>
      <c r="CN905">
        <v>0</v>
      </c>
      <c r="CO905">
        <v>0</v>
      </c>
      <c r="CP905" t="str">
        <f>IF($BN905&lt;$BM905,"refNeedCorrection","refOK")</f>
        <v>refOK</v>
      </c>
      <c r="CQ905">
        <f>IF($CP905="refOK",$BM905,$BN905)</f>
        <v>96</v>
      </c>
      <c r="CR905">
        <f>IF($CP905="refOK",$BN905,$BM905)</f>
        <v>120</v>
      </c>
      <c r="CS905">
        <f>IF($CP905="refOK",$BQ905,-$BQ905)</f>
        <v>48.979591836734699</v>
      </c>
      <c r="CT905">
        <f>IF(BI905="Roundwood",$CS905/2,$CS905)</f>
        <v>48.979591836734699</v>
      </c>
      <c r="CU905">
        <f>IF($CP905="refOK",$BU905,$BV905)*IF($BR905="Emissions positive",-1,1)</f>
        <v>230</v>
      </c>
      <c r="CV905">
        <f>IF($CP905="refOK",$BV905,$BU905)*IF($BR905="Emissions positive",-1,1)</f>
        <v>434</v>
      </c>
      <c r="CW905">
        <f>IF($CP905="refNeedCorrection",-BZ905,BZ905)*IF($BR905="Emissions positive",-1,1)</f>
        <v>0.20399999999999999</v>
      </c>
      <c r="CX905">
        <f>IFERROR($CW905/$CS905,"")</f>
        <v>4.1649999999999994E-3</v>
      </c>
      <c r="CY905">
        <f>IFERROR($CW905/$CS905,"")</f>
        <v>4.1649999999999994E-3</v>
      </c>
      <c r="CZ905">
        <f>IFERROR($CW905/$CT905,"")</f>
        <v>4.1649999999999994E-3</v>
      </c>
      <c r="DA905" s="2">
        <f>IFERROR((CV905-CU905)/ABS(CU905),"")</f>
        <v>0.88695652173913042</v>
      </c>
      <c r="DB905" s="1" t="s">
        <v>263</v>
      </c>
      <c r="DC905" t="str">
        <f>IF(OR($DB905="prd",$DB905="std",$DB905="cit"),"loc",IF(OR($DB905="eur",$DB905="reg",$DB905="coy"),"reg",$DB905))</f>
        <v>loc</v>
      </c>
      <c r="DD905" t="s">
        <v>444</v>
      </c>
      <c r="DG905">
        <v>50</v>
      </c>
      <c r="DH905" t="str">
        <f>IF(DG905=0,"0",IF(AND(DG905&gt;=1,DG905&lt;=30),"1-30",IF(AND(DG905&gt;30,DG905&lt;=70),"31-70",IF(AND(DG905&gt;70,DG905&lt;=100),"71-100",IF(DG905&gt;100,"+100")))))</f>
        <v>31-70</v>
      </c>
      <c r="DI905">
        <v>0</v>
      </c>
      <c r="DJ905">
        <v>0</v>
      </c>
      <c r="DK905">
        <v>0</v>
      </c>
      <c r="DL905">
        <v>1</v>
      </c>
      <c r="DN905">
        <f>SUM(DI905:DL905)</f>
        <v>1</v>
      </c>
      <c r="DO905" t="str">
        <f>IF(DN905=1,INDEX($DI$7:$DL$7,MATCH(1,$DI905:$DL905,0)),"mixedProduct")</f>
        <v>TimberInput</v>
      </c>
      <c r="DP905">
        <f>IF(DI905=1,DP$7,0)</f>
        <v>0</v>
      </c>
      <c r="DQ905">
        <f>IF(DJ905=1,DQ$7,0)</f>
        <v>0</v>
      </c>
      <c r="DR905">
        <f>IF(DK905=1,DR$7,0)</f>
        <v>0</v>
      </c>
      <c r="DS905" t="str">
        <f>IF(DL905=1,DS$7,0)</f>
        <v>Timber</v>
      </c>
      <c r="DT905">
        <v>0</v>
      </c>
      <c r="DU905">
        <v>0</v>
      </c>
      <c r="DV905">
        <v>0</v>
      </c>
      <c r="DW905">
        <v>0</v>
      </c>
      <c r="DX905">
        <v>0</v>
      </c>
      <c r="DY905">
        <f>SUM(DT905:DU905)</f>
        <v>0</v>
      </c>
      <c r="DZ905" s="143" t="str">
        <f>IF(DT905=1,"self-calculated DF",IF(DU905=1,"external DF used","explicit C balance"))</f>
        <v>explicit C balance</v>
      </c>
      <c r="EA905">
        <v>0</v>
      </c>
      <c r="EB905">
        <v>0</v>
      </c>
      <c r="EC905">
        <v>0</v>
      </c>
      <c r="ED905">
        <v>1</v>
      </c>
      <c r="EE905">
        <v>0</v>
      </c>
      <c r="EF905" s="260">
        <v>1</v>
      </c>
      <c r="EG905">
        <v>0</v>
      </c>
      <c r="EH905">
        <v>1</v>
      </c>
      <c r="EI905">
        <v>0</v>
      </c>
      <c r="EJ905">
        <v>0</v>
      </c>
      <c r="EK905">
        <v>0</v>
      </c>
      <c r="EL905">
        <v>0</v>
      </c>
      <c r="EM905">
        <v>0</v>
      </c>
      <c r="EN905" s="2">
        <v>0</v>
      </c>
      <c r="EP905" t="str">
        <f>IF(AND(AND(AND(OR($EC905=1,$EB905=1),OR($EH905=1,$EF905=1)),SUM($EA905:$EE905,$EK905)&gt;=3),SUM($EF905:$EJ905)&gt;=2),"Whole sector approach","")</f>
        <v/>
      </c>
      <c r="EQ905" t="str">
        <f>IF(AND(AND(OR($EC905=1,$EB905=1),AND($EH905=0,$EF905=0)),SUM($EA905:$EE905,$EK905)&gt;=4),"Ecosystem approach","")</f>
        <v/>
      </c>
      <c r="ER905" s="2" t="str">
        <f>IF(AND(AND(AND($EC905=0,$EB905=0),OR($EH905=1,$EF905=1)),SUM($EG905:$EJ905)&gt;=2),"Technology approach","")</f>
        <v/>
      </c>
      <c r="ES905" t="str">
        <f>IF(AND($EC905+$EB905+$EE905+$EA905+$ED905+$EG905=0,$N905="included"),"C neutral forest and HWP assumption","")</f>
        <v/>
      </c>
      <c r="ET905" t="str">
        <f>IF(AND(AND(AND(AND($EC905=1,$EB905+$EA905+$EG905&gt;=1),$EF905=1),$EH905+$EI905+$ED905+$EE905&gt;=2),$N905="included"),"All C pools assumption","")</f>
        <v/>
      </c>
      <c r="EU905" t="str">
        <f>IF(AND($ED905+$EE905+$EI905+$EH905+$EF905=0,$N905="included"),"In-situ only assumption","")</f>
        <v/>
      </c>
      <c r="EY905" t="str">
        <f>IF(ISNUMBER(BW905),IF(ABS(BW905-[6]QC_indicators!$B$2)&gt;3*[6]QC_indicators!$C$2,"C ratio",IF(ISNUMBER(CA905),IF(ABS(CA905-[6]QC_indicators!$B$1)&gt;3*[6]QC_indicators!$C$1,"DF","no"))),IF(ISNUMBER(CA905),IF(ABS(CA905-[6]QC_indicators!$B$1)&gt;3*[6]QC_indicators!$C$1,"DF","no")))</f>
        <v>no</v>
      </c>
      <c r="FA905" t="str">
        <f>IF(LEN($CY905)=0,"",IF(AND($CY905&lt;(-0.05),$ES905="C neutral forest and HWP assumption"),"Cneutral paradox",IF(AND($CY905&gt;0.05,$EU905="In-situ only assumption"),"In-situ only paradox","")))</f>
        <v/>
      </c>
      <c r="FB905" s="149" t="s">
        <v>349</v>
      </c>
      <c r="FD905" s="260" t="s">
        <v>2948</v>
      </c>
    </row>
    <row r="906" spans="1:160" ht="15" hidden="1" customHeight="1">
      <c r="A906" s="1" t="s">
        <v>247</v>
      </c>
      <c r="B906" t="s">
        <v>628</v>
      </c>
      <c r="C906" t="s">
        <v>629</v>
      </c>
      <c r="D906" t="s">
        <v>630</v>
      </c>
      <c r="E906" t="s">
        <v>631</v>
      </c>
      <c r="F906" t="s">
        <v>632</v>
      </c>
      <c r="G906" t="s">
        <v>253</v>
      </c>
      <c r="H906" t="s">
        <v>254</v>
      </c>
      <c r="I906">
        <v>2014</v>
      </c>
      <c r="J906">
        <v>76</v>
      </c>
      <c r="K906" t="s">
        <v>633</v>
      </c>
      <c r="M906" t="str">
        <f>LEFT($D906,FIND(",",$D906)-1)&amp;"_"&amp;I906&amp;L906</f>
        <v>Dodoo_2014</v>
      </c>
      <c r="N906" t="s">
        <v>222</v>
      </c>
      <c r="O906" s="145" t="s">
        <v>223</v>
      </c>
      <c r="Q906" t="s">
        <v>256</v>
      </c>
      <c r="R906" s="251" t="s">
        <v>225</v>
      </c>
      <c r="S906" s="1" t="s">
        <v>634</v>
      </c>
      <c r="T906" t="s">
        <v>635</v>
      </c>
      <c r="U906" t="s">
        <v>642</v>
      </c>
      <c r="V906" s="253">
        <v>0</v>
      </c>
      <c r="W906" s="253">
        <v>0</v>
      </c>
      <c r="X906">
        <v>0</v>
      </c>
      <c r="Y906">
        <v>0</v>
      </c>
      <c r="Z906">
        <v>0</v>
      </c>
      <c r="AA906">
        <v>0</v>
      </c>
      <c r="AB906">
        <v>0</v>
      </c>
      <c r="AC906">
        <v>0</v>
      </c>
      <c r="AD906">
        <v>0</v>
      </c>
      <c r="AE906">
        <v>0</v>
      </c>
      <c r="AF906">
        <v>0</v>
      </c>
      <c r="AG906">
        <v>0</v>
      </c>
      <c r="AH906">
        <v>0</v>
      </c>
      <c r="AI906">
        <v>0</v>
      </c>
      <c r="AJ906">
        <v>0</v>
      </c>
      <c r="AK906">
        <v>0</v>
      </c>
      <c r="AL906">
        <v>0</v>
      </c>
      <c r="AM906">
        <v>1</v>
      </c>
      <c r="AN906">
        <v>0</v>
      </c>
      <c r="AO906">
        <v>0</v>
      </c>
      <c r="AP906">
        <v>0</v>
      </c>
      <c r="AQ906">
        <v>0</v>
      </c>
      <c r="AR906">
        <v>0</v>
      </c>
      <c r="AS906">
        <v>0</v>
      </c>
      <c r="AT906">
        <v>0</v>
      </c>
      <c r="AU906">
        <v>0</v>
      </c>
      <c r="AV906">
        <v>0</v>
      </c>
      <c r="AW906">
        <v>0</v>
      </c>
      <c r="AX906">
        <v>0</v>
      </c>
      <c r="AY906">
        <v>0</v>
      </c>
      <c r="AZ906" s="141">
        <f>COUNTIF(X906:AY906,"&lt;&gt;0")</f>
        <v>1</v>
      </c>
      <c r="BA906" s="141">
        <f>COUNTIF(X906:AN906,"&lt;&gt;0")</f>
        <v>1</v>
      </c>
      <c r="BB906">
        <f>COUNTIF(X906:AE906,"&lt;&gt;0")</f>
        <v>0</v>
      </c>
      <c r="BC906">
        <f>COUNTIF(AF906:AK906,"&lt;&gt;0")</f>
        <v>0</v>
      </c>
      <c r="BD906">
        <f>COUNTIF(AL906:AN906,"&lt;&gt;0")</f>
        <v>1</v>
      </c>
      <c r="BE906">
        <f>COUNTIF(AU906:AY906,"&lt;&gt;0")</f>
        <v>0</v>
      </c>
      <c r="BF906">
        <f>COUNTIF(AO906:AT906,"&lt;&gt;0")</f>
        <v>0</v>
      </c>
      <c r="BG906" t="str">
        <f t="array" ref="BG906">IF(BA906=1,INDEX($X$7:$AN$7,MATCH(TRUE,INDEX($X906:$AY906&lt;&gt;0,),0)),IF(BA906=0,INDEX($AO$7:$AY$7,MATCH(1,$AO906:$AY906,0)),IF(BH906="Multiple strategies","mixed drivers",IF(BH906="Supply chain","multiple supply","multiple silviculture"))))</f>
        <v>technologies/design switch</v>
      </c>
      <c r="BH906" s="2" t="str" cm="1">
        <f t="array" ref="BH906">IF(COUNTIF(BB906:BD906,"&lt;&gt;0")=1,INDEX($X$4:$AY$4,MATCH(TRUE,INDEX($X906:$AY906&lt;&gt;0,),0)),IF(COUNTIF(BB906:BD906,"&lt;&gt;0")=0,INDEX($AO$4:$AY$4,MATCH(1,$AO906:$AY906,0)),"Multiple strategies"))</f>
        <v>Technology</v>
      </c>
      <c r="BI906" s="1" t="s">
        <v>229</v>
      </c>
      <c r="BJ906" t="s">
        <v>637</v>
      </c>
      <c r="BK906" s="256" t="s">
        <v>2983</v>
      </c>
      <c r="BL906" t="s">
        <v>638</v>
      </c>
      <c r="BM906" s="256">
        <f>55+21+10+5+5</f>
        <v>96</v>
      </c>
      <c r="BN906" s="256">
        <v>129.6</v>
      </c>
      <c r="BP906">
        <f>BN906-BM906</f>
        <v>33.599999999999994</v>
      </c>
      <c r="BQ906">
        <f>BP906*t_to_m3</f>
        <v>68.571428571428555</v>
      </c>
      <c r="BR906" t="s">
        <v>232</v>
      </c>
      <c r="BS906" s="256" t="s">
        <v>2986</v>
      </c>
      <c r="BT906" t="s">
        <v>262</v>
      </c>
      <c r="BU906">
        <v>230</v>
      </c>
      <c r="BV906">
        <v>510</v>
      </c>
      <c r="BW906" s="144">
        <v>2.2173913043478262</v>
      </c>
      <c r="BX906">
        <v>280</v>
      </c>
      <c r="BZ906">
        <f>BX906/1000</f>
        <v>0.28000000000000003</v>
      </c>
      <c r="CA906">
        <f>IFERROR(BZ906/BQ906,"")</f>
        <v>4.0833333333333346E-3</v>
      </c>
      <c r="CB906">
        <v>0</v>
      </c>
      <c r="CC906">
        <v>0</v>
      </c>
      <c r="CD906">
        <v>0</v>
      </c>
      <c r="CE906">
        <v>0</v>
      </c>
      <c r="CF906">
        <v>0</v>
      </c>
      <c r="CG906">
        <v>0</v>
      </c>
      <c r="CH906">
        <v>0</v>
      </c>
      <c r="CI906">
        <v>0</v>
      </c>
      <c r="CJ906">
        <v>0</v>
      </c>
      <c r="CK906">
        <v>0</v>
      </c>
      <c r="CL906">
        <v>0</v>
      </c>
      <c r="CM906">
        <v>0</v>
      </c>
      <c r="CN906">
        <v>0</v>
      </c>
      <c r="CO906">
        <v>0</v>
      </c>
      <c r="CP906" t="str">
        <f>IF($BN906&lt;$BM906,"refNeedCorrection","refOK")</f>
        <v>refOK</v>
      </c>
      <c r="CQ906">
        <f>IF($CP906="refOK",$BM906,$BN906)</f>
        <v>96</v>
      </c>
      <c r="CR906">
        <f>IF($CP906="refOK",$BN906,$BM906)</f>
        <v>129.6</v>
      </c>
      <c r="CS906">
        <f>IF($CP906="refOK",$BQ906,-$BQ906)</f>
        <v>68.571428571428555</v>
      </c>
      <c r="CT906">
        <f>IF(BI906="Roundwood",$CS906/2,$CS906)</f>
        <v>68.571428571428555</v>
      </c>
      <c r="CU906">
        <f>IF($CP906="refOK",$BU906,$BV906)*IF($BR906="Emissions positive",-1,1)</f>
        <v>230</v>
      </c>
      <c r="CV906">
        <f>IF($CP906="refOK",$BV906,$BU906)*IF($BR906="Emissions positive",-1,1)</f>
        <v>510</v>
      </c>
      <c r="CW906">
        <f>IF($CP906="refNeedCorrection",-BZ906,BZ906)*IF($BR906="Emissions positive",-1,1)</f>
        <v>0.28000000000000003</v>
      </c>
      <c r="CX906">
        <f>IFERROR($CW906/$CS906,"")</f>
        <v>4.0833333333333346E-3</v>
      </c>
      <c r="CY906">
        <f>IFERROR($CW906/$CS906,"")</f>
        <v>4.0833333333333346E-3</v>
      </c>
      <c r="CZ906">
        <f>IFERROR($CW906/$CT906,"")</f>
        <v>4.0833333333333346E-3</v>
      </c>
      <c r="DA906" s="2">
        <f>IFERROR((CV906-CU906)/ABS(CU906),"")</f>
        <v>1.2173913043478262</v>
      </c>
      <c r="DB906" s="1" t="s">
        <v>263</v>
      </c>
      <c r="DC906" t="str">
        <f>IF(OR($DB906="prd",$DB906="std",$DB906="cit"),"loc",IF(OR($DB906="eur",$DB906="reg",$DB906="coy"),"reg",$DB906))</f>
        <v>loc</v>
      </c>
      <c r="DD906" t="s">
        <v>444</v>
      </c>
      <c r="DG906">
        <v>50</v>
      </c>
      <c r="DH906" t="str">
        <f>IF(DG906=0,"0",IF(AND(DG906&gt;=1,DG906&lt;=30),"1-30",IF(AND(DG906&gt;30,DG906&lt;=70),"31-70",IF(AND(DG906&gt;70,DG906&lt;=100),"71-100",IF(DG906&gt;100,"+100")))))</f>
        <v>31-70</v>
      </c>
      <c r="DI906">
        <v>0</v>
      </c>
      <c r="DJ906">
        <v>0</v>
      </c>
      <c r="DK906">
        <v>0</v>
      </c>
      <c r="DL906">
        <v>1</v>
      </c>
      <c r="DN906">
        <f>SUM(DI906:DL906)</f>
        <v>1</v>
      </c>
      <c r="DO906" t="str">
        <f>IF(DN906=1,INDEX($DI$7:$DL$7,MATCH(1,$DI906:$DL906,0)),"mixedProduct")</f>
        <v>TimberInput</v>
      </c>
      <c r="DP906">
        <f>IF(DI906=1,DP$7,0)</f>
        <v>0</v>
      </c>
      <c r="DQ906">
        <f>IF(DJ906=1,DQ$7,0)</f>
        <v>0</v>
      </c>
      <c r="DR906">
        <f>IF(DK906=1,DR$7,0)</f>
        <v>0</v>
      </c>
      <c r="DS906" t="str">
        <f>IF(DL906=1,DS$7,0)</f>
        <v>Timber</v>
      </c>
      <c r="DT906">
        <v>0</v>
      </c>
      <c r="DU906">
        <v>0</v>
      </c>
      <c r="DV906">
        <v>0</v>
      </c>
      <c r="DW906">
        <v>0</v>
      </c>
      <c r="DX906">
        <v>0</v>
      </c>
      <c r="DY906">
        <f>SUM(DT906:DU906)</f>
        <v>0</v>
      </c>
      <c r="DZ906" s="143" t="str">
        <f>IF(DT906=1,"self-calculated DF",IF(DU906=1,"external DF used","explicit C balance"))</f>
        <v>explicit C balance</v>
      </c>
      <c r="EA906">
        <v>0</v>
      </c>
      <c r="EB906">
        <v>0</v>
      </c>
      <c r="EC906">
        <v>0</v>
      </c>
      <c r="ED906">
        <v>1</v>
      </c>
      <c r="EE906">
        <v>0</v>
      </c>
      <c r="EF906" s="260">
        <v>1</v>
      </c>
      <c r="EG906">
        <v>0</v>
      </c>
      <c r="EH906">
        <v>1</v>
      </c>
      <c r="EI906">
        <v>0</v>
      </c>
      <c r="EJ906">
        <v>0</v>
      </c>
      <c r="EK906">
        <v>0</v>
      </c>
      <c r="EL906">
        <v>0</v>
      </c>
      <c r="EM906">
        <v>0</v>
      </c>
      <c r="EN906" s="2">
        <v>0</v>
      </c>
      <c r="EP906" t="str">
        <f>IF(AND(AND(AND(OR($EC906=1,$EB906=1),OR($EH906=1,$EF906=1)),SUM($EA906:$EE906,$EK906)&gt;=3),SUM($EF906:$EJ906)&gt;=2),"Whole sector approach","")</f>
        <v/>
      </c>
      <c r="EQ906" t="str">
        <f>IF(AND(AND(OR($EC906=1,$EB906=1),AND($EH906=0,$EF906=0)),SUM($EA906:$EE906,$EK906)&gt;=4),"Ecosystem approach","")</f>
        <v/>
      </c>
      <c r="ER906" s="2" t="str">
        <f>IF(AND(AND(AND($EC906=0,$EB906=0),OR($EH906=1,$EF906=1)),SUM($EG906:$EJ906)&gt;=2),"Technology approach","")</f>
        <v/>
      </c>
      <c r="ES906" t="str">
        <f>IF(AND($EC906+$EB906+$EE906+$EA906+$ED906+$EG906=0,$N906="included"),"C neutral forest and HWP assumption","")</f>
        <v/>
      </c>
      <c r="ET906" t="str">
        <f>IF(AND(AND(AND(AND($EC906=1,$EB906+$EA906+$EG906&gt;=1),$EF906=1),$EH906+$EI906+$ED906+$EE906&gt;=2),$N906="included"),"All C pools assumption","")</f>
        <v/>
      </c>
      <c r="EU906" t="str">
        <f>IF(AND($ED906+$EE906+$EI906+$EH906+$EF906=0,$N906="included"),"In-situ only assumption","")</f>
        <v/>
      </c>
      <c r="EY906" t="str">
        <f>IF(ISNUMBER(BW906),IF(ABS(BW906-[6]QC_indicators!$B$2)&gt;3*[6]QC_indicators!$C$2,"C ratio",IF(ISNUMBER(CA906),IF(ABS(CA906-[6]QC_indicators!$B$1)&gt;3*[6]QC_indicators!$C$1,"DF","no"))),IF(ISNUMBER(CA906),IF(ABS(CA906-[6]QC_indicators!$B$1)&gt;3*[6]QC_indicators!$C$1,"DF","no")))</f>
        <v>no</v>
      </c>
      <c r="FA906" t="str">
        <f>IF(LEN($CY906)=0,"",IF(AND($CY906&lt;(-0.05),$ES906="C neutral forest and HWP assumption"),"Cneutral paradox",IF(AND($CY906&gt;0.05,$EU906="In-situ only assumption"),"In-situ only paradox","")))</f>
        <v/>
      </c>
      <c r="FB906" s="149" t="s">
        <v>349</v>
      </c>
      <c r="FD906" s="260" t="s">
        <v>2948</v>
      </c>
    </row>
    <row r="907" spans="1:160" hidden="1">
      <c r="A907" s="1" t="s">
        <v>247</v>
      </c>
      <c r="B907" t="s">
        <v>628</v>
      </c>
      <c r="C907" t="s">
        <v>629</v>
      </c>
      <c r="D907" t="s">
        <v>630</v>
      </c>
      <c r="E907" t="s">
        <v>631</v>
      </c>
      <c r="F907" t="s">
        <v>632</v>
      </c>
      <c r="G907" t="s">
        <v>253</v>
      </c>
      <c r="H907" t="s">
        <v>254</v>
      </c>
      <c r="I907">
        <v>2014</v>
      </c>
      <c r="J907">
        <v>76</v>
      </c>
      <c r="K907" t="s">
        <v>633</v>
      </c>
      <c r="M907" t="str">
        <f>LEFT($D907,FIND(",",$D907)-1)&amp;"_"&amp;I907&amp;L907</f>
        <v>Dodoo_2014</v>
      </c>
      <c r="N907" t="s">
        <v>222</v>
      </c>
      <c r="O907" s="145" t="s">
        <v>223</v>
      </c>
      <c r="Q907" t="s">
        <v>256</v>
      </c>
      <c r="R907" s="251" t="s">
        <v>225</v>
      </c>
      <c r="S907" s="1" t="s">
        <v>634</v>
      </c>
      <c r="T907" t="s">
        <v>639</v>
      </c>
      <c r="U907" t="s">
        <v>640</v>
      </c>
      <c r="V907" s="253">
        <v>0</v>
      </c>
      <c r="W907" s="253">
        <v>0</v>
      </c>
      <c r="X907">
        <v>0</v>
      </c>
      <c r="Y907">
        <v>0</v>
      </c>
      <c r="Z907">
        <v>0</v>
      </c>
      <c r="AA907">
        <v>0</v>
      </c>
      <c r="AB907">
        <v>0</v>
      </c>
      <c r="AC907">
        <v>0</v>
      </c>
      <c r="AD907">
        <v>0</v>
      </c>
      <c r="AE907">
        <v>0</v>
      </c>
      <c r="AF907">
        <v>0</v>
      </c>
      <c r="AG907">
        <v>0</v>
      </c>
      <c r="AH907">
        <v>0</v>
      </c>
      <c r="AI907">
        <v>0</v>
      </c>
      <c r="AJ907">
        <v>0</v>
      </c>
      <c r="AK907">
        <v>0</v>
      </c>
      <c r="AL907">
        <v>0</v>
      </c>
      <c r="AM907">
        <v>1</v>
      </c>
      <c r="AN907">
        <v>0</v>
      </c>
      <c r="AO907">
        <v>0</v>
      </c>
      <c r="AP907">
        <v>0</v>
      </c>
      <c r="AQ907">
        <v>0</v>
      </c>
      <c r="AR907">
        <v>0</v>
      </c>
      <c r="AS907">
        <v>0</v>
      </c>
      <c r="AT907">
        <v>0</v>
      </c>
      <c r="AU907">
        <v>0</v>
      </c>
      <c r="AV907">
        <v>0</v>
      </c>
      <c r="AW907">
        <v>0</v>
      </c>
      <c r="AX907">
        <v>0</v>
      </c>
      <c r="AY907">
        <v>0</v>
      </c>
      <c r="AZ907" s="141">
        <f>COUNTIF(X907:AY907,"&lt;&gt;0")</f>
        <v>1</v>
      </c>
      <c r="BA907" s="141">
        <f>COUNTIF(X907:AN907,"&lt;&gt;0")</f>
        <v>1</v>
      </c>
      <c r="BB907">
        <f>COUNTIF(X907:AE907,"&lt;&gt;0")</f>
        <v>0</v>
      </c>
      <c r="BC907">
        <f>COUNTIF(AF907:AK907,"&lt;&gt;0")</f>
        <v>0</v>
      </c>
      <c r="BD907">
        <f>COUNTIF(AL907:AN907,"&lt;&gt;0")</f>
        <v>1</v>
      </c>
      <c r="BE907">
        <f>COUNTIF(AU907:AY907,"&lt;&gt;0")</f>
        <v>0</v>
      </c>
      <c r="BF907">
        <f>COUNTIF(AO907:AT907,"&lt;&gt;0")</f>
        <v>0</v>
      </c>
      <c r="BG907" t="str">
        <f t="array" ref="BG907">IF(BA907=1,INDEX($X$7:$AN$7,MATCH(TRUE,INDEX($X907:$AY907&lt;&gt;0,),0)),IF(BA907=0,INDEX($AO$7:$AY$7,MATCH(1,$AO907:$AY907,0)),IF(BH907="Multiple strategies","mixed drivers",IF(BH907="Supply chain","multiple supply","multiple silviculture"))))</f>
        <v>technologies/design switch</v>
      </c>
      <c r="BH907" s="2" t="str" cm="1">
        <f t="array" ref="BH907">IF(COUNTIF(BB907:BD907,"&lt;&gt;0")=1,INDEX($X$4:$AY$4,MATCH(TRUE,INDEX($X907:$AY907&lt;&gt;0,),0)),IF(COUNTIF(BB907:BD907,"&lt;&gt;0")=0,INDEX($AO$4:$AY$4,MATCH(1,$AO907:$AY907,0)),"Multiple strategies"))</f>
        <v>Technology</v>
      </c>
      <c r="BI907" s="1" t="s">
        <v>229</v>
      </c>
      <c r="BJ907" t="s">
        <v>637</v>
      </c>
      <c r="BK907" s="256" t="s">
        <v>2983</v>
      </c>
      <c r="BL907" t="s">
        <v>638</v>
      </c>
      <c r="BM907" s="256">
        <f>55+21+10+5+5</f>
        <v>96</v>
      </c>
      <c r="BN907" s="256">
        <v>124</v>
      </c>
      <c r="BP907">
        <f>BN907-BM907</f>
        <v>28</v>
      </c>
      <c r="BQ907">
        <f>BP907*t_to_m3</f>
        <v>57.142857142857146</v>
      </c>
      <c r="BR907" t="s">
        <v>232</v>
      </c>
      <c r="BS907" s="256" t="s">
        <v>2986</v>
      </c>
      <c r="BT907" t="s">
        <v>262</v>
      </c>
      <c r="BU907">
        <v>257</v>
      </c>
      <c r="BV907">
        <v>446</v>
      </c>
      <c r="BW907" s="144">
        <v>1.7354085603112841</v>
      </c>
      <c r="BX907">
        <v>189</v>
      </c>
      <c r="BZ907">
        <f>BX907/1000</f>
        <v>0.189</v>
      </c>
      <c r="CA907">
        <f>IFERROR(BZ907/BQ907,"")</f>
        <v>3.3074999999999997E-3</v>
      </c>
      <c r="CB907">
        <v>0</v>
      </c>
      <c r="CC907">
        <v>0</v>
      </c>
      <c r="CD907">
        <v>0</v>
      </c>
      <c r="CE907">
        <v>0</v>
      </c>
      <c r="CF907">
        <v>0</v>
      </c>
      <c r="CG907">
        <v>0</v>
      </c>
      <c r="CH907">
        <v>0</v>
      </c>
      <c r="CI907">
        <v>0</v>
      </c>
      <c r="CJ907">
        <v>0</v>
      </c>
      <c r="CK907">
        <v>0</v>
      </c>
      <c r="CL907">
        <v>0</v>
      </c>
      <c r="CM907">
        <v>0</v>
      </c>
      <c r="CN907">
        <v>0</v>
      </c>
      <c r="CO907">
        <v>0</v>
      </c>
      <c r="CP907" t="str">
        <f>IF($BN907&lt;$BM907,"refNeedCorrection","refOK")</f>
        <v>refOK</v>
      </c>
      <c r="CQ907">
        <f>IF($CP907="refOK",$BM907,$BN907)</f>
        <v>96</v>
      </c>
      <c r="CR907">
        <f>IF($CP907="refOK",$BN907,$BM907)</f>
        <v>124</v>
      </c>
      <c r="CS907">
        <f>IF($CP907="refOK",$BQ907,-$BQ907)</f>
        <v>57.142857142857146</v>
      </c>
      <c r="CT907">
        <f>IF(BI907="Roundwood",$CS907/2,$CS907)</f>
        <v>57.142857142857146</v>
      </c>
      <c r="CU907">
        <f>IF($CP907="refOK",$BU907,$BV907)*IF($BR907="Emissions positive",-1,1)</f>
        <v>257</v>
      </c>
      <c r="CV907">
        <f>IF($CP907="refOK",$BV907,$BU907)*IF($BR907="Emissions positive",-1,1)</f>
        <v>446</v>
      </c>
      <c r="CW907">
        <f>IF($CP907="refNeedCorrection",-BZ907,BZ907)*IF($BR907="Emissions positive",-1,1)</f>
        <v>0.189</v>
      </c>
      <c r="CX907">
        <f>IFERROR($CW907/$CS907,"")</f>
        <v>3.3074999999999997E-3</v>
      </c>
      <c r="CY907">
        <f>IFERROR($CW907/$CS907,"")</f>
        <v>3.3074999999999997E-3</v>
      </c>
      <c r="CZ907">
        <f>IFERROR($CW907/$CT907,"")</f>
        <v>3.3074999999999997E-3</v>
      </c>
      <c r="DA907" s="2">
        <f>IFERROR((CV907-CU907)/ABS(CU907),"")</f>
        <v>0.7354085603112841</v>
      </c>
      <c r="DB907" s="1" t="s">
        <v>263</v>
      </c>
      <c r="DC907" t="str">
        <f>IF(OR($DB907="prd",$DB907="std",$DB907="cit"),"loc",IF(OR($DB907="eur",$DB907="reg",$DB907="coy"),"reg",$DB907))</f>
        <v>loc</v>
      </c>
      <c r="DD907" t="s">
        <v>444</v>
      </c>
      <c r="DG907">
        <v>50</v>
      </c>
      <c r="DH907" t="str">
        <f>IF(DG907=0,"0",IF(AND(DG907&gt;=1,DG907&lt;=30),"1-30",IF(AND(DG907&gt;30,DG907&lt;=70),"31-70",IF(AND(DG907&gt;70,DG907&lt;=100),"71-100",IF(DG907&gt;100,"+100")))))</f>
        <v>31-70</v>
      </c>
      <c r="DI907">
        <v>0</v>
      </c>
      <c r="DJ907">
        <v>0</v>
      </c>
      <c r="DK907">
        <v>0</v>
      </c>
      <c r="DL907">
        <v>1</v>
      </c>
      <c r="DN907">
        <f>SUM(DI907:DL907)</f>
        <v>1</v>
      </c>
      <c r="DO907" t="str">
        <f>IF(DN907=1,INDEX($DI$7:$DL$7,MATCH(1,$DI907:$DL907,0)),"mixedProduct")</f>
        <v>TimberInput</v>
      </c>
      <c r="DP907">
        <f>IF(DI907=1,DP$7,0)</f>
        <v>0</v>
      </c>
      <c r="DQ907">
        <f>IF(DJ907=1,DQ$7,0)</f>
        <v>0</v>
      </c>
      <c r="DR907">
        <f>IF(DK907=1,DR$7,0)</f>
        <v>0</v>
      </c>
      <c r="DS907" t="str">
        <f>IF(DL907=1,DS$7,0)</f>
        <v>Timber</v>
      </c>
      <c r="DT907">
        <v>0</v>
      </c>
      <c r="DU907">
        <v>0</v>
      </c>
      <c r="DV907">
        <v>0</v>
      </c>
      <c r="DW907">
        <v>0</v>
      </c>
      <c r="DX907">
        <v>0</v>
      </c>
      <c r="DY907">
        <f>SUM(DT907:DU907)</f>
        <v>0</v>
      </c>
      <c r="DZ907" s="143" t="str">
        <f>IF(DT907=1,"self-calculated DF",IF(DU907=1,"external DF used","explicit C balance"))</f>
        <v>explicit C balance</v>
      </c>
      <c r="EA907">
        <v>0</v>
      </c>
      <c r="EB907">
        <v>0</v>
      </c>
      <c r="EC907">
        <v>0</v>
      </c>
      <c r="ED907">
        <v>1</v>
      </c>
      <c r="EE907">
        <v>0</v>
      </c>
      <c r="EF907" s="260">
        <v>1</v>
      </c>
      <c r="EG907">
        <v>0</v>
      </c>
      <c r="EH907">
        <v>1</v>
      </c>
      <c r="EI907">
        <v>0</v>
      </c>
      <c r="EJ907">
        <v>0</v>
      </c>
      <c r="EK907">
        <v>0</v>
      </c>
      <c r="EL907">
        <v>0</v>
      </c>
      <c r="EM907">
        <v>0</v>
      </c>
      <c r="EN907" s="2">
        <v>0</v>
      </c>
      <c r="EP907" t="str">
        <f>IF(AND(AND(AND(OR($EC907=1,$EB907=1),OR($EH907=1,$EF907=1)),SUM($EA907:$EE907,$EK907)&gt;=3),SUM($EF907:$EJ907)&gt;=2),"Whole sector approach","")</f>
        <v/>
      </c>
      <c r="EQ907" t="str">
        <f>IF(AND(AND(OR($EC907=1,$EB907=1),AND($EH907=0,$EF907=0)),SUM($EA907:$EE907,$EK907)&gt;=4),"Ecosystem approach","")</f>
        <v/>
      </c>
      <c r="ER907" s="2" t="str">
        <f>IF(AND(AND(AND($EC907=0,$EB907=0),OR($EH907=1,$EF907=1)),SUM($EG907:$EJ907)&gt;=2),"Technology approach","")</f>
        <v/>
      </c>
      <c r="ES907" t="str">
        <f>IF(AND($EC907+$EB907+$EE907+$EA907+$ED907+$EG907=0,$N907="included"),"C neutral forest and HWP assumption","")</f>
        <v/>
      </c>
      <c r="ET907" t="str">
        <f>IF(AND(AND(AND(AND($EC907=1,$EB907+$EA907+$EG907&gt;=1),$EF907=1),$EH907+$EI907+$ED907+$EE907&gt;=2),$N907="included"),"All C pools assumption","")</f>
        <v/>
      </c>
      <c r="EU907" t="str">
        <f>IF(AND($ED907+$EE907+$EI907+$EH907+$EF907=0,$N907="included"),"In-situ only assumption","")</f>
        <v/>
      </c>
      <c r="EY907" t="str">
        <f>IF(ISNUMBER(BW907),IF(ABS(BW907-[6]QC_indicators!$B$2)&gt;3*[6]QC_indicators!$C$2,"C ratio",IF(ISNUMBER(CA907),IF(ABS(CA907-[6]QC_indicators!$B$1)&gt;3*[6]QC_indicators!$C$1,"DF","no"))),IF(ISNUMBER(CA907),IF(ABS(CA907-[6]QC_indicators!$B$1)&gt;3*[6]QC_indicators!$C$1,"DF","no")))</f>
        <v>no</v>
      </c>
      <c r="FA907" t="str">
        <f>IF(LEN($CY907)=0,"",IF(AND($CY907&lt;(-0.05),$ES907="C neutral forest and HWP assumption"),"Cneutral paradox",IF(AND($CY907&gt;0.05,$EU907="In-situ only assumption"),"In-situ only paradox","")))</f>
        <v/>
      </c>
      <c r="FB907" s="149" t="s">
        <v>349</v>
      </c>
      <c r="FD907" s="260" t="s">
        <v>2948</v>
      </c>
    </row>
    <row r="908" spans="1:160" ht="15" hidden="1" customHeight="1">
      <c r="A908" s="1" t="s">
        <v>247</v>
      </c>
      <c r="B908" t="s">
        <v>628</v>
      </c>
      <c r="C908" t="s">
        <v>629</v>
      </c>
      <c r="D908" t="s">
        <v>630</v>
      </c>
      <c r="E908" t="s">
        <v>631</v>
      </c>
      <c r="F908" t="s">
        <v>632</v>
      </c>
      <c r="G908" t="s">
        <v>253</v>
      </c>
      <c r="H908" t="s">
        <v>254</v>
      </c>
      <c r="I908">
        <v>2014</v>
      </c>
      <c r="J908">
        <v>76</v>
      </c>
      <c r="K908" t="s">
        <v>633</v>
      </c>
      <c r="M908" t="str">
        <f>LEFT($D908,FIND(",",$D908)-1)&amp;"_"&amp;I908&amp;L908</f>
        <v>Dodoo_2014</v>
      </c>
      <c r="N908" t="s">
        <v>222</v>
      </c>
      <c r="O908" s="145" t="s">
        <v>223</v>
      </c>
      <c r="Q908" t="s">
        <v>256</v>
      </c>
      <c r="R908" s="251" t="s">
        <v>225</v>
      </c>
      <c r="S908" s="1" t="s">
        <v>634</v>
      </c>
      <c r="T908" t="s">
        <v>639</v>
      </c>
      <c r="U908" t="s">
        <v>641</v>
      </c>
      <c r="V908" s="253">
        <v>0</v>
      </c>
      <c r="W908" s="253">
        <v>0</v>
      </c>
      <c r="X908">
        <v>0</v>
      </c>
      <c r="Y908">
        <v>0</v>
      </c>
      <c r="Z908">
        <v>0</v>
      </c>
      <c r="AA908">
        <v>0</v>
      </c>
      <c r="AB908">
        <v>0</v>
      </c>
      <c r="AC908">
        <v>0</v>
      </c>
      <c r="AD908">
        <v>0</v>
      </c>
      <c r="AE908">
        <v>0</v>
      </c>
      <c r="AF908">
        <v>0</v>
      </c>
      <c r="AG908">
        <v>0</v>
      </c>
      <c r="AH908">
        <v>0</v>
      </c>
      <c r="AI908">
        <v>0</v>
      </c>
      <c r="AJ908">
        <v>0</v>
      </c>
      <c r="AK908">
        <v>0</v>
      </c>
      <c r="AL908">
        <v>0</v>
      </c>
      <c r="AM908">
        <v>1</v>
      </c>
      <c r="AN908">
        <v>0</v>
      </c>
      <c r="AO908">
        <v>0</v>
      </c>
      <c r="AP908">
        <v>0</v>
      </c>
      <c r="AQ908">
        <v>0</v>
      </c>
      <c r="AR908">
        <v>0</v>
      </c>
      <c r="AS908">
        <v>0</v>
      </c>
      <c r="AT908">
        <v>0</v>
      </c>
      <c r="AU908">
        <v>0</v>
      </c>
      <c r="AV908">
        <v>0</v>
      </c>
      <c r="AW908">
        <v>0</v>
      </c>
      <c r="AX908">
        <v>0</v>
      </c>
      <c r="AY908">
        <v>0</v>
      </c>
      <c r="AZ908" s="141">
        <f>COUNTIF(X908:AY908,"&lt;&gt;0")</f>
        <v>1</v>
      </c>
      <c r="BA908" s="141">
        <f>COUNTIF(X908:AN908,"&lt;&gt;0")</f>
        <v>1</v>
      </c>
      <c r="BB908">
        <f>COUNTIF(X908:AE908,"&lt;&gt;0")</f>
        <v>0</v>
      </c>
      <c r="BC908">
        <f>COUNTIF(AF908:AK908,"&lt;&gt;0")</f>
        <v>0</v>
      </c>
      <c r="BD908">
        <f>COUNTIF(AL908:AN908,"&lt;&gt;0")</f>
        <v>1</v>
      </c>
      <c r="BE908">
        <f>COUNTIF(AU908:AY908,"&lt;&gt;0")</f>
        <v>0</v>
      </c>
      <c r="BF908">
        <f>COUNTIF(AO908:AT908,"&lt;&gt;0")</f>
        <v>0</v>
      </c>
      <c r="BG908" t="str">
        <f t="array" ref="BG908">IF(BA908=1,INDEX($X$7:$AN$7,MATCH(TRUE,INDEX($X908:$AY908&lt;&gt;0,),0)),IF(BA908=0,INDEX($AO$7:$AY$7,MATCH(1,$AO908:$AY908,0)),IF(BH908="Multiple strategies","mixed drivers",IF(BH908="Supply chain","multiple supply","multiple silviculture"))))</f>
        <v>technologies/design switch</v>
      </c>
      <c r="BH908" s="2" t="str" cm="1">
        <f t="array" ref="BH908">IF(COUNTIF(BB908:BD908,"&lt;&gt;0")=1,INDEX($X$4:$AY$4,MATCH(TRUE,INDEX($X908:$AY908&lt;&gt;0,),0)),IF(COUNTIF(BB908:BD908,"&lt;&gt;0")=0,INDEX($AO$4:$AY$4,MATCH(1,$AO908:$AY908,0)),"Multiple strategies"))</f>
        <v>Technology</v>
      </c>
      <c r="BI908" s="1" t="s">
        <v>229</v>
      </c>
      <c r="BJ908" t="s">
        <v>637</v>
      </c>
      <c r="BK908" s="256" t="s">
        <v>2983</v>
      </c>
      <c r="BL908" t="s">
        <v>638</v>
      </c>
      <c r="BM908" s="256">
        <f>55+21+10+5+5</f>
        <v>96</v>
      </c>
      <c r="BN908" s="256">
        <v>141</v>
      </c>
      <c r="BP908">
        <f>BN908-BM908</f>
        <v>45</v>
      </c>
      <c r="BQ908">
        <f>BP908*t_to_m3</f>
        <v>91.83673469387756</v>
      </c>
      <c r="BR908" t="s">
        <v>232</v>
      </c>
      <c r="BS908" s="256" t="s">
        <v>2986</v>
      </c>
      <c r="BT908" t="s">
        <v>262</v>
      </c>
      <c r="BU908">
        <v>257</v>
      </c>
      <c r="BV908">
        <v>541</v>
      </c>
      <c r="BW908" s="144">
        <v>2.1050583657587549</v>
      </c>
      <c r="BX908">
        <v>284</v>
      </c>
      <c r="BZ908">
        <f>BX908/1000</f>
        <v>0.28399999999999997</v>
      </c>
      <c r="CA908">
        <f>IFERROR(BZ908/BQ908,"")</f>
        <v>3.0924444444444437E-3</v>
      </c>
      <c r="CB908">
        <v>0</v>
      </c>
      <c r="CC908">
        <v>0</v>
      </c>
      <c r="CD908">
        <v>0</v>
      </c>
      <c r="CE908">
        <v>0</v>
      </c>
      <c r="CF908">
        <v>0</v>
      </c>
      <c r="CG908">
        <v>0</v>
      </c>
      <c r="CH908">
        <v>0</v>
      </c>
      <c r="CI908">
        <v>0</v>
      </c>
      <c r="CJ908">
        <v>0</v>
      </c>
      <c r="CK908">
        <v>0</v>
      </c>
      <c r="CL908">
        <v>0</v>
      </c>
      <c r="CM908">
        <v>0</v>
      </c>
      <c r="CN908">
        <v>0</v>
      </c>
      <c r="CO908">
        <v>0</v>
      </c>
      <c r="CP908" t="str">
        <f>IF($BN908&lt;$BM908,"refNeedCorrection","refOK")</f>
        <v>refOK</v>
      </c>
      <c r="CQ908">
        <f>IF($CP908="refOK",$BM908,$BN908)</f>
        <v>96</v>
      </c>
      <c r="CR908">
        <f>IF($CP908="refOK",$BN908,$BM908)</f>
        <v>141</v>
      </c>
      <c r="CS908">
        <f>IF($CP908="refOK",$BQ908,-$BQ908)</f>
        <v>91.83673469387756</v>
      </c>
      <c r="CT908">
        <f>IF(BI908="Roundwood",$CS908/2,$CS908)</f>
        <v>91.83673469387756</v>
      </c>
      <c r="CU908">
        <f>IF($CP908="refOK",$BU908,$BV908)*IF($BR908="Emissions positive",-1,1)</f>
        <v>257</v>
      </c>
      <c r="CV908">
        <f>IF($CP908="refOK",$BV908,$BU908)*IF($BR908="Emissions positive",-1,1)</f>
        <v>541</v>
      </c>
      <c r="CW908">
        <f>IF($CP908="refNeedCorrection",-BZ908,BZ908)*IF($BR908="Emissions positive",-1,1)</f>
        <v>0.28399999999999997</v>
      </c>
      <c r="CX908">
        <f>IFERROR($CW908/$CS908,"")</f>
        <v>3.0924444444444437E-3</v>
      </c>
      <c r="CY908">
        <f>IFERROR($CW908/$CS908,"")</f>
        <v>3.0924444444444437E-3</v>
      </c>
      <c r="CZ908">
        <f>IFERROR($CW908/$CT908,"")</f>
        <v>3.0924444444444437E-3</v>
      </c>
      <c r="DA908" s="2">
        <f>IFERROR((CV908-CU908)/ABS(CU908),"")</f>
        <v>1.1050583657587549</v>
      </c>
      <c r="DB908" s="1" t="s">
        <v>263</v>
      </c>
      <c r="DC908" t="str">
        <f>IF(OR($DB908="prd",$DB908="std",$DB908="cit"),"loc",IF(OR($DB908="eur",$DB908="reg",$DB908="coy"),"reg",$DB908))</f>
        <v>loc</v>
      </c>
      <c r="DD908" t="s">
        <v>444</v>
      </c>
      <c r="DG908">
        <v>50</v>
      </c>
      <c r="DH908" t="str">
        <f>IF(DG908=0,"0",IF(AND(DG908&gt;=1,DG908&lt;=30),"1-30",IF(AND(DG908&gt;30,DG908&lt;=70),"31-70",IF(AND(DG908&gt;70,DG908&lt;=100),"71-100",IF(DG908&gt;100,"+100")))))</f>
        <v>31-70</v>
      </c>
      <c r="DI908">
        <v>0</v>
      </c>
      <c r="DJ908">
        <v>0</v>
      </c>
      <c r="DK908">
        <v>0</v>
      </c>
      <c r="DL908">
        <v>1</v>
      </c>
      <c r="DN908">
        <f>SUM(DI908:DL908)</f>
        <v>1</v>
      </c>
      <c r="DO908" t="str">
        <f>IF(DN908=1,INDEX($DI$7:$DL$7,MATCH(1,$DI908:$DL908,0)),"mixedProduct")</f>
        <v>TimberInput</v>
      </c>
      <c r="DP908">
        <f>IF(DI908=1,DP$7,0)</f>
        <v>0</v>
      </c>
      <c r="DQ908">
        <f>IF(DJ908=1,DQ$7,0)</f>
        <v>0</v>
      </c>
      <c r="DR908">
        <f>IF(DK908=1,DR$7,0)</f>
        <v>0</v>
      </c>
      <c r="DS908" t="str">
        <f>IF(DL908=1,DS$7,0)</f>
        <v>Timber</v>
      </c>
      <c r="DT908">
        <v>0</v>
      </c>
      <c r="DU908">
        <v>0</v>
      </c>
      <c r="DV908">
        <v>0</v>
      </c>
      <c r="DW908">
        <v>0</v>
      </c>
      <c r="DX908">
        <v>0</v>
      </c>
      <c r="DY908">
        <f>SUM(DT908:DU908)</f>
        <v>0</v>
      </c>
      <c r="DZ908" s="143" t="str">
        <f>IF(DT908=1,"self-calculated DF",IF(DU908=1,"external DF used","explicit C balance"))</f>
        <v>explicit C balance</v>
      </c>
      <c r="EA908">
        <v>0</v>
      </c>
      <c r="EB908">
        <v>0</v>
      </c>
      <c r="EC908">
        <v>0</v>
      </c>
      <c r="ED908">
        <v>1</v>
      </c>
      <c r="EE908">
        <v>0</v>
      </c>
      <c r="EF908" s="260">
        <v>1</v>
      </c>
      <c r="EG908">
        <v>0</v>
      </c>
      <c r="EH908">
        <v>1</v>
      </c>
      <c r="EI908">
        <v>0</v>
      </c>
      <c r="EJ908">
        <v>0</v>
      </c>
      <c r="EK908">
        <v>0</v>
      </c>
      <c r="EL908">
        <v>0</v>
      </c>
      <c r="EM908">
        <v>0</v>
      </c>
      <c r="EN908" s="2">
        <v>0</v>
      </c>
      <c r="EP908" t="str">
        <f>IF(AND(AND(AND(OR($EC908=1,$EB908=1),OR($EH908=1,$EF908=1)),SUM($EA908:$EE908,$EK908)&gt;=3),SUM($EF908:$EJ908)&gt;=2),"Whole sector approach","")</f>
        <v/>
      </c>
      <c r="EQ908" t="str">
        <f>IF(AND(AND(OR($EC908=1,$EB908=1),AND($EH908=0,$EF908=0)),SUM($EA908:$EE908,$EK908)&gt;=4),"Ecosystem approach","")</f>
        <v/>
      </c>
      <c r="ER908" s="2" t="str">
        <f>IF(AND(AND(AND($EC908=0,$EB908=0),OR($EH908=1,$EF908=1)),SUM($EG908:$EJ908)&gt;=2),"Technology approach","")</f>
        <v/>
      </c>
      <c r="ES908" t="str">
        <f>IF(AND($EC908+$EB908+$EE908+$EA908+$ED908+$EG908=0,$N908="included"),"C neutral forest and HWP assumption","")</f>
        <v/>
      </c>
      <c r="ET908" t="str">
        <f>IF(AND(AND(AND(AND($EC908=1,$EB908+$EA908+$EG908&gt;=1),$EF908=1),$EH908+$EI908+$ED908+$EE908&gt;=2),$N908="included"),"All C pools assumption","")</f>
        <v/>
      </c>
      <c r="EU908" t="str">
        <f>IF(AND($ED908+$EE908+$EI908+$EH908+$EF908=0,$N908="included"),"In-situ only assumption","")</f>
        <v/>
      </c>
      <c r="EY908" t="str">
        <f>IF(ISNUMBER(BW908),IF(ABS(BW908-[6]QC_indicators!$B$2)&gt;3*[6]QC_indicators!$C$2,"C ratio",IF(ISNUMBER(CA908),IF(ABS(CA908-[6]QC_indicators!$B$1)&gt;3*[6]QC_indicators!$C$1,"DF","no"))),IF(ISNUMBER(CA908),IF(ABS(CA908-[6]QC_indicators!$B$1)&gt;3*[6]QC_indicators!$C$1,"DF","no")))</f>
        <v>no</v>
      </c>
      <c r="FA908" t="str">
        <f>IF(LEN($CY908)=0,"",IF(AND($CY908&lt;(-0.05),$ES908="C neutral forest and HWP assumption"),"Cneutral paradox",IF(AND($CY908&gt;0.05,$EU908="In-situ only assumption"),"In-situ only paradox","")))</f>
        <v/>
      </c>
      <c r="FB908" s="149" t="s">
        <v>349</v>
      </c>
      <c r="FD908" s="260" t="s">
        <v>2948</v>
      </c>
    </row>
    <row r="909" spans="1:160" ht="15" hidden="1" customHeight="1">
      <c r="A909" s="1" t="s">
        <v>247</v>
      </c>
      <c r="B909" t="s">
        <v>628</v>
      </c>
      <c r="C909" t="s">
        <v>629</v>
      </c>
      <c r="D909" t="s">
        <v>630</v>
      </c>
      <c r="E909" t="s">
        <v>631</v>
      </c>
      <c r="F909" t="s">
        <v>632</v>
      </c>
      <c r="G909" t="s">
        <v>253</v>
      </c>
      <c r="H909" t="s">
        <v>254</v>
      </c>
      <c r="I909">
        <v>2014</v>
      </c>
      <c r="J909">
        <v>76</v>
      </c>
      <c r="K909" t="s">
        <v>633</v>
      </c>
      <c r="M909" t="str">
        <f>LEFT($D909,FIND(",",$D909)-1)&amp;"_"&amp;I909&amp;L909</f>
        <v>Dodoo_2014</v>
      </c>
      <c r="N909" t="s">
        <v>222</v>
      </c>
      <c r="O909" s="145" t="s">
        <v>223</v>
      </c>
      <c r="Q909" t="s">
        <v>256</v>
      </c>
      <c r="R909" s="251" t="s">
        <v>225</v>
      </c>
      <c r="S909" s="1" t="s">
        <v>634</v>
      </c>
      <c r="T909" t="s">
        <v>635</v>
      </c>
      <c r="U909" t="s">
        <v>642</v>
      </c>
      <c r="V909" s="253">
        <v>0</v>
      </c>
      <c r="W909" s="253">
        <v>0</v>
      </c>
      <c r="X909">
        <v>0</v>
      </c>
      <c r="Y909">
        <v>0</v>
      </c>
      <c r="Z909">
        <v>0</v>
      </c>
      <c r="AA909">
        <v>0</v>
      </c>
      <c r="AB909">
        <v>0</v>
      </c>
      <c r="AC909">
        <v>0</v>
      </c>
      <c r="AD909">
        <v>0</v>
      </c>
      <c r="AE909">
        <v>0</v>
      </c>
      <c r="AF909">
        <v>0</v>
      </c>
      <c r="AG909">
        <v>0</v>
      </c>
      <c r="AH909">
        <v>0</v>
      </c>
      <c r="AI909">
        <v>0</v>
      </c>
      <c r="AJ909">
        <v>0</v>
      </c>
      <c r="AK909">
        <v>0</v>
      </c>
      <c r="AL909">
        <v>0</v>
      </c>
      <c r="AM909">
        <v>1</v>
      </c>
      <c r="AN909">
        <v>0</v>
      </c>
      <c r="AO909">
        <v>0</v>
      </c>
      <c r="AP909">
        <v>0</v>
      </c>
      <c r="AQ909">
        <v>0</v>
      </c>
      <c r="AR909">
        <v>0</v>
      </c>
      <c r="AS909">
        <v>0</v>
      </c>
      <c r="AT909">
        <v>0</v>
      </c>
      <c r="AU909">
        <v>0</v>
      </c>
      <c r="AV909">
        <v>0</v>
      </c>
      <c r="AW909">
        <v>0</v>
      </c>
      <c r="AX909">
        <v>0</v>
      </c>
      <c r="AY909">
        <v>0</v>
      </c>
      <c r="AZ909" s="141">
        <f>COUNTIF(X909:AY909,"&lt;&gt;0")</f>
        <v>1</v>
      </c>
      <c r="BA909" s="141">
        <f>COUNTIF(X909:AN909,"&lt;&gt;0")</f>
        <v>1</v>
      </c>
      <c r="BB909">
        <f>COUNTIF(X909:AE909,"&lt;&gt;0")</f>
        <v>0</v>
      </c>
      <c r="BC909">
        <f>COUNTIF(AF909:AK909,"&lt;&gt;0")</f>
        <v>0</v>
      </c>
      <c r="BD909">
        <f>COUNTIF(AL909:AN909,"&lt;&gt;0")</f>
        <v>1</v>
      </c>
      <c r="BE909">
        <f>COUNTIF(AU909:AY909,"&lt;&gt;0")</f>
        <v>0</v>
      </c>
      <c r="BF909">
        <f>COUNTIF(AO909:AT909,"&lt;&gt;0")</f>
        <v>0</v>
      </c>
      <c r="BG909" t="str">
        <f t="array" ref="BG909">IF(BA909=1,INDEX($X$7:$AN$7,MATCH(TRUE,INDEX($X909:$AY909&lt;&gt;0,),0)),IF(BA909=0,INDEX($AO$7:$AY$7,MATCH(1,$AO909:$AY909,0)),IF(BH909="Multiple strategies","mixed drivers",IF(BH909="Supply chain","multiple supply","multiple silviculture"))))</f>
        <v>technologies/design switch</v>
      </c>
      <c r="BH909" s="2" t="str" cm="1">
        <f t="array" ref="BH909">IF(COUNTIF(BB909:BD909,"&lt;&gt;0")=1,INDEX($X$4:$AY$4,MATCH(TRUE,INDEX($X909:$AY909&lt;&gt;0,),0)),IF(COUNTIF(BB909:BD909,"&lt;&gt;0")=0,INDEX($AO$4:$AY$4,MATCH(1,$AO909:$AY909,0)),"Multiple strategies"))</f>
        <v>Technology</v>
      </c>
      <c r="BI909" s="1" t="s">
        <v>229</v>
      </c>
      <c r="BJ909" t="s">
        <v>637</v>
      </c>
      <c r="BK909" s="256" t="s">
        <v>2983</v>
      </c>
      <c r="BL909" t="s">
        <v>638</v>
      </c>
      <c r="BM909" s="256">
        <f>55+21+10+5+5</f>
        <v>96</v>
      </c>
      <c r="BN909" s="256">
        <v>129.6</v>
      </c>
      <c r="BP909">
        <f>BN909-BM909</f>
        <v>33.599999999999994</v>
      </c>
      <c r="BQ909">
        <f>BP909*t_to_m3</f>
        <v>68.571428571428555</v>
      </c>
      <c r="BR909" t="s">
        <v>232</v>
      </c>
      <c r="BS909" s="256" t="s">
        <v>2985</v>
      </c>
      <c r="BT909" t="s">
        <v>262</v>
      </c>
      <c r="BU909">
        <v>27</v>
      </c>
      <c r="BV909">
        <v>93</v>
      </c>
      <c r="BW909" s="144">
        <v>3.4444444444444446</v>
      </c>
      <c r="BX909">
        <v>66</v>
      </c>
      <c r="BZ909">
        <f>BX909/1000</f>
        <v>6.6000000000000003E-2</v>
      </c>
      <c r="CA909">
        <f>IFERROR(BZ909/BQ909,"")</f>
        <v>9.6250000000000025E-4</v>
      </c>
      <c r="CB909">
        <v>0</v>
      </c>
      <c r="CC909">
        <v>0</v>
      </c>
      <c r="CD909">
        <v>0</v>
      </c>
      <c r="CE909">
        <v>0</v>
      </c>
      <c r="CF909">
        <v>0</v>
      </c>
      <c r="CG909">
        <v>0</v>
      </c>
      <c r="CH909">
        <v>0</v>
      </c>
      <c r="CI909">
        <v>0</v>
      </c>
      <c r="CJ909">
        <v>0</v>
      </c>
      <c r="CK909">
        <v>0</v>
      </c>
      <c r="CL909">
        <v>0</v>
      </c>
      <c r="CM909">
        <v>0</v>
      </c>
      <c r="CN909">
        <v>0</v>
      </c>
      <c r="CO909">
        <v>0</v>
      </c>
      <c r="CP909" t="str">
        <f>IF($BN909&lt;$BM909,"refNeedCorrection","refOK")</f>
        <v>refOK</v>
      </c>
      <c r="CQ909">
        <f>IF($CP909="refOK",$BM909,$BN909)</f>
        <v>96</v>
      </c>
      <c r="CR909">
        <f>IF($CP909="refOK",$BN909,$BM909)</f>
        <v>129.6</v>
      </c>
      <c r="CS909">
        <f>IF($CP909="refOK",$BQ909,-$BQ909)</f>
        <v>68.571428571428555</v>
      </c>
      <c r="CT909">
        <f>IF(BI909="Roundwood",$CS909/2,$CS909)</f>
        <v>68.571428571428555</v>
      </c>
      <c r="CU909">
        <f>IF($CP909="refOK",$BU909,$BV909)*IF($BR909="Emissions positive",-1,1)</f>
        <v>27</v>
      </c>
      <c r="CV909">
        <f>IF($CP909="refOK",$BV909,$BU909)*IF($BR909="Emissions positive",-1,1)</f>
        <v>93</v>
      </c>
      <c r="CW909">
        <f>IF($CP909="refNeedCorrection",-BZ909,BZ909)*IF($BR909="Emissions positive",-1,1)</f>
        <v>6.6000000000000003E-2</v>
      </c>
      <c r="CX909">
        <f>IFERROR($CW909/$CS909,"")</f>
        <v>9.6250000000000025E-4</v>
      </c>
      <c r="CY909">
        <f>IFERROR($CW909/$CS909,"")</f>
        <v>9.6250000000000025E-4</v>
      </c>
      <c r="CZ909">
        <f>IFERROR($CW909/$CT909,"")</f>
        <v>9.6250000000000025E-4</v>
      </c>
      <c r="DA909" s="2">
        <f>IFERROR((CV909-CU909)/ABS(CU909),"")</f>
        <v>2.4444444444444446</v>
      </c>
      <c r="DB909" s="1" t="s">
        <v>263</v>
      </c>
      <c r="DC909" t="str">
        <f>IF(OR($DB909="prd",$DB909="std",$DB909="cit"),"loc",IF(OR($DB909="eur",$DB909="reg",$DB909="coy"),"reg",$DB909))</f>
        <v>loc</v>
      </c>
      <c r="DD909" t="s">
        <v>444</v>
      </c>
      <c r="DG909">
        <v>50</v>
      </c>
      <c r="DH909" t="str">
        <f>IF(DG909=0,"0",IF(AND(DG909&gt;=1,DG909&lt;=30),"1-30",IF(AND(DG909&gt;30,DG909&lt;=70),"31-70",IF(AND(DG909&gt;70,DG909&lt;=100),"71-100",IF(DG909&gt;100,"+100")))))</f>
        <v>31-70</v>
      </c>
      <c r="DI909">
        <v>0</v>
      </c>
      <c r="DJ909">
        <v>0</v>
      </c>
      <c r="DK909">
        <v>0</v>
      </c>
      <c r="DL909">
        <v>1</v>
      </c>
      <c r="DN909">
        <f>SUM(DI909:DL909)</f>
        <v>1</v>
      </c>
      <c r="DO909" t="str">
        <f>IF(DN909=1,INDEX($DI$7:$DL$7,MATCH(1,$DI909:$DL909,0)),"mixedProduct")</f>
        <v>TimberInput</v>
      </c>
      <c r="DP909">
        <f>IF(DI909=1,DP$7,0)</f>
        <v>0</v>
      </c>
      <c r="DQ909">
        <f>IF(DJ909=1,DQ$7,0)</f>
        <v>0</v>
      </c>
      <c r="DR909">
        <f>IF(DK909=1,DR$7,0)</f>
        <v>0</v>
      </c>
      <c r="DS909" t="str">
        <f>IF(DL909=1,DS$7,0)</f>
        <v>Timber</v>
      </c>
      <c r="DT909">
        <v>0</v>
      </c>
      <c r="DU909">
        <v>0</v>
      </c>
      <c r="DV909">
        <v>0</v>
      </c>
      <c r="DW909">
        <v>0</v>
      </c>
      <c r="DX909">
        <v>0</v>
      </c>
      <c r="DY909">
        <f>SUM(DT909:DU909)</f>
        <v>0</v>
      </c>
      <c r="DZ909" s="143" t="str">
        <f>IF(DT909=1,"self-calculated DF",IF(DU909=1,"external DF used","explicit C balance"))</f>
        <v>explicit C balance</v>
      </c>
      <c r="EA909">
        <v>0</v>
      </c>
      <c r="EB909">
        <v>0</v>
      </c>
      <c r="EC909">
        <v>0</v>
      </c>
      <c r="ED909">
        <v>1</v>
      </c>
      <c r="EE909">
        <v>0</v>
      </c>
      <c r="EF909" s="143">
        <v>0</v>
      </c>
      <c r="EG909">
        <v>0</v>
      </c>
      <c r="EH909">
        <v>1</v>
      </c>
      <c r="EI909">
        <v>0</v>
      </c>
      <c r="EJ909">
        <v>0</v>
      </c>
      <c r="EK909">
        <v>0</v>
      </c>
      <c r="EL909">
        <v>0</v>
      </c>
      <c r="EM909">
        <v>0</v>
      </c>
      <c r="EN909" s="2">
        <v>0</v>
      </c>
      <c r="EP909" t="str">
        <f>IF(AND(AND(AND(OR($EC909=1,$EB909=1),OR($EH909=1,$EF909=1)),SUM($EA909:$EE909,$EK909)&gt;=3),SUM($EF909:$EJ909)&gt;=2),"Whole sector approach","")</f>
        <v/>
      </c>
      <c r="EQ909" t="str">
        <f>IF(AND(AND(OR($EC909=1,$EB909=1),AND($EH909=0,$EF909=0)),SUM($EA909:$EE909,$EK909)&gt;=4),"Ecosystem approach","")</f>
        <v/>
      </c>
      <c r="ER909" s="2" t="str">
        <f>IF(AND(AND(AND($EC909=0,$EB909=0),OR($EH909=1,$EF909=1)),SUM($EG909:$EJ909)&gt;=2),"Technology approach","")</f>
        <v/>
      </c>
      <c r="ES909" t="str">
        <f>IF(AND($EC909+$EB909+$EE909+$EA909+$ED909+$EG909=0,$N909="included"),"C neutral forest and HWP assumption","")</f>
        <v/>
      </c>
      <c r="ET909" t="str">
        <f>IF(AND(AND(AND(AND($EC909=1,$EB909+$EA909+$EG909&gt;=1),$EF909=1),$EH909+$EI909+$ED909+$EE909&gt;=2),$N909="included"),"All C pools assumption","")</f>
        <v/>
      </c>
      <c r="EU909" t="str">
        <f>IF(AND($ED909+$EE909+$EI909+$EH909+$EF909=0,$N909="included"),"In-situ only assumption","")</f>
        <v/>
      </c>
      <c r="EY909" t="str">
        <f>IF(ISNUMBER(BW909),IF(ABS(BW909-[6]QC_indicators!$B$2)&gt;3*[6]QC_indicators!$C$2,"C ratio",IF(ISNUMBER(CA909),IF(ABS(CA909-[6]QC_indicators!$B$1)&gt;3*[6]QC_indicators!$C$1,"DF","no"))),IF(ISNUMBER(CA909),IF(ABS(CA909-[6]QC_indicators!$B$1)&gt;3*[6]QC_indicators!$C$1,"DF","no")))</f>
        <v>no</v>
      </c>
      <c r="FA909" t="str">
        <f>IF(LEN($CY909)=0,"",IF(AND($CY909&lt;(-0.05),$ES909="C neutral forest and HWP assumption"),"Cneutral paradox",IF(AND($CY909&gt;0.05,$EU909="In-situ only assumption"),"In-situ only paradox","")))</f>
        <v/>
      </c>
      <c r="FB909" s="149" t="s">
        <v>349</v>
      </c>
      <c r="FD909" s="260" t="s">
        <v>2948</v>
      </c>
    </row>
    <row r="910" spans="1:160" hidden="1">
      <c r="A910" s="1" t="s">
        <v>247</v>
      </c>
      <c r="B910" t="s">
        <v>628</v>
      </c>
      <c r="C910" t="s">
        <v>629</v>
      </c>
      <c r="D910" t="s">
        <v>630</v>
      </c>
      <c r="E910" t="s">
        <v>631</v>
      </c>
      <c r="F910" t="s">
        <v>632</v>
      </c>
      <c r="G910" t="s">
        <v>253</v>
      </c>
      <c r="H910" t="s">
        <v>254</v>
      </c>
      <c r="I910">
        <v>2014</v>
      </c>
      <c r="J910">
        <v>76</v>
      </c>
      <c r="K910" t="s">
        <v>633</v>
      </c>
      <c r="M910" t="str">
        <f>LEFT($D910,FIND(",",$D910)-1)&amp;"_"&amp;I910&amp;L910</f>
        <v>Dodoo_2014</v>
      </c>
      <c r="N910" t="s">
        <v>222</v>
      </c>
      <c r="O910" s="145" t="s">
        <v>223</v>
      </c>
      <c r="Q910" t="s">
        <v>256</v>
      </c>
      <c r="R910" s="251" t="s">
        <v>225</v>
      </c>
      <c r="S910" s="1" t="s">
        <v>634</v>
      </c>
      <c r="T910" t="s">
        <v>639</v>
      </c>
      <c r="U910" t="s">
        <v>641</v>
      </c>
      <c r="V910" s="253">
        <v>0</v>
      </c>
      <c r="W910" s="253">
        <v>0</v>
      </c>
      <c r="X910">
        <v>0</v>
      </c>
      <c r="Y910">
        <v>0</v>
      </c>
      <c r="Z910">
        <v>0</v>
      </c>
      <c r="AA910">
        <v>0</v>
      </c>
      <c r="AB910">
        <v>0</v>
      </c>
      <c r="AC910">
        <v>0</v>
      </c>
      <c r="AD910">
        <v>0</v>
      </c>
      <c r="AE910">
        <v>0</v>
      </c>
      <c r="AF910">
        <v>0</v>
      </c>
      <c r="AG910">
        <v>0</v>
      </c>
      <c r="AH910">
        <v>0</v>
      </c>
      <c r="AI910">
        <v>0</v>
      </c>
      <c r="AJ910">
        <v>0</v>
      </c>
      <c r="AK910">
        <v>0</v>
      </c>
      <c r="AL910">
        <v>0</v>
      </c>
      <c r="AM910">
        <v>1</v>
      </c>
      <c r="AN910">
        <v>0</v>
      </c>
      <c r="AO910">
        <v>0</v>
      </c>
      <c r="AP910">
        <v>0</v>
      </c>
      <c r="AQ910">
        <v>0</v>
      </c>
      <c r="AR910">
        <v>0</v>
      </c>
      <c r="AS910">
        <v>0</v>
      </c>
      <c r="AT910">
        <v>0</v>
      </c>
      <c r="AU910">
        <v>0</v>
      </c>
      <c r="AV910">
        <v>0</v>
      </c>
      <c r="AW910">
        <v>0</v>
      </c>
      <c r="AX910">
        <v>0</v>
      </c>
      <c r="AY910">
        <v>0</v>
      </c>
      <c r="AZ910" s="141">
        <f>COUNTIF(X910:AY910,"&lt;&gt;0")</f>
        <v>1</v>
      </c>
      <c r="BA910" s="141">
        <f>COUNTIF(X910:AN910,"&lt;&gt;0")</f>
        <v>1</v>
      </c>
      <c r="BB910">
        <f>COUNTIF(X910:AE910,"&lt;&gt;0")</f>
        <v>0</v>
      </c>
      <c r="BC910">
        <f>COUNTIF(AF910:AK910,"&lt;&gt;0")</f>
        <v>0</v>
      </c>
      <c r="BD910">
        <f>COUNTIF(AL910:AN910,"&lt;&gt;0")</f>
        <v>1</v>
      </c>
      <c r="BE910">
        <f>COUNTIF(AU910:AY910,"&lt;&gt;0")</f>
        <v>0</v>
      </c>
      <c r="BF910">
        <f>COUNTIF(AO910:AT910,"&lt;&gt;0")</f>
        <v>0</v>
      </c>
      <c r="BG910" t="str">
        <f t="array" ref="BG910">IF(BA910=1,INDEX($X$7:$AN$7,MATCH(TRUE,INDEX($X910:$AY910&lt;&gt;0,),0)),IF(BA910=0,INDEX($AO$7:$AY$7,MATCH(1,$AO910:$AY910,0)),IF(BH910="Multiple strategies","mixed drivers",IF(BH910="Supply chain","multiple supply","multiple silviculture"))))</f>
        <v>technologies/design switch</v>
      </c>
      <c r="BH910" s="2" t="str" cm="1">
        <f t="array" ref="BH910">IF(COUNTIF(BB910:BD910,"&lt;&gt;0")=1,INDEX($X$4:$AY$4,MATCH(TRUE,INDEX($X910:$AY910&lt;&gt;0,),0)),IF(COUNTIF(BB910:BD910,"&lt;&gt;0")=0,INDEX($AO$4:$AY$4,MATCH(1,$AO910:$AY910,0)),"Multiple strategies"))</f>
        <v>Technology</v>
      </c>
      <c r="BI910" s="1" t="s">
        <v>229</v>
      </c>
      <c r="BJ910" t="s">
        <v>637</v>
      </c>
      <c r="BK910" s="256" t="s">
        <v>2983</v>
      </c>
      <c r="BL910" t="s">
        <v>638</v>
      </c>
      <c r="BM910" s="256">
        <f>55+21+10+5+5</f>
        <v>96</v>
      </c>
      <c r="BN910" s="256">
        <v>141</v>
      </c>
      <c r="BP910">
        <f>BN910-BM910</f>
        <v>45</v>
      </c>
      <c r="BQ910">
        <f>BP910*t_to_m3</f>
        <v>91.83673469387756</v>
      </c>
      <c r="BR910" t="s">
        <v>232</v>
      </c>
      <c r="BS910" s="256" t="s">
        <v>2985</v>
      </c>
      <c r="BT910" t="s">
        <v>262</v>
      </c>
      <c r="BU910">
        <v>33</v>
      </c>
      <c r="BV910">
        <v>98</v>
      </c>
      <c r="BW910" s="144">
        <v>2.9696969696969697</v>
      </c>
      <c r="BX910">
        <v>65</v>
      </c>
      <c r="BZ910">
        <f>BX910/1000</f>
        <v>6.5000000000000002E-2</v>
      </c>
      <c r="CA910">
        <f>IFERROR(BZ910/BQ910,"")</f>
        <v>7.0777777777777777E-4</v>
      </c>
      <c r="CB910">
        <v>0</v>
      </c>
      <c r="CC910">
        <v>0</v>
      </c>
      <c r="CD910">
        <v>0</v>
      </c>
      <c r="CE910">
        <v>0</v>
      </c>
      <c r="CF910">
        <v>0</v>
      </c>
      <c r="CG910">
        <v>0</v>
      </c>
      <c r="CH910">
        <v>0</v>
      </c>
      <c r="CI910">
        <v>0</v>
      </c>
      <c r="CJ910">
        <v>0</v>
      </c>
      <c r="CK910">
        <v>0</v>
      </c>
      <c r="CL910">
        <v>0</v>
      </c>
      <c r="CM910">
        <v>0</v>
      </c>
      <c r="CN910">
        <v>0</v>
      </c>
      <c r="CO910">
        <v>0</v>
      </c>
      <c r="CP910" t="str">
        <f>IF($BN910&lt;$BM910,"refNeedCorrection","refOK")</f>
        <v>refOK</v>
      </c>
      <c r="CQ910">
        <f>IF($CP910="refOK",$BM910,$BN910)</f>
        <v>96</v>
      </c>
      <c r="CR910">
        <f>IF($CP910="refOK",$BN910,$BM910)</f>
        <v>141</v>
      </c>
      <c r="CS910">
        <f>IF($CP910="refOK",$BQ910,-$BQ910)</f>
        <v>91.83673469387756</v>
      </c>
      <c r="CT910">
        <f>IF(BI910="Roundwood",$CS910/2,$CS910)</f>
        <v>91.83673469387756</v>
      </c>
      <c r="CU910">
        <f>IF($CP910="refOK",$BU910,$BV910)*IF($BR910="Emissions positive",-1,1)</f>
        <v>33</v>
      </c>
      <c r="CV910">
        <f>IF($CP910="refOK",$BV910,$BU910)*IF($BR910="Emissions positive",-1,1)</f>
        <v>98</v>
      </c>
      <c r="CW910">
        <f>IF($CP910="refNeedCorrection",-BZ910,BZ910)*IF($BR910="Emissions positive",-1,1)</f>
        <v>6.5000000000000002E-2</v>
      </c>
      <c r="CX910">
        <f>IFERROR($CW910/$CS910,"")</f>
        <v>7.0777777777777777E-4</v>
      </c>
      <c r="CY910">
        <f>IFERROR($CW910/$CS910,"")</f>
        <v>7.0777777777777777E-4</v>
      </c>
      <c r="CZ910">
        <f>IFERROR($CW910/$CT910,"")</f>
        <v>7.0777777777777777E-4</v>
      </c>
      <c r="DA910" s="2">
        <f>IFERROR((CV910-CU910)/ABS(CU910),"")</f>
        <v>1.9696969696969697</v>
      </c>
      <c r="DB910" s="1" t="s">
        <v>263</v>
      </c>
      <c r="DC910" t="str">
        <f>IF(OR($DB910="prd",$DB910="std",$DB910="cit"),"loc",IF(OR($DB910="eur",$DB910="reg",$DB910="coy"),"reg",$DB910))</f>
        <v>loc</v>
      </c>
      <c r="DD910" t="s">
        <v>444</v>
      </c>
      <c r="DG910">
        <v>50</v>
      </c>
      <c r="DH910" t="str">
        <f>IF(DG910=0,"0",IF(AND(DG910&gt;=1,DG910&lt;=30),"1-30",IF(AND(DG910&gt;30,DG910&lt;=70),"31-70",IF(AND(DG910&gt;70,DG910&lt;=100),"71-100",IF(DG910&gt;100,"+100")))))</f>
        <v>31-70</v>
      </c>
      <c r="DI910">
        <v>0</v>
      </c>
      <c r="DJ910">
        <v>0</v>
      </c>
      <c r="DK910">
        <v>0</v>
      </c>
      <c r="DL910">
        <v>1</v>
      </c>
      <c r="DN910">
        <f>SUM(DI910:DL910)</f>
        <v>1</v>
      </c>
      <c r="DO910" t="str">
        <f>IF(DN910=1,INDEX($DI$7:$DL$7,MATCH(1,$DI910:$DL910,0)),"mixedProduct")</f>
        <v>TimberInput</v>
      </c>
      <c r="DP910">
        <f>IF(DI910=1,DP$7,0)</f>
        <v>0</v>
      </c>
      <c r="DQ910">
        <f>IF(DJ910=1,DQ$7,0)</f>
        <v>0</v>
      </c>
      <c r="DR910">
        <f>IF(DK910=1,DR$7,0)</f>
        <v>0</v>
      </c>
      <c r="DS910" t="str">
        <f>IF(DL910=1,DS$7,0)</f>
        <v>Timber</v>
      </c>
      <c r="DT910">
        <v>0</v>
      </c>
      <c r="DU910">
        <v>0</v>
      </c>
      <c r="DV910">
        <v>0</v>
      </c>
      <c r="DW910">
        <v>0</v>
      </c>
      <c r="DX910">
        <v>0</v>
      </c>
      <c r="DY910">
        <f>SUM(DT910:DU910)</f>
        <v>0</v>
      </c>
      <c r="DZ910" s="143" t="str">
        <f>IF(DT910=1,"self-calculated DF",IF(DU910=1,"external DF used","explicit C balance"))</f>
        <v>explicit C balance</v>
      </c>
      <c r="EA910">
        <v>0</v>
      </c>
      <c r="EB910">
        <v>0</v>
      </c>
      <c r="EC910">
        <v>0</v>
      </c>
      <c r="ED910">
        <v>1</v>
      </c>
      <c r="EE910">
        <v>0</v>
      </c>
      <c r="EF910" s="143">
        <v>0</v>
      </c>
      <c r="EG910">
        <v>0</v>
      </c>
      <c r="EH910">
        <v>1</v>
      </c>
      <c r="EI910">
        <v>0</v>
      </c>
      <c r="EJ910">
        <v>0</v>
      </c>
      <c r="EK910">
        <v>0</v>
      </c>
      <c r="EL910">
        <v>0</v>
      </c>
      <c r="EM910">
        <v>0</v>
      </c>
      <c r="EN910" s="2">
        <v>0</v>
      </c>
      <c r="EP910" t="str">
        <f>IF(AND(AND(AND(OR($EC910=1,$EB910=1),OR($EH910=1,$EF910=1)),SUM($EA910:$EE910,$EK910)&gt;=3),SUM($EF910:$EJ910)&gt;=2),"Whole sector approach","")</f>
        <v/>
      </c>
      <c r="EQ910" t="str">
        <f>IF(AND(AND(OR($EC910=1,$EB910=1),AND($EH910=0,$EF910=0)),SUM($EA910:$EE910,$EK910)&gt;=4),"Ecosystem approach","")</f>
        <v/>
      </c>
      <c r="ER910" s="2" t="str">
        <f>IF(AND(AND(AND($EC910=0,$EB910=0),OR($EH910=1,$EF910=1)),SUM($EG910:$EJ910)&gt;=2),"Technology approach","")</f>
        <v/>
      </c>
      <c r="ES910" t="str">
        <f>IF(AND($EC910+$EB910+$EE910+$EA910+$ED910+$EG910=0,$N910="included"),"C neutral forest and HWP assumption","")</f>
        <v/>
      </c>
      <c r="ET910" t="str">
        <f>IF(AND(AND(AND(AND($EC910=1,$EB910+$EA910+$EG910&gt;=1),$EF910=1),$EH910+$EI910+$ED910+$EE910&gt;=2),$N910="included"),"All C pools assumption","")</f>
        <v/>
      </c>
      <c r="EU910" t="str">
        <f>IF(AND($ED910+$EE910+$EI910+$EH910+$EF910=0,$N910="included"),"In-situ only assumption","")</f>
        <v/>
      </c>
      <c r="EY910" t="str">
        <f>IF(ISNUMBER(BW910),IF(ABS(BW910-[6]QC_indicators!$B$2)&gt;3*[6]QC_indicators!$C$2,"C ratio",IF(ISNUMBER(CA910),IF(ABS(CA910-[6]QC_indicators!$B$1)&gt;3*[6]QC_indicators!$C$1,"DF","no"))),IF(ISNUMBER(CA910),IF(ABS(CA910-[6]QC_indicators!$B$1)&gt;3*[6]QC_indicators!$C$1,"DF","no")))</f>
        <v>no</v>
      </c>
      <c r="FA910" t="str">
        <f>IF(LEN($CY910)=0,"",IF(AND($CY910&lt;(-0.05),$ES910="C neutral forest and HWP assumption"),"Cneutral paradox",IF(AND($CY910&gt;0.05,$EU910="In-situ only assumption"),"In-situ only paradox","")))</f>
        <v/>
      </c>
      <c r="FB910" s="149" t="s">
        <v>349</v>
      </c>
      <c r="FD910" s="260" t="s">
        <v>2948</v>
      </c>
    </row>
    <row r="911" spans="1:160" ht="15" hidden="1" customHeight="1">
      <c r="A911" s="1" t="s">
        <v>247</v>
      </c>
      <c r="B911" t="s">
        <v>628</v>
      </c>
      <c r="C911" t="s">
        <v>629</v>
      </c>
      <c r="D911" t="s">
        <v>630</v>
      </c>
      <c r="E911" t="s">
        <v>631</v>
      </c>
      <c r="F911" t="s">
        <v>632</v>
      </c>
      <c r="G911" t="s">
        <v>253</v>
      </c>
      <c r="H911" t="s">
        <v>254</v>
      </c>
      <c r="I911">
        <v>2014</v>
      </c>
      <c r="J911">
        <v>76</v>
      </c>
      <c r="K911" t="s">
        <v>633</v>
      </c>
      <c r="M911" t="str">
        <f>LEFT($D911,FIND(",",$D911)-1)&amp;"_"&amp;I911&amp;L911</f>
        <v>Dodoo_2014</v>
      </c>
      <c r="N911" t="s">
        <v>222</v>
      </c>
      <c r="O911" s="145" t="s">
        <v>223</v>
      </c>
      <c r="Q911" t="s">
        <v>256</v>
      </c>
      <c r="R911" s="251" t="s">
        <v>225</v>
      </c>
      <c r="S911" s="1" t="s">
        <v>634</v>
      </c>
      <c r="T911" t="s">
        <v>635</v>
      </c>
      <c r="U911" t="s">
        <v>636</v>
      </c>
      <c r="V911" s="253">
        <v>0</v>
      </c>
      <c r="W911" s="253">
        <v>0</v>
      </c>
      <c r="X911">
        <v>0</v>
      </c>
      <c r="Y911">
        <v>0</v>
      </c>
      <c r="Z911">
        <v>0</v>
      </c>
      <c r="AA911">
        <v>0</v>
      </c>
      <c r="AB911">
        <v>0</v>
      </c>
      <c r="AC911">
        <v>0</v>
      </c>
      <c r="AD911">
        <v>0</v>
      </c>
      <c r="AE911">
        <v>0</v>
      </c>
      <c r="AF911">
        <v>0</v>
      </c>
      <c r="AG911">
        <v>0</v>
      </c>
      <c r="AH911">
        <v>0</v>
      </c>
      <c r="AI911">
        <v>0</v>
      </c>
      <c r="AJ911">
        <v>0</v>
      </c>
      <c r="AK911">
        <v>0</v>
      </c>
      <c r="AL911">
        <v>0</v>
      </c>
      <c r="AM911">
        <v>1</v>
      </c>
      <c r="AN911">
        <v>0</v>
      </c>
      <c r="AO911">
        <v>0</v>
      </c>
      <c r="AP911">
        <v>0</v>
      </c>
      <c r="AQ911">
        <v>0</v>
      </c>
      <c r="AR911">
        <v>0</v>
      </c>
      <c r="AS911">
        <v>0</v>
      </c>
      <c r="AT911">
        <v>0</v>
      </c>
      <c r="AU911">
        <v>0</v>
      </c>
      <c r="AV911">
        <v>0</v>
      </c>
      <c r="AW911">
        <v>0</v>
      </c>
      <c r="AX911">
        <v>0</v>
      </c>
      <c r="AY911">
        <v>0</v>
      </c>
      <c r="AZ911" s="141">
        <f>COUNTIF(X911:AY911,"&lt;&gt;0")</f>
        <v>1</v>
      </c>
      <c r="BA911" s="141">
        <f>COUNTIF(X911:AN911,"&lt;&gt;0")</f>
        <v>1</v>
      </c>
      <c r="BB911">
        <f>COUNTIF(X911:AE911,"&lt;&gt;0")</f>
        <v>0</v>
      </c>
      <c r="BC911">
        <f>COUNTIF(AF911:AK911,"&lt;&gt;0")</f>
        <v>0</v>
      </c>
      <c r="BD911">
        <f>COUNTIF(AL911:AN911,"&lt;&gt;0")</f>
        <v>1</v>
      </c>
      <c r="BE911">
        <f>COUNTIF(AU911:AY911,"&lt;&gt;0")</f>
        <v>0</v>
      </c>
      <c r="BF911">
        <f>COUNTIF(AO911:AT911,"&lt;&gt;0")</f>
        <v>0</v>
      </c>
      <c r="BG911" t="str">
        <f t="array" ref="BG911">IF(BA911=1,INDEX($X$7:$AN$7,MATCH(TRUE,INDEX($X911:$AY911&lt;&gt;0,),0)),IF(BA911=0,INDEX($AO$7:$AY$7,MATCH(1,$AO911:$AY911,0)),IF(BH911="Multiple strategies","mixed drivers",IF(BH911="Supply chain","multiple supply","multiple silviculture"))))</f>
        <v>technologies/design switch</v>
      </c>
      <c r="BH911" s="2" t="str" cm="1">
        <f t="array" ref="BH911">IF(COUNTIF(BB911:BD911,"&lt;&gt;0")=1,INDEX($X$4:$AY$4,MATCH(TRUE,INDEX($X911:$AY911&lt;&gt;0,),0)),IF(COUNTIF(BB911:BD911,"&lt;&gt;0")=0,INDEX($AO$4:$AY$4,MATCH(1,$AO911:$AY911,0)),"Multiple strategies"))</f>
        <v>Technology</v>
      </c>
      <c r="BI911" s="1" t="s">
        <v>229</v>
      </c>
      <c r="BJ911" t="s">
        <v>637</v>
      </c>
      <c r="BK911" s="256" t="s">
        <v>2983</v>
      </c>
      <c r="BL911" t="s">
        <v>638</v>
      </c>
      <c r="BM911" s="256">
        <f>55+21+10+5+5</f>
        <v>96</v>
      </c>
      <c r="BN911" s="256">
        <v>120</v>
      </c>
      <c r="BP911">
        <f>BN911-BM911</f>
        <v>24</v>
      </c>
      <c r="BQ911">
        <f>BP911*t_to_m3</f>
        <v>48.979591836734699</v>
      </c>
      <c r="BR911" t="s">
        <v>232</v>
      </c>
      <c r="BS911" s="256" t="s">
        <v>2985</v>
      </c>
      <c r="BT911" t="s">
        <v>262</v>
      </c>
      <c r="BU911">
        <v>27</v>
      </c>
      <c r="BV911">
        <v>38</v>
      </c>
      <c r="BW911" s="144">
        <v>1.4074074074074074</v>
      </c>
      <c r="BX911">
        <v>11</v>
      </c>
      <c r="BZ911">
        <f>BX911/1000</f>
        <v>1.0999999999999999E-2</v>
      </c>
      <c r="CA911">
        <f>IFERROR(BZ911/BQ911,"")</f>
        <v>2.2458333333333331E-4</v>
      </c>
      <c r="CB911">
        <v>0</v>
      </c>
      <c r="CC911">
        <v>0</v>
      </c>
      <c r="CD911">
        <v>0</v>
      </c>
      <c r="CE911">
        <v>0</v>
      </c>
      <c r="CF911">
        <v>0</v>
      </c>
      <c r="CG911">
        <v>0</v>
      </c>
      <c r="CH911">
        <v>0</v>
      </c>
      <c r="CI911">
        <v>0</v>
      </c>
      <c r="CJ911">
        <v>0</v>
      </c>
      <c r="CK911">
        <v>0</v>
      </c>
      <c r="CL911">
        <v>0</v>
      </c>
      <c r="CM911">
        <v>0</v>
      </c>
      <c r="CN911">
        <v>0</v>
      </c>
      <c r="CO911">
        <v>0</v>
      </c>
      <c r="CP911" t="str">
        <f>IF($BN911&lt;$BM911,"refNeedCorrection","refOK")</f>
        <v>refOK</v>
      </c>
      <c r="CQ911">
        <f>IF($CP911="refOK",$BM911,$BN911)</f>
        <v>96</v>
      </c>
      <c r="CR911">
        <f>IF($CP911="refOK",$BN911,$BM911)</f>
        <v>120</v>
      </c>
      <c r="CS911">
        <f>IF($CP911="refOK",$BQ911,-$BQ911)</f>
        <v>48.979591836734699</v>
      </c>
      <c r="CT911">
        <f>IF(BI911="Roundwood",$CS911/2,$CS911)</f>
        <v>48.979591836734699</v>
      </c>
      <c r="CU911">
        <f>IF($CP911="refOK",$BU911,$BV911)*IF($BR911="Emissions positive",-1,1)</f>
        <v>27</v>
      </c>
      <c r="CV911">
        <f>IF($CP911="refOK",$BV911,$BU911)*IF($BR911="Emissions positive",-1,1)</f>
        <v>38</v>
      </c>
      <c r="CW911">
        <f>IF($CP911="refNeedCorrection",-BZ911,BZ911)*IF($BR911="Emissions positive",-1,1)</f>
        <v>1.0999999999999999E-2</v>
      </c>
      <c r="CX911">
        <f>IFERROR($CW911/$CS911,"")</f>
        <v>2.2458333333333331E-4</v>
      </c>
      <c r="CY911">
        <f>IFERROR($CW911/$CS911,"")</f>
        <v>2.2458333333333331E-4</v>
      </c>
      <c r="CZ911">
        <f>IFERROR($CW911/$CT911,"")</f>
        <v>2.2458333333333331E-4</v>
      </c>
      <c r="DA911" s="2">
        <f>IFERROR((CV911-CU911)/ABS(CU911),"")</f>
        <v>0.40740740740740738</v>
      </c>
      <c r="DB911" s="1" t="s">
        <v>263</v>
      </c>
      <c r="DC911" t="str">
        <f>IF(OR($DB911="prd",$DB911="std",$DB911="cit"),"loc",IF(OR($DB911="eur",$DB911="reg",$DB911="coy"),"reg",$DB911))</f>
        <v>loc</v>
      </c>
      <c r="DD911" t="s">
        <v>444</v>
      </c>
      <c r="DG911">
        <v>50</v>
      </c>
      <c r="DH911" t="str">
        <f>IF(DG911=0,"0",IF(AND(DG911&gt;=1,DG911&lt;=30),"1-30",IF(AND(DG911&gt;30,DG911&lt;=70),"31-70",IF(AND(DG911&gt;70,DG911&lt;=100),"71-100",IF(DG911&gt;100,"+100")))))</f>
        <v>31-70</v>
      </c>
      <c r="DI911">
        <v>0</v>
      </c>
      <c r="DJ911">
        <v>0</v>
      </c>
      <c r="DK911">
        <v>0</v>
      </c>
      <c r="DL911">
        <v>1</v>
      </c>
      <c r="DN911">
        <f>SUM(DI911:DL911)</f>
        <v>1</v>
      </c>
      <c r="DO911" t="str">
        <f>IF(DN911=1,INDEX($DI$7:$DL$7,MATCH(1,$DI911:$DL911,0)),"mixedProduct")</f>
        <v>TimberInput</v>
      </c>
      <c r="DP911">
        <f>IF(DI911=1,DP$7,0)</f>
        <v>0</v>
      </c>
      <c r="DQ911">
        <f>IF(DJ911=1,DQ$7,0)</f>
        <v>0</v>
      </c>
      <c r="DR911">
        <f>IF(DK911=1,DR$7,0)</f>
        <v>0</v>
      </c>
      <c r="DS911" t="str">
        <f>IF(DL911=1,DS$7,0)</f>
        <v>Timber</v>
      </c>
      <c r="DT911">
        <v>0</v>
      </c>
      <c r="DU911">
        <v>0</v>
      </c>
      <c r="DV911">
        <v>0</v>
      </c>
      <c r="DW911">
        <v>0</v>
      </c>
      <c r="DX911">
        <v>0</v>
      </c>
      <c r="DY911">
        <f>SUM(DT911:DU911)</f>
        <v>0</v>
      </c>
      <c r="DZ911" s="143" t="str">
        <f>IF(DT911=1,"self-calculated DF",IF(DU911=1,"external DF used","explicit C balance"))</f>
        <v>explicit C balance</v>
      </c>
      <c r="EA911">
        <v>0</v>
      </c>
      <c r="EB911">
        <v>0</v>
      </c>
      <c r="EC911">
        <v>0</v>
      </c>
      <c r="ED911">
        <v>1</v>
      </c>
      <c r="EE911">
        <v>0</v>
      </c>
      <c r="EF911" s="143">
        <v>0</v>
      </c>
      <c r="EG911">
        <v>0</v>
      </c>
      <c r="EH911">
        <v>1</v>
      </c>
      <c r="EI911">
        <v>0</v>
      </c>
      <c r="EJ911">
        <v>0</v>
      </c>
      <c r="EK911">
        <v>0</v>
      </c>
      <c r="EL911">
        <v>0</v>
      </c>
      <c r="EM911">
        <v>0</v>
      </c>
      <c r="EN911" s="2">
        <v>0</v>
      </c>
      <c r="EP911" t="str">
        <f>IF(AND(AND(AND(OR($EC911=1,$EB911=1),OR($EH911=1,$EF911=1)),SUM($EA911:$EE911,$EK911)&gt;=3),SUM($EF911:$EJ911)&gt;=2),"Whole sector approach","")</f>
        <v/>
      </c>
      <c r="EQ911" t="str">
        <f>IF(AND(AND(OR($EC911=1,$EB911=1),AND($EH911=0,$EF911=0)),SUM($EA911:$EE911,$EK911)&gt;=4),"Ecosystem approach","")</f>
        <v/>
      </c>
      <c r="ER911" s="2" t="str">
        <f>IF(AND(AND(AND($EC911=0,$EB911=0),OR($EH911=1,$EF911=1)),SUM($EG911:$EJ911)&gt;=2),"Technology approach","")</f>
        <v/>
      </c>
      <c r="ES911" t="str">
        <f>IF(AND($EC911+$EB911+$EE911+$EA911+$ED911+$EG911=0,$N911="included"),"C neutral forest and HWP assumption","")</f>
        <v/>
      </c>
      <c r="ET911" t="str">
        <f>IF(AND(AND(AND(AND($EC911=1,$EB911+$EA911+$EG911&gt;=1),$EF911=1),$EH911+$EI911+$ED911+$EE911&gt;=2),$N911="included"),"All C pools assumption","")</f>
        <v/>
      </c>
      <c r="EU911" t="str">
        <f>IF(AND($ED911+$EE911+$EI911+$EH911+$EF911=0,$N911="included"),"In-situ only assumption","")</f>
        <v/>
      </c>
      <c r="EY911" t="str">
        <f>IF(ISNUMBER(BW911),IF(ABS(BW911-[6]QC_indicators!$B$2)&gt;3*[6]QC_indicators!$C$2,"C ratio",IF(ISNUMBER(CA911),IF(ABS(CA911-[6]QC_indicators!$B$1)&gt;3*[6]QC_indicators!$C$1,"DF","no"))),IF(ISNUMBER(CA911),IF(ABS(CA911-[6]QC_indicators!$B$1)&gt;3*[6]QC_indicators!$C$1,"DF","no")))</f>
        <v>no</v>
      </c>
      <c r="FA911" t="str">
        <f>IF(LEN($CY911)=0,"",IF(AND($CY911&lt;(-0.05),$ES911="C neutral forest and HWP assumption"),"Cneutral paradox",IF(AND($CY911&gt;0.05,$EU911="In-situ only assumption"),"In-situ only paradox","")))</f>
        <v/>
      </c>
      <c r="FB911" s="149" t="s">
        <v>349</v>
      </c>
      <c r="FD911" s="260" t="s">
        <v>2948</v>
      </c>
    </row>
    <row r="912" spans="1:160" ht="15" hidden="1" customHeight="1">
      <c r="A912" s="1" t="s">
        <v>247</v>
      </c>
      <c r="B912" t="s">
        <v>628</v>
      </c>
      <c r="C912" t="s">
        <v>629</v>
      </c>
      <c r="D912" t="s">
        <v>630</v>
      </c>
      <c r="E912" t="s">
        <v>631</v>
      </c>
      <c r="F912" t="s">
        <v>632</v>
      </c>
      <c r="G912" t="s">
        <v>253</v>
      </c>
      <c r="H912" t="s">
        <v>254</v>
      </c>
      <c r="I912">
        <v>2014</v>
      </c>
      <c r="J912">
        <v>76</v>
      </c>
      <c r="K912" t="s">
        <v>633</v>
      </c>
      <c r="M912" t="str">
        <f>LEFT($D912,FIND(",",$D912)-1)&amp;"_"&amp;I912&amp;L912</f>
        <v>Dodoo_2014</v>
      </c>
      <c r="N912" t="s">
        <v>222</v>
      </c>
      <c r="O912" s="145" t="s">
        <v>223</v>
      </c>
      <c r="Q912" t="s">
        <v>256</v>
      </c>
      <c r="R912" s="251" t="s">
        <v>225</v>
      </c>
      <c r="S912" s="1" t="s">
        <v>634</v>
      </c>
      <c r="T912" t="s">
        <v>639</v>
      </c>
      <c r="U912" t="s">
        <v>640</v>
      </c>
      <c r="V912" s="253">
        <v>0</v>
      </c>
      <c r="W912" s="253">
        <v>0</v>
      </c>
      <c r="X912">
        <v>0</v>
      </c>
      <c r="Y912">
        <v>0</v>
      </c>
      <c r="Z912">
        <v>0</v>
      </c>
      <c r="AA912">
        <v>0</v>
      </c>
      <c r="AB912">
        <v>0</v>
      </c>
      <c r="AC912">
        <v>0</v>
      </c>
      <c r="AD912">
        <v>0</v>
      </c>
      <c r="AE912">
        <v>0</v>
      </c>
      <c r="AF912">
        <v>0</v>
      </c>
      <c r="AG912">
        <v>0</v>
      </c>
      <c r="AH912">
        <v>0</v>
      </c>
      <c r="AI912">
        <v>0</v>
      </c>
      <c r="AJ912">
        <v>0</v>
      </c>
      <c r="AK912">
        <v>0</v>
      </c>
      <c r="AL912">
        <v>0</v>
      </c>
      <c r="AM912">
        <v>1</v>
      </c>
      <c r="AN912">
        <v>0</v>
      </c>
      <c r="AO912">
        <v>0</v>
      </c>
      <c r="AP912">
        <v>0</v>
      </c>
      <c r="AQ912">
        <v>0</v>
      </c>
      <c r="AR912">
        <v>0</v>
      </c>
      <c r="AS912">
        <v>0</v>
      </c>
      <c r="AT912">
        <v>0</v>
      </c>
      <c r="AU912">
        <v>0</v>
      </c>
      <c r="AV912">
        <v>0</v>
      </c>
      <c r="AW912">
        <v>0</v>
      </c>
      <c r="AX912">
        <v>0</v>
      </c>
      <c r="AY912">
        <v>0</v>
      </c>
      <c r="AZ912" s="141">
        <f>COUNTIF(X912:AY912,"&lt;&gt;0")</f>
        <v>1</v>
      </c>
      <c r="BA912" s="141">
        <f>COUNTIF(X912:AN912,"&lt;&gt;0")</f>
        <v>1</v>
      </c>
      <c r="BB912">
        <f>COUNTIF(X912:AE912,"&lt;&gt;0")</f>
        <v>0</v>
      </c>
      <c r="BC912">
        <f>COUNTIF(AF912:AK912,"&lt;&gt;0")</f>
        <v>0</v>
      </c>
      <c r="BD912">
        <f>COUNTIF(AL912:AN912,"&lt;&gt;0")</f>
        <v>1</v>
      </c>
      <c r="BE912">
        <f>COUNTIF(AU912:AY912,"&lt;&gt;0")</f>
        <v>0</v>
      </c>
      <c r="BF912">
        <f>COUNTIF(AO912:AT912,"&lt;&gt;0")</f>
        <v>0</v>
      </c>
      <c r="BG912" t="str">
        <f t="array" ref="BG912">IF(BA912=1,INDEX($X$7:$AN$7,MATCH(TRUE,INDEX($X912:$AY912&lt;&gt;0,),0)),IF(BA912=0,INDEX($AO$7:$AY$7,MATCH(1,$AO912:$AY912,0)),IF(BH912="Multiple strategies","mixed drivers",IF(BH912="Supply chain","multiple supply","multiple silviculture"))))</f>
        <v>technologies/design switch</v>
      </c>
      <c r="BH912" s="2" t="str" cm="1">
        <f t="array" ref="BH912">IF(COUNTIF(BB912:BD912,"&lt;&gt;0")=1,INDEX($X$4:$AY$4,MATCH(TRUE,INDEX($X912:$AY912&lt;&gt;0,),0)),IF(COUNTIF(BB912:BD912,"&lt;&gt;0")=0,INDEX($AO$4:$AY$4,MATCH(1,$AO912:$AY912,0)),"Multiple strategies"))</f>
        <v>Technology</v>
      </c>
      <c r="BI912" s="1" t="s">
        <v>229</v>
      </c>
      <c r="BJ912" t="s">
        <v>637</v>
      </c>
      <c r="BK912" s="256" t="s">
        <v>2983</v>
      </c>
      <c r="BL912" t="s">
        <v>638</v>
      </c>
      <c r="BM912" s="256">
        <f>55+21+10+5+5</f>
        <v>96</v>
      </c>
      <c r="BN912" s="256">
        <v>124</v>
      </c>
      <c r="BP912">
        <f>BN912-BM912</f>
        <v>28</v>
      </c>
      <c r="BQ912">
        <f>BP912*t_to_m3</f>
        <v>57.142857142857146</v>
      </c>
      <c r="BR912" t="s">
        <v>232</v>
      </c>
      <c r="BS912" s="256" t="s">
        <v>2985</v>
      </c>
      <c r="BT912" t="s">
        <v>262</v>
      </c>
      <c r="BU912">
        <v>33</v>
      </c>
      <c r="BV912">
        <v>39</v>
      </c>
      <c r="BW912" s="144">
        <v>1.1818181818181819</v>
      </c>
      <c r="BX912">
        <v>6</v>
      </c>
      <c r="BZ912">
        <f>BX912/1000</f>
        <v>6.0000000000000001E-3</v>
      </c>
      <c r="CA912">
        <f>IFERROR(BZ912/BQ912,"")</f>
        <v>1.0499999999999999E-4</v>
      </c>
      <c r="CB912">
        <v>0</v>
      </c>
      <c r="CC912">
        <v>0</v>
      </c>
      <c r="CD912">
        <v>0</v>
      </c>
      <c r="CE912">
        <v>0</v>
      </c>
      <c r="CF912">
        <v>0</v>
      </c>
      <c r="CG912">
        <v>0</v>
      </c>
      <c r="CH912">
        <v>0</v>
      </c>
      <c r="CI912">
        <v>0</v>
      </c>
      <c r="CJ912">
        <v>0</v>
      </c>
      <c r="CK912">
        <v>0</v>
      </c>
      <c r="CL912">
        <v>0</v>
      </c>
      <c r="CM912">
        <v>0</v>
      </c>
      <c r="CN912">
        <v>0</v>
      </c>
      <c r="CO912">
        <v>0</v>
      </c>
      <c r="CP912" t="str">
        <f>IF($BN912&lt;$BM912,"refNeedCorrection","refOK")</f>
        <v>refOK</v>
      </c>
      <c r="CQ912">
        <f>IF($CP912="refOK",$BM912,$BN912)</f>
        <v>96</v>
      </c>
      <c r="CR912">
        <f>IF($CP912="refOK",$BN912,$BM912)</f>
        <v>124</v>
      </c>
      <c r="CS912">
        <f>IF($CP912="refOK",$BQ912,-$BQ912)</f>
        <v>57.142857142857146</v>
      </c>
      <c r="CT912">
        <f>IF(BI912="Roundwood",$CS912/2,$CS912)</f>
        <v>57.142857142857146</v>
      </c>
      <c r="CU912">
        <f>IF($CP912="refOK",$BU912,$BV912)*IF($BR912="Emissions positive",-1,1)</f>
        <v>33</v>
      </c>
      <c r="CV912">
        <f>IF($CP912="refOK",$BV912,$BU912)*IF($BR912="Emissions positive",-1,1)</f>
        <v>39</v>
      </c>
      <c r="CW912">
        <f>IF($CP912="refNeedCorrection",-BZ912,BZ912)*IF($BR912="Emissions positive",-1,1)</f>
        <v>6.0000000000000001E-3</v>
      </c>
      <c r="CX912">
        <f>IFERROR($CW912/$CS912,"")</f>
        <v>1.0499999999999999E-4</v>
      </c>
      <c r="CY912">
        <f>IFERROR($CW912/$CS912,"")</f>
        <v>1.0499999999999999E-4</v>
      </c>
      <c r="CZ912">
        <f>IFERROR($CW912/$CT912,"")</f>
        <v>1.0499999999999999E-4</v>
      </c>
      <c r="DA912" s="2">
        <f>IFERROR((CV912-CU912)/ABS(CU912),"")</f>
        <v>0.18181818181818182</v>
      </c>
      <c r="DB912" s="1" t="s">
        <v>263</v>
      </c>
      <c r="DC912" t="str">
        <f>IF(OR($DB912="prd",$DB912="std",$DB912="cit"),"loc",IF(OR($DB912="eur",$DB912="reg",$DB912="coy"),"reg",$DB912))</f>
        <v>loc</v>
      </c>
      <c r="DD912" t="s">
        <v>444</v>
      </c>
      <c r="DG912">
        <v>50</v>
      </c>
      <c r="DH912" t="str">
        <f>IF(DG912=0,"0",IF(AND(DG912&gt;=1,DG912&lt;=30),"1-30",IF(AND(DG912&gt;30,DG912&lt;=70),"31-70",IF(AND(DG912&gt;70,DG912&lt;=100),"71-100",IF(DG912&gt;100,"+100")))))</f>
        <v>31-70</v>
      </c>
      <c r="DI912">
        <v>0</v>
      </c>
      <c r="DJ912">
        <v>0</v>
      </c>
      <c r="DK912">
        <v>0</v>
      </c>
      <c r="DL912">
        <v>1</v>
      </c>
      <c r="DN912">
        <f>SUM(DI912:DL912)</f>
        <v>1</v>
      </c>
      <c r="DO912" t="str">
        <f>IF(DN912=1,INDEX($DI$7:$DL$7,MATCH(1,$DI912:$DL912,0)),"mixedProduct")</f>
        <v>TimberInput</v>
      </c>
      <c r="DP912">
        <f>IF(DI912=1,DP$7,0)</f>
        <v>0</v>
      </c>
      <c r="DQ912">
        <f>IF(DJ912=1,DQ$7,0)</f>
        <v>0</v>
      </c>
      <c r="DR912">
        <f>IF(DK912=1,DR$7,0)</f>
        <v>0</v>
      </c>
      <c r="DS912" t="str">
        <f>IF(DL912=1,DS$7,0)</f>
        <v>Timber</v>
      </c>
      <c r="DT912">
        <v>0</v>
      </c>
      <c r="DU912">
        <v>0</v>
      </c>
      <c r="DV912">
        <v>0</v>
      </c>
      <c r="DW912">
        <v>0</v>
      </c>
      <c r="DX912">
        <v>0</v>
      </c>
      <c r="DY912">
        <f>SUM(DT912:DU912)</f>
        <v>0</v>
      </c>
      <c r="DZ912" s="143" t="str">
        <f>IF(DT912=1,"self-calculated DF",IF(DU912=1,"external DF used","explicit C balance"))</f>
        <v>explicit C balance</v>
      </c>
      <c r="EA912">
        <v>0</v>
      </c>
      <c r="EB912">
        <v>0</v>
      </c>
      <c r="EC912">
        <v>0</v>
      </c>
      <c r="ED912">
        <v>1</v>
      </c>
      <c r="EE912">
        <v>0</v>
      </c>
      <c r="EF912" s="143">
        <v>0</v>
      </c>
      <c r="EG912">
        <v>0</v>
      </c>
      <c r="EH912">
        <v>1</v>
      </c>
      <c r="EI912">
        <v>0</v>
      </c>
      <c r="EJ912">
        <v>0</v>
      </c>
      <c r="EK912">
        <v>0</v>
      </c>
      <c r="EL912">
        <v>0</v>
      </c>
      <c r="EM912">
        <v>0</v>
      </c>
      <c r="EN912" s="2">
        <v>0</v>
      </c>
      <c r="EP912" t="str">
        <f>IF(AND(AND(AND(OR($EC912=1,$EB912=1),OR($EH912=1,$EF912=1)),SUM($EA912:$EE912,$EK912)&gt;=3),SUM($EF912:$EJ912)&gt;=2),"Whole sector approach","")</f>
        <v/>
      </c>
      <c r="EQ912" t="str">
        <f>IF(AND(AND(OR($EC912=1,$EB912=1),AND($EH912=0,$EF912=0)),SUM($EA912:$EE912,$EK912)&gt;=4),"Ecosystem approach","")</f>
        <v/>
      </c>
      <c r="ER912" s="2" t="str">
        <f>IF(AND(AND(AND($EC912=0,$EB912=0),OR($EH912=1,$EF912=1)),SUM($EG912:$EJ912)&gt;=2),"Technology approach","")</f>
        <v/>
      </c>
      <c r="ES912" t="str">
        <f>IF(AND($EC912+$EB912+$EE912+$EA912+$ED912+$EG912=0,$N912="included"),"C neutral forest and HWP assumption","")</f>
        <v/>
      </c>
      <c r="ET912" t="str">
        <f>IF(AND(AND(AND(AND($EC912=1,$EB912+$EA912+$EG912&gt;=1),$EF912=1),$EH912+$EI912+$ED912+$EE912&gt;=2),$N912="included"),"All C pools assumption","")</f>
        <v/>
      </c>
      <c r="EU912" t="str">
        <f>IF(AND($ED912+$EE912+$EI912+$EH912+$EF912=0,$N912="included"),"In-situ only assumption","")</f>
        <v/>
      </c>
      <c r="EY912" t="str">
        <f>IF(ISNUMBER(BW912),IF(ABS(BW912-[6]QC_indicators!$B$2)&gt;3*[6]QC_indicators!$C$2,"C ratio",IF(ISNUMBER(CA912),IF(ABS(CA912-[6]QC_indicators!$B$1)&gt;3*[6]QC_indicators!$C$1,"DF","no"))),IF(ISNUMBER(CA912),IF(ABS(CA912-[6]QC_indicators!$B$1)&gt;3*[6]QC_indicators!$C$1,"DF","no")))</f>
        <v>no</v>
      </c>
      <c r="FA912" t="str">
        <f>IF(LEN($CY912)=0,"",IF(AND($CY912&lt;(-0.05),$ES912="C neutral forest and HWP assumption"),"Cneutral paradox",IF(AND($CY912&gt;0.05,$EU912="In-situ only assumption"),"In-situ only paradox","")))</f>
        <v/>
      </c>
      <c r="FB912" s="149" t="s">
        <v>349</v>
      </c>
      <c r="FD912" s="260" t="s">
        <v>2948</v>
      </c>
    </row>
    <row r="913" spans="1:160" ht="15" hidden="1" customHeight="1">
      <c r="A913" s="1" t="s">
        <v>1108</v>
      </c>
      <c r="B913" t="s">
        <v>1109</v>
      </c>
      <c r="C913" t="s">
        <v>1110</v>
      </c>
      <c r="D913" t="s">
        <v>336</v>
      </c>
      <c r="E913" t="s">
        <v>1111</v>
      </c>
      <c r="F913" t="s">
        <v>1112</v>
      </c>
      <c r="G913" t="s">
        <v>1113</v>
      </c>
      <c r="I913">
        <v>2018</v>
      </c>
      <c r="K913" t="s">
        <v>1114</v>
      </c>
      <c r="M913" t="str">
        <f>LEFT($D913,FIND(",",$D913)-1)&amp;"_"&amp;I913&amp;L913</f>
        <v>Balasbaneh_2018</v>
      </c>
      <c r="N913" t="s">
        <v>222</v>
      </c>
      <c r="O913" s="140" t="s">
        <v>508</v>
      </c>
      <c r="Q913" t="s">
        <v>224</v>
      </c>
      <c r="R913" s="258" t="s">
        <v>223</v>
      </c>
      <c r="S913" s="1" t="s">
        <v>1118</v>
      </c>
      <c r="T913" s="260" t="s">
        <v>2793</v>
      </c>
      <c r="U913" s="260" t="s">
        <v>2790</v>
      </c>
      <c r="V913" s="253">
        <v>0</v>
      </c>
      <c r="W913" s="253">
        <v>0</v>
      </c>
      <c r="X913">
        <v>0</v>
      </c>
      <c r="Y913">
        <v>0</v>
      </c>
      <c r="Z913">
        <v>0</v>
      </c>
      <c r="AA913">
        <v>0</v>
      </c>
      <c r="AB913">
        <v>0</v>
      </c>
      <c r="AC913">
        <v>0</v>
      </c>
      <c r="AD913">
        <v>0</v>
      </c>
      <c r="AE913">
        <v>0</v>
      </c>
      <c r="AF913">
        <v>0</v>
      </c>
      <c r="AG913">
        <v>0</v>
      </c>
      <c r="AH913">
        <v>0</v>
      </c>
      <c r="AI913">
        <v>0</v>
      </c>
      <c r="AJ913">
        <v>0</v>
      </c>
      <c r="AK913">
        <v>0</v>
      </c>
      <c r="AL913">
        <v>0</v>
      </c>
      <c r="AM913">
        <v>1</v>
      </c>
      <c r="AN913">
        <v>0</v>
      </c>
      <c r="AO913">
        <v>0</v>
      </c>
      <c r="AP913">
        <v>0</v>
      </c>
      <c r="AQ913">
        <v>0</v>
      </c>
      <c r="AR913">
        <v>0</v>
      </c>
      <c r="AS913">
        <v>0</v>
      </c>
      <c r="AT913">
        <v>0</v>
      </c>
      <c r="AU913">
        <v>0</v>
      </c>
      <c r="AV913">
        <v>0</v>
      </c>
      <c r="AW913">
        <v>0</v>
      </c>
      <c r="AX913">
        <v>0</v>
      </c>
      <c r="AY913">
        <v>0</v>
      </c>
      <c r="AZ913" s="141">
        <f>COUNTIF(X913:AY913,"&lt;&gt;0")</f>
        <v>1</v>
      </c>
      <c r="BA913" s="141">
        <f>COUNTIF(X913:AN913,"&lt;&gt;0")</f>
        <v>1</v>
      </c>
      <c r="BB913">
        <f>COUNTIF(X913:AE913,"&lt;&gt;0")</f>
        <v>0</v>
      </c>
      <c r="BC913">
        <f>COUNTIF(AF913:AK913,"&lt;&gt;0")</f>
        <v>0</v>
      </c>
      <c r="BD913">
        <f>COUNTIF(AL913:AN913,"&lt;&gt;0")</f>
        <v>1</v>
      </c>
      <c r="BE913">
        <f>COUNTIF(AU913:AY913,"&lt;&gt;0")</f>
        <v>0</v>
      </c>
      <c r="BF913">
        <f>COUNTIF(AO913:AT913,"&lt;&gt;0")</f>
        <v>0</v>
      </c>
      <c r="BG913" t="str">
        <f t="array" ref="BG913">IF(BA913=1,INDEX($X$7:$AN$7,MATCH(TRUE,INDEX($X913:$AY913&lt;&gt;0,),0)),IF(BA913=0,INDEX($AO$7:$AY$7,MATCH(1,$AO913:$AY913,0)),IF(BH913="Multiple strategies","mixed drivers",IF(BH913="Supply chain","multiple supply","multiple silviculture"))))</f>
        <v>technologies/design switch</v>
      </c>
      <c r="BH913" s="2" t="str" cm="1">
        <f t="array" ref="BH913">IF(COUNTIF(BB913:BD913,"&lt;&gt;0")=1,INDEX($X$4:$AY$4,MATCH(TRUE,INDEX($X913:$AY913&lt;&gt;0,),0)),IF(COUNTIF(BB913:BD913,"&lt;&gt;0")=0,INDEX($AO$4:$AY$4,MATCH(1,$AO913:$AY913,0)),"Multiple strategies"))</f>
        <v>Technology</v>
      </c>
      <c r="BI913" s="1" t="s">
        <v>229</v>
      </c>
      <c r="BJ913" t="s">
        <v>229</v>
      </c>
      <c r="BL913" t="s">
        <v>345</v>
      </c>
      <c r="BM913">
        <v>0</v>
      </c>
      <c r="BN913">
        <v>15468</v>
      </c>
      <c r="BO913" s="143"/>
      <c r="BP913">
        <f>BN913-BM913</f>
        <v>15468</v>
      </c>
      <c r="BQ913" s="143">
        <f>BP913*kg_to_m3</f>
        <v>31.567346938775515</v>
      </c>
      <c r="BR913" t="s">
        <v>232</v>
      </c>
      <c r="BS913" s="153" t="s">
        <v>987</v>
      </c>
      <c r="BT913" t="s">
        <v>397</v>
      </c>
      <c r="BU913">
        <v>-8660</v>
      </c>
      <c r="BV913">
        <v>-5130</v>
      </c>
      <c r="BW913" s="144">
        <v>0.59237875288683606</v>
      </c>
      <c r="BX913">
        <v>3530</v>
      </c>
      <c r="BZ913">
        <f>BX913/1000</f>
        <v>3.53</v>
      </c>
      <c r="CA913">
        <f>IFERROR(BZ913/BQ913,"")</f>
        <v>0.11182441168864751</v>
      </c>
      <c r="CB913">
        <v>0</v>
      </c>
      <c r="CC913">
        <v>0</v>
      </c>
      <c r="CD913">
        <v>0</v>
      </c>
      <c r="CE913">
        <v>0</v>
      </c>
      <c r="CF913">
        <v>0</v>
      </c>
      <c r="CG913">
        <v>0</v>
      </c>
      <c r="CH913">
        <v>0</v>
      </c>
      <c r="CI913">
        <v>0</v>
      </c>
      <c r="CJ913">
        <v>0</v>
      </c>
      <c r="CK913">
        <v>0</v>
      </c>
      <c r="CL913">
        <v>0</v>
      </c>
      <c r="CM913">
        <v>0</v>
      </c>
      <c r="CN913">
        <v>0</v>
      </c>
      <c r="CO913">
        <v>0</v>
      </c>
      <c r="CP913" t="str">
        <f>IF($BN913&lt;$BM913,"refNeedCorrection","refOK")</f>
        <v>refOK</v>
      </c>
      <c r="CQ913">
        <f>IF($CP913="refNeedCorrection",BN913,BM913)</f>
        <v>0</v>
      </c>
      <c r="CR913">
        <f>IF($CP913="refNeedCorrection",BM913,BN913)</f>
        <v>15468</v>
      </c>
      <c r="CS913">
        <f>IF($CP913="refOK",$BQ913,-$BQ913)</f>
        <v>31.567346938775515</v>
      </c>
      <c r="CT913">
        <f>IF(BI913="Roundwood",$CS913/2,$CS913)</f>
        <v>31.567346938775515</v>
      </c>
      <c r="CU913">
        <f>IF($CP913="refOK",$BU913,$BV913)*IF($BR913="Emissions positive",-1,1)</f>
        <v>-8660</v>
      </c>
      <c r="CV913">
        <f>IF($CP913="refOK",$BV913,$BU913)*IF($BR913="Emissions positive",-1,1)</f>
        <v>-5130</v>
      </c>
      <c r="CW913">
        <f>IF($CP913="refNeedCorrection",-BZ913,BZ913)*IF($BR913="Emissions positive",-1,1)</f>
        <v>3.53</v>
      </c>
      <c r="CX913">
        <f>IFERROR($CW913/$CS913,"")</f>
        <v>0.11182441168864751</v>
      </c>
      <c r="CY913">
        <f>IFERROR($CW913/$CS913,"")</f>
        <v>0.11182441168864751</v>
      </c>
      <c r="CZ913">
        <f>IFERROR($CW913/$CT913,"")</f>
        <v>0.11182441168864751</v>
      </c>
      <c r="DA913" s="2">
        <f>IFERROR((CV913-CU913)/ABS(CU913),"")</f>
        <v>0.407621247113164</v>
      </c>
      <c r="DB913" s="1" t="s">
        <v>1078</v>
      </c>
      <c r="DC913" t="str">
        <f>IF(OR($DB913="prd",$DB913="std",$DB913="cit"),"loc",IF(OR($DB913="eur",$DB913="reg",$DB913="coy"),"reg",$DB913))</f>
        <v>reg</v>
      </c>
      <c r="DD913" t="s">
        <v>348</v>
      </c>
      <c r="DE913">
        <v>2014</v>
      </c>
      <c r="DF913">
        <v>2514</v>
      </c>
      <c r="DG913">
        <v>500</v>
      </c>
      <c r="DH913" t="str">
        <f>IF(DG913=0,"0",IF(AND(DG913&gt;=1,DG913&lt;=30),"1-30",IF(AND(DG913&gt;30,DG913&lt;=70),"31-70",IF(AND(DG913&gt;70,DG913&lt;=100),"71-100",IF(DG913&gt;100,"+100")))))</f>
        <v>+100</v>
      </c>
      <c r="DI913">
        <v>0</v>
      </c>
      <c r="DJ913">
        <v>0</v>
      </c>
      <c r="DK913">
        <v>0</v>
      </c>
      <c r="DL913">
        <v>1</v>
      </c>
      <c r="DN913">
        <f>SUM(DI913:DL913)</f>
        <v>1</v>
      </c>
      <c r="DO913" t="str">
        <f>IF(DN913=1,INDEX($DI$7:$DL$7,MATCH(1,$DI913:$DL913,0)),"mixedProduct")</f>
        <v>TimberInput</v>
      </c>
      <c r="DP913">
        <f>IF(DI913=1,DP$7,0)</f>
        <v>0</v>
      </c>
      <c r="DQ913">
        <f>IF(DJ913=1,DQ$7,0)</f>
        <v>0</v>
      </c>
      <c r="DR913">
        <f>IF(DK913=1,DR$7,0)</f>
        <v>0</v>
      </c>
      <c r="DS913" t="str">
        <f>IF(DL913=1,DS$7,0)</f>
        <v>Timber</v>
      </c>
      <c r="DT913">
        <v>0</v>
      </c>
      <c r="DU913">
        <v>0</v>
      </c>
      <c r="DV913">
        <v>0</v>
      </c>
      <c r="DW913">
        <v>0</v>
      </c>
      <c r="DX913">
        <v>0</v>
      </c>
      <c r="DY913">
        <f>SUM(DT913:DU913)</f>
        <v>0</v>
      </c>
      <c r="DZ913" s="143" t="str">
        <f>IF(DT913=1,"self-calculated DF",IF(DU913=1,"external DF used","explicit C balance"))</f>
        <v>explicit C balance</v>
      </c>
      <c r="EA913">
        <v>0</v>
      </c>
      <c r="EB913">
        <v>0</v>
      </c>
      <c r="EC913">
        <v>0</v>
      </c>
      <c r="ED913">
        <v>0</v>
      </c>
      <c r="EE913">
        <v>0</v>
      </c>
      <c r="EF913" s="143">
        <v>1</v>
      </c>
      <c r="EG913">
        <v>0</v>
      </c>
      <c r="EH913">
        <v>1</v>
      </c>
      <c r="EI913">
        <v>1</v>
      </c>
      <c r="EJ913">
        <v>1</v>
      </c>
      <c r="EK913">
        <v>0</v>
      </c>
      <c r="EL913">
        <v>0</v>
      </c>
      <c r="EM913">
        <v>0</v>
      </c>
      <c r="EN913" s="2">
        <v>0</v>
      </c>
      <c r="EP913" t="str">
        <f>IF(AND(AND(AND(OR($EC913=1,$EB913=1),OR($EH913=1,$EF913=1)),SUM($EA913:$EE913,$EK913)&gt;=3),SUM($EF913:$EJ913)&gt;=2),"Whole sector approach","")</f>
        <v/>
      </c>
      <c r="EQ913" t="str">
        <f>IF(AND(AND(OR($EC913=1,$EB913=1),AND($EH913=0,$EF913=0)),SUM($EA913:$EE913,$EK913)&gt;=4),"Ecosystem approach","")</f>
        <v/>
      </c>
      <c r="ER913" s="2" t="str">
        <f>IF(AND(AND(AND($EC913=0,$EB913=0),OR($EH913=1,$EF913=1)),SUM($EG913:$EJ913)&gt;=2),"Technology approach","")</f>
        <v>Technology approach</v>
      </c>
      <c r="ES913" t="str">
        <f>IF(AND($EC913+$EB913+$EE913+$EA913+$ED913+$EG913=0,$N913="included"),"C neutral forest and HWP assumption","")</f>
        <v>C neutral forest and HWP assumption</v>
      </c>
      <c r="ET913" t="str">
        <f>IF(AND(AND(AND(AND($EC913=1,$EB913+$EA913+$EG913&gt;=1),$EF913=1),$EH913+$EI913+$ED913+$EE913&gt;=2),$N913="included"),"All C pools assumption","")</f>
        <v/>
      </c>
      <c r="EU913" t="str">
        <f>IF(AND($ED913+$EE913+$EI913+$EH913+$EF913=0,$N913="included"),"In-situ only assumption","")</f>
        <v/>
      </c>
      <c r="EY913" t="str">
        <f>IF(ISNUMBER(BW913),IF(ABS(BW913-[2]QC_indicators!$B$2)&gt;3*[2]QC_indicators!$C$2,"C ratio",IF(ISNUMBER(CA913),IF(ABS(CA913-[2]QC_indicators!$B$1)&gt;3*[2]QC_indicators!$C$1,"DF","no"))),IF(ISNUMBER(CA913),IF(ABS(CA913-[2]QC_indicators!$B$1)&gt;3*[2]QC_indicators!$C$1,"DF","no")))</f>
        <v>no</v>
      </c>
      <c r="FA913" t="str">
        <f>IF(LEN($CY913)=0,"",IF(AND($CY913&lt;(-0.05),$ES913="C neutral forest and HWP assumption"),"Cneutral paradox",IF(AND($CY913&gt;0.05,$EU913="In-situ only assumption"),"In-situ only paradox","")))</f>
        <v/>
      </c>
      <c r="FB913" s="149" t="s">
        <v>349</v>
      </c>
      <c r="FD913" s="260" t="s">
        <v>2948</v>
      </c>
    </row>
    <row r="914" spans="1:160" ht="15" hidden="1" customHeight="1">
      <c r="A914" s="1" t="s">
        <v>1108</v>
      </c>
      <c r="B914" t="s">
        <v>1109</v>
      </c>
      <c r="C914" t="s">
        <v>1110</v>
      </c>
      <c r="D914" t="s">
        <v>336</v>
      </c>
      <c r="E914" t="s">
        <v>1111</v>
      </c>
      <c r="F914" t="s">
        <v>1112</v>
      </c>
      <c r="G914" t="s">
        <v>1113</v>
      </c>
      <c r="I914">
        <v>2018</v>
      </c>
      <c r="K914" t="s">
        <v>1114</v>
      </c>
      <c r="M914" t="str">
        <f>LEFT($D914,FIND(",",$D914)-1)&amp;"_"&amp;I914&amp;L914</f>
        <v>Balasbaneh_2018</v>
      </c>
      <c r="N914" t="s">
        <v>222</v>
      </c>
      <c r="O914" s="140" t="s">
        <v>508</v>
      </c>
      <c r="Q914" t="s">
        <v>224</v>
      </c>
      <c r="R914" s="258" t="s">
        <v>223</v>
      </c>
      <c r="S914" s="1" t="s">
        <v>1119</v>
      </c>
      <c r="T914" s="260" t="s">
        <v>2793</v>
      </c>
      <c r="U914" s="260" t="s">
        <v>2790</v>
      </c>
      <c r="V914" s="253">
        <v>0</v>
      </c>
      <c r="W914" s="253">
        <v>0</v>
      </c>
      <c r="X914">
        <v>0</v>
      </c>
      <c r="Y914">
        <v>0</v>
      </c>
      <c r="Z914">
        <v>0</v>
      </c>
      <c r="AA914">
        <v>0</v>
      </c>
      <c r="AB914">
        <v>0</v>
      </c>
      <c r="AC914">
        <v>0</v>
      </c>
      <c r="AD914">
        <v>0</v>
      </c>
      <c r="AE914">
        <v>0</v>
      </c>
      <c r="AF914">
        <v>0</v>
      </c>
      <c r="AG914">
        <v>0</v>
      </c>
      <c r="AH914">
        <v>0</v>
      </c>
      <c r="AI914">
        <v>0</v>
      </c>
      <c r="AJ914">
        <v>0</v>
      </c>
      <c r="AK914">
        <v>0</v>
      </c>
      <c r="AL914">
        <v>0</v>
      </c>
      <c r="AM914">
        <v>1</v>
      </c>
      <c r="AN914">
        <v>0</v>
      </c>
      <c r="AO914">
        <v>0</v>
      </c>
      <c r="AP914">
        <v>0</v>
      </c>
      <c r="AQ914">
        <v>0</v>
      </c>
      <c r="AR914">
        <v>0</v>
      </c>
      <c r="AS914">
        <v>0</v>
      </c>
      <c r="AT914">
        <v>0</v>
      </c>
      <c r="AU914">
        <v>0</v>
      </c>
      <c r="AV914">
        <v>0</v>
      </c>
      <c r="AW914">
        <v>0</v>
      </c>
      <c r="AX914">
        <v>0</v>
      </c>
      <c r="AY914">
        <v>0</v>
      </c>
      <c r="AZ914" s="141">
        <f>COUNTIF(X914:AY914,"&lt;&gt;0")</f>
        <v>1</v>
      </c>
      <c r="BA914" s="141">
        <f>COUNTIF(X914:AN914,"&lt;&gt;0")</f>
        <v>1</v>
      </c>
      <c r="BB914">
        <f>COUNTIF(X914:AE914,"&lt;&gt;0")</f>
        <v>0</v>
      </c>
      <c r="BC914">
        <f>COUNTIF(AF914:AK914,"&lt;&gt;0")</f>
        <v>0</v>
      </c>
      <c r="BD914">
        <f>COUNTIF(AL914:AN914,"&lt;&gt;0")</f>
        <v>1</v>
      </c>
      <c r="BE914">
        <f>COUNTIF(AU914:AY914,"&lt;&gt;0")</f>
        <v>0</v>
      </c>
      <c r="BF914">
        <f>COUNTIF(AO914:AT914,"&lt;&gt;0")</f>
        <v>0</v>
      </c>
      <c r="BG914" t="str">
        <f t="array" ref="BG914">IF(BA914=1,INDEX($X$7:$AN$7,MATCH(TRUE,INDEX($X914:$AY914&lt;&gt;0,),0)),IF(BA914=0,INDEX($AO$7:$AY$7,MATCH(1,$AO914:$AY914,0)),IF(BH914="Multiple strategies","mixed drivers",IF(BH914="Supply chain","multiple supply","multiple silviculture"))))</f>
        <v>technologies/design switch</v>
      </c>
      <c r="BH914" s="2" t="str" cm="1">
        <f t="array" ref="BH914">IF(COUNTIF(BB914:BD914,"&lt;&gt;0")=1,INDEX($X$4:$AY$4,MATCH(TRUE,INDEX($X914:$AY914&lt;&gt;0,),0)),IF(COUNTIF(BB914:BD914,"&lt;&gt;0")=0,INDEX($AO$4:$AY$4,MATCH(1,$AO914:$AY914,0)),"Multiple strategies"))</f>
        <v>Technology</v>
      </c>
      <c r="BI914" s="1" t="s">
        <v>229</v>
      </c>
      <c r="BJ914" t="s">
        <v>229</v>
      </c>
      <c r="BL914" t="s">
        <v>345</v>
      </c>
      <c r="BM914">
        <v>0</v>
      </c>
      <c r="BN914">
        <v>15468</v>
      </c>
      <c r="BO914" s="143"/>
      <c r="BP914">
        <f>BN914-BM914</f>
        <v>15468</v>
      </c>
      <c r="BQ914" s="143">
        <f>BP914*kg_to_m3</f>
        <v>31.567346938775515</v>
      </c>
      <c r="BR914" t="s">
        <v>232</v>
      </c>
      <c r="BS914" s="153" t="s">
        <v>987</v>
      </c>
      <c r="BT914" t="s">
        <v>397</v>
      </c>
      <c r="BU914">
        <v>-9120</v>
      </c>
      <c r="BV914">
        <v>-5370</v>
      </c>
      <c r="BW914" s="144">
        <v>0.58881578947368418</v>
      </c>
      <c r="BX914">
        <v>3750</v>
      </c>
      <c r="BZ914">
        <f>BX914/1000</f>
        <v>3.75</v>
      </c>
      <c r="CA914">
        <f>IFERROR(BZ914/BQ914,"")</f>
        <v>0.11879363847944141</v>
      </c>
      <c r="CB914">
        <v>0</v>
      </c>
      <c r="CC914">
        <v>0</v>
      </c>
      <c r="CD914">
        <v>0</v>
      </c>
      <c r="CE914">
        <v>0</v>
      </c>
      <c r="CF914">
        <v>0</v>
      </c>
      <c r="CG914">
        <v>0</v>
      </c>
      <c r="CH914">
        <v>0</v>
      </c>
      <c r="CI914">
        <v>0</v>
      </c>
      <c r="CJ914">
        <v>0</v>
      </c>
      <c r="CK914">
        <v>0</v>
      </c>
      <c r="CL914">
        <v>0</v>
      </c>
      <c r="CM914">
        <v>0</v>
      </c>
      <c r="CN914">
        <v>0</v>
      </c>
      <c r="CO914">
        <v>0</v>
      </c>
      <c r="CP914" t="str">
        <f>IF($BN914&lt;$BM914,"refNeedCorrection","refOK")</f>
        <v>refOK</v>
      </c>
      <c r="CQ914">
        <f>IF($CP914="refNeedCorrection",BN914,BM914)</f>
        <v>0</v>
      </c>
      <c r="CR914">
        <f>IF($CP914="refNeedCorrection",BM914,BN914)</f>
        <v>15468</v>
      </c>
      <c r="CS914">
        <f>IF($CP914="refOK",$BQ914,-$BQ914)</f>
        <v>31.567346938775515</v>
      </c>
      <c r="CT914">
        <f>IF(BI914="Roundwood",$CS914/2,$CS914)</f>
        <v>31.567346938775515</v>
      </c>
      <c r="CU914">
        <f>IF($CP914="refOK",$BU914,$BV914)*IF($BR914="Emissions positive",-1,1)</f>
        <v>-9120</v>
      </c>
      <c r="CV914">
        <f>IF($CP914="refOK",$BV914,$BU914)*IF($BR914="Emissions positive",-1,1)</f>
        <v>-5370</v>
      </c>
      <c r="CW914">
        <f>IF($CP914="refNeedCorrection",-BZ914,BZ914)*IF($BR914="Emissions positive",-1,1)</f>
        <v>3.75</v>
      </c>
      <c r="CX914">
        <f>IFERROR($CW914/$CS914,"")</f>
        <v>0.11879363847944141</v>
      </c>
      <c r="CY914">
        <f>IFERROR($CW914/$CS914,"")</f>
        <v>0.11879363847944141</v>
      </c>
      <c r="CZ914">
        <f>IFERROR($CW914/$CT914,"")</f>
        <v>0.11879363847944141</v>
      </c>
      <c r="DA914" s="2">
        <f>IFERROR((CV914-CU914)/ABS(CU914),"")</f>
        <v>0.41118421052631576</v>
      </c>
      <c r="DB914" s="1" t="s">
        <v>1078</v>
      </c>
      <c r="DC914" t="str">
        <f>IF(OR($DB914="prd",$DB914="std",$DB914="cit"),"loc",IF(OR($DB914="eur",$DB914="reg",$DB914="coy"),"reg",$DB914))</f>
        <v>reg</v>
      </c>
      <c r="DD914" t="s">
        <v>348</v>
      </c>
      <c r="DE914">
        <v>2014</v>
      </c>
      <c r="DF914">
        <v>2114</v>
      </c>
      <c r="DG914">
        <v>100</v>
      </c>
      <c r="DH914" t="str">
        <f>IF(DG914=0,"0",IF(AND(DG914&gt;=1,DG914&lt;=30),"1-30",IF(AND(DG914&gt;30,DG914&lt;=70),"31-70",IF(AND(DG914&gt;70,DG914&lt;=100),"71-100",IF(DG914&gt;100,"+100")))))</f>
        <v>71-100</v>
      </c>
      <c r="DI914">
        <v>0</v>
      </c>
      <c r="DJ914">
        <v>0</v>
      </c>
      <c r="DK914">
        <v>0</v>
      </c>
      <c r="DL914">
        <v>1</v>
      </c>
      <c r="DN914">
        <f>SUM(DI914:DL914)</f>
        <v>1</v>
      </c>
      <c r="DO914" t="str">
        <f>IF(DN914=1,INDEX($DI$7:$DL$7,MATCH(1,$DI914:$DL914,0)),"mixedProduct")</f>
        <v>TimberInput</v>
      </c>
      <c r="DP914">
        <f>IF(DI914=1,DP$7,0)</f>
        <v>0</v>
      </c>
      <c r="DQ914">
        <f>IF(DJ914=1,DQ$7,0)</f>
        <v>0</v>
      </c>
      <c r="DR914">
        <f>IF(DK914=1,DR$7,0)</f>
        <v>0</v>
      </c>
      <c r="DS914" t="str">
        <f>IF(DL914=1,DS$7,0)</f>
        <v>Timber</v>
      </c>
      <c r="DT914">
        <v>0</v>
      </c>
      <c r="DU914">
        <v>0</v>
      </c>
      <c r="DV914">
        <v>0</v>
      </c>
      <c r="DW914">
        <v>0</v>
      </c>
      <c r="DX914">
        <v>0</v>
      </c>
      <c r="DY914">
        <f>SUM(DT914:DU914)</f>
        <v>0</v>
      </c>
      <c r="DZ914" s="143" t="str">
        <f>IF(DT914=1,"self-calculated DF",IF(DU914=1,"external DF used","explicit C balance"))</f>
        <v>explicit C balance</v>
      </c>
      <c r="EA914">
        <v>0</v>
      </c>
      <c r="EB914">
        <v>0</v>
      </c>
      <c r="EC914">
        <v>0</v>
      </c>
      <c r="ED914">
        <v>0</v>
      </c>
      <c r="EE914">
        <v>0</v>
      </c>
      <c r="EF914" s="143">
        <v>1</v>
      </c>
      <c r="EG914">
        <v>0</v>
      </c>
      <c r="EH914">
        <v>1</v>
      </c>
      <c r="EI914">
        <v>1</v>
      </c>
      <c r="EJ914">
        <v>1</v>
      </c>
      <c r="EK914">
        <v>0</v>
      </c>
      <c r="EL914">
        <v>0</v>
      </c>
      <c r="EM914">
        <v>0</v>
      </c>
      <c r="EN914" s="2">
        <v>0</v>
      </c>
      <c r="EP914" t="str">
        <f>IF(AND(AND(AND(OR($EC914=1,$EB914=1),OR($EH914=1,$EF914=1)),SUM($EA914:$EE914,$EK914)&gt;=3),SUM($EF914:$EJ914)&gt;=2),"Whole sector approach","")</f>
        <v/>
      </c>
      <c r="EQ914" t="str">
        <f>IF(AND(AND(OR($EC914=1,$EB914=1),AND($EH914=0,$EF914=0)),SUM($EA914:$EE914,$EK914)&gt;=4),"Ecosystem approach","")</f>
        <v/>
      </c>
      <c r="ER914" s="2" t="str">
        <f>IF(AND(AND(AND($EC914=0,$EB914=0),OR($EH914=1,$EF914=1)),SUM($EG914:$EJ914)&gt;=2),"Technology approach","")</f>
        <v>Technology approach</v>
      </c>
      <c r="ES914" t="str">
        <f>IF(AND($EC914+$EB914+$EE914+$EA914+$ED914+$EG914=0,$N914="included"),"C neutral forest and HWP assumption","")</f>
        <v>C neutral forest and HWP assumption</v>
      </c>
      <c r="ET914" t="str">
        <f>IF(AND(AND(AND(AND($EC914=1,$EB914+$EA914+$EG914&gt;=1),$EF914=1),$EH914+$EI914+$ED914+$EE914&gt;=2),$N914="included"),"All C pools assumption","")</f>
        <v/>
      </c>
      <c r="EU914" t="str">
        <f>IF(AND($ED914+$EE914+$EI914+$EH914+$EF914=0,$N914="included"),"In-situ only assumption","")</f>
        <v/>
      </c>
      <c r="EY914" t="str">
        <f>IF(ISNUMBER(BW914),IF(ABS(BW914-[2]QC_indicators!$B$2)&gt;3*[2]QC_indicators!$C$2,"C ratio",IF(ISNUMBER(CA914),IF(ABS(CA914-[2]QC_indicators!$B$1)&gt;3*[2]QC_indicators!$C$1,"DF","no"))),IF(ISNUMBER(CA914),IF(ABS(CA914-[2]QC_indicators!$B$1)&gt;3*[2]QC_indicators!$C$1,"DF","no")))</f>
        <v>no</v>
      </c>
      <c r="FA914" t="str">
        <f>IF(LEN($CY914)=0,"",IF(AND($CY914&lt;(-0.05),$ES914="C neutral forest and HWP assumption"),"Cneutral paradox",IF(AND($CY914&gt;0.05,$EU914="In-situ only assumption"),"In-situ only paradox","")))</f>
        <v/>
      </c>
      <c r="FB914" s="149" t="s">
        <v>349</v>
      </c>
      <c r="FD914" s="260" t="s">
        <v>2948</v>
      </c>
    </row>
    <row r="915" spans="1:160" ht="15" hidden="1" customHeight="1">
      <c r="A915" s="1" t="s">
        <v>1108</v>
      </c>
      <c r="B915" t="s">
        <v>1109</v>
      </c>
      <c r="C915" t="s">
        <v>1110</v>
      </c>
      <c r="D915" t="s">
        <v>336</v>
      </c>
      <c r="E915" t="s">
        <v>1111</v>
      </c>
      <c r="F915" t="s">
        <v>1112</v>
      </c>
      <c r="G915" t="s">
        <v>1113</v>
      </c>
      <c r="I915">
        <v>2018</v>
      </c>
      <c r="K915" t="s">
        <v>1114</v>
      </c>
      <c r="M915" t="str">
        <f>LEFT($D915,FIND(",",$D915)-1)&amp;"_"&amp;I915&amp;L915</f>
        <v>Balasbaneh_2018</v>
      </c>
      <c r="N915" t="s">
        <v>222</v>
      </c>
      <c r="O915" s="140" t="s">
        <v>508</v>
      </c>
      <c r="Q915" t="s">
        <v>224</v>
      </c>
      <c r="R915" s="258" t="s">
        <v>223</v>
      </c>
      <c r="S915" s="1" t="s">
        <v>1120</v>
      </c>
      <c r="T915" s="260" t="s">
        <v>2793</v>
      </c>
      <c r="U915" s="260" t="s">
        <v>2790</v>
      </c>
      <c r="V915" s="253">
        <v>0</v>
      </c>
      <c r="W915" s="253">
        <v>0</v>
      </c>
      <c r="X915">
        <v>0</v>
      </c>
      <c r="Y915">
        <v>0</v>
      </c>
      <c r="Z915">
        <v>0</v>
      </c>
      <c r="AA915">
        <v>0</v>
      </c>
      <c r="AB915">
        <v>0</v>
      </c>
      <c r="AC915">
        <v>0</v>
      </c>
      <c r="AD915">
        <v>0</v>
      </c>
      <c r="AE915">
        <v>0</v>
      </c>
      <c r="AF915">
        <v>0</v>
      </c>
      <c r="AG915">
        <v>0</v>
      </c>
      <c r="AH915">
        <v>0</v>
      </c>
      <c r="AI915">
        <v>0</v>
      </c>
      <c r="AJ915">
        <v>0</v>
      </c>
      <c r="AK915">
        <v>0</v>
      </c>
      <c r="AL915">
        <v>0</v>
      </c>
      <c r="AM915">
        <v>1</v>
      </c>
      <c r="AN915">
        <v>0</v>
      </c>
      <c r="AO915">
        <v>0</v>
      </c>
      <c r="AP915">
        <v>0</v>
      </c>
      <c r="AQ915">
        <v>0</v>
      </c>
      <c r="AR915">
        <v>0</v>
      </c>
      <c r="AS915">
        <v>0</v>
      </c>
      <c r="AT915">
        <v>0</v>
      </c>
      <c r="AU915">
        <v>0</v>
      </c>
      <c r="AV915">
        <v>0</v>
      </c>
      <c r="AW915">
        <v>0</v>
      </c>
      <c r="AX915">
        <v>0</v>
      </c>
      <c r="AY915">
        <v>0</v>
      </c>
      <c r="AZ915" s="141">
        <f>COUNTIF(X915:AY915,"&lt;&gt;0")</f>
        <v>1</v>
      </c>
      <c r="BA915" s="141">
        <f>COUNTIF(X915:AN915,"&lt;&gt;0")</f>
        <v>1</v>
      </c>
      <c r="BB915">
        <f>COUNTIF(X915:AE915,"&lt;&gt;0")</f>
        <v>0</v>
      </c>
      <c r="BC915">
        <f>COUNTIF(AF915:AK915,"&lt;&gt;0")</f>
        <v>0</v>
      </c>
      <c r="BD915">
        <f>COUNTIF(AL915:AN915,"&lt;&gt;0")</f>
        <v>1</v>
      </c>
      <c r="BE915">
        <f>COUNTIF(AU915:AY915,"&lt;&gt;0")</f>
        <v>0</v>
      </c>
      <c r="BF915">
        <f>COUNTIF(AO915:AT915,"&lt;&gt;0")</f>
        <v>0</v>
      </c>
      <c r="BG915" t="str">
        <f t="array" ref="BG915">IF(BA915=1,INDEX($X$7:$AN$7,MATCH(TRUE,INDEX($X915:$AY915&lt;&gt;0,),0)),IF(BA915=0,INDEX($AO$7:$AY$7,MATCH(1,$AO915:$AY915,0)),IF(BH915="Multiple strategies","mixed drivers",IF(BH915="Supply chain","multiple supply","multiple silviculture"))))</f>
        <v>technologies/design switch</v>
      </c>
      <c r="BH915" s="2" t="str" cm="1">
        <f t="array" ref="BH915">IF(COUNTIF(BB915:BD915,"&lt;&gt;0")=1,INDEX($X$4:$AY$4,MATCH(TRUE,INDEX($X915:$AY915&lt;&gt;0,),0)),IF(COUNTIF(BB915:BD915,"&lt;&gt;0")=0,INDEX($AO$4:$AY$4,MATCH(1,$AO915:$AY915,0)),"Multiple strategies"))</f>
        <v>Technology</v>
      </c>
      <c r="BI915" s="1" t="s">
        <v>229</v>
      </c>
      <c r="BJ915" t="s">
        <v>229</v>
      </c>
      <c r="BL915" t="s">
        <v>345</v>
      </c>
      <c r="BM915">
        <v>0</v>
      </c>
      <c r="BN915">
        <v>15468</v>
      </c>
      <c r="BO915" s="143"/>
      <c r="BP915">
        <f>BN915-BM915</f>
        <v>15468</v>
      </c>
      <c r="BQ915" s="143">
        <f>BP915*kg_to_m3</f>
        <v>31.567346938775515</v>
      </c>
      <c r="BR915" t="s">
        <v>232</v>
      </c>
      <c r="BS915" s="153" t="s">
        <v>987</v>
      </c>
      <c r="BT915" t="s">
        <v>397</v>
      </c>
      <c r="BU915">
        <v>-9840</v>
      </c>
      <c r="BV915">
        <v>-5840</v>
      </c>
      <c r="BW915" s="144">
        <v>0.5934959349593496</v>
      </c>
      <c r="BX915">
        <v>4000</v>
      </c>
      <c r="BZ915">
        <f>BX915/1000</f>
        <v>4</v>
      </c>
      <c r="CA915">
        <f>IFERROR(BZ915/BQ915,"")</f>
        <v>0.12671321437807084</v>
      </c>
      <c r="CB915">
        <v>0</v>
      </c>
      <c r="CC915">
        <v>0</v>
      </c>
      <c r="CD915">
        <v>0</v>
      </c>
      <c r="CE915">
        <v>0</v>
      </c>
      <c r="CF915">
        <v>0</v>
      </c>
      <c r="CG915">
        <v>0</v>
      </c>
      <c r="CH915">
        <v>0</v>
      </c>
      <c r="CI915">
        <v>0</v>
      </c>
      <c r="CJ915">
        <v>0</v>
      </c>
      <c r="CK915">
        <v>0</v>
      </c>
      <c r="CL915">
        <v>0</v>
      </c>
      <c r="CM915">
        <v>0</v>
      </c>
      <c r="CN915">
        <v>0</v>
      </c>
      <c r="CO915">
        <v>0</v>
      </c>
      <c r="CP915" t="str">
        <f>IF($BN915&lt;$BM915,"refNeedCorrection","refOK")</f>
        <v>refOK</v>
      </c>
      <c r="CQ915">
        <f>IF($CP915="refNeedCorrection",BN915,BM915)</f>
        <v>0</v>
      </c>
      <c r="CR915">
        <f>IF($CP915="refNeedCorrection",BM915,BN915)</f>
        <v>15468</v>
      </c>
      <c r="CS915">
        <f>IF($CP915="refOK",$BQ915,-$BQ915)</f>
        <v>31.567346938775515</v>
      </c>
      <c r="CT915">
        <f>IF(BI915="Roundwood",$CS915/2,$CS915)</f>
        <v>31.567346938775515</v>
      </c>
      <c r="CU915">
        <f>IF($CP915="refOK",$BU915,$BV915)*IF($BR915="Emissions positive",-1,1)</f>
        <v>-9840</v>
      </c>
      <c r="CV915">
        <f>IF($CP915="refOK",$BV915,$BU915)*IF($BR915="Emissions positive",-1,1)</f>
        <v>-5840</v>
      </c>
      <c r="CW915">
        <f>IF($CP915="refNeedCorrection",-BZ915,BZ915)*IF($BR915="Emissions positive",-1,1)</f>
        <v>4</v>
      </c>
      <c r="CX915">
        <f>IFERROR($CW915/$CS915,"")</f>
        <v>0.12671321437807084</v>
      </c>
      <c r="CY915">
        <f>IFERROR($CW915/$CS915,"")</f>
        <v>0.12671321437807084</v>
      </c>
      <c r="CZ915">
        <f>IFERROR($CW915/$CT915,"")</f>
        <v>0.12671321437807084</v>
      </c>
      <c r="DA915" s="2">
        <f>IFERROR((CV915-CU915)/ABS(CU915),"")</f>
        <v>0.4065040650406504</v>
      </c>
      <c r="DB915" s="1" t="s">
        <v>1078</v>
      </c>
      <c r="DC915" t="str">
        <f>IF(OR($DB915="prd",$DB915="std",$DB915="cit"),"loc",IF(OR($DB915="eur",$DB915="reg",$DB915="coy"),"reg",$DB915))</f>
        <v>reg</v>
      </c>
      <c r="DD915" t="s">
        <v>348</v>
      </c>
      <c r="DE915">
        <v>2014</v>
      </c>
      <c r="DF915">
        <v>2034</v>
      </c>
      <c r="DG915">
        <v>20</v>
      </c>
      <c r="DH915" t="str">
        <f>IF(DG915=0,"0",IF(AND(DG915&gt;=1,DG915&lt;=30),"1-30",IF(AND(DG915&gt;30,DG915&lt;=70),"31-70",IF(AND(DG915&gt;70,DG915&lt;=100),"71-100",IF(DG915&gt;100,"+100")))))</f>
        <v>1-30</v>
      </c>
      <c r="DI915">
        <v>0</v>
      </c>
      <c r="DJ915">
        <v>0</v>
      </c>
      <c r="DK915">
        <v>0</v>
      </c>
      <c r="DL915">
        <v>1</v>
      </c>
      <c r="DN915">
        <f>SUM(DI915:DL915)</f>
        <v>1</v>
      </c>
      <c r="DO915" t="str">
        <f>IF(DN915=1,INDEX($DI$7:$DL$7,MATCH(1,$DI915:$DL915,0)),"mixedProduct")</f>
        <v>TimberInput</v>
      </c>
      <c r="DP915">
        <f>IF(DI915=1,DP$7,0)</f>
        <v>0</v>
      </c>
      <c r="DQ915">
        <f>IF(DJ915=1,DQ$7,0)</f>
        <v>0</v>
      </c>
      <c r="DR915">
        <f>IF(DK915=1,DR$7,0)</f>
        <v>0</v>
      </c>
      <c r="DS915" t="str">
        <f>IF(DL915=1,DS$7,0)</f>
        <v>Timber</v>
      </c>
      <c r="DT915">
        <v>0</v>
      </c>
      <c r="DU915">
        <v>0</v>
      </c>
      <c r="DV915">
        <v>0</v>
      </c>
      <c r="DW915">
        <v>0</v>
      </c>
      <c r="DX915">
        <v>0</v>
      </c>
      <c r="DY915">
        <f>SUM(DT915:DU915)</f>
        <v>0</v>
      </c>
      <c r="DZ915" s="143" t="str">
        <f>IF(DT915=1,"self-calculated DF",IF(DU915=1,"external DF used","explicit C balance"))</f>
        <v>explicit C balance</v>
      </c>
      <c r="EA915">
        <v>0</v>
      </c>
      <c r="EB915">
        <v>0</v>
      </c>
      <c r="EC915">
        <v>0</v>
      </c>
      <c r="ED915">
        <v>0</v>
      </c>
      <c r="EE915">
        <v>0</v>
      </c>
      <c r="EF915" s="143">
        <v>1</v>
      </c>
      <c r="EG915">
        <v>0</v>
      </c>
      <c r="EH915">
        <v>1</v>
      </c>
      <c r="EI915">
        <v>1</v>
      </c>
      <c r="EJ915">
        <v>1</v>
      </c>
      <c r="EK915">
        <v>0</v>
      </c>
      <c r="EL915">
        <v>0</v>
      </c>
      <c r="EM915">
        <v>0</v>
      </c>
      <c r="EN915" s="2">
        <v>0</v>
      </c>
      <c r="EP915" t="str">
        <f>IF(AND(AND(AND(OR($EC915=1,$EB915=1),OR($EH915=1,$EF915=1)),SUM($EA915:$EE915,$EK915)&gt;=3),SUM($EF915:$EJ915)&gt;=2),"Whole sector approach","")</f>
        <v/>
      </c>
      <c r="EQ915" t="str">
        <f>IF(AND(AND(OR($EC915=1,$EB915=1),AND($EH915=0,$EF915=0)),SUM($EA915:$EE915,$EK915)&gt;=4),"Ecosystem approach","")</f>
        <v/>
      </c>
      <c r="ER915" s="2" t="str">
        <f>IF(AND(AND(AND($EC915=0,$EB915=0),OR($EH915=1,$EF915=1)),SUM($EG915:$EJ915)&gt;=2),"Technology approach","")</f>
        <v>Technology approach</v>
      </c>
      <c r="ES915" t="str">
        <f>IF(AND($EC915+$EB915+$EE915+$EA915+$ED915+$EG915=0,$N915="included"),"C neutral forest and HWP assumption","")</f>
        <v>C neutral forest and HWP assumption</v>
      </c>
      <c r="ET915" t="str">
        <f>IF(AND(AND(AND(AND($EC915=1,$EB915+$EA915+$EG915&gt;=1),$EF915=1),$EH915+$EI915+$ED915+$EE915&gt;=2),$N915="included"),"All C pools assumption","")</f>
        <v/>
      </c>
      <c r="EU915" t="str">
        <f>IF(AND($ED915+$EE915+$EI915+$EH915+$EF915=0,$N915="included"),"In-situ only assumption","")</f>
        <v/>
      </c>
      <c r="EY915" t="str">
        <f>IF(ISNUMBER(BW915),IF(ABS(BW915-[2]QC_indicators!$B$2)&gt;3*[2]QC_indicators!$C$2,"C ratio",IF(ISNUMBER(CA915),IF(ABS(CA915-[2]QC_indicators!$B$1)&gt;3*[2]QC_indicators!$C$1,"DF","no"))),IF(ISNUMBER(CA915),IF(ABS(CA915-[2]QC_indicators!$B$1)&gt;3*[2]QC_indicators!$C$1,"DF","no")))</f>
        <v>no</v>
      </c>
      <c r="FA915" t="str">
        <f>IF(LEN($CY915)=0,"",IF(AND($CY915&lt;(-0.05),$ES915="C neutral forest and HWP assumption"),"Cneutral paradox",IF(AND($CY915&gt;0.05,$EU915="In-situ only assumption"),"In-situ only paradox","")))</f>
        <v/>
      </c>
      <c r="FB915" s="149" t="s">
        <v>349</v>
      </c>
      <c r="FD915" s="260" t="s">
        <v>2948</v>
      </c>
    </row>
    <row r="916" spans="1:160" ht="15" hidden="1" customHeight="1">
      <c r="A916" s="1" t="s">
        <v>1043</v>
      </c>
      <c r="B916" t="s">
        <v>1044</v>
      </c>
      <c r="C916" t="s">
        <v>1045</v>
      </c>
      <c r="D916" t="s">
        <v>1046</v>
      </c>
      <c r="E916" t="s">
        <v>1047</v>
      </c>
      <c r="F916" t="s">
        <v>1048</v>
      </c>
      <c r="G916" t="s">
        <v>1049</v>
      </c>
      <c r="H916" t="s">
        <v>254</v>
      </c>
      <c r="I916">
        <v>2010</v>
      </c>
      <c r="J916">
        <v>51</v>
      </c>
      <c r="K916" t="s">
        <v>1050</v>
      </c>
      <c r="M916" t="str">
        <f>LEFT($D916,FIND(",",$D916)-1)&amp;"_"&amp;I916&amp;L916</f>
        <v>Vukotic_2010</v>
      </c>
      <c r="N916" t="s">
        <v>222</v>
      </c>
      <c r="O916" s="145" t="s">
        <v>1029</v>
      </c>
      <c r="Q916" t="s">
        <v>256</v>
      </c>
      <c r="R916" s="264" t="s">
        <v>274</v>
      </c>
      <c r="S916" s="1" t="s">
        <v>1051</v>
      </c>
      <c r="T916" t="s">
        <v>1052</v>
      </c>
      <c r="U916" t="s">
        <v>1053</v>
      </c>
      <c r="V916" s="253">
        <v>0</v>
      </c>
      <c r="W916" s="253">
        <v>0</v>
      </c>
      <c r="X916">
        <v>0</v>
      </c>
      <c r="Y916">
        <v>0</v>
      </c>
      <c r="Z916">
        <v>0</v>
      </c>
      <c r="AA916">
        <v>0</v>
      </c>
      <c r="AB916">
        <v>0</v>
      </c>
      <c r="AC916">
        <v>0</v>
      </c>
      <c r="AD916">
        <v>0</v>
      </c>
      <c r="AE916">
        <v>0</v>
      </c>
      <c r="AF916">
        <v>0</v>
      </c>
      <c r="AG916">
        <v>2</v>
      </c>
      <c r="AH916">
        <v>0</v>
      </c>
      <c r="AI916">
        <v>0</v>
      </c>
      <c r="AJ916">
        <v>0</v>
      </c>
      <c r="AK916">
        <v>0</v>
      </c>
      <c r="AL916">
        <v>0</v>
      </c>
      <c r="AM916">
        <v>1</v>
      </c>
      <c r="AN916">
        <v>0</v>
      </c>
      <c r="AO916">
        <v>0</v>
      </c>
      <c r="AP916">
        <v>0</v>
      </c>
      <c r="AQ916">
        <v>0</v>
      </c>
      <c r="AR916">
        <v>0</v>
      </c>
      <c r="AS916">
        <v>0</v>
      </c>
      <c r="AT916">
        <v>0</v>
      </c>
      <c r="AU916">
        <v>0</v>
      </c>
      <c r="AV916">
        <v>0</v>
      </c>
      <c r="AW916">
        <v>0</v>
      </c>
      <c r="AX916">
        <v>0</v>
      </c>
      <c r="AY916">
        <v>0</v>
      </c>
      <c r="AZ916" s="141">
        <f>COUNTIF(X916:AY916,"&lt;&gt;0")</f>
        <v>2</v>
      </c>
      <c r="BA916" s="141">
        <f>COUNTIF(X916:AN916,"&lt;&gt;0")</f>
        <v>2</v>
      </c>
      <c r="BB916">
        <f>COUNTIF(X916:AE916,"&lt;&gt;0")</f>
        <v>0</v>
      </c>
      <c r="BC916">
        <f>COUNTIF(AF916:AK916,"&lt;&gt;0")</f>
        <v>1</v>
      </c>
      <c r="BD916">
        <f>COUNTIF(AL916:AN916,"&lt;&gt;0")</f>
        <v>1</v>
      </c>
      <c r="BE916">
        <f>COUNTIF(AU916:AY916,"&lt;&gt;0")</f>
        <v>0</v>
      </c>
      <c r="BF916">
        <f>COUNTIF(AO916:AT916,"&lt;&gt;0")</f>
        <v>0</v>
      </c>
      <c r="BG916" t="str">
        <f t="array" ref="BG916">IF(BA916=1,INDEX($X$7:$AN$7,MATCH(TRUE,INDEX($X916:$AY916&lt;&gt;0,),0)),IF(BA916=0,INDEX($AO$7:$AY$7,MATCH(1,$AO916:$AY916,0)),IF(BH916="Multiple strategies","mixed drivers",IF(BH916="Supply chain","multiple supply","multiple silviculture"))))</f>
        <v>mixed drivers</v>
      </c>
      <c r="BH916" s="2" t="str" cm="1">
        <f t="array" ref="BH916">IF(COUNTIF(BB916:BD916,"&lt;&gt;0")=1,INDEX($X$4:$AY$4,MATCH(TRUE,INDEX($X916:$AY916&lt;&gt;0,),0)),IF(COUNTIF(BB916:BD916,"&lt;&gt;0")=0,INDEX($AO$4:$AY$4,MATCH(1,$AO916:$AY916,0)),"Multiple strategies"))</f>
        <v>Multiple strategies</v>
      </c>
      <c r="BI916" s="1" t="s">
        <v>229</v>
      </c>
      <c r="BJ916" t="s">
        <v>1054</v>
      </c>
      <c r="BL916" t="s">
        <v>1055</v>
      </c>
      <c r="BM916">
        <v>0</v>
      </c>
      <c r="BN916">
        <v>0.27407407407407408</v>
      </c>
      <c r="BO916" s="143" t="e">
        <f>BN916/BM916</f>
        <v>#DIV/0!</v>
      </c>
      <c r="BP916">
        <f>BN916-BM916</f>
        <v>0.27407407407407408</v>
      </c>
      <c r="BQ916">
        <f>BP916*t_to_m3</f>
        <v>0.55933484504913078</v>
      </c>
      <c r="BR916" t="s">
        <v>232</v>
      </c>
      <c r="BT916" t="s">
        <v>1056</v>
      </c>
      <c r="BU916">
        <v>-272.77999999999997</v>
      </c>
      <c r="BV916">
        <v>-200.19</v>
      </c>
      <c r="BW916" s="144">
        <f>IFERROR(BV916/BU916,"")</f>
        <v>0.73388811496444029</v>
      </c>
      <c r="BX916" s="144">
        <f>BV916-BU916</f>
        <v>72.589999999999975</v>
      </c>
      <c r="BY916" s="144"/>
      <c r="BZ916" s="144">
        <f>BX916*0.001</f>
        <v>7.2589999999999974E-2</v>
      </c>
      <c r="CA916">
        <f>IFERROR(BZ916/BQ916,"")</f>
        <v>0.12977914864864859</v>
      </c>
      <c r="CB916">
        <v>0</v>
      </c>
      <c r="CC916">
        <v>0</v>
      </c>
      <c r="CD916">
        <v>0</v>
      </c>
      <c r="CE916">
        <v>0</v>
      </c>
      <c r="CF916">
        <v>0</v>
      </c>
      <c r="CG916">
        <v>0</v>
      </c>
      <c r="CH916">
        <v>0</v>
      </c>
      <c r="CI916">
        <v>0</v>
      </c>
      <c r="CJ916">
        <v>0</v>
      </c>
      <c r="CK916">
        <v>0</v>
      </c>
      <c r="CL916">
        <v>0</v>
      </c>
      <c r="CM916">
        <v>0</v>
      </c>
      <c r="CN916">
        <v>0</v>
      </c>
      <c r="CO916">
        <v>0</v>
      </c>
      <c r="CP916" t="str">
        <f>IF($BN916&lt;$BM916,"refNeedCorrection","refOK")</f>
        <v>refOK</v>
      </c>
      <c r="CQ916">
        <f>IF($CP916="refOK",$BM916,$BN916)</f>
        <v>0</v>
      </c>
      <c r="CR916">
        <f>IF($CP916="refOK",$BN916,$BM916)</f>
        <v>0.27407407407407408</v>
      </c>
      <c r="CS916">
        <f>IF($CP916="refOK",$BQ916,-$BQ916)</f>
        <v>0.55933484504913078</v>
      </c>
      <c r="CT916">
        <f>IF(BI916="Roundwood",$CS916/2,$CS916)</f>
        <v>0.55933484504913078</v>
      </c>
      <c r="CU916">
        <f>IF($CP916="refOK",$BU916,$BV916)*IF($BR916="Emissions positive",-1,1)</f>
        <v>-272.77999999999997</v>
      </c>
      <c r="CV916">
        <f>IF($CP916="refOK",$BV916,$BU916)*IF($BR916="Emissions positive",-1,1)</f>
        <v>-200.19</v>
      </c>
      <c r="CW916">
        <f>IF($CP916="refNeedCorrection",-BZ916,BZ916)*IF($BR916="Emissions positive",-1,1)</f>
        <v>7.2589999999999974E-2</v>
      </c>
      <c r="CX916">
        <f>IFERROR($CW916/$CS916,"")</f>
        <v>0.12977914864864859</v>
      </c>
      <c r="CY916">
        <f>IFERROR($CW916/$CS916,"")</f>
        <v>0.12977914864864859</v>
      </c>
      <c r="CZ916">
        <f>IFERROR($CW916/$CT916,"")</f>
        <v>0.12977914864864859</v>
      </c>
      <c r="DA916" s="2">
        <f>IFERROR((CV916-CU916)/ABS(CU916),"")</f>
        <v>0.26611188503555971</v>
      </c>
      <c r="DB916" s="1" t="s">
        <v>263</v>
      </c>
      <c r="DC916" t="str">
        <f>IF(OR($DB916="prd",$DB916="std",$DB916="cit"),"loc",IF(OR($DB916="eur",$DB916="reg",$DB916="coy"),"reg",$DB916))</f>
        <v>loc</v>
      </c>
      <c r="DD916" s="296" t="s">
        <v>3098</v>
      </c>
      <c r="DG916">
        <v>60</v>
      </c>
      <c r="DH916" t="str">
        <f>IF(DG916=0,"0",IF(AND(DG916&gt;=1,DG916&lt;=30),"1-30",IF(AND(DG916&gt;30,DG916&lt;=70),"31-70",IF(AND(DG916&gt;70,DG916&lt;=100),"71-100",IF(DG916&gt;100,"+100")))))</f>
        <v>31-70</v>
      </c>
      <c r="DI916">
        <v>0</v>
      </c>
      <c r="DJ916">
        <v>0</v>
      </c>
      <c r="DK916">
        <v>0</v>
      </c>
      <c r="DL916">
        <v>1</v>
      </c>
      <c r="DN916">
        <f>SUM(DI916:DL916)</f>
        <v>1</v>
      </c>
      <c r="DO916" t="str">
        <f>IF(DN916=1,INDEX($DI$7:$DL$7,MATCH(1,$DI916:$DL916,0)),"mixedProduct")</f>
        <v>TimberInput</v>
      </c>
      <c r="DP916">
        <f>IF(DI916=1,DP$7,0)</f>
        <v>0</v>
      </c>
      <c r="DQ916">
        <f>IF(DJ916=1,DQ$7,0)</f>
        <v>0</v>
      </c>
      <c r="DR916">
        <f>IF(DK916=1,DR$7,0)</f>
        <v>0</v>
      </c>
      <c r="DS916" t="str">
        <f>IF(DL916=1,DS$7,0)</f>
        <v>Timber</v>
      </c>
      <c r="DT916">
        <v>1</v>
      </c>
      <c r="DU916">
        <v>0</v>
      </c>
      <c r="DV916">
        <v>0</v>
      </c>
      <c r="DW916">
        <v>0</v>
      </c>
      <c r="DX916">
        <v>0</v>
      </c>
      <c r="DY916">
        <f>SUM(DT916:DU916)</f>
        <v>1</v>
      </c>
      <c r="DZ916" s="143" t="str">
        <f>IF(DT916=1,"self-calculated DF",IF(DU916=1,"external DF used","explicit C balance"))</f>
        <v>self-calculated DF</v>
      </c>
      <c r="EA916">
        <v>0</v>
      </c>
      <c r="EB916">
        <v>0</v>
      </c>
      <c r="EC916">
        <v>0</v>
      </c>
      <c r="ED916">
        <v>0</v>
      </c>
      <c r="EE916">
        <v>0</v>
      </c>
      <c r="EF916" s="143">
        <v>0</v>
      </c>
      <c r="EG916">
        <v>0</v>
      </c>
      <c r="EH916">
        <v>1</v>
      </c>
      <c r="EI916">
        <v>1</v>
      </c>
      <c r="EJ916">
        <v>0</v>
      </c>
      <c r="EK916">
        <v>0</v>
      </c>
      <c r="EL916">
        <v>0</v>
      </c>
      <c r="EM916">
        <v>0</v>
      </c>
      <c r="EN916" s="2">
        <v>0</v>
      </c>
      <c r="EP916" t="str">
        <f>IF(AND(AND(AND(OR($EC916=1,$EB916=1),OR($EH916=1,$EF916=1)),SUM($EA916:$EE916,$EK916)&gt;=3),SUM($EF916:$EJ916)&gt;=2),"Whole sector approach","")</f>
        <v/>
      </c>
      <c r="EQ916" t="str">
        <f>IF(AND(AND(OR($EC916=1,$EB916=1),AND($EH916=0,$EF916=0)),SUM($EA916:$EE916,$EK916)&gt;=4),"Ecosystem approach","")</f>
        <v/>
      </c>
      <c r="ER916" s="2" t="str">
        <f>IF(AND(AND(AND($EC916=0,$EB916=0),OR($EH916=1,$EF916=1)),SUM($EG916:$EJ916)&gt;=2),"Technology approach","")</f>
        <v>Technology approach</v>
      </c>
      <c r="ES916" t="str">
        <f>IF(AND($EC916+$EB916+$EE916+$EA916+$ED916+$EG916=0,$N916="included"),"C neutral forest and HWP assumption","")</f>
        <v>C neutral forest and HWP assumption</v>
      </c>
      <c r="ET916" t="str">
        <f>IF(AND(AND(AND(AND($EC916=1,$EB916+$EA916+$EG916&gt;=1),$EF916=1),$EH916+$EI916+$ED916+$EE916&gt;=2),$N916="included"),"All C pools assumption","")</f>
        <v/>
      </c>
      <c r="EU916" t="str">
        <f>IF(AND($ED916+$EE916+$EI916+$EH916+$EF916=0,$N916="included"),"In-situ only assumption","")</f>
        <v/>
      </c>
      <c r="EY916" t="str">
        <f>IF(ISNUMBER(BW916),IF(ABS(BW916-[3]QC_indicators!$B$2)&gt;3*[3]QC_indicators!$C$2,"C ratio",IF(ISNUMBER(CA916),IF(ABS(CA916-[3]QC_indicators!$B$1)&gt;3*[3]QC_indicators!$C$1,"DF","no"))),IF(ISNUMBER(CA916),IF(ABS(CA916-[3]QC_indicators!$B$1)&gt;3*[3]QC_indicators!$C$1,"DF","no")))</f>
        <v>no</v>
      </c>
      <c r="FA916" t="str">
        <f>IF(LEN($CY916)=0,"",IF(AND($CY916&lt;(-0.05),$ES916="C neutral forest and HWP assumption"),"Cneutral paradox",IF(AND($CY916&gt;0.05,$EU916="In-situ only assumption"),"In-situ only paradox","")))</f>
        <v/>
      </c>
      <c r="FD916" s="260" t="s">
        <v>2938</v>
      </c>
    </row>
    <row r="917" spans="1:160" ht="18" hidden="1" customHeight="1">
      <c r="A917" s="1" t="s">
        <v>1295</v>
      </c>
      <c r="B917" t="s">
        <v>1922</v>
      </c>
      <c r="C917" t="s">
        <v>1923</v>
      </c>
      <c r="D917" t="s">
        <v>1924</v>
      </c>
      <c r="E917" t="s">
        <v>1925</v>
      </c>
      <c r="F917" t="s">
        <v>1926</v>
      </c>
      <c r="G917" t="s">
        <v>1301</v>
      </c>
      <c r="H917" t="s">
        <v>254</v>
      </c>
      <c r="I917">
        <v>2014</v>
      </c>
      <c r="J917">
        <v>45</v>
      </c>
      <c r="K917" t="s">
        <v>1927</v>
      </c>
      <c r="M917" t="str">
        <f>LEFT($D917,FIND(",",$D917)-1)&amp;"_"&amp;I917&amp;L917</f>
        <v>Pukkala_2014</v>
      </c>
      <c r="N917" t="s">
        <v>222</v>
      </c>
      <c r="O917" s="171" t="s">
        <v>225</v>
      </c>
      <c r="P917" t="s">
        <v>1029</v>
      </c>
      <c r="R917" s="258" t="s">
        <v>223</v>
      </c>
      <c r="S917" s="1" t="s">
        <v>1938</v>
      </c>
      <c r="T917" t="s">
        <v>1939</v>
      </c>
      <c r="U917" t="s">
        <v>1930</v>
      </c>
      <c r="V917" s="253">
        <v>0</v>
      </c>
      <c r="W917" s="253">
        <v>0</v>
      </c>
      <c r="X917">
        <v>0</v>
      </c>
      <c r="Y917">
        <v>0</v>
      </c>
      <c r="Z917">
        <v>0</v>
      </c>
      <c r="AA917">
        <v>1</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s="141">
        <f>COUNTIF(X917:AY917,"&lt;&gt;0")</f>
        <v>1</v>
      </c>
      <c r="BA917" s="141">
        <f>COUNTIF(X917:AN917,"&lt;&gt;0")</f>
        <v>1</v>
      </c>
      <c r="BB917">
        <f>COUNTIF(X917:AE917,"&lt;&gt;0")</f>
        <v>1</v>
      </c>
      <c r="BC917">
        <f>COUNTIF(AF917:AK917,"&lt;&gt;0")</f>
        <v>0</v>
      </c>
      <c r="BD917">
        <f>COUNTIF(AL917:AN917,"&lt;&gt;0")</f>
        <v>0</v>
      </c>
      <c r="BE917">
        <f>COUNTIF(AU917:AY917,"&lt;&gt;0")</f>
        <v>0</v>
      </c>
      <c r="BF917">
        <f>COUNTIF(AO917:AT917,"&lt;&gt;0")</f>
        <v>0</v>
      </c>
      <c r="BG917" t="str">
        <f t="array" ref="BG917">IF(BA917=1,INDEX($X$7:$AN$7,MATCH(TRUE,INDEX($X917:$AY917&lt;&gt;0,),0)),IF(BA917=0,INDEX($AO$7:$AY$7,MATCH(1,$AO917:$AY917,0)),IF(BH917="Multiple strategies","mixed drivers",IF(BH917="Supply chain","multiple supply","multiple silviculture"))))</f>
        <v xml:space="preserve">cutting intensity </v>
      </c>
      <c r="BH917" s="2" t="str" cm="1">
        <f t="array" ref="BH917">IF(COUNTIF(BB917:BD917,"&lt;&gt;0")=1,INDEX($X$4:$AY$4,MATCH(TRUE,INDEX($X917:$AY917&lt;&gt;0,),0)),IF(COUNTIF(BB917:BD917,"&lt;&gt;0")=0,INDEX($AO$4:$AY$4,MATCH(1,$AO917:$AY917,0)),"Multiple strategies"))</f>
        <v>Silviculture for removals</v>
      </c>
      <c r="BI917" s="1" t="s">
        <v>229</v>
      </c>
      <c r="BJ917" t="s">
        <v>1931</v>
      </c>
      <c r="BK917" t="s">
        <v>1932</v>
      </c>
      <c r="BL917" t="s">
        <v>1933</v>
      </c>
      <c r="BM917">
        <v>1.002</v>
      </c>
      <c r="BN917">
        <v>1.0920000000000001</v>
      </c>
      <c r="BO917">
        <f>IFERROR(BN917/BM917,"")</f>
        <v>1.0898203592814373</v>
      </c>
      <c r="BP917">
        <f>BN917-BM917</f>
        <v>9.000000000000008E-2</v>
      </c>
      <c r="BQ917">
        <f>+BP917*tC_to_m3</f>
        <v>0.39079461571862822</v>
      </c>
      <c r="BR917" t="s">
        <v>232</v>
      </c>
      <c r="BS917" t="s">
        <v>1934</v>
      </c>
      <c r="BT917" t="s">
        <v>1933</v>
      </c>
      <c r="BU917">
        <v>7.8E-2</v>
      </c>
      <c r="BV917">
        <v>5.2999999999999999E-2</v>
      </c>
      <c r="BW917" s="144">
        <f>BV917/BU917</f>
        <v>0.67948717948717952</v>
      </c>
      <c r="BX917">
        <f>BV917-BU917</f>
        <v>-2.5000000000000001E-2</v>
      </c>
      <c r="BZ917" s="184">
        <f>BX917*C_to_CO2</f>
        <v>-9.1749999999999998E-2</v>
      </c>
      <c r="CA917">
        <f>IFERROR(BZ917/BQ917,"")</f>
        <v>-0.23477805555555534</v>
      </c>
      <c r="CB917">
        <v>0</v>
      </c>
      <c r="CC917">
        <v>0</v>
      </c>
      <c r="CD917">
        <v>0</v>
      </c>
      <c r="CE917">
        <v>0</v>
      </c>
      <c r="CF917">
        <v>0</v>
      </c>
      <c r="CG917">
        <v>0</v>
      </c>
      <c r="CH917">
        <v>0</v>
      </c>
      <c r="CI917">
        <v>0</v>
      </c>
      <c r="CJ917">
        <v>0</v>
      </c>
      <c r="CK917">
        <v>0</v>
      </c>
      <c r="CL917">
        <v>0</v>
      </c>
      <c r="CM917">
        <v>0</v>
      </c>
      <c r="CN917">
        <v>0</v>
      </c>
      <c r="CO917">
        <v>1</v>
      </c>
      <c r="CP917" t="str">
        <f>IF($BN917&lt;$BM917,"refNeedCorrection","refOK")</f>
        <v>refOK</v>
      </c>
      <c r="CQ917">
        <f>IF($CP917="refOK",$BM917,$BN917)</f>
        <v>1.002</v>
      </c>
      <c r="CR917">
        <f>IF($CP917="refOK",$BN917,$BM917)</f>
        <v>1.0920000000000001</v>
      </c>
      <c r="CS917">
        <f>IF($CP917="refOK",$BQ917,-$BQ917)</f>
        <v>0.39079461571862822</v>
      </c>
      <c r="CT917">
        <f>IF(BI917="Roundwood",$CS917/2,$CS917)</f>
        <v>0.39079461571862822</v>
      </c>
      <c r="CU917">
        <f>IF($CP917="refOK",$BU917,$BV917)*IF($BR917="Emissions positive",-1,1)</f>
        <v>7.8E-2</v>
      </c>
      <c r="CV917">
        <f>IF($CP917="refOK",$BV917,$BU917)*IF($BR917="Emissions positive",-1,1)</f>
        <v>5.2999999999999999E-2</v>
      </c>
      <c r="CW917">
        <f>IF($CP917="refNeedCorrection",-BZ917,BZ917)*IF($BR917="Emissions positive",-1,1)</f>
        <v>-9.1749999999999998E-2</v>
      </c>
      <c r="CX917">
        <f>IFERROR($CW917/$CS917,"")</f>
        <v>-0.23477805555555534</v>
      </c>
      <c r="CY917">
        <f>IFERROR($CW917/$CS917,"")</f>
        <v>-0.23477805555555534</v>
      </c>
      <c r="CZ917">
        <f>IFERROR($CW917/$CT917,"")</f>
        <v>-0.23477805555555534</v>
      </c>
      <c r="DA917" s="2">
        <f>IFERROR((CV917-CU917)/ABS(CU917),"")</f>
        <v>-0.32051282051282054</v>
      </c>
      <c r="DB917" s="1" t="s">
        <v>1843</v>
      </c>
      <c r="DC917" t="str">
        <f>IF(OR($DB917="prd",$DB917="std",$DB917="cit"),"loc",IF(OR($DB917="eur",$DB917="reg",$DB917="coy"),"reg",$DB917))</f>
        <v>reg</v>
      </c>
      <c r="DD917" t="s">
        <v>235</v>
      </c>
      <c r="DG917">
        <v>30</v>
      </c>
      <c r="DH917" t="str">
        <f>IF(DG917=0,"0",IF(AND(DG917&gt;=1,DG917&lt;=30),"1-30",IF(AND(DG917&gt;30,DG917&lt;=70),"31-70",IF(AND(DG917&gt;70,DG917&lt;=100),"71-100",IF(DG917&gt;100,"+100")))))</f>
        <v>1-30</v>
      </c>
      <c r="DI917">
        <v>1</v>
      </c>
      <c r="DJ917">
        <v>0</v>
      </c>
      <c r="DK917">
        <v>0</v>
      </c>
      <c r="DL917">
        <v>0</v>
      </c>
      <c r="DM917">
        <v>0</v>
      </c>
      <c r="DN917">
        <f>SUM(DI917:DL917)</f>
        <v>1</v>
      </c>
      <c r="DO917" t="str">
        <f>IF(DN917=1,INDEX($DI$7:$DL$7,MATCH(1,$DI917:$DL917,0)),"mixedProduct")</f>
        <v>UpstreamInput</v>
      </c>
      <c r="DP917" t="str">
        <f>IF(DI917=1,DP$7,0)</f>
        <v>Upstream</v>
      </c>
      <c r="DQ917">
        <f>IF(DJ917=1,DQ$7,0)</f>
        <v>0</v>
      </c>
      <c r="DR917">
        <f>IF(DK917=1,DR$7,0)</f>
        <v>0</v>
      </c>
      <c r="DS917">
        <f>IF(DL917=1,DS$7,0)</f>
        <v>0</v>
      </c>
      <c r="DT917">
        <v>0</v>
      </c>
      <c r="DU917" s="184">
        <v>0</v>
      </c>
      <c r="DV917" s="189"/>
      <c r="DW917" s="189"/>
      <c r="DX917" s="183">
        <v>0</v>
      </c>
      <c r="DY917"/>
      <c r="DZ917" s="143" t="str">
        <f>IF(DT917=1,"self-calculated DF",IF(DU917=1,"external DF used","explicit C balance"))</f>
        <v>explicit C balance</v>
      </c>
      <c r="EA917">
        <v>1</v>
      </c>
      <c r="EB917">
        <v>1</v>
      </c>
      <c r="EC917">
        <v>1</v>
      </c>
      <c r="ED917">
        <v>1</v>
      </c>
      <c r="EE917">
        <v>1</v>
      </c>
      <c r="EF917">
        <v>0</v>
      </c>
      <c r="EG917">
        <v>0</v>
      </c>
      <c r="EH917">
        <v>0</v>
      </c>
      <c r="EI917">
        <v>0</v>
      </c>
      <c r="EJ917">
        <v>0</v>
      </c>
      <c r="EK917">
        <v>1</v>
      </c>
      <c r="EL917">
        <v>0</v>
      </c>
      <c r="EM917">
        <v>0</v>
      </c>
      <c r="EN917" s="2">
        <v>0</v>
      </c>
      <c r="EP917" t="str">
        <f>IF(AND(AND(AND(OR($EC917=1,$EB917=1),OR($EH917=1,$EF917=1)),SUM($EA917:$EE917,$EK917)&gt;=3),SUM($EF917:$EJ917)&gt;=2),"Whole sector approach","")</f>
        <v/>
      </c>
      <c r="EQ917" t="str">
        <f>IF(AND(AND(OR($EC917=1,$EB917=1),AND($EH917=0,$EF917=0)),SUM($EA917:$EE917,$EK917)&gt;=4),"Ecosystem approach","")</f>
        <v>Ecosystem approach</v>
      </c>
      <c r="ER917" s="2" t="str">
        <f>IF(AND(AND(AND($EC917=0,$EB917=0),OR($EH917=1,$EF917=1)),SUM($EG917:$EJ917)&gt;=2),"Technology approach","")</f>
        <v/>
      </c>
      <c r="ES917" t="str">
        <f>IF(AND($EC917+$EB917+$EE917+$EA917+$ED917+$EG917=0,$N917="included"),"C neutral forest and HWP assumption","")</f>
        <v/>
      </c>
      <c r="ET917" t="str">
        <f>IF(AND(AND(AND(AND($EC917=1,$EB917+$EA917+$EG917&gt;=1),$EF917=1),$EH917+$EI917+$ED917+$EE917&gt;=2),$N917="included"),"All C pools assumption","")</f>
        <v/>
      </c>
      <c r="EU917" t="str">
        <f>IF(AND($ED917+$EE917+$EI917+$EH917+$EF917=0,$N917="included"),"In-situ only assumption","")</f>
        <v/>
      </c>
      <c r="EY917" t="str">
        <f>IF(ISNUMBER(BW917),IF(ABS(BW917-[2]QC_indicators!$B$2)&gt;3*[2]QC_indicators!$C$2,"C ratio",IF(ISNUMBER(CA917),IF(ABS(CA917-[2]QC_indicators!$B$1)&gt;3*[2]QC_indicators!$C$1,"DF","no"))),IF(ISNUMBER(CA917),IF(ABS(CA917-[2]QC_indicators!$B$1)&gt;3*[2]QC_indicators!$C$1,"DF","no")))</f>
        <v>no</v>
      </c>
      <c r="FA917" t="str">
        <f>IF(LEN($CY917)=0,"",IF(AND($CY917&lt;(-0.05),$ES917="C neutral forest and HWP assumption"),"Cneutral paradox",IF(AND($CY917&gt;0.05,$EU917="In-situ only assumption"),"In-situ only paradox","")))</f>
        <v/>
      </c>
      <c r="FD917" s="260" t="s">
        <v>2898</v>
      </c>
    </row>
    <row r="918" spans="1:160" ht="15" customHeight="1">
      <c r="A918" s="1" t="s">
        <v>1295</v>
      </c>
      <c r="B918" t="s">
        <v>1922</v>
      </c>
      <c r="C918" t="s">
        <v>1923</v>
      </c>
      <c r="D918" t="s">
        <v>1924</v>
      </c>
      <c r="E918" t="s">
        <v>1925</v>
      </c>
      <c r="F918" t="s">
        <v>1926</v>
      </c>
      <c r="G918" t="s">
        <v>1301</v>
      </c>
      <c r="H918" t="s">
        <v>254</v>
      </c>
      <c r="I918">
        <v>2014</v>
      </c>
      <c r="J918">
        <v>45</v>
      </c>
      <c r="K918" t="s">
        <v>1927</v>
      </c>
      <c r="M918" t="str">
        <f>LEFT($D918,FIND(",",$D918)-1)&amp;"_"&amp;I918&amp;L918</f>
        <v>Pukkala_2014</v>
      </c>
      <c r="N918" t="s">
        <v>222</v>
      </c>
      <c r="O918" s="171" t="s">
        <v>225</v>
      </c>
      <c r="P918" t="s">
        <v>1029</v>
      </c>
      <c r="R918" s="258" t="s">
        <v>223</v>
      </c>
      <c r="S918" s="1" t="s">
        <v>1938</v>
      </c>
      <c r="T918" t="s">
        <v>1939</v>
      </c>
      <c r="U918" t="s">
        <v>1930</v>
      </c>
      <c r="V918" s="253">
        <v>0</v>
      </c>
      <c r="W918" s="253">
        <v>0</v>
      </c>
      <c r="X918">
        <v>0</v>
      </c>
      <c r="Y918">
        <v>0</v>
      </c>
      <c r="Z918">
        <v>0</v>
      </c>
      <c r="AA918">
        <v>1</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s="141">
        <f>COUNTIF(X918:AY918,"&lt;&gt;0")</f>
        <v>1</v>
      </c>
      <c r="BA918" s="141">
        <f>COUNTIF(X918:AN918,"&lt;&gt;0")</f>
        <v>1</v>
      </c>
      <c r="BB918">
        <f>COUNTIF(X918:AE918,"&lt;&gt;0")</f>
        <v>1</v>
      </c>
      <c r="BC918">
        <f>COUNTIF(AF918:AK918,"&lt;&gt;0")</f>
        <v>0</v>
      </c>
      <c r="BD918">
        <f>COUNTIF(AL918:AN918,"&lt;&gt;0")</f>
        <v>0</v>
      </c>
      <c r="BE918">
        <f>COUNTIF(AU918:AY918,"&lt;&gt;0")</f>
        <v>0</v>
      </c>
      <c r="BF918">
        <f>COUNTIF(AO918:AT918,"&lt;&gt;0")</f>
        <v>0</v>
      </c>
      <c r="BG918" t="str">
        <f t="array" ref="BG918">IF(BA918=1,INDEX($X$7:$AN$7,MATCH(TRUE,INDEX($X918:$AY918&lt;&gt;0,),0)),IF(BA918=0,INDEX($AO$7:$AY$7,MATCH(1,$AO918:$AY918,0)),IF(BH918="Multiple strategies","mixed drivers",IF(BH918="Supply chain","multiple supply","multiple silviculture"))))</f>
        <v xml:space="preserve">cutting intensity </v>
      </c>
      <c r="BH918" s="2" t="str" cm="1">
        <f t="array" ref="BH918">IF(COUNTIF(BB918:BD918,"&lt;&gt;0")=1,INDEX($X$4:$AY$4,MATCH(TRUE,INDEX($X918:$AY918&lt;&gt;0,),0)),IF(COUNTIF(BB918:BD918,"&lt;&gt;0")=0,INDEX($AO$4:$AY$4,MATCH(1,$AO918:$AY918,0)),"Multiple strategies"))</f>
        <v>Silviculture for removals</v>
      </c>
      <c r="BI918" s="1" t="s">
        <v>229</v>
      </c>
      <c r="BJ918" t="s">
        <v>1931</v>
      </c>
      <c r="BK918" t="s">
        <v>1932</v>
      </c>
      <c r="BL918" t="s">
        <v>1933</v>
      </c>
      <c r="BM918">
        <v>1.002</v>
      </c>
      <c r="BN918">
        <v>1.0920000000000001</v>
      </c>
      <c r="BO918">
        <f>IFERROR(BN918/BM918,"")</f>
        <v>1.0898203592814373</v>
      </c>
      <c r="BP918">
        <f>BN918-BM918</f>
        <v>9.000000000000008E-2</v>
      </c>
      <c r="BQ918">
        <f>+BP918*tC_to_m3</f>
        <v>0.39079461571862822</v>
      </c>
      <c r="BR918" t="s">
        <v>232</v>
      </c>
      <c r="BS918" t="s">
        <v>1934</v>
      </c>
      <c r="BT918" t="s">
        <v>1933</v>
      </c>
      <c r="BU918">
        <f>0.078-0.163</f>
        <v>-8.5000000000000006E-2</v>
      </c>
      <c r="BV918">
        <f>0.053-0.243</f>
        <v>-0.19</v>
      </c>
      <c r="BW918" s="144">
        <f>BV918/BU918</f>
        <v>2.2352941176470589</v>
      </c>
      <c r="BX918">
        <f>BV918-BU918</f>
        <v>-0.105</v>
      </c>
      <c r="BZ918" s="184">
        <f>BX918*C_to_CO2</f>
        <v>-0.38534999999999997</v>
      </c>
      <c r="CA918">
        <f>IFERROR(BZ918/BQ918,"")</f>
        <v>-0.98606783333333237</v>
      </c>
      <c r="CB918">
        <v>0</v>
      </c>
      <c r="CC918">
        <v>0</v>
      </c>
      <c r="CD918">
        <v>0</v>
      </c>
      <c r="CE918">
        <v>0</v>
      </c>
      <c r="CF918">
        <v>0</v>
      </c>
      <c r="CG918">
        <v>0</v>
      </c>
      <c r="CH918">
        <v>0</v>
      </c>
      <c r="CI918">
        <v>0</v>
      </c>
      <c r="CJ918">
        <v>0</v>
      </c>
      <c r="CK918">
        <v>0</v>
      </c>
      <c r="CL918">
        <v>0</v>
      </c>
      <c r="CM918">
        <v>0</v>
      </c>
      <c r="CN918">
        <v>0</v>
      </c>
      <c r="CO918">
        <v>1</v>
      </c>
      <c r="CP918" t="str">
        <f>IF($BN918&lt;$BM918,"refNeedCorrection","refOK")</f>
        <v>refOK</v>
      </c>
      <c r="CQ918">
        <f>IF($CP918="refOK",$BM918,$BN918)</f>
        <v>1.002</v>
      </c>
      <c r="CR918">
        <f>IF($CP918="refOK",$BN918,$BM918)</f>
        <v>1.0920000000000001</v>
      </c>
      <c r="CS918">
        <f>IF($CP918="refOK",$BQ918,-$BQ918)</f>
        <v>0.39079461571862822</v>
      </c>
      <c r="CT918">
        <f>IF(BI918="Roundwood",$CS918/2,$CS918)</f>
        <v>0.39079461571862822</v>
      </c>
      <c r="CU918">
        <f>IF($CP918="refOK",$BU918,$BV918)*IF($BR918="Emissions positive",-1,1)</f>
        <v>-8.5000000000000006E-2</v>
      </c>
      <c r="CV918">
        <f>IF($CP918="refOK",$BV918,$BU918)*IF($BR918="Emissions positive",-1,1)</f>
        <v>-0.19</v>
      </c>
      <c r="CW918">
        <f>IF($CP918="refNeedCorrection",-BZ918,BZ918)*IF($BR918="Emissions positive",-1,1)</f>
        <v>-0.38534999999999997</v>
      </c>
      <c r="CX918">
        <f>IFERROR($CW918/$CS918,"")</f>
        <v>-0.98606783333333237</v>
      </c>
      <c r="CY918">
        <f>IFERROR($CW918/$CS918,"")</f>
        <v>-0.98606783333333237</v>
      </c>
      <c r="CZ918">
        <f>IFERROR($CW918/$CT918,"")</f>
        <v>-0.98606783333333237</v>
      </c>
      <c r="DA918" s="2">
        <f>IFERROR((CV918-CU918)/ABS(CU918),"")</f>
        <v>-1.2352941176470587</v>
      </c>
      <c r="DB918" s="1" t="s">
        <v>1843</v>
      </c>
      <c r="DC918" t="str">
        <f>IF(OR($DB918="prd",$DB918="std",$DB918="cit"),"loc",IF(OR($DB918="eur",$DB918="reg",$DB918="coy"),"reg",$DB918))</f>
        <v>reg</v>
      </c>
      <c r="DD918" t="s">
        <v>235</v>
      </c>
      <c r="DG918">
        <v>30</v>
      </c>
      <c r="DH918" t="str">
        <f>IF(DG918=0,"0",IF(AND(DG918&gt;=1,DG918&lt;=30),"1-30",IF(AND(DG918&gt;30,DG918&lt;=70),"31-70",IF(AND(DG918&gt;70,DG918&lt;=100),"71-100",IF(DG918&gt;100,"+100")))))</f>
        <v>1-30</v>
      </c>
      <c r="DI918">
        <v>1</v>
      </c>
      <c r="DJ918">
        <v>0</v>
      </c>
      <c r="DK918">
        <v>0</v>
      </c>
      <c r="DL918">
        <v>0</v>
      </c>
      <c r="DM918">
        <v>0</v>
      </c>
      <c r="DN918">
        <f>SUM(DI918:DL918)</f>
        <v>1</v>
      </c>
      <c r="DO918" t="str">
        <f>IF(DN918=1,INDEX($DI$7:$DL$7,MATCH(1,$DI918:$DL918,0)),"mixedProduct")</f>
        <v>UpstreamInput</v>
      </c>
      <c r="DP918" t="str">
        <f>IF(DI918=1,DP$7,0)</f>
        <v>Upstream</v>
      </c>
      <c r="DQ918">
        <f>IF(DJ918=1,DQ$7,0)</f>
        <v>0</v>
      </c>
      <c r="DR918">
        <f>IF(DK918=1,DR$7,0)</f>
        <v>0</v>
      </c>
      <c r="DS918">
        <f>IF(DL918=1,DS$7,0)</f>
        <v>0</v>
      </c>
      <c r="DT918">
        <v>0</v>
      </c>
      <c r="DU918" s="184">
        <v>0</v>
      </c>
      <c r="DV918" s="189"/>
      <c r="DW918" s="189"/>
      <c r="DX918" s="183">
        <v>0</v>
      </c>
      <c r="DY918"/>
      <c r="DZ918" s="143" t="str">
        <f>IF(DT918=1,"self-calculated DF",IF(DU918=1,"external DF used","explicit C balance"))</f>
        <v>explicit C balance</v>
      </c>
      <c r="EA918">
        <v>1</v>
      </c>
      <c r="EB918">
        <v>1</v>
      </c>
      <c r="EC918">
        <v>1</v>
      </c>
      <c r="ED918">
        <v>0</v>
      </c>
      <c r="EE918">
        <v>0</v>
      </c>
      <c r="EF918">
        <v>0</v>
      </c>
      <c r="EG918">
        <v>0</v>
      </c>
      <c r="EH918">
        <v>0</v>
      </c>
      <c r="EI918">
        <v>0</v>
      </c>
      <c r="EJ918">
        <v>0</v>
      </c>
      <c r="EK918">
        <v>1</v>
      </c>
      <c r="EL918">
        <v>0</v>
      </c>
      <c r="EM918">
        <v>0</v>
      </c>
      <c r="EN918" s="2">
        <v>0</v>
      </c>
      <c r="EP918" t="str">
        <f>IF(AND(AND(AND(OR($EC918=1,$EB918=1),OR($EH918=1,$EF918=1)),SUM($EA918:$EE918,$EK918)&gt;=3),SUM($EF918:$EJ918)&gt;=2),"Whole sector approach","")</f>
        <v/>
      </c>
      <c r="EQ918" t="str">
        <f>IF(AND(AND(OR($EC918=1,$EB918=1),AND($EH918=0,$EF918=0)),SUM($EA918:$EE918,$EK918)&gt;=4),"Ecosystem approach","")</f>
        <v>Ecosystem approach</v>
      </c>
      <c r="ER918" s="2" t="str">
        <f>IF(AND(AND(AND($EC918=0,$EB918=0),OR($EH918=1,$EF918=1)),SUM($EG918:$EJ918)&gt;=2),"Technology approach","")</f>
        <v/>
      </c>
      <c r="ES918" t="str">
        <f>IF(AND($EC918+$EB918+$EE918+$EA918+$ED918+$EG918=0,$N918="included"),"C neutral forest and HWP assumption","")</f>
        <v/>
      </c>
      <c r="ET918" t="str">
        <f>IF(AND(AND(AND(AND($EC918=1,$EB918+$EA918+$EG918&gt;=1),$EF918=1),$EH918+$EI918+$ED918+$EE918&gt;=2),$N918="included"),"All C pools assumption","")</f>
        <v/>
      </c>
      <c r="EU918" t="str">
        <f>IF(AND($ED918+$EE918+$EI918+$EH918+$EF918=0,$N918="included"),"In-situ only assumption","")</f>
        <v>In-situ only assumption</v>
      </c>
      <c r="EY918" t="str">
        <f>IF(ISNUMBER(BW918),IF(ABS(BW918-[2]QC_indicators!$B$2)&gt;3*[2]QC_indicators!$C$2,"C ratio",IF(ISNUMBER(CA918),IF(ABS(CA918-[2]QC_indicators!$B$1)&gt;3*[2]QC_indicators!$C$1,"DF","no"))),IF(ISNUMBER(CA918),IF(ABS(CA918-[2]QC_indicators!$B$1)&gt;3*[2]QC_indicators!$C$1,"DF","no")))</f>
        <v>no</v>
      </c>
      <c r="FA918" t="str">
        <f>IF(LEN($CY918)=0,"",IF(AND($CY918&lt;(-0.05),$ES918="C neutral forest and HWP assumption"),"Cneutral paradox",IF(AND($CY918&gt;0.05,$EU918="In-situ only assumption"),"In-situ only paradox","")))</f>
        <v/>
      </c>
      <c r="FD918" s="260" t="s">
        <v>2898</v>
      </c>
    </row>
    <row r="919" spans="1:160" ht="15" customHeight="1">
      <c r="A919" s="185" t="s">
        <v>1295</v>
      </c>
      <c r="B919" s="184" t="s">
        <v>1922</v>
      </c>
      <c r="C919" s="184" t="s">
        <v>1923</v>
      </c>
      <c r="D919" s="184" t="s">
        <v>1924</v>
      </c>
      <c r="E919" s="184" t="s">
        <v>1925</v>
      </c>
      <c r="F919" s="184" t="s">
        <v>1926</v>
      </c>
      <c r="G919" s="184" t="s">
        <v>1301</v>
      </c>
      <c r="H919" s="184" t="s">
        <v>254</v>
      </c>
      <c r="I919" s="184">
        <v>2014</v>
      </c>
      <c r="J919" s="184">
        <v>45</v>
      </c>
      <c r="K919" s="184" t="s">
        <v>1927</v>
      </c>
      <c r="L919" s="184"/>
      <c r="M919" t="str">
        <f>LEFT($D919,FIND(",",$D919)-1)&amp;"_"&amp;I919&amp;L919</f>
        <v>Pukkala_2014</v>
      </c>
      <c r="N919" t="s">
        <v>222</v>
      </c>
      <c r="O919" s="186" t="s">
        <v>225</v>
      </c>
      <c r="P919" s="184" t="s">
        <v>1029</v>
      </c>
      <c r="Q919" s="184"/>
      <c r="R919" s="258" t="s">
        <v>223</v>
      </c>
      <c r="S919" s="185" t="s">
        <v>1936</v>
      </c>
      <c r="T919" s="184" t="s">
        <v>1929</v>
      </c>
      <c r="U919" s="184" t="s">
        <v>1940</v>
      </c>
      <c r="V919" s="253">
        <v>0</v>
      </c>
      <c r="W919" s="253">
        <v>0</v>
      </c>
      <c r="X919" s="184">
        <v>0</v>
      </c>
      <c r="Y919" s="184">
        <v>0</v>
      </c>
      <c r="Z919" s="184">
        <v>0</v>
      </c>
      <c r="AA919" s="184">
        <v>1</v>
      </c>
      <c r="AB919" s="184">
        <v>0</v>
      </c>
      <c r="AC919" s="184">
        <v>0</v>
      </c>
      <c r="AD919" s="184">
        <v>0</v>
      </c>
      <c r="AE919" s="184">
        <v>0</v>
      </c>
      <c r="AF919" s="184">
        <v>0</v>
      </c>
      <c r="AG919" s="184">
        <v>0</v>
      </c>
      <c r="AH919" s="184">
        <v>0</v>
      </c>
      <c r="AI919" s="184">
        <v>0</v>
      </c>
      <c r="AJ919" s="184">
        <v>0</v>
      </c>
      <c r="AK919" s="184">
        <v>0</v>
      </c>
      <c r="AL919" s="184">
        <v>0</v>
      </c>
      <c r="AM919" s="184">
        <v>0</v>
      </c>
      <c r="AN919" s="184">
        <v>0</v>
      </c>
      <c r="AO919" s="184">
        <v>0</v>
      </c>
      <c r="AP919" s="184">
        <v>0</v>
      </c>
      <c r="AQ919" s="184">
        <v>0</v>
      </c>
      <c r="AR919" s="184">
        <v>0</v>
      </c>
      <c r="AS919" s="184">
        <v>0</v>
      </c>
      <c r="AT919" s="184">
        <v>0</v>
      </c>
      <c r="AU919" s="184">
        <v>0</v>
      </c>
      <c r="AV919" s="184">
        <v>0</v>
      </c>
      <c r="AW919" s="184">
        <v>0</v>
      </c>
      <c r="AX919" s="184">
        <v>0</v>
      </c>
      <c r="AY919" s="184">
        <v>0</v>
      </c>
      <c r="AZ919" s="141">
        <f>COUNTIF(X919:AY919,"&lt;&gt;0")</f>
        <v>1</v>
      </c>
      <c r="BA919" s="141">
        <f>COUNTIF(X919:AN919,"&lt;&gt;0")</f>
        <v>1</v>
      </c>
      <c r="BB919">
        <f>COUNTIF(X919:AE919,"&lt;&gt;0")</f>
        <v>1</v>
      </c>
      <c r="BC919">
        <f>COUNTIF(AF919:AK919,"&lt;&gt;0")</f>
        <v>0</v>
      </c>
      <c r="BD919">
        <f>COUNTIF(AL919:AN919,"&lt;&gt;0")</f>
        <v>0</v>
      </c>
      <c r="BE919">
        <f>COUNTIF(AU919:AY919,"&lt;&gt;0")</f>
        <v>0</v>
      </c>
      <c r="BF919">
        <f>COUNTIF(AO919:AT919,"&lt;&gt;0")</f>
        <v>0</v>
      </c>
      <c r="BG919" t="str">
        <f t="array" ref="BG919">IF(BA919=1,INDEX($X$7:$AN$7,MATCH(TRUE,INDEX($X919:$AY919&lt;&gt;0,),0)),IF(BA919=0,INDEX($AO$7:$AY$7,MATCH(1,$AO919:$AY919,0)),IF(BH919="Multiple strategies","mixed drivers",IF(BH919="Supply chain","multiple supply","multiple silviculture"))))</f>
        <v xml:space="preserve">cutting intensity </v>
      </c>
      <c r="BH919" s="2" t="str" cm="1">
        <f t="array" ref="BH919">IF(COUNTIF(BB919:BD919,"&lt;&gt;0")=1,INDEX($X$4:$AY$4,MATCH(TRUE,INDEX($X919:$AY919&lt;&gt;0,),0)),IF(COUNTIF(BB919:BD919,"&lt;&gt;0")=0,INDEX($AO$4:$AY$4,MATCH(1,$AO919:$AY919,0)),"Multiple strategies"))</f>
        <v>Silviculture for removals</v>
      </c>
      <c r="BI919" s="185" t="s">
        <v>229</v>
      </c>
      <c r="BJ919" s="184" t="s">
        <v>1931</v>
      </c>
      <c r="BK919" s="184" t="s">
        <v>1932</v>
      </c>
      <c r="BL919" s="184" t="s">
        <v>1933</v>
      </c>
      <c r="BM919" s="184">
        <v>1.004</v>
      </c>
      <c r="BN919" s="184">
        <v>1.0269999999999999</v>
      </c>
      <c r="BO919" s="184">
        <f>IFERROR(BN919/BM919,"")</f>
        <v>1.0229083665338645</v>
      </c>
      <c r="BP919" s="184">
        <f>BN919-BM919</f>
        <v>2.2999999999999909E-2</v>
      </c>
      <c r="BQ919" s="184">
        <f>+BP919*tC_to_m3</f>
        <v>9.9869735128093398E-2</v>
      </c>
      <c r="BR919" s="184" t="s">
        <v>232</v>
      </c>
      <c r="BS919" s="184" t="s">
        <v>1934</v>
      </c>
      <c r="BT919" s="184" t="s">
        <v>1933</v>
      </c>
      <c r="BU919" s="184">
        <f>0.194-0.202</f>
        <v>-8.0000000000000071E-3</v>
      </c>
      <c r="BV919" s="184">
        <f>0.224-0.221</f>
        <v>3.0000000000000027E-3</v>
      </c>
      <c r="BW919" s="188">
        <f>BV919/BU919</f>
        <v>-0.375</v>
      </c>
      <c r="BX919" s="184">
        <f>BV919-BU919</f>
        <v>1.100000000000001E-2</v>
      </c>
      <c r="BY919" s="184"/>
      <c r="BZ919" s="184">
        <f>BX919*C_to_CO2</f>
        <v>4.0370000000000038E-2</v>
      </c>
      <c r="CA919">
        <f>IFERROR(BZ919/BQ919,"")</f>
        <v>0.40422656521739325</v>
      </c>
      <c r="CB919" s="184">
        <v>0</v>
      </c>
      <c r="CC919" s="184">
        <v>0</v>
      </c>
      <c r="CD919" s="184">
        <v>0</v>
      </c>
      <c r="CE919" s="184">
        <v>0</v>
      </c>
      <c r="CF919" s="184">
        <v>0</v>
      </c>
      <c r="CG919" s="184">
        <v>0</v>
      </c>
      <c r="CH919" s="184">
        <v>0</v>
      </c>
      <c r="CI919" s="184">
        <v>0</v>
      </c>
      <c r="CJ919" s="184">
        <v>0</v>
      </c>
      <c r="CK919" s="184">
        <v>0</v>
      </c>
      <c r="CL919" s="184">
        <v>0</v>
      </c>
      <c r="CM919" s="184">
        <v>0</v>
      </c>
      <c r="CN919" s="184">
        <v>0</v>
      </c>
      <c r="CO919" s="184">
        <v>1</v>
      </c>
      <c r="CP919" s="184" t="str">
        <f>IF($BN919&lt;$BM919,"refNeedCorrection","refOK")</f>
        <v>refOK</v>
      </c>
      <c r="CQ919" s="184">
        <f>IF($CP919="refOK",$BM919,$BN919)</f>
        <v>1.004</v>
      </c>
      <c r="CR919" s="184">
        <f>IF($CP919="refOK",$BN919,$BM919)</f>
        <v>1.0269999999999999</v>
      </c>
      <c r="CS919" s="184">
        <f>IF($CP919="refOK",$BQ919,-$BQ919)</f>
        <v>9.9869735128093398E-2</v>
      </c>
      <c r="CT919">
        <f>IF(BI919="Roundwood",$CS919/2,$CS919)</f>
        <v>9.9869735128093398E-2</v>
      </c>
      <c r="CU919" s="184">
        <f>IF($CP919="refOK",$BU919,$BV919)*IF($BR919="Emissions positive",-1,1)</f>
        <v>-8.0000000000000071E-3</v>
      </c>
      <c r="CV919" s="184">
        <f>IF($CP919="refOK",$BV919,$BU919)*IF($BR919="Emissions positive",-1,1)</f>
        <v>3.0000000000000027E-3</v>
      </c>
      <c r="CW919" s="184">
        <f>IF($CP919="refNeedCorrection",-BZ919,BZ919)*IF($BR919="Emissions positive",-1,1)</f>
        <v>4.0370000000000038E-2</v>
      </c>
      <c r="CX919">
        <f>IFERROR($CW919/$CS919,"")</f>
        <v>0.40422656521739325</v>
      </c>
      <c r="CY919">
        <f>IFERROR($CW919/$CS919,"")</f>
        <v>0.40422656521739325</v>
      </c>
      <c r="CZ919">
        <f>IFERROR($CW919/$CT919,"")</f>
        <v>0.40422656521739325</v>
      </c>
      <c r="DA919" s="187">
        <f>IFERROR((CV919-CU919)/ABS(CU919),"")</f>
        <v>1.375</v>
      </c>
      <c r="DB919" s="185" t="s">
        <v>1843</v>
      </c>
      <c r="DC919" t="str">
        <f>IF(OR($DB919="prd",$DB919="std",$DB919="cit"),"loc",IF(OR($DB919="eur",$DB919="reg",$DB919="coy"),"reg",$DB919))</f>
        <v>reg</v>
      </c>
      <c r="DD919" s="184" t="s">
        <v>235</v>
      </c>
      <c r="DE919" s="184"/>
      <c r="DF919" s="184"/>
      <c r="DG919" s="184">
        <v>30</v>
      </c>
      <c r="DH919" t="str">
        <f>IF(DG919=0,"0",IF(AND(DG919&gt;=1,DG919&lt;=30),"1-30",IF(AND(DG919&gt;30,DG919&lt;=70),"31-70",IF(AND(DG919&gt;70,DG919&lt;=100),"71-100",IF(DG919&gt;100,"+100")))))</f>
        <v>1-30</v>
      </c>
      <c r="DI919" s="184">
        <v>1</v>
      </c>
      <c r="DJ919" s="184">
        <v>0</v>
      </c>
      <c r="DK919" s="184">
        <v>0</v>
      </c>
      <c r="DL919" s="184">
        <v>0</v>
      </c>
      <c r="DM919" s="184">
        <v>0</v>
      </c>
      <c r="DN919">
        <f>SUM(DI919:DL919)</f>
        <v>1</v>
      </c>
      <c r="DO919" t="str">
        <f>IF(DN919=1,INDEX($DI$7:$DL$7,MATCH(1,$DI919:$DL919,0)),"mixedProduct")</f>
        <v>UpstreamInput</v>
      </c>
      <c r="DP919" t="str">
        <f>IF(DI919=1,DP$7,0)</f>
        <v>Upstream</v>
      </c>
      <c r="DQ919">
        <f>IF(DJ919=1,DQ$7,0)</f>
        <v>0</v>
      </c>
      <c r="DR919">
        <f>IF(DK919=1,DR$7,0)</f>
        <v>0</v>
      </c>
      <c r="DS919">
        <f>IF(DL919=1,DS$7,0)</f>
        <v>0</v>
      </c>
      <c r="DT919" s="184">
        <v>0</v>
      </c>
      <c r="DU919" s="184">
        <v>0</v>
      </c>
      <c r="DV919" s="189"/>
      <c r="DW919" s="189"/>
      <c r="DX919" s="189">
        <v>0</v>
      </c>
      <c r="DY919" s="184"/>
      <c r="DZ919" s="190" t="str">
        <f>IF(DT919=1,"self-calculated DF",IF(DU919=1,"external DF used","explicit C balance"))</f>
        <v>explicit C balance</v>
      </c>
      <c r="EA919" s="184">
        <v>1</v>
      </c>
      <c r="EB919" s="184">
        <v>1</v>
      </c>
      <c r="EC919" s="184">
        <v>1</v>
      </c>
      <c r="ED919" s="184">
        <v>0</v>
      </c>
      <c r="EE919" s="184">
        <v>0</v>
      </c>
      <c r="EF919" s="184">
        <v>0</v>
      </c>
      <c r="EG919" s="184">
        <v>0</v>
      </c>
      <c r="EH919" s="184">
        <v>0</v>
      </c>
      <c r="EI919" s="184">
        <v>0</v>
      </c>
      <c r="EJ919" s="184">
        <v>0</v>
      </c>
      <c r="EK919" s="184">
        <v>1</v>
      </c>
      <c r="EL919" s="184">
        <v>0</v>
      </c>
      <c r="EM919" s="184">
        <v>0</v>
      </c>
      <c r="EN919" s="187">
        <v>0</v>
      </c>
      <c r="EP919" t="str">
        <f>IF(AND(AND(AND(OR($EC919=1,$EB919=1),OR($EH919=1,$EF919=1)),SUM($EA919:$EE919,$EK919)&gt;=3),SUM($EF919:$EJ919)&gt;=2),"Whole sector approach","")</f>
        <v/>
      </c>
      <c r="EQ919" t="str">
        <f>IF(AND(AND(OR($EC919=1,$EB919=1),AND($EH919=0,$EF919=0)),SUM($EA919:$EE919,$EK919)&gt;=4),"Ecosystem approach","")</f>
        <v>Ecosystem approach</v>
      </c>
      <c r="ER919" s="2" t="str">
        <f>IF(AND(AND(AND($EC919=0,$EB919=0),OR($EH919=1,$EF919=1)),SUM($EG919:$EJ919)&gt;=2),"Technology approach","")</f>
        <v/>
      </c>
      <c r="ES919" t="str">
        <f>IF(AND($EC919+$EB919+$EE919+$EA919+$ED919+$EG919=0,$N919="included"),"C neutral forest and HWP assumption","")</f>
        <v/>
      </c>
      <c r="ET919" t="str">
        <f>IF(AND(AND(AND(AND($EC919=1,$EB919+$EA919+$EG919&gt;=1),$EF919=1),$EH919+$EI919+$ED919+$EE919&gt;=2),$N919="included"),"All C pools assumption","")</f>
        <v/>
      </c>
      <c r="EU919" t="str">
        <f>IF(AND($ED919+$EE919+$EI919+$EH919+$EF919=0,$N919="included"),"In-situ only assumption","")</f>
        <v>In-situ only assumption</v>
      </c>
      <c r="EW919" s="184"/>
      <c r="EX919" s="184"/>
      <c r="EY919" t="str">
        <f>IF(ISNUMBER(BW919),IF(ABS(BW919-[2]QC_indicators!$B$2)&gt;3*[2]QC_indicators!$C$2,"C ratio",IF(ISNUMBER(CA919),IF(ABS(CA919-[2]QC_indicators!$B$1)&gt;3*[2]QC_indicators!$C$1,"DF","no"))),IF(ISNUMBER(CA919),IF(ABS(CA919-[2]QC_indicators!$B$1)&gt;3*[2]QC_indicators!$C$1,"DF","no")))</f>
        <v>no</v>
      </c>
      <c r="EZ919" s="184"/>
      <c r="FA919" t="str">
        <f>IF(LEN($CY919)=0,"",IF(AND($CY919&lt;(-0.05),$ES919="C neutral forest and HWP assumption"),"Cneutral paradox",IF(AND($CY919&gt;0.05,$EU919="In-situ only assumption"),"In-situ only paradox","")))</f>
        <v>In-situ only paradox</v>
      </c>
      <c r="FB919" s="184"/>
      <c r="FC919" s="184"/>
      <c r="FD919" s="260" t="s">
        <v>2898</v>
      </c>
    </row>
    <row r="920" spans="1:160" ht="15" hidden="1" customHeight="1">
      <c r="A920" s="185" t="s">
        <v>1295</v>
      </c>
      <c r="B920" s="184" t="s">
        <v>1922</v>
      </c>
      <c r="C920" s="184" t="s">
        <v>1923</v>
      </c>
      <c r="D920" s="184" t="s">
        <v>1924</v>
      </c>
      <c r="E920" s="184" t="s">
        <v>1925</v>
      </c>
      <c r="F920" s="184" t="s">
        <v>1926</v>
      </c>
      <c r="G920" s="184" t="s">
        <v>1301</v>
      </c>
      <c r="H920" s="184" t="s">
        <v>254</v>
      </c>
      <c r="I920" s="184">
        <v>2014</v>
      </c>
      <c r="J920" s="184">
        <v>45</v>
      </c>
      <c r="K920" s="184" t="s">
        <v>1927</v>
      </c>
      <c r="L920" s="184"/>
      <c r="M920" t="str">
        <f>LEFT($D920,FIND(",",$D920)-1)&amp;"_"&amp;I920&amp;L920</f>
        <v>Pukkala_2014</v>
      </c>
      <c r="N920" t="s">
        <v>222</v>
      </c>
      <c r="O920" s="186" t="s">
        <v>225</v>
      </c>
      <c r="P920" s="184" t="s">
        <v>1029</v>
      </c>
      <c r="Q920" s="184"/>
      <c r="R920" s="258" t="s">
        <v>223</v>
      </c>
      <c r="S920" s="185" t="s">
        <v>1936</v>
      </c>
      <c r="T920" s="184" t="s">
        <v>1929</v>
      </c>
      <c r="U920" s="184" t="s">
        <v>1940</v>
      </c>
      <c r="V920" s="253">
        <v>0</v>
      </c>
      <c r="W920" s="253">
        <v>0</v>
      </c>
      <c r="X920" s="184">
        <v>0</v>
      </c>
      <c r="Y920" s="184">
        <v>0</v>
      </c>
      <c r="Z920" s="184">
        <v>0</v>
      </c>
      <c r="AA920" s="184">
        <v>1</v>
      </c>
      <c r="AB920" s="184">
        <v>0</v>
      </c>
      <c r="AC920" s="184">
        <v>0</v>
      </c>
      <c r="AD920" s="184">
        <v>0</v>
      </c>
      <c r="AE920" s="184">
        <v>0</v>
      </c>
      <c r="AF920" s="184">
        <v>0</v>
      </c>
      <c r="AG920" s="184">
        <v>0</v>
      </c>
      <c r="AH920" s="184">
        <v>0</v>
      </c>
      <c r="AI920" s="184">
        <v>0</v>
      </c>
      <c r="AJ920" s="184">
        <v>0</v>
      </c>
      <c r="AK920" s="184">
        <v>0</v>
      </c>
      <c r="AL920" s="184">
        <v>0</v>
      </c>
      <c r="AM920" s="184">
        <v>0</v>
      </c>
      <c r="AN920" s="184">
        <v>0</v>
      </c>
      <c r="AO920" s="184">
        <v>0</v>
      </c>
      <c r="AP920" s="184">
        <v>0</v>
      </c>
      <c r="AQ920" s="184">
        <v>0</v>
      </c>
      <c r="AR920" s="184">
        <v>0</v>
      </c>
      <c r="AS920" s="184">
        <v>0</v>
      </c>
      <c r="AT920" s="184">
        <v>0</v>
      </c>
      <c r="AU920" s="184">
        <v>0</v>
      </c>
      <c r="AV920" s="184">
        <v>0</v>
      </c>
      <c r="AW920" s="184">
        <v>0</v>
      </c>
      <c r="AX920" s="184">
        <v>0</v>
      </c>
      <c r="AY920" s="184">
        <v>0</v>
      </c>
      <c r="AZ920" s="141">
        <f>COUNTIF(X920:AY920,"&lt;&gt;0")</f>
        <v>1</v>
      </c>
      <c r="BA920" s="141">
        <f>COUNTIF(X920:AN920,"&lt;&gt;0")</f>
        <v>1</v>
      </c>
      <c r="BB920">
        <f>COUNTIF(X920:AE920,"&lt;&gt;0")</f>
        <v>1</v>
      </c>
      <c r="BC920">
        <f>COUNTIF(AF920:AK920,"&lt;&gt;0")</f>
        <v>0</v>
      </c>
      <c r="BD920">
        <f>COUNTIF(AL920:AN920,"&lt;&gt;0")</f>
        <v>0</v>
      </c>
      <c r="BE920">
        <f>COUNTIF(AU920:AY920,"&lt;&gt;0")</f>
        <v>0</v>
      </c>
      <c r="BF920">
        <f>COUNTIF(AO920:AT920,"&lt;&gt;0")</f>
        <v>0</v>
      </c>
      <c r="BG920" t="str">
        <f t="array" ref="BG920">IF(BA920=1,INDEX($X$7:$AN$7,MATCH(TRUE,INDEX($X920:$AY920&lt;&gt;0,),0)),IF(BA920=0,INDEX($AO$7:$AY$7,MATCH(1,$AO920:$AY920,0)),IF(BH920="Multiple strategies","mixed drivers",IF(BH920="Supply chain","multiple supply","multiple silviculture"))))</f>
        <v xml:space="preserve">cutting intensity </v>
      </c>
      <c r="BH920" s="2" t="str" cm="1">
        <f t="array" ref="BH920">IF(COUNTIF(BB920:BD920,"&lt;&gt;0")=1,INDEX($X$4:$AY$4,MATCH(TRUE,INDEX($X920:$AY920&lt;&gt;0,),0)),IF(COUNTIF(BB920:BD920,"&lt;&gt;0")=0,INDEX($AO$4:$AY$4,MATCH(1,$AO920:$AY920,0)),"Multiple strategies"))</f>
        <v>Silviculture for removals</v>
      </c>
      <c r="BI920" s="185" t="s">
        <v>229</v>
      </c>
      <c r="BJ920" s="184" t="s">
        <v>1931</v>
      </c>
      <c r="BK920" s="184" t="s">
        <v>1932</v>
      </c>
      <c r="BL920" s="184" t="s">
        <v>1933</v>
      </c>
      <c r="BM920" s="184">
        <v>1.004</v>
      </c>
      <c r="BN920" s="184">
        <v>1.0269999999999999</v>
      </c>
      <c r="BO920" s="184">
        <f>IFERROR(BN920/BM920,"")</f>
        <v>1.0229083665338645</v>
      </c>
      <c r="BP920" s="184">
        <f>BN920-BM920</f>
        <v>2.2999999999999909E-2</v>
      </c>
      <c r="BQ920" s="184">
        <f>+BP920*tC_to_m3</f>
        <v>9.9869735128093398E-2</v>
      </c>
      <c r="BR920" s="184" t="s">
        <v>232</v>
      </c>
      <c r="BS920" s="184" t="s">
        <v>1934</v>
      </c>
      <c r="BT920" s="184" t="s">
        <v>1933</v>
      </c>
      <c r="BU920" s="184">
        <v>0.19400000000000001</v>
      </c>
      <c r="BV920" s="184">
        <v>0.224</v>
      </c>
      <c r="BW920" s="188">
        <f>BV920/BU920</f>
        <v>1.1546391752577319</v>
      </c>
      <c r="BX920" s="184">
        <f>BV920-BU920</f>
        <v>0.03</v>
      </c>
      <c r="BY920" s="184"/>
      <c r="BZ920" s="184">
        <f>BX920*C_to_CO2</f>
        <v>0.11009999999999999</v>
      </c>
      <c r="CA920">
        <f>IFERROR(BZ920/BQ920,"")</f>
        <v>1.102436086956526</v>
      </c>
      <c r="CB920" s="184">
        <v>0</v>
      </c>
      <c r="CC920" s="184">
        <v>0</v>
      </c>
      <c r="CD920" s="184">
        <v>0</v>
      </c>
      <c r="CE920" s="184">
        <v>0</v>
      </c>
      <c r="CF920" s="184">
        <v>0</v>
      </c>
      <c r="CG920" s="184">
        <v>0</v>
      </c>
      <c r="CH920" s="184">
        <v>0</v>
      </c>
      <c r="CI920" s="184">
        <v>0</v>
      </c>
      <c r="CJ920" s="184">
        <v>0</v>
      </c>
      <c r="CK920" s="184">
        <v>0</v>
      </c>
      <c r="CL920" s="184">
        <v>0</v>
      </c>
      <c r="CM920" s="184">
        <v>0</v>
      </c>
      <c r="CN920" s="184">
        <v>0</v>
      </c>
      <c r="CO920" s="184">
        <v>1</v>
      </c>
      <c r="CP920" s="184" t="str">
        <f>IF($BN920&lt;$BM920,"refNeedCorrection","refOK")</f>
        <v>refOK</v>
      </c>
      <c r="CQ920" s="184">
        <f>IF($CP920="refOK",$BM920,$BN920)</f>
        <v>1.004</v>
      </c>
      <c r="CR920" s="184">
        <f>IF($CP920="refOK",$BN920,$BM920)</f>
        <v>1.0269999999999999</v>
      </c>
      <c r="CS920" s="184">
        <f>IF($CP920="refOK",$BQ920,-$BQ920)</f>
        <v>9.9869735128093398E-2</v>
      </c>
      <c r="CT920">
        <f>IF(BI920="Roundwood",$CS920/2,$CS920)</f>
        <v>9.9869735128093398E-2</v>
      </c>
      <c r="CU920" s="184">
        <f>IF($CP920="refOK",$BU920,$BV920)*IF($BR920="Emissions positive",-1,1)</f>
        <v>0.19400000000000001</v>
      </c>
      <c r="CV920" s="184">
        <f>IF($CP920="refOK",$BV920,$BU920)*IF($BR920="Emissions positive",-1,1)</f>
        <v>0.224</v>
      </c>
      <c r="CW920" s="184">
        <f>IF($CP920="refNeedCorrection",-BZ920,BZ920)*IF($BR920="Emissions positive",-1,1)</f>
        <v>0.11009999999999999</v>
      </c>
      <c r="CX920">
        <f>IFERROR($CW920/$CS920,"")</f>
        <v>1.102436086956526</v>
      </c>
      <c r="CY920">
        <f>IFERROR($CW920/$CS920,"")</f>
        <v>1.102436086956526</v>
      </c>
      <c r="CZ920">
        <f>IFERROR($CW920/$CT920,"")</f>
        <v>1.102436086956526</v>
      </c>
      <c r="DA920" s="187">
        <f>IFERROR((CV920-CU920)/ABS(CU920),"")</f>
        <v>0.15463917525773194</v>
      </c>
      <c r="DB920" s="185" t="s">
        <v>1843</v>
      </c>
      <c r="DC920" t="str">
        <f>IF(OR($DB920="prd",$DB920="std",$DB920="cit"),"loc",IF(OR($DB920="eur",$DB920="reg",$DB920="coy"),"reg",$DB920))</f>
        <v>reg</v>
      </c>
      <c r="DD920" s="184" t="s">
        <v>235</v>
      </c>
      <c r="DE920" s="184"/>
      <c r="DF920" s="184"/>
      <c r="DG920" s="184">
        <v>30</v>
      </c>
      <c r="DH920" t="str">
        <f>IF(DG920=0,"0",IF(AND(DG920&gt;=1,DG920&lt;=30),"1-30",IF(AND(DG920&gt;30,DG920&lt;=70),"31-70",IF(AND(DG920&gt;70,DG920&lt;=100),"71-100",IF(DG920&gt;100,"+100")))))</f>
        <v>1-30</v>
      </c>
      <c r="DI920" s="184">
        <v>1</v>
      </c>
      <c r="DJ920" s="184">
        <v>0</v>
      </c>
      <c r="DK920" s="184">
        <v>0</v>
      </c>
      <c r="DL920" s="184">
        <v>0</v>
      </c>
      <c r="DM920" s="184">
        <v>0</v>
      </c>
      <c r="DN920">
        <f>SUM(DI920:DL920)</f>
        <v>1</v>
      </c>
      <c r="DO920" t="str">
        <f>IF(DN920=1,INDEX($DI$7:$DL$7,MATCH(1,$DI920:$DL920,0)),"mixedProduct")</f>
        <v>UpstreamInput</v>
      </c>
      <c r="DP920" t="str">
        <f>IF(DI920=1,DP$7,0)</f>
        <v>Upstream</v>
      </c>
      <c r="DQ920">
        <f>IF(DJ920=1,DQ$7,0)</f>
        <v>0</v>
      </c>
      <c r="DR920">
        <f>IF(DK920=1,DR$7,0)</f>
        <v>0</v>
      </c>
      <c r="DS920">
        <f>IF(DL920=1,DS$7,0)</f>
        <v>0</v>
      </c>
      <c r="DT920" s="184">
        <v>0</v>
      </c>
      <c r="DU920" s="184">
        <v>0</v>
      </c>
      <c r="DV920" s="189"/>
      <c r="DW920" s="189"/>
      <c r="DX920" s="189">
        <v>0</v>
      </c>
      <c r="DY920" s="184"/>
      <c r="DZ920" s="190" t="str">
        <f>IF(DT920=1,"self-calculated DF",IF(DU920=1,"external DF used","explicit C balance"))</f>
        <v>explicit C balance</v>
      </c>
      <c r="EA920" s="184">
        <v>1</v>
      </c>
      <c r="EB920" s="184">
        <v>1</v>
      </c>
      <c r="EC920" s="184">
        <v>1</v>
      </c>
      <c r="ED920" s="184">
        <v>1</v>
      </c>
      <c r="EE920" s="184">
        <v>1</v>
      </c>
      <c r="EF920" s="184">
        <v>0</v>
      </c>
      <c r="EG920" s="184">
        <v>0</v>
      </c>
      <c r="EH920" s="184">
        <v>0</v>
      </c>
      <c r="EI920" s="184">
        <v>0</v>
      </c>
      <c r="EJ920" s="184">
        <v>0</v>
      </c>
      <c r="EK920" s="184">
        <v>1</v>
      </c>
      <c r="EL920" s="184">
        <v>0</v>
      </c>
      <c r="EM920" s="184">
        <v>0</v>
      </c>
      <c r="EN920" s="187">
        <v>0</v>
      </c>
      <c r="EP920" t="str">
        <f>IF(AND(AND(AND(OR($EC920=1,$EB920=1),OR($EH920=1,$EF920=1)),SUM($EA920:$EE920,$EK920)&gt;=3),SUM($EF920:$EJ920)&gt;=2),"Whole sector approach","")</f>
        <v/>
      </c>
      <c r="EQ920" t="str">
        <f>IF(AND(AND(OR($EC920=1,$EB920=1),AND($EH920=0,$EF920=0)),SUM($EA920:$EE920,$EK920)&gt;=4),"Ecosystem approach","")</f>
        <v>Ecosystem approach</v>
      </c>
      <c r="ER920" s="2" t="str">
        <f>IF(AND(AND(AND($EC920=0,$EB920=0),OR($EH920=1,$EF920=1)),SUM($EG920:$EJ920)&gt;=2),"Technology approach","")</f>
        <v/>
      </c>
      <c r="ES920" t="str">
        <f>IF(AND($EC920+$EB920+$EE920+$EA920+$ED920+$EG920=0,$N920="included"),"C neutral forest and HWP assumption","")</f>
        <v/>
      </c>
      <c r="ET920" t="str">
        <f>IF(AND(AND(AND(AND($EC920=1,$EB920+$EA920+$EG920&gt;=1),$EF920=1),$EH920+$EI920+$ED920+$EE920&gt;=2),$N920="included"),"All C pools assumption","")</f>
        <v/>
      </c>
      <c r="EU920" t="str">
        <f>IF(AND($ED920+$EE920+$EI920+$EH920+$EF920=0,$N920="included"),"In-situ only assumption","")</f>
        <v/>
      </c>
      <c r="EW920" s="184"/>
      <c r="EX920" s="184"/>
      <c r="EY920" t="str">
        <f>IF(ISNUMBER(BW920),IF(ABS(BW920-[2]QC_indicators!$B$2)&gt;3*[2]QC_indicators!$C$2,"C ratio",IF(ISNUMBER(CA920),IF(ABS(CA920-[2]QC_indicators!$B$1)&gt;3*[2]QC_indicators!$C$1,"DF","no"))),IF(ISNUMBER(CA920),IF(ABS(CA920-[2]QC_indicators!$B$1)&gt;3*[2]QC_indicators!$C$1,"DF","no")))</f>
        <v>no</v>
      </c>
      <c r="EZ920" s="184"/>
      <c r="FA920" t="str">
        <f>IF(LEN($CY920)=0,"",IF(AND($CY920&lt;(-0.05),$ES920="C neutral forest and HWP assumption"),"Cneutral paradox",IF(AND($CY920&gt;0.05,$EU920="In-situ only assumption"),"In-situ only paradox","")))</f>
        <v/>
      </c>
      <c r="FB920" s="184"/>
      <c r="FC920" s="184"/>
      <c r="FD920" s="260" t="s">
        <v>2898</v>
      </c>
    </row>
    <row r="921" spans="1:160" hidden="1">
      <c r="A921" s="185" t="s">
        <v>1295</v>
      </c>
      <c r="B921" s="184" t="s">
        <v>1922</v>
      </c>
      <c r="C921" s="184" t="s">
        <v>1923</v>
      </c>
      <c r="D921" s="184" t="s">
        <v>1924</v>
      </c>
      <c r="E921" s="184" t="s">
        <v>1925</v>
      </c>
      <c r="F921" s="184" t="s">
        <v>1926</v>
      </c>
      <c r="G921" s="184" t="s">
        <v>1301</v>
      </c>
      <c r="H921" s="184" t="s">
        <v>254</v>
      </c>
      <c r="I921" s="184">
        <v>2014</v>
      </c>
      <c r="J921" s="184">
        <v>45</v>
      </c>
      <c r="K921" s="184" t="s">
        <v>1927</v>
      </c>
      <c r="L921" s="184"/>
      <c r="M921" t="str">
        <f>LEFT($D921,FIND(",",$D921)-1)&amp;"_"&amp;I921&amp;L921</f>
        <v>Pukkala_2014</v>
      </c>
      <c r="N921" t="s">
        <v>222</v>
      </c>
      <c r="O921" s="186" t="s">
        <v>225</v>
      </c>
      <c r="P921" s="184" t="s">
        <v>1029</v>
      </c>
      <c r="Q921" s="184"/>
      <c r="R921" s="258" t="s">
        <v>223</v>
      </c>
      <c r="S921" s="185" t="s">
        <v>1936</v>
      </c>
      <c r="T921" s="184" t="s">
        <v>1937</v>
      </c>
      <c r="U921" s="184" t="s">
        <v>1930</v>
      </c>
      <c r="V921" s="253">
        <v>0</v>
      </c>
      <c r="W921" s="253">
        <v>0</v>
      </c>
      <c r="X921" s="184">
        <v>0</v>
      </c>
      <c r="Y921" s="184">
        <v>0</v>
      </c>
      <c r="Z921" s="184">
        <v>0</v>
      </c>
      <c r="AA921" s="184">
        <v>1</v>
      </c>
      <c r="AB921" s="184">
        <v>0</v>
      </c>
      <c r="AC921" s="184">
        <v>0</v>
      </c>
      <c r="AD921" s="184">
        <v>0</v>
      </c>
      <c r="AE921" s="184">
        <v>0</v>
      </c>
      <c r="AF921" s="184">
        <v>0</v>
      </c>
      <c r="AG921" s="184">
        <v>0</v>
      </c>
      <c r="AH921" s="184">
        <v>0</v>
      </c>
      <c r="AI921" s="184">
        <v>0</v>
      </c>
      <c r="AJ921" s="184">
        <v>0</v>
      </c>
      <c r="AK921" s="184">
        <v>0</v>
      </c>
      <c r="AL921" s="184">
        <v>0</v>
      </c>
      <c r="AM921" s="184">
        <v>0</v>
      </c>
      <c r="AN921" s="184">
        <v>0</v>
      </c>
      <c r="AO921" s="184">
        <v>0</v>
      </c>
      <c r="AP921" s="184">
        <v>0</v>
      </c>
      <c r="AQ921" s="184">
        <v>0</v>
      </c>
      <c r="AR921" s="184">
        <v>0</v>
      </c>
      <c r="AS921" s="184">
        <v>0</v>
      </c>
      <c r="AT921" s="184">
        <v>0</v>
      </c>
      <c r="AU921" s="184">
        <v>0</v>
      </c>
      <c r="AV921" s="184">
        <v>0</v>
      </c>
      <c r="AW921" s="184">
        <v>0</v>
      </c>
      <c r="AX921" s="184">
        <v>0</v>
      </c>
      <c r="AY921" s="184">
        <v>0</v>
      </c>
      <c r="AZ921" s="141">
        <f>COUNTIF(X921:AY921,"&lt;&gt;0")</f>
        <v>1</v>
      </c>
      <c r="BA921" s="141">
        <f>COUNTIF(X921:AN921,"&lt;&gt;0")</f>
        <v>1</v>
      </c>
      <c r="BB921">
        <f>COUNTIF(X921:AE921,"&lt;&gt;0")</f>
        <v>1</v>
      </c>
      <c r="BC921">
        <f>COUNTIF(AF921:AK921,"&lt;&gt;0")</f>
        <v>0</v>
      </c>
      <c r="BD921">
        <f>COUNTIF(AL921:AN921,"&lt;&gt;0")</f>
        <v>0</v>
      </c>
      <c r="BE921">
        <f>COUNTIF(AU921:AY921,"&lt;&gt;0")</f>
        <v>0</v>
      </c>
      <c r="BF921">
        <f>COUNTIF(AO921:AT921,"&lt;&gt;0")</f>
        <v>0</v>
      </c>
      <c r="BG921" t="str">
        <f t="array" ref="BG921">IF(BA921=1,INDEX($X$7:$AN$7,MATCH(TRUE,INDEX($X921:$AY921&lt;&gt;0,),0)),IF(BA921=0,INDEX($AO$7:$AY$7,MATCH(1,$AO921:$AY921,0)),IF(BH921="Multiple strategies","mixed drivers",IF(BH921="Supply chain","multiple supply","multiple silviculture"))))</f>
        <v xml:space="preserve">cutting intensity </v>
      </c>
      <c r="BH921" s="2" t="str" cm="1">
        <f t="array" ref="BH921">IF(COUNTIF(BB921:BD921,"&lt;&gt;0")=1,INDEX($X$4:$AY$4,MATCH(TRUE,INDEX($X921:$AY921&lt;&gt;0,),0)),IF(COUNTIF(BB921:BD921,"&lt;&gt;0")=0,INDEX($AO$4:$AY$4,MATCH(1,$AO921:$AY921,0)),"Multiple strategies"))</f>
        <v>Silviculture for removals</v>
      </c>
      <c r="BI921" s="185" t="s">
        <v>229</v>
      </c>
      <c r="BJ921" s="184" t="s">
        <v>1931</v>
      </c>
      <c r="BK921" s="184" t="s">
        <v>1932</v>
      </c>
      <c r="BL921" s="184" t="s">
        <v>1933</v>
      </c>
      <c r="BM921" s="184">
        <v>0.95599999999999996</v>
      </c>
      <c r="BN921" s="184">
        <v>1.0920000000000001</v>
      </c>
      <c r="BO921" s="184">
        <f>IFERROR(BN921/BM921,"")</f>
        <v>1.1422594142259415</v>
      </c>
      <c r="BP921" s="184">
        <f>BN921-BM921</f>
        <v>0.13600000000000012</v>
      </c>
      <c r="BQ921" s="184">
        <f>+BP921*tC_to_m3</f>
        <v>0.59053408597481605</v>
      </c>
      <c r="BR921" s="184" t="s">
        <v>232</v>
      </c>
      <c r="BS921" s="184" t="s">
        <v>1934</v>
      </c>
      <c r="BT921" s="184" t="s">
        <v>1933</v>
      </c>
      <c r="BU921" s="184">
        <v>0.21299999999999999</v>
      </c>
      <c r="BV921" s="184">
        <v>5.2999999999999999E-2</v>
      </c>
      <c r="BW921" s="188">
        <f>BV921/BU921</f>
        <v>0.24882629107981222</v>
      </c>
      <c r="BX921" s="184">
        <f>BV921-BU921</f>
        <v>-0.16</v>
      </c>
      <c r="BY921" s="184"/>
      <c r="BZ921" s="184">
        <f>BX921*C_to_CO2</f>
        <v>-0.58720000000000006</v>
      </c>
      <c r="CA921">
        <f>IFERROR(BZ921/BQ921,"")</f>
        <v>-0.99435411764705794</v>
      </c>
      <c r="CB921" s="184">
        <v>0</v>
      </c>
      <c r="CC921" s="184">
        <v>0</v>
      </c>
      <c r="CD921" s="184">
        <v>0</v>
      </c>
      <c r="CE921" s="184">
        <v>0</v>
      </c>
      <c r="CF921" s="184">
        <v>0</v>
      </c>
      <c r="CG921" s="184">
        <v>0</v>
      </c>
      <c r="CH921" s="184">
        <v>0</v>
      </c>
      <c r="CI921" s="184">
        <v>0</v>
      </c>
      <c r="CJ921" s="184">
        <v>0</v>
      </c>
      <c r="CK921" s="184">
        <v>0</v>
      </c>
      <c r="CL921" s="184">
        <v>0</v>
      </c>
      <c r="CM921" s="184">
        <v>0</v>
      </c>
      <c r="CN921" s="184">
        <v>0</v>
      </c>
      <c r="CO921" s="184">
        <v>1</v>
      </c>
      <c r="CP921" s="184" t="str">
        <f>IF($BN921&lt;$BM921,"refNeedCorrection","refOK")</f>
        <v>refOK</v>
      </c>
      <c r="CQ921" s="184">
        <f>IF($CP921="refOK",$BM921,$BN921)</f>
        <v>0.95599999999999996</v>
      </c>
      <c r="CR921" s="184">
        <f>IF($CP921="refOK",$BN921,$BM921)</f>
        <v>1.0920000000000001</v>
      </c>
      <c r="CS921" s="184">
        <f>IF($CP921="refOK",$BQ921,-$BQ921)</f>
        <v>0.59053408597481605</v>
      </c>
      <c r="CT921">
        <f>IF(BI921="Roundwood",$CS921/2,$CS921)</f>
        <v>0.59053408597481605</v>
      </c>
      <c r="CU921" s="184">
        <f>IF($CP921="refOK",$BU921,$BV921)*IF($BR921="Emissions positive",-1,1)</f>
        <v>0.21299999999999999</v>
      </c>
      <c r="CV921" s="184">
        <f>IF($CP921="refOK",$BV921,$BU921)*IF($BR921="Emissions positive",-1,1)</f>
        <v>5.2999999999999999E-2</v>
      </c>
      <c r="CW921" s="184">
        <f>IF($CP921="refNeedCorrection",-BZ921,BZ921)*IF($BR921="Emissions positive",-1,1)</f>
        <v>-0.58720000000000006</v>
      </c>
      <c r="CX921">
        <f>IFERROR($CW921/$CS921,"")</f>
        <v>-0.99435411764705794</v>
      </c>
      <c r="CY921">
        <f>IFERROR($CW921/$CS921,"")</f>
        <v>-0.99435411764705794</v>
      </c>
      <c r="CZ921">
        <f>IFERROR($CW921/$CT921,"")</f>
        <v>-0.99435411764705794</v>
      </c>
      <c r="DA921" s="187">
        <f>IFERROR((CV921-CU921)/ABS(CU921),"")</f>
        <v>-0.75117370892018787</v>
      </c>
      <c r="DB921" s="185" t="s">
        <v>1843</v>
      </c>
      <c r="DC921" t="str">
        <f>IF(OR($DB921="prd",$DB921="std",$DB921="cit"),"loc",IF(OR($DB921="eur",$DB921="reg",$DB921="coy"),"reg",$DB921))</f>
        <v>reg</v>
      </c>
      <c r="DD921" s="184" t="s">
        <v>235</v>
      </c>
      <c r="DE921" s="184"/>
      <c r="DF921" s="184"/>
      <c r="DG921" s="184">
        <v>30</v>
      </c>
      <c r="DH921" t="str">
        <f>IF(DG921=0,"0",IF(AND(DG921&gt;=1,DG921&lt;=30),"1-30",IF(AND(DG921&gt;30,DG921&lt;=70),"31-70",IF(AND(DG921&gt;70,DG921&lt;=100),"71-100",IF(DG921&gt;100,"+100")))))</f>
        <v>1-30</v>
      </c>
      <c r="DI921" s="184">
        <v>1</v>
      </c>
      <c r="DJ921" s="184">
        <v>0</v>
      </c>
      <c r="DK921" s="184">
        <v>0</v>
      </c>
      <c r="DL921" s="184">
        <v>0</v>
      </c>
      <c r="DM921" s="184">
        <v>0</v>
      </c>
      <c r="DN921">
        <f>SUM(DI921:DL921)</f>
        <v>1</v>
      </c>
      <c r="DO921" t="str">
        <f>IF(DN921=1,INDEX($DI$7:$DL$7,MATCH(1,$DI921:$DL921,0)),"mixedProduct")</f>
        <v>UpstreamInput</v>
      </c>
      <c r="DP921" t="str">
        <f>IF(DI921=1,DP$7,0)</f>
        <v>Upstream</v>
      </c>
      <c r="DQ921">
        <f>IF(DJ921=1,DQ$7,0)</f>
        <v>0</v>
      </c>
      <c r="DR921">
        <f>IF(DK921=1,DR$7,0)</f>
        <v>0</v>
      </c>
      <c r="DS921">
        <f>IF(DL921=1,DS$7,0)</f>
        <v>0</v>
      </c>
      <c r="DT921" s="184">
        <v>0</v>
      </c>
      <c r="DU921" s="184">
        <v>0</v>
      </c>
      <c r="DV921" s="189"/>
      <c r="DW921" s="189"/>
      <c r="DX921" s="189">
        <v>0</v>
      </c>
      <c r="DY921" s="184"/>
      <c r="DZ921" s="190" t="str">
        <f>IF(DT921=1,"self-calculated DF",IF(DU921=1,"external DF used","explicit C balance"))</f>
        <v>explicit C balance</v>
      </c>
      <c r="EA921" s="184">
        <v>1</v>
      </c>
      <c r="EB921" s="184">
        <v>1</v>
      </c>
      <c r="EC921" s="184">
        <v>1</v>
      </c>
      <c r="ED921" s="184">
        <v>1</v>
      </c>
      <c r="EE921" s="184">
        <v>1</v>
      </c>
      <c r="EF921" s="184">
        <v>0</v>
      </c>
      <c r="EG921" s="184">
        <v>0</v>
      </c>
      <c r="EH921" s="184">
        <v>0</v>
      </c>
      <c r="EI921" s="184">
        <v>0</v>
      </c>
      <c r="EJ921" s="184">
        <v>0</v>
      </c>
      <c r="EK921" s="184">
        <v>1</v>
      </c>
      <c r="EL921" s="184">
        <v>0</v>
      </c>
      <c r="EM921" s="184">
        <v>0</v>
      </c>
      <c r="EN921" s="187">
        <v>0</v>
      </c>
      <c r="EP921" t="str">
        <f>IF(AND(AND(AND(OR($EC921=1,$EB921=1),OR($EH921=1,$EF921=1)),SUM($EA921:$EE921,$EK921)&gt;=3),SUM($EF921:$EJ921)&gt;=2),"Whole sector approach","")</f>
        <v/>
      </c>
      <c r="EQ921" t="str">
        <f>IF(AND(AND(OR($EC921=1,$EB921=1),AND($EH921=0,$EF921=0)),SUM($EA921:$EE921,$EK921)&gt;=4),"Ecosystem approach","")</f>
        <v>Ecosystem approach</v>
      </c>
      <c r="ER921" s="2" t="str">
        <f>IF(AND(AND(AND($EC921=0,$EB921=0),OR($EH921=1,$EF921=1)),SUM($EG921:$EJ921)&gt;=2),"Technology approach","")</f>
        <v/>
      </c>
      <c r="ES921" t="str">
        <f>IF(AND($EC921+$EB921+$EE921+$EA921+$ED921+$EG921=0,$N921="included"),"C neutral forest and HWP assumption","")</f>
        <v/>
      </c>
      <c r="ET921" t="str">
        <f>IF(AND(AND(AND(AND($EC921=1,$EB921+$EA921+$EG921&gt;=1),$EF921=1),$EH921+$EI921+$ED921+$EE921&gt;=2),$N921="included"),"All C pools assumption","")</f>
        <v/>
      </c>
      <c r="EU921" t="str">
        <f>IF(AND($ED921+$EE921+$EI921+$EH921+$EF921=0,$N921="included"),"In-situ only assumption","")</f>
        <v/>
      </c>
      <c r="EW921" s="184"/>
      <c r="EX921" s="184"/>
      <c r="EY921" t="str">
        <f>IF(ISNUMBER(BW921),IF(ABS(BW921-[2]QC_indicators!$B$2)&gt;3*[2]QC_indicators!$C$2,"C ratio",IF(ISNUMBER(CA921),IF(ABS(CA921-[2]QC_indicators!$B$1)&gt;3*[2]QC_indicators!$C$1,"DF","no"))),IF(ISNUMBER(CA921),IF(ABS(CA921-[2]QC_indicators!$B$1)&gt;3*[2]QC_indicators!$C$1,"DF","no")))</f>
        <v>no</v>
      </c>
      <c r="EZ921" s="184"/>
      <c r="FA921" t="str">
        <f>IF(LEN($CY921)=0,"",IF(AND($CY921&lt;(-0.05),$ES921="C neutral forest and HWP assumption"),"Cneutral paradox",IF(AND($CY921&gt;0.05,$EU921="In-situ only assumption"),"In-situ only paradox","")))</f>
        <v/>
      </c>
      <c r="FB921" s="184"/>
      <c r="FC921" s="184"/>
      <c r="FD921" s="260" t="s">
        <v>2898</v>
      </c>
    </row>
    <row r="922" spans="1:160">
      <c r="A922" s="185" t="s">
        <v>1295</v>
      </c>
      <c r="B922" s="184" t="s">
        <v>1922</v>
      </c>
      <c r="C922" s="184" t="s">
        <v>1923</v>
      </c>
      <c r="D922" s="184" t="s">
        <v>1924</v>
      </c>
      <c r="E922" s="184" t="s">
        <v>1925</v>
      </c>
      <c r="F922" s="184" t="s">
        <v>1926</v>
      </c>
      <c r="G922" s="184" t="s">
        <v>1301</v>
      </c>
      <c r="H922" s="184" t="s">
        <v>254</v>
      </c>
      <c r="I922" s="184">
        <v>2014</v>
      </c>
      <c r="J922" s="184">
        <v>45</v>
      </c>
      <c r="K922" s="184" t="s">
        <v>1927</v>
      </c>
      <c r="L922" s="184"/>
      <c r="M922" t="str">
        <f>LEFT($D922,FIND(",",$D922)-1)&amp;"_"&amp;I922&amp;L922</f>
        <v>Pukkala_2014</v>
      </c>
      <c r="N922" t="s">
        <v>222</v>
      </c>
      <c r="O922" s="186" t="s">
        <v>225</v>
      </c>
      <c r="P922" s="184" t="s">
        <v>1029</v>
      </c>
      <c r="Q922" s="184"/>
      <c r="R922" s="258" t="s">
        <v>223</v>
      </c>
      <c r="S922" s="185" t="s">
        <v>1936</v>
      </c>
      <c r="T922" s="184" t="s">
        <v>1937</v>
      </c>
      <c r="U922" s="184" t="s">
        <v>1930</v>
      </c>
      <c r="V922" s="253">
        <v>0</v>
      </c>
      <c r="W922" s="253">
        <v>0</v>
      </c>
      <c r="X922" s="184">
        <v>0</v>
      </c>
      <c r="Y922" s="184">
        <v>0</v>
      </c>
      <c r="Z922" s="184">
        <v>0</v>
      </c>
      <c r="AA922" s="184">
        <v>1</v>
      </c>
      <c r="AB922" s="184">
        <v>0</v>
      </c>
      <c r="AC922" s="184">
        <v>0</v>
      </c>
      <c r="AD922" s="184">
        <v>0</v>
      </c>
      <c r="AE922" s="184">
        <v>0</v>
      </c>
      <c r="AF922" s="184">
        <v>0</v>
      </c>
      <c r="AG922" s="184">
        <v>0</v>
      </c>
      <c r="AH922" s="184">
        <v>0</v>
      </c>
      <c r="AI922" s="184">
        <v>0</v>
      </c>
      <c r="AJ922" s="184">
        <v>0</v>
      </c>
      <c r="AK922" s="184">
        <v>0</v>
      </c>
      <c r="AL922" s="184">
        <v>0</v>
      </c>
      <c r="AM922" s="184">
        <v>0</v>
      </c>
      <c r="AN922" s="184">
        <v>0</v>
      </c>
      <c r="AO922" s="184">
        <v>0</v>
      </c>
      <c r="AP922" s="184">
        <v>0</v>
      </c>
      <c r="AQ922" s="184">
        <v>0</v>
      </c>
      <c r="AR922" s="184">
        <v>0</v>
      </c>
      <c r="AS922" s="184">
        <v>0</v>
      </c>
      <c r="AT922" s="184">
        <v>0</v>
      </c>
      <c r="AU922" s="184">
        <v>0</v>
      </c>
      <c r="AV922" s="184">
        <v>0</v>
      </c>
      <c r="AW922" s="184">
        <v>0</v>
      </c>
      <c r="AX922" s="184">
        <v>0</v>
      </c>
      <c r="AY922" s="184">
        <v>0</v>
      </c>
      <c r="AZ922" s="141">
        <f>COUNTIF(X922:AY922,"&lt;&gt;0")</f>
        <v>1</v>
      </c>
      <c r="BA922" s="141">
        <f>COUNTIF(X922:AN922,"&lt;&gt;0")</f>
        <v>1</v>
      </c>
      <c r="BB922">
        <f>COUNTIF(X922:AE922,"&lt;&gt;0")</f>
        <v>1</v>
      </c>
      <c r="BC922">
        <f>COUNTIF(AF922:AK922,"&lt;&gt;0")</f>
        <v>0</v>
      </c>
      <c r="BD922">
        <f>COUNTIF(AL922:AN922,"&lt;&gt;0")</f>
        <v>0</v>
      </c>
      <c r="BE922">
        <f>COUNTIF(AU922:AY922,"&lt;&gt;0")</f>
        <v>0</v>
      </c>
      <c r="BF922">
        <f>COUNTIF(AO922:AT922,"&lt;&gt;0")</f>
        <v>0</v>
      </c>
      <c r="BG922" t="str">
        <f t="array" ref="BG922">IF(BA922=1,INDEX($X$7:$AN$7,MATCH(TRUE,INDEX($X922:$AY922&lt;&gt;0,),0)),IF(BA922=0,INDEX($AO$7:$AY$7,MATCH(1,$AO922:$AY922,0)),IF(BH922="Multiple strategies","mixed drivers",IF(BH922="Supply chain","multiple supply","multiple silviculture"))))</f>
        <v xml:space="preserve">cutting intensity </v>
      </c>
      <c r="BH922" s="2" t="str" cm="1">
        <f t="array" ref="BH922">IF(COUNTIF(BB922:BD922,"&lt;&gt;0")=1,INDEX($X$4:$AY$4,MATCH(TRUE,INDEX($X922:$AY922&lt;&gt;0,),0)),IF(COUNTIF(BB922:BD922,"&lt;&gt;0")=0,INDEX($AO$4:$AY$4,MATCH(1,$AO922:$AY922,0)),"Multiple strategies"))</f>
        <v>Silviculture for removals</v>
      </c>
      <c r="BI922" s="185" t="s">
        <v>229</v>
      </c>
      <c r="BJ922" s="184" t="s">
        <v>1931</v>
      </c>
      <c r="BK922" s="184" t="s">
        <v>1932</v>
      </c>
      <c r="BL922" s="184" t="s">
        <v>1933</v>
      </c>
      <c r="BM922" s="184">
        <v>0.95599999999999996</v>
      </c>
      <c r="BN922" s="184">
        <v>1.0920000000000001</v>
      </c>
      <c r="BO922" s="184">
        <f>IFERROR(BN922/BM922,"")</f>
        <v>1.1422594142259415</v>
      </c>
      <c r="BP922" s="184">
        <f>BN922-BM922</f>
        <v>0.13600000000000012</v>
      </c>
      <c r="BQ922" s="184">
        <f>+BP922*tC_to_m3</f>
        <v>0.59053408597481605</v>
      </c>
      <c r="BR922" s="184" t="s">
        <v>232</v>
      </c>
      <c r="BS922" s="184" t="s">
        <v>1934</v>
      </c>
      <c r="BT922" s="184" t="s">
        <v>1933</v>
      </c>
      <c r="BU922" s="184">
        <v>-2.2999999999999993E-2</v>
      </c>
      <c r="BV922">
        <f>0.053-0.243</f>
        <v>-0.19</v>
      </c>
      <c r="BW922" s="188">
        <f>BV922/BU922</f>
        <v>8.2608695652173942</v>
      </c>
      <c r="BX922" s="184">
        <f>BV922-BU922</f>
        <v>-0.16700000000000001</v>
      </c>
      <c r="BY922" s="184"/>
      <c r="BZ922" s="184">
        <f>BX922*C_to_CO2</f>
        <v>-0.61289000000000005</v>
      </c>
      <c r="CA922">
        <f>IFERROR(BZ922/BQ922,"")</f>
        <v>-1.0378571102941168</v>
      </c>
      <c r="CB922" s="184">
        <v>0</v>
      </c>
      <c r="CC922" s="184">
        <v>0</v>
      </c>
      <c r="CD922" s="184">
        <v>0</v>
      </c>
      <c r="CE922" s="184">
        <v>0</v>
      </c>
      <c r="CF922" s="184">
        <v>0</v>
      </c>
      <c r="CG922" s="184">
        <v>0</v>
      </c>
      <c r="CH922" s="184">
        <v>0</v>
      </c>
      <c r="CI922" s="184">
        <v>0</v>
      </c>
      <c r="CJ922" s="184">
        <v>0</v>
      </c>
      <c r="CK922" s="184">
        <v>0</v>
      </c>
      <c r="CL922" s="184">
        <v>0</v>
      </c>
      <c r="CM922" s="184">
        <v>0</v>
      </c>
      <c r="CN922" s="184">
        <v>0</v>
      </c>
      <c r="CO922" s="184">
        <v>1</v>
      </c>
      <c r="CP922" s="184" t="str">
        <f>IF($BN922&lt;$BM922,"refNeedCorrection","refOK")</f>
        <v>refOK</v>
      </c>
      <c r="CQ922" s="184">
        <f>IF($CP922="refOK",$BM922,$BN922)</f>
        <v>0.95599999999999996</v>
      </c>
      <c r="CR922" s="184">
        <f>IF($CP922="refOK",$BN922,$BM922)</f>
        <v>1.0920000000000001</v>
      </c>
      <c r="CS922" s="184">
        <f>IF($CP922="refOK",$BQ922,-$BQ922)</f>
        <v>0.59053408597481605</v>
      </c>
      <c r="CT922">
        <f>IF(BI922="Roundwood",$CS922/2,$CS922)</f>
        <v>0.59053408597481605</v>
      </c>
      <c r="CU922" s="184">
        <f>IF($CP922="refOK",$BU922,$BV922)*IF($BR922="Emissions positive",-1,1)</f>
        <v>-2.2999999999999993E-2</v>
      </c>
      <c r="CV922" s="184">
        <f>IF($CP922="refOK",$BV922,$BU922)*IF($BR922="Emissions positive",-1,1)</f>
        <v>-0.19</v>
      </c>
      <c r="CW922" s="184">
        <f>IF($CP922="refNeedCorrection",-BZ922,BZ922)*IF($BR922="Emissions positive",-1,1)</f>
        <v>-0.61289000000000005</v>
      </c>
      <c r="CX922">
        <f>IFERROR($CW922/$CS922,"")</f>
        <v>-1.0378571102941168</v>
      </c>
      <c r="CY922">
        <f>IFERROR($CW922/$CS922,"")</f>
        <v>-1.0378571102941168</v>
      </c>
      <c r="CZ922">
        <f>IFERROR($CW922/$CT922,"")</f>
        <v>-1.0378571102941168</v>
      </c>
      <c r="DA922" s="187">
        <f>IFERROR((CV922-CU922)/ABS(CU922),"")</f>
        <v>-7.2608695652173942</v>
      </c>
      <c r="DB922" s="185" t="s">
        <v>1843</v>
      </c>
      <c r="DC922" t="str">
        <f>IF(OR($DB922="prd",$DB922="std",$DB922="cit"),"loc",IF(OR($DB922="eur",$DB922="reg",$DB922="coy"),"reg",$DB922))</f>
        <v>reg</v>
      </c>
      <c r="DD922" s="184" t="s">
        <v>235</v>
      </c>
      <c r="DE922" s="184"/>
      <c r="DF922" s="184"/>
      <c r="DG922" s="184">
        <v>30</v>
      </c>
      <c r="DH922" t="str">
        <f>IF(DG922=0,"0",IF(AND(DG922&gt;=1,DG922&lt;=30),"1-30",IF(AND(DG922&gt;30,DG922&lt;=70),"31-70",IF(AND(DG922&gt;70,DG922&lt;=100),"71-100",IF(DG922&gt;100,"+100")))))</f>
        <v>1-30</v>
      </c>
      <c r="DI922" s="184">
        <v>1</v>
      </c>
      <c r="DJ922" s="184">
        <v>0</v>
      </c>
      <c r="DK922" s="184">
        <v>0</v>
      </c>
      <c r="DL922" s="184">
        <v>0</v>
      </c>
      <c r="DM922" s="184">
        <v>0</v>
      </c>
      <c r="DN922">
        <f>SUM(DI922:DL922)</f>
        <v>1</v>
      </c>
      <c r="DO922" t="str">
        <f>IF(DN922=1,INDEX($DI$7:$DL$7,MATCH(1,$DI922:$DL922,0)),"mixedProduct")</f>
        <v>UpstreamInput</v>
      </c>
      <c r="DP922" t="str">
        <f>IF(DI922=1,DP$7,0)</f>
        <v>Upstream</v>
      </c>
      <c r="DQ922">
        <f>IF(DJ922=1,DQ$7,0)</f>
        <v>0</v>
      </c>
      <c r="DR922">
        <f>IF(DK922=1,DR$7,0)</f>
        <v>0</v>
      </c>
      <c r="DS922">
        <f>IF(DL922=1,DS$7,0)</f>
        <v>0</v>
      </c>
      <c r="DT922" s="184">
        <v>0</v>
      </c>
      <c r="DU922" s="184">
        <v>0</v>
      </c>
      <c r="DV922" s="189"/>
      <c r="DW922" s="189"/>
      <c r="DX922" s="189">
        <v>0</v>
      </c>
      <c r="DY922" s="184"/>
      <c r="DZ922" s="190" t="str">
        <f>IF(DT922=1,"self-calculated DF",IF(DU922=1,"external DF used","explicit C balance"))</f>
        <v>explicit C balance</v>
      </c>
      <c r="EA922" s="184">
        <v>1</v>
      </c>
      <c r="EB922" s="184">
        <v>1</v>
      </c>
      <c r="EC922" s="184">
        <v>1</v>
      </c>
      <c r="ED922" s="184">
        <v>0</v>
      </c>
      <c r="EE922" s="184">
        <v>0</v>
      </c>
      <c r="EF922" s="184">
        <v>0</v>
      </c>
      <c r="EG922" s="184">
        <v>0</v>
      </c>
      <c r="EH922" s="184">
        <v>0</v>
      </c>
      <c r="EI922" s="184">
        <v>0</v>
      </c>
      <c r="EJ922" s="184">
        <v>0</v>
      </c>
      <c r="EK922" s="184">
        <v>1</v>
      </c>
      <c r="EL922" s="184">
        <v>0</v>
      </c>
      <c r="EM922" s="184">
        <v>0</v>
      </c>
      <c r="EN922" s="187">
        <v>0</v>
      </c>
      <c r="EP922" t="str">
        <f>IF(AND(AND(AND(OR($EC922=1,$EB922=1),OR($EH922=1,$EF922=1)),SUM($EA922:$EE922,$EK922)&gt;=3),SUM($EF922:$EJ922)&gt;=2),"Whole sector approach","")</f>
        <v/>
      </c>
      <c r="EQ922" t="str">
        <f>IF(AND(AND(OR($EC922=1,$EB922=1),AND($EH922=0,$EF922=0)),SUM($EA922:$EE922,$EK922)&gt;=4),"Ecosystem approach","")</f>
        <v>Ecosystem approach</v>
      </c>
      <c r="ER922" s="2" t="str">
        <f>IF(AND(AND(AND($EC922=0,$EB922=0),OR($EH922=1,$EF922=1)),SUM($EG922:$EJ922)&gt;=2),"Technology approach","")</f>
        <v/>
      </c>
      <c r="ES922" t="str">
        <f>IF(AND($EC922+$EB922+$EE922+$EA922+$ED922+$EG922=0,$N922="included"),"C neutral forest and HWP assumption","")</f>
        <v/>
      </c>
      <c r="ET922" t="str">
        <f>IF(AND(AND(AND(AND($EC922=1,$EB922+$EA922+$EG922&gt;=1),$EF922=1),$EH922+$EI922+$ED922+$EE922&gt;=2),$N922="included"),"All C pools assumption","")</f>
        <v/>
      </c>
      <c r="EU922" t="str">
        <f>IF(AND($ED922+$EE922+$EI922+$EH922+$EF922=0,$N922="included"),"In-situ only assumption","")</f>
        <v>In-situ only assumption</v>
      </c>
      <c r="EW922" s="184"/>
      <c r="EX922" s="184"/>
      <c r="EY922" t="str">
        <f>IF(ISNUMBER(BW922),IF(ABS(BW922-[2]QC_indicators!$B$2)&gt;3*[2]QC_indicators!$C$2,"C ratio",IF(ISNUMBER(CA922),IF(ABS(CA922-[2]QC_indicators!$B$1)&gt;3*[2]QC_indicators!$C$1,"DF","no"))),IF(ISNUMBER(CA922),IF(ABS(CA922-[2]QC_indicators!$B$1)&gt;3*[2]QC_indicators!$C$1,"DF","no")))</f>
        <v>no</v>
      </c>
      <c r="EZ922" s="184"/>
      <c r="FA922" t="str">
        <f>IF(LEN($CY922)=0,"",IF(AND($CY922&lt;(-0.05),$ES922="C neutral forest and HWP assumption"),"Cneutral paradox",IF(AND($CY922&gt;0.05,$EU922="In-situ only assumption"),"In-situ only paradox","")))</f>
        <v/>
      </c>
      <c r="FB922" s="184"/>
      <c r="FC922" s="184"/>
      <c r="FD922" s="260" t="s">
        <v>2898</v>
      </c>
    </row>
    <row r="923" spans="1:160" ht="15" hidden="1" customHeight="1">
      <c r="A923" s="1" t="s">
        <v>1295</v>
      </c>
      <c r="B923" t="s">
        <v>1922</v>
      </c>
      <c r="C923" t="s">
        <v>1923</v>
      </c>
      <c r="D923" t="s">
        <v>1924</v>
      </c>
      <c r="E923" t="s">
        <v>1925</v>
      </c>
      <c r="F923" t="s">
        <v>1926</v>
      </c>
      <c r="G923" t="s">
        <v>1301</v>
      </c>
      <c r="H923" t="s">
        <v>254</v>
      </c>
      <c r="I923">
        <v>2014</v>
      </c>
      <c r="J923">
        <v>45</v>
      </c>
      <c r="K923" t="s">
        <v>1927</v>
      </c>
      <c r="M923" t="str">
        <f>LEFT($D923,FIND(",",$D923)-1)&amp;"_"&amp;I923&amp;L923</f>
        <v>Pukkala_2014</v>
      </c>
      <c r="N923" t="s">
        <v>222</v>
      </c>
      <c r="O923" s="171" t="s">
        <v>225</v>
      </c>
      <c r="P923" t="s">
        <v>1029</v>
      </c>
      <c r="R923" s="258" t="s">
        <v>223</v>
      </c>
      <c r="S923" s="1" t="s">
        <v>1928</v>
      </c>
      <c r="T923" t="s">
        <v>1929</v>
      </c>
      <c r="U923" t="s">
        <v>1930</v>
      </c>
      <c r="V923" s="253">
        <v>0</v>
      </c>
      <c r="W923" s="253">
        <v>0</v>
      </c>
      <c r="X923">
        <v>0</v>
      </c>
      <c r="Y923">
        <v>0</v>
      </c>
      <c r="Z923">
        <v>0</v>
      </c>
      <c r="AA923">
        <v>0</v>
      </c>
      <c r="AB923">
        <v>0</v>
      </c>
      <c r="AC923">
        <v>0</v>
      </c>
      <c r="AD923">
        <v>0</v>
      </c>
      <c r="AE923">
        <v>0</v>
      </c>
      <c r="AF923">
        <v>0</v>
      </c>
      <c r="AG923">
        <v>0</v>
      </c>
      <c r="AH923">
        <v>1</v>
      </c>
      <c r="AI923">
        <v>0</v>
      </c>
      <c r="AJ923">
        <v>0</v>
      </c>
      <c r="AK923">
        <v>0</v>
      </c>
      <c r="AL923">
        <v>0</v>
      </c>
      <c r="AM923">
        <v>0</v>
      </c>
      <c r="AN923">
        <v>0</v>
      </c>
      <c r="AO923">
        <v>0</v>
      </c>
      <c r="AP923">
        <v>0</v>
      </c>
      <c r="AQ923">
        <v>0</v>
      </c>
      <c r="AR923">
        <v>0</v>
      </c>
      <c r="AS923">
        <v>0</v>
      </c>
      <c r="AT923">
        <v>0</v>
      </c>
      <c r="AU923">
        <v>0</v>
      </c>
      <c r="AV923">
        <v>0</v>
      </c>
      <c r="AW923">
        <v>0</v>
      </c>
      <c r="AX923">
        <v>0</v>
      </c>
      <c r="AY923">
        <v>0</v>
      </c>
      <c r="AZ923" s="141">
        <f>COUNTIF(X923:AY923,"&lt;&gt;0")</f>
        <v>1</v>
      </c>
      <c r="BA923" s="141">
        <f>COUNTIF(X923:AN923,"&lt;&gt;0")</f>
        <v>1</v>
      </c>
      <c r="BB923">
        <f>COUNTIF(X923:AE923,"&lt;&gt;0")</f>
        <v>0</v>
      </c>
      <c r="BC923">
        <f>COUNTIF(AF923:AK923,"&lt;&gt;0")</f>
        <v>1</v>
      </c>
      <c r="BD923">
        <f>COUNTIF(AL923:AN923,"&lt;&gt;0")</f>
        <v>0</v>
      </c>
      <c r="BE923">
        <f>COUNTIF(AU923:AY923,"&lt;&gt;0")</f>
        <v>0</v>
      </c>
      <c r="BF923">
        <f>COUNTIF(AO923:AT923,"&lt;&gt;0")</f>
        <v>0</v>
      </c>
      <c r="BG923" t="str">
        <f t="array" ref="BG923">IF(BA923=1,INDEX($X$7:$AN$7,MATCH(TRUE,INDEX($X923:$AY923&lt;&gt;0,),0)),IF(BA923=0,INDEX($AO$7:$AY$7,MATCH(1,$AO923:$AY923,0)),IF(BH923="Multiple strategies","mixed drivers",IF(BH923="Supply chain","multiple supply","multiple silviculture"))))</f>
        <v>supply chain organization</v>
      </c>
      <c r="BH923" s="2" t="str" cm="1">
        <f t="array" ref="BH923">IF(COUNTIF(BB923:BD923,"&lt;&gt;0")=1,INDEX($X$4:$AY$4,MATCH(TRUE,INDEX($X923:$AY923&lt;&gt;0,),0)),IF(COUNTIF(BB923:BD923,"&lt;&gt;0")=0,INDEX($AO$4:$AY$4,MATCH(1,$AO923:$AY923,0)),"Multiple strategies"))</f>
        <v>Supply chain</v>
      </c>
      <c r="BI923" s="1" t="s">
        <v>229</v>
      </c>
      <c r="BJ923" t="s">
        <v>1931</v>
      </c>
      <c r="BK923" t="s">
        <v>1932</v>
      </c>
      <c r="BL923" t="s">
        <v>1933</v>
      </c>
      <c r="BM923">
        <v>1.004</v>
      </c>
      <c r="BN923">
        <v>1.0920000000000001</v>
      </c>
      <c r="BO923">
        <f>IFERROR(BN923/BM923,"")</f>
        <v>1.0876494023904384</v>
      </c>
      <c r="BP923">
        <f>BN923-BM923</f>
        <v>8.8000000000000078E-2</v>
      </c>
      <c r="BQ923">
        <f>+BP923*tC_to_m3</f>
        <v>0.38211029092488097</v>
      </c>
      <c r="BR923" t="s">
        <v>232</v>
      </c>
      <c r="BS923" t="s">
        <v>1934</v>
      </c>
      <c r="BT923" t="s">
        <v>1933</v>
      </c>
      <c r="BU923">
        <v>0.19400000000000001</v>
      </c>
      <c r="BV923">
        <v>5.2999999999999999E-2</v>
      </c>
      <c r="BW923" s="144">
        <f>BV923/BU923</f>
        <v>0.27319587628865977</v>
      </c>
      <c r="BX923">
        <f>BV923-BU923</f>
        <v>-0.14100000000000001</v>
      </c>
      <c r="BZ923" s="184">
        <f>BX923*C_to_CO2</f>
        <v>-0.5174700000000001</v>
      </c>
      <c r="CA923">
        <f>IFERROR(BZ923/BQ923,"")</f>
        <v>-1.3542425113636354</v>
      </c>
      <c r="CB923">
        <v>0</v>
      </c>
      <c r="CC923">
        <v>0</v>
      </c>
      <c r="CD923">
        <v>0</v>
      </c>
      <c r="CE923">
        <v>0</v>
      </c>
      <c r="CF923">
        <v>0</v>
      </c>
      <c r="CG923">
        <v>0</v>
      </c>
      <c r="CH923">
        <v>0</v>
      </c>
      <c r="CI923">
        <v>0</v>
      </c>
      <c r="CJ923">
        <v>0</v>
      </c>
      <c r="CK923">
        <v>0</v>
      </c>
      <c r="CL923">
        <v>0</v>
      </c>
      <c r="CM923">
        <v>0</v>
      </c>
      <c r="CN923">
        <v>0</v>
      </c>
      <c r="CO923">
        <v>1</v>
      </c>
      <c r="CP923" t="str">
        <f>IF($BN923&lt;$BM923,"refNeedCorrection","refOK")</f>
        <v>refOK</v>
      </c>
      <c r="CQ923">
        <f>IF($CP923="refOK",$BM923,$BN923)</f>
        <v>1.004</v>
      </c>
      <c r="CR923">
        <f>IF($CP923="refOK",$BN923,$BM923)</f>
        <v>1.0920000000000001</v>
      </c>
      <c r="CS923">
        <f>IF($CP923="refOK",$BQ923,-$BQ923)</f>
        <v>0.38211029092488097</v>
      </c>
      <c r="CT923">
        <f>IF(BI923="Roundwood",$CS923/2,$CS923)</f>
        <v>0.38211029092488097</v>
      </c>
      <c r="CU923">
        <f>IF($CP923="refOK",$BU923,$BV923)*IF($BR923="Emissions positive",-1,1)</f>
        <v>0.19400000000000001</v>
      </c>
      <c r="CV923">
        <f>IF($CP923="refOK",$BV923,$BU923)*IF($BR923="Emissions positive",-1,1)</f>
        <v>5.2999999999999999E-2</v>
      </c>
      <c r="CW923">
        <f>IF($CP923="refNeedCorrection",-BZ923,BZ923)*IF($BR923="Emissions positive",-1,1)</f>
        <v>-0.5174700000000001</v>
      </c>
      <c r="CX923">
        <f>IFERROR($CW923/$CS923,"")</f>
        <v>-1.3542425113636354</v>
      </c>
      <c r="CY923">
        <f>IFERROR($CW923/$CS923,"")</f>
        <v>-1.3542425113636354</v>
      </c>
      <c r="CZ923">
        <f>IFERROR($CW923/$CT923,"")</f>
        <v>-1.3542425113636354</v>
      </c>
      <c r="DA923" s="2">
        <f>IFERROR((CV923-CU923)/ABS(CU923),"")</f>
        <v>-0.72680412371134029</v>
      </c>
      <c r="DB923" s="1" t="s">
        <v>1843</v>
      </c>
      <c r="DC923" t="str">
        <f>IF(OR($DB923="prd",$DB923="std",$DB923="cit"),"loc",IF(OR($DB923="eur",$DB923="reg",$DB923="coy"),"reg",$DB923))</f>
        <v>reg</v>
      </c>
      <c r="DD923" t="s">
        <v>235</v>
      </c>
      <c r="DG923">
        <v>30</v>
      </c>
      <c r="DH923" t="str">
        <f>IF(DG923=0,"0",IF(AND(DG923&gt;=1,DG923&lt;=30),"1-30",IF(AND(DG923&gt;30,DG923&lt;=70),"31-70",IF(AND(DG923&gt;70,DG923&lt;=100),"71-100",IF(DG923&gt;100,"+100")))))</f>
        <v>1-30</v>
      </c>
      <c r="DI923">
        <v>1</v>
      </c>
      <c r="DJ923">
        <v>0</v>
      </c>
      <c r="DK923">
        <v>0</v>
      </c>
      <c r="DL923">
        <v>0</v>
      </c>
      <c r="DM923">
        <v>0</v>
      </c>
      <c r="DN923">
        <f>SUM(DI923:DL923)</f>
        <v>1</v>
      </c>
      <c r="DO923" t="str">
        <f>IF(DN923=1,INDEX($DI$7:$DL$7,MATCH(1,$DI923:$DL923,0)),"mixedProduct")</f>
        <v>UpstreamInput</v>
      </c>
      <c r="DP923" t="str">
        <f>IF(DI923=1,DP$7,0)</f>
        <v>Upstream</v>
      </c>
      <c r="DQ923">
        <f>IF(DJ923=1,DQ$7,0)</f>
        <v>0</v>
      </c>
      <c r="DR923">
        <f>IF(DK923=1,DR$7,0)</f>
        <v>0</v>
      </c>
      <c r="DS923">
        <f>IF(DL923=1,DS$7,0)</f>
        <v>0</v>
      </c>
      <c r="DT923">
        <v>0</v>
      </c>
      <c r="DU923" s="184">
        <v>0</v>
      </c>
      <c r="DV923" s="189"/>
      <c r="DW923" s="189"/>
      <c r="DX923" s="183">
        <v>0</v>
      </c>
      <c r="DY923"/>
      <c r="DZ923" s="143" t="str">
        <f>IF(DT923=1,"self-calculated DF",IF(DU923=1,"external DF used","explicit C balance"))</f>
        <v>explicit C balance</v>
      </c>
      <c r="EA923">
        <v>1</v>
      </c>
      <c r="EB923">
        <v>1</v>
      </c>
      <c r="EC923">
        <v>1</v>
      </c>
      <c r="ED923">
        <v>1</v>
      </c>
      <c r="EE923">
        <v>1</v>
      </c>
      <c r="EF923" s="184">
        <v>0</v>
      </c>
      <c r="EG923">
        <v>0</v>
      </c>
      <c r="EH923">
        <v>0</v>
      </c>
      <c r="EI923" s="184">
        <v>0</v>
      </c>
      <c r="EJ923">
        <v>0</v>
      </c>
      <c r="EK923">
        <v>1</v>
      </c>
      <c r="EL923">
        <v>0</v>
      </c>
      <c r="EM923">
        <v>0</v>
      </c>
      <c r="EN923" s="2">
        <v>0</v>
      </c>
      <c r="EP923" t="str">
        <f>IF(AND(AND(AND(OR($EC923=1,$EB923=1),OR($EH923=1,$EF923=1)),SUM($EA923:$EE923,$EK923)&gt;=3),SUM($EF923:$EJ923)&gt;=2),"Whole sector approach","")</f>
        <v/>
      </c>
      <c r="EQ923" t="str">
        <f>IF(AND(AND(OR($EC923=1,$EB923=1),AND($EH923=0,$EF923=0)),SUM($EA923:$EE923,$EK923)&gt;=4),"Ecosystem approach","")</f>
        <v>Ecosystem approach</v>
      </c>
      <c r="ER923" s="2" t="str">
        <f>IF(AND(AND(AND($EC923=0,$EB923=0),OR($EH923=1,$EF923=1)),SUM($EG923:$EJ923)&gt;=2),"Technology approach","")</f>
        <v/>
      </c>
      <c r="ES923" t="str">
        <f>IF(AND($EC923+$EB923+$EE923+$EA923+$ED923+$EG923=0,$N923="included"),"C neutral forest and HWP assumption","")</f>
        <v/>
      </c>
      <c r="ET923" t="str">
        <f>IF(AND(AND(AND(AND($EC923=1,$EB923+$EA923+$EG923&gt;=1),$EF923=1),$EH923+$EI923+$ED923+$EE923&gt;=2),$N923="included"),"All C pools assumption","")</f>
        <v/>
      </c>
      <c r="EU923" t="str">
        <f>IF(AND($ED923+$EE923+$EI923+$EH923+$EF923=0,$N923="included"),"In-situ only assumption","")</f>
        <v/>
      </c>
      <c r="EY923" t="str">
        <f>IF(ISNUMBER(BW923),IF(ABS(BW923-[2]QC_indicators!$B$2)&gt;3*[2]QC_indicators!$C$2,"C ratio",IF(ISNUMBER(CA923),IF(ABS(CA923-[2]QC_indicators!$B$1)&gt;3*[2]QC_indicators!$C$1,"DF","no"))),IF(ISNUMBER(CA923),IF(ABS(CA923-[2]QC_indicators!$B$1)&gt;3*[2]QC_indicators!$C$1,"DF","no")))</f>
        <v>no</v>
      </c>
      <c r="FA923" t="str">
        <f>IF(LEN($CY923)=0,"",IF(AND($CY923&lt;(-0.05),$ES923="C neutral forest and HWP assumption"),"Cneutral paradox",IF(AND($CY923&gt;0.05,$EU923="In-situ only assumption"),"In-situ only paradox","")))</f>
        <v/>
      </c>
      <c r="FD923" s="260" t="s">
        <v>2898</v>
      </c>
    </row>
    <row r="924" spans="1:160" ht="15" customHeight="1">
      <c r="A924" s="1" t="s">
        <v>1295</v>
      </c>
      <c r="B924" t="s">
        <v>1922</v>
      </c>
      <c r="C924" t="s">
        <v>1923</v>
      </c>
      <c r="D924" t="s">
        <v>1924</v>
      </c>
      <c r="E924" t="s">
        <v>1925</v>
      </c>
      <c r="F924" t="s">
        <v>1926</v>
      </c>
      <c r="G924" t="s">
        <v>1301</v>
      </c>
      <c r="H924" t="s">
        <v>254</v>
      </c>
      <c r="I924">
        <v>2014</v>
      </c>
      <c r="J924">
        <v>45</v>
      </c>
      <c r="K924" t="s">
        <v>1927</v>
      </c>
      <c r="M924" t="str">
        <f>LEFT($D924,FIND(",",$D924)-1)&amp;"_"&amp;I924&amp;L924</f>
        <v>Pukkala_2014</v>
      </c>
      <c r="N924" t="s">
        <v>222</v>
      </c>
      <c r="O924" s="171" t="s">
        <v>225</v>
      </c>
      <c r="P924" t="s">
        <v>1029</v>
      </c>
      <c r="R924" s="258" t="s">
        <v>223</v>
      </c>
      <c r="S924" s="1" t="s">
        <v>1928</v>
      </c>
      <c r="T924" t="s">
        <v>1929</v>
      </c>
      <c r="U924" t="s">
        <v>1930</v>
      </c>
      <c r="V924" s="253">
        <v>0</v>
      </c>
      <c r="W924" s="253">
        <v>0</v>
      </c>
      <c r="X924">
        <v>0</v>
      </c>
      <c r="Y924">
        <v>0</v>
      </c>
      <c r="Z924">
        <v>0</v>
      </c>
      <c r="AA924">
        <v>0</v>
      </c>
      <c r="AB924">
        <v>0</v>
      </c>
      <c r="AC924">
        <v>0</v>
      </c>
      <c r="AD924">
        <v>0</v>
      </c>
      <c r="AE924">
        <v>0</v>
      </c>
      <c r="AF924">
        <v>0</v>
      </c>
      <c r="AG924">
        <v>0</v>
      </c>
      <c r="AH924">
        <v>1</v>
      </c>
      <c r="AI924">
        <v>0</v>
      </c>
      <c r="AJ924">
        <v>0</v>
      </c>
      <c r="AK924">
        <v>0</v>
      </c>
      <c r="AL924">
        <v>0</v>
      </c>
      <c r="AM924">
        <v>0</v>
      </c>
      <c r="AN924">
        <v>0</v>
      </c>
      <c r="AO924">
        <v>0</v>
      </c>
      <c r="AP924">
        <v>0</v>
      </c>
      <c r="AQ924">
        <v>0</v>
      </c>
      <c r="AR924">
        <v>0</v>
      </c>
      <c r="AS924">
        <v>0</v>
      </c>
      <c r="AT924">
        <v>0</v>
      </c>
      <c r="AU924">
        <v>0</v>
      </c>
      <c r="AV924">
        <v>0</v>
      </c>
      <c r="AW924">
        <v>0</v>
      </c>
      <c r="AX924">
        <v>0</v>
      </c>
      <c r="AY924">
        <v>0</v>
      </c>
      <c r="AZ924" s="141">
        <f>COUNTIF(X924:AY924,"&lt;&gt;0")</f>
        <v>1</v>
      </c>
      <c r="BA924" s="141">
        <f>COUNTIF(X924:AN924,"&lt;&gt;0")</f>
        <v>1</v>
      </c>
      <c r="BB924">
        <f>COUNTIF(X924:AE924,"&lt;&gt;0")</f>
        <v>0</v>
      </c>
      <c r="BC924">
        <f>COUNTIF(AF924:AK924,"&lt;&gt;0")</f>
        <v>1</v>
      </c>
      <c r="BD924">
        <f>COUNTIF(AL924:AN924,"&lt;&gt;0")</f>
        <v>0</v>
      </c>
      <c r="BE924">
        <f>COUNTIF(AU924:AY924,"&lt;&gt;0")</f>
        <v>0</v>
      </c>
      <c r="BF924">
        <f>COUNTIF(AO924:AT924,"&lt;&gt;0")</f>
        <v>0</v>
      </c>
      <c r="BG924" t="str">
        <f t="array" ref="BG924">IF(BA924=1,INDEX($X$7:$AN$7,MATCH(TRUE,INDEX($X924:$AY924&lt;&gt;0,),0)),IF(BA924=0,INDEX($AO$7:$AY$7,MATCH(1,$AO924:$AY924,0)),IF(BH924="Multiple strategies","mixed drivers",IF(BH924="Supply chain","multiple supply","multiple silviculture"))))</f>
        <v>supply chain organization</v>
      </c>
      <c r="BH924" s="2" t="str" cm="1">
        <f t="array" ref="BH924">IF(COUNTIF(BB924:BD924,"&lt;&gt;0")=1,INDEX($X$4:$AY$4,MATCH(TRUE,INDEX($X924:$AY924&lt;&gt;0,),0)),IF(COUNTIF(BB924:BD924,"&lt;&gt;0")=0,INDEX($AO$4:$AY$4,MATCH(1,$AO924:$AY924,0)),"Multiple strategies"))</f>
        <v>Supply chain</v>
      </c>
      <c r="BI924" s="1" t="s">
        <v>229</v>
      </c>
      <c r="BJ924" t="s">
        <v>1931</v>
      </c>
      <c r="BK924" t="s">
        <v>1932</v>
      </c>
      <c r="BL924" t="s">
        <v>1933</v>
      </c>
      <c r="BM924">
        <v>1.004</v>
      </c>
      <c r="BN924">
        <v>1.0920000000000001</v>
      </c>
      <c r="BO924">
        <f>IFERROR(BN924/BM924,"")</f>
        <v>1.0876494023904384</v>
      </c>
      <c r="BP924">
        <f>BN924-BM924</f>
        <v>8.8000000000000078E-2</v>
      </c>
      <c r="BQ924">
        <f>+BP924*tC_to_m3</f>
        <v>0.38211029092488097</v>
      </c>
      <c r="BR924" t="s">
        <v>232</v>
      </c>
      <c r="BS924" t="s">
        <v>1934</v>
      </c>
      <c r="BT924" t="s">
        <v>1933</v>
      </c>
      <c r="BU924" s="184">
        <f>0.194-0.202</f>
        <v>-8.0000000000000071E-3</v>
      </c>
      <c r="BV924">
        <f>0.053-0.243</f>
        <v>-0.19</v>
      </c>
      <c r="BW924" s="144">
        <f>BV924/BU924</f>
        <v>23.749999999999979</v>
      </c>
      <c r="BX924">
        <f>BV924-BU924</f>
        <v>-0.182</v>
      </c>
      <c r="BZ924" s="184">
        <f>BX924*C_to_CO2</f>
        <v>-0.66793999999999998</v>
      </c>
      <c r="CA924">
        <f>IFERROR(BZ924/BQ924,"")</f>
        <v>-1.748029340909089</v>
      </c>
      <c r="CB924">
        <v>0</v>
      </c>
      <c r="CC924">
        <v>0</v>
      </c>
      <c r="CD924">
        <v>0</v>
      </c>
      <c r="CE924">
        <v>0</v>
      </c>
      <c r="CF924">
        <v>0</v>
      </c>
      <c r="CG924">
        <v>0</v>
      </c>
      <c r="CH924">
        <v>0</v>
      </c>
      <c r="CI924">
        <v>0</v>
      </c>
      <c r="CJ924">
        <v>0</v>
      </c>
      <c r="CK924">
        <v>0</v>
      </c>
      <c r="CL924">
        <v>0</v>
      </c>
      <c r="CM924">
        <v>0</v>
      </c>
      <c r="CN924">
        <v>0</v>
      </c>
      <c r="CO924">
        <v>1</v>
      </c>
      <c r="CP924" t="str">
        <f>IF($BN924&lt;$BM924,"refNeedCorrection","refOK")</f>
        <v>refOK</v>
      </c>
      <c r="CQ924">
        <f>IF($CP924="refOK",$BM924,$BN924)</f>
        <v>1.004</v>
      </c>
      <c r="CR924">
        <f>IF($CP924="refOK",$BN924,$BM924)</f>
        <v>1.0920000000000001</v>
      </c>
      <c r="CS924">
        <f>IF($CP924="refOK",$BQ924,-$BQ924)</f>
        <v>0.38211029092488097</v>
      </c>
      <c r="CT924">
        <f>IF(BI924="Roundwood",$CS924/2,$CS924)</f>
        <v>0.38211029092488097</v>
      </c>
      <c r="CU924">
        <f>IF($CP924="refOK",$BU924,$BV924)*IF($BR924="Emissions positive",-1,1)</f>
        <v>-8.0000000000000071E-3</v>
      </c>
      <c r="CV924">
        <f>IF($CP924="refOK",$BV924,$BU924)*IF($BR924="Emissions positive",-1,1)</f>
        <v>-0.19</v>
      </c>
      <c r="CW924">
        <f>IF($CP924="refNeedCorrection",-BZ924,BZ924)*IF($BR924="Emissions positive",-1,1)</f>
        <v>-0.66793999999999998</v>
      </c>
      <c r="CX924">
        <f>IFERROR($CW924/$CS924,"")</f>
        <v>-1.748029340909089</v>
      </c>
      <c r="CY924">
        <f>IFERROR($CW924/$CS924,"")</f>
        <v>-1.748029340909089</v>
      </c>
      <c r="CZ924">
        <f>IFERROR($CW924/$CT924,"")</f>
        <v>-1.748029340909089</v>
      </c>
      <c r="DA924" s="2">
        <f>IFERROR((CV924-CU924)/ABS(CU924),"")</f>
        <v>-22.749999999999979</v>
      </c>
      <c r="DB924" s="1" t="s">
        <v>1843</v>
      </c>
      <c r="DC924" t="str">
        <f>IF(OR($DB924="prd",$DB924="std",$DB924="cit"),"loc",IF(OR($DB924="eur",$DB924="reg",$DB924="coy"),"reg",$DB924))</f>
        <v>reg</v>
      </c>
      <c r="DD924" t="s">
        <v>235</v>
      </c>
      <c r="DG924">
        <v>30</v>
      </c>
      <c r="DH924" t="str">
        <f>IF(DG924=0,"0",IF(AND(DG924&gt;=1,DG924&lt;=30),"1-30",IF(AND(DG924&gt;30,DG924&lt;=70),"31-70",IF(AND(DG924&gt;70,DG924&lt;=100),"71-100",IF(DG924&gt;100,"+100")))))</f>
        <v>1-30</v>
      </c>
      <c r="DI924">
        <v>1</v>
      </c>
      <c r="DJ924">
        <v>0</v>
      </c>
      <c r="DK924">
        <v>0</v>
      </c>
      <c r="DL924">
        <v>0</v>
      </c>
      <c r="DM924">
        <v>0</v>
      </c>
      <c r="DN924">
        <f>SUM(DI924:DL924)</f>
        <v>1</v>
      </c>
      <c r="DO924" t="str">
        <f>IF(DN924=1,INDEX($DI$7:$DL$7,MATCH(1,$DI924:$DL924,0)),"mixedProduct")</f>
        <v>UpstreamInput</v>
      </c>
      <c r="DP924" t="str">
        <f>IF(DI924=1,DP$7,0)</f>
        <v>Upstream</v>
      </c>
      <c r="DQ924">
        <f>IF(DJ924=1,DQ$7,0)</f>
        <v>0</v>
      </c>
      <c r="DR924">
        <f>IF(DK924=1,DR$7,0)</f>
        <v>0</v>
      </c>
      <c r="DS924">
        <f>IF(DL924=1,DS$7,0)</f>
        <v>0</v>
      </c>
      <c r="DT924">
        <v>0</v>
      </c>
      <c r="DU924" s="184">
        <v>0</v>
      </c>
      <c r="DV924" s="189"/>
      <c r="DW924" s="189"/>
      <c r="DX924" s="183">
        <v>0</v>
      </c>
      <c r="DY924"/>
      <c r="DZ924" s="143" t="str">
        <f>IF(DT924=1,"self-calculated DF",IF(DU924=1,"external DF used","explicit C balance"))</f>
        <v>explicit C balance</v>
      </c>
      <c r="EA924">
        <v>1</v>
      </c>
      <c r="EB924">
        <v>1</v>
      </c>
      <c r="EC924">
        <v>1</v>
      </c>
      <c r="ED924">
        <v>0</v>
      </c>
      <c r="EE924">
        <v>0</v>
      </c>
      <c r="EF924" s="184">
        <v>0</v>
      </c>
      <c r="EG924">
        <v>0</v>
      </c>
      <c r="EH924">
        <v>0</v>
      </c>
      <c r="EI924" s="184">
        <v>0</v>
      </c>
      <c r="EJ924">
        <v>0</v>
      </c>
      <c r="EK924">
        <v>1</v>
      </c>
      <c r="EL924">
        <v>0</v>
      </c>
      <c r="EM924">
        <v>0</v>
      </c>
      <c r="EN924" s="2">
        <v>0</v>
      </c>
      <c r="EP924" t="str">
        <f>IF(AND(AND(AND(OR($EC924=1,$EB924=1),OR($EH924=1,$EF924=1)),SUM($EA924:$EE924,$EK924)&gt;=3),SUM($EF924:$EJ924)&gt;=2),"Whole sector approach","")</f>
        <v/>
      </c>
      <c r="EQ924" t="str">
        <f>IF(AND(AND(OR($EC924=1,$EB924=1),AND($EH924=0,$EF924=0)),SUM($EA924:$EE924,$EK924)&gt;=4),"Ecosystem approach","")</f>
        <v>Ecosystem approach</v>
      </c>
      <c r="ER924" s="2" t="str">
        <f>IF(AND(AND(AND($EC924=0,$EB924=0),OR($EH924=1,$EF924=1)),SUM($EG924:$EJ924)&gt;=2),"Technology approach","")</f>
        <v/>
      </c>
      <c r="ES924" t="str">
        <f>IF(AND($EC924+$EB924+$EE924+$EA924+$ED924+$EG924=0,$N924="included"),"C neutral forest and HWP assumption","")</f>
        <v/>
      </c>
      <c r="ET924" t="str">
        <f>IF(AND(AND(AND(AND($EC924=1,$EB924+$EA924+$EG924&gt;=1),$EF924=1),$EH924+$EI924+$ED924+$EE924&gt;=2),$N924="included"),"All C pools assumption","")</f>
        <v/>
      </c>
      <c r="EU924" t="str">
        <f>IF(AND($ED924+$EE924+$EI924+$EH924+$EF924=0,$N924="included"),"In-situ only assumption","")</f>
        <v>In-situ only assumption</v>
      </c>
      <c r="EY924" t="str">
        <f>IF(ISNUMBER(BW924),IF(ABS(BW924-[2]QC_indicators!$B$2)&gt;3*[2]QC_indicators!$C$2,"C ratio",IF(ISNUMBER(CA924),IF(ABS(CA924-[2]QC_indicators!$B$1)&gt;3*[2]QC_indicators!$C$1,"DF","no"))),IF(ISNUMBER(CA924),IF(ABS(CA924-[2]QC_indicators!$B$1)&gt;3*[2]QC_indicators!$C$1,"DF","no")))</f>
        <v>C ratio</v>
      </c>
      <c r="FA924" t="str">
        <f>IF(LEN($CY924)=0,"",IF(AND($CY924&lt;(-0.05),$ES924="C neutral forest and HWP assumption"),"Cneutral paradox",IF(AND($CY924&gt;0.05,$EU924="In-situ only assumption"),"In-situ only paradox","")))</f>
        <v/>
      </c>
      <c r="FD924" s="260" t="s">
        <v>2898</v>
      </c>
    </row>
    <row r="925" spans="1:160" ht="15" hidden="1" customHeight="1">
      <c r="A925" s="1" t="s">
        <v>1295</v>
      </c>
      <c r="B925" t="s">
        <v>1922</v>
      </c>
      <c r="C925" t="s">
        <v>1923</v>
      </c>
      <c r="D925" t="s">
        <v>1924</v>
      </c>
      <c r="E925" t="s">
        <v>1925</v>
      </c>
      <c r="F925" t="s">
        <v>1926</v>
      </c>
      <c r="G925" t="s">
        <v>1301</v>
      </c>
      <c r="H925" t="s">
        <v>254</v>
      </c>
      <c r="I925">
        <v>2014</v>
      </c>
      <c r="J925">
        <v>45</v>
      </c>
      <c r="K925" t="s">
        <v>1927</v>
      </c>
      <c r="M925" t="str">
        <f>LEFT($D925,FIND(",",$D925)-1)&amp;"_"&amp;I925&amp;L925</f>
        <v>Pukkala_2014</v>
      </c>
      <c r="N925" t="s">
        <v>222</v>
      </c>
      <c r="O925" s="171" t="s">
        <v>225</v>
      </c>
      <c r="P925" t="s">
        <v>1029</v>
      </c>
      <c r="R925" s="258" t="s">
        <v>223</v>
      </c>
      <c r="S925" s="1" t="s">
        <v>1938</v>
      </c>
      <c r="T925" t="s">
        <v>1939</v>
      </c>
      <c r="U925" t="s">
        <v>1930</v>
      </c>
      <c r="V925" s="253">
        <v>0</v>
      </c>
      <c r="W925" s="253">
        <v>0</v>
      </c>
      <c r="X925">
        <v>0</v>
      </c>
      <c r="Y925">
        <v>0</v>
      </c>
      <c r="Z925">
        <v>0</v>
      </c>
      <c r="AA925">
        <v>1</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s="141">
        <f>COUNTIF(X925:AY925,"&lt;&gt;0")</f>
        <v>1</v>
      </c>
      <c r="BA925" s="141">
        <f>COUNTIF(X925:AN925,"&lt;&gt;0")</f>
        <v>1</v>
      </c>
      <c r="BB925">
        <f>COUNTIF(X925:AE925,"&lt;&gt;0")</f>
        <v>1</v>
      </c>
      <c r="BC925">
        <f>COUNTIF(AF925:AK925,"&lt;&gt;0")</f>
        <v>0</v>
      </c>
      <c r="BD925">
        <f>COUNTIF(AL925:AN925,"&lt;&gt;0")</f>
        <v>0</v>
      </c>
      <c r="BE925">
        <f>COUNTIF(AU925:AY925,"&lt;&gt;0")</f>
        <v>0</v>
      </c>
      <c r="BF925">
        <f>COUNTIF(AO925:AT925,"&lt;&gt;0")</f>
        <v>0</v>
      </c>
      <c r="BG925" t="str">
        <f t="array" ref="BG925">IF(BA925=1,INDEX($X$7:$AN$7,MATCH(TRUE,INDEX($X925:$AY925&lt;&gt;0,),0)),IF(BA925=0,INDEX($AO$7:$AY$7,MATCH(1,$AO925:$AY925,0)),IF(BH925="Multiple strategies","mixed drivers",IF(BH925="Supply chain","multiple supply","multiple silviculture"))))</f>
        <v xml:space="preserve">cutting intensity </v>
      </c>
      <c r="BH925" s="2" t="str" cm="1">
        <f t="array" ref="BH925">IF(COUNTIF(BB925:BD925,"&lt;&gt;0")=1,INDEX($X$4:$AY$4,MATCH(TRUE,INDEX($X925:$AY925&lt;&gt;0,),0)),IF(COUNTIF(BB925:BD925,"&lt;&gt;0")=0,INDEX($AO$4:$AY$4,MATCH(1,$AO925:$AY925,0)),"Multiple strategies"))</f>
        <v>Silviculture for removals</v>
      </c>
      <c r="BI925" s="1" t="s">
        <v>229</v>
      </c>
      <c r="BJ925" t="s">
        <v>1931</v>
      </c>
      <c r="BK925" t="s">
        <v>1932</v>
      </c>
      <c r="BL925" t="s">
        <v>1933</v>
      </c>
      <c r="BM925">
        <v>1.002</v>
      </c>
      <c r="BN925">
        <v>1.0920000000000001</v>
      </c>
      <c r="BO925">
        <f>IFERROR(BN925/BM925,"")</f>
        <v>1.0898203592814373</v>
      </c>
      <c r="BP925">
        <f>BN925-BM925</f>
        <v>9.000000000000008E-2</v>
      </c>
      <c r="BQ925">
        <f>+BP925*tC_to_m3</f>
        <v>0.39079461571862822</v>
      </c>
      <c r="BR925" t="s">
        <v>232</v>
      </c>
      <c r="BS925" t="s">
        <v>1934</v>
      </c>
      <c r="BT925" t="s">
        <v>1933</v>
      </c>
      <c r="BU925">
        <v>0.59099999999999997</v>
      </c>
      <c r="BV925">
        <v>0.63800000000000001</v>
      </c>
      <c r="BW925" s="144">
        <f>BV925/BU925</f>
        <v>1.0795262267343486</v>
      </c>
      <c r="BX925">
        <f>BV925-BU925</f>
        <v>4.7000000000000042E-2</v>
      </c>
      <c r="BZ925" s="184">
        <f>BX925*C_to_CO2</f>
        <v>0.17249000000000014</v>
      </c>
      <c r="CA925">
        <f>IFERROR(BZ925/BQ925,"")</f>
        <v>0.44138274444444442</v>
      </c>
      <c r="CB925">
        <v>0</v>
      </c>
      <c r="CC925">
        <v>0</v>
      </c>
      <c r="CD925">
        <v>0</v>
      </c>
      <c r="CE925">
        <v>0</v>
      </c>
      <c r="CF925">
        <v>0</v>
      </c>
      <c r="CG925">
        <v>0</v>
      </c>
      <c r="CH925">
        <v>0</v>
      </c>
      <c r="CI925">
        <v>0</v>
      </c>
      <c r="CJ925">
        <v>0</v>
      </c>
      <c r="CK925">
        <v>0</v>
      </c>
      <c r="CL925">
        <v>0</v>
      </c>
      <c r="CM925">
        <v>0</v>
      </c>
      <c r="CN925">
        <v>0</v>
      </c>
      <c r="CO925">
        <v>1</v>
      </c>
      <c r="CP925" t="str">
        <f>IF($BN925&lt;$BM925,"refNeedCorrection","refOK")</f>
        <v>refOK</v>
      </c>
      <c r="CQ925">
        <f>IF($CP925="refOK",$BM925,$BN925)</f>
        <v>1.002</v>
      </c>
      <c r="CR925">
        <f>IF($CP925="refOK",$BN925,$BM925)</f>
        <v>1.0920000000000001</v>
      </c>
      <c r="CS925">
        <f>IF($CP925="refOK",$BQ925,-$BQ925)</f>
        <v>0.39079461571862822</v>
      </c>
      <c r="CT925">
        <f>IF(BI925="Roundwood",$CS925/2,$CS925)</f>
        <v>0.39079461571862822</v>
      </c>
      <c r="CU925">
        <f>IF($CP925="refOK",$BU925,$BV925)*IF($BR925="Emissions positive",-1,1)</f>
        <v>0.59099999999999997</v>
      </c>
      <c r="CV925">
        <f>IF($CP925="refOK",$BV925,$BU925)*IF($BR925="Emissions positive",-1,1)</f>
        <v>0.63800000000000001</v>
      </c>
      <c r="CW925">
        <f>IF($CP925="refNeedCorrection",-BZ925,BZ925)*IF($BR925="Emissions positive",-1,1)</f>
        <v>0.17249000000000014</v>
      </c>
      <c r="CX925">
        <f>IFERROR($CW925/$CS925,"")</f>
        <v>0.44138274444444442</v>
      </c>
      <c r="CY925">
        <f>IFERROR($CW925/$CS925,"")</f>
        <v>0.44138274444444442</v>
      </c>
      <c r="CZ925">
        <f>IFERROR($CW925/$CT925,"")</f>
        <v>0.44138274444444442</v>
      </c>
      <c r="DA925" s="2">
        <f>IFERROR((CV925-CU925)/ABS(CU925),"")</f>
        <v>7.9526226734348643E-2</v>
      </c>
      <c r="DB925" s="1" t="s">
        <v>1843</v>
      </c>
      <c r="DC925" t="str">
        <f>IF(OR($DB925="prd",$DB925="std",$DB925="cit"),"loc",IF(OR($DB925="eur",$DB925="reg",$DB925="coy"),"reg",$DB925))</f>
        <v>reg</v>
      </c>
      <c r="DD925" t="s">
        <v>235</v>
      </c>
      <c r="DG925">
        <v>30</v>
      </c>
      <c r="DH925" t="str">
        <f>IF(DG925=0,"0",IF(AND(DG925&gt;=1,DG925&lt;=30),"1-30",IF(AND(DG925&gt;30,DG925&lt;=70),"31-70",IF(AND(DG925&gt;70,DG925&lt;=100),"71-100",IF(DG925&gt;100,"+100")))))</f>
        <v>1-30</v>
      </c>
      <c r="DI925">
        <v>1</v>
      </c>
      <c r="DJ925">
        <v>1</v>
      </c>
      <c r="DK925">
        <v>1</v>
      </c>
      <c r="DL925">
        <v>1</v>
      </c>
      <c r="DM925">
        <v>0</v>
      </c>
      <c r="DN925">
        <f>SUM(DI925:DM925)</f>
        <v>4</v>
      </c>
      <c r="DO925" t="str">
        <f>IF(DN925=1,INDEX($DI$7:$DL$7,MATCH(1,$DI925:$DL925,0)),"mixedProduct")</f>
        <v>mixedProduct</v>
      </c>
      <c r="DP925" t="str">
        <f>IF(DI925=1,DO$7,0)</f>
        <v>singleProduct</v>
      </c>
      <c r="DQ925" t="str">
        <f>IF(DJ925=1,DP$7,0)</f>
        <v>Upstream</v>
      </c>
      <c r="DR925" t="str">
        <f>IF(DK925=1,DQ$7,0)</f>
        <v>Energy</v>
      </c>
      <c r="DS925" t="str">
        <f>IF(DL925=1,DR$7,0)</f>
        <v>Pulp/Paper</v>
      </c>
      <c r="DT925">
        <v>0</v>
      </c>
      <c r="DU925">
        <v>1</v>
      </c>
      <c r="DV925" s="183" t="s">
        <v>1935</v>
      </c>
      <c r="DW925" s="183" t="s">
        <v>1935</v>
      </c>
      <c r="DX925" s="183">
        <v>0</v>
      </c>
      <c r="DY925"/>
      <c r="DZ925" s="143" t="str">
        <f>IF(DT925=1,"self-calculated DF",IF(DU925=1,"external DF used","explicit C balance"))</f>
        <v>external DF used</v>
      </c>
      <c r="EA925">
        <v>1</v>
      </c>
      <c r="EB925">
        <v>1</v>
      </c>
      <c r="EC925">
        <v>1</v>
      </c>
      <c r="ED925">
        <v>1</v>
      </c>
      <c r="EE925">
        <v>1</v>
      </c>
      <c r="EF925">
        <v>1</v>
      </c>
      <c r="EG925">
        <v>1</v>
      </c>
      <c r="EH925">
        <v>1</v>
      </c>
      <c r="EI925" s="184">
        <v>0</v>
      </c>
      <c r="EJ925">
        <v>0</v>
      </c>
      <c r="EK925">
        <v>1</v>
      </c>
      <c r="EL925">
        <v>0</v>
      </c>
      <c r="EM925">
        <v>0</v>
      </c>
      <c r="EN925" s="2">
        <v>0</v>
      </c>
      <c r="EP925" t="str">
        <f>IF(AND(AND(AND(OR($EC925=1,$EB925=1),OR($EH925=1,$EF925=1)),SUM($EA925:$EE925,$EK925)&gt;=3),SUM($EF925:$EJ925)&gt;=2),"Whole sector approach","")</f>
        <v>Whole sector approach</v>
      </c>
      <c r="EQ925" t="str">
        <f>IF(AND(AND(OR($EC925=1,$EB925=1),AND($EH925=0,$EF925=0)),SUM($EA925:$EE925,$EK925)&gt;=4),"Ecosystem approach","")</f>
        <v/>
      </c>
      <c r="ER925" s="2" t="str">
        <f>IF(AND(AND(AND($EC925=0,$EB925=0),OR($EH925=1,$EF925=1)),SUM($EG925:$EJ925)&gt;=2),"Technology approach","")</f>
        <v/>
      </c>
      <c r="ES925" t="str">
        <f>IF(AND($EC925+$EB925+$EE925+$EA925+$ED925+$EG925=0,$N925="included"),"C neutral forest and HWP assumption","")</f>
        <v/>
      </c>
      <c r="ET925" t="str">
        <f>IF(AND(AND(AND(AND($EC925=1,$EB925+$EA925+$EG925&gt;=1),$EF925=1),$EH925+$EI925+$ED925+$EE925&gt;=2),$N925="included"),"All C pools assumption","")</f>
        <v>All C pools assumption</v>
      </c>
      <c r="EU925" t="str">
        <f>IF(AND($ED925+$EE925+$EI925+$EH925+$EF925=0,$N925="included"),"In-situ only assumption","")</f>
        <v/>
      </c>
      <c r="EY925" t="str">
        <f>IF(ISNUMBER(BW925),IF(ABS(BW925-[2]QC_indicators!$B$2)&gt;3*[2]QC_indicators!$C$2,"C ratio",IF(ISNUMBER(CA925),IF(ABS(CA925-[2]QC_indicators!$B$1)&gt;3*[2]QC_indicators!$C$1,"DF","no"))),IF(ISNUMBER(CA925),IF(ABS(CA925-[2]QC_indicators!$B$1)&gt;3*[2]QC_indicators!$C$1,"DF","no")))</f>
        <v>no</v>
      </c>
      <c r="FA925" t="str">
        <f>IF(LEN($CY925)=0,"",IF(AND($CY925&lt;(-0.05),$ES925="C neutral forest and HWP assumption"),"Cneutral paradox",IF(AND($CY925&gt;0.05,$EU925="In-situ only assumption"),"In-situ only paradox","")))</f>
        <v/>
      </c>
      <c r="FD925" s="260" t="s">
        <v>2898</v>
      </c>
    </row>
    <row r="926" spans="1:160" ht="15" hidden="1" customHeight="1">
      <c r="A926" s="185" t="s">
        <v>1295</v>
      </c>
      <c r="B926" s="184" t="s">
        <v>1922</v>
      </c>
      <c r="C926" s="184" t="s">
        <v>1923</v>
      </c>
      <c r="D926" s="184" t="s">
        <v>1924</v>
      </c>
      <c r="E926" s="184" t="s">
        <v>1925</v>
      </c>
      <c r="F926" s="184" t="s">
        <v>1926</v>
      </c>
      <c r="G926" s="184" t="s">
        <v>1301</v>
      </c>
      <c r="H926" s="184" t="s">
        <v>254</v>
      </c>
      <c r="I926" s="184">
        <v>2014</v>
      </c>
      <c r="J926" s="184">
        <v>45</v>
      </c>
      <c r="K926" s="184" t="s">
        <v>1927</v>
      </c>
      <c r="L926" s="184"/>
      <c r="M926" t="str">
        <f>LEFT($D926,FIND(",",$D926)-1)&amp;"_"&amp;I926&amp;L926</f>
        <v>Pukkala_2014</v>
      </c>
      <c r="N926" t="s">
        <v>222</v>
      </c>
      <c r="O926" s="186" t="s">
        <v>225</v>
      </c>
      <c r="P926" s="184" t="s">
        <v>1029</v>
      </c>
      <c r="Q926" s="184"/>
      <c r="R926" s="258" t="s">
        <v>223</v>
      </c>
      <c r="S926" s="185" t="s">
        <v>1936</v>
      </c>
      <c r="T926" s="184" t="s">
        <v>1929</v>
      </c>
      <c r="U926" s="184" t="s">
        <v>1940</v>
      </c>
      <c r="V926" s="253">
        <v>0</v>
      </c>
      <c r="W926" s="253">
        <v>0</v>
      </c>
      <c r="X926" s="184">
        <v>0</v>
      </c>
      <c r="Y926" s="184">
        <v>0</v>
      </c>
      <c r="Z926" s="184">
        <v>0</v>
      </c>
      <c r="AA926" s="184">
        <v>1</v>
      </c>
      <c r="AB926" s="184">
        <v>0</v>
      </c>
      <c r="AC926" s="184">
        <v>0</v>
      </c>
      <c r="AD926" s="184">
        <v>0</v>
      </c>
      <c r="AE926" s="184">
        <v>0</v>
      </c>
      <c r="AF926" s="184">
        <v>0</v>
      </c>
      <c r="AG926" s="184">
        <v>0</v>
      </c>
      <c r="AH926" s="184">
        <v>0</v>
      </c>
      <c r="AI926" s="184">
        <v>0</v>
      </c>
      <c r="AJ926" s="184">
        <v>0</v>
      </c>
      <c r="AK926" s="184">
        <v>0</v>
      </c>
      <c r="AL926" s="184">
        <v>0</v>
      </c>
      <c r="AM926" s="184">
        <v>0</v>
      </c>
      <c r="AN926" s="184">
        <v>0</v>
      </c>
      <c r="AO926" s="184">
        <v>0</v>
      </c>
      <c r="AP926" s="184">
        <v>0</v>
      </c>
      <c r="AQ926" s="184">
        <v>0</v>
      </c>
      <c r="AR926" s="184">
        <v>0</v>
      </c>
      <c r="AS926" s="184">
        <v>0</v>
      </c>
      <c r="AT926" s="184">
        <v>0</v>
      </c>
      <c r="AU926" s="184">
        <v>0</v>
      </c>
      <c r="AV926" s="184">
        <v>0</v>
      </c>
      <c r="AW926" s="184">
        <v>0</v>
      </c>
      <c r="AX926" s="184">
        <v>0</v>
      </c>
      <c r="AY926" s="184">
        <v>0</v>
      </c>
      <c r="AZ926" s="141">
        <f>COUNTIF(X926:AY926,"&lt;&gt;0")</f>
        <v>1</v>
      </c>
      <c r="BA926" s="141">
        <f>COUNTIF(X926:AN926,"&lt;&gt;0")</f>
        <v>1</v>
      </c>
      <c r="BB926">
        <f>COUNTIF(X926:AE926,"&lt;&gt;0")</f>
        <v>1</v>
      </c>
      <c r="BC926">
        <f>COUNTIF(AF926:AK926,"&lt;&gt;0")</f>
        <v>0</v>
      </c>
      <c r="BD926">
        <f>COUNTIF(AL926:AN926,"&lt;&gt;0")</f>
        <v>0</v>
      </c>
      <c r="BE926">
        <f>COUNTIF(AU926:AY926,"&lt;&gt;0")</f>
        <v>0</v>
      </c>
      <c r="BF926">
        <f>COUNTIF(AO926:AT926,"&lt;&gt;0")</f>
        <v>0</v>
      </c>
      <c r="BG926" t="str">
        <f t="array" ref="BG926">IF(BA926=1,INDEX($X$7:$AN$7,MATCH(TRUE,INDEX($X926:$AY926&lt;&gt;0,),0)),IF(BA926=0,INDEX($AO$7:$AY$7,MATCH(1,$AO926:$AY926,0)),IF(BH926="Multiple strategies","mixed drivers",IF(BH926="Supply chain","multiple supply","multiple silviculture"))))</f>
        <v xml:space="preserve">cutting intensity </v>
      </c>
      <c r="BH926" s="2" t="str" cm="1">
        <f t="array" ref="BH926">IF(COUNTIF(BB926:BD926,"&lt;&gt;0")=1,INDEX($X$4:$AY$4,MATCH(TRUE,INDEX($X926:$AY926&lt;&gt;0,),0)),IF(COUNTIF(BB926:BD926,"&lt;&gt;0")=0,INDEX($AO$4:$AY$4,MATCH(1,$AO926:$AY926,0)),"Multiple strategies"))</f>
        <v>Silviculture for removals</v>
      </c>
      <c r="BI926" s="185" t="s">
        <v>229</v>
      </c>
      <c r="BJ926" s="184" t="s">
        <v>1931</v>
      </c>
      <c r="BK926" s="184" t="s">
        <v>1932</v>
      </c>
      <c r="BL926" s="184" t="s">
        <v>1933</v>
      </c>
      <c r="BM926" s="184">
        <v>1.004</v>
      </c>
      <c r="BN926" s="184">
        <v>1.0269999999999999</v>
      </c>
      <c r="BO926" s="184">
        <f>IFERROR(BN926/BM926,"")</f>
        <v>1.0229083665338645</v>
      </c>
      <c r="BP926" s="184">
        <f>BN926-BM926</f>
        <v>2.2999999999999909E-2</v>
      </c>
      <c r="BQ926" s="184">
        <f>+BP926*tC_to_m3</f>
        <v>9.9869735128093398E-2</v>
      </c>
      <c r="BR926" s="184" t="s">
        <v>232</v>
      </c>
      <c r="BS926" s="184" t="s">
        <v>1934</v>
      </c>
      <c r="BT926" s="184" t="s">
        <v>1933</v>
      </c>
      <c r="BU926" s="184">
        <v>0.72399999999999998</v>
      </c>
      <c r="BV926" s="184">
        <v>0.77300000000000002</v>
      </c>
      <c r="BW926" s="188">
        <f>BV926/BU926</f>
        <v>1.0676795580110499</v>
      </c>
      <c r="BX926" s="184">
        <f>BV926-BU926</f>
        <v>4.9000000000000044E-2</v>
      </c>
      <c r="BY926" s="184"/>
      <c r="BZ926" s="184">
        <f>BX926*C_to_CO2</f>
        <v>0.17983000000000016</v>
      </c>
      <c r="CA926">
        <f>IFERROR(BZ926/BQ926,"")</f>
        <v>1.8006456086956608</v>
      </c>
      <c r="CB926" s="184">
        <v>0</v>
      </c>
      <c r="CC926" s="184">
        <v>0</v>
      </c>
      <c r="CD926" s="184">
        <v>0</v>
      </c>
      <c r="CE926" s="184">
        <v>0</v>
      </c>
      <c r="CF926" s="184">
        <v>0</v>
      </c>
      <c r="CG926" s="184">
        <v>0</v>
      </c>
      <c r="CH926" s="184">
        <v>0</v>
      </c>
      <c r="CI926" s="184">
        <v>0</v>
      </c>
      <c r="CJ926" s="184">
        <v>0</v>
      </c>
      <c r="CK926" s="184">
        <v>0</v>
      </c>
      <c r="CL926" s="184">
        <v>0</v>
      </c>
      <c r="CM926" s="184">
        <v>0</v>
      </c>
      <c r="CN926" s="184">
        <v>0</v>
      </c>
      <c r="CO926" s="184">
        <v>1</v>
      </c>
      <c r="CP926" s="184" t="str">
        <f>IF($BN926&lt;$BM926,"refNeedCorrection","refOK")</f>
        <v>refOK</v>
      </c>
      <c r="CQ926" s="184">
        <f>IF($CP926="refOK",$BM926,$BN926)</f>
        <v>1.004</v>
      </c>
      <c r="CR926" s="184">
        <f>IF($CP926="refOK",$BN926,$BM926)</f>
        <v>1.0269999999999999</v>
      </c>
      <c r="CS926" s="184">
        <f>IF($CP926="refOK",$BQ926,-$BQ926)</f>
        <v>9.9869735128093398E-2</v>
      </c>
      <c r="CT926">
        <f>IF(BI926="Roundwood",$CS926/2,$CS926)</f>
        <v>9.9869735128093398E-2</v>
      </c>
      <c r="CU926" s="184">
        <f>IF($CP926="refOK",$BU926,$BV926)*IF($BR926="Emissions positive",-1,1)</f>
        <v>0.72399999999999998</v>
      </c>
      <c r="CV926" s="184">
        <f>IF($CP926="refOK",$BV926,$BU926)*IF($BR926="Emissions positive",-1,1)</f>
        <v>0.77300000000000002</v>
      </c>
      <c r="CW926" s="184">
        <f>IF($CP926="refNeedCorrection",-BZ926,BZ926)*IF($BR926="Emissions positive",-1,1)</f>
        <v>0.17983000000000016</v>
      </c>
      <c r="CX926">
        <f>IFERROR($CW926/$CS926,"")</f>
        <v>1.8006456086956608</v>
      </c>
      <c r="CY926">
        <f>IFERROR($CW926/$CS926,"")</f>
        <v>1.8006456086956608</v>
      </c>
      <c r="CZ926">
        <f>IFERROR($CW926/$CT926,"")</f>
        <v>1.8006456086956608</v>
      </c>
      <c r="DA926" s="187">
        <f>IFERROR((CV926-CU926)/ABS(CU926),"")</f>
        <v>6.7679558011049787E-2</v>
      </c>
      <c r="DB926" s="185" t="s">
        <v>1843</v>
      </c>
      <c r="DC926" t="str">
        <f>IF(OR($DB926="prd",$DB926="std",$DB926="cit"),"loc",IF(OR($DB926="eur",$DB926="reg",$DB926="coy"),"reg",$DB926))</f>
        <v>reg</v>
      </c>
      <c r="DD926" s="184" t="s">
        <v>235</v>
      </c>
      <c r="DE926" s="184"/>
      <c r="DF926" s="184"/>
      <c r="DG926" s="184">
        <v>30</v>
      </c>
      <c r="DH926" t="str">
        <f>IF(DG926=0,"0",IF(AND(DG926&gt;=1,DG926&lt;=30),"1-30",IF(AND(DG926&gt;30,DG926&lt;=70),"31-70",IF(AND(DG926&gt;70,DG926&lt;=100),"71-100",IF(DG926&gt;100,"+100")))))</f>
        <v>1-30</v>
      </c>
      <c r="DI926">
        <v>1</v>
      </c>
      <c r="DJ926">
        <v>1</v>
      </c>
      <c r="DK926">
        <v>1</v>
      </c>
      <c r="DL926">
        <v>1</v>
      </c>
      <c r="DM926" s="184">
        <v>0</v>
      </c>
      <c r="DN926">
        <f>SUM(DI926:DL926)</f>
        <v>4</v>
      </c>
      <c r="DO926" t="str">
        <f>IF(DN926=1,INDEX($DI$7:$DL$7,MATCH(1,$DI926:$DL926,0)),"mixedProduct")</f>
        <v>mixedProduct</v>
      </c>
      <c r="DP926" t="str">
        <f>IF(DI926=1,DP$7,0)</f>
        <v>Upstream</v>
      </c>
      <c r="DQ926" t="str">
        <f>IF(DJ926=1,DQ$7,0)</f>
        <v>Energy</v>
      </c>
      <c r="DR926" t="str">
        <f>IF(DK926=1,DR$7,0)</f>
        <v>Pulp/Paper</v>
      </c>
      <c r="DS926" t="str">
        <f>IF(DL926=1,DS$7,0)</f>
        <v>Timber</v>
      </c>
      <c r="DT926" s="184">
        <v>0</v>
      </c>
      <c r="DU926" s="184">
        <v>1</v>
      </c>
      <c r="DV926" s="189" t="s">
        <v>1935</v>
      </c>
      <c r="DW926" s="189" t="s">
        <v>1935</v>
      </c>
      <c r="DX926" s="189">
        <v>0</v>
      </c>
      <c r="DY926" s="184"/>
      <c r="DZ926" s="190" t="str">
        <f>IF(DT926=1,"self-calculated DF",IF(DU926=1,"external DF used","explicit C balance"))</f>
        <v>external DF used</v>
      </c>
      <c r="EA926" s="184">
        <v>1</v>
      </c>
      <c r="EB926" s="184">
        <v>1</v>
      </c>
      <c r="EC926" s="184">
        <v>1</v>
      </c>
      <c r="ED926" s="184">
        <v>1</v>
      </c>
      <c r="EE926" s="184">
        <v>1</v>
      </c>
      <c r="EF926" s="184">
        <v>1</v>
      </c>
      <c r="EG926" s="184">
        <v>1</v>
      </c>
      <c r="EH926" s="184">
        <v>1</v>
      </c>
      <c r="EI926" s="184">
        <v>0</v>
      </c>
      <c r="EJ926" s="184">
        <v>0</v>
      </c>
      <c r="EK926" s="184">
        <v>1</v>
      </c>
      <c r="EL926" s="184">
        <v>0</v>
      </c>
      <c r="EM926" s="184">
        <v>0</v>
      </c>
      <c r="EN926" s="187">
        <v>0</v>
      </c>
      <c r="EP926" t="str">
        <f>IF(AND(AND(AND(OR($EC926=1,$EB926=1),OR($EH926=1,$EF926=1)),SUM($EA926:$EE926,$EK926)&gt;=3),SUM($EF926:$EJ926)&gt;=2),"Whole sector approach","")</f>
        <v>Whole sector approach</v>
      </c>
      <c r="EQ926" t="str">
        <f>IF(AND(AND(OR($EC926=1,$EB926=1),AND($EH926=0,$EF926=0)),SUM($EA926:$EE926,$EK926)&gt;=4),"Ecosystem approach","")</f>
        <v/>
      </c>
      <c r="ER926" s="2" t="str">
        <f>IF(AND(AND(AND($EC926=0,$EB926=0),OR($EH926=1,$EF926=1)),SUM($EG926:$EJ926)&gt;=2),"Technology approach","")</f>
        <v/>
      </c>
      <c r="ES926" t="str">
        <f>IF(AND($EC926+$EB926+$EE926+$EA926+$ED926+$EG926=0,$N926="included"),"C neutral forest and HWP assumption","")</f>
        <v/>
      </c>
      <c r="ET926" t="str">
        <f>IF(AND(AND(AND(AND($EC926=1,$EB926+$EA926+$EG926&gt;=1),$EF926=1),$EH926+$EI926+$ED926+$EE926&gt;=2),$N926="included"),"All C pools assumption","")</f>
        <v>All C pools assumption</v>
      </c>
      <c r="EU926" t="str">
        <f>IF(AND($ED926+$EE926+$EI926+$EH926+$EF926=0,$N926="included"),"In-situ only assumption","")</f>
        <v/>
      </c>
      <c r="EW926" s="184"/>
      <c r="EX926" s="184"/>
      <c r="EY926" t="str">
        <f>IF(ISNUMBER(BW926),IF(ABS(BW926-[2]QC_indicators!$B$2)&gt;3*[2]QC_indicators!$C$2,"C ratio",IF(ISNUMBER(CA926),IF(ABS(CA926-[2]QC_indicators!$B$1)&gt;3*[2]QC_indicators!$C$1,"DF","no"))),IF(ISNUMBER(CA926),IF(ABS(CA926-[2]QC_indicators!$B$1)&gt;3*[2]QC_indicators!$C$1,"DF","no")))</f>
        <v>no</v>
      </c>
      <c r="EZ926" s="184"/>
      <c r="FA926" t="str">
        <f>IF(LEN($CY926)=0,"",IF(AND($CY926&lt;(-0.05),$ES926="C neutral forest and HWP assumption"),"Cneutral paradox",IF(AND($CY926&gt;0.05,$EU926="In-situ only assumption"),"In-situ only paradox","")))</f>
        <v/>
      </c>
      <c r="FB926" s="184"/>
      <c r="FC926" s="184"/>
      <c r="FD926" s="260" t="s">
        <v>2898</v>
      </c>
    </row>
    <row r="927" spans="1:160" ht="15" hidden="1" customHeight="1">
      <c r="A927" s="185" t="s">
        <v>1295</v>
      </c>
      <c r="B927" s="184" t="s">
        <v>1922</v>
      </c>
      <c r="C927" s="184" t="s">
        <v>1923</v>
      </c>
      <c r="D927" s="184" t="s">
        <v>1924</v>
      </c>
      <c r="E927" s="184" t="s">
        <v>1925</v>
      </c>
      <c r="F927" s="184" t="s">
        <v>1926</v>
      </c>
      <c r="G927" s="184" t="s">
        <v>1301</v>
      </c>
      <c r="H927" s="184" t="s">
        <v>254</v>
      </c>
      <c r="I927" s="184">
        <v>2014</v>
      </c>
      <c r="J927" s="184">
        <v>45</v>
      </c>
      <c r="K927" s="184" t="s">
        <v>1927</v>
      </c>
      <c r="L927" s="184"/>
      <c r="M927" t="str">
        <f>LEFT($D927,FIND(",",$D927)-1)&amp;"_"&amp;I927&amp;L927</f>
        <v>Pukkala_2014</v>
      </c>
      <c r="N927" t="s">
        <v>222</v>
      </c>
      <c r="O927" s="186" t="s">
        <v>225</v>
      </c>
      <c r="P927" s="184" t="s">
        <v>1029</v>
      </c>
      <c r="Q927" s="184"/>
      <c r="R927" s="258" t="s">
        <v>223</v>
      </c>
      <c r="S927" s="185" t="s">
        <v>1936</v>
      </c>
      <c r="T927" s="184" t="s">
        <v>1937</v>
      </c>
      <c r="U927" s="184" t="s">
        <v>1930</v>
      </c>
      <c r="V927" s="253">
        <v>0</v>
      </c>
      <c r="W927" s="253">
        <v>0</v>
      </c>
      <c r="X927" s="184">
        <v>0</v>
      </c>
      <c r="Y927" s="184">
        <v>0</v>
      </c>
      <c r="Z927" s="184">
        <v>0</v>
      </c>
      <c r="AA927" s="184">
        <v>1</v>
      </c>
      <c r="AB927" s="184">
        <v>0</v>
      </c>
      <c r="AC927" s="184">
        <v>0</v>
      </c>
      <c r="AD927" s="184">
        <v>0</v>
      </c>
      <c r="AE927" s="184">
        <v>0</v>
      </c>
      <c r="AF927" s="184">
        <v>0</v>
      </c>
      <c r="AG927" s="184">
        <v>0</v>
      </c>
      <c r="AH927" s="184">
        <v>0</v>
      </c>
      <c r="AI927" s="184">
        <v>0</v>
      </c>
      <c r="AJ927" s="184">
        <v>0</v>
      </c>
      <c r="AK927" s="184">
        <v>0</v>
      </c>
      <c r="AL927" s="184">
        <v>0</v>
      </c>
      <c r="AM927" s="184">
        <v>0</v>
      </c>
      <c r="AN927" s="184">
        <v>0</v>
      </c>
      <c r="AO927" s="184">
        <v>0</v>
      </c>
      <c r="AP927" s="184">
        <v>0</v>
      </c>
      <c r="AQ927" s="184">
        <v>0</v>
      </c>
      <c r="AR927" s="184">
        <v>0</v>
      </c>
      <c r="AS927" s="184">
        <v>0</v>
      </c>
      <c r="AT927" s="184">
        <v>0</v>
      </c>
      <c r="AU927" s="184">
        <v>0</v>
      </c>
      <c r="AV927" s="184">
        <v>0</v>
      </c>
      <c r="AW927" s="184">
        <v>0</v>
      </c>
      <c r="AX927" s="184">
        <v>0</v>
      </c>
      <c r="AY927" s="184">
        <v>0</v>
      </c>
      <c r="AZ927" s="141">
        <f>COUNTIF(X927:AY927,"&lt;&gt;0")</f>
        <v>1</v>
      </c>
      <c r="BA927" s="141">
        <f>COUNTIF(X927:AN927,"&lt;&gt;0")</f>
        <v>1</v>
      </c>
      <c r="BB927">
        <f>COUNTIF(X927:AE927,"&lt;&gt;0")</f>
        <v>1</v>
      </c>
      <c r="BC927">
        <f>COUNTIF(AF927:AK927,"&lt;&gt;0")</f>
        <v>0</v>
      </c>
      <c r="BD927">
        <f>COUNTIF(AL927:AN927,"&lt;&gt;0")</f>
        <v>0</v>
      </c>
      <c r="BE927">
        <f>COUNTIF(AU927:AY927,"&lt;&gt;0")</f>
        <v>0</v>
      </c>
      <c r="BF927">
        <f>COUNTIF(AO927:AT927,"&lt;&gt;0")</f>
        <v>0</v>
      </c>
      <c r="BG927" t="str">
        <f t="array" ref="BG927">IF(BA927=1,INDEX($X$7:$AN$7,MATCH(TRUE,INDEX($X927:$AY927&lt;&gt;0,),0)),IF(BA927=0,INDEX($AO$7:$AY$7,MATCH(1,$AO927:$AY927,0)),IF(BH927="Multiple strategies","mixed drivers",IF(BH927="Supply chain","multiple supply","multiple silviculture"))))</f>
        <v xml:space="preserve">cutting intensity </v>
      </c>
      <c r="BH927" s="2" t="str" cm="1">
        <f t="array" ref="BH927">IF(COUNTIF(BB927:BD927,"&lt;&gt;0")=1,INDEX($X$4:$AY$4,MATCH(TRUE,INDEX($X927:$AY927&lt;&gt;0,),0)),IF(COUNTIF(BB927:BD927,"&lt;&gt;0")=0,INDEX($AO$4:$AY$4,MATCH(1,$AO927:$AY927,0)),"Multiple strategies"))</f>
        <v>Silviculture for removals</v>
      </c>
      <c r="BI927" s="185" t="s">
        <v>229</v>
      </c>
      <c r="BJ927" s="184" t="s">
        <v>1931</v>
      </c>
      <c r="BK927" s="184" t="s">
        <v>1932</v>
      </c>
      <c r="BL927" s="184" t="s">
        <v>1933</v>
      </c>
      <c r="BM927" s="184">
        <v>0.95599999999999996</v>
      </c>
      <c r="BN927" s="184">
        <v>1.0920000000000001</v>
      </c>
      <c r="BO927" s="184">
        <f>IFERROR(BN927/BM927,"")</f>
        <v>1.1422594142259415</v>
      </c>
      <c r="BP927" s="184">
        <f>BN927-BM927</f>
        <v>0.13600000000000012</v>
      </c>
      <c r="BQ927" s="184">
        <f>+BP927*tC_to_m3</f>
        <v>0.59053408597481605</v>
      </c>
      <c r="BR927" s="184" t="s">
        <v>232</v>
      </c>
      <c r="BS927" s="184" t="s">
        <v>1934</v>
      </c>
      <c r="BT927" s="184" t="s">
        <v>1933</v>
      </c>
      <c r="BU927" s="184">
        <v>0.77500000000000002</v>
      </c>
      <c r="BV927" s="184">
        <v>0.63800000000000001</v>
      </c>
      <c r="BW927" s="188">
        <f>BV927/BU927</f>
        <v>0.82322580645161292</v>
      </c>
      <c r="BX927" s="184">
        <f>BV927-BU927</f>
        <v>-0.13700000000000001</v>
      </c>
      <c r="BY927" s="184"/>
      <c r="BZ927" s="184">
        <f>BX927*C_to_CO2</f>
        <v>-0.50279000000000007</v>
      </c>
      <c r="CA927">
        <f>IFERROR(BZ927/BQ927,"")</f>
        <v>-0.85141571323529341</v>
      </c>
      <c r="CB927" s="184">
        <v>0</v>
      </c>
      <c r="CC927" s="184">
        <v>0</v>
      </c>
      <c r="CD927" s="184">
        <v>0</v>
      </c>
      <c r="CE927" s="184">
        <v>0</v>
      </c>
      <c r="CF927" s="184">
        <v>0</v>
      </c>
      <c r="CG927" s="184">
        <v>0</v>
      </c>
      <c r="CH927" s="184">
        <v>0</v>
      </c>
      <c r="CI927" s="184">
        <v>0</v>
      </c>
      <c r="CJ927" s="184">
        <v>0</v>
      </c>
      <c r="CK927" s="184">
        <v>0</v>
      </c>
      <c r="CL927" s="184">
        <v>0</v>
      </c>
      <c r="CM927" s="184">
        <v>0</v>
      </c>
      <c r="CN927" s="184">
        <v>0</v>
      </c>
      <c r="CO927" s="184">
        <v>1</v>
      </c>
      <c r="CP927" s="184" t="str">
        <f>IF($BN927&lt;$BM927,"refNeedCorrection","refOK")</f>
        <v>refOK</v>
      </c>
      <c r="CQ927" s="184">
        <f>IF($CP927="refOK",$BM927,$BN927)</f>
        <v>0.95599999999999996</v>
      </c>
      <c r="CR927" s="184">
        <f>IF($CP927="refOK",$BN927,$BM927)</f>
        <v>1.0920000000000001</v>
      </c>
      <c r="CS927" s="184">
        <f>IF($CP927="refOK",$BQ927,-$BQ927)</f>
        <v>0.59053408597481605</v>
      </c>
      <c r="CT927">
        <f>IF(BI927="Roundwood",$CS927/2,$CS927)</f>
        <v>0.59053408597481605</v>
      </c>
      <c r="CU927" s="184">
        <f>IF($CP927="refOK",$BU927,$BV927)*IF($BR927="Emissions positive",-1,1)</f>
        <v>0.77500000000000002</v>
      </c>
      <c r="CV927" s="184">
        <f>IF($CP927="refOK",$BV927,$BU927)*IF($BR927="Emissions positive",-1,1)</f>
        <v>0.63800000000000001</v>
      </c>
      <c r="CW927" s="184">
        <f>IF($CP927="refNeedCorrection",-BZ927,BZ927)*IF($BR927="Emissions positive",-1,1)</f>
        <v>-0.50279000000000007</v>
      </c>
      <c r="CX927">
        <f>IFERROR($CW927/$CS927,"")</f>
        <v>-0.85141571323529341</v>
      </c>
      <c r="CY927">
        <f>IFERROR($CW927/$CS927,"")</f>
        <v>-0.85141571323529341</v>
      </c>
      <c r="CZ927">
        <f>IFERROR($CW927/$CT927,"")</f>
        <v>-0.85141571323529341</v>
      </c>
      <c r="DA927" s="187">
        <f>IFERROR((CV927-CU927)/ABS(CU927),"")</f>
        <v>-0.17677419354838711</v>
      </c>
      <c r="DB927" s="185" t="s">
        <v>1843</v>
      </c>
      <c r="DC927" t="str">
        <f>IF(OR($DB927="prd",$DB927="std",$DB927="cit"),"loc",IF(OR($DB927="eur",$DB927="reg",$DB927="coy"),"reg",$DB927))</f>
        <v>reg</v>
      </c>
      <c r="DD927" s="184" t="s">
        <v>235</v>
      </c>
      <c r="DE927" s="184"/>
      <c r="DF927" s="184"/>
      <c r="DG927" s="184">
        <v>30</v>
      </c>
      <c r="DH927" t="str">
        <f>IF(DG927=0,"0",IF(AND(DG927&gt;=1,DG927&lt;=30),"1-30",IF(AND(DG927&gt;30,DG927&lt;=70),"31-70",IF(AND(DG927&gt;70,DG927&lt;=100),"71-100",IF(DG927&gt;100,"+100")))))</f>
        <v>1-30</v>
      </c>
      <c r="DI927">
        <v>1</v>
      </c>
      <c r="DJ927">
        <v>1</v>
      </c>
      <c r="DK927">
        <v>1</v>
      </c>
      <c r="DL927">
        <v>1</v>
      </c>
      <c r="DM927" s="184">
        <v>0</v>
      </c>
      <c r="DN927">
        <f>SUM(DI927:DL927)</f>
        <v>4</v>
      </c>
      <c r="DO927" t="str">
        <f>IF(DN927=1,INDEX($DI$7:$DL$7,MATCH(1,$DI927:$DL927,0)),"mixedProduct")</f>
        <v>mixedProduct</v>
      </c>
      <c r="DP927" t="str">
        <f>IF(DI927=1,DP$7,0)</f>
        <v>Upstream</v>
      </c>
      <c r="DQ927" t="str">
        <f>IF(DJ927=1,DQ$7,0)</f>
        <v>Energy</v>
      </c>
      <c r="DR927" t="str">
        <f>IF(DK927=1,DR$7,0)</f>
        <v>Pulp/Paper</v>
      </c>
      <c r="DS927" t="str">
        <f>IF(DL927=1,DS$7,0)</f>
        <v>Timber</v>
      </c>
      <c r="DT927" s="184">
        <v>0</v>
      </c>
      <c r="DU927" s="184">
        <v>1</v>
      </c>
      <c r="DV927" s="189" t="s">
        <v>1935</v>
      </c>
      <c r="DW927" s="189" t="s">
        <v>1935</v>
      </c>
      <c r="DX927" s="189">
        <v>0</v>
      </c>
      <c r="DY927" s="184"/>
      <c r="DZ927" s="190" t="str">
        <f>IF(DT927=1,"self-calculated DF",IF(DU927=1,"external DF used","explicit C balance"))</f>
        <v>external DF used</v>
      </c>
      <c r="EA927" s="184">
        <v>1</v>
      </c>
      <c r="EB927" s="184">
        <v>1</v>
      </c>
      <c r="EC927" s="184">
        <v>1</v>
      </c>
      <c r="ED927" s="184">
        <v>1</v>
      </c>
      <c r="EE927" s="184">
        <v>1</v>
      </c>
      <c r="EF927" s="184">
        <v>1</v>
      </c>
      <c r="EG927" s="184">
        <v>1</v>
      </c>
      <c r="EH927" s="184">
        <v>1</v>
      </c>
      <c r="EI927" s="184">
        <v>0</v>
      </c>
      <c r="EJ927" s="184">
        <v>0</v>
      </c>
      <c r="EK927" s="184">
        <v>1</v>
      </c>
      <c r="EL927" s="184">
        <v>0</v>
      </c>
      <c r="EM927" s="184">
        <v>0</v>
      </c>
      <c r="EN927" s="187">
        <v>0</v>
      </c>
      <c r="EP927" t="str">
        <f>IF(AND(AND(AND(OR($EC927=1,$EB927=1),OR($EH927=1,$EF927=1)),SUM($EA927:$EE927,$EK927)&gt;=3),SUM($EF927:$EJ927)&gt;=2),"Whole sector approach","")</f>
        <v>Whole sector approach</v>
      </c>
      <c r="EQ927" t="str">
        <f>IF(AND(AND(OR($EC927=1,$EB927=1),AND($EH927=0,$EF927=0)),SUM($EA927:$EE927,$EK927)&gt;=4),"Ecosystem approach","")</f>
        <v/>
      </c>
      <c r="ER927" s="2" t="str">
        <f>IF(AND(AND(AND($EC927=0,$EB927=0),OR($EH927=1,$EF927=1)),SUM($EG927:$EJ927)&gt;=2),"Technology approach","")</f>
        <v/>
      </c>
      <c r="ES927" t="str">
        <f>IF(AND($EC927+$EB927+$EE927+$EA927+$ED927+$EG927=0,$N927="included"),"C neutral forest and HWP assumption","")</f>
        <v/>
      </c>
      <c r="ET927" t="str">
        <f>IF(AND(AND(AND(AND($EC927=1,$EB927+$EA927+$EG927&gt;=1),$EF927=1),$EH927+$EI927+$ED927+$EE927&gt;=2),$N927="included"),"All C pools assumption","")</f>
        <v>All C pools assumption</v>
      </c>
      <c r="EU927" t="str">
        <f>IF(AND($ED927+$EE927+$EI927+$EH927+$EF927=0,$N927="included"),"In-situ only assumption","")</f>
        <v/>
      </c>
      <c r="EW927" s="184"/>
      <c r="EX927" s="184"/>
      <c r="EY927" t="str">
        <f>IF(ISNUMBER(BW927),IF(ABS(BW927-[2]QC_indicators!$B$2)&gt;3*[2]QC_indicators!$C$2,"C ratio",IF(ISNUMBER(CA927),IF(ABS(CA927-[2]QC_indicators!$B$1)&gt;3*[2]QC_indicators!$C$1,"DF","no"))),IF(ISNUMBER(CA927),IF(ABS(CA927-[2]QC_indicators!$B$1)&gt;3*[2]QC_indicators!$C$1,"DF","no")))</f>
        <v>no</v>
      </c>
      <c r="EZ927" s="184"/>
      <c r="FA927" t="str">
        <f>IF(LEN($CY927)=0,"",IF(AND($CY927&lt;(-0.05),$ES927="C neutral forest and HWP assumption"),"Cneutral paradox",IF(AND($CY927&gt;0.05,$EU927="In-situ only assumption"),"In-situ only paradox","")))</f>
        <v/>
      </c>
      <c r="FB927" s="184"/>
      <c r="FC927" s="184"/>
      <c r="FD927" s="260" t="s">
        <v>2898</v>
      </c>
    </row>
    <row r="928" spans="1:160" ht="15" hidden="1" customHeight="1">
      <c r="A928" s="1" t="s">
        <v>1295</v>
      </c>
      <c r="B928" t="s">
        <v>1922</v>
      </c>
      <c r="C928" t="s">
        <v>1923</v>
      </c>
      <c r="D928" t="s">
        <v>1924</v>
      </c>
      <c r="E928" t="s">
        <v>1925</v>
      </c>
      <c r="F928" t="s">
        <v>1926</v>
      </c>
      <c r="G928" t="s">
        <v>1301</v>
      </c>
      <c r="H928" t="s">
        <v>254</v>
      </c>
      <c r="I928">
        <v>2014</v>
      </c>
      <c r="J928">
        <v>45</v>
      </c>
      <c r="K928" t="s">
        <v>1927</v>
      </c>
      <c r="M928" t="str">
        <f>LEFT($D928,FIND(",",$D928)-1)&amp;"_"&amp;I928&amp;L928</f>
        <v>Pukkala_2014</v>
      </c>
      <c r="N928" t="s">
        <v>222</v>
      </c>
      <c r="O928" s="171" t="s">
        <v>225</v>
      </c>
      <c r="P928" t="s">
        <v>1029</v>
      </c>
      <c r="R928" s="258" t="s">
        <v>223</v>
      </c>
      <c r="S928" s="1" t="s">
        <v>1928</v>
      </c>
      <c r="T928" t="s">
        <v>1929</v>
      </c>
      <c r="U928" t="s">
        <v>1930</v>
      </c>
      <c r="V928" s="253">
        <v>0</v>
      </c>
      <c r="W928" s="253">
        <v>0</v>
      </c>
      <c r="X928">
        <v>0</v>
      </c>
      <c r="Y928">
        <v>0</v>
      </c>
      <c r="Z928">
        <v>0</v>
      </c>
      <c r="AA928">
        <v>0</v>
      </c>
      <c r="AB928">
        <v>0</v>
      </c>
      <c r="AC928">
        <v>0</v>
      </c>
      <c r="AD928">
        <v>0</v>
      </c>
      <c r="AE928">
        <v>0</v>
      </c>
      <c r="AF928">
        <v>0</v>
      </c>
      <c r="AG928">
        <v>0</v>
      </c>
      <c r="AH928">
        <v>1</v>
      </c>
      <c r="AI928">
        <v>0</v>
      </c>
      <c r="AJ928">
        <v>0</v>
      </c>
      <c r="AK928">
        <v>0</v>
      </c>
      <c r="AL928">
        <v>0</v>
      </c>
      <c r="AM928">
        <v>0</v>
      </c>
      <c r="AN928">
        <v>0</v>
      </c>
      <c r="AO928">
        <v>0</v>
      </c>
      <c r="AP928">
        <v>0</v>
      </c>
      <c r="AQ928">
        <v>0</v>
      </c>
      <c r="AR928">
        <v>0</v>
      </c>
      <c r="AS928">
        <v>0</v>
      </c>
      <c r="AT928">
        <v>0</v>
      </c>
      <c r="AU928">
        <v>0</v>
      </c>
      <c r="AV928">
        <v>0</v>
      </c>
      <c r="AW928">
        <v>0</v>
      </c>
      <c r="AX928">
        <v>0</v>
      </c>
      <c r="AY928">
        <v>0</v>
      </c>
      <c r="AZ928" s="141">
        <f>COUNTIF(X928:AY928,"&lt;&gt;0")</f>
        <v>1</v>
      </c>
      <c r="BA928" s="141">
        <f>COUNTIF(X928:AN928,"&lt;&gt;0")</f>
        <v>1</v>
      </c>
      <c r="BB928">
        <f>COUNTIF(X928:AE928,"&lt;&gt;0")</f>
        <v>0</v>
      </c>
      <c r="BC928">
        <f>COUNTIF(AF928:AK928,"&lt;&gt;0")</f>
        <v>1</v>
      </c>
      <c r="BD928">
        <f>COUNTIF(AL928:AN928,"&lt;&gt;0")</f>
        <v>0</v>
      </c>
      <c r="BE928">
        <f>COUNTIF(AU928:AY928,"&lt;&gt;0")</f>
        <v>0</v>
      </c>
      <c r="BF928">
        <f>COUNTIF(AO928:AT928,"&lt;&gt;0")</f>
        <v>0</v>
      </c>
      <c r="BG928" t="str">
        <f t="array" ref="BG928">IF(BA928=1,INDEX($X$7:$AN$7,MATCH(TRUE,INDEX($X928:$AY928&lt;&gt;0,),0)),IF(BA928=0,INDEX($AO$7:$AY$7,MATCH(1,$AO928:$AY928,0)),IF(BH928="Multiple strategies","mixed drivers",IF(BH928="Supply chain","multiple supply","multiple silviculture"))))</f>
        <v>supply chain organization</v>
      </c>
      <c r="BH928" s="2" t="str" cm="1">
        <f t="array" ref="BH928">IF(COUNTIF(BB928:BD928,"&lt;&gt;0")=1,INDEX($X$4:$AY$4,MATCH(TRUE,INDEX($X928:$AY928&lt;&gt;0,),0)),IF(COUNTIF(BB928:BD928,"&lt;&gt;0")=0,INDEX($AO$4:$AY$4,MATCH(1,$AO928:$AY928,0)),"Multiple strategies"))</f>
        <v>Supply chain</v>
      </c>
      <c r="BI928" s="1" t="s">
        <v>229</v>
      </c>
      <c r="BJ928" t="s">
        <v>1931</v>
      </c>
      <c r="BK928" t="s">
        <v>1932</v>
      </c>
      <c r="BL928" t="s">
        <v>1933</v>
      </c>
      <c r="BM928">
        <v>1.004</v>
      </c>
      <c r="BN928">
        <v>1.0920000000000001</v>
      </c>
      <c r="BO928">
        <f>IFERROR(BN928/BM928,"")</f>
        <v>1.0876494023904384</v>
      </c>
      <c r="BP928">
        <f>BN928-BM928</f>
        <v>8.8000000000000078E-2</v>
      </c>
      <c r="BQ928">
        <f>+BP928*tC_to_m3</f>
        <v>0.38211029092488097</v>
      </c>
      <c r="BR928" t="s">
        <v>232</v>
      </c>
      <c r="BS928" t="s">
        <v>1934</v>
      </c>
      <c r="BT928" t="s">
        <v>1933</v>
      </c>
      <c r="BU928">
        <v>0.72399999999999998</v>
      </c>
      <c r="BV928">
        <v>0.63800000000000001</v>
      </c>
      <c r="BW928" s="144">
        <f>BV928/BU928</f>
        <v>0.88121546961325969</v>
      </c>
      <c r="BX928">
        <f>BV928-BU928</f>
        <v>-8.5999999999999965E-2</v>
      </c>
      <c r="BZ928" s="184">
        <f>BX928*C_to_CO2</f>
        <v>-0.31561999999999985</v>
      </c>
      <c r="CA928">
        <f>IFERROR(BZ928/BQ928,"")</f>
        <v>-0.82599188636363519</v>
      </c>
      <c r="CB928">
        <v>0</v>
      </c>
      <c r="CC928">
        <v>0</v>
      </c>
      <c r="CD928">
        <v>0</v>
      </c>
      <c r="CE928">
        <v>0</v>
      </c>
      <c r="CF928">
        <v>0</v>
      </c>
      <c r="CG928">
        <v>0</v>
      </c>
      <c r="CH928">
        <v>0</v>
      </c>
      <c r="CI928">
        <v>0</v>
      </c>
      <c r="CJ928">
        <v>0</v>
      </c>
      <c r="CK928">
        <v>0</v>
      </c>
      <c r="CL928">
        <v>0</v>
      </c>
      <c r="CM928">
        <v>0</v>
      </c>
      <c r="CN928">
        <v>0</v>
      </c>
      <c r="CO928">
        <v>1</v>
      </c>
      <c r="CP928" t="str">
        <f>IF($BN928&lt;$BM928,"refNeedCorrection","refOK")</f>
        <v>refOK</v>
      </c>
      <c r="CQ928">
        <f>IF($CP928="refOK",$BM928,$BN928)</f>
        <v>1.004</v>
      </c>
      <c r="CR928">
        <f>IF($CP928="refOK",$BN928,$BM928)</f>
        <v>1.0920000000000001</v>
      </c>
      <c r="CS928">
        <f>IF($CP928="refOK",$BQ928,-$BQ928)</f>
        <v>0.38211029092488097</v>
      </c>
      <c r="CT928">
        <f>IF(BI928="Roundwood",$CS928/2,$CS928)</f>
        <v>0.38211029092488097</v>
      </c>
      <c r="CU928">
        <f>IF($CP928="refOK",$BU928,$BV928)*IF($BR928="Emissions positive",-1,1)</f>
        <v>0.72399999999999998</v>
      </c>
      <c r="CV928">
        <f>IF($CP928="refOK",$BV928,$BU928)*IF($BR928="Emissions positive",-1,1)</f>
        <v>0.63800000000000001</v>
      </c>
      <c r="CW928">
        <f>IF($CP928="refNeedCorrection",-BZ928,BZ928)*IF($BR928="Emissions positive",-1,1)</f>
        <v>-0.31561999999999985</v>
      </c>
      <c r="CX928">
        <f>IFERROR($CW928/$CS928,"")</f>
        <v>-0.82599188636363519</v>
      </c>
      <c r="CY928">
        <f>IFERROR($CW928/$CS928,"")</f>
        <v>-0.82599188636363519</v>
      </c>
      <c r="CZ928">
        <f>IFERROR($CW928/$CT928,"")</f>
        <v>-0.82599188636363519</v>
      </c>
      <c r="DA928" s="2">
        <f>IFERROR((CV928-CU928)/ABS(CU928),"")</f>
        <v>-0.11878453038674029</v>
      </c>
      <c r="DB928" s="1" t="s">
        <v>1843</v>
      </c>
      <c r="DC928" t="str">
        <f>IF(OR($DB928="prd",$DB928="std",$DB928="cit"),"loc",IF(OR($DB928="eur",$DB928="reg",$DB928="coy"),"reg",$DB928))</f>
        <v>reg</v>
      </c>
      <c r="DD928" t="s">
        <v>235</v>
      </c>
      <c r="DG928">
        <v>30</v>
      </c>
      <c r="DH928" t="str">
        <f>IF(DG928=0,"0",IF(AND(DG928&gt;=1,DG928&lt;=30),"1-30",IF(AND(DG928&gt;30,DG928&lt;=70),"31-70",IF(AND(DG928&gt;70,DG928&lt;=100),"71-100",IF(DG928&gt;100,"+100")))))</f>
        <v>1-30</v>
      </c>
      <c r="DI928">
        <v>1</v>
      </c>
      <c r="DJ928">
        <v>1</v>
      </c>
      <c r="DK928">
        <v>1</v>
      </c>
      <c r="DL928">
        <v>1</v>
      </c>
      <c r="DM928">
        <v>0</v>
      </c>
      <c r="DN928">
        <f>SUM(DI928:DL928)</f>
        <v>4</v>
      </c>
      <c r="DO928" t="str">
        <f>IF(DN928=1,INDEX($DI$7:$DL$7,MATCH(1,$DI928:$DL928,0)),"mixedProduct")</f>
        <v>mixedProduct</v>
      </c>
      <c r="DP928" t="str">
        <f>IF(DI928=1,DP$7,0)</f>
        <v>Upstream</v>
      </c>
      <c r="DQ928" t="str">
        <f>IF(DJ928=1,DQ$7,0)</f>
        <v>Energy</v>
      </c>
      <c r="DR928" t="str">
        <f>IF(DK928=1,DR$7,0)</f>
        <v>Pulp/Paper</v>
      </c>
      <c r="DS928" t="str">
        <f>IF(DL928=1,DS$7,0)</f>
        <v>Timber</v>
      </c>
      <c r="DT928">
        <v>0</v>
      </c>
      <c r="DU928">
        <v>1</v>
      </c>
      <c r="DV928" s="183" t="s">
        <v>1935</v>
      </c>
      <c r="DW928" s="183" t="s">
        <v>1935</v>
      </c>
      <c r="DX928" s="183">
        <v>0</v>
      </c>
      <c r="DY928"/>
      <c r="DZ928" s="143" t="str">
        <f>IF(DT928=1,"self-calculated DF",IF(DU928=1,"external DF used","explicit C balance"))</f>
        <v>external DF used</v>
      </c>
      <c r="EA928">
        <v>1</v>
      </c>
      <c r="EB928">
        <v>1</v>
      </c>
      <c r="EC928">
        <v>1</v>
      </c>
      <c r="ED928">
        <v>1</v>
      </c>
      <c r="EE928">
        <v>1</v>
      </c>
      <c r="EF928" s="184">
        <v>1</v>
      </c>
      <c r="EG928">
        <v>1</v>
      </c>
      <c r="EH928">
        <v>1</v>
      </c>
      <c r="EI928" s="184">
        <v>0</v>
      </c>
      <c r="EJ928">
        <v>0</v>
      </c>
      <c r="EK928">
        <v>1</v>
      </c>
      <c r="EL928">
        <v>0</v>
      </c>
      <c r="EM928">
        <v>0</v>
      </c>
      <c r="EN928" s="2">
        <v>0</v>
      </c>
      <c r="EP928" t="str">
        <f>IF(AND(AND(AND(OR($EC928=1,$EB928=1),OR($EH928=1,$EF928=1)),SUM($EA928:$EE928,$EK928)&gt;=3),SUM($EF928:$EJ928)&gt;=2),"Whole sector approach","")</f>
        <v>Whole sector approach</v>
      </c>
      <c r="EQ928" t="str">
        <f>IF(AND(AND(OR($EC928=1,$EB928=1),AND($EH928=0,$EF928=0)),SUM($EA928:$EE928,$EK928)&gt;=4),"Ecosystem approach","")</f>
        <v/>
      </c>
      <c r="ER928" s="2" t="str">
        <f>IF(AND(AND(AND($EC928=0,$EB928=0),OR($EH928=1,$EF928=1)),SUM($EG928:$EJ928)&gt;=2),"Technology approach","")</f>
        <v/>
      </c>
      <c r="ES928" t="str">
        <f>IF(AND($EC928+$EB928+$EE928+$EA928+$ED928+$EG928=0,$N928="included"),"C neutral forest and HWP assumption","")</f>
        <v/>
      </c>
      <c r="ET928" t="str">
        <f>IF(AND(AND(AND(AND($EC928=1,$EB928+$EA928+$EG928&gt;=1),$EF928=1),$EH928+$EI928+$ED928+$EE928&gt;=2),$N928="included"),"All C pools assumption","")</f>
        <v>All C pools assumption</v>
      </c>
      <c r="EU928" t="str">
        <f>IF(AND($ED928+$EE928+$EI928+$EH928+$EF928=0,$N928="included"),"In-situ only assumption","")</f>
        <v/>
      </c>
      <c r="EY928" t="str">
        <f>IF(ISNUMBER(BW928),IF(ABS(BW928-[2]QC_indicators!$B$2)&gt;3*[2]QC_indicators!$C$2,"C ratio",IF(ISNUMBER(CA928),IF(ABS(CA928-[2]QC_indicators!$B$1)&gt;3*[2]QC_indicators!$C$1,"DF","no"))),IF(ISNUMBER(CA928),IF(ABS(CA928-[2]QC_indicators!$B$1)&gt;3*[2]QC_indicators!$C$1,"DF","no")))</f>
        <v>no</v>
      </c>
      <c r="FA928" t="str">
        <f>IF(LEN($CY928)=0,"",IF(AND($CY928&lt;(-0.05),$ES928="C neutral forest and HWP assumption"),"Cneutral paradox",IF(AND($CY928&gt;0.05,$EU928="In-situ only assumption"),"In-situ only paradox","")))</f>
        <v/>
      </c>
      <c r="FD928" s="260" t="s">
        <v>2898</v>
      </c>
    </row>
    <row r="929" spans="1:160" hidden="1">
      <c r="A929" s="1" t="s">
        <v>1920</v>
      </c>
      <c r="B929" t="s">
        <v>531</v>
      </c>
      <c r="C929" t="s">
        <v>2021</v>
      </c>
      <c r="D929" t="s">
        <v>2022</v>
      </c>
      <c r="E929" t="s">
        <v>2023</v>
      </c>
      <c r="F929" t="s">
        <v>2024</v>
      </c>
      <c r="G929" t="s">
        <v>1921</v>
      </c>
      <c r="H929" t="s">
        <v>254</v>
      </c>
      <c r="I929">
        <v>2014</v>
      </c>
      <c r="J929">
        <v>96</v>
      </c>
      <c r="K929" t="s">
        <v>2025</v>
      </c>
      <c r="M929" t="str">
        <f>LEFT($D929,FIND(",",$D929)-1)&amp;"_"&amp;I929&amp;L929</f>
        <v>Smyth_2014</v>
      </c>
      <c r="N929" t="s">
        <v>222</v>
      </c>
      <c r="O929" s="145" t="s">
        <v>341</v>
      </c>
      <c r="Q929" t="s">
        <v>256</v>
      </c>
      <c r="R929" s="258" t="s">
        <v>223</v>
      </c>
      <c r="S929" s="1" t="s">
        <v>2048</v>
      </c>
      <c r="T929" t="s">
        <v>1030</v>
      </c>
      <c r="U929" t="s">
        <v>2049</v>
      </c>
      <c r="V929" s="253">
        <v>0</v>
      </c>
      <c r="W929" s="253">
        <v>0</v>
      </c>
      <c r="X929">
        <v>0</v>
      </c>
      <c r="Y929">
        <v>0</v>
      </c>
      <c r="Z929">
        <v>0</v>
      </c>
      <c r="AA929">
        <v>0</v>
      </c>
      <c r="AB929">
        <v>0</v>
      </c>
      <c r="AC929">
        <v>0</v>
      </c>
      <c r="AD929">
        <v>0</v>
      </c>
      <c r="AE929">
        <v>0</v>
      </c>
      <c r="AF929">
        <v>0</v>
      </c>
      <c r="AG929">
        <v>0</v>
      </c>
      <c r="AH929">
        <v>1</v>
      </c>
      <c r="AI929">
        <v>0</v>
      </c>
      <c r="AJ929">
        <v>0</v>
      </c>
      <c r="AK929">
        <v>0</v>
      </c>
      <c r="AL929">
        <v>0</v>
      </c>
      <c r="AM929">
        <v>0</v>
      </c>
      <c r="AN929">
        <v>0</v>
      </c>
      <c r="AO929">
        <v>0</v>
      </c>
      <c r="AP929">
        <v>0</v>
      </c>
      <c r="AQ929">
        <v>0</v>
      </c>
      <c r="AR929">
        <v>0</v>
      </c>
      <c r="AS929">
        <v>0</v>
      </c>
      <c r="AT929">
        <v>0</v>
      </c>
      <c r="AU929">
        <v>0</v>
      </c>
      <c r="AV929">
        <v>0</v>
      </c>
      <c r="AW929">
        <v>0</v>
      </c>
      <c r="AX929">
        <v>0</v>
      </c>
      <c r="AY929">
        <v>0</v>
      </c>
      <c r="AZ929" s="141">
        <f>COUNTIF(X929:AY929,"&lt;&gt;0")</f>
        <v>1</v>
      </c>
      <c r="BA929" s="141">
        <f>COUNTIF(X929:AN929,"&lt;&gt;0")</f>
        <v>1</v>
      </c>
      <c r="BB929">
        <f>COUNTIF(X929:AE929,"&lt;&gt;0")</f>
        <v>0</v>
      </c>
      <c r="BC929">
        <f>COUNTIF(AF929:AK929,"&lt;&gt;0")</f>
        <v>1</v>
      </c>
      <c r="BD929">
        <f>COUNTIF(AL929:AN929,"&lt;&gt;0")</f>
        <v>0</v>
      </c>
      <c r="BE929">
        <f>COUNTIF(AU929:AY929,"&lt;&gt;0")</f>
        <v>0</v>
      </c>
      <c r="BF929">
        <f>COUNTIF(AO929:AT929,"&lt;&gt;0")</f>
        <v>0</v>
      </c>
      <c r="BG929" t="str">
        <f t="array" ref="BG929">IF(BA929=1,INDEX($X$7:$AN$7,MATCH(TRUE,INDEX($X929:$AY929&lt;&gt;0,),0)),IF(BA929=0,INDEX($AO$7:$AY$7,MATCH(1,$AO929:$AY929,0)),IF(BH929="Multiple strategies","mixed drivers",IF(BH929="Supply chain","multiple supply","multiple silviculture"))))</f>
        <v>supply chain organization</v>
      </c>
      <c r="BH929" s="2" t="str" cm="1">
        <f t="array" ref="BH929">IF(COUNTIF(BB929:BD929,"&lt;&gt;0")=1,INDEX($X$4:$AY$4,MATCH(TRUE,INDEX($X929:$AY929&lt;&gt;0,),0)),IF(COUNTIF(BB929:BD929,"&lt;&gt;0")=0,INDEX($AO$4:$AY$4,MATCH(1,$AO929:$AY929,0)),"Multiple strategies"))</f>
        <v>Supply chain</v>
      </c>
      <c r="BN929" s="193"/>
      <c r="BR929" t="s">
        <v>232</v>
      </c>
      <c r="BT929" t="s">
        <v>1018</v>
      </c>
      <c r="BU929">
        <v>159.80000000000001</v>
      </c>
      <c r="BV929">
        <f>BX929+BU929</f>
        <v>149.80000000000001</v>
      </c>
      <c r="BW929" s="144">
        <f>IFERROR(BV929/BU929,"")</f>
        <v>0.93742177722152686</v>
      </c>
      <c r="BX929">
        <v>-10</v>
      </c>
      <c r="BZ929">
        <f>BX929*10^6</f>
        <v>-10000000</v>
      </c>
      <c r="CA929" t="str">
        <f>IFERROR(BZ929/BQ929,"")</f>
        <v/>
      </c>
      <c r="CB929">
        <v>0</v>
      </c>
      <c r="CC929">
        <v>1</v>
      </c>
      <c r="CD929">
        <v>1</v>
      </c>
      <c r="CE929">
        <v>1</v>
      </c>
      <c r="CF929">
        <v>0</v>
      </c>
      <c r="CG929">
        <v>0</v>
      </c>
      <c r="CH929">
        <v>0</v>
      </c>
      <c r="CI929">
        <v>0</v>
      </c>
      <c r="CJ929">
        <v>0</v>
      </c>
      <c r="CK929">
        <v>0</v>
      </c>
      <c r="CL929">
        <v>0</v>
      </c>
      <c r="CM929">
        <v>0</v>
      </c>
      <c r="CN929">
        <v>0</v>
      </c>
      <c r="CO929">
        <v>0</v>
      </c>
      <c r="CP929" t="str">
        <f>IF(BN929&lt;BM929,"refNeedCorrection","refOK")</f>
        <v>refOK</v>
      </c>
      <c r="CQ929"/>
      <c r="CR929"/>
      <c r="CS929"/>
      <c r="CT929">
        <f>IF(BI929="Roundwood",$CS929/2,$CS929)</f>
        <v>0</v>
      </c>
      <c r="CU929">
        <f>IF($CP929="refOK",$BU929,$BV929)*IF($BR929="Emissions positive",-1,1)</f>
        <v>159.80000000000001</v>
      </c>
      <c r="CV929">
        <f>IF($CP929="refOK",$BV929,$BU929)*IF($BR929="Emissions positive",-1,1)</f>
        <v>149.80000000000001</v>
      </c>
      <c r="CW929">
        <f>IF($CP929="refNeedCorrection",-BZ929,BZ929)*IF($BR929="Emissions positive",-1,1)</f>
        <v>-10000000</v>
      </c>
      <c r="CX929" t="str">
        <f>IFERROR($CW929/$CS929,"")</f>
        <v/>
      </c>
      <c r="CY929" t="str">
        <f>IFERROR($CW929/$CS929,"")</f>
        <v/>
      </c>
      <c r="CZ929" t="str">
        <f>IFERROR($CW929/$CT929,"")</f>
        <v/>
      </c>
      <c r="DA929" s="2">
        <f>IFERROR((CV929-CU929)/ABS(CU929),"")</f>
        <v>-6.257822277847308E-2</v>
      </c>
      <c r="DB929" s="1" t="s">
        <v>1078</v>
      </c>
      <c r="DC929" t="str">
        <f>IF(OR($DB929="prd",$DB929="std",$DB929="cit"),"loc",IF(OR($DB929="eur",$DB929="reg",$DB929="coy"),"reg",$DB929))</f>
        <v>reg</v>
      </c>
      <c r="DD929" t="s">
        <v>527</v>
      </c>
      <c r="DE929">
        <v>2015</v>
      </c>
      <c r="DF929">
        <v>2050</v>
      </c>
      <c r="DG929">
        <v>35</v>
      </c>
      <c r="DH929" t="str">
        <f>IF(DG929=0,"0",IF(AND(DG929&gt;=1,DG929&lt;=30),"1-30",IF(AND(DG929&gt;30,DG929&lt;=70),"31-70",IF(AND(DG929&gt;70,DG929&lt;=100),"71-100",IF(DG929&gt;100,"+100")))))</f>
        <v>31-70</v>
      </c>
      <c r="DI929">
        <v>0</v>
      </c>
      <c r="DJ929">
        <v>1</v>
      </c>
      <c r="DK929">
        <v>1</v>
      </c>
      <c r="DL929">
        <v>1</v>
      </c>
      <c r="DN929">
        <f>SUM(DI929:DL929)</f>
        <v>3</v>
      </c>
      <c r="DO929" t="str">
        <f>IF(DN929=1,INDEX($DI$7:$DL$7,MATCH(1,$DI929:$DL929,0)),"mixedProduct")</f>
        <v>mixedProduct</v>
      </c>
      <c r="DP929">
        <f>IF(DI929=1,DP$7,0)</f>
        <v>0</v>
      </c>
      <c r="DQ929" t="str">
        <f>IF(DJ929=1,DQ$7,0)</f>
        <v>Energy</v>
      </c>
      <c r="DR929" t="str">
        <f>IF(DK929=1,DR$7,0)</f>
        <v>Pulp/Paper</v>
      </c>
      <c r="DS929" t="str">
        <f>IF(DL929=1,DS$7,0)</f>
        <v>Timber</v>
      </c>
      <c r="DT929">
        <v>1</v>
      </c>
      <c r="DU929">
        <v>1</v>
      </c>
      <c r="DV929" t="s">
        <v>2028</v>
      </c>
      <c r="DW929">
        <v>0</v>
      </c>
      <c r="DX929">
        <v>0</v>
      </c>
      <c r="DY929">
        <f>SUM(DT929:DU929)</f>
        <v>2</v>
      </c>
      <c r="DZ929" s="143" t="str">
        <f>IF(DT929=1,"self-calculated DF",IF(DU929=1,"external DF used","explicit C balance"))</f>
        <v>self-calculated DF</v>
      </c>
      <c r="EA929">
        <v>1</v>
      </c>
      <c r="EB929">
        <v>1</v>
      </c>
      <c r="EC929">
        <v>1</v>
      </c>
      <c r="ED929">
        <v>1</v>
      </c>
      <c r="EE929">
        <v>1</v>
      </c>
      <c r="EF929">
        <v>1</v>
      </c>
      <c r="EG929">
        <v>0</v>
      </c>
      <c r="EH929">
        <v>0</v>
      </c>
      <c r="EI929">
        <v>0</v>
      </c>
      <c r="EJ929">
        <v>0</v>
      </c>
      <c r="EK929">
        <v>1</v>
      </c>
      <c r="EL929">
        <v>0</v>
      </c>
      <c r="EM929">
        <v>0</v>
      </c>
      <c r="EN929" s="2">
        <v>0</v>
      </c>
      <c r="EP929" t="str">
        <f>IF(AND(AND(AND(OR($EC929=1,$EB929=1),OR($EH929=1,$EF929=1)),SUM($EA929:$EE929,$EK929)&gt;=3),SUM($EF929:$EJ929)&gt;=2),"Whole sector approach","")</f>
        <v/>
      </c>
      <c r="EQ929" t="str">
        <f>IF(AND(AND(OR($EC929=1,$EB929=1),AND($EH929=0,$EF929=0)),SUM($EA929:$EE929,$EK929)&gt;=4),"Ecosystem approach","")</f>
        <v/>
      </c>
      <c r="ER929" s="2" t="str">
        <f>IF(AND(AND(AND($EC929=0,$EB929=0),OR($EH929=1,$EF929=1)),SUM($EG929:$EJ929)&gt;=2),"Technology approach","")</f>
        <v/>
      </c>
      <c r="ES929" t="str">
        <f>IF(AND($EC929+$EB929+$EE929+$EA929+$ED929+$EG929=0,$N929="included"),"C neutral forest and HWP assumption","")</f>
        <v/>
      </c>
      <c r="ET929" t="str">
        <f>IF(AND(AND(AND(AND($EC929=1,$EB929+$EA929+$EG929&gt;=1),$EF929=1),$EH929+$EI929+$ED929+$EE929&gt;=2),$N929="included"),"All C pools assumption","")</f>
        <v>All C pools assumption</v>
      </c>
      <c r="EU929" t="str">
        <f>IF(AND($ED929+$EE929+$EI929+$EH929+$EF929=0,$N929="included"),"In-situ only assumption","")</f>
        <v/>
      </c>
      <c r="EV929" s="328" t="s">
        <v>5065</v>
      </c>
      <c r="EY929" t="b">
        <f>IF(ISNUMBER(BW929),IF(ABS(BW929-[2]QC_indicators!$B$2)&gt;3*[2]QC_indicators!$C$2,"C ratio",IF(ISNUMBER(CA929),IF(ABS(CA929-[2]QC_indicators!$B$1)&gt;3*[2]QC_indicators!$C$1,"DF","no"))),IF(ISNUMBER(CA929),IF(ABS(CA929-[2]QC_indicators!$B$1)&gt;3*[2]QC_indicators!$C$1,"DF","no")))</f>
        <v>0</v>
      </c>
      <c r="FA929" t="str">
        <f>IF(LEN($CY929)=0,"",IF(AND($CY929&lt;(-0.05),$ES929="C neutral forest and HWP assumption"),"Cneutral paradox",IF(AND($CY929&gt;0.05,$EU929="In-situ only assumption"),"In-situ only paradox","")))</f>
        <v/>
      </c>
      <c r="FD929" s="263" t="s">
        <v>2917</v>
      </c>
    </row>
    <row r="930" spans="1:160" ht="15" hidden="1" customHeight="1">
      <c r="A930" s="1" t="s">
        <v>1920</v>
      </c>
      <c r="B930" t="s">
        <v>531</v>
      </c>
      <c r="C930" t="s">
        <v>2021</v>
      </c>
      <c r="D930" t="s">
        <v>2022</v>
      </c>
      <c r="E930" t="s">
        <v>2023</v>
      </c>
      <c r="F930" t="s">
        <v>2024</v>
      </c>
      <c r="G930" t="s">
        <v>1921</v>
      </c>
      <c r="H930" t="s">
        <v>254</v>
      </c>
      <c r="I930">
        <v>2014</v>
      </c>
      <c r="J930">
        <v>96</v>
      </c>
      <c r="K930" t="s">
        <v>2025</v>
      </c>
      <c r="M930" t="str">
        <f>LEFT($D930,FIND(",",$D930)-1)&amp;"_"&amp;I930&amp;L930</f>
        <v>Smyth_2014</v>
      </c>
      <c r="N930" t="s">
        <v>222</v>
      </c>
      <c r="O930" s="145" t="s">
        <v>341</v>
      </c>
      <c r="Q930" t="s">
        <v>256</v>
      </c>
      <c r="R930" s="258" t="s">
        <v>223</v>
      </c>
      <c r="S930" s="1" t="s">
        <v>2050</v>
      </c>
      <c r="T930" t="s">
        <v>1030</v>
      </c>
      <c r="U930" t="s">
        <v>1271</v>
      </c>
      <c r="V930" s="253">
        <v>0</v>
      </c>
      <c r="W930" s="253">
        <v>0</v>
      </c>
      <c r="X930">
        <v>0</v>
      </c>
      <c r="Y930">
        <v>0</v>
      </c>
      <c r="Z930">
        <v>0</v>
      </c>
      <c r="AA930">
        <v>0</v>
      </c>
      <c r="AB930">
        <v>0</v>
      </c>
      <c r="AC930">
        <v>0</v>
      </c>
      <c r="AD930">
        <v>0</v>
      </c>
      <c r="AE930">
        <v>0</v>
      </c>
      <c r="AF930">
        <v>0</v>
      </c>
      <c r="AG930">
        <v>0</v>
      </c>
      <c r="AH930">
        <v>1</v>
      </c>
      <c r="AI930">
        <v>0</v>
      </c>
      <c r="AJ930">
        <v>0</v>
      </c>
      <c r="AK930">
        <v>0</v>
      </c>
      <c r="AL930">
        <v>0</v>
      </c>
      <c r="AM930">
        <v>0</v>
      </c>
      <c r="AN930">
        <v>0</v>
      </c>
      <c r="AO930">
        <v>0</v>
      </c>
      <c r="AP930">
        <v>0</v>
      </c>
      <c r="AQ930">
        <v>0</v>
      </c>
      <c r="AR930">
        <v>0</v>
      </c>
      <c r="AS930">
        <v>0</v>
      </c>
      <c r="AT930">
        <v>0</v>
      </c>
      <c r="AU930">
        <v>0</v>
      </c>
      <c r="AV930">
        <v>0</v>
      </c>
      <c r="AW930">
        <v>0</v>
      </c>
      <c r="AX930">
        <v>0</v>
      </c>
      <c r="AY930">
        <v>0</v>
      </c>
      <c r="AZ930" s="141">
        <f>COUNTIF(X930:AY930,"&lt;&gt;0")</f>
        <v>1</v>
      </c>
      <c r="BA930" s="141">
        <f>COUNTIF(X930:AN930,"&lt;&gt;0")</f>
        <v>1</v>
      </c>
      <c r="BB930">
        <f>COUNTIF(X930:AE930,"&lt;&gt;0")</f>
        <v>0</v>
      </c>
      <c r="BC930">
        <f>COUNTIF(AF930:AK930,"&lt;&gt;0")</f>
        <v>1</v>
      </c>
      <c r="BD930">
        <f>COUNTIF(AL930:AN930,"&lt;&gt;0")</f>
        <v>0</v>
      </c>
      <c r="BE930">
        <f>COUNTIF(AU930:AY930,"&lt;&gt;0")</f>
        <v>0</v>
      </c>
      <c r="BF930">
        <f>COUNTIF(AO930:AT930,"&lt;&gt;0")</f>
        <v>0</v>
      </c>
      <c r="BG930" t="str">
        <f t="array" ref="BG930">IF(BA930=1,INDEX($X$7:$AN$7,MATCH(TRUE,INDEX($X930:$AY930&lt;&gt;0,),0)),IF(BA930=0,INDEX($AO$7:$AY$7,MATCH(1,$AO930:$AY930,0)),IF(BH930="Multiple strategies","mixed drivers",IF(BH930="Supply chain","multiple supply","multiple silviculture"))))</f>
        <v>supply chain organization</v>
      </c>
      <c r="BH930" s="2" t="str" cm="1">
        <f t="array" ref="BH930">IF(COUNTIF(BB930:BD930,"&lt;&gt;0")=1,INDEX($X$4:$AY$4,MATCH(TRUE,INDEX($X930:$AY930&lt;&gt;0,),0)),IF(COUNTIF(BB930:BD930,"&lt;&gt;0")=0,INDEX($AO$4:$AY$4,MATCH(1,$AO930:$AY930,0)),"Multiple strategies"))</f>
        <v>Supply chain</v>
      </c>
      <c r="BN930" s="193"/>
      <c r="BR930" t="s">
        <v>232</v>
      </c>
      <c r="BT930" t="s">
        <v>1018</v>
      </c>
      <c r="BU930">
        <v>159.80000000000001</v>
      </c>
      <c r="BV930">
        <f>BX930+BU930</f>
        <v>559.79999999999995</v>
      </c>
      <c r="BW930" s="144">
        <f>IFERROR(BV930/BU930,"")</f>
        <v>3.5031289111389232</v>
      </c>
      <c r="BX930">
        <v>400</v>
      </c>
      <c r="BZ930">
        <f>BX930*10^6</f>
        <v>400000000</v>
      </c>
      <c r="CA930" t="str">
        <f>IFERROR(BZ930/BQ930,"")</f>
        <v/>
      </c>
      <c r="CB930">
        <v>0</v>
      </c>
      <c r="CC930">
        <v>1</v>
      </c>
      <c r="CD930">
        <v>1</v>
      </c>
      <c r="CE930">
        <v>1</v>
      </c>
      <c r="CF930">
        <v>0</v>
      </c>
      <c r="CG930">
        <v>0</v>
      </c>
      <c r="CH930">
        <v>0</v>
      </c>
      <c r="CI930">
        <v>0</v>
      </c>
      <c r="CJ930">
        <v>0</v>
      </c>
      <c r="CK930">
        <v>0</v>
      </c>
      <c r="CL930">
        <v>0</v>
      </c>
      <c r="CM930">
        <v>0</v>
      </c>
      <c r="CN930">
        <v>0</v>
      </c>
      <c r="CO930">
        <v>0</v>
      </c>
      <c r="CP930" t="str">
        <f>IF(BN930&lt;BM930,"refNeedCorrection","refOK")</f>
        <v>refOK</v>
      </c>
      <c r="CQ930"/>
      <c r="CR930"/>
      <c r="CS930"/>
      <c r="CT930">
        <f>IF(BI930="Roundwood",$CS930/2,$CS930)</f>
        <v>0</v>
      </c>
      <c r="CU930">
        <f>IF($CP930="refOK",$BU930,$BV930)*IF($BR930="Emissions positive",-1,1)</f>
        <v>159.80000000000001</v>
      </c>
      <c r="CV930">
        <f>IF($CP930="refOK",$BV930,$BU930)*IF($BR930="Emissions positive",-1,1)</f>
        <v>559.79999999999995</v>
      </c>
      <c r="CW930">
        <f>IF($CP930="refNeedCorrection",-BZ930,BZ930)*IF($BR930="Emissions positive",-1,1)</f>
        <v>400000000</v>
      </c>
      <c r="CX930" t="str">
        <f>IFERROR($CW930/$CS930,"")</f>
        <v/>
      </c>
      <c r="CY930" t="str">
        <f>IFERROR($CW930/$CS930,"")</f>
        <v/>
      </c>
      <c r="CZ930" t="str">
        <f>IFERROR($CW930/$CT930,"")</f>
        <v/>
      </c>
      <c r="DA930" s="2">
        <f>IFERROR((CV930-CU930)/ABS(CU930),"")</f>
        <v>2.5031289111389232</v>
      </c>
      <c r="DB930" s="1" t="s">
        <v>1078</v>
      </c>
      <c r="DC930" t="str">
        <f>IF(OR($DB930="prd",$DB930="std",$DB930="cit"),"loc",IF(OR($DB930="eur",$DB930="reg",$DB930="coy"),"reg",$DB930))</f>
        <v>reg</v>
      </c>
      <c r="DD930" t="s">
        <v>527</v>
      </c>
      <c r="DE930">
        <v>2015</v>
      </c>
      <c r="DF930">
        <v>2050</v>
      </c>
      <c r="DG930">
        <v>35</v>
      </c>
      <c r="DH930" t="str">
        <f>IF(DG930=0,"0",IF(AND(DG930&gt;=1,DG930&lt;=30),"1-30",IF(AND(DG930&gt;30,DG930&lt;=70),"31-70",IF(AND(DG930&gt;70,DG930&lt;=100),"71-100",IF(DG930&gt;100,"+100")))))</f>
        <v>31-70</v>
      </c>
      <c r="DI930">
        <v>0</v>
      </c>
      <c r="DJ930">
        <v>1</v>
      </c>
      <c r="DK930">
        <v>1</v>
      </c>
      <c r="DL930">
        <v>1</v>
      </c>
      <c r="DN930">
        <f>SUM(DI930:DL930)</f>
        <v>3</v>
      </c>
      <c r="DO930" t="str">
        <f>IF(DN930=1,INDEX($DI$7:$DL$7,MATCH(1,$DI930:$DL930,0)),"mixedProduct")</f>
        <v>mixedProduct</v>
      </c>
      <c r="DP930">
        <f>IF(DI930=1,DP$7,0)</f>
        <v>0</v>
      </c>
      <c r="DQ930" t="str">
        <f>IF(DJ930=1,DQ$7,0)</f>
        <v>Energy</v>
      </c>
      <c r="DR930" t="str">
        <f>IF(DK930=1,DR$7,0)</f>
        <v>Pulp/Paper</v>
      </c>
      <c r="DS930" t="str">
        <f>IF(DL930=1,DS$7,0)</f>
        <v>Timber</v>
      </c>
      <c r="DT930">
        <v>1</v>
      </c>
      <c r="DU930">
        <v>1</v>
      </c>
      <c r="DV930" t="s">
        <v>2028</v>
      </c>
      <c r="DW930">
        <v>0</v>
      </c>
      <c r="DX930">
        <v>0</v>
      </c>
      <c r="DY930">
        <f>SUM(DT930:DU930)</f>
        <v>2</v>
      </c>
      <c r="DZ930" s="143" t="str">
        <f>IF(DT930=1,"self-calculated DF",IF(DU930=1,"external DF used","explicit C balance"))</f>
        <v>self-calculated DF</v>
      </c>
      <c r="EA930">
        <v>1</v>
      </c>
      <c r="EB930">
        <v>1</v>
      </c>
      <c r="EC930">
        <v>1</v>
      </c>
      <c r="ED930">
        <v>1</v>
      </c>
      <c r="EE930">
        <v>1</v>
      </c>
      <c r="EF930">
        <v>1</v>
      </c>
      <c r="EG930">
        <v>0</v>
      </c>
      <c r="EH930">
        <v>0</v>
      </c>
      <c r="EI930">
        <v>0</v>
      </c>
      <c r="EJ930">
        <v>0</v>
      </c>
      <c r="EK930">
        <v>1</v>
      </c>
      <c r="EL930">
        <v>0</v>
      </c>
      <c r="EM930">
        <v>0</v>
      </c>
      <c r="EN930" s="2">
        <v>0</v>
      </c>
      <c r="EP930" t="str">
        <f>IF(AND(AND(AND(OR($EC930=1,$EB930=1),OR($EH930=1,$EF930=1)),SUM($EA930:$EE930,$EK930)&gt;=3),SUM($EF930:$EJ930)&gt;=2),"Whole sector approach","")</f>
        <v/>
      </c>
      <c r="EQ930" t="str">
        <f>IF(AND(AND(OR($EC930=1,$EB930=1),AND($EH930=0,$EF930=0)),SUM($EA930:$EE930,$EK930)&gt;=4),"Ecosystem approach","")</f>
        <v/>
      </c>
      <c r="ER930" s="2" t="str">
        <f>IF(AND(AND(AND($EC930=0,$EB930=0),OR($EH930=1,$EF930=1)),SUM($EG930:$EJ930)&gt;=2),"Technology approach","")</f>
        <v/>
      </c>
      <c r="ES930" t="str">
        <f>IF(AND($EC930+$EB930+$EE930+$EA930+$ED930+$EG930=0,$N930="included"),"C neutral forest and HWP assumption","")</f>
        <v/>
      </c>
      <c r="ET930" t="str">
        <f>IF(AND(AND(AND(AND($EC930=1,$EB930+$EA930+$EG930&gt;=1),$EF930=1),$EH930+$EI930+$ED930+$EE930&gt;=2),$N930="included"),"All C pools assumption","")</f>
        <v>All C pools assumption</v>
      </c>
      <c r="EU930" t="str">
        <f>IF(AND($ED930+$EE930+$EI930+$EH930+$EF930=0,$N930="included"),"In-situ only assumption","")</f>
        <v/>
      </c>
      <c r="EV930" s="328" t="s">
        <v>5065</v>
      </c>
      <c r="EY930" t="b">
        <f>IF(ISNUMBER(BW930),IF(ABS(BW930-[2]QC_indicators!$B$2)&gt;3*[2]QC_indicators!$C$2,"C ratio",IF(ISNUMBER(CA930),IF(ABS(CA930-[2]QC_indicators!$B$1)&gt;3*[2]QC_indicators!$C$1,"DF","no"))),IF(ISNUMBER(CA930),IF(ABS(CA930-[2]QC_indicators!$B$1)&gt;3*[2]QC_indicators!$C$1,"DF","no")))</f>
        <v>0</v>
      </c>
      <c r="FA930" t="str">
        <f>IF(LEN($CY930)=0,"",IF(AND($CY930&lt;(-0.05),$ES930="C neutral forest and HWP assumption"),"Cneutral paradox",IF(AND($CY930&gt;0.05,$EU930="In-situ only assumption"),"In-situ only paradox","")))</f>
        <v/>
      </c>
      <c r="FD930" s="263" t="s">
        <v>2917</v>
      </c>
    </row>
    <row r="931" spans="1:160">
      <c r="A931" s="1" t="s">
        <v>1920</v>
      </c>
      <c r="B931" t="s">
        <v>531</v>
      </c>
      <c r="C931" t="s">
        <v>2021</v>
      </c>
      <c r="D931" t="s">
        <v>2022</v>
      </c>
      <c r="E931" t="s">
        <v>2023</v>
      </c>
      <c r="F931" t="s">
        <v>2024</v>
      </c>
      <c r="G931" t="s">
        <v>1921</v>
      </c>
      <c r="H931" t="s">
        <v>254</v>
      </c>
      <c r="I931">
        <v>2014</v>
      </c>
      <c r="J931">
        <v>96</v>
      </c>
      <c r="K931" t="s">
        <v>2025</v>
      </c>
      <c r="M931" t="str">
        <f>LEFT($D931,FIND(",",$D931)-1)&amp;"_"&amp;I931&amp;L931</f>
        <v>Smyth_2014</v>
      </c>
      <c r="N931" t="s">
        <v>222</v>
      </c>
      <c r="O931" s="145" t="s">
        <v>341</v>
      </c>
      <c r="Q931" t="s">
        <v>256</v>
      </c>
      <c r="R931" s="258" t="s">
        <v>223</v>
      </c>
      <c r="S931" s="1" t="s">
        <v>2039</v>
      </c>
      <c r="T931" t="s">
        <v>2040</v>
      </c>
      <c r="U931" t="s">
        <v>1030</v>
      </c>
      <c r="V931" s="334">
        <v>1</v>
      </c>
      <c r="W931">
        <v>0</v>
      </c>
      <c r="X931">
        <v>1</v>
      </c>
      <c r="Y931">
        <v>0</v>
      </c>
      <c r="Z931">
        <v>0</v>
      </c>
      <c r="AA931">
        <v>2</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s="141">
        <f>COUNTIF(X931:AY931,"&lt;&gt;0")</f>
        <v>2</v>
      </c>
      <c r="BA931" s="141">
        <f>COUNTIF(X931:AN931,"&lt;&gt;0")</f>
        <v>2</v>
      </c>
      <c r="BB931">
        <f>COUNTIF(X931:AE931,"&lt;&gt;0")</f>
        <v>2</v>
      </c>
      <c r="BC931">
        <f>COUNTIF(AF931:AK931,"&lt;&gt;0")</f>
        <v>0</v>
      </c>
      <c r="BD931">
        <f>COUNTIF(AL931:AN931,"&lt;&gt;0")</f>
        <v>0</v>
      </c>
      <c r="BE931">
        <f>COUNTIF(AU931:AY931,"&lt;&gt;0")</f>
        <v>0</v>
      </c>
      <c r="BF931">
        <f>COUNTIF(AO931:AT931,"&lt;&gt;0")</f>
        <v>0</v>
      </c>
      <c r="BG931" t="str">
        <f t="array" ref="BG931">IF(BA931=1,INDEX($X$7:$AN$7,MATCH(TRUE,INDEX($X931:$AY931&lt;&gt;0,),0)),IF(BA931=0,INDEX($AO$7:$AY$7,MATCH(1,$AO931:$AY931,0)),IF(BH931="Multiple strategies","mixed drivers",IF(BH931="Supply chain","multiple supply","multiple silviculture"))))</f>
        <v>multiple silviculture</v>
      </c>
      <c r="BH931" s="2" t="str" cm="1">
        <f t="array" ref="BH931">IF(COUNTIF(BB931:BD931,"&lt;&gt;0")=1,INDEX($X$4:$AY$4,MATCH(TRUE,INDEX($X931:$AY931&lt;&gt;0,),0)),IF(COUNTIF(BB931:BD931,"&lt;&gt;0")=0,INDEX($AO$4:$AY$4,MATCH(1,$AO931:$AY931,0)),"Multiple strategies"))</f>
        <v>Silviculture for removals</v>
      </c>
      <c r="BI931" s="1" t="s">
        <v>321</v>
      </c>
      <c r="BJ931" t="s">
        <v>2041</v>
      </c>
      <c r="BK931" t="s">
        <v>978</v>
      </c>
      <c r="BL931" t="s">
        <v>2032</v>
      </c>
      <c r="BM931">
        <v>-1.41</v>
      </c>
      <c r="BN931">
        <v>0</v>
      </c>
      <c r="BP931">
        <f>BN931-BM931</f>
        <v>1.41</v>
      </c>
      <c r="BQ931">
        <f>BP931*10^6*tC_to_m3</f>
        <v>6122448.9795918372</v>
      </c>
      <c r="BR931" t="s">
        <v>232</v>
      </c>
      <c r="BS931" s="336" t="s">
        <v>763</v>
      </c>
      <c r="BT931" s="260" t="s">
        <v>2919</v>
      </c>
      <c r="BW931" s="144"/>
      <c r="BX931">
        <f>-136/35</f>
        <v>-3.8857142857142857</v>
      </c>
      <c r="BZ931">
        <f>BX931*10^6</f>
        <v>-3885714.2857142854</v>
      </c>
      <c r="CA931">
        <f>IFERROR(BZ931/BQ931,"")</f>
        <v>-0.6346666666666666</v>
      </c>
      <c r="CB931">
        <v>0</v>
      </c>
      <c r="CC931">
        <v>1</v>
      </c>
      <c r="CD931">
        <v>1</v>
      </c>
      <c r="CE931">
        <v>1</v>
      </c>
      <c r="CF931">
        <v>0</v>
      </c>
      <c r="CG931">
        <v>0</v>
      </c>
      <c r="CH931">
        <v>0</v>
      </c>
      <c r="CI931">
        <v>0</v>
      </c>
      <c r="CJ931">
        <v>0</v>
      </c>
      <c r="CK931">
        <v>0</v>
      </c>
      <c r="CL931">
        <v>0</v>
      </c>
      <c r="CM931">
        <v>0</v>
      </c>
      <c r="CN931">
        <v>0</v>
      </c>
      <c r="CO931">
        <v>0</v>
      </c>
      <c r="CP931" t="str">
        <f>IF(BN931&lt;BM931,"refNeedCorrection","refOK")</f>
        <v>refOK</v>
      </c>
      <c r="CQ931">
        <f>IF($CP931="refOK",$BM931,$BN931)</f>
        <v>-1.41</v>
      </c>
      <c r="CR931">
        <f>IF($CP931="refOK",$BN931,$BM931)</f>
        <v>0</v>
      </c>
      <c r="CS931">
        <f>IF($CP931="refOK",$BQ931,-$BQ931)</f>
        <v>6122448.9795918372</v>
      </c>
      <c r="CT931">
        <f>IF(BI931="Roundwood",$CS931/2,$CS931)</f>
        <v>3061224.4897959186</v>
      </c>
      <c r="CU931">
        <f>IF($CP931="refOK",$BU931,$BV931)*IF($BR931="Emissions positive",-1,1)</f>
        <v>0</v>
      </c>
      <c r="CV931">
        <f>IF($CP931="refOK",$BV931,$BU931)*IF($BR931="Emissions positive",-1,1)</f>
        <v>0</v>
      </c>
      <c r="CW931">
        <f>IF($CP931="refNeedCorrection",-BZ931,BZ931)*IF($BR931="Emissions positive",-1,1)</f>
        <v>-3885714.2857142854</v>
      </c>
      <c r="CX931">
        <f>IFERROR($CW931/$CS931,"")</f>
        <v>-0.6346666666666666</v>
      </c>
      <c r="CY931">
        <f>IFERROR($CW931/$CS931,"")</f>
        <v>-0.6346666666666666</v>
      </c>
      <c r="CZ931">
        <f>IFERROR($CW931/$CT931,"")</f>
        <v>-1.2693333333333332</v>
      </c>
      <c r="DA931" s="2" t="str">
        <f>IFERROR((CV931-CU931)/ABS(CU931),"")</f>
        <v/>
      </c>
      <c r="DB931" s="1" t="s">
        <v>1078</v>
      </c>
      <c r="DC931" t="str">
        <f>IF(OR($DB931="prd",$DB931="std",$DB931="cit"),"loc",IF(OR($DB931="eur",$DB931="reg",$DB931="coy"),"reg",$DB931))</f>
        <v>reg</v>
      </c>
      <c r="DD931" t="s">
        <v>527</v>
      </c>
      <c r="DE931">
        <v>2015</v>
      </c>
      <c r="DF931">
        <v>2050</v>
      </c>
      <c r="DG931">
        <v>35</v>
      </c>
      <c r="DH931" t="str">
        <f>IF(DG931=0,"0",IF(AND(DG931&gt;=1,DG931&lt;=30),"1-30",IF(AND(DG931&gt;30,DG931&lt;=70),"31-70",IF(AND(DG931&gt;70,DG931&lt;=100),"71-100",IF(DG931&gt;100,"+100")))))</f>
        <v>31-70</v>
      </c>
      <c r="DI931">
        <v>0</v>
      </c>
      <c r="DJ931">
        <v>1</v>
      </c>
      <c r="DK931">
        <v>1</v>
      </c>
      <c r="DL931">
        <v>1</v>
      </c>
      <c r="DN931">
        <f>SUM(DI931:DL931)</f>
        <v>3</v>
      </c>
      <c r="DO931" t="str">
        <f>IF(DN931=1,INDEX($DI$7:$DL$7,MATCH(1,$DI931:$DL931,0)),"mixedProduct")</f>
        <v>mixedProduct</v>
      </c>
      <c r="DP931">
        <f>IF(DI931=1,DP$7,0)</f>
        <v>0</v>
      </c>
      <c r="DQ931" t="str">
        <f>IF(DJ931=1,DQ$7,0)</f>
        <v>Energy</v>
      </c>
      <c r="DR931" t="str">
        <f>IF(DK931=1,DR$7,0)</f>
        <v>Pulp/Paper</v>
      </c>
      <c r="DS931" t="str">
        <f>IF(DL931=1,DS$7,0)</f>
        <v>Timber</v>
      </c>
      <c r="DT931">
        <v>0</v>
      </c>
      <c r="DU931">
        <v>0</v>
      </c>
      <c r="DW931">
        <v>0</v>
      </c>
      <c r="DX931">
        <v>0</v>
      </c>
      <c r="DY931">
        <f>SUM(DT931:DU931)</f>
        <v>0</v>
      </c>
      <c r="DZ931" s="143" t="str">
        <f>IF(DT931=1,"self-calculated DF",IF(DU931=1,"external DF used","explicit C balance"))</f>
        <v>explicit C balance</v>
      </c>
      <c r="EA931">
        <v>1</v>
      </c>
      <c r="EB931">
        <v>1</v>
      </c>
      <c r="EC931">
        <v>1</v>
      </c>
      <c r="ED931">
        <v>0</v>
      </c>
      <c r="EE931">
        <v>0</v>
      </c>
      <c r="EF931">
        <v>0</v>
      </c>
      <c r="EG931">
        <v>0</v>
      </c>
      <c r="EH931">
        <v>0</v>
      </c>
      <c r="EI931">
        <v>0</v>
      </c>
      <c r="EJ931">
        <v>0</v>
      </c>
      <c r="EK931">
        <v>1</v>
      </c>
      <c r="EL931">
        <v>0</v>
      </c>
      <c r="EM931">
        <v>0</v>
      </c>
      <c r="EN931" s="2">
        <v>0</v>
      </c>
      <c r="EP931" t="str">
        <f>IF(AND(AND(AND(OR($EC931=1,$EB931=1),OR($EH931=1,$EF931=1)),SUM($EA931:$EE931,$EK931)&gt;=3),SUM($EF931:$EJ931)&gt;=2),"Whole sector approach","")</f>
        <v/>
      </c>
      <c r="EQ931" t="str">
        <f>IF(AND(AND(OR($EC931=1,$EB931=1),AND($EH931=0,$EF931=0)),SUM($EA931:$EE931,$EK931)&gt;=4),"Ecosystem approach","")</f>
        <v>Ecosystem approach</v>
      </c>
      <c r="ER931" s="2" t="str">
        <f>IF(AND(AND(AND($EC931=0,$EB931=0),OR($EH931=1,$EF931=1)),SUM($EG931:$EJ931)&gt;=2),"Technology approach","")</f>
        <v/>
      </c>
      <c r="ES931" t="str">
        <f>IF(AND($EC931+$EB931+$EE931+$EA931+$ED931+$EG931=0,$N931="included"),"C neutral forest and HWP assumption","")</f>
        <v/>
      </c>
      <c r="ET931" t="str">
        <f>IF(AND(AND(AND(AND($EC931=1,$EB931+$EA931+$EG931&gt;=1),$EF931=1),$EH931+$EI931+$ED931+$EE931&gt;=2),$N931="included"),"All C pools assumption","")</f>
        <v/>
      </c>
      <c r="EU931" t="str">
        <f>IF(AND($ED931+$EE931+$EI931+$EH931+$EF931=0,$N931="included"),"In-situ only assumption","")</f>
        <v>In-situ only assumption</v>
      </c>
      <c r="EV931" s="328" t="s">
        <v>5065</v>
      </c>
      <c r="EW931" t="s">
        <v>2042</v>
      </c>
      <c r="EY931" t="str">
        <f>IF(ISNUMBER(BW931),IF(ABS(BW931-[2]QC_indicators!$B$2)&gt;3*[2]QC_indicators!$C$2,"C ratio",IF(ISNUMBER(CA931),IF(ABS(CA931-[2]QC_indicators!$B$1)&gt;3*[2]QC_indicators!$C$1,"DF","no"))),IF(ISNUMBER(CA931),IF(ABS(CA931-[2]QC_indicators!$B$1)&gt;3*[2]QC_indicators!$C$1,"DF","no")))</f>
        <v>no</v>
      </c>
      <c r="FA931" t="str">
        <f>IF(LEN($CY931)=0,"",IF(AND($CY931&lt;(-0.05),$ES931="C neutral forest and HWP assumption"),"Cneutral paradox",IF(AND($CY931&gt;0.05,$EU931="In-situ only assumption"),"In-situ only paradox","")))</f>
        <v/>
      </c>
      <c r="FB931" t="s">
        <v>2043</v>
      </c>
      <c r="FD931" s="263" t="s">
        <v>2917</v>
      </c>
    </row>
    <row r="932" spans="1:160" ht="15" hidden="1" customHeight="1">
      <c r="A932" s="1" t="s">
        <v>1920</v>
      </c>
      <c r="B932" t="s">
        <v>531</v>
      </c>
      <c r="C932" t="s">
        <v>2021</v>
      </c>
      <c r="D932" t="s">
        <v>2022</v>
      </c>
      <c r="E932" t="s">
        <v>2023</v>
      </c>
      <c r="F932" t="s">
        <v>2024</v>
      </c>
      <c r="G932" t="s">
        <v>1921</v>
      </c>
      <c r="H932" t="s">
        <v>254</v>
      </c>
      <c r="I932">
        <v>2014</v>
      </c>
      <c r="J932">
        <v>96</v>
      </c>
      <c r="K932" t="s">
        <v>2025</v>
      </c>
      <c r="M932" t="str">
        <f>LEFT($D932,FIND(",",$D932)-1)&amp;"_"&amp;I932&amp;L932</f>
        <v>Smyth_2014</v>
      </c>
      <c r="N932" t="s">
        <v>222</v>
      </c>
      <c r="O932" s="145" t="s">
        <v>341</v>
      </c>
      <c r="Q932" t="s">
        <v>256</v>
      </c>
      <c r="R932" s="258" t="s">
        <v>223</v>
      </c>
      <c r="S932" s="1" t="s">
        <v>2039</v>
      </c>
      <c r="T932" t="s">
        <v>2040</v>
      </c>
      <c r="U932" t="s">
        <v>1030</v>
      </c>
      <c r="V932" s="334">
        <v>1</v>
      </c>
      <c r="W932">
        <v>0</v>
      </c>
      <c r="X932">
        <v>1</v>
      </c>
      <c r="Y932">
        <v>0</v>
      </c>
      <c r="Z932">
        <v>0</v>
      </c>
      <c r="AA932">
        <v>2</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s="141">
        <f>COUNTIF(X932:AY932,"&lt;&gt;0")</f>
        <v>2</v>
      </c>
      <c r="BA932" s="141">
        <f>COUNTIF(X932:AN932,"&lt;&gt;0")</f>
        <v>2</v>
      </c>
      <c r="BB932">
        <f>COUNTIF(X932:AE932,"&lt;&gt;0")</f>
        <v>2</v>
      </c>
      <c r="BC932">
        <f>COUNTIF(AF932:AK932,"&lt;&gt;0")</f>
        <v>0</v>
      </c>
      <c r="BD932">
        <f>COUNTIF(AL932:AN932,"&lt;&gt;0")</f>
        <v>0</v>
      </c>
      <c r="BE932">
        <f>COUNTIF(AU932:AY932,"&lt;&gt;0")</f>
        <v>0</v>
      </c>
      <c r="BF932">
        <f>COUNTIF(AO932:AT932,"&lt;&gt;0")</f>
        <v>0</v>
      </c>
      <c r="BG932" t="str">
        <f t="array" ref="BG932">IF(BA932=1,INDEX($X$7:$AN$7,MATCH(TRUE,INDEX($X932:$AY932&lt;&gt;0,),0)),IF(BA932=0,INDEX($AO$7:$AY$7,MATCH(1,$AO932:$AY932,0)),IF(BH932="Multiple strategies","mixed drivers",IF(BH932="Supply chain","multiple supply","multiple silviculture"))))</f>
        <v>multiple silviculture</v>
      </c>
      <c r="BH932" s="2" t="str" cm="1">
        <f t="array" ref="BH932">IF(COUNTIF(BB932:BD932,"&lt;&gt;0")=1,INDEX($X$4:$AY$4,MATCH(TRUE,INDEX($X932:$AY932&lt;&gt;0,),0)),IF(COUNTIF(BB932:BD932,"&lt;&gt;0")=0,INDEX($AO$4:$AY$4,MATCH(1,$AO932:$AY932,0)),"Multiple strategies"))</f>
        <v>Silviculture for removals</v>
      </c>
      <c r="BI932" s="1" t="s">
        <v>321</v>
      </c>
      <c r="BJ932" t="s">
        <v>2041</v>
      </c>
      <c r="BK932" t="s">
        <v>978</v>
      </c>
      <c r="BL932" t="s">
        <v>2032</v>
      </c>
      <c r="BM932">
        <v>-1.41</v>
      </c>
      <c r="BN932">
        <v>0</v>
      </c>
      <c r="BP932">
        <f>BN932-BM932</f>
        <v>1.41</v>
      </c>
      <c r="BQ932">
        <f>BP932*10^6*tC_to_m3</f>
        <v>6122448.9795918372</v>
      </c>
      <c r="BR932" t="s">
        <v>232</v>
      </c>
      <c r="BS932" s="336" t="s">
        <v>763</v>
      </c>
      <c r="BT932" s="260" t="s">
        <v>2919</v>
      </c>
      <c r="BW932" s="144"/>
      <c r="BX932">
        <f>-205/35</f>
        <v>-5.8571428571428568</v>
      </c>
      <c r="BZ932">
        <f>BX932*10^6</f>
        <v>-5857142.8571428563</v>
      </c>
      <c r="CA932">
        <f>IFERROR(BZ932/BQ932,"")</f>
        <v>-0.95666666666666644</v>
      </c>
      <c r="CB932">
        <v>0</v>
      </c>
      <c r="CC932">
        <v>1</v>
      </c>
      <c r="CD932">
        <v>1</v>
      </c>
      <c r="CE932">
        <v>1</v>
      </c>
      <c r="CF932">
        <v>0</v>
      </c>
      <c r="CG932">
        <v>0</v>
      </c>
      <c r="CH932">
        <v>0</v>
      </c>
      <c r="CI932">
        <v>0</v>
      </c>
      <c r="CJ932">
        <v>0</v>
      </c>
      <c r="CK932">
        <v>0</v>
      </c>
      <c r="CL932">
        <v>0</v>
      </c>
      <c r="CM932">
        <v>0</v>
      </c>
      <c r="CN932">
        <v>0</v>
      </c>
      <c r="CO932">
        <v>0</v>
      </c>
      <c r="CP932" t="str">
        <f>IF(BN932&lt;BM932,"refNeedCorrection","refOK")</f>
        <v>refOK</v>
      </c>
      <c r="CQ932">
        <f>IF($CP932="refOK",$BM932,$BN932)</f>
        <v>-1.41</v>
      </c>
      <c r="CR932">
        <f>IF($CP932="refOK",$BN932,$BM932)</f>
        <v>0</v>
      </c>
      <c r="CS932">
        <f>IF($CP932="refOK",$BQ932,-$BQ932)</f>
        <v>6122448.9795918372</v>
      </c>
      <c r="CT932">
        <f>IF(BI932="Roundwood",$CS932/2,$CS932)</f>
        <v>3061224.4897959186</v>
      </c>
      <c r="CU932">
        <f>IF($CP932="refOK",$BU932,$BV932)*IF($BR932="Emissions positive",-1,1)</f>
        <v>0</v>
      </c>
      <c r="CV932">
        <f>IF($CP932="refOK",$BV932,$BU932)*IF($BR932="Emissions positive",-1,1)</f>
        <v>0</v>
      </c>
      <c r="CW932">
        <f>IF($CP932="refNeedCorrection",-BZ932,BZ932)*IF($BR932="Emissions positive",-1,1)</f>
        <v>-5857142.8571428563</v>
      </c>
      <c r="CX932">
        <f>IFERROR($CW932/$CS932,"")</f>
        <v>-0.95666666666666644</v>
      </c>
      <c r="CY932">
        <f>IFERROR($CW932/$CS932,"")</f>
        <v>-0.95666666666666644</v>
      </c>
      <c r="CZ932">
        <f>IFERROR($CW932/$CT932,"")</f>
        <v>-1.9133333333333329</v>
      </c>
      <c r="DA932" s="2" t="str">
        <f>IFERROR((CV932-CU932)/ABS(CU932),"")</f>
        <v/>
      </c>
      <c r="DB932" s="1" t="s">
        <v>1078</v>
      </c>
      <c r="DC932" t="str">
        <f>IF(OR($DB932="prd",$DB932="std",$DB932="cit"),"loc",IF(OR($DB932="eur",$DB932="reg",$DB932="coy"),"reg",$DB932))</f>
        <v>reg</v>
      </c>
      <c r="DD932" t="s">
        <v>527</v>
      </c>
      <c r="DE932">
        <v>2015</v>
      </c>
      <c r="DF932">
        <v>2050</v>
      </c>
      <c r="DG932">
        <v>35</v>
      </c>
      <c r="DH932" t="str">
        <f>IF(DG932=0,"0",IF(AND(DG932&gt;=1,DG932&lt;=30),"1-30",IF(AND(DG932&gt;30,DG932&lt;=70),"31-70",IF(AND(DG932&gt;70,DG932&lt;=100),"71-100",IF(DG932&gt;100,"+100")))))</f>
        <v>31-70</v>
      </c>
      <c r="DI932">
        <v>0</v>
      </c>
      <c r="DJ932">
        <v>1</v>
      </c>
      <c r="DK932">
        <v>1</v>
      </c>
      <c r="DL932">
        <v>1</v>
      </c>
      <c r="DN932">
        <f>SUM(DI932:DL932)</f>
        <v>3</v>
      </c>
      <c r="DO932" t="str">
        <f>IF(DN932=1,INDEX($DI$7:$DL$7,MATCH(1,$DI932:$DL932,0)),"mixedProduct")</f>
        <v>mixedProduct</v>
      </c>
      <c r="DP932">
        <f>IF(DI932=1,DP$7,0)</f>
        <v>0</v>
      </c>
      <c r="DQ932" t="str">
        <f>IF(DJ932=1,DQ$7,0)</f>
        <v>Energy</v>
      </c>
      <c r="DR932" t="str">
        <f>IF(DK932=1,DR$7,0)</f>
        <v>Pulp/Paper</v>
      </c>
      <c r="DS932" t="str">
        <f>IF(DL932=1,DS$7,0)</f>
        <v>Timber</v>
      </c>
      <c r="DT932">
        <v>1</v>
      </c>
      <c r="DU932">
        <v>1</v>
      </c>
      <c r="DV932" t="s">
        <v>2028</v>
      </c>
      <c r="DW932">
        <v>0</v>
      </c>
      <c r="DX932">
        <v>0</v>
      </c>
      <c r="DY932">
        <f>SUM(DT932:DU932)</f>
        <v>2</v>
      </c>
      <c r="DZ932" s="143" t="str">
        <f>IF(DT932=1,"self-calculated DF",IF(DU932=1,"external DF used","explicit C balance"))</f>
        <v>self-calculated DF</v>
      </c>
      <c r="EA932">
        <v>1</v>
      </c>
      <c r="EB932">
        <v>1</v>
      </c>
      <c r="EC932">
        <v>1</v>
      </c>
      <c r="ED932">
        <v>1</v>
      </c>
      <c r="EE932">
        <v>1</v>
      </c>
      <c r="EF932">
        <v>1</v>
      </c>
      <c r="EG932">
        <v>0</v>
      </c>
      <c r="EH932">
        <v>0</v>
      </c>
      <c r="EI932">
        <v>0</v>
      </c>
      <c r="EJ932">
        <v>0</v>
      </c>
      <c r="EK932">
        <v>1</v>
      </c>
      <c r="EL932">
        <v>0</v>
      </c>
      <c r="EM932">
        <v>0</v>
      </c>
      <c r="EN932" s="2">
        <v>0</v>
      </c>
      <c r="EP932" t="str">
        <f>IF(AND(AND(AND(OR($EC932=1,$EB932=1),OR($EH932=1,$EF932=1)),SUM($EA932:$EE932,$EK932)&gt;=3),SUM($EF932:$EJ932)&gt;=2),"Whole sector approach","")</f>
        <v/>
      </c>
      <c r="EQ932" t="str">
        <f>IF(AND(AND(OR($EC932=1,$EB932=1),AND($EH932=0,$EF932=0)),SUM($EA932:$EE932,$EK932)&gt;=4),"Ecosystem approach","")</f>
        <v/>
      </c>
      <c r="ER932" s="2" t="str">
        <f>IF(AND(AND(AND($EC932=0,$EB932=0),OR($EH932=1,$EF932=1)),SUM($EG932:$EJ932)&gt;=2),"Technology approach","")</f>
        <v/>
      </c>
      <c r="ES932" t="str">
        <f>IF(AND($EC932+$EB932+$EE932+$EA932+$ED932+$EG932=0,$N932="included"),"C neutral forest and HWP assumption","")</f>
        <v/>
      </c>
      <c r="ET932" t="str">
        <f>IF(AND(AND(AND(AND($EC932=1,$EB932+$EA932+$EG932&gt;=1),$EF932=1),$EH932+$EI932+$ED932+$EE932&gt;=2),$N932="included"),"All C pools assumption","")</f>
        <v>All C pools assumption</v>
      </c>
      <c r="EU932" t="str">
        <f>IF(AND($ED932+$EE932+$EI932+$EH932+$EF932=0,$N932="included"),"In-situ only assumption","")</f>
        <v/>
      </c>
      <c r="EV932" s="328" t="s">
        <v>5065</v>
      </c>
      <c r="EW932" t="s">
        <v>2042</v>
      </c>
      <c r="EY932" t="str">
        <f>IF(ISNUMBER(BW932),IF(ABS(BW932-[2]QC_indicators!$B$2)&gt;3*[2]QC_indicators!$C$2,"C ratio",IF(ISNUMBER(CA932),IF(ABS(CA932-[2]QC_indicators!$B$1)&gt;3*[2]QC_indicators!$C$1,"DF","no"))),IF(ISNUMBER(CA932),IF(ABS(CA932-[2]QC_indicators!$B$1)&gt;3*[2]QC_indicators!$C$1,"DF","no")))</f>
        <v>no</v>
      </c>
      <c r="FA932" t="str">
        <f>IF(LEN($CY932)=0,"",IF(AND($CY932&lt;(-0.05),$ES932="C neutral forest and HWP assumption"),"Cneutral paradox",IF(AND($CY932&gt;0.05,$EU932="In-situ only assumption"),"In-situ only paradox","")))</f>
        <v/>
      </c>
      <c r="FB932" t="s">
        <v>2043</v>
      </c>
      <c r="FD932" s="263" t="s">
        <v>2917</v>
      </c>
    </row>
    <row r="933" spans="1:160" ht="15" hidden="1" customHeight="1">
      <c r="A933" s="1" t="s">
        <v>1920</v>
      </c>
      <c r="B933" t="s">
        <v>531</v>
      </c>
      <c r="C933" t="s">
        <v>2021</v>
      </c>
      <c r="D933" t="s">
        <v>2022</v>
      </c>
      <c r="E933" t="s">
        <v>2023</v>
      </c>
      <c r="F933" t="s">
        <v>2024</v>
      </c>
      <c r="G933" t="s">
        <v>1921</v>
      </c>
      <c r="H933" t="s">
        <v>254</v>
      </c>
      <c r="I933">
        <v>2014</v>
      </c>
      <c r="J933">
        <v>96</v>
      </c>
      <c r="K933" t="s">
        <v>2025</v>
      </c>
      <c r="M933" t="str">
        <f>LEFT($D933,FIND(",",$D933)-1)&amp;"_"&amp;I933&amp;L933</f>
        <v>Smyth_2014</v>
      </c>
      <c r="N933" t="s">
        <v>222</v>
      </c>
      <c r="O933" s="145" t="s">
        <v>341</v>
      </c>
      <c r="Q933" t="s">
        <v>256</v>
      </c>
      <c r="R933" s="258" t="s">
        <v>223</v>
      </c>
      <c r="S933" s="1" t="s">
        <v>2039</v>
      </c>
      <c r="T933" t="s">
        <v>2040</v>
      </c>
      <c r="U933" t="s">
        <v>1030</v>
      </c>
      <c r="V933" s="334">
        <v>1</v>
      </c>
      <c r="W933">
        <v>0</v>
      </c>
      <c r="X933">
        <v>1</v>
      </c>
      <c r="Y933">
        <v>0</v>
      </c>
      <c r="Z933">
        <v>0</v>
      </c>
      <c r="AA933">
        <v>2</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s="141">
        <f>COUNTIF(X933:AY933,"&lt;&gt;0")</f>
        <v>2</v>
      </c>
      <c r="BA933" s="141">
        <f>COUNTIF(X933:AN933,"&lt;&gt;0")</f>
        <v>2</v>
      </c>
      <c r="BB933">
        <f>COUNTIF(X933:AE933,"&lt;&gt;0")</f>
        <v>2</v>
      </c>
      <c r="BC933">
        <f>COUNTIF(AF933:AK933,"&lt;&gt;0")</f>
        <v>0</v>
      </c>
      <c r="BD933">
        <f>COUNTIF(AL933:AN933,"&lt;&gt;0")</f>
        <v>0</v>
      </c>
      <c r="BE933">
        <f>COUNTIF(AU933:AY933,"&lt;&gt;0")</f>
        <v>0</v>
      </c>
      <c r="BF933">
        <f>COUNTIF(AO933:AT933,"&lt;&gt;0")</f>
        <v>0</v>
      </c>
      <c r="BG933" t="str">
        <f t="array" ref="BG933">IF(BA933=1,INDEX($X$7:$AN$7,MATCH(TRUE,INDEX($X933:$AY933&lt;&gt;0,),0)),IF(BA933=0,INDEX($AO$7:$AY$7,MATCH(1,$AO933:$AY933,0)),IF(BH933="Multiple strategies","mixed drivers",IF(BH933="Supply chain","multiple supply","multiple silviculture"))))</f>
        <v>multiple silviculture</v>
      </c>
      <c r="BH933" s="2" t="str" cm="1">
        <f t="array" ref="BH933">IF(COUNTIF(BB933:BD933,"&lt;&gt;0")=1,INDEX($X$4:$AY$4,MATCH(TRUE,INDEX($X933:$AY933&lt;&gt;0,),0)),IF(COUNTIF(BB933:BD933,"&lt;&gt;0")=0,INDEX($AO$4:$AY$4,MATCH(1,$AO933:$AY933,0)),"Multiple strategies"))</f>
        <v>Silviculture for removals</v>
      </c>
      <c r="BI933" s="1" t="s">
        <v>321</v>
      </c>
      <c r="BJ933" t="s">
        <v>2041</v>
      </c>
      <c r="BK933" t="s">
        <v>978</v>
      </c>
      <c r="BL933" t="s">
        <v>2032</v>
      </c>
      <c r="BM933">
        <v>-1.41</v>
      </c>
      <c r="BN933">
        <v>0</v>
      </c>
      <c r="BP933">
        <f>BN933-BM933</f>
        <v>1.41</v>
      </c>
      <c r="BQ933">
        <f>BP933*10^6*tC_to_m3</f>
        <v>6122448.9795918372</v>
      </c>
      <c r="BR933" t="s">
        <v>232</v>
      </c>
      <c r="BS933" s="336" t="s">
        <v>763</v>
      </c>
      <c r="BT933" s="260" t="s">
        <v>2919</v>
      </c>
      <c r="BW933" s="144"/>
      <c r="BX933">
        <f>-264.42/35</f>
        <v>-7.5548571428571432</v>
      </c>
      <c r="BZ933">
        <f>BX933*10^6</f>
        <v>-7554857.1428571427</v>
      </c>
      <c r="CA933">
        <f>IFERROR(BZ933/BQ933,"")</f>
        <v>-1.2339599999999999</v>
      </c>
      <c r="CB933">
        <v>0</v>
      </c>
      <c r="CC933">
        <v>1</v>
      </c>
      <c r="CD933">
        <v>1</v>
      </c>
      <c r="CE933">
        <v>1</v>
      </c>
      <c r="CF933">
        <v>0</v>
      </c>
      <c r="CG933">
        <v>0</v>
      </c>
      <c r="CH933">
        <v>0</v>
      </c>
      <c r="CI933">
        <v>0</v>
      </c>
      <c r="CJ933">
        <v>0</v>
      </c>
      <c r="CK933">
        <v>0</v>
      </c>
      <c r="CL933">
        <v>0</v>
      </c>
      <c r="CM933">
        <v>0</v>
      </c>
      <c r="CN933">
        <v>0</v>
      </c>
      <c r="CO933">
        <v>0</v>
      </c>
      <c r="CP933" t="str">
        <f>IF(BN933&lt;BM933,"refNeedCorrection","refOK")</f>
        <v>refOK</v>
      </c>
      <c r="CQ933">
        <f>IF($CP933="refOK",$BM933,$BN933)</f>
        <v>-1.41</v>
      </c>
      <c r="CR933">
        <f>IF($CP933="refOK",$BN933,$BM933)</f>
        <v>0</v>
      </c>
      <c r="CS933">
        <f>IF($CP933="refOK",$BQ933,-$BQ933)</f>
        <v>6122448.9795918372</v>
      </c>
      <c r="CT933">
        <f>IF(BI933="Roundwood",$CS933/2,$CS933)</f>
        <v>3061224.4897959186</v>
      </c>
      <c r="CU933">
        <f>IF($CP933="refOK",$BU933,$BV933)*IF($BR933="Emissions positive",-1,1)</f>
        <v>0</v>
      </c>
      <c r="CV933">
        <f>IF($CP933="refOK",$BV933,$BU933)*IF($BR933="Emissions positive",-1,1)</f>
        <v>0</v>
      </c>
      <c r="CW933">
        <f>IF($CP933="refNeedCorrection",-BZ933,BZ933)*IF($BR933="Emissions positive",-1,1)</f>
        <v>-7554857.1428571427</v>
      </c>
      <c r="CX933">
        <f>IFERROR($CW933/$CS933,"")</f>
        <v>-1.2339599999999999</v>
      </c>
      <c r="CY933">
        <f>IFERROR($CW933/$CS933,"")</f>
        <v>-1.2339599999999999</v>
      </c>
      <c r="CZ933">
        <f>IFERROR($CW933/$CT933,"")</f>
        <v>-2.4679199999999999</v>
      </c>
      <c r="DA933" s="2" t="str">
        <f>IFERROR((CV933-CU933)/ABS(CU933),"")</f>
        <v/>
      </c>
      <c r="DB933" s="1" t="s">
        <v>1078</v>
      </c>
      <c r="DC933" t="str">
        <f>IF(OR($DB933="prd",$DB933="std",$DB933="cit"),"loc",IF(OR($DB933="eur",$DB933="reg",$DB933="coy"),"reg",$DB933))</f>
        <v>reg</v>
      </c>
      <c r="DD933" t="s">
        <v>527</v>
      </c>
      <c r="DE933">
        <v>2015</v>
      </c>
      <c r="DF933">
        <v>2050</v>
      </c>
      <c r="DG933">
        <v>35</v>
      </c>
      <c r="DH933" t="str">
        <f>IF(DG933=0,"0",IF(AND(DG933&gt;=1,DG933&lt;=30),"1-30",IF(AND(DG933&gt;30,DG933&lt;=70),"31-70",IF(AND(DG933&gt;70,DG933&lt;=100),"71-100",IF(DG933&gt;100,"+100")))))</f>
        <v>31-70</v>
      </c>
      <c r="DI933">
        <v>0</v>
      </c>
      <c r="DJ933">
        <v>1</v>
      </c>
      <c r="DK933">
        <v>1</v>
      </c>
      <c r="DL933">
        <v>1</v>
      </c>
      <c r="DN933">
        <f>SUM(DI933:DL933)</f>
        <v>3</v>
      </c>
      <c r="DO933" t="str">
        <f>IF(DN933=1,INDEX($DI$7:$DL$7,MATCH(1,$DI933:$DL933,0)),"mixedProduct")</f>
        <v>mixedProduct</v>
      </c>
      <c r="DP933">
        <f>IF(DI933=1,DP$7,0)</f>
        <v>0</v>
      </c>
      <c r="DQ933" t="str">
        <f>IF(DJ933=1,DQ$7,0)</f>
        <v>Energy</v>
      </c>
      <c r="DR933" t="str">
        <f>IF(DK933=1,DR$7,0)</f>
        <v>Pulp/Paper</v>
      </c>
      <c r="DS933" t="str">
        <f>IF(DL933=1,DS$7,0)</f>
        <v>Timber</v>
      </c>
      <c r="DT933">
        <v>0</v>
      </c>
      <c r="DU933">
        <v>0</v>
      </c>
      <c r="DW933">
        <v>0</v>
      </c>
      <c r="DX933">
        <v>0</v>
      </c>
      <c r="DY933">
        <f>SUM(DT933:DU933)</f>
        <v>0</v>
      </c>
      <c r="DZ933" s="143" t="str">
        <f>IF(DT933=1,"self-calculated DF",IF(DU933=1,"external DF used","explicit C balance"))</f>
        <v>explicit C balance</v>
      </c>
      <c r="EA933">
        <v>1</v>
      </c>
      <c r="EB933">
        <v>1</v>
      </c>
      <c r="EC933">
        <v>1</v>
      </c>
      <c r="ED933">
        <v>1</v>
      </c>
      <c r="EE933">
        <v>1</v>
      </c>
      <c r="EF933">
        <v>0</v>
      </c>
      <c r="EG933">
        <v>0</v>
      </c>
      <c r="EH933">
        <v>0</v>
      </c>
      <c r="EI933">
        <v>0</v>
      </c>
      <c r="EJ933">
        <v>0</v>
      </c>
      <c r="EK933">
        <v>1</v>
      </c>
      <c r="EL933">
        <v>0</v>
      </c>
      <c r="EM933">
        <v>0</v>
      </c>
      <c r="EN933" s="2">
        <v>0</v>
      </c>
      <c r="EP933" t="str">
        <f>IF(AND(AND(AND(OR($EC933=1,$EB933=1),OR($EH933=1,$EF933=1)),SUM($EA933:$EE933,$EK933)&gt;=3),SUM($EF933:$EJ933)&gt;=2),"Whole sector approach","")</f>
        <v/>
      </c>
      <c r="EQ933" t="str">
        <f>IF(AND(AND(OR($EC933=1,$EB933=1),AND($EH933=0,$EF933=0)),SUM($EA933:$EE933,$EK933)&gt;=4),"Ecosystem approach","")</f>
        <v>Ecosystem approach</v>
      </c>
      <c r="ER933" s="2" t="str">
        <f>IF(AND(AND(AND($EC933=0,$EB933=0),OR($EH933=1,$EF933=1)),SUM($EG933:$EJ933)&gt;=2),"Technology approach","")</f>
        <v/>
      </c>
      <c r="ES933" t="str">
        <f>IF(AND($EC933+$EB933+$EE933+$EA933+$ED933+$EG933=0,$N933="included"),"C neutral forest and HWP assumption","")</f>
        <v/>
      </c>
      <c r="ET933" t="str">
        <f>IF(AND(AND(AND(AND($EC933=1,$EB933+$EA933+$EG933&gt;=1),$EF933=1),$EH933+$EI933+$ED933+$EE933&gt;=2),$N933="included"),"All C pools assumption","")</f>
        <v/>
      </c>
      <c r="EU933" t="str">
        <f>IF(AND($ED933+$EE933+$EI933+$EH933+$EF933=0,$N933="included"),"In-situ only assumption","")</f>
        <v/>
      </c>
      <c r="EV933" s="328" t="s">
        <v>5065</v>
      </c>
      <c r="EW933" t="s">
        <v>2042</v>
      </c>
      <c r="EY933" t="str">
        <f>IF(ISNUMBER(BW933),IF(ABS(BW933-[2]QC_indicators!$B$2)&gt;3*[2]QC_indicators!$C$2,"C ratio",IF(ISNUMBER(CA933),IF(ABS(CA933-[2]QC_indicators!$B$1)&gt;3*[2]QC_indicators!$C$1,"DF","no"))),IF(ISNUMBER(CA933),IF(ABS(CA933-[2]QC_indicators!$B$1)&gt;3*[2]QC_indicators!$C$1,"DF","no")))</f>
        <v>no</v>
      </c>
      <c r="FA933" t="str">
        <f>IF(LEN($CY933)=0,"",IF(AND($CY933&lt;(-0.05),$ES933="C neutral forest and HWP assumption"),"Cneutral paradox",IF(AND($CY933&gt;0.05,$EU933="In-situ only assumption"),"In-situ only paradox","")))</f>
        <v/>
      </c>
      <c r="FB933" t="s">
        <v>2043</v>
      </c>
      <c r="FD933" s="263" t="s">
        <v>2917</v>
      </c>
    </row>
    <row r="934" spans="1:160" ht="15" customHeight="1">
      <c r="A934" s="1" t="s">
        <v>1920</v>
      </c>
      <c r="B934" t="s">
        <v>531</v>
      </c>
      <c r="C934" t="s">
        <v>2021</v>
      </c>
      <c r="D934" t="s">
        <v>2022</v>
      </c>
      <c r="E934" t="s">
        <v>2023</v>
      </c>
      <c r="F934" t="s">
        <v>2024</v>
      </c>
      <c r="G934" t="s">
        <v>1921</v>
      </c>
      <c r="H934" t="s">
        <v>254</v>
      </c>
      <c r="I934">
        <v>2014</v>
      </c>
      <c r="J934">
        <v>96</v>
      </c>
      <c r="K934" t="s">
        <v>2025</v>
      </c>
      <c r="M934" t="str">
        <f>LEFT($D934,FIND(",",$D934)-1)&amp;"_"&amp;I934&amp;L934</f>
        <v>Smyth_2014</v>
      </c>
      <c r="N934" t="s">
        <v>222</v>
      </c>
      <c r="O934" s="145" t="s">
        <v>341</v>
      </c>
      <c r="Q934" t="s">
        <v>256</v>
      </c>
      <c r="R934" s="258" t="s">
        <v>223</v>
      </c>
      <c r="S934" s="1" t="s">
        <v>2046</v>
      </c>
      <c r="T934" t="s">
        <v>1030</v>
      </c>
      <c r="U934" t="s">
        <v>2047</v>
      </c>
      <c r="V934" s="253">
        <v>0</v>
      </c>
      <c r="W934" s="253">
        <v>0</v>
      </c>
      <c r="X934">
        <v>0</v>
      </c>
      <c r="Y934">
        <v>0</v>
      </c>
      <c r="Z934">
        <v>0</v>
      </c>
      <c r="AA934">
        <v>1</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s="141">
        <f>COUNTIF(X934:AY934,"&lt;&gt;0")</f>
        <v>1</v>
      </c>
      <c r="BA934" s="141">
        <f>COUNTIF(X934:AN934,"&lt;&gt;0")</f>
        <v>1</v>
      </c>
      <c r="BB934">
        <f>COUNTIF(X934:AE934,"&lt;&gt;0")</f>
        <v>1</v>
      </c>
      <c r="BC934">
        <f>COUNTIF(AF934:AK934,"&lt;&gt;0")</f>
        <v>0</v>
      </c>
      <c r="BD934">
        <f>COUNTIF(AL934:AN934,"&lt;&gt;0")</f>
        <v>0</v>
      </c>
      <c r="BE934">
        <f>COUNTIF(AU934:AY934,"&lt;&gt;0")</f>
        <v>0</v>
      </c>
      <c r="BF934">
        <f>COUNTIF(AO934:AT934,"&lt;&gt;0")</f>
        <v>0</v>
      </c>
      <c r="BG934" t="str">
        <f t="array" ref="BG934">IF(BA934=1,INDEX($X$7:$AN$7,MATCH(TRUE,INDEX($X934:$AY934&lt;&gt;0,),0)),IF(BA934=0,INDEX($AO$7:$AY$7,MATCH(1,$AO934:$AY934,0)),IF(BH934="Multiple strategies","mixed drivers",IF(BH934="Supply chain","multiple supply","multiple silviculture"))))</f>
        <v xml:space="preserve">cutting intensity </v>
      </c>
      <c r="BH934" s="2" t="str" cm="1">
        <f t="array" ref="BH934">IF(COUNTIF(BB934:BD934,"&lt;&gt;0")=1,INDEX($X$4:$AY$4,MATCH(TRUE,INDEX($X934:$AY934&lt;&gt;0,),0)),IF(COUNTIF(BB934:BD934,"&lt;&gt;0")=0,INDEX($AO$4:$AY$4,MATCH(1,$AO934:$AY934,0)),"Multiple strategies"))</f>
        <v>Silviculture for removals</v>
      </c>
      <c r="BI934" s="1" t="s">
        <v>321</v>
      </c>
      <c r="BJ934" t="s">
        <v>2031</v>
      </c>
      <c r="BK934" t="s">
        <v>978</v>
      </c>
      <c r="BL934" t="s">
        <v>2032</v>
      </c>
      <c r="BM934">
        <v>0</v>
      </c>
      <c r="BN934">
        <v>1.42</v>
      </c>
      <c r="BP934">
        <f>BN934-BM934</f>
        <v>1.42</v>
      </c>
      <c r="BQ934">
        <f>BP934*10^6*tC_to_m3</f>
        <v>6165870.6035605734</v>
      </c>
      <c r="BR934" t="s">
        <v>232</v>
      </c>
      <c r="BS934" s="336" t="s">
        <v>763</v>
      </c>
      <c r="BT934" s="260" t="s">
        <v>2919</v>
      </c>
      <c r="BW934" s="144"/>
      <c r="BX934">
        <f>-194.9/35</f>
        <v>-5.5685714285714285</v>
      </c>
      <c r="BZ934">
        <f>BX934*10^6</f>
        <v>-5568571.4285714282</v>
      </c>
      <c r="CA934">
        <f>IFERROR(BZ934/BQ934,"")</f>
        <v>-0.90312816901408444</v>
      </c>
      <c r="CB934">
        <v>0</v>
      </c>
      <c r="CC934">
        <v>1</v>
      </c>
      <c r="CD934">
        <v>1</v>
      </c>
      <c r="CE934">
        <v>1</v>
      </c>
      <c r="CF934">
        <v>0</v>
      </c>
      <c r="CG934">
        <v>0</v>
      </c>
      <c r="CH934">
        <v>0</v>
      </c>
      <c r="CI934">
        <v>0</v>
      </c>
      <c r="CJ934">
        <v>0</v>
      </c>
      <c r="CK934">
        <v>0</v>
      </c>
      <c r="CL934">
        <v>0</v>
      </c>
      <c r="CM934">
        <v>0</v>
      </c>
      <c r="CN934">
        <v>0</v>
      </c>
      <c r="CO934">
        <v>0</v>
      </c>
      <c r="CP934" t="str">
        <f>IF($BN934&lt;$BM934,"refNeedCorrection","refOK")</f>
        <v>refOK</v>
      </c>
      <c r="CQ934">
        <f>IF($CP934="refOK",$BM934,$BN934)</f>
        <v>0</v>
      </c>
      <c r="CR934">
        <f>IF($CP934="refOK",$BN934,$BM934)</f>
        <v>1.42</v>
      </c>
      <c r="CS934">
        <f>IF($CP934="refOK",$BQ934,-$BQ934)</f>
        <v>6165870.6035605734</v>
      </c>
      <c r="CT934">
        <f>IF(BI934="Roundwood",$CS934/2,$CS934)</f>
        <v>3082935.3017802867</v>
      </c>
      <c r="CU934">
        <f>IF($CP934="refOK",$BU934,$BV934)*IF($BR934="Emissions positive",-1,1)</f>
        <v>0</v>
      </c>
      <c r="CV934">
        <f>IF($CP934="refOK",$BV934,$BU934)*IF($BR934="Emissions positive",-1,1)</f>
        <v>0</v>
      </c>
      <c r="CW934">
        <f>IF($CP934="refNeedCorrection",-BZ934,BZ934)*IF($BR934="Emissions positive",-1,1)</f>
        <v>-5568571.4285714282</v>
      </c>
      <c r="CX934">
        <f>IFERROR($CW934/$CS934,"")</f>
        <v>-0.90312816901408444</v>
      </c>
      <c r="CY934">
        <f>IFERROR($CW934/$CS934,"")</f>
        <v>-0.90312816901408444</v>
      </c>
      <c r="CZ934">
        <f>IFERROR($CW934/$CT934,"")</f>
        <v>-1.8062563380281689</v>
      </c>
      <c r="DA934" s="2" t="str">
        <f>IFERROR((CV934-CU934)/ABS(CU934),"")</f>
        <v/>
      </c>
      <c r="DB934" s="1" t="s">
        <v>1078</v>
      </c>
      <c r="DC934" t="str">
        <f>IF(OR($DB934="prd",$DB934="std",$DB934="cit"),"loc",IF(OR($DB934="eur",$DB934="reg",$DB934="coy"),"reg",$DB934))</f>
        <v>reg</v>
      </c>
      <c r="DD934" t="s">
        <v>527</v>
      </c>
      <c r="DE934">
        <v>2015</v>
      </c>
      <c r="DF934">
        <v>2050</v>
      </c>
      <c r="DG934">
        <v>35</v>
      </c>
      <c r="DH934" t="str">
        <f>IF(DG934=0,"0",IF(AND(DG934&gt;=1,DG934&lt;=30),"1-30",IF(AND(DG934&gt;30,DG934&lt;=70),"31-70",IF(AND(DG934&gt;70,DG934&lt;=100),"71-100",IF(DG934&gt;100,"+100")))))</f>
        <v>31-70</v>
      </c>
      <c r="DI934">
        <v>0</v>
      </c>
      <c r="DJ934">
        <v>1</v>
      </c>
      <c r="DK934">
        <v>1</v>
      </c>
      <c r="DL934">
        <v>1</v>
      </c>
      <c r="DN934">
        <f>SUM(DI934:DL934)</f>
        <v>3</v>
      </c>
      <c r="DO934" t="str">
        <f>IF(DN934=1,INDEX($DI$7:$DL$7,MATCH(1,$DI934:$DL934,0)),"mixedProduct")</f>
        <v>mixedProduct</v>
      </c>
      <c r="DP934">
        <f>IF(DI934=1,DP$7,0)</f>
        <v>0</v>
      </c>
      <c r="DQ934" t="str">
        <f>IF(DJ934=1,DQ$7,0)</f>
        <v>Energy</v>
      </c>
      <c r="DR934" t="str">
        <f>IF(DK934=1,DR$7,0)</f>
        <v>Pulp/Paper</v>
      </c>
      <c r="DS934" t="str">
        <f>IF(DL934=1,DS$7,0)</f>
        <v>Timber</v>
      </c>
      <c r="DT934">
        <v>0</v>
      </c>
      <c r="DU934">
        <v>0</v>
      </c>
      <c r="DW934">
        <v>0</v>
      </c>
      <c r="DX934">
        <v>0</v>
      </c>
      <c r="DY934">
        <f>SUM(DT934:DU934)</f>
        <v>0</v>
      </c>
      <c r="DZ934" s="143" t="str">
        <f>IF(DT934=1,"self-calculated DF",IF(DU934=1,"external DF used","explicit C balance"))</f>
        <v>explicit C balance</v>
      </c>
      <c r="EA934">
        <v>1</v>
      </c>
      <c r="EB934">
        <v>1</v>
      </c>
      <c r="EC934">
        <v>1</v>
      </c>
      <c r="ED934">
        <v>0</v>
      </c>
      <c r="EE934">
        <v>0</v>
      </c>
      <c r="EF934">
        <v>0</v>
      </c>
      <c r="EG934">
        <v>0</v>
      </c>
      <c r="EH934">
        <v>0</v>
      </c>
      <c r="EI934">
        <v>0</v>
      </c>
      <c r="EJ934">
        <v>0</v>
      </c>
      <c r="EK934">
        <v>1</v>
      </c>
      <c r="EL934">
        <v>0</v>
      </c>
      <c r="EM934">
        <v>0</v>
      </c>
      <c r="EN934" s="2">
        <v>0</v>
      </c>
      <c r="EP934" t="str">
        <f>IF(AND(AND(AND(OR($EC934=1,$EB934=1),OR($EH934=1,$EF934=1)),SUM($EA934:$EE934,$EK934)&gt;=3),SUM($EF934:$EJ934)&gt;=2),"Whole sector approach","")</f>
        <v/>
      </c>
      <c r="EQ934" t="str">
        <f>IF(AND(AND(OR($EC934=1,$EB934=1),AND($EH934=0,$EF934=0)),SUM($EA934:$EE934,$EK934)&gt;=4),"Ecosystem approach","")</f>
        <v>Ecosystem approach</v>
      </c>
      <c r="ER934" s="2" t="str">
        <f>IF(AND(AND(AND($EC934=0,$EB934=0),OR($EH934=1,$EF934=1)),SUM($EG934:$EJ934)&gt;=2),"Technology approach","")</f>
        <v/>
      </c>
      <c r="ES934" t="str">
        <f>IF(AND($EC934+$EB934+$EE934+$EA934+$ED934+$EG934=0,$N934="included"),"C neutral forest and HWP assumption","")</f>
        <v/>
      </c>
      <c r="ET934" t="str">
        <f>IF(AND(AND(AND(AND($EC934=1,$EB934+$EA934+$EG934&gt;=1),$EF934=1),$EH934+$EI934+$ED934+$EE934&gt;=2),$N934="included"),"All C pools assumption","")</f>
        <v/>
      </c>
      <c r="EU934" t="str">
        <f>IF(AND($ED934+$EE934+$EI934+$EH934+$EF934=0,$N934="included"),"In-situ only assumption","")</f>
        <v>In-situ only assumption</v>
      </c>
      <c r="EV934" s="328" t="s">
        <v>5065</v>
      </c>
      <c r="EY934" t="str">
        <f>IF(ISNUMBER(BW934),IF(ABS(BW934-[2]QC_indicators!$B$2)&gt;3*[2]QC_indicators!$C$2,"C ratio",IF(ISNUMBER(CA934),IF(ABS(CA934-[2]QC_indicators!$B$1)&gt;3*[2]QC_indicators!$C$1,"DF","no"))),IF(ISNUMBER(CA934),IF(ABS(CA934-[2]QC_indicators!$B$1)&gt;3*[2]QC_indicators!$C$1,"DF","no")))</f>
        <v>no</v>
      </c>
      <c r="FA934" t="str">
        <f>IF(LEN($CY934)=0,"",IF(AND($CY934&lt;(-0.05),$ES934="C neutral forest and HWP assumption"),"Cneutral paradox",IF(AND($CY934&gt;0.05,$EU934="In-situ only assumption"),"In-situ only paradox","")))</f>
        <v/>
      </c>
      <c r="FD934" s="263" t="s">
        <v>2917</v>
      </c>
    </row>
    <row r="935" spans="1:160" ht="15" customHeight="1">
      <c r="A935" s="1" t="s">
        <v>1920</v>
      </c>
      <c r="B935" t="s">
        <v>531</v>
      </c>
      <c r="C935" t="s">
        <v>2021</v>
      </c>
      <c r="D935" t="s">
        <v>2022</v>
      </c>
      <c r="E935" t="s">
        <v>2023</v>
      </c>
      <c r="F935" t="s">
        <v>2024</v>
      </c>
      <c r="G935" t="s">
        <v>1921</v>
      </c>
      <c r="H935" t="s">
        <v>254</v>
      </c>
      <c r="I935">
        <v>2014</v>
      </c>
      <c r="J935">
        <v>96</v>
      </c>
      <c r="K935" t="s">
        <v>2025</v>
      </c>
      <c r="M935" t="str">
        <f>LEFT($D935,FIND(",",$D935)-1)&amp;"_"&amp;I935&amp;L935</f>
        <v>Smyth_2014</v>
      </c>
      <c r="N935" t="s">
        <v>222</v>
      </c>
      <c r="O935" s="145" t="s">
        <v>341</v>
      </c>
      <c r="Q935" t="s">
        <v>256</v>
      </c>
      <c r="R935" s="258" t="s">
        <v>223</v>
      </c>
      <c r="S935" s="1" t="s">
        <v>2029</v>
      </c>
      <c r="T935" t="s">
        <v>1030</v>
      </c>
      <c r="U935" s="260" t="s">
        <v>2035</v>
      </c>
      <c r="V935" s="253">
        <v>0</v>
      </c>
      <c r="W935" s="253">
        <v>0</v>
      </c>
      <c r="X935">
        <v>0</v>
      </c>
      <c r="Y935">
        <v>0</v>
      </c>
      <c r="Z935">
        <v>0</v>
      </c>
      <c r="AA935">
        <v>1</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s="141">
        <f>COUNTIF(X935:AY935,"&lt;&gt;0")</f>
        <v>1</v>
      </c>
      <c r="BA935" s="141">
        <f>COUNTIF(X935:AN935,"&lt;&gt;0")</f>
        <v>1</v>
      </c>
      <c r="BB935">
        <f>COUNTIF(X935:AE935,"&lt;&gt;0")</f>
        <v>1</v>
      </c>
      <c r="BC935">
        <f>COUNTIF(AF935:AK935,"&lt;&gt;0")</f>
        <v>0</v>
      </c>
      <c r="BD935">
        <f>COUNTIF(AL935:AN935,"&lt;&gt;0")</f>
        <v>0</v>
      </c>
      <c r="BE935">
        <f>COUNTIF(AU935:AY935,"&lt;&gt;0")</f>
        <v>0</v>
      </c>
      <c r="BF935">
        <f>COUNTIF(AO935:AT935,"&lt;&gt;0")</f>
        <v>0</v>
      </c>
      <c r="BG935" t="str">
        <f t="array" ref="BG935">IF(BA935=1,INDEX($X$7:$AN$7,MATCH(TRUE,INDEX($X935:$AY935&lt;&gt;0,),0)),IF(BA935=0,INDEX($AO$7:$AY$7,MATCH(1,$AO935:$AY935,0)),IF(BH935="Multiple strategies","mixed drivers",IF(BH935="Supply chain","multiple supply","multiple silviculture"))))</f>
        <v xml:space="preserve">cutting intensity </v>
      </c>
      <c r="BH935" s="2" t="str" cm="1">
        <f t="array" ref="BH935">IF(COUNTIF(BB935:BD935,"&lt;&gt;0")=1,INDEX($X$4:$AY$4,MATCH(TRUE,INDEX($X935:$AY935&lt;&gt;0,),0)),IF(COUNTIF(BB935:BD935,"&lt;&gt;0")=0,INDEX($AO$4:$AY$4,MATCH(1,$AO935:$AY935,0)),"Multiple strategies"))</f>
        <v>Silviculture for removals</v>
      </c>
      <c r="BI935" s="1" t="s">
        <v>321</v>
      </c>
      <c r="BJ935" t="s">
        <v>2031</v>
      </c>
      <c r="BK935" t="s">
        <v>978</v>
      </c>
      <c r="BL935" t="s">
        <v>2032</v>
      </c>
      <c r="BM935">
        <v>0</v>
      </c>
      <c r="BN935">
        <v>0.62</v>
      </c>
      <c r="BP935">
        <f>BN935-BM935</f>
        <v>0.62</v>
      </c>
      <c r="BQ935">
        <f>BP935*10^6*tC_to_m3</f>
        <v>2692140.6860616589</v>
      </c>
      <c r="BR935" t="s">
        <v>232</v>
      </c>
      <c r="BS935" s="336" t="s">
        <v>763</v>
      </c>
      <c r="BT935" s="260" t="s">
        <v>2919</v>
      </c>
      <c r="BW935" s="144"/>
      <c r="BX935">
        <f>-108.8/35</f>
        <v>-3.1085714285714285</v>
      </c>
      <c r="BZ935">
        <f>BX935*10^6</f>
        <v>-3108571.4285714286</v>
      </c>
      <c r="CA935">
        <f>IFERROR(BZ935/BQ935,"")</f>
        <v>-1.1546838709677418</v>
      </c>
      <c r="CB935">
        <v>0</v>
      </c>
      <c r="CC935">
        <v>1</v>
      </c>
      <c r="CD935">
        <v>1</v>
      </c>
      <c r="CE935">
        <v>1</v>
      </c>
      <c r="CF935">
        <v>0</v>
      </c>
      <c r="CG935">
        <v>0</v>
      </c>
      <c r="CH935">
        <v>0</v>
      </c>
      <c r="CI935">
        <v>0</v>
      </c>
      <c r="CJ935">
        <v>0</v>
      </c>
      <c r="CK935">
        <v>0</v>
      </c>
      <c r="CL935">
        <v>0</v>
      </c>
      <c r="CM935">
        <v>0</v>
      </c>
      <c r="CN935">
        <v>0</v>
      </c>
      <c r="CO935">
        <v>0</v>
      </c>
      <c r="CP935" t="str">
        <f>IF($BN935&lt;$BM935,"refNeedCorrection","refOK")</f>
        <v>refOK</v>
      </c>
      <c r="CQ935">
        <f>IF($CP935="refOK",$BM935,$BN935)</f>
        <v>0</v>
      </c>
      <c r="CR935">
        <f>IF($CP935="refOK",$BN935,$BM935)</f>
        <v>0.62</v>
      </c>
      <c r="CS935">
        <f>IF($CP935="refOK",$BQ935,-$BQ935)</f>
        <v>2692140.6860616589</v>
      </c>
      <c r="CT935">
        <f>IF(BI935="Roundwood",$CS935/2,$CS935)</f>
        <v>1346070.3430308294</v>
      </c>
      <c r="CU935">
        <f>IF($CP935="refOK",$BU935,$BV935)*IF($BR935="Emissions positive",-1,1)</f>
        <v>0</v>
      </c>
      <c r="CV935">
        <f>IF($CP935="refOK",$BV935,$BU935)*IF($BR935="Emissions positive",-1,1)</f>
        <v>0</v>
      </c>
      <c r="CW935">
        <f>IF($CP935="refNeedCorrection",-BZ935,BZ935)*IF($BR935="Emissions positive",-1,1)</f>
        <v>-3108571.4285714286</v>
      </c>
      <c r="CX935">
        <f>IFERROR($CW935/$CS935,"")</f>
        <v>-1.1546838709677418</v>
      </c>
      <c r="CY935">
        <f>IFERROR($CW935/$CS935,"")</f>
        <v>-1.1546838709677418</v>
      </c>
      <c r="CZ935">
        <f>IFERROR($CW935/$CT935,"")</f>
        <v>-2.3093677419354837</v>
      </c>
      <c r="DA935" s="2" t="str">
        <f>IFERROR((CV935-CU935)/ABS(CU935),"")</f>
        <v/>
      </c>
      <c r="DB935" s="1" t="s">
        <v>1078</v>
      </c>
      <c r="DC935" t="str">
        <f>IF(OR($DB935="prd",$DB935="std",$DB935="cit"),"loc",IF(OR($DB935="eur",$DB935="reg",$DB935="coy"),"reg",$DB935))</f>
        <v>reg</v>
      </c>
      <c r="DD935" t="s">
        <v>527</v>
      </c>
      <c r="DE935">
        <v>2015</v>
      </c>
      <c r="DF935">
        <v>2050</v>
      </c>
      <c r="DG935">
        <v>35</v>
      </c>
      <c r="DH935" t="str">
        <f>IF(DG935=0,"0",IF(AND(DG935&gt;=1,DG935&lt;=30),"1-30",IF(AND(DG935&gt;30,DG935&lt;=70),"31-70",IF(AND(DG935&gt;70,DG935&lt;=100),"71-100",IF(DG935&gt;100,"+100")))))</f>
        <v>31-70</v>
      </c>
      <c r="DI935">
        <v>0</v>
      </c>
      <c r="DJ935">
        <v>1</v>
      </c>
      <c r="DK935">
        <v>1</v>
      </c>
      <c r="DL935">
        <v>1</v>
      </c>
      <c r="DN935">
        <f>SUM(DI935:DL935)</f>
        <v>3</v>
      </c>
      <c r="DO935" t="str">
        <f>IF(DN935=1,INDEX($DI$7:$DL$7,MATCH(1,$DI935:$DL935,0)),"mixedProduct")</f>
        <v>mixedProduct</v>
      </c>
      <c r="DP935">
        <f>IF(DI935=1,DP$7,0)</f>
        <v>0</v>
      </c>
      <c r="DQ935" t="str">
        <f>IF(DJ935=1,DQ$7,0)</f>
        <v>Energy</v>
      </c>
      <c r="DR935" t="str">
        <f>IF(DK935=1,DR$7,0)</f>
        <v>Pulp/Paper</v>
      </c>
      <c r="DS935" t="str">
        <f>IF(DL935=1,DS$7,0)</f>
        <v>Timber</v>
      </c>
      <c r="DT935">
        <v>0</v>
      </c>
      <c r="DU935">
        <v>0</v>
      </c>
      <c r="DW935">
        <v>0</v>
      </c>
      <c r="DX935">
        <v>0</v>
      </c>
      <c r="DY935">
        <f>SUM(DT935:DU935)</f>
        <v>0</v>
      </c>
      <c r="DZ935" s="143" t="str">
        <f>IF(DT935=1,"self-calculated DF",IF(DU935=1,"external DF used","explicit C balance"))</f>
        <v>explicit C balance</v>
      </c>
      <c r="EA935">
        <v>1</v>
      </c>
      <c r="EB935">
        <v>1</v>
      </c>
      <c r="EC935">
        <v>1</v>
      </c>
      <c r="ED935">
        <v>0</v>
      </c>
      <c r="EE935">
        <v>0</v>
      </c>
      <c r="EF935">
        <v>0</v>
      </c>
      <c r="EG935">
        <v>0</v>
      </c>
      <c r="EH935">
        <v>0</v>
      </c>
      <c r="EI935">
        <v>0</v>
      </c>
      <c r="EJ935">
        <v>0</v>
      </c>
      <c r="EK935">
        <v>1</v>
      </c>
      <c r="EL935">
        <v>0</v>
      </c>
      <c r="EM935">
        <v>0</v>
      </c>
      <c r="EN935" s="2">
        <v>0</v>
      </c>
      <c r="EP935" t="str">
        <f>IF(AND(AND(AND(OR($EC935=1,$EB935=1),OR($EH935=1,$EF935=1)),SUM($EA935:$EE935,$EK935)&gt;=3),SUM($EF935:$EJ935)&gt;=2),"Whole sector approach","")</f>
        <v/>
      </c>
      <c r="EQ935" t="str">
        <f>IF(AND(AND(OR($EC935=1,$EB935=1),AND($EH935=0,$EF935=0)),SUM($EA935:$EE935,$EK935)&gt;=4),"Ecosystem approach","")</f>
        <v>Ecosystem approach</v>
      </c>
      <c r="ER935" s="2" t="str">
        <f>IF(AND(AND(AND($EC935=0,$EB935=0),OR($EH935=1,$EF935=1)),SUM($EG935:$EJ935)&gt;=2),"Technology approach","")</f>
        <v/>
      </c>
      <c r="ES935" t="str">
        <f>IF(AND($EC935+$EB935+$EE935+$EA935+$ED935+$EG935=0,$N935="included"),"C neutral forest and HWP assumption","")</f>
        <v/>
      </c>
      <c r="ET935" t="str">
        <f>IF(AND(AND(AND(AND($EC935=1,$EB935+$EA935+$EG935&gt;=1),$EF935=1),$EH935+$EI935+$ED935+$EE935&gt;=2),$N935="included"),"All C pools assumption","")</f>
        <v/>
      </c>
      <c r="EU935" t="str">
        <f>IF(AND($ED935+$EE935+$EI935+$EH935+$EF935=0,$N935="included"),"In-situ only assumption","")</f>
        <v>In-situ only assumption</v>
      </c>
      <c r="EV935" s="328" t="s">
        <v>5065</v>
      </c>
      <c r="EY935" t="str">
        <f>IF(ISNUMBER(BW935),IF(ABS(BW935-[2]QC_indicators!$B$2)&gt;3*[2]QC_indicators!$C$2,"C ratio",IF(ISNUMBER(CA935),IF(ABS(CA935-[2]QC_indicators!$B$1)&gt;3*[2]QC_indicators!$C$1,"DF","no"))),IF(ISNUMBER(CA935),IF(ABS(CA935-[2]QC_indicators!$B$1)&gt;3*[2]QC_indicators!$C$1,"DF","no")))</f>
        <v>no</v>
      </c>
      <c r="FA935" t="str">
        <f>IF(LEN($CY935)=0,"",IF(AND($CY935&lt;(-0.05),$ES935="C neutral forest and HWP assumption"),"Cneutral paradox",IF(AND($CY935&gt;0.05,$EU935="In-situ only assumption"),"In-situ only paradox","")))</f>
        <v/>
      </c>
      <c r="FB935" t="s">
        <v>2033</v>
      </c>
      <c r="FD935" s="263" t="s">
        <v>2917</v>
      </c>
    </row>
    <row r="936" spans="1:160" ht="15" hidden="1" customHeight="1">
      <c r="A936" s="1" t="s">
        <v>1920</v>
      </c>
      <c r="B936" t="s">
        <v>531</v>
      </c>
      <c r="C936" t="s">
        <v>2021</v>
      </c>
      <c r="D936" t="s">
        <v>2022</v>
      </c>
      <c r="E936" t="s">
        <v>2023</v>
      </c>
      <c r="F936" t="s">
        <v>2024</v>
      </c>
      <c r="G936" t="s">
        <v>1921</v>
      </c>
      <c r="H936" t="s">
        <v>254</v>
      </c>
      <c r="I936">
        <v>2014</v>
      </c>
      <c r="J936">
        <v>96</v>
      </c>
      <c r="K936" t="s">
        <v>2025</v>
      </c>
      <c r="M936" t="str">
        <f>LEFT($D936,FIND(",",$D936)-1)&amp;"_"&amp;I936&amp;L936</f>
        <v>Smyth_2014</v>
      </c>
      <c r="N936" t="s">
        <v>222</v>
      </c>
      <c r="O936" s="145" t="s">
        <v>341</v>
      </c>
      <c r="Q936" t="s">
        <v>256</v>
      </c>
      <c r="R936" s="258" t="s">
        <v>223</v>
      </c>
      <c r="S936" s="1" t="s">
        <v>2046</v>
      </c>
      <c r="T936" t="s">
        <v>1030</v>
      </c>
      <c r="U936" t="s">
        <v>2047</v>
      </c>
      <c r="V936" s="253">
        <v>0</v>
      </c>
      <c r="W936" s="253">
        <v>0</v>
      </c>
      <c r="X936">
        <v>0</v>
      </c>
      <c r="Y936">
        <v>0</v>
      </c>
      <c r="Z936">
        <v>0</v>
      </c>
      <c r="AA936">
        <v>1</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s="141">
        <f>COUNTIF(X936:AY936,"&lt;&gt;0")</f>
        <v>1</v>
      </c>
      <c r="BA936" s="141">
        <f>COUNTIF(X936:AN936,"&lt;&gt;0")</f>
        <v>1</v>
      </c>
      <c r="BB936">
        <f>COUNTIF(X936:AE936,"&lt;&gt;0")</f>
        <v>1</v>
      </c>
      <c r="BC936">
        <f>COUNTIF(AF936:AK936,"&lt;&gt;0")</f>
        <v>0</v>
      </c>
      <c r="BD936">
        <f>COUNTIF(AL936:AN936,"&lt;&gt;0")</f>
        <v>0</v>
      </c>
      <c r="BE936">
        <f>COUNTIF(AU936:AY936,"&lt;&gt;0")</f>
        <v>0</v>
      </c>
      <c r="BF936">
        <f>COUNTIF(AO936:AT936,"&lt;&gt;0")</f>
        <v>0</v>
      </c>
      <c r="BG936" t="str">
        <f t="array" ref="BG936">IF(BA936=1,INDEX($X$7:$AN$7,MATCH(TRUE,INDEX($X936:$AY936&lt;&gt;0,),0)),IF(BA936=0,INDEX($AO$7:$AY$7,MATCH(1,$AO936:$AY936,0)),IF(BH936="Multiple strategies","mixed drivers",IF(BH936="Supply chain","multiple supply","multiple silviculture"))))</f>
        <v xml:space="preserve">cutting intensity </v>
      </c>
      <c r="BH936" s="2" t="str" cm="1">
        <f t="array" ref="BH936">IF(COUNTIF(BB936:BD936,"&lt;&gt;0")=1,INDEX($X$4:$AY$4,MATCH(TRUE,INDEX($X936:$AY936&lt;&gt;0,),0)),IF(COUNTIF(BB936:BD936,"&lt;&gt;0")=0,INDEX($AO$4:$AY$4,MATCH(1,$AO936:$AY936,0)),"Multiple strategies"))</f>
        <v>Silviculture for removals</v>
      </c>
      <c r="BI936" s="1" t="s">
        <v>321</v>
      </c>
      <c r="BJ936" t="s">
        <v>2031</v>
      </c>
      <c r="BK936" t="s">
        <v>978</v>
      </c>
      <c r="BL936" t="s">
        <v>2032</v>
      </c>
      <c r="BM936">
        <v>0</v>
      </c>
      <c r="BN936">
        <v>1.42</v>
      </c>
      <c r="BP936">
        <f>BN936-BM936</f>
        <v>1.42</v>
      </c>
      <c r="BQ936">
        <f>BP936*10^6*tC_to_m3</f>
        <v>6165870.6035605734</v>
      </c>
      <c r="BR936" t="s">
        <v>232</v>
      </c>
      <c r="BS936" s="336" t="s">
        <v>763</v>
      </c>
      <c r="BT936" s="260" t="s">
        <v>2919</v>
      </c>
      <c r="BW936" s="144"/>
      <c r="BX936">
        <f>-294/35</f>
        <v>-8.4</v>
      </c>
      <c r="BZ936">
        <f>BX936*10^6</f>
        <v>-8400000</v>
      </c>
      <c r="CA936">
        <f>IFERROR(BZ936/BQ936,"")</f>
        <v>-1.3623380281690141</v>
      </c>
      <c r="CB936">
        <v>0</v>
      </c>
      <c r="CC936">
        <v>1</v>
      </c>
      <c r="CD936">
        <v>1</v>
      </c>
      <c r="CE936">
        <v>1</v>
      </c>
      <c r="CF936">
        <v>0</v>
      </c>
      <c r="CG936">
        <v>0</v>
      </c>
      <c r="CH936">
        <v>0</v>
      </c>
      <c r="CI936">
        <v>0</v>
      </c>
      <c r="CJ936">
        <v>0</v>
      </c>
      <c r="CK936">
        <v>0</v>
      </c>
      <c r="CL936">
        <v>0</v>
      </c>
      <c r="CM936">
        <v>0</v>
      </c>
      <c r="CN936">
        <v>0</v>
      </c>
      <c r="CO936">
        <v>0</v>
      </c>
      <c r="CP936" t="str">
        <f>IF($BN936&lt;$BM936,"refNeedCorrection","refOK")</f>
        <v>refOK</v>
      </c>
      <c r="CQ936">
        <f>IF($CP936="refOK",$BM936,$BN936)</f>
        <v>0</v>
      </c>
      <c r="CR936">
        <f>IF($CP936="refOK",$BN936,$BM936)</f>
        <v>1.42</v>
      </c>
      <c r="CS936">
        <f>IF($CP936="refOK",$BQ936,-$BQ936)</f>
        <v>6165870.6035605734</v>
      </c>
      <c r="CT936">
        <f>IF(BI936="Roundwood",$CS936/2,$CS936)</f>
        <v>3082935.3017802867</v>
      </c>
      <c r="CU936">
        <f>IF($CP936="refOK",$BU936,$BV936)*IF($BR936="Emissions positive",-1,1)</f>
        <v>0</v>
      </c>
      <c r="CV936">
        <f>IF($CP936="refOK",$BV936,$BU936)*IF($BR936="Emissions positive",-1,1)</f>
        <v>0</v>
      </c>
      <c r="CW936">
        <f>IF($CP936="refNeedCorrection",-BZ936,BZ936)*IF($BR936="Emissions positive",-1,1)</f>
        <v>-8400000</v>
      </c>
      <c r="CX936">
        <f>IFERROR($CW936/$CS936,"")</f>
        <v>-1.3623380281690141</v>
      </c>
      <c r="CY936">
        <f>IFERROR($CW936/$CS936,"")</f>
        <v>-1.3623380281690141</v>
      </c>
      <c r="CZ936">
        <f>IFERROR($CW936/$CT936,"")</f>
        <v>-2.7246760563380281</v>
      </c>
      <c r="DA936" s="2" t="str">
        <f>IFERROR((CV936-CU936)/ABS(CU936),"")</f>
        <v/>
      </c>
      <c r="DB936" s="1" t="s">
        <v>1078</v>
      </c>
      <c r="DC936" t="str">
        <f>IF(OR($DB936="prd",$DB936="std",$DB936="cit"),"loc",IF(OR($DB936="eur",$DB936="reg",$DB936="coy"),"reg",$DB936))</f>
        <v>reg</v>
      </c>
      <c r="DD936" t="s">
        <v>527</v>
      </c>
      <c r="DE936">
        <v>2015</v>
      </c>
      <c r="DF936">
        <v>2050</v>
      </c>
      <c r="DG936">
        <v>35</v>
      </c>
      <c r="DH936" t="str">
        <f>IF(DG936=0,"0",IF(AND(DG936&gt;=1,DG936&lt;=30),"1-30",IF(AND(DG936&gt;30,DG936&lt;=70),"31-70",IF(AND(DG936&gt;70,DG936&lt;=100),"71-100",IF(DG936&gt;100,"+100")))))</f>
        <v>31-70</v>
      </c>
      <c r="DI936">
        <v>0</v>
      </c>
      <c r="DJ936">
        <v>1</v>
      </c>
      <c r="DK936">
        <v>1</v>
      </c>
      <c r="DL936">
        <v>1</v>
      </c>
      <c r="DN936">
        <f>SUM(DI936:DL936)</f>
        <v>3</v>
      </c>
      <c r="DO936" t="str">
        <f>IF(DN936=1,INDEX($DI$7:$DL$7,MATCH(1,$DI936:$DL936,0)),"mixedProduct")</f>
        <v>mixedProduct</v>
      </c>
      <c r="DP936">
        <f>IF(DI936=1,DP$7,0)</f>
        <v>0</v>
      </c>
      <c r="DQ936" t="str">
        <f>IF(DJ936=1,DQ$7,0)</f>
        <v>Energy</v>
      </c>
      <c r="DR936" t="str">
        <f>IF(DK936=1,DR$7,0)</f>
        <v>Pulp/Paper</v>
      </c>
      <c r="DS936" t="str">
        <f>IF(DL936=1,DS$7,0)</f>
        <v>Timber</v>
      </c>
      <c r="DT936">
        <v>1</v>
      </c>
      <c r="DU936">
        <v>1</v>
      </c>
      <c r="DV936" t="s">
        <v>2028</v>
      </c>
      <c r="DW936">
        <v>0</v>
      </c>
      <c r="DX936">
        <v>0</v>
      </c>
      <c r="DY936">
        <f>SUM(DT936:DU936)</f>
        <v>2</v>
      </c>
      <c r="DZ936" s="143" t="str">
        <f>IF(DT936=1,"self-calculated DF",IF(DU936=1,"external DF used","explicit C balance"))</f>
        <v>self-calculated DF</v>
      </c>
      <c r="EA936">
        <v>1</v>
      </c>
      <c r="EB936">
        <v>1</v>
      </c>
      <c r="EC936">
        <v>1</v>
      </c>
      <c r="ED936">
        <v>1</v>
      </c>
      <c r="EE936">
        <v>1</v>
      </c>
      <c r="EF936">
        <v>1</v>
      </c>
      <c r="EG936">
        <v>0</v>
      </c>
      <c r="EH936">
        <v>0</v>
      </c>
      <c r="EI936">
        <v>0</v>
      </c>
      <c r="EJ936">
        <v>0</v>
      </c>
      <c r="EK936">
        <v>1</v>
      </c>
      <c r="EL936">
        <v>0</v>
      </c>
      <c r="EM936">
        <v>0</v>
      </c>
      <c r="EN936" s="2">
        <v>0</v>
      </c>
      <c r="EP936" t="str">
        <f>IF(AND(AND(AND(OR($EC936=1,$EB936=1),OR($EH936=1,$EF936=1)),SUM($EA936:$EE936,$EK936)&gt;=3),SUM($EF936:$EJ936)&gt;=2),"Whole sector approach","")</f>
        <v/>
      </c>
      <c r="EQ936" t="str">
        <f>IF(AND(AND(OR($EC936=1,$EB936=1),AND($EH936=0,$EF936=0)),SUM($EA936:$EE936,$EK936)&gt;=4),"Ecosystem approach","")</f>
        <v/>
      </c>
      <c r="ER936" s="2" t="str">
        <f>IF(AND(AND(AND($EC936=0,$EB936=0),OR($EH936=1,$EF936=1)),SUM($EG936:$EJ936)&gt;=2),"Technology approach","")</f>
        <v/>
      </c>
      <c r="ES936" t="str">
        <f>IF(AND($EC936+$EB936+$EE936+$EA936+$ED936+$EG936=0,$N936="included"),"C neutral forest and HWP assumption","")</f>
        <v/>
      </c>
      <c r="ET936" t="str">
        <f>IF(AND(AND(AND(AND($EC936=1,$EB936+$EA936+$EG936&gt;=1),$EF936=1),$EH936+$EI936+$ED936+$EE936&gt;=2),$N936="included"),"All C pools assumption","")</f>
        <v>All C pools assumption</v>
      </c>
      <c r="EU936" t="str">
        <f>IF(AND($ED936+$EE936+$EI936+$EH936+$EF936=0,$N936="included"),"In-situ only assumption","")</f>
        <v/>
      </c>
      <c r="EV936" s="328" t="s">
        <v>5065</v>
      </c>
      <c r="EY936" t="str">
        <f>IF(ISNUMBER(BW936),IF(ABS(BW936-[2]QC_indicators!$B$2)&gt;3*[2]QC_indicators!$C$2,"C ratio",IF(ISNUMBER(CA936),IF(ABS(CA936-[2]QC_indicators!$B$1)&gt;3*[2]QC_indicators!$C$1,"DF","no"))),IF(ISNUMBER(CA936),IF(ABS(CA936-[2]QC_indicators!$B$1)&gt;3*[2]QC_indicators!$C$1,"DF","no")))</f>
        <v>no</v>
      </c>
      <c r="FA936" t="str">
        <f>IF(LEN($CY936)=0,"",IF(AND($CY936&lt;(-0.05),$ES936="C neutral forest and HWP assumption"),"Cneutral paradox",IF(AND($CY936&gt;0.05,$EU936="In-situ only assumption"),"In-situ only paradox","")))</f>
        <v/>
      </c>
      <c r="FD936" s="263" t="s">
        <v>2917</v>
      </c>
    </row>
    <row r="937" spans="1:160" ht="15" hidden="1" customHeight="1">
      <c r="A937" s="1" t="s">
        <v>1920</v>
      </c>
      <c r="B937" t="s">
        <v>531</v>
      </c>
      <c r="C937" t="s">
        <v>2021</v>
      </c>
      <c r="D937" t="s">
        <v>2022</v>
      </c>
      <c r="E937" t="s">
        <v>2023</v>
      </c>
      <c r="F937" t="s">
        <v>2024</v>
      </c>
      <c r="G937" t="s">
        <v>1921</v>
      </c>
      <c r="H937" t="s">
        <v>254</v>
      </c>
      <c r="I937">
        <v>2014</v>
      </c>
      <c r="J937">
        <v>96</v>
      </c>
      <c r="K937" t="s">
        <v>2025</v>
      </c>
      <c r="M937" t="str">
        <f>LEFT($D937,FIND(",",$D937)-1)&amp;"_"&amp;I937&amp;L937</f>
        <v>Smyth_2014</v>
      </c>
      <c r="N937" t="s">
        <v>222</v>
      </c>
      <c r="O937" s="145" t="s">
        <v>341</v>
      </c>
      <c r="Q937" t="s">
        <v>256</v>
      </c>
      <c r="R937" s="258" t="s">
        <v>223</v>
      </c>
      <c r="S937" s="1" t="s">
        <v>2029</v>
      </c>
      <c r="T937" t="s">
        <v>1030</v>
      </c>
      <c r="U937" s="260" t="s">
        <v>2035</v>
      </c>
      <c r="V937" s="253">
        <v>0</v>
      </c>
      <c r="W937" s="253">
        <v>0</v>
      </c>
      <c r="X937">
        <v>0</v>
      </c>
      <c r="Y937">
        <v>0</v>
      </c>
      <c r="Z937">
        <v>0</v>
      </c>
      <c r="AA937">
        <v>1</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s="141">
        <f>COUNTIF(X937:AY937,"&lt;&gt;0")</f>
        <v>1</v>
      </c>
      <c r="BA937" s="141">
        <f>COUNTIF(X937:AN937,"&lt;&gt;0")</f>
        <v>1</v>
      </c>
      <c r="BB937">
        <f>COUNTIF(X937:AE937,"&lt;&gt;0")</f>
        <v>1</v>
      </c>
      <c r="BC937">
        <f>COUNTIF(AF937:AK937,"&lt;&gt;0")</f>
        <v>0</v>
      </c>
      <c r="BD937">
        <f>COUNTIF(AL937:AN937,"&lt;&gt;0")</f>
        <v>0</v>
      </c>
      <c r="BE937">
        <f>COUNTIF(AU937:AY937,"&lt;&gt;0")</f>
        <v>0</v>
      </c>
      <c r="BF937">
        <f>COUNTIF(AO937:AT937,"&lt;&gt;0")</f>
        <v>0</v>
      </c>
      <c r="BG937" t="str">
        <f t="array" ref="BG937">IF(BA937=1,INDEX($X$7:$AN$7,MATCH(TRUE,INDEX($X937:$AY937&lt;&gt;0,),0)),IF(BA937=0,INDEX($AO$7:$AY$7,MATCH(1,$AO937:$AY937,0)),IF(BH937="Multiple strategies","mixed drivers",IF(BH937="Supply chain","multiple supply","multiple silviculture"))))</f>
        <v xml:space="preserve">cutting intensity </v>
      </c>
      <c r="BH937" s="2" t="str" cm="1">
        <f t="array" ref="BH937">IF(COUNTIF(BB937:BD937,"&lt;&gt;0")=1,INDEX($X$4:$AY$4,MATCH(TRUE,INDEX($X937:$AY937&lt;&gt;0,),0)),IF(COUNTIF(BB937:BD937,"&lt;&gt;0")=0,INDEX($AO$4:$AY$4,MATCH(1,$AO937:$AY937,0)),"Multiple strategies"))</f>
        <v>Silviculture for removals</v>
      </c>
      <c r="BI937" s="1" t="s">
        <v>321</v>
      </c>
      <c r="BJ937" t="s">
        <v>2031</v>
      </c>
      <c r="BK937" t="s">
        <v>978</v>
      </c>
      <c r="BL937" t="s">
        <v>2032</v>
      </c>
      <c r="BM937">
        <v>0</v>
      </c>
      <c r="BN937">
        <v>0.62</v>
      </c>
      <c r="BP937">
        <f>BN937-BM937</f>
        <v>0.62</v>
      </c>
      <c r="BQ937">
        <f>BP937*10^6*tC_to_m3</f>
        <v>2692140.6860616589</v>
      </c>
      <c r="BR937" t="s">
        <v>232</v>
      </c>
      <c r="BS937" s="336" t="s">
        <v>763</v>
      </c>
      <c r="BT937" s="260" t="s">
        <v>2919</v>
      </c>
      <c r="BW937" s="144"/>
      <c r="BX937">
        <f>-156/35</f>
        <v>-4.4571428571428573</v>
      </c>
      <c r="BZ937">
        <f>BX937*10^6</f>
        <v>-4457142.8571428573</v>
      </c>
      <c r="CA937">
        <f>IFERROR(BZ937/BQ937,"")</f>
        <v>-1.6556129032258065</v>
      </c>
      <c r="CB937">
        <v>0</v>
      </c>
      <c r="CC937">
        <v>1</v>
      </c>
      <c r="CD937">
        <v>1</v>
      </c>
      <c r="CE937">
        <v>1</v>
      </c>
      <c r="CF937">
        <v>0</v>
      </c>
      <c r="CG937">
        <v>0</v>
      </c>
      <c r="CH937">
        <v>0</v>
      </c>
      <c r="CI937">
        <v>0</v>
      </c>
      <c r="CJ937">
        <v>0</v>
      </c>
      <c r="CK937">
        <v>0</v>
      </c>
      <c r="CL937">
        <v>0</v>
      </c>
      <c r="CM937">
        <v>0</v>
      </c>
      <c r="CN937">
        <v>0</v>
      </c>
      <c r="CO937">
        <v>0</v>
      </c>
      <c r="CP937" t="str">
        <f>IF($BN937&lt;$BM937,"refNeedCorrection","refOK")</f>
        <v>refOK</v>
      </c>
      <c r="CQ937">
        <f>IF($CP937="refOK",$BM937,$BN937)</f>
        <v>0</v>
      </c>
      <c r="CR937">
        <f>IF($CP937="refOK",$BN937,$BM937)</f>
        <v>0.62</v>
      </c>
      <c r="CS937">
        <f>IF($CP937="refOK",$BQ937,-$BQ937)</f>
        <v>2692140.6860616589</v>
      </c>
      <c r="CT937">
        <f>IF(BI937="Roundwood",$CS937/2,$CS937)</f>
        <v>1346070.3430308294</v>
      </c>
      <c r="CU937">
        <f>IF($CP937="refOK",$BU937,$BV937)*IF($BR937="Emissions positive",-1,1)</f>
        <v>0</v>
      </c>
      <c r="CV937">
        <f>IF($CP937="refOK",$BV937,$BU937)*IF($BR937="Emissions positive",-1,1)</f>
        <v>0</v>
      </c>
      <c r="CW937">
        <f>IF($CP937="refNeedCorrection",-BZ937,BZ937)*IF($BR937="Emissions positive",-1,1)</f>
        <v>-4457142.8571428573</v>
      </c>
      <c r="CX937">
        <f>IFERROR($CW937/$CS937,"")</f>
        <v>-1.6556129032258065</v>
      </c>
      <c r="CY937">
        <f>IFERROR($CW937/$CS937,"")</f>
        <v>-1.6556129032258065</v>
      </c>
      <c r="CZ937">
        <f>IFERROR($CW937/$CT937,"")</f>
        <v>-3.3112258064516129</v>
      </c>
      <c r="DA937" s="2" t="str">
        <f>IFERROR((CV937-CU937)/ABS(CU937),"")</f>
        <v/>
      </c>
      <c r="DB937" s="1" t="s">
        <v>1078</v>
      </c>
      <c r="DC937" t="str">
        <f>IF(OR($DB937="prd",$DB937="std",$DB937="cit"),"loc",IF(OR($DB937="eur",$DB937="reg",$DB937="coy"),"reg",$DB937))</f>
        <v>reg</v>
      </c>
      <c r="DD937" t="s">
        <v>527</v>
      </c>
      <c r="DE937">
        <v>2015</v>
      </c>
      <c r="DF937">
        <v>2050</v>
      </c>
      <c r="DG937">
        <v>35</v>
      </c>
      <c r="DH937" t="str">
        <f>IF(DG937=0,"0",IF(AND(DG937&gt;=1,DG937&lt;=30),"1-30",IF(AND(DG937&gt;30,DG937&lt;=70),"31-70",IF(AND(DG937&gt;70,DG937&lt;=100),"71-100",IF(DG937&gt;100,"+100")))))</f>
        <v>31-70</v>
      </c>
      <c r="DI937">
        <v>0</v>
      </c>
      <c r="DJ937">
        <v>1</v>
      </c>
      <c r="DK937">
        <v>1</v>
      </c>
      <c r="DL937">
        <v>1</v>
      </c>
      <c r="DN937">
        <f>SUM(DI937:DL937)</f>
        <v>3</v>
      </c>
      <c r="DO937" t="str">
        <f>IF(DN937=1,INDEX($DI$7:$DL$7,MATCH(1,$DI937:$DL937,0)),"mixedProduct")</f>
        <v>mixedProduct</v>
      </c>
      <c r="DP937">
        <f>IF(DI937=1,DP$7,0)</f>
        <v>0</v>
      </c>
      <c r="DQ937" t="str">
        <f>IF(DJ937=1,DQ$7,0)</f>
        <v>Energy</v>
      </c>
      <c r="DR937" t="str">
        <f>IF(DK937=1,DR$7,0)</f>
        <v>Pulp/Paper</v>
      </c>
      <c r="DS937" t="str">
        <f>IF(DL937=1,DS$7,0)</f>
        <v>Timber</v>
      </c>
      <c r="DT937">
        <v>1</v>
      </c>
      <c r="DU937">
        <v>1</v>
      </c>
      <c r="DV937" t="s">
        <v>2028</v>
      </c>
      <c r="DW937">
        <v>0</v>
      </c>
      <c r="DX937">
        <v>0</v>
      </c>
      <c r="DY937">
        <f>SUM(DT937:DU937)</f>
        <v>2</v>
      </c>
      <c r="DZ937" s="143" t="str">
        <f>IF(DT937=1,"self-calculated DF",IF(DU937=1,"external DF used","explicit C balance"))</f>
        <v>self-calculated DF</v>
      </c>
      <c r="EA937">
        <v>1</v>
      </c>
      <c r="EB937">
        <v>1</v>
      </c>
      <c r="EC937">
        <v>1</v>
      </c>
      <c r="ED937">
        <v>1</v>
      </c>
      <c r="EE937">
        <v>1</v>
      </c>
      <c r="EF937">
        <v>1</v>
      </c>
      <c r="EG937">
        <v>0</v>
      </c>
      <c r="EH937">
        <v>0</v>
      </c>
      <c r="EI937">
        <v>0</v>
      </c>
      <c r="EJ937">
        <v>0</v>
      </c>
      <c r="EK937">
        <v>1</v>
      </c>
      <c r="EL937">
        <v>0</v>
      </c>
      <c r="EM937">
        <v>0</v>
      </c>
      <c r="EN937" s="2">
        <v>0</v>
      </c>
      <c r="EP937" t="str">
        <f>IF(AND(AND(AND(OR($EC937=1,$EB937=1),OR($EH937=1,$EF937=1)),SUM($EA937:$EE937,$EK937)&gt;=3),SUM($EF937:$EJ937)&gt;=2),"Whole sector approach","")</f>
        <v/>
      </c>
      <c r="EQ937" t="str">
        <f>IF(AND(AND(OR($EC937=1,$EB937=1),AND($EH937=0,$EF937=0)),SUM($EA937:$EE937,$EK937)&gt;=4),"Ecosystem approach","")</f>
        <v/>
      </c>
      <c r="ER937" s="2" t="str">
        <f>IF(AND(AND(AND($EC937=0,$EB937=0),OR($EH937=1,$EF937=1)),SUM($EG937:$EJ937)&gt;=2),"Technology approach","")</f>
        <v/>
      </c>
      <c r="ES937" t="str">
        <f>IF(AND($EC937+$EB937+$EE937+$EA937+$ED937+$EG937=0,$N937="included"),"C neutral forest and HWP assumption","")</f>
        <v/>
      </c>
      <c r="ET937" t="str">
        <f>IF(AND(AND(AND(AND($EC937=1,$EB937+$EA937+$EG937&gt;=1),$EF937=1),$EH937+$EI937+$ED937+$EE937&gt;=2),$N937="included"),"All C pools assumption","")</f>
        <v>All C pools assumption</v>
      </c>
      <c r="EU937" t="str">
        <f>IF(AND($ED937+$EE937+$EI937+$EH937+$EF937=0,$N937="included"),"In-situ only assumption","")</f>
        <v/>
      </c>
      <c r="EV937" s="328" t="s">
        <v>5065</v>
      </c>
      <c r="EY937" t="str">
        <f>IF(ISNUMBER(BW937),IF(ABS(BW937-[2]QC_indicators!$B$2)&gt;3*[2]QC_indicators!$C$2,"C ratio",IF(ISNUMBER(CA937),IF(ABS(CA937-[2]QC_indicators!$B$1)&gt;3*[2]QC_indicators!$C$1,"DF","no"))),IF(ISNUMBER(CA937),IF(ABS(CA937-[2]QC_indicators!$B$1)&gt;3*[2]QC_indicators!$C$1,"DF","no")))</f>
        <v>no</v>
      </c>
      <c r="FA937" t="str">
        <f>IF(LEN($CY937)=0,"",IF(AND($CY937&lt;(-0.05),$ES937="C neutral forest and HWP assumption"),"Cneutral paradox",IF(AND($CY937&gt;0.05,$EU937="In-situ only assumption"),"In-situ only paradox","")))</f>
        <v/>
      </c>
      <c r="FB937" t="s">
        <v>2033</v>
      </c>
      <c r="FD937" s="263" t="s">
        <v>2917</v>
      </c>
    </row>
    <row r="938" spans="1:160" ht="15" hidden="1" customHeight="1">
      <c r="A938" s="1" t="s">
        <v>1920</v>
      </c>
      <c r="B938" t="s">
        <v>531</v>
      </c>
      <c r="C938" t="s">
        <v>2021</v>
      </c>
      <c r="D938" t="s">
        <v>2022</v>
      </c>
      <c r="E938" t="s">
        <v>2023</v>
      </c>
      <c r="F938" t="s">
        <v>2024</v>
      </c>
      <c r="G938" t="s">
        <v>1921</v>
      </c>
      <c r="H938" t="s">
        <v>254</v>
      </c>
      <c r="I938">
        <v>2014</v>
      </c>
      <c r="J938">
        <v>96</v>
      </c>
      <c r="K938" t="s">
        <v>2025</v>
      </c>
      <c r="M938" t="str">
        <f>LEFT($D938,FIND(",",$D938)-1)&amp;"_"&amp;I938&amp;L938</f>
        <v>Smyth_2014</v>
      </c>
      <c r="N938" t="s">
        <v>222</v>
      </c>
      <c r="O938" s="145" t="s">
        <v>341</v>
      </c>
      <c r="Q938" t="s">
        <v>256</v>
      </c>
      <c r="R938" s="258" t="s">
        <v>223</v>
      </c>
      <c r="S938" s="1" t="s">
        <v>2046</v>
      </c>
      <c r="T938" t="s">
        <v>1030</v>
      </c>
      <c r="U938" t="s">
        <v>2047</v>
      </c>
      <c r="V938" s="253">
        <v>0</v>
      </c>
      <c r="W938" s="253">
        <v>0</v>
      </c>
      <c r="X938">
        <v>0</v>
      </c>
      <c r="Y938">
        <v>0</v>
      </c>
      <c r="Z938">
        <v>0</v>
      </c>
      <c r="AA938">
        <v>1</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s="141">
        <f>COUNTIF(X938:AY938,"&lt;&gt;0")</f>
        <v>1</v>
      </c>
      <c r="BA938" s="141">
        <f>COUNTIF(X938:AN938,"&lt;&gt;0")</f>
        <v>1</v>
      </c>
      <c r="BB938">
        <f>COUNTIF(X938:AE938,"&lt;&gt;0")</f>
        <v>1</v>
      </c>
      <c r="BC938">
        <f>COUNTIF(AF938:AK938,"&lt;&gt;0")</f>
        <v>0</v>
      </c>
      <c r="BD938">
        <f>COUNTIF(AL938:AN938,"&lt;&gt;0")</f>
        <v>0</v>
      </c>
      <c r="BE938">
        <f>COUNTIF(AU938:AY938,"&lt;&gt;0")</f>
        <v>0</v>
      </c>
      <c r="BF938">
        <f>COUNTIF(AO938:AT938,"&lt;&gt;0")</f>
        <v>0</v>
      </c>
      <c r="BG938" t="str">
        <f t="array" ref="BG938">IF(BA938=1,INDEX($X$7:$AN$7,MATCH(TRUE,INDEX($X938:$AY938&lt;&gt;0,),0)),IF(BA938=0,INDEX($AO$7:$AY$7,MATCH(1,$AO938:$AY938,0)),IF(BH938="Multiple strategies","mixed drivers",IF(BH938="Supply chain","multiple supply","multiple silviculture"))))</f>
        <v xml:space="preserve">cutting intensity </v>
      </c>
      <c r="BH938" s="2" t="str" cm="1">
        <f t="array" ref="BH938">IF(COUNTIF(BB938:BD938,"&lt;&gt;0")=1,INDEX($X$4:$AY$4,MATCH(TRUE,INDEX($X938:$AY938&lt;&gt;0,),0)),IF(COUNTIF(BB938:BD938,"&lt;&gt;0")=0,INDEX($AO$4:$AY$4,MATCH(1,$AO938:$AY938,0)),"Multiple strategies"))</f>
        <v>Silviculture for removals</v>
      </c>
      <c r="BI938" s="1" t="s">
        <v>321</v>
      </c>
      <c r="BJ938" t="s">
        <v>2031</v>
      </c>
      <c r="BK938" t="s">
        <v>978</v>
      </c>
      <c r="BL938" t="s">
        <v>2032</v>
      </c>
      <c r="BM938">
        <v>0</v>
      </c>
      <c r="BN938">
        <v>1.42</v>
      </c>
      <c r="BP938">
        <f>BN938-BM938</f>
        <v>1.42</v>
      </c>
      <c r="BQ938">
        <f>BP938*10^6*tC_to_m3</f>
        <v>6165870.6035605734</v>
      </c>
      <c r="BR938" t="s">
        <v>232</v>
      </c>
      <c r="BS938" s="336" t="s">
        <v>763</v>
      </c>
      <c r="BT938" s="260" t="s">
        <v>2919</v>
      </c>
      <c r="BW938" s="144"/>
      <c r="BX938">
        <f>-399.62/35</f>
        <v>-11.417714285714286</v>
      </c>
      <c r="BZ938">
        <f>BX938*10^6</f>
        <v>-11417714.285714285</v>
      </c>
      <c r="CA938">
        <f>IFERROR(BZ938/BQ938,"")</f>
        <v>-1.8517602816901406</v>
      </c>
      <c r="CB938">
        <v>0</v>
      </c>
      <c r="CC938">
        <v>1</v>
      </c>
      <c r="CD938">
        <v>1</v>
      </c>
      <c r="CE938">
        <v>1</v>
      </c>
      <c r="CF938">
        <v>0</v>
      </c>
      <c r="CG938">
        <v>0</v>
      </c>
      <c r="CH938">
        <v>0</v>
      </c>
      <c r="CI938">
        <v>0</v>
      </c>
      <c r="CJ938">
        <v>0</v>
      </c>
      <c r="CK938">
        <v>0</v>
      </c>
      <c r="CL938">
        <v>0</v>
      </c>
      <c r="CM938">
        <v>0</v>
      </c>
      <c r="CN938">
        <v>0</v>
      </c>
      <c r="CO938">
        <v>0</v>
      </c>
      <c r="CP938" t="str">
        <f>IF($BN938&lt;$BM938,"refNeedCorrection","refOK")</f>
        <v>refOK</v>
      </c>
      <c r="CQ938">
        <f>IF($CP938="refOK",$BM938,$BN938)</f>
        <v>0</v>
      </c>
      <c r="CR938">
        <f>IF($CP938="refOK",$BN938,$BM938)</f>
        <v>1.42</v>
      </c>
      <c r="CS938">
        <f>IF($CP938="refOK",$BQ938,-$BQ938)</f>
        <v>6165870.6035605734</v>
      </c>
      <c r="CT938">
        <f>IF(BI938="Roundwood",$CS938/2,$CS938)</f>
        <v>3082935.3017802867</v>
      </c>
      <c r="CU938">
        <f>IF($CP938="refOK",$BU938,$BV938)*IF($BR938="Emissions positive",-1,1)</f>
        <v>0</v>
      </c>
      <c r="CV938">
        <f>IF($CP938="refOK",$BV938,$BU938)*IF($BR938="Emissions positive",-1,1)</f>
        <v>0</v>
      </c>
      <c r="CW938">
        <f>IF($CP938="refNeedCorrection",-BZ938,BZ938)*IF($BR938="Emissions positive",-1,1)</f>
        <v>-11417714.285714285</v>
      </c>
      <c r="CX938">
        <f>IFERROR($CW938/$CS938,"")</f>
        <v>-1.8517602816901406</v>
      </c>
      <c r="CY938">
        <f>IFERROR($CW938/$CS938,"")</f>
        <v>-1.8517602816901406</v>
      </c>
      <c r="CZ938">
        <f>IFERROR($CW938/$CT938,"")</f>
        <v>-3.7035205633802812</v>
      </c>
      <c r="DA938" s="2" t="str">
        <f>IFERROR((CV938-CU938)/ABS(CU938),"")</f>
        <v/>
      </c>
      <c r="DB938" s="1" t="s">
        <v>1078</v>
      </c>
      <c r="DC938" t="str">
        <f>IF(OR($DB938="prd",$DB938="std",$DB938="cit"),"loc",IF(OR($DB938="eur",$DB938="reg",$DB938="coy"),"reg",$DB938))</f>
        <v>reg</v>
      </c>
      <c r="DD938" t="s">
        <v>527</v>
      </c>
      <c r="DE938">
        <v>2015</v>
      </c>
      <c r="DF938">
        <v>2050</v>
      </c>
      <c r="DG938">
        <v>35</v>
      </c>
      <c r="DH938" t="str">
        <f>IF(DG938=0,"0",IF(AND(DG938&gt;=1,DG938&lt;=30),"1-30",IF(AND(DG938&gt;30,DG938&lt;=70),"31-70",IF(AND(DG938&gt;70,DG938&lt;=100),"71-100",IF(DG938&gt;100,"+100")))))</f>
        <v>31-70</v>
      </c>
      <c r="DI938">
        <v>0</v>
      </c>
      <c r="DJ938">
        <v>1</v>
      </c>
      <c r="DK938">
        <v>1</v>
      </c>
      <c r="DL938">
        <v>1</v>
      </c>
      <c r="DN938">
        <f>SUM(DI938:DL938)</f>
        <v>3</v>
      </c>
      <c r="DO938" t="str">
        <f>IF(DN938=1,INDEX($DI$7:$DL$7,MATCH(1,$DI938:$DL938,0)),"mixedProduct")</f>
        <v>mixedProduct</v>
      </c>
      <c r="DP938">
        <f>IF(DI938=1,DP$7,0)</f>
        <v>0</v>
      </c>
      <c r="DQ938" t="str">
        <f>IF(DJ938=1,DQ$7,0)</f>
        <v>Energy</v>
      </c>
      <c r="DR938" t="str">
        <f>IF(DK938=1,DR$7,0)</f>
        <v>Pulp/Paper</v>
      </c>
      <c r="DS938" t="str">
        <f>IF(DL938=1,DS$7,0)</f>
        <v>Timber</v>
      </c>
      <c r="DT938">
        <v>0</v>
      </c>
      <c r="DU938">
        <v>0</v>
      </c>
      <c r="DW938">
        <v>0</v>
      </c>
      <c r="DX938">
        <v>0</v>
      </c>
      <c r="DY938">
        <f>SUM(DT938:DU938)</f>
        <v>0</v>
      </c>
      <c r="DZ938" s="143" t="str">
        <f>IF(DT938=1,"self-calculated DF",IF(DU938=1,"external DF used","explicit C balance"))</f>
        <v>explicit C balance</v>
      </c>
      <c r="EA938">
        <v>1</v>
      </c>
      <c r="EB938">
        <v>1</v>
      </c>
      <c r="EC938">
        <v>1</v>
      </c>
      <c r="ED938">
        <v>1</v>
      </c>
      <c r="EE938">
        <v>1</v>
      </c>
      <c r="EF938">
        <v>0</v>
      </c>
      <c r="EG938">
        <v>0</v>
      </c>
      <c r="EH938">
        <v>0</v>
      </c>
      <c r="EI938">
        <v>0</v>
      </c>
      <c r="EJ938">
        <v>0</v>
      </c>
      <c r="EK938">
        <v>1</v>
      </c>
      <c r="EL938">
        <v>0</v>
      </c>
      <c r="EM938">
        <v>0</v>
      </c>
      <c r="EN938" s="2">
        <v>0</v>
      </c>
      <c r="EP938" t="str">
        <f>IF(AND(AND(AND(OR($EC938=1,$EB938=1),OR($EH938=1,$EF938=1)),SUM($EA938:$EE938,$EK938)&gt;=3),SUM($EF938:$EJ938)&gt;=2),"Whole sector approach","")</f>
        <v/>
      </c>
      <c r="EQ938" t="str">
        <f>IF(AND(AND(OR($EC938=1,$EB938=1),AND($EH938=0,$EF938=0)),SUM($EA938:$EE938,$EK938)&gt;=4),"Ecosystem approach","")</f>
        <v>Ecosystem approach</v>
      </c>
      <c r="ER938" s="2" t="str">
        <f>IF(AND(AND(AND($EC938=0,$EB938=0),OR($EH938=1,$EF938=1)),SUM($EG938:$EJ938)&gt;=2),"Technology approach","")</f>
        <v/>
      </c>
      <c r="ES938" t="str">
        <f>IF(AND($EC938+$EB938+$EE938+$EA938+$ED938+$EG938=0,$N938="included"),"C neutral forest and HWP assumption","")</f>
        <v/>
      </c>
      <c r="ET938" t="str">
        <f>IF(AND(AND(AND(AND($EC938=1,$EB938+$EA938+$EG938&gt;=1),$EF938=1),$EH938+$EI938+$ED938+$EE938&gt;=2),$N938="included"),"All C pools assumption","")</f>
        <v/>
      </c>
      <c r="EU938" t="str">
        <f>IF(AND($ED938+$EE938+$EI938+$EH938+$EF938=0,$N938="included"),"In-situ only assumption","")</f>
        <v/>
      </c>
      <c r="EV938" s="328" t="s">
        <v>5065</v>
      </c>
      <c r="EY938" t="str">
        <f>IF(ISNUMBER(BW938),IF(ABS(BW938-[2]QC_indicators!$B$2)&gt;3*[2]QC_indicators!$C$2,"C ratio",IF(ISNUMBER(CA938),IF(ABS(CA938-[2]QC_indicators!$B$1)&gt;3*[2]QC_indicators!$C$1,"DF","no"))),IF(ISNUMBER(CA938),IF(ABS(CA938-[2]QC_indicators!$B$1)&gt;3*[2]QC_indicators!$C$1,"DF","no")))</f>
        <v>no</v>
      </c>
      <c r="FA938" t="str">
        <f>IF(LEN($CY938)=0,"",IF(AND($CY938&lt;(-0.05),$ES938="C neutral forest and HWP assumption"),"Cneutral paradox",IF(AND($CY938&gt;0.05,$EU938="In-situ only assumption"),"In-situ only paradox","")))</f>
        <v/>
      </c>
      <c r="FD938" s="263" t="s">
        <v>2917</v>
      </c>
    </row>
    <row r="939" spans="1:160" ht="15" hidden="1" customHeight="1">
      <c r="A939" s="1" t="s">
        <v>1920</v>
      </c>
      <c r="B939" t="s">
        <v>531</v>
      </c>
      <c r="C939" t="s">
        <v>2021</v>
      </c>
      <c r="D939" t="s">
        <v>2022</v>
      </c>
      <c r="E939" t="s">
        <v>2023</v>
      </c>
      <c r="F939" t="s">
        <v>2024</v>
      </c>
      <c r="G939" t="s">
        <v>1921</v>
      </c>
      <c r="H939" t="s">
        <v>254</v>
      </c>
      <c r="I939">
        <v>2014</v>
      </c>
      <c r="J939">
        <v>96</v>
      </c>
      <c r="K939" t="s">
        <v>2025</v>
      </c>
      <c r="M939" t="str">
        <f>LEFT($D939,FIND(",",$D939)-1)&amp;"_"&amp;I939&amp;L939</f>
        <v>Smyth_2014</v>
      </c>
      <c r="N939" t="s">
        <v>222</v>
      </c>
      <c r="O939" s="145" t="s">
        <v>341</v>
      </c>
      <c r="Q939" t="s">
        <v>256</v>
      </c>
      <c r="R939" s="258" t="s">
        <v>223</v>
      </c>
      <c r="S939" s="1" t="s">
        <v>2029</v>
      </c>
      <c r="T939" t="s">
        <v>1030</v>
      </c>
      <c r="U939" s="260" t="s">
        <v>2035</v>
      </c>
      <c r="V939" s="253">
        <v>0</v>
      </c>
      <c r="W939" s="253">
        <v>0</v>
      </c>
      <c r="X939">
        <v>0</v>
      </c>
      <c r="Y939">
        <v>0</v>
      </c>
      <c r="Z939">
        <v>0</v>
      </c>
      <c r="AA939">
        <v>1</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s="141">
        <f>COUNTIF(X939:AY939,"&lt;&gt;0")</f>
        <v>1</v>
      </c>
      <c r="BA939" s="141">
        <f>COUNTIF(X939:AN939,"&lt;&gt;0")</f>
        <v>1</v>
      </c>
      <c r="BB939">
        <f>COUNTIF(X939:AE939,"&lt;&gt;0")</f>
        <v>1</v>
      </c>
      <c r="BC939">
        <f>COUNTIF(AF939:AK939,"&lt;&gt;0")</f>
        <v>0</v>
      </c>
      <c r="BD939">
        <f>COUNTIF(AL939:AN939,"&lt;&gt;0")</f>
        <v>0</v>
      </c>
      <c r="BE939">
        <f>COUNTIF(AU939:AY939,"&lt;&gt;0")</f>
        <v>0</v>
      </c>
      <c r="BF939">
        <f>COUNTIF(AO939:AT939,"&lt;&gt;0")</f>
        <v>0</v>
      </c>
      <c r="BG939" t="str">
        <f t="array" ref="BG939">IF(BA939=1,INDEX($X$7:$AN$7,MATCH(TRUE,INDEX($X939:$AY939&lt;&gt;0,),0)),IF(BA939=0,INDEX($AO$7:$AY$7,MATCH(1,$AO939:$AY939,0)),IF(BH939="Multiple strategies","mixed drivers",IF(BH939="Supply chain","multiple supply","multiple silviculture"))))</f>
        <v xml:space="preserve">cutting intensity </v>
      </c>
      <c r="BH939" s="2" t="str" cm="1">
        <f t="array" ref="BH939">IF(COUNTIF(BB939:BD939,"&lt;&gt;0")=1,INDEX($X$4:$AY$4,MATCH(TRUE,INDEX($X939:$AY939&lt;&gt;0,),0)),IF(COUNTIF(BB939:BD939,"&lt;&gt;0")=0,INDEX($AO$4:$AY$4,MATCH(1,$AO939:$AY939,0)),"Multiple strategies"))</f>
        <v>Silviculture for removals</v>
      </c>
      <c r="BI939" s="1" t="s">
        <v>321</v>
      </c>
      <c r="BJ939" t="s">
        <v>2031</v>
      </c>
      <c r="BK939" t="s">
        <v>978</v>
      </c>
      <c r="BL939" t="s">
        <v>2032</v>
      </c>
      <c r="BM939">
        <v>0</v>
      </c>
      <c r="BN939">
        <v>0.62</v>
      </c>
      <c r="BP939">
        <f>BN939-BM939</f>
        <v>0.62</v>
      </c>
      <c r="BQ939">
        <f>BP939*10^6*tC_to_m3</f>
        <v>2692140.6860616589</v>
      </c>
      <c r="BR939" t="s">
        <v>232</v>
      </c>
      <c r="BS939" s="336" t="s">
        <v>763</v>
      </c>
      <c r="BT939" s="260" t="s">
        <v>2919</v>
      </c>
      <c r="BW939" s="144"/>
      <c r="BX939">
        <f>-203.9994/35</f>
        <v>-5.8285542857142856</v>
      </c>
      <c r="BZ939">
        <f>BX939*10^6</f>
        <v>-5828554.2857142854</v>
      </c>
      <c r="CA939">
        <f>IFERROR(BZ939/BQ939,"")</f>
        <v>-2.1650258903225805</v>
      </c>
      <c r="CB939">
        <v>0</v>
      </c>
      <c r="CC939">
        <v>1</v>
      </c>
      <c r="CD939">
        <v>1</v>
      </c>
      <c r="CE939">
        <v>1</v>
      </c>
      <c r="CF939">
        <v>0</v>
      </c>
      <c r="CG939">
        <v>0</v>
      </c>
      <c r="CH939">
        <v>0</v>
      </c>
      <c r="CI939">
        <v>0</v>
      </c>
      <c r="CJ939">
        <v>0</v>
      </c>
      <c r="CK939">
        <v>0</v>
      </c>
      <c r="CL939">
        <v>0</v>
      </c>
      <c r="CM939">
        <v>0</v>
      </c>
      <c r="CN939">
        <v>0</v>
      </c>
      <c r="CO939">
        <v>0</v>
      </c>
      <c r="CP939" t="str">
        <f>IF($BN939&lt;$BM939,"refNeedCorrection","refOK")</f>
        <v>refOK</v>
      </c>
      <c r="CQ939">
        <f>IF($CP939="refOK",$BM939,$BN939)</f>
        <v>0</v>
      </c>
      <c r="CR939">
        <f>IF($CP939="refOK",$BN939,$BM939)</f>
        <v>0.62</v>
      </c>
      <c r="CS939">
        <f>IF($CP939="refOK",$BQ939,-$BQ939)</f>
        <v>2692140.6860616589</v>
      </c>
      <c r="CT939">
        <f>IF(BI939="Roundwood",$CS939/2,$CS939)</f>
        <v>1346070.3430308294</v>
      </c>
      <c r="CU939">
        <f>IF($CP939="refOK",$BU939,$BV939)*IF($BR939="Emissions positive",-1,1)</f>
        <v>0</v>
      </c>
      <c r="CV939">
        <f>IF($CP939="refOK",$BV939,$BU939)*IF($BR939="Emissions positive",-1,1)</f>
        <v>0</v>
      </c>
      <c r="CW939">
        <f>IF($CP939="refNeedCorrection",-BZ939,BZ939)*IF($BR939="Emissions positive",-1,1)</f>
        <v>-5828554.2857142854</v>
      </c>
      <c r="CX939">
        <f>IFERROR($CW939/$CS939,"")</f>
        <v>-2.1650258903225805</v>
      </c>
      <c r="CY939">
        <f>IFERROR($CW939/$CS939,"")</f>
        <v>-2.1650258903225805</v>
      </c>
      <c r="CZ939">
        <f>IFERROR($CW939/$CT939,"")</f>
        <v>-4.3300517806451611</v>
      </c>
      <c r="DA939" s="2" t="str">
        <f>IFERROR((CV939-CU939)/ABS(CU939),"")</f>
        <v/>
      </c>
      <c r="DB939" s="1" t="s">
        <v>1078</v>
      </c>
      <c r="DC939" t="str">
        <f>IF(OR($DB939="prd",$DB939="std",$DB939="cit"),"loc",IF(OR($DB939="eur",$DB939="reg",$DB939="coy"),"reg",$DB939))</f>
        <v>reg</v>
      </c>
      <c r="DD939" t="s">
        <v>527</v>
      </c>
      <c r="DE939">
        <v>2015</v>
      </c>
      <c r="DF939">
        <v>2050</v>
      </c>
      <c r="DG939">
        <v>35</v>
      </c>
      <c r="DH939" t="str">
        <f>IF(DG939=0,"0",IF(AND(DG939&gt;=1,DG939&lt;=30),"1-30",IF(AND(DG939&gt;30,DG939&lt;=70),"31-70",IF(AND(DG939&gt;70,DG939&lt;=100),"71-100",IF(DG939&gt;100,"+100")))))</f>
        <v>31-70</v>
      </c>
      <c r="DI939">
        <v>0</v>
      </c>
      <c r="DJ939">
        <v>1</v>
      </c>
      <c r="DK939">
        <v>1</v>
      </c>
      <c r="DL939">
        <v>1</v>
      </c>
      <c r="DN939">
        <f>SUM(DI939:DL939)</f>
        <v>3</v>
      </c>
      <c r="DO939" t="str">
        <f>IF(DN939=1,INDEX($DI$7:$DL$7,MATCH(1,$DI939:$DL939,0)),"mixedProduct")</f>
        <v>mixedProduct</v>
      </c>
      <c r="DP939">
        <f>IF(DI939=1,DP$7,0)</f>
        <v>0</v>
      </c>
      <c r="DQ939" t="str">
        <f>IF(DJ939=1,DQ$7,0)</f>
        <v>Energy</v>
      </c>
      <c r="DR939" t="str">
        <f>IF(DK939=1,DR$7,0)</f>
        <v>Pulp/Paper</v>
      </c>
      <c r="DS939" t="str">
        <f>IF(DL939=1,DS$7,0)</f>
        <v>Timber</v>
      </c>
      <c r="DT939">
        <v>0</v>
      </c>
      <c r="DU939">
        <v>0</v>
      </c>
      <c r="DW939">
        <v>0</v>
      </c>
      <c r="DX939">
        <v>0</v>
      </c>
      <c r="DY939">
        <f>SUM(DT939:DU939)</f>
        <v>0</v>
      </c>
      <c r="DZ939" s="143" t="str">
        <f>IF(DT939=1,"self-calculated DF",IF(DU939=1,"external DF used","explicit C balance"))</f>
        <v>explicit C balance</v>
      </c>
      <c r="EA939">
        <v>1</v>
      </c>
      <c r="EB939">
        <v>1</v>
      </c>
      <c r="EC939">
        <v>1</v>
      </c>
      <c r="ED939">
        <v>1</v>
      </c>
      <c r="EE939">
        <v>1</v>
      </c>
      <c r="EF939">
        <v>0</v>
      </c>
      <c r="EG939">
        <v>0</v>
      </c>
      <c r="EH939">
        <v>0</v>
      </c>
      <c r="EI939">
        <v>0</v>
      </c>
      <c r="EJ939">
        <v>0</v>
      </c>
      <c r="EK939">
        <v>1</v>
      </c>
      <c r="EL939">
        <v>0</v>
      </c>
      <c r="EM939">
        <v>0</v>
      </c>
      <c r="EN939" s="2">
        <v>0</v>
      </c>
      <c r="EP939" t="str">
        <f>IF(AND(AND(AND(OR($EC939=1,$EB939=1),OR($EH939=1,$EF939=1)),SUM($EA939:$EE939,$EK939)&gt;=3),SUM($EF939:$EJ939)&gt;=2),"Whole sector approach","")</f>
        <v/>
      </c>
      <c r="EQ939" t="str">
        <f>IF(AND(AND(OR($EC939=1,$EB939=1),AND($EH939=0,$EF939=0)),SUM($EA939:$EE939,$EK939)&gt;=4),"Ecosystem approach","")</f>
        <v>Ecosystem approach</v>
      </c>
      <c r="ER939" s="2" t="str">
        <f>IF(AND(AND(AND($EC939=0,$EB939=0),OR($EH939=1,$EF939=1)),SUM($EG939:$EJ939)&gt;=2),"Technology approach","")</f>
        <v/>
      </c>
      <c r="ES939" t="str">
        <f>IF(AND($EC939+$EB939+$EE939+$EA939+$ED939+$EG939=0,$N939="included"),"C neutral forest and HWP assumption","")</f>
        <v/>
      </c>
      <c r="ET939" t="str">
        <f>IF(AND(AND(AND(AND($EC939=1,$EB939+$EA939+$EG939&gt;=1),$EF939=1),$EH939+$EI939+$ED939+$EE939&gt;=2),$N939="included"),"All C pools assumption","")</f>
        <v/>
      </c>
      <c r="EU939" t="str">
        <f>IF(AND($ED939+$EE939+$EI939+$EH939+$EF939=0,$N939="included"),"In-situ only assumption","")</f>
        <v/>
      </c>
      <c r="EV939" s="328" t="s">
        <v>5065</v>
      </c>
      <c r="EY939" t="str">
        <f>IF(ISNUMBER(BW939),IF(ABS(BW939-[2]QC_indicators!$B$2)&gt;3*[2]QC_indicators!$C$2,"C ratio",IF(ISNUMBER(CA939),IF(ABS(CA939-[2]QC_indicators!$B$1)&gt;3*[2]QC_indicators!$C$1,"DF","no"))),IF(ISNUMBER(CA939),IF(ABS(CA939-[2]QC_indicators!$B$1)&gt;3*[2]QC_indicators!$C$1,"DF","no")))</f>
        <v>no</v>
      </c>
      <c r="FA939" t="str">
        <f>IF(LEN($CY939)=0,"",IF(AND($CY939&lt;(-0.05),$ES939="C neutral forest and HWP assumption"),"Cneutral paradox",IF(AND($CY939&gt;0.05,$EU939="In-situ only assumption"),"In-situ only paradox","")))</f>
        <v/>
      </c>
      <c r="FB939" t="s">
        <v>2033</v>
      </c>
      <c r="FD939" s="263" t="s">
        <v>2917</v>
      </c>
    </row>
    <row r="940" spans="1:160" ht="15" hidden="1" customHeight="1">
      <c r="A940" s="1" t="s">
        <v>1920</v>
      </c>
      <c r="B940" t="s">
        <v>531</v>
      </c>
      <c r="C940" t="s">
        <v>2021</v>
      </c>
      <c r="D940" t="s">
        <v>2022</v>
      </c>
      <c r="E940" t="s">
        <v>2023</v>
      </c>
      <c r="F940" t="s">
        <v>2024</v>
      </c>
      <c r="G940" t="s">
        <v>1921</v>
      </c>
      <c r="H940" t="s">
        <v>254</v>
      </c>
      <c r="I940">
        <v>2014</v>
      </c>
      <c r="J940">
        <v>96</v>
      </c>
      <c r="K940" t="s">
        <v>2025</v>
      </c>
      <c r="M940" t="str">
        <f>LEFT($D940,FIND(",",$D940)-1)&amp;"_"&amp;I940&amp;L940</f>
        <v>Smyth_2014</v>
      </c>
      <c r="N940" t="s">
        <v>222</v>
      </c>
      <c r="O940" s="145" t="s">
        <v>341</v>
      </c>
      <c r="Q940" t="s">
        <v>256</v>
      </c>
      <c r="R940" s="258" t="s">
        <v>223</v>
      </c>
      <c r="S940" s="1" t="s">
        <v>2034</v>
      </c>
      <c r="T940" t="s">
        <v>1030</v>
      </c>
      <c r="U940" s="260" t="s">
        <v>2030</v>
      </c>
      <c r="V940" s="253">
        <v>0</v>
      </c>
      <c r="W940" s="253">
        <v>0</v>
      </c>
      <c r="X940">
        <v>0</v>
      </c>
      <c r="Y940">
        <v>0</v>
      </c>
      <c r="Z940">
        <v>0</v>
      </c>
      <c r="AA940">
        <v>1</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0</v>
      </c>
      <c r="AY940">
        <v>0</v>
      </c>
      <c r="AZ940" s="141">
        <f>COUNTIF(X940:AY940,"&lt;&gt;0")</f>
        <v>1</v>
      </c>
      <c r="BA940" s="141">
        <f>COUNTIF(X940:AN940,"&lt;&gt;0")</f>
        <v>1</v>
      </c>
      <c r="BB940">
        <f>COUNTIF(X940:AE940,"&lt;&gt;0")</f>
        <v>1</v>
      </c>
      <c r="BC940">
        <f>COUNTIF(AF940:AK940,"&lt;&gt;0")</f>
        <v>0</v>
      </c>
      <c r="BD940">
        <f>COUNTIF(AL940:AN940,"&lt;&gt;0")</f>
        <v>0</v>
      </c>
      <c r="BE940">
        <f>COUNTIF(AU940:AY940,"&lt;&gt;0")</f>
        <v>0</v>
      </c>
      <c r="BF940">
        <f>COUNTIF(AO940:AT940,"&lt;&gt;0")</f>
        <v>0</v>
      </c>
      <c r="BG940" t="str">
        <f t="array" ref="BG940">IF(BA940=1,INDEX($X$7:$AN$7,MATCH(TRUE,INDEX($X940:$AY940&lt;&gt;0,),0)),IF(BA940=0,INDEX($AO$7:$AY$7,MATCH(1,$AO940:$AY940,0)),IF(BH940="Multiple strategies","mixed drivers",IF(BH940="Supply chain","multiple supply","multiple silviculture"))))</f>
        <v xml:space="preserve">cutting intensity </v>
      </c>
      <c r="BH940" s="2" t="str" cm="1">
        <f t="array" ref="BH940">IF(COUNTIF(BB940:BD940,"&lt;&gt;0")=1,INDEX($X$4:$AY$4,MATCH(TRUE,INDEX($X940:$AY940&lt;&gt;0,),0)),IF(COUNTIF(BB940:BD940,"&lt;&gt;0")=0,INDEX($AO$4:$AY$4,MATCH(1,$AO940:$AY940,0)),"Multiple strategies"))</f>
        <v>Silviculture for removals</v>
      </c>
      <c r="BI940" s="1" t="s">
        <v>321</v>
      </c>
      <c r="BJ940" t="s">
        <v>2031</v>
      </c>
      <c r="BK940" t="s">
        <v>978</v>
      </c>
      <c r="BL940" t="s">
        <v>2032</v>
      </c>
      <c r="BM940">
        <v>0</v>
      </c>
      <c r="BN940">
        <v>2.9000000000000001E-2</v>
      </c>
      <c r="BP940">
        <f>BN940-BM940</f>
        <v>2.9000000000000001E-2</v>
      </c>
      <c r="BQ940">
        <f>BP940*10^6*tC_to_m3</f>
        <v>125922.70950933566</v>
      </c>
      <c r="BR940" t="s">
        <v>232</v>
      </c>
      <c r="BS940" s="336" t="s">
        <v>763</v>
      </c>
      <c r="BT940" s="260" t="s">
        <v>2919</v>
      </c>
      <c r="BW940" s="144"/>
      <c r="BX940">
        <f>-9.8/35</f>
        <v>-0.28000000000000003</v>
      </c>
      <c r="BZ940">
        <f>BX940*10^6</f>
        <v>-280000</v>
      </c>
      <c r="CA940">
        <f>IFERROR(BZ940/BQ940,"")</f>
        <v>-2.2235862068965515</v>
      </c>
      <c r="CB940">
        <v>0</v>
      </c>
      <c r="CC940">
        <v>1</v>
      </c>
      <c r="CD940">
        <v>1</v>
      </c>
      <c r="CE940">
        <v>1</v>
      </c>
      <c r="CF940">
        <v>0</v>
      </c>
      <c r="CG940">
        <v>0</v>
      </c>
      <c r="CH940">
        <v>0</v>
      </c>
      <c r="CI940">
        <v>0</v>
      </c>
      <c r="CJ940">
        <v>0</v>
      </c>
      <c r="CK940">
        <v>0</v>
      </c>
      <c r="CL940">
        <v>0</v>
      </c>
      <c r="CM940">
        <v>0</v>
      </c>
      <c r="CN940">
        <v>0</v>
      </c>
      <c r="CO940">
        <v>0</v>
      </c>
      <c r="CP940" t="str">
        <f>IF($BN940&lt;$BM940,"refNeedCorrection","refOK")</f>
        <v>refOK</v>
      </c>
      <c r="CQ940">
        <f>IF($CP940="refOK",$BM940,$BN940)</f>
        <v>0</v>
      </c>
      <c r="CR940">
        <f>IF($CP940="refOK",$BN940,$BM940)</f>
        <v>2.9000000000000001E-2</v>
      </c>
      <c r="CS940">
        <f>IF($CP940="refOK",$BQ940,-$BQ940)</f>
        <v>125922.70950933566</v>
      </c>
      <c r="CT940">
        <f>IF(BI940="Roundwood",$CS940/2,$CS940)</f>
        <v>62961.354754667831</v>
      </c>
      <c r="CU940">
        <f>IF($CP940="refOK",$BU940,$BV940)*IF($BR940="Emissions positive",-1,1)</f>
        <v>0</v>
      </c>
      <c r="CV940">
        <f>IF($CP940="refOK",$BV940,$BU940)*IF($BR940="Emissions positive",-1,1)</f>
        <v>0</v>
      </c>
      <c r="CW940">
        <f>IF($CP940="refNeedCorrection",-BZ940,BZ940)*IF($BR940="Emissions positive",-1,1)</f>
        <v>-280000</v>
      </c>
      <c r="CX940">
        <f>IFERROR($CW940/$CS940,"")</f>
        <v>-2.2235862068965515</v>
      </c>
      <c r="CY940">
        <f>IFERROR($CW940/$CS940,"")</f>
        <v>-2.2235862068965515</v>
      </c>
      <c r="CZ940">
        <f>IFERROR($CW940/$CT940,"")</f>
        <v>-4.447172413793103</v>
      </c>
      <c r="DA940" s="2" t="str">
        <f>IFERROR((CV940-CU940)/ABS(CU940),"")</f>
        <v/>
      </c>
      <c r="DB940" s="1" t="s">
        <v>1078</v>
      </c>
      <c r="DC940" t="str">
        <f>IF(OR($DB940="prd",$DB940="std",$DB940="cit"),"loc",IF(OR($DB940="eur",$DB940="reg",$DB940="coy"),"reg",$DB940))</f>
        <v>reg</v>
      </c>
      <c r="DD940" t="s">
        <v>527</v>
      </c>
      <c r="DE940">
        <v>2015</v>
      </c>
      <c r="DF940">
        <v>2050</v>
      </c>
      <c r="DG940">
        <v>35</v>
      </c>
      <c r="DH940" t="str">
        <f>IF(DG940=0,"0",IF(AND(DG940&gt;=1,DG940&lt;=30),"1-30",IF(AND(DG940&gt;30,DG940&lt;=70),"31-70",IF(AND(DG940&gt;70,DG940&lt;=100),"71-100",IF(DG940&gt;100,"+100")))))</f>
        <v>31-70</v>
      </c>
      <c r="DI940">
        <v>0</v>
      </c>
      <c r="DJ940">
        <v>1</v>
      </c>
      <c r="DK940">
        <v>1</v>
      </c>
      <c r="DL940">
        <v>1</v>
      </c>
      <c r="DN940">
        <f>SUM(DI940:DL940)</f>
        <v>3</v>
      </c>
      <c r="DO940" t="str">
        <f>IF(DN940=1,INDEX($DI$7:$DL$7,MATCH(1,$DI940:$DL940,0)),"mixedProduct")</f>
        <v>mixedProduct</v>
      </c>
      <c r="DP940">
        <f>IF(DI940=1,DP$7,0)</f>
        <v>0</v>
      </c>
      <c r="DQ940" t="str">
        <f>IF(DJ940=1,DQ$7,0)</f>
        <v>Energy</v>
      </c>
      <c r="DR940" t="str">
        <f>IF(DK940=1,DR$7,0)</f>
        <v>Pulp/Paper</v>
      </c>
      <c r="DS940" t="str">
        <f>IF(DL940=1,DS$7,0)</f>
        <v>Timber</v>
      </c>
      <c r="DT940">
        <v>1</v>
      </c>
      <c r="DU940">
        <v>1</v>
      </c>
      <c r="DV940" t="s">
        <v>2028</v>
      </c>
      <c r="DW940">
        <v>0</v>
      </c>
      <c r="DX940">
        <v>0</v>
      </c>
      <c r="DY940">
        <f>SUM(DT940:DU940)</f>
        <v>2</v>
      </c>
      <c r="DZ940" s="143" t="str">
        <f>IF(DT940=1,"self-calculated DF",IF(DU940=1,"external DF used","explicit C balance"))</f>
        <v>self-calculated DF</v>
      </c>
      <c r="EA940">
        <v>1</v>
      </c>
      <c r="EB940">
        <v>1</v>
      </c>
      <c r="EC940">
        <v>1</v>
      </c>
      <c r="ED940">
        <v>1</v>
      </c>
      <c r="EE940">
        <v>1</v>
      </c>
      <c r="EF940">
        <v>1</v>
      </c>
      <c r="EG940">
        <v>0</v>
      </c>
      <c r="EH940">
        <v>0</v>
      </c>
      <c r="EI940">
        <v>0</v>
      </c>
      <c r="EJ940">
        <v>0</v>
      </c>
      <c r="EK940">
        <v>1</v>
      </c>
      <c r="EL940">
        <v>0</v>
      </c>
      <c r="EM940">
        <v>0</v>
      </c>
      <c r="EN940" s="2">
        <v>0</v>
      </c>
      <c r="EP940" t="str">
        <f>IF(AND(AND(AND(OR($EC940=1,$EB940=1),OR($EH940=1,$EF940=1)),SUM($EA940:$EE940,$EK940)&gt;=3),SUM($EF940:$EJ940)&gt;=2),"Whole sector approach","")</f>
        <v/>
      </c>
      <c r="EQ940" t="str">
        <f>IF(AND(AND(OR($EC940=1,$EB940=1),AND($EH940=0,$EF940=0)),SUM($EA940:$EE940,$EK940)&gt;=4),"Ecosystem approach","")</f>
        <v/>
      </c>
      <c r="ER940" s="2" t="str">
        <f>IF(AND(AND(AND($EC940=0,$EB940=0),OR($EH940=1,$EF940=1)),SUM($EG940:$EJ940)&gt;=2),"Technology approach","")</f>
        <v/>
      </c>
      <c r="ES940" t="str">
        <f>IF(AND($EC940+$EB940+$EE940+$EA940+$ED940+$EG940=0,$N940="included"),"C neutral forest and HWP assumption","")</f>
        <v/>
      </c>
      <c r="ET940" t="str">
        <f>IF(AND(AND(AND(AND($EC940=1,$EB940+$EA940+$EG940&gt;=1),$EF940=1),$EH940+$EI940+$ED940+$EE940&gt;=2),$N940="included"),"All C pools assumption","")</f>
        <v>All C pools assumption</v>
      </c>
      <c r="EU940" t="str">
        <f>IF(AND($ED940+$EE940+$EI940+$EH940+$EF940=0,$N940="included"),"In-situ only assumption","")</f>
        <v/>
      </c>
      <c r="EV940" s="328" t="s">
        <v>5065</v>
      </c>
      <c r="EY940" t="str">
        <f>IF(ISNUMBER(BW940),IF(ABS(BW940-[2]QC_indicators!$B$2)&gt;3*[2]QC_indicators!$C$2,"C ratio",IF(ISNUMBER(CA940),IF(ABS(CA940-[2]QC_indicators!$B$1)&gt;3*[2]QC_indicators!$C$1,"DF","no"))),IF(ISNUMBER(CA940),IF(ABS(CA940-[2]QC_indicators!$B$1)&gt;3*[2]QC_indicators!$C$1,"DF","no")))</f>
        <v>no</v>
      </c>
      <c r="FA940" t="str">
        <f>IF(LEN($CY940)=0,"",IF(AND($CY940&lt;(-0.05),$ES940="C neutral forest and HWP assumption"),"Cneutral paradox",IF(AND($CY940&gt;0.05,$EU940="In-situ only assumption"),"In-situ only paradox","")))</f>
        <v/>
      </c>
      <c r="FD940" s="263" t="s">
        <v>2917</v>
      </c>
    </row>
    <row r="941" spans="1:160" ht="15" customHeight="1">
      <c r="A941" s="1" t="s">
        <v>1920</v>
      </c>
      <c r="B941" t="s">
        <v>531</v>
      </c>
      <c r="C941" t="s">
        <v>2021</v>
      </c>
      <c r="D941" t="s">
        <v>2022</v>
      </c>
      <c r="E941" t="s">
        <v>2023</v>
      </c>
      <c r="F941" t="s">
        <v>2024</v>
      </c>
      <c r="G941" t="s">
        <v>1921</v>
      </c>
      <c r="H941" t="s">
        <v>254</v>
      </c>
      <c r="I941">
        <v>2014</v>
      </c>
      <c r="J941">
        <v>96</v>
      </c>
      <c r="K941" t="s">
        <v>2025</v>
      </c>
      <c r="M941" t="str">
        <f>LEFT($D941,FIND(",",$D941)-1)&amp;"_"&amp;I941&amp;L941</f>
        <v>Smyth_2014</v>
      </c>
      <c r="N941" t="s">
        <v>222</v>
      </c>
      <c r="O941" s="145" t="s">
        <v>341</v>
      </c>
      <c r="Q941" t="s">
        <v>256</v>
      </c>
      <c r="R941" s="258" t="s">
        <v>223</v>
      </c>
      <c r="S941" s="1" t="s">
        <v>2034</v>
      </c>
      <c r="T941" t="s">
        <v>1030</v>
      </c>
      <c r="U941" s="260" t="s">
        <v>2030</v>
      </c>
      <c r="V941" s="253">
        <v>0</v>
      </c>
      <c r="W941" s="253">
        <v>0</v>
      </c>
      <c r="X941">
        <v>0</v>
      </c>
      <c r="Y941">
        <v>0</v>
      </c>
      <c r="Z941">
        <v>0</v>
      </c>
      <c r="AA941">
        <v>1</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s="141">
        <f>COUNTIF(X941:AY941,"&lt;&gt;0")</f>
        <v>1</v>
      </c>
      <c r="BA941" s="141">
        <f>COUNTIF(X941:AN941,"&lt;&gt;0")</f>
        <v>1</v>
      </c>
      <c r="BB941">
        <f>COUNTIF(X941:AE941,"&lt;&gt;0")</f>
        <v>1</v>
      </c>
      <c r="BC941">
        <f>COUNTIF(AF941:AK941,"&lt;&gt;0")</f>
        <v>0</v>
      </c>
      <c r="BD941">
        <f>COUNTIF(AL941:AN941,"&lt;&gt;0")</f>
        <v>0</v>
      </c>
      <c r="BE941">
        <f>COUNTIF(AU941:AY941,"&lt;&gt;0")</f>
        <v>0</v>
      </c>
      <c r="BF941">
        <f>COUNTIF(AO941:AT941,"&lt;&gt;0")</f>
        <v>0</v>
      </c>
      <c r="BG941" t="str">
        <f t="array" ref="BG941">IF(BA941=1,INDEX($X$7:$AN$7,MATCH(TRUE,INDEX($X941:$AY941&lt;&gt;0,),0)),IF(BA941=0,INDEX($AO$7:$AY$7,MATCH(1,$AO941:$AY941,0)),IF(BH941="Multiple strategies","mixed drivers",IF(BH941="Supply chain","multiple supply","multiple silviculture"))))</f>
        <v xml:space="preserve">cutting intensity </v>
      </c>
      <c r="BH941" s="2" t="str" cm="1">
        <f t="array" ref="BH941">IF(COUNTIF(BB941:BD941,"&lt;&gt;0")=1,INDEX($X$4:$AY$4,MATCH(TRUE,INDEX($X941:$AY941&lt;&gt;0,),0)),IF(COUNTIF(BB941:BD941,"&lt;&gt;0")=0,INDEX($AO$4:$AY$4,MATCH(1,$AO941:$AY941,0)),"Multiple strategies"))</f>
        <v>Silviculture for removals</v>
      </c>
      <c r="BI941" s="1" t="s">
        <v>321</v>
      </c>
      <c r="BJ941" t="s">
        <v>2031</v>
      </c>
      <c r="BK941" t="s">
        <v>978</v>
      </c>
      <c r="BL941" t="s">
        <v>2032</v>
      </c>
      <c r="BM941">
        <v>0</v>
      </c>
      <c r="BN941">
        <v>2.9000000000000001E-2</v>
      </c>
      <c r="BP941">
        <f>BN941-BM941</f>
        <v>2.9000000000000001E-2</v>
      </c>
      <c r="BQ941">
        <f>BP941*10^6*tC_to_m3</f>
        <v>125922.70950933566</v>
      </c>
      <c r="BR941" t="s">
        <v>232</v>
      </c>
      <c r="BS941" s="336" t="s">
        <v>763</v>
      </c>
      <c r="BT941" s="260" t="s">
        <v>2919</v>
      </c>
      <c r="BW941" s="144"/>
      <c r="BX941">
        <f>-22.7/35</f>
        <v>-0.64857142857142858</v>
      </c>
      <c r="BZ941">
        <f>BX941*10^6</f>
        <v>-648571.42857142852</v>
      </c>
      <c r="CA941">
        <f>IFERROR(BZ941/BQ941,"")</f>
        <v>-5.1505517241379302</v>
      </c>
      <c r="CB941">
        <v>0</v>
      </c>
      <c r="CC941">
        <v>1</v>
      </c>
      <c r="CD941">
        <v>1</v>
      </c>
      <c r="CE941">
        <v>1</v>
      </c>
      <c r="CF941">
        <v>0</v>
      </c>
      <c r="CG941">
        <v>0</v>
      </c>
      <c r="CH941">
        <v>0</v>
      </c>
      <c r="CI941">
        <v>0</v>
      </c>
      <c r="CJ941">
        <v>0</v>
      </c>
      <c r="CK941">
        <v>0</v>
      </c>
      <c r="CL941">
        <v>0</v>
      </c>
      <c r="CM941">
        <v>0</v>
      </c>
      <c r="CN941">
        <v>0</v>
      </c>
      <c r="CO941">
        <v>0</v>
      </c>
      <c r="CP941" t="str">
        <f>IF($BN941&lt;$BM941,"refNeedCorrection","refOK")</f>
        <v>refOK</v>
      </c>
      <c r="CQ941">
        <f>IF($CP941="refOK",$BM941,$BN941)</f>
        <v>0</v>
      </c>
      <c r="CR941">
        <f>IF($CP941="refOK",$BN941,$BM941)</f>
        <v>2.9000000000000001E-2</v>
      </c>
      <c r="CS941">
        <f>IF($CP941="refOK",$BQ941,-$BQ941)</f>
        <v>125922.70950933566</v>
      </c>
      <c r="CT941">
        <f>IF(BI941="Roundwood",$CS941/2,$CS941)</f>
        <v>62961.354754667831</v>
      </c>
      <c r="CU941">
        <f>IF($CP941="refOK",$BU941,$BV941)*IF($BR941="Emissions positive",-1,1)</f>
        <v>0</v>
      </c>
      <c r="CV941">
        <f>IF($CP941="refOK",$BV941,$BU941)*IF($BR941="Emissions positive",-1,1)</f>
        <v>0</v>
      </c>
      <c r="CW941">
        <f>IF($CP941="refNeedCorrection",-BZ941,BZ941)*IF($BR941="Emissions positive",-1,1)</f>
        <v>-648571.42857142852</v>
      </c>
      <c r="CX941">
        <f>IFERROR($CW941/$CS941,"")</f>
        <v>-5.1505517241379302</v>
      </c>
      <c r="CY941">
        <f>IFERROR($CW941/$CS941,"")</f>
        <v>-5.1505517241379302</v>
      </c>
      <c r="CZ941">
        <f>IFERROR($CW941/$CT941,"")</f>
        <v>-10.30110344827586</v>
      </c>
      <c r="DA941" s="2" t="str">
        <f>IFERROR((CV941-CU941)/ABS(CU941),"")</f>
        <v/>
      </c>
      <c r="DB941" s="1" t="s">
        <v>1078</v>
      </c>
      <c r="DC941" t="str">
        <f>IF(OR($DB941="prd",$DB941="std",$DB941="cit"),"loc",IF(OR($DB941="eur",$DB941="reg",$DB941="coy"),"reg",$DB941))</f>
        <v>reg</v>
      </c>
      <c r="DD941" t="s">
        <v>527</v>
      </c>
      <c r="DE941">
        <v>2015</v>
      </c>
      <c r="DF941">
        <v>2050</v>
      </c>
      <c r="DG941">
        <v>35</v>
      </c>
      <c r="DH941" t="str">
        <f>IF(DG941=0,"0",IF(AND(DG941&gt;=1,DG941&lt;=30),"1-30",IF(AND(DG941&gt;30,DG941&lt;=70),"31-70",IF(AND(DG941&gt;70,DG941&lt;=100),"71-100",IF(DG941&gt;100,"+100")))))</f>
        <v>31-70</v>
      </c>
      <c r="DI941">
        <v>0</v>
      </c>
      <c r="DJ941">
        <v>1</v>
      </c>
      <c r="DK941">
        <v>1</v>
      </c>
      <c r="DL941">
        <v>1</v>
      </c>
      <c r="DN941">
        <f>SUM(DI941:DL941)</f>
        <v>3</v>
      </c>
      <c r="DO941" t="str">
        <f>IF(DN941=1,INDEX($DI$7:$DL$7,MATCH(1,$DI941:$DL941,0)),"mixedProduct")</f>
        <v>mixedProduct</v>
      </c>
      <c r="DP941">
        <f>IF(DI941=1,DP$7,0)</f>
        <v>0</v>
      </c>
      <c r="DQ941" t="str">
        <f>IF(DJ941=1,DQ$7,0)</f>
        <v>Energy</v>
      </c>
      <c r="DR941" t="str">
        <f>IF(DK941=1,DR$7,0)</f>
        <v>Pulp/Paper</v>
      </c>
      <c r="DS941" t="str">
        <f>IF(DL941=1,DS$7,0)</f>
        <v>Timber</v>
      </c>
      <c r="DT941">
        <v>0</v>
      </c>
      <c r="DU941">
        <v>0</v>
      </c>
      <c r="DW941">
        <v>0</v>
      </c>
      <c r="DX941">
        <v>0</v>
      </c>
      <c r="DY941">
        <f>SUM(DT941:DU941)</f>
        <v>0</v>
      </c>
      <c r="DZ941" s="143" t="str">
        <f>IF(DT941=1,"self-calculated DF",IF(DU941=1,"external DF used","explicit C balance"))</f>
        <v>explicit C balance</v>
      </c>
      <c r="EA941">
        <v>1</v>
      </c>
      <c r="EB941">
        <v>1</v>
      </c>
      <c r="EC941">
        <v>1</v>
      </c>
      <c r="ED941">
        <v>0</v>
      </c>
      <c r="EE941">
        <v>0</v>
      </c>
      <c r="EF941">
        <v>0</v>
      </c>
      <c r="EG941">
        <v>0</v>
      </c>
      <c r="EH941">
        <v>0</v>
      </c>
      <c r="EI941">
        <v>0</v>
      </c>
      <c r="EJ941">
        <v>0</v>
      </c>
      <c r="EK941">
        <v>1</v>
      </c>
      <c r="EL941">
        <v>0</v>
      </c>
      <c r="EM941">
        <v>0</v>
      </c>
      <c r="EN941" s="2">
        <v>0</v>
      </c>
      <c r="EP941" t="str">
        <f>IF(AND(AND(AND(OR($EC941=1,$EB941=1),OR($EH941=1,$EF941=1)),SUM($EA941:$EE941,$EK941)&gt;=3),SUM($EF941:$EJ941)&gt;=2),"Whole sector approach","")</f>
        <v/>
      </c>
      <c r="EQ941" t="str">
        <f>IF(AND(AND(OR($EC941=1,$EB941=1),AND($EH941=0,$EF941=0)),SUM($EA941:$EE941,$EK941)&gt;=4),"Ecosystem approach","")</f>
        <v>Ecosystem approach</v>
      </c>
      <c r="ER941" s="2" t="str">
        <f>IF(AND(AND(AND($EC941=0,$EB941=0),OR($EH941=1,$EF941=1)),SUM($EG941:$EJ941)&gt;=2),"Technology approach","")</f>
        <v/>
      </c>
      <c r="ES941" t="str">
        <f>IF(AND($EC941+$EB941+$EE941+$EA941+$ED941+$EG941=0,$N941="included"),"C neutral forest and HWP assumption","")</f>
        <v/>
      </c>
      <c r="ET941" t="str">
        <f>IF(AND(AND(AND(AND($EC941=1,$EB941+$EA941+$EG941&gt;=1),$EF941=1),$EH941+$EI941+$ED941+$EE941&gt;=2),$N941="included"),"All C pools assumption","")</f>
        <v/>
      </c>
      <c r="EU941" t="str">
        <f>IF(AND($ED941+$EE941+$EI941+$EH941+$EF941=0,$N941="included"),"In-situ only assumption","")</f>
        <v>In-situ only assumption</v>
      </c>
      <c r="EV941" s="328" t="s">
        <v>5065</v>
      </c>
      <c r="EY941" t="str">
        <f>IF(ISNUMBER(BW941),IF(ABS(BW941-[2]QC_indicators!$B$2)&gt;3*[2]QC_indicators!$C$2,"C ratio",IF(ISNUMBER(CA941),IF(ABS(CA941-[2]QC_indicators!$B$1)&gt;3*[2]QC_indicators!$C$1,"DF","no"))),IF(ISNUMBER(CA941),IF(ABS(CA941-[2]QC_indicators!$B$1)&gt;3*[2]QC_indicators!$C$1,"DF","no")))</f>
        <v>no</v>
      </c>
      <c r="FA941" t="str">
        <f>IF(LEN($CY941)=0,"",IF(AND($CY941&lt;(-0.05),$ES941="C neutral forest and HWP assumption"),"Cneutral paradox",IF(AND($CY941&gt;0.05,$EU941="In-situ only assumption"),"In-situ only paradox","")))</f>
        <v/>
      </c>
      <c r="FD941" s="263" t="s">
        <v>2917</v>
      </c>
    </row>
    <row r="942" spans="1:160" ht="15" hidden="1" customHeight="1">
      <c r="A942" s="1" t="s">
        <v>1920</v>
      </c>
      <c r="B942" t="s">
        <v>531</v>
      </c>
      <c r="C942" t="s">
        <v>2021</v>
      </c>
      <c r="D942" t="s">
        <v>2022</v>
      </c>
      <c r="E942" t="s">
        <v>2023</v>
      </c>
      <c r="F942" t="s">
        <v>2024</v>
      </c>
      <c r="G942" t="s">
        <v>1921</v>
      </c>
      <c r="H942" t="s">
        <v>254</v>
      </c>
      <c r="I942">
        <v>2014</v>
      </c>
      <c r="J942">
        <v>96</v>
      </c>
      <c r="K942" t="s">
        <v>2025</v>
      </c>
      <c r="M942" t="str">
        <f>LEFT($D942,FIND(",",$D942)-1)&amp;"_"&amp;I942&amp;L942</f>
        <v>Smyth_2014</v>
      </c>
      <c r="N942" t="s">
        <v>222</v>
      </c>
      <c r="O942" s="145" t="s">
        <v>341</v>
      </c>
      <c r="Q942" t="s">
        <v>256</v>
      </c>
      <c r="R942" s="258" t="s">
        <v>223</v>
      </c>
      <c r="S942" s="1" t="s">
        <v>2034</v>
      </c>
      <c r="T942" t="s">
        <v>1030</v>
      </c>
      <c r="U942" s="260" t="s">
        <v>2030</v>
      </c>
      <c r="V942" s="253">
        <v>0</v>
      </c>
      <c r="W942" s="253">
        <v>0</v>
      </c>
      <c r="X942">
        <v>0</v>
      </c>
      <c r="Y942">
        <v>0</v>
      </c>
      <c r="Z942">
        <v>0</v>
      </c>
      <c r="AA942">
        <v>1</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s="141">
        <f>COUNTIF(X942:AY942,"&lt;&gt;0")</f>
        <v>1</v>
      </c>
      <c r="BA942" s="141">
        <f>COUNTIF(X942:AN942,"&lt;&gt;0")</f>
        <v>1</v>
      </c>
      <c r="BB942">
        <f>COUNTIF(X942:AE942,"&lt;&gt;0")</f>
        <v>1</v>
      </c>
      <c r="BC942">
        <f>COUNTIF(AF942:AK942,"&lt;&gt;0")</f>
        <v>0</v>
      </c>
      <c r="BD942">
        <f>COUNTIF(AL942:AN942,"&lt;&gt;0")</f>
        <v>0</v>
      </c>
      <c r="BE942">
        <f>COUNTIF(AU942:AY942,"&lt;&gt;0")</f>
        <v>0</v>
      </c>
      <c r="BF942">
        <f>COUNTIF(AO942:AT942,"&lt;&gt;0")</f>
        <v>0</v>
      </c>
      <c r="BG942" t="str">
        <f t="array" ref="BG942">IF(BA942=1,INDEX($X$7:$AN$7,MATCH(TRUE,INDEX($X942:$AY942&lt;&gt;0,),0)),IF(BA942=0,INDEX($AO$7:$AY$7,MATCH(1,$AO942:$AY942,0)),IF(BH942="Multiple strategies","mixed drivers",IF(BH942="Supply chain","multiple supply","multiple silviculture"))))</f>
        <v xml:space="preserve">cutting intensity </v>
      </c>
      <c r="BH942" s="2" t="str" cm="1">
        <f t="array" ref="BH942">IF(COUNTIF(BB942:BD942,"&lt;&gt;0")=1,INDEX($X$4:$AY$4,MATCH(TRUE,INDEX($X942:$AY942&lt;&gt;0,),0)),IF(COUNTIF(BB942:BD942,"&lt;&gt;0")=0,INDEX($AO$4:$AY$4,MATCH(1,$AO942:$AY942,0)),"Multiple strategies"))</f>
        <v>Silviculture for removals</v>
      </c>
      <c r="BI942" s="1" t="s">
        <v>321</v>
      </c>
      <c r="BJ942" t="s">
        <v>2031</v>
      </c>
      <c r="BK942" t="s">
        <v>978</v>
      </c>
      <c r="BL942" t="s">
        <v>2032</v>
      </c>
      <c r="BM942">
        <v>0</v>
      </c>
      <c r="BN942">
        <v>2.9000000000000001E-2</v>
      </c>
      <c r="BP942">
        <f>BN942-BM942</f>
        <v>2.9000000000000001E-2</v>
      </c>
      <c r="BQ942">
        <f>BP942*10^6*tC_to_m3</f>
        <v>125922.70950933566</v>
      </c>
      <c r="BR942" t="s">
        <v>232</v>
      </c>
      <c r="BS942" s="336" t="s">
        <v>763</v>
      </c>
      <c r="BT942" s="260" t="s">
        <v>2919</v>
      </c>
      <c r="BW942" s="144"/>
      <c r="BX942">
        <f>-41.7/35</f>
        <v>-1.1914285714285715</v>
      </c>
      <c r="BZ942">
        <f>BX942*10^6</f>
        <v>-1191428.5714285716</v>
      </c>
      <c r="CA942">
        <f>IFERROR(BZ942/BQ942,"")</f>
        <v>-9.4615862068965519</v>
      </c>
      <c r="CB942">
        <v>0</v>
      </c>
      <c r="CC942">
        <v>1</v>
      </c>
      <c r="CD942">
        <v>1</v>
      </c>
      <c r="CE942">
        <v>1</v>
      </c>
      <c r="CF942">
        <v>0</v>
      </c>
      <c r="CG942">
        <v>0</v>
      </c>
      <c r="CH942">
        <v>0</v>
      </c>
      <c r="CI942">
        <v>0</v>
      </c>
      <c r="CJ942">
        <v>0</v>
      </c>
      <c r="CK942">
        <v>0</v>
      </c>
      <c r="CL942">
        <v>0</v>
      </c>
      <c r="CM942">
        <v>0</v>
      </c>
      <c r="CN942">
        <v>0</v>
      </c>
      <c r="CO942">
        <v>0</v>
      </c>
      <c r="CP942" t="str">
        <f>IF($BN942&lt;$BM942,"refNeedCorrection","refOK")</f>
        <v>refOK</v>
      </c>
      <c r="CQ942">
        <f>IF($CP942="refOK",$BM942,$BN942)</f>
        <v>0</v>
      </c>
      <c r="CR942">
        <f>IF($CP942="refOK",$BN942,$BM942)</f>
        <v>2.9000000000000001E-2</v>
      </c>
      <c r="CS942">
        <f>IF($CP942="refOK",$BQ942,-$BQ942)</f>
        <v>125922.70950933566</v>
      </c>
      <c r="CT942">
        <f>IF(BI942="Roundwood",$CS942/2,$CS942)</f>
        <v>62961.354754667831</v>
      </c>
      <c r="CU942">
        <f>IF($CP942="refOK",$BU942,$BV942)*IF($BR942="Emissions positive",-1,1)</f>
        <v>0</v>
      </c>
      <c r="CV942">
        <f>IF($CP942="refOK",$BV942,$BU942)*IF($BR942="Emissions positive",-1,1)</f>
        <v>0</v>
      </c>
      <c r="CW942">
        <f>IF($CP942="refNeedCorrection",-BZ942,BZ942)*IF($BR942="Emissions positive",-1,1)</f>
        <v>-1191428.5714285716</v>
      </c>
      <c r="CX942">
        <f>IFERROR($CW942/$CS942,"")</f>
        <v>-9.4615862068965519</v>
      </c>
      <c r="CY942">
        <f>IFERROR($CW942/$CS942,"")</f>
        <v>-9.4615862068965519</v>
      </c>
      <c r="CZ942">
        <f>IFERROR($CW942/$CT942,"")</f>
        <v>-18.923172413793104</v>
      </c>
      <c r="DA942" s="2" t="str">
        <f>IFERROR((CV942-CU942)/ABS(CU942),"")</f>
        <v/>
      </c>
      <c r="DB942" s="1" t="s">
        <v>1078</v>
      </c>
      <c r="DC942" t="str">
        <f>IF(OR($DB942="prd",$DB942="std",$DB942="cit"),"loc",IF(OR($DB942="eur",$DB942="reg",$DB942="coy"),"reg",$DB942))</f>
        <v>reg</v>
      </c>
      <c r="DD942" t="s">
        <v>527</v>
      </c>
      <c r="DE942">
        <v>2015</v>
      </c>
      <c r="DF942">
        <v>2050</v>
      </c>
      <c r="DG942">
        <v>35</v>
      </c>
      <c r="DH942" t="str">
        <f>IF(DG942=0,"0",IF(AND(DG942&gt;=1,DG942&lt;=30),"1-30",IF(AND(DG942&gt;30,DG942&lt;=70),"31-70",IF(AND(DG942&gt;70,DG942&lt;=100),"71-100",IF(DG942&gt;100,"+100")))))</f>
        <v>31-70</v>
      </c>
      <c r="DI942">
        <v>0</v>
      </c>
      <c r="DJ942">
        <v>1</v>
      </c>
      <c r="DK942">
        <v>1</v>
      </c>
      <c r="DL942">
        <v>1</v>
      </c>
      <c r="DN942">
        <f>SUM(DI942:DL942)</f>
        <v>3</v>
      </c>
      <c r="DO942" t="str">
        <f>IF(DN942=1,INDEX($DI$7:$DL$7,MATCH(1,$DI942:$DL942,0)),"mixedProduct")</f>
        <v>mixedProduct</v>
      </c>
      <c r="DP942">
        <f>IF(DI942=1,DP$7,0)</f>
        <v>0</v>
      </c>
      <c r="DQ942" t="str">
        <f>IF(DJ942=1,DQ$7,0)</f>
        <v>Energy</v>
      </c>
      <c r="DR942" t="str">
        <f>IF(DK942=1,DR$7,0)</f>
        <v>Pulp/Paper</v>
      </c>
      <c r="DS942" t="str">
        <f>IF(DL942=1,DS$7,0)</f>
        <v>Timber</v>
      </c>
      <c r="DT942">
        <v>0</v>
      </c>
      <c r="DU942">
        <v>0</v>
      </c>
      <c r="DW942">
        <v>0</v>
      </c>
      <c r="DX942">
        <v>0</v>
      </c>
      <c r="DY942">
        <f>SUM(DT942:DU942)</f>
        <v>0</v>
      </c>
      <c r="DZ942" s="143" t="str">
        <f>IF(DT942=1,"self-calculated DF",IF(DU942=1,"external DF used","explicit C balance"))</f>
        <v>explicit C balance</v>
      </c>
      <c r="EA942">
        <v>1</v>
      </c>
      <c r="EB942">
        <v>1</v>
      </c>
      <c r="EC942">
        <v>1</v>
      </c>
      <c r="ED942">
        <v>1</v>
      </c>
      <c r="EE942">
        <v>1</v>
      </c>
      <c r="EF942">
        <v>0</v>
      </c>
      <c r="EG942">
        <v>0</v>
      </c>
      <c r="EH942">
        <v>0</v>
      </c>
      <c r="EI942">
        <v>0</v>
      </c>
      <c r="EJ942">
        <v>0</v>
      </c>
      <c r="EK942">
        <v>1</v>
      </c>
      <c r="EL942">
        <v>0</v>
      </c>
      <c r="EM942">
        <v>0</v>
      </c>
      <c r="EN942" s="2">
        <v>0</v>
      </c>
      <c r="EP942" t="str">
        <f>IF(AND(AND(AND(OR($EC942=1,$EB942=1),OR($EH942=1,$EF942=1)),SUM($EA942:$EE942,$EK942)&gt;=3),SUM($EF942:$EJ942)&gt;=2),"Whole sector approach","")</f>
        <v/>
      </c>
      <c r="EQ942" t="str">
        <f>IF(AND(AND(OR($EC942=1,$EB942=1),AND($EH942=0,$EF942=0)),SUM($EA942:$EE942,$EK942)&gt;=4),"Ecosystem approach","")</f>
        <v>Ecosystem approach</v>
      </c>
      <c r="ER942" s="2" t="str">
        <f>IF(AND(AND(AND($EC942=0,$EB942=0),OR($EH942=1,$EF942=1)),SUM($EG942:$EJ942)&gt;=2),"Technology approach","")</f>
        <v/>
      </c>
      <c r="ES942" t="str">
        <f>IF(AND($EC942+$EB942+$EE942+$EA942+$ED942+$EG942=0,$N942="included"),"C neutral forest and HWP assumption","")</f>
        <v/>
      </c>
      <c r="ET942" t="str">
        <f>IF(AND(AND(AND(AND($EC942=1,$EB942+$EA942+$EG942&gt;=1),$EF942=1),$EH942+$EI942+$ED942+$EE942&gt;=2),$N942="included"),"All C pools assumption","")</f>
        <v/>
      </c>
      <c r="EU942" t="str">
        <f>IF(AND($ED942+$EE942+$EI942+$EH942+$EF942=0,$N942="included"),"In-situ only assumption","")</f>
        <v/>
      </c>
      <c r="EV942" s="328" t="s">
        <v>5065</v>
      </c>
      <c r="EY942" t="str">
        <f>IF(ISNUMBER(BW942),IF(ABS(BW942-[2]QC_indicators!$B$2)&gt;3*[2]QC_indicators!$C$2,"C ratio",IF(ISNUMBER(CA942),IF(ABS(CA942-[2]QC_indicators!$B$1)&gt;3*[2]QC_indicators!$C$1,"DF","no"))),IF(ISNUMBER(CA942),IF(ABS(CA942-[2]QC_indicators!$B$1)&gt;3*[2]QC_indicators!$C$1,"DF","no")))</f>
        <v>no</v>
      </c>
      <c r="FA942" t="str">
        <f>IF(LEN($CY942)=0,"",IF(AND($CY942&lt;(-0.05),$ES942="C neutral forest and HWP assumption"),"Cneutral paradox",IF(AND($CY942&gt;0.05,$EU942="In-situ only assumption"),"In-situ only paradox","")))</f>
        <v/>
      </c>
      <c r="FD942" s="263" t="s">
        <v>2917</v>
      </c>
    </row>
    <row r="943" spans="1:160" ht="15" hidden="1" customHeight="1">
      <c r="A943" s="1" t="s">
        <v>1920</v>
      </c>
      <c r="B943" t="s">
        <v>531</v>
      </c>
      <c r="C943" t="s">
        <v>2021</v>
      </c>
      <c r="D943" t="s">
        <v>2022</v>
      </c>
      <c r="E943" t="s">
        <v>2023</v>
      </c>
      <c r="F943" t="s">
        <v>2024</v>
      </c>
      <c r="G943" t="s">
        <v>1921</v>
      </c>
      <c r="H943" t="s">
        <v>254</v>
      </c>
      <c r="I943">
        <v>2014</v>
      </c>
      <c r="J943">
        <v>96</v>
      </c>
      <c r="K943" t="s">
        <v>2025</v>
      </c>
      <c r="M943" t="str">
        <f>LEFT($D943,FIND(",",$D943)-1)&amp;"_"&amp;I943&amp;L943</f>
        <v>Smyth_2014</v>
      </c>
      <c r="N943" t="s">
        <v>222</v>
      </c>
      <c r="O943" s="145" t="s">
        <v>341</v>
      </c>
      <c r="Q943" t="s">
        <v>256</v>
      </c>
      <c r="R943" s="258" t="s">
        <v>223</v>
      </c>
      <c r="S943" s="1" t="s">
        <v>2044</v>
      </c>
      <c r="T943" t="s">
        <v>1030</v>
      </c>
      <c r="U943" t="s">
        <v>2045</v>
      </c>
      <c r="V943" s="253">
        <v>0</v>
      </c>
      <c r="W943" s="253">
        <v>0</v>
      </c>
      <c r="X943">
        <v>0</v>
      </c>
      <c r="Y943">
        <v>0</v>
      </c>
      <c r="Z943">
        <v>0</v>
      </c>
      <c r="AA943">
        <v>0</v>
      </c>
      <c r="AB943">
        <v>0</v>
      </c>
      <c r="AC943">
        <v>1</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s="141">
        <f>COUNTIF(X943:AY943,"&lt;&gt;0")</f>
        <v>1</v>
      </c>
      <c r="BA943" s="141">
        <f>COUNTIF(X943:AN943,"&lt;&gt;0")</f>
        <v>1</v>
      </c>
      <c r="BB943">
        <f>COUNTIF(X943:AE943,"&lt;&gt;0")</f>
        <v>1</v>
      </c>
      <c r="BC943">
        <f>COUNTIF(AF943:AK943,"&lt;&gt;0")</f>
        <v>0</v>
      </c>
      <c r="BD943">
        <f>COUNTIF(AL943:AN943,"&lt;&gt;0")</f>
        <v>0</v>
      </c>
      <c r="BE943">
        <f>COUNTIF(AU943:AY943,"&lt;&gt;0")</f>
        <v>0</v>
      </c>
      <c r="BF943">
        <f>COUNTIF(AO943:AT943,"&lt;&gt;0")</f>
        <v>0</v>
      </c>
      <c r="BG943" t="str">
        <f t="array" ref="BG943">IF(BA943=1,INDEX($X$7:$AN$7,MATCH(TRUE,INDEX($X943:$AY943&lt;&gt;0,),0)),IF(BA943=0,INDEX($AO$7:$AY$7,MATCH(1,$AO943:$AY943,0)),IF(BH943="Multiple strategies","mixed drivers",IF(BH943="Supply chain","multiple supply","multiple silviculture"))))</f>
        <v>plantation density</v>
      </c>
      <c r="BH943" s="2" t="str" cm="1">
        <f t="array" ref="BH943">IF(COUNTIF(BB943:BD943,"&lt;&gt;0")=1,INDEX($X$4:$AY$4,MATCH(TRUE,INDEX($X943:$AY943&lt;&gt;0,),0)),IF(COUNTIF(BB943:BD943,"&lt;&gt;0")=0,INDEX($AO$4:$AY$4,MATCH(1,$AO943:$AY943,0)),"Multiple strategies"))</f>
        <v>Silviculture for productivity</v>
      </c>
      <c r="BR943" t="s">
        <v>232</v>
      </c>
      <c r="BT943" t="s">
        <v>1018</v>
      </c>
      <c r="BU943">
        <v>159.80000000000001</v>
      </c>
      <c r="BV943">
        <f>BX943+BU943</f>
        <v>164.8</v>
      </c>
      <c r="BW943" s="144">
        <f>IFERROR(BV943/BU943,"")</f>
        <v>1.0312891113892366</v>
      </c>
      <c r="BX943">
        <v>5</v>
      </c>
      <c r="BZ943">
        <f>BX943*10^6</f>
        <v>5000000</v>
      </c>
      <c r="CA943" t="str">
        <f>IFERROR(BZ943/BQ943,"")</f>
        <v/>
      </c>
      <c r="CB943">
        <v>0</v>
      </c>
      <c r="CC943">
        <v>1</v>
      </c>
      <c r="CD943">
        <v>1</v>
      </c>
      <c r="CE943">
        <v>1</v>
      </c>
      <c r="CF943">
        <v>0</v>
      </c>
      <c r="CG943">
        <v>0</v>
      </c>
      <c r="CH943">
        <v>0</v>
      </c>
      <c r="CI943">
        <v>0</v>
      </c>
      <c r="CJ943">
        <v>0</v>
      </c>
      <c r="CK943">
        <v>0</v>
      </c>
      <c r="CL943">
        <v>0</v>
      </c>
      <c r="CM943">
        <v>0</v>
      </c>
      <c r="CN943">
        <v>0</v>
      </c>
      <c r="CO943">
        <v>0</v>
      </c>
      <c r="CP943" t="str">
        <f>IF(BN943&lt;BM943,"refNeedCorrection","refOK")</f>
        <v>refOK</v>
      </c>
      <c r="CQ943"/>
      <c r="CR943"/>
      <c r="CS943"/>
      <c r="CT943">
        <f>IF(BI943="Roundwood",$CS943/2,$CS943)</f>
        <v>0</v>
      </c>
      <c r="CU943">
        <f>IF($CP943="refOK",$BU943,$BV943)*IF($BR943="Emissions positive",-1,1)</f>
        <v>159.80000000000001</v>
      </c>
      <c r="CV943">
        <f>IF($CP943="refOK",$BV943,$BU943)*IF($BR943="Emissions positive",-1,1)</f>
        <v>164.8</v>
      </c>
      <c r="CW943">
        <f>IF($CP943="refNeedCorrection",-BZ943,BZ943)*IF($BR943="Emissions positive",-1,1)</f>
        <v>5000000</v>
      </c>
      <c r="CX943" t="str">
        <f>IFERROR($CW943/$CS943,"")</f>
        <v/>
      </c>
      <c r="CY943" t="str">
        <f>IFERROR($CW943/$CS943,"")</f>
        <v/>
      </c>
      <c r="CZ943" t="str">
        <f>IFERROR($CW943/$CT943,"")</f>
        <v/>
      </c>
      <c r="DA943" s="2">
        <f>IFERROR((CV943-CU943)/ABS(CU943),"")</f>
        <v>3.128911138923654E-2</v>
      </c>
      <c r="DB943" s="1" t="s">
        <v>1078</v>
      </c>
      <c r="DC943" t="str">
        <f>IF(OR($DB943="prd",$DB943="std",$DB943="cit"),"loc",IF(OR($DB943="eur",$DB943="reg",$DB943="coy"),"reg",$DB943))</f>
        <v>reg</v>
      </c>
      <c r="DD943" t="s">
        <v>527</v>
      </c>
      <c r="DE943">
        <v>2015</v>
      </c>
      <c r="DF943">
        <v>2050</v>
      </c>
      <c r="DG943">
        <v>35</v>
      </c>
      <c r="DH943" t="str">
        <f>IF(DG943=0,"0",IF(AND(DG943&gt;=1,DG943&lt;=30),"1-30",IF(AND(DG943&gt;30,DG943&lt;=70),"31-70",IF(AND(DG943&gt;70,DG943&lt;=100),"71-100",IF(DG943&gt;100,"+100")))))</f>
        <v>31-70</v>
      </c>
      <c r="DI943">
        <v>0</v>
      </c>
      <c r="DJ943">
        <v>1</v>
      </c>
      <c r="DK943">
        <v>1</v>
      </c>
      <c r="DL943">
        <v>1</v>
      </c>
      <c r="DN943">
        <f>SUM(DI943:DL943)</f>
        <v>3</v>
      </c>
      <c r="DO943" t="str">
        <f>IF(DN943=1,INDEX($DI$7:$DL$7,MATCH(1,$DI943:$DL943,0)),"mixedProduct")</f>
        <v>mixedProduct</v>
      </c>
      <c r="DP943">
        <f>IF(DI943=1,DP$7,0)</f>
        <v>0</v>
      </c>
      <c r="DQ943" t="str">
        <f>IF(DJ943=1,DQ$7,0)</f>
        <v>Energy</v>
      </c>
      <c r="DR943" t="str">
        <f>IF(DK943=1,DR$7,0)</f>
        <v>Pulp/Paper</v>
      </c>
      <c r="DS943" t="str">
        <f>IF(DL943=1,DS$7,0)</f>
        <v>Timber</v>
      </c>
      <c r="DT943">
        <v>1</v>
      </c>
      <c r="DU943">
        <v>1</v>
      </c>
      <c r="DV943" t="s">
        <v>2028</v>
      </c>
      <c r="DW943">
        <v>0</v>
      </c>
      <c r="DX943">
        <v>0</v>
      </c>
      <c r="DY943">
        <f>SUM(DT943:DU943)</f>
        <v>2</v>
      </c>
      <c r="DZ943" s="143" t="str">
        <f>IF(DT943=1,"self-calculated DF",IF(DU943=1,"external DF used","explicit C balance"))</f>
        <v>self-calculated DF</v>
      </c>
      <c r="EA943">
        <v>1</v>
      </c>
      <c r="EB943">
        <v>1</v>
      </c>
      <c r="EC943">
        <v>1</v>
      </c>
      <c r="ED943">
        <v>1</v>
      </c>
      <c r="EE943">
        <v>1</v>
      </c>
      <c r="EF943">
        <v>1</v>
      </c>
      <c r="EG943">
        <v>0</v>
      </c>
      <c r="EH943">
        <v>0</v>
      </c>
      <c r="EI943">
        <v>0</v>
      </c>
      <c r="EJ943">
        <v>0</v>
      </c>
      <c r="EK943">
        <v>1</v>
      </c>
      <c r="EL943">
        <v>0</v>
      </c>
      <c r="EM943">
        <v>0</v>
      </c>
      <c r="EN943" s="2">
        <v>0</v>
      </c>
      <c r="EP943" t="str">
        <f>IF(AND(AND(AND(OR($EC943=1,$EB943=1),OR($EH943=1,$EF943=1)),SUM($EA943:$EE943,$EK943)&gt;=3),SUM($EF943:$EJ943)&gt;=2),"Whole sector approach","")</f>
        <v/>
      </c>
      <c r="EQ943" t="str">
        <f>IF(AND(AND(OR($EC943=1,$EB943=1),AND($EH943=0,$EF943=0)),SUM($EA943:$EE943,$EK943)&gt;=4),"Ecosystem approach","")</f>
        <v/>
      </c>
      <c r="ER943" s="2" t="str">
        <f>IF(AND(AND(AND($EC943=0,$EB943=0),OR($EH943=1,$EF943=1)),SUM($EG943:$EJ943)&gt;=2),"Technology approach","")</f>
        <v/>
      </c>
      <c r="ES943" t="str">
        <f>IF(AND($EC943+$EB943+$EE943+$EA943+$ED943+$EG943=0,$N943="included"),"C neutral forest and HWP assumption","")</f>
        <v/>
      </c>
      <c r="ET943" t="str">
        <f>IF(AND(AND(AND(AND($EC943=1,$EB943+$EA943+$EG943&gt;=1),$EF943=1),$EH943+$EI943+$ED943+$EE943&gt;=2),$N943="included"),"All C pools assumption","")</f>
        <v>All C pools assumption</v>
      </c>
      <c r="EU943" t="str">
        <f>IF(AND($ED943+$EE943+$EI943+$EH943+$EF943=0,$N943="included"),"In-situ only assumption","")</f>
        <v/>
      </c>
      <c r="EV943" s="328" t="s">
        <v>5065</v>
      </c>
      <c r="EY943" t="b">
        <f>IF(ISNUMBER(BW943),IF(ABS(BW943-[2]QC_indicators!$B$2)&gt;3*[2]QC_indicators!$C$2,"C ratio",IF(ISNUMBER(CA943),IF(ABS(CA943-[2]QC_indicators!$B$1)&gt;3*[2]QC_indicators!$C$1,"DF","no"))),IF(ISNUMBER(CA943),IF(ABS(CA943-[2]QC_indicators!$B$1)&gt;3*[2]QC_indicators!$C$1,"DF","no")))</f>
        <v>0</v>
      </c>
      <c r="FA943" t="str">
        <f>IF(LEN($CY943)=0,"",IF(AND($CY943&lt;(-0.05),$ES943="C neutral forest and HWP assumption"),"Cneutral paradox",IF(AND($CY943&gt;0.05,$EU943="In-situ only assumption"),"In-situ only paradox","")))</f>
        <v/>
      </c>
      <c r="FD943" s="263" t="s">
        <v>2917</v>
      </c>
    </row>
    <row r="944" spans="1:160" ht="18" hidden="1" customHeight="1">
      <c r="A944" s="1" t="s">
        <v>1920</v>
      </c>
      <c r="B944" t="s">
        <v>531</v>
      </c>
      <c r="C944" t="s">
        <v>2021</v>
      </c>
      <c r="D944" t="s">
        <v>2022</v>
      </c>
      <c r="E944" t="s">
        <v>2023</v>
      </c>
      <c r="F944" t="s">
        <v>2024</v>
      </c>
      <c r="G944" t="s">
        <v>1921</v>
      </c>
      <c r="H944" t="s">
        <v>254</v>
      </c>
      <c r="I944">
        <v>2014</v>
      </c>
      <c r="J944">
        <v>96</v>
      </c>
      <c r="K944" t="s">
        <v>2025</v>
      </c>
      <c r="M944" t="str">
        <f>LEFT($D944,FIND(",",$D944)-1)&amp;"_"&amp;I944&amp;L944</f>
        <v>Smyth_2014</v>
      </c>
      <c r="N944" t="s">
        <v>222</v>
      </c>
      <c r="O944" s="145" t="s">
        <v>341</v>
      </c>
      <c r="Q944" t="s">
        <v>256</v>
      </c>
      <c r="R944" s="258" t="s">
        <v>223</v>
      </c>
      <c r="S944" s="1" t="s">
        <v>2026</v>
      </c>
      <c r="T944" t="s">
        <v>1030</v>
      </c>
      <c r="U944" t="s">
        <v>2027</v>
      </c>
      <c r="V944" s="253">
        <v>0</v>
      </c>
      <c r="W944" s="253">
        <v>0</v>
      </c>
      <c r="X944">
        <v>0</v>
      </c>
      <c r="Y944">
        <v>0</v>
      </c>
      <c r="Z944">
        <v>0</v>
      </c>
      <c r="AA944">
        <v>0</v>
      </c>
      <c r="AB944">
        <v>0</v>
      </c>
      <c r="AC944">
        <v>0</v>
      </c>
      <c r="AD944">
        <v>1</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s="141">
        <f>COUNTIF(X944:AY944,"&lt;&gt;0")</f>
        <v>1</v>
      </c>
      <c r="BA944" s="141">
        <f>COUNTIF(X944:AN944,"&lt;&gt;0")</f>
        <v>1</v>
      </c>
      <c r="BB944">
        <f>COUNTIF(X944:AE944,"&lt;&gt;0")</f>
        <v>1</v>
      </c>
      <c r="BC944">
        <f>COUNTIF(AF944:AK944,"&lt;&gt;0")</f>
        <v>0</v>
      </c>
      <c r="BD944">
        <f>COUNTIF(AL944:AN944,"&lt;&gt;0")</f>
        <v>0</v>
      </c>
      <c r="BE944">
        <f>COUNTIF(AU944:AY944,"&lt;&gt;0")</f>
        <v>0</v>
      </c>
      <c r="BF944">
        <f>COUNTIF(AO944:AT944,"&lt;&gt;0")</f>
        <v>0</v>
      </c>
      <c r="BG944" t="str">
        <f t="array" ref="BG944">IF(BA944=1,INDEX($X$7:$AN$7,MATCH(TRUE,INDEX($X944:$AY944&lt;&gt;0,),0)),IF(BA944=0,INDEX($AO$7:$AY$7,MATCH(1,$AO944:$AY944,0)),IF(BH944="Multiple strategies","mixed drivers",IF(BH944="Supply chain","multiple supply","multiple silviculture"))))</f>
        <v>fertilisation</v>
      </c>
      <c r="BH944" s="2" t="str" cm="1">
        <f t="array" ref="BH944">IF(COUNTIF(BB944:BD944,"&lt;&gt;0")=1,INDEX($X$4:$AY$4,MATCH(TRUE,INDEX($X944:$AY944&lt;&gt;0,),0)),IF(COUNTIF(BB944:BD944,"&lt;&gt;0")=0,INDEX($AO$4:$AY$4,MATCH(1,$AO944:$AY944,0)),"Multiple strategies"))</f>
        <v>Silviculture for productivity</v>
      </c>
      <c r="BR944" t="s">
        <v>232</v>
      </c>
      <c r="BT944" t="s">
        <v>1018</v>
      </c>
      <c r="BU944">
        <v>159.80000000000001</v>
      </c>
      <c r="BV944">
        <f>BX944+BU944</f>
        <v>169.8</v>
      </c>
      <c r="BW944" s="144">
        <f>IFERROR(BV944/BU944,"")</f>
        <v>1.062578222778473</v>
      </c>
      <c r="BX944">
        <v>10</v>
      </c>
      <c r="BZ944">
        <f>BX944*10^6</f>
        <v>10000000</v>
      </c>
      <c r="CA944" t="str">
        <f>IFERROR(BZ944/BQ944,"")</f>
        <v/>
      </c>
      <c r="CB944">
        <v>0</v>
      </c>
      <c r="CC944">
        <v>1</v>
      </c>
      <c r="CD944">
        <v>1</v>
      </c>
      <c r="CE944">
        <v>1</v>
      </c>
      <c r="CF944">
        <v>0</v>
      </c>
      <c r="CG944">
        <v>0</v>
      </c>
      <c r="CH944">
        <v>0</v>
      </c>
      <c r="CI944">
        <v>0</v>
      </c>
      <c r="CJ944">
        <v>0</v>
      </c>
      <c r="CK944">
        <v>0</v>
      </c>
      <c r="CL944">
        <v>0</v>
      </c>
      <c r="CM944">
        <v>0</v>
      </c>
      <c r="CN944">
        <v>0</v>
      </c>
      <c r="CO944">
        <v>0</v>
      </c>
      <c r="CP944" t="str">
        <f>IF(BN944&lt;BM944,"refNeedCorrection","refOK")</f>
        <v>refOK</v>
      </c>
      <c r="CQ944"/>
      <c r="CR944"/>
      <c r="CS944"/>
      <c r="CT944">
        <f>IF(BI944="Roundwood",$CS944/2,$CS944)</f>
        <v>0</v>
      </c>
      <c r="CU944">
        <f>IF($CP944="refOK",$BU944,$BV944)*IF($BR944="Emissions positive",-1,1)</f>
        <v>159.80000000000001</v>
      </c>
      <c r="CV944">
        <f>IF($CP944="refOK",$BV944,$BU944)*IF($BR944="Emissions positive",-1,1)</f>
        <v>169.8</v>
      </c>
      <c r="CW944">
        <f>IF($CP944="refNeedCorrection",-BZ944,BZ944)*IF($BR944="Emissions positive",-1,1)</f>
        <v>10000000</v>
      </c>
      <c r="CX944" t="str">
        <f>IFERROR($CW944/$CS944,"")</f>
        <v/>
      </c>
      <c r="CY944" t="str">
        <f>IFERROR($CW944/$CS944,"")</f>
        <v/>
      </c>
      <c r="CZ944" t="str">
        <f>IFERROR($CW944/$CT944,"")</f>
        <v/>
      </c>
      <c r="DA944" s="2">
        <f>IFERROR((CV944-CU944)/ABS(CU944),"")</f>
        <v>6.257822277847308E-2</v>
      </c>
      <c r="DB944" s="1" t="s">
        <v>1078</v>
      </c>
      <c r="DC944" t="str">
        <f>IF(OR($DB944="prd",$DB944="std",$DB944="cit"),"loc",IF(OR($DB944="eur",$DB944="reg",$DB944="coy"),"reg",$DB944))</f>
        <v>reg</v>
      </c>
      <c r="DD944" t="s">
        <v>527</v>
      </c>
      <c r="DE944">
        <v>2015</v>
      </c>
      <c r="DF944">
        <v>2050</v>
      </c>
      <c r="DG944">
        <v>35</v>
      </c>
      <c r="DH944" t="str">
        <f>IF(DG944=0,"0",IF(AND(DG944&gt;=1,DG944&lt;=30),"1-30",IF(AND(DG944&gt;30,DG944&lt;=70),"31-70",IF(AND(DG944&gt;70,DG944&lt;=100),"71-100",IF(DG944&gt;100,"+100")))))</f>
        <v>31-70</v>
      </c>
      <c r="DI944">
        <v>0</v>
      </c>
      <c r="DJ944">
        <v>1</v>
      </c>
      <c r="DK944">
        <v>1</v>
      </c>
      <c r="DL944">
        <v>1</v>
      </c>
      <c r="DN944">
        <f>SUM(DI944:DL944)</f>
        <v>3</v>
      </c>
      <c r="DO944" t="str">
        <f>IF(DN944=1,INDEX($DI$7:$DL$7,MATCH(1,$DI944:$DL944,0)),"mixedProduct")</f>
        <v>mixedProduct</v>
      </c>
      <c r="DP944">
        <f>IF(DI944=1,DP$7,0)</f>
        <v>0</v>
      </c>
      <c r="DQ944" t="str">
        <f>IF(DJ944=1,DQ$7,0)</f>
        <v>Energy</v>
      </c>
      <c r="DR944" t="str">
        <f>IF(DK944=1,DR$7,0)</f>
        <v>Pulp/Paper</v>
      </c>
      <c r="DS944" t="str">
        <f>IF(DL944=1,DS$7,0)</f>
        <v>Timber</v>
      </c>
      <c r="DT944">
        <v>1</v>
      </c>
      <c r="DU944">
        <v>1</v>
      </c>
      <c r="DV944" t="s">
        <v>2028</v>
      </c>
      <c r="DW944">
        <v>0</v>
      </c>
      <c r="DX944">
        <v>0</v>
      </c>
      <c r="DY944">
        <f>SUM(DT944:DU944)</f>
        <v>2</v>
      </c>
      <c r="DZ944" s="143" t="str">
        <f>IF(DT944=1,"self-calculated DF",IF(DU944=1,"external DF used","explicit C balance"))</f>
        <v>self-calculated DF</v>
      </c>
      <c r="EA944">
        <v>1</v>
      </c>
      <c r="EB944">
        <v>1</v>
      </c>
      <c r="EC944">
        <v>1</v>
      </c>
      <c r="ED944">
        <v>1</v>
      </c>
      <c r="EE944">
        <v>1</v>
      </c>
      <c r="EF944">
        <v>1</v>
      </c>
      <c r="EG944">
        <v>0</v>
      </c>
      <c r="EH944">
        <v>0</v>
      </c>
      <c r="EI944">
        <v>0</v>
      </c>
      <c r="EJ944">
        <v>0</v>
      </c>
      <c r="EK944">
        <v>1</v>
      </c>
      <c r="EL944">
        <v>0</v>
      </c>
      <c r="EM944">
        <v>0</v>
      </c>
      <c r="EN944" s="2">
        <v>0</v>
      </c>
      <c r="EP944" t="str">
        <f>IF(AND(AND(AND(OR($EC944=1,$EB944=1),OR($EH944=1,$EF944=1)),SUM($EA944:$EE944,$EK944)&gt;=3),SUM($EF944:$EJ944)&gt;=2),"Whole sector approach","")</f>
        <v/>
      </c>
      <c r="EQ944" t="str">
        <f>IF(AND(AND(OR($EC944=1,$EB944=1),AND($EH944=0,$EF944=0)),SUM($EA944:$EE944,$EK944)&gt;=4),"Ecosystem approach","")</f>
        <v/>
      </c>
      <c r="ER944" s="2" t="str">
        <f>IF(AND(AND(AND($EC944=0,$EB944=0),OR($EH944=1,$EF944=1)),SUM($EG944:$EJ944)&gt;=2),"Technology approach","")</f>
        <v/>
      </c>
      <c r="ES944" t="str">
        <f>IF(AND($EC944+$EB944+$EE944+$EA944+$ED944+$EG944=0,$N944="included"),"C neutral forest and HWP assumption","")</f>
        <v/>
      </c>
      <c r="ET944" t="str">
        <f>IF(AND(AND(AND(AND($EC944=1,$EB944+$EA944+$EG944&gt;=1),$EF944=1),$EH944+$EI944+$ED944+$EE944&gt;=2),$N944="included"),"All C pools assumption","")</f>
        <v>All C pools assumption</v>
      </c>
      <c r="EU944" t="str">
        <f>IF(AND($ED944+$EE944+$EI944+$EH944+$EF944=0,$N944="included"),"In-situ only assumption","")</f>
        <v/>
      </c>
      <c r="EV944" s="328" t="s">
        <v>5065</v>
      </c>
      <c r="EY944" t="b">
        <f>IF(ISNUMBER(BW944),IF(ABS(BW944-[2]QC_indicators!$B$2)&gt;3*[2]QC_indicators!$C$2,"C ratio",IF(ISNUMBER(CA944),IF(ABS(CA944-[2]QC_indicators!$B$1)&gt;3*[2]QC_indicators!$C$1,"DF","no"))),IF(ISNUMBER(CA944),IF(ABS(CA944-[2]QC_indicators!$B$1)&gt;3*[2]QC_indicators!$C$1,"DF","no")))</f>
        <v>0</v>
      </c>
      <c r="FA944" t="str">
        <f>IF(LEN($CY944)=0,"",IF(AND($CY944&lt;(-0.05),$ES944="C neutral forest and HWP assumption"),"Cneutral paradox",IF(AND($CY944&gt;0.05,$EU944="In-situ only assumption"),"In-situ only paradox","")))</f>
        <v/>
      </c>
      <c r="FD944" s="263" t="s">
        <v>2917</v>
      </c>
    </row>
    <row r="945" spans="1:160" ht="15" customHeight="1">
      <c r="A945" s="1" t="s">
        <v>1920</v>
      </c>
      <c r="B945" t="s">
        <v>531</v>
      </c>
      <c r="C945" t="s">
        <v>2021</v>
      </c>
      <c r="D945" t="s">
        <v>2022</v>
      </c>
      <c r="E945" t="s">
        <v>2023</v>
      </c>
      <c r="F945" t="s">
        <v>2024</v>
      </c>
      <c r="G945" t="s">
        <v>1921</v>
      </c>
      <c r="H945" t="s">
        <v>254</v>
      </c>
      <c r="I945">
        <v>2014</v>
      </c>
      <c r="J945">
        <v>96</v>
      </c>
      <c r="K945" t="s">
        <v>2025</v>
      </c>
      <c r="M945" t="str">
        <f>LEFT($D945,FIND(",",$D945)-1)&amp;"_"&amp;I945&amp;L945</f>
        <v>Smyth_2014</v>
      </c>
      <c r="N945" t="s">
        <v>222</v>
      </c>
      <c r="O945" s="145" t="s">
        <v>341</v>
      </c>
      <c r="Q945" t="s">
        <v>256</v>
      </c>
      <c r="R945" s="258" t="s">
        <v>223</v>
      </c>
      <c r="S945" s="1" t="s">
        <v>2036</v>
      </c>
      <c r="T945" t="s">
        <v>1030</v>
      </c>
      <c r="U945" t="s">
        <v>2037</v>
      </c>
      <c r="V945" s="253">
        <v>0</v>
      </c>
      <c r="W945" s="253">
        <v>0</v>
      </c>
      <c r="X945">
        <v>0</v>
      </c>
      <c r="Y945">
        <v>0</v>
      </c>
      <c r="Z945">
        <v>0</v>
      </c>
      <c r="AA945">
        <v>1</v>
      </c>
      <c r="AB945">
        <v>0</v>
      </c>
      <c r="AC945">
        <v>0</v>
      </c>
      <c r="AD945">
        <v>0</v>
      </c>
      <c r="AE945">
        <v>0</v>
      </c>
      <c r="AF945">
        <v>0</v>
      </c>
      <c r="AG945">
        <v>0</v>
      </c>
      <c r="AH945">
        <v>0</v>
      </c>
      <c r="AI945">
        <v>0</v>
      </c>
      <c r="AJ945">
        <v>0</v>
      </c>
      <c r="AK945">
        <v>0</v>
      </c>
      <c r="AL945">
        <v>2</v>
      </c>
      <c r="AM945">
        <v>0</v>
      </c>
      <c r="AN945">
        <v>0</v>
      </c>
      <c r="AO945">
        <v>0</v>
      </c>
      <c r="AP945">
        <v>0</v>
      </c>
      <c r="AQ945">
        <v>0</v>
      </c>
      <c r="AR945">
        <v>0</v>
      </c>
      <c r="AS945">
        <v>0</v>
      </c>
      <c r="AT945">
        <v>0</v>
      </c>
      <c r="AU945">
        <v>0</v>
      </c>
      <c r="AV945">
        <v>0</v>
      </c>
      <c r="AW945">
        <v>0</v>
      </c>
      <c r="AX945">
        <v>0</v>
      </c>
      <c r="AY945">
        <v>0</v>
      </c>
      <c r="AZ945" s="141">
        <f>COUNTIF(X945:AY945,"&lt;&gt;0")</f>
        <v>2</v>
      </c>
      <c r="BA945" s="141">
        <f>COUNTIF(X945:AN945,"&lt;&gt;0")</f>
        <v>2</v>
      </c>
      <c r="BB945">
        <f>COUNTIF(X945:AE945,"&lt;&gt;0")</f>
        <v>1</v>
      </c>
      <c r="BC945">
        <f>COUNTIF(AF945:AK945,"&lt;&gt;0")</f>
        <v>0</v>
      </c>
      <c r="BD945">
        <f>COUNTIF(AL945:AN945,"&lt;&gt;0")</f>
        <v>1</v>
      </c>
      <c r="BE945">
        <f>COUNTIF(AU945:AY945,"&lt;&gt;0")</f>
        <v>0</v>
      </c>
      <c r="BF945">
        <f>COUNTIF(AO945:AT945,"&lt;&gt;0")</f>
        <v>0</v>
      </c>
      <c r="BG945" t="str">
        <f t="array" ref="BG945">IF(BA945=1,INDEX($X$7:$AN$7,MATCH(TRUE,INDEX($X945:$AY945&lt;&gt;0,),0)),IF(BA945=0,INDEX($AO$7:$AY$7,MATCH(1,$AO945:$AY945,0)),IF(BH945="Multiple strategies","mixed drivers",IF(BH945="Supply chain","multiple supply","multiple silviculture"))))</f>
        <v>mixed drivers</v>
      </c>
      <c r="BH945" s="2" t="str" cm="1">
        <f t="array" ref="BH945">IF(COUNTIF(BB945:BD945,"&lt;&gt;0")=1,INDEX($X$4:$AY$4,MATCH(TRUE,INDEX($X945:$AY945&lt;&gt;0,),0)),IF(COUNTIF(BB945:BD945,"&lt;&gt;0")=0,INDEX($AO$4:$AY$4,MATCH(1,$AO945:$AY945,0)),"Multiple strategies"))</f>
        <v>Multiple strategies</v>
      </c>
      <c r="BI945" s="1" t="s">
        <v>321</v>
      </c>
      <c r="BJ945" t="s">
        <v>2038</v>
      </c>
      <c r="BK945" s="260" t="s">
        <v>978</v>
      </c>
      <c r="BL945" t="s">
        <v>2032</v>
      </c>
      <c r="BM945">
        <v>0</v>
      </c>
      <c r="BN945">
        <v>9.9</v>
      </c>
      <c r="BP945">
        <f>BN945-BM945</f>
        <v>9.9</v>
      </c>
      <c r="BQ945">
        <f>BP945*10^6*tC_to_m3</f>
        <v>42987407.729049072</v>
      </c>
      <c r="BR945" t="s">
        <v>232</v>
      </c>
      <c r="BS945" s="336" t="s">
        <v>2918</v>
      </c>
      <c r="BT945" s="260" t="s">
        <v>2919</v>
      </c>
      <c r="BW945" s="144"/>
      <c r="BX945">
        <f>1341/35</f>
        <v>38.314285714285717</v>
      </c>
      <c r="BZ945">
        <f>BX945*10^6</f>
        <v>38314285.714285716</v>
      </c>
      <c r="CA945">
        <f>IFERROR(BZ945/BQ945,"")</f>
        <v>0.89129090909090902</v>
      </c>
      <c r="CB945">
        <v>0</v>
      </c>
      <c r="CC945">
        <v>1</v>
      </c>
      <c r="CD945">
        <v>1</v>
      </c>
      <c r="CE945">
        <v>1</v>
      </c>
      <c r="CF945">
        <v>0</v>
      </c>
      <c r="CG945">
        <v>0</v>
      </c>
      <c r="CH945">
        <v>0</v>
      </c>
      <c r="CI945">
        <v>0</v>
      </c>
      <c r="CJ945">
        <v>0</v>
      </c>
      <c r="CK945">
        <v>0</v>
      </c>
      <c r="CL945">
        <v>0</v>
      </c>
      <c r="CM945">
        <v>0</v>
      </c>
      <c r="CN945">
        <v>0</v>
      </c>
      <c r="CO945">
        <v>0</v>
      </c>
      <c r="CP945" t="str">
        <f>IF($BN945&lt;$BM945,"refNeedCorrection","refOK")</f>
        <v>refOK</v>
      </c>
      <c r="CQ945">
        <f>IF($CP945="refOK",$BM945,$BN945)</f>
        <v>0</v>
      </c>
      <c r="CR945">
        <f>IF($CP945="refOK",$BN945,$BM945)</f>
        <v>9.9</v>
      </c>
      <c r="CS945">
        <f>IF($CP945="refOK",$BQ945,-$BQ945)</f>
        <v>42987407.729049072</v>
      </c>
      <c r="CT945">
        <f>IF(BI945="Roundwood",$CS945/2,$CS945)</f>
        <v>21493703.864524536</v>
      </c>
      <c r="CU945">
        <f>IF($CP945="refOK",$BU945,$BV945)*IF($BR945="Emissions positive",-1,1)</f>
        <v>0</v>
      </c>
      <c r="CV945">
        <f>IF($CP945="refOK",$BV945,$BU945)*IF($BR945="Emissions positive",-1,1)</f>
        <v>0</v>
      </c>
      <c r="CW945">
        <f>IF($CP945="refNeedCorrection",-BZ945,BZ945)*IF($BR945="Emissions positive",-1,1)</f>
        <v>38314285.714285716</v>
      </c>
      <c r="CX945">
        <f>IFERROR($CW945/$CS945,"")</f>
        <v>0.89129090909090902</v>
      </c>
      <c r="CY945">
        <f>IFERROR($CW945/$CS945,"")</f>
        <v>0.89129090909090902</v>
      </c>
      <c r="CZ945">
        <f>IFERROR($CW945/$CT945,"")</f>
        <v>1.782581818181818</v>
      </c>
      <c r="DA945" s="2" t="str">
        <f>IFERROR((CV945-CU945)/ABS(CU945),"")</f>
        <v/>
      </c>
      <c r="DB945" s="1" t="s">
        <v>1078</v>
      </c>
      <c r="DC945" t="str">
        <f>IF(OR($DB945="prd",$DB945="std",$DB945="cit"),"loc",IF(OR($DB945="eur",$DB945="reg",$DB945="coy"),"reg",$DB945))</f>
        <v>reg</v>
      </c>
      <c r="DD945" t="s">
        <v>527</v>
      </c>
      <c r="DE945">
        <v>2015</v>
      </c>
      <c r="DF945">
        <v>2050</v>
      </c>
      <c r="DG945">
        <v>35</v>
      </c>
      <c r="DH945" t="str">
        <f>IF(DG945=0,"0",IF(AND(DG945&gt;=1,DG945&lt;=30),"1-30",IF(AND(DG945&gt;30,DG945&lt;=70),"31-70",IF(AND(DG945&gt;70,DG945&lt;=100),"71-100",IF(DG945&gt;100,"+100")))))</f>
        <v>31-70</v>
      </c>
      <c r="DI945">
        <v>0</v>
      </c>
      <c r="DJ945">
        <v>1</v>
      </c>
      <c r="DK945">
        <v>1</v>
      </c>
      <c r="DL945">
        <v>1</v>
      </c>
      <c r="DN945">
        <f>SUM(DI945:DL945)</f>
        <v>3</v>
      </c>
      <c r="DO945" t="str">
        <f>IF(DN945=1,INDEX($DI$7:$DL$7,MATCH(1,$DI945:$DL945,0)),"mixedProduct")</f>
        <v>mixedProduct</v>
      </c>
      <c r="DP945">
        <f>IF(DI945=1,DP$7,0)</f>
        <v>0</v>
      </c>
      <c r="DQ945" t="str">
        <f>IF(DJ945=1,DQ$7,0)</f>
        <v>Energy</v>
      </c>
      <c r="DR945" t="str">
        <f>IF(DK945=1,DR$7,0)</f>
        <v>Pulp/Paper</v>
      </c>
      <c r="DS945" t="str">
        <f>IF(DL945=1,DS$7,0)</f>
        <v>Timber</v>
      </c>
      <c r="DT945">
        <v>0</v>
      </c>
      <c r="DU945">
        <v>0</v>
      </c>
      <c r="DW945">
        <v>0</v>
      </c>
      <c r="DX945">
        <v>0</v>
      </c>
      <c r="DY945">
        <f>SUM(DT945:DU945)</f>
        <v>0</v>
      </c>
      <c r="DZ945" s="143" t="str">
        <f>IF(DT945=1,"self-calculated DF",IF(DU945=1,"external DF used","explicit C balance"))</f>
        <v>explicit C balance</v>
      </c>
      <c r="EA945">
        <v>1</v>
      </c>
      <c r="EB945">
        <v>1</v>
      </c>
      <c r="EC945">
        <v>1</v>
      </c>
      <c r="ED945">
        <v>0</v>
      </c>
      <c r="EE945">
        <v>0</v>
      </c>
      <c r="EF945">
        <v>0</v>
      </c>
      <c r="EG945">
        <v>0</v>
      </c>
      <c r="EH945">
        <v>0</v>
      </c>
      <c r="EI945">
        <v>0</v>
      </c>
      <c r="EJ945">
        <v>0</v>
      </c>
      <c r="EK945">
        <v>1</v>
      </c>
      <c r="EL945">
        <v>0</v>
      </c>
      <c r="EM945">
        <v>0</v>
      </c>
      <c r="EN945" s="2">
        <v>0</v>
      </c>
      <c r="EP945" t="str">
        <f>IF(AND(AND(AND(OR($EC945=1,$EB945=1),OR($EH945=1,$EF945=1)),SUM($EA945:$EE945,$EK945)&gt;=3),SUM($EF945:$EJ945)&gt;=2),"Whole sector approach","")</f>
        <v/>
      </c>
      <c r="EQ945" t="str">
        <f>IF(AND(AND(OR($EC945=1,$EB945=1),AND($EH945=0,$EF945=0)),SUM($EA945:$EE945,$EK945)&gt;=4),"Ecosystem approach","")</f>
        <v>Ecosystem approach</v>
      </c>
      <c r="ER945" s="2" t="str">
        <f>IF(AND(AND(AND($EC945=0,$EB945=0),OR($EH945=1,$EF945=1)),SUM($EG945:$EJ945)&gt;=2),"Technology approach","")</f>
        <v/>
      </c>
      <c r="ES945" t="str">
        <f>IF(AND($EC945+$EB945+$EE945+$EA945+$ED945+$EG945=0,$N945="included"),"C neutral forest and HWP assumption","")</f>
        <v/>
      </c>
      <c r="ET945" t="str">
        <f>IF(AND(AND(AND(AND($EC945=1,$EB945+$EA945+$EG945&gt;=1),$EF945=1),$EH945+$EI945+$ED945+$EE945&gt;=2),$N945="included"),"All C pools assumption","")</f>
        <v/>
      </c>
      <c r="EU945" t="str">
        <f>IF(AND($ED945+$EE945+$EI945+$EH945+$EF945=0,$N945="included"),"In-situ only assumption","")</f>
        <v>In-situ only assumption</v>
      </c>
      <c r="EV945" s="328" t="s">
        <v>5065</v>
      </c>
      <c r="EY945" t="str">
        <f>IF(ISNUMBER(BW945),IF(ABS(BW945-[2]QC_indicators!$B$2)&gt;3*[2]QC_indicators!$C$2,"C ratio",IF(ISNUMBER(CA945),IF(ABS(CA945-[2]QC_indicators!$B$1)&gt;3*[2]QC_indicators!$C$1,"DF","no"))),IF(ISNUMBER(CA945),IF(ABS(CA945-[2]QC_indicators!$B$1)&gt;3*[2]QC_indicators!$C$1,"DF","no")))</f>
        <v>no</v>
      </c>
      <c r="FA945" t="str">
        <f>IF(LEN($CY945)=0,"",IF(AND($CY945&lt;(-0.05),$ES945="C neutral forest and HWP assumption"),"Cneutral paradox",IF(AND($CY945&gt;0.05,$EU945="In-situ only assumption"),"In-situ only paradox","")))</f>
        <v>In-situ only paradox</v>
      </c>
      <c r="FD945" s="263" t="s">
        <v>2917</v>
      </c>
    </row>
    <row r="946" spans="1:160" hidden="1">
      <c r="A946" s="1" t="s">
        <v>1920</v>
      </c>
      <c r="B946" t="s">
        <v>531</v>
      </c>
      <c r="C946" t="s">
        <v>2021</v>
      </c>
      <c r="D946" t="s">
        <v>2022</v>
      </c>
      <c r="E946" t="s">
        <v>2023</v>
      </c>
      <c r="F946" t="s">
        <v>2024</v>
      </c>
      <c r="G946" t="s">
        <v>1921</v>
      </c>
      <c r="H946" t="s">
        <v>254</v>
      </c>
      <c r="I946">
        <v>2014</v>
      </c>
      <c r="J946">
        <v>96</v>
      </c>
      <c r="K946" t="s">
        <v>2025</v>
      </c>
      <c r="M946" t="str">
        <f>LEFT($D946,FIND(",",$D946)-1)&amp;"_"&amp;I946&amp;L946</f>
        <v>Smyth_2014</v>
      </c>
      <c r="N946" t="s">
        <v>222</v>
      </c>
      <c r="O946" s="145" t="s">
        <v>341</v>
      </c>
      <c r="Q946" t="s">
        <v>256</v>
      </c>
      <c r="R946" s="258" t="s">
        <v>223</v>
      </c>
      <c r="S946" s="1" t="s">
        <v>2036</v>
      </c>
      <c r="T946" t="s">
        <v>1030</v>
      </c>
      <c r="U946" t="s">
        <v>2037</v>
      </c>
      <c r="V946" s="253">
        <v>0</v>
      </c>
      <c r="W946" s="253">
        <v>0</v>
      </c>
      <c r="X946">
        <v>0</v>
      </c>
      <c r="Y946">
        <v>0</v>
      </c>
      <c r="Z946">
        <v>0</v>
      </c>
      <c r="AA946">
        <v>1</v>
      </c>
      <c r="AB946">
        <v>0</v>
      </c>
      <c r="AC946">
        <v>0</v>
      </c>
      <c r="AD946">
        <v>0</v>
      </c>
      <c r="AE946">
        <v>0</v>
      </c>
      <c r="AF946">
        <v>0</v>
      </c>
      <c r="AG946">
        <v>0</v>
      </c>
      <c r="AH946">
        <v>0</v>
      </c>
      <c r="AI946">
        <v>0</v>
      </c>
      <c r="AJ946">
        <v>0</v>
      </c>
      <c r="AK946">
        <v>0</v>
      </c>
      <c r="AL946">
        <v>2</v>
      </c>
      <c r="AM946">
        <v>0</v>
      </c>
      <c r="AN946">
        <v>0</v>
      </c>
      <c r="AO946">
        <v>0</v>
      </c>
      <c r="AP946">
        <v>0</v>
      </c>
      <c r="AQ946">
        <v>0</v>
      </c>
      <c r="AR946">
        <v>0</v>
      </c>
      <c r="AS946">
        <v>0</v>
      </c>
      <c r="AT946">
        <v>0</v>
      </c>
      <c r="AU946">
        <v>0</v>
      </c>
      <c r="AV946">
        <v>0</v>
      </c>
      <c r="AW946">
        <v>0</v>
      </c>
      <c r="AX946">
        <v>0</v>
      </c>
      <c r="AY946">
        <v>0</v>
      </c>
      <c r="AZ946" s="141">
        <f>COUNTIF(X946:AY946,"&lt;&gt;0")</f>
        <v>2</v>
      </c>
      <c r="BA946" s="141">
        <f>COUNTIF(X946:AN946,"&lt;&gt;0")</f>
        <v>2</v>
      </c>
      <c r="BB946">
        <f>COUNTIF(X946:AE946,"&lt;&gt;0")</f>
        <v>1</v>
      </c>
      <c r="BC946">
        <f>COUNTIF(AF946:AK946,"&lt;&gt;0")</f>
        <v>0</v>
      </c>
      <c r="BD946">
        <f>COUNTIF(AL946:AN946,"&lt;&gt;0")</f>
        <v>1</v>
      </c>
      <c r="BE946">
        <f>COUNTIF(AU946:AY946,"&lt;&gt;0")</f>
        <v>0</v>
      </c>
      <c r="BF946">
        <f>COUNTIF(AO946:AT946,"&lt;&gt;0")</f>
        <v>0</v>
      </c>
      <c r="BG946" t="str">
        <f t="array" ref="BG946">IF(BA946=1,INDEX($X$7:$AN$7,MATCH(TRUE,INDEX($X946:$AY946&lt;&gt;0,),0)),IF(BA946=0,INDEX($AO$7:$AY$7,MATCH(1,$AO946:$AY946,0)),IF(BH946="Multiple strategies","mixed drivers",IF(BH946="Supply chain","multiple supply","multiple silviculture"))))</f>
        <v>mixed drivers</v>
      </c>
      <c r="BH946" s="2" t="str" cm="1">
        <f t="array" ref="BH946">IF(COUNTIF(BB946:BD946,"&lt;&gt;0")=1,INDEX($X$4:$AY$4,MATCH(TRUE,INDEX($X946:$AY946&lt;&gt;0,),0)),IF(COUNTIF(BB946:BD946,"&lt;&gt;0")=0,INDEX($AO$4:$AY$4,MATCH(1,$AO946:$AY946,0)),"Multiple strategies"))</f>
        <v>Multiple strategies</v>
      </c>
      <c r="BI946" s="1" t="s">
        <v>321</v>
      </c>
      <c r="BJ946" t="s">
        <v>2038</v>
      </c>
      <c r="BK946" s="260" t="s">
        <v>978</v>
      </c>
      <c r="BL946" t="s">
        <v>2032</v>
      </c>
      <c r="BM946">
        <v>0</v>
      </c>
      <c r="BN946">
        <v>9.9</v>
      </c>
      <c r="BP946">
        <f>BN946-BM946</f>
        <v>9.9</v>
      </c>
      <c r="BQ946">
        <f>BP946*10^6*tC_to_m3</f>
        <v>42987407.729049072</v>
      </c>
      <c r="BR946" t="s">
        <v>232</v>
      </c>
      <c r="BS946" s="336" t="s">
        <v>2918</v>
      </c>
      <c r="BT946" s="260" t="s">
        <v>2919</v>
      </c>
      <c r="BW946" s="144"/>
      <c r="BX946">
        <f>511/35</f>
        <v>14.6</v>
      </c>
      <c r="BZ946">
        <f>BX946*10^6</f>
        <v>14600000</v>
      </c>
      <c r="CA946">
        <f>IFERROR(BZ946/BQ946,"")</f>
        <v>0.3396343434343434</v>
      </c>
      <c r="CB946">
        <v>0</v>
      </c>
      <c r="CC946">
        <v>1</v>
      </c>
      <c r="CD946">
        <v>1</v>
      </c>
      <c r="CE946">
        <v>1</v>
      </c>
      <c r="CF946">
        <v>0</v>
      </c>
      <c r="CG946">
        <v>0</v>
      </c>
      <c r="CH946">
        <v>0</v>
      </c>
      <c r="CI946">
        <v>0</v>
      </c>
      <c r="CJ946">
        <v>0</v>
      </c>
      <c r="CK946">
        <v>0</v>
      </c>
      <c r="CL946">
        <v>0</v>
      </c>
      <c r="CM946">
        <v>0</v>
      </c>
      <c r="CN946">
        <v>0</v>
      </c>
      <c r="CO946">
        <v>0</v>
      </c>
      <c r="CP946" t="str">
        <f>IF($BN946&lt;$BM946,"refNeedCorrection","refOK")</f>
        <v>refOK</v>
      </c>
      <c r="CQ946">
        <f>IF($CP946="refOK",$BM946,$BN946)</f>
        <v>0</v>
      </c>
      <c r="CR946">
        <f>IF($CP946="refOK",$BN946,$BM946)</f>
        <v>9.9</v>
      </c>
      <c r="CS946">
        <f>IF($CP946="refOK",$BQ946,-$BQ946)</f>
        <v>42987407.729049072</v>
      </c>
      <c r="CT946">
        <f>IF(BI946="Roundwood",$CS946/2,$CS946)</f>
        <v>21493703.864524536</v>
      </c>
      <c r="CU946">
        <f>IF($CP946="refOK",$BU946,$BV946)*IF($BR946="Emissions positive",-1,1)</f>
        <v>0</v>
      </c>
      <c r="CV946">
        <f>IF($CP946="refOK",$BV946,$BU946)*IF($BR946="Emissions positive",-1,1)</f>
        <v>0</v>
      </c>
      <c r="CW946">
        <f>IF($CP946="refNeedCorrection",-BZ946,BZ946)*IF($BR946="Emissions positive",-1,1)</f>
        <v>14600000</v>
      </c>
      <c r="CX946">
        <f>IFERROR($CW946/$CS946,"")</f>
        <v>0.3396343434343434</v>
      </c>
      <c r="CY946">
        <f>IFERROR($CW946/$CS946,"")</f>
        <v>0.3396343434343434</v>
      </c>
      <c r="CZ946">
        <f>IFERROR($CW946/$CT946,"")</f>
        <v>0.6792686868686868</v>
      </c>
      <c r="DA946" s="2" t="str">
        <f>IFERROR((CV946-CU946)/ABS(CU946),"")</f>
        <v/>
      </c>
      <c r="DB946" s="1" t="s">
        <v>1078</v>
      </c>
      <c r="DC946" t="str">
        <f>IF(OR($DB946="prd",$DB946="std",$DB946="cit"),"loc",IF(OR($DB946="eur",$DB946="reg",$DB946="coy"),"reg",$DB946))</f>
        <v>reg</v>
      </c>
      <c r="DD946" t="s">
        <v>527</v>
      </c>
      <c r="DE946">
        <v>2015</v>
      </c>
      <c r="DF946">
        <v>2050</v>
      </c>
      <c r="DG946">
        <v>35</v>
      </c>
      <c r="DH946" t="str">
        <f>IF(DG946=0,"0",IF(AND(DG946&gt;=1,DG946&lt;=30),"1-30",IF(AND(DG946&gt;30,DG946&lt;=70),"31-70",IF(AND(DG946&gt;70,DG946&lt;=100),"71-100",IF(DG946&gt;100,"+100")))))</f>
        <v>31-70</v>
      </c>
      <c r="DI946">
        <v>0</v>
      </c>
      <c r="DJ946">
        <v>1</v>
      </c>
      <c r="DK946">
        <v>1</v>
      </c>
      <c r="DL946">
        <v>1</v>
      </c>
      <c r="DN946">
        <f>SUM(DI946:DL946)</f>
        <v>3</v>
      </c>
      <c r="DO946" t="str">
        <f>IF(DN946=1,INDEX($DI$7:$DL$7,MATCH(1,$DI946:$DL946,0)),"mixedProduct")</f>
        <v>mixedProduct</v>
      </c>
      <c r="DP946">
        <f>IF(DI946=1,DP$7,0)</f>
        <v>0</v>
      </c>
      <c r="DQ946" t="str">
        <f>IF(DJ946=1,DQ$7,0)</f>
        <v>Energy</v>
      </c>
      <c r="DR946" t="str">
        <f>IF(DK946=1,DR$7,0)</f>
        <v>Pulp/Paper</v>
      </c>
      <c r="DS946" t="str">
        <f>IF(DL946=1,DS$7,0)</f>
        <v>Timber</v>
      </c>
      <c r="DT946">
        <v>1</v>
      </c>
      <c r="DU946">
        <v>1</v>
      </c>
      <c r="DV946" t="s">
        <v>2028</v>
      </c>
      <c r="DW946">
        <v>0</v>
      </c>
      <c r="DX946">
        <v>0</v>
      </c>
      <c r="DY946">
        <f>SUM(DT946:DU946)</f>
        <v>2</v>
      </c>
      <c r="DZ946" s="143" t="str">
        <f>IF(DT946=1,"self-calculated DF",IF(DU946=1,"external DF used","explicit C balance"))</f>
        <v>self-calculated DF</v>
      </c>
      <c r="EA946">
        <v>1</v>
      </c>
      <c r="EB946">
        <v>1</v>
      </c>
      <c r="EC946">
        <v>1</v>
      </c>
      <c r="ED946">
        <v>1</v>
      </c>
      <c r="EE946">
        <v>1</v>
      </c>
      <c r="EF946">
        <v>1</v>
      </c>
      <c r="EG946">
        <v>0</v>
      </c>
      <c r="EH946">
        <v>0</v>
      </c>
      <c r="EI946">
        <v>0</v>
      </c>
      <c r="EJ946">
        <v>0</v>
      </c>
      <c r="EK946">
        <v>1</v>
      </c>
      <c r="EL946">
        <v>0</v>
      </c>
      <c r="EM946">
        <v>0</v>
      </c>
      <c r="EN946" s="2">
        <v>0</v>
      </c>
      <c r="EP946" t="str">
        <f>IF(AND(AND(AND(OR($EC946=1,$EB946=1),OR($EH946=1,$EF946=1)),SUM($EA946:$EE946,$EK946)&gt;=3),SUM($EF946:$EJ946)&gt;=2),"Whole sector approach","")</f>
        <v/>
      </c>
      <c r="EQ946" t="str">
        <f>IF(AND(AND(OR($EC946=1,$EB946=1),AND($EH946=0,$EF946=0)),SUM($EA946:$EE946,$EK946)&gt;=4),"Ecosystem approach","")</f>
        <v/>
      </c>
      <c r="ER946" s="2" t="str">
        <f>IF(AND(AND(AND($EC946=0,$EB946=0),OR($EH946=1,$EF946=1)),SUM($EG946:$EJ946)&gt;=2),"Technology approach","")</f>
        <v/>
      </c>
      <c r="ES946" t="str">
        <f>IF(AND($EC946+$EB946+$EE946+$EA946+$ED946+$EG946=0,$N946="included"),"C neutral forest and HWP assumption","")</f>
        <v/>
      </c>
      <c r="ET946" t="str">
        <f>IF(AND(AND(AND(AND($EC946=1,$EB946+$EA946+$EG946&gt;=1),$EF946=1),$EH946+$EI946+$ED946+$EE946&gt;=2),$N946="included"),"All C pools assumption","")</f>
        <v>All C pools assumption</v>
      </c>
      <c r="EU946" t="str">
        <f>IF(AND($ED946+$EE946+$EI946+$EH946+$EF946=0,$N946="included"),"In-situ only assumption","")</f>
        <v/>
      </c>
      <c r="EV946" s="328" t="s">
        <v>5065</v>
      </c>
      <c r="EY946" t="str">
        <f>IF(ISNUMBER(BW946),IF(ABS(BW946-[2]QC_indicators!$B$2)&gt;3*[2]QC_indicators!$C$2,"C ratio",IF(ISNUMBER(CA946),IF(ABS(CA946-[2]QC_indicators!$B$1)&gt;3*[2]QC_indicators!$C$1,"DF","no"))),IF(ISNUMBER(CA946),IF(ABS(CA946-[2]QC_indicators!$B$1)&gt;3*[2]QC_indicators!$C$1,"DF","no")))</f>
        <v>no</v>
      </c>
      <c r="FA946" t="str">
        <f>IF(LEN($CY946)=0,"",IF(AND($CY946&lt;(-0.05),$ES946="C neutral forest and HWP assumption"),"Cneutral paradox",IF(AND($CY946&gt;0.05,$EU946="In-situ only assumption"),"In-situ only paradox","")))</f>
        <v/>
      </c>
      <c r="FD946" s="263" t="s">
        <v>2917</v>
      </c>
    </row>
    <row r="947" spans="1:160" hidden="1">
      <c r="A947" s="1" t="s">
        <v>1920</v>
      </c>
      <c r="B947" t="s">
        <v>531</v>
      </c>
      <c r="C947" t="s">
        <v>2021</v>
      </c>
      <c r="D947" t="s">
        <v>2022</v>
      </c>
      <c r="E947" t="s">
        <v>2023</v>
      </c>
      <c r="F947" t="s">
        <v>2024</v>
      </c>
      <c r="G947" t="s">
        <v>1921</v>
      </c>
      <c r="H947" t="s">
        <v>254</v>
      </c>
      <c r="I947">
        <v>2014</v>
      </c>
      <c r="J947">
        <v>96</v>
      </c>
      <c r="K947" t="s">
        <v>2025</v>
      </c>
      <c r="M947" t="str">
        <f>LEFT($D947,FIND(",",$D947)-1)&amp;"_"&amp;I947&amp;L947</f>
        <v>Smyth_2014</v>
      </c>
      <c r="N947" t="s">
        <v>222</v>
      </c>
      <c r="O947" s="145" t="s">
        <v>341</v>
      </c>
      <c r="Q947" t="s">
        <v>256</v>
      </c>
      <c r="R947" s="258" t="s">
        <v>223</v>
      </c>
      <c r="S947" s="1" t="s">
        <v>2036</v>
      </c>
      <c r="T947" t="s">
        <v>1030</v>
      </c>
      <c r="U947" t="s">
        <v>2037</v>
      </c>
      <c r="V947" s="253">
        <v>0</v>
      </c>
      <c r="W947" s="253">
        <v>0</v>
      </c>
      <c r="X947">
        <v>0</v>
      </c>
      <c r="Y947">
        <v>0</v>
      </c>
      <c r="Z947">
        <v>0</v>
      </c>
      <c r="AA947">
        <v>1</v>
      </c>
      <c r="AB947">
        <v>0</v>
      </c>
      <c r="AC947">
        <v>0</v>
      </c>
      <c r="AD947">
        <v>0</v>
      </c>
      <c r="AE947">
        <v>0</v>
      </c>
      <c r="AF947">
        <v>0</v>
      </c>
      <c r="AG947">
        <v>0</v>
      </c>
      <c r="AH947">
        <v>0</v>
      </c>
      <c r="AI947">
        <v>0</v>
      </c>
      <c r="AJ947">
        <v>0</v>
      </c>
      <c r="AK947">
        <v>0</v>
      </c>
      <c r="AL947">
        <v>2</v>
      </c>
      <c r="AM947">
        <v>0</v>
      </c>
      <c r="AN947">
        <v>0</v>
      </c>
      <c r="AO947">
        <v>0</v>
      </c>
      <c r="AP947">
        <v>0</v>
      </c>
      <c r="AQ947">
        <v>0</v>
      </c>
      <c r="AR947">
        <v>0</v>
      </c>
      <c r="AS947">
        <v>0</v>
      </c>
      <c r="AT947">
        <v>0</v>
      </c>
      <c r="AU947">
        <v>0</v>
      </c>
      <c r="AV947">
        <v>0</v>
      </c>
      <c r="AW947">
        <v>0</v>
      </c>
      <c r="AX947">
        <v>0</v>
      </c>
      <c r="AY947">
        <v>0</v>
      </c>
      <c r="AZ947" s="141">
        <f>COUNTIF(X947:AY947,"&lt;&gt;0")</f>
        <v>2</v>
      </c>
      <c r="BA947" s="141">
        <f>COUNTIF(X947:AN947,"&lt;&gt;0")</f>
        <v>2</v>
      </c>
      <c r="BB947">
        <f>COUNTIF(X947:AE947,"&lt;&gt;0")</f>
        <v>1</v>
      </c>
      <c r="BC947">
        <f>COUNTIF(AF947:AK947,"&lt;&gt;0")</f>
        <v>0</v>
      </c>
      <c r="BD947">
        <f>COUNTIF(AL947:AN947,"&lt;&gt;0")</f>
        <v>1</v>
      </c>
      <c r="BE947">
        <f>COUNTIF(AU947:AY947,"&lt;&gt;0")</f>
        <v>0</v>
      </c>
      <c r="BF947">
        <f>COUNTIF(AO947:AT947,"&lt;&gt;0")</f>
        <v>0</v>
      </c>
      <c r="BG947" t="str">
        <f t="array" ref="BG947">IF(BA947=1,INDEX($X$7:$AN$7,MATCH(TRUE,INDEX($X947:$AY947&lt;&gt;0,),0)),IF(BA947=0,INDEX($AO$7:$AY$7,MATCH(1,$AO947:$AY947,0)),IF(BH947="Multiple strategies","mixed drivers",IF(BH947="Supply chain","multiple supply","multiple silviculture"))))</f>
        <v>mixed drivers</v>
      </c>
      <c r="BH947" s="2" t="str" cm="1">
        <f t="array" ref="BH947">IF(COUNTIF(BB947:BD947,"&lt;&gt;0")=1,INDEX($X$4:$AY$4,MATCH(TRUE,INDEX($X947:$AY947&lt;&gt;0,),0)),IF(COUNTIF(BB947:BD947,"&lt;&gt;0")=0,INDEX($AO$4:$AY$4,MATCH(1,$AO947:$AY947,0)),"Multiple strategies"))</f>
        <v>Multiple strategies</v>
      </c>
      <c r="BI947" s="1" t="s">
        <v>321</v>
      </c>
      <c r="BJ947" t="s">
        <v>2038</v>
      </c>
      <c r="BK947" s="260" t="s">
        <v>978</v>
      </c>
      <c r="BL947" t="s">
        <v>2032</v>
      </c>
      <c r="BM947">
        <v>0</v>
      </c>
      <c r="BN947">
        <v>9.9</v>
      </c>
      <c r="BP947">
        <f>BN947-BM947</f>
        <v>9.9</v>
      </c>
      <c r="BQ947">
        <f>BP947*10^6*tC_to_m3</f>
        <v>42987407.729049072</v>
      </c>
      <c r="BR947" t="s">
        <v>232</v>
      </c>
      <c r="BS947" s="336" t="s">
        <v>2918</v>
      </c>
      <c r="BT947" s="260" t="s">
        <v>2919</v>
      </c>
      <c r="BW947" s="144"/>
      <c r="BX947">
        <f>22.34/35</f>
        <v>0.63828571428571423</v>
      </c>
      <c r="BZ947">
        <f>BX947*10^6</f>
        <v>638285.7142857142</v>
      </c>
      <c r="CA947">
        <f>IFERROR(BZ947/BQ947,"")</f>
        <v>1.4848202020202017E-2</v>
      </c>
      <c r="CB947">
        <v>0</v>
      </c>
      <c r="CC947">
        <v>1</v>
      </c>
      <c r="CD947">
        <v>1</v>
      </c>
      <c r="CE947">
        <v>1</v>
      </c>
      <c r="CF947">
        <v>0</v>
      </c>
      <c r="CG947">
        <v>0</v>
      </c>
      <c r="CH947">
        <v>0</v>
      </c>
      <c r="CI947">
        <v>0</v>
      </c>
      <c r="CJ947">
        <v>0</v>
      </c>
      <c r="CK947">
        <v>0</v>
      </c>
      <c r="CL947">
        <v>0</v>
      </c>
      <c r="CM947">
        <v>0</v>
      </c>
      <c r="CN947">
        <v>0</v>
      </c>
      <c r="CO947">
        <v>0</v>
      </c>
      <c r="CP947" t="str">
        <f>IF($BN947&lt;$BM947,"refNeedCorrection","refOK")</f>
        <v>refOK</v>
      </c>
      <c r="CQ947">
        <f>IF($CP947="refOK",$BM947,$BN947)</f>
        <v>0</v>
      </c>
      <c r="CR947">
        <f>IF($CP947="refOK",$BN947,$BM947)</f>
        <v>9.9</v>
      </c>
      <c r="CS947">
        <f>IF($CP947="refOK",$BQ947,-$BQ947)</f>
        <v>42987407.729049072</v>
      </c>
      <c r="CT947">
        <f>IF(BI947="Roundwood",$CS947/2,$CS947)</f>
        <v>21493703.864524536</v>
      </c>
      <c r="CU947">
        <f>IF($CP947="refOK",$BU947,$BV947)*IF($BR947="Emissions positive",-1,1)</f>
        <v>0</v>
      </c>
      <c r="CV947">
        <f>IF($CP947="refOK",$BV947,$BU947)*IF($BR947="Emissions positive",-1,1)</f>
        <v>0</v>
      </c>
      <c r="CW947">
        <f>IF($CP947="refNeedCorrection",-BZ947,BZ947)*IF($BR947="Emissions positive",-1,1)</f>
        <v>638285.7142857142</v>
      </c>
      <c r="CX947">
        <f>IFERROR($CW947/$CS947,"")</f>
        <v>1.4848202020202017E-2</v>
      </c>
      <c r="CY947">
        <f>IFERROR($CW947/$CS947,"")</f>
        <v>1.4848202020202017E-2</v>
      </c>
      <c r="CZ947">
        <f>IFERROR($CW947/$CT947,"")</f>
        <v>2.9696404040404033E-2</v>
      </c>
      <c r="DA947" s="2" t="str">
        <f>IFERROR((CV947-CU947)/ABS(CU947),"")</f>
        <v/>
      </c>
      <c r="DB947" s="1" t="s">
        <v>1078</v>
      </c>
      <c r="DC947" t="str">
        <f>IF(OR($DB947="prd",$DB947="std",$DB947="cit"),"loc",IF(OR($DB947="eur",$DB947="reg",$DB947="coy"),"reg",$DB947))</f>
        <v>reg</v>
      </c>
      <c r="DD947" t="s">
        <v>527</v>
      </c>
      <c r="DE947">
        <v>2015</v>
      </c>
      <c r="DF947">
        <v>2050</v>
      </c>
      <c r="DG947">
        <v>35</v>
      </c>
      <c r="DH947" t="str">
        <f>IF(DG947=0,"0",IF(AND(DG947&gt;=1,DG947&lt;=30),"1-30",IF(AND(DG947&gt;30,DG947&lt;=70),"31-70",IF(AND(DG947&gt;70,DG947&lt;=100),"71-100",IF(DG947&gt;100,"+100")))))</f>
        <v>31-70</v>
      </c>
      <c r="DI947">
        <v>0</v>
      </c>
      <c r="DJ947">
        <v>1</v>
      </c>
      <c r="DK947">
        <v>1</v>
      </c>
      <c r="DL947">
        <v>1</v>
      </c>
      <c r="DN947">
        <f>SUM(DI947:DL947)</f>
        <v>3</v>
      </c>
      <c r="DO947" t="str">
        <f>IF(DN947=1,INDEX($DI$7:$DL$7,MATCH(1,$DI947:$DL947,0)),"mixedProduct")</f>
        <v>mixedProduct</v>
      </c>
      <c r="DP947">
        <f>IF(DI947=1,DP$7,0)</f>
        <v>0</v>
      </c>
      <c r="DQ947" t="str">
        <f>IF(DJ947=1,DQ$7,0)</f>
        <v>Energy</v>
      </c>
      <c r="DR947" t="str">
        <f>IF(DK947=1,DR$7,0)</f>
        <v>Pulp/Paper</v>
      </c>
      <c r="DS947" t="str">
        <f>IF(DL947=1,DS$7,0)</f>
        <v>Timber</v>
      </c>
      <c r="DT947">
        <v>0</v>
      </c>
      <c r="DU947">
        <v>0</v>
      </c>
      <c r="DW947">
        <v>0</v>
      </c>
      <c r="DX947">
        <v>0</v>
      </c>
      <c r="DY947">
        <f>SUM(DT947:DU947)</f>
        <v>0</v>
      </c>
      <c r="DZ947" s="143" t="str">
        <f>IF(DT947=1,"self-calculated DF",IF(DU947=1,"external DF used","explicit C balance"))</f>
        <v>explicit C balance</v>
      </c>
      <c r="EA947">
        <v>1</v>
      </c>
      <c r="EB947">
        <v>1</v>
      </c>
      <c r="EC947">
        <v>1</v>
      </c>
      <c r="ED947">
        <v>1</v>
      </c>
      <c r="EE947">
        <v>1</v>
      </c>
      <c r="EF947">
        <v>0</v>
      </c>
      <c r="EG947">
        <v>0</v>
      </c>
      <c r="EH947">
        <v>0</v>
      </c>
      <c r="EI947">
        <v>0</v>
      </c>
      <c r="EJ947">
        <v>0</v>
      </c>
      <c r="EK947">
        <v>1</v>
      </c>
      <c r="EL947">
        <v>0</v>
      </c>
      <c r="EM947">
        <v>0</v>
      </c>
      <c r="EN947" s="2">
        <v>0</v>
      </c>
      <c r="EP947" t="str">
        <f>IF(AND(AND(AND(OR($EC947=1,$EB947=1),OR($EH947=1,$EF947=1)),SUM($EA947:$EE947,$EK947)&gt;=3),SUM($EF947:$EJ947)&gt;=2),"Whole sector approach","")</f>
        <v/>
      </c>
      <c r="EQ947" t="str">
        <f>IF(AND(AND(OR($EC947=1,$EB947=1),AND($EH947=0,$EF947=0)),SUM($EA947:$EE947,$EK947)&gt;=4),"Ecosystem approach","")</f>
        <v>Ecosystem approach</v>
      </c>
      <c r="ER947" s="2" t="str">
        <f>IF(AND(AND(AND($EC947=0,$EB947=0),OR($EH947=1,$EF947=1)),SUM($EG947:$EJ947)&gt;=2),"Technology approach","")</f>
        <v/>
      </c>
      <c r="ES947" t="str">
        <f>IF(AND($EC947+$EB947+$EE947+$EA947+$ED947+$EG947=0,$N947="included"),"C neutral forest and HWP assumption","")</f>
        <v/>
      </c>
      <c r="ET947" t="str">
        <f>IF(AND(AND(AND(AND($EC947=1,$EB947+$EA947+$EG947&gt;=1),$EF947=1),$EH947+$EI947+$ED947+$EE947&gt;=2),$N947="included"),"All C pools assumption","")</f>
        <v/>
      </c>
      <c r="EU947" t="str">
        <f>IF(AND($ED947+$EE947+$EI947+$EH947+$EF947=0,$N947="included"),"In-situ only assumption","")</f>
        <v/>
      </c>
      <c r="EV947" s="328" t="s">
        <v>5065</v>
      </c>
      <c r="EY947" t="str">
        <f>IF(ISNUMBER(BW947),IF(ABS(BW947-[2]QC_indicators!$B$2)&gt;3*[2]QC_indicators!$C$2,"C ratio",IF(ISNUMBER(CA947),IF(ABS(CA947-[2]QC_indicators!$B$1)&gt;3*[2]QC_indicators!$C$1,"DF","no"))),IF(ISNUMBER(CA947),IF(ABS(CA947-[2]QC_indicators!$B$1)&gt;3*[2]QC_indicators!$C$1,"DF","no")))</f>
        <v>no</v>
      </c>
      <c r="FA947" t="str">
        <f>IF(LEN($CY947)=0,"",IF(AND($CY947&lt;(-0.05),$ES947="C neutral forest and HWP assumption"),"Cneutral paradox",IF(AND($CY947&gt;0.05,$EU947="In-situ only assumption"),"In-situ only paradox","")))</f>
        <v/>
      </c>
      <c r="FD947" s="263" t="s">
        <v>2917</v>
      </c>
    </row>
    <row r="948" spans="1:160" ht="15" hidden="1" customHeight="1">
      <c r="A948" s="1" t="s">
        <v>500</v>
      </c>
      <c r="B948" t="s">
        <v>515</v>
      </c>
      <c r="C948" t="s">
        <v>516</v>
      </c>
      <c r="D948" t="s">
        <v>517</v>
      </c>
      <c r="E948" t="s">
        <v>518</v>
      </c>
      <c r="F948" t="s">
        <v>519</v>
      </c>
      <c r="G948" t="s">
        <v>506</v>
      </c>
      <c r="H948" t="s">
        <v>254</v>
      </c>
      <c r="I948">
        <v>2015</v>
      </c>
      <c r="J948">
        <v>31</v>
      </c>
      <c r="K948" t="s">
        <v>520</v>
      </c>
      <c r="M948" t="str">
        <f>LEFT($D948,FIND(",",$D948)-1)&amp;"_"&amp;I948&amp;L948</f>
        <v>Cambero_2015</v>
      </c>
      <c r="N948" t="s">
        <v>222</v>
      </c>
      <c r="O948" s="145" t="s">
        <v>223</v>
      </c>
      <c r="Q948" t="s">
        <v>256</v>
      </c>
      <c r="R948" s="251" t="s">
        <v>225</v>
      </c>
      <c r="S948" s="1" t="s">
        <v>521</v>
      </c>
      <c r="T948" t="s">
        <v>522</v>
      </c>
      <c r="U948" t="s">
        <v>530</v>
      </c>
      <c r="V948" s="253">
        <v>0</v>
      </c>
      <c r="W948" s="253">
        <v>0</v>
      </c>
      <c r="X948">
        <v>0</v>
      </c>
      <c r="Y948">
        <v>0</v>
      </c>
      <c r="Z948">
        <v>0</v>
      </c>
      <c r="AA948">
        <v>0</v>
      </c>
      <c r="AB948">
        <v>0</v>
      </c>
      <c r="AC948">
        <v>0</v>
      </c>
      <c r="AD948">
        <v>0</v>
      </c>
      <c r="AE948">
        <v>0</v>
      </c>
      <c r="AF948">
        <v>0</v>
      </c>
      <c r="AG948">
        <v>0</v>
      </c>
      <c r="AH948">
        <v>0</v>
      </c>
      <c r="AI948">
        <v>0</v>
      </c>
      <c r="AJ948">
        <v>0</v>
      </c>
      <c r="AK948">
        <v>0</v>
      </c>
      <c r="AL948">
        <v>0</v>
      </c>
      <c r="AM948">
        <v>1</v>
      </c>
      <c r="AN948">
        <v>0</v>
      </c>
      <c r="AO948">
        <v>0</v>
      </c>
      <c r="AP948">
        <v>0</v>
      </c>
      <c r="AQ948">
        <v>0</v>
      </c>
      <c r="AR948">
        <v>0</v>
      </c>
      <c r="AS948">
        <v>0</v>
      </c>
      <c r="AT948">
        <v>0</v>
      </c>
      <c r="AU948">
        <v>0</v>
      </c>
      <c r="AV948">
        <v>0</v>
      </c>
      <c r="AW948">
        <v>0</v>
      </c>
      <c r="AX948">
        <v>0</v>
      </c>
      <c r="AY948">
        <v>0</v>
      </c>
      <c r="AZ948" s="141">
        <f>COUNTIF(X948:AY948,"&lt;&gt;0")</f>
        <v>1</v>
      </c>
      <c r="BA948" s="141">
        <f>COUNTIF(X948:AN948,"&lt;&gt;0")</f>
        <v>1</v>
      </c>
      <c r="BB948">
        <f>COUNTIF(X948:AE948,"&lt;&gt;0")</f>
        <v>0</v>
      </c>
      <c r="BC948">
        <f>COUNTIF(AF948:AK948,"&lt;&gt;0")</f>
        <v>0</v>
      </c>
      <c r="BD948">
        <f>COUNTIF(AL948:AN948,"&lt;&gt;0")</f>
        <v>1</v>
      </c>
      <c r="BE948">
        <f>COUNTIF(AU948:AY948,"&lt;&gt;0")</f>
        <v>0</v>
      </c>
      <c r="BF948">
        <f>COUNTIF(AO948:AT948,"&lt;&gt;0")</f>
        <v>0</v>
      </c>
      <c r="BG948" t="str">
        <f t="array" ref="BG948">IF(BA948=1,INDEX($X$7:$AN$7,MATCH(TRUE,INDEX($X948:$AY948&lt;&gt;0,),0)),IF(BA948=0,INDEX($AO$7:$AY$7,MATCH(1,$AO948:$AY948,0)),IF(BH948="Multiple strategies","mixed drivers",IF(BH948="Supply chain","multiple supply","multiple silviculture"))))</f>
        <v>technologies/design switch</v>
      </c>
      <c r="BH948" s="2" t="str" cm="1">
        <f t="array" ref="BH948">IF(COUNTIF(BB948:BD948,"&lt;&gt;0")=1,INDEX($X$4:$AY$4,MATCH(TRUE,INDEX($X948:$AY948&lt;&gt;0,),0)),IF(COUNTIF(BB948:BD948,"&lt;&gt;0")=0,INDEX($AO$4:$AY$4,MATCH(1,$AO948:$AY948,0)),"Multiple strategies"))</f>
        <v>Technology</v>
      </c>
      <c r="BI948" s="1" t="s">
        <v>229</v>
      </c>
      <c r="BJ948" t="s">
        <v>524</v>
      </c>
      <c r="BK948" s="256" t="s">
        <v>2961</v>
      </c>
      <c r="BL948" t="s">
        <v>525</v>
      </c>
      <c r="BM948">
        <v>0</v>
      </c>
      <c r="BN948">
        <v>17619.047620000001</v>
      </c>
      <c r="BP948">
        <f>BN948-BM948</f>
        <v>17619.047620000001</v>
      </c>
      <c r="BQ948">
        <f>BP948*t_to_m3</f>
        <v>35957.24004081633</v>
      </c>
      <c r="BR948" t="s">
        <v>232</v>
      </c>
      <c r="BS948" s="256" t="s">
        <v>2962</v>
      </c>
      <c r="BT948" t="s">
        <v>526</v>
      </c>
      <c r="BU948">
        <v>-178600</v>
      </c>
      <c r="BV948">
        <v>-162200</v>
      </c>
      <c r="BW948" s="144">
        <v>0.90817469204927215</v>
      </c>
      <c r="BX948">
        <v>16400</v>
      </c>
      <c r="BZ948">
        <f>BX948</f>
        <v>16400</v>
      </c>
      <c r="CA948">
        <f>IFERROR(BZ948/BQ948,"")</f>
        <v>0.45609729727264336</v>
      </c>
      <c r="CB948" s="143">
        <v>0</v>
      </c>
      <c r="CC948" s="143">
        <v>0</v>
      </c>
      <c r="CD948" s="143">
        <v>0</v>
      </c>
      <c r="CE948" s="143">
        <v>0</v>
      </c>
      <c r="CF948" s="143">
        <v>0</v>
      </c>
      <c r="CG948" s="143">
        <v>0</v>
      </c>
      <c r="CH948" s="143">
        <v>0</v>
      </c>
      <c r="CI948" s="143">
        <v>0</v>
      </c>
      <c r="CJ948" s="143">
        <v>0</v>
      </c>
      <c r="CK948" s="143">
        <v>0</v>
      </c>
      <c r="CL948" s="143">
        <v>0</v>
      </c>
      <c r="CM948" s="143">
        <v>0</v>
      </c>
      <c r="CN948" s="143">
        <v>0</v>
      </c>
      <c r="CO948">
        <v>1</v>
      </c>
      <c r="CP948" t="str">
        <f>IF($BN948&lt;$BM948,"refNeedCorrection","refOK")</f>
        <v>refOK</v>
      </c>
      <c r="CQ948">
        <f>IF($CP948="refNeedCorrection",BN948,BM948)</f>
        <v>0</v>
      </c>
      <c r="CR948">
        <f>IF($CP948="refNeedCorrection",BM948,BN948)</f>
        <v>17619.047620000001</v>
      </c>
      <c r="CS948">
        <f>IF($CP948="refOK",$BQ948,-$BQ948)</f>
        <v>35957.24004081633</v>
      </c>
      <c r="CT948">
        <f>IF(BI948="Roundwood",$CS948/2,$CS948)</f>
        <v>35957.24004081633</v>
      </c>
      <c r="CU948">
        <f>IF($CP948="refOK",$BU948,$BV948)*IF($BR948="Emissions positive",-1,1)</f>
        <v>-178600</v>
      </c>
      <c r="CV948">
        <f>IF($CP948="refOK",$BV948,$BU948)*IF($BR948="Emissions positive",-1,1)</f>
        <v>-162200</v>
      </c>
      <c r="CW948">
        <f>IF($CP948="refNeedCorrection",-BZ948,BZ948)*IF($BR948="Emissions positive",-1,1)</f>
        <v>16400</v>
      </c>
      <c r="CX948">
        <f>IFERROR($CW948/$CS948,"")</f>
        <v>0.45609729727264336</v>
      </c>
      <c r="CY948">
        <f>IFERROR($CW948/$CS948,"")</f>
        <v>0.45609729727264336</v>
      </c>
      <c r="CZ948">
        <f>IFERROR($CW948/$CT948,"")</f>
        <v>0.45609729727264336</v>
      </c>
      <c r="DA948" s="2">
        <f>IFERROR((CV948-CU948)/ABS(CU948),"")</f>
        <v>9.182530795072788E-2</v>
      </c>
      <c r="DB948" s="1" t="s">
        <v>347</v>
      </c>
      <c r="DC948" t="str">
        <f>IF(OR($DB948="prd",$DB948="std",$DB948="cit"),"loc",IF(OR($DB948="eur",$DB948="reg",$DB948="coy"),"reg",$DB948))</f>
        <v>loc</v>
      </c>
      <c r="DD948" t="s">
        <v>527</v>
      </c>
      <c r="DG948">
        <v>0</v>
      </c>
      <c r="DH948" t="str">
        <f>IF(DG948=0,"0",IF(AND(DG948&gt;=1,DG948&lt;=30),"1-30",IF(AND(DG948&gt;30,DG948&lt;=70),"31-70",IF(AND(DG948&gt;70,DG948&lt;=100),"71-100",IF(DG948&gt;100,"+100")))))</f>
        <v>0</v>
      </c>
      <c r="DI948">
        <v>0</v>
      </c>
      <c r="DJ948">
        <v>1</v>
      </c>
      <c r="DK948">
        <v>0</v>
      </c>
      <c r="DL948">
        <v>0</v>
      </c>
      <c r="DN948">
        <f>SUM(DI948:DL948)</f>
        <v>1</v>
      </c>
      <c r="DO948" t="str">
        <f>IF(DN948=1,INDEX($DI$7:$DL$7,MATCH(1,$DI948:$DL948,0)),"mixedProduct")</f>
        <v>EnergyInput</v>
      </c>
      <c r="DP948">
        <f>IF(DI948=1,DP$7,0)</f>
        <v>0</v>
      </c>
      <c r="DQ948" t="str">
        <f>IF(DJ948=1,DQ$7,0)</f>
        <v>Energy</v>
      </c>
      <c r="DR948">
        <f>IF(DK948=1,DR$7,0)</f>
        <v>0</v>
      </c>
      <c r="DS948">
        <f>IF(DL948=1,DS$7,0)</f>
        <v>0</v>
      </c>
      <c r="DT948">
        <v>0</v>
      </c>
      <c r="DU948" s="143">
        <v>0</v>
      </c>
      <c r="DV948" s="143">
        <v>0</v>
      </c>
      <c r="DW948" s="143">
        <v>0</v>
      </c>
      <c r="DX948">
        <v>0</v>
      </c>
      <c r="DY948">
        <f>SUM(DT948:DU948)</f>
        <v>0</v>
      </c>
      <c r="DZ948" s="143" t="str">
        <f>IF(DT948=1,"self-calculated DF",IF(DU948=1,"external DF used","explicit C balance"))</f>
        <v>explicit C balance</v>
      </c>
      <c r="EA948">
        <v>0</v>
      </c>
      <c r="EB948" s="143">
        <v>1</v>
      </c>
      <c r="EC948" s="143">
        <v>0</v>
      </c>
      <c r="ED948" s="143">
        <v>0</v>
      </c>
      <c r="EE948">
        <v>1</v>
      </c>
      <c r="EF948" s="143">
        <v>0</v>
      </c>
      <c r="EG948" s="143">
        <v>1</v>
      </c>
      <c r="EH948" s="143">
        <v>1</v>
      </c>
      <c r="EI948" s="143">
        <v>0</v>
      </c>
      <c r="EJ948" s="143">
        <v>0</v>
      </c>
      <c r="EK948" s="143">
        <v>0</v>
      </c>
      <c r="EL948" s="143">
        <v>0</v>
      </c>
      <c r="EM948" s="143">
        <v>0</v>
      </c>
      <c r="EN948" s="2">
        <v>0</v>
      </c>
      <c r="EP948" t="str">
        <f>IF(AND(AND(AND(OR($EC948=1,$EB948=1),OR($EH948=1,$EF948=1)),SUM($EA948:$EE948,$EK948)&gt;=3),SUM($EF948:$EJ948)&gt;=2),"Whole sector approach","")</f>
        <v/>
      </c>
      <c r="EQ948" t="str">
        <f>IF(AND(AND(OR($EC948=1,$EB948=1),AND($EH948=0,$EF948=0)),SUM($EA948:$EE948,$EK948)&gt;=4),"Ecosystem approach","")</f>
        <v/>
      </c>
      <c r="ER948" s="2" t="str">
        <f>IF(AND(AND(AND($EC948=0,$EB948=0),OR($EH948=1,$EF948=1)),SUM($EG948:$EJ948)&gt;=2),"Technology approach","")</f>
        <v/>
      </c>
      <c r="ES948" t="str">
        <f>IF(AND($EC948+$EB948+$EE948+$EA948+$ED948+$EG948=0,$N948="included"),"C neutral forest and HWP assumption","")</f>
        <v/>
      </c>
      <c r="ET948" t="str">
        <f>IF(AND(AND(AND(AND($EC948=1,$EB948+$EA948+$EG948&gt;=1),$EF948=1),$EH948+$EI948+$ED948+$EE948&gt;=2),$N948="included"),"All C pools assumption","")</f>
        <v/>
      </c>
      <c r="EU948" t="str">
        <f>IF(AND($ED948+$EE948+$EI948+$EH948+$EF948=0,$N948="included"),"In-situ only assumption","")</f>
        <v/>
      </c>
      <c r="EY948" t="str">
        <f>IF(ISNUMBER(BW948),IF(ABS(BW948-[6]QC_indicators!$B$2)&gt;3*[6]QC_indicators!$C$2,"C ratio",IF(ISNUMBER(CA948),IF(ABS(CA948-[6]QC_indicators!$B$1)&gt;3*[6]QC_indicators!$C$1,"DF","no"))),IF(ISNUMBER(CA948),IF(ABS(CA948-[6]QC_indicators!$B$1)&gt;3*[6]QC_indicators!$C$1,"DF","no")))</f>
        <v>no</v>
      </c>
      <c r="FA948" t="str">
        <f>IF(LEN($CY948)=0,"",IF(AND($CY948&lt;(-0.05),$ES948="C neutral forest and HWP assumption"),"Cneutral paradox",IF(AND($CY948&gt;0.05,$EU948="In-situ only assumption"),"In-situ only paradox","")))</f>
        <v/>
      </c>
      <c r="FB948" s="149" t="s">
        <v>349</v>
      </c>
      <c r="FD948" s="260" t="s">
        <v>2948</v>
      </c>
    </row>
    <row r="949" spans="1:160" ht="15" hidden="1" customHeight="1">
      <c r="A949" s="1" t="s">
        <v>500</v>
      </c>
      <c r="B949" t="s">
        <v>515</v>
      </c>
      <c r="C949" t="s">
        <v>516</v>
      </c>
      <c r="D949" t="s">
        <v>517</v>
      </c>
      <c r="E949" t="s">
        <v>518</v>
      </c>
      <c r="F949" t="s">
        <v>519</v>
      </c>
      <c r="G949" t="s">
        <v>506</v>
      </c>
      <c r="H949" t="s">
        <v>254</v>
      </c>
      <c r="I949">
        <v>2015</v>
      </c>
      <c r="J949">
        <v>31</v>
      </c>
      <c r="K949" t="s">
        <v>520</v>
      </c>
      <c r="M949" t="str">
        <f>LEFT($D949,FIND(",",$D949)-1)&amp;"_"&amp;I949&amp;L949</f>
        <v>Cambero_2015</v>
      </c>
      <c r="N949" t="s">
        <v>222</v>
      </c>
      <c r="O949" s="145" t="s">
        <v>223</v>
      </c>
      <c r="Q949" t="s">
        <v>256</v>
      </c>
      <c r="R949" s="251" t="s">
        <v>225</v>
      </c>
      <c r="S949" s="1" t="s">
        <v>521</v>
      </c>
      <c r="T949" t="s">
        <v>522</v>
      </c>
      <c r="U949" t="s">
        <v>528</v>
      </c>
      <c r="V949" s="253">
        <v>0</v>
      </c>
      <c r="W949" s="253">
        <v>0</v>
      </c>
      <c r="X949">
        <v>0</v>
      </c>
      <c r="Y949">
        <v>0</v>
      </c>
      <c r="Z949">
        <v>0</v>
      </c>
      <c r="AA949">
        <v>0</v>
      </c>
      <c r="AB949">
        <v>0</v>
      </c>
      <c r="AC949">
        <v>0</v>
      </c>
      <c r="AD949">
        <v>0</v>
      </c>
      <c r="AE949">
        <v>0</v>
      </c>
      <c r="AF949">
        <v>0</v>
      </c>
      <c r="AG949">
        <v>0</v>
      </c>
      <c r="AH949">
        <v>0</v>
      </c>
      <c r="AI949">
        <v>0</v>
      </c>
      <c r="AJ949">
        <v>0</v>
      </c>
      <c r="AK949">
        <v>0</v>
      </c>
      <c r="AL949">
        <v>0</v>
      </c>
      <c r="AM949">
        <v>1</v>
      </c>
      <c r="AN949">
        <v>0</v>
      </c>
      <c r="AO949">
        <v>0</v>
      </c>
      <c r="AP949">
        <v>0</v>
      </c>
      <c r="AQ949">
        <v>0</v>
      </c>
      <c r="AR949">
        <v>0</v>
      </c>
      <c r="AS949">
        <v>0</v>
      </c>
      <c r="AT949">
        <v>0</v>
      </c>
      <c r="AU949">
        <v>0</v>
      </c>
      <c r="AV949">
        <v>0</v>
      </c>
      <c r="AW949">
        <v>0</v>
      </c>
      <c r="AX949">
        <v>0</v>
      </c>
      <c r="AY949">
        <v>0</v>
      </c>
      <c r="AZ949" s="141">
        <f>COUNTIF(X949:AY949,"&lt;&gt;0")</f>
        <v>1</v>
      </c>
      <c r="BA949" s="141">
        <f>COUNTIF(X949:AN949,"&lt;&gt;0")</f>
        <v>1</v>
      </c>
      <c r="BB949">
        <f>COUNTIF(X949:AE949,"&lt;&gt;0")</f>
        <v>0</v>
      </c>
      <c r="BC949">
        <f>COUNTIF(AF949:AK949,"&lt;&gt;0")</f>
        <v>0</v>
      </c>
      <c r="BD949">
        <f>COUNTIF(AL949:AN949,"&lt;&gt;0")</f>
        <v>1</v>
      </c>
      <c r="BE949">
        <f>COUNTIF(AU949:AY949,"&lt;&gt;0")</f>
        <v>0</v>
      </c>
      <c r="BF949">
        <f>COUNTIF(AO949:AT949,"&lt;&gt;0")</f>
        <v>0</v>
      </c>
      <c r="BG949" t="str">
        <f t="array" ref="BG949">IF(BA949=1,INDEX($X$7:$AN$7,MATCH(TRUE,INDEX($X949:$AY949&lt;&gt;0,),0)),IF(BA949=0,INDEX($AO$7:$AY$7,MATCH(1,$AO949:$AY949,0)),IF(BH949="Multiple strategies","mixed drivers",IF(BH949="Supply chain","multiple supply","multiple silviculture"))))</f>
        <v>technologies/design switch</v>
      </c>
      <c r="BH949" s="2" t="str" cm="1">
        <f t="array" ref="BH949">IF(COUNTIF(BB949:BD949,"&lt;&gt;0")=1,INDEX($X$4:$AY$4,MATCH(TRUE,INDEX($X949:$AY949&lt;&gt;0,),0)),IF(COUNTIF(BB949:BD949,"&lt;&gt;0")=0,INDEX($AO$4:$AY$4,MATCH(1,$AO949:$AY949,0)),"Multiple strategies"))</f>
        <v>Technology</v>
      </c>
      <c r="BI949" s="1" t="s">
        <v>229</v>
      </c>
      <c r="BJ949" t="s">
        <v>524</v>
      </c>
      <c r="BK949" s="256" t="s">
        <v>2961</v>
      </c>
      <c r="BL949" t="s">
        <v>525</v>
      </c>
      <c r="BM949">
        <v>0</v>
      </c>
      <c r="BN949">
        <v>22380.952379999999</v>
      </c>
      <c r="BP949">
        <f>BN949-BM949</f>
        <v>22380.952379999999</v>
      </c>
      <c r="BQ949">
        <f>BP949*t_to_m3</f>
        <v>45675.413020408159</v>
      </c>
      <c r="BR949" t="s">
        <v>232</v>
      </c>
      <c r="BS949" s="256" t="s">
        <v>2962</v>
      </c>
      <c r="BT949" t="s">
        <v>526</v>
      </c>
      <c r="BU949">
        <v>-178600</v>
      </c>
      <c r="BV949">
        <v>-158400</v>
      </c>
      <c r="BW949" s="144">
        <v>0.88689809630459127</v>
      </c>
      <c r="BX949">
        <v>20200</v>
      </c>
      <c r="BZ949">
        <f>BX949</f>
        <v>20200</v>
      </c>
      <c r="CA949">
        <f>IFERROR(BZ949/BQ949,"")</f>
        <v>0.44225106384860646</v>
      </c>
      <c r="CB949" s="143">
        <v>0</v>
      </c>
      <c r="CC949" s="143">
        <v>0</v>
      </c>
      <c r="CD949" s="143">
        <v>0</v>
      </c>
      <c r="CE949" s="143">
        <v>0</v>
      </c>
      <c r="CF949" s="143">
        <v>0</v>
      </c>
      <c r="CG949" s="143">
        <v>0</v>
      </c>
      <c r="CH949" s="143">
        <v>0</v>
      </c>
      <c r="CI949" s="143">
        <v>0</v>
      </c>
      <c r="CJ949" s="143">
        <v>0</v>
      </c>
      <c r="CK949" s="143">
        <v>0</v>
      </c>
      <c r="CL949" s="143">
        <v>0</v>
      </c>
      <c r="CM949" s="143">
        <v>0</v>
      </c>
      <c r="CN949" s="143">
        <v>0</v>
      </c>
      <c r="CO949">
        <v>1</v>
      </c>
      <c r="CP949" t="str">
        <f>IF($BN949&lt;$BM949,"refNeedCorrection","refOK")</f>
        <v>refOK</v>
      </c>
      <c r="CQ949">
        <f>IF($CP949="refNeedCorrection",BN949,BM949)</f>
        <v>0</v>
      </c>
      <c r="CR949">
        <f>IF($CP949="refNeedCorrection",BM949,BN949)</f>
        <v>22380.952379999999</v>
      </c>
      <c r="CS949">
        <f>IF($CP949="refOK",$BQ949,-$BQ949)</f>
        <v>45675.413020408159</v>
      </c>
      <c r="CT949">
        <f>IF(BI949="Roundwood",$CS949/2,$CS949)</f>
        <v>45675.413020408159</v>
      </c>
      <c r="CU949">
        <f>IF($CP949="refOK",$BU949,$BV949)*IF($BR949="Emissions positive",-1,1)</f>
        <v>-178600</v>
      </c>
      <c r="CV949">
        <f>IF($CP949="refOK",$BV949,$BU949)*IF($BR949="Emissions positive",-1,1)</f>
        <v>-158400</v>
      </c>
      <c r="CW949">
        <f>IF($CP949="refNeedCorrection",-BZ949,BZ949)*IF($BR949="Emissions positive",-1,1)</f>
        <v>20200</v>
      </c>
      <c r="CX949">
        <f>IFERROR($CW949/$CS949,"")</f>
        <v>0.44225106384860646</v>
      </c>
      <c r="CY949">
        <f>IFERROR($CW949/$CS949,"")</f>
        <v>0.44225106384860646</v>
      </c>
      <c r="CZ949">
        <f>IFERROR($CW949/$CT949,"")</f>
        <v>0.44225106384860646</v>
      </c>
      <c r="DA949" s="2">
        <f>IFERROR((CV949-CU949)/ABS(CU949),"")</f>
        <v>0.11310190369540873</v>
      </c>
      <c r="DB949" s="1" t="s">
        <v>347</v>
      </c>
      <c r="DC949" t="str">
        <f>IF(OR($DB949="prd",$DB949="std",$DB949="cit"),"loc",IF(OR($DB949="eur",$DB949="reg",$DB949="coy"),"reg",$DB949))</f>
        <v>loc</v>
      </c>
      <c r="DD949" t="s">
        <v>527</v>
      </c>
      <c r="DG949">
        <v>0</v>
      </c>
      <c r="DH949" t="str">
        <f>IF(DG949=0,"0",IF(AND(DG949&gt;=1,DG949&lt;=30),"1-30",IF(AND(DG949&gt;30,DG949&lt;=70),"31-70",IF(AND(DG949&gt;70,DG949&lt;=100),"71-100",IF(DG949&gt;100,"+100")))))</f>
        <v>0</v>
      </c>
      <c r="DI949">
        <v>0</v>
      </c>
      <c r="DJ949">
        <v>1</v>
      </c>
      <c r="DK949">
        <v>0</v>
      </c>
      <c r="DL949">
        <v>0</v>
      </c>
      <c r="DN949">
        <f>SUM(DI949:DL949)</f>
        <v>1</v>
      </c>
      <c r="DO949" t="str">
        <f>IF(DN949=1,INDEX($DI$7:$DL$7,MATCH(1,$DI949:$DL949,0)),"mixedProduct")</f>
        <v>EnergyInput</v>
      </c>
      <c r="DP949">
        <f>IF(DI949=1,DP$7,0)</f>
        <v>0</v>
      </c>
      <c r="DQ949" t="str">
        <f>IF(DJ949=1,DQ$7,0)</f>
        <v>Energy</v>
      </c>
      <c r="DR949">
        <f>IF(DK949=1,DR$7,0)</f>
        <v>0</v>
      </c>
      <c r="DS949">
        <f>IF(DL949=1,DS$7,0)</f>
        <v>0</v>
      </c>
      <c r="DT949">
        <v>0</v>
      </c>
      <c r="DU949" s="143">
        <v>0</v>
      </c>
      <c r="DV949" s="143">
        <v>0</v>
      </c>
      <c r="DW949" s="143">
        <v>0</v>
      </c>
      <c r="DX949">
        <v>0</v>
      </c>
      <c r="DY949">
        <f>SUM(DT949:DU949)</f>
        <v>0</v>
      </c>
      <c r="DZ949" s="143" t="str">
        <f>IF(DT949=1,"self-calculated DF",IF(DU949=1,"external DF used","explicit C balance"))</f>
        <v>explicit C balance</v>
      </c>
      <c r="EA949">
        <v>0</v>
      </c>
      <c r="EB949" s="143">
        <v>1</v>
      </c>
      <c r="EC949" s="143">
        <v>0</v>
      </c>
      <c r="ED949" s="143">
        <v>0</v>
      </c>
      <c r="EE949">
        <v>1</v>
      </c>
      <c r="EF949" s="143">
        <v>0</v>
      </c>
      <c r="EG949">
        <v>0</v>
      </c>
      <c r="EH949" s="143">
        <v>1</v>
      </c>
      <c r="EI949" s="143">
        <v>0</v>
      </c>
      <c r="EJ949">
        <v>0</v>
      </c>
      <c r="EK949">
        <v>0</v>
      </c>
      <c r="EL949" s="143">
        <v>0</v>
      </c>
      <c r="EM949" s="143">
        <v>0</v>
      </c>
      <c r="EN949" s="2">
        <v>0</v>
      </c>
      <c r="EP949" t="str">
        <f>IF(AND(AND(AND(OR($EC949=1,$EB949=1),OR($EH949=1,$EF949=1)),SUM($EA949:$EE949,$EK949)&gt;=3),SUM($EF949:$EJ949)&gt;=2),"Whole sector approach","")</f>
        <v/>
      </c>
      <c r="EQ949" t="str">
        <f>IF(AND(AND(OR($EC949=1,$EB949=1),AND($EH949=0,$EF949=0)),SUM($EA949:$EE949,$EK949)&gt;=4),"Ecosystem approach","")</f>
        <v/>
      </c>
      <c r="ER949" s="2" t="str">
        <f>IF(AND(AND(AND($EC949=0,$EB949=0),OR($EH949=1,$EF949=1)),SUM($EG949:$EJ949)&gt;=2),"Technology approach","")</f>
        <v/>
      </c>
      <c r="ES949" t="str">
        <f>IF(AND($EC949+$EB949+$EE949+$EA949+$ED949+$EG949=0,$N949="included"),"C neutral forest and HWP assumption","")</f>
        <v/>
      </c>
      <c r="ET949" t="str">
        <f>IF(AND(AND(AND(AND($EC949=1,$EB949+$EA949+$EG949&gt;=1),$EF949=1),$EH949+$EI949+$ED949+$EE949&gt;=2),$N949="included"),"All C pools assumption","")</f>
        <v/>
      </c>
      <c r="EU949" t="str">
        <f>IF(AND($ED949+$EE949+$EI949+$EH949+$EF949=0,$N949="included"),"In-situ only assumption","")</f>
        <v/>
      </c>
      <c r="EY949" t="str">
        <f>IF(ISNUMBER(BW949),IF(ABS(BW949-[6]QC_indicators!$B$2)&gt;3*[6]QC_indicators!$C$2,"C ratio",IF(ISNUMBER(CA949),IF(ABS(CA949-[6]QC_indicators!$B$1)&gt;3*[6]QC_indicators!$C$1,"DF","no"))),IF(ISNUMBER(CA949),IF(ABS(CA949-[6]QC_indicators!$B$1)&gt;3*[6]QC_indicators!$C$1,"DF","no")))</f>
        <v>no</v>
      </c>
      <c r="FA949" t="str">
        <f>IF(LEN($CY949)=0,"",IF(AND($CY949&lt;(-0.05),$ES949="C neutral forest and HWP assumption"),"Cneutral paradox",IF(AND($CY949&gt;0.05,$EU949="In-situ only assumption"),"In-situ only paradox","")))</f>
        <v/>
      </c>
      <c r="FB949" s="149" t="s">
        <v>349</v>
      </c>
      <c r="FD949" s="260" t="s">
        <v>2948</v>
      </c>
    </row>
    <row r="950" spans="1:160" ht="15" hidden="1" customHeight="1">
      <c r="A950" s="1" t="s">
        <v>500</v>
      </c>
      <c r="B950" t="s">
        <v>515</v>
      </c>
      <c r="C950" t="s">
        <v>516</v>
      </c>
      <c r="D950" t="s">
        <v>517</v>
      </c>
      <c r="E950" t="s">
        <v>518</v>
      </c>
      <c r="F950" t="s">
        <v>519</v>
      </c>
      <c r="G950" t="s">
        <v>506</v>
      </c>
      <c r="H950" t="s">
        <v>254</v>
      </c>
      <c r="I950">
        <v>2015</v>
      </c>
      <c r="J950">
        <v>31</v>
      </c>
      <c r="K950" t="s">
        <v>520</v>
      </c>
      <c r="M950" t="str">
        <f>LEFT($D950,FIND(",",$D950)-1)&amp;"_"&amp;I950&amp;L950</f>
        <v>Cambero_2015</v>
      </c>
      <c r="N950" t="s">
        <v>222</v>
      </c>
      <c r="O950" s="145" t="s">
        <v>223</v>
      </c>
      <c r="Q950" t="s">
        <v>256</v>
      </c>
      <c r="R950" s="251" t="s">
        <v>225</v>
      </c>
      <c r="S950" s="1" t="s">
        <v>521</v>
      </c>
      <c r="T950" t="s">
        <v>522</v>
      </c>
      <c r="U950" t="s">
        <v>523</v>
      </c>
      <c r="V950" s="253">
        <v>0</v>
      </c>
      <c r="W950" s="253">
        <v>0</v>
      </c>
      <c r="X950">
        <v>0</v>
      </c>
      <c r="Y950">
        <v>0</v>
      </c>
      <c r="Z950">
        <v>0</v>
      </c>
      <c r="AA950">
        <v>0</v>
      </c>
      <c r="AB950">
        <v>0</v>
      </c>
      <c r="AC950">
        <v>0</v>
      </c>
      <c r="AD950">
        <v>0</v>
      </c>
      <c r="AE950">
        <v>0</v>
      </c>
      <c r="AF950">
        <v>0</v>
      </c>
      <c r="AG950">
        <v>0</v>
      </c>
      <c r="AH950">
        <v>0</v>
      </c>
      <c r="AI950">
        <v>0</v>
      </c>
      <c r="AJ950">
        <v>0</v>
      </c>
      <c r="AK950">
        <v>0</v>
      </c>
      <c r="AL950">
        <v>0</v>
      </c>
      <c r="AM950">
        <v>1</v>
      </c>
      <c r="AN950">
        <v>0</v>
      </c>
      <c r="AO950">
        <v>0</v>
      </c>
      <c r="AP950">
        <v>0</v>
      </c>
      <c r="AQ950">
        <v>0</v>
      </c>
      <c r="AR950">
        <v>0</v>
      </c>
      <c r="AS950">
        <v>0</v>
      </c>
      <c r="AT950">
        <v>0</v>
      </c>
      <c r="AU950">
        <v>0</v>
      </c>
      <c r="AV950">
        <v>0</v>
      </c>
      <c r="AW950">
        <v>0</v>
      </c>
      <c r="AX950">
        <v>0</v>
      </c>
      <c r="AY950">
        <v>0</v>
      </c>
      <c r="AZ950" s="141">
        <f>COUNTIF(X950:AY950,"&lt;&gt;0")</f>
        <v>1</v>
      </c>
      <c r="BA950" s="141">
        <f>COUNTIF(X950:AN950,"&lt;&gt;0")</f>
        <v>1</v>
      </c>
      <c r="BB950">
        <f>COUNTIF(X950:AE950,"&lt;&gt;0")</f>
        <v>0</v>
      </c>
      <c r="BC950">
        <f>COUNTIF(AF950:AK950,"&lt;&gt;0")</f>
        <v>0</v>
      </c>
      <c r="BD950">
        <f>COUNTIF(AL950:AN950,"&lt;&gt;0")</f>
        <v>1</v>
      </c>
      <c r="BE950">
        <f>COUNTIF(AU950:AY950,"&lt;&gt;0")</f>
        <v>0</v>
      </c>
      <c r="BF950">
        <f>COUNTIF(AO950:AT950,"&lt;&gt;0")</f>
        <v>0</v>
      </c>
      <c r="BG950" t="str">
        <f t="array" ref="BG950">IF(BA950=1,INDEX($X$7:$AN$7,MATCH(TRUE,INDEX($X950:$AY950&lt;&gt;0,),0)),IF(BA950=0,INDEX($AO$7:$AY$7,MATCH(1,$AO950:$AY950,0)),IF(BH950="Multiple strategies","mixed drivers",IF(BH950="Supply chain","multiple supply","multiple silviculture"))))</f>
        <v>technologies/design switch</v>
      </c>
      <c r="BH950" s="2" t="str" cm="1">
        <f t="array" ref="BH950">IF(COUNTIF(BB950:BD950,"&lt;&gt;0")=1,INDEX($X$4:$AY$4,MATCH(TRUE,INDEX($X950:$AY950&lt;&gt;0,),0)),IF(COUNTIF(BB950:BD950,"&lt;&gt;0")=0,INDEX($AO$4:$AY$4,MATCH(1,$AO950:$AY950,0)),"Multiple strategies"))</f>
        <v>Technology</v>
      </c>
      <c r="BI950" s="1" t="s">
        <v>229</v>
      </c>
      <c r="BJ950" t="s">
        <v>524</v>
      </c>
      <c r="BK950" s="256" t="s">
        <v>2961</v>
      </c>
      <c r="BL950" t="s">
        <v>525</v>
      </c>
      <c r="BM950">
        <v>0</v>
      </c>
      <c r="BN950">
        <v>19523</v>
      </c>
      <c r="BP950">
        <f>BN950-BM950</f>
        <v>19523</v>
      </c>
      <c r="BQ950">
        <f>BP950*t_to_m3</f>
        <v>39842.857142857145</v>
      </c>
      <c r="BR950" t="s">
        <v>232</v>
      </c>
      <c r="BS950" s="256" t="s">
        <v>2962</v>
      </c>
      <c r="BT950" t="s">
        <v>526</v>
      </c>
      <c r="BU950">
        <v>-178600</v>
      </c>
      <c r="BV950">
        <v>-164700</v>
      </c>
      <c r="BW950" s="144">
        <v>0.92217245240761481</v>
      </c>
      <c r="BX950">
        <v>13900</v>
      </c>
      <c r="BZ950">
        <f>BX950</f>
        <v>13900</v>
      </c>
      <c r="CA950">
        <f>IFERROR(BZ950/BQ950,"")</f>
        <v>0.34887056292577984</v>
      </c>
      <c r="CB950" s="143">
        <v>0</v>
      </c>
      <c r="CC950" s="143">
        <v>0</v>
      </c>
      <c r="CD950" s="143">
        <v>0</v>
      </c>
      <c r="CE950" s="143">
        <v>0</v>
      </c>
      <c r="CF950" s="143">
        <v>0</v>
      </c>
      <c r="CG950" s="143">
        <v>0</v>
      </c>
      <c r="CH950" s="143">
        <v>0</v>
      </c>
      <c r="CI950" s="143">
        <v>0</v>
      </c>
      <c r="CJ950" s="143">
        <v>0</v>
      </c>
      <c r="CK950" s="143">
        <v>0</v>
      </c>
      <c r="CL950" s="143">
        <v>0</v>
      </c>
      <c r="CM950" s="143">
        <v>0</v>
      </c>
      <c r="CN950" s="143">
        <v>0</v>
      </c>
      <c r="CO950">
        <v>1</v>
      </c>
      <c r="CP950" t="str">
        <f>IF($BN950&lt;$BM950,"refNeedCorrection","refOK")</f>
        <v>refOK</v>
      </c>
      <c r="CQ950">
        <f>IF($CP950="refNeedCorrection",BN950,BM950)</f>
        <v>0</v>
      </c>
      <c r="CR950">
        <f>IF($CP950="refNeedCorrection",BM950,BN950)</f>
        <v>19523</v>
      </c>
      <c r="CS950">
        <f>IF($CP950="refOK",$BQ950,-$BQ950)</f>
        <v>39842.857142857145</v>
      </c>
      <c r="CT950">
        <f>IF(BI950="Roundwood",$CS950/2,$CS950)</f>
        <v>39842.857142857145</v>
      </c>
      <c r="CU950">
        <f>IF($CP950="refOK",$BU950,$BV950)*IF($BR950="Emissions positive",-1,1)</f>
        <v>-178600</v>
      </c>
      <c r="CV950">
        <f>IF($CP950="refOK",$BV950,$BU950)*IF($BR950="Emissions positive",-1,1)</f>
        <v>-164700</v>
      </c>
      <c r="CW950">
        <f>IF($CP950="refNeedCorrection",-BZ950,BZ950)*IF($BR950="Emissions positive",-1,1)</f>
        <v>13900</v>
      </c>
      <c r="CX950">
        <f>IFERROR($CW950/$CS950,"")</f>
        <v>0.34887056292577984</v>
      </c>
      <c r="CY950">
        <f>IFERROR($CW950/$CS950,"")</f>
        <v>0.34887056292577984</v>
      </c>
      <c r="CZ950">
        <f>IFERROR($CW950/$CT950,"")</f>
        <v>0.34887056292577984</v>
      </c>
      <c r="DA950" s="2">
        <f>IFERROR((CV950-CU950)/ABS(CU950),"")</f>
        <v>7.7827547592385221E-2</v>
      </c>
      <c r="DB950" s="1" t="s">
        <v>347</v>
      </c>
      <c r="DC950" t="str">
        <f>IF(OR($DB950="prd",$DB950="std",$DB950="cit"),"loc",IF(OR($DB950="eur",$DB950="reg",$DB950="coy"),"reg",$DB950))</f>
        <v>loc</v>
      </c>
      <c r="DD950" t="s">
        <v>527</v>
      </c>
      <c r="DG950">
        <v>0</v>
      </c>
      <c r="DH950" t="str">
        <f>IF(DG950=0,"0",IF(AND(DG950&gt;=1,DG950&lt;=30),"1-30",IF(AND(DG950&gt;30,DG950&lt;=70),"31-70",IF(AND(DG950&gt;70,DG950&lt;=100),"71-100",IF(DG950&gt;100,"+100")))))</f>
        <v>0</v>
      </c>
      <c r="DI950">
        <v>0</v>
      </c>
      <c r="DJ950">
        <v>1</v>
      </c>
      <c r="DK950">
        <v>0</v>
      </c>
      <c r="DL950">
        <v>0</v>
      </c>
      <c r="DN950">
        <f>SUM(DI950:DL950)</f>
        <v>1</v>
      </c>
      <c r="DO950" t="str">
        <f>IF(DN950=1,INDEX($DI$7:$DL$7,MATCH(1,$DI950:$DL950,0)),"mixedProduct")</f>
        <v>EnergyInput</v>
      </c>
      <c r="DP950">
        <f>IF(DI950=1,DP$7,0)</f>
        <v>0</v>
      </c>
      <c r="DQ950" t="str">
        <f>IF(DJ950=1,DQ$7,0)</f>
        <v>Energy</v>
      </c>
      <c r="DR950">
        <f>IF(DK950=1,DR$7,0)</f>
        <v>0</v>
      </c>
      <c r="DS950">
        <f>IF(DL950=1,DS$7,0)</f>
        <v>0</v>
      </c>
      <c r="DT950">
        <v>0</v>
      </c>
      <c r="DU950" s="143">
        <v>0</v>
      </c>
      <c r="DV950" s="143">
        <v>0</v>
      </c>
      <c r="DW950" s="143">
        <v>0</v>
      </c>
      <c r="DX950">
        <v>0</v>
      </c>
      <c r="DY950">
        <f>SUM(DT950:DU950)</f>
        <v>0</v>
      </c>
      <c r="DZ950" s="143" t="str">
        <f>IF(DT950=1,"self-calculated DF",IF(DU950=1,"external DF used","explicit C balance"))</f>
        <v>explicit C balance</v>
      </c>
      <c r="EA950">
        <v>0</v>
      </c>
      <c r="EB950" s="143">
        <v>1</v>
      </c>
      <c r="EC950" s="143">
        <v>0</v>
      </c>
      <c r="ED950" s="143">
        <v>0</v>
      </c>
      <c r="EE950">
        <v>1</v>
      </c>
      <c r="EF950" s="143">
        <v>0</v>
      </c>
      <c r="EG950">
        <v>0</v>
      </c>
      <c r="EH950" s="143">
        <v>1</v>
      </c>
      <c r="EI950" s="143">
        <v>0</v>
      </c>
      <c r="EJ950">
        <v>0</v>
      </c>
      <c r="EK950">
        <v>0</v>
      </c>
      <c r="EL950" s="143">
        <v>0</v>
      </c>
      <c r="EM950" s="143">
        <v>0</v>
      </c>
      <c r="EN950" s="2">
        <v>0</v>
      </c>
      <c r="EP950" t="str">
        <f>IF(AND(AND(AND(OR($EC950=1,$EB950=1),OR($EH950=1,$EF950=1)),SUM($EA950:$EE950,$EK950)&gt;=3),SUM($EF950:$EJ950)&gt;=2),"Whole sector approach","")</f>
        <v/>
      </c>
      <c r="EQ950" t="str">
        <f>IF(AND(AND(OR($EC950=1,$EB950=1),AND($EH950=0,$EF950=0)),SUM($EA950:$EE950,$EK950)&gt;=4),"Ecosystem approach","")</f>
        <v/>
      </c>
      <c r="ER950" s="2" t="str">
        <f>IF(AND(AND(AND($EC950=0,$EB950=0),OR($EH950=1,$EF950=1)),SUM($EG950:$EJ950)&gt;=2),"Technology approach","")</f>
        <v/>
      </c>
      <c r="ES950" t="str">
        <f>IF(AND($EC950+$EB950+$EE950+$EA950+$ED950+$EG950=0,$N950="included"),"C neutral forest and HWP assumption","")</f>
        <v/>
      </c>
      <c r="ET950" t="str">
        <f>IF(AND(AND(AND(AND($EC950=1,$EB950+$EA950+$EG950&gt;=1),$EF950=1),$EH950+$EI950+$ED950+$EE950&gt;=2),$N950="included"),"All C pools assumption","")</f>
        <v/>
      </c>
      <c r="EU950" t="str">
        <f>IF(AND($ED950+$EE950+$EI950+$EH950+$EF950=0,$N950="included"),"In-situ only assumption","")</f>
        <v/>
      </c>
      <c r="EY950" t="str">
        <f>IF(ISNUMBER(BW950),IF(ABS(BW950-[6]QC_indicators!$B$2)&gt;3*[6]QC_indicators!$C$2,"C ratio",IF(ISNUMBER(CA950),IF(ABS(CA950-[6]QC_indicators!$B$1)&gt;3*[6]QC_indicators!$C$1,"DF","no"))),IF(ISNUMBER(CA950),IF(ABS(CA950-[6]QC_indicators!$B$1)&gt;3*[6]QC_indicators!$C$1,"DF","no")))</f>
        <v>no</v>
      </c>
      <c r="FA950" t="str">
        <f>IF(LEN($CY950)=0,"",IF(AND($CY950&lt;(-0.05),$ES950="C neutral forest and HWP assumption"),"Cneutral paradox",IF(AND($CY950&gt;0.05,$EU950="In-situ only assumption"),"In-situ only paradox","")))</f>
        <v/>
      </c>
      <c r="FB950" s="149" t="s">
        <v>349</v>
      </c>
      <c r="FD950" s="260" t="s">
        <v>2948</v>
      </c>
    </row>
    <row r="951" spans="1:160" ht="15" hidden="1" customHeight="1">
      <c r="A951" s="1" t="s">
        <v>500</v>
      </c>
      <c r="B951" t="s">
        <v>515</v>
      </c>
      <c r="C951" t="s">
        <v>516</v>
      </c>
      <c r="D951" t="s">
        <v>517</v>
      </c>
      <c r="E951" t="s">
        <v>518</v>
      </c>
      <c r="F951" t="s">
        <v>519</v>
      </c>
      <c r="G951" t="s">
        <v>506</v>
      </c>
      <c r="H951" t="s">
        <v>254</v>
      </c>
      <c r="I951">
        <v>2015</v>
      </c>
      <c r="J951">
        <v>31</v>
      </c>
      <c r="K951" t="s">
        <v>520</v>
      </c>
      <c r="M951" t="str">
        <f>LEFT($D951,FIND(",",$D951)-1)&amp;"_"&amp;I951&amp;L951</f>
        <v>Cambero_2015</v>
      </c>
      <c r="N951" t="s">
        <v>222</v>
      </c>
      <c r="O951" s="145" t="s">
        <v>223</v>
      </c>
      <c r="Q951" t="s">
        <v>256</v>
      </c>
      <c r="R951" s="251" t="s">
        <v>225</v>
      </c>
      <c r="S951" s="1" t="s">
        <v>521</v>
      </c>
      <c r="T951" t="s">
        <v>522</v>
      </c>
      <c r="U951" t="s">
        <v>529</v>
      </c>
      <c r="V951" s="253">
        <v>0</v>
      </c>
      <c r="W951" s="253">
        <v>0</v>
      </c>
      <c r="X951">
        <v>0</v>
      </c>
      <c r="Y951">
        <v>0</v>
      </c>
      <c r="Z951">
        <v>0</v>
      </c>
      <c r="AA951">
        <v>0</v>
      </c>
      <c r="AB951">
        <v>0</v>
      </c>
      <c r="AC951">
        <v>0</v>
      </c>
      <c r="AD951">
        <v>0</v>
      </c>
      <c r="AE951">
        <v>0</v>
      </c>
      <c r="AF951">
        <v>0</v>
      </c>
      <c r="AG951">
        <v>0</v>
      </c>
      <c r="AH951">
        <v>0</v>
      </c>
      <c r="AI951">
        <v>0</v>
      </c>
      <c r="AJ951">
        <v>0</v>
      </c>
      <c r="AK951">
        <v>0</v>
      </c>
      <c r="AL951">
        <v>0</v>
      </c>
      <c r="AM951">
        <v>1</v>
      </c>
      <c r="AN951">
        <v>0</v>
      </c>
      <c r="AO951">
        <v>0</v>
      </c>
      <c r="AP951">
        <v>0</v>
      </c>
      <c r="AQ951">
        <v>0</v>
      </c>
      <c r="AR951">
        <v>0</v>
      </c>
      <c r="AS951">
        <v>0</v>
      </c>
      <c r="AT951">
        <v>0</v>
      </c>
      <c r="AU951">
        <v>0</v>
      </c>
      <c r="AV951">
        <v>0</v>
      </c>
      <c r="AW951">
        <v>0</v>
      </c>
      <c r="AX951">
        <v>0</v>
      </c>
      <c r="AY951">
        <v>0</v>
      </c>
      <c r="AZ951" s="141">
        <f>COUNTIF(X951:AY951,"&lt;&gt;0")</f>
        <v>1</v>
      </c>
      <c r="BA951" s="141">
        <f>COUNTIF(X951:AN951,"&lt;&gt;0")</f>
        <v>1</v>
      </c>
      <c r="BB951">
        <f>COUNTIF(X951:AE951,"&lt;&gt;0")</f>
        <v>0</v>
      </c>
      <c r="BC951">
        <f>COUNTIF(AF951:AK951,"&lt;&gt;0")</f>
        <v>0</v>
      </c>
      <c r="BD951">
        <f>COUNTIF(AL951:AN951,"&lt;&gt;0")</f>
        <v>1</v>
      </c>
      <c r="BE951">
        <f>COUNTIF(AU951:AY951,"&lt;&gt;0")</f>
        <v>0</v>
      </c>
      <c r="BF951">
        <f>COUNTIF(AO951:AT951,"&lt;&gt;0")</f>
        <v>0</v>
      </c>
      <c r="BG951" t="str">
        <f t="array" ref="BG951">IF(BA951=1,INDEX($X$7:$AN$7,MATCH(TRUE,INDEX($X951:$AY951&lt;&gt;0,),0)),IF(BA951=0,INDEX($AO$7:$AY$7,MATCH(1,$AO951:$AY951,0)),IF(BH951="Multiple strategies","mixed drivers",IF(BH951="Supply chain","multiple supply","multiple silviculture"))))</f>
        <v>technologies/design switch</v>
      </c>
      <c r="BH951" s="2" t="str" cm="1">
        <f t="array" ref="BH951">IF(COUNTIF(BB951:BD951,"&lt;&gt;0")=1,INDEX($X$4:$AY$4,MATCH(TRUE,INDEX($X951:$AY951&lt;&gt;0,),0)),IF(COUNTIF(BB951:BD951,"&lt;&gt;0")=0,INDEX($AO$4:$AY$4,MATCH(1,$AO951:$AY951,0)),"Multiple strategies"))</f>
        <v>Technology</v>
      </c>
      <c r="BI951" s="1" t="s">
        <v>229</v>
      </c>
      <c r="BJ951" t="s">
        <v>524</v>
      </c>
      <c r="BK951" s="256" t="s">
        <v>2961</v>
      </c>
      <c r="BL951" t="s">
        <v>525</v>
      </c>
      <c r="BM951">
        <v>0</v>
      </c>
      <c r="BN951">
        <v>30000</v>
      </c>
      <c r="BP951">
        <f>BN951-BM951</f>
        <v>30000</v>
      </c>
      <c r="BQ951">
        <f>BP951*t_to_m3</f>
        <v>61224.489795918365</v>
      </c>
      <c r="BR951" t="s">
        <v>232</v>
      </c>
      <c r="BS951" s="256" t="s">
        <v>2962</v>
      </c>
      <c r="BT951" t="s">
        <v>526</v>
      </c>
      <c r="BU951">
        <v>-178600</v>
      </c>
      <c r="BV951">
        <v>-158400</v>
      </c>
      <c r="BW951" s="144">
        <v>0.88689809630459127</v>
      </c>
      <c r="BX951">
        <v>20200</v>
      </c>
      <c r="BZ951">
        <f>BX951</f>
        <v>20200</v>
      </c>
      <c r="CA951">
        <f>IFERROR(BZ951/BQ951,"")</f>
        <v>0.32993333333333336</v>
      </c>
      <c r="CB951" s="143">
        <v>0</v>
      </c>
      <c r="CC951" s="143">
        <v>0</v>
      </c>
      <c r="CD951" s="143">
        <v>0</v>
      </c>
      <c r="CE951" s="143">
        <v>0</v>
      </c>
      <c r="CF951" s="143">
        <v>0</v>
      </c>
      <c r="CG951" s="143">
        <v>0</v>
      </c>
      <c r="CH951" s="143">
        <v>0</v>
      </c>
      <c r="CI951" s="143">
        <v>0</v>
      </c>
      <c r="CJ951" s="143">
        <v>0</v>
      </c>
      <c r="CK951" s="143">
        <v>0</v>
      </c>
      <c r="CL951" s="143">
        <v>0</v>
      </c>
      <c r="CM951" s="143">
        <v>0</v>
      </c>
      <c r="CN951" s="143">
        <v>0</v>
      </c>
      <c r="CO951">
        <v>1</v>
      </c>
      <c r="CP951" t="str">
        <f>IF($BN951&lt;$BM951,"refNeedCorrection","refOK")</f>
        <v>refOK</v>
      </c>
      <c r="CQ951">
        <f>IF($CP951="refNeedCorrection",BN951,BM951)</f>
        <v>0</v>
      </c>
      <c r="CR951">
        <f>IF($CP951="refNeedCorrection",BM951,BN951)</f>
        <v>30000</v>
      </c>
      <c r="CS951">
        <f>IF($CP951="refOK",$BQ951,-$BQ951)</f>
        <v>61224.489795918365</v>
      </c>
      <c r="CT951">
        <f>IF(BI951="Roundwood",$CS951/2,$CS951)</f>
        <v>61224.489795918365</v>
      </c>
      <c r="CU951">
        <f>IF($CP951="refOK",$BU951,$BV951)*IF($BR951="Emissions positive",-1,1)</f>
        <v>-178600</v>
      </c>
      <c r="CV951">
        <f>IF($CP951="refOK",$BV951,$BU951)*IF($BR951="Emissions positive",-1,1)</f>
        <v>-158400</v>
      </c>
      <c r="CW951">
        <f>IF($CP951="refNeedCorrection",-BZ951,BZ951)*IF($BR951="Emissions positive",-1,1)</f>
        <v>20200</v>
      </c>
      <c r="CX951">
        <f>IFERROR($CW951/$CS951,"")</f>
        <v>0.32993333333333336</v>
      </c>
      <c r="CY951">
        <f>IFERROR($CW951/$CS951,"")</f>
        <v>0.32993333333333336</v>
      </c>
      <c r="CZ951">
        <f>IFERROR($CW951/$CT951,"")</f>
        <v>0.32993333333333336</v>
      </c>
      <c r="DA951" s="2">
        <f>IFERROR((CV951-CU951)/ABS(CU951),"")</f>
        <v>0.11310190369540873</v>
      </c>
      <c r="DB951" s="1" t="s">
        <v>347</v>
      </c>
      <c r="DC951" t="str">
        <f>IF(OR($DB951="prd",$DB951="std",$DB951="cit"),"loc",IF(OR($DB951="eur",$DB951="reg",$DB951="coy"),"reg",$DB951))</f>
        <v>loc</v>
      </c>
      <c r="DD951" t="s">
        <v>527</v>
      </c>
      <c r="DG951">
        <v>0</v>
      </c>
      <c r="DH951" t="str">
        <f>IF(DG951=0,"0",IF(AND(DG951&gt;=1,DG951&lt;=30),"1-30",IF(AND(DG951&gt;30,DG951&lt;=70),"31-70",IF(AND(DG951&gt;70,DG951&lt;=100),"71-100",IF(DG951&gt;100,"+100")))))</f>
        <v>0</v>
      </c>
      <c r="DI951">
        <v>0</v>
      </c>
      <c r="DJ951">
        <v>1</v>
      </c>
      <c r="DK951">
        <v>0</v>
      </c>
      <c r="DL951">
        <v>0</v>
      </c>
      <c r="DN951">
        <f>SUM(DI951:DL951)</f>
        <v>1</v>
      </c>
      <c r="DO951" t="str">
        <f>IF(DN951=1,INDEX($DI$7:$DL$7,MATCH(1,$DI951:$DL951,0)),"mixedProduct")</f>
        <v>EnergyInput</v>
      </c>
      <c r="DP951">
        <f>IF(DI951=1,DP$7,0)</f>
        <v>0</v>
      </c>
      <c r="DQ951" t="str">
        <f>IF(DJ951=1,DQ$7,0)</f>
        <v>Energy</v>
      </c>
      <c r="DR951">
        <f>IF(DK951=1,DR$7,0)</f>
        <v>0</v>
      </c>
      <c r="DS951">
        <f>IF(DL951=1,DS$7,0)</f>
        <v>0</v>
      </c>
      <c r="DT951">
        <v>0</v>
      </c>
      <c r="DU951" s="143">
        <v>0</v>
      </c>
      <c r="DV951" s="143">
        <v>0</v>
      </c>
      <c r="DW951" s="143">
        <v>0</v>
      </c>
      <c r="DX951">
        <v>0</v>
      </c>
      <c r="DY951">
        <f>SUM(DT951:DU951)</f>
        <v>0</v>
      </c>
      <c r="DZ951" s="143" t="str">
        <f>IF(DT951=1,"self-calculated DF",IF(DU951=1,"external DF used","explicit C balance"))</f>
        <v>explicit C balance</v>
      </c>
      <c r="EA951">
        <v>0</v>
      </c>
      <c r="EB951" s="143">
        <v>1</v>
      </c>
      <c r="EC951" s="143">
        <v>0</v>
      </c>
      <c r="ED951" s="143">
        <v>0</v>
      </c>
      <c r="EE951">
        <v>1</v>
      </c>
      <c r="EF951" s="143">
        <v>0</v>
      </c>
      <c r="EG951">
        <v>0</v>
      </c>
      <c r="EH951" s="143">
        <v>1</v>
      </c>
      <c r="EI951" s="143">
        <v>0</v>
      </c>
      <c r="EJ951">
        <v>0</v>
      </c>
      <c r="EK951">
        <v>0</v>
      </c>
      <c r="EL951" s="143">
        <v>0</v>
      </c>
      <c r="EM951" s="143">
        <v>0</v>
      </c>
      <c r="EN951" s="2">
        <v>0</v>
      </c>
      <c r="EP951" t="str">
        <f>IF(AND(AND(AND(OR($EC951=1,$EB951=1),OR($EH951=1,$EF951=1)),SUM($EA951:$EE951,$EK951)&gt;=3),SUM($EF951:$EJ951)&gt;=2),"Whole sector approach","")</f>
        <v/>
      </c>
      <c r="EQ951" t="str">
        <f>IF(AND(AND(OR($EC951=1,$EB951=1),AND($EH951=0,$EF951=0)),SUM($EA951:$EE951,$EK951)&gt;=4),"Ecosystem approach","")</f>
        <v/>
      </c>
      <c r="ER951" s="2" t="str">
        <f>IF(AND(AND(AND($EC951=0,$EB951=0),OR($EH951=1,$EF951=1)),SUM($EG951:$EJ951)&gt;=2),"Technology approach","")</f>
        <v/>
      </c>
      <c r="ES951" t="str">
        <f>IF(AND($EC951+$EB951+$EE951+$EA951+$ED951+$EG951=0,$N951="included"),"C neutral forest and HWP assumption","")</f>
        <v/>
      </c>
      <c r="ET951" t="str">
        <f>IF(AND(AND(AND(AND($EC951=1,$EB951+$EA951+$EG951&gt;=1),$EF951=1),$EH951+$EI951+$ED951+$EE951&gt;=2),$N951="included"),"All C pools assumption","")</f>
        <v/>
      </c>
      <c r="EU951" t="str">
        <f>IF(AND($ED951+$EE951+$EI951+$EH951+$EF951=0,$N951="included"),"In-situ only assumption","")</f>
        <v/>
      </c>
      <c r="EY951" t="str">
        <f>IF(ISNUMBER(BW951),IF(ABS(BW951-[6]QC_indicators!$B$2)&gt;3*[6]QC_indicators!$C$2,"C ratio",IF(ISNUMBER(CA951),IF(ABS(CA951-[6]QC_indicators!$B$1)&gt;3*[6]QC_indicators!$C$1,"DF","no"))),IF(ISNUMBER(CA951),IF(ABS(CA951-[6]QC_indicators!$B$1)&gt;3*[6]QC_indicators!$C$1,"DF","no")))</f>
        <v>no</v>
      </c>
      <c r="FA951" t="str">
        <f>IF(LEN($CY951)=0,"",IF(AND($CY951&lt;(-0.05),$ES951="C neutral forest and HWP assumption"),"Cneutral paradox",IF(AND($CY951&gt;0.05,$EU951="In-situ only assumption"),"In-situ only paradox","")))</f>
        <v/>
      </c>
      <c r="FB951" s="149" t="s">
        <v>349</v>
      </c>
      <c r="FD951" s="260" t="s">
        <v>2948</v>
      </c>
    </row>
    <row r="952" spans="1:160" ht="15" hidden="1" customHeight="1">
      <c r="A952" s="1" t="s">
        <v>500</v>
      </c>
      <c r="B952" t="s">
        <v>515</v>
      </c>
      <c r="C952" t="s">
        <v>516</v>
      </c>
      <c r="D952" t="s">
        <v>517</v>
      </c>
      <c r="E952" t="s">
        <v>518</v>
      </c>
      <c r="F952" t="s">
        <v>519</v>
      </c>
      <c r="G952" t="s">
        <v>506</v>
      </c>
      <c r="H952" t="s">
        <v>254</v>
      </c>
      <c r="I952">
        <v>2015</v>
      </c>
      <c r="J952">
        <v>31</v>
      </c>
      <c r="K952" t="s">
        <v>520</v>
      </c>
      <c r="M952" t="str">
        <f>LEFT($D952,FIND(",",$D952)-1)&amp;"_"&amp;I952&amp;L952</f>
        <v>Cambero_2015</v>
      </c>
      <c r="N952" t="s">
        <v>222</v>
      </c>
      <c r="O952" s="145" t="s">
        <v>223</v>
      </c>
      <c r="Q952" t="s">
        <v>256</v>
      </c>
      <c r="R952" s="251" t="s">
        <v>225</v>
      </c>
      <c r="S952" s="1" t="s">
        <v>521</v>
      </c>
      <c r="T952" t="s">
        <v>522</v>
      </c>
      <c r="U952" t="s">
        <v>530</v>
      </c>
      <c r="V952" s="253">
        <v>0</v>
      </c>
      <c r="W952" s="253">
        <v>0</v>
      </c>
      <c r="X952">
        <v>0</v>
      </c>
      <c r="Y952">
        <v>0</v>
      </c>
      <c r="Z952">
        <v>0</v>
      </c>
      <c r="AA952">
        <v>0</v>
      </c>
      <c r="AB952">
        <v>0</v>
      </c>
      <c r="AC952">
        <v>0</v>
      </c>
      <c r="AD952">
        <v>0</v>
      </c>
      <c r="AE952">
        <v>0</v>
      </c>
      <c r="AF952">
        <v>0</v>
      </c>
      <c r="AG952">
        <v>0</v>
      </c>
      <c r="AH952">
        <v>0</v>
      </c>
      <c r="AI952">
        <v>0</v>
      </c>
      <c r="AJ952">
        <v>0</v>
      </c>
      <c r="AK952">
        <v>0</v>
      </c>
      <c r="AL952">
        <v>0</v>
      </c>
      <c r="AM952">
        <v>1</v>
      </c>
      <c r="AN952">
        <v>0</v>
      </c>
      <c r="AO952">
        <v>0</v>
      </c>
      <c r="AP952">
        <v>0</v>
      </c>
      <c r="AQ952">
        <v>0</v>
      </c>
      <c r="AR952">
        <v>0</v>
      </c>
      <c r="AS952">
        <v>0</v>
      </c>
      <c r="AT952">
        <v>0</v>
      </c>
      <c r="AU952">
        <v>0</v>
      </c>
      <c r="AV952">
        <v>0</v>
      </c>
      <c r="AW952">
        <v>0</v>
      </c>
      <c r="AX952">
        <v>0</v>
      </c>
      <c r="AY952">
        <v>0</v>
      </c>
      <c r="AZ952" s="141">
        <f>COUNTIF(X952:AY952,"&lt;&gt;0")</f>
        <v>1</v>
      </c>
      <c r="BA952" s="141">
        <f>COUNTIF(X952:AN952,"&lt;&gt;0")</f>
        <v>1</v>
      </c>
      <c r="BB952">
        <f>COUNTIF(X952:AE952,"&lt;&gt;0")</f>
        <v>0</v>
      </c>
      <c r="BC952">
        <f>COUNTIF(AF952:AK952,"&lt;&gt;0")</f>
        <v>0</v>
      </c>
      <c r="BD952">
        <f>COUNTIF(AL952:AN952,"&lt;&gt;0")</f>
        <v>1</v>
      </c>
      <c r="BE952">
        <f>COUNTIF(AU952:AY952,"&lt;&gt;0")</f>
        <v>0</v>
      </c>
      <c r="BF952">
        <f>COUNTIF(AO952:AT952,"&lt;&gt;0")</f>
        <v>0</v>
      </c>
      <c r="BG952" t="str">
        <f t="array" ref="BG952">IF(BA952=1,INDEX($X$7:$AN$7,MATCH(TRUE,INDEX($X952:$AY952&lt;&gt;0,),0)),IF(BA952=0,INDEX($AO$7:$AY$7,MATCH(1,$AO952:$AY952,0)),IF(BH952="Multiple strategies","mixed drivers",IF(BH952="Supply chain","multiple supply","multiple silviculture"))))</f>
        <v>technologies/design switch</v>
      </c>
      <c r="BH952" s="2" t="str" cm="1">
        <f t="array" ref="BH952">IF(COUNTIF(BB952:BD952,"&lt;&gt;0")=1,INDEX($X$4:$AY$4,MATCH(TRUE,INDEX($X952:$AY952&lt;&gt;0,),0)),IF(COUNTIF(BB952:BD952,"&lt;&gt;0")=0,INDEX($AO$4:$AY$4,MATCH(1,$AO952:$AY952,0)),"Multiple strategies"))</f>
        <v>Technology</v>
      </c>
      <c r="BI952" s="1" t="s">
        <v>229</v>
      </c>
      <c r="BJ952" t="s">
        <v>524</v>
      </c>
      <c r="BK952" s="256" t="s">
        <v>2959</v>
      </c>
      <c r="BL952" t="s">
        <v>525</v>
      </c>
      <c r="BM952">
        <v>0</v>
      </c>
      <c r="BN952">
        <v>6530.6122450000003</v>
      </c>
      <c r="BP952">
        <f>BN952-BM952</f>
        <v>6530.6122450000003</v>
      </c>
      <c r="BQ952">
        <f>BP952*t_to_m3</f>
        <v>13327.780091836736</v>
      </c>
      <c r="BR952" t="s">
        <v>232</v>
      </c>
      <c r="BS952" s="256" t="s">
        <v>2960</v>
      </c>
      <c r="BT952" t="s">
        <v>526</v>
      </c>
      <c r="BU952">
        <v>-143400</v>
      </c>
      <c r="BV952">
        <v>-147500</v>
      </c>
      <c r="BW952" s="144">
        <v>1.0285913528591353</v>
      </c>
      <c r="BX952">
        <v>-4100</v>
      </c>
      <c r="BZ952">
        <f>BX952</f>
        <v>-4100</v>
      </c>
      <c r="CA952">
        <f>IFERROR(BZ952/BQ952,"")</f>
        <v>-0.30762812499519326</v>
      </c>
      <c r="CB952" s="143">
        <v>0</v>
      </c>
      <c r="CC952" s="143">
        <v>0</v>
      </c>
      <c r="CD952" s="143">
        <v>0</v>
      </c>
      <c r="CE952" s="143">
        <v>0</v>
      </c>
      <c r="CF952" s="143">
        <v>0</v>
      </c>
      <c r="CG952" s="143">
        <v>0</v>
      </c>
      <c r="CH952" s="143">
        <v>0</v>
      </c>
      <c r="CI952" s="143">
        <v>0</v>
      </c>
      <c r="CJ952" s="143">
        <v>0</v>
      </c>
      <c r="CK952" s="143">
        <v>0</v>
      </c>
      <c r="CL952" s="143">
        <v>0</v>
      </c>
      <c r="CM952" s="143">
        <v>0</v>
      </c>
      <c r="CN952" s="143">
        <v>0</v>
      </c>
      <c r="CO952">
        <v>1</v>
      </c>
      <c r="CP952" t="str">
        <f>IF($BN952&lt;$BM952,"refNeedCorrection","refOK")</f>
        <v>refOK</v>
      </c>
      <c r="CQ952">
        <f>IF($CP952="refNeedCorrection",BN952,BM952)</f>
        <v>0</v>
      </c>
      <c r="CR952">
        <f>IF($CP952="refNeedCorrection",BM952,BN952)</f>
        <v>6530.6122450000003</v>
      </c>
      <c r="CS952">
        <f>IF($CP952="refOK",$BQ952,-$BQ952)</f>
        <v>13327.780091836736</v>
      </c>
      <c r="CT952">
        <f>IF(BI952="Roundwood",$CS952/2,$CS952)</f>
        <v>13327.780091836736</v>
      </c>
      <c r="CU952">
        <f>IF($CP952="refOK",$BU952,$BV952)*IF($BR952="Emissions positive",-1,1)</f>
        <v>-143400</v>
      </c>
      <c r="CV952">
        <f>IF($CP952="refOK",$BV952,$BU952)*IF($BR952="Emissions positive",-1,1)</f>
        <v>-147500</v>
      </c>
      <c r="CW952">
        <f>IF($CP952="refNeedCorrection",-BZ952,BZ952)*IF($BR952="Emissions positive",-1,1)</f>
        <v>-4100</v>
      </c>
      <c r="CX952">
        <f>IFERROR($CW952/$CS952,"")</f>
        <v>-0.30762812499519326</v>
      </c>
      <c r="CY952">
        <f>IFERROR($CW952/$CS952,"")</f>
        <v>-0.30762812499519326</v>
      </c>
      <c r="CZ952">
        <f>IFERROR($CW952/$CT952,"")</f>
        <v>-0.30762812499519326</v>
      </c>
      <c r="DA952" s="2">
        <f>IFERROR((CV952-CU952)/ABS(CU952),"")</f>
        <v>-2.8591352859135284E-2</v>
      </c>
      <c r="DB952" s="1" t="s">
        <v>347</v>
      </c>
      <c r="DC952" t="str">
        <f>IF(OR($DB952="prd",$DB952="std",$DB952="cit"),"loc",IF(OR($DB952="eur",$DB952="reg",$DB952="coy"),"reg",$DB952))</f>
        <v>loc</v>
      </c>
      <c r="DD952" t="s">
        <v>527</v>
      </c>
      <c r="DG952">
        <v>0</v>
      </c>
      <c r="DH952" t="str">
        <f>IF(DG952=0,"0",IF(AND(DG952&gt;=1,DG952&lt;=30),"1-30",IF(AND(DG952&gt;30,DG952&lt;=70),"31-70",IF(AND(DG952&gt;70,DG952&lt;=100),"71-100",IF(DG952&gt;100,"+100")))))</f>
        <v>0</v>
      </c>
      <c r="DI952">
        <v>0</v>
      </c>
      <c r="DJ952">
        <v>1</v>
      </c>
      <c r="DK952">
        <v>0</v>
      </c>
      <c r="DL952">
        <v>0</v>
      </c>
      <c r="DN952">
        <f>SUM(DI952:DL952)</f>
        <v>1</v>
      </c>
      <c r="DO952" t="str">
        <f>IF(DN952=1,INDEX($DI$7:$DL$7,MATCH(1,$DI952:$DL952,0)),"mixedProduct")</f>
        <v>EnergyInput</v>
      </c>
      <c r="DP952">
        <f>IF(DI952=1,DP$7,0)</f>
        <v>0</v>
      </c>
      <c r="DQ952" t="str">
        <f>IF(DJ952=1,DQ$7,0)</f>
        <v>Energy</v>
      </c>
      <c r="DR952">
        <f>IF(DK952=1,DR$7,0)</f>
        <v>0</v>
      </c>
      <c r="DS952">
        <f>IF(DL952=1,DS$7,0)</f>
        <v>0</v>
      </c>
      <c r="DT952">
        <v>0</v>
      </c>
      <c r="DU952" s="143">
        <v>0</v>
      </c>
      <c r="DV952" s="143">
        <v>0</v>
      </c>
      <c r="DW952" s="143">
        <v>0</v>
      </c>
      <c r="DX952">
        <v>0</v>
      </c>
      <c r="DY952">
        <f>SUM(DT952:DU952)</f>
        <v>0</v>
      </c>
      <c r="DZ952" s="143" t="str">
        <f>IF(DT952=1,"self-calculated DF",IF(DU952=1,"external DF used","explicit C balance"))</f>
        <v>explicit C balance</v>
      </c>
      <c r="EA952">
        <v>0</v>
      </c>
      <c r="EB952" s="143">
        <v>1</v>
      </c>
      <c r="EC952" s="143">
        <v>0</v>
      </c>
      <c r="ED952" s="143">
        <v>0</v>
      </c>
      <c r="EE952">
        <v>1</v>
      </c>
      <c r="EF952" s="143">
        <v>0</v>
      </c>
      <c r="EG952">
        <v>0</v>
      </c>
      <c r="EH952" s="143">
        <v>1</v>
      </c>
      <c r="EI952" s="143">
        <v>0</v>
      </c>
      <c r="EJ952">
        <v>0</v>
      </c>
      <c r="EK952">
        <v>0</v>
      </c>
      <c r="EL952" s="143">
        <v>0</v>
      </c>
      <c r="EM952" s="143">
        <v>0</v>
      </c>
      <c r="EN952" s="2">
        <v>0</v>
      </c>
      <c r="EP952" t="str">
        <f>IF(AND(AND(AND(OR($EC952=1,$EB952=1),OR($EH952=1,$EF952=1)),SUM($EA952:$EE952,$EK952)&gt;=3),SUM($EF952:$EJ952)&gt;=2),"Whole sector approach","")</f>
        <v/>
      </c>
      <c r="EQ952" t="str">
        <f>IF(AND(AND(OR($EC952=1,$EB952=1),AND($EH952=0,$EF952=0)),SUM($EA952:$EE952,$EK952)&gt;=4),"Ecosystem approach","")</f>
        <v/>
      </c>
      <c r="ER952" s="2" t="str">
        <f>IF(AND(AND(AND($EC952=0,$EB952=0),OR($EH952=1,$EF952=1)),SUM($EG952:$EJ952)&gt;=2),"Technology approach","")</f>
        <v/>
      </c>
      <c r="ES952" t="str">
        <f>IF(AND($EC952+$EB952+$EE952+$EA952+$ED952+$EG952=0,$N952="included"),"C neutral forest and HWP assumption","")</f>
        <v/>
      </c>
      <c r="ET952" t="str">
        <f>IF(AND(AND(AND(AND($EC952=1,$EB952+$EA952+$EG952&gt;=1),$EF952=1),$EH952+$EI952+$ED952+$EE952&gt;=2),$N952="included"),"All C pools assumption","")</f>
        <v/>
      </c>
      <c r="EU952" t="str">
        <f>IF(AND($ED952+$EE952+$EI952+$EH952+$EF952=0,$N952="included"),"In-situ only assumption","")</f>
        <v/>
      </c>
      <c r="EY952" t="str">
        <f>IF(ISNUMBER(BW952),IF(ABS(BW952-[6]QC_indicators!$B$2)&gt;3*[6]QC_indicators!$C$2,"C ratio",IF(ISNUMBER(CA952),IF(ABS(CA952-[6]QC_indicators!$B$1)&gt;3*[6]QC_indicators!$C$1,"DF","no"))),IF(ISNUMBER(CA952),IF(ABS(CA952-[6]QC_indicators!$B$1)&gt;3*[6]QC_indicators!$C$1,"DF","no")))</f>
        <v>no</v>
      </c>
      <c r="FA952" t="str">
        <f>IF(LEN($CY952)=0,"",IF(AND($CY952&lt;(-0.05),$ES952="C neutral forest and HWP assumption"),"Cneutral paradox",IF(AND($CY952&gt;0.05,$EU952="In-situ only assumption"),"In-situ only paradox","")))</f>
        <v/>
      </c>
      <c r="FB952" s="149" t="s">
        <v>349</v>
      </c>
      <c r="FD952" s="260" t="s">
        <v>2948</v>
      </c>
    </row>
    <row r="953" spans="1:160" ht="15" hidden="1" customHeight="1">
      <c r="A953" s="1" t="s">
        <v>500</v>
      </c>
      <c r="B953" t="s">
        <v>515</v>
      </c>
      <c r="C953" t="s">
        <v>516</v>
      </c>
      <c r="D953" t="s">
        <v>517</v>
      </c>
      <c r="E953" t="s">
        <v>518</v>
      </c>
      <c r="F953" t="s">
        <v>519</v>
      </c>
      <c r="G953" t="s">
        <v>506</v>
      </c>
      <c r="H953" t="s">
        <v>254</v>
      </c>
      <c r="I953">
        <v>2015</v>
      </c>
      <c r="J953">
        <v>31</v>
      </c>
      <c r="K953" t="s">
        <v>520</v>
      </c>
      <c r="M953" t="str">
        <f>LEFT($D953,FIND(",",$D953)-1)&amp;"_"&amp;I953&amp;L953</f>
        <v>Cambero_2015</v>
      </c>
      <c r="N953" t="s">
        <v>222</v>
      </c>
      <c r="O953" s="145" t="s">
        <v>223</v>
      </c>
      <c r="Q953" t="s">
        <v>256</v>
      </c>
      <c r="R953" s="251" t="s">
        <v>225</v>
      </c>
      <c r="S953" s="1" t="s">
        <v>521</v>
      </c>
      <c r="T953" t="s">
        <v>522</v>
      </c>
      <c r="U953" t="s">
        <v>529</v>
      </c>
      <c r="V953" s="253">
        <v>0</v>
      </c>
      <c r="W953" s="253">
        <v>0</v>
      </c>
      <c r="X953">
        <v>0</v>
      </c>
      <c r="Y953">
        <v>0</v>
      </c>
      <c r="Z953">
        <v>0</v>
      </c>
      <c r="AA953">
        <v>0</v>
      </c>
      <c r="AB953">
        <v>0</v>
      </c>
      <c r="AC953">
        <v>0</v>
      </c>
      <c r="AD953">
        <v>0</v>
      </c>
      <c r="AE953">
        <v>0</v>
      </c>
      <c r="AF953">
        <v>0</v>
      </c>
      <c r="AG953">
        <v>0</v>
      </c>
      <c r="AH953">
        <v>0</v>
      </c>
      <c r="AI953">
        <v>0</v>
      </c>
      <c r="AJ953">
        <v>0</v>
      </c>
      <c r="AK953">
        <v>0</v>
      </c>
      <c r="AL953">
        <v>0</v>
      </c>
      <c r="AM953">
        <v>1</v>
      </c>
      <c r="AN953">
        <v>0</v>
      </c>
      <c r="AO953">
        <v>0</v>
      </c>
      <c r="AP953">
        <v>0</v>
      </c>
      <c r="AQ953">
        <v>0</v>
      </c>
      <c r="AR953">
        <v>0</v>
      </c>
      <c r="AS953">
        <v>0</v>
      </c>
      <c r="AT953">
        <v>0</v>
      </c>
      <c r="AU953">
        <v>0</v>
      </c>
      <c r="AV953">
        <v>0</v>
      </c>
      <c r="AW953">
        <v>0</v>
      </c>
      <c r="AX953">
        <v>0</v>
      </c>
      <c r="AY953">
        <v>0</v>
      </c>
      <c r="AZ953" s="141">
        <f>COUNTIF(X953:AY953,"&lt;&gt;0")</f>
        <v>1</v>
      </c>
      <c r="BA953" s="141">
        <f>COUNTIF(X953:AN953,"&lt;&gt;0")</f>
        <v>1</v>
      </c>
      <c r="BB953">
        <f>COUNTIF(X953:AE953,"&lt;&gt;0")</f>
        <v>0</v>
      </c>
      <c r="BC953">
        <f>COUNTIF(AF953:AK953,"&lt;&gt;0")</f>
        <v>0</v>
      </c>
      <c r="BD953">
        <f>COUNTIF(AL953:AN953,"&lt;&gt;0")</f>
        <v>1</v>
      </c>
      <c r="BE953">
        <f>COUNTIF(AU953:AY953,"&lt;&gt;0")</f>
        <v>0</v>
      </c>
      <c r="BF953">
        <f>COUNTIF(AO953:AT953,"&lt;&gt;0")</f>
        <v>0</v>
      </c>
      <c r="BG953" t="str">
        <f t="array" ref="BG953">IF(BA953=1,INDEX($X$7:$AN$7,MATCH(TRUE,INDEX($X953:$AY953&lt;&gt;0,),0)),IF(BA953=0,INDEX($AO$7:$AY$7,MATCH(1,$AO953:$AY953,0)),IF(BH953="Multiple strategies","mixed drivers",IF(BH953="Supply chain","multiple supply","multiple silviculture"))))</f>
        <v>technologies/design switch</v>
      </c>
      <c r="BH953" s="2" t="str" cm="1">
        <f t="array" ref="BH953">IF(COUNTIF(BB953:BD953,"&lt;&gt;0")=1,INDEX($X$4:$AY$4,MATCH(TRUE,INDEX($X953:$AY953&lt;&gt;0,),0)),IF(COUNTIF(BB953:BD953,"&lt;&gt;0")=0,INDEX($AO$4:$AY$4,MATCH(1,$AO953:$AY953,0)),"Multiple strategies"))</f>
        <v>Technology</v>
      </c>
      <c r="BI953" s="1" t="s">
        <v>229</v>
      </c>
      <c r="BJ953" t="s">
        <v>524</v>
      </c>
      <c r="BK953" s="256" t="s">
        <v>2959</v>
      </c>
      <c r="BL953" t="s">
        <v>525</v>
      </c>
      <c r="BM953">
        <v>0</v>
      </c>
      <c r="BN953">
        <v>7619.0476189999999</v>
      </c>
      <c r="BP953">
        <f>BN953-BM953</f>
        <v>7619.0476189999999</v>
      </c>
      <c r="BQ953">
        <f>BP953*t_to_m3</f>
        <v>15549.076773469387</v>
      </c>
      <c r="BR953" t="s">
        <v>232</v>
      </c>
      <c r="BS953" s="256" t="s">
        <v>2960</v>
      </c>
      <c r="BT953" t="s">
        <v>526</v>
      </c>
      <c r="BU953">
        <v>-143400</v>
      </c>
      <c r="BV953">
        <v>-148200</v>
      </c>
      <c r="BW953" s="144">
        <v>1.0334728033472804</v>
      </c>
      <c r="BX953">
        <v>-4800</v>
      </c>
      <c r="BZ953">
        <f>BX953</f>
        <v>-4800</v>
      </c>
      <c r="CA953">
        <f>IFERROR(BZ953/BQ953,"")</f>
        <v>-0.30870000000192938</v>
      </c>
      <c r="CB953" s="143">
        <v>0</v>
      </c>
      <c r="CC953" s="143">
        <v>0</v>
      </c>
      <c r="CD953" s="143">
        <v>0</v>
      </c>
      <c r="CE953" s="143">
        <v>0</v>
      </c>
      <c r="CF953" s="143">
        <v>0</v>
      </c>
      <c r="CG953" s="143">
        <v>0</v>
      </c>
      <c r="CH953" s="143">
        <v>0</v>
      </c>
      <c r="CI953" s="143">
        <v>0</v>
      </c>
      <c r="CJ953" s="143">
        <v>0</v>
      </c>
      <c r="CK953" s="143">
        <v>0</v>
      </c>
      <c r="CL953" s="143">
        <v>0</v>
      </c>
      <c r="CM953" s="143">
        <v>0</v>
      </c>
      <c r="CN953" s="143">
        <v>0</v>
      </c>
      <c r="CO953">
        <v>1</v>
      </c>
      <c r="CP953" t="str">
        <f>IF($BN953&lt;$BM953,"refNeedCorrection","refOK")</f>
        <v>refOK</v>
      </c>
      <c r="CQ953">
        <f>IF($CP953="refNeedCorrection",BN953,BM953)</f>
        <v>0</v>
      </c>
      <c r="CR953">
        <f>IF($CP953="refNeedCorrection",BM953,BN953)</f>
        <v>7619.0476189999999</v>
      </c>
      <c r="CS953">
        <f>IF($CP953="refOK",$BQ953,-$BQ953)</f>
        <v>15549.076773469387</v>
      </c>
      <c r="CT953">
        <f>IF(BI953="Roundwood",$CS953/2,$CS953)</f>
        <v>15549.076773469387</v>
      </c>
      <c r="CU953">
        <f>IF($CP953="refOK",$BU953,$BV953)*IF($BR953="Emissions positive",-1,1)</f>
        <v>-143400</v>
      </c>
      <c r="CV953">
        <f>IF($CP953="refOK",$BV953,$BU953)*IF($BR953="Emissions positive",-1,1)</f>
        <v>-148200</v>
      </c>
      <c r="CW953">
        <f>IF($CP953="refNeedCorrection",-BZ953,BZ953)*IF($BR953="Emissions positive",-1,1)</f>
        <v>-4800</v>
      </c>
      <c r="CX953">
        <f>IFERROR($CW953/$CS953,"")</f>
        <v>-0.30870000000192938</v>
      </c>
      <c r="CY953">
        <f>IFERROR($CW953/$CS953,"")</f>
        <v>-0.30870000000192938</v>
      </c>
      <c r="CZ953">
        <f>IFERROR($CW953/$CT953,"")</f>
        <v>-0.30870000000192938</v>
      </c>
      <c r="DA953" s="2">
        <f>IFERROR((CV953-CU953)/ABS(CU953),"")</f>
        <v>-3.3472803347280332E-2</v>
      </c>
      <c r="DB953" s="1" t="s">
        <v>347</v>
      </c>
      <c r="DC953" t="str">
        <f>IF(OR($DB953="prd",$DB953="std",$DB953="cit"),"loc",IF(OR($DB953="eur",$DB953="reg",$DB953="coy"),"reg",$DB953))</f>
        <v>loc</v>
      </c>
      <c r="DD953" t="s">
        <v>527</v>
      </c>
      <c r="DG953">
        <v>0</v>
      </c>
      <c r="DH953" t="str">
        <f>IF(DG953=0,"0",IF(AND(DG953&gt;=1,DG953&lt;=30),"1-30",IF(AND(DG953&gt;30,DG953&lt;=70),"31-70",IF(AND(DG953&gt;70,DG953&lt;=100),"71-100",IF(DG953&gt;100,"+100")))))</f>
        <v>0</v>
      </c>
      <c r="DI953">
        <v>0</v>
      </c>
      <c r="DJ953">
        <v>1</v>
      </c>
      <c r="DK953">
        <v>0</v>
      </c>
      <c r="DL953">
        <v>0</v>
      </c>
      <c r="DN953">
        <f>SUM(DI953:DL953)</f>
        <v>1</v>
      </c>
      <c r="DO953" t="str">
        <f>IF(DN953=1,INDEX($DI$7:$DL$7,MATCH(1,$DI953:$DL953,0)),"mixedProduct")</f>
        <v>EnergyInput</v>
      </c>
      <c r="DP953">
        <f>IF(DI953=1,DP$7,0)</f>
        <v>0</v>
      </c>
      <c r="DQ953" t="str">
        <f>IF(DJ953=1,DQ$7,0)</f>
        <v>Energy</v>
      </c>
      <c r="DR953">
        <f>IF(DK953=1,DR$7,0)</f>
        <v>0</v>
      </c>
      <c r="DS953">
        <f>IF(DL953=1,DS$7,0)</f>
        <v>0</v>
      </c>
      <c r="DT953">
        <v>0</v>
      </c>
      <c r="DU953" s="143">
        <v>0</v>
      </c>
      <c r="DV953" s="143">
        <v>0</v>
      </c>
      <c r="DW953" s="143">
        <v>0</v>
      </c>
      <c r="DX953">
        <v>0</v>
      </c>
      <c r="DY953">
        <f>SUM(DT953:DU953)</f>
        <v>0</v>
      </c>
      <c r="DZ953" s="143" t="str">
        <f>IF(DT953=1,"self-calculated DF",IF(DU953=1,"external DF used","explicit C balance"))</f>
        <v>explicit C balance</v>
      </c>
      <c r="EA953">
        <v>0</v>
      </c>
      <c r="EB953" s="143">
        <v>1</v>
      </c>
      <c r="EC953" s="143">
        <v>0</v>
      </c>
      <c r="ED953" s="143">
        <v>0</v>
      </c>
      <c r="EE953">
        <v>1</v>
      </c>
      <c r="EF953" s="143">
        <v>0</v>
      </c>
      <c r="EG953">
        <v>0</v>
      </c>
      <c r="EH953" s="143">
        <v>1</v>
      </c>
      <c r="EI953" s="143">
        <v>0</v>
      </c>
      <c r="EJ953">
        <v>0</v>
      </c>
      <c r="EK953">
        <v>0</v>
      </c>
      <c r="EL953" s="143">
        <v>0</v>
      </c>
      <c r="EM953" s="143">
        <v>0</v>
      </c>
      <c r="EN953" s="2">
        <v>0</v>
      </c>
      <c r="EP953" t="str">
        <f>IF(AND(AND(AND(OR($EC953=1,$EB953=1),OR($EH953=1,$EF953=1)),SUM($EA953:$EE953,$EK953)&gt;=3),SUM($EF953:$EJ953)&gt;=2),"Whole sector approach","")</f>
        <v/>
      </c>
      <c r="EQ953" t="str">
        <f>IF(AND(AND(OR($EC953=1,$EB953=1),AND($EH953=0,$EF953=0)),SUM($EA953:$EE953,$EK953)&gt;=4),"Ecosystem approach","")</f>
        <v/>
      </c>
      <c r="ER953" s="2" t="str">
        <f>IF(AND(AND(AND($EC953=0,$EB953=0),OR($EH953=1,$EF953=1)),SUM($EG953:$EJ953)&gt;=2),"Technology approach","")</f>
        <v/>
      </c>
      <c r="ES953" t="str">
        <f>IF(AND($EC953+$EB953+$EE953+$EA953+$ED953+$EG953=0,$N953="included"),"C neutral forest and HWP assumption","")</f>
        <v/>
      </c>
      <c r="ET953" t="str">
        <f>IF(AND(AND(AND(AND($EC953=1,$EB953+$EA953+$EG953&gt;=1),$EF953=1),$EH953+$EI953+$ED953+$EE953&gt;=2),$N953="included"),"All C pools assumption","")</f>
        <v/>
      </c>
      <c r="EU953" t="str">
        <f>IF(AND($ED953+$EE953+$EI953+$EH953+$EF953=0,$N953="included"),"In-situ only assumption","")</f>
        <v/>
      </c>
      <c r="EY953" t="str">
        <f>IF(ISNUMBER(BW953),IF(ABS(BW953-[6]QC_indicators!$B$2)&gt;3*[6]QC_indicators!$C$2,"C ratio",IF(ISNUMBER(CA953),IF(ABS(CA953-[6]QC_indicators!$B$1)&gt;3*[6]QC_indicators!$C$1,"DF","no"))),IF(ISNUMBER(CA953),IF(ABS(CA953-[6]QC_indicators!$B$1)&gt;3*[6]QC_indicators!$C$1,"DF","no")))</f>
        <v>no</v>
      </c>
      <c r="FA953" t="str">
        <f>IF(LEN($CY953)=0,"",IF(AND($CY953&lt;(-0.05),$ES953="C neutral forest and HWP assumption"),"Cneutral paradox",IF(AND($CY953&gt;0.05,$EU953="In-situ only assumption"),"In-situ only paradox","")))</f>
        <v/>
      </c>
      <c r="FB953" s="149" t="s">
        <v>349</v>
      </c>
      <c r="FD953" s="260" t="s">
        <v>2948</v>
      </c>
    </row>
    <row r="954" spans="1:160" ht="15" hidden="1" customHeight="1">
      <c r="A954" s="1" t="s">
        <v>500</v>
      </c>
      <c r="B954" t="s">
        <v>515</v>
      </c>
      <c r="C954" t="s">
        <v>516</v>
      </c>
      <c r="D954" t="s">
        <v>517</v>
      </c>
      <c r="E954" t="s">
        <v>518</v>
      </c>
      <c r="F954" t="s">
        <v>519</v>
      </c>
      <c r="G954" t="s">
        <v>506</v>
      </c>
      <c r="H954" t="s">
        <v>254</v>
      </c>
      <c r="I954">
        <v>2015</v>
      </c>
      <c r="J954">
        <v>31</v>
      </c>
      <c r="K954" t="s">
        <v>520</v>
      </c>
      <c r="M954" t="str">
        <f>LEFT($D954,FIND(",",$D954)-1)&amp;"_"&amp;I954&amp;L954</f>
        <v>Cambero_2015</v>
      </c>
      <c r="N954" t="s">
        <v>222</v>
      </c>
      <c r="O954" s="145" t="s">
        <v>223</v>
      </c>
      <c r="Q954" t="s">
        <v>256</v>
      </c>
      <c r="R954" s="251" t="s">
        <v>225</v>
      </c>
      <c r="S954" s="1" t="s">
        <v>521</v>
      </c>
      <c r="T954" t="s">
        <v>522</v>
      </c>
      <c r="U954" t="s">
        <v>528</v>
      </c>
      <c r="V954" s="253">
        <v>0</v>
      </c>
      <c r="W954" s="253">
        <v>0</v>
      </c>
      <c r="X954">
        <v>0</v>
      </c>
      <c r="Y954">
        <v>0</v>
      </c>
      <c r="Z954">
        <v>0</v>
      </c>
      <c r="AA954">
        <v>0</v>
      </c>
      <c r="AB954">
        <v>0</v>
      </c>
      <c r="AC954">
        <v>0</v>
      </c>
      <c r="AD954">
        <v>0</v>
      </c>
      <c r="AE954">
        <v>0</v>
      </c>
      <c r="AF954">
        <v>0</v>
      </c>
      <c r="AG954">
        <v>0</v>
      </c>
      <c r="AH954">
        <v>0</v>
      </c>
      <c r="AI954">
        <v>0</v>
      </c>
      <c r="AJ954">
        <v>0</v>
      </c>
      <c r="AK954">
        <v>0</v>
      </c>
      <c r="AL954">
        <v>0</v>
      </c>
      <c r="AM954">
        <v>1</v>
      </c>
      <c r="AN954">
        <v>0</v>
      </c>
      <c r="AO954">
        <v>0</v>
      </c>
      <c r="AP954">
        <v>0</v>
      </c>
      <c r="AQ954">
        <v>0</v>
      </c>
      <c r="AR954">
        <v>0</v>
      </c>
      <c r="AS954">
        <v>0</v>
      </c>
      <c r="AT954">
        <v>0</v>
      </c>
      <c r="AU954">
        <v>0</v>
      </c>
      <c r="AV954">
        <v>0</v>
      </c>
      <c r="AW954">
        <v>0</v>
      </c>
      <c r="AX954">
        <v>0</v>
      </c>
      <c r="AY954">
        <v>0</v>
      </c>
      <c r="AZ954" s="141">
        <f>COUNTIF(X954:AY954,"&lt;&gt;0")</f>
        <v>1</v>
      </c>
      <c r="BA954" s="141">
        <f>COUNTIF(X954:AN954,"&lt;&gt;0")</f>
        <v>1</v>
      </c>
      <c r="BB954">
        <f>COUNTIF(X954:AE954,"&lt;&gt;0")</f>
        <v>0</v>
      </c>
      <c r="BC954">
        <f>COUNTIF(AF954:AK954,"&lt;&gt;0")</f>
        <v>0</v>
      </c>
      <c r="BD954">
        <f>COUNTIF(AL954:AN954,"&lt;&gt;0")</f>
        <v>1</v>
      </c>
      <c r="BE954">
        <f>COUNTIF(AU954:AY954,"&lt;&gt;0")</f>
        <v>0</v>
      </c>
      <c r="BF954">
        <f>COUNTIF(AO954:AT954,"&lt;&gt;0")</f>
        <v>0</v>
      </c>
      <c r="BG954" t="str">
        <f t="array" ref="BG954">IF(BA954=1,INDEX($X$7:$AN$7,MATCH(TRUE,INDEX($X954:$AY954&lt;&gt;0,),0)),IF(BA954=0,INDEX($AO$7:$AY$7,MATCH(1,$AO954:$AY954,0)),IF(BH954="Multiple strategies","mixed drivers",IF(BH954="Supply chain","multiple supply","multiple silviculture"))))</f>
        <v>technologies/design switch</v>
      </c>
      <c r="BH954" s="2" t="str" cm="1">
        <f t="array" ref="BH954">IF(COUNTIF(BB954:BD954,"&lt;&gt;0")=1,INDEX($X$4:$AY$4,MATCH(TRUE,INDEX($X954:$AY954&lt;&gt;0,),0)),IF(COUNTIF(BB954:BD954,"&lt;&gt;0")=0,INDEX($AO$4:$AY$4,MATCH(1,$AO954:$AY954,0)),"Multiple strategies"))</f>
        <v>Technology</v>
      </c>
      <c r="BI954" s="1" t="s">
        <v>229</v>
      </c>
      <c r="BJ954" t="s">
        <v>524</v>
      </c>
      <c r="BK954" s="256" t="s">
        <v>2959</v>
      </c>
      <c r="BL954" t="s">
        <v>525</v>
      </c>
      <c r="BM954">
        <v>0</v>
      </c>
      <c r="BN954">
        <v>5986.394558</v>
      </c>
      <c r="BP954">
        <f>BN954-BM954</f>
        <v>5986.394558</v>
      </c>
      <c r="BQ954">
        <f>BP954*t_to_m3</f>
        <v>12217.131751020408</v>
      </c>
      <c r="BR954" t="s">
        <v>232</v>
      </c>
      <c r="BS954" s="256" t="s">
        <v>2960</v>
      </c>
      <c r="BT954" t="s">
        <v>526</v>
      </c>
      <c r="BU954">
        <v>-143400</v>
      </c>
      <c r="BV954">
        <v>-147200</v>
      </c>
      <c r="BW954" s="144">
        <v>1.0264993026499303</v>
      </c>
      <c r="BX954">
        <v>-3800</v>
      </c>
      <c r="BZ954">
        <f>BX954</f>
        <v>-3800</v>
      </c>
      <c r="CA954">
        <f>IFERROR(BZ954/BQ954,"")</f>
        <v>-0.31103863635444656</v>
      </c>
      <c r="CB954" s="143">
        <v>0</v>
      </c>
      <c r="CC954" s="143">
        <v>0</v>
      </c>
      <c r="CD954" s="143">
        <v>0</v>
      </c>
      <c r="CE954" s="143">
        <v>0</v>
      </c>
      <c r="CF954" s="143">
        <v>0</v>
      </c>
      <c r="CG954" s="143">
        <v>0</v>
      </c>
      <c r="CH954" s="143">
        <v>0</v>
      </c>
      <c r="CI954" s="143">
        <v>0</v>
      </c>
      <c r="CJ954" s="143">
        <v>0</v>
      </c>
      <c r="CK954" s="143">
        <v>0</v>
      </c>
      <c r="CL954" s="143">
        <v>0</v>
      </c>
      <c r="CM954" s="143">
        <v>0</v>
      </c>
      <c r="CN954" s="143">
        <v>0</v>
      </c>
      <c r="CO954">
        <v>1</v>
      </c>
      <c r="CP954" t="str">
        <f>IF($BN954&lt;$BM954,"refNeedCorrection","refOK")</f>
        <v>refOK</v>
      </c>
      <c r="CQ954">
        <f>IF($CP954="refNeedCorrection",BN954,BM954)</f>
        <v>0</v>
      </c>
      <c r="CR954">
        <f>IF($CP954="refNeedCorrection",BM954,BN954)</f>
        <v>5986.394558</v>
      </c>
      <c r="CS954">
        <f>IF($CP954="refOK",$BQ954,-$BQ954)</f>
        <v>12217.131751020408</v>
      </c>
      <c r="CT954">
        <f>IF(BI954="Roundwood",$CS954/2,$CS954)</f>
        <v>12217.131751020408</v>
      </c>
      <c r="CU954">
        <f>IF($CP954="refOK",$BU954,$BV954)*IF($BR954="Emissions positive",-1,1)</f>
        <v>-143400</v>
      </c>
      <c r="CV954">
        <f>IF($CP954="refOK",$BV954,$BU954)*IF($BR954="Emissions positive",-1,1)</f>
        <v>-147200</v>
      </c>
      <c r="CW954">
        <f>IF($CP954="refNeedCorrection",-BZ954,BZ954)*IF($BR954="Emissions positive",-1,1)</f>
        <v>-3800</v>
      </c>
      <c r="CX954">
        <f>IFERROR($CW954/$CS954,"")</f>
        <v>-0.31103863635444656</v>
      </c>
      <c r="CY954">
        <f>IFERROR($CW954/$CS954,"")</f>
        <v>-0.31103863635444656</v>
      </c>
      <c r="CZ954">
        <f>IFERROR($CW954/$CT954,"")</f>
        <v>-0.31103863635444656</v>
      </c>
      <c r="DA954" s="2">
        <f>IFERROR((CV954-CU954)/ABS(CU954),"")</f>
        <v>-2.6499302649930265E-2</v>
      </c>
      <c r="DB954" s="1" t="s">
        <v>347</v>
      </c>
      <c r="DC954" t="str">
        <f>IF(OR($DB954="prd",$DB954="std",$DB954="cit"),"loc",IF(OR($DB954="eur",$DB954="reg",$DB954="coy"),"reg",$DB954))</f>
        <v>loc</v>
      </c>
      <c r="DD954" t="s">
        <v>527</v>
      </c>
      <c r="DG954">
        <v>0</v>
      </c>
      <c r="DH954" t="str">
        <f>IF(DG954=0,"0",IF(AND(DG954&gt;=1,DG954&lt;=30),"1-30",IF(AND(DG954&gt;30,DG954&lt;=70),"31-70",IF(AND(DG954&gt;70,DG954&lt;=100),"71-100",IF(DG954&gt;100,"+100")))))</f>
        <v>0</v>
      </c>
      <c r="DI954">
        <v>0</v>
      </c>
      <c r="DJ954">
        <v>1</v>
      </c>
      <c r="DK954">
        <v>0</v>
      </c>
      <c r="DL954">
        <v>0</v>
      </c>
      <c r="DN954">
        <f>SUM(DI954:DL954)</f>
        <v>1</v>
      </c>
      <c r="DO954" t="str">
        <f>IF(DN954=1,INDEX($DI$7:$DL$7,MATCH(1,$DI954:$DL954,0)),"mixedProduct")</f>
        <v>EnergyInput</v>
      </c>
      <c r="DP954">
        <f>IF(DI954=1,DP$7,0)</f>
        <v>0</v>
      </c>
      <c r="DQ954" t="str">
        <f>IF(DJ954=1,DQ$7,0)</f>
        <v>Energy</v>
      </c>
      <c r="DR954">
        <f>IF(DK954=1,DR$7,0)</f>
        <v>0</v>
      </c>
      <c r="DS954">
        <f>IF(DL954=1,DS$7,0)</f>
        <v>0</v>
      </c>
      <c r="DT954">
        <v>0</v>
      </c>
      <c r="DU954" s="143">
        <v>0</v>
      </c>
      <c r="DV954" s="143">
        <v>0</v>
      </c>
      <c r="DW954" s="143">
        <v>0</v>
      </c>
      <c r="DX954">
        <v>0</v>
      </c>
      <c r="DY954">
        <f>SUM(DT954:DU954)</f>
        <v>0</v>
      </c>
      <c r="DZ954" s="143" t="str">
        <f>IF(DT954=1,"self-calculated DF",IF(DU954=1,"external DF used","explicit C balance"))</f>
        <v>explicit C balance</v>
      </c>
      <c r="EA954">
        <v>0</v>
      </c>
      <c r="EB954" s="143">
        <v>1</v>
      </c>
      <c r="EC954" s="143">
        <v>0</v>
      </c>
      <c r="ED954" s="143">
        <v>0</v>
      </c>
      <c r="EE954">
        <v>1</v>
      </c>
      <c r="EF954" s="143">
        <v>0</v>
      </c>
      <c r="EG954">
        <v>0</v>
      </c>
      <c r="EH954" s="143">
        <v>1</v>
      </c>
      <c r="EI954" s="143">
        <v>0</v>
      </c>
      <c r="EJ954">
        <v>0</v>
      </c>
      <c r="EK954">
        <v>0</v>
      </c>
      <c r="EL954" s="143">
        <v>0</v>
      </c>
      <c r="EM954" s="143">
        <v>0</v>
      </c>
      <c r="EN954" s="2">
        <v>0</v>
      </c>
      <c r="EP954" t="str">
        <f>IF(AND(AND(AND(OR($EC954=1,$EB954=1),OR($EH954=1,$EF954=1)),SUM($EA954:$EE954,$EK954)&gt;=3),SUM($EF954:$EJ954)&gt;=2),"Whole sector approach","")</f>
        <v/>
      </c>
      <c r="EQ954" t="str">
        <f>IF(AND(AND(OR($EC954=1,$EB954=1),AND($EH954=0,$EF954=0)),SUM($EA954:$EE954,$EK954)&gt;=4),"Ecosystem approach","")</f>
        <v/>
      </c>
      <c r="ER954" s="2" t="str">
        <f>IF(AND(AND(AND($EC954=0,$EB954=0),OR($EH954=1,$EF954=1)),SUM($EG954:$EJ954)&gt;=2),"Technology approach","")</f>
        <v/>
      </c>
      <c r="ES954" t="str">
        <f>IF(AND($EC954+$EB954+$EE954+$EA954+$ED954+$EG954=0,$N954="included"),"C neutral forest and HWP assumption","")</f>
        <v/>
      </c>
      <c r="ET954" t="str">
        <f>IF(AND(AND(AND(AND($EC954=1,$EB954+$EA954+$EG954&gt;=1),$EF954=1),$EH954+$EI954+$ED954+$EE954&gt;=2),$N954="included"),"All C pools assumption","")</f>
        <v/>
      </c>
      <c r="EU954" t="str">
        <f>IF(AND($ED954+$EE954+$EI954+$EH954+$EF954=0,$N954="included"),"In-situ only assumption","")</f>
        <v/>
      </c>
      <c r="EY954" t="str">
        <f>IF(ISNUMBER(BW954),IF(ABS(BW954-[6]QC_indicators!$B$2)&gt;3*[6]QC_indicators!$C$2,"C ratio",IF(ISNUMBER(CA954),IF(ABS(CA954-[6]QC_indicators!$B$1)&gt;3*[6]QC_indicators!$C$1,"DF","no"))),IF(ISNUMBER(CA954),IF(ABS(CA954-[6]QC_indicators!$B$1)&gt;3*[6]QC_indicators!$C$1,"DF","no")))</f>
        <v>no</v>
      </c>
      <c r="FA954" t="str">
        <f>IF(LEN($CY954)=0,"",IF(AND($CY954&lt;(-0.05),$ES954="C neutral forest and HWP assumption"),"Cneutral paradox",IF(AND($CY954&gt;0.05,$EU954="In-situ only assumption"),"In-situ only paradox","")))</f>
        <v/>
      </c>
      <c r="FB954" s="149" t="s">
        <v>349</v>
      </c>
      <c r="FD954" s="260" t="s">
        <v>2948</v>
      </c>
    </row>
    <row r="955" spans="1:160" ht="0" hidden="1" customHeight="1">
      <c r="D955" t="s">
        <v>886</v>
      </c>
      <c r="E955" t="s">
        <v>887</v>
      </c>
      <c r="G955" t="s">
        <v>888</v>
      </c>
      <c r="I955">
        <v>2004</v>
      </c>
      <c r="K955" t="s">
        <v>889</v>
      </c>
      <c r="M955" t="str">
        <f>LEFT($D955,FIND(",",$D955)-1)&amp;"_"&amp;I955&amp;L955</f>
        <v>Lippke_2004</v>
      </c>
      <c r="N955" t="s">
        <v>222</v>
      </c>
      <c r="O955" t="s">
        <v>223</v>
      </c>
      <c r="Q955" t="s">
        <v>256</v>
      </c>
      <c r="R955" s="251" t="s">
        <v>225</v>
      </c>
      <c r="S955" s="1" t="s">
        <v>738</v>
      </c>
      <c r="T955" t="s">
        <v>890</v>
      </c>
      <c r="U955" s="260" t="s">
        <v>891</v>
      </c>
      <c r="V955" s="260"/>
      <c r="W955" s="260"/>
      <c r="X955">
        <v>0</v>
      </c>
      <c r="Y955">
        <v>0</v>
      </c>
      <c r="Z955">
        <v>0</v>
      </c>
      <c r="AA955">
        <v>0</v>
      </c>
      <c r="AB955">
        <v>0</v>
      </c>
      <c r="AC955">
        <v>0</v>
      </c>
      <c r="AD955">
        <v>0</v>
      </c>
      <c r="AE955">
        <v>0</v>
      </c>
      <c r="AF955">
        <v>0</v>
      </c>
      <c r="AG955">
        <v>0</v>
      </c>
      <c r="AH955">
        <v>0</v>
      </c>
      <c r="AI955">
        <v>0</v>
      </c>
      <c r="AJ955">
        <v>0</v>
      </c>
      <c r="AK955">
        <v>0</v>
      </c>
      <c r="AL955">
        <v>0</v>
      </c>
      <c r="AM955">
        <v>1</v>
      </c>
      <c r="AN955">
        <v>0</v>
      </c>
      <c r="AO955">
        <v>0</v>
      </c>
      <c r="AP955">
        <v>0</v>
      </c>
      <c r="AQ955">
        <v>0</v>
      </c>
      <c r="AR955">
        <v>0</v>
      </c>
      <c r="AS955">
        <v>0</v>
      </c>
      <c r="AT955">
        <v>0</v>
      </c>
      <c r="AU955">
        <v>0</v>
      </c>
      <c r="AV955">
        <v>0</v>
      </c>
      <c r="AW955">
        <v>0</v>
      </c>
      <c r="AX955">
        <v>0</v>
      </c>
      <c r="AY955">
        <v>0</v>
      </c>
      <c r="AZ955" s="141">
        <f>COUNTIF(X955:AY955,"&lt;&gt;0")</f>
        <v>1</v>
      </c>
      <c r="BA955" s="141">
        <f>COUNTIF(X955:AN955,"&lt;&gt;0")</f>
        <v>1</v>
      </c>
      <c r="BB955">
        <f>COUNTIF(X955:AE955,"&lt;&gt;0")</f>
        <v>0</v>
      </c>
      <c r="BC955">
        <f>COUNTIF(AF955:AK955,"&lt;&gt;0")</f>
        <v>0</v>
      </c>
      <c r="BD955">
        <f>COUNTIF(AL955:AN955,"&lt;&gt;0")</f>
        <v>1</v>
      </c>
      <c r="BE955">
        <f>COUNTIF(AU955:AY955,"&lt;&gt;0")</f>
        <v>0</v>
      </c>
      <c r="BF955">
        <f>COUNTIF(AO955:AT955,"&lt;&gt;0")</f>
        <v>0</v>
      </c>
      <c r="BG955" t="str">
        <f t="array" ref="BG955">IF(BA955=1,INDEX($X$7:$AN$7,MATCH(TRUE,INDEX($X955:$AY955&lt;&gt;0,),0)),IF(BA955=0,INDEX($AO$7:$AY$7,MATCH(1,$AO955:$AY955,0)),IF(BH955="Multiple strategies","mixed drivers",IF(BH955="Supply chain","multiple supply","multiple silviculture"))))</f>
        <v>technologies/design switch</v>
      </c>
      <c r="BH955" s="2" t="str" cm="1">
        <f t="array" ref="BH955">IF(COUNTIF(BB955:BD955,"&lt;&gt;0")=1,INDEX($X$4:$AY$4,MATCH(TRUE,INDEX($X955:$AY955&lt;&gt;0,),0)),IF(COUNTIF(BB955:BD955,"&lt;&gt;0")=0,INDEX($AO$4:$AY$4,MATCH(1,$AO955:$AY955,0)),"Multiple strategies"))</f>
        <v>Technology</v>
      </c>
      <c r="BI955" s="1" t="s">
        <v>229</v>
      </c>
      <c r="BJ955" t="s">
        <v>892</v>
      </c>
      <c r="BK955" s="256" t="s">
        <v>3045</v>
      </c>
      <c r="BL955" s="260" t="s">
        <v>345</v>
      </c>
      <c r="BM955">
        <v>6595</v>
      </c>
      <c r="BN955" s="260">
        <v>12993</v>
      </c>
      <c r="BO955" s="260">
        <f>BN955/BM955</f>
        <v>1.9701288855193329</v>
      </c>
      <c r="BP955">
        <f>BN955-BM955</f>
        <v>6398</v>
      </c>
      <c r="BQ955" s="260">
        <f>BP955*kg_to_m3</f>
        <v>13.057142857142859</v>
      </c>
      <c r="BR955" t="s">
        <v>232</v>
      </c>
      <c r="BS955" s="256" t="s">
        <v>793</v>
      </c>
      <c r="BT955" t="s">
        <v>714</v>
      </c>
      <c r="BU955" s="260">
        <v>-46826</v>
      </c>
      <c r="BV955">
        <v>-37047</v>
      </c>
      <c r="BW955" s="144">
        <f>IFERROR(BV955/BU955,"")</f>
        <v>0.79116302908640501</v>
      </c>
      <c r="BX955">
        <f>BV955-BU955</f>
        <v>9779</v>
      </c>
      <c r="BZ955">
        <f>BX955/1000</f>
        <v>9.7789999999999999</v>
      </c>
      <c r="CA955">
        <f>IFERROR(BZ955/BQ955,"")</f>
        <v>0.74893873085339158</v>
      </c>
      <c r="CB955">
        <v>0</v>
      </c>
      <c r="CC955">
        <v>0</v>
      </c>
      <c r="CD955">
        <v>0</v>
      </c>
      <c r="CE955">
        <v>0</v>
      </c>
      <c r="CF955">
        <v>0</v>
      </c>
      <c r="CG955">
        <v>0</v>
      </c>
      <c r="CH955">
        <v>0</v>
      </c>
      <c r="CI955">
        <v>0</v>
      </c>
      <c r="CJ955">
        <v>0</v>
      </c>
      <c r="CK955">
        <v>0</v>
      </c>
      <c r="CL955">
        <v>1</v>
      </c>
      <c r="CM955">
        <v>0</v>
      </c>
      <c r="CN955">
        <v>0</v>
      </c>
      <c r="CO955">
        <v>0</v>
      </c>
      <c r="CP955" t="str">
        <f>IF($BN955&lt;$BM955,"refNeedCorrection","refOK")</f>
        <v>refOK</v>
      </c>
      <c r="CQ955">
        <f>IF($CP955="refNeedCorrection",BN955,BM955)</f>
        <v>6595</v>
      </c>
      <c r="CR955">
        <f>IF($CP955="refNeedCorrection",BM955,BN955)</f>
        <v>12993</v>
      </c>
      <c r="CS955">
        <f>IF($CP955="refOK",$BQ955,-$BQ955)</f>
        <v>13.057142857142859</v>
      </c>
      <c r="CT955">
        <f>IF(BI955="Roundwood",$CS955/2,$CS955)</f>
        <v>13.057142857142859</v>
      </c>
      <c r="CU955">
        <f>IF($CP955="refOK",$BU955,$BV955)*IF($BR955="Emissions positive",-1,1)</f>
        <v>-46826</v>
      </c>
      <c r="CV955">
        <f>IF($CP955="refOK",$BV955,$BU955)*IF($BR955="Emissions positive",-1,1)</f>
        <v>-37047</v>
      </c>
      <c r="CW955">
        <f>IF($CP955="refNeedCorrection",-BZ955,BZ955)*IF($BR955="Emissions positive",-1,1)</f>
        <v>9.7789999999999999</v>
      </c>
      <c r="CX955">
        <f>IFERROR($CW955/$CS955,"")</f>
        <v>0.74893873085339158</v>
      </c>
      <c r="CY955">
        <f>IFERROR($CW955/$CS955,"")</f>
        <v>0.74893873085339158</v>
      </c>
      <c r="CZ955">
        <f>IFERROR($CW955/$CT955,"")</f>
        <v>0.74893873085339158</v>
      </c>
      <c r="DA955" s="2">
        <f>IFERROR((CV955-CU955)/ABS(CU955),"")</f>
        <v>0.20883697091359502</v>
      </c>
      <c r="DB955" s="1" t="s">
        <v>263</v>
      </c>
      <c r="DC955" t="str">
        <f>IF(OR($DB955="prd",$DB955="std",$DB955="cit"),"loc",IF(OR($DB955="eur",$DB955="reg",$DB955="coy"),"reg",$DB955))</f>
        <v>loc</v>
      </c>
      <c r="DD955" t="s">
        <v>428</v>
      </c>
      <c r="DF955" s="143"/>
      <c r="DG955" s="260">
        <v>0</v>
      </c>
      <c r="DH955" t="str">
        <f>IF(DG955=0,"0",IF(AND(DG955&gt;=1,DG955&lt;=30),"1-30",IF(AND(DG955&gt;30,DG955&lt;=70),"31-70",IF(AND(DG955&gt;70,DG955&lt;=100),"71-100",IF(DG955&gt;100,"+100")))))</f>
        <v>0</v>
      </c>
      <c r="DI955">
        <v>0</v>
      </c>
      <c r="DJ955">
        <v>0</v>
      </c>
      <c r="DK955">
        <v>0</v>
      </c>
      <c r="DL955">
        <v>1</v>
      </c>
      <c r="DN955">
        <f>SUM(DI955:DL955)</f>
        <v>1</v>
      </c>
      <c r="DO955" t="str">
        <f>IF(DN955=1,INDEX($DI$7:$DL$7,MATCH(1,$DI955:$DL955,0)),"mixedProduct")</f>
        <v>TimberInput</v>
      </c>
      <c r="DP955">
        <f>IF(DI955=1,DP$7,0)</f>
        <v>0</v>
      </c>
      <c r="DQ955">
        <f>IF(DJ955=1,DQ$7,0)</f>
        <v>0</v>
      </c>
      <c r="DR955">
        <f>IF(DK955=1,DR$7,0)</f>
        <v>0</v>
      </c>
      <c r="DS955" t="str">
        <f>IF(DL955=1,DS$7,0)</f>
        <v>Timber</v>
      </c>
      <c r="DT955">
        <v>0</v>
      </c>
      <c r="DU955" s="143">
        <v>0</v>
      </c>
      <c r="DV955" s="143">
        <v>0</v>
      </c>
      <c r="DW955">
        <v>0</v>
      </c>
      <c r="DX955" s="143">
        <v>0</v>
      </c>
      <c r="DY955">
        <f>SUM(DT955:DU955)</f>
        <v>0</v>
      </c>
      <c r="DZ955" s="143" t="str">
        <f>IF(DT955=1,"self-calculated DF",IF(DU955=1,"external DF used","explicit C balance"))</f>
        <v>explicit C balance</v>
      </c>
      <c r="EA955" s="143">
        <v>0</v>
      </c>
      <c r="EB955" s="143">
        <v>0</v>
      </c>
      <c r="EC955">
        <v>0</v>
      </c>
      <c r="ED955">
        <v>0</v>
      </c>
      <c r="EE955">
        <v>0</v>
      </c>
      <c r="EF955" s="143">
        <v>0</v>
      </c>
      <c r="EG955" s="143">
        <v>0</v>
      </c>
      <c r="EH955">
        <v>1</v>
      </c>
      <c r="EI955" s="143">
        <v>0</v>
      </c>
      <c r="EJ955">
        <v>1</v>
      </c>
      <c r="EK955">
        <v>0</v>
      </c>
      <c r="EL955" s="143">
        <v>0</v>
      </c>
      <c r="EM955">
        <v>0</v>
      </c>
      <c r="EN955" s="2">
        <v>0</v>
      </c>
      <c r="EP955" t="str">
        <f>IF(AND(AND(AND(OR($EC955=1,$EB955=1),OR($EH955=1,$EF955=1)),SUM($EA955:$EE955,$EK955)&gt;=3),SUM($EF955:$EJ955)&gt;=2),"Whole sector approach","")</f>
        <v/>
      </c>
      <c r="EQ955" t="str">
        <f>IF(AND(AND(OR($EC955=1,$EB955=1),AND($EH955=0,$EF955=0)),SUM($EA955:$EE955,$EK955)&gt;=4),"Ecosystem approach","")</f>
        <v/>
      </c>
      <c r="ER955" s="2" t="str">
        <f>IF(AND(AND(AND($EC955=0,$EB955=0),OR($EH955=1,$EF955=1)),SUM($EG955:$EJ955)&gt;=2),"Technology approach","")</f>
        <v>Technology approach</v>
      </c>
      <c r="ES955" t="str">
        <f>IF(AND($EC955+$EB955+$EE955+$EA955+$EF955+$EG955=0,$N955="included"),"C neutral forest and HWP assumption","")</f>
        <v>C neutral forest and HWP assumption</v>
      </c>
      <c r="ET955" t="str">
        <f>IF(AND(AND(AND($EC955+$EB955+$EA955+$EG955&gt;=2,$EF955+$EH955+$EI955&gt;=1),$ED955+$EE955&gt;=1),$N955="included"),"All C pools assumption","")</f>
        <v/>
      </c>
      <c r="EU955" t="str">
        <f>IF(AND($ED955+$EE955+$EI955+$EH955+$EF955=0,$N955="included"),"In-situ only assumption","")</f>
        <v/>
      </c>
      <c r="EV955" s="328" t="s">
        <v>5065</v>
      </c>
      <c r="EW955" t="s">
        <v>893</v>
      </c>
      <c r="EY955" t="str">
        <f>IF(ISNUMBER(BW955),IF(ABS(BW955-[6]QC_indicators!$B$2)&gt;3*[6]QC_indicators!$C$2,"C ratio",IF(ISNUMBER(CA955),IF(ABS(CA955-[6]QC_indicators!$B$1)&gt;3*[6]QC_indicators!$C$1,"DF","no"))),IF(ISNUMBER(CA955),IF(ABS(CA955-[6]QC_indicators!$B$1)&gt;3*[6]QC_indicators!$C$1,"DF","no")))</f>
        <v>no</v>
      </c>
      <c r="FA955" t="str">
        <f>IF(LEN($CY955)=0,"",IF(AND($CY955&lt;(-0.05),$ES955="C neutral forest and HWP assumption"),"Cneutral paradox",IF(AND($CY955&gt;0.05,$EU955="In-situ only assumption"),"In-situ only paradox","")))</f>
        <v/>
      </c>
      <c r="FB955" s="149" t="s">
        <v>349</v>
      </c>
      <c r="FD955" s="260" t="s">
        <v>2948</v>
      </c>
    </row>
    <row r="956" spans="1:160" ht="15" hidden="1" customHeight="1">
      <c r="A956" s="1" t="s">
        <v>500</v>
      </c>
      <c r="B956" t="s">
        <v>515</v>
      </c>
      <c r="C956" t="s">
        <v>516</v>
      </c>
      <c r="D956" t="s">
        <v>517</v>
      </c>
      <c r="E956" t="s">
        <v>518</v>
      </c>
      <c r="F956" t="s">
        <v>519</v>
      </c>
      <c r="G956" t="s">
        <v>506</v>
      </c>
      <c r="H956" t="s">
        <v>254</v>
      </c>
      <c r="I956">
        <v>2015</v>
      </c>
      <c r="J956">
        <v>31</v>
      </c>
      <c r="K956" t="s">
        <v>520</v>
      </c>
      <c r="M956" t="str">
        <f>LEFT($D956,FIND(",",$D956)-1)&amp;"_"&amp;I956&amp;L956</f>
        <v>Cambero_2015</v>
      </c>
      <c r="N956" t="s">
        <v>222</v>
      </c>
      <c r="O956" s="145" t="s">
        <v>223</v>
      </c>
      <c r="Q956" t="s">
        <v>256</v>
      </c>
      <c r="R956" s="251" t="s">
        <v>225</v>
      </c>
      <c r="S956" s="1" t="s">
        <v>521</v>
      </c>
      <c r="T956" t="s">
        <v>522</v>
      </c>
      <c r="U956" t="s">
        <v>523</v>
      </c>
      <c r="V956" s="253">
        <v>0</v>
      </c>
      <c r="W956" s="253">
        <v>0</v>
      </c>
      <c r="X956">
        <v>0</v>
      </c>
      <c r="Y956">
        <v>0</v>
      </c>
      <c r="Z956">
        <v>0</v>
      </c>
      <c r="AA956">
        <v>0</v>
      </c>
      <c r="AB956">
        <v>0</v>
      </c>
      <c r="AC956">
        <v>0</v>
      </c>
      <c r="AD956">
        <v>0</v>
      </c>
      <c r="AE956">
        <v>0</v>
      </c>
      <c r="AF956">
        <v>0</v>
      </c>
      <c r="AG956">
        <v>0</v>
      </c>
      <c r="AH956">
        <v>0</v>
      </c>
      <c r="AI956">
        <v>0</v>
      </c>
      <c r="AJ956">
        <v>0</v>
      </c>
      <c r="AK956">
        <v>0</v>
      </c>
      <c r="AL956">
        <v>0</v>
      </c>
      <c r="AM956">
        <v>1</v>
      </c>
      <c r="AN956">
        <v>0</v>
      </c>
      <c r="AO956">
        <v>0</v>
      </c>
      <c r="AP956">
        <v>0</v>
      </c>
      <c r="AQ956">
        <v>0</v>
      </c>
      <c r="AR956">
        <v>0</v>
      </c>
      <c r="AS956">
        <v>0</v>
      </c>
      <c r="AT956">
        <v>0</v>
      </c>
      <c r="AU956">
        <v>0</v>
      </c>
      <c r="AV956">
        <v>0</v>
      </c>
      <c r="AW956">
        <v>0</v>
      </c>
      <c r="AX956">
        <v>0</v>
      </c>
      <c r="AY956">
        <v>0</v>
      </c>
      <c r="AZ956" s="141">
        <f>COUNTIF(X956:AY956,"&lt;&gt;0")</f>
        <v>1</v>
      </c>
      <c r="BA956" s="141">
        <f>COUNTIF(X956:AN956,"&lt;&gt;0")</f>
        <v>1</v>
      </c>
      <c r="BB956">
        <f>COUNTIF(X956:AE956,"&lt;&gt;0")</f>
        <v>0</v>
      </c>
      <c r="BC956">
        <f>COUNTIF(AF956:AK956,"&lt;&gt;0")</f>
        <v>0</v>
      </c>
      <c r="BD956">
        <f>COUNTIF(AL956:AN956,"&lt;&gt;0")</f>
        <v>1</v>
      </c>
      <c r="BE956">
        <f>COUNTIF(AU956:AY956,"&lt;&gt;0")</f>
        <v>0</v>
      </c>
      <c r="BF956">
        <f>COUNTIF(AO956:AT956,"&lt;&gt;0")</f>
        <v>0</v>
      </c>
      <c r="BG956" t="str">
        <f t="array" ref="BG956">IF(BA956=1,INDEX($X$7:$AN$7,MATCH(TRUE,INDEX($X956:$AY956&lt;&gt;0,),0)),IF(BA956=0,INDEX($AO$7:$AY$7,MATCH(1,$AO956:$AY956,0)),IF(BH956="Multiple strategies","mixed drivers",IF(BH956="Supply chain","multiple supply","multiple silviculture"))))</f>
        <v>technologies/design switch</v>
      </c>
      <c r="BH956" s="2" t="str" cm="1">
        <f t="array" ref="BH956">IF(COUNTIF(BB956:BD956,"&lt;&gt;0")=1,INDEX($X$4:$AY$4,MATCH(TRUE,INDEX($X956:$AY956&lt;&gt;0,),0)),IF(COUNTIF(BB956:BD956,"&lt;&gt;0")=0,INDEX($AO$4:$AY$4,MATCH(1,$AO956:$AY956,0)),"Multiple strategies"))</f>
        <v>Technology</v>
      </c>
      <c r="BI956" s="1" t="s">
        <v>229</v>
      </c>
      <c r="BJ956" t="s">
        <v>524</v>
      </c>
      <c r="BK956" s="256" t="s">
        <v>2959</v>
      </c>
      <c r="BL956" t="s">
        <v>525</v>
      </c>
      <c r="BM956">
        <v>0</v>
      </c>
      <c r="BN956">
        <v>4897.9591840000003</v>
      </c>
      <c r="BP956">
        <f>BN956-BM956</f>
        <v>4897.9591840000003</v>
      </c>
      <c r="BQ956">
        <f>BP956*t_to_m3</f>
        <v>9995.8350693877564</v>
      </c>
      <c r="BR956" t="s">
        <v>232</v>
      </c>
      <c r="BS956" s="256" t="s">
        <v>2960</v>
      </c>
      <c r="BT956" t="s">
        <v>526</v>
      </c>
      <c r="BU956">
        <v>-143400</v>
      </c>
      <c r="BV956">
        <v>-147100</v>
      </c>
      <c r="BW956" s="144">
        <v>1.0258019525801954</v>
      </c>
      <c r="BX956">
        <v>-3700</v>
      </c>
      <c r="BZ956">
        <f>BX956</f>
        <v>-3700</v>
      </c>
      <c r="CA956">
        <f>IFERROR(BZ956/BQ956,"")</f>
        <v>-0.37015416664198969</v>
      </c>
      <c r="CB956" s="143">
        <v>0</v>
      </c>
      <c r="CC956" s="143">
        <v>0</v>
      </c>
      <c r="CD956" s="143">
        <v>0</v>
      </c>
      <c r="CE956" s="143">
        <v>0</v>
      </c>
      <c r="CF956" s="143">
        <v>0</v>
      </c>
      <c r="CG956" s="143">
        <v>0</v>
      </c>
      <c r="CH956" s="143">
        <v>0</v>
      </c>
      <c r="CI956" s="143">
        <v>0</v>
      </c>
      <c r="CJ956" s="143">
        <v>0</v>
      </c>
      <c r="CK956" s="143">
        <v>0</v>
      </c>
      <c r="CL956" s="143">
        <v>0</v>
      </c>
      <c r="CM956" s="143">
        <v>0</v>
      </c>
      <c r="CN956" s="143">
        <v>0</v>
      </c>
      <c r="CO956">
        <v>1</v>
      </c>
      <c r="CP956" t="str">
        <f>IF($BN956&lt;$BM956,"refNeedCorrection","refOK")</f>
        <v>refOK</v>
      </c>
      <c r="CQ956">
        <f>IF($CP956="refNeedCorrection",BN956,BM956)</f>
        <v>0</v>
      </c>
      <c r="CR956">
        <f>IF($CP956="refNeedCorrection",BM956,BN956)</f>
        <v>4897.9591840000003</v>
      </c>
      <c r="CS956">
        <f>IF($CP956="refOK",$BQ956,-$BQ956)</f>
        <v>9995.8350693877564</v>
      </c>
      <c r="CT956">
        <f>IF(BI956="Roundwood",$CS956/2,$CS956)</f>
        <v>9995.8350693877564</v>
      </c>
      <c r="CU956">
        <f>IF($CP956="refOK",$BU956,$BV956)*IF($BR956="Emissions positive",-1,1)</f>
        <v>-143400</v>
      </c>
      <c r="CV956">
        <f>IF($CP956="refOK",$BV956,$BU956)*IF($BR956="Emissions positive",-1,1)</f>
        <v>-147100</v>
      </c>
      <c r="CW956">
        <f>IF($CP956="refNeedCorrection",-BZ956,BZ956)*IF($BR956="Emissions positive",-1,1)</f>
        <v>-3700</v>
      </c>
      <c r="CX956">
        <f>IFERROR($CW956/$CS956,"")</f>
        <v>-0.37015416664198969</v>
      </c>
      <c r="CY956">
        <f>IFERROR($CW956/$CS956,"")</f>
        <v>-0.37015416664198969</v>
      </c>
      <c r="CZ956">
        <f>IFERROR($CW956/$CT956,"")</f>
        <v>-0.37015416664198969</v>
      </c>
      <c r="DA956" s="2">
        <f>IFERROR((CV956-CU956)/ABS(CU956),"")</f>
        <v>-2.5801952580195259E-2</v>
      </c>
      <c r="DB956" s="1" t="s">
        <v>347</v>
      </c>
      <c r="DC956" t="str">
        <f>IF(OR($DB956="prd",$DB956="std",$DB956="cit"),"loc",IF(OR($DB956="eur",$DB956="reg",$DB956="coy"),"reg",$DB956))</f>
        <v>loc</v>
      </c>
      <c r="DD956" t="s">
        <v>527</v>
      </c>
      <c r="DG956">
        <v>0</v>
      </c>
      <c r="DH956" t="str">
        <f>IF(DG956=0,"0",IF(AND(DG956&gt;=1,DG956&lt;=30),"1-30",IF(AND(DG956&gt;30,DG956&lt;=70),"31-70",IF(AND(DG956&gt;70,DG956&lt;=100),"71-100",IF(DG956&gt;100,"+100")))))</f>
        <v>0</v>
      </c>
      <c r="DI956">
        <v>0</v>
      </c>
      <c r="DJ956">
        <v>1</v>
      </c>
      <c r="DK956">
        <v>0</v>
      </c>
      <c r="DL956">
        <v>0</v>
      </c>
      <c r="DN956">
        <f>SUM(DI956:DL956)</f>
        <v>1</v>
      </c>
      <c r="DO956" t="str">
        <f>IF(DN956=1,INDEX($DI$7:$DL$7,MATCH(1,$DI956:$DL956,0)),"mixedProduct")</f>
        <v>EnergyInput</v>
      </c>
      <c r="DP956">
        <f>IF(DI956=1,DP$7,0)</f>
        <v>0</v>
      </c>
      <c r="DQ956" t="str">
        <f>IF(DJ956=1,DQ$7,0)</f>
        <v>Energy</v>
      </c>
      <c r="DR956">
        <f>IF(DK956=1,DR$7,0)</f>
        <v>0</v>
      </c>
      <c r="DS956">
        <f>IF(DL956=1,DS$7,0)</f>
        <v>0</v>
      </c>
      <c r="DT956">
        <v>0</v>
      </c>
      <c r="DU956" s="143">
        <v>0</v>
      </c>
      <c r="DV956" s="143">
        <v>0</v>
      </c>
      <c r="DW956" s="143">
        <v>0</v>
      </c>
      <c r="DX956">
        <v>0</v>
      </c>
      <c r="DY956">
        <f>SUM(DT956:DU956)</f>
        <v>0</v>
      </c>
      <c r="DZ956" s="143" t="str">
        <f>IF(DT956=1,"self-calculated DF",IF(DU956=1,"external DF used","explicit C balance"))</f>
        <v>explicit C balance</v>
      </c>
      <c r="EA956">
        <v>0</v>
      </c>
      <c r="EB956" s="143">
        <v>1</v>
      </c>
      <c r="EC956" s="143">
        <v>0</v>
      </c>
      <c r="ED956" s="143">
        <v>0</v>
      </c>
      <c r="EE956">
        <v>1</v>
      </c>
      <c r="EF956" s="143">
        <v>0</v>
      </c>
      <c r="EG956">
        <v>0</v>
      </c>
      <c r="EH956" s="143">
        <v>1</v>
      </c>
      <c r="EI956" s="143">
        <v>0</v>
      </c>
      <c r="EJ956">
        <v>0</v>
      </c>
      <c r="EK956">
        <v>0</v>
      </c>
      <c r="EL956" s="143">
        <v>0</v>
      </c>
      <c r="EM956" s="143">
        <v>0</v>
      </c>
      <c r="EN956" s="2">
        <v>0</v>
      </c>
      <c r="EP956" t="str">
        <f>IF(AND(AND(AND(OR($EC956=1,$EB956=1),OR($EH956=1,$EF956=1)),SUM($EA956:$EE956,$EK956)&gt;=3),SUM($EF956:$EJ956)&gt;=2),"Whole sector approach","")</f>
        <v/>
      </c>
      <c r="EQ956" t="str">
        <f>IF(AND(AND(OR($EC956=1,$EB956=1),AND($EH956=0,$EF956=0)),SUM($EA956:$EE956,$EK956)&gt;=4),"Ecosystem approach","")</f>
        <v/>
      </c>
      <c r="ER956" s="2" t="str">
        <f>IF(AND(AND(AND($EC956=0,$EB956=0),OR($EH956=1,$EF956=1)),SUM($EG956:$EJ956)&gt;=2),"Technology approach","")</f>
        <v/>
      </c>
      <c r="ES956" t="str">
        <f>IF(AND($EC956+$EB956+$EE956+$EA956+$ED956+$EG956=0,$N956="included"),"C neutral forest and HWP assumption","")</f>
        <v/>
      </c>
      <c r="ET956" t="str">
        <f>IF(AND(AND(AND(AND($EC956=1,$EB956+$EA956+$EG956&gt;=1),$EF956=1),$EH956+$EI956+$ED956+$EE956&gt;=2),$N956="included"),"All C pools assumption","")</f>
        <v/>
      </c>
      <c r="EU956" t="str">
        <f>IF(AND($ED956+$EE956+$EI956+$EH956+$EF956=0,$N956="included"),"In-situ only assumption","")</f>
        <v/>
      </c>
      <c r="EY956" t="str">
        <f>IF(ISNUMBER(BW956),IF(ABS(BW956-[6]QC_indicators!$B$2)&gt;3*[6]QC_indicators!$C$2,"C ratio",IF(ISNUMBER(CA956),IF(ABS(CA956-[6]QC_indicators!$B$1)&gt;3*[6]QC_indicators!$C$1,"DF","no"))),IF(ISNUMBER(CA956),IF(ABS(CA956-[6]QC_indicators!$B$1)&gt;3*[6]QC_indicators!$C$1,"DF","no")))</f>
        <v>no</v>
      </c>
      <c r="FA956" t="str">
        <f>IF(LEN($CY956)=0,"",IF(AND($CY956&lt;(-0.05),$ES956="C neutral forest and HWP assumption"),"Cneutral paradox",IF(AND($CY956&gt;0.05,$EU956="In-situ only assumption"),"In-situ only paradox","")))</f>
        <v/>
      </c>
      <c r="FB956" s="149" t="s">
        <v>349</v>
      </c>
      <c r="FD956" s="260" t="s">
        <v>2948</v>
      </c>
    </row>
    <row r="957" spans="1:160" ht="15" hidden="1" customHeight="1">
      <c r="D957" t="s">
        <v>1508</v>
      </c>
      <c r="E957" t="s">
        <v>1509</v>
      </c>
      <c r="G957" t="s">
        <v>1510</v>
      </c>
      <c r="I957">
        <v>2007</v>
      </c>
      <c r="K957" t="s">
        <v>1511</v>
      </c>
      <c r="M957" t="str">
        <f>LEFT($D957,FIND(",",$D957)-1)&amp;"_"&amp;I957&amp;L957</f>
        <v>Gustavsson_2007</v>
      </c>
      <c r="N957" t="s">
        <v>222</v>
      </c>
      <c r="O957" t="s">
        <v>223</v>
      </c>
      <c r="Q957" t="s">
        <v>256</v>
      </c>
      <c r="R957" s="264" t="s">
        <v>274</v>
      </c>
      <c r="S957" s="1" t="s">
        <v>1512</v>
      </c>
      <c r="T957" t="s">
        <v>1517</v>
      </c>
      <c r="U957" s="143" t="s">
        <v>1518</v>
      </c>
      <c r="V957" s="253">
        <v>0</v>
      </c>
      <c r="W957" s="253">
        <v>0</v>
      </c>
      <c r="X957">
        <v>0</v>
      </c>
      <c r="Y957">
        <v>0</v>
      </c>
      <c r="Z957">
        <v>0</v>
      </c>
      <c r="AA957">
        <v>0</v>
      </c>
      <c r="AB957">
        <v>0</v>
      </c>
      <c r="AC957">
        <v>0</v>
      </c>
      <c r="AD957">
        <v>0</v>
      </c>
      <c r="AE957">
        <v>0</v>
      </c>
      <c r="AF957">
        <v>0</v>
      </c>
      <c r="AG957">
        <v>0</v>
      </c>
      <c r="AH957">
        <v>0</v>
      </c>
      <c r="AI957">
        <v>0</v>
      </c>
      <c r="AJ957">
        <v>0</v>
      </c>
      <c r="AK957">
        <v>0</v>
      </c>
      <c r="AL957">
        <v>0</v>
      </c>
      <c r="AM957">
        <v>1</v>
      </c>
      <c r="AN957">
        <v>0</v>
      </c>
      <c r="AO957">
        <v>0</v>
      </c>
      <c r="AP957">
        <v>0</v>
      </c>
      <c r="AQ957">
        <v>0</v>
      </c>
      <c r="AR957">
        <v>0</v>
      </c>
      <c r="AS957">
        <v>0</v>
      </c>
      <c r="AT957">
        <v>0</v>
      </c>
      <c r="AU957">
        <v>0</v>
      </c>
      <c r="AV957">
        <v>0</v>
      </c>
      <c r="AW957">
        <v>0</v>
      </c>
      <c r="AX957">
        <v>0</v>
      </c>
      <c r="AY957">
        <v>0</v>
      </c>
      <c r="AZ957" s="141">
        <f>COUNTIF(X957:AY957,"&lt;&gt;0")</f>
        <v>1</v>
      </c>
      <c r="BA957" s="141">
        <f>COUNTIF(X957:AN957,"&lt;&gt;0")</f>
        <v>1</v>
      </c>
      <c r="BB957">
        <f>COUNTIF(X957:AE957,"&lt;&gt;0")</f>
        <v>0</v>
      </c>
      <c r="BC957">
        <f>COUNTIF(AF957:AK957,"&lt;&gt;0")</f>
        <v>0</v>
      </c>
      <c r="BD957">
        <f>COUNTIF(AL957:AN957,"&lt;&gt;0")</f>
        <v>1</v>
      </c>
      <c r="BE957">
        <f>COUNTIF(AU957:AY957,"&lt;&gt;0")</f>
        <v>0</v>
      </c>
      <c r="BF957">
        <f>COUNTIF(AO957:AT957,"&lt;&gt;0")</f>
        <v>0</v>
      </c>
      <c r="BG957" t="str">
        <f t="array" ref="BG957">IF(BA957=1,INDEX($X$7:$AN$7,MATCH(TRUE,INDEX($X957:$AY957&lt;&gt;0,),0)),IF(BA957=0,INDEX($AO$7:$AY$7,MATCH(1,$AO957:$AY957,0)),IF(BH957="Multiple strategies","mixed drivers",IF(BH957="Supply chain","multiple supply","multiple silviculture"))))</f>
        <v>technologies/design switch</v>
      </c>
      <c r="BH957" s="2" t="str" cm="1">
        <f t="array" ref="BH957">IF(COUNTIF(BB957:BD957,"&lt;&gt;0")=1,INDEX($X$4:$AY$4,MATCH(TRUE,INDEX($X957:$AY957&lt;&gt;0,),0)),IF(COUNTIF(BB957:BD957,"&lt;&gt;0")=0,INDEX($AO$4:$AY$4,MATCH(1,$AO957:$AY957,0)),"Multiple strategies"))</f>
        <v>Technology</v>
      </c>
      <c r="BI957" s="142" t="s">
        <v>229</v>
      </c>
      <c r="BJ957" t="s">
        <v>1514</v>
      </c>
      <c r="BK957" s="260" t="s">
        <v>987</v>
      </c>
      <c r="BL957" s="143" t="s">
        <v>2940</v>
      </c>
      <c r="BM957">
        <v>0</v>
      </c>
      <c r="BN957" s="143">
        <v>169.5</v>
      </c>
      <c r="BO957" s="143"/>
      <c r="BP957">
        <f>BN957-BM957</f>
        <v>169.5</v>
      </c>
      <c r="BQ957" s="143">
        <f>1000*BN957/15.3/400</f>
        <v>27.696078431372548</v>
      </c>
      <c r="BR957" t="s">
        <v>232</v>
      </c>
      <c r="BT957" t="s">
        <v>907</v>
      </c>
      <c r="BU957" s="143">
        <v>-1</v>
      </c>
      <c r="BV957" s="151">
        <v>0</v>
      </c>
      <c r="BW957">
        <v>0</v>
      </c>
      <c r="BX957">
        <v>1</v>
      </c>
      <c r="BZ957">
        <f>BX957*C_to_CO2</f>
        <v>3.67</v>
      </c>
      <c r="CA957">
        <f>IFERROR(BZ957/BQ957,"")</f>
        <v>0.13250973451327433</v>
      </c>
      <c r="CB957" s="143">
        <v>0</v>
      </c>
      <c r="CC957" s="143">
        <v>0</v>
      </c>
      <c r="CD957" s="143">
        <v>0</v>
      </c>
      <c r="CE957" s="143">
        <v>0</v>
      </c>
      <c r="CF957" s="143">
        <v>0</v>
      </c>
      <c r="CG957" s="143">
        <v>0</v>
      </c>
      <c r="CH957" s="143">
        <v>0</v>
      </c>
      <c r="CI957" s="143">
        <v>0</v>
      </c>
      <c r="CJ957" s="143">
        <v>0</v>
      </c>
      <c r="CK957" s="143">
        <v>0</v>
      </c>
      <c r="CL957" s="143">
        <v>0</v>
      </c>
      <c r="CM957" s="143">
        <v>0</v>
      </c>
      <c r="CN957" s="143">
        <v>0</v>
      </c>
      <c r="CO957">
        <v>1</v>
      </c>
      <c r="CP957" t="str">
        <f>IF($BN957&lt;$BM957,"refNeedCorrection","refOK")</f>
        <v>refOK</v>
      </c>
      <c r="CQ957">
        <f>IF($CP957="refOK",$BM957,$BN957)</f>
        <v>0</v>
      </c>
      <c r="CR957">
        <f>IF($CP957="refOK",$BN957,$BM957)</f>
        <v>169.5</v>
      </c>
      <c r="CS957">
        <f>IF($CP957="refOK",$BQ957,-$BQ957)</f>
        <v>27.696078431372548</v>
      </c>
      <c r="CT957">
        <f>IF(BI957="Roundwood",$CS957/2,$CS957)</f>
        <v>27.696078431372548</v>
      </c>
      <c r="CU957">
        <f>IF($CP957="refOK",$BU957,$BV957)*IF($BR957="Emissions positive",-1,1)</f>
        <v>-1</v>
      </c>
      <c r="CV957">
        <f>IF($CP957="refOK",$BV957,$BU957)*IF($BR957="Emissions positive",-1,1)</f>
        <v>0</v>
      </c>
      <c r="CW957">
        <f>IF($CP957="refNeedCorrection",-BZ957,BZ957)*IF($BR957="Emissions positive",-1,1)</f>
        <v>3.67</v>
      </c>
      <c r="CX957">
        <f>IFERROR($CW957/$CS957,"")</f>
        <v>0.13250973451327433</v>
      </c>
      <c r="CY957">
        <f>IFERROR($CW957/$CS957,"")</f>
        <v>0.13250973451327433</v>
      </c>
      <c r="CZ957">
        <f>IFERROR($CW957/$CT957,"")</f>
        <v>0.13250973451327433</v>
      </c>
      <c r="DA957" s="2">
        <f>IFERROR((CV957-CU957)/ABS(CU957),"")</f>
        <v>1</v>
      </c>
      <c r="DB957" s="1" t="s">
        <v>1078</v>
      </c>
      <c r="DC957" t="str">
        <f>IF(OR($DB957="prd",$DB957="std",$DB957="cit"),"loc",IF(OR($DB957="eur",$DB957="reg",$DB957="coy"),"reg",$DB957))</f>
        <v>reg</v>
      </c>
      <c r="DD957" t="s">
        <v>444</v>
      </c>
      <c r="DF957" s="143"/>
      <c r="DG957" s="143">
        <v>0</v>
      </c>
      <c r="DH957" t="str">
        <f>IF(DG957=0,"0",IF(AND(DG957&gt;=1,DG957&lt;=30),"1-30",IF(AND(DG957&gt;30,DG957&lt;=70),"31-70",IF(AND(DG957&gt;70,DG957&lt;=100),"71-100",IF(DG957&gt;100,"+100")))))</f>
        <v>0</v>
      </c>
      <c r="DI957">
        <v>0</v>
      </c>
      <c r="DJ957">
        <v>1</v>
      </c>
      <c r="DK957">
        <v>0</v>
      </c>
      <c r="DL957">
        <v>0</v>
      </c>
      <c r="DN957">
        <f>SUM(DI957:DL957)</f>
        <v>1</v>
      </c>
      <c r="DO957" t="str">
        <f>IF(DN957=1,INDEX($DI$7:$DL$7,MATCH(1,$DI957:$DL957,0)),"mixedProduct")</f>
        <v>EnergyInput</v>
      </c>
      <c r="DP957">
        <f>IF(DI957=1,DP$7,0)</f>
        <v>0</v>
      </c>
      <c r="DQ957" t="str">
        <f>IF(DJ957=1,DQ$7,0)</f>
        <v>Energy</v>
      </c>
      <c r="DR957">
        <f>IF(DK957=1,DR$7,0)</f>
        <v>0</v>
      </c>
      <c r="DS957">
        <f>IF(DL957=1,DS$7,0)</f>
        <v>0</v>
      </c>
      <c r="DT957">
        <v>0</v>
      </c>
      <c r="DU957" s="143">
        <v>0</v>
      </c>
      <c r="DV957" s="143">
        <v>0</v>
      </c>
      <c r="DW957">
        <v>0</v>
      </c>
      <c r="DX957" s="143">
        <v>0</v>
      </c>
      <c r="DY957">
        <f>SUM(DT957:DU957)</f>
        <v>0</v>
      </c>
      <c r="DZ957" s="143" t="str">
        <f>IF(DT957=1,"self-calculated DF",IF(DU957=1,"external DF used","explicit C balance"))</f>
        <v>explicit C balance</v>
      </c>
      <c r="EA957" s="143">
        <v>0</v>
      </c>
      <c r="EB957" s="143">
        <v>0</v>
      </c>
      <c r="EC957" s="143">
        <v>0</v>
      </c>
      <c r="ED957" s="143">
        <v>0</v>
      </c>
      <c r="EE957">
        <v>0</v>
      </c>
      <c r="EF957" s="143">
        <v>0</v>
      </c>
      <c r="EG957" s="143">
        <v>0</v>
      </c>
      <c r="EH957" s="143">
        <v>1</v>
      </c>
      <c r="EI957" s="143">
        <v>0</v>
      </c>
      <c r="EJ957">
        <v>0</v>
      </c>
      <c r="EK957">
        <v>0</v>
      </c>
      <c r="EL957" s="143">
        <v>0</v>
      </c>
      <c r="EM957" s="143">
        <v>0</v>
      </c>
      <c r="EN957" s="2">
        <v>0</v>
      </c>
      <c r="EP957" t="str">
        <f>IF(AND(AND(AND(OR($EC957=1,$EB957=1),OR($EH957=1,$EF957=1)),SUM($EA957:$EE957,$EK957)&gt;=3),SUM($EF957:$EJ957)&gt;=2),"Whole sector approach","")</f>
        <v/>
      </c>
      <c r="EQ957" t="str">
        <f>IF(AND(AND(OR($EC957=1,$EB957=1),AND($EH957=0,$EF957=0)),SUM($EA957:$EE957,$EK957)&gt;=4),"Ecosystem approach","")</f>
        <v/>
      </c>
      <c r="ER957" s="2" t="str">
        <f>IF(AND(AND(AND($EC957=0,$EB957=0),OR($EH957=1,$EF957=1)),SUM($EG957:$EJ957)&gt;=2),"Technology approach","")</f>
        <v/>
      </c>
      <c r="ES957" t="str">
        <f>IF(AND($EC957+$EB957+$EE957+$EA957+$ED957+$EG957=0,$N957="included"),"C neutral forest and HWP assumption","")</f>
        <v>C neutral forest and HWP assumption</v>
      </c>
      <c r="ET957" t="str">
        <f>IF(AND(AND(AND(AND($EC957=1,$EB957+$EA957+$EG957&gt;=1),$EF957=1),$EH957+$EI957+$ED957+$EE957&gt;=2),$N957="included"),"All C pools assumption","")</f>
        <v/>
      </c>
      <c r="EU957" t="str">
        <f>IF(AND($ED957+$EE957+$EI957+$EH957+$EF957=0,$N957="included"),"In-situ only assumption","")</f>
        <v/>
      </c>
      <c r="EY957" t="str">
        <f>IF(ISNUMBER(BW957),IF(ABS(BW957-[3]QC_indicators!$B$2)&gt;3*[3]QC_indicators!$C$2,"C ratio",IF(ISNUMBER(CA957),IF(ABS(CA957-[3]QC_indicators!$B$1)&gt;3*[3]QC_indicators!$C$1,"DF","no"))),IF(ISNUMBER(CA957),IF(ABS(CA957-[3]QC_indicators!$B$1)&gt;3*[3]QC_indicators!$C$1,"DF","no")))</f>
        <v>no</v>
      </c>
      <c r="FA957" t="str">
        <f>IF(LEN($CY957)=0,"",IF(AND($CY957&lt;(-0.05),$ES957="C neutral forest and HWP assumption"),"Cneutral paradox",IF(AND($CY957&gt;0.05,$EU957="In-situ only assumption"),"In-situ only paradox","")))</f>
        <v/>
      </c>
      <c r="FB957" s="149" t="s">
        <v>349</v>
      </c>
      <c r="FD957" s="260" t="s">
        <v>2941</v>
      </c>
    </row>
    <row r="958" spans="1:160" ht="18" hidden="1" customHeight="1">
      <c r="A958" s="1" t="s">
        <v>333</v>
      </c>
      <c r="B958" t="s">
        <v>705</v>
      </c>
      <c r="C958" t="s">
        <v>706</v>
      </c>
      <c r="D958" t="s">
        <v>707</v>
      </c>
      <c r="E958" t="s">
        <v>708</v>
      </c>
      <c r="F958" t="s">
        <v>709</v>
      </c>
      <c r="G958" t="s">
        <v>339</v>
      </c>
      <c r="H958" t="s">
        <v>254</v>
      </c>
      <c r="I958">
        <v>2015</v>
      </c>
      <c r="J958">
        <v>86</v>
      </c>
      <c r="K958" t="s">
        <v>710</v>
      </c>
      <c r="M958" t="str">
        <f>LEFT($D958,FIND(",",$D958)-1)&amp;"_"&amp;I958&amp;L958</f>
        <v>Fouquet_2015</v>
      </c>
      <c r="N958" t="s">
        <v>222</v>
      </c>
      <c r="O958" s="145" t="s">
        <v>274</v>
      </c>
      <c r="Q958" t="s">
        <v>256</v>
      </c>
      <c r="R958" s="251" t="s">
        <v>225</v>
      </c>
      <c r="S958" s="1" t="s">
        <v>711</v>
      </c>
      <c r="T958" s="260" t="s">
        <v>2999</v>
      </c>
      <c r="U958" s="260" t="s">
        <v>3000</v>
      </c>
      <c r="V958" s="253">
        <v>0</v>
      </c>
      <c r="W958" s="253">
        <v>0</v>
      </c>
      <c r="X958">
        <v>0</v>
      </c>
      <c r="Y958">
        <v>0</v>
      </c>
      <c r="Z958">
        <v>0</v>
      </c>
      <c r="AA958">
        <v>0</v>
      </c>
      <c r="AB958">
        <v>0</v>
      </c>
      <c r="AC958">
        <v>0</v>
      </c>
      <c r="AD958">
        <v>0</v>
      </c>
      <c r="AE958">
        <v>0</v>
      </c>
      <c r="AF958">
        <v>0</v>
      </c>
      <c r="AG958">
        <v>0</v>
      </c>
      <c r="AH958">
        <v>0</v>
      </c>
      <c r="AI958">
        <v>0</v>
      </c>
      <c r="AJ958">
        <v>1</v>
      </c>
      <c r="AK958">
        <v>0</v>
      </c>
      <c r="AL958">
        <v>0</v>
      </c>
      <c r="AM958">
        <v>0</v>
      </c>
      <c r="AN958">
        <v>0</v>
      </c>
      <c r="AO958">
        <v>0</v>
      </c>
      <c r="AP958">
        <v>0</v>
      </c>
      <c r="AQ958">
        <v>0</v>
      </c>
      <c r="AR958">
        <v>0</v>
      </c>
      <c r="AS958">
        <v>0</v>
      </c>
      <c r="AT958">
        <v>0</v>
      </c>
      <c r="AU958">
        <v>0</v>
      </c>
      <c r="AV958">
        <v>0</v>
      </c>
      <c r="AW958">
        <v>0</v>
      </c>
      <c r="AX958">
        <v>0</v>
      </c>
      <c r="AY958">
        <v>0</v>
      </c>
      <c r="AZ958" s="141">
        <f>COUNTIF(X958:AY958,"&lt;&gt;0")</f>
        <v>1</v>
      </c>
      <c r="BA958" s="141">
        <f>COUNTIF(X958:AN958,"&lt;&gt;0")</f>
        <v>1</v>
      </c>
      <c r="BB958">
        <f>COUNTIF(X958:AE958,"&lt;&gt;0")</f>
        <v>0</v>
      </c>
      <c r="BC958">
        <f>COUNTIF(AF958:AK958,"&lt;&gt;0")</f>
        <v>1</v>
      </c>
      <c r="BD958">
        <f>COUNTIF(AL958:AN958,"&lt;&gt;0")</f>
        <v>0</v>
      </c>
      <c r="BE958">
        <f>COUNTIF(AU958:AY958,"&lt;&gt;0")</f>
        <v>0</v>
      </c>
      <c r="BF958">
        <f>COUNTIF(AO958:AT958,"&lt;&gt;0")</f>
        <v>0</v>
      </c>
      <c r="BG958" t="str">
        <f t="array" ref="BG958">IF(BA958=1,INDEX($X$7:$AN$7,MATCH(TRUE,INDEX($X958:$AY958&lt;&gt;0,),0)),IF(BA958=0,INDEX($AO$7:$AY$7,MATCH(1,$AO958:$AY958,0)),IF(BH958="Multiple strategies","mixed drivers",IF(BH958="Supply chain","multiple supply","multiple silviculture"))))</f>
        <v xml:space="preserve">end of life disposal </v>
      </c>
      <c r="BH958" s="2" t="str" cm="1">
        <f t="array" ref="BH958">IF(COUNTIF(BB958:BD958,"&lt;&gt;0")=1,INDEX($X$4:$AY$4,MATCH(TRUE,INDEX($X958:$AY958&lt;&gt;0,),0)),IF(COUNTIF(BB958:BD958,"&lt;&gt;0")=0,INDEX($AO$4:$AY$4,MATCH(1,$AO958:$AY958,0)),"Multiple strategies"))</f>
        <v>Supply chain</v>
      </c>
      <c r="BI958" s="1" t="s">
        <v>229</v>
      </c>
      <c r="BJ958" t="s">
        <v>713</v>
      </c>
      <c r="BK958" s="256" t="s">
        <v>3001</v>
      </c>
      <c r="BL958" s="260" t="s">
        <v>345</v>
      </c>
      <c r="BM958" s="256">
        <f xml:space="preserve"> 5341+3892+7551+1439+923+477</f>
        <v>19623</v>
      </c>
      <c r="BN958" s="256">
        <f xml:space="preserve"> 5341+3892+7551+1439+923+477</f>
        <v>19623</v>
      </c>
      <c r="BO958">
        <v>1</v>
      </c>
      <c r="BP958">
        <f>BN958-BM958</f>
        <v>0</v>
      </c>
      <c r="BQ958">
        <v>0</v>
      </c>
      <c r="BR958" s="256" t="s">
        <v>395</v>
      </c>
      <c r="BS958" s="256" t="s">
        <v>3002</v>
      </c>
      <c r="BT958" t="s">
        <v>397</v>
      </c>
      <c r="BU958" s="256">
        <f>7475</f>
        <v>7475</v>
      </c>
      <c r="BV958" s="256">
        <f>9761</f>
        <v>9761</v>
      </c>
      <c r="BW958" s="144">
        <f>IFERROR(BV958/BU958,"")</f>
        <v>1.305819397993311</v>
      </c>
      <c r="BX958">
        <f>BV958-BU958</f>
        <v>2286</v>
      </c>
      <c r="BZ958">
        <f>BX958/1000</f>
        <v>2.286</v>
      </c>
      <c r="CA958" t="str">
        <f>IFERROR(BZ958/BQ958,"")</f>
        <v/>
      </c>
      <c r="CB958">
        <v>0</v>
      </c>
      <c r="CC958">
        <v>0</v>
      </c>
      <c r="CD958">
        <v>0</v>
      </c>
      <c r="CE958">
        <v>0</v>
      </c>
      <c r="CF958">
        <v>0</v>
      </c>
      <c r="CG958">
        <v>0</v>
      </c>
      <c r="CH958">
        <v>0</v>
      </c>
      <c r="CI958">
        <v>0</v>
      </c>
      <c r="CJ958">
        <v>0</v>
      </c>
      <c r="CK958">
        <v>0</v>
      </c>
      <c r="CL958">
        <v>0</v>
      </c>
      <c r="CM958">
        <v>0</v>
      </c>
      <c r="CN958">
        <v>0</v>
      </c>
      <c r="CO958">
        <v>0</v>
      </c>
      <c r="CP958" t="str">
        <f>IF($BN958&lt;$BM958,"refNeedCorrection","refOK")</f>
        <v>refOK</v>
      </c>
      <c r="CQ958">
        <f>IF($CP958="refNeedCorrection",BN958,BM958)</f>
        <v>19623</v>
      </c>
      <c r="CR958">
        <f>IF($CP958="refNeedCorrection",BM958,BN958)</f>
        <v>19623</v>
      </c>
      <c r="CS958">
        <f>IF($CP958="refOK",$BQ958,-$BQ958)</f>
        <v>0</v>
      </c>
      <c r="CT958">
        <f>IF(BI958="Roundwood",$CS958/2,$CS958)</f>
        <v>0</v>
      </c>
      <c r="CU958">
        <f>IF($CP958="refOK",$BU958,$BV958)*IF($BR958="Emissions positive",-1,1)</f>
        <v>-7475</v>
      </c>
      <c r="CV958">
        <f>IF($CP958="refOK",$BV958,$BU958)*IF($BR958="Emissions positive",-1,1)</f>
        <v>-9761</v>
      </c>
      <c r="CW958">
        <f>IF($CP958="refNeedCorrection",-BZ958,BZ958)*IF($BR958="Emissions positive",-1,1)</f>
        <v>-2.286</v>
      </c>
      <c r="CX958" t="str">
        <f>IFERROR($CW958/$CS958,"")</f>
        <v/>
      </c>
      <c r="CY958" t="str">
        <f>IFERROR($CW958/$CS958,"")</f>
        <v/>
      </c>
      <c r="CZ958" t="str">
        <f>IFERROR($CW958/$CT958,"")</f>
        <v/>
      </c>
      <c r="DA958" s="2">
        <f>IFERROR((CV958-CU958)/ABS(CU958),"")</f>
        <v>-0.30581939799331104</v>
      </c>
      <c r="DB958" s="1" t="s">
        <v>263</v>
      </c>
      <c r="DC958" t="str">
        <f>IF(OR($DB958="prd",$DB958="std",$DB958="cit"),"loc",IF(OR($DB958="eur",$DB958="reg",$DB958="coy"),"reg",$DB958))</f>
        <v>loc</v>
      </c>
      <c r="DD958" t="s">
        <v>715</v>
      </c>
      <c r="DG958">
        <v>100</v>
      </c>
      <c r="DH958" t="str">
        <f>IF(DG958=0,"0",IF(AND(DG958&gt;=1,DG958&lt;=30),"1-30",IF(AND(DG958&gt;30,DG958&lt;=70),"31-70",IF(AND(DG958&gt;70,DG958&lt;=100),"71-100",IF(DG958&gt;100,"+100")))))</f>
        <v>71-100</v>
      </c>
      <c r="DI958">
        <v>0</v>
      </c>
      <c r="DJ958">
        <v>0</v>
      </c>
      <c r="DK958">
        <v>0</v>
      </c>
      <c r="DL958">
        <v>1</v>
      </c>
      <c r="DN958">
        <f>SUM(DI958:DL958)</f>
        <v>1</v>
      </c>
      <c r="DO958" t="str">
        <f>IF(DN958=1,INDEX($DI$7:$DL$7,MATCH(1,$DI958:$DL958,0)),"mixedProduct")</f>
        <v>TimberInput</v>
      </c>
      <c r="DP958">
        <f>IF(DI958=1,DP$7,0)</f>
        <v>0</v>
      </c>
      <c r="DQ958">
        <f>IF(DJ958=1,DQ$7,0)</f>
        <v>0</v>
      </c>
      <c r="DR958">
        <f>IF(DK958=1,DR$7,0)</f>
        <v>0</v>
      </c>
      <c r="DS958" t="str">
        <f>IF(DL958=1,DS$7,0)</f>
        <v>Timber</v>
      </c>
      <c r="DT958">
        <v>0</v>
      </c>
      <c r="DU958">
        <v>0</v>
      </c>
      <c r="DV958">
        <v>0</v>
      </c>
      <c r="DW958">
        <v>0</v>
      </c>
      <c r="DX958">
        <v>0</v>
      </c>
      <c r="DY958">
        <f>SUM(DT958:DU958)</f>
        <v>0</v>
      </c>
      <c r="DZ958" s="143" t="str">
        <f>IF(DT958=1,"self-calculated DF",IF(DU958=1,"external DF used","explicit C balance"))</f>
        <v>explicit C balance</v>
      </c>
      <c r="EA958">
        <v>0</v>
      </c>
      <c r="EB958">
        <v>0</v>
      </c>
      <c r="EC958">
        <v>0</v>
      </c>
      <c r="ED958">
        <v>1</v>
      </c>
      <c r="EE958">
        <v>1</v>
      </c>
      <c r="EF958">
        <v>1</v>
      </c>
      <c r="EG958">
        <v>0</v>
      </c>
      <c r="EH958">
        <v>1</v>
      </c>
      <c r="EI958">
        <v>1</v>
      </c>
      <c r="EJ958">
        <v>1</v>
      </c>
      <c r="EK958">
        <v>0</v>
      </c>
      <c r="EL958">
        <v>0</v>
      </c>
      <c r="EM958">
        <v>0</v>
      </c>
      <c r="EN958" s="2">
        <v>0</v>
      </c>
      <c r="EP958" t="str">
        <f>IF(AND(AND(AND(OR($EC958=1,$EB958=1),OR($EH958=1,$EF958=1)),SUM($EA958:$EE958,$EK958)&gt;=3),SUM($EF958:$EJ958)&gt;=2),"Whole sector approach","")</f>
        <v/>
      </c>
      <c r="EQ958" t="str">
        <f>IF(AND(AND(OR($EC958=1,$EB958=1),AND($EH958=0,$EF958=0)),SUM($EA958:$EE958,$EK958)&gt;=4),"Ecosystem approach","")</f>
        <v/>
      </c>
      <c r="ER958" s="2" t="str">
        <f>IF(AND(AND(AND($EC958=0,$EB958=0),OR($EH958=1,$EF958=1)),SUM($EG958:$EJ958)&gt;=2),"Technology approach","")</f>
        <v>Technology approach</v>
      </c>
      <c r="ES958" t="str">
        <f>IF(AND($EC958+$EB958+$EE958+$EA958+$ED958+$EG958=0,$N958="included"),"C neutral forest and HWP assumption","")</f>
        <v/>
      </c>
      <c r="ET958" t="str">
        <f>IF(AND(AND(AND(AND($EC958=1,$EB958+$EA958+$EG958&gt;=1),$EF958=1),$EH958+$EI958+$ED958+$EE958&gt;=2),$N958="included"),"All C pools assumption","")</f>
        <v/>
      </c>
      <c r="EU958" t="str">
        <f>IF(AND($ED958+$EE958+$EI958+$EH958+$EF958=0,$N958="included"),"In-situ only assumption","")</f>
        <v/>
      </c>
      <c r="EY958" t="b">
        <f>IF(ISNUMBER(BW958),IF(ABS(BW958-[6]QC_indicators!$B$2)&gt;3*[6]QC_indicators!$C$2,"C ratio",IF(ISNUMBER(CA958),IF(ABS(CA958-[6]QC_indicators!$B$1)&gt;3*[6]QC_indicators!$C$1,"DF","no"))),IF(ISNUMBER(CA958),IF(ABS(CA958-[6]QC_indicators!$B$1)&gt;3*[6]QC_indicators!$C$1,"DF","no")))</f>
        <v>0</v>
      </c>
      <c r="FA958" t="str">
        <f>IF(LEN($CY958)=0,"",IF(AND($CY958&lt;(-0.05),$ES958="C neutral forest and HWP assumption"),"Cneutral paradox",IF(AND($CY958&gt;0.05,$EU958="In-situ only assumption"),"In-situ only paradox","")))</f>
        <v/>
      </c>
      <c r="FD958" s="260" t="s">
        <v>2948</v>
      </c>
    </row>
    <row r="959" spans="1:160" ht="15" hidden="1" customHeight="1">
      <c r="A959" s="1" t="s">
        <v>333</v>
      </c>
      <c r="B959" t="s">
        <v>705</v>
      </c>
      <c r="C959" t="s">
        <v>706</v>
      </c>
      <c r="D959" t="s">
        <v>707</v>
      </c>
      <c r="E959" t="s">
        <v>708</v>
      </c>
      <c r="F959" t="s">
        <v>709</v>
      </c>
      <c r="G959" t="s">
        <v>339</v>
      </c>
      <c r="H959" t="s">
        <v>254</v>
      </c>
      <c r="I959">
        <v>2015</v>
      </c>
      <c r="J959">
        <v>86</v>
      </c>
      <c r="K959" t="s">
        <v>710</v>
      </c>
      <c r="M959" t="str">
        <f>LEFT($D959,FIND(",",$D959)-1)&amp;"_"&amp;I959&amp;L959</f>
        <v>Fouquet_2015</v>
      </c>
      <c r="N959" t="s">
        <v>222</v>
      </c>
      <c r="O959" s="145" t="s">
        <v>274</v>
      </c>
      <c r="Q959" t="s">
        <v>256</v>
      </c>
      <c r="R959" s="251" t="s">
        <v>225</v>
      </c>
      <c r="S959" s="1" t="s">
        <v>716</v>
      </c>
      <c r="T959" s="260" t="s">
        <v>3004</v>
      </c>
      <c r="U959" s="260" t="s">
        <v>3005</v>
      </c>
      <c r="V959" s="253">
        <v>0</v>
      </c>
      <c r="W959" s="253">
        <v>0</v>
      </c>
      <c r="X959">
        <v>0</v>
      </c>
      <c r="Y959">
        <v>0</v>
      </c>
      <c r="Z959">
        <v>0</v>
      </c>
      <c r="AA959">
        <v>0</v>
      </c>
      <c r="AB959">
        <v>0</v>
      </c>
      <c r="AC959">
        <v>0</v>
      </c>
      <c r="AD959">
        <v>0</v>
      </c>
      <c r="AE959">
        <v>0</v>
      </c>
      <c r="AF959">
        <v>0</v>
      </c>
      <c r="AG959">
        <v>0</v>
      </c>
      <c r="AH959">
        <v>0</v>
      </c>
      <c r="AI959">
        <v>0</v>
      </c>
      <c r="AJ959">
        <v>0</v>
      </c>
      <c r="AK959">
        <v>0</v>
      </c>
      <c r="AL959">
        <v>0</v>
      </c>
      <c r="AM959">
        <v>1</v>
      </c>
      <c r="AN959">
        <v>0</v>
      </c>
      <c r="AO959">
        <v>0</v>
      </c>
      <c r="AP959">
        <v>0</v>
      </c>
      <c r="AQ959">
        <v>0</v>
      </c>
      <c r="AR959">
        <v>0</v>
      </c>
      <c r="AS959">
        <v>0</v>
      </c>
      <c r="AT959">
        <v>0</v>
      </c>
      <c r="AU959">
        <v>0</v>
      </c>
      <c r="AV959">
        <v>0</v>
      </c>
      <c r="AW959">
        <v>0</v>
      </c>
      <c r="AX959">
        <v>0</v>
      </c>
      <c r="AY959">
        <v>0</v>
      </c>
      <c r="AZ959" s="141">
        <f>COUNTIF(X959:AY959,"&lt;&gt;0")</f>
        <v>1</v>
      </c>
      <c r="BA959" s="141">
        <f>COUNTIF(X959:AN959,"&lt;&gt;0")</f>
        <v>1</v>
      </c>
      <c r="BB959">
        <f>COUNTIF(X959:AE959,"&lt;&gt;0")</f>
        <v>0</v>
      </c>
      <c r="BC959">
        <f>COUNTIF(AF959:AK959,"&lt;&gt;0")</f>
        <v>0</v>
      </c>
      <c r="BD959">
        <f>COUNTIF(AL959:AN959,"&lt;&gt;0")</f>
        <v>1</v>
      </c>
      <c r="BE959">
        <f>COUNTIF(AU959:AY959,"&lt;&gt;0")</f>
        <v>0</v>
      </c>
      <c r="BF959">
        <f>COUNTIF(AO959:AT959,"&lt;&gt;0")</f>
        <v>0</v>
      </c>
      <c r="BG959" t="str">
        <f t="array" ref="BG959">IF(BA959=1,INDEX($X$7:$AN$7,MATCH(TRUE,INDEX($X959:$AY959&lt;&gt;0,),0)),IF(BA959=0,INDEX($AO$7:$AY$7,MATCH(1,$AO959:$AY959,0)),IF(BH959="Multiple strategies","mixed drivers",IF(BH959="Supply chain","multiple supply","multiple silviculture"))))</f>
        <v>technologies/design switch</v>
      </c>
      <c r="BH959" s="2" t="str" cm="1">
        <f t="array" ref="BH959">IF(COUNTIF(BB959:BD959,"&lt;&gt;0")=1,INDEX($X$4:$AY$4,MATCH(TRUE,INDEX($X959:$AY959&lt;&gt;0,),0)),IF(COUNTIF(BB959:BD959,"&lt;&gt;0")=0,INDEX($AO$4:$AY$4,MATCH(1,$AO959:$AY959,0)),"Multiple strategies"))</f>
        <v>Technology</v>
      </c>
      <c r="BI959" s="1" t="s">
        <v>229</v>
      </c>
      <c r="BJ959" t="s">
        <v>713</v>
      </c>
      <c r="BK959" s="256" t="s">
        <v>3001</v>
      </c>
      <c r="BL959" s="256" t="s">
        <v>345</v>
      </c>
      <c r="BM959" s="256">
        <v>477</v>
      </c>
      <c r="BN959" s="256">
        <f xml:space="preserve"> 5341+3892+7551+1439+923+477</f>
        <v>19623</v>
      </c>
      <c r="BP959">
        <f>BN959-BM959</f>
        <v>19146</v>
      </c>
      <c r="BQ959" s="256">
        <f>BP959/1000*tC_to_m3</f>
        <v>83.135041250542784</v>
      </c>
      <c r="BR959" s="256" t="s">
        <v>395</v>
      </c>
      <c r="BS959" s="256" t="s">
        <v>3002</v>
      </c>
      <c r="BT959" t="s">
        <v>397</v>
      </c>
      <c r="BU959" s="256">
        <v>176247</v>
      </c>
      <c r="BV959" s="256">
        <f>7475</f>
        <v>7475</v>
      </c>
      <c r="BW959" s="144">
        <f>IFERROR(BV959/BU959,"")</f>
        <v>4.2412069425295185E-2</v>
      </c>
      <c r="BX959">
        <f>BV959-BU959</f>
        <v>-168772</v>
      </c>
      <c r="BZ959">
        <f>BX959/1000</f>
        <v>-168.77199999999999</v>
      </c>
      <c r="CA959">
        <f>IFERROR(BZ959/BQ959,"")</f>
        <v>-2.0300946202862211</v>
      </c>
      <c r="CB959">
        <v>0</v>
      </c>
      <c r="CC959">
        <v>0</v>
      </c>
      <c r="CD959">
        <v>0</v>
      </c>
      <c r="CE959">
        <v>0</v>
      </c>
      <c r="CF959">
        <v>0</v>
      </c>
      <c r="CG959">
        <v>0</v>
      </c>
      <c r="CH959">
        <v>0</v>
      </c>
      <c r="CI959">
        <v>0</v>
      </c>
      <c r="CJ959">
        <v>0</v>
      </c>
      <c r="CK959">
        <v>0</v>
      </c>
      <c r="CL959">
        <v>0</v>
      </c>
      <c r="CM959">
        <v>0</v>
      </c>
      <c r="CN959">
        <v>0</v>
      </c>
      <c r="CO959">
        <v>0</v>
      </c>
      <c r="CP959" t="str">
        <f>IF($BN959&lt;$BM959,"refNeedCorrection","refOK")</f>
        <v>refOK</v>
      </c>
      <c r="CQ959">
        <f>IF($CP959="refNeedCorrection",BN959,BM959)</f>
        <v>477</v>
      </c>
      <c r="CR959">
        <f>IF($CP959="refNeedCorrection",BM959,BN959)</f>
        <v>19623</v>
      </c>
      <c r="CS959">
        <f>IF($CP959="refOK",$BQ959,-$BQ959)</f>
        <v>83.135041250542784</v>
      </c>
      <c r="CT959">
        <f>IF(BI959="Roundwood",$CS959/2,$CS959)</f>
        <v>83.135041250542784</v>
      </c>
      <c r="CU959">
        <f>IF($CP959="refOK",$BU959,$BV959)*IF($BR959="Emissions positive",-1,1)</f>
        <v>-176247</v>
      </c>
      <c r="CV959">
        <f>IF($CP959="refOK",$BV959,$BU959)*IF($BR959="Emissions positive",-1,1)</f>
        <v>-7475</v>
      </c>
      <c r="CW959">
        <f>IF($CP959="refNeedCorrection",-BZ959,BZ959)*IF($BR959="Emissions positive",-1,1)</f>
        <v>168.77199999999999</v>
      </c>
      <c r="CX959">
        <f>IFERROR($CW959/$CS959,"")</f>
        <v>2.0300946202862211</v>
      </c>
      <c r="CY959">
        <f>IFERROR($CW959/$CS959,"")</f>
        <v>2.0300946202862211</v>
      </c>
      <c r="CZ959">
        <f>IFERROR($CW959/$CT959,"")</f>
        <v>2.0300946202862211</v>
      </c>
      <c r="DA959" s="2">
        <f>IFERROR((CV959-CU959)/ABS(CU959),"")</f>
        <v>0.95758793057470482</v>
      </c>
      <c r="DB959" s="1" t="s">
        <v>263</v>
      </c>
      <c r="DC959" t="str">
        <f>IF(OR($DB959="prd",$DB959="std",$DB959="cit"),"loc",IF(OR($DB959="eur",$DB959="reg",$DB959="coy"),"reg",$DB959))</f>
        <v>loc</v>
      </c>
      <c r="DD959" t="s">
        <v>715</v>
      </c>
      <c r="DG959">
        <v>100</v>
      </c>
      <c r="DH959" t="str">
        <f>IF(DG959=0,"0",IF(AND(DG959&gt;=1,DG959&lt;=30),"1-30",IF(AND(DG959&gt;30,DG959&lt;=70),"31-70",IF(AND(DG959&gt;70,DG959&lt;=100),"71-100",IF(DG959&gt;100,"+100")))))</f>
        <v>71-100</v>
      </c>
      <c r="DI959">
        <v>0</v>
      </c>
      <c r="DJ959">
        <v>0</v>
      </c>
      <c r="DK959">
        <v>0</v>
      </c>
      <c r="DL959">
        <v>1</v>
      </c>
      <c r="DN959">
        <f>SUM(DI959:DL959)</f>
        <v>1</v>
      </c>
      <c r="DO959" t="str">
        <f>IF(DN959=1,INDEX($DI$7:$DL$7,MATCH(1,$DI959:$DL959,0)),"mixedProduct")</f>
        <v>TimberInput</v>
      </c>
      <c r="DP959">
        <f>IF(DI959=1,DP$7,0)</f>
        <v>0</v>
      </c>
      <c r="DQ959">
        <f>IF(DJ959=1,DQ$7,0)</f>
        <v>0</v>
      </c>
      <c r="DR959">
        <f>IF(DK959=1,DR$7,0)</f>
        <v>0</v>
      </c>
      <c r="DS959" t="str">
        <f>IF(DL959=1,DS$7,0)</f>
        <v>Timber</v>
      </c>
      <c r="DT959">
        <v>0</v>
      </c>
      <c r="DU959">
        <v>0</v>
      </c>
      <c r="DV959">
        <v>0</v>
      </c>
      <c r="DW959">
        <v>0</v>
      </c>
      <c r="DX959">
        <v>0</v>
      </c>
      <c r="DY959">
        <f>SUM(DT959:DU959)</f>
        <v>0</v>
      </c>
      <c r="DZ959" s="143" t="str">
        <f>IF(DT959=1,"self-calculated DF",IF(DU959=1,"external DF used","explicit C balance"))</f>
        <v>explicit C balance</v>
      </c>
      <c r="EA959">
        <v>0</v>
      </c>
      <c r="EB959">
        <v>0</v>
      </c>
      <c r="EC959">
        <v>0</v>
      </c>
      <c r="ED959">
        <v>1</v>
      </c>
      <c r="EE959">
        <v>1</v>
      </c>
      <c r="EF959">
        <v>1</v>
      </c>
      <c r="EG959">
        <v>0</v>
      </c>
      <c r="EH959">
        <v>1</v>
      </c>
      <c r="EI959">
        <v>1</v>
      </c>
      <c r="EJ959">
        <v>1</v>
      </c>
      <c r="EK959">
        <v>0</v>
      </c>
      <c r="EL959">
        <v>0</v>
      </c>
      <c r="EM959">
        <v>0</v>
      </c>
      <c r="EN959" s="2">
        <v>0</v>
      </c>
      <c r="EP959" t="str">
        <f>IF(AND(AND(AND(OR($EC959=1,$EB959=1),OR($EH959=1,$EF959=1)),SUM($EA959:$EE959,$EK959)&gt;=3),SUM($EF959:$EJ959)&gt;=2),"Whole sector approach","")</f>
        <v/>
      </c>
      <c r="EQ959" t="str">
        <f>IF(AND(AND(OR($EC959=1,$EB959=1),AND($EH959=0,$EF959=0)),SUM($EA959:$EE959,$EK959)&gt;=4),"Ecosystem approach","")</f>
        <v/>
      </c>
      <c r="ER959" s="2" t="str">
        <f>IF(AND(AND(AND($EC959=0,$EB959=0),OR($EH959=1,$EF959=1)),SUM($EG959:$EJ959)&gt;=2),"Technology approach","")</f>
        <v>Technology approach</v>
      </c>
      <c r="ES959" t="str">
        <f>IF(AND($EC959+$EB959+$EE959+$EA959+$ED959+$EG959=0,$N959="included"),"C neutral forest and HWP assumption","")</f>
        <v/>
      </c>
      <c r="ET959" t="str">
        <f>IF(AND(AND(AND(AND($EC959=1,$EB959+$EA959+$EG959&gt;=1),$EF959=1),$EH959+$EI959+$ED959+$EE959&gt;=2),$N959="included"),"All C pools assumption","")</f>
        <v/>
      </c>
      <c r="EU959" t="str">
        <f>IF(AND($ED959+$EE959+$EI959+$EH959+$EF959=0,$N959="included"),"In-situ only assumption","")</f>
        <v/>
      </c>
      <c r="EY959" t="str">
        <f>IF(ISNUMBER(BW959),IF(ABS(BW959-[6]QC_indicators!$B$2)&gt;3*[6]QC_indicators!$C$2,"C ratio",IF(ISNUMBER(CA959),IF(ABS(CA959-[6]QC_indicators!$B$1)&gt;3*[6]QC_indicators!$C$1,"DF","no"))),IF(ISNUMBER(CA959),IF(ABS(CA959-[6]QC_indicators!$B$1)&gt;3*[6]QC_indicators!$C$1,"DF","no")))</f>
        <v>no</v>
      </c>
      <c r="FA959" t="str">
        <f>IF(LEN($CY959)=0,"",IF(AND($CY959&lt;(-0.05),$ES959="C neutral forest and HWP assumption"),"Cneutral paradox",IF(AND($CY959&gt;0.05,$EU959="In-situ only assumption"),"In-situ only paradox","")))</f>
        <v/>
      </c>
      <c r="FD959" s="260" t="s">
        <v>2948</v>
      </c>
    </row>
    <row r="960" spans="1:160" ht="15" hidden="1" customHeight="1">
      <c r="A960" s="1" t="s">
        <v>333</v>
      </c>
      <c r="B960" t="s">
        <v>705</v>
      </c>
      <c r="C960" t="s">
        <v>706</v>
      </c>
      <c r="D960" t="s">
        <v>707</v>
      </c>
      <c r="E960" t="s">
        <v>708</v>
      </c>
      <c r="F960" t="s">
        <v>709</v>
      </c>
      <c r="G960" t="s">
        <v>339</v>
      </c>
      <c r="H960" t="s">
        <v>254</v>
      </c>
      <c r="I960">
        <v>2015</v>
      </c>
      <c r="J960">
        <v>86</v>
      </c>
      <c r="K960" t="s">
        <v>710</v>
      </c>
      <c r="M960" t="str">
        <f>LEFT($D960,FIND(",",$D960)-1)&amp;"_"&amp;I960&amp;L960</f>
        <v>Fouquet_2015</v>
      </c>
      <c r="N960" t="s">
        <v>222</v>
      </c>
      <c r="O960" s="145" t="s">
        <v>274</v>
      </c>
      <c r="Q960" t="s">
        <v>256</v>
      </c>
      <c r="R960" s="251" t="s">
        <v>225</v>
      </c>
      <c r="S960" s="1" t="s">
        <v>716</v>
      </c>
      <c r="T960" s="260" t="s">
        <v>3004</v>
      </c>
      <c r="U960" s="260" t="s">
        <v>3007</v>
      </c>
      <c r="V960" s="253">
        <v>0</v>
      </c>
      <c r="W960" s="253">
        <v>0</v>
      </c>
      <c r="X960">
        <v>0</v>
      </c>
      <c r="Y960">
        <v>0</v>
      </c>
      <c r="Z960">
        <v>0</v>
      </c>
      <c r="AA960">
        <v>0</v>
      </c>
      <c r="AB960">
        <v>0</v>
      </c>
      <c r="AC960">
        <v>0</v>
      </c>
      <c r="AD960">
        <v>0</v>
      </c>
      <c r="AE960">
        <v>0</v>
      </c>
      <c r="AF960">
        <v>0</v>
      </c>
      <c r="AG960">
        <v>0</v>
      </c>
      <c r="AH960">
        <v>0</v>
      </c>
      <c r="AI960">
        <v>0</v>
      </c>
      <c r="AJ960">
        <v>0</v>
      </c>
      <c r="AK960">
        <v>0</v>
      </c>
      <c r="AL960">
        <v>0</v>
      </c>
      <c r="AM960">
        <v>1</v>
      </c>
      <c r="AN960">
        <v>0</v>
      </c>
      <c r="AO960">
        <v>0</v>
      </c>
      <c r="AP960">
        <v>0</v>
      </c>
      <c r="AQ960">
        <v>0</v>
      </c>
      <c r="AR960">
        <v>0</v>
      </c>
      <c r="AS960">
        <v>0</v>
      </c>
      <c r="AT960">
        <v>0</v>
      </c>
      <c r="AU960">
        <v>0</v>
      </c>
      <c r="AV960">
        <v>0</v>
      </c>
      <c r="AW960">
        <v>0</v>
      </c>
      <c r="AX960">
        <v>0</v>
      </c>
      <c r="AY960">
        <v>0</v>
      </c>
      <c r="AZ960" s="141">
        <f>COUNTIF(X960:AY960,"&lt;&gt;0")</f>
        <v>1</v>
      </c>
      <c r="BA960" s="141">
        <f>COUNTIF(X960:AN960,"&lt;&gt;0")</f>
        <v>1</v>
      </c>
      <c r="BB960">
        <f>COUNTIF(X960:AE960,"&lt;&gt;0")</f>
        <v>0</v>
      </c>
      <c r="BC960">
        <f>COUNTIF(AF960:AK960,"&lt;&gt;0")</f>
        <v>0</v>
      </c>
      <c r="BD960">
        <f>COUNTIF(AL960:AN960,"&lt;&gt;0")</f>
        <v>1</v>
      </c>
      <c r="BE960">
        <f>COUNTIF(AU960:AY960,"&lt;&gt;0")</f>
        <v>0</v>
      </c>
      <c r="BF960">
        <f>COUNTIF(AO960:AT960,"&lt;&gt;0")</f>
        <v>0</v>
      </c>
      <c r="BG960" t="str">
        <f t="array" ref="BG960">IF(BA960=1,INDEX($X$7:$AN$7,MATCH(TRUE,INDEX($X960:$AY960&lt;&gt;0,),0)),IF(BA960=0,INDEX($AO$7:$AY$7,MATCH(1,$AO960:$AY960,0)),IF(BH960="Multiple strategies","mixed drivers",IF(BH960="Supply chain","multiple supply","multiple silviculture"))))</f>
        <v>technologies/design switch</v>
      </c>
      <c r="BH960" s="2" t="str" cm="1">
        <f t="array" ref="BH960">IF(COUNTIF(BB960:BD960,"&lt;&gt;0")=1,INDEX($X$4:$AY$4,MATCH(TRUE,INDEX($X960:$AY960&lt;&gt;0,),0)),IF(COUNTIF(BB960:BD960,"&lt;&gt;0")=0,INDEX($AO$4:$AY$4,MATCH(1,$AO960:$AY960,0)),"Multiple strategies"))</f>
        <v>Technology</v>
      </c>
      <c r="BI960" s="1" t="s">
        <v>229</v>
      </c>
      <c r="BJ960" t="s">
        <v>713</v>
      </c>
      <c r="BK960" s="256" t="s">
        <v>3001</v>
      </c>
      <c r="BL960" s="256" t="s">
        <v>345</v>
      </c>
      <c r="BM960" s="256">
        <v>477</v>
      </c>
      <c r="BN960" s="256">
        <f xml:space="preserve"> 5341+3892+7551+1439+923+477</f>
        <v>19623</v>
      </c>
      <c r="BP960">
        <f>BN960-BM960</f>
        <v>19146</v>
      </c>
      <c r="BQ960" s="256">
        <f>BP960/1000*tC_to_m3</f>
        <v>83.135041250542784</v>
      </c>
      <c r="BR960" s="256" t="s">
        <v>395</v>
      </c>
      <c r="BS960" s="256" t="s">
        <v>3002</v>
      </c>
      <c r="BT960" t="s">
        <v>397</v>
      </c>
      <c r="BU960" s="256">
        <v>176247</v>
      </c>
      <c r="BV960" s="256">
        <f>9761</f>
        <v>9761</v>
      </c>
      <c r="BW960" s="144">
        <f>IFERROR(BV960/BU960,"")</f>
        <v>5.5382502964589471E-2</v>
      </c>
      <c r="BX960">
        <f>BV960-BU960</f>
        <v>-166486</v>
      </c>
      <c r="BZ960">
        <f>BX960/1000</f>
        <v>-166.48599999999999</v>
      </c>
      <c r="CA960">
        <f>IFERROR(BZ960/BQ960,"")</f>
        <v>-2.0025971900135793</v>
      </c>
      <c r="CB960">
        <v>0</v>
      </c>
      <c r="CC960">
        <v>0</v>
      </c>
      <c r="CD960">
        <v>0</v>
      </c>
      <c r="CE960">
        <v>0</v>
      </c>
      <c r="CF960">
        <v>0</v>
      </c>
      <c r="CG960">
        <v>0</v>
      </c>
      <c r="CH960">
        <v>0</v>
      </c>
      <c r="CI960">
        <v>0</v>
      </c>
      <c r="CJ960">
        <v>0</v>
      </c>
      <c r="CK960">
        <v>0</v>
      </c>
      <c r="CL960">
        <v>0</v>
      </c>
      <c r="CM960">
        <v>0</v>
      </c>
      <c r="CN960">
        <v>0</v>
      </c>
      <c r="CO960">
        <v>0</v>
      </c>
      <c r="CP960" t="str">
        <f>IF($BN960&lt;$BM960,"refNeedCorrection","refOK")</f>
        <v>refOK</v>
      </c>
      <c r="CQ960">
        <f>IF($CP960="refNeedCorrection",BN960,BM960)</f>
        <v>477</v>
      </c>
      <c r="CR960">
        <f>IF($CP960="refNeedCorrection",BM960,BN960)</f>
        <v>19623</v>
      </c>
      <c r="CS960">
        <f>IF($CP960="refOK",$BQ960,-$BQ960)</f>
        <v>83.135041250542784</v>
      </c>
      <c r="CT960">
        <f>IF(BI960="Roundwood",$CS960/2,$CS960)</f>
        <v>83.135041250542784</v>
      </c>
      <c r="CU960">
        <f>IF($CP960="refOK",$BU960,$BV960)*IF($BR960="Emissions positive",-1,1)</f>
        <v>-176247</v>
      </c>
      <c r="CV960">
        <f>IF($CP960="refOK",$BV960,$BU960)*IF($BR960="Emissions positive",-1,1)</f>
        <v>-9761</v>
      </c>
      <c r="CW960">
        <f>IF($CP960="refNeedCorrection",-BZ960,BZ960)*IF($BR960="Emissions positive",-1,1)</f>
        <v>166.48599999999999</v>
      </c>
      <c r="CX960">
        <f>IFERROR($CW960/$CS960,"")</f>
        <v>2.0025971900135793</v>
      </c>
      <c r="CY960">
        <f>IFERROR($CW960/$CS960,"")</f>
        <v>2.0025971900135793</v>
      </c>
      <c r="CZ960">
        <f>IFERROR($CW960/$CT960,"")</f>
        <v>2.0025971900135793</v>
      </c>
      <c r="DA960" s="2">
        <f>IFERROR((CV960-CU960)/ABS(CU960),"")</f>
        <v>0.94461749703541054</v>
      </c>
      <c r="DB960" s="1" t="s">
        <v>263</v>
      </c>
      <c r="DC960" t="str">
        <f>IF(OR($DB960="prd",$DB960="std",$DB960="cit"),"loc",IF(OR($DB960="eur",$DB960="reg",$DB960="coy"),"reg",$DB960))</f>
        <v>loc</v>
      </c>
      <c r="DD960" t="s">
        <v>715</v>
      </c>
      <c r="DG960">
        <v>100</v>
      </c>
      <c r="DH960" t="str">
        <f>IF(DG960=0,"0",IF(AND(DG960&gt;=1,DG960&lt;=30),"1-30",IF(AND(DG960&gt;30,DG960&lt;=70),"31-70",IF(AND(DG960&gt;70,DG960&lt;=100),"71-100",IF(DG960&gt;100,"+100")))))</f>
        <v>71-100</v>
      </c>
      <c r="DI960">
        <v>0</v>
      </c>
      <c r="DJ960">
        <v>0</v>
      </c>
      <c r="DK960">
        <v>0</v>
      </c>
      <c r="DL960">
        <v>1</v>
      </c>
      <c r="DN960">
        <f>SUM(DI960:DL960)</f>
        <v>1</v>
      </c>
      <c r="DO960" t="str">
        <f>IF(DN960=1,INDEX($DI$7:$DL$7,MATCH(1,$DI960:$DL960,0)),"mixedProduct")</f>
        <v>TimberInput</v>
      </c>
      <c r="DP960">
        <f>IF(DI960=1,DP$7,0)</f>
        <v>0</v>
      </c>
      <c r="DQ960">
        <f>IF(DJ960=1,DQ$7,0)</f>
        <v>0</v>
      </c>
      <c r="DR960">
        <f>IF(DK960=1,DR$7,0)</f>
        <v>0</v>
      </c>
      <c r="DS960" t="str">
        <f>IF(DL960=1,DS$7,0)</f>
        <v>Timber</v>
      </c>
      <c r="DT960">
        <v>0</v>
      </c>
      <c r="DU960">
        <v>0</v>
      </c>
      <c r="DV960">
        <v>0</v>
      </c>
      <c r="DW960">
        <v>0</v>
      </c>
      <c r="DX960">
        <v>0</v>
      </c>
      <c r="DY960">
        <f>SUM(DT960:DU960)</f>
        <v>0</v>
      </c>
      <c r="DZ960" s="143" t="str">
        <f>IF(DT960=1,"self-calculated DF",IF(DU960=1,"external DF used","explicit C balance"))</f>
        <v>explicit C balance</v>
      </c>
      <c r="EA960">
        <v>0</v>
      </c>
      <c r="EB960">
        <v>0</v>
      </c>
      <c r="EC960">
        <v>0</v>
      </c>
      <c r="ED960">
        <v>1</v>
      </c>
      <c r="EE960">
        <v>1</v>
      </c>
      <c r="EF960">
        <v>1</v>
      </c>
      <c r="EG960">
        <v>0</v>
      </c>
      <c r="EH960">
        <v>1</v>
      </c>
      <c r="EI960">
        <v>1</v>
      </c>
      <c r="EJ960">
        <v>1</v>
      </c>
      <c r="EK960">
        <v>0</v>
      </c>
      <c r="EL960">
        <v>0</v>
      </c>
      <c r="EM960">
        <v>0</v>
      </c>
      <c r="EN960" s="2">
        <v>0</v>
      </c>
      <c r="EP960" t="str">
        <f>IF(AND(AND(AND(OR($EC960=1,$EB960=1),OR($EH960=1,$EF960=1)),SUM($EA960:$EE960,$EK960)&gt;=3),SUM($EF960:$EJ960)&gt;=2),"Whole sector approach","")</f>
        <v/>
      </c>
      <c r="EQ960" t="str">
        <f>IF(AND(AND(OR($EC960=1,$EB960=1),AND($EH960=0,$EF960=0)),SUM($EA960:$EE960,$EK960)&gt;=4),"Ecosystem approach","")</f>
        <v/>
      </c>
      <c r="ER960" s="2" t="str">
        <f>IF(AND(AND(AND($EC960=0,$EB960=0),OR($EH960=1,$EF960=1)),SUM($EG960:$EJ960)&gt;=2),"Technology approach","")</f>
        <v>Technology approach</v>
      </c>
      <c r="ES960" t="str">
        <f>IF(AND($EC960+$EB960+$EE960+$EA960+$ED960+$EG960=0,$N960="included"),"C neutral forest and HWP assumption","")</f>
        <v/>
      </c>
      <c r="ET960" t="str">
        <f>IF(AND(AND(AND(AND($EC960=1,$EB960+$EA960+$EG960&gt;=1),$EF960=1),$EH960+$EI960+$ED960+$EE960&gt;=2),$N960="included"),"All C pools assumption","")</f>
        <v/>
      </c>
      <c r="EU960" t="str">
        <f>IF(AND($ED960+$EE960+$EI960+$EH960+$EF960=0,$N960="included"),"In-situ only assumption","")</f>
        <v/>
      </c>
      <c r="EY960" t="str">
        <f>IF(ISNUMBER(BW960),IF(ABS(BW960-[6]QC_indicators!$B$2)&gt;3*[6]QC_indicators!$C$2,"C ratio",IF(ISNUMBER(CA960),IF(ABS(CA960-[6]QC_indicators!$B$1)&gt;3*[6]QC_indicators!$C$1,"DF","no"))),IF(ISNUMBER(CA960),IF(ABS(CA960-[6]QC_indicators!$B$1)&gt;3*[6]QC_indicators!$C$1,"DF","no")))</f>
        <v>no</v>
      </c>
      <c r="FA960" t="str">
        <f>IF(LEN($CY960)=0,"",IF(AND($CY960&lt;(-0.05),$ES960="C neutral forest and HWP assumption"),"Cneutral paradox",IF(AND($CY960&gt;0.05,$EU960="In-situ only assumption"),"In-situ only paradox","")))</f>
        <v/>
      </c>
      <c r="FD960" s="260" t="s">
        <v>2948</v>
      </c>
    </row>
    <row r="961" spans="1:161" ht="15" hidden="1" customHeight="1">
      <c r="A961" s="1" t="s">
        <v>333</v>
      </c>
      <c r="B961" t="s">
        <v>705</v>
      </c>
      <c r="C961" t="s">
        <v>706</v>
      </c>
      <c r="D961" t="s">
        <v>707</v>
      </c>
      <c r="E961" t="s">
        <v>708</v>
      </c>
      <c r="F961" t="s">
        <v>709</v>
      </c>
      <c r="G961" t="s">
        <v>339</v>
      </c>
      <c r="H961" t="s">
        <v>254</v>
      </c>
      <c r="I961">
        <v>2015</v>
      </c>
      <c r="J961">
        <v>86</v>
      </c>
      <c r="K961" t="s">
        <v>710</v>
      </c>
      <c r="M961" t="str">
        <f>LEFT($D961,FIND(",",$D961)-1)&amp;"_"&amp;I961&amp;L961</f>
        <v>Fouquet_2015</v>
      </c>
      <c r="N961" t="s">
        <v>222</v>
      </c>
      <c r="O961" s="145" t="s">
        <v>274</v>
      </c>
      <c r="Q961" t="s">
        <v>256</v>
      </c>
      <c r="R961" s="251" t="s">
        <v>225</v>
      </c>
      <c r="S961" s="1" t="s">
        <v>717</v>
      </c>
      <c r="T961" s="260" t="s">
        <v>3006</v>
      </c>
      <c r="U961" s="260" t="s">
        <v>3005</v>
      </c>
      <c r="V961" s="253">
        <v>0</v>
      </c>
      <c r="W961" s="253">
        <v>0</v>
      </c>
      <c r="X961">
        <v>0</v>
      </c>
      <c r="Y961">
        <v>0</v>
      </c>
      <c r="Z961">
        <v>0</v>
      </c>
      <c r="AA961">
        <v>0</v>
      </c>
      <c r="AB961">
        <v>0</v>
      </c>
      <c r="AC961">
        <v>0</v>
      </c>
      <c r="AD961">
        <v>0</v>
      </c>
      <c r="AE961">
        <v>0</v>
      </c>
      <c r="AF961">
        <v>0</v>
      </c>
      <c r="AG961">
        <v>0</v>
      </c>
      <c r="AH961">
        <v>0</v>
      </c>
      <c r="AI961">
        <v>0</v>
      </c>
      <c r="AJ961">
        <v>0</v>
      </c>
      <c r="AK961">
        <v>0</v>
      </c>
      <c r="AL961">
        <v>0</v>
      </c>
      <c r="AM961">
        <v>1</v>
      </c>
      <c r="AN961">
        <v>0</v>
      </c>
      <c r="AO961">
        <v>0</v>
      </c>
      <c r="AP961">
        <v>0</v>
      </c>
      <c r="AQ961">
        <v>0</v>
      </c>
      <c r="AR961">
        <v>0</v>
      </c>
      <c r="AS961">
        <v>0</v>
      </c>
      <c r="AT961">
        <v>0</v>
      </c>
      <c r="AU961">
        <v>0</v>
      </c>
      <c r="AV961">
        <v>0</v>
      </c>
      <c r="AW961">
        <v>0</v>
      </c>
      <c r="AX961">
        <v>0</v>
      </c>
      <c r="AY961">
        <v>0</v>
      </c>
      <c r="AZ961" s="141">
        <f>COUNTIF(X961:AY961,"&lt;&gt;0")</f>
        <v>1</v>
      </c>
      <c r="BA961" s="141">
        <f>COUNTIF(X961:AN961,"&lt;&gt;0")</f>
        <v>1</v>
      </c>
      <c r="BB961">
        <f>COUNTIF(X961:AE961,"&lt;&gt;0")</f>
        <v>0</v>
      </c>
      <c r="BC961">
        <f>COUNTIF(AF961:AK961,"&lt;&gt;0")</f>
        <v>0</v>
      </c>
      <c r="BD961">
        <f>COUNTIF(AL961:AN961,"&lt;&gt;0")</f>
        <v>1</v>
      </c>
      <c r="BE961">
        <f>COUNTIF(AU961:AY961,"&lt;&gt;0")</f>
        <v>0</v>
      </c>
      <c r="BF961">
        <f>COUNTIF(AO961:AT961,"&lt;&gt;0")</f>
        <v>0</v>
      </c>
      <c r="BG961" t="str">
        <f t="array" ref="BG961">IF(BA961=1,INDEX($X$7:$AN$7,MATCH(TRUE,INDEX($X961:$AY961&lt;&gt;0,),0)),IF(BA961=0,INDEX($AO$7:$AY$7,MATCH(1,$AO961:$AY961,0)),IF(BH961="Multiple strategies","mixed drivers",IF(BH961="Supply chain","multiple supply","multiple silviculture"))))</f>
        <v>technologies/design switch</v>
      </c>
      <c r="BH961" s="2" t="str" cm="1">
        <f t="array" ref="BH961">IF(COUNTIF(BB961:BD961,"&lt;&gt;0")=1,INDEX($X$4:$AY$4,MATCH(TRUE,INDEX($X961:$AY961&lt;&gt;0,),0)),IF(COUNTIF(BB961:BD961,"&lt;&gt;0")=0,INDEX($AO$4:$AY$4,MATCH(1,$AO961:$AY961,0)),"Multiple strategies"))</f>
        <v>Technology</v>
      </c>
      <c r="BI961" s="1" t="s">
        <v>229</v>
      </c>
      <c r="BJ961" t="s">
        <v>713</v>
      </c>
      <c r="BK961" s="256" t="s">
        <v>3001</v>
      </c>
      <c r="BL961" s="256" t="s">
        <v>345</v>
      </c>
      <c r="BM961" s="256">
        <v>477</v>
      </c>
      <c r="BN961" s="256">
        <f xml:space="preserve"> 5341+3892+7551+1439+923+477</f>
        <v>19623</v>
      </c>
      <c r="BP961">
        <f>BN961-BM961</f>
        <v>19146</v>
      </c>
      <c r="BQ961" s="256">
        <f>BP961/1000*tC_to_m3</f>
        <v>83.135041250542784</v>
      </c>
      <c r="BR961" s="256" t="s">
        <v>395</v>
      </c>
      <c r="BS961" s="256" t="s">
        <v>3002</v>
      </c>
      <c r="BT961" t="s">
        <v>397</v>
      </c>
      <c r="BU961" s="256">
        <v>154593</v>
      </c>
      <c r="BV961" s="256">
        <f>7475</f>
        <v>7475</v>
      </c>
      <c r="BW961" s="144">
        <f>IFERROR(BV961/BU961,"")</f>
        <v>4.8352771470894541E-2</v>
      </c>
      <c r="BX961">
        <f>BV961-BU961</f>
        <v>-147118</v>
      </c>
      <c r="BZ961">
        <f>BX961/1000</f>
        <v>-147.11799999999999</v>
      </c>
      <c r="CA961">
        <f>IFERROR(BZ961/BQ961,"")</f>
        <v>-1.7696268358926144</v>
      </c>
      <c r="CB961">
        <v>0</v>
      </c>
      <c r="CC961">
        <v>0</v>
      </c>
      <c r="CD961">
        <v>0</v>
      </c>
      <c r="CE961">
        <v>0</v>
      </c>
      <c r="CF961">
        <v>0</v>
      </c>
      <c r="CG961">
        <v>0</v>
      </c>
      <c r="CH961">
        <v>0</v>
      </c>
      <c r="CI961">
        <v>0</v>
      </c>
      <c r="CJ961">
        <v>0</v>
      </c>
      <c r="CK961">
        <v>0</v>
      </c>
      <c r="CL961">
        <v>0</v>
      </c>
      <c r="CM961">
        <v>0</v>
      </c>
      <c r="CN961">
        <v>0</v>
      </c>
      <c r="CO961">
        <v>0</v>
      </c>
      <c r="CP961" t="str">
        <f>IF($BN961&lt;$BM961,"refNeedCorrection","refOK")</f>
        <v>refOK</v>
      </c>
      <c r="CQ961">
        <f>IF($CP961="refNeedCorrection",BN961,BM961)</f>
        <v>477</v>
      </c>
      <c r="CR961">
        <f>IF($CP961="refNeedCorrection",BM961,BN961)</f>
        <v>19623</v>
      </c>
      <c r="CS961">
        <f>IF($CP961="refOK",$BQ961,-$BQ961)</f>
        <v>83.135041250542784</v>
      </c>
      <c r="CT961">
        <f>IF(BI961="Roundwood",$CS961/2,$CS961)</f>
        <v>83.135041250542784</v>
      </c>
      <c r="CU961">
        <f>IF($CP961="refOK",$BU961,$BV961)*IF($BR961="Emissions positive",-1,1)</f>
        <v>-154593</v>
      </c>
      <c r="CV961">
        <f>IF($CP961="refOK",$BV961,$BU961)*IF($BR961="Emissions positive",-1,1)</f>
        <v>-7475</v>
      </c>
      <c r="CW961">
        <f>IF($CP961="refNeedCorrection",-BZ961,BZ961)*IF($BR961="Emissions positive",-1,1)</f>
        <v>147.11799999999999</v>
      </c>
      <c r="CX961">
        <f>IFERROR($CW961/$CS961,"")</f>
        <v>1.7696268358926144</v>
      </c>
      <c r="CY961">
        <f>IFERROR($CW961/$CS961,"")</f>
        <v>1.7696268358926144</v>
      </c>
      <c r="CZ961">
        <f>IFERROR($CW961/$CT961,"")</f>
        <v>1.7696268358926144</v>
      </c>
      <c r="DA961" s="2">
        <f>IFERROR((CV961-CU961)/ABS(CU961),"")</f>
        <v>0.95164722852910544</v>
      </c>
      <c r="DB961" s="1" t="s">
        <v>263</v>
      </c>
      <c r="DC961" t="str">
        <f>IF(OR($DB961="prd",$DB961="std",$DB961="cit"),"loc",IF(OR($DB961="eur",$DB961="reg",$DB961="coy"),"reg",$DB961))</f>
        <v>loc</v>
      </c>
      <c r="DD961" t="s">
        <v>715</v>
      </c>
      <c r="DG961">
        <v>100</v>
      </c>
      <c r="DH961" t="str">
        <f>IF(DG961=0,"0",IF(AND(DG961&gt;=1,DG961&lt;=30),"1-30",IF(AND(DG961&gt;30,DG961&lt;=70),"31-70",IF(AND(DG961&gt;70,DG961&lt;=100),"71-100",IF(DG961&gt;100,"+100")))))</f>
        <v>71-100</v>
      </c>
      <c r="DI961">
        <v>0</v>
      </c>
      <c r="DJ961">
        <v>0</v>
      </c>
      <c r="DK961">
        <v>0</v>
      </c>
      <c r="DL961">
        <v>1</v>
      </c>
      <c r="DN961">
        <f>SUM(DI961:DL961)</f>
        <v>1</v>
      </c>
      <c r="DO961" t="str">
        <f>IF(DN961=1,INDEX($DI$7:$DL$7,MATCH(1,$DI961:$DL961,0)),"mixedProduct")</f>
        <v>TimberInput</v>
      </c>
      <c r="DP961">
        <f>IF(DI961=1,DP$7,0)</f>
        <v>0</v>
      </c>
      <c r="DQ961">
        <f>IF(DJ961=1,DQ$7,0)</f>
        <v>0</v>
      </c>
      <c r="DR961">
        <f>IF(DK961=1,DR$7,0)</f>
        <v>0</v>
      </c>
      <c r="DS961" t="str">
        <f>IF(DL961=1,DS$7,0)</f>
        <v>Timber</v>
      </c>
      <c r="DT961">
        <v>0</v>
      </c>
      <c r="DU961">
        <v>0</v>
      </c>
      <c r="DV961">
        <v>0</v>
      </c>
      <c r="DW961">
        <v>0</v>
      </c>
      <c r="DX961">
        <v>0</v>
      </c>
      <c r="DY961">
        <f>SUM(DT961:DU961)</f>
        <v>0</v>
      </c>
      <c r="DZ961" s="143" t="str">
        <f>IF(DT961=1,"self-calculated DF",IF(DU961=1,"external DF used","explicit C balance"))</f>
        <v>explicit C balance</v>
      </c>
      <c r="EA961">
        <v>0</v>
      </c>
      <c r="EB961">
        <v>0</v>
      </c>
      <c r="EC961">
        <v>0</v>
      </c>
      <c r="ED961">
        <v>1</v>
      </c>
      <c r="EE961">
        <v>1</v>
      </c>
      <c r="EF961">
        <v>1</v>
      </c>
      <c r="EG961">
        <v>0</v>
      </c>
      <c r="EH961">
        <v>1</v>
      </c>
      <c r="EI961">
        <v>1</v>
      </c>
      <c r="EJ961">
        <v>1</v>
      </c>
      <c r="EK961">
        <v>0</v>
      </c>
      <c r="EL961">
        <v>0</v>
      </c>
      <c r="EM961">
        <v>0</v>
      </c>
      <c r="EN961" s="2">
        <v>0</v>
      </c>
      <c r="EP961" t="str">
        <f>IF(AND(AND(AND(OR($EC961=1,$EB961=1),OR($EH961=1,$EF961=1)),SUM($EA961:$EE961,$EK961)&gt;=3),SUM($EF961:$EJ961)&gt;=2),"Whole sector approach","")</f>
        <v/>
      </c>
      <c r="EQ961" t="str">
        <f>IF(AND(AND(OR($EC961=1,$EB961=1),AND($EH961=0,$EF961=0)),SUM($EA961:$EE961,$EK961)&gt;=4),"Ecosystem approach","")</f>
        <v/>
      </c>
      <c r="ER961" s="2" t="str">
        <f>IF(AND(AND(AND($EC961=0,$EB961=0),OR($EH961=1,$EF961=1)),SUM($EG961:$EJ961)&gt;=2),"Technology approach","")</f>
        <v>Technology approach</v>
      </c>
      <c r="ES961" t="str">
        <f>IF(AND($EC961+$EB961+$EE961+$EA961+$ED961+$EG961=0,$N961="included"),"C neutral forest and HWP assumption","")</f>
        <v/>
      </c>
      <c r="ET961" t="str">
        <f>IF(AND(AND(AND(AND($EC961=1,$EB961+$EA961+$EG961&gt;=1),$EF961=1),$EH961+$EI961+$ED961+$EE961&gt;=2),$N961="included"),"All C pools assumption","")</f>
        <v/>
      </c>
      <c r="EU961" t="str">
        <f>IF(AND($ED961+$EE961+$EI961+$EH961+$EF961=0,$N961="included"),"In-situ only assumption","")</f>
        <v/>
      </c>
      <c r="EY961" t="str">
        <f>IF(ISNUMBER(BW961),IF(ABS(BW961-[6]QC_indicators!$B$2)&gt;3*[6]QC_indicators!$C$2,"C ratio",IF(ISNUMBER(CA961),IF(ABS(CA961-[6]QC_indicators!$B$1)&gt;3*[6]QC_indicators!$C$1,"DF","no"))),IF(ISNUMBER(CA961),IF(ABS(CA961-[6]QC_indicators!$B$1)&gt;3*[6]QC_indicators!$C$1,"DF","no")))</f>
        <v>no</v>
      </c>
      <c r="FA961" t="str">
        <f>IF(LEN($CY961)=0,"",IF(AND($CY961&lt;(-0.05),$ES961="C neutral forest and HWP assumption"),"Cneutral paradox",IF(AND($CY961&gt;0.05,$EU961="In-situ only assumption"),"In-situ only paradox","")))</f>
        <v/>
      </c>
      <c r="FD961" s="260" t="s">
        <v>2948</v>
      </c>
    </row>
    <row r="962" spans="1:161" ht="15" hidden="1" customHeight="1">
      <c r="D962" t="s">
        <v>753</v>
      </c>
      <c r="E962" t="s">
        <v>754</v>
      </c>
      <c r="G962" t="s">
        <v>755</v>
      </c>
      <c r="I962">
        <v>2015</v>
      </c>
      <c r="K962" s="150" t="s">
        <v>756</v>
      </c>
      <c r="M962" t="str">
        <f>LEFT($D962,FIND(",",$D962)-1)&amp;"_"&amp;I962&amp;L962</f>
        <v>Gustavsson_2015</v>
      </c>
      <c r="N962" t="s">
        <v>222</v>
      </c>
      <c r="O962" s="141" t="s">
        <v>223</v>
      </c>
      <c r="Q962" t="s">
        <v>256</v>
      </c>
      <c r="R962" s="251" t="s">
        <v>225</v>
      </c>
      <c r="S962" s="1" t="s">
        <v>757</v>
      </c>
      <c r="T962" t="s">
        <v>758</v>
      </c>
      <c r="U962" s="143" t="s">
        <v>759</v>
      </c>
      <c r="V962" s="253">
        <v>0</v>
      </c>
      <c r="W962" s="253">
        <v>0</v>
      </c>
      <c r="X962">
        <v>0</v>
      </c>
      <c r="Y962">
        <v>0</v>
      </c>
      <c r="Z962">
        <v>0</v>
      </c>
      <c r="AA962">
        <v>1</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s="141">
        <f>COUNTIF(X962:AY962,"&lt;&gt;0")</f>
        <v>1</v>
      </c>
      <c r="BA962" s="141">
        <f>COUNTIF(X962:AN962,"&lt;&gt;0")</f>
        <v>1</v>
      </c>
      <c r="BB962">
        <f>COUNTIF(X962:AE962,"&lt;&gt;0")</f>
        <v>1</v>
      </c>
      <c r="BC962">
        <f>COUNTIF(AF962:AK962,"&lt;&gt;0")</f>
        <v>0</v>
      </c>
      <c r="BD962">
        <f>COUNTIF(AL962:AN962,"&lt;&gt;0")</f>
        <v>0</v>
      </c>
      <c r="BE962">
        <f>COUNTIF(AU962:AY962,"&lt;&gt;0")</f>
        <v>0</v>
      </c>
      <c r="BF962">
        <f>COUNTIF(AO962:AT962,"&lt;&gt;0")</f>
        <v>0</v>
      </c>
      <c r="BG962" t="str">
        <f t="array" ref="BG962">IF(BA962=1,INDEX($X$7:$AN$7,MATCH(TRUE,INDEX($X962:$AY962&lt;&gt;0,),0)),IF(BA962=0,INDEX($AO$7:$AY$7,MATCH(1,$AO962:$AY962,0)),IF(BH962="Multiple strategies","mixed drivers",IF(BH962="Supply chain","multiple supply","multiple silviculture"))))</f>
        <v xml:space="preserve">cutting intensity </v>
      </c>
      <c r="BH962" s="2" t="str" cm="1">
        <f t="array" ref="BH962">IF(COUNTIF(BB962:BD962,"&lt;&gt;0")=1,INDEX($X$4:$AY$4,MATCH(TRUE,INDEX($X962:$AY962&lt;&gt;0,),0)),IF(COUNTIF(BB962:BD962,"&lt;&gt;0")=0,INDEX($AO$4:$AY$4,MATCH(1,$AO962:$AY962,0)),"Multiple strategies"))</f>
        <v>Silviculture for removals</v>
      </c>
      <c r="BI962" s="142" t="s">
        <v>321</v>
      </c>
      <c r="BJ962" t="s">
        <v>760</v>
      </c>
      <c r="BK962" s="256" t="s">
        <v>3014</v>
      </c>
      <c r="BL962" s="260" t="s">
        <v>638</v>
      </c>
      <c r="BM962">
        <v>0</v>
      </c>
      <c r="BN962" s="143">
        <v>1</v>
      </c>
      <c r="BO962" s="143" t="e">
        <f>BN962/BM962</f>
        <v>#DIV/0!</v>
      </c>
      <c r="BP962">
        <f>BN962-BM962</f>
        <v>1</v>
      </c>
      <c r="BQ962" s="143">
        <f>BP962*t_to_m3</f>
        <v>2.0408163265306123</v>
      </c>
      <c r="BR962" t="s">
        <v>232</v>
      </c>
      <c r="BS962" s="335" t="s">
        <v>1919</v>
      </c>
      <c r="BT962" t="s">
        <v>714</v>
      </c>
      <c r="BU962" s="260">
        <v>-3416</v>
      </c>
      <c r="BV962" s="260">
        <v>-1870</v>
      </c>
      <c r="BW962">
        <v>0.54742388758782201</v>
      </c>
      <c r="BX962">
        <v>1546</v>
      </c>
      <c r="BZ962">
        <f>BX962/1000</f>
        <v>1.546</v>
      </c>
      <c r="CA962">
        <f>IFERROR(BZ962/BQ962,"")</f>
        <v>0.75753999999999999</v>
      </c>
      <c r="CB962" s="143">
        <v>0</v>
      </c>
      <c r="CC962" s="143">
        <v>0</v>
      </c>
      <c r="CD962" s="143">
        <v>0</v>
      </c>
      <c r="CE962" s="143">
        <v>0</v>
      </c>
      <c r="CF962" s="143">
        <v>0</v>
      </c>
      <c r="CG962" s="143">
        <v>0</v>
      </c>
      <c r="CH962" s="143">
        <v>0</v>
      </c>
      <c r="CI962" s="143">
        <v>0</v>
      </c>
      <c r="CJ962" s="143">
        <v>0</v>
      </c>
      <c r="CK962" s="143">
        <v>0</v>
      </c>
      <c r="CL962" s="143">
        <v>0</v>
      </c>
      <c r="CM962" s="143">
        <v>0</v>
      </c>
      <c r="CN962" s="143">
        <v>0</v>
      </c>
      <c r="CO962">
        <v>0</v>
      </c>
      <c r="CP962" t="str">
        <f>IF($BN962&lt;$BM962,"refNeedCorrection","refOK")</f>
        <v>refOK</v>
      </c>
      <c r="CQ962">
        <f>IF($CP962="refOK",$BM962,$BN962)</f>
        <v>0</v>
      </c>
      <c r="CR962">
        <f>IF($CP962="refOK",$BN962,$BM962)</f>
        <v>1</v>
      </c>
      <c r="CS962">
        <f>IF($CP962="refOK",$BQ962,-$BQ962)</f>
        <v>2.0408163265306123</v>
      </c>
      <c r="CT962">
        <f>IF(BI962="Roundwood",$CS962/2,$CS962)</f>
        <v>1.0204081632653061</v>
      </c>
      <c r="CU962">
        <f>IF($CP962="refOK",$BU962,$BV962)*IF($BR962="Emissions positive",-1,1)</f>
        <v>-3416</v>
      </c>
      <c r="CV962">
        <f>IF($CP962="refOK",$BV962,$BU962)*IF($BR962="Emissions positive",-1,1)</f>
        <v>-1870</v>
      </c>
      <c r="CW962">
        <f>IF($CP962="refNeedCorrection",-BZ962,BZ962)*IF($BR962="Emissions positive",-1,1)</f>
        <v>1.546</v>
      </c>
      <c r="CX962">
        <f>IFERROR($CW962/$CS962,"")</f>
        <v>0.75753999999999999</v>
      </c>
      <c r="CY962">
        <f>IFERROR($CW962/$CS962,"")</f>
        <v>0.75753999999999999</v>
      </c>
      <c r="CZ962">
        <f>IFERROR($CW962/$CT962,"")</f>
        <v>1.51508</v>
      </c>
      <c r="DA962" s="2">
        <f>IFERROR((CV962-CU962)/ABS(CU962),"")</f>
        <v>0.45257611241217799</v>
      </c>
      <c r="DB962" s="1" t="s">
        <v>263</v>
      </c>
      <c r="DC962" t="str">
        <f>IF(OR($DB962="prd",$DB962="std",$DB962="cit"),"loc",IF(OR($DB962="eur",$DB962="reg",$DB962="coy"),"reg",$DB962))</f>
        <v>loc</v>
      </c>
      <c r="DD962" t="s">
        <v>444</v>
      </c>
      <c r="DF962" s="143"/>
      <c r="DG962" s="143">
        <v>50</v>
      </c>
      <c r="DH962" t="str">
        <f>IF(DG962=0,"0",IF(AND(DG962&gt;=1,DG962&lt;=30),"1-30",IF(AND(DG962&gt;30,DG962&lt;=70),"31-70",IF(AND(DG962&gt;70,DG962&lt;=100),"71-100",IF(DG962&gt;100,"+100")))))</f>
        <v>31-70</v>
      </c>
      <c r="DI962">
        <v>0</v>
      </c>
      <c r="DJ962">
        <v>1</v>
      </c>
      <c r="DK962">
        <v>0</v>
      </c>
      <c r="DL962">
        <v>0</v>
      </c>
      <c r="DN962">
        <f>SUM(DI962:DL962)</f>
        <v>1</v>
      </c>
      <c r="DO962" t="str">
        <f>IF(DN962=1,INDEX($DI$7:$DL$7,MATCH(1,$DI962:$DL962,0)),"mixedProduct")</f>
        <v>EnergyInput</v>
      </c>
      <c r="DP962">
        <f>IF(DI962=1,DP$7,0)</f>
        <v>0</v>
      </c>
      <c r="DQ962" t="str">
        <f>IF(DJ962=1,DQ$7,0)</f>
        <v>Energy</v>
      </c>
      <c r="DR962">
        <f>IF(DK962=1,DR$7,0)</f>
        <v>0</v>
      </c>
      <c r="DS962">
        <f>IF(DL962=1,DS$7,0)</f>
        <v>0</v>
      </c>
      <c r="DT962">
        <v>0</v>
      </c>
      <c r="DU962" s="143">
        <v>0</v>
      </c>
      <c r="DV962" s="143">
        <v>0</v>
      </c>
      <c r="DW962">
        <v>0</v>
      </c>
      <c r="DX962" s="143">
        <v>0</v>
      </c>
      <c r="DY962">
        <f>SUM(DT962:DU962)</f>
        <v>0</v>
      </c>
      <c r="DZ962" s="143" t="str">
        <f>IF(DT962=1,"self-calculated DF",IF(DU962=1,"external DF used","explicit C balance"))</f>
        <v>explicit C balance</v>
      </c>
      <c r="EA962" s="143">
        <v>0</v>
      </c>
      <c r="EB962" s="260">
        <v>1</v>
      </c>
      <c r="EC962" s="260">
        <v>0</v>
      </c>
      <c r="ED962" s="260">
        <v>0</v>
      </c>
      <c r="EE962" s="260">
        <v>1</v>
      </c>
      <c r="EF962" s="260">
        <v>0</v>
      </c>
      <c r="EG962" s="260">
        <v>1</v>
      </c>
      <c r="EH962" s="260">
        <v>0</v>
      </c>
      <c r="EI962" s="143">
        <v>0</v>
      </c>
      <c r="EJ962">
        <v>0</v>
      </c>
      <c r="EK962">
        <v>1</v>
      </c>
      <c r="EL962" s="143">
        <v>0</v>
      </c>
      <c r="EM962" s="143">
        <v>0</v>
      </c>
      <c r="EN962" s="2">
        <v>0</v>
      </c>
      <c r="EP962" t="str">
        <f>IF(AND(AND(AND(OR($EC962=1,$EB962=1),OR($EH962=1,$EF962=1)),SUM($EA962:$EE962,$EK962)&gt;=3),SUM($EF962:$EJ962)&gt;=2),"Whole sector approach","")</f>
        <v/>
      </c>
      <c r="EQ962" t="str">
        <f>IF(AND(AND(OR($EC962=1,$EB962=1),AND($EH962=0,$EF962=0)),SUM($EA962:$EE962,$EK962)&gt;=4),"Ecosystem approach","")</f>
        <v/>
      </c>
      <c r="ER962" s="2" t="str">
        <f>IF(AND(AND(AND($EC962=0,$EB962=0),OR($EH962=1,$EF962=1)),SUM($EG962:$EJ962)&gt;=2),"Technology approach","")</f>
        <v/>
      </c>
      <c r="ES962" t="str">
        <f>IF(AND($EC962+$EB962+$EE962+$EA962+$ED962+$EG962=0,$N962="included"),"C neutral forest and HWP assumption","")</f>
        <v/>
      </c>
      <c r="ET962" t="str">
        <f>IF(AND(AND(AND(AND($EC962=1,$EB962+$EA962+$EG962&gt;=1),$EF962=1),$EH962+$EI962+$ED962+$EE962&gt;=2),$N962="included"),"All C pools assumption","")</f>
        <v/>
      </c>
      <c r="EU962" t="str">
        <f>IF(AND($ED962+$EE962+$EI962+$EH962+$EF962=0,$N962="included"),"In-situ only assumption","")</f>
        <v/>
      </c>
      <c r="EY962" t="str">
        <f>IF(ISNUMBER(BW962),IF(ABS(BW962-[6]QC_indicators!$B$2)&gt;3*[6]QC_indicators!$C$2,"C ratio",IF(ISNUMBER(CA962),IF(ABS(CA962-[6]QC_indicators!$B$1)&gt;3*[6]QC_indicators!$C$1,"DF","no"))),IF(ISNUMBER(CA962),IF(ABS(CA962-[6]QC_indicators!$B$1)&gt;3*[6]QC_indicators!$C$1,"DF","no")))</f>
        <v>no</v>
      </c>
      <c r="FA962" t="str">
        <f>IF(LEN($CY962)=0,"",IF(AND($CY962&lt;(-0.05),$ES962="C neutral forest and HWP assumption"),"Cneutral paradox",IF(AND($CY962&gt;0.05,$EU962="In-situ only assumption"),"In-situ only paradox","")))</f>
        <v/>
      </c>
      <c r="FB962" s="149" t="s">
        <v>349</v>
      </c>
      <c r="FD962" s="260" t="s">
        <v>2948</v>
      </c>
    </row>
    <row r="963" spans="1:161" ht="15" hidden="1" customHeight="1">
      <c r="A963" s="1" t="s">
        <v>574</v>
      </c>
      <c r="B963" t="s">
        <v>2104</v>
      </c>
      <c r="C963" t="s">
        <v>2105</v>
      </c>
      <c r="D963" t="s">
        <v>2106</v>
      </c>
      <c r="E963" t="s">
        <v>2107</v>
      </c>
      <c r="F963" t="s">
        <v>2108</v>
      </c>
      <c r="G963" t="s">
        <v>580</v>
      </c>
      <c r="H963" t="s">
        <v>254</v>
      </c>
      <c r="I963">
        <v>2016</v>
      </c>
      <c r="J963">
        <v>32</v>
      </c>
      <c r="K963" t="s">
        <v>2109</v>
      </c>
      <c r="M963" t="str">
        <f>LEFT($D963,FIND(",",$D963)-1)&amp;"_"&amp;I963&amp;L963</f>
        <v>Taskhiri_2016</v>
      </c>
      <c r="N963" t="s">
        <v>222</v>
      </c>
      <c r="O963" s="145" t="s">
        <v>1029</v>
      </c>
      <c r="Q963" t="s">
        <v>256</v>
      </c>
      <c r="R963" s="251" t="s">
        <v>223</v>
      </c>
      <c r="S963" s="1" t="s">
        <v>2110</v>
      </c>
      <c r="T963" t="s">
        <v>1182</v>
      </c>
      <c r="U963" s="260" t="s">
        <v>2777</v>
      </c>
      <c r="V963" s="253">
        <v>0</v>
      </c>
      <c r="W963" s="253">
        <v>0</v>
      </c>
      <c r="X963">
        <v>0</v>
      </c>
      <c r="Y963">
        <v>0</v>
      </c>
      <c r="Z963">
        <v>0</v>
      </c>
      <c r="AA963">
        <v>0</v>
      </c>
      <c r="AB963">
        <v>0</v>
      </c>
      <c r="AC963">
        <v>0</v>
      </c>
      <c r="AD963">
        <v>0</v>
      </c>
      <c r="AE963">
        <v>0</v>
      </c>
      <c r="AF963">
        <v>0</v>
      </c>
      <c r="AG963">
        <v>0</v>
      </c>
      <c r="AH963">
        <v>0</v>
      </c>
      <c r="AI963">
        <v>1</v>
      </c>
      <c r="AJ963">
        <v>0</v>
      </c>
      <c r="AK963">
        <v>0</v>
      </c>
      <c r="AL963">
        <v>0</v>
      </c>
      <c r="AM963">
        <v>0</v>
      </c>
      <c r="AN963">
        <v>0</v>
      </c>
      <c r="AO963">
        <v>0</v>
      </c>
      <c r="AP963">
        <v>0</v>
      </c>
      <c r="AQ963">
        <v>0</v>
      </c>
      <c r="AR963">
        <v>0</v>
      </c>
      <c r="AS963">
        <v>0</v>
      </c>
      <c r="AT963">
        <v>0</v>
      </c>
      <c r="AU963">
        <v>0</v>
      </c>
      <c r="AV963">
        <v>0</v>
      </c>
      <c r="AW963">
        <v>0</v>
      </c>
      <c r="AX963">
        <v>0</v>
      </c>
      <c r="AY963">
        <v>0</v>
      </c>
      <c r="AZ963" s="141">
        <f>COUNTIF(X963:AY963,"&lt;&gt;0")</f>
        <v>1</v>
      </c>
      <c r="BA963" s="141">
        <f>COUNTIF(X963:AN963,"&lt;&gt;0")</f>
        <v>1</v>
      </c>
      <c r="BB963">
        <f>COUNTIF(X963:AE963,"&lt;&gt;0")</f>
        <v>0</v>
      </c>
      <c r="BC963">
        <f>COUNTIF(AF963:AK963,"&lt;&gt;0")</f>
        <v>1</v>
      </c>
      <c r="BD963">
        <f>COUNTIF(AL963:AN963,"&lt;&gt;0")</f>
        <v>0</v>
      </c>
      <c r="BE963">
        <f>COUNTIF(AU963:AY963,"&lt;&gt;0")</f>
        <v>0</v>
      </c>
      <c r="BF963">
        <f>COUNTIF(AO963:AT963,"&lt;&gt;0")</f>
        <v>0</v>
      </c>
      <c r="BG963" t="str">
        <f t="array" ref="BG963">IF(BA963=1,INDEX($X$7:$AN$7,MATCH(TRUE,INDEX($X963:$AY963&lt;&gt;0,),0)),IF(BA963=0,INDEX($AO$7:$AY$7,MATCH(1,$AO963:$AY963,0)),IF(BH963="Multiple strategies","mixed drivers",IF(BH963="Supply chain","multiple supply","multiple silviculture"))))</f>
        <v>recycling</v>
      </c>
      <c r="BH963" s="2" t="str" cm="1">
        <f t="array" ref="BH963">IF(COUNTIF(BB963:BD963,"&lt;&gt;0")=1,INDEX($X$4:$AY$4,MATCH(TRUE,INDEX($X963:$AY963&lt;&gt;0,),0)),IF(COUNTIF(BB963:BD963,"&lt;&gt;0")=0,INDEX($AO$4:$AY$4,MATCH(1,$AO963:$AY963,0)),"Multiple strategies"))</f>
        <v>Supply chain</v>
      </c>
      <c r="BI963" s="1" t="s">
        <v>229</v>
      </c>
      <c r="BJ963" t="s">
        <v>2111</v>
      </c>
      <c r="BK963" s="260" t="s">
        <v>2778</v>
      </c>
      <c r="BL963" t="s">
        <v>1197</v>
      </c>
      <c r="BM963">
        <v>0</v>
      </c>
      <c r="BN963">
        <v>0.05</v>
      </c>
      <c r="BO963" s="143" t="e">
        <f>BN963/BM963</f>
        <v>#DIV/0!</v>
      </c>
      <c r="BP963">
        <f>BN963-BM963</f>
        <v>0.05</v>
      </c>
      <c r="BQ963">
        <f>BP963*10^6</f>
        <v>50000</v>
      </c>
      <c r="BR963" t="s">
        <v>232</v>
      </c>
      <c r="BS963" s="336" t="s">
        <v>763</v>
      </c>
      <c r="BT963" t="s">
        <v>1070</v>
      </c>
      <c r="BU963" s="194">
        <v>-27686.567164179</v>
      </c>
      <c r="BV963" s="194">
        <v>-20298.507462686499</v>
      </c>
      <c r="BW963" s="144">
        <f>IFERROR(BV963/BU963,"")</f>
        <v>0.73315363881401652</v>
      </c>
      <c r="BX963" s="144">
        <f>BV963-BU963</f>
        <v>7388.0597014925006</v>
      </c>
      <c r="BY963" s="144"/>
      <c r="BZ963" s="144">
        <f>BX963</f>
        <v>7388.0597014925006</v>
      </c>
      <c r="CA963">
        <f>IFERROR(BZ963/BQ963,"")</f>
        <v>0.14776119402985002</v>
      </c>
      <c r="CB963">
        <v>0</v>
      </c>
      <c r="CC963">
        <v>0</v>
      </c>
      <c r="CD963">
        <v>0</v>
      </c>
      <c r="CE963">
        <v>0</v>
      </c>
      <c r="CF963">
        <v>0</v>
      </c>
      <c r="CG963">
        <v>0</v>
      </c>
      <c r="CH963">
        <v>0</v>
      </c>
      <c r="CI963">
        <v>0</v>
      </c>
      <c r="CJ963">
        <v>0</v>
      </c>
      <c r="CK963">
        <v>0</v>
      </c>
      <c r="CL963">
        <v>0</v>
      </c>
      <c r="CM963">
        <v>0</v>
      </c>
      <c r="CN963">
        <v>0</v>
      </c>
      <c r="CO963">
        <v>1</v>
      </c>
      <c r="CP963" t="str">
        <f>IF($BN963&lt;$BM963,"refNeedCorrection","refOK")</f>
        <v>refOK</v>
      </c>
      <c r="CQ963">
        <f>IF($CP963="refOK",$BM963,$BN963)</f>
        <v>0</v>
      </c>
      <c r="CR963">
        <f>IF($CP963="refOK",$BN963,$BM963)</f>
        <v>0.05</v>
      </c>
      <c r="CS963">
        <f>IF($CP963="refOK",$BQ963,-$BQ963)</f>
        <v>50000</v>
      </c>
      <c r="CT963">
        <f>IF(BI963="Roundwood",$CS963/2,$CS963)</f>
        <v>50000</v>
      </c>
      <c r="CU963">
        <f>IF($CP963="refOK",$BU963,$BV963)*IF($BR963="Emissions positive",-1,1)</f>
        <v>-27686.567164179</v>
      </c>
      <c r="CV963">
        <f>IF($CP963="refOK",$BV963,$BU963)*IF($BR963="Emissions positive",-1,1)</f>
        <v>-20298.507462686499</v>
      </c>
      <c r="CW963">
        <f>IF($CP963="refNeedCorrection",-BZ963,BZ963)*IF($BR963="Emissions positive",-1,1)</f>
        <v>7388.0597014925006</v>
      </c>
      <c r="CX963">
        <f>IFERROR($CW963/$CS963,"")</f>
        <v>0.14776119402985002</v>
      </c>
      <c r="CY963">
        <f>IFERROR($CW963/$CS963,"")</f>
        <v>0.14776119402985002</v>
      </c>
      <c r="CZ963">
        <f>IFERROR($CW963/$CT963,"")</f>
        <v>0.14776119402985002</v>
      </c>
      <c r="DA963" s="2">
        <f>IFERROR((CV963-CU963)/ABS(CU963),"")</f>
        <v>0.26684636118598354</v>
      </c>
      <c r="DB963" s="1" t="s">
        <v>1074</v>
      </c>
      <c r="DC963" t="str">
        <f>IF(OR($DB963="prd",$DB963="std",$DB963="cit"),"loc",IF(OR($DB963="eur",$DB963="reg",$DB963="coy"),"reg",$DB963))</f>
        <v>reg</v>
      </c>
      <c r="DD963" t="s">
        <v>1176</v>
      </c>
      <c r="DG963">
        <v>0</v>
      </c>
      <c r="DH963" t="str">
        <f>IF(DG963=0,"0",IF(AND(DG963&gt;=1,DG963&lt;=30),"1-30",IF(AND(DG963&gt;30,DG963&lt;=70),"31-70",IF(AND(DG963&gt;70,DG963&lt;=100),"71-100",IF(DG963&gt;100,"+100")))))</f>
        <v>0</v>
      </c>
      <c r="DI963">
        <v>0</v>
      </c>
      <c r="DJ963">
        <v>0</v>
      </c>
      <c r="DK963">
        <v>1</v>
      </c>
      <c r="DL963">
        <v>0</v>
      </c>
      <c r="DN963">
        <f>SUM(DI963:DL963)</f>
        <v>1</v>
      </c>
      <c r="DO963" t="str">
        <f>IF(DN963=1,INDEX($DI$7:$DL$7,MATCH(1,$DI963:$DL963,0)),"mixedProduct")</f>
        <v>PulpPaperInput</v>
      </c>
      <c r="DP963">
        <f>IF(DI963=1,DP$7,0)</f>
        <v>0</v>
      </c>
      <c r="DQ963">
        <f>IF(DJ963=1,DQ$7,0)</f>
        <v>0</v>
      </c>
      <c r="DR963" t="str">
        <f>IF(DK963=1,DR$7,0)</f>
        <v>Pulp/Paper</v>
      </c>
      <c r="DS963">
        <f>IF(DL963=1,DS$7,0)</f>
        <v>0</v>
      </c>
      <c r="DT963">
        <v>0</v>
      </c>
      <c r="DU963">
        <v>0</v>
      </c>
      <c r="DV963">
        <v>0</v>
      </c>
      <c r="DW963">
        <v>0</v>
      </c>
      <c r="DX963">
        <v>0</v>
      </c>
      <c r="DY963">
        <f>SUM(DT963:DU963)</f>
        <v>0</v>
      </c>
      <c r="DZ963" s="143" t="str">
        <f>IF(DT963=1,"self-calculated DF",IF(DU963=1,"external DF used","explicit C balance"))</f>
        <v>explicit C balance</v>
      </c>
      <c r="EA963">
        <v>0</v>
      </c>
      <c r="EB963">
        <v>0</v>
      </c>
      <c r="EC963">
        <v>0</v>
      </c>
      <c r="ED963">
        <v>0</v>
      </c>
      <c r="EE963">
        <v>0</v>
      </c>
      <c r="EF963" s="143">
        <v>0</v>
      </c>
      <c r="EG963">
        <v>0</v>
      </c>
      <c r="EH963">
        <v>1</v>
      </c>
      <c r="EI963">
        <v>0</v>
      </c>
      <c r="EJ963">
        <v>0</v>
      </c>
      <c r="EK963">
        <v>0</v>
      </c>
      <c r="EL963">
        <v>0</v>
      </c>
      <c r="EM963">
        <v>0</v>
      </c>
      <c r="EN963" s="2">
        <v>0</v>
      </c>
      <c r="EP963" t="str">
        <f>IF(AND(AND(AND(OR($EC963=1,$EB963=1),OR($EH963=1,$EF963=1)),SUM($EA963:$EE963,$EK963)&gt;=3),SUM($EF963:$EJ963)&gt;=2),"Whole sector approach","")</f>
        <v/>
      </c>
      <c r="EQ963" t="str">
        <f>IF(AND(AND(OR($EC963=1,$EB963=1),AND($EH963=0,$EF963=0)),SUM($EA963:$EE963,$EK963)&gt;=4),"Ecosystem approach","")</f>
        <v/>
      </c>
      <c r="ER963" s="2" t="str">
        <f>IF(AND(AND(AND($EC963=0,$EB963=0),OR($EH963=1,$EF963=1)),SUM($EG963:$EJ963)&gt;=2),"Technology approach","")</f>
        <v/>
      </c>
      <c r="ES963" t="str">
        <f>IF(AND($EC963+$EB963+$EE963+$EA963+$ED963+$EG963=0,$N963="included"),"C neutral forest and HWP assumption","")</f>
        <v>C neutral forest and HWP assumption</v>
      </c>
      <c r="ET963" t="str">
        <f>IF(AND(AND(AND(AND($EC963=1,$EB963+$EA963+$EG963&gt;=1),$EF963=1),$EH963+$EI963+$ED963+$EE963&gt;=2),$N963="included"),"All C pools assumption","")</f>
        <v/>
      </c>
      <c r="EU963" t="str">
        <f>IF(AND($ED963+$EE963+$EI963+$EH963+$EF963=0,$N963="included"),"In-situ only assumption","")</f>
        <v/>
      </c>
      <c r="EY963" t="str">
        <f>IF(ISNUMBER(BW963),IF(ABS(BW963-[2]QC_indicators!$B$2)&gt;3*[2]QC_indicators!$C$2,"C ratio",IF(ISNUMBER(CA963),IF(ABS(CA963-[2]QC_indicators!$B$1)&gt;3*[2]QC_indicators!$C$1,"DF","no"))),IF(ISNUMBER(CA963),IF(ABS(CA963-[2]QC_indicators!$B$1)&gt;3*[2]QC_indicators!$C$1,"DF","no")))</f>
        <v>no</v>
      </c>
      <c r="FA963" t="str">
        <f>IF(LEN($CY963)=0,"",IF(AND($CY963&lt;(-0.05),$ES963="C neutral forest and HWP assumption"),"Cneutral paradox",IF(AND($CY963&gt;0.05,$EU963="In-situ only assumption"),"In-situ only paradox","")))</f>
        <v/>
      </c>
      <c r="FD963" s="260" t="s">
        <v>2779</v>
      </c>
    </row>
    <row r="964" spans="1:161" ht="15" hidden="1" customHeight="1">
      <c r="A964" s="1" t="s">
        <v>1108</v>
      </c>
      <c r="B964" t="s">
        <v>1109</v>
      </c>
      <c r="C964" t="s">
        <v>1110</v>
      </c>
      <c r="D964" t="s">
        <v>336</v>
      </c>
      <c r="E964" t="s">
        <v>1111</v>
      </c>
      <c r="F964" t="s">
        <v>1112</v>
      </c>
      <c r="G964" t="s">
        <v>1113</v>
      </c>
      <c r="I964">
        <v>2018</v>
      </c>
      <c r="K964" t="s">
        <v>1114</v>
      </c>
      <c r="M964" t="str">
        <f>LEFT($D964,FIND(",",$D964)-1)&amp;"_"&amp;I964&amp;L964</f>
        <v>Balasbaneh_2018</v>
      </c>
      <c r="N964" t="s">
        <v>222</v>
      </c>
      <c r="O964" s="140" t="s">
        <v>508</v>
      </c>
      <c r="Q964" t="s">
        <v>224</v>
      </c>
      <c r="R964" s="258" t="s">
        <v>223</v>
      </c>
      <c r="S964" s="1" t="s">
        <v>1121</v>
      </c>
      <c r="T964" s="260" t="s">
        <v>2792</v>
      </c>
      <c r="U964" s="260" t="s">
        <v>2795</v>
      </c>
      <c r="V964" s="253">
        <v>0</v>
      </c>
      <c r="W964" s="253">
        <v>0</v>
      </c>
      <c r="X964">
        <v>0</v>
      </c>
      <c r="Y964">
        <v>0</v>
      </c>
      <c r="Z964">
        <v>0</v>
      </c>
      <c r="AA964">
        <v>0</v>
      </c>
      <c r="AB964">
        <v>0</v>
      </c>
      <c r="AC964">
        <v>0</v>
      </c>
      <c r="AD964">
        <v>0</v>
      </c>
      <c r="AE964">
        <v>0</v>
      </c>
      <c r="AF964">
        <v>0</v>
      </c>
      <c r="AG964">
        <v>0</v>
      </c>
      <c r="AH964">
        <v>0</v>
      </c>
      <c r="AI964">
        <v>0</v>
      </c>
      <c r="AJ964">
        <v>0</v>
      </c>
      <c r="AK964">
        <v>0</v>
      </c>
      <c r="AL964">
        <v>0</v>
      </c>
      <c r="AM964">
        <v>1</v>
      </c>
      <c r="AN964">
        <v>0</v>
      </c>
      <c r="AO964">
        <v>0</v>
      </c>
      <c r="AP964">
        <v>0</v>
      </c>
      <c r="AQ964">
        <v>0</v>
      </c>
      <c r="AR964">
        <v>0</v>
      </c>
      <c r="AS964">
        <v>0</v>
      </c>
      <c r="AT964">
        <v>0</v>
      </c>
      <c r="AU964">
        <v>0</v>
      </c>
      <c r="AV964">
        <v>0</v>
      </c>
      <c r="AW964">
        <v>0</v>
      </c>
      <c r="AX964">
        <v>0</v>
      </c>
      <c r="AY964">
        <v>0</v>
      </c>
      <c r="AZ964" s="141">
        <f>COUNTIF(X964:AY964,"&lt;&gt;0")</f>
        <v>1</v>
      </c>
      <c r="BA964" s="141">
        <f>COUNTIF(X964:AN964,"&lt;&gt;0")</f>
        <v>1</v>
      </c>
      <c r="BB964">
        <f>COUNTIF(X964:AE964,"&lt;&gt;0")</f>
        <v>0</v>
      </c>
      <c r="BC964">
        <f>COUNTIF(AF964:AK964,"&lt;&gt;0")</f>
        <v>0</v>
      </c>
      <c r="BD964">
        <f>COUNTIF(AL964:AN964,"&lt;&gt;0")</f>
        <v>1</v>
      </c>
      <c r="BE964">
        <f>COUNTIF(AU964:AY964,"&lt;&gt;0")</f>
        <v>0</v>
      </c>
      <c r="BF964">
        <f>COUNTIF(AO964:AT964,"&lt;&gt;0")</f>
        <v>0</v>
      </c>
      <c r="BG964" t="str">
        <f t="array" ref="BG964">IF(BA964=1,INDEX($X$7:$AN$7,MATCH(TRUE,INDEX($X964:$AY964&lt;&gt;0,),0)),IF(BA964=0,INDEX($AO$7:$AY$7,MATCH(1,$AO964:$AY964,0)),IF(BH964="Multiple strategies","mixed drivers",IF(BH964="Supply chain","multiple supply","multiple silviculture"))))</f>
        <v>technologies/design switch</v>
      </c>
      <c r="BH964" s="2" t="str" cm="1">
        <f t="array" ref="BH964">IF(COUNTIF(BB964:BD964,"&lt;&gt;0")=1,INDEX($X$4:$AY$4,MATCH(TRUE,INDEX($X964:$AY964&lt;&gt;0,),0)),IF(COUNTIF(BB964:BD964,"&lt;&gt;0")=0,INDEX($AO$4:$AY$4,MATCH(1,$AO964:$AY964,0)),"Multiple strategies"))</f>
        <v>Technology</v>
      </c>
      <c r="BI964" s="1" t="s">
        <v>229</v>
      </c>
      <c r="BJ964" t="s">
        <v>229</v>
      </c>
      <c r="BL964" t="s">
        <v>345</v>
      </c>
      <c r="BM964">
        <v>0</v>
      </c>
      <c r="BN964">
        <v>23436</v>
      </c>
      <c r="BO964" s="143"/>
      <c r="BP964">
        <f>BN964-BM964</f>
        <v>23436</v>
      </c>
      <c r="BQ964" s="143">
        <f>BP964*kg_to_m3</f>
        <v>47.828571428571436</v>
      </c>
      <c r="BR964" t="s">
        <v>232</v>
      </c>
      <c r="BS964" s="153" t="s">
        <v>987</v>
      </c>
      <c r="BT964" t="s">
        <v>397</v>
      </c>
      <c r="BU964">
        <v>-7910</v>
      </c>
      <c r="BV964">
        <v>-693</v>
      </c>
      <c r="BW964" s="144">
        <v>8.7610619469026554E-2</v>
      </c>
      <c r="BX964">
        <v>7217</v>
      </c>
      <c r="BZ964">
        <f>BX964/1000</f>
        <v>7.2169999999999996</v>
      </c>
      <c r="CA964">
        <f>IFERROR(BZ964/BQ964,"")</f>
        <v>0.15089307048984466</v>
      </c>
      <c r="CB964">
        <v>0</v>
      </c>
      <c r="CC964">
        <v>0</v>
      </c>
      <c r="CD964">
        <v>0</v>
      </c>
      <c r="CE964">
        <v>0</v>
      </c>
      <c r="CF964">
        <v>0</v>
      </c>
      <c r="CG964">
        <v>0</v>
      </c>
      <c r="CH964">
        <v>0</v>
      </c>
      <c r="CI964">
        <v>0</v>
      </c>
      <c r="CJ964">
        <v>0</v>
      </c>
      <c r="CK964">
        <v>0</v>
      </c>
      <c r="CL964">
        <v>0</v>
      </c>
      <c r="CM964">
        <v>0</v>
      </c>
      <c r="CN964">
        <v>0</v>
      </c>
      <c r="CO964">
        <v>0</v>
      </c>
      <c r="CP964" t="str">
        <f>IF($BN964&lt;$BM964,"refNeedCorrection","refOK")</f>
        <v>refOK</v>
      </c>
      <c r="CQ964">
        <f>IF($CP964="refNeedCorrection",BN964,BM964)</f>
        <v>0</v>
      </c>
      <c r="CR964">
        <f>IF($CP964="refNeedCorrection",BM964,BN964)</f>
        <v>23436</v>
      </c>
      <c r="CS964">
        <f>IF($CP964="refOK",$BQ964,-$BQ964)</f>
        <v>47.828571428571436</v>
      </c>
      <c r="CT964">
        <f>IF(BI964="Roundwood",$CS964/2,$CS964)</f>
        <v>47.828571428571436</v>
      </c>
      <c r="CU964">
        <f>IF($CP964="refOK",$BU964,$BV964)*IF($BR964="Emissions positive",-1,1)</f>
        <v>-7910</v>
      </c>
      <c r="CV964">
        <f>IF($CP964="refOK",$BV964,$BU964)*IF($BR964="Emissions positive",-1,1)</f>
        <v>-693</v>
      </c>
      <c r="CW964">
        <f>IF($CP964="refNeedCorrection",-BZ964,BZ964)*IF($BR964="Emissions positive",-1,1)</f>
        <v>7.2169999999999996</v>
      </c>
      <c r="CX964">
        <f>IFERROR($CW964/$CS964,"")</f>
        <v>0.15089307048984466</v>
      </c>
      <c r="CY964">
        <f>IFERROR($CW964/$CS964,"")</f>
        <v>0.15089307048984466</v>
      </c>
      <c r="CZ964">
        <f>IFERROR($CW964/$CT964,"")</f>
        <v>0.15089307048984466</v>
      </c>
      <c r="DA964" s="2">
        <f>IFERROR((CV964-CU964)/ABS(CU964),"")</f>
        <v>0.9123893805309734</v>
      </c>
      <c r="DB964" s="1" t="s">
        <v>1078</v>
      </c>
      <c r="DC964" t="str">
        <f>IF(OR($DB964="prd",$DB964="std",$DB964="cit"),"loc",IF(OR($DB964="eur",$DB964="reg",$DB964="coy"),"reg",$DB964))</f>
        <v>reg</v>
      </c>
      <c r="DD964" t="s">
        <v>348</v>
      </c>
      <c r="DE964">
        <v>2014</v>
      </c>
      <c r="DF964">
        <v>2514</v>
      </c>
      <c r="DG964">
        <v>500</v>
      </c>
      <c r="DH964" t="str">
        <f>IF(DG964=0,"0",IF(AND(DG964&gt;=1,DG964&lt;=30),"1-30",IF(AND(DG964&gt;30,DG964&lt;=70),"31-70",IF(AND(DG964&gt;70,DG964&lt;=100),"71-100",IF(DG964&gt;100,"+100")))))</f>
        <v>+100</v>
      </c>
      <c r="DI964">
        <v>0</v>
      </c>
      <c r="DJ964">
        <v>0</v>
      </c>
      <c r="DK964">
        <v>0</v>
      </c>
      <c r="DL964">
        <v>1</v>
      </c>
      <c r="DN964">
        <f>SUM(DI964:DL964)</f>
        <v>1</v>
      </c>
      <c r="DO964" t="str">
        <f>IF(DN964=1,INDEX($DI$7:$DL$7,MATCH(1,$DI964:$DL964,0)),"mixedProduct")</f>
        <v>TimberInput</v>
      </c>
      <c r="DP964">
        <f>IF(DI964=1,DP$7,0)</f>
        <v>0</v>
      </c>
      <c r="DQ964">
        <f>IF(DJ964=1,DQ$7,0)</f>
        <v>0</v>
      </c>
      <c r="DR964">
        <f>IF(DK964=1,DR$7,0)</f>
        <v>0</v>
      </c>
      <c r="DS964" t="str">
        <f>IF(DL964=1,DS$7,0)</f>
        <v>Timber</v>
      </c>
      <c r="DT964">
        <v>0</v>
      </c>
      <c r="DU964">
        <v>0</v>
      </c>
      <c r="DV964">
        <v>0</v>
      </c>
      <c r="DW964">
        <v>0</v>
      </c>
      <c r="DX964">
        <v>0</v>
      </c>
      <c r="DY964">
        <f>SUM(DT964:DU964)</f>
        <v>0</v>
      </c>
      <c r="DZ964" s="143" t="str">
        <f>IF(DT964=1,"self-calculated DF",IF(DU964=1,"external DF used","explicit C balance"))</f>
        <v>explicit C balance</v>
      </c>
      <c r="EA964">
        <v>0</v>
      </c>
      <c r="EB964">
        <v>0</v>
      </c>
      <c r="EC964">
        <v>0</v>
      </c>
      <c r="ED964">
        <v>0</v>
      </c>
      <c r="EE964">
        <v>0</v>
      </c>
      <c r="EF964" s="143">
        <v>1</v>
      </c>
      <c r="EG964">
        <v>0</v>
      </c>
      <c r="EH964">
        <v>1</v>
      </c>
      <c r="EI964">
        <v>1</v>
      </c>
      <c r="EJ964">
        <v>1</v>
      </c>
      <c r="EK964">
        <v>0</v>
      </c>
      <c r="EL964">
        <v>0</v>
      </c>
      <c r="EM964">
        <v>0</v>
      </c>
      <c r="EN964" s="2">
        <v>0</v>
      </c>
      <c r="EP964" t="str">
        <f>IF(AND(AND(AND(OR($EC964=1,$EB964=1),OR($EH964=1,$EF964=1)),SUM($EA964:$EE964,$EK964)&gt;=3),SUM($EF964:$EJ964)&gt;=2),"Whole sector approach","")</f>
        <v/>
      </c>
      <c r="EQ964" t="str">
        <f>IF(AND(AND(OR($EC964=1,$EB964=1),AND($EH964=0,$EF964=0)),SUM($EA964:$EE964,$EK964)&gt;=4),"Ecosystem approach","")</f>
        <v/>
      </c>
      <c r="ER964" s="2" t="str">
        <f>IF(AND(AND(AND($EC964=0,$EB964=0),OR($EH964=1,$EF964=1)),SUM($EG964:$EJ964)&gt;=2),"Technology approach","")</f>
        <v>Technology approach</v>
      </c>
      <c r="ES964" t="str">
        <f>IF(AND($EC964+$EB964+$EE964+$EA964+$ED964+$EG964=0,$N964="included"),"C neutral forest and HWP assumption","")</f>
        <v>C neutral forest and HWP assumption</v>
      </c>
      <c r="ET964" t="str">
        <f>IF(AND(AND(AND(AND($EC964=1,$EB964+$EA964+$EG964&gt;=1),$EF964=1),$EH964+$EI964+$ED964+$EE964&gt;=2),$N964="included"),"All C pools assumption","")</f>
        <v/>
      </c>
      <c r="EU964" t="str">
        <f>IF(AND($ED964+$EE964+$EI964+$EH964+$EF964=0,$N964="included"),"In-situ only assumption","")</f>
        <v/>
      </c>
      <c r="EY964" t="str">
        <f>IF(ISNUMBER(BW964),IF(ABS(BW964-[2]QC_indicators!$B$2)&gt;3*[2]QC_indicators!$C$2,"C ratio",IF(ISNUMBER(CA964),IF(ABS(CA964-[2]QC_indicators!$B$1)&gt;3*[2]QC_indicators!$C$1,"DF","no"))),IF(ISNUMBER(CA964),IF(ABS(CA964-[2]QC_indicators!$B$1)&gt;3*[2]QC_indicators!$C$1,"DF","no")))</f>
        <v>no</v>
      </c>
      <c r="FA964" t="str">
        <f>IF(LEN($CY964)=0,"",IF(AND($CY964&lt;(-0.05),$ES964="C neutral forest and HWP assumption"),"Cneutral paradox",IF(AND($CY964&gt;0.05,$EU964="In-situ only assumption"),"In-situ only paradox","")))</f>
        <v/>
      </c>
      <c r="FB964" s="149" t="s">
        <v>349</v>
      </c>
      <c r="FD964" s="260" t="s">
        <v>2948</v>
      </c>
    </row>
    <row r="965" spans="1:161" ht="15" hidden="1" customHeight="1">
      <c r="A965" s="1" t="s">
        <v>895</v>
      </c>
      <c r="B965" t="s">
        <v>896</v>
      </c>
      <c r="C965" t="s">
        <v>897</v>
      </c>
      <c r="D965" t="s">
        <v>898</v>
      </c>
      <c r="E965" t="s">
        <v>899</v>
      </c>
      <c r="F965" t="s">
        <v>900</v>
      </c>
      <c r="G965" t="s">
        <v>901</v>
      </c>
      <c r="H965" t="s">
        <v>254</v>
      </c>
      <c r="I965">
        <v>2015</v>
      </c>
      <c r="J965">
        <v>19</v>
      </c>
      <c r="K965" t="s">
        <v>902</v>
      </c>
      <c r="M965" t="str">
        <f>LEFT($D965,FIND(",",$D965)-1)&amp;"_"&amp;I965&amp;L965</f>
        <v>Makipaa_2015</v>
      </c>
      <c r="N965" t="s">
        <v>222</v>
      </c>
      <c r="O965" s="145" t="s">
        <v>225</v>
      </c>
      <c r="Q965" t="s">
        <v>256</v>
      </c>
      <c r="R965" s="251" t="s">
        <v>223</v>
      </c>
      <c r="S965" s="1" t="s">
        <v>903</v>
      </c>
      <c r="T965" t="s">
        <v>904</v>
      </c>
      <c r="U965" s="143" t="s">
        <v>905</v>
      </c>
      <c r="V965" s="253">
        <v>0</v>
      </c>
      <c r="W965" s="253">
        <v>0</v>
      </c>
      <c r="X965">
        <v>0</v>
      </c>
      <c r="Y965">
        <v>0</v>
      </c>
      <c r="Z965">
        <v>0</v>
      </c>
      <c r="AA965">
        <v>1</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s="141">
        <f>COUNTIF(X965:AY965,"&lt;&gt;0")</f>
        <v>1</v>
      </c>
      <c r="BA965" s="141">
        <f>COUNTIF(X965:AN965,"&lt;&gt;0")</f>
        <v>1</v>
      </c>
      <c r="BB965">
        <f>COUNTIF(X965:AE965,"&lt;&gt;0")</f>
        <v>1</v>
      </c>
      <c r="BC965">
        <f>COUNTIF(AF965:AK965,"&lt;&gt;0")</f>
        <v>0</v>
      </c>
      <c r="BD965">
        <f>COUNTIF(AL965:AN965,"&lt;&gt;0")</f>
        <v>0</v>
      </c>
      <c r="BE965">
        <f>COUNTIF(AU965:AY965,"&lt;&gt;0")</f>
        <v>0</v>
      </c>
      <c r="BF965">
        <f>COUNTIF(AO965:AT965,"&lt;&gt;0")</f>
        <v>0</v>
      </c>
      <c r="BG965" t="str">
        <f t="array" ref="BG965">IF(BA965=1,INDEX($X$7:$AN$7,MATCH(TRUE,INDEX($X965:$AY965&lt;&gt;0,),0)),IF(BA965=0,INDEX($AO$7:$AY$7,MATCH(1,$AO965:$AY965,0)),IF(BH965="Multiple strategies","mixed drivers",IF(BH965="Supply chain","multiple supply","multiple silviculture"))))</f>
        <v xml:space="preserve">cutting intensity </v>
      </c>
      <c r="BH965" s="2" t="str" cm="1">
        <f t="array" ref="BH965">IF(COUNTIF(BB965:BD965,"&lt;&gt;0")=1,INDEX($X$4:$AY$4,MATCH(TRUE,INDEX($X965:$AY965&lt;&gt;0,),0)),IF(COUNTIF(BB965:BD965,"&lt;&gt;0")=0,INDEX($AO$4:$AY$4,MATCH(1,$AO965:$AY965,0)),"Multiple strategies"))</f>
        <v>Silviculture for removals</v>
      </c>
      <c r="BI965" s="142" t="s">
        <v>321</v>
      </c>
      <c r="BJ965" t="s">
        <v>906</v>
      </c>
      <c r="BK965" s="260" t="s">
        <v>424</v>
      </c>
      <c r="BL965" s="143" t="s">
        <v>498</v>
      </c>
      <c r="BM965">
        <v>625.20000000000005</v>
      </c>
      <c r="BN965" s="143">
        <v>743.1</v>
      </c>
      <c r="BO965" s="163">
        <f>BN965/BM965</f>
        <v>1.1885796545105565</v>
      </c>
      <c r="BP965">
        <f>BN965-BM965</f>
        <v>117.89999999999998</v>
      </c>
      <c r="BQ965" s="159">
        <f>BP965</f>
        <v>117.89999999999998</v>
      </c>
      <c r="BR965" t="s">
        <v>232</v>
      </c>
      <c r="BS965" s="153" t="s">
        <v>429</v>
      </c>
      <c r="BT965" t="s">
        <v>907</v>
      </c>
      <c r="BU965" s="143">
        <v>139.5</v>
      </c>
      <c r="BV965">
        <v>118.2</v>
      </c>
      <c r="BW965" s="144">
        <f>IFERROR(BV965/BU965,"")</f>
        <v>0.84731182795698923</v>
      </c>
      <c r="BX965">
        <f>BV965-BU965</f>
        <v>-21.299999999999997</v>
      </c>
      <c r="BZ965">
        <f>BX965*C_to_CO2</f>
        <v>-78.170999999999992</v>
      </c>
      <c r="CA965">
        <f>IFERROR(BZ965/BQ965,"")</f>
        <v>-0.66302798982188305</v>
      </c>
      <c r="CB965">
        <v>0</v>
      </c>
      <c r="CC965">
        <v>0</v>
      </c>
      <c r="CD965">
        <v>0</v>
      </c>
      <c r="CE965">
        <v>0</v>
      </c>
      <c r="CF965">
        <v>0</v>
      </c>
      <c r="CG965">
        <v>0</v>
      </c>
      <c r="CH965">
        <v>0</v>
      </c>
      <c r="CI965">
        <v>0</v>
      </c>
      <c r="CJ965">
        <v>0</v>
      </c>
      <c r="CK965">
        <v>0</v>
      </c>
      <c r="CL965">
        <v>0</v>
      </c>
      <c r="CM965">
        <v>0</v>
      </c>
      <c r="CN965">
        <v>0</v>
      </c>
      <c r="CO965">
        <v>0</v>
      </c>
      <c r="CP965" t="str">
        <f>IF($BN965&lt;$BM965,"refNeedCorrection","refOK")</f>
        <v>refOK</v>
      </c>
      <c r="CQ965">
        <f>IF($CP965="refNeedCorrection",BN965,BM965)</f>
        <v>625.20000000000005</v>
      </c>
      <c r="CR965">
        <f>IF($CP965="refNeedCorrection",BM965,BN965)</f>
        <v>743.1</v>
      </c>
      <c r="CS965">
        <f>IF($CP965="refOK",$BQ965,-$BQ965)</f>
        <v>117.89999999999998</v>
      </c>
      <c r="CT965">
        <f>IF(BI965="Roundwood",$CS965/2,$CS965)</f>
        <v>58.949999999999989</v>
      </c>
      <c r="CU965">
        <f>IF($CP965="refOK",$BU965,$BV965)*IF($BR965="Emissions positive",-1,1)</f>
        <v>139.5</v>
      </c>
      <c r="CV965">
        <f>IF($CP965="refOK",$BV965,$BU965)*IF($BR965="Emissions positive",-1,1)</f>
        <v>118.2</v>
      </c>
      <c r="CW965">
        <f>IF($CP965="refNeedCorrection",-BZ965,BZ965)*IF($BR965="Emissions positive",-1,1)</f>
        <v>-78.170999999999992</v>
      </c>
      <c r="CX965">
        <f>IFERROR($CW965/$CS965,"")</f>
        <v>-0.66302798982188305</v>
      </c>
      <c r="CY965">
        <f>IFERROR($CW965/$CS965,"")</f>
        <v>-0.66302798982188305</v>
      </c>
      <c r="CZ965">
        <f>IFERROR($CW965/$CT965,"")</f>
        <v>-1.3260559796437661</v>
      </c>
      <c r="DA965" s="2">
        <f>IFERROR((CV965-CU965)/ABS(CU965),"")</f>
        <v>-0.15268817204301074</v>
      </c>
      <c r="DB965" s="1" t="s">
        <v>234</v>
      </c>
      <c r="DC965" t="str">
        <f>IF(OR($DB965="prd",$DB965="std",$DB965="cit"),"loc",IF(OR($DB965="eur",$DB965="reg",$DB965="coy"),"reg",$DB965))</f>
        <v>loc</v>
      </c>
      <c r="DD965" t="s">
        <v>235</v>
      </c>
      <c r="DF965" s="143"/>
      <c r="DG965" s="143">
        <v>80</v>
      </c>
      <c r="DH965" t="str">
        <f>IF(DG965=0,"0",IF(AND(DG965&gt;=1,DG965&lt;=30),"1-30",IF(AND(DG965&gt;30,DG965&lt;=70),"31-70",IF(AND(DG965&gt;70,DG965&lt;=100),"71-100",IF(DG965&gt;100,"+100")))))</f>
        <v>71-100</v>
      </c>
      <c r="DI965">
        <v>1</v>
      </c>
      <c r="DJ965">
        <v>1</v>
      </c>
      <c r="DK965">
        <v>0</v>
      </c>
      <c r="DL965">
        <v>0</v>
      </c>
      <c r="DN965">
        <f>SUM(DI965:DL965)</f>
        <v>2</v>
      </c>
      <c r="DO965" t="str">
        <f>IF(DN965=1,INDEX($DI$7:$DL$7,MATCH(1,$DI965:$DL965,0)),"mixedProduct")</f>
        <v>mixedProduct</v>
      </c>
      <c r="DP965" t="str">
        <f>IF(DI965=1,DP$7,0)</f>
        <v>Upstream</v>
      </c>
      <c r="DQ965" t="str">
        <f>IF(DJ965=1,DQ$7,0)</f>
        <v>Energy</v>
      </c>
      <c r="DR965">
        <f>IF(DK965=1,DR$7,0)</f>
        <v>0</v>
      </c>
      <c r="DS965">
        <f>IF(DL965=1,DS$7,0)</f>
        <v>0</v>
      </c>
      <c r="DT965">
        <v>0</v>
      </c>
      <c r="DU965" s="143">
        <v>1</v>
      </c>
      <c r="DV965" s="143" t="s">
        <v>908</v>
      </c>
      <c r="DW965">
        <v>0</v>
      </c>
      <c r="DX965" s="143">
        <v>0</v>
      </c>
      <c r="DY965">
        <f>SUM(DT965:DU965)</f>
        <v>1</v>
      </c>
      <c r="DZ965" s="143" t="str">
        <f>IF(DT965=1,"self-calculated DF",IF(DU965=1,"external DF used","explicit C balance"))</f>
        <v>external DF used</v>
      </c>
      <c r="EA965" s="143">
        <v>1</v>
      </c>
      <c r="EB965" s="143">
        <v>1</v>
      </c>
      <c r="EC965" s="143">
        <v>1</v>
      </c>
      <c r="ED965" s="143">
        <v>0</v>
      </c>
      <c r="EE965">
        <v>1</v>
      </c>
      <c r="EF965" s="143">
        <v>1</v>
      </c>
      <c r="EG965" s="143">
        <v>0</v>
      </c>
      <c r="EH965" s="143">
        <v>0</v>
      </c>
      <c r="EI965" s="143">
        <v>0</v>
      </c>
      <c r="EJ965">
        <v>0</v>
      </c>
      <c r="EK965">
        <v>1</v>
      </c>
      <c r="EL965" s="143">
        <v>0</v>
      </c>
      <c r="EM965">
        <v>0</v>
      </c>
      <c r="EN965" s="2">
        <v>0</v>
      </c>
      <c r="EP965" t="str">
        <f>IF(AND(AND(AND(OR($EC965=1,$EB965=1),OR($EH965=1,$EF965=1)),SUM($EA965:$EE965,$EK965)&gt;=3),SUM($EF965:$EJ965)&gt;=2),"Whole sector approach","")</f>
        <v/>
      </c>
      <c r="EQ965" t="str">
        <f>IF(AND(AND(OR($EC965=1,$EB965=1),AND($EH965=0,$EF965=0)),SUM($EA965:$EE965,$EK965)&gt;=4),"Ecosystem approach","")</f>
        <v/>
      </c>
      <c r="ER965" s="2" t="str">
        <f>IF(AND(AND(AND($EC965=0,$EB965=0),OR($EH965=1,$EF965=1)),SUM($EG965:$EJ965)&gt;=2),"Technology approach","")</f>
        <v/>
      </c>
      <c r="ES965" t="str">
        <f>IF(AND($EC965+$EB965+$EE965+$EA965+$ED965+$EG965=0,$N965="included"),"C neutral forest and HWP assumption","")</f>
        <v/>
      </c>
      <c r="ET965" t="str">
        <f>IF(AND(AND(AND(AND($EC965=1,$EB965+$EA965+$EG965&gt;=1),$EF965=1),$EH965+$EI965+$ED965+$EE965&gt;=2),$N965="included"),"All C pools assumption","")</f>
        <v/>
      </c>
      <c r="EU965" t="str">
        <f>IF(AND($ED965+$EE965+$EI965+$EH965+$EF965=0,$N965="included"),"In-situ only assumption","")</f>
        <v/>
      </c>
      <c r="EY965" t="str">
        <f>IF(ISNUMBER(BW965),IF(ABS(BW965-[2]QC_indicators!$B$2)&gt;3*[2]QC_indicators!$C$2,"C ratio",IF(ISNUMBER(CA965),IF(ABS(CA965-[2]QC_indicators!$B$1)&gt;3*[2]QC_indicators!$C$1,"DF","no"))),IF(ISNUMBER(CA965),IF(ABS(CA965-[2]QC_indicators!$B$1)&gt;3*[2]QC_indicators!$C$1,"DF","no")))</f>
        <v>no</v>
      </c>
      <c r="FA965" t="str">
        <f>IF(LEN($CY965)=0,"",IF(AND($CY965&lt;(-0.05),$ES965="C neutral forest and HWP assumption"),"Cneutral paradox",IF(AND($CY965&gt;0.05,$EU965="In-situ only assumption"),"In-situ only paradox","")))</f>
        <v/>
      </c>
      <c r="FD965" s="260" t="s">
        <v>2774</v>
      </c>
      <c r="FE965" s="139"/>
    </row>
    <row r="966" spans="1:161" ht="15" hidden="1" customHeight="1">
      <c r="A966" s="1" t="s">
        <v>1185</v>
      </c>
      <c r="B966" t="s">
        <v>1186</v>
      </c>
      <c r="C966" t="s">
        <v>1187</v>
      </c>
      <c r="D966" t="s">
        <v>1188</v>
      </c>
      <c r="E966" t="s">
        <v>1189</v>
      </c>
      <c r="F966" t="s">
        <v>1190</v>
      </c>
      <c r="G966" t="s">
        <v>1191</v>
      </c>
      <c r="H966" t="s">
        <v>254</v>
      </c>
      <c r="I966">
        <v>2016</v>
      </c>
      <c r="J966">
        <v>0</v>
      </c>
      <c r="K966" t="s">
        <v>1192</v>
      </c>
      <c r="M966" t="str">
        <f>LEFT($D966,FIND(",",$D966)-1)&amp;"_"&amp;I966&amp;L966</f>
        <v>Bouyer_2016</v>
      </c>
      <c r="N966" t="s">
        <v>222</v>
      </c>
      <c r="O966" s="145" t="s">
        <v>225</v>
      </c>
      <c r="Q966" s="317" t="s">
        <v>224</v>
      </c>
      <c r="R966" s="318" t="s">
        <v>1029</v>
      </c>
      <c r="S966" s="1" t="s">
        <v>1193</v>
      </c>
      <c r="T966" s="317" t="s">
        <v>1194</v>
      </c>
      <c r="U966" t="s">
        <v>1195</v>
      </c>
      <c r="V966" s="253">
        <v>0</v>
      </c>
      <c r="W966" s="253">
        <v>0</v>
      </c>
      <c r="X966">
        <v>0</v>
      </c>
      <c r="Y966">
        <v>0</v>
      </c>
      <c r="Z966">
        <v>0</v>
      </c>
      <c r="AA966">
        <v>1</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s="141">
        <f>COUNTIF(X966:AY966,"&lt;&gt;0")</f>
        <v>1</v>
      </c>
      <c r="BA966" s="141">
        <f>COUNTIF(X966:AN966,"&lt;&gt;0")</f>
        <v>1</v>
      </c>
      <c r="BB966">
        <f>COUNTIF(X966:AE966,"&lt;&gt;0")</f>
        <v>1</v>
      </c>
      <c r="BC966">
        <f>COUNTIF(AF966:AK966,"&lt;&gt;0")</f>
        <v>0</v>
      </c>
      <c r="BD966">
        <f>COUNTIF(AL966:AN966,"&lt;&gt;0")</f>
        <v>0</v>
      </c>
      <c r="BE966">
        <f>COUNTIF(AU966:AY966,"&lt;&gt;0")</f>
        <v>0</v>
      </c>
      <c r="BF966">
        <f>COUNTIF(AO966:AT966,"&lt;&gt;0")</f>
        <v>0</v>
      </c>
      <c r="BG966" t="str" cm="1">
        <f t="array" ref="BG966">IF(BA966=1,INDEX($X$7:$AN$7,MATCH(TRUE,INDEX($X966:$AY966&lt;&gt;0,),0)),IF(BA966=0,INDEX($AO$7:$AY$7,MATCH(1,$AO966:$AY966,0)),IF(BH966="Multiple strategies","mixed drivers",IF(BH966="Supply chain","multiple supply","multiple silviculture"))))</f>
        <v xml:space="preserve">cutting intensity </v>
      </c>
      <c r="BH966" s="2" t="str" cm="1">
        <f t="array" ref="BH966">IF(COUNTIF(BB966:BD966,"&lt;&gt;0")=1,INDEX($X$4:$AY$4,MATCH(TRUE,INDEX($X966:$AY966&lt;&gt;0,),0)),IF(COUNTIF(BB966:BD966,"&lt;&gt;0")=0,INDEX($AO$4:$AY$4,MATCH(1,$AO966:$AY966,0)),"Multiple strategies"))</f>
        <v>Silviculture for removals</v>
      </c>
      <c r="BI966" s="172" t="s">
        <v>321</v>
      </c>
      <c r="BJ966" t="s">
        <v>1196</v>
      </c>
      <c r="BK966" s="141" t="s">
        <v>1025</v>
      </c>
      <c r="BL966" s="143" t="s">
        <v>1197</v>
      </c>
      <c r="BM966">
        <v>22.378</v>
      </c>
      <c r="BN966" s="143">
        <v>26.359000000000002</v>
      </c>
      <c r="BO966" s="163"/>
      <c r="BP966">
        <f>BN966-BM966</f>
        <v>3.9810000000000016</v>
      </c>
      <c r="BQ966">
        <f>BP966*10^6</f>
        <v>3981000.0000000019</v>
      </c>
      <c r="BR966" s="141" t="s">
        <v>232</v>
      </c>
      <c r="BS966" s="141" t="s">
        <v>687</v>
      </c>
      <c r="BT966" s="317" t="s">
        <v>1175</v>
      </c>
      <c r="BU966">
        <v>10.97</v>
      </c>
      <c r="BV966">
        <v>13.69</v>
      </c>
      <c r="BW966" s="144">
        <f>IFERROR(BV966/BU966,"")</f>
        <v>1.2479489516864173</v>
      </c>
      <c r="BX966" s="175">
        <f>BV966-BU966</f>
        <v>2.7199999999999989</v>
      </c>
      <c r="BY966" s="175"/>
      <c r="BZ966" s="175">
        <f>BX966*10^6</f>
        <v>2719999.9999999991</v>
      </c>
      <c r="CA966">
        <f>IFERROR(BZ966/BQ966,"")</f>
        <v>0.68324541572469177</v>
      </c>
      <c r="CB966" s="143">
        <v>0</v>
      </c>
      <c r="CC966" s="143">
        <v>0</v>
      </c>
      <c r="CD966" s="143">
        <v>0</v>
      </c>
      <c r="CE966" s="143">
        <v>0</v>
      </c>
      <c r="CF966" s="143">
        <v>0</v>
      </c>
      <c r="CG966" s="143">
        <v>0</v>
      </c>
      <c r="CH966" s="143">
        <v>0</v>
      </c>
      <c r="CI966" s="143">
        <v>0</v>
      </c>
      <c r="CJ966" s="143">
        <v>0</v>
      </c>
      <c r="CK966" s="143">
        <v>0</v>
      </c>
      <c r="CL966" s="143">
        <v>0</v>
      </c>
      <c r="CM966" s="143">
        <v>0</v>
      </c>
      <c r="CN966" s="143">
        <v>0</v>
      </c>
      <c r="CO966">
        <v>0</v>
      </c>
      <c r="CP966" t="str">
        <f>IF($BN966&lt;$BM966,"refNeedCorrection","refOK")</f>
        <v>refOK</v>
      </c>
      <c r="CQ966">
        <f>IF($CP966="refOK",$BM966,$BN966)</f>
        <v>22.378</v>
      </c>
      <c r="CR966">
        <f>IF($CP966="refOK",$BN966,$BM966)</f>
        <v>26.359000000000002</v>
      </c>
      <c r="CS966">
        <f>IF($CP966="refOK",$BQ966,-$BQ966)</f>
        <v>3981000.0000000019</v>
      </c>
      <c r="CT966">
        <f>IF(BI966="Roundwood",$CS966/2,$CS966)</f>
        <v>1990500.0000000009</v>
      </c>
      <c r="CU966" t="e">
        <f>IF($CP966="refOK",#REF!,$BU966)*IF($BR966="Emissions positive",-1,1)</f>
        <v>#REF!</v>
      </c>
      <c r="CV966">
        <f>IF($CP966="refOK",$BU966,#REF!)*IF($BR966="Emissions positive",-1,1)</f>
        <v>10.97</v>
      </c>
      <c r="CW966">
        <f>IF($CP966="refNeedCorrection",-BZ966,BZ966)*IF($BR966="Emissions positive",-1,1)</f>
        <v>2719999.9999999991</v>
      </c>
      <c r="CX966">
        <f>IFERROR($CW966/$CS966,"")</f>
        <v>0.68324541572469177</v>
      </c>
      <c r="CY966">
        <f>IFERROR($CW966/$CS966,"")</f>
        <v>0.68324541572469177</v>
      </c>
      <c r="CZ966">
        <f>IFERROR($CW966/$CT966,"")</f>
        <v>1.3664908314493835</v>
      </c>
      <c r="DA966" s="2" t="str">
        <f>IFERROR((CV966-CU966)/ABS(CU966),"")</f>
        <v/>
      </c>
      <c r="DB966" s="1" t="s">
        <v>1078</v>
      </c>
      <c r="DC966" s="317" t="str">
        <f>IF(OR($DB966="prd",$DB966="std",$DB966="cit"),"loc",IF(OR($DB966="eur",$DB966="reg",$DB966="coy"),"reg",$DB966))</f>
        <v>reg</v>
      </c>
      <c r="DD966" t="s">
        <v>1156</v>
      </c>
      <c r="DE966">
        <v>2013</v>
      </c>
      <c r="DF966" s="143">
        <v>2020</v>
      </c>
      <c r="DG966" s="143">
        <v>8</v>
      </c>
      <c r="DH966" t="str">
        <f>IF(DG966=0,"0",IF(AND(DG966&gt;=1,DG966&lt;=30),"1-30",IF(AND(DG966&gt;30,DG966&lt;=70),"31-70",IF(AND(DG966&gt;70,DG966&lt;=100),"71-100",IF(DG966&gt;100,"+100")))))</f>
        <v>1-30</v>
      </c>
      <c r="DI966">
        <v>0</v>
      </c>
      <c r="DJ966">
        <v>0</v>
      </c>
      <c r="DK966">
        <v>0</v>
      </c>
      <c r="DL966">
        <v>1</v>
      </c>
      <c r="DN966">
        <f>SUM(DI966:DL966)</f>
        <v>1</v>
      </c>
      <c r="DO966" t="str">
        <f>IF(DN966=1,INDEX($DI$7:$DL$7,MATCH(1,$DI966:$DL966,0)),"mixedProduct")</f>
        <v>TimberInput</v>
      </c>
      <c r="DP966">
        <f>IF(DI966=1,DP$7,0)</f>
        <v>0</v>
      </c>
      <c r="DQ966">
        <f>IF(DJ966=1,DQ$7,0)</f>
        <v>0</v>
      </c>
      <c r="DR966">
        <f>IF(DK966=1,DR$7,0)</f>
        <v>0</v>
      </c>
      <c r="DS966" t="str">
        <f>IF(DL966=1,DS$7,0)</f>
        <v>Timber</v>
      </c>
      <c r="DT966">
        <v>0</v>
      </c>
      <c r="DU966" s="143">
        <v>0</v>
      </c>
      <c r="DV966" s="143">
        <v>0</v>
      </c>
      <c r="DW966" s="143">
        <v>0</v>
      </c>
      <c r="DX966" s="143">
        <v>0</v>
      </c>
      <c r="DY966">
        <f>SUM(DT966:DU966)</f>
        <v>0</v>
      </c>
      <c r="DZ966" s="143" t="str">
        <f>IF(DT966=1,"self-calculated DF",IF(DU966=1,"external DF used","explicit C balance"))</f>
        <v>explicit C balance</v>
      </c>
      <c r="EA966" s="143">
        <v>0</v>
      </c>
      <c r="EB966" s="143">
        <v>0</v>
      </c>
      <c r="EC966" s="143">
        <v>0</v>
      </c>
      <c r="ED966" s="143">
        <v>1</v>
      </c>
      <c r="EE966">
        <v>0</v>
      </c>
      <c r="EF966" s="141">
        <v>0</v>
      </c>
      <c r="EG966" s="143">
        <v>0</v>
      </c>
      <c r="EH966" s="143">
        <v>0</v>
      </c>
      <c r="EI966" s="143">
        <v>0</v>
      </c>
      <c r="EJ966">
        <v>0</v>
      </c>
      <c r="EK966">
        <v>0</v>
      </c>
      <c r="EL966" s="143">
        <v>0</v>
      </c>
      <c r="EM966" s="143">
        <v>0</v>
      </c>
      <c r="EN966" s="2">
        <v>0</v>
      </c>
      <c r="EP966" t="str">
        <f>IF(AND(AND(AND(OR($EC966=1,$EB966=1),OR($EH966=1,$EF966=1)),SUM($EA966:$EE966,$EK966)&gt;=3),SUM($EF966:$EJ966)&gt;=2),"Whole sector approach","")</f>
        <v/>
      </c>
      <c r="EQ966" t="str">
        <f>IF(AND(AND(OR($EC966=1,$EB966=1),AND($EH966=0,$EF966=0)),SUM($EA966:$EE966,$EK966)&gt;=3),"Ecosystem approach","")</f>
        <v/>
      </c>
      <c r="ER966" s="2" t="str">
        <f>IF(AND(AND(AND($EC966=0,$EB966=0),OR($EH966=1,$EF966=1)),SUM($EG966:$EJ966)&gt;=2),"Technology approach","")</f>
        <v/>
      </c>
      <c r="ES966" t="str">
        <f>IF(AND($EC966+$EB966+$EE966+$EA966+$ED966+$EG966=0,$N966="included"),"C neutral forest and HWP assumption","")</f>
        <v/>
      </c>
      <c r="ET966" t="str">
        <f>IF(AND(AND(AND(AND($EC966=1,$EB966+$EA966+$EG966&gt;=1),$EF966=1),$EH966+$EI966+$ED966+$EE966&gt;=2),$N966="included"),"All C pools assumption","")</f>
        <v/>
      </c>
      <c r="EU966" t="str">
        <f>IF(AND($ED966+$EE966+$EI966+$EH966+$EF966=0,$N966="included"),"In-situ only assumption","")</f>
        <v/>
      </c>
      <c r="EY966" t="str">
        <f>IF(ISNUMBER(BW966),IF(ABS(BW966-[4]QC_indicators!$B$2)&gt;3*[4]QC_indicators!$C$2,"C ratio",IF(ISNUMBER(CA966),IF(ABS(CA966-[4]QC_indicators!$B$1)&gt;3*[4]QC_indicators!$C$1,"DF","no"))),IF(ISNUMBER(CA966),IF(ABS(CA966-[4]QC_indicators!$B$1)&gt;3*[4]QC_indicators!$C$1,"DF","no")))</f>
        <v>no</v>
      </c>
      <c r="FA966" t="str">
        <f>IF(LEN($CY966)=0,"",IF(AND($CY966&lt;(-0.05),$ES966="C neutral forest and HWP assumption"),"Cneutral paradox",IF(AND($CY966&gt;0.05,$EU966="In-situ only assumption"),"In-situ only paradox","")))</f>
        <v/>
      </c>
      <c r="FB966" s="317" t="s">
        <v>1198</v>
      </c>
      <c r="FD966" s="317" t="s">
        <v>4884</v>
      </c>
    </row>
    <row r="967" spans="1:161" ht="15" hidden="1" customHeight="1">
      <c r="A967" s="1" t="s">
        <v>1161</v>
      </c>
      <c r="B967" t="s">
        <v>1209</v>
      </c>
      <c r="C967" t="s">
        <v>1210</v>
      </c>
      <c r="D967" t="s">
        <v>1211</v>
      </c>
      <c r="E967" t="s">
        <v>1212</v>
      </c>
      <c r="F967" t="s">
        <v>1213</v>
      </c>
      <c r="G967" t="s">
        <v>1167</v>
      </c>
      <c r="H967" t="s">
        <v>254</v>
      </c>
      <c r="I967">
        <v>2016</v>
      </c>
      <c r="J967">
        <v>27</v>
      </c>
      <c r="K967" t="s">
        <v>1214</v>
      </c>
      <c r="M967" t="str">
        <f>LEFT($D967,FIND(",",$D967)-1)&amp;"_"&amp;I967&amp;L967</f>
        <v>Braun_2016</v>
      </c>
      <c r="N967" t="s">
        <v>222</v>
      </c>
      <c r="O967" s="145" t="s">
        <v>223</v>
      </c>
      <c r="Q967" t="s">
        <v>256</v>
      </c>
      <c r="R967" s="251" t="s">
        <v>225</v>
      </c>
      <c r="S967" s="1" t="s">
        <v>1215</v>
      </c>
      <c r="T967" t="s">
        <v>1216</v>
      </c>
      <c r="U967" t="s">
        <v>985</v>
      </c>
      <c r="V967">
        <v>1</v>
      </c>
      <c r="W967">
        <v>0</v>
      </c>
      <c r="X967">
        <v>1</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v>0</v>
      </c>
      <c r="AW967">
        <v>0</v>
      </c>
      <c r="AX967">
        <v>0</v>
      </c>
      <c r="AY967">
        <v>0</v>
      </c>
      <c r="AZ967" s="141">
        <f>COUNTIF(X967:AY967,"&lt;&gt;0")</f>
        <v>1</v>
      </c>
      <c r="BA967" s="141">
        <f>COUNTIF(X967:AN967,"&lt;&gt;0")</f>
        <v>1</v>
      </c>
      <c r="BB967">
        <f>COUNTIF(X967:AE967,"&lt;&gt;0")</f>
        <v>1</v>
      </c>
      <c r="BC967">
        <f>COUNTIF(AF967:AK967,"&lt;&gt;0")</f>
        <v>0</v>
      </c>
      <c r="BD967">
        <f>COUNTIF(AL967:AN967,"&lt;&gt;0")</f>
        <v>0</v>
      </c>
      <c r="BE967">
        <f>COUNTIF(AU967:AY967,"&lt;&gt;0")</f>
        <v>0</v>
      </c>
      <c r="BF967">
        <f>COUNTIF(AO967:AT967,"&lt;&gt;0")</f>
        <v>0</v>
      </c>
      <c r="BG967" t="str">
        <f t="array" ref="BG967">IF(BA967=1,INDEX($X$7:$AN$7,MATCH(TRUE,INDEX($X967:$AY967&lt;&gt;0,),0)),IF(BA967=0,INDEX($AO$7:$AY$7,MATCH(1,$AO967:$AY967,0)),IF(BH967="Multiple strategies","mixed drivers",IF(BH967="Supply chain","multiple supply","multiple silviculture"))))</f>
        <v>area subject to harvest</v>
      </c>
      <c r="BH967" s="2" t="str" cm="1">
        <f t="array" ref="BH967">IF(COUNTIF(BB967:BD967,"&lt;&gt;0")=1,INDEX($X$4:$AY$4,MATCH(TRUE,INDEX($X967:$AY967&lt;&gt;0,),0)),IF(COUNTIF(BB967:BD967,"&lt;&gt;0")=0,INDEX($AO$4:$AY$4,MATCH(1,$AO967:$AY967,0)),"Multiple strategies"))</f>
        <v>Silviculture for removals</v>
      </c>
      <c r="BI967" s="1" t="s">
        <v>229</v>
      </c>
      <c r="BJ967" t="s">
        <v>1217</v>
      </c>
      <c r="BK967" s="256" t="s">
        <v>2952</v>
      </c>
      <c r="BL967" t="s">
        <v>1218</v>
      </c>
      <c r="BM967">
        <v>1.1674521913429727</v>
      </c>
      <c r="BN967">
        <v>1.8051407849829213</v>
      </c>
      <c r="BO967">
        <f>BN967/BM967</f>
        <v>1.5462224477958166</v>
      </c>
      <c r="BP967">
        <f>BN967-BM967</f>
        <v>0.63768859363994856</v>
      </c>
      <c r="BQ967">
        <f>BP967*10^9</f>
        <v>637688593.63994861</v>
      </c>
      <c r="BR967" t="s">
        <v>232</v>
      </c>
      <c r="BS967" s="256" t="s">
        <v>2953</v>
      </c>
      <c r="BT967" t="s">
        <v>1219</v>
      </c>
      <c r="BU967" s="141">
        <v>1.93686006825938</v>
      </c>
      <c r="BV967" s="141">
        <v>1.4146757679180799</v>
      </c>
      <c r="BW967" s="144">
        <f>IFERROR(BV967/BU967,"")</f>
        <v>0.7303964757709227</v>
      </c>
      <c r="BX967">
        <f>BV967-BU967</f>
        <v>-0.52218430034130003</v>
      </c>
      <c r="BZ967">
        <f>BX967*10^9</f>
        <v>-522184300.34130001</v>
      </c>
      <c r="CA967">
        <f>IFERROR(BZ967/BQ967,"")</f>
        <v>-0.81887037897393444</v>
      </c>
      <c r="CB967" s="143">
        <v>0</v>
      </c>
      <c r="CC967" s="143">
        <v>0</v>
      </c>
      <c r="CD967" s="143">
        <v>0</v>
      </c>
      <c r="CE967" s="143">
        <v>0</v>
      </c>
      <c r="CF967" s="143">
        <v>0</v>
      </c>
      <c r="CG967" s="143">
        <v>0</v>
      </c>
      <c r="CH967" s="143">
        <v>0</v>
      </c>
      <c r="CI967" s="143">
        <v>0</v>
      </c>
      <c r="CJ967" s="143">
        <v>0</v>
      </c>
      <c r="CK967" s="143">
        <v>0</v>
      </c>
      <c r="CL967" s="143">
        <v>0</v>
      </c>
      <c r="CM967" s="143">
        <v>0</v>
      </c>
      <c r="CN967" s="143">
        <v>0</v>
      </c>
      <c r="CO967">
        <v>0</v>
      </c>
      <c r="CP967" t="str">
        <f>IF($BN967&lt;$BM967,"refNeedCorrection","refOK")</f>
        <v>refOK</v>
      </c>
      <c r="CQ967">
        <f>IF($CP967="refOK",$BM967,$BN967)</f>
        <v>1.1674521913429727</v>
      </c>
      <c r="CR967">
        <f>IF($CP967="refOK",$BN967,$BM967)</f>
        <v>1.8051407849829213</v>
      </c>
      <c r="CS967">
        <f>IF($CP967="refOK",$BQ967,-$BQ967)</f>
        <v>637688593.63994861</v>
      </c>
      <c r="CT967">
        <f>IF(BI967="Roundwood",$CS967/2,$CS967)</f>
        <v>637688593.63994861</v>
      </c>
      <c r="CU967">
        <f>IF($CP967="refOK",$BU967,$BV967)*IF($BR967="Emissions positive",-1,1)</f>
        <v>1.93686006825938</v>
      </c>
      <c r="CV967">
        <f>IF($CP967="refOK",$BV967,$BU967)*IF($BR967="Emissions positive",-1,1)</f>
        <v>1.4146757679180799</v>
      </c>
      <c r="CW967">
        <f>IF($CP967="refNeedCorrection",-BZ967,BZ967)*IF($BR967="Emissions positive",-1,1)</f>
        <v>-522184300.34130001</v>
      </c>
      <c r="CX967">
        <f>IFERROR($CW967/$CS967,"")</f>
        <v>-0.81887037897393444</v>
      </c>
      <c r="CY967">
        <f>IFERROR($CW967/$CS967,"")</f>
        <v>-0.81887037897393444</v>
      </c>
      <c r="CZ967">
        <f>IFERROR($CW967/$CT967,"")</f>
        <v>-0.81887037897393444</v>
      </c>
      <c r="DA967" s="2">
        <f>IFERROR((CV967-CU967)/ABS(CU967),"")</f>
        <v>-0.2696035242290773</v>
      </c>
      <c r="DB967" s="1" t="s">
        <v>1078</v>
      </c>
      <c r="DC967" t="str">
        <f>IF(OR($DB967="prd",$DB967="std",$DB967="cit"),"loc",IF(OR($DB967="eur",$DB967="reg",$DB967="coy"),"reg",$DB967))</f>
        <v>reg</v>
      </c>
      <c r="DD967" t="s">
        <v>653</v>
      </c>
      <c r="DE967">
        <v>2010</v>
      </c>
      <c r="DF967">
        <v>2100</v>
      </c>
      <c r="DG967">
        <f>DF967-DE967</f>
        <v>90</v>
      </c>
      <c r="DH967" t="str">
        <f>IF(DG967=0,"0",IF(AND(DG967&gt;=1,DG967&lt;=30),"1-30",IF(AND(DG967&gt;30,DG967&lt;=70),"31-70",IF(AND(DG967&gt;70,DG967&lt;=100),"71-100",IF(DG967&gt;100,"+100")))))</f>
        <v>71-100</v>
      </c>
      <c r="DI967">
        <v>0</v>
      </c>
      <c r="DJ967">
        <v>1</v>
      </c>
      <c r="DK967">
        <v>1</v>
      </c>
      <c r="DL967">
        <v>1</v>
      </c>
      <c r="DN967">
        <f>SUM(DI967:DL967)</f>
        <v>3</v>
      </c>
      <c r="DO967" t="str">
        <f>IF(DN967=1,INDEX($DI$7:$DL$7,MATCH(1,$DI967:$DL967,0)),"mixedProduct")</f>
        <v>mixedProduct</v>
      </c>
      <c r="DP967">
        <f>IF(DI967=1,DP$7,0)</f>
        <v>0</v>
      </c>
      <c r="DQ967" t="str">
        <f>IF(DJ967=1,DQ$7,0)</f>
        <v>Energy</v>
      </c>
      <c r="DR967" t="str">
        <f>IF(DK967=1,DR$7,0)</f>
        <v>Pulp/Paper</v>
      </c>
      <c r="DS967" t="str">
        <f>IF(DL967=1,DS$7,0)</f>
        <v>Timber</v>
      </c>
      <c r="DT967">
        <v>1</v>
      </c>
      <c r="DU967" s="143">
        <v>0</v>
      </c>
      <c r="DV967" s="143">
        <v>0</v>
      </c>
      <c r="DW967" s="143">
        <v>0</v>
      </c>
      <c r="DX967">
        <v>0</v>
      </c>
      <c r="DY967">
        <f>SUM(DT967:DU967)</f>
        <v>1</v>
      </c>
      <c r="DZ967" s="143" t="str">
        <f>IF(DT967=1,"self-calculated DF",IF(DU967=1,"external DF used","explicit C balance"))</f>
        <v>self-calculated DF</v>
      </c>
      <c r="EA967">
        <v>1</v>
      </c>
      <c r="EB967" s="143">
        <v>1</v>
      </c>
      <c r="EC967" s="143">
        <v>1</v>
      </c>
      <c r="ED967" s="143">
        <v>1</v>
      </c>
      <c r="EE967">
        <v>1</v>
      </c>
      <c r="EF967" s="141">
        <v>1</v>
      </c>
      <c r="EG967">
        <v>0</v>
      </c>
      <c r="EH967" s="143">
        <v>1</v>
      </c>
      <c r="EI967" s="143">
        <v>1</v>
      </c>
      <c r="EJ967">
        <v>0</v>
      </c>
      <c r="EK967">
        <v>1</v>
      </c>
      <c r="EL967" s="143">
        <v>0</v>
      </c>
      <c r="EM967" s="143">
        <v>0</v>
      </c>
      <c r="EN967" s="2">
        <v>0</v>
      </c>
      <c r="EP967" t="str">
        <f>IF(AND(AND(AND(OR($EC967=1,$EB967=1),OR($EH967=1,$EF967=1)),SUM($EA967:$EE967,$EK967)&gt;=3),SUM($EF967:$EJ967)&gt;=2),"Whole sector approach","")</f>
        <v>Whole sector approach</v>
      </c>
      <c r="EQ967" t="str">
        <f>IF(AND(AND(OR($EC967=1,$EB967=1),AND($EH967=0,$EF967=0)),SUM($EA967:$EE967,$EK967)&gt;=4),"Ecosystem approach","")</f>
        <v/>
      </c>
      <c r="ER967" s="2" t="str">
        <f>IF(AND(AND(AND($EC967=0,$EB967=0),OR($EH967=1,$EF967=1)),SUM($EG967:$EJ967)&gt;=2),"Technology approach","")</f>
        <v/>
      </c>
      <c r="ES967" t="str">
        <f>IF(AND($EC967+$EB967+$EE967+$EA967+$ED967+$EG967=0,$N967="included"),"C neutral forest and HWP assumption","")</f>
        <v/>
      </c>
      <c r="ET967" t="str">
        <f>IF(AND(AND(AND(AND($EC967=1,$EB967+$EA967+$EG967&gt;=1),$EF967=1),$EH967+$EI967+$ED967+$EE967&gt;=2),$N967="included"),"All C pools assumption","")</f>
        <v>All C pools assumption</v>
      </c>
      <c r="EU967" t="str">
        <f>IF(AND($ED967+$EE967+$EI967+$EH967+$EF967=0,$N967="included"),"In-situ only assumption","")</f>
        <v/>
      </c>
      <c r="EW967" s="260" t="s">
        <v>2954</v>
      </c>
      <c r="EY967" t="str">
        <f>IF(ISNUMBER(BW967),IF(ABS(BW967-[6]QC_indicators!$B$2)&gt;3*[6]QC_indicators!$C$2,"C ratio",IF(ISNUMBER(CA967),IF(ABS(CA967-[6]QC_indicators!$B$1)&gt;3*[6]QC_indicators!$C$1,"DF","no"))),IF(ISNUMBER(CA967),IF(ABS(CA967-[6]QC_indicators!$B$1)&gt;3*[6]QC_indicators!$C$1,"DF","no")))</f>
        <v>no</v>
      </c>
      <c r="EZ967" t="s">
        <v>1220</v>
      </c>
      <c r="FA967" t="str">
        <f>IF(LEN($CY967)=0,"",IF(AND($CY967&lt;(-0.05),$ES967="C neutral forest and HWP assumption"),"Cneutral paradox",IF(AND($CY967&gt;0.05,$EU967="In-situ only assumption"),"In-situ only paradox","")))</f>
        <v/>
      </c>
      <c r="FD967" s="260" t="s">
        <v>2948</v>
      </c>
    </row>
    <row r="968" spans="1:161" ht="15" hidden="1" customHeight="1">
      <c r="A968" s="1" t="s">
        <v>1161</v>
      </c>
      <c r="B968" t="s">
        <v>1209</v>
      </c>
      <c r="C968" t="s">
        <v>1210</v>
      </c>
      <c r="D968" t="s">
        <v>1211</v>
      </c>
      <c r="E968" t="s">
        <v>1212</v>
      </c>
      <c r="F968" t="s">
        <v>1213</v>
      </c>
      <c r="G968" t="s">
        <v>1167</v>
      </c>
      <c r="H968" t="s">
        <v>254</v>
      </c>
      <c r="I968">
        <v>2016</v>
      </c>
      <c r="J968">
        <v>27</v>
      </c>
      <c r="K968" t="s">
        <v>1214</v>
      </c>
      <c r="M968" t="str">
        <f>LEFT($D968,FIND(",",$D968)-1)&amp;"_"&amp;I968&amp;L968</f>
        <v>Braun_2016</v>
      </c>
      <c r="N968" t="s">
        <v>222</v>
      </c>
      <c r="O968" s="145" t="s">
        <v>223</v>
      </c>
      <c r="Q968" t="s">
        <v>256</v>
      </c>
      <c r="R968" s="251" t="s">
        <v>225</v>
      </c>
      <c r="S968" s="1" t="s">
        <v>1215</v>
      </c>
      <c r="T968" t="s">
        <v>1216</v>
      </c>
      <c r="U968" t="s">
        <v>985</v>
      </c>
      <c r="V968">
        <v>1</v>
      </c>
      <c r="W968">
        <v>0</v>
      </c>
      <c r="X968">
        <v>1</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s="141">
        <f>COUNTIF(X968:AY968,"&lt;&gt;0")</f>
        <v>1</v>
      </c>
      <c r="BA968" s="141">
        <f>COUNTIF(X968:AN968,"&lt;&gt;0")</f>
        <v>1</v>
      </c>
      <c r="BB968">
        <f>COUNTIF(X968:AE968,"&lt;&gt;0")</f>
        <v>1</v>
      </c>
      <c r="BC968">
        <f>COUNTIF(AF968:AK968,"&lt;&gt;0")</f>
        <v>0</v>
      </c>
      <c r="BD968">
        <f>COUNTIF(AL968:AN968,"&lt;&gt;0")</f>
        <v>0</v>
      </c>
      <c r="BE968">
        <f>COUNTIF(AU968:AY968,"&lt;&gt;0")</f>
        <v>0</v>
      </c>
      <c r="BF968">
        <f>COUNTIF(AO968:AT968,"&lt;&gt;0")</f>
        <v>0</v>
      </c>
      <c r="BG968" t="str">
        <f t="array" ref="BG968">IF(BA968=1,INDEX($X$7:$AN$7,MATCH(TRUE,INDEX($X968:$AY968&lt;&gt;0,),0)),IF(BA968=0,INDEX($AO$7:$AY$7,MATCH(1,$AO968:$AY968,0)),IF(BH968="Multiple strategies","mixed drivers",IF(BH968="Supply chain","multiple supply","multiple silviculture"))))</f>
        <v>area subject to harvest</v>
      </c>
      <c r="BH968" s="2" t="str" cm="1">
        <f t="array" ref="BH968">IF(COUNTIF(BB968:BD968,"&lt;&gt;0")=1,INDEX($X$4:$AY$4,MATCH(TRUE,INDEX($X968:$AY968&lt;&gt;0,),0)),IF(COUNTIF(BB968:BD968,"&lt;&gt;0")=0,INDEX($AO$4:$AY$4,MATCH(1,$AO968:$AY968,0)),"Multiple strategies"))</f>
        <v>Silviculture for removals</v>
      </c>
      <c r="BI968" s="1" t="s">
        <v>229</v>
      </c>
      <c r="BJ968" t="s">
        <v>1217</v>
      </c>
      <c r="BK968" s="256" t="s">
        <v>2952</v>
      </c>
      <c r="BL968" t="s">
        <v>1218</v>
      </c>
      <c r="BM968">
        <v>1.1674521913429727</v>
      </c>
      <c r="BN968">
        <v>1.8051407849829213</v>
      </c>
      <c r="BO968">
        <f>BN968/BM968</f>
        <v>1.5462224477958166</v>
      </c>
      <c r="BP968">
        <f>BN968-BM968</f>
        <v>0.63768859363994856</v>
      </c>
      <c r="BQ968">
        <f>BP968*10^9</f>
        <v>637688593.63994861</v>
      </c>
      <c r="BR968" t="s">
        <v>232</v>
      </c>
      <c r="BS968" s="256" t="s">
        <v>2956</v>
      </c>
      <c r="BT968" t="s">
        <v>1219</v>
      </c>
      <c r="BU968" s="260">
        <v>1.2013651877133071</v>
      </c>
      <c r="BV968" s="260">
        <v>0.25938566552901032</v>
      </c>
      <c r="BW968" s="144">
        <f>IFERROR(BV968/BU968,"")</f>
        <v>0.21590909090909161</v>
      </c>
      <c r="BX968">
        <f>BV968-BU968</f>
        <v>-0.94197952218429681</v>
      </c>
      <c r="BZ968">
        <f>BX968*10^9</f>
        <v>-941979522.18429685</v>
      </c>
      <c r="CA968">
        <f>IFERROR(BZ968/BQ968,"")</f>
        <v>-1.4771779385412009</v>
      </c>
      <c r="CB968" s="143">
        <v>0</v>
      </c>
      <c r="CC968" s="143">
        <v>0</v>
      </c>
      <c r="CD968" s="143">
        <v>0</v>
      </c>
      <c r="CE968" s="143">
        <v>0</v>
      </c>
      <c r="CF968" s="143">
        <v>0</v>
      </c>
      <c r="CG968" s="143">
        <v>0</v>
      </c>
      <c r="CH968" s="143">
        <v>0</v>
      </c>
      <c r="CI968" s="143">
        <v>0</v>
      </c>
      <c r="CJ968" s="143">
        <v>0</v>
      </c>
      <c r="CK968" s="143">
        <v>0</v>
      </c>
      <c r="CL968" s="143">
        <v>0</v>
      </c>
      <c r="CM968" s="143">
        <v>0</v>
      </c>
      <c r="CN968" s="143">
        <v>0</v>
      </c>
      <c r="CO968">
        <v>0</v>
      </c>
      <c r="CP968" t="str">
        <f>IF($BN968&lt;$BM968,"refNeedCorrection","refOK")</f>
        <v>refOK</v>
      </c>
      <c r="CQ968">
        <f>IF($CP968="refOK",$BM968,$BN968)</f>
        <v>1.1674521913429727</v>
      </c>
      <c r="CR968">
        <f>IF($CP968="refOK",$BN968,$BM968)</f>
        <v>1.8051407849829213</v>
      </c>
      <c r="CS968">
        <f>IF($CP968="refOK",$BQ968,-$BQ968)</f>
        <v>637688593.63994861</v>
      </c>
      <c r="CT968">
        <f>IF(BI968="Roundwood",$CS968/2,$CS968)</f>
        <v>637688593.63994861</v>
      </c>
      <c r="CU968">
        <f>IF($CP968="refOK",$BU968,$BV968)*IF($BR968="Emissions positive",-1,1)</f>
        <v>1.2013651877133071</v>
      </c>
      <c r="CV968">
        <f>IF($CP968="refOK",$BV968,$BU968)*IF($BR968="Emissions positive",-1,1)</f>
        <v>0.25938566552901032</v>
      </c>
      <c r="CW968">
        <f>IF($CP968="refNeedCorrection",-BZ968,BZ968)*IF($BR968="Emissions positive",-1,1)</f>
        <v>-941979522.18429685</v>
      </c>
      <c r="CX968">
        <f>IFERROR($CW968/$CS968,"")</f>
        <v>-1.4771779385412009</v>
      </c>
      <c r="CY968">
        <f>IFERROR($CW968/$CS968,"")</f>
        <v>-1.4771779385412009</v>
      </c>
      <c r="CZ968">
        <f>IFERROR($CW968/$CT968,"")</f>
        <v>-1.4771779385412009</v>
      </c>
      <c r="DA968" s="2">
        <f>IFERROR((CV968-CU968)/ABS(CU968),"")</f>
        <v>-0.78409090909090839</v>
      </c>
      <c r="DB968" s="1" t="s">
        <v>1078</v>
      </c>
      <c r="DC968" t="str">
        <f>IF(OR($DB968="prd",$DB968="std",$DB968="cit"),"loc",IF(OR($DB968="eur",$DB968="reg",$DB968="coy"),"reg",$DB968))</f>
        <v>reg</v>
      </c>
      <c r="DD968" t="s">
        <v>653</v>
      </c>
      <c r="DE968">
        <v>2010</v>
      </c>
      <c r="DF968">
        <v>2100</v>
      </c>
      <c r="DG968">
        <f>DF968-DE968</f>
        <v>90</v>
      </c>
      <c r="DH968" t="str">
        <f>IF(DG968=0,"0",IF(AND(DG968&gt;=1,DG968&lt;=30),"1-30",IF(AND(DG968&gt;30,DG968&lt;=70),"31-70",IF(AND(DG968&gt;70,DG968&lt;=100),"71-100",IF(DG968&gt;100,"+100")))))</f>
        <v>71-100</v>
      </c>
      <c r="DI968">
        <v>0</v>
      </c>
      <c r="DJ968">
        <v>1</v>
      </c>
      <c r="DK968">
        <v>1</v>
      </c>
      <c r="DL968">
        <v>1</v>
      </c>
      <c r="DN968">
        <f>SUM(DI968:DL968)</f>
        <v>3</v>
      </c>
      <c r="DO968" t="str">
        <f>IF(DN968=1,INDEX($DI$7:$DL$7,MATCH(1,$DI968:$DL968,0)),"mixedProduct")</f>
        <v>mixedProduct</v>
      </c>
      <c r="DP968">
        <f>IF(DI968=1,DP$7,0)</f>
        <v>0</v>
      </c>
      <c r="DQ968" t="str">
        <f>IF(DJ968=1,DQ$7,0)</f>
        <v>Energy</v>
      </c>
      <c r="DR968" t="str">
        <f>IF(DK968=1,DR$7,0)</f>
        <v>Pulp/Paper</v>
      </c>
      <c r="DS968" t="str">
        <f>IF(DL968=1,DS$7,0)</f>
        <v>Timber</v>
      </c>
      <c r="DT968">
        <v>1</v>
      </c>
      <c r="DU968" s="143">
        <v>0</v>
      </c>
      <c r="DV968" s="143">
        <v>0</v>
      </c>
      <c r="DW968" s="143">
        <v>0</v>
      </c>
      <c r="DX968">
        <v>0</v>
      </c>
      <c r="DY968">
        <f>SUM(DT968:DU968)</f>
        <v>1</v>
      </c>
      <c r="DZ968" s="143" t="str">
        <f>IF(DT968=1,"self-calculated DF",IF(DU968=1,"external DF used","explicit C balance"))</f>
        <v>self-calculated DF</v>
      </c>
      <c r="EA968">
        <v>1</v>
      </c>
      <c r="EB968" s="143">
        <v>1</v>
      </c>
      <c r="EC968" s="143">
        <v>1</v>
      </c>
      <c r="ED968" s="143">
        <v>1</v>
      </c>
      <c r="EE968">
        <v>1</v>
      </c>
      <c r="EF968" s="141">
        <v>0</v>
      </c>
      <c r="EG968">
        <v>0</v>
      </c>
      <c r="EH968" s="143">
        <v>0</v>
      </c>
      <c r="EI968" s="143">
        <v>0</v>
      </c>
      <c r="EJ968">
        <v>0</v>
      </c>
      <c r="EK968">
        <v>1</v>
      </c>
      <c r="EL968" s="143">
        <v>0</v>
      </c>
      <c r="EM968" s="143">
        <v>0</v>
      </c>
      <c r="EN968" s="2">
        <v>0</v>
      </c>
      <c r="EP968" t="str">
        <f>IF(AND(AND(AND(OR($EC968=1,$EB968=1),OR($EH968=1,$EF968=1)),SUM($EA968:$EE968,$EK968)&gt;=3),SUM($EF968:$EJ968)&gt;=2),"Whole sector approach","")</f>
        <v/>
      </c>
      <c r="EQ968" t="str">
        <f>IF(AND(AND(OR($EC968=1,$EB968=1),AND($EH968=0,$EF968=0)),SUM($EA968:$EE968,$EK968)&gt;=4),"Ecosystem approach","")</f>
        <v>Ecosystem approach</v>
      </c>
      <c r="ER968" s="2" t="str">
        <f>IF(AND(AND(AND($EC968=0,$EB968=0),OR($EH968=1,$EF968=1)),SUM($EG968:$EJ968)&gt;=2),"Technology approach","")</f>
        <v/>
      </c>
      <c r="ES968" t="str">
        <f>IF(AND($EC968+$EB968+$EE968+$EA968+$ED968+$EG968=0,$N968="included"),"C neutral forest and HWP assumption","")</f>
        <v/>
      </c>
      <c r="ET968" t="str">
        <f>IF(AND(AND(AND(AND($EC968=1,$EB968+$EA968+$EG968&gt;=1),$EF968=1),$EH968+$EI968+$ED968+$EE968&gt;=2),$N968="included"),"All C pools assumption","")</f>
        <v/>
      </c>
      <c r="EU968" t="str">
        <f>IF(AND($ED968+$EE968+$EI968+$EH968+$EF968=0,$N968="included"),"In-situ only assumption","")</f>
        <v/>
      </c>
      <c r="EW968" s="260" t="s">
        <v>2954</v>
      </c>
      <c r="EY968" t="str">
        <f>IF(ISNUMBER(BW968),IF(ABS(BW968-[6]QC_indicators!$B$2)&gt;3*[6]QC_indicators!$C$2,"C ratio",IF(ISNUMBER(CA968),IF(ABS(CA968-[6]QC_indicators!$B$1)&gt;3*[6]QC_indicators!$C$1,"DF","no"))),IF(ISNUMBER(CA968),IF(ABS(CA968-[6]QC_indicators!$B$1)&gt;3*[6]QC_indicators!$C$1,"DF","no")))</f>
        <v>no</v>
      </c>
      <c r="EZ968" t="s">
        <v>1220</v>
      </c>
      <c r="FA968" t="str">
        <f>IF(LEN($CY968)=0,"",IF(AND($CY968&lt;(-0.05),$ES968="C neutral forest and HWP assumption"),"Cneutral paradox",IF(AND($CY968&gt;0.05,$EU968="In-situ only assumption"),"In-situ only paradox","")))</f>
        <v/>
      </c>
      <c r="FD968" s="260" t="s">
        <v>2948</v>
      </c>
    </row>
    <row r="969" spans="1:161" ht="15" customHeight="1">
      <c r="A969" s="1" t="s">
        <v>1161</v>
      </c>
      <c r="B969" t="s">
        <v>1209</v>
      </c>
      <c r="C969" t="s">
        <v>1210</v>
      </c>
      <c r="D969" t="s">
        <v>1211</v>
      </c>
      <c r="E969" t="s">
        <v>1212</v>
      </c>
      <c r="F969" t="s">
        <v>1213</v>
      </c>
      <c r="G969" t="s">
        <v>1167</v>
      </c>
      <c r="H969" t="s">
        <v>254</v>
      </c>
      <c r="I969">
        <v>2016</v>
      </c>
      <c r="J969">
        <v>27</v>
      </c>
      <c r="K969" t="s">
        <v>1214</v>
      </c>
      <c r="M969" t="str">
        <f>LEFT($D969,FIND(",",$D969)-1)&amp;"_"&amp;I969&amp;L969</f>
        <v>Braun_2016</v>
      </c>
      <c r="N969" t="s">
        <v>222</v>
      </c>
      <c r="O969" s="145" t="s">
        <v>223</v>
      </c>
      <c r="Q969" t="s">
        <v>256</v>
      </c>
      <c r="R969" s="251" t="s">
        <v>225</v>
      </c>
      <c r="S969" s="1" t="s">
        <v>1215</v>
      </c>
      <c r="T969" t="s">
        <v>1216</v>
      </c>
      <c r="U969" t="s">
        <v>985</v>
      </c>
      <c r="V969">
        <v>1</v>
      </c>
      <c r="W969">
        <v>0</v>
      </c>
      <c r="X969">
        <v>1</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s="141">
        <f>COUNTIF(X969:AY969,"&lt;&gt;0")</f>
        <v>1</v>
      </c>
      <c r="BA969" s="141">
        <f>COUNTIF(X969:AN969,"&lt;&gt;0")</f>
        <v>1</v>
      </c>
      <c r="BB969">
        <f>COUNTIF(X969:AE969,"&lt;&gt;0")</f>
        <v>1</v>
      </c>
      <c r="BC969">
        <f>COUNTIF(AF969:AK969,"&lt;&gt;0")</f>
        <v>0</v>
      </c>
      <c r="BD969">
        <f>COUNTIF(AL969:AN969,"&lt;&gt;0")</f>
        <v>0</v>
      </c>
      <c r="BE969">
        <f>COUNTIF(AU969:AY969,"&lt;&gt;0")</f>
        <v>0</v>
      </c>
      <c r="BF969">
        <f>COUNTIF(AO969:AT969,"&lt;&gt;0")</f>
        <v>0</v>
      </c>
      <c r="BG969" t="str">
        <f t="array" ref="BG969">IF(BA969=1,INDEX($X$7:$AN$7,MATCH(TRUE,INDEX($X969:$AY969&lt;&gt;0,),0)),IF(BA969=0,INDEX($AO$7:$AY$7,MATCH(1,$AO969:$AY969,0)),IF(BH969="Multiple strategies","mixed drivers",IF(BH969="Supply chain","multiple supply","multiple silviculture"))))</f>
        <v>area subject to harvest</v>
      </c>
      <c r="BH969" s="2" t="str" cm="1">
        <f t="array" ref="BH969">IF(COUNTIF(BB969:BD969,"&lt;&gt;0")=1,INDEX($X$4:$AY$4,MATCH(TRUE,INDEX($X969:$AY969&lt;&gt;0,),0)),IF(COUNTIF(BB969:BD969,"&lt;&gt;0")=0,INDEX($AO$4:$AY$4,MATCH(1,$AO969:$AY969,0)),"Multiple strategies"))</f>
        <v>Silviculture for removals</v>
      </c>
      <c r="BI969" s="1" t="s">
        <v>229</v>
      </c>
      <c r="BJ969" t="s">
        <v>1217</v>
      </c>
      <c r="BK969" s="256" t="s">
        <v>2952</v>
      </c>
      <c r="BL969" t="s">
        <v>1218</v>
      </c>
      <c r="BM969">
        <v>1.1674521913429727</v>
      </c>
      <c r="BN969">
        <v>1.8051407849829213</v>
      </c>
      <c r="BO969">
        <f>BN969/BM969</f>
        <v>1.5462224477958166</v>
      </c>
      <c r="BP969">
        <f>BN969-BM969</f>
        <v>0.63768859363994856</v>
      </c>
      <c r="BQ969">
        <f>BP969*10^9</f>
        <v>637688593.63994861</v>
      </c>
      <c r="BR969" t="s">
        <v>232</v>
      </c>
      <c r="BS969" s="256" t="s">
        <v>2955</v>
      </c>
      <c r="BT969" t="s">
        <v>1219</v>
      </c>
      <c r="BU969" s="260">
        <v>1.0255972696245701</v>
      </c>
      <c r="BV969" s="260">
        <v>2.21843003412973E-2</v>
      </c>
      <c r="BW969" s="144">
        <f>IFERROR(BV969/BU969,"")</f>
        <v>2.1630615640599433E-2</v>
      </c>
      <c r="BX969">
        <f>BV969-BU969</f>
        <v>-1.0034129692832727</v>
      </c>
      <c r="BZ969">
        <f>BX969*10^9</f>
        <v>-1003412969.2832727</v>
      </c>
      <c r="CA969">
        <f>IFERROR(BZ969/BQ969,"")</f>
        <v>-1.5735156301851922</v>
      </c>
      <c r="CB969" s="143">
        <v>0</v>
      </c>
      <c r="CC969" s="143">
        <v>0</v>
      </c>
      <c r="CD969" s="143">
        <v>0</v>
      </c>
      <c r="CE969" s="143">
        <v>0</v>
      </c>
      <c r="CF969" s="143">
        <v>0</v>
      </c>
      <c r="CG969" s="143">
        <v>0</v>
      </c>
      <c r="CH969" s="143">
        <v>0</v>
      </c>
      <c r="CI969" s="143">
        <v>0</v>
      </c>
      <c r="CJ969" s="143">
        <v>0</v>
      </c>
      <c r="CK969" s="143">
        <v>0</v>
      </c>
      <c r="CL969" s="143">
        <v>0</v>
      </c>
      <c r="CM969" s="143">
        <v>0</v>
      </c>
      <c r="CN969" s="143">
        <v>0</v>
      </c>
      <c r="CO969">
        <v>0</v>
      </c>
      <c r="CP969" t="str">
        <f>IF($BN969&lt;$BM969,"refNeedCorrection","refOK")</f>
        <v>refOK</v>
      </c>
      <c r="CQ969">
        <f>IF($CP969="refOK",$BM969,$BN969)</f>
        <v>1.1674521913429727</v>
      </c>
      <c r="CR969">
        <f>IF($CP969="refOK",$BN969,$BM969)</f>
        <v>1.8051407849829213</v>
      </c>
      <c r="CS969">
        <f>IF($CP969="refOK",$BQ969,-$BQ969)</f>
        <v>637688593.63994861</v>
      </c>
      <c r="CT969">
        <f>IF(BI969="Roundwood",$CS969/2,$CS969)</f>
        <v>637688593.63994861</v>
      </c>
      <c r="CU969">
        <f>IF($CP969="refOK",$BU969,$BV969)*IF($BR969="Emissions positive",-1,1)</f>
        <v>1.0255972696245701</v>
      </c>
      <c r="CV969">
        <f>IF($CP969="refOK",$BV969,$BU969)*IF($BR969="Emissions positive",-1,1)</f>
        <v>2.21843003412973E-2</v>
      </c>
      <c r="CW969">
        <f>IF($CP969="refNeedCorrection",-BZ969,BZ969)*IF($BR969="Emissions positive",-1,1)</f>
        <v>-1003412969.2832727</v>
      </c>
      <c r="CX969">
        <f>IFERROR($CW969/$CS969,"")</f>
        <v>-1.5735156301851922</v>
      </c>
      <c r="CY969">
        <f>IFERROR($CW969/$CS969,"")</f>
        <v>-1.5735156301851922</v>
      </c>
      <c r="CZ969">
        <f>IFERROR($CW969/$CT969,"")</f>
        <v>-1.5735156301851922</v>
      </c>
      <c r="DA969" s="2">
        <f>IFERROR((CV969-CU969)/ABS(CU969),"")</f>
        <v>-0.97836938435940046</v>
      </c>
      <c r="DB969" s="1" t="s">
        <v>1078</v>
      </c>
      <c r="DC969" t="str">
        <f>IF(OR($DB969="prd",$DB969="std",$DB969="cit"),"loc",IF(OR($DB969="eur",$DB969="reg",$DB969="coy"),"reg",$DB969))</f>
        <v>reg</v>
      </c>
      <c r="DD969" t="s">
        <v>653</v>
      </c>
      <c r="DE969">
        <v>2010</v>
      </c>
      <c r="DF969">
        <v>2100</v>
      </c>
      <c r="DG969">
        <f>DF969-DE969</f>
        <v>90</v>
      </c>
      <c r="DH969" t="str">
        <f>IF(DG969=0,"0",IF(AND(DG969&gt;=1,DG969&lt;=30),"1-30",IF(AND(DG969&gt;30,DG969&lt;=70),"31-70",IF(AND(DG969&gt;70,DG969&lt;=100),"71-100",IF(DG969&gt;100,"+100")))))</f>
        <v>71-100</v>
      </c>
      <c r="DI969">
        <v>0</v>
      </c>
      <c r="DJ969">
        <v>1</v>
      </c>
      <c r="DK969">
        <v>1</v>
      </c>
      <c r="DL969">
        <v>1</v>
      </c>
      <c r="DN969">
        <f>SUM(DI969:DL969)</f>
        <v>3</v>
      </c>
      <c r="DO969" t="str">
        <f>IF(DN969=1,INDEX($DI$7:$DL$7,MATCH(1,$DI969:$DL969,0)),"mixedProduct")</f>
        <v>mixedProduct</v>
      </c>
      <c r="DP969">
        <f>IF(DI969=1,DP$7,0)</f>
        <v>0</v>
      </c>
      <c r="DQ969" t="str">
        <f>IF(DJ969=1,DQ$7,0)</f>
        <v>Energy</v>
      </c>
      <c r="DR969" t="str">
        <f>IF(DK969=1,DR$7,0)</f>
        <v>Pulp/Paper</v>
      </c>
      <c r="DS969" t="str">
        <f>IF(DL969=1,DS$7,0)</f>
        <v>Timber</v>
      </c>
      <c r="DT969">
        <v>1</v>
      </c>
      <c r="DU969" s="143">
        <v>0</v>
      </c>
      <c r="DV969" s="143">
        <v>0</v>
      </c>
      <c r="DW969" s="143">
        <v>0</v>
      </c>
      <c r="DX969">
        <v>0</v>
      </c>
      <c r="DY969">
        <f>SUM(DT969:DU969)</f>
        <v>1</v>
      </c>
      <c r="DZ969" s="143" t="str">
        <f>IF(DT969=1,"self-calculated DF",IF(DU969=1,"external DF used","explicit C balance"))</f>
        <v>self-calculated DF</v>
      </c>
      <c r="EA969">
        <v>1</v>
      </c>
      <c r="EB969" s="143">
        <v>1</v>
      </c>
      <c r="EC969" s="143">
        <v>1</v>
      </c>
      <c r="ED969" s="143">
        <v>0</v>
      </c>
      <c r="EE969">
        <v>0</v>
      </c>
      <c r="EF969" s="141">
        <v>0</v>
      </c>
      <c r="EG969">
        <v>0</v>
      </c>
      <c r="EH969" s="143">
        <v>0</v>
      </c>
      <c r="EI969" s="143">
        <v>0</v>
      </c>
      <c r="EJ969">
        <v>0</v>
      </c>
      <c r="EK969">
        <v>1</v>
      </c>
      <c r="EL969" s="143">
        <v>0</v>
      </c>
      <c r="EM969" s="143">
        <v>0</v>
      </c>
      <c r="EN969" s="2">
        <v>0</v>
      </c>
      <c r="EP969" t="str">
        <f>IF(AND(AND(AND(OR($EC969=1,$EB969=1),OR($EH969=1,$EF969=1)),SUM($EA969:$EE969,$EK969)&gt;=3),SUM($EF969:$EJ969)&gt;=2),"Whole sector approach","")</f>
        <v/>
      </c>
      <c r="EQ969" t="str">
        <f>IF(AND(AND(OR($EC969=1,$EB969=1),AND($EH969=0,$EF969=0)),SUM($EA969:$EE969,$EK969)&gt;=4),"Ecosystem approach","")</f>
        <v>Ecosystem approach</v>
      </c>
      <c r="ER969" s="2" t="str">
        <f>IF(AND(AND(AND($EC969=0,$EB969=0),OR($EH969=1,$EF969=1)),SUM($EG969:$EJ969)&gt;=2),"Technology approach","")</f>
        <v/>
      </c>
      <c r="ES969" t="str">
        <f>IF(AND($EC969+$EB969+$EE969+$EA969+$ED969+$EG969=0,$N969="included"),"C neutral forest and HWP assumption","")</f>
        <v/>
      </c>
      <c r="ET969" t="str">
        <f>IF(AND(AND(AND(AND($EC969=1,$EB969+$EA969+$EG969&gt;=1),$EF969=1),$EH969+$EI969+$ED969+$EE969&gt;=2),$N969="included"),"All C pools assumption","")</f>
        <v/>
      </c>
      <c r="EU969" t="str">
        <f>IF(AND($ED969+$EE969+$EI969+$EH969+$EF969=0,$N969="included"),"In-situ only assumption","")</f>
        <v>In-situ only assumption</v>
      </c>
      <c r="EW969" s="260" t="s">
        <v>2954</v>
      </c>
      <c r="EY969" t="str">
        <f>IF(ISNUMBER(BW969),IF(ABS(BW969-[6]QC_indicators!$B$2)&gt;3*[6]QC_indicators!$C$2,"C ratio",IF(ISNUMBER(CA969),IF(ABS(CA969-[6]QC_indicators!$B$1)&gt;3*[6]QC_indicators!$C$1,"DF","no"))),IF(ISNUMBER(CA969),IF(ABS(CA969-[6]QC_indicators!$B$1)&gt;3*[6]QC_indicators!$C$1,"DF","no")))</f>
        <v>no</v>
      </c>
      <c r="EZ969" t="s">
        <v>1220</v>
      </c>
      <c r="FA969" t="str">
        <f>IF(LEN($CY969)=0,"",IF(AND($CY969&lt;(-0.05),$ES969="C neutral forest and HWP assumption"),"Cneutral paradox",IF(AND($CY969&gt;0.05,$EU969="In-situ only assumption"),"In-situ only paradox","")))</f>
        <v/>
      </c>
      <c r="FD969" s="260" t="s">
        <v>2948</v>
      </c>
    </row>
    <row r="970" spans="1:161" ht="15" hidden="1" customHeight="1">
      <c r="A970" s="1" t="s">
        <v>1161</v>
      </c>
      <c r="B970" t="s">
        <v>1209</v>
      </c>
      <c r="C970" t="s">
        <v>1210</v>
      </c>
      <c r="D970" t="s">
        <v>1211</v>
      </c>
      <c r="E970" t="s">
        <v>1212</v>
      </c>
      <c r="F970" t="s">
        <v>1213</v>
      </c>
      <c r="G970" t="s">
        <v>1167</v>
      </c>
      <c r="H970" t="s">
        <v>254</v>
      </c>
      <c r="I970">
        <v>2016</v>
      </c>
      <c r="J970">
        <v>27</v>
      </c>
      <c r="K970" t="s">
        <v>1214</v>
      </c>
      <c r="M970" t="str">
        <f>LEFT($D970,FIND(",",$D970)-1)&amp;"_"&amp;I970&amp;L970</f>
        <v>Braun_2016</v>
      </c>
      <c r="N970" t="s">
        <v>222</v>
      </c>
      <c r="O970" s="145" t="s">
        <v>223</v>
      </c>
      <c r="Q970" t="s">
        <v>256</v>
      </c>
      <c r="R970" s="251" t="s">
        <v>225</v>
      </c>
      <c r="S970" s="1" t="s">
        <v>1221</v>
      </c>
      <c r="T970" t="s">
        <v>1216</v>
      </c>
      <c r="U970" t="s">
        <v>1224</v>
      </c>
      <c r="V970" s="253">
        <v>0</v>
      </c>
      <c r="W970" s="253">
        <v>0</v>
      </c>
      <c r="X970">
        <v>0</v>
      </c>
      <c r="Y970">
        <v>0</v>
      </c>
      <c r="Z970">
        <v>0</v>
      </c>
      <c r="AA970">
        <v>0</v>
      </c>
      <c r="AB970">
        <v>0</v>
      </c>
      <c r="AC970">
        <v>0</v>
      </c>
      <c r="AD970">
        <v>0</v>
      </c>
      <c r="AE970">
        <v>0</v>
      </c>
      <c r="AF970">
        <v>0</v>
      </c>
      <c r="AG970">
        <v>0</v>
      </c>
      <c r="AH970">
        <v>1</v>
      </c>
      <c r="AI970">
        <v>0</v>
      </c>
      <c r="AJ970">
        <v>0</v>
      </c>
      <c r="AK970">
        <v>0</v>
      </c>
      <c r="AL970">
        <v>0</v>
      </c>
      <c r="AM970">
        <v>0</v>
      </c>
      <c r="AN970">
        <v>0</v>
      </c>
      <c r="AO970">
        <v>0</v>
      </c>
      <c r="AP970">
        <v>0</v>
      </c>
      <c r="AQ970">
        <v>0</v>
      </c>
      <c r="AR970">
        <v>0</v>
      </c>
      <c r="AS970">
        <v>0</v>
      </c>
      <c r="AT970">
        <v>0</v>
      </c>
      <c r="AU970">
        <v>0</v>
      </c>
      <c r="AV970">
        <v>0</v>
      </c>
      <c r="AW970">
        <v>0</v>
      </c>
      <c r="AX970">
        <v>0</v>
      </c>
      <c r="AY970">
        <v>0</v>
      </c>
      <c r="AZ970" s="141">
        <f>COUNTIF(X970:AY970,"&lt;&gt;0")</f>
        <v>1</v>
      </c>
      <c r="BA970" s="141">
        <f>COUNTIF(X970:AN970,"&lt;&gt;0")</f>
        <v>1</v>
      </c>
      <c r="BB970">
        <f>COUNTIF(X970:AE970,"&lt;&gt;0")</f>
        <v>0</v>
      </c>
      <c r="BC970">
        <f>COUNTIF(AF970:AK970,"&lt;&gt;0")</f>
        <v>1</v>
      </c>
      <c r="BD970">
        <f>COUNTIF(AL970:AN970,"&lt;&gt;0")</f>
        <v>0</v>
      </c>
      <c r="BE970">
        <f>COUNTIF(AU970:AY970,"&lt;&gt;0")</f>
        <v>0</v>
      </c>
      <c r="BF970">
        <f>COUNTIF(AO970:AT970,"&lt;&gt;0")</f>
        <v>0</v>
      </c>
      <c r="BG970" t="str">
        <f t="array" ref="BG970">IF(BA970=1,INDEX($X$7:$AN$7,MATCH(TRUE,INDEX($X970:$AY970&lt;&gt;0,),0)),IF(BA970=0,INDEX($AO$7:$AY$7,MATCH(1,$AO970:$AY970,0)),IF(BH970="Multiple strategies","mixed drivers",IF(BH970="Supply chain","multiple supply","multiple silviculture"))))</f>
        <v>supply chain organization</v>
      </c>
      <c r="BH970" s="2" t="str" cm="1">
        <f t="array" ref="BH970">IF(COUNTIF(BB970:BD970,"&lt;&gt;0")=1,INDEX($X$4:$AY$4,MATCH(TRUE,INDEX($X970:$AY970&lt;&gt;0,),0)),IF(COUNTIF(BB970:BD970,"&lt;&gt;0")=0,INDEX($AO$4:$AY$4,MATCH(1,$AO970:$AY970,0)),"Multiple strategies"))</f>
        <v>Supply chain</v>
      </c>
      <c r="BI970" s="1" t="s">
        <v>229</v>
      </c>
      <c r="BJ970" t="s">
        <v>1217</v>
      </c>
      <c r="BK970" s="256" t="s">
        <v>2952</v>
      </c>
      <c r="BL970" t="s">
        <v>1218</v>
      </c>
      <c r="BM970">
        <v>1.1674521913429727</v>
      </c>
      <c r="BN970">
        <v>1.8900610197538394</v>
      </c>
      <c r="BO970">
        <f>BN970/BM970</f>
        <v>1.6189622442522613</v>
      </c>
      <c r="BP970">
        <f>BN970-BM970</f>
        <v>0.72260882841086671</v>
      </c>
      <c r="BQ970">
        <f>BP970*10^9</f>
        <v>722608828.41086674</v>
      </c>
      <c r="BR970" t="s">
        <v>232</v>
      </c>
      <c r="BS970" s="256" t="s">
        <v>2953</v>
      </c>
      <c r="BT970" t="s">
        <v>1219</v>
      </c>
      <c r="BU970" s="260">
        <v>1.93686006825938</v>
      </c>
      <c r="BV970" s="260">
        <v>1.27133105802047</v>
      </c>
      <c r="BW970" s="144">
        <f>IFERROR(BV970/BU970,"")</f>
        <v>0.65638766519823577</v>
      </c>
      <c r="BX970">
        <f>BV970-BU970</f>
        <v>-0.66552901023890998</v>
      </c>
      <c r="BZ970">
        <f>BX970*10^9</f>
        <v>-665529010.23890996</v>
      </c>
      <c r="CA970">
        <f>IFERROR(BZ970/BQ970,"")</f>
        <v>-0.92100868972569228</v>
      </c>
      <c r="CB970" s="143">
        <v>0</v>
      </c>
      <c r="CC970" s="143">
        <v>0</v>
      </c>
      <c r="CD970" s="143">
        <v>0</v>
      </c>
      <c r="CE970" s="143">
        <v>0</v>
      </c>
      <c r="CF970" s="143">
        <v>0</v>
      </c>
      <c r="CG970" s="143">
        <v>0</v>
      </c>
      <c r="CH970" s="143">
        <v>0</v>
      </c>
      <c r="CI970" s="143">
        <v>0</v>
      </c>
      <c r="CJ970" s="143">
        <v>0</v>
      </c>
      <c r="CK970" s="143">
        <v>0</v>
      </c>
      <c r="CL970" s="143">
        <v>0</v>
      </c>
      <c r="CM970" s="143">
        <v>0</v>
      </c>
      <c r="CN970" s="143">
        <v>0</v>
      </c>
      <c r="CO970">
        <v>0</v>
      </c>
      <c r="CP970" t="str">
        <f>IF($BN970&lt;$BM970,"refNeedCorrection","refOK")</f>
        <v>refOK</v>
      </c>
      <c r="CQ970">
        <f>IF($CP970="refOK",$BM970,$BN970)</f>
        <v>1.1674521913429727</v>
      </c>
      <c r="CR970">
        <f>IF($CP970="refOK",$BN970,$BM970)</f>
        <v>1.8900610197538394</v>
      </c>
      <c r="CS970">
        <f>IF($CP970="refOK",$BQ970,-$BQ970)</f>
        <v>722608828.41086674</v>
      </c>
      <c r="CT970">
        <f>IF(BI970="Roundwood",$CS970/2,$CS970)</f>
        <v>722608828.41086674</v>
      </c>
      <c r="CU970">
        <f>IF($CP970="refOK",$BU970,$BV970)*IF($BR970="Emissions positive",-1,1)</f>
        <v>1.93686006825938</v>
      </c>
      <c r="CV970">
        <f>IF($CP970="refOK",$BV970,$BU970)*IF($BR970="Emissions positive",-1,1)</f>
        <v>1.27133105802047</v>
      </c>
      <c r="CW970">
        <f>IF($CP970="refNeedCorrection",-BZ970,BZ970)*IF($BR970="Emissions positive",-1,1)</f>
        <v>-665529010.23890996</v>
      </c>
      <c r="CX970">
        <f>IFERROR($CW970/$CS970,"")</f>
        <v>-0.92100868972569228</v>
      </c>
      <c r="CY970">
        <f>IFERROR($CW970/$CS970,"")</f>
        <v>-0.92100868972569228</v>
      </c>
      <c r="CZ970">
        <f>IFERROR($CW970/$CT970,"")</f>
        <v>-0.92100868972569228</v>
      </c>
      <c r="DA970" s="2">
        <f>IFERROR((CV970-CU970)/ABS(CU970),"")</f>
        <v>-0.34361233480176423</v>
      </c>
      <c r="DB970" s="1" t="s">
        <v>1078</v>
      </c>
      <c r="DC970" t="str">
        <f>IF(OR($DB970="prd",$DB970="std",$DB970="cit"),"loc",IF(OR($DB970="eur",$DB970="reg",$DB970="coy"),"reg",$DB970))</f>
        <v>reg</v>
      </c>
      <c r="DD970" t="s">
        <v>653</v>
      </c>
      <c r="DE970">
        <v>2010</v>
      </c>
      <c r="DF970">
        <v>2100</v>
      </c>
      <c r="DG970">
        <f>DF970-DE970</f>
        <v>90</v>
      </c>
      <c r="DH970" t="str">
        <f>IF(DG970=0,"0",IF(AND(DG970&gt;=1,DG970&lt;=30),"1-30",IF(AND(DG970&gt;30,DG970&lt;=70),"31-70",IF(AND(DG970&gt;70,DG970&lt;=100),"71-100",IF(DG970&gt;100,"+100")))))</f>
        <v>71-100</v>
      </c>
      <c r="DI970">
        <v>0</v>
      </c>
      <c r="DJ970">
        <v>1</v>
      </c>
      <c r="DK970">
        <v>1</v>
      </c>
      <c r="DL970">
        <v>1</v>
      </c>
      <c r="DN970">
        <f>SUM(DI970:DL970)</f>
        <v>3</v>
      </c>
      <c r="DO970" t="str">
        <f>IF(DN970=1,INDEX($DI$7:$DL$7,MATCH(1,$DI970:$DL970,0)),"mixedProduct")</f>
        <v>mixedProduct</v>
      </c>
      <c r="DP970">
        <f>IF(DI970=1,DP$7,0)</f>
        <v>0</v>
      </c>
      <c r="DQ970" t="str">
        <f>IF(DJ970=1,DQ$7,0)</f>
        <v>Energy</v>
      </c>
      <c r="DR970" t="str">
        <f>IF(DK970=1,DR$7,0)</f>
        <v>Pulp/Paper</v>
      </c>
      <c r="DS970" t="str">
        <f>IF(DL970=1,DS$7,0)</f>
        <v>Timber</v>
      </c>
      <c r="DT970">
        <v>1</v>
      </c>
      <c r="DU970" s="143">
        <v>0</v>
      </c>
      <c r="DV970" s="143">
        <v>0</v>
      </c>
      <c r="DW970" s="143">
        <v>0</v>
      </c>
      <c r="DX970">
        <v>0</v>
      </c>
      <c r="DY970">
        <f>SUM(DT970:DU970)</f>
        <v>1</v>
      </c>
      <c r="DZ970" s="143" t="str">
        <f>IF(DT970=1,"self-calculated DF",IF(DU970=1,"external DF used","explicit C balance"))</f>
        <v>self-calculated DF</v>
      </c>
      <c r="EA970">
        <v>1</v>
      </c>
      <c r="EB970" s="143">
        <v>1</v>
      </c>
      <c r="EC970" s="143">
        <v>1</v>
      </c>
      <c r="ED970" s="143">
        <v>1</v>
      </c>
      <c r="EE970">
        <v>1</v>
      </c>
      <c r="EF970" s="141">
        <v>1</v>
      </c>
      <c r="EG970">
        <v>0</v>
      </c>
      <c r="EH970" s="143">
        <v>1</v>
      </c>
      <c r="EI970" s="143">
        <v>1</v>
      </c>
      <c r="EJ970">
        <v>0</v>
      </c>
      <c r="EK970">
        <v>1</v>
      </c>
      <c r="EL970" s="143">
        <v>0</v>
      </c>
      <c r="EM970" s="143">
        <v>0</v>
      </c>
      <c r="EN970" s="2">
        <v>0</v>
      </c>
      <c r="EP970" t="str">
        <f>IF(AND(AND(AND(OR($EC970=1,$EB970=1),OR($EH970=1,$EF970=1)),SUM($EA970:$EE970,$EK970)&gt;=3),SUM($EF970:$EJ970)&gt;=2),"Whole sector approach","")</f>
        <v>Whole sector approach</v>
      </c>
      <c r="EQ970" t="str">
        <f>IF(AND(AND(OR($EC970=1,$EB970=1),AND($EH970=0,$EF970=0)),SUM($EA970:$EE970,$EK970)&gt;=4),"Ecosystem approach","")</f>
        <v/>
      </c>
      <c r="ER970" s="2" t="str">
        <f>IF(AND(AND(AND($EC970=0,$EB970=0),OR($EH970=1,$EF970=1)),SUM($EG970:$EJ970)&gt;=2),"Technology approach","")</f>
        <v/>
      </c>
      <c r="ES970" t="str">
        <f>IF(AND($EC970+$EB970+$EE970+$EA970+$ED970+$EG970=0,$N970="included"),"C neutral forest and HWP assumption","")</f>
        <v/>
      </c>
      <c r="ET970" t="str">
        <f>IF(AND(AND(AND(AND($EC970=1,$EB970+$EA970+$EG970&gt;=1),$EF970=1),$EH970+$EI970+$ED970+$EE970&gt;=2),$N970="included"),"All C pools assumption","")</f>
        <v>All C pools assumption</v>
      </c>
      <c r="EU970" t="str">
        <f>IF(AND($ED970+$EE970+$EI970+$EH970+$EF970=0,$N970="included"),"In-situ only assumption","")</f>
        <v/>
      </c>
      <c r="EW970" t="s">
        <v>2958</v>
      </c>
      <c r="EY970" t="str">
        <f>IF(ISNUMBER(BW970),IF(ABS(BW970-[6]QC_indicators!$B$2)&gt;3*[6]QC_indicators!$C$2,"C ratio",IF(ISNUMBER(CA970),IF(ABS(CA970-[6]QC_indicators!$B$1)&gt;3*[6]QC_indicators!$C$1,"DF","no"))),IF(ISNUMBER(CA970),IF(ABS(CA970-[6]QC_indicators!$B$1)&gt;3*[6]QC_indicators!$C$1,"DF","no")))</f>
        <v>no</v>
      </c>
      <c r="FA970" t="str">
        <f>IF(LEN($CY970)=0,"",IF(AND($CY970&lt;(-0.05),$ES970="C neutral forest and HWP assumption"),"Cneutral paradox",IF(AND($CY970&gt;0.05,$EU970="In-situ only assumption"),"In-situ only paradox","")))</f>
        <v/>
      </c>
      <c r="FD970" s="260" t="s">
        <v>2948</v>
      </c>
    </row>
    <row r="971" spans="1:161" ht="15" hidden="1" customHeight="1">
      <c r="A971" s="1" t="s">
        <v>1161</v>
      </c>
      <c r="B971" t="s">
        <v>1209</v>
      </c>
      <c r="C971" t="s">
        <v>1210</v>
      </c>
      <c r="D971" t="s">
        <v>1211</v>
      </c>
      <c r="E971" t="s">
        <v>1212</v>
      </c>
      <c r="F971" t="s">
        <v>1213</v>
      </c>
      <c r="G971" t="s">
        <v>1167</v>
      </c>
      <c r="H971" t="s">
        <v>254</v>
      </c>
      <c r="I971">
        <v>2016</v>
      </c>
      <c r="J971">
        <v>27</v>
      </c>
      <c r="K971" t="s">
        <v>1214</v>
      </c>
      <c r="M971" t="str">
        <f>LEFT($D971,FIND(",",$D971)-1)&amp;"_"&amp;I971&amp;L971</f>
        <v>Braun_2016</v>
      </c>
      <c r="N971" t="s">
        <v>222</v>
      </c>
      <c r="O971" s="145" t="s">
        <v>223</v>
      </c>
      <c r="Q971" t="s">
        <v>256</v>
      </c>
      <c r="R971" s="251" t="s">
        <v>225</v>
      </c>
      <c r="S971" s="1" t="s">
        <v>1221</v>
      </c>
      <c r="T971" t="s">
        <v>1216</v>
      </c>
      <c r="U971" t="s">
        <v>1223</v>
      </c>
      <c r="V971" s="253">
        <v>0</v>
      </c>
      <c r="W971" s="253">
        <v>0</v>
      </c>
      <c r="X971">
        <v>0</v>
      </c>
      <c r="Y971">
        <v>0</v>
      </c>
      <c r="Z971">
        <v>0</v>
      </c>
      <c r="AA971">
        <v>0</v>
      </c>
      <c r="AB971">
        <v>0</v>
      </c>
      <c r="AC971">
        <v>0</v>
      </c>
      <c r="AD971">
        <v>0</v>
      </c>
      <c r="AE971">
        <v>0</v>
      </c>
      <c r="AF971">
        <v>0</v>
      </c>
      <c r="AG971">
        <v>0</v>
      </c>
      <c r="AH971">
        <v>1</v>
      </c>
      <c r="AI971">
        <v>0</v>
      </c>
      <c r="AJ971">
        <v>0</v>
      </c>
      <c r="AK971">
        <v>0</v>
      </c>
      <c r="AL971">
        <v>0</v>
      </c>
      <c r="AM971">
        <v>0</v>
      </c>
      <c r="AN971">
        <v>0</v>
      </c>
      <c r="AO971">
        <v>0</v>
      </c>
      <c r="AP971">
        <v>0</v>
      </c>
      <c r="AQ971">
        <v>0</v>
      </c>
      <c r="AR971">
        <v>0</v>
      </c>
      <c r="AS971">
        <v>0</v>
      </c>
      <c r="AT971">
        <v>0</v>
      </c>
      <c r="AU971">
        <v>0</v>
      </c>
      <c r="AV971">
        <v>0</v>
      </c>
      <c r="AW971">
        <v>0</v>
      </c>
      <c r="AX971">
        <v>0</v>
      </c>
      <c r="AY971">
        <v>0</v>
      </c>
      <c r="AZ971" s="141">
        <f>COUNTIF(X971:AY971,"&lt;&gt;0")</f>
        <v>1</v>
      </c>
      <c r="BA971" s="141">
        <f>COUNTIF(X971:AN971,"&lt;&gt;0")</f>
        <v>1</v>
      </c>
      <c r="BB971">
        <f>COUNTIF(X971:AE971,"&lt;&gt;0")</f>
        <v>0</v>
      </c>
      <c r="BC971">
        <f>COUNTIF(AF971:AK971,"&lt;&gt;0")</f>
        <v>1</v>
      </c>
      <c r="BD971">
        <f>COUNTIF(AL971:AN971,"&lt;&gt;0")</f>
        <v>0</v>
      </c>
      <c r="BE971">
        <f>COUNTIF(AU971:AY971,"&lt;&gt;0")</f>
        <v>0</v>
      </c>
      <c r="BF971">
        <f>COUNTIF(AO971:AT971,"&lt;&gt;0")</f>
        <v>0</v>
      </c>
      <c r="BG971" t="str">
        <f t="array" ref="BG971">IF(BA971=1,INDEX($X$7:$AN$7,MATCH(TRUE,INDEX($X971:$AY971&lt;&gt;0,),0)),IF(BA971=0,INDEX($AO$7:$AY$7,MATCH(1,$AO971:$AY971,0)),IF(BH971="Multiple strategies","mixed drivers",IF(BH971="Supply chain","multiple supply","multiple silviculture"))))</f>
        <v>supply chain organization</v>
      </c>
      <c r="BH971" s="2" t="str" cm="1">
        <f t="array" ref="BH971">IF(COUNTIF(BB971:BD971,"&lt;&gt;0")=1,INDEX($X$4:$AY$4,MATCH(TRUE,INDEX($X971:$AY971&lt;&gt;0,),0)),IF(COUNTIF(BB971:BD971,"&lt;&gt;0")=0,INDEX($AO$4:$AY$4,MATCH(1,$AO971:$AY971,0)),"Multiple strategies"))</f>
        <v>Supply chain</v>
      </c>
      <c r="BI971" s="1" t="s">
        <v>229</v>
      </c>
      <c r="BJ971" t="s">
        <v>1217</v>
      </c>
      <c r="BK971" s="256" t="s">
        <v>2952</v>
      </c>
      <c r="BL971" t="s">
        <v>1218</v>
      </c>
      <c r="BM971">
        <v>1.1674521913429727</v>
      </c>
      <c r="BN971">
        <v>1.8344709897610794</v>
      </c>
      <c r="BO971">
        <f>BN971/BM971</f>
        <v>1.5713457076566064</v>
      </c>
      <c r="BP971">
        <f>BN971-BM971</f>
        <v>0.66701879841810663</v>
      </c>
      <c r="BQ971">
        <f>BP971*10^9</f>
        <v>667018798.41810668</v>
      </c>
      <c r="BR971" t="s">
        <v>232</v>
      </c>
      <c r="BS971" s="256" t="s">
        <v>2953</v>
      </c>
      <c r="BT971" t="s">
        <v>1219</v>
      </c>
      <c r="BU971" s="260">
        <v>1.93686006825938</v>
      </c>
      <c r="BV971" s="260">
        <v>1.26109215017064</v>
      </c>
      <c r="BW971" s="144">
        <f>IFERROR(BV971/BU971,"")</f>
        <v>0.65110132158590062</v>
      </c>
      <c r="BX971">
        <f>BV971-BU971</f>
        <v>-0.67576791808873993</v>
      </c>
      <c r="BZ971">
        <f>BX971*10^9</f>
        <v>-675767918.08873987</v>
      </c>
      <c r="CA971">
        <f>IFERROR(BZ971/BQ971,"")</f>
        <v>-1.0131167512690535</v>
      </c>
      <c r="CB971" s="143">
        <v>0</v>
      </c>
      <c r="CC971" s="143">
        <v>0</v>
      </c>
      <c r="CD971" s="143">
        <v>0</v>
      </c>
      <c r="CE971" s="143">
        <v>0</v>
      </c>
      <c r="CF971" s="143">
        <v>0</v>
      </c>
      <c r="CG971" s="143">
        <v>0</v>
      </c>
      <c r="CH971" s="143">
        <v>0</v>
      </c>
      <c r="CI971" s="143">
        <v>0</v>
      </c>
      <c r="CJ971" s="143">
        <v>0</v>
      </c>
      <c r="CK971" s="143">
        <v>0</v>
      </c>
      <c r="CL971" s="143">
        <v>0</v>
      </c>
      <c r="CM971" s="143">
        <v>0</v>
      </c>
      <c r="CN971" s="143">
        <v>0</v>
      </c>
      <c r="CO971">
        <v>0</v>
      </c>
      <c r="CP971" t="str">
        <f>IF($BN971&lt;$BM971,"refNeedCorrection","refOK")</f>
        <v>refOK</v>
      </c>
      <c r="CQ971">
        <f>IF($CP971="refOK",$BM971,$BN971)</f>
        <v>1.1674521913429727</v>
      </c>
      <c r="CR971">
        <f>IF($CP971="refOK",$BN971,$BM971)</f>
        <v>1.8344709897610794</v>
      </c>
      <c r="CS971">
        <f>IF($CP971="refOK",$BQ971,-$BQ971)</f>
        <v>667018798.41810668</v>
      </c>
      <c r="CT971">
        <f>IF(BI971="Roundwood",$CS971/2,$CS971)</f>
        <v>667018798.41810668</v>
      </c>
      <c r="CU971">
        <f>IF($CP971="refOK",$BU971,$BV971)*IF($BR971="Emissions positive",-1,1)</f>
        <v>1.93686006825938</v>
      </c>
      <c r="CV971">
        <f>IF($CP971="refOK",$BV971,$BU971)*IF($BR971="Emissions positive",-1,1)</f>
        <v>1.26109215017064</v>
      </c>
      <c r="CW971">
        <f>IF($CP971="refNeedCorrection",-BZ971,BZ971)*IF($BR971="Emissions positive",-1,1)</f>
        <v>-675767918.08873987</v>
      </c>
      <c r="CX971">
        <f>IFERROR($CW971/$CS971,"")</f>
        <v>-1.0131167512690535</v>
      </c>
      <c r="CY971">
        <f>IFERROR($CW971/$CS971,"")</f>
        <v>-1.0131167512690535</v>
      </c>
      <c r="CZ971">
        <f>IFERROR($CW971/$CT971,"")</f>
        <v>-1.0131167512690535</v>
      </c>
      <c r="DA971" s="2">
        <f>IFERROR((CV971-CU971)/ABS(CU971),"")</f>
        <v>-0.34889867841409933</v>
      </c>
      <c r="DB971" s="1" t="s">
        <v>1078</v>
      </c>
      <c r="DC971" t="str">
        <f>IF(OR($DB971="prd",$DB971="std",$DB971="cit"),"loc",IF(OR($DB971="eur",$DB971="reg",$DB971="coy"),"reg",$DB971))</f>
        <v>reg</v>
      </c>
      <c r="DD971" t="s">
        <v>653</v>
      </c>
      <c r="DE971">
        <v>2010</v>
      </c>
      <c r="DF971">
        <v>2100</v>
      </c>
      <c r="DG971">
        <f>DF971-DE971</f>
        <v>90</v>
      </c>
      <c r="DH971" t="str">
        <f>IF(DG971=0,"0",IF(AND(DG971&gt;=1,DG971&lt;=30),"1-30",IF(AND(DG971&gt;30,DG971&lt;=70),"31-70",IF(AND(DG971&gt;70,DG971&lt;=100),"71-100",IF(DG971&gt;100,"+100")))))</f>
        <v>71-100</v>
      </c>
      <c r="DI971">
        <v>0</v>
      </c>
      <c r="DJ971">
        <v>1</v>
      </c>
      <c r="DK971">
        <v>1</v>
      </c>
      <c r="DL971">
        <v>1</v>
      </c>
      <c r="DN971">
        <f>SUM(DI971:DL971)</f>
        <v>3</v>
      </c>
      <c r="DO971" t="str">
        <f>IF(DN971=1,INDEX($DI$7:$DL$7,MATCH(1,$DI971:$DL971,0)),"mixedProduct")</f>
        <v>mixedProduct</v>
      </c>
      <c r="DP971">
        <f>IF(DI971=1,DP$7,0)</f>
        <v>0</v>
      </c>
      <c r="DQ971" t="str">
        <f>IF(DJ971=1,DQ$7,0)</f>
        <v>Energy</v>
      </c>
      <c r="DR971" t="str">
        <f>IF(DK971=1,DR$7,0)</f>
        <v>Pulp/Paper</v>
      </c>
      <c r="DS971" t="str">
        <f>IF(DL971=1,DS$7,0)</f>
        <v>Timber</v>
      </c>
      <c r="DT971">
        <v>1</v>
      </c>
      <c r="DU971" s="143">
        <v>0</v>
      </c>
      <c r="DV971" s="143">
        <v>0</v>
      </c>
      <c r="DW971" s="143">
        <v>0</v>
      </c>
      <c r="DX971">
        <v>0</v>
      </c>
      <c r="DY971">
        <f>SUM(DT971:DU971)</f>
        <v>1</v>
      </c>
      <c r="DZ971" s="143" t="str">
        <f>IF(DT971=1,"self-calculated DF",IF(DU971=1,"external DF used","explicit C balance"))</f>
        <v>self-calculated DF</v>
      </c>
      <c r="EA971">
        <v>1</v>
      </c>
      <c r="EB971" s="143">
        <v>1</v>
      </c>
      <c r="EC971" s="143">
        <v>1</v>
      </c>
      <c r="ED971" s="143">
        <v>1</v>
      </c>
      <c r="EE971">
        <v>1</v>
      </c>
      <c r="EF971" s="141">
        <v>1</v>
      </c>
      <c r="EG971">
        <v>0</v>
      </c>
      <c r="EH971" s="143">
        <v>1</v>
      </c>
      <c r="EI971" s="143">
        <v>1</v>
      </c>
      <c r="EJ971">
        <v>0</v>
      </c>
      <c r="EK971">
        <v>1</v>
      </c>
      <c r="EL971" s="143">
        <v>0</v>
      </c>
      <c r="EM971" s="143">
        <v>0</v>
      </c>
      <c r="EN971" s="2">
        <v>0</v>
      </c>
      <c r="EP971" t="str">
        <f>IF(AND(AND(AND(OR($EC971=1,$EB971=1),OR($EH971=1,$EF971=1)),SUM($EA971:$EE971,$EK971)&gt;=3),SUM($EF971:$EJ971)&gt;=2),"Whole sector approach","")</f>
        <v>Whole sector approach</v>
      </c>
      <c r="EQ971" t="str">
        <f>IF(AND(AND(OR($EC971=1,$EB971=1),AND($EH971=0,$EF971=0)),SUM($EA971:$EE971,$EK971)&gt;=4),"Ecosystem approach","")</f>
        <v/>
      </c>
      <c r="ER971" s="2" t="str">
        <f>IF(AND(AND(AND($EC971=0,$EB971=0),OR($EH971=1,$EF971=1)),SUM($EG971:$EJ971)&gt;=2),"Technology approach","")</f>
        <v/>
      </c>
      <c r="ES971" t="str">
        <f>IF(AND($EC971+$EB971+$EE971+$EA971+$ED971+$EG971=0,$N971="included"),"C neutral forest and HWP assumption","")</f>
        <v/>
      </c>
      <c r="ET971" t="str">
        <f>IF(AND(AND(AND(AND($EC971=1,$EB971+$EA971+$EG971&gt;=1),$EF971=1),$EH971+$EI971+$ED971+$EE971&gt;=2),$N971="included"),"All C pools assumption","")</f>
        <v>All C pools assumption</v>
      </c>
      <c r="EU971" t="str">
        <f>IF(AND($ED971+$EE971+$EI971+$EH971+$EF971=0,$N971="included"),"In-situ only assumption","")</f>
        <v/>
      </c>
      <c r="EW971" t="s">
        <v>2958</v>
      </c>
      <c r="EY971" t="str">
        <f>IF(ISNUMBER(BW971),IF(ABS(BW971-[6]QC_indicators!$B$2)&gt;3*[6]QC_indicators!$C$2,"C ratio",IF(ISNUMBER(CA971),IF(ABS(CA971-[6]QC_indicators!$B$1)&gt;3*[6]QC_indicators!$C$1,"DF","no"))),IF(ISNUMBER(CA971),IF(ABS(CA971-[6]QC_indicators!$B$1)&gt;3*[6]QC_indicators!$C$1,"DF","no")))</f>
        <v>no</v>
      </c>
      <c r="FA971" t="str">
        <f>IF(LEN($CY971)=0,"",IF(AND($CY971&lt;(-0.05),$ES971="C neutral forest and HWP assumption"),"Cneutral paradox",IF(AND($CY971&gt;0.05,$EU971="In-situ only assumption"),"In-situ only paradox","")))</f>
        <v/>
      </c>
      <c r="FD971" s="260" t="s">
        <v>2948</v>
      </c>
    </row>
    <row r="972" spans="1:161" ht="15" hidden="1" customHeight="1">
      <c r="A972" s="1" t="s">
        <v>1161</v>
      </c>
      <c r="B972" t="s">
        <v>1209</v>
      </c>
      <c r="C972" t="s">
        <v>1210</v>
      </c>
      <c r="D972" t="s">
        <v>1211</v>
      </c>
      <c r="E972" t="s">
        <v>1212</v>
      </c>
      <c r="F972" t="s">
        <v>1213</v>
      </c>
      <c r="G972" t="s">
        <v>1167</v>
      </c>
      <c r="H972" t="s">
        <v>254</v>
      </c>
      <c r="I972">
        <v>2016</v>
      </c>
      <c r="J972">
        <v>27</v>
      </c>
      <c r="K972" t="s">
        <v>1214</v>
      </c>
      <c r="M972" t="str">
        <f>LEFT($D972,FIND(",",$D972)-1)&amp;"_"&amp;I972&amp;L972</f>
        <v>Braun_2016</v>
      </c>
      <c r="N972" t="s">
        <v>222</v>
      </c>
      <c r="O972" s="145" t="s">
        <v>223</v>
      </c>
      <c r="Q972" t="s">
        <v>256</v>
      </c>
      <c r="R972" s="251" t="s">
        <v>225</v>
      </c>
      <c r="S972" s="1" t="s">
        <v>1221</v>
      </c>
      <c r="T972" t="s">
        <v>1216</v>
      </c>
      <c r="U972" t="s">
        <v>1224</v>
      </c>
      <c r="V972" s="253">
        <v>0</v>
      </c>
      <c r="W972" s="253">
        <v>0</v>
      </c>
      <c r="X972">
        <v>0</v>
      </c>
      <c r="Y972">
        <v>0</v>
      </c>
      <c r="Z972">
        <v>0</v>
      </c>
      <c r="AA972">
        <v>0</v>
      </c>
      <c r="AB972">
        <v>0</v>
      </c>
      <c r="AC972">
        <v>0</v>
      </c>
      <c r="AD972">
        <v>0</v>
      </c>
      <c r="AE972">
        <v>0</v>
      </c>
      <c r="AF972">
        <v>0</v>
      </c>
      <c r="AG972">
        <v>0</v>
      </c>
      <c r="AH972">
        <v>1</v>
      </c>
      <c r="AI972">
        <v>0</v>
      </c>
      <c r="AJ972">
        <v>0</v>
      </c>
      <c r="AK972">
        <v>0</v>
      </c>
      <c r="AL972">
        <v>0</v>
      </c>
      <c r="AM972">
        <v>0</v>
      </c>
      <c r="AN972">
        <v>0</v>
      </c>
      <c r="AO972">
        <v>0</v>
      </c>
      <c r="AP972">
        <v>0</v>
      </c>
      <c r="AQ972">
        <v>0</v>
      </c>
      <c r="AR972">
        <v>0</v>
      </c>
      <c r="AS972">
        <v>0</v>
      </c>
      <c r="AT972">
        <v>0</v>
      </c>
      <c r="AU972">
        <v>0</v>
      </c>
      <c r="AV972">
        <v>0</v>
      </c>
      <c r="AW972">
        <v>0</v>
      </c>
      <c r="AX972">
        <v>0</v>
      </c>
      <c r="AY972">
        <v>0</v>
      </c>
      <c r="AZ972" s="141">
        <f>COUNTIF(X972:AY972,"&lt;&gt;0")</f>
        <v>1</v>
      </c>
      <c r="BA972" s="141">
        <f>COUNTIF(X972:AN972,"&lt;&gt;0")</f>
        <v>1</v>
      </c>
      <c r="BB972">
        <f>COUNTIF(X972:AE972,"&lt;&gt;0")</f>
        <v>0</v>
      </c>
      <c r="BC972">
        <f>COUNTIF(AF972:AK972,"&lt;&gt;0")</f>
        <v>1</v>
      </c>
      <c r="BD972">
        <f>COUNTIF(AL972:AN972,"&lt;&gt;0")</f>
        <v>0</v>
      </c>
      <c r="BE972">
        <f>COUNTIF(AU972:AY972,"&lt;&gt;0")</f>
        <v>0</v>
      </c>
      <c r="BF972">
        <f>COUNTIF(AO972:AT972,"&lt;&gt;0")</f>
        <v>0</v>
      </c>
      <c r="BG972" t="str">
        <f t="array" ref="BG972">IF(BA972=1,INDEX($X$7:$AN$7,MATCH(TRUE,INDEX($X972:$AY972&lt;&gt;0,),0)),IF(BA972=0,INDEX($AO$7:$AY$7,MATCH(1,$AO972:$AY972,0)),IF(BH972="Multiple strategies","mixed drivers",IF(BH972="Supply chain","multiple supply","multiple silviculture"))))</f>
        <v>supply chain organization</v>
      </c>
      <c r="BH972" s="2" t="str" cm="1">
        <f t="array" ref="BH972">IF(COUNTIF(BB972:BD972,"&lt;&gt;0")=1,INDEX($X$4:$AY$4,MATCH(TRUE,INDEX($X972:$AY972&lt;&gt;0,),0)),IF(COUNTIF(BB972:BD972,"&lt;&gt;0")=0,INDEX($AO$4:$AY$4,MATCH(1,$AO972:$AY972,0)),"Multiple strategies"))</f>
        <v>Supply chain</v>
      </c>
      <c r="BI972" s="1" t="s">
        <v>229</v>
      </c>
      <c r="BJ972" t="s">
        <v>1217</v>
      </c>
      <c r="BK972" s="256" t="s">
        <v>2952</v>
      </c>
      <c r="BL972" t="s">
        <v>1218</v>
      </c>
      <c r="BM972">
        <v>1.1674521913429727</v>
      </c>
      <c r="BN972">
        <v>1.8900610197538394</v>
      </c>
      <c r="BO972">
        <f>BN972/BM972</f>
        <v>1.6189622442522613</v>
      </c>
      <c r="BP972">
        <f>BN972-BM972</f>
        <v>0.72260882841086671</v>
      </c>
      <c r="BQ972">
        <f>BP972*10^9</f>
        <v>722608828.41086674</v>
      </c>
      <c r="BR972" t="s">
        <v>232</v>
      </c>
      <c r="BS972" s="256" t="s">
        <v>2956</v>
      </c>
      <c r="BT972" t="s">
        <v>1219</v>
      </c>
      <c r="BU972" s="260">
        <v>1.2013651877133071</v>
      </c>
      <c r="BV972" s="260">
        <v>2.3890784982935953E-2</v>
      </c>
      <c r="BW972" s="144">
        <f>IFERROR(BV972/BU972,"")</f>
        <v>1.9886363636364358E-2</v>
      </c>
      <c r="BX972">
        <f>BV972-BU972</f>
        <v>-1.1774744027303712</v>
      </c>
      <c r="BZ972">
        <f>BX972*10^9</f>
        <v>-1177474402.7303712</v>
      </c>
      <c r="CA972">
        <f>IFERROR(BZ972/BQ972,"")</f>
        <v>-1.6294769125915984</v>
      </c>
      <c r="CB972" s="143">
        <v>0</v>
      </c>
      <c r="CC972" s="143">
        <v>0</v>
      </c>
      <c r="CD972" s="143">
        <v>0</v>
      </c>
      <c r="CE972" s="143">
        <v>0</v>
      </c>
      <c r="CF972" s="143">
        <v>0</v>
      </c>
      <c r="CG972" s="143">
        <v>0</v>
      </c>
      <c r="CH972" s="143">
        <v>0</v>
      </c>
      <c r="CI972" s="143">
        <v>0</v>
      </c>
      <c r="CJ972" s="143">
        <v>0</v>
      </c>
      <c r="CK972" s="143">
        <v>0</v>
      </c>
      <c r="CL972" s="143">
        <v>0</v>
      </c>
      <c r="CM972" s="143">
        <v>0</v>
      </c>
      <c r="CN972" s="143">
        <v>0</v>
      </c>
      <c r="CO972">
        <v>0</v>
      </c>
      <c r="CP972" t="str">
        <f>IF($BN972&lt;$BM972,"refNeedCorrection","refOK")</f>
        <v>refOK</v>
      </c>
      <c r="CQ972">
        <f>IF($CP972="refOK",$BM972,$BN972)</f>
        <v>1.1674521913429727</v>
      </c>
      <c r="CR972">
        <f>IF($CP972="refOK",$BN972,$BM972)</f>
        <v>1.8900610197538394</v>
      </c>
      <c r="CS972">
        <f>IF($CP972="refOK",$BQ972,-$BQ972)</f>
        <v>722608828.41086674</v>
      </c>
      <c r="CT972">
        <f>IF(BI972="Roundwood",$CS972/2,$CS972)</f>
        <v>722608828.41086674</v>
      </c>
      <c r="CU972">
        <f>IF($CP972="refOK",$BU972,$BV972)*IF($BR972="Emissions positive",-1,1)</f>
        <v>1.2013651877133071</v>
      </c>
      <c r="CV972">
        <f>IF($CP972="refOK",$BV972,$BU972)*IF($BR972="Emissions positive",-1,1)</f>
        <v>2.3890784982935953E-2</v>
      </c>
      <c r="CW972">
        <f>IF($CP972="refNeedCorrection",-BZ972,BZ972)*IF($BR972="Emissions positive",-1,1)</f>
        <v>-1177474402.7303712</v>
      </c>
      <c r="CX972">
        <f>IFERROR($CW972/$CS972,"")</f>
        <v>-1.6294769125915984</v>
      </c>
      <c r="CY972">
        <f>IFERROR($CW972/$CS972,"")</f>
        <v>-1.6294769125915984</v>
      </c>
      <c r="CZ972">
        <f>IFERROR($CW972/$CT972,"")</f>
        <v>-1.6294769125915984</v>
      </c>
      <c r="DA972" s="2">
        <f>IFERROR((CV972-CU972)/ABS(CU972),"")</f>
        <v>-0.98011363636363569</v>
      </c>
      <c r="DB972" s="1" t="s">
        <v>1078</v>
      </c>
      <c r="DC972" t="str">
        <f>IF(OR($DB972="prd",$DB972="std",$DB972="cit"),"loc",IF(OR($DB972="eur",$DB972="reg",$DB972="coy"),"reg",$DB972))</f>
        <v>reg</v>
      </c>
      <c r="DD972" t="s">
        <v>653</v>
      </c>
      <c r="DE972">
        <v>2010</v>
      </c>
      <c r="DF972">
        <v>2100</v>
      </c>
      <c r="DG972">
        <f>DF972-DE972</f>
        <v>90</v>
      </c>
      <c r="DH972" t="str">
        <f>IF(DG972=0,"0",IF(AND(DG972&gt;=1,DG972&lt;=30),"1-30",IF(AND(DG972&gt;30,DG972&lt;=70),"31-70",IF(AND(DG972&gt;70,DG972&lt;=100),"71-100",IF(DG972&gt;100,"+100")))))</f>
        <v>71-100</v>
      </c>
      <c r="DI972">
        <v>0</v>
      </c>
      <c r="DJ972">
        <v>1</v>
      </c>
      <c r="DK972">
        <v>1</v>
      </c>
      <c r="DL972">
        <v>1</v>
      </c>
      <c r="DN972">
        <f>SUM(DI972:DL972)</f>
        <v>3</v>
      </c>
      <c r="DO972" t="str">
        <f>IF(DN972=1,INDEX($DI$7:$DL$7,MATCH(1,$DI972:$DL972,0)),"mixedProduct")</f>
        <v>mixedProduct</v>
      </c>
      <c r="DP972">
        <f>IF(DI972=1,DP$7,0)</f>
        <v>0</v>
      </c>
      <c r="DQ972" t="str">
        <f>IF(DJ972=1,DQ$7,0)</f>
        <v>Energy</v>
      </c>
      <c r="DR972" t="str">
        <f>IF(DK972=1,DR$7,0)</f>
        <v>Pulp/Paper</v>
      </c>
      <c r="DS972" t="str">
        <f>IF(DL972=1,DS$7,0)</f>
        <v>Timber</v>
      </c>
      <c r="DT972">
        <v>1</v>
      </c>
      <c r="DU972" s="143">
        <v>0</v>
      </c>
      <c r="DV972" s="143">
        <v>0</v>
      </c>
      <c r="DW972" s="143">
        <v>0</v>
      </c>
      <c r="DX972">
        <v>0</v>
      </c>
      <c r="DY972">
        <f>SUM(DT972:DU972)</f>
        <v>1</v>
      </c>
      <c r="DZ972" s="143" t="str">
        <f>IF(DT972=1,"self-calculated DF",IF(DU972=1,"external DF used","explicit C balance"))</f>
        <v>self-calculated DF</v>
      </c>
      <c r="EA972">
        <v>1</v>
      </c>
      <c r="EB972" s="143">
        <v>1</v>
      </c>
      <c r="EC972" s="143">
        <v>1</v>
      </c>
      <c r="ED972" s="143">
        <v>1</v>
      </c>
      <c r="EE972">
        <v>1</v>
      </c>
      <c r="EF972" s="141">
        <v>0</v>
      </c>
      <c r="EG972">
        <v>0</v>
      </c>
      <c r="EH972" s="143">
        <v>0</v>
      </c>
      <c r="EI972" s="143">
        <v>0</v>
      </c>
      <c r="EJ972">
        <v>0</v>
      </c>
      <c r="EK972">
        <v>1</v>
      </c>
      <c r="EL972" s="143">
        <v>0</v>
      </c>
      <c r="EM972" s="143">
        <v>0</v>
      </c>
      <c r="EN972" s="2">
        <v>0</v>
      </c>
      <c r="EP972" t="str">
        <f>IF(AND(AND(AND(OR($EC972=1,$EB972=1),OR($EH972=1,$EF972=1)),SUM($EA972:$EE972,$EK972)&gt;=3),SUM($EF972:$EJ972)&gt;=2),"Whole sector approach","")</f>
        <v/>
      </c>
      <c r="EQ972" t="str">
        <f>IF(AND(AND(OR($EC972=1,$EB972=1),AND($EH972=0,$EF972=0)),SUM($EA972:$EE972,$EK972)&gt;=4),"Ecosystem approach","")</f>
        <v>Ecosystem approach</v>
      </c>
      <c r="ER972" s="2" t="str">
        <f>IF(AND(AND(AND($EC972=0,$EB972=0),OR($EH972=1,$EF972=1)),SUM($EG972:$EJ972)&gt;=2),"Technology approach","")</f>
        <v/>
      </c>
      <c r="ES972" t="str">
        <f>IF(AND($EC972+$EB972+$EE972+$EA972+$ED972+$EG972=0,$N972="included"),"C neutral forest and HWP assumption","")</f>
        <v/>
      </c>
      <c r="ET972" t="str">
        <f>IF(AND(AND(AND(AND($EC972=1,$EB972+$EA972+$EG972&gt;=1),$EF972=1),$EH972+$EI972+$ED972+$EE972&gt;=2),$N972="included"),"All C pools assumption","")</f>
        <v/>
      </c>
      <c r="EU972" t="str">
        <f>IF(AND($ED972+$EE972+$EI972+$EH972+$EF972=0,$N972="included"),"In-situ only assumption","")</f>
        <v/>
      </c>
      <c r="EW972" t="s">
        <v>2958</v>
      </c>
      <c r="EY972" t="str">
        <f>IF(ISNUMBER(BW972),IF(ABS(BW972-[6]QC_indicators!$B$2)&gt;3*[6]QC_indicators!$C$2,"C ratio",IF(ISNUMBER(CA972),IF(ABS(CA972-[6]QC_indicators!$B$1)&gt;3*[6]QC_indicators!$C$1,"DF","no"))),IF(ISNUMBER(CA972),IF(ABS(CA972-[6]QC_indicators!$B$1)&gt;3*[6]QC_indicators!$C$1,"DF","no")))</f>
        <v>no</v>
      </c>
      <c r="FA972" t="str">
        <f>IF(LEN($CY972)=0,"",IF(AND($CY972&lt;(-0.05),$ES972="C neutral forest and HWP assumption"),"Cneutral paradox",IF(AND($CY972&gt;0.05,$EU972="In-situ only assumption"),"In-situ only paradox","")))</f>
        <v/>
      </c>
      <c r="FD972" s="260" t="s">
        <v>2948</v>
      </c>
    </row>
    <row r="973" spans="1:161" ht="15" hidden="1" customHeight="1">
      <c r="A973" s="1" t="s">
        <v>1161</v>
      </c>
      <c r="B973" t="s">
        <v>1209</v>
      </c>
      <c r="C973" t="s">
        <v>1210</v>
      </c>
      <c r="D973" t="s">
        <v>1211</v>
      </c>
      <c r="E973" t="s">
        <v>1212</v>
      </c>
      <c r="F973" t="s">
        <v>1213</v>
      </c>
      <c r="G973" t="s">
        <v>1167</v>
      </c>
      <c r="H973" t="s">
        <v>254</v>
      </c>
      <c r="I973">
        <v>2016</v>
      </c>
      <c r="J973">
        <v>27</v>
      </c>
      <c r="K973" t="s">
        <v>1214</v>
      </c>
      <c r="M973" t="str">
        <f>LEFT($D973,FIND(",",$D973)-1)&amp;"_"&amp;I973&amp;L973</f>
        <v>Braun_2016</v>
      </c>
      <c r="N973" t="s">
        <v>222</v>
      </c>
      <c r="O973" s="145" t="s">
        <v>223</v>
      </c>
      <c r="Q973" t="s">
        <v>256</v>
      </c>
      <c r="R973" s="251" t="s">
        <v>225</v>
      </c>
      <c r="S973" s="1" t="s">
        <v>1221</v>
      </c>
      <c r="T973" t="s">
        <v>1216</v>
      </c>
      <c r="U973" t="s">
        <v>1223</v>
      </c>
      <c r="V973" s="253">
        <v>0</v>
      </c>
      <c r="W973" s="253">
        <v>0</v>
      </c>
      <c r="X973">
        <v>0</v>
      </c>
      <c r="Y973">
        <v>0</v>
      </c>
      <c r="Z973">
        <v>0</v>
      </c>
      <c r="AA973">
        <v>0</v>
      </c>
      <c r="AB973">
        <v>0</v>
      </c>
      <c r="AC973">
        <v>0</v>
      </c>
      <c r="AD973">
        <v>0</v>
      </c>
      <c r="AE973">
        <v>0</v>
      </c>
      <c r="AF973">
        <v>0</v>
      </c>
      <c r="AG973">
        <v>0</v>
      </c>
      <c r="AH973">
        <v>1</v>
      </c>
      <c r="AI973">
        <v>0</v>
      </c>
      <c r="AJ973">
        <v>0</v>
      </c>
      <c r="AK973">
        <v>0</v>
      </c>
      <c r="AL973">
        <v>0</v>
      </c>
      <c r="AM973">
        <v>0</v>
      </c>
      <c r="AN973">
        <v>0</v>
      </c>
      <c r="AO973">
        <v>0</v>
      </c>
      <c r="AP973">
        <v>0</v>
      </c>
      <c r="AQ973">
        <v>0</v>
      </c>
      <c r="AR973">
        <v>0</v>
      </c>
      <c r="AS973">
        <v>0</v>
      </c>
      <c r="AT973">
        <v>0</v>
      </c>
      <c r="AU973">
        <v>0</v>
      </c>
      <c r="AV973">
        <v>0</v>
      </c>
      <c r="AW973">
        <v>0</v>
      </c>
      <c r="AX973">
        <v>0</v>
      </c>
      <c r="AY973">
        <v>0</v>
      </c>
      <c r="AZ973" s="141">
        <f>COUNTIF(X973:AY973,"&lt;&gt;0")</f>
        <v>1</v>
      </c>
      <c r="BA973" s="141">
        <f>COUNTIF(X973:AN973,"&lt;&gt;0")</f>
        <v>1</v>
      </c>
      <c r="BB973">
        <f>COUNTIF(X973:AE973,"&lt;&gt;0")</f>
        <v>0</v>
      </c>
      <c r="BC973">
        <f>COUNTIF(AF973:AK973,"&lt;&gt;0")</f>
        <v>1</v>
      </c>
      <c r="BD973">
        <f>COUNTIF(AL973:AN973,"&lt;&gt;0")</f>
        <v>0</v>
      </c>
      <c r="BE973">
        <f>COUNTIF(AU973:AY973,"&lt;&gt;0")</f>
        <v>0</v>
      </c>
      <c r="BF973">
        <f>COUNTIF(AO973:AT973,"&lt;&gt;0")</f>
        <v>0</v>
      </c>
      <c r="BG973" t="str">
        <f t="array" ref="BG973">IF(BA973=1,INDEX($X$7:$AN$7,MATCH(TRUE,INDEX($X973:$AY973&lt;&gt;0,),0)),IF(BA973=0,INDEX($AO$7:$AY$7,MATCH(1,$AO973:$AY973,0)),IF(BH973="Multiple strategies","mixed drivers",IF(BH973="Supply chain","multiple supply","multiple silviculture"))))</f>
        <v>supply chain organization</v>
      </c>
      <c r="BH973" s="2" t="str" cm="1">
        <f t="array" ref="BH973">IF(COUNTIF(BB973:BD973,"&lt;&gt;0")=1,INDEX($X$4:$AY$4,MATCH(TRUE,INDEX($X973:$AY973&lt;&gt;0,),0)),IF(COUNTIF(BB973:BD973,"&lt;&gt;0")=0,INDEX($AO$4:$AY$4,MATCH(1,$AO973:$AY973,0)),"Multiple strategies"))</f>
        <v>Supply chain</v>
      </c>
      <c r="BI973" s="1" t="s">
        <v>229</v>
      </c>
      <c r="BJ973" t="s">
        <v>1217</v>
      </c>
      <c r="BK973" s="256" t="s">
        <v>2952</v>
      </c>
      <c r="BL973" t="s">
        <v>1218</v>
      </c>
      <c r="BM973">
        <v>1.1674521913429727</v>
      </c>
      <c r="BN973">
        <v>1.8344709897610794</v>
      </c>
      <c r="BO973">
        <f>BN973/BM973</f>
        <v>1.5713457076566064</v>
      </c>
      <c r="BP973">
        <f>BN973-BM973</f>
        <v>0.66701879841810663</v>
      </c>
      <c r="BQ973">
        <f>BP973*10^9</f>
        <v>667018798.41810668</v>
      </c>
      <c r="BR973" t="s">
        <v>232</v>
      </c>
      <c r="BS973" s="256" t="s">
        <v>2956</v>
      </c>
      <c r="BT973" t="s">
        <v>1219</v>
      </c>
      <c r="BU973" s="260">
        <v>1.2013651877133071</v>
      </c>
      <c r="BV973" s="260">
        <v>1.3651877133106005E-2</v>
      </c>
      <c r="BW973" s="144">
        <f>IFERROR(BV973/BU973,"")</f>
        <v>1.1363636363636565E-2</v>
      </c>
      <c r="BX973">
        <f>BV973-BU973</f>
        <v>-1.1877133105802011</v>
      </c>
      <c r="BZ973">
        <f>BX973*10^9</f>
        <v>-1187713310.5802011</v>
      </c>
      <c r="CA973">
        <f>IFERROR(BZ973/BQ973,"")</f>
        <v>-1.7806294416243844</v>
      </c>
      <c r="CB973" s="143">
        <v>0</v>
      </c>
      <c r="CC973" s="143">
        <v>0</v>
      </c>
      <c r="CD973" s="143">
        <v>0</v>
      </c>
      <c r="CE973" s="143">
        <v>0</v>
      </c>
      <c r="CF973" s="143">
        <v>0</v>
      </c>
      <c r="CG973" s="143">
        <v>0</v>
      </c>
      <c r="CH973" s="143">
        <v>0</v>
      </c>
      <c r="CI973" s="143">
        <v>0</v>
      </c>
      <c r="CJ973" s="143">
        <v>0</v>
      </c>
      <c r="CK973" s="143">
        <v>0</v>
      </c>
      <c r="CL973" s="143">
        <v>0</v>
      </c>
      <c r="CM973" s="143">
        <v>0</v>
      </c>
      <c r="CN973" s="143">
        <v>0</v>
      </c>
      <c r="CO973">
        <v>0</v>
      </c>
      <c r="CP973" t="str">
        <f>IF($BN973&lt;$BM973,"refNeedCorrection","refOK")</f>
        <v>refOK</v>
      </c>
      <c r="CQ973">
        <f>IF($CP973="refOK",$BM973,$BN973)</f>
        <v>1.1674521913429727</v>
      </c>
      <c r="CR973">
        <f>IF($CP973="refOK",$BN973,$BM973)</f>
        <v>1.8344709897610794</v>
      </c>
      <c r="CS973">
        <f>IF($CP973="refOK",$BQ973,-$BQ973)</f>
        <v>667018798.41810668</v>
      </c>
      <c r="CT973">
        <f>IF(BI973="Roundwood",$CS973/2,$CS973)</f>
        <v>667018798.41810668</v>
      </c>
      <c r="CU973">
        <f>IF($CP973="refOK",$BU973,$BV973)*IF($BR973="Emissions positive",-1,1)</f>
        <v>1.2013651877133071</v>
      </c>
      <c r="CV973">
        <f>IF($CP973="refOK",$BV973,$BU973)*IF($BR973="Emissions positive",-1,1)</f>
        <v>1.3651877133106005E-2</v>
      </c>
      <c r="CW973">
        <f>IF($CP973="refNeedCorrection",-BZ973,BZ973)*IF($BR973="Emissions positive",-1,1)</f>
        <v>-1187713310.5802011</v>
      </c>
      <c r="CX973">
        <f>IFERROR($CW973/$CS973,"")</f>
        <v>-1.7806294416243844</v>
      </c>
      <c r="CY973">
        <f>IFERROR($CW973/$CS973,"")</f>
        <v>-1.7806294416243844</v>
      </c>
      <c r="CZ973">
        <f>IFERROR($CW973/$CT973,"")</f>
        <v>-1.7806294416243844</v>
      </c>
      <c r="DA973" s="2">
        <f>IFERROR((CV973-CU973)/ABS(CU973),"")</f>
        <v>-0.98863636363636342</v>
      </c>
      <c r="DB973" s="1" t="s">
        <v>1078</v>
      </c>
      <c r="DC973" t="str">
        <f>IF(OR($DB973="prd",$DB973="std",$DB973="cit"),"loc",IF(OR($DB973="eur",$DB973="reg",$DB973="coy"),"reg",$DB973))</f>
        <v>reg</v>
      </c>
      <c r="DD973" t="s">
        <v>653</v>
      </c>
      <c r="DE973">
        <v>2010</v>
      </c>
      <c r="DF973">
        <v>2100</v>
      </c>
      <c r="DG973">
        <f>DF973-DE973</f>
        <v>90</v>
      </c>
      <c r="DH973" t="str">
        <f>IF(DG973=0,"0",IF(AND(DG973&gt;=1,DG973&lt;=30),"1-30",IF(AND(DG973&gt;30,DG973&lt;=70),"31-70",IF(AND(DG973&gt;70,DG973&lt;=100),"71-100",IF(DG973&gt;100,"+100")))))</f>
        <v>71-100</v>
      </c>
      <c r="DI973">
        <v>0</v>
      </c>
      <c r="DJ973">
        <v>1</v>
      </c>
      <c r="DK973">
        <v>1</v>
      </c>
      <c r="DL973">
        <v>1</v>
      </c>
      <c r="DN973">
        <f>SUM(DI973:DL973)</f>
        <v>3</v>
      </c>
      <c r="DO973" t="str">
        <f>IF(DN973=1,INDEX($DI$7:$DL$7,MATCH(1,$DI973:$DL973,0)),"mixedProduct")</f>
        <v>mixedProduct</v>
      </c>
      <c r="DP973">
        <f>IF(DI973=1,DP$7,0)</f>
        <v>0</v>
      </c>
      <c r="DQ973" t="str">
        <f>IF(DJ973=1,DQ$7,0)</f>
        <v>Energy</v>
      </c>
      <c r="DR973" t="str">
        <f>IF(DK973=1,DR$7,0)</f>
        <v>Pulp/Paper</v>
      </c>
      <c r="DS973" t="str">
        <f>IF(DL973=1,DS$7,0)</f>
        <v>Timber</v>
      </c>
      <c r="DT973">
        <v>1</v>
      </c>
      <c r="DU973" s="143">
        <v>0</v>
      </c>
      <c r="DV973" s="143">
        <v>0</v>
      </c>
      <c r="DW973" s="143">
        <v>0</v>
      </c>
      <c r="DX973">
        <v>0</v>
      </c>
      <c r="DY973">
        <f>SUM(DT973:DU973)</f>
        <v>1</v>
      </c>
      <c r="DZ973" s="143" t="str">
        <f>IF(DT973=1,"self-calculated DF",IF(DU973=1,"external DF used","explicit C balance"))</f>
        <v>self-calculated DF</v>
      </c>
      <c r="EA973">
        <v>1</v>
      </c>
      <c r="EB973" s="143">
        <v>1</v>
      </c>
      <c r="EC973" s="143">
        <v>1</v>
      </c>
      <c r="ED973" s="143">
        <v>1</v>
      </c>
      <c r="EE973">
        <v>1</v>
      </c>
      <c r="EF973" s="141">
        <v>0</v>
      </c>
      <c r="EG973">
        <v>0</v>
      </c>
      <c r="EH973" s="143">
        <v>0</v>
      </c>
      <c r="EI973" s="143">
        <v>0</v>
      </c>
      <c r="EJ973">
        <v>0</v>
      </c>
      <c r="EK973">
        <v>1</v>
      </c>
      <c r="EL973" s="143">
        <v>0</v>
      </c>
      <c r="EM973" s="143">
        <v>0</v>
      </c>
      <c r="EN973" s="2">
        <v>0</v>
      </c>
      <c r="EP973" t="str">
        <f>IF(AND(AND(AND(OR($EC973=1,$EB973=1),OR($EH973=1,$EF973=1)),SUM($EA973:$EE973,$EK973)&gt;=3),SUM($EF973:$EJ973)&gt;=2),"Whole sector approach","")</f>
        <v/>
      </c>
      <c r="EQ973" t="str">
        <f>IF(AND(AND(OR($EC973=1,$EB973=1),AND($EH973=0,$EF973=0)),SUM($EA973:$EE973,$EK973)&gt;=4),"Ecosystem approach","")</f>
        <v>Ecosystem approach</v>
      </c>
      <c r="ER973" s="2" t="str">
        <f>IF(AND(AND(AND($EC973=0,$EB973=0),OR($EH973=1,$EF973=1)),SUM($EG973:$EJ973)&gt;=2),"Technology approach","")</f>
        <v/>
      </c>
      <c r="ES973" t="str">
        <f>IF(AND($EC973+$EB973+$EE973+$EA973+$ED973+$EG973=0,$N973="included"),"C neutral forest and HWP assumption","")</f>
        <v/>
      </c>
      <c r="ET973" t="str">
        <f>IF(AND(AND(AND(AND($EC973=1,$EB973+$EA973+$EG973&gt;=1),$EF973=1),$EH973+$EI973+$ED973+$EE973&gt;=2),$N973="included"),"All C pools assumption","")</f>
        <v/>
      </c>
      <c r="EU973" t="str">
        <f>IF(AND($ED973+$EE973+$EI973+$EH973+$EF973=0,$N973="included"),"In-situ only assumption","")</f>
        <v/>
      </c>
      <c r="EW973" t="s">
        <v>2958</v>
      </c>
      <c r="EY973" t="str">
        <f>IF(ISNUMBER(BW973),IF(ABS(BW973-[6]QC_indicators!$B$2)&gt;3*[6]QC_indicators!$C$2,"C ratio",IF(ISNUMBER(CA973),IF(ABS(CA973-[6]QC_indicators!$B$1)&gt;3*[6]QC_indicators!$C$1,"DF","no"))),IF(ISNUMBER(CA973),IF(ABS(CA973-[6]QC_indicators!$B$1)&gt;3*[6]QC_indicators!$C$1,"DF","no")))</f>
        <v>no</v>
      </c>
      <c r="FA973" t="str">
        <f>IF(LEN($CY973)=0,"",IF(AND($CY973&lt;(-0.05),$ES973="C neutral forest and HWP assumption"),"Cneutral paradox",IF(AND($CY973&gt;0.05,$EU973="In-situ only assumption"),"In-situ only paradox","")))</f>
        <v/>
      </c>
      <c r="FD973" s="260" t="s">
        <v>2948</v>
      </c>
    </row>
    <row r="974" spans="1:161" ht="15" customHeight="1">
      <c r="A974" s="1" t="s">
        <v>1161</v>
      </c>
      <c r="B974" t="s">
        <v>1209</v>
      </c>
      <c r="C974" t="s">
        <v>1210</v>
      </c>
      <c r="D974" t="s">
        <v>1211</v>
      </c>
      <c r="E974" t="s">
        <v>1212</v>
      </c>
      <c r="F974" t="s">
        <v>1213</v>
      </c>
      <c r="G974" t="s">
        <v>1167</v>
      </c>
      <c r="H974" t="s">
        <v>254</v>
      </c>
      <c r="I974">
        <v>2016</v>
      </c>
      <c r="J974">
        <v>27</v>
      </c>
      <c r="K974" t="s">
        <v>1214</v>
      </c>
      <c r="M974" t="str">
        <f>LEFT($D974,FIND(",",$D974)-1)&amp;"_"&amp;I974&amp;L974</f>
        <v>Braun_2016</v>
      </c>
      <c r="N974" t="s">
        <v>222</v>
      </c>
      <c r="O974" s="145" t="s">
        <v>223</v>
      </c>
      <c r="Q974" t="s">
        <v>256</v>
      </c>
      <c r="R974" s="251" t="s">
        <v>225</v>
      </c>
      <c r="S974" s="1" t="s">
        <v>1221</v>
      </c>
      <c r="T974" t="s">
        <v>1216</v>
      </c>
      <c r="U974" t="s">
        <v>1224</v>
      </c>
      <c r="V974" s="253">
        <v>0</v>
      </c>
      <c r="W974" s="253">
        <v>0</v>
      </c>
      <c r="X974">
        <v>0</v>
      </c>
      <c r="Y974">
        <v>0</v>
      </c>
      <c r="Z974">
        <v>0</v>
      </c>
      <c r="AA974">
        <v>0</v>
      </c>
      <c r="AB974">
        <v>0</v>
      </c>
      <c r="AC974">
        <v>0</v>
      </c>
      <c r="AD974">
        <v>0</v>
      </c>
      <c r="AE974">
        <v>0</v>
      </c>
      <c r="AF974">
        <v>0</v>
      </c>
      <c r="AG974">
        <v>0</v>
      </c>
      <c r="AH974">
        <v>1</v>
      </c>
      <c r="AI974">
        <v>0</v>
      </c>
      <c r="AJ974">
        <v>0</v>
      </c>
      <c r="AK974">
        <v>0</v>
      </c>
      <c r="AL974">
        <v>0</v>
      </c>
      <c r="AM974">
        <v>0</v>
      </c>
      <c r="AN974">
        <v>0</v>
      </c>
      <c r="AO974">
        <v>0</v>
      </c>
      <c r="AP974">
        <v>0</v>
      </c>
      <c r="AQ974">
        <v>0</v>
      </c>
      <c r="AR974">
        <v>0</v>
      </c>
      <c r="AS974">
        <v>0</v>
      </c>
      <c r="AT974">
        <v>0</v>
      </c>
      <c r="AU974">
        <v>0</v>
      </c>
      <c r="AV974">
        <v>0</v>
      </c>
      <c r="AW974">
        <v>0</v>
      </c>
      <c r="AX974">
        <v>0</v>
      </c>
      <c r="AY974">
        <v>0</v>
      </c>
      <c r="AZ974" s="141">
        <f>COUNTIF(X974:AY974,"&lt;&gt;0")</f>
        <v>1</v>
      </c>
      <c r="BA974" s="141">
        <f>COUNTIF(X974:AN974,"&lt;&gt;0")</f>
        <v>1</v>
      </c>
      <c r="BB974">
        <f>COUNTIF(X974:AE974,"&lt;&gt;0")</f>
        <v>0</v>
      </c>
      <c r="BC974">
        <f>COUNTIF(AF974:AK974,"&lt;&gt;0")</f>
        <v>1</v>
      </c>
      <c r="BD974">
        <f>COUNTIF(AL974:AN974,"&lt;&gt;0")</f>
        <v>0</v>
      </c>
      <c r="BE974">
        <f>COUNTIF(AU974:AY974,"&lt;&gt;0")</f>
        <v>0</v>
      </c>
      <c r="BF974">
        <f>COUNTIF(AO974:AT974,"&lt;&gt;0")</f>
        <v>0</v>
      </c>
      <c r="BG974" t="str">
        <f t="array" ref="BG974">IF(BA974=1,INDEX($X$7:$AN$7,MATCH(TRUE,INDEX($X974:$AY974&lt;&gt;0,),0)),IF(BA974=0,INDEX($AO$7:$AY$7,MATCH(1,$AO974:$AY974,0)),IF(BH974="Multiple strategies","mixed drivers",IF(BH974="Supply chain","multiple supply","multiple silviculture"))))</f>
        <v>supply chain organization</v>
      </c>
      <c r="BH974" s="2" t="str" cm="1">
        <f t="array" ref="BH974">IF(COUNTIF(BB974:BD974,"&lt;&gt;0")=1,INDEX($X$4:$AY$4,MATCH(TRUE,INDEX($X974:$AY974&lt;&gt;0,),0)),IF(COUNTIF(BB974:BD974,"&lt;&gt;0")=0,INDEX($AO$4:$AY$4,MATCH(1,$AO974:$AY974,0)),"Multiple strategies"))</f>
        <v>Supply chain</v>
      </c>
      <c r="BI974" s="1" t="s">
        <v>229</v>
      </c>
      <c r="BJ974" t="s">
        <v>1217</v>
      </c>
      <c r="BK974" s="256" t="s">
        <v>2952</v>
      </c>
      <c r="BL974" t="s">
        <v>1218</v>
      </c>
      <c r="BM974">
        <v>1.1674521913429727</v>
      </c>
      <c r="BN974">
        <v>1.8900610197538394</v>
      </c>
      <c r="BO974">
        <f>BN974/BM974</f>
        <v>1.6189622442522613</v>
      </c>
      <c r="BP974">
        <f>BN974-BM974</f>
        <v>0.72260882841086671</v>
      </c>
      <c r="BQ974">
        <f>BP974*10^9</f>
        <v>722608828.41086674</v>
      </c>
      <c r="BR974" t="s">
        <v>232</v>
      </c>
      <c r="BS974" s="256" t="s">
        <v>2955</v>
      </c>
      <c r="BT974" t="s">
        <v>1219</v>
      </c>
      <c r="BU974" s="260">
        <v>1.0255972696245701</v>
      </c>
      <c r="BV974" s="260">
        <v>-0.26450511945392402</v>
      </c>
      <c r="BW974" s="144">
        <f>IFERROR(BV974/BU974,"")</f>
        <v>-0.25790349417637265</v>
      </c>
      <c r="BX974">
        <f>BV974-BU974</f>
        <v>-1.2901023890784942</v>
      </c>
      <c r="BZ974">
        <f>BX974*10^9</f>
        <v>-1290102389.0784941</v>
      </c>
      <c r="CA974">
        <f>IFERROR(BZ974/BQ974,"")</f>
        <v>-1.7853399216220995</v>
      </c>
      <c r="CB974" s="143">
        <v>0</v>
      </c>
      <c r="CC974" s="143">
        <v>0</v>
      </c>
      <c r="CD974" s="143">
        <v>0</v>
      </c>
      <c r="CE974" s="143">
        <v>0</v>
      </c>
      <c r="CF974" s="143">
        <v>0</v>
      </c>
      <c r="CG974" s="143">
        <v>0</v>
      </c>
      <c r="CH974" s="143">
        <v>0</v>
      </c>
      <c r="CI974" s="143">
        <v>0</v>
      </c>
      <c r="CJ974" s="143">
        <v>0</v>
      </c>
      <c r="CK974" s="143">
        <v>0</v>
      </c>
      <c r="CL974" s="143">
        <v>0</v>
      </c>
      <c r="CM974" s="143">
        <v>0</v>
      </c>
      <c r="CN974" s="143">
        <v>0</v>
      </c>
      <c r="CO974">
        <v>0</v>
      </c>
      <c r="CP974" t="str">
        <f>IF($BN974&lt;$BM974,"refNeedCorrection","refOK")</f>
        <v>refOK</v>
      </c>
      <c r="CQ974">
        <f>IF($CP974="refOK",$BM974,$BN974)</f>
        <v>1.1674521913429727</v>
      </c>
      <c r="CR974">
        <f>IF($CP974="refOK",$BN974,$BM974)</f>
        <v>1.8900610197538394</v>
      </c>
      <c r="CS974">
        <f>IF($CP974="refOK",$BQ974,-$BQ974)</f>
        <v>722608828.41086674</v>
      </c>
      <c r="CT974">
        <f>IF(BI974="Roundwood",$CS974/2,$CS974)</f>
        <v>722608828.41086674</v>
      </c>
      <c r="CU974">
        <f>IF($CP974="refOK",$BU974,$BV974)*IF($BR974="Emissions positive",-1,1)</f>
        <v>1.0255972696245701</v>
      </c>
      <c r="CV974">
        <f>IF($CP974="refOK",$BV974,$BU974)*IF($BR974="Emissions positive",-1,1)</f>
        <v>-0.26450511945392402</v>
      </c>
      <c r="CW974">
        <f>IF($CP974="refNeedCorrection",-BZ974,BZ974)*IF($BR974="Emissions positive",-1,1)</f>
        <v>-1290102389.0784941</v>
      </c>
      <c r="CX974">
        <f>IFERROR($CW974/$CS974,"")</f>
        <v>-1.7853399216220995</v>
      </c>
      <c r="CY974">
        <f>IFERROR($CW974/$CS974,"")</f>
        <v>-1.7853399216220995</v>
      </c>
      <c r="CZ974">
        <f>IFERROR($CW974/$CT974,"")</f>
        <v>-1.7853399216220995</v>
      </c>
      <c r="DA974" s="2">
        <f>IFERROR((CV974-CU974)/ABS(CU974),"")</f>
        <v>-1.2579034941763727</v>
      </c>
      <c r="DB974" s="1" t="s">
        <v>1078</v>
      </c>
      <c r="DC974" t="str">
        <f>IF(OR($DB974="prd",$DB974="std",$DB974="cit"),"loc",IF(OR($DB974="eur",$DB974="reg",$DB974="coy"),"reg",$DB974))</f>
        <v>reg</v>
      </c>
      <c r="DD974" t="s">
        <v>653</v>
      </c>
      <c r="DE974">
        <v>2010</v>
      </c>
      <c r="DF974">
        <v>2100</v>
      </c>
      <c r="DG974">
        <f>DF974-DE974</f>
        <v>90</v>
      </c>
      <c r="DH974" t="str">
        <f>IF(DG974=0,"0",IF(AND(DG974&gt;=1,DG974&lt;=30),"1-30",IF(AND(DG974&gt;30,DG974&lt;=70),"31-70",IF(AND(DG974&gt;70,DG974&lt;=100),"71-100",IF(DG974&gt;100,"+100")))))</f>
        <v>71-100</v>
      </c>
      <c r="DI974">
        <v>0</v>
      </c>
      <c r="DJ974">
        <v>1</v>
      </c>
      <c r="DK974">
        <v>1</v>
      </c>
      <c r="DL974">
        <v>1</v>
      </c>
      <c r="DN974">
        <f>SUM(DI974:DL974)</f>
        <v>3</v>
      </c>
      <c r="DO974" t="str">
        <f>IF(DN974=1,INDEX($DI$7:$DL$7,MATCH(1,$DI974:$DL974,0)),"mixedProduct")</f>
        <v>mixedProduct</v>
      </c>
      <c r="DP974">
        <f>IF(DI974=1,DP$7,0)</f>
        <v>0</v>
      </c>
      <c r="DQ974" t="str">
        <f>IF(DJ974=1,DQ$7,0)</f>
        <v>Energy</v>
      </c>
      <c r="DR974" t="str">
        <f>IF(DK974=1,DR$7,0)</f>
        <v>Pulp/Paper</v>
      </c>
      <c r="DS974" t="str">
        <f>IF(DL974=1,DS$7,0)</f>
        <v>Timber</v>
      </c>
      <c r="DT974">
        <v>1</v>
      </c>
      <c r="DU974" s="143">
        <v>0</v>
      </c>
      <c r="DV974" s="143">
        <v>0</v>
      </c>
      <c r="DW974" s="143">
        <v>0</v>
      </c>
      <c r="DX974">
        <v>0</v>
      </c>
      <c r="DY974">
        <f>SUM(DT974:DU974)</f>
        <v>1</v>
      </c>
      <c r="DZ974" s="143" t="str">
        <f>IF(DT974=1,"self-calculated DF",IF(DU974=1,"external DF used","explicit C balance"))</f>
        <v>self-calculated DF</v>
      </c>
      <c r="EA974">
        <v>1</v>
      </c>
      <c r="EB974" s="143">
        <v>1</v>
      </c>
      <c r="EC974" s="143">
        <v>1</v>
      </c>
      <c r="ED974" s="143">
        <v>0</v>
      </c>
      <c r="EE974">
        <v>0</v>
      </c>
      <c r="EF974" s="141">
        <v>0</v>
      </c>
      <c r="EG974">
        <v>0</v>
      </c>
      <c r="EH974" s="143">
        <v>0</v>
      </c>
      <c r="EI974" s="143">
        <v>0</v>
      </c>
      <c r="EJ974">
        <v>0</v>
      </c>
      <c r="EK974">
        <v>1</v>
      </c>
      <c r="EL974" s="143">
        <v>0</v>
      </c>
      <c r="EM974" s="143">
        <v>0</v>
      </c>
      <c r="EN974" s="2">
        <v>0</v>
      </c>
      <c r="EP974" t="str">
        <f>IF(AND(AND(AND(OR($EC974=1,$EB974=1),OR($EH974=1,$EF974=1)),SUM($EA974:$EE974,$EK974)&gt;=3),SUM($EF974:$EJ974)&gt;=2),"Whole sector approach","")</f>
        <v/>
      </c>
      <c r="EQ974" t="str">
        <f>IF(AND(AND(OR($EC974=1,$EB974=1),AND($EH974=0,$EF974=0)),SUM($EA974:$EE974,$EK974)&gt;=4),"Ecosystem approach","")</f>
        <v>Ecosystem approach</v>
      </c>
      <c r="ER974" s="2" t="str">
        <f>IF(AND(AND(AND($EC974=0,$EB974=0),OR($EH974=1,$EF974=1)),SUM($EG974:$EJ974)&gt;=2),"Technology approach","")</f>
        <v/>
      </c>
      <c r="ES974" t="str">
        <f>IF(AND($EC974+$EB974+$EE974+$EA974+$ED974+$EG974=0,$N974="included"),"C neutral forest and HWP assumption","")</f>
        <v/>
      </c>
      <c r="ET974" t="str">
        <f>IF(AND(AND(AND(AND($EC974=1,$EB974+$EA974+$EG974&gt;=1),$EF974=1),$EH974+$EI974+$ED974+$EE974&gt;=2),$N974="included"),"All C pools assumption","")</f>
        <v/>
      </c>
      <c r="EU974" t="str">
        <f>IF(AND($ED974+$EE974+$EI974+$EH974+$EF974=0,$N974="included"),"In-situ only assumption","")</f>
        <v>In-situ only assumption</v>
      </c>
      <c r="EW974" t="s">
        <v>2958</v>
      </c>
      <c r="EY974" t="str">
        <f>IF(ISNUMBER(BW974),IF(ABS(BW974-[6]QC_indicators!$B$2)&gt;3*[6]QC_indicators!$C$2,"C ratio",IF(ISNUMBER(CA974),IF(ABS(CA974-[6]QC_indicators!$B$1)&gt;3*[6]QC_indicators!$C$1,"DF","no"))),IF(ISNUMBER(CA974),IF(ABS(CA974-[6]QC_indicators!$B$1)&gt;3*[6]QC_indicators!$C$1,"DF","no")))</f>
        <v>no</v>
      </c>
      <c r="FA974" t="str">
        <f>IF(LEN($CY974)=0,"",IF(AND($CY974&lt;(-0.05),$ES974="C neutral forest and HWP assumption"),"Cneutral paradox",IF(AND($CY974&gt;0.05,$EU974="In-situ only assumption"),"In-situ only paradox","")))</f>
        <v/>
      </c>
      <c r="FD974" s="260" t="s">
        <v>2948</v>
      </c>
    </row>
    <row r="975" spans="1:161" ht="85">
      <c r="A975" s="1" t="s">
        <v>1161</v>
      </c>
      <c r="B975" t="s">
        <v>1209</v>
      </c>
      <c r="C975" t="s">
        <v>1210</v>
      </c>
      <c r="D975" t="s">
        <v>1211</v>
      </c>
      <c r="E975" t="s">
        <v>1212</v>
      </c>
      <c r="F975" t="s">
        <v>1213</v>
      </c>
      <c r="G975" t="s">
        <v>1167</v>
      </c>
      <c r="H975" t="s">
        <v>254</v>
      </c>
      <c r="I975">
        <v>2016</v>
      </c>
      <c r="J975">
        <v>27</v>
      </c>
      <c r="K975" t="s">
        <v>1214</v>
      </c>
      <c r="M975" t="str">
        <f>LEFT($D975,FIND(",",$D975)-1)&amp;"_"&amp;I975&amp;L975</f>
        <v>Braun_2016</v>
      </c>
      <c r="N975" t="s">
        <v>222</v>
      </c>
      <c r="O975" s="145" t="s">
        <v>223</v>
      </c>
      <c r="Q975" t="s">
        <v>256</v>
      </c>
      <c r="R975" s="251" t="s">
        <v>225</v>
      </c>
      <c r="S975" s="1" t="s">
        <v>1221</v>
      </c>
      <c r="T975" t="s">
        <v>1216</v>
      </c>
      <c r="U975" t="s">
        <v>1223</v>
      </c>
      <c r="V975" s="253">
        <v>0</v>
      </c>
      <c r="W975" s="253">
        <v>0</v>
      </c>
      <c r="X975">
        <v>0</v>
      </c>
      <c r="Y975">
        <v>0</v>
      </c>
      <c r="Z975">
        <v>0</v>
      </c>
      <c r="AA975">
        <v>0</v>
      </c>
      <c r="AB975">
        <v>0</v>
      </c>
      <c r="AC975">
        <v>0</v>
      </c>
      <c r="AD975">
        <v>0</v>
      </c>
      <c r="AE975">
        <v>0</v>
      </c>
      <c r="AF975">
        <v>0</v>
      </c>
      <c r="AG975">
        <v>0</v>
      </c>
      <c r="AH975">
        <v>1</v>
      </c>
      <c r="AI975">
        <v>0</v>
      </c>
      <c r="AJ975">
        <v>0</v>
      </c>
      <c r="AK975">
        <v>0</v>
      </c>
      <c r="AL975">
        <v>0</v>
      </c>
      <c r="AM975">
        <v>0</v>
      </c>
      <c r="AN975">
        <v>0</v>
      </c>
      <c r="AO975">
        <v>0</v>
      </c>
      <c r="AP975">
        <v>0</v>
      </c>
      <c r="AQ975">
        <v>0</v>
      </c>
      <c r="AR975">
        <v>0</v>
      </c>
      <c r="AS975">
        <v>0</v>
      </c>
      <c r="AT975">
        <v>0</v>
      </c>
      <c r="AU975">
        <v>0</v>
      </c>
      <c r="AV975">
        <v>0</v>
      </c>
      <c r="AW975">
        <v>0</v>
      </c>
      <c r="AX975">
        <v>0</v>
      </c>
      <c r="AY975">
        <v>0</v>
      </c>
      <c r="AZ975" s="141">
        <f>COUNTIF(X975:AY975,"&lt;&gt;0")</f>
        <v>1</v>
      </c>
      <c r="BA975" s="141">
        <f>COUNTIF(X975:AN975,"&lt;&gt;0")</f>
        <v>1</v>
      </c>
      <c r="BB975">
        <f>COUNTIF(X975:AE975,"&lt;&gt;0")</f>
        <v>0</v>
      </c>
      <c r="BC975">
        <f>COUNTIF(AF975:AK975,"&lt;&gt;0")</f>
        <v>1</v>
      </c>
      <c r="BD975">
        <f>COUNTIF(AL975:AN975,"&lt;&gt;0")</f>
        <v>0</v>
      </c>
      <c r="BE975">
        <f>COUNTIF(AU975:AY975,"&lt;&gt;0")</f>
        <v>0</v>
      </c>
      <c r="BF975">
        <f>COUNTIF(AO975:AT975,"&lt;&gt;0")</f>
        <v>0</v>
      </c>
      <c r="BG975" t="str">
        <f t="array" ref="BG975">IF(BA975=1,INDEX($X$7:$AN$7,MATCH(TRUE,INDEX($X975:$AY975&lt;&gt;0,),0)),IF(BA975=0,INDEX($AO$7:$AY$7,MATCH(1,$AO975:$AY975,0)),IF(BH975="Multiple strategies","mixed drivers",IF(BH975="Supply chain","multiple supply","multiple silviculture"))))</f>
        <v>supply chain organization</v>
      </c>
      <c r="BH975" s="2" t="str" cm="1">
        <f t="array" ref="BH975">IF(COUNTIF(BB975:BD975,"&lt;&gt;0")=1,INDEX($X$4:$AY$4,MATCH(TRUE,INDEX($X975:$AY975&lt;&gt;0,),0)),IF(COUNTIF(BB975:BD975,"&lt;&gt;0")=0,INDEX($AO$4:$AY$4,MATCH(1,$AO975:$AY975,0)),"Multiple strategies"))</f>
        <v>Supply chain</v>
      </c>
      <c r="BI975" s="1" t="s">
        <v>229</v>
      </c>
      <c r="BJ975" t="s">
        <v>1217</v>
      </c>
      <c r="BK975" s="256" t="s">
        <v>2952</v>
      </c>
      <c r="BL975" t="s">
        <v>1218</v>
      </c>
      <c r="BM975">
        <v>1.1674521913429727</v>
      </c>
      <c r="BN975">
        <v>1.8344709897610794</v>
      </c>
      <c r="BO975">
        <f>BN975/BM975</f>
        <v>1.5713457076566064</v>
      </c>
      <c r="BP975">
        <f>BN975-BM975</f>
        <v>0.66701879841810663</v>
      </c>
      <c r="BQ975">
        <f>BP975*10^9</f>
        <v>667018798.41810668</v>
      </c>
      <c r="BR975" t="s">
        <v>232</v>
      </c>
      <c r="BS975" s="256" t="s">
        <v>2955</v>
      </c>
      <c r="BT975" t="s">
        <v>1219</v>
      </c>
      <c r="BU975" s="260">
        <v>1.0255972696245701</v>
      </c>
      <c r="BV975" s="260">
        <v>-0.32593856655289999</v>
      </c>
      <c r="BW975" s="144">
        <f>IFERROR(BV975/BU975,"")</f>
        <v>-0.31780366056572379</v>
      </c>
      <c r="BX975">
        <f>BV975-BU975</f>
        <v>-1.3515358361774701</v>
      </c>
      <c r="BZ975">
        <f>BX975*10^9</f>
        <v>-1351535836.17747</v>
      </c>
      <c r="CA975">
        <f>IFERROR(BZ975/BQ975,"")</f>
        <v>-2.0262335025380924</v>
      </c>
      <c r="CB975" s="143">
        <v>0</v>
      </c>
      <c r="CC975" s="143">
        <v>0</v>
      </c>
      <c r="CD975" s="143">
        <v>0</v>
      </c>
      <c r="CE975" s="143">
        <v>0</v>
      </c>
      <c r="CF975" s="143">
        <v>0</v>
      </c>
      <c r="CG975" s="143">
        <v>0</v>
      </c>
      <c r="CH975" s="143">
        <v>0</v>
      </c>
      <c r="CI975" s="143">
        <v>0</v>
      </c>
      <c r="CJ975" s="143">
        <v>0</v>
      </c>
      <c r="CK975" s="143">
        <v>0</v>
      </c>
      <c r="CL975" s="143">
        <v>0</v>
      </c>
      <c r="CM975" s="143">
        <v>0</v>
      </c>
      <c r="CN975" s="143">
        <v>0</v>
      </c>
      <c r="CO975">
        <v>0</v>
      </c>
      <c r="CP975" t="str">
        <f>IF($BN975&lt;$BM975,"refNeedCorrection","refOK")</f>
        <v>refOK</v>
      </c>
      <c r="CQ975">
        <f>IF($CP975="refOK",$BM975,$BN975)</f>
        <v>1.1674521913429727</v>
      </c>
      <c r="CR975">
        <f>IF($CP975="refOK",$BN975,$BM975)</f>
        <v>1.8344709897610794</v>
      </c>
      <c r="CS975">
        <f>IF($CP975="refOK",$BQ975,-$BQ975)</f>
        <v>667018798.41810668</v>
      </c>
      <c r="CT975">
        <f>IF(BI975="Roundwood",$CS975/2,$CS975)</f>
        <v>667018798.41810668</v>
      </c>
      <c r="CU975">
        <f>IF($CP975="refOK",$BU975,$BV975)*IF($BR975="Emissions positive",-1,1)</f>
        <v>1.0255972696245701</v>
      </c>
      <c r="CV975">
        <f>IF($CP975="refOK",$BV975,$BU975)*IF($BR975="Emissions positive",-1,1)</f>
        <v>-0.32593856655289999</v>
      </c>
      <c r="CW975">
        <f>IF($CP975="refNeedCorrection",-BZ975,BZ975)*IF($BR975="Emissions positive",-1,1)</f>
        <v>-1351535836.17747</v>
      </c>
      <c r="CX975">
        <f>IFERROR($CW975/$CS975,"")</f>
        <v>-2.0262335025380924</v>
      </c>
      <c r="CY975">
        <f>IFERROR($CW975/$CS975,"")</f>
        <v>-2.0262335025380924</v>
      </c>
      <c r="CZ975">
        <f>IFERROR($CW975/$CT975,"")</f>
        <v>-2.0262335025380924</v>
      </c>
      <c r="DA975" s="2">
        <f>IFERROR((CV975-CU975)/ABS(CU975),"")</f>
        <v>-1.3178036605657237</v>
      </c>
      <c r="DB975" s="1" t="s">
        <v>1078</v>
      </c>
      <c r="DC975" t="str">
        <f>IF(OR($DB975="prd",$DB975="std",$DB975="cit"),"loc",IF(OR($DB975="eur",$DB975="reg",$DB975="coy"),"reg",$DB975))</f>
        <v>reg</v>
      </c>
      <c r="DD975" t="s">
        <v>653</v>
      </c>
      <c r="DE975">
        <v>2010</v>
      </c>
      <c r="DF975">
        <v>2100</v>
      </c>
      <c r="DG975">
        <f>DF975-DE975</f>
        <v>90</v>
      </c>
      <c r="DH975" t="str">
        <f>IF(DG975=0,"0",IF(AND(DG975&gt;=1,DG975&lt;=30),"1-30",IF(AND(DG975&gt;30,DG975&lt;=70),"31-70",IF(AND(DG975&gt;70,DG975&lt;=100),"71-100",IF(DG975&gt;100,"+100")))))</f>
        <v>71-100</v>
      </c>
      <c r="DI975">
        <v>0</v>
      </c>
      <c r="DJ975">
        <v>1</v>
      </c>
      <c r="DK975">
        <v>1</v>
      </c>
      <c r="DL975">
        <v>1</v>
      </c>
      <c r="DN975">
        <f>SUM(DI975:DL975)</f>
        <v>3</v>
      </c>
      <c r="DO975" t="str">
        <f>IF(DN975=1,INDEX($DI$7:$DL$7,MATCH(1,$DI975:$DL975,0)),"mixedProduct")</f>
        <v>mixedProduct</v>
      </c>
      <c r="DP975">
        <f>IF(DI975=1,DP$7,0)</f>
        <v>0</v>
      </c>
      <c r="DQ975" t="str">
        <f>IF(DJ975=1,DQ$7,0)</f>
        <v>Energy</v>
      </c>
      <c r="DR975" t="str">
        <f>IF(DK975=1,DR$7,0)</f>
        <v>Pulp/Paper</v>
      </c>
      <c r="DS975" t="str">
        <f>IF(DL975=1,DS$7,0)</f>
        <v>Timber</v>
      </c>
      <c r="DT975">
        <v>1</v>
      </c>
      <c r="DU975" s="143">
        <v>0</v>
      </c>
      <c r="DV975" s="143">
        <v>0</v>
      </c>
      <c r="DW975" s="143">
        <v>0</v>
      </c>
      <c r="DX975">
        <v>0</v>
      </c>
      <c r="DY975">
        <f>SUM(DT975:DU975)</f>
        <v>1</v>
      </c>
      <c r="DZ975" s="143" t="str">
        <f>IF(DT975=1,"self-calculated DF",IF(DU975=1,"external DF used","explicit C balance"))</f>
        <v>self-calculated DF</v>
      </c>
      <c r="EA975">
        <v>1</v>
      </c>
      <c r="EB975" s="143">
        <v>1</v>
      </c>
      <c r="EC975" s="143">
        <v>1</v>
      </c>
      <c r="ED975" s="143">
        <v>0</v>
      </c>
      <c r="EE975">
        <v>0</v>
      </c>
      <c r="EF975" s="141">
        <v>0</v>
      </c>
      <c r="EG975">
        <v>0</v>
      </c>
      <c r="EH975" s="143">
        <v>0</v>
      </c>
      <c r="EI975" s="143">
        <v>0</v>
      </c>
      <c r="EJ975">
        <v>0</v>
      </c>
      <c r="EK975">
        <v>1</v>
      </c>
      <c r="EL975" s="143">
        <v>0</v>
      </c>
      <c r="EM975" s="143">
        <v>0</v>
      </c>
      <c r="EN975" s="2">
        <v>0</v>
      </c>
      <c r="EP975" t="str">
        <f>IF(AND(AND(AND(OR($EC975=1,$EB975=1),OR($EH975=1,$EF975=1)),SUM($EA975:$EE975,$EK975)&gt;=3),SUM($EF975:$EJ975)&gt;=2),"Whole sector approach","")</f>
        <v/>
      </c>
      <c r="EQ975" t="str">
        <f>IF(AND(AND(OR($EC975=1,$EB975=1),AND($EH975=0,$EF975=0)),SUM($EA975:$EE975,$EK975)&gt;=4),"Ecosystem approach","")</f>
        <v>Ecosystem approach</v>
      </c>
      <c r="ER975" s="2" t="str">
        <f>IF(AND(AND(AND($EC975=0,$EB975=0),OR($EH975=1,$EF975=1)),SUM($EG975:$EJ975)&gt;=2),"Technology approach","")</f>
        <v/>
      </c>
      <c r="ES975" t="str">
        <f>IF(AND($EC975+$EB975+$EE975+$EA975+$ED975+$EG975=0,$N975="included"),"C neutral forest and HWP assumption","")</f>
        <v/>
      </c>
      <c r="ET975" t="str">
        <f>IF(AND(AND(AND(AND($EC975=1,$EB975+$EA975+$EG975&gt;=1),$EF975=1),$EH975+$EI975+$ED975+$EE975&gt;=2),$N975="included"),"All C pools assumption","")</f>
        <v/>
      </c>
      <c r="EU975" t="str">
        <f>IF(AND($ED975+$EE975+$EI975+$EH975+$EF975=0,$N975="included"),"In-situ only assumption","")</f>
        <v>In-situ only assumption</v>
      </c>
      <c r="EW975" t="s">
        <v>2958</v>
      </c>
      <c r="EY975" t="str">
        <f>IF(ISNUMBER(BW975),IF(ABS(BW975-[6]QC_indicators!$B$2)&gt;3*[6]QC_indicators!$C$2,"C ratio",IF(ISNUMBER(CA975),IF(ABS(CA975-[6]QC_indicators!$B$1)&gt;3*[6]QC_indicators!$C$1,"DF","no"))),IF(ISNUMBER(CA975),IF(ABS(CA975-[6]QC_indicators!$B$1)&gt;3*[6]QC_indicators!$C$1,"DF","no")))</f>
        <v>no</v>
      </c>
      <c r="FA975" t="str">
        <f>IF(LEN($CY975)=0,"",IF(AND($CY975&lt;(-0.05),$ES975="C neutral forest and HWP assumption"),"Cneutral paradox",IF(AND($CY975&gt;0.05,$EU975="In-situ only assumption"),"In-situ only paradox","")))</f>
        <v/>
      </c>
      <c r="FD975" s="260" t="s">
        <v>2948</v>
      </c>
    </row>
    <row r="976" spans="1:161" ht="85" hidden="1">
      <c r="A976" s="1" t="s">
        <v>1161</v>
      </c>
      <c r="B976" t="s">
        <v>1209</v>
      </c>
      <c r="C976" t="s">
        <v>1210</v>
      </c>
      <c r="D976" t="s">
        <v>1211</v>
      </c>
      <c r="E976" t="s">
        <v>1212</v>
      </c>
      <c r="F976" t="s">
        <v>1213</v>
      </c>
      <c r="G976" t="s">
        <v>1167</v>
      </c>
      <c r="H976" t="s">
        <v>254</v>
      </c>
      <c r="I976">
        <v>2016</v>
      </c>
      <c r="J976">
        <v>27</v>
      </c>
      <c r="K976" t="s">
        <v>1214</v>
      </c>
      <c r="M976" t="str">
        <f>LEFT($D976,FIND(",",$D976)-1)&amp;"_"&amp;I976&amp;L976</f>
        <v>Braun_2016</v>
      </c>
      <c r="N976" t="s">
        <v>222</v>
      </c>
      <c r="O976" s="145" t="s">
        <v>223</v>
      </c>
      <c r="Q976" t="s">
        <v>256</v>
      </c>
      <c r="R976" s="251" t="s">
        <v>225</v>
      </c>
      <c r="S976" s="1" t="s">
        <v>1221</v>
      </c>
      <c r="T976" t="s">
        <v>1216</v>
      </c>
      <c r="U976" t="s">
        <v>1222</v>
      </c>
      <c r="V976" s="253">
        <v>0</v>
      </c>
      <c r="W976" s="253">
        <v>0</v>
      </c>
      <c r="X976">
        <v>0</v>
      </c>
      <c r="Y976">
        <v>0</v>
      </c>
      <c r="Z976">
        <v>0</v>
      </c>
      <c r="AA976">
        <v>1</v>
      </c>
      <c r="AB976">
        <v>0</v>
      </c>
      <c r="AC976">
        <v>0</v>
      </c>
      <c r="AD976">
        <v>0</v>
      </c>
      <c r="AE976">
        <v>0</v>
      </c>
      <c r="AF976">
        <v>0</v>
      </c>
      <c r="AG976">
        <v>0</v>
      </c>
      <c r="AH976">
        <v>2</v>
      </c>
      <c r="AI976">
        <v>0</v>
      </c>
      <c r="AJ976">
        <v>0</v>
      </c>
      <c r="AK976">
        <v>0</v>
      </c>
      <c r="AL976">
        <v>0</v>
      </c>
      <c r="AM976">
        <v>0</v>
      </c>
      <c r="AN976">
        <v>0</v>
      </c>
      <c r="AO976">
        <v>0</v>
      </c>
      <c r="AP976">
        <v>0</v>
      </c>
      <c r="AQ976">
        <v>0</v>
      </c>
      <c r="AR976">
        <v>0</v>
      </c>
      <c r="AS976">
        <v>0</v>
      </c>
      <c r="AT976">
        <v>0</v>
      </c>
      <c r="AU976">
        <v>0</v>
      </c>
      <c r="AV976">
        <v>0</v>
      </c>
      <c r="AW976">
        <v>0</v>
      </c>
      <c r="AX976">
        <v>0</v>
      </c>
      <c r="AY976">
        <v>0</v>
      </c>
      <c r="AZ976" s="141">
        <f>COUNTIF(X976:AY976,"&lt;&gt;0")</f>
        <v>2</v>
      </c>
      <c r="BA976" s="141">
        <f>COUNTIF(X976:AN976,"&lt;&gt;0")</f>
        <v>2</v>
      </c>
      <c r="BB976">
        <f>COUNTIF(X976:AE976,"&lt;&gt;0")</f>
        <v>1</v>
      </c>
      <c r="BC976">
        <f>COUNTIF(AF976:AK976,"&lt;&gt;0")</f>
        <v>1</v>
      </c>
      <c r="BD976">
        <f>COUNTIF(AL976:AN976,"&lt;&gt;0")</f>
        <v>0</v>
      </c>
      <c r="BE976">
        <f>COUNTIF(AU976:AY976,"&lt;&gt;0")</f>
        <v>0</v>
      </c>
      <c r="BF976">
        <f>COUNTIF(AO976:AT976,"&lt;&gt;0")</f>
        <v>0</v>
      </c>
      <c r="BG976" t="str">
        <f t="array" ref="BG976">IF(BA976=1,INDEX($X$7:$AN$7,MATCH(TRUE,INDEX($X976:$AY976&lt;&gt;0,),0)),IF(BA976=0,INDEX($AO$7:$AY$7,MATCH(1,$AO976:$AY976,0)),IF(BH976="Multiple strategies","mixed drivers",IF(BH976="Supply chain","multiple supply","multiple silviculture"))))</f>
        <v>mixed drivers</v>
      </c>
      <c r="BH976" s="2" t="str" cm="1">
        <f t="array" ref="BH976">IF(COUNTIF(BB976:BD976,"&lt;&gt;0")=1,INDEX($X$4:$AY$4,MATCH(TRUE,INDEX($X976:$AY976&lt;&gt;0,),0)),IF(COUNTIF(BB976:BD976,"&lt;&gt;0")=0,INDEX($AO$4:$AY$4,MATCH(1,$AO976:$AY976,0)),"Multiple strategies"))</f>
        <v>Multiple strategies</v>
      </c>
      <c r="BI976" s="1" t="s">
        <v>229</v>
      </c>
      <c r="BJ976" t="s">
        <v>1217</v>
      </c>
      <c r="BK976" s="256" t="s">
        <v>2952</v>
      </c>
      <c r="BL976" t="s">
        <v>1218</v>
      </c>
      <c r="BM976">
        <v>1.1674521913429727</v>
      </c>
      <c r="BN976">
        <v>1.9442734851451886</v>
      </c>
      <c r="BO976">
        <f>BN976/BM976</f>
        <v>1.6653988056749489</v>
      </c>
      <c r="BP976">
        <f>BN976-BM976</f>
        <v>0.77682129380221587</v>
      </c>
      <c r="BQ976">
        <f>BP976*10^9</f>
        <v>776821293.80221581</v>
      </c>
      <c r="BR976" t="s">
        <v>232</v>
      </c>
      <c r="BS976" s="256" t="s">
        <v>2953</v>
      </c>
      <c r="BT976" t="s">
        <v>1219</v>
      </c>
      <c r="BU976" s="260">
        <v>1.93686006825938</v>
      </c>
      <c r="BV976" s="260">
        <v>1.22013651877133</v>
      </c>
      <c r="BW976" s="144">
        <f>IFERROR(BV976/BU976,"")</f>
        <v>0.62995594713656522</v>
      </c>
      <c r="BX976">
        <f>BV976-BU976</f>
        <v>-0.71672354948804995</v>
      </c>
      <c r="BZ976">
        <f>BX976*10^9</f>
        <v>-716723549.48804998</v>
      </c>
      <c r="CA976">
        <f>IFERROR(BZ976/BQ976,"")</f>
        <v>-0.92263633245683507</v>
      </c>
      <c r="CB976" s="143">
        <v>0</v>
      </c>
      <c r="CC976" s="143">
        <v>0</v>
      </c>
      <c r="CD976" s="143">
        <v>0</v>
      </c>
      <c r="CE976" s="143">
        <v>0</v>
      </c>
      <c r="CF976" s="143">
        <v>0</v>
      </c>
      <c r="CG976" s="143">
        <v>0</v>
      </c>
      <c r="CH976" s="143">
        <v>0</v>
      </c>
      <c r="CI976" s="143">
        <v>0</v>
      </c>
      <c r="CJ976" s="143">
        <v>0</v>
      </c>
      <c r="CK976" s="143">
        <v>0</v>
      </c>
      <c r="CL976" s="143">
        <v>0</v>
      </c>
      <c r="CM976" s="143">
        <v>0</v>
      </c>
      <c r="CN976" s="143">
        <v>0</v>
      </c>
      <c r="CO976">
        <v>0</v>
      </c>
      <c r="CP976" t="str">
        <f>IF($BN976&lt;$BM976,"refNeedCorrection","refOK")</f>
        <v>refOK</v>
      </c>
      <c r="CQ976">
        <f>IF($CP976="refOK",$BM976,$BN976)</f>
        <v>1.1674521913429727</v>
      </c>
      <c r="CR976">
        <f>IF($CP976="refOK",$BN976,$BM976)</f>
        <v>1.9442734851451886</v>
      </c>
      <c r="CS976">
        <f>IF($CP976="refOK",$BQ976,-$BQ976)</f>
        <v>776821293.80221581</v>
      </c>
      <c r="CT976">
        <f>IF(BI976="Roundwood",$CS976/2,$CS976)</f>
        <v>776821293.80221581</v>
      </c>
      <c r="CU976">
        <f>IF($CP976="refOK",$BU976,$BV976)*IF($BR976="Emissions positive",-1,1)</f>
        <v>1.93686006825938</v>
      </c>
      <c r="CV976">
        <f>IF($CP976="refOK",$BV976,$BU976)*IF($BR976="Emissions positive",-1,1)</f>
        <v>1.22013651877133</v>
      </c>
      <c r="CW976">
        <f>IF($CP976="refNeedCorrection",-BZ976,BZ976)*IF($BR976="Emissions positive",-1,1)</f>
        <v>-716723549.48804998</v>
      </c>
      <c r="CX976">
        <f>IFERROR($CW976/$CS976,"")</f>
        <v>-0.92263633245683507</v>
      </c>
      <c r="CY976">
        <f>IFERROR($CW976/$CS976,"")</f>
        <v>-0.92263633245683507</v>
      </c>
      <c r="CZ976">
        <f>IFERROR($CW976/$CT976,"")</f>
        <v>-0.92263633245683507</v>
      </c>
      <c r="DA976" s="2">
        <f>IFERROR((CV976-CU976)/ABS(CU976),"")</f>
        <v>-0.37004405286343484</v>
      </c>
      <c r="DB976" s="1" t="s">
        <v>1078</v>
      </c>
      <c r="DC976" t="str">
        <f>IF(OR($DB976="prd",$DB976="std",$DB976="cit"),"loc",IF(OR($DB976="eur",$DB976="reg",$DB976="coy"),"reg",$DB976))</f>
        <v>reg</v>
      </c>
      <c r="DD976" t="s">
        <v>653</v>
      </c>
      <c r="DE976">
        <v>2010</v>
      </c>
      <c r="DF976">
        <v>2100</v>
      </c>
      <c r="DG976">
        <f>DF976-DE976</f>
        <v>90</v>
      </c>
      <c r="DH976" t="str">
        <f>IF(DG976=0,"0",IF(AND(DG976&gt;=1,DG976&lt;=30),"1-30",IF(AND(DG976&gt;30,DG976&lt;=70),"31-70",IF(AND(DG976&gt;70,DG976&lt;=100),"71-100",IF(DG976&gt;100,"+100")))))</f>
        <v>71-100</v>
      </c>
      <c r="DI976">
        <v>0</v>
      </c>
      <c r="DJ976">
        <v>1</v>
      </c>
      <c r="DK976">
        <v>1</v>
      </c>
      <c r="DL976">
        <v>1</v>
      </c>
      <c r="DN976">
        <f>SUM(DI976:DL976)</f>
        <v>3</v>
      </c>
      <c r="DO976" t="str">
        <f>IF(DN976=1,INDEX($DI$7:$DL$7,MATCH(1,$DI976:$DL976,0)),"mixedProduct")</f>
        <v>mixedProduct</v>
      </c>
      <c r="DP976">
        <f>IF(DI976=1,DP$7,0)</f>
        <v>0</v>
      </c>
      <c r="DQ976" t="str">
        <f>IF(DJ976=1,DQ$7,0)</f>
        <v>Energy</v>
      </c>
      <c r="DR976" t="str">
        <f>IF(DK976=1,DR$7,0)</f>
        <v>Pulp/Paper</v>
      </c>
      <c r="DS976" t="str">
        <f>IF(DL976=1,DS$7,0)</f>
        <v>Timber</v>
      </c>
      <c r="DT976">
        <v>1</v>
      </c>
      <c r="DU976" s="143">
        <v>0</v>
      </c>
      <c r="DV976" s="143">
        <v>0</v>
      </c>
      <c r="DW976" s="143">
        <v>0</v>
      </c>
      <c r="DX976">
        <v>0</v>
      </c>
      <c r="DY976">
        <f>SUM(DT976:DU976)</f>
        <v>1</v>
      </c>
      <c r="DZ976" s="143" t="str">
        <f>IF(DT976=1,"self-calculated DF",IF(DU976=1,"external DF used","explicit C balance"))</f>
        <v>self-calculated DF</v>
      </c>
      <c r="EA976">
        <v>1</v>
      </c>
      <c r="EB976" s="143">
        <v>1</v>
      </c>
      <c r="EC976" s="143">
        <v>1</v>
      </c>
      <c r="ED976" s="143">
        <v>1</v>
      </c>
      <c r="EE976">
        <v>1</v>
      </c>
      <c r="EF976" s="141">
        <v>1</v>
      </c>
      <c r="EG976">
        <v>0</v>
      </c>
      <c r="EH976" s="143">
        <v>1</v>
      </c>
      <c r="EI976" s="143">
        <v>1</v>
      </c>
      <c r="EJ976">
        <v>0</v>
      </c>
      <c r="EK976">
        <v>1</v>
      </c>
      <c r="EL976" s="143">
        <v>0</v>
      </c>
      <c r="EM976" s="143">
        <v>0</v>
      </c>
      <c r="EN976" s="2">
        <v>0</v>
      </c>
      <c r="EP976" t="str">
        <f>IF(AND(AND(AND(OR($EC976=1,$EB976=1),OR($EH976=1,$EF976=1)),SUM($EA976:$EE976,$EK976)&gt;=3),SUM($EF976:$EJ976)&gt;=2),"Whole sector approach","")</f>
        <v>Whole sector approach</v>
      </c>
      <c r="EQ976" t="str">
        <f>IF(AND(AND(OR($EC976=1,$EB976=1),AND($EH976=0,$EF976=0)),SUM($EA976:$EE976,$EK976)&gt;=4),"Ecosystem approach","")</f>
        <v/>
      </c>
      <c r="ER976" s="2" t="str">
        <f>IF(AND(AND(AND($EC976=0,$EB976=0),OR($EH976=1,$EF976=1)),SUM($EG976:$EJ976)&gt;=2),"Technology approach","")</f>
        <v/>
      </c>
      <c r="ES976" t="str">
        <f>IF(AND($EC976+$EB976+$EE976+$EA976+$ED976+$EG976=0,$N976="included"),"C neutral forest and HWP assumption","")</f>
        <v/>
      </c>
      <c r="ET976" t="str">
        <f>IF(AND(AND(AND(AND($EC976=1,$EB976+$EA976+$EG976&gt;=1),$EF976=1),$EH976+$EI976+$ED976+$EE976&gt;=2),$N976="included"),"All C pools assumption","")</f>
        <v>All C pools assumption</v>
      </c>
      <c r="EU976" t="str">
        <f>IF(AND($ED976+$EE976+$EI976+$EH976+$EF976=0,$N976="included"),"In-situ only assumption","")</f>
        <v/>
      </c>
      <c r="EW976" t="s">
        <v>2958</v>
      </c>
      <c r="EY976" t="str">
        <f>IF(ISNUMBER(BW976),IF(ABS(BW976-[6]QC_indicators!$B$2)&gt;3*[6]QC_indicators!$C$2,"C ratio",IF(ISNUMBER(CA976),IF(ABS(CA976-[6]QC_indicators!$B$1)&gt;3*[6]QC_indicators!$C$1,"DF","no"))),IF(ISNUMBER(CA976),IF(ABS(CA976-[6]QC_indicators!$B$1)&gt;3*[6]QC_indicators!$C$1,"DF","no")))</f>
        <v>no</v>
      </c>
      <c r="FA976" t="str">
        <f>IF(LEN($CY976)=0,"",IF(AND($CY976&lt;(-0.05),$ES976="C neutral forest and HWP assumption"),"Cneutral paradox",IF(AND($CY976&gt;0.05,$EU976="In-situ only assumption"),"In-situ only paradox","")))</f>
        <v/>
      </c>
      <c r="FD976" s="260" t="s">
        <v>2948</v>
      </c>
    </row>
    <row r="977" spans="1:160" ht="15" hidden="1" customHeight="1">
      <c r="A977" s="1" t="s">
        <v>1161</v>
      </c>
      <c r="B977" t="s">
        <v>1209</v>
      </c>
      <c r="C977" t="s">
        <v>1210</v>
      </c>
      <c r="D977" t="s">
        <v>1211</v>
      </c>
      <c r="E977" t="s">
        <v>1212</v>
      </c>
      <c r="F977" t="s">
        <v>1213</v>
      </c>
      <c r="G977" t="s">
        <v>1167</v>
      </c>
      <c r="H977" t="s">
        <v>254</v>
      </c>
      <c r="I977">
        <v>2016</v>
      </c>
      <c r="J977">
        <v>27</v>
      </c>
      <c r="K977" t="s">
        <v>1214</v>
      </c>
      <c r="M977" t="str">
        <f>LEFT($D977,FIND(",",$D977)-1)&amp;"_"&amp;I977&amp;L977</f>
        <v>Braun_2016</v>
      </c>
      <c r="N977" t="s">
        <v>222</v>
      </c>
      <c r="O977" s="145" t="s">
        <v>223</v>
      </c>
      <c r="Q977" t="s">
        <v>256</v>
      </c>
      <c r="R977" s="251" t="s">
        <v>225</v>
      </c>
      <c r="S977" s="1" t="s">
        <v>1221</v>
      </c>
      <c r="T977" t="s">
        <v>1216</v>
      </c>
      <c r="U977" t="s">
        <v>1222</v>
      </c>
      <c r="V977" s="253">
        <v>0</v>
      </c>
      <c r="W977" s="253">
        <v>0</v>
      </c>
      <c r="X977">
        <v>0</v>
      </c>
      <c r="Y977">
        <v>0</v>
      </c>
      <c r="Z977">
        <v>0</v>
      </c>
      <c r="AA977">
        <v>1</v>
      </c>
      <c r="AB977">
        <v>0</v>
      </c>
      <c r="AC977">
        <v>0</v>
      </c>
      <c r="AD977">
        <v>0</v>
      </c>
      <c r="AE977">
        <v>0</v>
      </c>
      <c r="AF977">
        <v>0</v>
      </c>
      <c r="AG977">
        <v>0</v>
      </c>
      <c r="AH977">
        <v>2</v>
      </c>
      <c r="AI977">
        <v>0</v>
      </c>
      <c r="AJ977">
        <v>0</v>
      </c>
      <c r="AK977">
        <v>0</v>
      </c>
      <c r="AL977">
        <v>0</v>
      </c>
      <c r="AM977">
        <v>0</v>
      </c>
      <c r="AN977">
        <v>0</v>
      </c>
      <c r="AO977">
        <v>0</v>
      </c>
      <c r="AP977">
        <v>0</v>
      </c>
      <c r="AQ977">
        <v>0</v>
      </c>
      <c r="AR977">
        <v>0</v>
      </c>
      <c r="AS977">
        <v>0</v>
      </c>
      <c r="AT977">
        <v>0</v>
      </c>
      <c r="AU977">
        <v>0</v>
      </c>
      <c r="AV977">
        <v>0</v>
      </c>
      <c r="AW977">
        <v>0</v>
      </c>
      <c r="AX977">
        <v>0</v>
      </c>
      <c r="AY977">
        <v>0</v>
      </c>
      <c r="AZ977" s="141">
        <f>COUNTIF(X977:AY977,"&lt;&gt;0")</f>
        <v>2</v>
      </c>
      <c r="BA977" s="141">
        <f>COUNTIF(X977:AN977,"&lt;&gt;0")</f>
        <v>2</v>
      </c>
      <c r="BB977">
        <f>COUNTIF(X977:AE977,"&lt;&gt;0")</f>
        <v>1</v>
      </c>
      <c r="BC977">
        <f>COUNTIF(AF977:AK977,"&lt;&gt;0")</f>
        <v>1</v>
      </c>
      <c r="BD977">
        <f>COUNTIF(AL977:AN977,"&lt;&gt;0")</f>
        <v>0</v>
      </c>
      <c r="BE977">
        <f>COUNTIF(AU977:AY977,"&lt;&gt;0")</f>
        <v>0</v>
      </c>
      <c r="BF977">
        <f>COUNTIF(AO977:AT977,"&lt;&gt;0")</f>
        <v>0</v>
      </c>
      <c r="BG977" t="str">
        <f t="array" ref="BG977">IF(BA977=1,INDEX($X$7:$AN$7,MATCH(TRUE,INDEX($X977:$AY977&lt;&gt;0,),0)),IF(BA977=0,INDEX($AO$7:$AY$7,MATCH(1,$AO977:$AY977,0)),IF(BH977="Multiple strategies","mixed drivers",IF(BH977="Supply chain","multiple supply","multiple silviculture"))))</f>
        <v>mixed drivers</v>
      </c>
      <c r="BH977" s="2" t="str" cm="1">
        <f t="array" ref="BH977">IF(COUNTIF(BB977:BD977,"&lt;&gt;0")=1,INDEX($X$4:$AY$4,MATCH(TRUE,INDEX($X977:$AY977&lt;&gt;0,),0)),IF(COUNTIF(BB977:BD977,"&lt;&gt;0")=0,INDEX($AO$4:$AY$4,MATCH(1,$AO977:$AY977,0)),"Multiple strategies"))</f>
        <v>Multiple strategies</v>
      </c>
      <c r="BI977" s="1" t="s">
        <v>229</v>
      </c>
      <c r="BJ977" t="s">
        <v>1217</v>
      </c>
      <c r="BK977" s="256" t="s">
        <v>2952</v>
      </c>
      <c r="BL977" t="s">
        <v>1218</v>
      </c>
      <c r="BM977">
        <v>1.1674521913429727</v>
      </c>
      <c r="BN977">
        <v>1.9442734851451886</v>
      </c>
      <c r="BO977">
        <f>BN977/BM977</f>
        <v>1.6653988056749489</v>
      </c>
      <c r="BP977">
        <f>BN977-BM977</f>
        <v>0.77682129380221587</v>
      </c>
      <c r="BQ977">
        <f>BP977*10^9</f>
        <v>776821293.80221581</v>
      </c>
      <c r="BR977" t="s">
        <v>232</v>
      </c>
      <c r="BS977" s="256" t="s">
        <v>2956</v>
      </c>
      <c r="BT977" t="s">
        <v>1219</v>
      </c>
      <c r="BU977" s="260">
        <v>1.2013651877133071</v>
      </c>
      <c r="BV977" s="260">
        <v>3.4129692832764985E-2</v>
      </c>
      <c r="BW977" s="144">
        <f>IFERROR(BV977/BU977,"")</f>
        <v>2.840909090909139E-2</v>
      </c>
      <c r="BX977">
        <f>BV977-BU977</f>
        <v>-1.1672354948805421</v>
      </c>
      <c r="BZ977">
        <f>BX977*10^9</f>
        <v>-1167235494.880542</v>
      </c>
      <c r="CA977">
        <f>IFERROR(BZ977/BQ977,"")</f>
        <v>-1.5025791700011359</v>
      </c>
      <c r="CB977" s="143">
        <v>0</v>
      </c>
      <c r="CC977" s="143">
        <v>0</v>
      </c>
      <c r="CD977" s="143">
        <v>0</v>
      </c>
      <c r="CE977" s="143">
        <v>0</v>
      </c>
      <c r="CF977" s="143">
        <v>0</v>
      </c>
      <c r="CG977" s="143">
        <v>0</v>
      </c>
      <c r="CH977" s="143">
        <v>0</v>
      </c>
      <c r="CI977" s="143">
        <v>0</v>
      </c>
      <c r="CJ977" s="143">
        <v>0</v>
      </c>
      <c r="CK977" s="143">
        <v>0</v>
      </c>
      <c r="CL977" s="143">
        <v>0</v>
      </c>
      <c r="CM977" s="143">
        <v>0</v>
      </c>
      <c r="CN977" s="143">
        <v>0</v>
      </c>
      <c r="CO977">
        <v>0</v>
      </c>
      <c r="CP977" t="str">
        <f>IF($BN977&lt;$BM977,"refNeedCorrection","refOK")</f>
        <v>refOK</v>
      </c>
      <c r="CQ977">
        <f>IF($CP977="refOK",$BM977,$BN977)</f>
        <v>1.1674521913429727</v>
      </c>
      <c r="CR977">
        <f>IF($CP977="refOK",$BN977,$BM977)</f>
        <v>1.9442734851451886</v>
      </c>
      <c r="CS977">
        <f>IF($CP977="refOK",$BQ977,-$BQ977)</f>
        <v>776821293.80221581</v>
      </c>
      <c r="CT977">
        <f>IF(BI977="Roundwood",$CS977/2,$CS977)</f>
        <v>776821293.80221581</v>
      </c>
      <c r="CU977">
        <f>IF($CP977="refOK",$BU977,$BV977)*IF($BR977="Emissions positive",-1,1)</f>
        <v>1.2013651877133071</v>
      </c>
      <c r="CV977">
        <f>IF($CP977="refOK",$BV977,$BU977)*IF($BR977="Emissions positive",-1,1)</f>
        <v>3.4129692832764985E-2</v>
      </c>
      <c r="CW977">
        <f>IF($CP977="refNeedCorrection",-BZ977,BZ977)*IF($BR977="Emissions positive",-1,1)</f>
        <v>-1167235494.880542</v>
      </c>
      <c r="CX977">
        <f>IFERROR($CW977/$CS977,"")</f>
        <v>-1.5025791700011359</v>
      </c>
      <c r="CY977">
        <f>IFERROR($CW977/$CS977,"")</f>
        <v>-1.5025791700011359</v>
      </c>
      <c r="CZ977">
        <f>IFERROR($CW977/$CT977,"")</f>
        <v>-1.5025791700011359</v>
      </c>
      <c r="DA977" s="2">
        <f>IFERROR((CV977-CU977)/ABS(CU977),"")</f>
        <v>-0.97159090909090862</v>
      </c>
      <c r="DB977" s="1" t="s">
        <v>1078</v>
      </c>
      <c r="DC977" t="str">
        <f>IF(OR($DB977="prd",$DB977="std",$DB977="cit"),"loc",IF(OR($DB977="eur",$DB977="reg",$DB977="coy"),"reg",$DB977))</f>
        <v>reg</v>
      </c>
      <c r="DD977" t="s">
        <v>653</v>
      </c>
      <c r="DE977">
        <v>2010</v>
      </c>
      <c r="DF977">
        <v>2100</v>
      </c>
      <c r="DG977">
        <f>DF977-DE977</f>
        <v>90</v>
      </c>
      <c r="DH977" t="str">
        <f>IF(DG977=0,"0",IF(AND(DG977&gt;=1,DG977&lt;=30),"1-30",IF(AND(DG977&gt;30,DG977&lt;=70),"31-70",IF(AND(DG977&gt;70,DG977&lt;=100),"71-100",IF(DG977&gt;100,"+100")))))</f>
        <v>71-100</v>
      </c>
      <c r="DI977">
        <v>0</v>
      </c>
      <c r="DJ977">
        <v>1</v>
      </c>
      <c r="DK977">
        <v>1</v>
      </c>
      <c r="DL977">
        <v>1</v>
      </c>
      <c r="DN977">
        <f>SUM(DI977:DL977)</f>
        <v>3</v>
      </c>
      <c r="DO977" t="str">
        <f>IF(DN977=1,INDEX($DI$7:$DL$7,MATCH(1,$DI977:$DL977,0)),"mixedProduct")</f>
        <v>mixedProduct</v>
      </c>
      <c r="DP977">
        <f>IF(DI977=1,DP$7,0)</f>
        <v>0</v>
      </c>
      <c r="DQ977" t="str">
        <f>IF(DJ977=1,DQ$7,0)</f>
        <v>Energy</v>
      </c>
      <c r="DR977" t="str">
        <f>IF(DK977=1,DR$7,0)</f>
        <v>Pulp/Paper</v>
      </c>
      <c r="DS977" t="str">
        <f>IF(DL977=1,DS$7,0)</f>
        <v>Timber</v>
      </c>
      <c r="DT977">
        <v>1</v>
      </c>
      <c r="DU977" s="143">
        <v>0</v>
      </c>
      <c r="DV977" s="143">
        <v>0</v>
      </c>
      <c r="DW977" s="143">
        <v>0</v>
      </c>
      <c r="DX977">
        <v>0</v>
      </c>
      <c r="DY977">
        <f>SUM(DT977:DU977)</f>
        <v>1</v>
      </c>
      <c r="DZ977" s="143" t="str">
        <f>IF(DT977=1,"self-calculated DF",IF(DU977=1,"external DF used","explicit C balance"))</f>
        <v>self-calculated DF</v>
      </c>
      <c r="EA977">
        <v>1</v>
      </c>
      <c r="EB977" s="143">
        <v>1</v>
      </c>
      <c r="EC977" s="143">
        <v>1</v>
      </c>
      <c r="ED977" s="143">
        <v>1</v>
      </c>
      <c r="EE977">
        <v>1</v>
      </c>
      <c r="EF977" s="141">
        <v>0</v>
      </c>
      <c r="EG977">
        <v>0</v>
      </c>
      <c r="EH977" s="143">
        <v>0</v>
      </c>
      <c r="EI977" s="143">
        <v>0</v>
      </c>
      <c r="EJ977">
        <v>0</v>
      </c>
      <c r="EK977">
        <v>1</v>
      </c>
      <c r="EL977" s="143">
        <v>0</v>
      </c>
      <c r="EM977" s="143">
        <v>0</v>
      </c>
      <c r="EN977" s="2">
        <v>0</v>
      </c>
      <c r="EP977" t="str">
        <f>IF(AND(AND(AND(OR($EC977=1,$EB977=1),OR($EH977=1,$EF977=1)),SUM($EA977:$EE977,$EK977)&gt;=3),SUM($EF977:$EJ977)&gt;=2),"Whole sector approach","")</f>
        <v/>
      </c>
      <c r="EQ977" t="str">
        <f>IF(AND(AND(OR($EC977=1,$EB977=1),AND($EH977=0,$EF977=0)),SUM($EA977:$EE977,$EK977)&gt;=4),"Ecosystem approach","")</f>
        <v>Ecosystem approach</v>
      </c>
      <c r="ER977" s="2" t="str">
        <f>IF(AND(AND(AND($EC977=0,$EB977=0),OR($EH977=1,$EF977=1)),SUM($EG977:$EJ977)&gt;=2),"Technology approach","")</f>
        <v/>
      </c>
      <c r="ES977" t="str">
        <f>IF(AND($EC977+$EB977+$EE977+$EA977+$ED977+$EG977=0,$N977="included"),"C neutral forest and HWP assumption","")</f>
        <v/>
      </c>
      <c r="ET977" t="str">
        <f>IF(AND(AND(AND(AND($EC977=1,$EB977+$EA977+$EG977&gt;=1),$EF977=1),$EH977+$EI977+$ED977+$EE977&gt;=2),$N977="included"),"All C pools assumption","")</f>
        <v/>
      </c>
      <c r="EU977" t="str">
        <f>IF(AND($ED977+$EE977+$EI977+$EH977+$EF977=0,$N977="included"),"In-situ only assumption","")</f>
        <v/>
      </c>
      <c r="EW977" t="s">
        <v>2957</v>
      </c>
      <c r="EY977" t="str">
        <f>IF(ISNUMBER(BW977),IF(ABS(BW977-[6]QC_indicators!$B$2)&gt;3*[6]QC_indicators!$C$2,"C ratio",IF(ISNUMBER(CA977),IF(ABS(CA977-[6]QC_indicators!$B$1)&gt;3*[6]QC_indicators!$C$1,"DF","no"))),IF(ISNUMBER(CA977),IF(ABS(CA977-[6]QC_indicators!$B$1)&gt;3*[6]QC_indicators!$C$1,"DF","no")))</f>
        <v>no</v>
      </c>
      <c r="FA977" t="str">
        <f>IF(LEN($CY977)=0,"",IF(AND($CY977&lt;(-0.05),$ES977="C neutral forest and HWP assumption"),"Cneutral paradox",IF(AND($CY977&gt;0.05,$EU977="In-situ only assumption"),"In-situ only paradox","")))</f>
        <v/>
      </c>
      <c r="FD977" s="260" t="s">
        <v>2948</v>
      </c>
    </row>
    <row r="978" spans="1:160" ht="85">
      <c r="A978" s="1" t="s">
        <v>1161</v>
      </c>
      <c r="B978" t="s">
        <v>1209</v>
      </c>
      <c r="C978" t="s">
        <v>1210</v>
      </c>
      <c r="D978" t="s">
        <v>1211</v>
      </c>
      <c r="E978" t="s">
        <v>1212</v>
      </c>
      <c r="F978" t="s">
        <v>1213</v>
      </c>
      <c r="G978" t="s">
        <v>1167</v>
      </c>
      <c r="H978" t="s">
        <v>254</v>
      </c>
      <c r="I978">
        <v>2016</v>
      </c>
      <c r="J978">
        <v>27</v>
      </c>
      <c r="K978" t="s">
        <v>1214</v>
      </c>
      <c r="M978" t="str">
        <f>LEFT($D978,FIND(",",$D978)-1)&amp;"_"&amp;I978&amp;L978</f>
        <v>Braun_2016</v>
      </c>
      <c r="N978" t="s">
        <v>222</v>
      </c>
      <c r="O978" s="145" t="s">
        <v>223</v>
      </c>
      <c r="Q978" t="s">
        <v>256</v>
      </c>
      <c r="R978" s="251" t="s">
        <v>225</v>
      </c>
      <c r="S978" s="1" t="s">
        <v>1221</v>
      </c>
      <c r="T978" t="s">
        <v>1216</v>
      </c>
      <c r="U978" t="s">
        <v>1222</v>
      </c>
      <c r="V978" s="253">
        <v>0</v>
      </c>
      <c r="W978" s="253">
        <v>0</v>
      </c>
      <c r="X978">
        <v>0</v>
      </c>
      <c r="Y978">
        <v>0</v>
      </c>
      <c r="Z978">
        <v>0</v>
      </c>
      <c r="AA978">
        <v>1</v>
      </c>
      <c r="AB978">
        <v>0</v>
      </c>
      <c r="AC978">
        <v>0</v>
      </c>
      <c r="AD978">
        <v>0</v>
      </c>
      <c r="AE978">
        <v>0</v>
      </c>
      <c r="AF978">
        <v>0</v>
      </c>
      <c r="AG978">
        <v>0</v>
      </c>
      <c r="AH978">
        <v>2</v>
      </c>
      <c r="AI978">
        <v>0</v>
      </c>
      <c r="AJ978">
        <v>0</v>
      </c>
      <c r="AK978">
        <v>0</v>
      </c>
      <c r="AL978">
        <v>0</v>
      </c>
      <c r="AM978">
        <v>0</v>
      </c>
      <c r="AN978">
        <v>0</v>
      </c>
      <c r="AO978">
        <v>0</v>
      </c>
      <c r="AP978">
        <v>0</v>
      </c>
      <c r="AQ978">
        <v>0</v>
      </c>
      <c r="AR978">
        <v>0</v>
      </c>
      <c r="AS978">
        <v>0</v>
      </c>
      <c r="AT978">
        <v>0</v>
      </c>
      <c r="AU978">
        <v>0</v>
      </c>
      <c r="AV978">
        <v>0</v>
      </c>
      <c r="AW978">
        <v>0</v>
      </c>
      <c r="AX978">
        <v>0</v>
      </c>
      <c r="AY978">
        <v>0</v>
      </c>
      <c r="AZ978" s="141">
        <f>COUNTIF(X978:AY978,"&lt;&gt;0")</f>
        <v>2</v>
      </c>
      <c r="BA978" s="141">
        <f>COUNTIF(X978:AN978,"&lt;&gt;0")</f>
        <v>2</v>
      </c>
      <c r="BB978">
        <f>COUNTIF(X978:AE978,"&lt;&gt;0")</f>
        <v>1</v>
      </c>
      <c r="BC978">
        <f>COUNTIF(AF978:AK978,"&lt;&gt;0")</f>
        <v>1</v>
      </c>
      <c r="BD978">
        <f>COUNTIF(AL978:AN978,"&lt;&gt;0")</f>
        <v>0</v>
      </c>
      <c r="BE978">
        <f>COUNTIF(AU978:AY978,"&lt;&gt;0")</f>
        <v>0</v>
      </c>
      <c r="BF978">
        <f>COUNTIF(AO978:AT978,"&lt;&gt;0")</f>
        <v>0</v>
      </c>
      <c r="BG978" t="str">
        <f t="array" ref="BG978">IF(BA978=1,INDEX($X$7:$AN$7,MATCH(TRUE,INDEX($X978:$AY978&lt;&gt;0,),0)),IF(BA978=0,INDEX($AO$7:$AY$7,MATCH(1,$AO978:$AY978,0)),IF(BH978="Multiple strategies","mixed drivers",IF(BH978="Supply chain","multiple supply","multiple silviculture"))))</f>
        <v>mixed drivers</v>
      </c>
      <c r="BH978" s="2" t="str" cm="1">
        <f t="array" ref="BH978">IF(COUNTIF(BB978:BD978,"&lt;&gt;0")=1,INDEX($X$4:$AY$4,MATCH(TRUE,INDEX($X978:$AY978&lt;&gt;0,),0)),IF(COUNTIF(BB978:BD978,"&lt;&gt;0")=0,INDEX($AO$4:$AY$4,MATCH(1,$AO978:$AY978,0)),"Multiple strategies"))</f>
        <v>Multiple strategies</v>
      </c>
      <c r="BI978" s="1" t="s">
        <v>229</v>
      </c>
      <c r="BJ978" t="s">
        <v>1217</v>
      </c>
      <c r="BK978" s="256" t="s">
        <v>2952</v>
      </c>
      <c r="BL978" t="s">
        <v>1218</v>
      </c>
      <c r="BM978">
        <v>1.1674521913429727</v>
      </c>
      <c r="BN978">
        <v>1.9442734851451886</v>
      </c>
      <c r="BO978">
        <f>BN978/BM978</f>
        <v>1.6653988056749489</v>
      </c>
      <c r="BP978">
        <f>BN978-BM978</f>
        <v>0.77682129380221587</v>
      </c>
      <c r="BQ978">
        <f>BP978*10^9</f>
        <v>776821293.80221581</v>
      </c>
      <c r="BR978" t="s">
        <v>232</v>
      </c>
      <c r="BS978" s="256" t="s">
        <v>2955</v>
      </c>
      <c r="BT978" t="s">
        <v>1219</v>
      </c>
      <c r="BU978" s="260">
        <v>1.0255972696245701</v>
      </c>
      <c r="BV978" s="260">
        <v>-0.16211604095563101</v>
      </c>
      <c r="BW978" s="144">
        <f>IFERROR(BV978/BU978,"")</f>
        <v>-0.15806988352745438</v>
      </c>
      <c r="BX978">
        <f>BV978-BU978</f>
        <v>-1.1877133105802011</v>
      </c>
      <c r="BZ978">
        <f>BX978*10^9</f>
        <v>-1187713310.5802011</v>
      </c>
      <c r="CA978">
        <f>IFERROR(BZ978/BQ978,"")</f>
        <v>-1.5289402080713319</v>
      </c>
      <c r="CB978" s="143">
        <v>0</v>
      </c>
      <c r="CC978" s="143">
        <v>0</v>
      </c>
      <c r="CD978" s="143">
        <v>0</v>
      </c>
      <c r="CE978" s="143">
        <v>0</v>
      </c>
      <c r="CF978" s="143">
        <v>0</v>
      </c>
      <c r="CG978" s="143">
        <v>0</v>
      </c>
      <c r="CH978" s="143">
        <v>0</v>
      </c>
      <c r="CI978" s="143">
        <v>0</v>
      </c>
      <c r="CJ978" s="143">
        <v>0</v>
      </c>
      <c r="CK978" s="143">
        <v>0</v>
      </c>
      <c r="CL978" s="143">
        <v>0</v>
      </c>
      <c r="CM978" s="143">
        <v>0</v>
      </c>
      <c r="CN978" s="143">
        <v>0</v>
      </c>
      <c r="CO978">
        <v>0</v>
      </c>
      <c r="CP978" t="str">
        <f>IF($BN978&lt;$BM978,"refNeedCorrection","refOK")</f>
        <v>refOK</v>
      </c>
      <c r="CQ978">
        <f>IF($CP978="refOK",$BM978,$BN978)</f>
        <v>1.1674521913429727</v>
      </c>
      <c r="CR978">
        <f>IF($CP978="refOK",$BN978,$BM978)</f>
        <v>1.9442734851451886</v>
      </c>
      <c r="CS978">
        <f>IF($CP978="refOK",$BQ978,-$BQ978)</f>
        <v>776821293.80221581</v>
      </c>
      <c r="CT978">
        <f>IF(BI978="Roundwood",$CS978/2,$CS978)</f>
        <v>776821293.80221581</v>
      </c>
      <c r="CU978">
        <f>IF($CP978="refOK",$BU978,$BV978)*IF($BR978="Emissions positive",-1,1)</f>
        <v>1.0255972696245701</v>
      </c>
      <c r="CV978">
        <f>IF($CP978="refOK",$BV978,$BU978)*IF($BR978="Emissions positive",-1,1)</f>
        <v>-0.16211604095563101</v>
      </c>
      <c r="CW978">
        <f>IF($CP978="refNeedCorrection",-BZ978,BZ978)*IF($BR978="Emissions positive",-1,1)</f>
        <v>-1187713310.5802011</v>
      </c>
      <c r="CX978">
        <f>IFERROR($CW978/$CS978,"")</f>
        <v>-1.5289402080713319</v>
      </c>
      <c r="CY978">
        <f>IFERROR($CW978/$CS978,"")</f>
        <v>-1.5289402080713319</v>
      </c>
      <c r="CZ978">
        <f>IFERROR($CW978/$CT978,"")</f>
        <v>-1.5289402080713319</v>
      </c>
      <c r="DA978" s="2">
        <f>IFERROR((CV978-CU978)/ABS(CU978),"")</f>
        <v>-1.1580698835274543</v>
      </c>
      <c r="DB978" s="1" t="s">
        <v>1078</v>
      </c>
      <c r="DC978" t="str">
        <f>IF(OR($DB978="prd",$DB978="std",$DB978="cit"),"loc",IF(OR($DB978="eur",$DB978="reg",$DB978="coy"),"reg",$DB978))</f>
        <v>reg</v>
      </c>
      <c r="DD978" t="s">
        <v>653</v>
      </c>
      <c r="DE978">
        <v>2010</v>
      </c>
      <c r="DF978">
        <v>2100</v>
      </c>
      <c r="DG978">
        <f>DF978-DE978</f>
        <v>90</v>
      </c>
      <c r="DH978" t="str">
        <f>IF(DG978=0,"0",IF(AND(DG978&gt;=1,DG978&lt;=30),"1-30",IF(AND(DG978&gt;30,DG978&lt;=70),"31-70",IF(AND(DG978&gt;70,DG978&lt;=100),"71-100",IF(DG978&gt;100,"+100")))))</f>
        <v>71-100</v>
      </c>
      <c r="DI978">
        <v>0</v>
      </c>
      <c r="DJ978">
        <v>1</v>
      </c>
      <c r="DK978">
        <v>1</v>
      </c>
      <c r="DL978">
        <v>1</v>
      </c>
      <c r="DN978">
        <f>SUM(DI978:DL978)</f>
        <v>3</v>
      </c>
      <c r="DO978" t="str">
        <f>IF(DN978=1,INDEX($DI$7:$DL$7,MATCH(1,$DI978:$DL978,0)),"mixedProduct")</f>
        <v>mixedProduct</v>
      </c>
      <c r="DP978">
        <f>IF(DI978=1,DP$7,0)</f>
        <v>0</v>
      </c>
      <c r="DQ978" t="str">
        <f>IF(DJ978=1,DQ$7,0)</f>
        <v>Energy</v>
      </c>
      <c r="DR978" t="str">
        <f>IF(DK978=1,DR$7,0)</f>
        <v>Pulp/Paper</v>
      </c>
      <c r="DS978" t="str">
        <f>IF(DL978=1,DS$7,0)</f>
        <v>Timber</v>
      </c>
      <c r="DT978">
        <v>1</v>
      </c>
      <c r="DU978" s="143">
        <v>0</v>
      </c>
      <c r="DV978" s="143">
        <v>0</v>
      </c>
      <c r="DW978" s="143">
        <v>0</v>
      </c>
      <c r="DX978">
        <v>0</v>
      </c>
      <c r="DY978">
        <f>SUM(DT978:DU978)</f>
        <v>1</v>
      </c>
      <c r="DZ978" s="143" t="str">
        <f>IF(DT978=1,"self-calculated DF",IF(DU978=1,"external DF used","explicit C balance"))</f>
        <v>self-calculated DF</v>
      </c>
      <c r="EA978">
        <v>1</v>
      </c>
      <c r="EB978" s="143">
        <v>1</v>
      </c>
      <c r="EC978" s="143">
        <v>1</v>
      </c>
      <c r="ED978" s="143">
        <v>0</v>
      </c>
      <c r="EE978">
        <v>0</v>
      </c>
      <c r="EF978" s="141">
        <v>0</v>
      </c>
      <c r="EG978">
        <v>0</v>
      </c>
      <c r="EH978" s="143">
        <v>0</v>
      </c>
      <c r="EI978" s="143">
        <v>0</v>
      </c>
      <c r="EJ978">
        <v>0</v>
      </c>
      <c r="EK978">
        <v>1</v>
      </c>
      <c r="EL978" s="143">
        <v>0</v>
      </c>
      <c r="EM978" s="143">
        <v>0</v>
      </c>
      <c r="EN978" s="2">
        <v>0</v>
      </c>
      <c r="EP978" t="str">
        <f>IF(AND(AND(AND(OR($EC978=1,$EB978=1),OR($EH978=1,$EF978=1)),SUM($EA978:$EE978,$EK978)&gt;=3),SUM($EF978:$EJ978)&gt;=2),"Whole sector approach","")</f>
        <v/>
      </c>
      <c r="EQ978" t="str">
        <f>IF(AND(AND(OR($EC978=1,$EB978=1),AND($EH978=0,$EF978=0)),SUM($EA978:$EE978,$EK978)&gt;=4),"Ecosystem approach","")</f>
        <v>Ecosystem approach</v>
      </c>
      <c r="ER978" s="2" t="str">
        <f>IF(AND(AND(AND($EC978=0,$EB978=0),OR($EH978=1,$EF978=1)),SUM($EG978:$EJ978)&gt;=2),"Technology approach","")</f>
        <v/>
      </c>
      <c r="ES978" t="str">
        <f>IF(AND($EC978+$EB978+$EE978+$EA978+$ED978+$EG978=0,$N978="included"),"C neutral forest and HWP assumption","")</f>
        <v/>
      </c>
      <c r="ET978" t="str">
        <f>IF(AND(AND(AND(AND($EC978=1,$EB978+$EA978+$EG978&gt;=1),$EF978=1),$EH978+$EI978+$ED978+$EE978&gt;=2),$N978="included"),"All C pools assumption","")</f>
        <v/>
      </c>
      <c r="EU978" t="str">
        <f>IF(AND($ED978+$EE978+$EI978+$EH978+$EF978=0,$N978="included"),"In-situ only assumption","")</f>
        <v>In-situ only assumption</v>
      </c>
      <c r="EW978" t="s">
        <v>2957</v>
      </c>
      <c r="EY978" t="str">
        <f>IF(ISNUMBER(BW978),IF(ABS(BW978-[6]QC_indicators!$B$2)&gt;3*[6]QC_indicators!$C$2,"C ratio",IF(ISNUMBER(CA978),IF(ABS(CA978-[6]QC_indicators!$B$1)&gt;3*[6]QC_indicators!$C$1,"DF","no"))),IF(ISNUMBER(CA978),IF(ABS(CA978-[6]QC_indicators!$B$1)&gt;3*[6]QC_indicators!$C$1,"DF","no")))</f>
        <v>no</v>
      </c>
      <c r="FA978" t="str">
        <f>IF(LEN($CY978)=0,"",IF(AND($CY978&lt;(-0.05),$ES978="C neutral forest and HWP assumption"),"Cneutral paradox",IF(AND($CY978&gt;0.05,$EU978="In-situ only assumption"),"In-situ only paradox","")))</f>
        <v/>
      </c>
      <c r="FD978" s="260" t="s">
        <v>2948</v>
      </c>
    </row>
    <row r="979" spans="1:160" ht="18" hidden="1" customHeight="1">
      <c r="A979" s="1" t="s">
        <v>643</v>
      </c>
      <c r="B979" t="s">
        <v>1729</v>
      </c>
      <c r="C979" t="s">
        <v>1730</v>
      </c>
      <c r="D979" t="s">
        <v>1731</v>
      </c>
      <c r="E979" t="s">
        <v>1732</v>
      </c>
      <c r="F979" t="s">
        <v>1733</v>
      </c>
      <c r="G979" t="s">
        <v>649</v>
      </c>
      <c r="H979" t="s">
        <v>254</v>
      </c>
      <c r="I979">
        <v>2016</v>
      </c>
      <c r="J979">
        <v>41</v>
      </c>
      <c r="K979" t="s">
        <v>1734</v>
      </c>
      <c r="M979" t="str">
        <f>LEFT($D979,FIND(",",$D979)-1)&amp;"_"&amp;I979&amp;L979</f>
        <v>Liu_2016</v>
      </c>
      <c r="N979" t="s">
        <v>222</v>
      </c>
      <c r="O979" s="145" t="s">
        <v>225</v>
      </c>
      <c r="Q979" s="317" t="s">
        <v>256</v>
      </c>
      <c r="R979" s="318" t="s">
        <v>1029</v>
      </c>
      <c r="S979" s="1" t="s">
        <v>1740</v>
      </c>
      <c r="T979" s="182">
        <v>0.55000000000000004</v>
      </c>
      <c r="U979" s="182">
        <v>0.9</v>
      </c>
      <c r="V979" s="253">
        <v>0</v>
      </c>
      <c r="W979" s="253">
        <v>0</v>
      </c>
      <c r="X979">
        <v>0</v>
      </c>
      <c r="Y979">
        <v>0</v>
      </c>
      <c r="Z979">
        <v>0</v>
      </c>
      <c r="AA979">
        <v>0</v>
      </c>
      <c r="AB979">
        <v>0</v>
      </c>
      <c r="AC979">
        <v>0</v>
      </c>
      <c r="AD979">
        <v>0</v>
      </c>
      <c r="AE979">
        <v>0</v>
      </c>
      <c r="AF979">
        <v>0</v>
      </c>
      <c r="AG979">
        <v>0</v>
      </c>
      <c r="AH979">
        <v>0</v>
      </c>
      <c r="AI979">
        <v>1</v>
      </c>
      <c r="AJ979">
        <v>0</v>
      </c>
      <c r="AK979">
        <v>0</v>
      </c>
      <c r="AL979">
        <v>0</v>
      </c>
      <c r="AM979">
        <v>0</v>
      </c>
      <c r="AN979">
        <v>0</v>
      </c>
      <c r="AO979">
        <v>0</v>
      </c>
      <c r="AP979">
        <v>0</v>
      </c>
      <c r="AQ979">
        <v>0</v>
      </c>
      <c r="AR979">
        <v>0</v>
      </c>
      <c r="AS979">
        <v>0</v>
      </c>
      <c r="AT979">
        <v>0</v>
      </c>
      <c r="AU979">
        <v>0</v>
      </c>
      <c r="AV979">
        <v>0</v>
      </c>
      <c r="AW979">
        <v>0</v>
      </c>
      <c r="AX979">
        <v>0</v>
      </c>
      <c r="AY979">
        <v>0</v>
      </c>
      <c r="AZ979" s="141">
        <f>COUNTIF(X979:AY979,"&lt;&gt;0")</f>
        <v>1</v>
      </c>
      <c r="BA979" s="141">
        <f>COUNTIF(X979:AN979,"&lt;&gt;0")</f>
        <v>1</v>
      </c>
      <c r="BB979">
        <f>COUNTIF(X979:AE979,"&lt;&gt;0")</f>
        <v>0</v>
      </c>
      <c r="BC979">
        <f>COUNTIF(AF979:AK979,"&lt;&gt;0")</f>
        <v>1</v>
      </c>
      <c r="BD979">
        <f>COUNTIF(AL979:AN979,"&lt;&gt;0")</f>
        <v>0</v>
      </c>
      <c r="BE979">
        <f>COUNTIF(AU979:AY979,"&lt;&gt;0")</f>
        <v>0</v>
      </c>
      <c r="BF979">
        <f>COUNTIF(AO979:AT979,"&lt;&gt;0")</f>
        <v>0</v>
      </c>
      <c r="BG979" t="str" cm="1">
        <f t="array" ref="BG979">IF(BA979=1,INDEX($X$7:$AN$7,MATCH(TRUE,INDEX($X979:$AY979&lt;&gt;0,),0)),IF(BA979=0,INDEX($AO$7:$AY$7,MATCH(1,$AO979:$AY979,0)),IF(BH979="Multiple strategies","mixed drivers",IF(BH979="Supply chain","multiple supply","multiple silviculture"))))</f>
        <v>recycling</v>
      </c>
      <c r="BH979" s="2" t="str" cm="1">
        <f t="array" ref="BH979">IF(COUNTIF(BB979:BD979,"&lt;&gt;0")=1,INDEX($X$4:$AY$4,MATCH(TRUE,INDEX($X979:$AY979&lt;&gt;0,),0)),IF(COUNTIF(BB979:BD979,"&lt;&gt;0")=0,INDEX($AO$4:$AY$4,MATCH(1,$AO979:$AY979,0)),"Multiple strategies"))</f>
        <v>Supply chain</v>
      </c>
      <c r="BI979" s="142" t="s">
        <v>229</v>
      </c>
      <c r="BJ979" t="s">
        <v>1736</v>
      </c>
      <c r="BK979" s="321" t="s">
        <v>4983</v>
      </c>
      <c r="BL979" s="143" t="s">
        <v>4984</v>
      </c>
      <c r="BM979">
        <f>606/2799</f>
        <v>0.21650589496248659</v>
      </c>
      <c r="BN979">
        <f>606/2799</f>
        <v>0.21650589496248659</v>
      </c>
      <c r="BO979" s="163"/>
      <c r="BP979">
        <f>BN979-BM979</f>
        <v>0</v>
      </c>
      <c r="BQ979" s="143">
        <f>BP979*t_to_m3</f>
        <v>0</v>
      </c>
      <c r="BR979" s="317" t="s">
        <v>232</v>
      </c>
      <c r="BS979" s="155" t="s">
        <v>1025</v>
      </c>
      <c r="BT979" t="s">
        <v>4985</v>
      </c>
      <c r="BU979" s="143">
        <v>-1.07</v>
      </c>
      <c r="BV979">
        <f>-0.99</f>
        <v>-0.99</v>
      </c>
      <c r="BW979" s="144">
        <f>IFERROR(BV979/BU979,"")</f>
        <v>0.92523364485981308</v>
      </c>
      <c r="BX979">
        <f>BV979-BU979</f>
        <v>8.0000000000000071E-2</v>
      </c>
      <c r="BZ979">
        <f>BX979</f>
        <v>8.0000000000000071E-2</v>
      </c>
      <c r="CA979" t="str">
        <f>IFERROR(BZ979/BQ979,"")</f>
        <v/>
      </c>
      <c r="CB979">
        <v>0</v>
      </c>
      <c r="CC979">
        <v>0</v>
      </c>
      <c r="CD979">
        <v>0</v>
      </c>
      <c r="CE979">
        <v>0</v>
      </c>
      <c r="CF979">
        <v>0</v>
      </c>
      <c r="CG979">
        <v>0</v>
      </c>
      <c r="CH979">
        <v>0</v>
      </c>
      <c r="CI979">
        <v>0</v>
      </c>
      <c r="CJ979">
        <v>0</v>
      </c>
      <c r="CK979">
        <v>0</v>
      </c>
      <c r="CL979">
        <v>0</v>
      </c>
      <c r="CM979">
        <v>0</v>
      </c>
      <c r="CN979">
        <v>0</v>
      </c>
      <c r="CO979">
        <v>0</v>
      </c>
      <c r="CP979" t="str">
        <f>IF($BN979&lt;$BM979,"refNeedCorrection","refOK")</f>
        <v>refOK</v>
      </c>
      <c r="CQ979">
        <f>IF($CP979="refNeedCorrection",BN979,BM979)</f>
        <v>0.21650589496248659</v>
      </c>
      <c r="CR979">
        <f>IF($CP979="refNeedCorrection",BM979,BN979)</f>
        <v>0.21650589496248659</v>
      </c>
      <c r="CS979">
        <f>IF($CP979="refOK",$BQ979,-$BQ979)</f>
        <v>0</v>
      </c>
      <c r="CT979">
        <f>IF(BI979="Roundwood",$CS979/2,$CS979)</f>
        <v>0</v>
      </c>
      <c r="CU979">
        <f>IF($CP979="refOK",$BU979,$BV979)*IF($BR979="Emissions positive",-1,1)</f>
        <v>-1.07</v>
      </c>
      <c r="CV979">
        <f>IF($CP979="refOK",$BV979,$BU979)*IF($BR979="Emissions positive",-1,1)</f>
        <v>-0.99</v>
      </c>
      <c r="CW979">
        <f>IF($CP979="refNeedCorrection",-BZ979,BZ979)*IF($BR979="Emissions positive",-1,1)</f>
        <v>8.0000000000000071E-2</v>
      </c>
      <c r="CX979" t="str">
        <f>IFERROR($CW979/$CS979,"")</f>
        <v/>
      </c>
      <c r="CY979" t="str">
        <f>IFERROR($CW979/$CS979,"")</f>
        <v/>
      </c>
      <c r="CZ979" t="str">
        <f>IFERROR($CW979/$CT979,"")</f>
        <v/>
      </c>
      <c r="DA979" s="2">
        <f>IFERROR((CV979-CU979)/ABS(CU979),"")</f>
        <v>7.476635514018698E-2</v>
      </c>
      <c r="DB979" s="1" t="s">
        <v>1074</v>
      </c>
      <c r="DC979" s="317" t="str">
        <f>IF(OR($DB979="prd",$DB979="std",$DB979="cit"),"loc",IF(OR($DB979="eur",$DB979="reg",$DB979="coy"),"reg",$DB979))</f>
        <v>reg</v>
      </c>
      <c r="DD979" t="s">
        <v>677</v>
      </c>
      <c r="DF979" s="143"/>
      <c r="DG979" s="143">
        <v>50</v>
      </c>
      <c r="DH979" t="str">
        <f>IF(DG979=0,"0",IF(AND(DG979&gt;=1,DG979&lt;=30),"1-30",IF(AND(DG979&gt;30,DG979&lt;=70),"31-70",IF(AND(DG979&gt;70,DG979&lt;=100),"71-100",IF(DG979&gt;100,"+100")))))</f>
        <v>31-70</v>
      </c>
      <c r="DI979">
        <v>0</v>
      </c>
      <c r="DJ979">
        <v>0</v>
      </c>
      <c r="DK979">
        <v>0</v>
      </c>
      <c r="DL979">
        <v>1</v>
      </c>
      <c r="DN979">
        <f>SUM(DI979:DL979)</f>
        <v>1</v>
      </c>
      <c r="DO979" t="str">
        <f>IF(DN979=1,INDEX($DI$7:$DL$7,MATCH(1,$DI979:$DL979,0)),"mixedProduct")</f>
        <v>TimberInput</v>
      </c>
      <c r="DP979">
        <f>IF(DI979=1,DP$7,0)</f>
        <v>0</v>
      </c>
      <c r="DQ979">
        <f>IF(DJ979=1,DQ$7,0)</f>
        <v>0</v>
      </c>
      <c r="DR979">
        <f>IF(DK979=1,DR$7,0)</f>
        <v>0</v>
      </c>
      <c r="DS979" t="str">
        <f>IF(DL979=1,DS$7,0)</f>
        <v>Timber</v>
      </c>
      <c r="DT979">
        <v>0</v>
      </c>
      <c r="DU979" s="143">
        <v>0</v>
      </c>
      <c r="DV979" s="143">
        <v>0</v>
      </c>
      <c r="DW979">
        <v>0</v>
      </c>
      <c r="DX979" s="143">
        <v>0</v>
      </c>
      <c r="DY979">
        <f>SUM(DT979:DU979)</f>
        <v>0</v>
      </c>
      <c r="DZ979" s="143" t="str">
        <f>IF(DT979=1,"self-calculated DF",IF(DU979=1,"external DF used","explicit C balance"))</f>
        <v>explicit C balance</v>
      </c>
      <c r="EA979" s="143">
        <v>0</v>
      </c>
      <c r="EB979" s="143">
        <v>0</v>
      </c>
      <c r="EC979" s="143">
        <v>0</v>
      </c>
      <c r="ED979" s="143">
        <v>1</v>
      </c>
      <c r="EE979">
        <v>0</v>
      </c>
      <c r="EF979">
        <v>1</v>
      </c>
      <c r="EG979" s="143">
        <v>1</v>
      </c>
      <c r="EH979" s="143">
        <v>1</v>
      </c>
      <c r="EI979" s="143">
        <v>1</v>
      </c>
      <c r="EJ979">
        <v>1</v>
      </c>
      <c r="EK979">
        <v>0</v>
      </c>
      <c r="EL979" s="143">
        <v>0</v>
      </c>
      <c r="EM979">
        <v>0</v>
      </c>
      <c r="EN979" s="2">
        <v>0</v>
      </c>
      <c r="EP979" t="str">
        <f>IF(AND(AND(AND(OR($EC979=1,$EB979=1),OR($EH979=1,$EF979=1)),SUM($EA979:$EE979,$EK979)&gt;=3),SUM($EF979:$EJ979)&gt;=2),"Whole sector approach","")</f>
        <v/>
      </c>
      <c r="EQ979" t="str">
        <f>IF(AND(AND(OR($EC979=1,$EB979=1),AND($EH979=0,$EF979=0)),SUM($EA979:$EE979,$EK979)&gt;=3),"Ecosystem approach","")</f>
        <v/>
      </c>
      <c r="ER979" s="2" t="str">
        <f>IF(AND(AND(AND($EC979=0,$EB979=0),OR($EH979=1,$EF979=1)),SUM($EG979:$EJ979)&gt;=2),"Technology approach","")</f>
        <v>Technology approach</v>
      </c>
      <c r="ES979" t="str">
        <f>IF(AND($EC979+$EB979+$EE979+$EA979+$ED979+$EG979=0,$N979="included"),"C neutral forest and HWP assumption","")</f>
        <v/>
      </c>
      <c r="ET979" t="str">
        <f>IF(AND(AND(AND(AND($EC979=1,$EB979+$EA979+$EG979&gt;=1),$EF979=1),$EH979+$EI979+$ED979+$EE979&gt;=2),$N979="included"),"All C pools assumption","")</f>
        <v/>
      </c>
      <c r="EU979" t="str">
        <f>IF(AND($ED979+$EE979+$EI979+$EH979+$EF979=0,$N979="included"),"In-situ only assumption","")</f>
        <v/>
      </c>
      <c r="EV979" s="328" t="s">
        <v>5065</v>
      </c>
      <c r="EW979" t="s">
        <v>1738</v>
      </c>
      <c r="EY979" t="b">
        <f>IF(ISNUMBER(BW979),IF(ABS(BW979-[4]QC_indicators!$B$2)&gt;3*[4]QC_indicators!$C$2,"C ratio",IF(ISNUMBER(CA979),IF(ABS(CA979-[4]QC_indicators!$B$1)&gt;3*[4]QC_indicators!$C$1,"DF","no"))),IF(ISNUMBER(CA979),IF(ABS(CA979-[4]QC_indicators!$B$1)&gt;3*[4]QC_indicators!$C$1,"DF","no")))</f>
        <v>0</v>
      </c>
      <c r="EZ979" t="s">
        <v>1039</v>
      </c>
      <c r="FA979" t="str">
        <f>IF(LEN($CY979)=0,"",IF(AND($CY979&lt;(-0.05),$ES979="C neutral forest and HWP assumption"),"Cneutral paradox",IF(AND($CY979&gt;0.05,$EU979="In-situ only assumption"),"In-situ only paradox","")))</f>
        <v/>
      </c>
      <c r="FB979" s="317" t="s">
        <v>1739</v>
      </c>
      <c r="FD979" t="s">
        <v>4986</v>
      </c>
    </row>
    <row r="980" spans="1:160" ht="85" hidden="1">
      <c r="A980" s="1" t="s">
        <v>643</v>
      </c>
      <c r="B980" t="s">
        <v>1729</v>
      </c>
      <c r="C980" t="s">
        <v>1730</v>
      </c>
      <c r="D980" t="s">
        <v>1731</v>
      </c>
      <c r="E980" t="s">
        <v>1732</v>
      </c>
      <c r="F980" t="s">
        <v>1733</v>
      </c>
      <c r="G980" t="s">
        <v>649</v>
      </c>
      <c r="H980" t="s">
        <v>254</v>
      </c>
      <c r="I980">
        <v>2016</v>
      </c>
      <c r="J980">
        <v>41</v>
      </c>
      <c r="K980" t="s">
        <v>1734</v>
      </c>
      <c r="M980" t="str">
        <f>LEFT($D980,FIND(",",$D980)-1)&amp;"_"&amp;I980&amp;L980</f>
        <v>Liu_2016</v>
      </c>
      <c r="N980" t="s">
        <v>222</v>
      </c>
      <c r="O980" s="145" t="s">
        <v>225</v>
      </c>
      <c r="Q980" s="317" t="s">
        <v>256</v>
      </c>
      <c r="R980" s="318" t="s">
        <v>1029</v>
      </c>
      <c r="S980" s="1" t="s">
        <v>1735</v>
      </c>
      <c r="T980" s="182">
        <v>0.55000000000000004</v>
      </c>
      <c r="U980" s="182">
        <v>0.9</v>
      </c>
      <c r="V980" s="253">
        <v>0</v>
      </c>
      <c r="W980" s="253">
        <v>0</v>
      </c>
      <c r="X980">
        <v>0</v>
      </c>
      <c r="Y980">
        <v>0</v>
      </c>
      <c r="Z980">
        <v>0</v>
      </c>
      <c r="AA980">
        <v>0</v>
      </c>
      <c r="AB980">
        <v>0</v>
      </c>
      <c r="AC980">
        <v>0</v>
      </c>
      <c r="AD980">
        <v>0</v>
      </c>
      <c r="AE980">
        <v>0</v>
      </c>
      <c r="AF980">
        <v>0</v>
      </c>
      <c r="AG980">
        <v>0</v>
      </c>
      <c r="AH980">
        <v>0</v>
      </c>
      <c r="AI980">
        <v>1</v>
      </c>
      <c r="AJ980">
        <v>0</v>
      </c>
      <c r="AK980">
        <v>0</v>
      </c>
      <c r="AL980">
        <v>0</v>
      </c>
      <c r="AM980">
        <v>0</v>
      </c>
      <c r="AN980">
        <v>0</v>
      </c>
      <c r="AO980">
        <v>0</v>
      </c>
      <c r="AP980">
        <v>0</v>
      </c>
      <c r="AQ980">
        <v>0</v>
      </c>
      <c r="AR980">
        <v>0</v>
      </c>
      <c r="AS980">
        <v>0</v>
      </c>
      <c r="AT980">
        <v>0</v>
      </c>
      <c r="AU980">
        <v>0</v>
      </c>
      <c r="AV980">
        <v>0</v>
      </c>
      <c r="AW980">
        <v>0</v>
      </c>
      <c r="AX980">
        <v>0</v>
      </c>
      <c r="AY980">
        <v>0</v>
      </c>
      <c r="AZ980" s="141">
        <f>COUNTIF(X980:AY980,"&lt;&gt;0")</f>
        <v>1</v>
      </c>
      <c r="BA980" s="141">
        <f>COUNTIF(X980:AN980,"&lt;&gt;0")</f>
        <v>1</v>
      </c>
      <c r="BB980">
        <f>COUNTIF(X980:AE980,"&lt;&gt;0")</f>
        <v>0</v>
      </c>
      <c r="BC980">
        <f>COUNTIF(AF980:AK980,"&lt;&gt;0")</f>
        <v>1</v>
      </c>
      <c r="BD980">
        <f>COUNTIF(AL980:AN980,"&lt;&gt;0")</f>
        <v>0</v>
      </c>
      <c r="BE980">
        <f>COUNTIF(AU980:AY980,"&lt;&gt;0")</f>
        <v>0</v>
      </c>
      <c r="BF980">
        <f>COUNTIF(AO980:AT980,"&lt;&gt;0")</f>
        <v>0</v>
      </c>
      <c r="BG980" t="str" cm="1">
        <f t="array" ref="BG980">IF(BA980=1,INDEX($X$7:$AN$7,MATCH(TRUE,INDEX($X980:$AY980&lt;&gt;0,),0)),IF(BA980=0,INDEX($AO$7:$AY$7,MATCH(1,$AO980:$AY980,0)),IF(BH980="Multiple strategies","mixed drivers",IF(BH980="Supply chain","multiple supply","multiple silviculture"))))</f>
        <v>recycling</v>
      </c>
      <c r="BH980" s="2" t="str" cm="1">
        <f t="array" ref="BH980">IF(COUNTIF(BB980:BD980,"&lt;&gt;0")=1,INDEX($X$4:$AY$4,MATCH(TRUE,INDEX($X980:$AY980&lt;&gt;0,),0)),IF(COUNTIF(BB980:BD980,"&lt;&gt;0")=0,INDEX($AO$4:$AY$4,MATCH(1,$AO980:$AY980,0)),"Multiple strategies"))</f>
        <v>Supply chain</v>
      </c>
      <c r="BI980" s="142" t="s">
        <v>229</v>
      </c>
      <c r="BJ980" t="s">
        <v>1736</v>
      </c>
      <c r="BK980" s="321" t="s">
        <v>4983</v>
      </c>
      <c r="BL980" s="143" t="s">
        <v>4984</v>
      </c>
      <c r="BM980">
        <f>606/2799</f>
        <v>0.21650589496248659</v>
      </c>
      <c r="BN980">
        <f>606/2799</f>
        <v>0.21650589496248659</v>
      </c>
      <c r="BO980" s="163"/>
      <c r="BP980">
        <f>BN980-BM980</f>
        <v>0</v>
      </c>
      <c r="BQ980" s="143">
        <f>BP980*t_to_m3</f>
        <v>0</v>
      </c>
      <c r="BR980" s="317" t="s">
        <v>232</v>
      </c>
      <c r="BS980" s="155" t="s">
        <v>1025</v>
      </c>
      <c r="BT980" t="s">
        <v>4985</v>
      </c>
      <c r="BU980" s="143">
        <v>-0.82</v>
      </c>
      <c r="BV980">
        <f>-0.73</f>
        <v>-0.73</v>
      </c>
      <c r="BW980" s="144">
        <f>IFERROR(BV980/BU980,"")</f>
        <v>0.8902439024390244</v>
      </c>
      <c r="BX980">
        <f>BV980-BU980</f>
        <v>8.9999999999999969E-2</v>
      </c>
      <c r="BZ980">
        <f>BX980</f>
        <v>8.9999999999999969E-2</v>
      </c>
      <c r="CA980" t="str">
        <f>IFERROR(BZ980/BQ980,"")</f>
        <v/>
      </c>
      <c r="CB980">
        <v>0</v>
      </c>
      <c r="CC980">
        <v>0</v>
      </c>
      <c r="CD980">
        <v>0</v>
      </c>
      <c r="CE980">
        <v>0</v>
      </c>
      <c r="CF980">
        <v>0</v>
      </c>
      <c r="CG980">
        <v>0</v>
      </c>
      <c r="CH980">
        <v>0</v>
      </c>
      <c r="CI980">
        <v>0</v>
      </c>
      <c r="CJ980">
        <v>0</v>
      </c>
      <c r="CK980">
        <v>0</v>
      </c>
      <c r="CL980">
        <v>0</v>
      </c>
      <c r="CM980">
        <v>0</v>
      </c>
      <c r="CN980">
        <v>0</v>
      </c>
      <c r="CO980">
        <v>0</v>
      </c>
      <c r="CP980" t="str">
        <f>IF($BN980&lt;$BM980,"refNeedCorrection","refOK")</f>
        <v>refOK</v>
      </c>
      <c r="CQ980">
        <f>IF($CP980="refNeedCorrection",BN980,BM980)</f>
        <v>0.21650589496248659</v>
      </c>
      <c r="CR980">
        <f>IF($CP980="refNeedCorrection",BM980,BN980)</f>
        <v>0.21650589496248659</v>
      </c>
      <c r="CS980">
        <f>IF($CP980="refOK",$BQ980,-$BQ980)</f>
        <v>0</v>
      </c>
      <c r="CT980">
        <f>IF(BI980="Roundwood",$CS980/2,$CS980)</f>
        <v>0</v>
      </c>
      <c r="CU980">
        <f>IF($CP980="refOK",$BU980,$BV980)*IF($BR980="Emissions positive",-1,1)</f>
        <v>-0.82</v>
      </c>
      <c r="CV980">
        <f>IF($CP980="refOK",$BV980,$BU980)*IF($BR980="Emissions positive",-1,1)</f>
        <v>-0.73</v>
      </c>
      <c r="CW980">
        <f>IF($CP980="refNeedCorrection",-BZ980,BZ980)*IF($BR980="Emissions positive",-1,1)</f>
        <v>8.9999999999999969E-2</v>
      </c>
      <c r="CX980" t="str">
        <f>IFERROR($CW980/$CS980,"")</f>
        <v/>
      </c>
      <c r="CY980" t="str">
        <f>IFERROR($CW980/$CS980,"")</f>
        <v/>
      </c>
      <c r="CZ980" t="str">
        <f>IFERROR($CW980/$CT980,"")</f>
        <v/>
      </c>
      <c r="DA980" s="2">
        <f>IFERROR((CV980-CU980)/ABS(CU980),"")</f>
        <v>0.10975609756097558</v>
      </c>
      <c r="DB980" s="1" t="s">
        <v>1074</v>
      </c>
      <c r="DC980" s="317" t="str">
        <f>IF(OR($DB980="prd",$DB980="std",$DB980="cit"),"loc",IF(OR($DB980="eur",$DB980="reg",$DB980="coy"),"reg",$DB980))</f>
        <v>reg</v>
      </c>
      <c r="DD980" t="s">
        <v>677</v>
      </c>
      <c r="DF980" s="143"/>
      <c r="DG980" s="143">
        <v>50</v>
      </c>
      <c r="DH980" t="str">
        <f>IF(DG980=0,"0",IF(AND(DG980&gt;=1,DG980&lt;=30),"1-30",IF(AND(DG980&gt;30,DG980&lt;=70),"31-70",IF(AND(DG980&gt;70,DG980&lt;=100),"71-100",IF(DG980&gt;100,"+100")))))</f>
        <v>31-70</v>
      </c>
      <c r="DI980">
        <v>0</v>
      </c>
      <c r="DJ980">
        <v>0</v>
      </c>
      <c r="DK980">
        <v>0</v>
      </c>
      <c r="DL980">
        <v>1</v>
      </c>
      <c r="DN980">
        <f>SUM(DI980:DL980)</f>
        <v>1</v>
      </c>
      <c r="DO980" t="str">
        <f>IF(DN980=1,INDEX($DI$7:$DL$7,MATCH(1,$DI980:$DL980,0)),"mixedProduct")</f>
        <v>TimberInput</v>
      </c>
      <c r="DP980">
        <f>IF(DI980=1,DP$7,0)</f>
        <v>0</v>
      </c>
      <c r="DQ980">
        <f>IF(DJ980=1,DQ$7,0)</f>
        <v>0</v>
      </c>
      <c r="DR980">
        <f>IF(DK980=1,DR$7,0)</f>
        <v>0</v>
      </c>
      <c r="DS980" t="str">
        <f>IF(DL980=1,DS$7,0)</f>
        <v>Timber</v>
      </c>
      <c r="DT980">
        <v>0</v>
      </c>
      <c r="DU980" s="143">
        <v>0</v>
      </c>
      <c r="DV980" s="143">
        <v>0</v>
      </c>
      <c r="DW980">
        <v>0</v>
      </c>
      <c r="DX980" s="143">
        <v>0</v>
      </c>
      <c r="DY980">
        <f>SUM(DT980:DU980)</f>
        <v>0</v>
      </c>
      <c r="DZ980" s="143" t="str">
        <f>IF(DT980=1,"self-calculated DF",IF(DU980=1,"external DF used","explicit C balance"))</f>
        <v>explicit C balance</v>
      </c>
      <c r="EA980" s="143">
        <v>0</v>
      </c>
      <c r="EB980" s="143">
        <v>0</v>
      </c>
      <c r="EC980" s="143">
        <v>0</v>
      </c>
      <c r="ED980" s="143">
        <v>1</v>
      </c>
      <c r="EE980">
        <v>0</v>
      </c>
      <c r="EF980">
        <v>1</v>
      </c>
      <c r="EG980" s="143">
        <v>1</v>
      </c>
      <c r="EH980" s="143">
        <v>1</v>
      </c>
      <c r="EI980" s="143">
        <v>1</v>
      </c>
      <c r="EJ980">
        <v>1</v>
      </c>
      <c r="EK980">
        <v>0</v>
      </c>
      <c r="EL980" s="143">
        <v>0</v>
      </c>
      <c r="EM980">
        <v>0</v>
      </c>
      <c r="EN980" s="2">
        <v>0</v>
      </c>
      <c r="EP980" t="str">
        <f>IF(AND(AND(AND(OR($EC980=1,$EB980=1),OR($EH980=1,$EF980=1)),SUM($EA980:$EE980,$EK980)&gt;=3),SUM($EF980:$EJ980)&gt;=2),"Whole sector approach","")</f>
        <v/>
      </c>
      <c r="EQ980" t="str">
        <f>IF(AND(AND(OR($EC980=1,$EB980=1),AND($EH980=0,$EF980=0)),SUM($EA980:$EE980,$EK980)&gt;=3),"Ecosystem approach","")</f>
        <v/>
      </c>
      <c r="ER980" s="2" t="str">
        <f>IF(AND(AND(AND($EC980=0,$EB980=0),OR($EH980=1,$EF980=1)),SUM($EG980:$EJ980)&gt;=2),"Technology approach","")</f>
        <v>Technology approach</v>
      </c>
      <c r="ES980" t="str">
        <f>IF(AND($EC980+$EB980+$EE980+$EA980+$ED980+$EG980=0,$N980="included"),"C neutral forest and HWP assumption","")</f>
        <v/>
      </c>
      <c r="ET980" t="str">
        <f>IF(AND(AND(AND(AND($EC980=1,$EB980+$EA980+$EG980&gt;=1),$EF980=1),$EH980+$EI980+$ED980+$EE980&gt;=2),$N980="included"),"All C pools assumption","")</f>
        <v/>
      </c>
      <c r="EU980" t="str">
        <f>IF(AND($ED980+$EE980+$EI980+$EH980+$EF980=0,$N980="included"),"In-situ only assumption","")</f>
        <v/>
      </c>
      <c r="EV980" s="328" t="s">
        <v>5065</v>
      </c>
      <c r="EW980" t="s">
        <v>1738</v>
      </c>
      <c r="EY980" t="b">
        <f>IF(ISNUMBER(BW980),IF(ABS(BW980-[4]QC_indicators!$B$2)&gt;3*[4]QC_indicators!$C$2,"C ratio",IF(ISNUMBER(CA980),IF(ABS(CA980-[4]QC_indicators!$B$1)&gt;3*[4]QC_indicators!$C$1,"DF","no"))),IF(ISNUMBER(CA980),IF(ABS(CA980-[4]QC_indicators!$B$1)&gt;3*[4]QC_indicators!$C$1,"DF","no")))</f>
        <v>0</v>
      </c>
      <c r="EZ980" t="s">
        <v>1039</v>
      </c>
      <c r="FA980" t="str">
        <f>IF(LEN($CY980)=0,"",IF(AND($CY980&lt;(-0.05),$ES980="C neutral forest and HWP assumption"),"Cneutral paradox",IF(AND($CY980&gt;0.05,$EU980="In-situ only assumption"),"In-situ only paradox","")))</f>
        <v/>
      </c>
      <c r="FB980" s="317" t="s">
        <v>1739</v>
      </c>
      <c r="FD980" t="s">
        <v>4986</v>
      </c>
    </row>
    <row r="981" spans="1:160" ht="15" hidden="1" customHeight="1">
      <c r="A981" s="1" t="s">
        <v>643</v>
      </c>
      <c r="B981" t="s">
        <v>1729</v>
      </c>
      <c r="C981" t="s">
        <v>1730</v>
      </c>
      <c r="D981" t="s">
        <v>1731</v>
      </c>
      <c r="E981" t="s">
        <v>1732</v>
      </c>
      <c r="F981" t="s">
        <v>1733</v>
      </c>
      <c r="G981" t="s">
        <v>649</v>
      </c>
      <c r="H981" t="s">
        <v>254</v>
      </c>
      <c r="I981">
        <v>2016</v>
      </c>
      <c r="J981">
        <v>41</v>
      </c>
      <c r="K981" t="s">
        <v>1734</v>
      </c>
      <c r="M981" t="str">
        <f>LEFT($D981,FIND(",",$D981)-1)&amp;"_"&amp;I981&amp;L981</f>
        <v>Liu_2016</v>
      </c>
      <c r="N981" t="s">
        <v>222</v>
      </c>
      <c r="O981" s="145" t="s">
        <v>225</v>
      </c>
      <c r="Q981" s="317" t="s">
        <v>256</v>
      </c>
      <c r="R981" s="318" t="s">
        <v>1029</v>
      </c>
      <c r="S981" s="1" t="s">
        <v>1740</v>
      </c>
      <c r="T981" s="143" t="s">
        <v>1743</v>
      </c>
      <c r="U981" s="143" t="s">
        <v>1744</v>
      </c>
      <c r="V981" s="253">
        <v>0</v>
      </c>
      <c r="W981" s="253">
        <v>0</v>
      </c>
      <c r="X981">
        <v>0</v>
      </c>
      <c r="Y981">
        <v>0</v>
      </c>
      <c r="Z981">
        <v>0</v>
      </c>
      <c r="AA981">
        <v>0</v>
      </c>
      <c r="AB981">
        <v>0</v>
      </c>
      <c r="AC981">
        <v>0</v>
      </c>
      <c r="AD981">
        <v>0</v>
      </c>
      <c r="AE981">
        <v>0</v>
      </c>
      <c r="AF981">
        <v>0</v>
      </c>
      <c r="AG981">
        <v>0</v>
      </c>
      <c r="AH981">
        <v>0</v>
      </c>
      <c r="AI981">
        <v>0</v>
      </c>
      <c r="AJ981">
        <v>0</v>
      </c>
      <c r="AK981">
        <v>0</v>
      </c>
      <c r="AL981">
        <v>0</v>
      </c>
      <c r="AM981">
        <v>1</v>
      </c>
      <c r="AN981">
        <v>0</v>
      </c>
      <c r="AO981">
        <v>0</v>
      </c>
      <c r="AP981">
        <v>0</v>
      </c>
      <c r="AQ981">
        <v>0</v>
      </c>
      <c r="AR981">
        <v>0</v>
      </c>
      <c r="AS981">
        <v>0</v>
      </c>
      <c r="AT981">
        <v>0</v>
      </c>
      <c r="AU981">
        <v>0</v>
      </c>
      <c r="AV981">
        <v>0</v>
      </c>
      <c r="AW981">
        <v>0</v>
      </c>
      <c r="AX981">
        <v>0</v>
      </c>
      <c r="AY981">
        <v>0</v>
      </c>
      <c r="AZ981" s="141">
        <f>COUNTIF(X981:AY981,"&lt;&gt;0")</f>
        <v>1</v>
      </c>
      <c r="BA981" s="141">
        <f>COUNTIF(X981:AN981,"&lt;&gt;0")</f>
        <v>1</v>
      </c>
      <c r="BB981">
        <f>COUNTIF(X981:AE981,"&lt;&gt;0")</f>
        <v>0</v>
      </c>
      <c r="BC981">
        <f>COUNTIF(AF981:AK981,"&lt;&gt;0")</f>
        <v>0</v>
      </c>
      <c r="BD981">
        <f>COUNTIF(AL981:AN981,"&lt;&gt;0")</f>
        <v>1</v>
      </c>
      <c r="BE981">
        <f>COUNTIF(AU981:AY981,"&lt;&gt;0")</f>
        <v>0</v>
      </c>
      <c r="BF981">
        <f>COUNTIF(AO981:AT981,"&lt;&gt;0")</f>
        <v>0</v>
      </c>
      <c r="BG981" t="str" cm="1">
        <f t="array" ref="BG981">IF(BA981=1,INDEX($X$7:$AN$7,MATCH(TRUE,INDEX($X981:$AY981&lt;&gt;0,),0)),IF(BA981=0,INDEX($AO$7:$AY$7,MATCH(1,$AO981:$AY981,0)),IF(BH981="Multiple strategies","mixed drivers",IF(BH981="Supply chain","multiple supply","multiple silviculture"))))</f>
        <v>technologies/design switch</v>
      </c>
      <c r="BH981" s="2" t="str" cm="1">
        <f t="array" ref="BH981">IF(COUNTIF(BB981:BD981,"&lt;&gt;0")=1,INDEX($X$4:$AY$4,MATCH(TRUE,INDEX($X981:$AY981&lt;&gt;0,),0)),IF(COUNTIF(BB981:BD981,"&lt;&gt;0")=0,INDEX($AO$4:$AY$4,MATCH(1,$AO981:$AY981,0)),"Multiple strategies"))</f>
        <v>Technology</v>
      </c>
      <c r="BI981" s="142" t="s">
        <v>229</v>
      </c>
      <c r="BJ981" t="s">
        <v>1736</v>
      </c>
      <c r="BK981" s="321" t="s">
        <v>4983</v>
      </c>
      <c r="BL981" s="143" t="s">
        <v>1737</v>
      </c>
      <c r="BM981">
        <v>0</v>
      </c>
      <c r="BN981">
        <f>606/2799</f>
        <v>0.21650589496248659</v>
      </c>
      <c r="BO981" s="163"/>
      <c r="BP981">
        <f>BN981-BM981</f>
        <v>0.21650589496248659</v>
      </c>
      <c r="BQ981" s="143">
        <f>BP981*t_to_m3</f>
        <v>0.44184876522956451</v>
      </c>
      <c r="BR981" s="317" t="s">
        <v>232</v>
      </c>
      <c r="BS981" s="155" t="s">
        <v>1025</v>
      </c>
      <c r="BT981" t="s">
        <v>4985</v>
      </c>
      <c r="BU981" s="143">
        <f>-1.87</f>
        <v>-1.87</v>
      </c>
      <c r="BV981">
        <v>-1.07</v>
      </c>
      <c r="BW981" s="144">
        <f>IFERROR(BV981/BU981,"")</f>
        <v>0.57219251336898391</v>
      </c>
      <c r="BX981">
        <f>BV981-BU981</f>
        <v>0.8</v>
      </c>
      <c r="BZ981">
        <f>BX981</f>
        <v>0.8</v>
      </c>
      <c r="CA981">
        <f>IFERROR(BZ981/BQ981,"")</f>
        <v>1.8105742574257426</v>
      </c>
      <c r="CB981">
        <v>0</v>
      </c>
      <c r="CC981">
        <v>0</v>
      </c>
      <c r="CD981">
        <v>0</v>
      </c>
      <c r="CE981">
        <v>0</v>
      </c>
      <c r="CF981">
        <v>0</v>
      </c>
      <c r="CG981">
        <v>0</v>
      </c>
      <c r="CH981">
        <v>0</v>
      </c>
      <c r="CI981">
        <v>0</v>
      </c>
      <c r="CJ981">
        <v>0</v>
      </c>
      <c r="CK981">
        <v>0</v>
      </c>
      <c r="CL981">
        <v>0</v>
      </c>
      <c r="CM981">
        <v>0</v>
      </c>
      <c r="CN981">
        <v>0</v>
      </c>
      <c r="CO981">
        <v>0</v>
      </c>
      <c r="CP981" t="str">
        <f>IF($BN981&lt;$BM981,"refNeedCorrection","refOK")</f>
        <v>refOK</v>
      </c>
      <c r="CQ981">
        <f>IF($CP981="refNeedCorrection",BN981,BM981)</f>
        <v>0</v>
      </c>
      <c r="CR981">
        <f>IF($CP981="refNeedCorrection",BM981,BN981)</f>
        <v>0.21650589496248659</v>
      </c>
      <c r="CS981">
        <f>IF($CP981="refOK",$BQ981,-$BQ981)</f>
        <v>0.44184876522956451</v>
      </c>
      <c r="CT981">
        <f>IF(BI981="Roundwood",$CS981/2,$CS981)</f>
        <v>0.44184876522956451</v>
      </c>
      <c r="CU981">
        <f>IF($CP981="refOK",$BU981,$BV981)*IF($BR981="Emissions positive",-1,1)</f>
        <v>-1.87</v>
      </c>
      <c r="CV981">
        <f>IF($CP981="refOK",$BV981,$BU981)*IF($BR981="Emissions positive",-1,1)</f>
        <v>-1.07</v>
      </c>
      <c r="CW981">
        <f>IF($CP981="refNeedCorrection",-BZ981,BZ981)*IF($BR981="Emissions positive",-1,1)</f>
        <v>0.8</v>
      </c>
      <c r="CX981">
        <f>IFERROR($CW981/$CS981,"")</f>
        <v>1.8105742574257426</v>
      </c>
      <c r="CY981">
        <f>IFERROR($CW981/$CS981,"")</f>
        <v>1.8105742574257426</v>
      </c>
      <c r="CZ981">
        <f>IFERROR($CW981/$CT981,"")</f>
        <v>1.8105742574257426</v>
      </c>
      <c r="DA981" s="2">
        <f>IFERROR((CV981-CU981)/ABS(CU981),"")</f>
        <v>0.42780748663101603</v>
      </c>
      <c r="DB981" s="1" t="s">
        <v>1074</v>
      </c>
      <c r="DC981" s="317" t="str">
        <f>IF(OR($DB981="prd",$DB981="std",$DB981="cit"),"loc",IF(OR($DB981="eur",$DB981="reg",$DB981="coy"),"reg",$DB981))</f>
        <v>reg</v>
      </c>
      <c r="DD981" t="s">
        <v>677</v>
      </c>
      <c r="DF981" s="143"/>
      <c r="DG981" s="143">
        <v>50</v>
      </c>
      <c r="DH981" t="str">
        <f>IF(DG981=0,"0",IF(AND(DG981&gt;=1,DG981&lt;=30),"1-30",IF(AND(DG981&gt;30,DG981&lt;=70),"31-70",IF(AND(DG981&gt;70,DG981&lt;=100),"71-100",IF(DG981&gt;100,"+100")))))</f>
        <v>31-70</v>
      </c>
      <c r="DI981">
        <v>0</v>
      </c>
      <c r="DJ981">
        <v>0</v>
      </c>
      <c r="DK981">
        <v>0</v>
      </c>
      <c r="DL981">
        <v>1</v>
      </c>
      <c r="DN981">
        <f>SUM(DI981:DL981)</f>
        <v>1</v>
      </c>
      <c r="DO981" t="str">
        <f>IF(DN981=1,INDEX($DI$7:$DL$7,MATCH(1,$DI981:$DL981,0)),"mixedProduct")</f>
        <v>TimberInput</v>
      </c>
      <c r="DP981">
        <f>IF(DI981=1,DP$7,0)</f>
        <v>0</v>
      </c>
      <c r="DQ981">
        <f>IF(DJ981=1,DQ$7,0)</f>
        <v>0</v>
      </c>
      <c r="DR981">
        <f>IF(DK981=1,DR$7,0)</f>
        <v>0</v>
      </c>
      <c r="DS981" t="str">
        <f>IF(DL981=1,DS$7,0)</f>
        <v>Timber</v>
      </c>
      <c r="DT981">
        <v>0</v>
      </c>
      <c r="DU981" s="143">
        <v>0</v>
      </c>
      <c r="DV981" s="143">
        <v>0</v>
      </c>
      <c r="DW981">
        <v>0</v>
      </c>
      <c r="DX981" s="143">
        <v>0</v>
      </c>
      <c r="DY981">
        <f>SUM(DT981:DU981)</f>
        <v>0</v>
      </c>
      <c r="DZ981" s="143" t="str">
        <f>IF(DT981=1,"self-calculated DF",IF(DU981=1,"external DF used","explicit C balance"))</f>
        <v>explicit C balance</v>
      </c>
      <c r="EA981" s="143">
        <v>0</v>
      </c>
      <c r="EB981" s="143">
        <v>0</v>
      </c>
      <c r="EC981" s="143">
        <v>0</v>
      </c>
      <c r="ED981" s="143">
        <v>1</v>
      </c>
      <c r="EE981">
        <v>0</v>
      </c>
      <c r="EF981">
        <v>1</v>
      </c>
      <c r="EG981" s="143">
        <v>1</v>
      </c>
      <c r="EH981" s="143">
        <v>1</v>
      </c>
      <c r="EI981" s="143">
        <v>1</v>
      </c>
      <c r="EJ981">
        <v>1</v>
      </c>
      <c r="EK981">
        <v>0</v>
      </c>
      <c r="EL981" s="143">
        <v>0</v>
      </c>
      <c r="EM981">
        <v>0</v>
      </c>
      <c r="EN981" s="2">
        <v>0</v>
      </c>
      <c r="EP981" t="str">
        <f>IF(AND(AND(AND(OR($EC981=1,$EB981=1),OR($EH981=1,$EF981=1)),SUM($EA981:$EE981,$EK981)&gt;=3),SUM($EF981:$EJ981)&gt;=2),"Whole sector approach","")</f>
        <v/>
      </c>
      <c r="EQ981" t="str">
        <f>IF(AND(AND(OR($EC981=1,$EB981=1),AND($EH981=0,$EF981=0)),SUM($EA981:$EE981,$EK981)&gt;=3),"Ecosystem approach","")</f>
        <v/>
      </c>
      <c r="ER981" s="2" t="str">
        <f>IF(AND(AND(AND($EC981=0,$EB981=0),OR($EH981=1,$EF981=1)),SUM($EG981:$EJ981)&gt;=2),"Technology approach","")</f>
        <v>Technology approach</v>
      </c>
      <c r="ES981" t="str">
        <f>IF(AND($EC981+$EB981+$EE981+$EA981+$ED981+$EG981=0,$N981="included"),"C neutral forest and HWP assumption","")</f>
        <v/>
      </c>
      <c r="ET981" t="str">
        <f>IF(AND(AND(AND(AND($EC981=1,$EB981+$EA981+$EG981&gt;=1),$EF981=1),$EH981+$EI981+$ED981+$EE981&gt;=2),$N981="included"),"All C pools assumption","")</f>
        <v/>
      </c>
      <c r="EU981" t="str">
        <f>IF(AND($ED981+$EE981+$EI981+$EH981+$EF981=0,$N981="included"),"In-situ only assumption","")</f>
        <v/>
      </c>
      <c r="EV981" s="328" t="s">
        <v>5065</v>
      </c>
      <c r="EW981" t="s">
        <v>1738</v>
      </c>
      <c r="EY981" t="str">
        <f>IF(ISNUMBER(BW981),IF(ABS(BW981-[4]QC_indicators!$B$2)&gt;3*[4]QC_indicators!$C$2,"C ratio",IF(ISNUMBER(CA981),IF(ABS(CA981-[4]QC_indicators!$B$1)&gt;3*[4]QC_indicators!$C$1,"DF","no"))),IF(ISNUMBER(CA981),IF(ABS(CA981-[4]QC_indicators!$B$1)&gt;3*[4]QC_indicators!$C$1,"DF","no")))</f>
        <v>no</v>
      </c>
      <c r="EZ981" t="s">
        <v>1039</v>
      </c>
      <c r="FA981" t="str">
        <f>IF(LEN($CY981)=0,"",IF(AND($CY981&lt;(-0.05),$ES981="C neutral forest and HWP assumption"),"Cneutral paradox",IF(AND($CY981&gt;0.05,$EU981="In-situ only assumption"),"In-situ only paradox","")))</f>
        <v/>
      </c>
      <c r="FB981" s="317" t="s">
        <v>1739</v>
      </c>
      <c r="FD981" t="s">
        <v>4986</v>
      </c>
    </row>
    <row r="982" spans="1:160" ht="15" hidden="1" customHeight="1">
      <c r="A982" s="1" t="s">
        <v>643</v>
      </c>
      <c r="B982" t="s">
        <v>1729</v>
      </c>
      <c r="C982" t="s">
        <v>1730</v>
      </c>
      <c r="D982" t="s">
        <v>1731</v>
      </c>
      <c r="E982" t="s">
        <v>1732</v>
      </c>
      <c r="F982" t="s">
        <v>1733</v>
      </c>
      <c r="G982" t="s">
        <v>649</v>
      </c>
      <c r="H982" t="s">
        <v>254</v>
      </c>
      <c r="I982">
        <v>2016</v>
      </c>
      <c r="J982">
        <v>41</v>
      </c>
      <c r="K982" t="s">
        <v>1734</v>
      </c>
      <c r="M982" t="str">
        <f>LEFT($D982,FIND(",",$D982)-1)&amp;"_"&amp;I982&amp;L982</f>
        <v>Liu_2016</v>
      </c>
      <c r="N982" t="s">
        <v>222</v>
      </c>
      <c r="O982" s="145" t="s">
        <v>225</v>
      </c>
      <c r="Q982" s="317" t="s">
        <v>256</v>
      </c>
      <c r="R982" s="318" t="s">
        <v>1029</v>
      </c>
      <c r="S982" s="1" t="s">
        <v>1740</v>
      </c>
      <c r="T982" s="143" t="s">
        <v>1741</v>
      </c>
      <c r="U982" s="143" t="s">
        <v>1742</v>
      </c>
      <c r="V982" s="253">
        <v>0</v>
      </c>
      <c r="W982" s="253">
        <v>0</v>
      </c>
      <c r="X982">
        <v>0</v>
      </c>
      <c r="Y982">
        <v>0</v>
      </c>
      <c r="Z982">
        <v>0</v>
      </c>
      <c r="AA982">
        <v>0</v>
      </c>
      <c r="AB982">
        <v>0</v>
      </c>
      <c r="AC982">
        <v>0</v>
      </c>
      <c r="AD982">
        <v>0</v>
      </c>
      <c r="AE982">
        <v>0</v>
      </c>
      <c r="AF982">
        <v>0</v>
      </c>
      <c r="AG982">
        <v>0</v>
      </c>
      <c r="AH982">
        <v>0</v>
      </c>
      <c r="AI982">
        <v>0</v>
      </c>
      <c r="AJ982">
        <v>0</v>
      </c>
      <c r="AK982">
        <v>0</v>
      </c>
      <c r="AL982">
        <v>0</v>
      </c>
      <c r="AM982">
        <v>1</v>
      </c>
      <c r="AN982">
        <v>0</v>
      </c>
      <c r="AO982">
        <v>0</v>
      </c>
      <c r="AP982">
        <v>0</v>
      </c>
      <c r="AQ982">
        <v>0</v>
      </c>
      <c r="AR982">
        <v>0</v>
      </c>
      <c r="AS982">
        <v>0</v>
      </c>
      <c r="AT982">
        <v>0</v>
      </c>
      <c r="AU982">
        <v>0</v>
      </c>
      <c r="AV982">
        <v>0</v>
      </c>
      <c r="AW982">
        <v>0</v>
      </c>
      <c r="AX982">
        <v>0</v>
      </c>
      <c r="AY982">
        <v>0</v>
      </c>
      <c r="AZ982" s="141">
        <f>COUNTIF(X982:AY982,"&lt;&gt;0")</f>
        <v>1</v>
      </c>
      <c r="BA982" s="141">
        <f>COUNTIF(X982:AN982,"&lt;&gt;0")</f>
        <v>1</v>
      </c>
      <c r="BB982">
        <f>COUNTIF(X982:AE982,"&lt;&gt;0")</f>
        <v>0</v>
      </c>
      <c r="BC982">
        <f>COUNTIF(AF982:AK982,"&lt;&gt;0")</f>
        <v>0</v>
      </c>
      <c r="BD982">
        <f>COUNTIF(AL982:AN982,"&lt;&gt;0")</f>
        <v>1</v>
      </c>
      <c r="BE982">
        <f>COUNTIF(AU982:AY982,"&lt;&gt;0")</f>
        <v>0</v>
      </c>
      <c r="BF982">
        <f>COUNTIF(AO982:AT982,"&lt;&gt;0")</f>
        <v>0</v>
      </c>
      <c r="BG982" t="str" cm="1">
        <f t="array" ref="BG982">IF(BA982=1,INDEX($X$7:$AN$7,MATCH(TRUE,INDEX($X982:$AY982&lt;&gt;0,),0)),IF(BA982=0,INDEX($AO$7:$AY$7,MATCH(1,$AO982:$AY982,0)),IF(BH982="Multiple strategies","mixed drivers",IF(BH982="Supply chain","multiple supply","multiple silviculture"))))</f>
        <v>technologies/design switch</v>
      </c>
      <c r="BH982" s="2" t="str" cm="1">
        <f t="array" ref="BH982">IF(COUNTIF(BB982:BD982,"&lt;&gt;0")=1,INDEX($X$4:$AY$4,MATCH(TRUE,INDEX($X982:$AY982&lt;&gt;0,),0)),IF(COUNTIF(BB982:BD982,"&lt;&gt;0")=0,INDEX($AO$4:$AY$4,MATCH(1,$AO982:$AY982,0)),"Multiple strategies"))</f>
        <v>Technology</v>
      </c>
      <c r="BI982" s="142" t="s">
        <v>229</v>
      </c>
      <c r="BJ982" t="s">
        <v>1736</v>
      </c>
      <c r="BK982" s="321" t="s">
        <v>4983</v>
      </c>
      <c r="BL982" s="143" t="s">
        <v>1737</v>
      </c>
      <c r="BM982">
        <v>0</v>
      </c>
      <c r="BN982">
        <f>606/2799</f>
        <v>0.21650589496248659</v>
      </c>
      <c r="BO982" s="163"/>
      <c r="BP982">
        <f>BN982-BM982</f>
        <v>0.21650589496248659</v>
      </c>
      <c r="BQ982" s="143">
        <f>BP982*t_to_m3</f>
        <v>0.44184876522956451</v>
      </c>
      <c r="BR982" s="317" t="s">
        <v>232</v>
      </c>
      <c r="BS982" s="155" t="s">
        <v>1025</v>
      </c>
      <c r="BT982" t="s">
        <v>4985</v>
      </c>
      <c r="BU982" s="143">
        <f>-1.35</f>
        <v>-1.35</v>
      </c>
      <c r="BV982">
        <v>-0.82</v>
      </c>
      <c r="BW982" s="144">
        <f>IFERROR(BV982/BU982,"")</f>
        <v>0.60740740740740728</v>
      </c>
      <c r="BX982">
        <f>BV982-BU982</f>
        <v>0.53000000000000014</v>
      </c>
      <c r="BZ982">
        <f>BX982</f>
        <v>0.53000000000000014</v>
      </c>
      <c r="CA982">
        <f>IFERROR(BZ982/BQ982,"")</f>
        <v>1.1995054455445546</v>
      </c>
      <c r="CB982">
        <v>0</v>
      </c>
      <c r="CC982">
        <v>0</v>
      </c>
      <c r="CD982">
        <v>0</v>
      </c>
      <c r="CE982">
        <v>0</v>
      </c>
      <c r="CF982">
        <v>0</v>
      </c>
      <c r="CG982">
        <v>0</v>
      </c>
      <c r="CH982">
        <v>0</v>
      </c>
      <c r="CI982">
        <v>0</v>
      </c>
      <c r="CJ982">
        <v>0</v>
      </c>
      <c r="CK982">
        <v>0</v>
      </c>
      <c r="CL982">
        <v>0</v>
      </c>
      <c r="CM982">
        <v>0</v>
      </c>
      <c r="CN982">
        <v>0</v>
      </c>
      <c r="CO982">
        <v>0</v>
      </c>
      <c r="CP982" t="str">
        <f>IF($BN982&lt;$BM982,"refNeedCorrection","refOK")</f>
        <v>refOK</v>
      </c>
      <c r="CQ982">
        <f>IF($CP982="refNeedCorrection",BN982,BM982)</f>
        <v>0</v>
      </c>
      <c r="CR982">
        <f>IF($CP982="refNeedCorrection",BM982,BN982)</f>
        <v>0.21650589496248659</v>
      </c>
      <c r="CS982">
        <f>IF($CP982="refOK",$BQ982,-$BQ982)</f>
        <v>0.44184876522956451</v>
      </c>
      <c r="CT982">
        <f>IF(BI982="Roundwood",$CS982/2,$CS982)</f>
        <v>0.44184876522956451</v>
      </c>
      <c r="CU982">
        <f>IF($CP982="refOK",$BU982,$BV982)*IF($BR982="Emissions positive",-1,1)</f>
        <v>-1.35</v>
      </c>
      <c r="CV982">
        <f>IF($CP982="refOK",$BV982,$BU982)*IF($BR982="Emissions positive",-1,1)</f>
        <v>-0.82</v>
      </c>
      <c r="CW982">
        <f>IF($CP982="refNeedCorrection",-BZ982,BZ982)*IF($BR982="Emissions positive",-1,1)</f>
        <v>0.53000000000000014</v>
      </c>
      <c r="CX982">
        <f>IFERROR($CW982/$CS982,"")</f>
        <v>1.1995054455445546</v>
      </c>
      <c r="CY982">
        <f>IFERROR($CW982/$CS982,"")</f>
        <v>1.1995054455445546</v>
      </c>
      <c r="CZ982">
        <f>IFERROR($CW982/$CT982,"")</f>
        <v>1.1995054455445546</v>
      </c>
      <c r="DA982" s="2">
        <f>IFERROR((CV982-CU982)/ABS(CU982),"")</f>
        <v>0.39259259259259266</v>
      </c>
      <c r="DB982" s="1" t="s">
        <v>1074</v>
      </c>
      <c r="DC982" s="317" t="str">
        <f>IF(OR($DB982="prd",$DB982="std",$DB982="cit"),"loc",IF(OR($DB982="eur",$DB982="reg",$DB982="coy"),"reg",$DB982))</f>
        <v>reg</v>
      </c>
      <c r="DD982" t="s">
        <v>677</v>
      </c>
      <c r="DF982" s="143"/>
      <c r="DG982" s="143">
        <v>50</v>
      </c>
      <c r="DH982" t="str">
        <f>IF(DG982=0,"0",IF(AND(DG982&gt;=1,DG982&lt;=30),"1-30",IF(AND(DG982&gt;30,DG982&lt;=70),"31-70",IF(AND(DG982&gt;70,DG982&lt;=100),"71-100",IF(DG982&gt;100,"+100")))))</f>
        <v>31-70</v>
      </c>
      <c r="DI982">
        <v>0</v>
      </c>
      <c r="DJ982">
        <v>0</v>
      </c>
      <c r="DK982">
        <v>0</v>
      </c>
      <c r="DL982">
        <v>1</v>
      </c>
      <c r="DN982">
        <f>SUM(DI982:DL982)</f>
        <v>1</v>
      </c>
      <c r="DO982" t="str">
        <f>IF(DN982=1,INDEX($DI$7:$DL$7,MATCH(1,$DI982:$DL982,0)),"mixedProduct")</f>
        <v>TimberInput</v>
      </c>
      <c r="DP982">
        <f>IF(DI982=1,DP$7,0)</f>
        <v>0</v>
      </c>
      <c r="DQ982">
        <f>IF(DJ982=1,DQ$7,0)</f>
        <v>0</v>
      </c>
      <c r="DR982">
        <f>IF(DK982=1,DR$7,0)</f>
        <v>0</v>
      </c>
      <c r="DS982" t="str">
        <f>IF(DL982=1,DS$7,0)</f>
        <v>Timber</v>
      </c>
      <c r="DT982">
        <v>0</v>
      </c>
      <c r="DU982" s="143">
        <v>0</v>
      </c>
      <c r="DV982" s="143">
        <v>0</v>
      </c>
      <c r="DW982">
        <v>0</v>
      </c>
      <c r="DX982" s="143">
        <v>0</v>
      </c>
      <c r="DY982">
        <f>SUM(DT982:DU982)</f>
        <v>0</v>
      </c>
      <c r="DZ982" s="143" t="str">
        <f>IF(DT982=1,"self-calculated DF",IF(DU982=1,"external DF used","explicit C balance"))</f>
        <v>explicit C balance</v>
      </c>
      <c r="EA982" s="143">
        <v>0</v>
      </c>
      <c r="EB982" s="143">
        <v>0</v>
      </c>
      <c r="EC982" s="143">
        <v>0</v>
      </c>
      <c r="ED982" s="143">
        <v>1</v>
      </c>
      <c r="EE982">
        <v>0</v>
      </c>
      <c r="EF982">
        <v>1</v>
      </c>
      <c r="EG982" s="143">
        <v>1</v>
      </c>
      <c r="EH982" s="143">
        <v>1</v>
      </c>
      <c r="EI982" s="143">
        <v>1</v>
      </c>
      <c r="EJ982">
        <v>1</v>
      </c>
      <c r="EK982">
        <v>0</v>
      </c>
      <c r="EL982" s="143">
        <v>0</v>
      </c>
      <c r="EM982">
        <v>0</v>
      </c>
      <c r="EN982" s="2">
        <v>0</v>
      </c>
      <c r="EP982" t="str">
        <f>IF(AND(AND(AND(OR($EC982=1,$EB982=1),OR($EH982=1,$EF982=1)),SUM($EA982:$EE982,$EK982)&gt;=3),SUM($EF982:$EJ982)&gt;=2),"Whole sector approach","")</f>
        <v/>
      </c>
      <c r="EQ982" t="str">
        <f>IF(AND(AND(OR($EC982=1,$EB982=1),AND($EH982=0,$EF982=0)),SUM($EA982:$EE982,$EK982)&gt;=3),"Ecosystem approach","")</f>
        <v/>
      </c>
      <c r="ER982" s="2" t="str">
        <f>IF(AND(AND(AND($EC982=0,$EB982=0),OR($EH982=1,$EF982=1)),SUM($EG982:$EJ982)&gt;=2),"Technology approach","")</f>
        <v>Technology approach</v>
      </c>
      <c r="ES982" t="str">
        <f>IF(AND($EC982+$EB982+$EE982+$EA982+$ED982+$EG982=0,$N982="included"),"C neutral forest and HWP assumption","")</f>
        <v/>
      </c>
      <c r="ET982" t="str">
        <f>IF(AND(AND(AND(AND($EC982=1,$EB982+$EA982+$EG982&gt;=1),$EF982=1),$EH982+$EI982+$ED982+$EE982&gt;=2),$N982="included"),"All C pools assumption","")</f>
        <v/>
      </c>
      <c r="EU982" t="str">
        <f>IF(AND($ED982+$EE982+$EI982+$EH982+$EF982=0,$N982="included"),"In-situ only assumption","")</f>
        <v/>
      </c>
      <c r="EV982" s="328" t="s">
        <v>5065</v>
      </c>
      <c r="EW982" t="s">
        <v>1738</v>
      </c>
      <c r="EY982" t="str">
        <f>IF(ISNUMBER(BW982),IF(ABS(BW982-[4]QC_indicators!$B$2)&gt;3*[4]QC_indicators!$C$2,"C ratio",IF(ISNUMBER(CA982),IF(ABS(CA982-[4]QC_indicators!$B$1)&gt;3*[4]QC_indicators!$C$1,"DF","no"))),IF(ISNUMBER(CA982),IF(ABS(CA982-[4]QC_indicators!$B$1)&gt;3*[4]QC_indicators!$C$1,"DF","no")))</f>
        <v>no</v>
      </c>
      <c r="EZ982" t="s">
        <v>1039</v>
      </c>
      <c r="FA982" t="str">
        <f>IF(LEN($CY982)=0,"",IF(AND($CY982&lt;(-0.05),$ES982="C neutral forest and HWP assumption"),"Cneutral paradox",IF(AND($CY982&gt;0.05,$EU982="In-situ only assumption"),"In-situ only paradox","")))</f>
        <v/>
      </c>
      <c r="FB982" s="317" t="s">
        <v>1739</v>
      </c>
      <c r="FD982" t="s">
        <v>4986</v>
      </c>
    </row>
    <row r="983" spans="1:160" ht="15" hidden="1" customHeight="1">
      <c r="A983" s="1" t="s">
        <v>1251</v>
      </c>
      <c r="B983" t="s">
        <v>1745</v>
      </c>
      <c r="C983" t="s">
        <v>1746</v>
      </c>
      <c r="D983" t="s">
        <v>1747</v>
      </c>
      <c r="E983" t="s">
        <v>1748</v>
      </c>
      <c r="F983" t="s">
        <v>1749</v>
      </c>
      <c r="G983" t="s">
        <v>1257</v>
      </c>
      <c r="H983" t="s">
        <v>254</v>
      </c>
      <c r="I983">
        <v>2016</v>
      </c>
      <c r="J983">
        <v>12</v>
      </c>
      <c r="K983" t="s">
        <v>1750</v>
      </c>
      <c r="M983" t="str">
        <f>LEFT($D983,FIND(",",$D983)-1)&amp;"_"&amp;I983&amp;L983</f>
        <v>Lobianco_2016</v>
      </c>
      <c r="N983" t="s">
        <v>222</v>
      </c>
      <c r="O983" s="145" t="s">
        <v>225</v>
      </c>
      <c r="P983" t="s">
        <v>508</v>
      </c>
      <c r="Q983" t="s">
        <v>256</v>
      </c>
      <c r="R983" s="258" t="s">
        <v>223</v>
      </c>
      <c r="S983" s="1" t="s">
        <v>1758</v>
      </c>
      <c r="T983" s="143" t="s">
        <v>2850</v>
      </c>
      <c r="U983" s="143" t="s">
        <v>1030</v>
      </c>
      <c r="V983" s="253">
        <v>0</v>
      </c>
      <c r="W983" s="253">
        <v>0</v>
      </c>
      <c r="X983">
        <v>0</v>
      </c>
      <c r="Y983">
        <v>0</v>
      </c>
      <c r="Z983">
        <v>0</v>
      </c>
      <c r="AA983">
        <v>0</v>
      </c>
      <c r="AB983">
        <v>0</v>
      </c>
      <c r="AC983">
        <v>0</v>
      </c>
      <c r="AD983">
        <v>0</v>
      </c>
      <c r="AE983">
        <v>1</v>
      </c>
      <c r="AF983">
        <v>0</v>
      </c>
      <c r="AG983">
        <v>0</v>
      </c>
      <c r="AH983">
        <v>0</v>
      </c>
      <c r="AI983">
        <v>0</v>
      </c>
      <c r="AJ983">
        <v>0</v>
      </c>
      <c r="AK983">
        <v>0</v>
      </c>
      <c r="AL983">
        <v>0</v>
      </c>
      <c r="AM983">
        <v>0</v>
      </c>
      <c r="AN983">
        <v>0</v>
      </c>
      <c r="AO983">
        <v>0</v>
      </c>
      <c r="AP983">
        <v>1</v>
      </c>
      <c r="AQ983">
        <v>0</v>
      </c>
      <c r="AR983">
        <v>0</v>
      </c>
      <c r="AS983">
        <v>0</v>
      </c>
      <c r="AT983">
        <v>0</v>
      </c>
      <c r="AU983">
        <v>0</v>
      </c>
      <c r="AV983">
        <v>0</v>
      </c>
      <c r="AW983">
        <v>0</v>
      </c>
      <c r="AX983">
        <v>0</v>
      </c>
      <c r="AY983">
        <v>0</v>
      </c>
      <c r="AZ983" s="141">
        <f>COUNTIF(X983:AY983,"&lt;&gt;0")</f>
        <v>2</v>
      </c>
      <c r="BA983" s="141">
        <f>COUNTIF(X983:AN983,"&lt;&gt;0")</f>
        <v>1</v>
      </c>
      <c r="BB983">
        <f>COUNTIF(X983:AE983,"&lt;&gt;0")</f>
        <v>1</v>
      </c>
      <c r="BC983">
        <f>COUNTIF(AF983:AK983,"&lt;&gt;0")</f>
        <v>0</v>
      </c>
      <c r="BD983">
        <f>COUNTIF(AL983:AN983,"&lt;&gt;0")</f>
        <v>0</v>
      </c>
      <c r="BE983">
        <f>COUNTIF(AU983:AY983,"&lt;&gt;0")</f>
        <v>0</v>
      </c>
      <c r="BF983">
        <f>COUNTIF(AO983:AT983,"&lt;&gt;0")</f>
        <v>1</v>
      </c>
      <c r="BG983" t="str">
        <f t="array" ref="BG983">IF(BA983=1,INDEX($X$7:$AN$7,MATCH(TRUE,INDEX($X983:$AY983&lt;&gt;0,),0)),IF(BA983=0,INDEX($AO$7:$AY$7,MATCH(1,$AO983:$AY983,0)),IF(BH983="Multiple strategies","mixed drivers",IF(BH983="Supply chain","multiple supply","multiple silviculture"))))</f>
        <v>site fertility</v>
      </c>
      <c r="BH983" s="2" t="str" cm="1">
        <f t="array" ref="BH983">IF(COUNTIF(BB983:BD983,"&lt;&gt;0")=1,INDEX($X$4:$AY$4,MATCH(TRUE,INDEX($X983:$AY983&lt;&gt;0,),0)),IF(COUNTIF(BB983:BD983,"&lt;&gt;0")=0,INDEX($AO$4:$AY$4,MATCH(1,$AO983:$AY983,0)),"Multiple strategies"))</f>
        <v>Silviculture for productivity</v>
      </c>
      <c r="BI983" s="142" t="s">
        <v>321</v>
      </c>
      <c r="BJ983" s="261" t="s">
        <v>2839</v>
      </c>
      <c r="BK983" s="260" t="s">
        <v>2840</v>
      </c>
      <c r="BL983" s="143" t="s">
        <v>2841</v>
      </c>
      <c r="BM983">
        <f>53.247*(1-0.23/100)</f>
        <v>53.124531900000001</v>
      </c>
      <c r="BN983">
        <f>53.247</f>
        <v>53.247</v>
      </c>
      <c r="BP983">
        <f>BN983-BM983</f>
        <v>0.12246809999999897</v>
      </c>
      <c r="BQ983" s="143">
        <f>BP983*10^6</f>
        <v>122468.09999999897</v>
      </c>
      <c r="BR983" t="s">
        <v>232</v>
      </c>
      <c r="BS983" s="260" t="s">
        <v>2842</v>
      </c>
      <c r="BT983" s="143" t="s">
        <v>1752</v>
      </c>
      <c r="BU983">
        <f>117.96*(1-0.57/100)</f>
        <v>117.28762799999998</v>
      </c>
      <c r="BV983" s="144">
        <v>117.962</v>
      </c>
      <c r="BX983">
        <f>BV983-BU983</f>
        <v>0.67437200000001951</v>
      </c>
      <c r="BZ983">
        <f>BX983*10^6</f>
        <v>674372.00000001956</v>
      </c>
      <c r="CA983">
        <f>IFERROR(BZ983/BQ983,"")</f>
        <v>5.5065114915641313</v>
      </c>
      <c r="CB983">
        <v>0</v>
      </c>
      <c r="CC983">
        <v>0</v>
      </c>
      <c r="CD983">
        <v>0</v>
      </c>
      <c r="CE983">
        <v>0</v>
      </c>
      <c r="CF983">
        <v>0</v>
      </c>
      <c r="CG983">
        <v>0</v>
      </c>
      <c r="CH983">
        <v>0</v>
      </c>
      <c r="CI983">
        <v>0</v>
      </c>
      <c r="CJ983">
        <v>0</v>
      </c>
      <c r="CK983">
        <v>0</v>
      </c>
      <c r="CL983">
        <v>0</v>
      </c>
      <c r="CM983">
        <v>0</v>
      </c>
      <c r="CN983">
        <v>0</v>
      </c>
      <c r="CO983">
        <v>0</v>
      </c>
      <c r="CP983" t="str">
        <f>IF($BN983&lt;$BM983,"refNeedCorrection","refOK")</f>
        <v>refOK</v>
      </c>
      <c r="CQ983">
        <f>IF($CP983="refOK",$BM983,$BN983)</f>
        <v>53.124531900000001</v>
      </c>
      <c r="CR983">
        <f>IF($CP983="refOK",$BN983,$BM983)</f>
        <v>53.247</v>
      </c>
      <c r="CS983">
        <f>IF($CP983="refOK",$BQ983,-$BQ983)</f>
        <v>122468.09999999897</v>
      </c>
      <c r="CT983">
        <f>IF(BI983="Roundwood",$CS983/2,$CS983)</f>
        <v>61234.049999999486</v>
      </c>
      <c r="CU983">
        <f>IF($CP983="refOK",$BU983,$BV983)*IF($BR983="Emissions positive",-1,1)</f>
        <v>117.28762799999998</v>
      </c>
      <c r="CV983">
        <f>IF($CP983="refOK",$BU983,#REF!)*IF($BR983="Emissions positive",-1,1)</f>
        <v>117.28762799999998</v>
      </c>
      <c r="CW983">
        <f>IF($CP983="refNeedCorrection",-BZ983,BZ983)*IF($BR983="Emissions positive",-1,1)</f>
        <v>674372.00000001956</v>
      </c>
      <c r="CX983">
        <f>IFERROR($CW983/$CS983,"")</f>
        <v>5.5065114915641313</v>
      </c>
      <c r="CY983">
        <f>IFERROR($CW983/$CS983,"")</f>
        <v>5.5065114915641313</v>
      </c>
      <c r="CZ983">
        <f>IFERROR($CW983/$CT983,"")</f>
        <v>11.013022983128263</v>
      </c>
      <c r="DA983" s="2">
        <f>IFERROR((CV983-CU983)/ABS(CU983),"")</f>
        <v>0</v>
      </c>
      <c r="DB983" s="1" t="s">
        <v>1074</v>
      </c>
      <c r="DC983" t="str">
        <f>IF(OR($DB983="prd",$DB983="std",$DB983="cit"),"loc",IF(OR($DB983="eur",$DB983="reg",$DB983="coy"),"reg",$DB983))</f>
        <v>reg</v>
      </c>
      <c r="DD983" t="s">
        <v>715</v>
      </c>
      <c r="DE983">
        <v>2007</v>
      </c>
      <c r="DF983" s="143">
        <v>2100</v>
      </c>
      <c r="DG983" s="143">
        <f>DF983-DE983</f>
        <v>93</v>
      </c>
      <c r="DH983" t="str">
        <f>IF(DG983=0,"0",IF(AND(DG983&gt;=1,DG983&lt;=30),"1-30",IF(AND(DG983&gt;30,DG983&lt;=70),"31-70",IF(AND(DG983&gt;70,DG983&lt;=100),"71-100",IF(DG983&gt;100,"+100")))))</f>
        <v>71-100</v>
      </c>
      <c r="DI983">
        <v>0</v>
      </c>
      <c r="DJ983">
        <v>1</v>
      </c>
      <c r="DK983">
        <v>0</v>
      </c>
      <c r="DL983">
        <v>1</v>
      </c>
      <c r="DM983">
        <v>1</v>
      </c>
      <c r="DN983">
        <f>SUM(DI983:DL983)</f>
        <v>2</v>
      </c>
      <c r="DO983" t="str">
        <f>IF(DN983=1,INDEX($DI$7:$DL$7,MATCH(1,$DI983:$DL983,0)),"mixedProduct")</f>
        <v>mixedProduct</v>
      </c>
      <c r="DP983">
        <f>IF(DI983=1,DP$7,0)</f>
        <v>0</v>
      </c>
      <c r="DQ983" t="str">
        <f>IF(DJ983=1,DQ$7,0)</f>
        <v>Energy</v>
      </c>
      <c r="DR983">
        <f>IF(DK983=1,DR$7,0)</f>
        <v>0</v>
      </c>
      <c r="DS983" t="str">
        <f>IF(DL983=1,DS$7,0)</f>
        <v>Timber</v>
      </c>
      <c r="DT983">
        <v>0</v>
      </c>
      <c r="DU983" s="143">
        <v>0</v>
      </c>
      <c r="DV983" s="143">
        <v>0</v>
      </c>
      <c r="DW983">
        <v>0</v>
      </c>
      <c r="DX983" s="143">
        <v>0</v>
      </c>
      <c r="DY983">
        <f>SUM(DT983:DU983)</f>
        <v>0</v>
      </c>
      <c r="DZ983" s="143" t="str">
        <f>IF(DT983=1,"self-calculated DF",IF(DU983=1,"external DF used","explicit C balance"))</f>
        <v>explicit C balance</v>
      </c>
      <c r="EA983" s="143">
        <v>0</v>
      </c>
      <c r="EB983" s="143">
        <v>0</v>
      </c>
      <c r="EC983" s="143">
        <v>1</v>
      </c>
      <c r="ED983" s="143">
        <v>1</v>
      </c>
      <c r="EE983">
        <v>0</v>
      </c>
      <c r="EF983" s="143">
        <v>1</v>
      </c>
      <c r="EG983" s="143">
        <v>1</v>
      </c>
      <c r="EH983" s="143">
        <v>0</v>
      </c>
      <c r="EI983" s="143">
        <v>0</v>
      </c>
      <c r="EJ983">
        <v>0</v>
      </c>
      <c r="EK983">
        <v>1</v>
      </c>
      <c r="EL983" s="143">
        <v>0</v>
      </c>
      <c r="EM983">
        <v>0</v>
      </c>
      <c r="EN983" s="2">
        <v>1</v>
      </c>
      <c r="EP983" t="str">
        <f>IF(AND(AND(AND(OR($EC983=1,$EB983=1),OR($EH983=1,$EF983=1)),SUM($EA983:$EE983,$EK983)&gt;=3),SUM($EF983:$EJ983)&gt;=2),"Whole sector approach","")</f>
        <v>Whole sector approach</v>
      </c>
      <c r="EQ983" t="str">
        <f>IF(AND(AND(OR($EC983=1,$EB983=1),AND($EH983=0,$EF983=0)),SUM($EA983:$EE983,$EK983)&gt;=4),"Ecosystem approach","")</f>
        <v/>
      </c>
      <c r="ER983" s="2" t="str">
        <f>IF(AND(AND(AND($EC983=0,$EB983=0),OR($EH983=1,$EF983=1)),SUM($EG983:$EJ983)&gt;=2),"Technology approach","")</f>
        <v/>
      </c>
      <c r="ES983" t="str">
        <f>IF(AND($EC983+$EB983+$EE983+$EA983+$ED983+$EG983=0,$N983="included"),"C neutral forest and HWP assumption","")</f>
        <v/>
      </c>
      <c r="ET983" t="str">
        <f>IF(AND(AND(AND(AND($EC983=1,$EB983+$EA983+$EG983&gt;=1),$EF983=1),$EH983+$EI983+$ED983+$EE983&gt;=2),$N983="included"),"All C pools assumption","")</f>
        <v/>
      </c>
      <c r="EU983" t="str">
        <f>IF(AND($ED983+$EE983+$EI983+$EH983+$EF983=0,$N983="included"),"In-situ only assumption","")</f>
        <v/>
      </c>
      <c r="EY983" t="str">
        <f>IF(ISNUMBER(BV983),IF(ABS(BV983-[2]QC_indicators!$B$2)&gt;3*[2]QC_indicators!$C$2,"C ratio",IF(ISNUMBER(CA983),IF(ABS(CA983-[2]QC_indicators!$B$1)&gt;3*[2]QC_indicators!$C$1,"DF","no"))),IF(ISNUMBER(CA983),IF(ABS(CA983-[2]QC_indicators!$B$1)&gt;3*[2]QC_indicators!$C$1,"DF","no")))</f>
        <v>C ratio</v>
      </c>
      <c r="FA983" t="str">
        <f>IF(LEN($CY983)=0,"",IF(AND($CY983&lt;(-0.05),$ES983="C neutral forest and HWP assumption"),"Cneutral paradox",IF(AND($CY983&gt;0.05,$EU983="In-situ only assumption"),"In-situ only paradox","")))</f>
        <v/>
      </c>
      <c r="FD983" s="260" t="s">
        <v>2843</v>
      </c>
    </row>
    <row r="984" spans="1:160" ht="15" hidden="1" customHeight="1">
      <c r="A984" s="1" t="s">
        <v>1251</v>
      </c>
      <c r="B984" t="s">
        <v>1745</v>
      </c>
      <c r="C984" t="s">
        <v>1746</v>
      </c>
      <c r="D984" t="s">
        <v>1747</v>
      </c>
      <c r="E984" t="s">
        <v>1748</v>
      </c>
      <c r="F984" t="s">
        <v>1749</v>
      </c>
      <c r="G984" t="s">
        <v>1257</v>
      </c>
      <c r="H984" t="s">
        <v>254</v>
      </c>
      <c r="I984">
        <v>2016</v>
      </c>
      <c r="J984">
        <v>12</v>
      </c>
      <c r="K984" t="s">
        <v>1750</v>
      </c>
      <c r="M984" t="str">
        <f>LEFT($D984,FIND(",",$D984)-1)&amp;"_"&amp;I984&amp;L984</f>
        <v>Lobianco_2016</v>
      </c>
      <c r="N984" t="s">
        <v>222</v>
      </c>
      <c r="O984" s="145" t="s">
        <v>225</v>
      </c>
      <c r="P984" t="s">
        <v>508</v>
      </c>
      <c r="Q984" t="s">
        <v>256</v>
      </c>
      <c r="R984" s="258" t="s">
        <v>223</v>
      </c>
      <c r="S984" s="1" t="s">
        <v>1758</v>
      </c>
      <c r="T984" s="143" t="s">
        <v>2850</v>
      </c>
      <c r="U984" s="143" t="s">
        <v>1030</v>
      </c>
      <c r="V984" s="253">
        <v>0</v>
      </c>
      <c r="W984" s="253">
        <v>0</v>
      </c>
      <c r="X984">
        <v>0</v>
      </c>
      <c r="Y984">
        <v>0</v>
      </c>
      <c r="Z984">
        <v>0</v>
      </c>
      <c r="AA984">
        <v>0</v>
      </c>
      <c r="AB984">
        <v>0</v>
      </c>
      <c r="AC984">
        <v>0</v>
      </c>
      <c r="AD984">
        <v>0</v>
      </c>
      <c r="AE984">
        <v>1</v>
      </c>
      <c r="AF984">
        <v>0</v>
      </c>
      <c r="AG984">
        <v>0</v>
      </c>
      <c r="AH984">
        <v>0</v>
      </c>
      <c r="AI984">
        <v>0</v>
      </c>
      <c r="AJ984">
        <v>0</v>
      </c>
      <c r="AK984">
        <v>0</v>
      </c>
      <c r="AL984">
        <v>0</v>
      </c>
      <c r="AM984">
        <v>0</v>
      </c>
      <c r="AN984">
        <v>0</v>
      </c>
      <c r="AO984">
        <v>0</v>
      </c>
      <c r="AP984">
        <v>1</v>
      </c>
      <c r="AQ984">
        <v>0</v>
      </c>
      <c r="AR984">
        <v>0</v>
      </c>
      <c r="AS984">
        <v>0</v>
      </c>
      <c r="AT984">
        <v>0</v>
      </c>
      <c r="AU984">
        <v>0</v>
      </c>
      <c r="AV984">
        <v>0</v>
      </c>
      <c r="AW984">
        <v>0</v>
      </c>
      <c r="AX984">
        <v>0</v>
      </c>
      <c r="AY984">
        <v>0</v>
      </c>
      <c r="AZ984" s="141">
        <f>COUNTIF(X984:AY984,"&lt;&gt;0")</f>
        <v>2</v>
      </c>
      <c r="BA984" s="141">
        <f>COUNTIF(X984:AN984,"&lt;&gt;0")</f>
        <v>1</v>
      </c>
      <c r="BB984">
        <f>COUNTIF(X984:AE984,"&lt;&gt;0")</f>
        <v>1</v>
      </c>
      <c r="BC984">
        <f>COUNTIF(AF984:AK984,"&lt;&gt;0")</f>
        <v>0</v>
      </c>
      <c r="BD984">
        <f>COUNTIF(AL984:AN984,"&lt;&gt;0")</f>
        <v>0</v>
      </c>
      <c r="BE984">
        <f>COUNTIF(AU984:AY984,"&lt;&gt;0")</f>
        <v>0</v>
      </c>
      <c r="BF984">
        <f>COUNTIF(AO984:AT984,"&lt;&gt;0")</f>
        <v>1</v>
      </c>
      <c r="BG984" t="str">
        <f t="array" ref="BG984">IF(BA984=1,INDEX($X$7:$AN$7,MATCH(TRUE,INDEX($X984:$AY984&lt;&gt;0,),0)),IF(BA984=0,INDEX($AO$7:$AY$7,MATCH(1,$AO984:$AY984,0)),IF(BH984="Multiple strategies","mixed drivers",IF(BH984="Supply chain","multiple supply","multiple silviculture"))))</f>
        <v>site fertility</v>
      </c>
      <c r="BH984" s="2" t="str" cm="1">
        <f t="array" ref="BH984">IF(COUNTIF(BB984:BD984,"&lt;&gt;0")=1,INDEX($X$4:$AY$4,MATCH(TRUE,INDEX($X984:$AY984&lt;&gt;0,),0)),IF(COUNTIF(BB984:BD984,"&lt;&gt;0")=0,INDEX($AO$4:$AY$4,MATCH(1,$AO984:$AY984,0)),"Multiple strategies"))</f>
        <v>Silviculture for productivity</v>
      </c>
      <c r="BI984" s="142" t="s">
        <v>321</v>
      </c>
      <c r="BJ984" s="261" t="s">
        <v>2839</v>
      </c>
      <c r="BK984" s="260" t="s">
        <v>2840</v>
      </c>
      <c r="BL984" s="143" t="s">
        <v>2841</v>
      </c>
      <c r="BM984">
        <f>53.247*(1-0.23/100)</f>
        <v>53.124531900000001</v>
      </c>
      <c r="BN984">
        <f>53.247</f>
        <v>53.247</v>
      </c>
      <c r="BP984">
        <f>BN984-BM984</f>
        <v>0.12246809999999897</v>
      </c>
      <c r="BQ984" s="143">
        <f>BP984*10^6</f>
        <v>122468.09999999897</v>
      </c>
      <c r="BR984" t="s">
        <v>232</v>
      </c>
      <c r="BS984" s="260" t="s">
        <v>2842</v>
      </c>
      <c r="BT984" s="143" t="s">
        <v>1752</v>
      </c>
      <c r="BU984">
        <v>88.869557699999987</v>
      </c>
      <c r="BV984">
        <v>89.468999999999994</v>
      </c>
      <c r="BW984" s="144">
        <f>IFERROR(BV984/BU984,"")</f>
        <v>1.0067451927917046</v>
      </c>
      <c r="BX984">
        <f>BV984-BU984</f>
        <v>0.59944230000000687</v>
      </c>
      <c r="BZ984">
        <f>BX984*10^6</f>
        <v>599442.30000000692</v>
      </c>
      <c r="CA984">
        <f>IFERROR(BZ984/BQ984,"")</f>
        <v>4.8946811455392218</v>
      </c>
      <c r="CB984">
        <v>0</v>
      </c>
      <c r="CC984">
        <v>0</v>
      </c>
      <c r="CD984">
        <v>0</v>
      </c>
      <c r="CE984">
        <v>0</v>
      </c>
      <c r="CF984">
        <v>0</v>
      </c>
      <c r="CG984">
        <v>0</v>
      </c>
      <c r="CH984">
        <v>0</v>
      </c>
      <c r="CI984">
        <v>0</v>
      </c>
      <c r="CJ984">
        <v>0</v>
      </c>
      <c r="CK984">
        <v>0</v>
      </c>
      <c r="CL984">
        <v>0</v>
      </c>
      <c r="CM984">
        <v>0</v>
      </c>
      <c r="CN984">
        <v>0</v>
      </c>
      <c r="CO984">
        <v>0</v>
      </c>
      <c r="CP984" t="str">
        <f>IF($BN984&lt;$BM984,"refNeedCorrection","refOK")</f>
        <v>refOK</v>
      </c>
      <c r="CQ984">
        <f>IF($CP984="refOK",$BM984,$BN984)</f>
        <v>53.124531900000001</v>
      </c>
      <c r="CR984">
        <f>IF($CP984="refOK",$BN984,$BM984)</f>
        <v>53.247</v>
      </c>
      <c r="CS984">
        <f>IF($CP984="refOK",$BQ984,-$BQ984)</f>
        <v>122468.09999999897</v>
      </c>
      <c r="CT984">
        <f>IF(BI984="Roundwood",$CS984/2,$CS984)</f>
        <v>61234.049999999486</v>
      </c>
      <c r="CU984">
        <f>IF($CP984="refOK",$BU984,$BV984)*IF($BR984="Emissions positive",-1,1)</f>
        <v>88.869557699999987</v>
      </c>
      <c r="CV984">
        <f>IF($CP984="refOK",$BV984,$BU984)*IF($BR984="Emissions positive",-1,1)</f>
        <v>89.468999999999994</v>
      </c>
      <c r="CW984">
        <f>IF($CP984="refNeedCorrection",-BZ984,BZ984)*IF($BR984="Emissions positive",-1,1)</f>
        <v>599442.30000000692</v>
      </c>
      <c r="CX984">
        <f>IFERROR($CW984/$CS984,"")</f>
        <v>4.8946811455392218</v>
      </c>
      <c r="CY984">
        <f>IFERROR($CW984/$CS984,"")</f>
        <v>4.8946811455392218</v>
      </c>
      <c r="CZ984">
        <f>IFERROR($CW984/$CT984,"")</f>
        <v>9.7893622910784437</v>
      </c>
      <c r="DA984" s="2">
        <f>IFERROR((CV984-CU984)/ABS(CU984),"")</f>
        <v>6.7451927917044976E-3</v>
      </c>
      <c r="DB984" s="1" t="s">
        <v>1074</v>
      </c>
      <c r="DC984" t="str">
        <f>IF(OR($DB984="prd",$DB984="std",$DB984="cit"),"loc",IF(OR($DB984="eur",$DB984="reg",$DB984="coy"),"reg",$DB984))</f>
        <v>reg</v>
      </c>
      <c r="DD984" t="s">
        <v>715</v>
      </c>
      <c r="DE984">
        <v>2007</v>
      </c>
      <c r="DF984" s="143">
        <v>2100</v>
      </c>
      <c r="DG984" s="143">
        <f>DF984-DE984</f>
        <v>93</v>
      </c>
      <c r="DH984" t="str">
        <f>IF(DG984=0,"0",IF(AND(DG984&gt;=1,DG984&lt;=30),"1-30",IF(AND(DG984&gt;30,DG984&lt;=70),"31-70",IF(AND(DG984&gt;70,DG984&lt;=100),"71-100",IF(DG984&gt;100,"+100")))))</f>
        <v>71-100</v>
      </c>
      <c r="DI984">
        <v>0</v>
      </c>
      <c r="DJ984">
        <v>1</v>
      </c>
      <c r="DK984">
        <v>0</v>
      </c>
      <c r="DL984">
        <v>1</v>
      </c>
      <c r="DM984">
        <v>1</v>
      </c>
      <c r="DN984">
        <f>SUM(DI984:DL984)</f>
        <v>2</v>
      </c>
      <c r="DO984" t="str">
        <f>IF(DN984=1,INDEX($DI$7:$DL$7,MATCH(1,$DI984:$DL984,0)),"mixedProduct")</f>
        <v>mixedProduct</v>
      </c>
      <c r="DP984">
        <f>IF(DI984=1,DP$7,0)</f>
        <v>0</v>
      </c>
      <c r="DQ984" t="str">
        <f>IF(DJ984=1,DQ$7,0)</f>
        <v>Energy</v>
      </c>
      <c r="DR984">
        <f>IF(DK984=1,DR$7,0)</f>
        <v>0</v>
      </c>
      <c r="DS984" t="str">
        <f>IF(DL984=1,DS$7,0)</f>
        <v>Timber</v>
      </c>
      <c r="DT984">
        <v>0</v>
      </c>
      <c r="DU984" s="143">
        <v>0</v>
      </c>
      <c r="DV984" s="143">
        <v>0</v>
      </c>
      <c r="DW984">
        <v>0</v>
      </c>
      <c r="DX984" s="143">
        <v>0</v>
      </c>
      <c r="DY984">
        <f>SUM(DT984:DU984)</f>
        <v>0</v>
      </c>
      <c r="DZ984" s="143" t="str">
        <f>IF(DT984=1,"self-calculated DF",IF(DU984=1,"external DF used","explicit C balance"))</f>
        <v>explicit C balance</v>
      </c>
      <c r="EA984" s="143">
        <v>0</v>
      </c>
      <c r="EB984" s="143">
        <v>0</v>
      </c>
      <c r="EC984" s="143">
        <v>1</v>
      </c>
      <c r="ED984" s="143">
        <v>1</v>
      </c>
      <c r="EE984">
        <v>0</v>
      </c>
      <c r="EF984" s="143">
        <v>0</v>
      </c>
      <c r="EG984" s="143">
        <v>0</v>
      </c>
      <c r="EH984" s="143">
        <v>0</v>
      </c>
      <c r="EI984" s="143">
        <v>0</v>
      </c>
      <c r="EJ984">
        <v>0</v>
      </c>
      <c r="EK984">
        <v>1</v>
      </c>
      <c r="EL984" s="143">
        <v>0</v>
      </c>
      <c r="EM984">
        <v>0</v>
      </c>
      <c r="EN984" s="2">
        <v>1</v>
      </c>
      <c r="EP984" t="str">
        <f>IF(AND(AND(AND(OR($EC984=1,$EB984=1),OR($EH984=1,$EF984=1)),SUM($EA984:$EE984,$EK984)&gt;=3),SUM($EF984:$EJ984)&gt;=2),"Whole sector approach","")</f>
        <v/>
      </c>
      <c r="EQ984" t="str">
        <f>IF(AND(AND(OR($EC984=1,$EB984=1),AND($EH984=0,$EF984=0)),SUM($EA984:$EE984,$EK984)&gt;=4),"Ecosystem approach","")</f>
        <v/>
      </c>
      <c r="ER984" s="2" t="str">
        <f>IF(AND(AND(AND($EC984=0,$EB984=0),OR($EH984=1,$EF984=1)),SUM($EG984:$EJ984)&gt;=2),"Technology approach","")</f>
        <v/>
      </c>
      <c r="ES984" t="str">
        <f>IF(AND($EC984+$EB984+$EE984+$EA984+$ED984+$EG984=0,$N984="included"),"C neutral forest and HWP assumption","")</f>
        <v/>
      </c>
      <c r="ET984" t="str">
        <f>IF(AND(AND(AND(AND($EC984=1,$EB984+$EA984+$EG984&gt;=1),$EF984=1),$EH984+$EI984+$ED984+$EE984&gt;=2),$N984="included"),"All C pools assumption","")</f>
        <v/>
      </c>
      <c r="EU984" t="str">
        <f>IF(AND($ED984+$EE984+$EI984+$EH984+$EF984=0,$N984="included"),"In-situ only assumption","")</f>
        <v/>
      </c>
      <c r="EY984" t="str">
        <f>IF(ISNUMBER(BW984),IF(ABS(BW984-[2]QC_indicators!$B$2)&gt;3*[2]QC_indicators!$C$2,"C ratio",IF(ISNUMBER(CA984),IF(ABS(CA984-[2]QC_indicators!$B$1)&gt;3*[2]QC_indicators!$C$1,"DF","no"))),IF(ISNUMBER(CA984),IF(ABS(CA984-[2]QC_indicators!$B$1)&gt;3*[2]QC_indicators!$C$1,"DF","no")))</f>
        <v>no</v>
      </c>
      <c r="FA984" t="str">
        <f>IF(LEN($CY984)=0,"",IF(AND($CY984&lt;(-0.05),$ES984="C neutral forest and HWP assumption"),"Cneutral paradox",IF(AND($CY984&gt;0.05,$EU984="In-situ only assumption"),"In-situ only paradox","")))</f>
        <v/>
      </c>
      <c r="FD984" s="260" t="s">
        <v>2843</v>
      </c>
    </row>
    <row r="985" spans="1:160" ht="15" hidden="1" customHeight="1">
      <c r="A985" s="1" t="s">
        <v>1251</v>
      </c>
      <c r="B985" t="s">
        <v>1745</v>
      </c>
      <c r="C985" t="s">
        <v>1746</v>
      </c>
      <c r="D985" t="s">
        <v>1747</v>
      </c>
      <c r="E985" t="s">
        <v>1748</v>
      </c>
      <c r="F985" t="s">
        <v>1749</v>
      </c>
      <c r="G985" t="s">
        <v>1257</v>
      </c>
      <c r="H985" t="s">
        <v>254</v>
      </c>
      <c r="I985">
        <v>2016</v>
      </c>
      <c r="J985">
        <v>12</v>
      </c>
      <c r="K985" t="s">
        <v>1750</v>
      </c>
      <c r="M985" t="str">
        <f>LEFT($D985,FIND(",",$D985)-1)&amp;"_"&amp;I985&amp;L985</f>
        <v>Lobianco_2016</v>
      </c>
      <c r="N985" t="s">
        <v>222</v>
      </c>
      <c r="O985" s="145" t="s">
        <v>225</v>
      </c>
      <c r="P985" t="s">
        <v>508</v>
      </c>
      <c r="Q985" t="s">
        <v>256</v>
      </c>
      <c r="R985" s="258" t="s">
        <v>223</v>
      </c>
      <c r="S985" s="1" t="s">
        <v>1756</v>
      </c>
      <c r="T985" s="143" t="s">
        <v>1757</v>
      </c>
      <c r="U985" s="143" t="s">
        <v>2847</v>
      </c>
      <c r="V985" s="253">
        <v>0</v>
      </c>
      <c r="W985" s="253">
        <v>0</v>
      </c>
      <c r="X985">
        <v>0</v>
      </c>
      <c r="Y985">
        <v>0</v>
      </c>
      <c r="Z985">
        <v>0</v>
      </c>
      <c r="AA985">
        <v>0</v>
      </c>
      <c r="AB985">
        <v>0</v>
      </c>
      <c r="AC985">
        <v>0</v>
      </c>
      <c r="AD985">
        <v>0</v>
      </c>
      <c r="AE985">
        <v>1</v>
      </c>
      <c r="AF985">
        <v>0</v>
      </c>
      <c r="AG985">
        <v>0</v>
      </c>
      <c r="AH985">
        <v>0</v>
      </c>
      <c r="AI985">
        <v>0</v>
      </c>
      <c r="AJ985">
        <v>0</v>
      </c>
      <c r="AK985">
        <v>0</v>
      </c>
      <c r="AL985">
        <v>0</v>
      </c>
      <c r="AM985">
        <v>0</v>
      </c>
      <c r="AN985">
        <v>0</v>
      </c>
      <c r="AO985">
        <v>0</v>
      </c>
      <c r="AP985">
        <v>1</v>
      </c>
      <c r="AQ985">
        <v>0</v>
      </c>
      <c r="AR985">
        <v>0</v>
      </c>
      <c r="AS985">
        <v>0</v>
      </c>
      <c r="AT985">
        <v>0</v>
      </c>
      <c r="AU985">
        <v>0</v>
      </c>
      <c r="AV985">
        <v>0</v>
      </c>
      <c r="AW985">
        <v>1</v>
      </c>
      <c r="AX985">
        <v>0</v>
      </c>
      <c r="AY985">
        <v>0</v>
      </c>
      <c r="AZ985" s="141">
        <f>COUNTIF(X985:AY985,"&lt;&gt;0")</f>
        <v>3</v>
      </c>
      <c r="BA985" s="141">
        <f>COUNTIF(X985:AN985,"&lt;&gt;0")</f>
        <v>1</v>
      </c>
      <c r="BB985">
        <f>COUNTIF(X985:AE985,"&lt;&gt;0")</f>
        <v>1</v>
      </c>
      <c r="BC985">
        <f>COUNTIF(AF985:AK985,"&lt;&gt;0")</f>
        <v>0</v>
      </c>
      <c r="BD985">
        <f>COUNTIF(AL985:AN985,"&lt;&gt;0")</f>
        <v>0</v>
      </c>
      <c r="BE985">
        <f>COUNTIF(AU985:AY985,"&lt;&gt;0")</f>
        <v>1</v>
      </c>
      <c r="BF985">
        <f>COUNTIF(AO985:AT985,"&lt;&gt;0")</f>
        <v>1</v>
      </c>
      <c r="BG985" t="str">
        <f t="array" ref="BG985">IF(BA985=1,INDEX($X$7:$AN$7,MATCH(TRUE,INDEX($X985:$AY985&lt;&gt;0,),0)),IF(BA985=0,INDEX($AO$7:$AY$7,MATCH(1,$AO985:$AY985,0)),IF(BH985="Multiple strategies","mixed drivers",IF(BH985="Supply chain","multiple supply","multiple silviculture"))))</f>
        <v>site fertility</v>
      </c>
      <c r="BH985" s="2" t="str" cm="1">
        <f t="array" ref="BH985">IF(COUNTIF(BB985:BD985,"&lt;&gt;0")=1,INDEX($X$4:$AY$4,MATCH(TRUE,INDEX($X985:$AY985&lt;&gt;0,),0)),IF(COUNTIF(BB985:BD985,"&lt;&gt;0")=0,INDEX($AO$4:$AY$4,MATCH(1,$AO985:$AY985,0)),"Multiple strategies"))</f>
        <v>Silviculture for productivity</v>
      </c>
      <c r="BI985" s="142" t="s">
        <v>321</v>
      </c>
      <c r="BJ985" s="261" t="s">
        <v>2839</v>
      </c>
      <c r="BK985" s="260" t="s">
        <v>2848</v>
      </c>
      <c r="BL985" s="143" t="s">
        <v>2841</v>
      </c>
      <c r="BM985">
        <v>52.988999999999997</v>
      </c>
      <c r="BN985">
        <f>53.247</f>
        <v>53.247</v>
      </c>
      <c r="BP985">
        <f>BN985-BM985</f>
        <v>0.25800000000000267</v>
      </c>
      <c r="BQ985" s="143">
        <f>BP985*10^6</f>
        <v>258000.00000000268</v>
      </c>
      <c r="BR985" t="s">
        <v>232</v>
      </c>
      <c r="BS985" s="260" t="s">
        <v>2849</v>
      </c>
      <c r="BT985" s="143" t="s">
        <v>1752</v>
      </c>
      <c r="BU985">
        <v>97.120999999999995</v>
      </c>
      <c r="BV985">
        <v>89.468999999999994</v>
      </c>
      <c r="BW985" s="144">
        <f>IFERROR(BV985/BU985,"")</f>
        <v>0.9212116843936945</v>
      </c>
      <c r="BX985">
        <f>BV985-BU985</f>
        <v>-7.652000000000001</v>
      </c>
      <c r="BZ985">
        <f>BX985*10^6</f>
        <v>-7652000.0000000009</v>
      </c>
      <c r="CA985">
        <f>IFERROR(BZ985/BQ985,"")</f>
        <v>-29.658914728681868</v>
      </c>
      <c r="CB985">
        <v>0</v>
      </c>
      <c r="CC985">
        <v>0</v>
      </c>
      <c r="CD985">
        <v>0</v>
      </c>
      <c r="CE985">
        <v>0</v>
      </c>
      <c r="CF985">
        <v>0</v>
      </c>
      <c r="CG985">
        <v>0</v>
      </c>
      <c r="CH985">
        <v>0</v>
      </c>
      <c r="CI985">
        <v>0</v>
      </c>
      <c r="CJ985">
        <v>0</v>
      </c>
      <c r="CK985">
        <v>0</v>
      </c>
      <c r="CL985">
        <v>0</v>
      </c>
      <c r="CM985">
        <v>0</v>
      </c>
      <c r="CN985">
        <v>0</v>
      </c>
      <c r="CO985">
        <v>0</v>
      </c>
      <c r="CP985" t="str">
        <f>IF($BN985&lt;$BM985,"refNeedCorrection","refOK")</f>
        <v>refOK</v>
      </c>
      <c r="CQ985">
        <f>IF($CP985="refOK",$BM985,$BN985)</f>
        <v>52.988999999999997</v>
      </c>
      <c r="CR985">
        <f>IF($CP985="refOK",$BN985,$BM985)</f>
        <v>53.247</v>
      </c>
      <c r="CS985">
        <f>IF($CP985="refOK",$BQ985,-$BQ985)</f>
        <v>258000.00000000268</v>
      </c>
      <c r="CT985">
        <f>IF(BI985="Roundwood",$CS985/2,$CS985)</f>
        <v>129000.00000000134</v>
      </c>
      <c r="CU985">
        <f>IF($CP985="refOK",$BU985,$BV985)*IF($BR985="Emissions positive",-1,1)</f>
        <v>97.120999999999995</v>
      </c>
      <c r="CV985">
        <f>IF($CP985="refOK",$BV985,$BU985)*IF($BR985="Emissions positive",-1,1)</f>
        <v>89.468999999999994</v>
      </c>
      <c r="CW985">
        <f>IF($CP985="refNeedCorrection",-BZ985,BZ985)*IF($BR985="Emissions positive",-1,1)</f>
        <v>-7652000.0000000009</v>
      </c>
      <c r="CX985">
        <f>IFERROR($CW985/$CS985,"")</f>
        <v>-29.658914728681868</v>
      </c>
      <c r="CY985">
        <f>IFERROR($CW985/$CS985,"")</f>
        <v>-29.658914728681868</v>
      </c>
      <c r="CZ985">
        <f>IFERROR($CW985/$CT985,"")</f>
        <v>-59.317829457363736</v>
      </c>
      <c r="DA985" s="2">
        <f>IFERROR((CV985-CU985)/ABS(CU985),"")</f>
        <v>-7.8788315606305545E-2</v>
      </c>
      <c r="DB985" s="1" t="s">
        <v>1074</v>
      </c>
      <c r="DC985" t="str">
        <f>IF(OR($DB985="prd",$DB985="std",$DB985="cit"),"loc",IF(OR($DB985="eur",$DB985="reg",$DB985="coy"),"reg",$DB985))</f>
        <v>reg</v>
      </c>
      <c r="DD985" t="s">
        <v>715</v>
      </c>
      <c r="DE985">
        <v>2007</v>
      </c>
      <c r="DF985" s="143">
        <v>2100</v>
      </c>
      <c r="DG985" s="143">
        <f>DF985-DE985</f>
        <v>93</v>
      </c>
      <c r="DH985" t="str">
        <f>IF(DG985=0,"0",IF(AND(DG985&gt;=1,DG985&lt;=30),"1-30",IF(AND(DG985&gt;30,DG985&lt;=70),"31-70",IF(AND(DG985&gt;70,DG985&lt;=100),"71-100",IF(DG985&gt;100,"+100")))))</f>
        <v>71-100</v>
      </c>
      <c r="DI985">
        <v>0</v>
      </c>
      <c r="DJ985">
        <v>1</v>
      </c>
      <c r="DK985">
        <v>0</v>
      </c>
      <c r="DL985">
        <v>1</v>
      </c>
      <c r="DM985">
        <v>1</v>
      </c>
      <c r="DN985">
        <f>SUM(DI985:DL985)</f>
        <v>2</v>
      </c>
      <c r="DO985" t="str">
        <f>IF(DN985=1,INDEX($DI$7:$DL$7,MATCH(1,$DI985:$DL985,0)),"mixedProduct")</f>
        <v>mixedProduct</v>
      </c>
      <c r="DP985">
        <f>IF(DI985=1,DP$7,0)</f>
        <v>0</v>
      </c>
      <c r="DQ985" t="str">
        <f>IF(DJ985=1,DQ$7,0)</f>
        <v>Energy</v>
      </c>
      <c r="DR985">
        <f>IF(DK985=1,DR$7,0)</f>
        <v>0</v>
      </c>
      <c r="DS985" t="str">
        <f>IF(DL985=1,DS$7,0)</f>
        <v>Timber</v>
      </c>
      <c r="DT985">
        <v>0</v>
      </c>
      <c r="DU985" s="143">
        <v>0</v>
      </c>
      <c r="DV985" s="143">
        <v>0</v>
      </c>
      <c r="DW985">
        <v>0</v>
      </c>
      <c r="DX985" s="143">
        <v>0</v>
      </c>
      <c r="DY985">
        <f>SUM(DT985:DU985)</f>
        <v>0</v>
      </c>
      <c r="DZ985" s="143" t="str">
        <f>IF(DT985=1,"self-calculated DF",IF(DU985=1,"external DF used","explicit C balance"))</f>
        <v>explicit C balance</v>
      </c>
      <c r="EA985" s="143">
        <v>0</v>
      </c>
      <c r="EB985" s="143">
        <v>0</v>
      </c>
      <c r="EC985" s="143">
        <v>1</v>
      </c>
      <c r="ED985" s="143">
        <v>1</v>
      </c>
      <c r="EE985">
        <v>0</v>
      </c>
      <c r="EF985" s="143">
        <v>0</v>
      </c>
      <c r="EG985" s="143">
        <v>0</v>
      </c>
      <c r="EH985" s="143">
        <v>0</v>
      </c>
      <c r="EI985" s="143">
        <v>0</v>
      </c>
      <c r="EJ985">
        <v>0</v>
      </c>
      <c r="EK985">
        <v>1</v>
      </c>
      <c r="EL985" s="143">
        <v>0</v>
      </c>
      <c r="EM985">
        <v>0</v>
      </c>
      <c r="EN985" s="2">
        <v>1</v>
      </c>
      <c r="EP985" t="str">
        <f>IF(AND(AND(AND(OR($EC985=1,$EB985=1),OR($EH985=1,$EF985=1)),SUM($EA985:$EE985,$EK985)&gt;=3),SUM($EF985:$EJ985)&gt;=2),"Whole sector approach","")</f>
        <v/>
      </c>
      <c r="EQ985" t="str">
        <f>IF(AND(AND(OR($EC985=1,$EB985=1),AND($EH985=0,$EF985=0)),SUM($EA985:$EE985,$EK985)&gt;=4),"Ecosystem approach","")</f>
        <v/>
      </c>
      <c r="ER985" s="2" t="str">
        <f>IF(AND(AND(AND($EC985=0,$EB985=0),OR($EH985=1,$EF985=1)),SUM($EG985:$EJ985)&gt;=2),"Technology approach","")</f>
        <v/>
      </c>
      <c r="ES985" t="str">
        <f>IF(AND($EC985+$EB985+$EE985+$EA985+$ED985+$EG985=0,$N985="included"),"C neutral forest and HWP assumption","")</f>
        <v/>
      </c>
      <c r="ET985" t="str">
        <f>IF(AND(AND(AND(AND($EC985=1,$EB985+$EA985+$EG985&gt;=1),$EF985=1),$EH985+$EI985+$ED985+$EE985&gt;=2),$N985="included"),"All C pools assumption","")</f>
        <v/>
      </c>
      <c r="EU985" t="str">
        <f>IF(AND($ED985+$EE985+$EI985+$EH985+$EF985=0,$N985="included"),"In-situ only assumption","")</f>
        <v/>
      </c>
      <c r="EY985" t="str">
        <f>IF(ISNUMBER(BW985),IF(ABS(BW985-[2]QC_indicators!$B$2)&gt;3*[2]QC_indicators!$C$2,"C ratio",IF(ISNUMBER(CA985),IF(ABS(CA985-[2]QC_indicators!$B$1)&gt;3*[2]QC_indicators!$C$1,"DF","no"))),IF(ISNUMBER(CA985),IF(ABS(CA985-[2]QC_indicators!$B$1)&gt;3*[2]QC_indicators!$C$1,"DF","no")))</f>
        <v>no</v>
      </c>
      <c r="FA985" t="str">
        <f>IF(LEN($CY985)=0,"",IF(AND($CY985&lt;(-0.05),$ES985="C neutral forest and HWP assumption"),"Cneutral paradox",IF(AND($CY985&gt;0.05,$EU985="In-situ only assumption"),"In-situ only paradox","")))</f>
        <v/>
      </c>
      <c r="FD985" s="260" t="s">
        <v>2843</v>
      </c>
    </row>
    <row r="986" spans="1:160" ht="18" hidden="1" customHeight="1">
      <c r="A986" s="1" t="s">
        <v>1251</v>
      </c>
      <c r="B986" t="s">
        <v>1745</v>
      </c>
      <c r="C986" t="s">
        <v>1746</v>
      </c>
      <c r="D986" t="s">
        <v>1747</v>
      </c>
      <c r="E986" t="s">
        <v>1748</v>
      </c>
      <c r="F986" t="s">
        <v>1749</v>
      </c>
      <c r="G986" t="s">
        <v>1257</v>
      </c>
      <c r="H986" t="s">
        <v>254</v>
      </c>
      <c r="I986">
        <v>2016</v>
      </c>
      <c r="J986">
        <v>12</v>
      </c>
      <c r="K986" t="s">
        <v>1750</v>
      </c>
      <c r="M986" t="str">
        <f>LEFT($D986,FIND(",",$D986)-1)&amp;"_"&amp;I986&amp;L986</f>
        <v>Lobianco_2016</v>
      </c>
      <c r="N986" t="s">
        <v>222</v>
      </c>
      <c r="O986" s="145" t="s">
        <v>225</v>
      </c>
      <c r="P986" t="s">
        <v>508</v>
      </c>
      <c r="Q986" t="s">
        <v>256</v>
      </c>
      <c r="R986" s="258" t="s">
        <v>223</v>
      </c>
      <c r="S986" s="1" t="s">
        <v>1756</v>
      </c>
      <c r="T986" s="143" t="s">
        <v>1757</v>
      </c>
      <c r="U986" s="143" t="s">
        <v>2847</v>
      </c>
      <c r="V986" s="253">
        <v>0</v>
      </c>
      <c r="W986" s="253">
        <v>0</v>
      </c>
      <c r="X986">
        <v>0</v>
      </c>
      <c r="Y986">
        <v>0</v>
      </c>
      <c r="Z986">
        <v>0</v>
      </c>
      <c r="AA986">
        <v>0</v>
      </c>
      <c r="AB986">
        <v>0</v>
      </c>
      <c r="AC986">
        <v>0</v>
      </c>
      <c r="AD986">
        <v>0</v>
      </c>
      <c r="AE986">
        <v>1</v>
      </c>
      <c r="AF986">
        <v>0</v>
      </c>
      <c r="AG986">
        <v>0</v>
      </c>
      <c r="AH986">
        <v>0</v>
      </c>
      <c r="AI986">
        <v>0</v>
      </c>
      <c r="AJ986">
        <v>0</v>
      </c>
      <c r="AK986">
        <v>0</v>
      </c>
      <c r="AL986">
        <v>0</v>
      </c>
      <c r="AM986">
        <v>0</v>
      </c>
      <c r="AN986">
        <v>0</v>
      </c>
      <c r="AO986">
        <v>0</v>
      </c>
      <c r="AP986">
        <v>1</v>
      </c>
      <c r="AQ986">
        <v>0</v>
      </c>
      <c r="AR986">
        <v>0</v>
      </c>
      <c r="AS986">
        <v>0</v>
      </c>
      <c r="AT986">
        <v>0</v>
      </c>
      <c r="AU986">
        <v>0</v>
      </c>
      <c r="AV986">
        <v>0</v>
      </c>
      <c r="AW986">
        <v>1</v>
      </c>
      <c r="AX986">
        <v>0</v>
      </c>
      <c r="AY986">
        <v>0</v>
      </c>
      <c r="AZ986" s="141">
        <f>COUNTIF(X986:AY986,"&lt;&gt;0")</f>
        <v>3</v>
      </c>
      <c r="BA986" s="141">
        <f>COUNTIF(X986:AN986,"&lt;&gt;0")</f>
        <v>1</v>
      </c>
      <c r="BB986">
        <f>COUNTIF(X986:AE986,"&lt;&gt;0")</f>
        <v>1</v>
      </c>
      <c r="BC986">
        <f>COUNTIF(AF986:AK986,"&lt;&gt;0")</f>
        <v>0</v>
      </c>
      <c r="BD986">
        <f>COUNTIF(AL986:AN986,"&lt;&gt;0")</f>
        <v>0</v>
      </c>
      <c r="BE986">
        <f>COUNTIF(AU986:AY986,"&lt;&gt;0")</f>
        <v>1</v>
      </c>
      <c r="BF986">
        <f>COUNTIF(AO986:AT986,"&lt;&gt;0")</f>
        <v>1</v>
      </c>
      <c r="BG986" t="str">
        <f t="array" ref="BG986">IF(BA986=1,INDEX($X$7:$AN$7,MATCH(TRUE,INDEX($X986:$AY986&lt;&gt;0,),0)),IF(BA986=0,INDEX($AO$7:$AY$7,MATCH(1,$AO986:$AY986,0)),IF(BH986="Multiple strategies","mixed drivers",IF(BH986="Supply chain","multiple supply","multiple silviculture"))))</f>
        <v>site fertility</v>
      </c>
      <c r="BH986" s="2" t="str" cm="1">
        <f t="array" ref="BH986">IF(COUNTIF(BB986:BD986,"&lt;&gt;0")=1,INDEX($X$4:$AY$4,MATCH(TRUE,INDEX($X986:$AY986&lt;&gt;0,),0)),IF(COUNTIF(BB986:BD986,"&lt;&gt;0")=0,INDEX($AO$4:$AY$4,MATCH(1,$AO986:$AY986,0)),"Multiple strategies"))</f>
        <v>Silviculture for productivity</v>
      </c>
      <c r="BI986" s="142" t="s">
        <v>321</v>
      </c>
      <c r="BJ986" s="261" t="s">
        <v>2839</v>
      </c>
      <c r="BK986" s="260" t="s">
        <v>2848</v>
      </c>
      <c r="BL986" s="143" t="s">
        <v>2841</v>
      </c>
      <c r="BM986">
        <v>52.988999999999997</v>
      </c>
      <c r="BN986">
        <f>53.247</f>
        <v>53.247</v>
      </c>
      <c r="BP986">
        <f>BN986-BM986</f>
        <v>0.25800000000000267</v>
      </c>
      <c r="BQ986" s="143">
        <f>BP986*10^6</f>
        <v>258000.00000000268</v>
      </c>
      <c r="BR986" t="s">
        <v>232</v>
      </c>
      <c r="BS986" s="260" t="s">
        <v>2849</v>
      </c>
      <c r="BT986" s="143" t="s">
        <v>1752</v>
      </c>
      <c r="BU986">
        <v>149.31399999999999</v>
      </c>
      <c r="BV986" s="144">
        <v>117.962</v>
      </c>
      <c r="BW986" s="144">
        <f>IFERROR(BV986/BU986,"")</f>
        <v>0.79002638734479025</v>
      </c>
      <c r="BX986">
        <f>BV986-BU986</f>
        <v>-31.35199999999999</v>
      </c>
      <c r="BZ986">
        <f>BX986*10^6</f>
        <v>-31351999.999999989</v>
      </c>
      <c r="CA986">
        <f>IFERROR(BZ986/BQ986,"")</f>
        <v>-121.51937984495994</v>
      </c>
      <c r="CB986">
        <v>0</v>
      </c>
      <c r="CC986">
        <v>0</v>
      </c>
      <c r="CD986">
        <v>0</v>
      </c>
      <c r="CE986">
        <v>0</v>
      </c>
      <c r="CF986">
        <v>0</v>
      </c>
      <c r="CG986">
        <v>0</v>
      </c>
      <c r="CH986">
        <v>0</v>
      </c>
      <c r="CI986">
        <v>0</v>
      </c>
      <c r="CJ986">
        <v>0</v>
      </c>
      <c r="CK986">
        <v>0</v>
      </c>
      <c r="CL986">
        <v>0</v>
      </c>
      <c r="CM986">
        <v>0</v>
      </c>
      <c r="CN986">
        <v>0</v>
      </c>
      <c r="CO986">
        <v>0</v>
      </c>
      <c r="CP986" t="str">
        <f>IF($BN986&lt;$BM986,"refNeedCorrection","refOK")</f>
        <v>refOK</v>
      </c>
      <c r="CQ986">
        <f>IF($CP986="refOK",$BM986,$BN986)</f>
        <v>52.988999999999997</v>
      </c>
      <c r="CR986">
        <f>IF($CP986="refOK",$BN986,$BM986)</f>
        <v>53.247</v>
      </c>
      <c r="CS986">
        <f>IF($CP986="refOK",$BQ986,-$BQ986)</f>
        <v>258000.00000000268</v>
      </c>
      <c r="CT986">
        <f>IF(BI986="Roundwood",$CS986/2,$CS986)</f>
        <v>129000.00000000134</v>
      </c>
      <c r="CU986">
        <f>IF($CP986="refOK",$BU986,$BV986)*IF($BR986="Emissions positive",-1,1)</f>
        <v>149.31399999999999</v>
      </c>
      <c r="CV986">
        <f>IF($CP986="refOK",$BU986,#REF!)*IF($BR986="Emissions positive",-1,1)</f>
        <v>149.31399999999999</v>
      </c>
      <c r="CW986">
        <f>IF($CP986="refNeedCorrection",-BZ986,BZ986)*IF($BR986="Emissions positive",-1,1)</f>
        <v>-31351999.999999989</v>
      </c>
      <c r="CX986">
        <f>IFERROR($CW986/$CS986,"")</f>
        <v>-121.51937984495994</v>
      </c>
      <c r="CY986">
        <f>IFERROR($CW986/$CS986,"")</f>
        <v>-121.51937984495994</v>
      </c>
      <c r="CZ986">
        <f>IFERROR($CW986/$CT986,"")</f>
        <v>-243.03875968991989</v>
      </c>
      <c r="DA986" s="2">
        <f>IFERROR((CV986-CU986)/ABS(CU986),"")</f>
        <v>0</v>
      </c>
      <c r="DB986" s="1" t="s">
        <v>1074</v>
      </c>
      <c r="DC986" t="str">
        <f>IF(OR($DB986="prd",$DB986="std",$DB986="cit"),"loc",IF(OR($DB986="eur",$DB986="reg",$DB986="coy"),"reg",$DB986))</f>
        <v>reg</v>
      </c>
      <c r="DD986" t="s">
        <v>715</v>
      </c>
      <c r="DE986">
        <v>2007</v>
      </c>
      <c r="DF986" s="143">
        <v>2100</v>
      </c>
      <c r="DG986" s="143">
        <f>DF986-DE986</f>
        <v>93</v>
      </c>
      <c r="DH986" t="str">
        <f>IF(DG986=0,"0",IF(AND(DG986&gt;=1,DG986&lt;=30),"1-30",IF(AND(DG986&gt;30,DG986&lt;=70),"31-70",IF(AND(DG986&gt;70,DG986&lt;=100),"71-100",IF(DG986&gt;100,"+100")))))</f>
        <v>71-100</v>
      </c>
      <c r="DI986">
        <v>0</v>
      </c>
      <c r="DJ986">
        <v>1</v>
      </c>
      <c r="DK986">
        <v>0</v>
      </c>
      <c r="DL986">
        <v>1</v>
      </c>
      <c r="DM986">
        <v>1</v>
      </c>
      <c r="DN986">
        <f>SUM(DI986:DL986)</f>
        <v>2</v>
      </c>
      <c r="DO986" t="str">
        <f>IF(DN986=1,INDEX($DI$7:$DL$7,MATCH(1,$DI986:$DL986,0)),"mixedProduct")</f>
        <v>mixedProduct</v>
      </c>
      <c r="DP986">
        <f>IF(DI986=1,DP$7,0)</f>
        <v>0</v>
      </c>
      <c r="DQ986" t="str">
        <f>IF(DJ986=1,DQ$7,0)</f>
        <v>Energy</v>
      </c>
      <c r="DR986">
        <f>IF(DK986=1,DR$7,0)</f>
        <v>0</v>
      </c>
      <c r="DS986" t="str">
        <f>IF(DL986=1,DS$7,0)</f>
        <v>Timber</v>
      </c>
      <c r="DT986">
        <v>0</v>
      </c>
      <c r="DU986" s="143">
        <v>0</v>
      </c>
      <c r="DV986" s="143">
        <v>0</v>
      </c>
      <c r="DW986">
        <v>0</v>
      </c>
      <c r="DX986" s="143">
        <v>0</v>
      </c>
      <c r="DY986">
        <f>SUM(DT986:DU986)</f>
        <v>0</v>
      </c>
      <c r="DZ986" s="143" t="str">
        <f>IF(DT986=1,"self-calculated DF",IF(DU986=1,"external DF used","explicit C balance"))</f>
        <v>explicit C balance</v>
      </c>
      <c r="EA986" s="143">
        <v>0</v>
      </c>
      <c r="EB986" s="143">
        <v>0</v>
      </c>
      <c r="EC986" s="143">
        <v>1</v>
      </c>
      <c r="ED986" s="143">
        <v>1</v>
      </c>
      <c r="EE986">
        <v>0</v>
      </c>
      <c r="EF986" s="143">
        <v>1</v>
      </c>
      <c r="EG986" s="143">
        <v>1</v>
      </c>
      <c r="EH986" s="143">
        <v>0</v>
      </c>
      <c r="EI986" s="143">
        <v>0</v>
      </c>
      <c r="EJ986">
        <v>0</v>
      </c>
      <c r="EK986">
        <v>1</v>
      </c>
      <c r="EL986" s="143">
        <v>0</v>
      </c>
      <c r="EM986">
        <v>0</v>
      </c>
      <c r="EN986" s="2">
        <v>1</v>
      </c>
      <c r="EP986" t="str">
        <f>IF(AND(AND(AND(OR($EC986=1,$EB986=1),OR($EH986=1,$EF986=1)),SUM($EA986:$EE986,$EK986)&gt;=3),SUM($EF986:$EJ986)&gt;=2),"Whole sector approach","")</f>
        <v>Whole sector approach</v>
      </c>
      <c r="EQ986" t="str">
        <f>IF(AND(AND(OR($EC986=1,$EB986=1),AND($EH986=0,$EF986=0)),SUM($EA986:$EE986,$EK986)&gt;=4),"Ecosystem approach","")</f>
        <v/>
      </c>
      <c r="ER986" s="2" t="str">
        <f>IF(AND(AND(AND($EC986=0,$EB986=0),OR($EH986=1,$EF986=1)),SUM($EG986:$EJ986)&gt;=2),"Technology approach","")</f>
        <v/>
      </c>
      <c r="ES986" t="str">
        <f>IF(AND($EC986+$EB986+$EE986+$EA986+$ED986+$EG986=0,$N986="included"),"C neutral forest and HWP assumption","")</f>
        <v/>
      </c>
      <c r="ET986" t="str">
        <f>IF(AND(AND(AND(AND($EC986=1,$EB986+$EA986+$EG986&gt;=1),$EF986=1),$EH986+$EI986+$ED986+$EE986&gt;=2),$N986="included"),"All C pools assumption","")</f>
        <v/>
      </c>
      <c r="EU986" t="str">
        <f>IF(AND($ED986+$EE986+$EI986+$EH986+$EF986=0,$N986="included"),"In-situ only assumption","")</f>
        <v/>
      </c>
      <c r="EY986" t="str">
        <f>IF(ISNUMBER(BV986),IF(ABS(BV986-[2]QC_indicators!$B$2)&gt;3*[2]QC_indicators!$C$2,"C ratio",IF(ISNUMBER(CA986),IF(ABS(CA986-[2]QC_indicators!$B$1)&gt;3*[2]QC_indicators!$C$1,"DF","no"))),IF(ISNUMBER(CA986),IF(ABS(CA986-[2]QC_indicators!$B$1)&gt;3*[2]QC_indicators!$C$1,"DF","no")))</f>
        <v>C ratio</v>
      </c>
      <c r="FA986" t="str">
        <f>IF(LEN($CY986)=0,"",IF(AND($CY986&lt;(-0.05),$ES986="C neutral forest and HWP assumption"),"Cneutral paradox",IF(AND($CY986&gt;0.05,$EU986="In-situ only assumption"),"In-situ only paradox","")))</f>
        <v/>
      </c>
      <c r="FD986" s="260" t="s">
        <v>2843</v>
      </c>
    </row>
    <row r="987" spans="1:160" ht="15" hidden="1" customHeight="1">
      <c r="A987" s="1" t="s">
        <v>1251</v>
      </c>
      <c r="B987" t="s">
        <v>1745</v>
      </c>
      <c r="C987" t="s">
        <v>1746</v>
      </c>
      <c r="D987" t="s">
        <v>1747</v>
      </c>
      <c r="E987" t="s">
        <v>1748</v>
      </c>
      <c r="F987" t="s">
        <v>1749</v>
      </c>
      <c r="G987" t="s">
        <v>1257</v>
      </c>
      <c r="H987" t="s">
        <v>254</v>
      </c>
      <c r="I987">
        <v>2016</v>
      </c>
      <c r="J987">
        <v>12</v>
      </c>
      <c r="K987" t="s">
        <v>1750</v>
      </c>
      <c r="M987" t="str">
        <f>LEFT($D987,FIND(",",$D987)-1)&amp;"_"&amp;I987&amp;L987</f>
        <v>Lobianco_2016</v>
      </c>
      <c r="N987" t="s">
        <v>222</v>
      </c>
      <c r="O987" s="145" t="s">
        <v>225</v>
      </c>
      <c r="P987" t="s">
        <v>508</v>
      </c>
      <c r="Q987" t="s">
        <v>256</v>
      </c>
      <c r="R987" s="258" t="s">
        <v>223</v>
      </c>
      <c r="S987" s="1" t="s">
        <v>1753</v>
      </c>
      <c r="T987" s="143" t="s">
        <v>1030</v>
      </c>
      <c r="U987" t="s">
        <v>2844</v>
      </c>
      <c r="V987" s="253">
        <v>0</v>
      </c>
      <c r="W987" s="253">
        <v>0</v>
      </c>
      <c r="X987">
        <v>0</v>
      </c>
      <c r="Y987">
        <v>0</v>
      </c>
      <c r="Z987">
        <v>0</v>
      </c>
      <c r="AA987">
        <v>1</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1</v>
      </c>
      <c r="AX987">
        <v>0</v>
      </c>
      <c r="AY987">
        <v>0</v>
      </c>
      <c r="AZ987" s="141">
        <f>COUNTIF(X987:AY987,"&lt;&gt;0")</f>
        <v>2</v>
      </c>
      <c r="BA987" s="141">
        <f>COUNTIF(X987:AN987,"&lt;&gt;0")</f>
        <v>1</v>
      </c>
      <c r="BB987">
        <f>COUNTIF(X987:AE987,"&lt;&gt;0")</f>
        <v>1</v>
      </c>
      <c r="BC987">
        <f>COUNTIF(AF987:AK987,"&lt;&gt;0")</f>
        <v>0</v>
      </c>
      <c r="BD987">
        <f>COUNTIF(AL987:AN987,"&lt;&gt;0")</f>
        <v>0</v>
      </c>
      <c r="BE987">
        <f>COUNTIF(AU987:AY987,"&lt;&gt;0")</f>
        <v>1</v>
      </c>
      <c r="BF987">
        <f>COUNTIF(AO987:AT987,"&lt;&gt;0")</f>
        <v>0</v>
      </c>
      <c r="BG987" t="str">
        <f t="array" ref="BG987">IF(BA987=1,INDEX($X$7:$AN$7,MATCH(TRUE,INDEX($X987:$AY987&lt;&gt;0,),0)),IF(BA987=0,INDEX($AO$7:$AY$7,MATCH(1,$AO987:$AY987,0)),IF(BH987="Multiple strategies","mixed drivers",IF(BH987="Supply chain","multiple supply","multiple silviculture"))))</f>
        <v xml:space="preserve">cutting intensity </v>
      </c>
      <c r="BH987" s="2" t="str" cm="1">
        <f t="array" ref="BH987">IF(COUNTIF(BB987:BD987,"&lt;&gt;0")=1,INDEX($X$4:$AY$4,MATCH(TRUE,INDEX($X987:$AY987&lt;&gt;0,),0)),IF(COUNTIF(BB987:BD987,"&lt;&gt;0")=0,INDEX($AO$4:$AY$4,MATCH(1,$AO987:$AY987,0)),"Multiple strategies"))</f>
        <v>Silviculture for removals</v>
      </c>
      <c r="BI987" s="142" t="s">
        <v>321</v>
      </c>
      <c r="BJ987" s="261" t="s">
        <v>2839</v>
      </c>
      <c r="BK987" s="260" t="s">
        <v>2840</v>
      </c>
      <c r="BL987" s="143" t="s">
        <v>2841</v>
      </c>
      <c r="BM987">
        <f>53.247</f>
        <v>53.247</v>
      </c>
      <c r="BN987">
        <f>53.247*(1+9.16/100)</f>
        <v>58.124425199999997</v>
      </c>
      <c r="BP987">
        <f>BN987-BM987</f>
        <v>4.8774251999999976</v>
      </c>
      <c r="BQ987" s="143">
        <f>BP987*10^6</f>
        <v>4877425.1999999974</v>
      </c>
      <c r="BR987" t="s">
        <v>232</v>
      </c>
      <c r="BS987" s="260" t="s">
        <v>2842</v>
      </c>
      <c r="BT987" s="143" t="s">
        <v>1752</v>
      </c>
      <c r="BU987" s="144">
        <v>117.962</v>
      </c>
      <c r="BV987">
        <f>117.96*(1-5.55/100)</f>
        <v>111.41322</v>
      </c>
      <c r="BX987">
        <f>BV987-BU987</f>
        <v>-6.5487800000000078</v>
      </c>
      <c r="BZ987">
        <f>BX987*10^6</f>
        <v>-6548780.0000000075</v>
      </c>
      <c r="CA987">
        <f>IFERROR(BZ987/BQ987,"")</f>
        <v>-1.3426715390735282</v>
      </c>
      <c r="CB987">
        <v>0</v>
      </c>
      <c r="CC987">
        <v>0</v>
      </c>
      <c r="CD987">
        <v>0</v>
      </c>
      <c r="CE987">
        <v>0</v>
      </c>
      <c r="CF987">
        <v>0</v>
      </c>
      <c r="CG987">
        <v>0</v>
      </c>
      <c r="CH987">
        <v>0</v>
      </c>
      <c r="CI987">
        <v>0</v>
      </c>
      <c r="CJ987">
        <v>0</v>
      </c>
      <c r="CK987">
        <v>0</v>
      </c>
      <c r="CL987">
        <v>0</v>
      </c>
      <c r="CM987">
        <v>0</v>
      </c>
      <c r="CN987">
        <v>0</v>
      </c>
      <c r="CO987">
        <v>0</v>
      </c>
      <c r="CP987" t="str">
        <f>IF($BN987&lt;$BM987,"refNeedCorrection","refOK")</f>
        <v>refOK</v>
      </c>
      <c r="CQ987">
        <f>IF($CP987="refOK",$BM987,$BN987)</f>
        <v>53.247</v>
      </c>
      <c r="CR987">
        <f>IF($CP987="refOK",$BN987,#REF!)</f>
        <v>58.124425199999997</v>
      </c>
      <c r="CS987">
        <f>IF($CP987="refOK",$BQ987,-$BQ987)</f>
        <v>4877425.1999999974</v>
      </c>
      <c r="CT987">
        <f>IF(BI987="Roundwood",$CS987/2,$CS987)</f>
        <v>2438712.5999999987</v>
      </c>
      <c r="CU987">
        <f>IF($CP987="refOK",$BU987,$BV987)*IF($BR987="Emissions positive",-1,1)</f>
        <v>117.962</v>
      </c>
      <c r="CV987">
        <f>IF($CP987="refOK",$BU987,#REF!)*IF($BR987="Emissions positive",-1,1)</f>
        <v>117.962</v>
      </c>
      <c r="CW987">
        <f>IF($CP987="refNeedCorrection",-BZ987,BZ987)*IF($BR987="Emissions positive",-1,1)</f>
        <v>-6548780.0000000075</v>
      </c>
      <c r="CX987">
        <f>IFERROR($CW987/$CS987,"")</f>
        <v>-1.3426715390735282</v>
      </c>
      <c r="CY987">
        <f>IFERROR($CW987/$CS987,"")</f>
        <v>-1.3426715390735282</v>
      </c>
      <c r="CZ987">
        <f>IFERROR($CW987/$CT987,"")</f>
        <v>-2.6853430781470564</v>
      </c>
      <c r="DA987" s="2">
        <f>IFERROR((CV987-CU987)/ABS(CU987),"")</f>
        <v>0</v>
      </c>
      <c r="DB987" s="1" t="s">
        <v>1074</v>
      </c>
      <c r="DC987" t="str">
        <f>IF(OR($DB987="prd",$DB987="std",$DB987="cit"),"loc",IF(OR($DB987="eur",$DB987="reg",$DB987="coy"),"reg",$DB987))</f>
        <v>reg</v>
      </c>
      <c r="DD987" t="s">
        <v>715</v>
      </c>
      <c r="DE987">
        <v>2007</v>
      </c>
      <c r="DF987" s="143">
        <v>2100</v>
      </c>
      <c r="DG987" s="143">
        <f>DF987-DE987</f>
        <v>93</v>
      </c>
      <c r="DH987" t="str">
        <f>IF(DG987=0,"0",IF(AND(DG987&gt;=1,DG987&lt;=30),"1-30",IF(AND(DG987&gt;30,DG987&lt;=70),"31-70",IF(AND(DG987&gt;70,DG987&lt;=100),"71-100",IF(DG987&gt;100,"+100")))))</f>
        <v>71-100</v>
      </c>
      <c r="DI987">
        <v>0</v>
      </c>
      <c r="DJ987">
        <v>1</v>
      </c>
      <c r="DK987">
        <v>0</v>
      </c>
      <c r="DL987">
        <v>1</v>
      </c>
      <c r="DM987">
        <v>1</v>
      </c>
      <c r="DN987">
        <f>SUM(DI987:DL987)</f>
        <v>2</v>
      </c>
      <c r="DO987" t="str">
        <f>IF(DN987=1,INDEX($DI$7:$DL$7,MATCH(1,$DI987:$DL987,0)),"mixedProduct")</f>
        <v>mixedProduct</v>
      </c>
      <c r="DP987">
        <f>IF(DI987=1,DP$7,0)</f>
        <v>0</v>
      </c>
      <c r="DQ987" t="str">
        <f>IF(DJ987=1,DQ$7,0)</f>
        <v>Energy</v>
      </c>
      <c r="DR987">
        <f>IF(DK987=1,DR$7,0)</f>
        <v>0</v>
      </c>
      <c r="DS987" t="str">
        <f>IF(DL987=1,DS$7,0)</f>
        <v>Timber</v>
      </c>
      <c r="DT987">
        <v>0</v>
      </c>
      <c r="DU987" s="143">
        <v>0</v>
      </c>
      <c r="DV987" s="143">
        <v>0</v>
      </c>
      <c r="DW987">
        <v>0</v>
      </c>
      <c r="DX987" s="143">
        <v>0</v>
      </c>
      <c r="DY987">
        <f>SUM(DT987:DU987)</f>
        <v>0</v>
      </c>
      <c r="DZ987" s="143" t="str">
        <f>IF(DT987=1,"self-calculated DF",IF(DU987=1,"external DF used","explicit C balance"))</f>
        <v>explicit C balance</v>
      </c>
      <c r="EA987" s="143">
        <v>0</v>
      </c>
      <c r="EB987" s="143">
        <v>0</v>
      </c>
      <c r="EC987" s="143">
        <v>1</v>
      </c>
      <c r="ED987" s="143">
        <v>1</v>
      </c>
      <c r="EE987">
        <v>0</v>
      </c>
      <c r="EF987" s="143">
        <v>1</v>
      </c>
      <c r="EG987" s="143">
        <v>1</v>
      </c>
      <c r="EH987" s="143">
        <v>0</v>
      </c>
      <c r="EI987" s="143">
        <v>0</v>
      </c>
      <c r="EJ987">
        <v>0</v>
      </c>
      <c r="EK987">
        <v>1</v>
      </c>
      <c r="EL987" s="143">
        <v>0</v>
      </c>
      <c r="EM987">
        <v>0</v>
      </c>
      <c r="EN987" s="2">
        <v>1</v>
      </c>
      <c r="EP987" t="str">
        <f>IF(AND(AND(AND(OR($EC987=1,$EB987=1),OR($EH987=1,$EF987=1)),SUM($EA987:$EE987,$EK987)&gt;=3),SUM($EF987:$EJ987)&gt;=2),"Whole sector approach","")</f>
        <v>Whole sector approach</v>
      </c>
      <c r="EQ987" t="str">
        <f>IF(AND(AND(OR($EC987=1,$EB987=1),AND($EH987=0,$EF987=0)),SUM($EA987:$EE987,$EK987)&gt;=4),"Ecosystem approach","")</f>
        <v/>
      </c>
      <c r="ER987" s="2" t="str">
        <f>IF(AND(AND(AND($EC987=0,$EB987=0),OR($EH987=1,$EF987=1)),SUM($EG987:$EJ987)&gt;=2),"Technology approach","")</f>
        <v/>
      </c>
      <c r="ES987" t="str">
        <f>IF(AND($EC987+$EB987+$EE987+$EA987+$ED987+$EG987=0,$N987="included"),"C neutral forest and HWP assumption","")</f>
        <v/>
      </c>
      <c r="ET987" t="str">
        <f>IF(AND(AND(AND(AND($EC987=1,$EB987+$EA987+$EG987&gt;=1),$EF987=1),$EH987+$EI987+$ED987+$EE987&gt;=2),$N987="included"),"All C pools assumption","")</f>
        <v/>
      </c>
      <c r="EU987" t="str">
        <f>IF(AND($ED987+$EE987+$EI987+$EH987+$EF987=0,$N987="included"),"In-situ only assumption","")</f>
        <v/>
      </c>
      <c r="EY987" t="str">
        <f>IF(ISNUMBER(BV987),IF(ABS(BV987-[2]QC_indicators!$B$2)&gt;3*[2]QC_indicators!$C$2,"C ratio",IF(ISNUMBER(CA987),IF(ABS(CA987-[2]QC_indicators!$B$1)&gt;3*[2]QC_indicators!$C$1,"DF","no"))),IF(ISNUMBER(CA987),IF(ABS(CA987-[2]QC_indicators!$B$1)&gt;3*[2]QC_indicators!$C$1,"DF","no")))</f>
        <v>C ratio</v>
      </c>
      <c r="FA987" t="str">
        <f>IF(LEN($CY987)=0,"",IF(AND($CY987&lt;(-0.05),$ES987="C neutral forest and HWP assumption"),"Cneutral paradox",IF(AND($CY987&gt;0.05,$EU987="In-situ only assumption"),"In-situ only paradox","")))</f>
        <v/>
      </c>
      <c r="FD987" s="260" t="s">
        <v>2843</v>
      </c>
    </row>
    <row r="988" spans="1:160" ht="15" hidden="1" customHeight="1">
      <c r="A988" s="1" t="s">
        <v>1251</v>
      </c>
      <c r="B988" t="s">
        <v>1745</v>
      </c>
      <c r="C988" t="s">
        <v>1746</v>
      </c>
      <c r="D988" t="s">
        <v>1747</v>
      </c>
      <c r="E988" t="s">
        <v>1748</v>
      </c>
      <c r="F988" t="s">
        <v>1749</v>
      </c>
      <c r="G988" t="s">
        <v>1257</v>
      </c>
      <c r="H988" t="s">
        <v>254</v>
      </c>
      <c r="I988">
        <v>2016</v>
      </c>
      <c r="J988">
        <v>12</v>
      </c>
      <c r="K988" t="s">
        <v>1750</v>
      </c>
      <c r="M988" t="str">
        <f>LEFT($D988,FIND(",",$D988)-1)&amp;"_"&amp;I988&amp;L988</f>
        <v>Lobianco_2016</v>
      </c>
      <c r="N988" t="s">
        <v>222</v>
      </c>
      <c r="O988" s="145" t="s">
        <v>225</v>
      </c>
      <c r="P988" t="s">
        <v>508</v>
      </c>
      <c r="Q988" t="s">
        <v>256</v>
      </c>
      <c r="R988" s="258" t="s">
        <v>223</v>
      </c>
      <c r="S988" s="1" t="s">
        <v>1754</v>
      </c>
      <c r="T988" s="143" t="s">
        <v>2838</v>
      </c>
      <c r="U988" s="143" t="s">
        <v>1030</v>
      </c>
      <c r="V988" s="253">
        <v>0</v>
      </c>
      <c r="W988" s="253">
        <v>0</v>
      </c>
      <c r="X988">
        <v>0</v>
      </c>
      <c r="Y988">
        <v>0</v>
      </c>
      <c r="Z988">
        <v>0</v>
      </c>
      <c r="AA988">
        <v>1</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1</v>
      </c>
      <c r="AX988">
        <v>0</v>
      </c>
      <c r="AY988">
        <v>0</v>
      </c>
      <c r="AZ988" s="141">
        <f>COUNTIF(X988:AY988,"&lt;&gt;0")</f>
        <v>2</v>
      </c>
      <c r="BA988" s="141">
        <f>COUNTIF(X988:AN988,"&lt;&gt;0")</f>
        <v>1</v>
      </c>
      <c r="BB988">
        <f>COUNTIF(X988:AE988,"&lt;&gt;0")</f>
        <v>1</v>
      </c>
      <c r="BC988">
        <f>COUNTIF(AF988:AK988,"&lt;&gt;0")</f>
        <v>0</v>
      </c>
      <c r="BD988">
        <f>COUNTIF(AL988:AN988,"&lt;&gt;0")</f>
        <v>0</v>
      </c>
      <c r="BE988">
        <f>COUNTIF(AU988:AY988,"&lt;&gt;0")</f>
        <v>1</v>
      </c>
      <c r="BF988">
        <f>COUNTIF(AO988:AT988,"&lt;&gt;0")</f>
        <v>0</v>
      </c>
      <c r="BG988" t="str">
        <f t="array" ref="BG988">IF(BA988=1,INDEX($X$7:$AN$7,MATCH(TRUE,INDEX($X988:$AY988&lt;&gt;0,),0)),IF(BA988=0,INDEX($AO$7:$AY$7,MATCH(1,$AO988:$AY988,0)),IF(BH988="Multiple strategies","mixed drivers",IF(BH988="Supply chain","multiple supply","multiple silviculture"))))</f>
        <v xml:space="preserve">cutting intensity </v>
      </c>
      <c r="BH988" s="2" t="str" cm="1">
        <f t="array" ref="BH988">IF(COUNTIF(BB988:BD988,"&lt;&gt;0")=1,INDEX($X$4:$AY$4,MATCH(TRUE,INDEX($X988:$AY988&lt;&gt;0,),0)),IF(COUNTIF(BB988:BD988,"&lt;&gt;0")=0,INDEX($AO$4:$AY$4,MATCH(1,$AO988:$AY988,0)),"Multiple strategies"))</f>
        <v>Silviculture for removals</v>
      </c>
      <c r="BI988" s="142" t="s">
        <v>321</v>
      </c>
      <c r="BJ988" s="261" t="s">
        <v>2839</v>
      </c>
      <c r="BK988" s="260" t="s">
        <v>2840</v>
      </c>
      <c r="BL988" s="143" t="s">
        <v>2841</v>
      </c>
      <c r="BM988">
        <f>53.247*(1-4.06/100)</f>
        <v>51.085171800000005</v>
      </c>
      <c r="BN988">
        <f>53.247</f>
        <v>53.247</v>
      </c>
      <c r="BO988" s="163"/>
      <c r="BP988">
        <f>BN988-BM988</f>
        <v>2.1618281999999951</v>
      </c>
      <c r="BQ988" s="143">
        <f>BP988*10^6</f>
        <v>2161828.1999999951</v>
      </c>
      <c r="BR988" t="s">
        <v>232</v>
      </c>
      <c r="BS988" s="260" t="s">
        <v>2842</v>
      </c>
      <c r="BT988" s="143" t="s">
        <v>1752</v>
      </c>
      <c r="BU988">
        <f>117.96*(1+2.48/100)</f>
        <v>120.88540799999998</v>
      </c>
      <c r="BV988" s="144">
        <v>117.962</v>
      </c>
      <c r="BX988">
        <f>BV988-BU988</f>
        <v>-2.9234079999999807</v>
      </c>
      <c r="BZ988">
        <f>BX988*10^6</f>
        <v>-2923407.9999999809</v>
      </c>
      <c r="CA988">
        <f>IFERROR(BZ988/BQ988,"")</f>
        <v>-1.3522850705712821</v>
      </c>
      <c r="CB988">
        <v>0</v>
      </c>
      <c r="CC988">
        <v>0</v>
      </c>
      <c r="CD988">
        <v>0</v>
      </c>
      <c r="CE988">
        <v>0</v>
      </c>
      <c r="CF988">
        <v>0</v>
      </c>
      <c r="CG988">
        <v>0</v>
      </c>
      <c r="CH988">
        <v>0</v>
      </c>
      <c r="CI988">
        <v>0</v>
      </c>
      <c r="CJ988">
        <v>0</v>
      </c>
      <c r="CK988">
        <v>0</v>
      </c>
      <c r="CL988">
        <v>0</v>
      </c>
      <c r="CM988">
        <v>0</v>
      </c>
      <c r="CN988">
        <v>0</v>
      </c>
      <c r="CO988">
        <v>0</v>
      </c>
      <c r="CP988" t="str">
        <f>IF($BN988&lt;$BM988,"refNeedCorrection","refOK")</f>
        <v>refOK</v>
      </c>
      <c r="CQ988">
        <f>IF($CP988="refOK",$BM988,$BN988)</f>
        <v>51.085171800000005</v>
      </c>
      <c r="CR988">
        <f>IF($CP988="refOK",$BN988,$BM988)</f>
        <v>53.247</v>
      </c>
      <c r="CS988">
        <f>IF($CP988="refOK",$BQ988,-$BQ988)</f>
        <v>2161828.1999999951</v>
      </c>
      <c r="CT988">
        <f>IF(BI988="Roundwood",$CS988/2,$CS988)</f>
        <v>1080914.0999999975</v>
      </c>
      <c r="CU988">
        <f>IF($CP988="refOK",$BU988,$BV988)*IF($BR988="Emissions positive",-1,1)</f>
        <v>120.88540799999998</v>
      </c>
      <c r="CV988">
        <f>IF($CP988="refOK",$BU988,#REF!)*IF($BR988="Emissions positive",-1,1)</f>
        <v>120.88540799999998</v>
      </c>
      <c r="CW988">
        <f>IF($CP988="refNeedCorrection",-BZ988,BZ988)*IF($BR988="Emissions positive",-1,1)</f>
        <v>-2923407.9999999809</v>
      </c>
      <c r="CX988">
        <f>IFERROR($CW988/$CS988,"")</f>
        <v>-1.3522850705712821</v>
      </c>
      <c r="CY988">
        <f>IFERROR($CW988/$CS988,"")</f>
        <v>-1.3522850705712821</v>
      </c>
      <c r="CZ988">
        <f>IFERROR($CW988/$CT988,"")</f>
        <v>-2.7045701411425642</v>
      </c>
      <c r="DA988" s="2">
        <f>IFERROR((CV988-CU988)/ABS(CU988),"")</f>
        <v>0</v>
      </c>
      <c r="DB988" s="1" t="s">
        <v>1074</v>
      </c>
      <c r="DC988" t="str">
        <f>IF(OR($DB988="prd",$DB988="std",$DB988="cit"),"loc",IF(OR($DB988="eur",$DB988="reg",$DB988="coy"),"reg",$DB988))</f>
        <v>reg</v>
      </c>
      <c r="DD988" t="s">
        <v>715</v>
      </c>
      <c r="DE988">
        <v>2007</v>
      </c>
      <c r="DF988" s="143">
        <v>2100</v>
      </c>
      <c r="DG988" s="143">
        <f>DF988-DE988</f>
        <v>93</v>
      </c>
      <c r="DH988" t="str">
        <f>IF(DG988=0,"0",IF(AND(DG988&gt;=1,DG988&lt;=30),"1-30",IF(AND(DG988&gt;30,DG988&lt;=70),"31-70",IF(AND(DG988&gt;70,DG988&lt;=100),"71-100",IF(DG988&gt;100,"+100")))))</f>
        <v>71-100</v>
      </c>
      <c r="DI988">
        <v>0</v>
      </c>
      <c r="DJ988">
        <v>1</v>
      </c>
      <c r="DK988">
        <v>0</v>
      </c>
      <c r="DL988">
        <v>1</v>
      </c>
      <c r="DM988">
        <v>1</v>
      </c>
      <c r="DN988">
        <f>SUM(DI988:DL988)</f>
        <v>2</v>
      </c>
      <c r="DO988" t="str">
        <f>IF(DN988=1,INDEX($DI$7:$DL$7,MATCH(1,$DI988:$DL988,0)),"mixedProduct")</f>
        <v>mixedProduct</v>
      </c>
      <c r="DP988">
        <f>IF(DI988=1,DP$7,0)</f>
        <v>0</v>
      </c>
      <c r="DQ988" t="str">
        <f>IF(DJ988=1,DQ$7,0)</f>
        <v>Energy</v>
      </c>
      <c r="DR988">
        <f>IF(DK988=1,DR$7,0)</f>
        <v>0</v>
      </c>
      <c r="DS988" t="str">
        <f>IF(DL988=1,DS$7,0)</f>
        <v>Timber</v>
      </c>
      <c r="DT988">
        <v>0</v>
      </c>
      <c r="DU988" s="143">
        <v>0</v>
      </c>
      <c r="DV988" s="143">
        <v>0</v>
      </c>
      <c r="DW988">
        <v>0</v>
      </c>
      <c r="DX988" s="143">
        <v>0</v>
      </c>
      <c r="DY988">
        <f>SUM(DT988:DU988)</f>
        <v>0</v>
      </c>
      <c r="DZ988" s="143" t="str">
        <f>IF(DT988=1,"self-calculated DF",IF(DU988=1,"external DF used","explicit C balance"))</f>
        <v>explicit C balance</v>
      </c>
      <c r="EA988" s="143">
        <v>0</v>
      </c>
      <c r="EB988" s="143">
        <v>0</v>
      </c>
      <c r="EC988" s="143">
        <v>1</v>
      </c>
      <c r="ED988" s="143">
        <v>1</v>
      </c>
      <c r="EE988">
        <v>0</v>
      </c>
      <c r="EF988" s="143">
        <v>1</v>
      </c>
      <c r="EG988" s="143">
        <v>1</v>
      </c>
      <c r="EH988" s="143">
        <v>0</v>
      </c>
      <c r="EI988" s="143">
        <v>0</v>
      </c>
      <c r="EJ988">
        <v>0</v>
      </c>
      <c r="EK988">
        <v>1</v>
      </c>
      <c r="EL988" s="143">
        <v>0</v>
      </c>
      <c r="EM988">
        <v>0</v>
      </c>
      <c r="EN988" s="2">
        <v>1</v>
      </c>
      <c r="EP988" t="str">
        <f>IF(AND(AND(AND(OR($EC988=1,$EB988=1),OR($EH988=1,$EF988=1)),SUM($EA988:$EE988,$EK988)&gt;=3),SUM($EF988:$EJ988)&gt;=2),"Whole sector approach","")</f>
        <v>Whole sector approach</v>
      </c>
      <c r="EQ988" t="str">
        <f>IF(AND(AND(OR($EC988=1,$EB988=1),AND($EH988=0,$EF988=0)),SUM($EA988:$EE988,$EK988)&gt;=4),"Ecosystem approach","")</f>
        <v/>
      </c>
      <c r="ER988" s="2" t="str">
        <f>IF(AND(AND(AND($EC988=0,$EB988=0),OR($EH988=1,$EF988=1)),SUM($EG988:$EJ988)&gt;=2),"Technology approach","")</f>
        <v/>
      </c>
      <c r="ES988" t="str">
        <f>IF(AND($EC988+$EB988+$EE988+$EA988+$ED988+$EG988=0,$N988="included"),"C neutral forest and HWP assumption","")</f>
        <v/>
      </c>
      <c r="ET988" t="str">
        <f>IF(AND(AND(AND(AND($EC988=1,$EB988+$EA988+$EG988&gt;=1),$EF988=1),$EH988+$EI988+$ED988+$EE988&gt;=2),$N988="included"),"All C pools assumption","")</f>
        <v/>
      </c>
      <c r="EU988" t="str">
        <f>IF(AND($ED988+$EE988+$EI988+$EH988+$EF988=0,$N988="included"),"In-situ only assumption","")</f>
        <v/>
      </c>
      <c r="EY988" t="str">
        <f>IF(ISNUMBER(BV988),IF(ABS(BV988-[2]QC_indicators!$B$2)&gt;3*[2]QC_indicators!$C$2,"C ratio",IF(ISNUMBER(CA988),IF(ABS(CA988-[2]QC_indicators!$B$1)&gt;3*[2]QC_indicators!$C$1,"DF","no"))),IF(ISNUMBER(CA988),IF(ABS(CA988-[2]QC_indicators!$B$1)&gt;3*[2]QC_indicators!$C$1,"DF","no")))</f>
        <v>C ratio</v>
      </c>
      <c r="FA988" t="str">
        <f>IF(LEN($CY988)=0,"",IF(AND($CY988&lt;(-0.05),$ES988="C neutral forest and HWP assumption"),"Cneutral paradox",IF(AND($CY988&gt;0.05,$EU988="In-situ only assumption"),"In-situ only paradox","")))</f>
        <v/>
      </c>
      <c r="FD988" s="260" t="s">
        <v>2843</v>
      </c>
    </row>
    <row r="989" spans="1:160" ht="15" hidden="1" customHeight="1">
      <c r="A989" s="1" t="s">
        <v>1251</v>
      </c>
      <c r="B989" t="s">
        <v>1745</v>
      </c>
      <c r="C989" t="s">
        <v>1746</v>
      </c>
      <c r="D989" t="s">
        <v>1747</v>
      </c>
      <c r="E989" t="s">
        <v>1748</v>
      </c>
      <c r="F989" t="s">
        <v>1749</v>
      </c>
      <c r="G989" t="s">
        <v>1257</v>
      </c>
      <c r="H989" t="s">
        <v>254</v>
      </c>
      <c r="I989">
        <v>2016</v>
      </c>
      <c r="J989">
        <v>12</v>
      </c>
      <c r="K989" t="s">
        <v>1750</v>
      </c>
      <c r="M989" t="str">
        <f>LEFT($D989,FIND(",",$D989)-1)&amp;"_"&amp;I989&amp;L989</f>
        <v>Lobianco_2016</v>
      </c>
      <c r="N989" t="s">
        <v>222</v>
      </c>
      <c r="O989" s="145" t="s">
        <v>225</v>
      </c>
      <c r="P989" t="s">
        <v>508</v>
      </c>
      <c r="Q989" t="s">
        <v>256</v>
      </c>
      <c r="R989" s="258" t="s">
        <v>223</v>
      </c>
      <c r="S989" s="1" t="s">
        <v>1754</v>
      </c>
      <c r="T989" s="143" t="s">
        <v>2838</v>
      </c>
      <c r="U989" s="143" t="s">
        <v>1030</v>
      </c>
      <c r="V989" s="253">
        <v>0</v>
      </c>
      <c r="W989" s="253">
        <v>0</v>
      </c>
      <c r="X989">
        <v>0</v>
      </c>
      <c r="Y989">
        <v>0</v>
      </c>
      <c r="Z989">
        <v>0</v>
      </c>
      <c r="AA989">
        <v>1</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1</v>
      </c>
      <c r="AX989">
        <v>0</v>
      </c>
      <c r="AY989">
        <v>0</v>
      </c>
      <c r="AZ989" s="141">
        <f>COUNTIF(X989:AY989,"&lt;&gt;0")</f>
        <v>2</v>
      </c>
      <c r="BA989" s="141">
        <f>COUNTIF(X989:AN989,"&lt;&gt;0")</f>
        <v>1</v>
      </c>
      <c r="BB989">
        <f>COUNTIF(X989:AE989,"&lt;&gt;0")</f>
        <v>1</v>
      </c>
      <c r="BC989">
        <f>COUNTIF(AF989:AK989,"&lt;&gt;0")</f>
        <v>0</v>
      </c>
      <c r="BD989">
        <f>COUNTIF(AL989:AN989,"&lt;&gt;0")</f>
        <v>0</v>
      </c>
      <c r="BE989">
        <f>COUNTIF(AU989:AY989,"&lt;&gt;0")</f>
        <v>1</v>
      </c>
      <c r="BF989">
        <f>COUNTIF(AO989:AT989,"&lt;&gt;0")</f>
        <v>0</v>
      </c>
      <c r="BG989" t="str">
        <f t="array" ref="BG989">IF(BA989=1,INDEX($X$7:$AN$7,MATCH(TRUE,INDEX($X989:$AY989&lt;&gt;0,),0)),IF(BA989=0,INDEX($AO$7:$AY$7,MATCH(1,$AO989:$AY989,0)),IF(BH989="Multiple strategies","mixed drivers",IF(BH989="Supply chain","multiple supply","multiple silviculture"))))</f>
        <v xml:space="preserve">cutting intensity </v>
      </c>
      <c r="BH989" s="2" t="str" cm="1">
        <f t="array" ref="BH989">IF(COUNTIF(BB989:BD989,"&lt;&gt;0")=1,INDEX($X$4:$AY$4,MATCH(TRUE,INDEX($X989:$AY989&lt;&gt;0,),0)),IF(COUNTIF(BB989:BD989,"&lt;&gt;0")=0,INDEX($AO$4:$AY$4,MATCH(1,$AO989:$AY989,0)),"Multiple strategies"))</f>
        <v>Silviculture for removals</v>
      </c>
      <c r="BI989" s="142" t="s">
        <v>321</v>
      </c>
      <c r="BJ989" s="261" t="s">
        <v>2839</v>
      </c>
      <c r="BK989" s="260" t="s">
        <v>2840</v>
      </c>
      <c r="BL989" s="143" t="s">
        <v>2841</v>
      </c>
      <c r="BM989">
        <f>53.247*(1-4.06/100)</f>
        <v>51.085171800000005</v>
      </c>
      <c r="BN989">
        <f>53.247</f>
        <v>53.247</v>
      </c>
      <c r="BO989" s="163"/>
      <c r="BP989">
        <f>BN989-BM989</f>
        <v>2.1618281999999951</v>
      </c>
      <c r="BQ989" s="143">
        <f>BP989*10^6</f>
        <v>2161828.1999999951</v>
      </c>
      <c r="BR989" t="s">
        <v>232</v>
      </c>
      <c r="BS989" s="260" t="s">
        <v>2842</v>
      </c>
      <c r="BT989" s="143" t="s">
        <v>1752</v>
      </c>
      <c r="BU989">
        <f>89.469*(1+3.82/100)</f>
        <v>92.88671579999999</v>
      </c>
      <c r="BV989">
        <v>89.468999999999994</v>
      </c>
      <c r="BW989" s="144">
        <f>IFERROR(BV989/BU989,"")</f>
        <v>0.96320554806395686</v>
      </c>
      <c r="BX989">
        <f>BV989-BU989</f>
        <v>-3.4177157999999963</v>
      </c>
      <c r="BZ989">
        <f>BX989*10^6</f>
        <v>-3417715.7999999961</v>
      </c>
      <c r="CA989">
        <f>IFERROR(BZ989/BQ989,"")</f>
        <v>-1.5809377451917797</v>
      </c>
      <c r="CB989">
        <v>0</v>
      </c>
      <c r="CC989">
        <v>0</v>
      </c>
      <c r="CD989">
        <v>0</v>
      </c>
      <c r="CE989">
        <v>0</v>
      </c>
      <c r="CF989">
        <v>0</v>
      </c>
      <c r="CG989">
        <v>0</v>
      </c>
      <c r="CH989">
        <v>0</v>
      </c>
      <c r="CI989">
        <v>0</v>
      </c>
      <c r="CJ989">
        <v>0</v>
      </c>
      <c r="CK989">
        <v>0</v>
      </c>
      <c r="CL989">
        <v>0</v>
      </c>
      <c r="CM989">
        <v>0</v>
      </c>
      <c r="CN989">
        <v>0</v>
      </c>
      <c r="CO989">
        <v>0</v>
      </c>
      <c r="CP989" t="str">
        <f>IF($BN989&lt;$BM989,"refNeedCorrection","refOK")</f>
        <v>refOK</v>
      </c>
      <c r="CQ989">
        <f>IF($CP989="refOK",$BM989,$BN989)</f>
        <v>51.085171800000005</v>
      </c>
      <c r="CR989">
        <f>IF($CP989="refOK",$BN989,$BM989)</f>
        <v>53.247</v>
      </c>
      <c r="CS989">
        <f>IF($CP989="refOK",$BQ989,-$BQ989)</f>
        <v>2161828.1999999951</v>
      </c>
      <c r="CT989">
        <f>IF(BI989="Roundwood",$CS989/2,$CS989)</f>
        <v>1080914.0999999975</v>
      </c>
      <c r="CU989">
        <f>IF($CP989="refOK",$BU989,$BV989)*IF($BR989="Emissions positive",-1,1)</f>
        <v>92.88671579999999</v>
      </c>
      <c r="CV989">
        <f>IF($CP989="refOK",$BV989,$BU989)*IF($BR989="Emissions positive",-1,1)</f>
        <v>89.468999999999994</v>
      </c>
      <c r="CW989">
        <f>IF($CP989="refNeedCorrection",-BZ989,BZ989)*IF($BR989="Emissions positive",-1,1)</f>
        <v>-3417715.7999999961</v>
      </c>
      <c r="CX989">
        <f>IFERROR($CW989/$CS989,"")</f>
        <v>-1.5809377451917797</v>
      </c>
      <c r="CY989">
        <f>IFERROR($CW989/$CS989,"")</f>
        <v>-1.5809377451917797</v>
      </c>
      <c r="CZ989">
        <f>IFERROR($CW989/$CT989,"")</f>
        <v>-3.1618754903835593</v>
      </c>
      <c r="DA989" s="2">
        <f>IFERROR((CV989-CU989)/ABS(CU989),"")</f>
        <v>-3.6794451936043117E-2</v>
      </c>
      <c r="DB989" s="1" t="s">
        <v>1074</v>
      </c>
      <c r="DC989" t="str">
        <f>IF(OR($DB989="prd",$DB989="std",$DB989="cit"),"loc",IF(OR($DB989="eur",$DB989="reg",$DB989="coy"),"reg",$DB989))</f>
        <v>reg</v>
      </c>
      <c r="DD989" t="s">
        <v>715</v>
      </c>
      <c r="DE989">
        <v>2007</v>
      </c>
      <c r="DF989" s="143">
        <v>2100</v>
      </c>
      <c r="DG989" s="143">
        <f>DF989-DE989</f>
        <v>93</v>
      </c>
      <c r="DH989" t="str">
        <f>IF(DG989=0,"0",IF(AND(DG989&gt;=1,DG989&lt;=30),"1-30",IF(AND(DG989&gt;30,DG989&lt;=70),"31-70",IF(AND(DG989&gt;70,DG989&lt;=100),"71-100",IF(DG989&gt;100,"+100")))))</f>
        <v>71-100</v>
      </c>
      <c r="DI989">
        <v>0</v>
      </c>
      <c r="DJ989">
        <v>1</v>
      </c>
      <c r="DK989">
        <v>0</v>
      </c>
      <c r="DL989">
        <v>1</v>
      </c>
      <c r="DM989">
        <v>1</v>
      </c>
      <c r="DN989">
        <f>SUM(DI989:DL989)</f>
        <v>2</v>
      </c>
      <c r="DO989" t="str">
        <f>IF(DN989=1,INDEX($DI$7:$DL$7,MATCH(1,$DI989:$DL989,0)),"mixedProduct")</f>
        <v>mixedProduct</v>
      </c>
      <c r="DP989">
        <f>IF(DI989=1,DP$7,0)</f>
        <v>0</v>
      </c>
      <c r="DQ989" t="str">
        <f>IF(DJ989=1,DQ$7,0)</f>
        <v>Energy</v>
      </c>
      <c r="DR989">
        <f>IF(DK989=1,DR$7,0)</f>
        <v>0</v>
      </c>
      <c r="DS989" t="str">
        <f>IF(DL989=1,DS$7,0)</f>
        <v>Timber</v>
      </c>
      <c r="DT989">
        <v>0</v>
      </c>
      <c r="DU989" s="143">
        <v>0</v>
      </c>
      <c r="DV989" s="143">
        <v>0</v>
      </c>
      <c r="DW989">
        <v>0</v>
      </c>
      <c r="DX989" s="143">
        <v>0</v>
      </c>
      <c r="DY989">
        <f>SUM(DT989:DU989)</f>
        <v>0</v>
      </c>
      <c r="DZ989" s="143" t="str">
        <f>IF(DT989=1,"self-calculated DF",IF(DU989=1,"external DF used","explicit C balance"))</f>
        <v>explicit C balance</v>
      </c>
      <c r="EA989" s="143">
        <v>0</v>
      </c>
      <c r="EB989" s="143">
        <v>0</v>
      </c>
      <c r="EC989" s="143">
        <v>1</v>
      </c>
      <c r="ED989" s="143">
        <v>1</v>
      </c>
      <c r="EE989">
        <v>0</v>
      </c>
      <c r="EF989" s="143">
        <v>0</v>
      </c>
      <c r="EG989" s="143">
        <v>0</v>
      </c>
      <c r="EH989" s="143">
        <v>0</v>
      </c>
      <c r="EI989" s="143">
        <v>0</v>
      </c>
      <c r="EJ989">
        <v>0</v>
      </c>
      <c r="EK989">
        <v>1</v>
      </c>
      <c r="EL989" s="143">
        <v>0</v>
      </c>
      <c r="EM989">
        <v>0</v>
      </c>
      <c r="EN989" s="2">
        <v>1</v>
      </c>
      <c r="EP989" t="str">
        <f>IF(AND(AND(AND(OR($EC989=1,$EB989=1),OR($EH989=1,$EF989=1)),SUM($EA989:$EE989,$EK989)&gt;=3),SUM($EF989:$EJ989)&gt;=2),"Whole sector approach","")</f>
        <v/>
      </c>
      <c r="EQ989" t="str">
        <f>IF(AND(AND(OR($EC989=1,$EB989=1),AND($EH989=0,$EF989=0)),SUM($EA989:$EE989,$EK989)&gt;=4),"Ecosystem approach","")</f>
        <v/>
      </c>
      <c r="ER989" s="2" t="str">
        <f>IF(AND(AND(AND($EC989=0,$EB989=0),OR($EH989=1,$EF989=1)),SUM($EG989:$EJ989)&gt;=2),"Technology approach","")</f>
        <v/>
      </c>
      <c r="ES989" t="str">
        <f>IF(AND($EC989+$EB989+$EE989+$EA989+$ED989+$EG989=0,$N989="included"),"C neutral forest and HWP assumption","")</f>
        <v/>
      </c>
      <c r="ET989" t="str">
        <f>IF(AND(AND(AND(AND($EC989=1,$EB989+$EA989+$EG989&gt;=1),$EF989=1),$EH989+$EI989+$ED989+$EE989&gt;=2),$N989="included"),"All C pools assumption","")</f>
        <v/>
      </c>
      <c r="EU989" t="str">
        <f>IF(AND($ED989+$EE989+$EI989+$EH989+$EF989=0,$N989="included"),"In-situ only assumption","")</f>
        <v/>
      </c>
      <c r="EY989" t="str">
        <f>IF(ISNUMBER(BW989),IF(ABS(BW989-[2]QC_indicators!$B$2)&gt;3*[2]QC_indicators!$C$2,"C ratio",IF(ISNUMBER(CA989),IF(ABS(CA989-[2]QC_indicators!$B$1)&gt;3*[2]QC_indicators!$C$1,"DF","no"))),IF(ISNUMBER(CA989),IF(ABS(CA989-[2]QC_indicators!$B$1)&gt;3*[2]QC_indicators!$C$1,"DF","no")))</f>
        <v>no</v>
      </c>
      <c r="FA989" t="str">
        <f>IF(LEN($CY989)=0,"",IF(AND($CY989&lt;(-0.05),$ES989="C neutral forest and HWP assumption"),"Cneutral paradox",IF(AND($CY989&gt;0.05,$EU989="In-situ only assumption"),"In-situ only paradox","")))</f>
        <v/>
      </c>
      <c r="FD989" s="260" t="s">
        <v>2843</v>
      </c>
    </row>
    <row r="990" spans="1:160" ht="15" hidden="1" customHeight="1">
      <c r="A990" s="1" t="s">
        <v>1251</v>
      </c>
      <c r="B990" t="s">
        <v>1745</v>
      </c>
      <c r="C990" t="s">
        <v>1746</v>
      </c>
      <c r="D990" t="s">
        <v>1747</v>
      </c>
      <c r="E990" t="s">
        <v>1748</v>
      </c>
      <c r="F990" t="s">
        <v>1749</v>
      </c>
      <c r="G990" t="s">
        <v>1257</v>
      </c>
      <c r="H990" t="s">
        <v>254</v>
      </c>
      <c r="I990">
        <v>2016</v>
      </c>
      <c r="J990">
        <v>12</v>
      </c>
      <c r="K990" t="s">
        <v>1750</v>
      </c>
      <c r="M990" t="str">
        <f>LEFT($D990,FIND(",",$D990)-1)&amp;"_"&amp;I990&amp;L990</f>
        <v>Lobianco_2016</v>
      </c>
      <c r="N990" t="s">
        <v>222</v>
      </c>
      <c r="O990" s="145" t="s">
        <v>225</v>
      </c>
      <c r="P990" t="s">
        <v>508</v>
      </c>
      <c r="Q990" t="s">
        <v>256</v>
      </c>
      <c r="R990" s="258" t="s">
        <v>223</v>
      </c>
      <c r="S990" s="1" t="s">
        <v>1753</v>
      </c>
      <c r="T990" s="143" t="s">
        <v>1030</v>
      </c>
      <c r="U990" t="s">
        <v>2844</v>
      </c>
      <c r="V990" s="253">
        <v>0</v>
      </c>
      <c r="W990" s="253">
        <v>0</v>
      </c>
      <c r="X990">
        <v>0</v>
      </c>
      <c r="Y990">
        <v>0</v>
      </c>
      <c r="Z990">
        <v>0</v>
      </c>
      <c r="AA990">
        <v>1</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1</v>
      </c>
      <c r="AX990">
        <v>0</v>
      </c>
      <c r="AY990">
        <v>0</v>
      </c>
      <c r="AZ990" s="141">
        <f>COUNTIF(X990:AY990,"&lt;&gt;0")</f>
        <v>2</v>
      </c>
      <c r="BA990" s="141">
        <f>COUNTIF(X990:AN990,"&lt;&gt;0")</f>
        <v>1</v>
      </c>
      <c r="BB990">
        <f>COUNTIF(X990:AE990,"&lt;&gt;0")</f>
        <v>1</v>
      </c>
      <c r="BC990">
        <f>COUNTIF(AF990:AK990,"&lt;&gt;0")</f>
        <v>0</v>
      </c>
      <c r="BD990">
        <f>COUNTIF(AL990:AN990,"&lt;&gt;0")</f>
        <v>0</v>
      </c>
      <c r="BE990">
        <f>COUNTIF(AU990:AY990,"&lt;&gt;0")</f>
        <v>1</v>
      </c>
      <c r="BF990">
        <f>COUNTIF(AO990:AT990,"&lt;&gt;0")</f>
        <v>0</v>
      </c>
      <c r="BG990" t="str">
        <f t="array" ref="BG990">IF(BA990=1,INDEX($X$7:$AN$7,MATCH(TRUE,INDEX($X990:$AY990&lt;&gt;0,),0)),IF(BA990=0,INDEX($AO$7:$AY$7,MATCH(1,$AO990:$AY990,0)),IF(BH990="Multiple strategies","mixed drivers",IF(BH990="Supply chain","multiple supply","multiple silviculture"))))</f>
        <v xml:space="preserve">cutting intensity </v>
      </c>
      <c r="BH990" s="2" t="str" cm="1">
        <f t="array" ref="BH990">IF(COUNTIF(BB990:BD990,"&lt;&gt;0")=1,INDEX($X$4:$AY$4,MATCH(TRUE,INDEX($X990:$AY990&lt;&gt;0,),0)),IF(COUNTIF(BB990:BD990,"&lt;&gt;0")=0,INDEX($AO$4:$AY$4,MATCH(1,$AO990:$AY990,0)),"Multiple strategies"))</f>
        <v>Silviculture for removals</v>
      </c>
      <c r="BI990" s="142" t="s">
        <v>321</v>
      </c>
      <c r="BJ990" s="261" t="s">
        <v>2839</v>
      </c>
      <c r="BK990" s="260" t="s">
        <v>2840</v>
      </c>
      <c r="BL990" s="143" t="s">
        <v>2841</v>
      </c>
      <c r="BM990">
        <f>53.247</f>
        <v>53.247</v>
      </c>
      <c r="BN990">
        <f>53.247*(1+9.16/100)</f>
        <v>58.124425199999997</v>
      </c>
      <c r="BP990">
        <f>BN990-BM990</f>
        <v>4.8774251999999976</v>
      </c>
      <c r="BQ990" s="143">
        <f>BP990*10^6</f>
        <v>4877425.1999999974</v>
      </c>
      <c r="BR990" t="s">
        <v>232</v>
      </c>
      <c r="BS990" s="260" t="s">
        <v>2842</v>
      </c>
      <c r="BT990" s="143" t="s">
        <v>1752</v>
      </c>
      <c r="BU990">
        <v>89.468999999999994</v>
      </c>
      <c r="BV990">
        <v>81.568887299999986</v>
      </c>
      <c r="BW990" s="144">
        <f>IFERROR(BV990/BU990,"")</f>
        <v>0.91169999999999995</v>
      </c>
      <c r="BX990">
        <f>BV990-BU990</f>
        <v>-7.9001127000000082</v>
      </c>
      <c r="BZ990">
        <f>BX990*10^6</f>
        <v>-7900112.7000000086</v>
      </c>
      <c r="CA990">
        <f>IFERROR(BZ990/BQ990,"")</f>
        <v>-1.6197301600852869</v>
      </c>
      <c r="CB990">
        <v>0</v>
      </c>
      <c r="CC990">
        <v>0</v>
      </c>
      <c r="CD990">
        <v>0</v>
      </c>
      <c r="CE990">
        <v>0</v>
      </c>
      <c r="CF990">
        <v>0</v>
      </c>
      <c r="CG990">
        <v>0</v>
      </c>
      <c r="CH990">
        <v>0</v>
      </c>
      <c r="CI990">
        <v>0</v>
      </c>
      <c r="CJ990">
        <v>0</v>
      </c>
      <c r="CK990">
        <v>0</v>
      </c>
      <c r="CL990">
        <v>0</v>
      </c>
      <c r="CM990">
        <v>0</v>
      </c>
      <c r="CN990">
        <v>0</v>
      </c>
      <c r="CO990">
        <v>0</v>
      </c>
      <c r="CP990" t="str">
        <f>IF($BN990&lt;$BM990,"refNeedCorrection","refOK")</f>
        <v>refOK</v>
      </c>
      <c r="CQ990">
        <f>IF($CP990="refOK",$BM990,$BN990)</f>
        <v>53.247</v>
      </c>
      <c r="CR990">
        <f>IF($CP990="refOK",$BN990,#REF!)</f>
        <v>58.124425199999997</v>
      </c>
      <c r="CS990">
        <f>IF($CP990="refOK",$BQ990,-$BQ990)</f>
        <v>4877425.1999999974</v>
      </c>
      <c r="CT990">
        <f>IF(BI990="Roundwood",$CS990/2,$CS990)</f>
        <v>2438712.5999999987</v>
      </c>
      <c r="CU990">
        <f>IF($CP990="refOK",$BU990,$BV990)*IF($BR990="Emissions positive",-1,1)</f>
        <v>89.468999999999994</v>
      </c>
      <c r="CV990">
        <f>IF($CP990="refOK",$BV990,$BU990)*IF($BR990="Emissions positive",-1,1)</f>
        <v>81.568887299999986</v>
      </c>
      <c r="CW990">
        <f>IF($CP990="refNeedCorrection",-BZ990,BZ990)*IF($BR990="Emissions positive",-1,1)</f>
        <v>-7900112.7000000086</v>
      </c>
      <c r="CX990">
        <f>IFERROR($CW990/$CS990,"")</f>
        <v>-1.6197301600852869</v>
      </c>
      <c r="CY990">
        <f>IFERROR($CW990/$CS990,"")</f>
        <v>-1.6197301600852869</v>
      </c>
      <c r="CZ990">
        <f>IFERROR($CW990/$CT990,"")</f>
        <v>-3.2394603201705738</v>
      </c>
      <c r="DA990" s="2">
        <f>IFERROR((CV990-CU990)/ABS(CU990),"")</f>
        <v>-8.8300000000000101E-2</v>
      </c>
      <c r="DB990" s="1" t="s">
        <v>1074</v>
      </c>
      <c r="DC990" t="str">
        <f>IF(OR($DB990="prd",$DB990="std",$DB990="cit"),"loc",IF(OR($DB990="eur",$DB990="reg",$DB990="coy"),"reg",$DB990))</f>
        <v>reg</v>
      </c>
      <c r="DD990" t="s">
        <v>715</v>
      </c>
      <c r="DE990">
        <v>2007</v>
      </c>
      <c r="DF990" s="143">
        <v>2100</v>
      </c>
      <c r="DG990" s="143">
        <f>DF990-DE990</f>
        <v>93</v>
      </c>
      <c r="DH990" t="str">
        <f>IF(DG990=0,"0",IF(AND(DG990&gt;=1,DG990&lt;=30),"1-30",IF(AND(DG990&gt;30,DG990&lt;=70),"31-70",IF(AND(DG990&gt;70,DG990&lt;=100),"71-100",IF(DG990&gt;100,"+100")))))</f>
        <v>71-100</v>
      </c>
      <c r="DI990">
        <v>0</v>
      </c>
      <c r="DJ990">
        <v>1</v>
      </c>
      <c r="DK990">
        <v>0</v>
      </c>
      <c r="DL990">
        <v>1</v>
      </c>
      <c r="DM990">
        <v>1</v>
      </c>
      <c r="DN990">
        <f>SUM(DI990:DL990)</f>
        <v>2</v>
      </c>
      <c r="DO990" t="str">
        <f>IF(DN990=1,INDEX($DI$7:$DL$7,MATCH(1,$DI990:$DL990,0)),"mixedProduct")</f>
        <v>mixedProduct</v>
      </c>
      <c r="DP990">
        <f>IF(DI990=1,DP$7,0)</f>
        <v>0</v>
      </c>
      <c r="DQ990" t="str">
        <f>IF(DJ990=1,DQ$7,0)</f>
        <v>Energy</v>
      </c>
      <c r="DR990">
        <f>IF(DK990=1,DR$7,0)</f>
        <v>0</v>
      </c>
      <c r="DS990" t="str">
        <f>IF(DL990=1,DS$7,0)</f>
        <v>Timber</v>
      </c>
      <c r="DT990">
        <v>0</v>
      </c>
      <c r="DU990" s="143">
        <v>0</v>
      </c>
      <c r="DV990" s="143">
        <v>0</v>
      </c>
      <c r="DW990">
        <v>0</v>
      </c>
      <c r="DX990" s="143">
        <v>0</v>
      </c>
      <c r="DY990">
        <f>SUM(DT990:DU990)</f>
        <v>0</v>
      </c>
      <c r="DZ990" s="143" t="str">
        <f>IF(DT990=1,"self-calculated DF",IF(DU990=1,"external DF used","explicit C balance"))</f>
        <v>explicit C balance</v>
      </c>
      <c r="EA990" s="143">
        <v>0</v>
      </c>
      <c r="EB990" s="143">
        <v>0</v>
      </c>
      <c r="EC990" s="143">
        <v>1</v>
      </c>
      <c r="ED990" s="143">
        <v>1</v>
      </c>
      <c r="EE990">
        <v>0</v>
      </c>
      <c r="EF990" s="143">
        <v>0</v>
      </c>
      <c r="EG990" s="143">
        <v>0</v>
      </c>
      <c r="EH990" s="143">
        <v>0</v>
      </c>
      <c r="EI990" s="143">
        <v>0</v>
      </c>
      <c r="EJ990">
        <v>0</v>
      </c>
      <c r="EK990">
        <v>1</v>
      </c>
      <c r="EL990" s="143">
        <v>0</v>
      </c>
      <c r="EM990">
        <v>0</v>
      </c>
      <c r="EN990" s="2">
        <v>1</v>
      </c>
      <c r="EP990" t="str">
        <f>IF(AND(AND(AND(OR($EC990=1,$EB990=1),OR($EH990=1,$EF990=1)),SUM($EA990:$EE990,$EK990)&gt;=3),SUM($EF990:$EJ990)&gt;=2),"Whole sector approach","")</f>
        <v/>
      </c>
      <c r="EQ990" t="str">
        <f>IF(AND(AND(OR($EC990=1,$EB990=1),AND($EH990=0,$EF990=0)),SUM($EA990:$EE990,$EK990)&gt;=4),"Ecosystem approach","")</f>
        <v/>
      </c>
      <c r="ER990" s="2" t="str">
        <f>IF(AND(AND(AND($EC990=0,$EB990=0),OR($EH990=1,$EF990=1)),SUM($EG990:$EJ990)&gt;=2),"Technology approach","")</f>
        <v/>
      </c>
      <c r="ES990" t="str">
        <f>IF(AND($EC990+$EB990+$EE990+$EA990+$ED990+$EG990=0,$N990="included"),"C neutral forest and HWP assumption","")</f>
        <v/>
      </c>
      <c r="ET990" t="str">
        <f>IF(AND(AND(AND(AND($EC990=1,$EB990+$EA990+$EG990&gt;=1),$EF990=1),$EH990+$EI990+$ED990+$EE990&gt;=2),$N990="included"),"All C pools assumption","")</f>
        <v/>
      </c>
      <c r="EU990" t="str">
        <f>IF(AND($ED990+$EE990+$EI990+$EH990+$EF990=0,$N990="included"),"In-situ only assumption","")</f>
        <v/>
      </c>
      <c r="EY990" t="str">
        <f>IF(ISNUMBER(BW990),IF(ABS(BW990-[2]QC_indicators!$B$2)&gt;3*[2]QC_indicators!$C$2,"C ratio",IF(ISNUMBER(CA990),IF(ABS(CA990-[2]QC_indicators!$B$1)&gt;3*[2]QC_indicators!$C$1,"DF","no"))),IF(ISNUMBER(CA990),IF(ABS(CA990-[2]QC_indicators!$B$1)&gt;3*[2]QC_indicators!$C$1,"DF","no")))</f>
        <v>no</v>
      </c>
      <c r="FA990" t="str">
        <f>IF(LEN($CY990)=0,"",IF(AND($CY990&lt;(-0.05),$ES990="C neutral forest and HWP assumption"),"Cneutral paradox",IF(AND($CY990&gt;0.05,$EU990="In-situ only assumption"),"In-situ only paradox","")))</f>
        <v/>
      </c>
      <c r="FD990" s="260" t="s">
        <v>2843</v>
      </c>
    </row>
    <row r="991" spans="1:160" ht="15" hidden="1" customHeight="1">
      <c r="A991" s="1" t="s">
        <v>1251</v>
      </c>
      <c r="B991" t="s">
        <v>1745</v>
      </c>
      <c r="C991" t="s">
        <v>1746</v>
      </c>
      <c r="D991" t="s">
        <v>1747</v>
      </c>
      <c r="E991" t="s">
        <v>1748</v>
      </c>
      <c r="F991" t="s">
        <v>1749</v>
      </c>
      <c r="G991" t="s">
        <v>1257</v>
      </c>
      <c r="H991" t="s">
        <v>254</v>
      </c>
      <c r="I991">
        <v>2016</v>
      </c>
      <c r="J991">
        <v>12</v>
      </c>
      <c r="K991" t="s">
        <v>1750</v>
      </c>
      <c r="M991" t="str">
        <f>LEFT($D991,FIND(",",$D991)-1)&amp;"_"&amp;I991&amp;L991</f>
        <v>Lobianco_2016</v>
      </c>
      <c r="N991" t="s">
        <v>222</v>
      </c>
      <c r="O991" s="145" t="s">
        <v>225</v>
      </c>
      <c r="P991" t="s">
        <v>508</v>
      </c>
      <c r="Q991" t="s">
        <v>256</v>
      </c>
      <c r="R991" s="258" t="s">
        <v>223</v>
      </c>
      <c r="S991" s="1" t="s">
        <v>1755</v>
      </c>
      <c r="T991" s="143" t="s">
        <v>2846</v>
      </c>
      <c r="U991" s="143" t="s">
        <v>1030</v>
      </c>
      <c r="V991" s="253">
        <v>0</v>
      </c>
      <c r="W991" s="253">
        <v>0</v>
      </c>
      <c r="X991">
        <v>0</v>
      </c>
      <c r="Y991">
        <v>0</v>
      </c>
      <c r="Z991">
        <v>1</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1</v>
      </c>
      <c r="AX991">
        <v>0</v>
      </c>
      <c r="AY991">
        <v>0</v>
      </c>
      <c r="AZ991" s="141">
        <f>COUNTIF(X991:AY991,"&lt;&gt;0")</f>
        <v>2</v>
      </c>
      <c r="BA991" s="141">
        <f>COUNTIF(X991:AN991,"&lt;&gt;0")</f>
        <v>1</v>
      </c>
      <c r="BB991">
        <f>COUNTIF(X991:AE991,"&lt;&gt;0")</f>
        <v>1</v>
      </c>
      <c r="BC991">
        <f>COUNTIF(AF991:AK991,"&lt;&gt;0")</f>
        <v>0</v>
      </c>
      <c r="BD991">
        <f>COUNTIF(AL991:AN991,"&lt;&gt;0")</f>
        <v>0</v>
      </c>
      <c r="BE991">
        <f>COUNTIF(AU991:AY991,"&lt;&gt;0")</f>
        <v>1</v>
      </c>
      <c r="BF991">
        <f>COUNTIF(AO991:AT991,"&lt;&gt;0")</f>
        <v>0</v>
      </c>
      <c r="BG991" t="str">
        <f t="array" ref="BG991">IF(BA991=1,INDEX($X$7:$AN$7,MATCH(TRUE,INDEX($X991:$AY991&lt;&gt;0,),0)),IF(BA991=0,INDEX($AO$7:$AY$7,MATCH(1,$AO991:$AY991,0)),IF(BH991="Multiple strategies","mixed drivers",IF(BH991="Supply chain","multiple supply","multiple silviculture"))))</f>
        <v>rotation length</v>
      </c>
      <c r="BH991" s="2" t="str" cm="1">
        <f t="array" ref="BH991">IF(COUNTIF(BB991:BD991,"&lt;&gt;0")=1,INDEX($X$4:$AY$4,MATCH(TRUE,INDEX($X991:$AY991&lt;&gt;0,),0)),IF(COUNTIF(BB991:BD991,"&lt;&gt;0")=0,INDEX($AO$4:$AY$4,MATCH(1,$AO991:$AY991,0)),"Multiple strategies"))</f>
        <v>Silviculture for removals</v>
      </c>
      <c r="BI991" s="142" t="s">
        <v>321</v>
      </c>
      <c r="BJ991" s="261" t="s">
        <v>2839</v>
      </c>
      <c r="BK991" s="260" t="s">
        <v>2840</v>
      </c>
      <c r="BL991" s="143" t="s">
        <v>2841</v>
      </c>
      <c r="BM991">
        <f>53.247*(1-0.06/100)</f>
        <v>53.215051799999998</v>
      </c>
      <c r="BN991">
        <f>53.247</f>
        <v>53.247</v>
      </c>
      <c r="BP991">
        <f>BN991-BM991</f>
        <v>3.1948200000002203E-2</v>
      </c>
      <c r="BQ991" s="143">
        <f>BP991*10^6</f>
        <v>31948.200000002202</v>
      </c>
      <c r="BR991" t="s">
        <v>232</v>
      </c>
      <c r="BS991" s="260" t="s">
        <v>2842</v>
      </c>
      <c r="BT991" s="143" t="s">
        <v>1752</v>
      </c>
      <c r="BU991">
        <v>89.281115099999994</v>
      </c>
      <c r="BV991">
        <v>89.468999999999994</v>
      </c>
      <c r="BW991" s="144">
        <f>IFERROR(BV991/BU991,"")</f>
        <v>1.0021044192804891</v>
      </c>
      <c r="BX991">
        <f>BV991-BU991</f>
        <v>0.18788490000000024</v>
      </c>
      <c r="BZ991">
        <f>BX991*10^6</f>
        <v>187884.90000000026</v>
      </c>
      <c r="CA991">
        <f>IFERROR(BZ991/BQ991,"")</f>
        <v>5.8809228688936246</v>
      </c>
      <c r="CB991">
        <v>0</v>
      </c>
      <c r="CC991">
        <v>0</v>
      </c>
      <c r="CD991">
        <v>0</v>
      </c>
      <c r="CE991">
        <v>0</v>
      </c>
      <c r="CF991">
        <v>0</v>
      </c>
      <c r="CG991">
        <v>0</v>
      </c>
      <c r="CH991">
        <v>0</v>
      </c>
      <c r="CI991">
        <v>0</v>
      </c>
      <c r="CJ991">
        <v>0</v>
      </c>
      <c r="CK991">
        <v>0</v>
      </c>
      <c r="CL991">
        <v>0</v>
      </c>
      <c r="CM991">
        <v>0</v>
      </c>
      <c r="CN991">
        <v>0</v>
      </c>
      <c r="CO991">
        <v>0</v>
      </c>
      <c r="CP991" t="str">
        <f>IF($BN991&lt;$BM991,"refNeedCorrection","refOK")</f>
        <v>refOK</v>
      </c>
      <c r="CQ991">
        <f>IF($CP991="refOK",$BM991,$BN991)</f>
        <v>53.215051799999998</v>
      </c>
      <c r="CR991">
        <f>IF($CP991="refOK",$BN991,$BM991)</f>
        <v>53.247</v>
      </c>
      <c r="CS991">
        <f>IF($CP991="refOK",$BQ991,-$BQ991)</f>
        <v>31948.200000002202</v>
      </c>
      <c r="CT991">
        <f>IF(BI991="Roundwood",$CS991/2,$CS991)</f>
        <v>15974.100000001101</v>
      </c>
      <c r="CU991">
        <f>IF($CP991="refOK",$BU991,$BV991)*IF($BR991="Emissions positive",-1,1)</f>
        <v>89.281115099999994</v>
      </c>
      <c r="CV991">
        <f>IF($CP991="refOK",$BV991,$BU991)*IF($BR991="Emissions positive",-1,1)</f>
        <v>89.468999999999994</v>
      </c>
      <c r="CW991">
        <f>IF($CP991="refNeedCorrection",-BZ991,BZ991)*IF($BR991="Emissions positive",-1,1)</f>
        <v>187884.90000000026</v>
      </c>
      <c r="CX991">
        <f>IFERROR($CW991/$CS991,"")</f>
        <v>5.8809228688936246</v>
      </c>
      <c r="CY991">
        <f>IFERROR($CW991/$CS991,"")</f>
        <v>5.8809228688936246</v>
      </c>
      <c r="CZ991">
        <f>IFERROR($CW991/$CT991,"")</f>
        <v>11.761845737787249</v>
      </c>
      <c r="DA991" s="2">
        <f>IFERROR((CV991-CU991)/ABS(CU991),"")</f>
        <v>2.1044192804890297E-3</v>
      </c>
      <c r="DB991" s="1" t="s">
        <v>1074</v>
      </c>
      <c r="DC991" t="str">
        <f>IF(OR($DB991="prd",$DB991="std",$DB991="cit"),"loc",IF(OR($DB991="eur",$DB991="reg",$DB991="coy"),"reg",$DB991))</f>
        <v>reg</v>
      </c>
      <c r="DD991" t="s">
        <v>715</v>
      </c>
      <c r="DE991">
        <v>2007</v>
      </c>
      <c r="DF991" s="143">
        <v>2100</v>
      </c>
      <c r="DG991" s="143">
        <f>DF991-DE991</f>
        <v>93</v>
      </c>
      <c r="DH991" t="str">
        <f>IF(DG991=0,"0",IF(AND(DG991&gt;=1,DG991&lt;=30),"1-30",IF(AND(DG991&gt;30,DG991&lt;=70),"31-70",IF(AND(DG991&gt;70,DG991&lt;=100),"71-100",IF(DG991&gt;100,"+100")))))</f>
        <v>71-100</v>
      </c>
      <c r="DI991">
        <v>0</v>
      </c>
      <c r="DJ991">
        <v>1</v>
      </c>
      <c r="DK991">
        <v>0</v>
      </c>
      <c r="DL991">
        <v>1</v>
      </c>
      <c r="DM991">
        <v>1</v>
      </c>
      <c r="DN991">
        <f>SUM(DI991:DL991)</f>
        <v>2</v>
      </c>
      <c r="DO991" t="str">
        <f>IF(DN991=1,INDEX($DI$7:$DL$7,MATCH(1,$DI991:$DL991,0)),"mixedProduct")</f>
        <v>mixedProduct</v>
      </c>
      <c r="DP991">
        <f>IF(DI991=1,DP$7,0)</f>
        <v>0</v>
      </c>
      <c r="DQ991" t="str">
        <f>IF(DJ991=1,DQ$7,0)</f>
        <v>Energy</v>
      </c>
      <c r="DR991">
        <f>IF(DK991=1,DR$7,0)</f>
        <v>0</v>
      </c>
      <c r="DS991" t="str">
        <f>IF(DL991=1,DS$7,0)</f>
        <v>Timber</v>
      </c>
      <c r="DT991">
        <v>0</v>
      </c>
      <c r="DU991" s="143">
        <v>0</v>
      </c>
      <c r="DV991" s="143">
        <v>0</v>
      </c>
      <c r="DW991">
        <v>0</v>
      </c>
      <c r="DX991" s="143">
        <v>0</v>
      </c>
      <c r="DY991">
        <f>SUM(DT991:DU991)</f>
        <v>0</v>
      </c>
      <c r="DZ991" s="143" t="str">
        <f>IF(DT991=1,"self-calculated DF",IF(DU991=1,"external DF used","explicit C balance"))</f>
        <v>explicit C balance</v>
      </c>
      <c r="EA991" s="143">
        <v>0</v>
      </c>
      <c r="EB991" s="143">
        <v>0</v>
      </c>
      <c r="EC991" s="143">
        <v>1</v>
      </c>
      <c r="ED991" s="143">
        <v>1</v>
      </c>
      <c r="EE991">
        <v>0</v>
      </c>
      <c r="EF991" s="143">
        <v>0</v>
      </c>
      <c r="EG991" s="143">
        <v>0</v>
      </c>
      <c r="EH991" s="143">
        <v>0</v>
      </c>
      <c r="EI991" s="143">
        <v>0</v>
      </c>
      <c r="EJ991">
        <v>0</v>
      </c>
      <c r="EK991">
        <v>1</v>
      </c>
      <c r="EL991" s="143">
        <v>0</v>
      </c>
      <c r="EM991">
        <v>0</v>
      </c>
      <c r="EN991" s="2">
        <v>1</v>
      </c>
      <c r="EP991" t="str">
        <f>IF(AND(AND(AND(OR($EC991=1,$EB991=1),OR($EH991=1,$EF991=1)),SUM($EA991:$EE991,$EK991)&gt;=3),SUM($EF991:$EJ991)&gt;=2),"Whole sector approach","")</f>
        <v/>
      </c>
      <c r="EQ991" t="str">
        <f>IF(AND(AND(OR($EC991=1,$EB991=1),AND($EH991=0,$EF991=0)),SUM($EA991:$EE991,$EK991)&gt;=4),"Ecosystem approach","")</f>
        <v/>
      </c>
      <c r="ER991" s="2" t="str">
        <f>IF(AND(AND(AND($EC991=0,$EB991=0),OR($EH991=1,$EF991=1)),SUM($EG991:$EJ991)&gt;=2),"Technology approach","")</f>
        <v/>
      </c>
      <c r="ES991" t="str">
        <f>IF(AND($EC991+$EB991+$EE991+$EA991+$ED991+$EG991=0,$N991="included"),"C neutral forest and HWP assumption","")</f>
        <v/>
      </c>
      <c r="ET991" t="str">
        <f>IF(AND(AND(AND(AND($EC991=1,$EB991+$EA991+$EG991&gt;=1),$EF991=1),$EH991+$EI991+$ED991+$EE991&gt;=2),$N991="included"),"All C pools assumption","")</f>
        <v/>
      </c>
      <c r="EU991" t="str">
        <f>IF(AND($ED991+$EE991+$EI991+$EH991+$EF991=0,$N991="included"),"In-situ only assumption","")</f>
        <v/>
      </c>
      <c r="EY991" t="str">
        <f>IF(ISNUMBER(BW991),IF(ABS(BW991-[2]QC_indicators!$B$2)&gt;3*[2]QC_indicators!$C$2,"C ratio",IF(ISNUMBER(CA991),IF(ABS(CA991-[2]QC_indicators!$B$1)&gt;3*[2]QC_indicators!$C$1,"DF","no"))),IF(ISNUMBER(CA991),IF(ABS(CA991-[2]QC_indicators!$B$1)&gt;3*[2]QC_indicators!$C$1,"DF","no")))</f>
        <v>no</v>
      </c>
      <c r="FA991" t="str">
        <f>IF(LEN($CY991)=0,"",IF(AND($CY991&lt;(-0.05),$ES991="C neutral forest and HWP assumption"),"Cneutral paradox",IF(AND($CY991&gt;0.05,$EU991="In-situ only assumption"),"In-situ only paradox","")))</f>
        <v/>
      </c>
      <c r="FD991" s="260" t="s">
        <v>2843</v>
      </c>
    </row>
    <row r="992" spans="1:160" ht="15" hidden="1" customHeight="1">
      <c r="A992" s="1" t="s">
        <v>1251</v>
      </c>
      <c r="B992" t="s">
        <v>1745</v>
      </c>
      <c r="C992" t="s">
        <v>1746</v>
      </c>
      <c r="D992" t="s">
        <v>1747</v>
      </c>
      <c r="E992" t="s">
        <v>1748</v>
      </c>
      <c r="F992" t="s">
        <v>1749</v>
      </c>
      <c r="G992" t="s">
        <v>1257</v>
      </c>
      <c r="H992" t="s">
        <v>254</v>
      </c>
      <c r="I992">
        <v>2016</v>
      </c>
      <c r="J992">
        <v>12</v>
      </c>
      <c r="K992" t="s">
        <v>1750</v>
      </c>
      <c r="M992" t="str">
        <f>LEFT($D992,FIND(",",$D992)-1)&amp;"_"&amp;I992&amp;L992</f>
        <v>Lobianco_2016</v>
      </c>
      <c r="N992" t="s">
        <v>222</v>
      </c>
      <c r="O992" s="145" t="s">
        <v>225</v>
      </c>
      <c r="P992" t="s">
        <v>508</v>
      </c>
      <c r="Q992" t="s">
        <v>256</v>
      </c>
      <c r="R992" s="258" t="s">
        <v>223</v>
      </c>
      <c r="S992" s="1" t="s">
        <v>1751</v>
      </c>
      <c r="T992" s="143" t="s">
        <v>2845</v>
      </c>
      <c r="U992" s="143" t="s">
        <v>1030</v>
      </c>
      <c r="V992" s="253">
        <v>0</v>
      </c>
      <c r="W992" s="253">
        <v>0</v>
      </c>
      <c r="X992">
        <v>0</v>
      </c>
      <c r="Y992">
        <v>0</v>
      </c>
      <c r="Z992">
        <v>1</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0</v>
      </c>
      <c r="AW992">
        <v>1</v>
      </c>
      <c r="AX992">
        <v>0</v>
      </c>
      <c r="AY992">
        <v>0</v>
      </c>
      <c r="AZ992" s="141">
        <f>COUNTIF(X992:AY992,"&lt;&gt;0")</f>
        <v>2</v>
      </c>
      <c r="BA992" s="141">
        <f>COUNTIF(X992:AN992,"&lt;&gt;0")</f>
        <v>1</v>
      </c>
      <c r="BB992">
        <f>COUNTIF(X992:AE992,"&lt;&gt;0")</f>
        <v>1</v>
      </c>
      <c r="BC992">
        <f>COUNTIF(AF992:AK992,"&lt;&gt;0")</f>
        <v>0</v>
      </c>
      <c r="BD992">
        <f>COUNTIF(AL992:AN992,"&lt;&gt;0")</f>
        <v>0</v>
      </c>
      <c r="BE992">
        <f>COUNTIF(AU992:AY992,"&lt;&gt;0")</f>
        <v>1</v>
      </c>
      <c r="BF992">
        <f>COUNTIF(AO992:AT992,"&lt;&gt;0")</f>
        <v>0</v>
      </c>
      <c r="BG992" t="str">
        <f t="array" ref="BG992">IF(BA992=1,INDEX($X$7:$AN$7,MATCH(TRUE,INDEX($X992:$AY992&lt;&gt;0,),0)),IF(BA992=0,INDEX($AO$7:$AY$7,MATCH(1,$AO992:$AY992,0)),IF(BH992="Multiple strategies","mixed drivers",IF(BH992="Supply chain","multiple supply","multiple silviculture"))))</f>
        <v>rotation length</v>
      </c>
      <c r="BH992" s="2" t="str" cm="1">
        <f t="array" ref="BH992">IF(COUNTIF(BB992:BD992,"&lt;&gt;0")=1,INDEX($X$4:$AY$4,MATCH(TRUE,INDEX($X992:$AY992&lt;&gt;0,),0)),IF(COUNTIF(BB992:BD992,"&lt;&gt;0")=0,INDEX($AO$4:$AY$4,MATCH(1,$AO992:$AY992,0)),"Multiple strategies"))</f>
        <v>Silviculture for removals</v>
      </c>
      <c r="BI992" s="142" t="s">
        <v>321</v>
      </c>
      <c r="BJ992" s="261" t="s">
        <v>2839</v>
      </c>
      <c r="BK992" s="260" t="s">
        <v>2840</v>
      </c>
      <c r="BL992" s="143" t="s">
        <v>2841</v>
      </c>
      <c r="BM992">
        <f>53.247*(1-0.04/100)</f>
        <v>53.225701200000003</v>
      </c>
      <c r="BN992">
        <f>53.247</f>
        <v>53.247</v>
      </c>
      <c r="BP992">
        <f>BN992-BM992</f>
        <v>2.1298799999996731E-2</v>
      </c>
      <c r="BQ992" s="143">
        <f>BP992*10^6</f>
        <v>21298.799999996732</v>
      </c>
      <c r="BR992" t="s">
        <v>232</v>
      </c>
      <c r="BS992" s="260" t="s">
        <v>2842</v>
      </c>
      <c r="BT992" s="143" t="s">
        <v>1752</v>
      </c>
      <c r="BU992">
        <f>117.96*(1-0.07/100)</f>
        <v>117.87742799999999</v>
      </c>
      <c r="BV992" s="144">
        <v>117.962</v>
      </c>
      <c r="BX992">
        <f>BV992-BU992</f>
        <v>8.4572000000008529E-2</v>
      </c>
      <c r="BZ992">
        <f>BX992*10^6</f>
        <v>84572.000000008527</v>
      </c>
      <c r="CA992">
        <f>IFERROR(BZ992/BQ992,"")</f>
        <v>3.970740135595503</v>
      </c>
      <c r="CB992">
        <v>0</v>
      </c>
      <c r="CC992">
        <v>0</v>
      </c>
      <c r="CD992">
        <v>0</v>
      </c>
      <c r="CE992">
        <v>0</v>
      </c>
      <c r="CF992">
        <v>0</v>
      </c>
      <c r="CG992">
        <v>0</v>
      </c>
      <c r="CH992">
        <v>0</v>
      </c>
      <c r="CI992">
        <v>0</v>
      </c>
      <c r="CJ992">
        <v>0</v>
      </c>
      <c r="CK992">
        <v>0</v>
      </c>
      <c r="CL992">
        <v>0</v>
      </c>
      <c r="CM992">
        <v>0</v>
      </c>
      <c r="CN992">
        <v>0</v>
      </c>
      <c r="CO992">
        <v>0</v>
      </c>
      <c r="CP992" t="str">
        <f>IF($BN992&lt;$BM992,"refNeedCorrection","refOK")</f>
        <v>refOK</v>
      </c>
      <c r="CQ992">
        <f>IF($CP992="refOK",$BM992,$BN992)</f>
        <v>53.225701200000003</v>
      </c>
      <c r="CR992">
        <f>IF($CP992="refOK",$BN992,$BM992)</f>
        <v>53.247</v>
      </c>
      <c r="CS992">
        <f>IF($CP992="refOK",$BQ992,-$BQ992)</f>
        <v>21298.799999996732</v>
      </c>
      <c r="CT992">
        <f>IF(BI992="Roundwood",$CS992/2,$CS992)</f>
        <v>10649.399999998366</v>
      </c>
      <c r="CU992">
        <f>IF($CP992="refOK",$BU992,$BV992)*IF($BR992="Emissions positive",-1,1)</f>
        <v>117.87742799999999</v>
      </c>
      <c r="CV992">
        <f>IF($CP992="refOK",$BU992,#REF!)*IF($BR992="Emissions positive",-1,1)</f>
        <v>117.87742799999999</v>
      </c>
      <c r="CW992">
        <f>IF($CP992="refNeedCorrection",-BZ992,BZ992)*IF($BR992="Emissions positive",-1,1)</f>
        <v>84572.000000008527</v>
      </c>
      <c r="CX992">
        <f>IFERROR($CW992/$CS992,"")</f>
        <v>3.970740135595503</v>
      </c>
      <c r="CY992">
        <f>IFERROR($CW992/$CS992,"")</f>
        <v>3.970740135595503</v>
      </c>
      <c r="CZ992">
        <f>IFERROR($CW992/$CT992,"")</f>
        <v>7.941480271191006</v>
      </c>
      <c r="DA992" s="2">
        <f>IFERROR((CV992-CU992)/ABS(CU992),"")</f>
        <v>0</v>
      </c>
      <c r="DB992" s="1" t="s">
        <v>1074</v>
      </c>
      <c r="DC992" t="str">
        <f>IF(OR($DB992="prd",$DB992="std",$DB992="cit"),"loc",IF(OR($DB992="eur",$DB992="reg",$DB992="coy"),"reg",$DB992))</f>
        <v>reg</v>
      </c>
      <c r="DD992" t="s">
        <v>715</v>
      </c>
      <c r="DE992">
        <v>2007</v>
      </c>
      <c r="DF992" s="143">
        <v>2100</v>
      </c>
      <c r="DG992" s="143">
        <f>DF992-DE992</f>
        <v>93</v>
      </c>
      <c r="DH992" t="str">
        <f>IF(DG992=0,"0",IF(AND(DG992&gt;=1,DG992&lt;=30),"1-30",IF(AND(DG992&gt;30,DG992&lt;=70),"31-70",IF(AND(DG992&gt;70,DG992&lt;=100),"71-100",IF(DG992&gt;100,"+100")))))</f>
        <v>71-100</v>
      </c>
      <c r="DI992">
        <v>0</v>
      </c>
      <c r="DJ992">
        <v>1</v>
      </c>
      <c r="DK992">
        <v>0</v>
      </c>
      <c r="DL992">
        <v>1</v>
      </c>
      <c r="DM992">
        <v>1</v>
      </c>
      <c r="DN992">
        <f>SUM(DI992:DL992)</f>
        <v>2</v>
      </c>
      <c r="DO992" t="str">
        <f>IF(DN992=1,INDEX($DI$7:$DL$7,MATCH(1,$DI992:$DL992,0)),"mixedProduct")</f>
        <v>mixedProduct</v>
      </c>
      <c r="DP992">
        <f>IF(DI992=1,DP$7,0)</f>
        <v>0</v>
      </c>
      <c r="DQ992" t="str">
        <f>IF(DJ992=1,DQ$7,0)</f>
        <v>Energy</v>
      </c>
      <c r="DR992">
        <f>IF(DK992=1,DR$7,0)</f>
        <v>0</v>
      </c>
      <c r="DS992" t="str">
        <f>IF(DL992=1,DS$7,0)</f>
        <v>Timber</v>
      </c>
      <c r="DT992">
        <v>0</v>
      </c>
      <c r="DU992" s="143">
        <v>0</v>
      </c>
      <c r="DV992" s="143">
        <v>0</v>
      </c>
      <c r="DW992">
        <v>0</v>
      </c>
      <c r="DX992" s="143">
        <v>0</v>
      </c>
      <c r="DY992">
        <f>SUM(DT992:DU992)</f>
        <v>0</v>
      </c>
      <c r="DZ992" s="143" t="str">
        <f>IF(DT992=1,"self-calculated DF",IF(DU992=1,"external DF used","explicit C balance"))</f>
        <v>explicit C balance</v>
      </c>
      <c r="EA992" s="143">
        <v>0</v>
      </c>
      <c r="EB992" s="143">
        <v>0</v>
      </c>
      <c r="EC992" s="143">
        <v>1</v>
      </c>
      <c r="ED992" s="143">
        <v>1</v>
      </c>
      <c r="EE992">
        <v>0</v>
      </c>
      <c r="EF992" s="143">
        <v>1</v>
      </c>
      <c r="EG992" s="143">
        <v>1</v>
      </c>
      <c r="EH992" s="143">
        <v>0</v>
      </c>
      <c r="EI992" s="143">
        <v>0</v>
      </c>
      <c r="EJ992">
        <v>0</v>
      </c>
      <c r="EK992">
        <v>1</v>
      </c>
      <c r="EL992" s="143">
        <v>0</v>
      </c>
      <c r="EM992">
        <v>0</v>
      </c>
      <c r="EN992" s="2">
        <v>1</v>
      </c>
      <c r="EP992" t="str">
        <f>IF(AND(AND(AND(OR($EC992=1,$EB992=1),OR($EH992=1,$EF992=1)),SUM($EA992:$EE992,$EK992)&gt;=3),SUM($EF992:$EJ992)&gt;=2),"Whole sector approach","")</f>
        <v>Whole sector approach</v>
      </c>
      <c r="EQ992" t="str">
        <f>IF(AND(AND(OR($EC992=1,$EB992=1),AND($EH992=0,$EF992=0)),SUM($EA992:$EE992,$EK992)&gt;=4),"Ecosystem approach","")</f>
        <v/>
      </c>
      <c r="ER992" s="2" t="str">
        <f>IF(AND(AND(AND($EC992=0,$EB992=0),OR($EH992=1,$EF992=1)),SUM($EG992:$EJ992)&gt;=2),"Technology approach","")</f>
        <v/>
      </c>
      <c r="ES992" t="str">
        <f>IF(AND($EC992+$EB992+$EE992+$EA992+$ED992+$EG992=0,$N992="included"),"C neutral forest and HWP assumption","")</f>
        <v/>
      </c>
      <c r="ET992" t="str">
        <f>IF(AND(AND(AND(AND($EC992=1,$EB992+$EA992+$EG992&gt;=1),$EF992=1),$EH992+$EI992+$ED992+$EE992&gt;=2),$N992="included"),"All C pools assumption","")</f>
        <v/>
      </c>
      <c r="EU992" t="str">
        <f>IF(AND($ED992+$EE992+$EI992+$EH992+$EF992=0,$N992="included"),"In-situ only assumption","")</f>
        <v/>
      </c>
      <c r="EY992" t="str">
        <f>IF(ISNUMBER(BV992),IF(ABS(BV992-[2]QC_indicators!$B$2)&gt;3*[2]QC_indicators!$C$2,"C ratio",IF(ISNUMBER(CA992),IF(ABS(CA992-[2]QC_indicators!$B$1)&gt;3*[2]QC_indicators!$C$1,"DF","no"))),IF(ISNUMBER(CA992),IF(ABS(CA992-[2]QC_indicators!$B$1)&gt;3*[2]QC_indicators!$C$1,"DF","no")))</f>
        <v>C ratio</v>
      </c>
      <c r="FA992" t="str">
        <f>IF(LEN($CY992)=0,"",IF(AND($CY992&lt;(-0.05),$ES992="C neutral forest and HWP assumption"),"Cneutral paradox",IF(AND($CY992&gt;0.05,$EU992="In-situ only assumption"),"In-situ only paradox","")))</f>
        <v/>
      </c>
      <c r="FD992" s="260" t="s">
        <v>2843</v>
      </c>
    </row>
    <row r="993" spans="1:161" ht="15" hidden="1" customHeight="1">
      <c r="A993" s="1" t="s">
        <v>1251</v>
      </c>
      <c r="B993" t="s">
        <v>1745</v>
      </c>
      <c r="C993" t="s">
        <v>1746</v>
      </c>
      <c r="D993" t="s">
        <v>1747</v>
      </c>
      <c r="E993" t="s">
        <v>1748</v>
      </c>
      <c r="F993" t="s">
        <v>1749</v>
      </c>
      <c r="G993" t="s">
        <v>1257</v>
      </c>
      <c r="H993" t="s">
        <v>254</v>
      </c>
      <c r="I993">
        <v>2016</v>
      </c>
      <c r="J993">
        <v>12</v>
      </c>
      <c r="K993" t="s">
        <v>1750</v>
      </c>
      <c r="M993" t="str">
        <f>LEFT($D993,FIND(",",$D993)-1)&amp;"_"&amp;I993&amp;L993</f>
        <v>Lobianco_2016</v>
      </c>
      <c r="N993" t="s">
        <v>222</v>
      </c>
      <c r="O993" s="145" t="s">
        <v>225</v>
      </c>
      <c r="P993" t="s">
        <v>508</v>
      </c>
      <c r="Q993" t="s">
        <v>256</v>
      </c>
      <c r="R993" s="258" t="s">
        <v>223</v>
      </c>
      <c r="S993" s="1" t="s">
        <v>1751</v>
      </c>
      <c r="T993" s="143" t="s">
        <v>2845</v>
      </c>
      <c r="U993" s="143" t="s">
        <v>1030</v>
      </c>
      <c r="V993" s="253">
        <v>0</v>
      </c>
      <c r="W993" s="253">
        <v>0</v>
      </c>
      <c r="X993">
        <v>0</v>
      </c>
      <c r="Y993">
        <v>0</v>
      </c>
      <c r="Z993">
        <v>1</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1</v>
      </c>
      <c r="AX993">
        <v>0</v>
      </c>
      <c r="AY993">
        <v>0</v>
      </c>
      <c r="AZ993" s="141">
        <f>COUNTIF(X993:AY993,"&lt;&gt;0")</f>
        <v>2</v>
      </c>
      <c r="BA993" s="141">
        <f>COUNTIF(X993:AN993,"&lt;&gt;0")</f>
        <v>1</v>
      </c>
      <c r="BB993">
        <f>COUNTIF(X993:AE993,"&lt;&gt;0")</f>
        <v>1</v>
      </c>
      <c r="BC993">
        <f>COUNTIF(AF993:AK993,"&lt;&gt;0")</f>
        <v>0</v>
      </c>
      <c r="BD993">
        <f>COUNTIF(AL993:AN993,"&lt;&gt;0")</f>
        <v>0</v>
      </c>
      <c r="BE993">
        <f>COUNTIF(AU993:AY993,"&lt;&gt;0")</f>
        <v>1</v>
      </c>
      <c r="BF993">
        <f>COUNTIF(AO993:AT993,"&lt;&gt;0")</f>
        <v>0</v>
      </c>
      <c r="BG993" t="str">
        <f t="array" ref="BG993">IF(BA993=1,INDEX($X$7:$AN$7,MATCH(TRUE,INDEX($X993:$AY993&lt;&gt;0,),0)),IF(BA993=0,INDEX($AO$7:$AY$7,MATCH(1,$AO993:$AY993,0)),IF(BH993="Multiple strategies","mixed drivers",IF(BH993="Supply chain","multiple supply","multiple silviculture"))))</f>
        <v>rotation length</v>
      </c>
      <c r="BH993" s="2" t="str" cm="1">
        <f t="array" ref="BH993">IF(COUNTIF(BB993:BD993,"&lt;&gt;0")=1,INDEX($X$4:$AY$4,MATCH(TRUE,INDEX($X993:$AY993&lt;&gt;0,),0)),IF(COUNTIF(BB993:BD993,"&lt;&gt;0")=0,INDEX($AO$4:$AY$4,MATCH(1,$AO993:$AY993,0)),"Multiple strategies"))</f>
        <v>Silviculture for removals</v>
      </c>
      <c r="BI993" s="142" t="s">
        <v>321</v>
      </c>
      <c r="BJ993" s="261" t="s">
        <v>2839</v>
      </c>
      <c r="BK993" s="260" t="s">
        <v>2840</v>
      </c>
      <c r="BL993" s="143" t="s">
        <v>2841</v>
      </c>
      <c r="BM993">
        <f>53.247*(1-0.04/100)</f>
        <v>53.225701200000003</v>
      </c>
      <c r="BN993">
        <f>53.247</f>
        <v>53.247</v>
      </c>
      <c r="BP993">
        <f>BN993-BM993</f>
        <v>2.1298799999996731E-2</v>
      </c>
      <c r="BQ993" s="143">
        <f>BP993*10^6</f>
        <v>21298.799999996732</v>
      </c>
      <c r="BR993" t="s">
        <v>232</v>
      </c>
      <c r="BS993" s="260" t="s">
        <v>2842</v>
      </c>
      <c r="BT993" s="143" t="s">
        <v>1752</v>
      </c>
      <c r="BU993">
        <v>89.397424799999996</v>
      </c>
      <c r="BV993">
        <v>89.468999999999994</v>
      </c>
      <c r="BW993" s="144">
        <f>IFERROR(BV993/BU993,"")</f>
        <v>1.0008006405124099</v>
      </c>
      <c r="BX993">
        <f>BV993-BU993</f>
        <v>7.1575199999998063E-2</v>
      </c>
      <c r="BZ993">
        <f>BX993*10^6</f>
        <v>71575.199999998062</v>
      </c>
      <c r="CA993">
        <f>IFERROR(BZ993/BQ993,"")</f>
        <v>3.3605273536541516</v>
      </c>
      <c r="CB993">
        <v>0</v>
      </c>
      <c r="CC993">
        <v>0</v>
      </c>
      <c r="CD993">
        <v>0</v>
      </c>
      <c r="CE993">
        <v>0</v>
      </c>
      <c r="CF993">
        <v>0</v>
      </c>
      <c r="CG993">
        <v>0</v>
      </c>
      <c r="CH993">
        <v>0</v>
      </c>
      <c r="CI993">
        <v>0</v>
      </c>
      <c r="CJ993">
        <v>0</v>
      </c>
      <c r="CK993">
        <v>0</v>
      </c>
      <c r="CL993">
        <v>0</v>
      </c>
      <c r="CM993">
        <v>0</v>
      </c>
      <c r="CN993">
        <v>0</v>
      </c>
      <c r="CO993">
        <v>0</v>
      </c>
      <c r="CP993" t="str">
        <f>IF($BN993&lt;$BM993,"refNeedCorrection","refOK")</f>
        <v>refOK</v>
      </c>
      <c r="CQ993">
        <f>IF($CP993="refOK",$BM993,$BN993)</f>
        <v>53.225701200000003</v>
      </c>
      <c r="CR993">
        <f>IF($CP993="refOK",$BN993,$BM993)</f>
        <v>53.247</v>
      </c>
      <c r="CS993">
        <f>IF($CP993="refOK",$BQ993,-$BQ993)</f>
        <v>21298.799999996732</v>
      </c>
      <c r="CT993">
        <f>IF(BI993="Roundwood",$CS993/2,$CS993)</f>
        <v>10649.399999998366</v>
      </c>
      <c r="CU993">
        <f>IF($CP993="refOK",$BU993,$BV993)*IF($BR993="Emissions positive",-1,1)</f>
        <v>89.397424799999996</v>
      </c>
      <c r="CV993">
        <f>IF($CP993="refOK",$BV993,$BU993)*IF($BR993="Emissions positive",-1,1)</f>
        <v>89.468999999999994</v>
      </c>
      <c r="CW993">
        <f>IF($CP993="refNeedCorrection",-BZ993,BZ993)*IF($BR993="Emissions positive",-1,1)</f>
        <v>71575.199999998062</v>
      </c>
      <c r="CX993">
        <f>IFERROR($CW993/$CS993,"")</f>
        <v>3.3605273536541516</v>
      </c>
      <c r="CY993">
        <f>IFERROR($CW993/$CS993,"")</f>
        <v>3.3605273536541516</v>
      </c>
      <c r="CZ993">
        <f>IFERROR($CW993/$CT993,"")</f>
        <v>6.7210547073083031</v>
      </c>
      <c r="DA993" s="2">
        <f>IFERROR((CV993-CU993)/ABS(CU993),"")</f>
        <v>8.0064051240990631E-4</v>
      </c>
      <c r="DB993" s="1" t="s">
        <v>1074</v>
      </c>
      <c r="DC993" t="str">
        <f>IF(OR($DB993="prd",$DB993="std",$DB993="cit"),"loc",IF(OR($DB993="eur",$DB993="reg",$DB993="coy"),"reg",$DB993))</f>
        <v>reg</v>
      </c>
      <c r="DD993" t="s">
        <v>715</v>
      </c>
      <c r="DE993">
        <v>2007</v>
      </c>
      <c r="DF993" s="143">
        <v>2100</v>
      </c>
      <c r="DG993" s="143">
        <f>DF993-DE993</f>
        <v>93</v>
      </c>
      <c r="DH993" t="str">
        <f>IF(DG993=0,"0",IF(AND(DG993&gt;=1,DG993&lt;=30),"1-30",IF(AND(DG993&gt;30,DG993&lt;=70),"31-70",IF(AND(DG993&gt;70,DG993&lt;=100),"71-100",IF(DG993&gt;100,"+100")))))</f>
        <v>71-100</v>
      </c>
      <c r="DI993">
        <v>0</v>
      </c>
      <c r="DJ993">
        <v>1</v>
      </c>
      <c r="DK993">
        <v>0</v>
      </c>
      <c r="DL993">
        <v>1</v>
      </c>
      <c r="DM993">
        <v>1</v>
      </c>
      <c r="DN993">
        <f>SUM(DI993:DL993)</f>
        <v>2</v>
      </c>
      <c r="DO993" t="str">
        <f>IF(DN993=1,INDEX($DI$7:$DL$7,MATCH(1,$DI993:$DL993,0)),"mixedProduct")</f>
        <v>mixedProduct</v>
      </c>
      <c r="DP993">
        <f>IF(DI993=1,DP$7,0)</f>
        <v>0</v>
      </c>
      <c r="DQ993" t="str">
        <f>IF(DJ993=1,DQ$7,0)</f>
        <v>Energy</v>
      </c>
      <c r="DR993">
        <f>IF(DK993=1,DR$7,0)</f>
        <v>0</v>
      </c>
      <c r="DS993" t="str">
        <f>IF(DL993=1,DS$7,0)</f>
        <v>Timber</v>
      </c>
      <c r="DT993">
        <v>0</v>
      </c>
      <c r="DU993" s="143">
        <v>0</v>
      </c>
      <c r="DV993" s="143">
        <v>0</v>
      </c>
      <c r="DW993">
        <v>0</v>
      </c>
      <c r="DX993" s="143">
        <v>0</v>
      </c>
      <c r="DY993">
        <f>SUM(DT993:DU993)</f>
        <v>0</v>
      </c>
      <c r="DZ993" s="143" t="str">
        <f>IF(DT993=1,"self-calculated DF",IF(DU993=1,"external DF used","explicit C balance"))</f>
        <v>explicit C balance</v>
      </c>
      <c r="EA993" s="143">
        <v>0</v>
      </c>
      <c r="EB993" s="143">
        <v>0</v>
      </c>
      <c r="EC993" s="143">
        <v>1</v>
      </c>
      <c r="ED993" s="143">
        <v>1</v>
      </c>
      <c r="EE993">
        <v>0</v>
      </c>
      <c r="EF993" s="143">
        <v>0</v>
      </c>
      <c r="EG993" s="143">
        <v>0</v>
      </c>
      <c r="EH993" s="143">
        <v>0</v>
      </c>
      <c r="EI993" s="143">
        <v>0</v>
      </c>
      <c r="EJ993">
        <v>0</v>
      </c>
      <c r="EK993">
        <v>1</v>
      </c>
      <c r="EL993" s="143">
        <v>0</v>
      </c>
      <c r="EM993">
        <v>0</v>
      </c>
      <c r="EN993" s="2">
        <v>1</v>
      </c>
      <c r="EP993" t="str">
        <f>IF(AND(AND(AND(OR($EC993=1,$EB993=1),OR($EH993=1,$EF993=1)),SUM($EA993:$EE993,$EK993)&gt;=3),SUM($EF993:$EJ993)&gt;=2),"Whole sector approach","")</f>
        <v/>
      </c>
      <c r="EQ993" t="str">
        <f>IF(AND(AND(OR($EC993=1,$EB993=1),AND($EH993=0,$EF993=0)),SUM($EA993:$EE993,$EK993)&gt;=4),"Ecosystem approach","")</f>
        <v/>
      </c>
      <c r="ER993" s="2" t="str">
        <f>IF(AND(AND(AND($EC993=0,$EB993=0),OR($EH993=1,$EF993=1)),SUM($EG993:$EJ993)&gt;=2),"Technology approach","")</f>
        <v/>
      </c>
      <c r="ES993" t="str">
        <f>IF(AND($EC993+$EB993+$EE993+$EA993+$ED993+$EG993=0,$N993="included"),"C neutral forest and HWP assumption","")</f>
        <v/>
      </c>
      <c r="ET993" t="str">
        <f>IF(AND(AND(AND(AND($EC993=1,$EB993+$EA993+$EG993&gt;=1),$EF993=1),$EH993+$EI993+$ED993+$EE993&gt;=2),$N993="included"),"All C pools assumption","")</f>
        <v/>
      </c>
      <c r="EU993" t="str">
        <f>IF(AND($ED993+$EE993+$EI993+$EH993+$EF993=0,$N993="included"),"In-situ only assumption","")</f>
        <v/>
      </c>
      <c r="EY993" t="str">
        <f>IF(ISNUMBER(BW993),IF(ABS(BW993-[2]QC_indicators!$B$2)&gt;3*[2]QC_indicators!$C$2,"C ratio",IF(ISNUMBER(CA993),IF(ABS(CA993-[2]QC_indicators!$B$1)&gt;3*[2]QC_indicators!$C$1,"DF","no"))),IF(ISNUMBER(CA993),IF(ABS(CA993-[2]QC_indicators!$B$1)&gt;3*[2]QC_indicators!$C$1,"DF","no")))</f>
        <v>no</v>
      </c>
      <c r="FA993" t="str">
        <f>IF(LEN($CY993)=0,"",IF(AND($CY993&lt;(-0.05),$ES993="C neutral forest and HWP assumption"),"Cneutral paradox",IF(AND($CY993&gt;0.05,$EU993="In-situ only assumption"),"In-situ only paradox","")))</f>
        <v/>
      </c>
      <c r="FD993" s="260" t="s">
        <v>2843</v>
      </c>
    </row>
    <row r="994" spans="1:161" ht="15" hidden="1" customHeight="1">
      <c r="A994" s="1" t="s">
        <v>1251</v>
      </c>
      <c r="B994" t="s">
        <v>1745</v>
      </c>
      <c r="C994" t="s">
        <v>1746</v>
      </c>
      <c r="D994" t="s">
        <v>1747</v>
      </c>
      <c r="E994" t="s">
        <v>1748</v>
      </c>
      <c r="F994" t="s">
        <v>1749</v>
      </c>
      <c r="G994" t="s">
        <v>1257</v>
      </c>
      <c r="H994" t="s">
        <v>254</v>
      </c>
      <c r="I994">
        <v>2016</v>
      </c>
      <c r="J994">
        <v>12</v>
      </c>
      <c r="K994" t="s">
        <v>1750</v>
      </c>
      <c r="M994" t="str">
        <f>LEFT($D994,FIND(",",$D994)-1)&amp;"_"&amp;I994&amp;L994</f>
        <v>Lobianco_2016</v>
      </c>
      <c r="N994" t="s">
        <v>222</v>
      </c>
      <c r="O994" s="145" t="s">
        <v>225</v>
      </c>
      <c r="P994" t="s">
        <v>508</v>
      </c>
      <c r="Q994" t="s">
        <v>256</v>
      </c>
      <c r="R994" s="258" t="s">
        <v>223</v>
      </c>
      <c r="S994" s="1" t="s">
        <v>1755</v>
      </c>
      <c r="T994" s="143" t="s">
        <v>2846</v>
      </c>
      <c r="U994" s="143" t="s">
        <v>1030</v>
      </c>
      <c r="V994" s="253">
        <v>0</v>
      </c>
      <c r="W994" s="253">
        <v>0</v>
      </c>
      <c r="X994">
        <v>0</v>
      </c>
      <c r="Y994">
        <v>0</v>
      </c>
      <c r="Z994">
        <v>1</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1</v>
      </c>
      <c r="AX994">
        <v>0</v>
      </c>
      <c r="AY994">
        <v>0</v>
      </c>
      <c r="AZ994" s="141">
        <f>COUNTIF(X994:AY994,"&lt;&gt;0")</f>
        <v>2</v>
      </c>
      <c r="BA994" s="141">
        <f>COUNTIF(X994:AN994,"&lt;&gt;0")</f>
        <v>1</v>
      </c>
      <c r="BB994">
        <f>COUNTIF(X994:AE994,"&lt;&gt;0")</f>
        <v>1</v>
      </c>
      <c r="BC994">
        <f>COUNTIF(AF994:AK994,"&lt;&gt;0")</f>
        <v>0</v>
      </c>
      <c r="BD994">
        <f>COUNTIF(AL994:AN994,"&lt;&gt;0")</f>
        <v>0</v>
      </c>
      <c r="BE994">
        <f>COUNTIF(AU994:AY994,"&lt;&gt;0")</f>
        <v>1</v>
      </c>
      <c r="BF994">
        <f>COUNTIF(AO994:AT994,"&lt;&gt;0")</f>
        <v>0</v>
      </c>
      <c r="BG994" t="str">
        <f t="array" ref="BG994">IF(BA994=1,INDEX($X$7:$AN$7,MATCH(TRUE,INDEX($X994:$AY994&lt;&gt;0,),0)),IF(BA994=0,INDEX($AO$7:$AY$7,MATCH(1,$AO994:$AY994,0)),IF(BH994="Multiple strategies","mixed drivers",IF(BH994="Supply chain","multiple supply","multiple silviculture"))))</f>
        <v>rotation length</v>
      </c>
      <c r="BH994" s="2" t="str" cm="1">
        <f t="array" ref="BH994">IF(COUNTIF(BB994:BD994,"&lt;&gt;0")=1,INDEX($X$4:$AY$4,MATCH(TRUE,INDEX($X994:$AY994&lt;&gt;0,),0)),IF(COUNTIF(BB994:BD994,"&lt;&gt;0")=0,INDEX($AO$4:$AY$4,MATCH(1,$AO994:$AY994,0)),"Multiple strategies"))</f>
        <v>Silviculture for removals</v>
      </c>
      <c r="BI994" s="142" t="s">
        <v>321</v>
      </c>
      <c r="BJ994" s="261" t="s">
        <v>2839</v>
      </c>
      <c r="BK994" s="260" t="s">
        <v>2840</v>
      </c>
      <c r="BL994" s="143" t="s">
        <v>2841</v>
      </c>
      <c r="BM994">
        <f>53.247*(1-0.06/100)</f>
        <v>53.215051799999998</v>
      </c>
      <c r="BN994">
        <f>53.247</f>
        <v>53.247</v>
      </c>
      <c r="BP994">
        <f>BN994-BM994</f>
        <v>3.1948200000002203E-2</v>
      </c>
      <c r="BQ994" s="143">
        <f>BP994*10^6</f>
        <v>31948.200000002202</v>
      </c>
      <c r="BR994" t="s">
        <v>232</v>
      </c>
      <c r="BS994" s="260" t="s">
        <v>2842</v>
      </c>
      <c r="BT994" s="143" t="s">
        <v>1752</v>
      </c>
      <c r="BU994">
        <f>117.96*(100.18/100)</f>
        <v>118.17232799999999</v>
      </c>
      <c r="BV994" s="144">
        <v>117.962</v>
      </c>
      <c r="BX994">
        <f>BV994-BU994</f>
        <v>-0.21032799999998986</v>
      </c>
      <c r="BZ994">
        <f>BX994*10^6</f>
        <v>-210327.99999998984</v>
      </c>
      <c r="CA994">
        <f>IFERROR(BZ994/BQ994,"")</f>
        <v>-6.5834068899022586</v>
      </c>
      <c r="CB994">
        <v>0</v>
      </c>
      <c r="CC994">
        <v>0</v>
      </c>
      <c r="CD994">
        <v>0</v>
      </c>
      <c r="CE994">
        <v>0</v>
      </c>
      <c r="CF994">
        <v>0</v>
      </c>
      <c r="CG994">
        <v>0</v>
      </c>
      <c r="CH994">
        <v>0</v>
      </c>
      <c r="CI994">
        <v>0</v>
      </c>
      <c r="CJ994">
        <v>0</v>
      </c>
      <c r="CK994">
        <v>0</v>
      </c>
      <c r="CL994">
        <v>0</v>
      </c>
      <c r="CM994">
        <v>0</v>
      </c>
      <c r="CN994">
        <v>0</v>
      </c>
      <c r="CO994">
        <v>0</v>
      </c>
      <c r="CP994" t="str">
        <f>IF($BN994&lt;$BM994,"refNeedCorrection","refOK")</f>
        <v>refOK</v>
      </c>
      <c r="CQ994">
        <f>IF($CP994="refOK",$BM994,$BN994)</f>
        <v>53.215051799999998</v>
      </c>
      <c r="CR994">
        <f>IF($CP994="refOK",$BN994,$BM994)</f>
        <v>53.247</v>
      </c>
      <c r="CS994">
        <f>IF($CP994="refOK",$BQ994,-$BQ994)</f>
        <v>31948.200000002202</v>
      </c>
      <c r="CT994">
        <f>IF(BI994="Roundwood",$CS994/2,$CS994)</f>
        <v>15974.100000001101</v>
      </c>
      <c r="CU994">
        <f>IF($CP994="refOK",$BU994,$BV994)*IF($BR994="Emissions positive",-1,1)</f>
        <v>118.17232799999999</v>
      </c>
      <c r="CV994">
        <f>IF($CP994="refOK",$BU994,#REF!)*IF($BR994="Emissions positive",-1,1)</f>
        <v>118.17232799999999</v>
      </c>
      <c r="CW994">
        <f>IF($CP994="refNeedCorrection",-BZ994,BZ994)*IF($BR994="Emissions positive",-1,1)</f>
        <v>-210327.99999998984</v>
      </c>
      <c r="CX994">
        <f>IFERROR($CW994/$CS994,"")</f>
        <v>-6.5834068899022586</v>
      </c>
      <c r="CY994">
        <f>IFERROR($CW994/$CS994,"")</f>
        <v>-6.5834068899022586</v>
      </c>
      <c r="CZ994">
        <f>IFERROR($CW994/$CT994,"")</f>
        <v>-13.166813779804517</v>
      </c>
      <c r="DA994" s="2">
        <f>IFERROR((CV994-CU994)/ABS(CU994),"")</f>
        <v>0</v>
      </c>
      <c r="DB994" s="1" t="s">
        <v>1074</v>
      </c>
      <c r="DC994" t="str">
        <f>IF(OR($DB994="prd",$DB994="std",$DB994="cit"),"loc",IF(OR($DB994="eur",$DB994="reg",$DB994="coy"),"reg",$DB994))</f>
        <v>reg</v>
      </c>
      <c r="DD994" t="s">
        <v>715</v>
      </c>
      <c r="DE994">
        <v>2007</v>
      </c>
      <c r="DF994" s="143">
        <v>2100</v>
      </c>
      <c r="DG994" s="143">
        <f>DF994-DE994</f>
        <v>93</v>
      </c>
      <c r="DH994" t="str">
        <f>IF(DG994=0,"0",IF(AND(DG994&gt;=1,DG994&lt;=30),"1-30",IF(AND(DG994&gt;30,DG994&lt;=70),"31-70",IF(AND(DG994&gt;70,DG994&lt;=100),"71-100",IF(DG994&gt;100,"+100")))))</f>
        <v>71-100</v>
      </c>
      <c r="DI994">
        <v>0</v>
      </c>
      <c r="DJ994">
        <v>1</v>
      </c>
      <c r="DK994">
        <v>0</v>
      </c>
      <c r="DL994">
        <v>1</v>
      </c>
      <c r="DM994">
        <v>1</v>
      </c>
      <c r="DN994">
        <f>SUM(DI994:DL994)</f>
        <v>2</v>
      </c>
      <c r="DO994" t="str">
        <f>IF(DN994=1,INDEX($DI$7:$DL$7,MATCH(1,$DI994:$DL994,0)),"mixedProduct")</f>
        <v>mixedProduct</v>
      </c>
      <c r="DP994">
        <f>IF(DI994=1,DP$7,0)</f>
        <v>0</v>
      </c>
      <c r="DQ994" t="str">
        <f>IF(DJ994=1,DQ$7,0)</f>
        <v>Energy</v>
      </c>
      <c r="DR994">
        <f>IF(DK994=1,DR$7,0)</f>
        <v>0</v>
      </c>
      <c r="DS994" t="str">
        <f>IF(DL994=1,DS$7,0)</f>
        <v>Timber</v>
      </c>
      <c r="DT994">
        <v>0</v>
      </c>
      <c r="DU994" s="143">
        <v>0</v>
      </c>
      <c r="DV994" s="143">
        <v>0</v>
      </c>
      <c r="DW994">
        <v>0</v>
      </c>
      <c r="DX994" s="143">
        <v>0</v>
      </c>
      <c r="DY994">
        <f>SUM(DT994:DU994)</f>
        <v>0</v>
      </c>
      <c r="DZ994" s="143" t="str">
        <f>IF(DT994=1,"self-calculated DF",IF(DU994=1,"external DF used","explicit C balance"))</f>
        <v>explicit C balance</v>
      </c>
      <c r="EA994" s="143">
        <v>0</v>
      </c>
      <c r="EB994" s="143">
        <v>0</v>
      </c>
      <c r="EC994" s="143">
        <v>1</v>
      </c>
      <c r="ED994" s="143">
        <v>1</v>
      </c>
      <c r="EE994">
        <v>0</v>
      </c>
      <c r="EF994" s="143">
        <v>1</v>
      </c>
      <c r="EG994" s="143">
        <v>1</v>
      </c>
      <c r="EH994" s="143">
        <v>0</v>
      </c>
      <c r="EI994" s="143">
        <v>0</v>
      </c>
      <c r="EJ994">
        <v>0</v>
      </c>
      <c r="EK994">
        <v>1</v>
      </c>
      <c r="EL994" s="143">
        <v>0</v>
      </c>
      <c r="EM994">
        <v>0</v>
      </c>
      <c r="EN994" s="2">
        <v>1</v>
      </c>
      <c r="EP994" t="str">
        <f>IF(AND(AND(AND(OR($EC994=1,$EB994=1),OR($EH994=1,$EF994=1)),SUM($EA994:$EE994,$EK994)&gt;=3),SUM($EF994:$EJ994)&gt;=2),"Whole sector approach","")</f>
        <v>Whole sector approach</v>
      </c>
      <c r="EQ994" t="str">
        <f>IF(AND(AND(OR($EC994=1,$EB994=1),AND($EH994=0,$EF994=0)),SUM($EA994:$EE994,$EK994)&gt;=4),"Ecosystem approach","")</f>
        <v/>
      </c>
      <c r="ER994" s="2" t="str">
        <f>IF(AND(AND(AND($EC994=0,$EB994=0),OR($EH994=1,$EF994=1)),SUM($EG994:$EJ994)&gt;=2),"Technology approach","")</f>
        <v/>
      </c>
      <c r="ES994" t="str">
        <f>IF(AND($EC994+$EB994+$EE994+$EA994+$ED994+$EG994=0,$N994="included"),"C neutral forest and HWP assumption","")</f>
        <v/>
      </c>
      <c r="ET994" t="str">
        <f>IF(AND(AND(AND(AND($EC994=1,$EB994+$EA994+$EG994&gt;=1),$EF994=1),$EH994+$EI994+$ED994+$EE994&gt;=2),$N994="included"),"All C pools assumption","")</f>
        <v/>
      </c>
      <c r="EU994" t="str">
        <f>IF(AND($ED994+$EE994+$EI994+$EH994+$EF994=0,$N994="included"),"In-situ only assumption","")</f>
        <v/>
      </c>
      <c r="EY994" t="str">
        <f>IF(ISNUMBER(BV994),IF(ABS(BV994-[2]QC_indicators!$B$2)&gt;3*[2]QC_indicators!$C$2,"C ratio",IF(ISNUMBER(CA994),IF(ABS(CA994-[2]QC_indicators!$B$1)&gt;3*[2]QC_indicators!$C$1,"DF","no"))),IF(ISNUMBER(CA994),IF(ABS(CA994-[2]QC_indicators!$B$1)&gt;3*[2]QC_indicators!$C$1,"DF","no")))</f>
        <v>C ratio</v>
      </c>
      <c r="FA994" t="str">
        <f>IF(LEN($CY994)=0,"",IF(AND($CY994&lt;(-0.05),$ES994="C neutral forest and HWP assumption"),"Cneutral paradox",IF(AND($CY994&gt;0.05,$EU994="In-situ only assumption"),"In-situ only paradox","")))</f>
        <v/>
      </c>
      <c r="FD994" s="260" t="s">
        <v>2843</v>
      </c>
    </row>
    <row r="995" spans="1:161" ht="15" hidden="1" customHeight="1">
      <c r="A995" s="1" t="s">
        <v>1108</v>
      </c>
      <c r="B995" t="s">
        <v>1109</v>
      </c>
      <c r="C995" t="s">
        <v>1110</v>
      </c>
      <c r="D995" t="s">
        <v>336</v>
      </c>
      <c r="E995" t="s">
        <v>1111</v>
      </c>
      <c r="F995" t="s">
        <v>1112</v>
      </c>
      <c r="G995" t="s">
        <v>1113</v>
      </c>
      <c r="I995">
        <v>2018</v>
      </c>
      <c r="K995" t="s">
        <v>1114</v>
      </c>
      <c r="M995" t="str">
        <f>LEFT($D995,FIND(",",$D995)-1)&amp;"_"&amp;I995&amp;L995</f>
        <v>Balasbaneh_2018</v>
      </c>
      <c r="N995" t="s">
        <v>222</v>
      </c>
      <c r="O995" s="140" t="s">
        <v>508</v>
      </c>
      <c r="Q995" t="s">
        <v>224</v>
      </c>
      <c r="R995" s="258" t="s">
        <v>223</v>
      </c>
      <c r="S995" s="1" t="s">
        <v>1122</v>
      </c>
      <c r="T995" s="260" t="s">
        <v>2792</v>
      </c>
      <c r="U995" s="260" t="s">
        <v>2795</v>
      </c>
      <c r="V995" s="253">
        <v>0</v>
      </c>
      <c r="W995" s="253">
        <v>0</v>
      </c>
      <c r="X995">
        <v>0</v>
      </c>
      <c r="Y995">
        <v>0</v>
      </c>
      <c r="Z995">
        <v>0</v>
      </c>
      <c r="AA995">
        <v>0</v>
      </c>
      <c r="AB995">
        <v>0</v>
      </c>
      <c r="AC995">
        <v>0</v>
      </c>
      <c r="AD995">
        <v>0</v>
      </c>
      <c r="AE995">
        <v>0</v>
      </c>
      <c r="AF995">
        <v>0</v>
      </c>
      <c r="AG995">
        <v>0</v>
      </c>
      <c r="AH995">
        <v>0</v>
      </c>
      <c r="AI995">
        <v>0</v>
      </c>
      <c r="AJ995">
        <v>0</v>
      </c>
      <c r="AK995">
        <v>0</v>
      </c>
      <c r="AL995">
        <v>0</v>
      </c>
      <c r="AM995">
        <v>1</v>
      </c>
      <c r="AN995">
        <v>0</v>
      </c>
      <c r="AO995">
        <v>0</v>
      </c>
      <c r="AP995">
        <v>0</v>
      </c>
      <c r="AQ995">
        <v>0</v>
      </c>
      <c r="AR995">
        <v>0</v>
      </c>
      <c r="AS995">
        <v>0</v>
      </c>
      <c r="AT995">
        <v>0</v>
      </c>
      <c r="AU995">
        <v>0</v>
      </c>
      <c r="AV995">
        <v>0</v>
      </c>
      <c r="AW995">
        <v>0</v>
      </c>
      <c r="AX995">
        <v>0</v>
      </c>
      <c r="AY995">
        <v>0</v>
      </c>
      <c r="AZ995" s="141">
        <f>COUNTIF(X995:AY995,"&lt;&gt;0")</f>
        <v>1</v>
      </c>
      <c r="BA995" s="141">
        <f>COUNTIF(X995:AN995,"&lt;&gt;0")</f>
        <v>1</v>
      </c>
      <c r="BB995">
        <f>COUNTIF(X995:AE995,"&lt;&gt;0")</f>
        <v>0</v>
      </c>
      <c r="BC995">
        <f>COUNTIF(AF995:AK995,"&lt;&gt;0")</f>
        <v>0</v>
      </c>
      <c r="BD995">
        <f>COUNTIF(AL995:AN995,"&lt;&gt;0")</f>
        <v>1</v>
      </c>
      <c r="BE995">
        <f>COUNTIF(AU995:AY995,"&lt;&gt;0")</f>
        <v>0</v>
      </c>
      <c r="BF995">
        <f>COUNTIF(AO995:AT995,"&lt;&gt;0")</f>
        <v>0</v>
      </c>
      <c r="BG995" t="str">
        <f t="array" ref="BG995">IF(BA995=1,INDEX($X$7:$AN$7,MATCH(TRUE,INDEX($X995:$AY995&lt;&gt;0,),0)),IF(BA995=0,INDEX($AO$7:$AY$7,MATCH(1,$AO995:$AY995,0)),IF(BH995="Multiple strategies","mixed drivers",IF(BH995="Supply chain","multiple supply","multiple silviculture"))))</f>
        <v>technologies/design switch</v>
      </c>
      <c r="BH995" s="2" t="str" cm="1">
        <f t="array" ref="BH995">IF(COUNTIF(BB995:BD995,"&lt;&gt;0")=1,INDEX($X$4:$AY$4,MATCH(TRUE,INDEX($X995:$AY995&lt;&gt;0,),0)),IF(COUNTIF(BB995:BD995,"&lt;&gt;0")=0,INDEX($AO$4:$AY$4,MATCH(1,$AO995:$AY995,0)),"Multiple strategies"))</f>
        <v>Technology</v>
      </c>
      <c r="BI995" s="1" t="s">
        <v>229</v>
      </c>
      <c r="BJ995" t="s">
        <v>229</v>
      </c>
      <c r="BL995" t="s">
        <v>345</v>
      </c>
      <c r="BM995">
        <v>0</v>
      </c>
      <c r="BN995">
        <v>23436</v>
      </c>
      <c r="BO995" s="143"/>
      <c r="BP995">
        <f>BN995-BM995</f>
        <v>23436</v>
      </c>
      <c r="BQ995" s="143">
        <f>BP995*kg_to_m3</f>
        <v>47.828571428571436</v>
      </c>
      <c r="BR995" t="s">
        <v>232</v>
      </c>
      <c r="BS995" s="153" t="s">
        <v>987</v>
      </c>
      <c r="BT995" t="s">
        <v>397</v>
      </c>
      <c r="BU995">
        <v>-8200</v>
      </c>
      <c r="BV995">
        <v>-702</v>
      </c>
      <c r="BW995" s="144">
        <v>8.5609756097560982E-2</v>
      </c>
      <c r="BX995">
        <v>7498</v>
      </c>
      <c r="BZ995">
        <f>BX995/1000</f>
        <v>7.4980000000000002</v>
      </c>
      <c r="CA995">
        <f>IFERROR(BZ995/BQ995,"")</f>
        <v>0.15676821983273595</v>
      </c>
      <c r="CB995">
        <v>0</v>
      </c>
      <c r="CC995">
        <v>0</v>
      </c>
      <c r="CD995">
        <v>0</v>
      </c>
      <c r="CE995">
        <v>0</v>
      </c>
      <c r="CF995">
        <v>0</v>
      </c>
      <c r="CG995">
        <v>0</v>
      </c>
      <c r="CH995">
        <v>0</v>
      </c>
      <c r="CI995">
        <v>0</v>
      </c>
      <c r="CJ995">
        <v>0</v>
      </c>
      <c r="CK995">
        <v>0</v>
      </c>
      <c r="CL995">
        <v>0</v>
      </c>
      <c r="CM995">
        <v>0</v>
      </c>
      <c r="CN995">
        <v>0</v>
      </c>
      <c r="CO995">
        <v>0</v>
      </c>
      <c r="CP995" t="str">
        <f>IF($BN995&lt;$BM995,"refNeedCorrection","refOK")</f>
        <v>refOK</v>
      </c>
      <c r="CQ995">
        <f>IF($CP995="refNeedCorrection",BN995,BM995)</f>
        <v>0</v>
      </c>
      <c r="CR995">
        <f>IF($CP995="refNeedCorrection",BM995,BN995)</f>
        <v>23436</v>
      </c>
      <c r="CS995">
        <f>IF($CP995="refOK",$BQ995,-$BQ995)</f>
        <v>47.828571428571436</v>
      </c>
      <c r="CT995">
        <f>IF(BI995="Roundwood",$CS995/2,$CS995)</f>
        <v>47.828571428571436</v>
      </c>
      <c r="CU995">
        <f>IF($CP995="refOK",$BU995,$BV995)*IF($BR995="Emissions positive",-1,1)</f>
        <v>-8200</v>
      </c>
      <c r="CV995">
        <f>IF($CP995="refOK",$BV995,$BU995)*IF($BR995="Emissions positive",-1,1)</f>
        <v>-702</v>
      </c>
      <c r="CW995">
        <f>IF($CP995="refNeedCorrection",-BZ995,BZ995)*IF($BR995="Emissions positive",-1,1)</f>
        <v>7.4980000000000002</v>
      </c>
      <c r="CX995">
        <f>IFERROR($CW995/$CS995,"")</f>
        <v>0.15676821983273595</v>
      </c>
      <c r="CY995">
        <f>IFERROR($CW995/$CS995,"")</f>
        <v>0.15676821983273595</v>
      </c>
      <c r="CZ995">
        <f>IFERROR($CW995/$CT995,"")</f>
        <v>0.15676821983273595</v>
      </c>
      <c r="DA995" s="2">
        <f>IFERROR((CV995-CU995)/ABS(CU995),"")</f>
        <v>0.91439024390243906</v>
      </c>
      <c r="DB995" s="1" t="s">
        <v>1078</v>
      </c>
      <c r="DC995" t="str">
        <f>IF(OR($DB995="prd",$DB995="std",$DB995="cit"),"loc",IF(OR($DB995="eur",$DB995="reg",$DB995="coy"),"reg",$DB995))</f>
        <v>reg</v>
      </c>
      <c r="DD995" t="s">
        <v>348</v>
      </c>
      <c r="DE995">
        <v>2014</v>
      </c>
      <c r="DF995">
        <v>2114</v>
      </c>
      <c r="DG995">
        <v>100</v>
      </c>
      <c r="DH995" t="str">
        <f>IF(DG995=0,"0",IF(AND(DG995&gt;=1,DG995&lt;=30),"1-30",IF(AND(DG995&gt;30,DG995&lt;=70),"31-70",IF(AND(DG995&gt;70,DG995&lt;=100),"71-100",IF(DG995&gt;100,"+100")))))</f>
        <v>71-100</v>
      </c>
      <c r="DI995">
        <v>0</v>
      </c>
      <c r="DJ995">
        <v>0</v>
      </c>
      <c r="DK995">
        <v>0</v>
      </c>
      <c r="DL995">
        <v>1</v>
      </c>
      <c r="DN995">
        <f>SUM(DI995:DL995)</f>
        <v>1</v>
      </c>
      <c r="DO995" t="str">
        <f>IF(DN995=1,INDEX($DI$7:$DL$7,MATCH(1,$DI995:$DL995,0)),"mixedProduct")</f>
        <v>TimberInput</v>
      </c>
      <c r="DP995">
        <f>IF(DI995=1,DP$7,0)</f>
        <v>0</v>
      </c>
      <c r="DQ995">
        <f>IF(DJ995=1,DQ$7,0)</f>
        <v>0</v>
      </c>
      <c r="DR995">
        <f>IF(DK995=1,DR$7,0)</f>
        <v>0</v>
      </c>
      <c r="DS995" t="str">
        <f>IF(DL995=1,DS$7,0)</f>
        <v>Timber</v>
      </c>
      <c r="DT995">
        <v>0</v>
      </c>
      <c r="DU995">
        <v>0</v>
      </c>
      <c r="DV995">
        <v>0</v>
      </c>
      <c r="DW995">
        <v>0</v>
      </c>
      <c r="DX995">
        <v>0</v>
      </c>
      <c r="DY995">
        <f>SUM(DT995:DU995)</f>
        <v>0</v>
      </c>
      <c r="DZ995" s="143" t="str">
        <f>IF(DT995=1,"self-calculated DF",IF(DU995=1,"external DF used","explicit C balance"))</f>
        <v>explicit C balance</v>
      </c>
      <c r="EA995">
        <v>0</v>
      </c>
      <c r="EB995">
        <v>0</v>
      </c>
      <c r="EC995">
        <v>0</v>
      </c>
      <c r="ED995">
        <v>0</v>
      </c>
      <c r="EE995">
        <v>0</v>
      </c>
      <c r="EF995" s="143">
        <v>1</v>
      </c>
      <c r="EG995">
        <v>0</v>
      </c>
      <c r="EH995">
        <v>1</v>
      </c>
      <c r="EI995">
        <v>1</v>
      </c>
      <c r="EJ995">
        <v>1</v>
      </c>
      <c r="EK995">
        <v>0</v>
      </c>
      <c r="EL995">
        <v>0</v>
      </c>
      <c r="EM995">
        <v>0</v>
      </c>
      <c r="EN995" s="2">
        <v>0</v>
      </c>
      <c r="EP995" t="str">
        <f>IF(AND(AND(AND(OR($EC995=1,$EB995=1),OR($EH995=1,$EF995=1)),SUM($EA995:$EE995,$EK995)&gt;=3),SUM($EF995:$EJ995)&gt;=2),"Whole sector approach","")</f>
        <v/>
      </c>
      <c r="EQ995" t="str">
        <f>IF(AND(AND(OR($EC995=1,$EB995=1),AND($EH995=0,$EF995=0)),SUM($EA995:$EE995,$EK995)&gt;=4),"Ecosystem approach","")</f>
        <v/>
      </c>
      <c r="ER995" s="2" t="str">
        <f>IF(AND(AND(AND($EC995=0,$EB995=0),OR($EH995=1,$EF995=1)),SUM($EG995:$EJ995)&gt;=2),"Technology approach","")</f>
        <v>Technology approach</v>
      </c>
      <c r="ES995" t="str">
        <f>IF(AND($EC995+$EB995+$EE995+$EA995+$ED995+$EG995=0,$N995="included"),"C neutral forest and HWP assumption","")</f>
        <v>C neutral forest and HWP assumption</v>
      </c>
      <c r="ET995" t="str">
        <f>IF(AND(AND(AND(AND($EC995=1,$EB995+$EA995+$EG995&gt;=1),$EF995=1),$EH995+$EI995+$ED995+$EE995&gt;=2),$N995="included"),"All C pools assumption","")</f>
        <v/>
      </c>
      <c r="EU995" t="str">
        <f>IF(AND($ED995+$EE995+$EI995+$EH995+$EF995=0,$N995="included"),"In-situ only assumption","")</f>
        <v/>
      </c>
      <c r="EY995" t="str">
        <f>IF(ISNUMBER(BW995),IF(ABS(BW995-[2]QC_indicators!$B$2)&gt;3*[2]QC_indicators!$C$2,"C ratio",IF(ISNUMBER(CA995),IF(ABS(CA995-[2]QC_indicators!$B$1)&gt;3*[2]QC_indicators!$C$1,"DF","no"))),IF(ISNUMBER(CA995),IF(ABS(CA995-[2]QC_indicators!$B$1)&gt;3*[2]QC_indicators!$C$1,"DF","no")))</f>
        <v>no</v>
      </c>
      <c r="FA995" t="str">
        <f>IF(LEN($CY995)=0,"",IF(AND($CY995&lt;(-0.05),$ES995="C neutral forest and HWP assumption"),"Cneutral paradox",IF(AND($CY995&gt;0.05,$EU995="In-situ only assumption"),"In-situ only paradox","")))</f>
        <v/>
      </c>
      <c r="FB995" s="149" t="s">
        <v>349</v>
      </c>
      <c r="FD995" s="260" t="s">
        <v>2948</v>
      </c>
    </row>
    <row r="996" spans="1:161" ht="18" hidden="1" customHeight="1">
      <c r="A996" s="1" t="s">
        <v>1043</v>
      </c>
      <c r="B996" t="s">
        <v>1044</v>
      </c>
      <c r="C996" t="s">
        <v>1045</v>
      </c>
      <c r="D996" t="s">
        <v>1046</v>
      </c>
      <c r="E996" t="s">
        <v>1047</v>
      </c>
      <c r="F996" t="s">
        <v>1048</v>
      </c>
      <c r="G996" t="s">
        <v>1049</v>
      </c>
      <c r="H996" t="s">
        <v>254</v>
      </c>
      <c r="I996">
        <v>2010</v>
      </c>
      <c r="J996">
        <v>51</v>
      </c>
      <c r="K996" t="s">
        <v>1050</v>
      </c>
      <c r="M996" t="str">
        <f>LEFT($D996,FIND(",",$D996)-1)&amp;"_"&amp;I996&amp;L996</f>
        <v>Vukotic_2010</v>
      </c>
      <c r="N996" t="s">
        <v>222</v>
      </c>
      <c r="O996" s="145" t="s">
        <v>1029</v>
      </c>
      <c r="Q996" t="s">
        <v>256</v>
      </c>
      <c r="R996" s="264" t="s">
        <v>274</v>
      </c>
      <c r="S996" s="1" t="s">
        <v>1051</v>
      </c>
      <c r="T996" t="s">
        <v>1052</v>
      </c>
      <c r="U996" t="s">
        <v>1057</v>
      </c>
      <c r="V996" s="253">
        <v>0</v>
      </c>
      <c r="W996" s="253">
        <v>0</v>
      </c>
      <c r="X996">
        <v>0</v>
      </c>
      <c r="Y996">
        <v>0</v>
      </c>
      <c r="Z996">
        <v>0</v>
      </c>
      <c r="AA996">
        <v>0</v>
      </c>
      <c r="AB996">
        <v>0</v>
      </c>
      <c r="AC996">
        <v>0</v>
      </c>
      <c r="AD996">
        <v>0</v>
      </c>
      <c r="AE996">
        <v>0</v>
      </c>
      <c r="AF996">
        <v>0</v>
      </c>
      <c r="AG996">
        <v>0</v>
      </c>
      <c r="AH996">
        <v>0</v>
      </c>
      <c r="AI996">
        <v>0</v>
      </c>
      <c r="AJ996">
        <v>0</v>
      </c>
      <c r="AK996">
        <v>0</v>
      </c>
      <c r="AL996">
        <v>0</v>
      </c>
      <c r="AM996">
        <v>1</v>
      </c>
      <c r="AN996">
        <v>0</v>
      </c>
      <c r="AO996">
        <v>0</v>
      </c>
      <c r="AP996">
        <v>0</v>
      </c>
      <c r="AQ996">
        <v>0</v>
      </c>
      <c r="AR996">
        <v>0</v>
      </c>
      <c r="AS996">
        <v>0</v>
      </c>
      <c r="AT996">
        <v>0</v>
      </c>
      <c r="AU996">
        <v>0</v>
      </c>
      <c r="AV996">
        <v>0</v>
      </c>
      <c r="AW996">
        <v>0</v>
      </c>
      <c r="AX996">
        <v>0</v>
      </c>
      <c r="AY996">
        <v>0</v>
      </c>
      <c r="AZ996" s="141">
        <f>COUNTIF(X996:AY996,"&lt;&gt;0")</f>
        <v>1</v>
      </c>
      <c r="BA996" s="141">
        <f>COUNTIF(X996:AN996,"&lt;&gt;0")</f>
        <v>1</v>
      </c>
      <c r="BB996">
        <f>COUNTIF(X996:AE996,"&lt;&gt;0")</f>
        <v>0</v>
      </c>
      <c r="BC996">
        <f>COUNTIF(AF996:AK996,"&lt;&gt;0")</f>
        <v>0</v>
      </c>
      <c r="BD996">
        <f>COUNTIF(AL996:AN996,"&lt;&gt;0")</f>
        <v>1</v>
      </c>
      <c r="BE996">
        <f>COUNTIF(AU996:AY996,"&lt;&gt;0")</f>
        <v>0</v>
      </c>
      <c r="BF996">
        <f>COUNTIF(AO996:AT996,"&lt;&gt;0")</f>
        <v>0</v>
      </c>
      <c r="BG996" t="str">
        <f t="array" ref="BG996">IF(BA996=1,INDEX($X$7:$AN$7,MATCH(TRUE,INDEX($X996:$AY996&lt;&gt;0,),0)),IF(BA996=0,INDEX($AO$7:$AY$7,MATCH(1,$AO996:$AY996,0)),IF(BH996="Multiple strategies","mixed drivers",IF(BH996="Supply chain","multiple supply","multiple silviculture"))))</f>
        <v>technologies/design switch</v>
      </c>
      <c r="BH996" s="2" t="str" cm="1">
        <f t="array" ref="BH996">IF(COUNTIF(BB996:BD996,"&lt;&gt;0")=1,INDEX($X$4:$AY$4,MATCH(TRUE,INDEX($X996:$AY996&lt;&gt;0,),0)),IF(COUNTIF(BB996:BD996,"&lt;&gt;0")=0,INDEX($AO$4:$AY$4,MATCH(1,$AO996:$AY996,0)),"Multiple strategies"))</f>
        <v>Technology</v>
      </c>
      <c r="BI996" s="1" t="s">
        <v>229</v>
      </c>
      <c r="BJ996" t="s">
        <v>1054</v>
      </c>
      <c r="BL996" t="s">
        <v>1055</v>
      </c>
      <c r="BM996">
        <v>0</v>
      </c>
      <c r="BN996">
        <v>0.27407407407407408</v>
      </c>
      <c r="BO996" s="143" t="e">
        <f>BN996/BM996</f>
        <v>#DIV/0!</v>
      </c>
      <c r="BP996">
        <f>BN996-BM996</f>
        <v>0.27407407407407408</v>
      </c>
      <c r="BQ996">
        <f>BP996*t_to_m3</f>
        <v>0.55933484504913078</v>
      </c>
      <c r="BR996" t="s">
        <v>232</v>
      </c>
      <c r="BT996" t="s">
        <v>1056</v>
      </c>
      <c r="BU996">
        <v>-218.80999999999995</v>
      </c>
      <c r="BV996">
        <v>-128.52999999999997</v>
      </c>
      <c r="BW996" s="144">
        <f>IFERROR(BV996/BU996,"")</f>
        <v>0.58740459759608799</v>
      </c>
      <c r="BX996" s="144">
        <f>BV996-BU996</f>
        <v>90.279999999999973</v>
      </c>
      <c r="BY996" s="144"/>
      <c r="BZ996" s="144">
        <f>BX996*0.001</f>
        <v>9.0279999999999971E-2</v>
      </c>
      <c r="CA996">
        <f>IFERROR(BZ996/BQ996,"")</f>
        <v>0.16140599999999994</v>
      </c>
      <c r="CB996">
        <v>0</v>
      </c>
      <c r="CC996">
        <v>0</v>
      </c>
      <c r="CD996">
        <v>0</v>
      </c>
      <c r="CE996">
        <v>0</v>
      </c>
      <c r="CF996">
        <v>0</v>
      </c>
      <c r="CG996">
        <v>0</v>
      </c>
      <c r="CH996">
        <v>0</v>
      </c>
      <c r="CI996">
        <v>0</v>
      </c>
      <c r="CJ996">
        <v>0</v>
      </c>
      <c r="CK996">
        <v>0</v>
      </c>
      <c r="CL996">
        <v>0</v>
      </c>
      <c r="CM996">
        <v>0</v>
      </c>
      <c r="CN996">
        <v>0</v>
      </c>
      <c r="CO996">
        <v>0</v>
      </c>
      <c r="CP996" t="str">
        <f>IF($BN996&lt;$BM996,"refNeedCorrection","refOK")</f>
        <v>refOK</v>
      </c>
      <c r="CQ996">
        <f>IF($CP996="refOK",$BM996,$BN996)</f>
        <v>0</v>
      </c>
      <c r="CR996">
        <f>IF($CP996="refOK",$BN996,$BM996)</f>
        <v>0.27407407407407408</v>
      </c>
      <c r="CS996">
        <f>IF($CP996="refOK",$BQ996,-$BQ996)</f>
        <v>0.55933484504913078</v>
      </c>
      <c r="CT996">
        <f>IF(BI996="Roundwood",$CS996/2,$CS996)</f>
        <v>0.55933484504913078</v>
      </c>
      <c r="CU996">
        <f>IF($CP996="refOK",$BU996,$BV996)*IF($BR996="Emissions positive",-1,1)</f>
        <v>-218.80999999999995</v>
      </c>
      <c r="CV996">
        <f>IF($CP996="refOK",$BV996,$BU996)*IF($BR996="Emissions positive",-1,1)</f>
        <v>-128.52999999999997</v>
      </c>
      <c r="CW996">
        <f>IF($CP996="refNeedCorrection",-BZ996,BZ996)*IF($BR996="Emissions positive",-1,1)</f>
        <v>9.0279999999999971E-2</v>
      </c>
      <c r="CX996">
        <f>IFERROR($CW996/$CS996,"")</f>
        <v>0.16140599999999994</v>
      </c>
      <c r="CY996">
        <f>IFERROR($CW996/$CS996,"")</f>
        <v>0.16140599999999994</v>
      </c>
      <c r="CZ996">
        <f>IFERROR($CW996/$CT996,"")</f>
        <v>0.16140599999999994</v>
      </c>
      <c r="DA996" s="2">
        <f>IFERROR((CV996-CU996)/ABS(CU996),"")</f>
        <v>0.41259540240391207</v>
      </c>
      <c r="DB996" s="1" t="s">
        <v>263</v>
      </c>
      <c r="DC996" t="str">
        <f>IF(OR($DB996="prd",$DB996="std",$DB996="cit"),"loc",IF(OR($DB996="eur",$DB996="reg",$DB996="coy"),"reg",$DB996))</f>
        <v>loc</v>
      </c>
      <c r="DD996" s="296" t="s">
        <v>3098</v>
      </c>
      <c r="DG996">
        <v>60</v>
      </c>
      <c r="DH996" t="str">
        <f>IF(DG996=0,"0",IF(AND(DG996&gt;=1,DG996&lt;=30),"1-30",IF(AND(DG996&gt;30,DG996&lt;=70),"31-70",IF(AND(DG996&gt;70,DG996&lt;=100),"71-100",IF(DG996&gt;100,"+100")))))</f>
        <v>31-70</v>
      </c>
      <c r="DI996">
        <v>0</v>
      </c>
      <c r="DJ996">
        <v>0</v>
      </c>
      <c r="DK996">
        <v>0</v>
      </c>
      <c r="DL996">
        <v>1</v>
      </c>
      <c r="DN996">
        <f>SUM(DI996:DL996)</f>
        <v>1</v>
      </c>
      <c r="DO996" t="str">
        <f>IF(DN996=1,INDEX($DI$7:$DL$7,MATCH(1,$DI996:$DL996,0)),"mixedProduct")</f>
        <v>TimberInput</v>
      </c>
      <c r="DP996">
        <f>IF(DI996=1,DP$7,0)</f>
        <v>0</v>
      </c>
      <c r="DQ996">
        <f>IF(DJ996=1,DQ$7,0)</f>
        <v>0</v>
      </c>
      <c r="DR996">
        <f>IF(DK996=1,DR$7,0)</f>
        <v>0</v>
      </c>
      <c r="DS996" t="str">
        <f>IF(DL996=1,DS$7,0)</f>
        <v>Timber</v>
      </c>
      <c r="DT996">
        <v>1</v>
      </c>
      <c r="DU996">
        <v>0</v>
      </c>
      <c r="DV996">
        <v>0</v>
      </c>
      <c r="DW996">
        <v>0</v>
      </c>
      <c r="DX996">
        <v>0</v>
      </c>
      <c r="DY996">
        <f>SUM(DT996:DU996)</f>
        <v>1</v>
      </c>
      <c r="DZ996" s="143" t="str">
        <f>IF(DT996=1,"self-calculated DF",IF(DU996=1,"external DF used","explicit C balance"))</f>
        <v>self-calculated DF</v>
      </c>
      <c r="EA996">
        <v>0</v>
      </c>
      <c r="EB996">
        <v>0</v>
      </c>
      <c r="EC996">
        <v>0</v>
      </c>
      <c r="ED996">
        <v>0</v>
      </c>
      <c r="EE996">
        <v>0</v>
      </c>
      <c r="EF996" s="143">
        <v>1</v>
      </c>
      <c r="EG996">
        <v>0</v>
      </c>
      <c r="EH996">
        <v>1</v>
      </c>
      <c r="EI996">
        <v>1</v>
      </c>
      <c r="EJ996">
        <v>1</v>
      </c>
      <c r="EK996">
        <v>0</v>
      </c>
      <c r="EL996">
        <v>0</v>
      </c>
      <c r="EM996">
        <v>0</v>
      </c>
      <c r="EN996" s="2">
        <v>0</v>
      </c>
      <c r="EP996" t="str">
        <f>IF(AND(AND(AND(OR($EC996=1,$EB996=1),OR($EH996=1,$EF996=1)),SUM($EA996:$EE996,$EK996)&gt;=3),SUM($EF996:$EJ996)&gt;=2),"Whole sector approach","")</f>
        <v/>
      </c>
      <c r="EQ996" t="str">
        <f>IF(AND(AND(OR($EC996=1,$EB996=1),AND($EH996=0,$EF996=0)),SUM($EA996:$EE996,$EK996)&gt;=4),"Ecosystem approach","")</f>
        <v/>
      </c>
      <c r="ER996" s="2" t="str">
        <f>IF(AND(AND(AND($EC996=0,$EB996=0),OR($EH996=1,$EF996=1)),SUM($EG996:$EJ996)&gt;=2),"Technology approach","")</f>
        <v>Technology approach</v>
      </c>
      <c r="ES996" t="str">
        <f>IF(AND($EC996+$EB996+$EE996+$EA996+$ED996+$EG996=0,$N996="included"),"C neutral forest and HWP assumption","")</f>
        <v>C neutral forest and HWP assumption</v>
      </c>
      <c r="ET996" t="str">
        <f>IF(AND(AND(AND(AND($EC996=1,$EB996+$EA996+$EG996&gt;=1),$EF996=1),$EH996+$EI996+$ED996+$EE996&gt;=2),$N996="included"),"All C pools assumption","")</f>
        <v/>
      </c>
      <c r="EU996" t="str">
        <f>IF(AND($ED996+$EE996+$EI996+$EH996+$EF996=0,$N996="included"),"In-situ only assumption","")</f>
        <v/>
      </c>
      <c r="EY996" t="str">
        <f>IF(ISNUMBER(BW996),IF(ABS(BW996-[3]QC_indicators!$B$2)&gt;3*[3]QC_indicators!$C$2,"C ratio",IF(ISNUMBER(CA996),IF(ABS(CA996-[3]QC_indicators!$B$1)&gt;3*[3]QC_indicators!$C$1,"DF","no"))),IF(ISNUMBER(CA996),IF(ABS(CA996-[3]QC_indicators!$B$1)&gt;3*[3]QC_indicators!$C$1,"DF","no")))</f>
        <v>no</v>
      </c>
      <c r="FA996" t="str">
        <f>IF(LEN($CY996)=0,"",IF(AND($CY996&lt;(-0.05),$ES996="C neutral forest and HWP assumption"),"Cneutral paradox",IF(AND($CY996&gt;0.05,$EU996="In-situ only assumption"),"In-situ only paradox","")))</f>
        <v/>
      </c>
      <c r="FD996" s="260" t="s">
        <v>2938</v>
      </c>
    </row>
    <row r="997" spans="1:161" ht="15" hidden="1" customHeight="1">
      <c r="A997" s="1" t="s">
        <v>574</v>
      </c>
      <c r="B997" t="s">
        <v>2104</v>
      </c>
      <c r="C997" t="s">
        <v>2105</v>
      </c>
      <c r="D997" t="s">
        <v>2106</v>
      </c>
      <c r="E997" t="s">
        <v>2107</v>
      </c>
      <c r="F997" t="s">
        <v>2108</v>
      </c>
      <c r="G997" t="s">
        <v>580</v>
      </c>
      <c r="H997" t="s">
        <v>254</v>
      </c>
      <c r="I997">
        <v>2016</v>
      </c>
      <c r="J997">
        <v>32</v>
      </c>
      <c r="K997" t="s">
        <v>2109</v>
      </c>
      <c r="M997" t="str">
        <f>LEFT($D997,FIND(",",$D997)-1)&amp;"_"&amp;I997&amp;L997</f>
        <v>Taskhiri_2016</v>
      </c>
      <c r="N997" t="s">
        <v>222</v>
      </c>
      <c r="O997" s="145" t="s">
        <v>1029</v>
      </c>
      <c r="Q997" t="s">
        <v>256</v>
      </c>
      <c r="R997" s="251" t="s">
        <v>223</v>
      </c>
      <c r="S997" s="1" t="s">
        <v>2110</v>
      </c>
      <c r="T997" t="s">
        <v>1182</v>
      </c>
      <c r="U997" s="260" t="s">
        <v>2781</v>
      </c>
      <c r="V997" s="253">
        <v>0</v>
      </c>
      <c r="W997" s="253">
        <v>0</v>
      </c>
      <c r="X997">
        <v>0</v>
      </c>
      <c r="Y997">
        <v>0</v>
      </c>
      <c r="Z997">
        <v>0</v>
      </c>
      <c r="AA997">
        <v>0</v>
      </c>
      <c r="AB997">
        <v>0</v>
      </c>
      <c r="AC997">
        <v>0</v>
      </c>
      <c r="AD997">
        <v>0</v>
      </c>
      <c r="AE997">
        <v>0</v>
      </c>
      <c r="AF997">
        <v>0</v>
      </c>
      <c r="AG997">
        <v>0</v>
      </c>
      <c r="AH997">
        <v>0</v>
      </c>
      <c r="AI997">
        <v>1</v>
      </c>
      <c r="AJ997">
        <v>0</v>
      </c>
      <c r="AK997">
        <v>0</v>
      </c>
      <c r="AL997">
        <v>0</v>
      </c>
      <c r="AM997">
        <v>0</v>
      </c>
      <c r="AN997">
        <v>0</v>
      </c>
      <c r="AO997">
        <v>0</v>
      </c>
      <c r="AP997">
        <v>0</v>
      </c>
      <c r="AQ997">
        <v>0</v>
      </c>
      <c r="AR997">
        <v>0</v>
      </c>
      <c r="AS997">
        <v>0</v>
      </c>
      <c r="AT997">
        <v>0</v>
      </c>
      <c r="AU997">
        <v>0</v>
      </c>
      <c r="AV997">
        <v>0</v>
      </c>
      <c r="AW997">
        <v>0</v>
      </c>
      <c r="AX997">
        <v>0</v>
      </c>
      <c r="AY997">
        <v>0</v>
      </c>
      <c r="AZ997" s="141">
        <f>COUNTIF(X997:AY997,"&lt;&gt;0")</f>
        <v>1</v>
      </c>
      <c r="BA997" s="141">
        <f>COUNTIF(X997:AN997,"&lt;&gt;0")</f>
        <v>1</v>
      </c>
      <c r="BB997">
        <f>COUNTIF(X997:AE997,"&lt;&gt;0")</f>
        <v>0</v>
      </c>
      <c r="BC997">
        <f>COUNTIF(AF997:AK997,"&lt;&gt;0")</f>
        <v>1</v>
      </c>
      <c r="BD997">
        <f>COUNTIF(AL997:AN997,"&lt;&gt;0")</f>
        <v>0</v>
      </c>
      <c r="BE997">
        <f>COUNTIF(AU997:AY997,"&lt;&gt;0")</f>
        <v>0</v>
      </c>
      <c r="BF997">
        <f>COUNTIF(AO997:AT997,"&lt;&gt;0")</f>
        <v>0</v>
      </c>
      <c r="BG997" t="str">
        <f t="array" ref="BG997">IF(BA997=1,INDEX($X$7:$AN$7,MATCH(TRUE,INDEX($X997:$AY997&lt;&gt;0,),0)),IF(BA997=0,INDEX($AO$7:$AY$7,MATCH(1,$AO997:$AY997,0)),IF(BH997="Multiple strategies","mixed drivers",IF(BH997="Supply chain","multiple supply","multiple silviculture"))))</f>
        <v>recycling</v>
      </c>
      <c r="BH997" s="2" t="str" cm="1">
        <f t="array" ref="BH997">IF(COUNTIF(BB997:BD997,"&lt;&gt;0")=1,INDEX($X$4:$AY$4,MATCH(TRUE,INDEX($X997:$AY997&lt;&gt;0,),0)),IF(COUNTIF(BB997:BD997,"&lt;&gt;0")=0,INDEX($AO$4:$AY$4,MATCH(1,$AO997:$AY997,0)),"Multiple strategies"))</f>
        <v>Supply chain</v>
      </c>
      <c r="BI997" s="1" t="s">
        <v>229</v>
      </c>
      <c r="BJ997" t="s">
        <v>2111</v>
      </c>
      <c r="BK997" s="260" t="s">
        <v>2778</v>
      </c>
      <c r="BL997" t="s">
        <v>1197</v>
      </c>
      <c r="BM997">
        <v>0</v>
      </c>
      <c r="BN997">
        <v>5.0000000000000001E-3</v>
      </c>
      <c r="BO997" s="143" t="e">
        <f>BN997/BM997</f>
        <v>#DIV/0!</v>
      </c>
      <c r="BP997">
        <f>BN997-BM997</f>
        <v>5.0000000000000001E-3</v>
      </c>
      <c r="BQ997">
        <f>BP997*10^6</f>
        <v>5000</v>
      </c>
      <c r="BR997" t="s">
        <v>232</v>
      </c>
      <c r="BS997" s="336" t="s">
        <v>763</v>
      </c>
      <c r="BT997" t="s">
        <v>1070</v>
      </c>
      <c r="BU997" s="194">
        <v>-32092.528180728899</v>
      </c>
      <c r="BV997" s="194">
        <v>-29322.470132498798</v>
      </c>
      <c r="BW997" s="144">
        <f>IFERROR(BV997/BU997,"")</f>
        <v>0.9136852655350014</v>
      </c>
      <c r="BX997" s="144">
        <f>BV997-BU997</f>
        <v>2770.0580482301011</v>
      </c>
      <c r="BY997" s="144"/>
      <c r="BZ997" s="144">
        <f>BX997</f>
        <v>2770.0580482301011</v>
      </c>
      <c r="CA997">
        <f>IFERROR(BZ997/BQ997,"")</f>
        <v>0.55401160964602025</v>
      </c>
      <c r="CB997">
        <v>0</v>
      </c>
      <c r="CC997">
        <v>0</v>
      </c>
      <c r="CD997">
        <v>0</v>
      </c>
      <c r="CE997">
        <v>0</v>
      </c>
      <c r="CF997">
        <v>0</v>
      </c>
      <c r="CG997">
        <v>0</v>
      </c>
      <c r="CH997">
        <v>0</v>
      </c>
      <c r="CI997">
        <v>0</v>
      </c>
      <c r="CJ997">
        <v>0</v>
      </c>
      <c r="CK997">
        <v>0</v>
      </c>
      <c r="CL997">
        <v>0</v>
      </c>
      <c r="CM997">
        <v>0</v>
      </c>
      <c r="CN997">
        <v>0</v>
      </c>
      <c r="CO997">
        <v>1</v>
      </c>
      <c r="CP997" t="str">
        <f>IF($BN997&lt;$BM997,"refNeedCorrection","refOK")</f>
        <v>refOK</v>
      </c>
      <c r="CQ997">
        <f>IF($CP997="refOK",$BM997,$BN997)</f>
        <v>0</v>
      </c>
      <c r="CR997">
        <f>IF($CP997="refOK",$BN997,$BM997)</f>
        <v>5.0000000000000001E-3</v>
      </c>
      <c r="CS997">
        <f>IF($CP997="refOK",$BQ997,-$BQ997)</f>
        <v>5000</v>
      </c>
      <c r="CT997">
        <f>IF(BI997="Roundwood",$CS997/2,$CS997)</f>
        <v>5000</v>
      </c>
      <c r="CU997">
        <f>IF($CP997="refOK",$BU997,$BV997)*IF($BR997="Emissions positive",-1,1)</f>
        <v>-32092.528180728899</v>
      </c>
      <c r="CV997">
        <f>IF($CP997="refOK",$BV997,$BU997)*IF($BR997="Emissions positive",-1,1)</f>
        <v>-29322.470132498798</v>
      </c>
      <c r="CW997">
        <f>IF($CP997="refNeedCorrection",-BZ997,BZ997)*IF($BR997="Emissions positive",-1,1)</f>
        <v>2770.0580482301011</v>
      </c>
      <c r="CX997">
        <f>IFERROR($CW997/$CS997,"")</f>
        <v>0.55401160964602025</v>
      </c>
      <c r="CY997">
        <f>IFERROR($CW997/$CS997,"")</f>
        <v>0.55401160964602025</v>
      </c>
      <c r="CZ997">
        <f>IFERROR($CW997/$CT997,"")</f>
        <v>0.55401160964602025</v>
      </c>
      <c r="DA997" s="2">
        <f>IFERROR((CV997-CU997)/ABS(CU997),"")</f>
        <v>8.6314734464998655E-2</v>
      </c>
      <c r="DB997" s="1" t="s">
        <v>1074</v>
      </c>
      <c r="DC997" t="str">
        <f>IF(OR($DB997="prd",$DB997="std",$DB997="cit"),"loc",IF(OR($DB997="eur",$DB997="reg",$DB997="coy"),"reg",$DB997))</f>
        <v>reg</v>
      </c>
      <c r="DD997" t="s">
        <v>1176</v>
      </c>
      <c r="DG997">
        <v>0</v>
      </c>
      <c r="DH997" t="str">
        <f>IF(DG997=0,"0",IF(AND(DG997&gt;=1,DG997&lt;=30),"1-30",IF(AND(DG997&gt;30,DG997&lt;=70),"31-70",IF(AND(DG997&gt;70,DG997&lt;=100),"71-100",IF(DG997&gt;100,"+100")))))</f>
        <v>0</v>
      </c>
      <c r="DI997">
        <v>0</v>
      </c>
      <c r="DJ997">
        <v>0</v>
      </c>
      <c r="DK997">
        <v>1</v>
      </c>
      <c r="DL997">
        <v>0</v>
      </c>
      <c r="DN997">
        <f>SUM(DI997:DL997)</f>
        <v>1</v>
      </c>
      <c r="DO997" t="str">
        <f>IF(DN997=1,INDEX($DI$7:$DL$7,MATCH(1,$DI997:$DL997,0)),"mixedProduct")</f>
        <v>PulpPaperInput</v>
      </c>
      <c r="DP997">
        <f>IF(DI997=1,DP$7,0)</f>
        <v>0</v>
      </c>
      <c r="DQ997">
        <f>IF(DJ997=1,DQ$7,0)</f>
        <v>0</v>
      </c>
      <c r="DR997" t="str">
        <f>IF(DK997=1,DR$7,0)</f>
        <v>Pulp/Paper</v>
      </c>
      <c r="DS997">
        <f>IF(DL997=1,DS$7,0)</f>
        <v>0</v>
      </c>
      <c r="DT997">
        <v>0</v>
      </c>
      <c r="DU997">
        <v>0</v>
      </c>
      <c r="DV997">
        <v>0</v>
      </c>
      <c r="DW997">
        <v>0</v>
      </c>
      <c r="DX997">
        <v>0</v>
      </c>
      <c r="DY997">
        <f>SUM(DT997:DU997)</f>
        <v>0</v>
      </c>
      <c r="DZ997" s="143" t="str">
        <f>IF(DT997=1,"self-calculated DF",IF(DU997=1,"external DF used","explicit C balance"))</f>
        <v>explicit C balance</v>
      </c>
      <c r="EA997">
        <v>0</v>
      </c>
      <c r="EB997">
        <v>0</v>
      </c>
      <c r="EC997">
        <v>0</v>
      </c>
      <c r="ED997">
        <v>0</v>
      </c>
      <c r="EE997">
        <v>0</v>
      </c>
      <c r="EF997" s="143">
        <v>0</v>
      </c>
      <c r="EG997">
        <v>1</v>
      </c>
      <c r="EH997">
        <v>1</v>
      </c>
      <c r="EI997">
        <v>0</v>
      </c>
      <c r="EJ997">
        <v>0</v>
      </c>
      <c r="EK997">
        <v>0</v>
      </c>
      <c r="EL997">
        <v>0</v>
      </c>
      <c r="EM997">
        <v>0</v>
      </c>
      <c r="EN997" s="2">
        <v>0</v>
      </c>
      <c r="EP997" t="str">
        <f>IF(AND(AND(AND(OR($EC997=1,$EB997=1),OR($EH997=1,$EF997=1)),SUM($EA997:$EE997,$EK997)&gt;=3),SUM($EF997:$EJ997)&gt;=2),"Whole sector approach","")</f>
        <v/>
      </c>
      <c r="EQ997" t="str">
        <f>IF(AND(AND(OR($EC997=1,$EB997=1),AND($EH997=0,$EF997=0)),SUM($EA997:$EE997,$EK997)&gt;=4),"Ecosystem approach","")</f>
        <v/>
      </c>
      <c r="ER997" s="2" t="str">
        <f>IF(AND(AND(AND($EC997=0,$EB997=0),OR($EH997=1,$EF997=1)),SUM($EG997:$EJ997)&gt;=2),"Technology approach","")</f>
        <v>Technology approach</v>
      </c>
      <c r="ES997" t="str">
        <f>IF(AND($EC997+$EB997+$EE997+$EA997+$ED997+$EG997=0,$N997="included"),"C neutral forest and HWP assumption","")</f>
        <v/>
      </c>
      <c r="ET997" t="str">
        <f>IF(AND(AND(AND(AND($EC997=1,$EB997+$EA997+$EG997&gt;=1),$EF997=1),$EH997+$EI997+$ED997+$EE997&gt;=2),$N997="included"),"All C pools assumption","")</f>
        <v/>
      </c>
      <c r="EU997" t="str">
        <f>IF(AND($ED997+$EE997+$EI997+$EH997+$EF997=0,$N997="included"),"In-situ only assumption","")</f>
        <v/>
      </c>
      <c r="EY997" t="str">
        <f>IF(ISNUMBER(BW997),IF(ABS(BW997-[2]QC_indicators!$B$2)&gt;3*[2]QC_indicators!$C$2,"C ratio",IF(ISNUMBER(CA997),IF(ABS(CA997-[2]QC_indicators!$B$1)&gt;3*[2]QC_indicators!$C$1,"DF","no"))),IF(ISNUMBER(CA997),IF(ABS(CA997-[2]QC_indicators!$B$1)&gt;3*[2]QC_indicators!$C$1,"DF","no")))</f>
        <v>no</v>
      </c>
      <c r="FA997" t="str">
        <f>IF(LEN($CY997)=0,"",IF(AND($CY997&lt;(-0.05),$ES997="C neutral forest and HWP assumption"),"Cneutral paradox",IF(AND($CY997&gt;0.05,$EU997="In-situ only assumption"),"In-situ only paradox","")))</f>
        <v/>
      </c>
      <c r="FD997" s="260" t="s">
        <v>2783</v>
      </c>
    </row>
    <row r="998" spans="1:161" ht="15" hidden="1" customHeight="1">
      <c r="A998" s="1" t="s">
        <v>574</v>
      </c>
      <c r="B998" t="s">
        <v>2104</v>
      </c>
      <c r="C998" t="s">
        <v>2105</v>
      </c>
      <c r="D998" t="s">
        <v>2106</v>
      </c>
      <c r="E998" t="s">
        <v>2107</v>
      </c>
      <c r="F998" t="s">
        <v>2108</v>
      </c>
      <c r="G998" t="s">
        <v>580</v>
      </c>
      <c r="H998" t="s">
        <v>254</v>
      </c>
      <c r="I998">
        <v>2016</v>
      </c>
      <c r="J998">
        <v>32</v>
      </c>
      <c r="K998" t="s">
        <v>2109</v>
      </c>
      <c r="M998" t="str">
        <f>LEFT($D998,FIND(",",$D998)-1)&amp;"_"&amp;I998&amp;L998</f>
        <v>Taskhiri_2016</v>
      </c>
      <c r="N998" t="s">
        <v>222</v>
      </c>
      <c r="O998" s="145" t="s">
        <v>1029</v>
      </c>
      <c r="Q998" t="s">
        <v>256</v>
      </c>
      <c r="R998" s="251" t="s">
        <v>223</v>
      </c>
      <c r="S998" s="1" t="s">
        <v>2110</v>
      </c>
      <c r="T998" t="s">
        <v>1182</v>
      </c>
      <c r="U998" s="260" t="s">
        <v>2780</v>
      </c>
      <c r="V998" s="253">
        <v>0</v>
      </c>
      <c r="W998" s="253">
        <v>0</v>
      </c>
      <c r="X998">
        <v>0</v>
      </c>
      <c r="Y998">
        <v>0</v>
      </c>
      <c r="Z998">
        <v>0</v>
      </c>
      <c r="AA998">
        <v>0</v>
      </c>
      <c r="AB998">
        <v>0</v>
      </c>
      <c r="AC998">
        <v>0</v>
      </c>
      <c r="AD998">
        <v>0</v>
      </c>
      <c r="AE998">
        <v>0</v>
      </c>
      <c r="AF998">
        <v>0</v>
      </c>
      <c r="AG998">
        <v>0</v>
      </c>
      <c r="AH998">
        <v>0</v>
      </c>
      <c r="AI998">
        <v>1</v>
      </c>
      <c r="AJ998">
        <v>0</v>
      </c>
      <c r="AK998">
        <v>0</v>
      </c>
      <c r="AL998">
        <v>0</v>
      </c>
      <c r="AM998">
        <v>0</v>
      </c>
      <c r="AN998">
        <v>0</v>
      </c>
      <c r="AO998">
        <v>0</v>
      </c>
      <c r="AP998">
        <v>0</v>
      </c>
      <c r="AQ998">
        <v>0</v>
      </c>
      <c r="AR998">
        <v>0</v>
      </c>
      <c r="AS998">
        <v>0</v>
      </c>
      <c r="AT998">
        <v>0</v>
      </c>
      <c r="AU998">
        <v>0</v>
      </c>
      <c r="AV998">
        <v>0</v>
      </c>
      <c r="AW998">
        <v>0</v>
      </c>
      <c r="AX998">
        <v>0</v>
      </c>
      <c r="AY998">
        <v>0</v>
      </c>
      <c r="AZ998" s="141">
        <f>COUNTIF(X998:AY998,"&lt;&gt;0")</f>
        <v>1</v>
      </c>
      <c r="BA998" s="141">
        <f>COUNTIF(X998:AN998,"&lt;&gt;0")</f>
        <v>1</v>
      </c>
      <c r="BB998">
        <f>COUNTIF(X998:AE998,"&lt;&gt;0")</f>
        <v>0</v>
      </c>
      <c r="BC998">
        <f>COUNTIF(AF998:AK998,"&lt;&gt;0")</f>
        <v>1</v>
      </c>
      <c r="BD998">
        <f>COUNTIF(AL998:AN998,"&lt;&gt;0")</f>
        <v>0</v>
      </c>
      <c r="BE998">
        <f>COUNTIF(AU998:AY998,"&lt;&gt;0")</f>
        <v>0</v>
      </c>
      <c r="BF998">
        <f>COUNTIF(AO998:AT998,"&lt;&gt;0")</f>
        <v>0</v>
      </c>
      <c r="BG998" t="str">
        <f t="array" ref="BG998">IF(BA998=1,INDEX($X$7:$AN$7,MATCH(TRUE,INDEX($X998:$AY998&lt;&gt;0,),0)),IF(BA998=0,INDEX($AO$7:$AY$7,MATCH(1,$AO998:$AY998,0)),IF(BH998="Multiple strategies","mixed drivers",IF(BH998="Supply chain","multiple supply","multiple silviculture"))))</f>
        <v>recycling</v>
      </c>
      <c r="BH998" s="2" t="str" cm="1">
        <f t="array" ref="BH998">IF(COUNTIF(BB998:BD998,"&lt;&gt;0")=1,INDEX($X$4:$AY$4,MATCH(TRUE,INDEX($X998:$AY998&lt;&gt;0,),0)),IF(COUNTIF(BB998:BD998,"&lt;&gt;0")=0,INDEX($AO$4:$AY$4,MATCH(1,$AO998:$AY998,0)),"Multiple strategies"))</f>
        <v>Supply chain</v>
      </c>
      <c r="BI998" s="1" t="s">
        <v>229</v>
      </c>
      <c r="BJ998" t="s">
        <v>2111</v>
      </c>
      <c r="BK998" s="260" t="s">
        <v>2778</v>
      </c>
      <c r="BL998" t="s">
        <v>1197</v>
      </c>
      <c r="BM998">
        <v>0</v>
      </c>
      <c r="BN998">
        <v>0.05</v>
      </c>
      <c r="BO998" s="143" t="e">
        <f>BN998/BM998</f>
        <v>#DIV/0!</v>
      </c>
      <c r="BP998">
        <f>BN998-BM998</f>
        <v>0.05</v>
      </c>
      <c r="BQ998">
        <f>BP998*10^6</f>
        <v>50000</v>
      </c>
      <c r="BR998" t="s">
        <v>232</v>
      </c>
      <c r="BS998" s="336" t="s">
        <v>763</v>
      </c>
      <c r="BT998" t="s">
        <v>1070</v>
      </c>
      <c r="BU998" s="194">
        <v>-32092.528180728899</v>
      </c>
      <c r="BV998" s="194">
        <v>-23743.471028233002</v>
      </c>
      <c r="BW998" s="144">
        <f>IFERROR(BV998/BU998,"")</f>
        <v>0.73984420593235201</v>
      </c>
      <c r="BX998" s="144">
        <f>BV998-BU998</f>
        <v>8349.0571524958978</v>
      </c>
      <c r="BY998" s="144"/>
      <c r="BZ998" s="144">
        <f>BX998</f>
        <v>8349.0571524958978</v>
      </c>
      <c r="CA998">
        <f>IFERROR(BZ998/BQ998,"")</f>
        <v>0.16698114304991796</v>
      </c>
      <c r="CB998">
        <v>0</v>
      </c>
      <c r="CC998">
        <v>0</v>
      </c>
      <c r="CD998">
        <v>0</v>
      </c>
      <c r="CE998">
        <v>0</v>
      </c>
      <c r="CF998">
        <v>0</v>
      </c>
      <c r="CG998">
        <v>0</v>
      </c>
      <c r="CH998">
        <v>0</v>
      </c>
      <c r="CI998">
        <v>0</v>
      </c>
      <c r="CJ998">
        <v>0</v>
      </c>
      <c r="CK998">
        <v>0</v>
      </c>
      <c r="CL998">
        <v>0</v>
      </c>
      <c r="CM998">
        <v>0</v>
      </c>
      <c r="CN998">
        <v>0</v>
      </c>
      <c r="CO998">
        <v>1</v>
      </c>
      <c r="CP998" t="str">
        <f>IF($BN998&lt;$BM998,"refNeedCorrection","refOK")</f>
        <v>refOK</v>
      </c>
      <c r="CQ998">
        <f>IF($CP998="refOK",$BM998,$BN998)</f>
        <v>0</v>
      </c>
      <c r="CR998">
        <f>IF($CP998="refOK",$BN998,$BM998)</f>
        <v>0.05</v>
      </c>
      <c r="CS998">
        <f>IF($CP998="refOK",$BQ998,-$BQ998)</f>
        <v>50000</v>
      </c>
      <c r="CT998">
        <f>IF(BI998="Roundwood",$CS998/2,$CS998)</f>
        <v>50000</v>
      </c>
      <c r="CU998">
        <f>IF($CP998="refOK",$BU998,$BV998)*IF($BR998="Emissions positive",-1,1)</f>
        <v>-32092.528180728899</v>
      </c>
      <c r="CV998">
        <f>IF($CP998="refOK",$BV998,$BU998)*IF($BR998="Emissions positive",-1,1)</f>
        <v>-23743.471028233002</v>
      </c>
      <c r="CW998">
        <f>IF($CP998="refNeedCorrection",-BZ998,BZ998)*IF($BR998="Emissions positive",-1,1)</f>
        <v>8349.0571524958978</v>
      </c>
      <c r="CX998">
        <f>IFERROR($CW998/$CS998,"")</f>
        <v>0.16698114304991796</v>
      </c>
      <c r="CY998">
        <f>IFERROR($CW998/$CS998,"")</f>
        <v>0.16698114304991796</v>
      </c>
      <c r="CZ998">
        <f>IFERROR($CW998/$CT998,"")</f>
        <v>0.16698114304991796</v>
      </c>
      <c r="DA998" s="2">
        <f>IFERROR((CV998-CU998)/ABS(CU998),"")</f>
        <v>0.26015579406764799</v>
      </c>
      <c r="DB998" s="1" t="s">
        <v>1074</v>
      </c>
      <c r="DC998" t="str">
        <f>IF(OR($DB998="prd",$DB998="std",$DB998="cit"),"loc",IF(OR($DB998="eur",$DB998="reg",$DB998="coy"),"reg",$DB998))</f>
        <v>reg</v>
      </c>
      <c r="DD998" t="s">
        <v>1176</v>
      </c>
      <c r="DG998">
        <v>0</v>
      </c>
      <c r="DH998" t="str">
        <f>IF(DG998=0,"0",IF(AND(DG998&gt;=1,DG998&lt;=30),"1-30",IF(AND(DG998&gt;30,DG998&lt;=70),"31-70",IF(AND(DG998&gt;70,DG998&lt;=100),"71-100",IF(DG998&gt;100,"+100")))))</f>
        <v>0</v>
      </c>
      <c r="DI998">
        <v>0</v>
      </c>
      <c r="DJ998">
        <v>0</v>
      </c>
      <c r="DK998">
        <v>1</v>
      </c>
      <c r="DL998">
        <v>0</v>
      </c>
      <c r="DN998">
        <f>SUM(DI998:DL998)</f>
        <v>1</v>
      </c>
      <c r="DO998" t="str">
        <f>IF(DN998=1,INDEX($DI$7:$DL$7,MATCH(1,$DI998:$DL998,0)),"mixedProduct")</f>
        <v>PulpPaperInput</v>
      </c>
      <c r="DP998">
        <f>IF(DI998=1,DP$7,0)</f>
        <v>0</v>
      </c>
      <c r="DQ998">
        <f>IF(DJ998=1,DQ$7,0)</f>
        <v>0</v>
      </c>
      <c r="DR998" t="str">
        <f>IF(DK998=1,DR$7,0)</f>
        <v>Pulp/Paper</v>
      </c>
      <c r="DS998">
        <f>IF(DL998=1,DS$7,0)</f>
        <v>0</v>
      </c>
      <c r="DT998">
        <v>0</v>
      </c>
      <c r="DU998">
        <v>0</v>
      </c>
      <c r="DV998">
        <v>0</v>
      </c>
      <c r="DW998">
        <v>0</v>
      </c>
      <c r="DX998">
        <v>0</v>
      </c>
      <c r="DY998">
        <f>SUM(DT998:DU998)</f>
        <v>0</v>
      </c>
      <c r="DZ998" s="143" t="str">
        <f>IF(DT998=1,"self-calculated DF",IF(DU998=1,"external DF used","explicit C balance"))</f>
        <v>explicit C balance</v>
      </c>
      <c r="EA998">
        <v>0</v>
      </c>
      <c r="EB998">
        <v>0</v>
      </c>
      <c r="EC998">
        <v>0</v>
      </c>
      <c r="ED998">
        <v>0</v>
      </c>
      <c r="EE998">
        <v>0</v>
      </c>
      <c r="EF998" s="143">
        <v>0</v>
      </c>
      <c r="EG998">
        <v>1</v>
      </c>
      <c r="EH998">
        <v>1</v>
      </c>
      <c r="EI998">
        <v>0</v>
      </c>
      <c r="EJ998">
        <v>0</v>
      </c>
      <c r="EK998">
        <v>0</v>
      </c>
      <c r="EL998">
        <v>0</v>
      </c>
      <c r="EM998">
        <v>0</v>
      </c>
      <c r="EN998" s="2">
        <v>0</v>
      </c>
      <c r="EP998" t="str">
        <f>IF(AND(AND(AND(OR($EC998=1,$EB998=1),OR($EH998=1,$EF998=1)),SUM($EA998:$EE998,$EK998)&gt;=3),SUM($EF998:$EJ998)&gt;=2),"Whole sector approach","")</f>
        <v/>
      </c>
      <c r="EQ998" t="str">
        <f>IF(AND(AND(OR($EC998=1,$EB998=1),AND($EH998=0,$EF998=0)),SUM($EA998:$EE998,$EK998)&gt;=4),"Ecosystem approach","")</f>
        <v/>
      </c>
      <c r="ER998" s="2" t="str">
        <f>IF(AND(AND(AND($EC998=0,$EB998=0),OR($EH998=1,$EF998=1)),SUM($EG998:$EJ998)&gt;=2),"Technology approach","")</f>
        <v>Technology approach</v>
      </c>
      <c r="ES998" t="str">
        <f>IF(AND($EC998+$EB998+$EE998+$EA998+$ED998+$EG998=0,$N998="included"),"C neutral forest and HWP assumption","")</f>
        <v/>
      </c>
      <c r="ET998" t="str">
        <f>IF(AND(AND(AND(AND($EC998=1,$EB998+$EA998+$EG998&gt;=1),$EF998=1),$EH998+$EI998+$ED998+$EE998&gt;=2),$N998="included"),"All C pools assumption","")</f>
        <v/>
      </c>
      <c r="EU998" t="str">
        <f>IF(AND($ED998+$EE998+$EI998+$EH998+$EF998=0,$N998="included"),"In-situ only assumption","")</f>
        <v/>
      </c>
      <c r="EY998" t="str">
        <f>IF(ISNUMBER(BW998),IF(ABS(BW998-[2]QC_indicators!$B$2)&gt;3*[2]QC_indicators!$C$2,"C ratio",IF(ISNUMBER(CA998),IF(ABS(CA998-[2]QC_indicators!$B$1)&gt;3*[2]QC_indicators!$C$1,"DF","no"))),IF(ISNUMBER(CA998),IF(ABS(CA998-[2]QC_indicators!$B$1)&gt;3*[2]QC_indicators!$C$1,"DF","no")))</f>
        <v>no</v>
      </c>
      <c r="FA998" t="str">
        <f>IF(LEN($CY998)=0,"",IF(AND($CY998&lt;(-0.05),$ES998="C neutral forest and HWP assumption"),"Cneutral paradox",IF(AND($CY998&gt;0.05,$EU998="In-situ only assumption"),"In-situ only paradox","")))</f>
        <v/>
      </c>
      <c r="FD998" s="260" t="s">
        <v>2827</v>
      </c>
    </row>
    <row r="999" spans="1:161" ht="15" customHeight="1">
      <c r="A999" s="1" t="s">
        <v>1001</v>
      </c>
      <c r="B999" t="s">
        <v>2125</v>
      </c>
      <c r="C999" t="s">
        <v>2126</v>
      </c>
      <c r="D999" t="s">
        <v>2127</v>
      </c>
      <c r="E999" t="s">
        <v>2128</v>
      </c>
      <c r="F999" t="s">
        <v>2129</v>
      </c>
      <c r="G999" t="s">
        <v>1002</v>
      </c>
      <c r="H999" t="s">
        <v>254</v>
      </c>
      <c r="I999">
        <v>2016</v>
      </c>
      <c r="J999">
        <v>13</v>
      </c>
      <c r="K999" t="s">
        <v>2130</v>
      </c>
      <c r="M999" t="str">
        <f>LEFT($D999,FIND(",",$D999)-1)&amp;"_"&amp;I999&amp;L999</f>
        <v>Torssonen_2016</v>
      </c>
      <c r="N999" t="s">
        <v>222</v>
      </c>
      <c r="O999" s="145" t="s">
        <v>1029</v>
      </c>
      <c r="Q999" s="260" t="s">
        <v>256</v>
      </c>
      <c r="R999" s="264" t="s">
        <v>341</v>
      </c>
      <c r="S999" s="1" t="s">
        <v>2131</v>
      </c>
      <c r="T999" t="s">
        <v>2138</v>
      </c>
      <c r="U999" t="s">
        <v>2137</v>
      </c>
      <c r="V999" s="253">
        <v>0</v>
      </c>
      <c r="W999" s="253">
        <v>0</v>
      </c>
      <c r="X999">
        <v>0</v>
      </c>
      <c r="Y999">
        <v>0</v>
      </c>
      <c r="Z999">
        <v>0</v>
      </c>
      <c r="AA999">
        <v>1</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s="141">
        <v>1</v>
      </c>
      <c r="BA999" s="141">
        <f>COUNTIF(X999:AN999,"&lt;&gt;0")</f>
        <v>1</v>
      </c>
      <c r="BB999">
        <f>COUNTIF(X999:AE999,"&lt;&gt;0")</f>
        <v>1</v>
      </c>
      <c r="BC999">
        <f>COUNTIF(AF999:AK999,"&lt;&gt;0")</f>
        <v>0</v>
      </c>
      <c r="BD999">
        <f>COUNTIF(AL999:AN999,"&lt;&gt;0")</f>
        <v>0</v>
      </c>
      <c r="BE999">
        <f>COUNTIF(AU999:AY999,"&lt;&gt;0")</f>
        <v>0</v>
      </c>
      <c r="BF999">
        <f>COUNTIF(AO999:AT999,"&lt;&gt;0")</f>
        <v>0</v>
      </c>
      <c r="BG999" t="str" cm="1">
        <f t="array" ref="BG999">IF(BA999=1,INDEX($X$7:$AN$7,MATCH(TRUE,INDEX($X999:$AY999&lt;&gt;0,),0)),IF(BA999=0,INDEX($AO$7:$AY$7,MATCH(1,$AO999:$AY999,0)),IF(BH999="Multiple strategies","mixed drivers",IF(BH999="Supply chain","multiple supply","multiple silviculture"))))</f>
        <v xml:space="preserve">cutting intensity </v>
      </c>
      <c r="BH999" s="2" t="str" cm="1">
        <f t="array" ref="BH999">IF(COUNTIF(BB999:BD999,"&lt;&gt;0")=1,INDEX($X$4:$AY$4,MATCH(TRUE,INDEX($X999:$AY999&lt;&gt;0,),0)),IF(COUNTIF(BB999:BD999,"&lt;&gt;0")=0,INDEX($AO$4:$AY$4,MATCH(1,$AO999:$AY999,0)),"Multiple strategies"))</f>
        <v>Silviculture for removals</v>
      </c>
      <c r="BI999" s="1" t="s">
        <v>229</v>
      </c>
      <c r="BJ999" s="294" t="s">
        <v>1949</v>
      </c>
      <c r="BK999" s="260" t="s">
        <v>2133</v>
      </c>
      <c r="BL999" s="294" t="s">
        <v>988</v>
      </c>
      <c r="BM999">
        <v>6.697959172</v>
      </c>
      <c r="BN999">
        <v>8.0857142559999993</v>
      </c>
      <c r="BO999" s="143">
        <f>BN999/BM999</f>
        <v>1.2071907350228916</v>
      </c>
      <c r="BP999">
        <f>BN999-BM999</f>
        <v>1.3877550839999993</v>
      </c>
      <c r="BQ999">
        <f>BP999</f>
        <v>1.3877550839999993</v>
      </c>
      <c r="BR999" s="294" t="s">
        <v>395</v>
      </c>
      <c r="BS999" s="153" t="s">
        <v>3096</v>
      </c>
      <c r="BT999" s="260" t="s">
        <v>2134</v>
      </c>
      <c r="BU999" s="290">
        <v>-334.54545000000002</v>
      </c>
      <c r="BV999">
        <v>-456.72727272727298</v>
      </c>
      <c r="BW999" s="144"/>
      <c r="BX999" s="144">
        <f>BV999-BU999</f>
        <v>-122.18182272727296</v>
      </c>
      <c r="BY999" s="144"/>
      <c r="BZ999" s="144">
        <f>BX999*10^4/10^6</f>
        <v>-1.2218182272727296</v>
      </c>
      <c r="CA999">
        <f>IFERROR(BZ999/BQ999,"")</f>
        <v>-0.88042785168620596</v>
      </c>
      <c r="CB999">
        <v>0</v>
      </c>
      <c r="CC999">
        <v>0</v>
      </c>
      <c r="CD999">
        <v>0</v>
      </c>
      <c r="CE999">
        <v>0</v>
      </c>
      <c r="CF999">
        <v>0</v>
      </c>
      <c r="CG999">
        <v>0</v>
      </c>
      <c r="CH999">
        <v>0</v>
      </c>
      <c r="CI999">
        <v>0</v>
      </c>
      <c r="CJ999">
        <v>0</v>
      </c>
      <c r="CK999">
        <v>0</v>
      </c>
      <c r="CL999">
        <v>0</v>
      </c>
      <c r="CM999">
        <v>0</v>
      </c>
      <c r="CN999">
        <v>0</v>
      </c>
      <c r="CO999">
        <v>1</v>
      </c>
      <c r="CP999" t="str">
        <f>IF($BN999&lt;$BM999,"refNeedCorrection","refOK")</f>
        <v>refOK</v>
      </c>
      <c r="CQ999">
        <f>IF($CP999="refOK",$BM999,$BN999)</f>
        <v>6.697959172</v>
      </c>
      <c r="CR999">
        <f>IF($CP999="refOK",$BN999,$BM999)</f>
        <v>8.0857142559999993</v>
      </c>
      <c r="CS999">
        <f>IF($CP999="refOK",$BQ999,-$BQ999)</f>
        <v>1.3877550839999993</v>
      </c>
      <c r="CT999">
        <f>IF(BI999="Roundwood",$CS999/2,$CS999)</f>
        <v>1.3877550839999993</v>
      </c>
      <c r="CU999">
        <f>IF($CP999="refOK",$BU999,$BV999)*IF($BR999="Emissions positive",-1,1)</f>
        <v>334.54545000000002</v>
      </c>
      <c r="CV999">
        <f>IF($CP999="refOK",$BV999,$BU999)*IF($BR999="Emissions positive",-1,1)</f>
        <v>456.72727272727298</v>
      </c>
      <c r="CW999">
        <f>IF($CP999="refNeedCorrection",-BZ999,BZ999)*IF($BR999="Emissions positive",-1,1)</f>
        <v>1.2218182272727296</v>
      </c>
      <c r="CX999">
        <f>IFERROR($CW999/$CS999,"")</f>
        <v>0.88042785168620596</v>
      </c>
      <c r="CY999">
        <f>IFERROR($CW999/$CS999,"")</f>
        <v>0.88042785168620596</v>
      </c>
      <c r="CZ999">
        <f>IFERROR($CW999/$CT999,"")</f>
        <v>0.88042785168620596</v>
      </c>
      <c r="DA999" s="2">
        <f>IFERROR((CV999-CU999)/ABS(CU999),"")</f>
        <v>0.3652174098534981</v>
      </c>
      <c r="DB999" s="1" t="s">
        <v>1074</v>
      </c>
      <c r="DC999" s="260" t="str">
        <f>IF(OR($DB999="prd",$DB999="std",$DB999="cit"),"loc",IF(OR($DB999="eur",$DB999="reg",$DB999="coy"),"reg",$DB999))</f>
        <v>reg</v>
      </c>
      <c r="DD999" t="s">
        <v>235</v>
      </c>
      <c r="DE999">
        <v>2020</v>
      </c>
      <c r="DF999">
        <v>2100</v>
      </c>
      <c r="DG999">
        <f>DF999-DE999</f>
        <v>80</v>
      </c>
      <c r="DH999" t="str">
        <f>IF(DG999=0,"0",IF(AND(DG999&gt;=1,DG999&lt;=30),"1-30",IF(AND(DG999&gt;30,DG999&lt;=70),"31-70",IF(AND(DG999&gt;70,DG999&lt;=100),"71-100",IF(DG999&gt;100,"+100")))))</f>
        <v>71-100</v>
      </c>
      <c r="DI999">
        <v>0</v>
      </c>
      <c r="DJ999">
        <v>1</v>
      </c>
      <c r="DK999">
        <v>0</v>
      </c>
      <c r="DL999">
        <v>1</v>
      </c>
      <c r="DN999">
        <f>SUM(DI999:DL999)</f>
        <v>2</v>
      </c>
      <c r="DO999" t="str">
        <f>IF(DN999=1,INDEX($DI$7:$DL$7,MATCH(1,$DI999:$DL999,0)),"mixedProduct")</f>
        <v>mixedProduct</v>
      </c>
      <c r="DP999">
        <f>IF(DI999=1,DP$7,0)</f>
        <v>0</v>
      </c>
      <c r="DQ999" t="str">
        <f>IF(DJ999=1,DQ$7,0)</f>
        <v>Energy</v>
      </c>
      <c r="DR999">
        <f>IF(DK999=1,DR$7,0)</f>
        <v>0</v>
      </c>
      <c r="DS999" t="str">
        <f>IF(DL999=1,DS$7,0)</f>
        <v>Timber</v>
      </c>
      <c r="DT999">
        <v>1</v>
      </c>
      <c r="DU999">
        <v>0</v>
      </c>
      <c r="DV999">
        <v>0</v>
      </c>
      <c r="DW999">
        <v>0</v>
      </c>
      <c r="DX999">
        <v>0</v>
      </c>
      <c r="DY999">
        <f>SUM(DT999:DU999)</f>
        <v>1</v>
      </c>
      <c r="DZ999" s="143" t="str">
        <f>IF(DT999=1,"self-calculated DF",IF(DU999=1,"external DF used","explicit C balance"))</f>
        <v>self-calculated DF</v>
      </c>
      <c r="EA999">
        <v>1</v>
      </c>
      <c r="EB999">
        <v>0</v>
      </c>
      <c r="EC999">
        <v>1</v>
      </c>
      <c r="ED999">
        <v>0</v>
      </c>
      <c r="EE999">
        <v>0</v>
      </c>
      <c r="EF999" s="143">
        <v>0</v>
      </c>
      <c r="EG999">
        <v>0</v>
      </c>
      <c r="EH999">
        <v>0</v>
      </c>
      <c r="EI999">
        <v>0</v>
      </c>
      <c r="EJ999">
        <v>0</v>
      </c>
      <c r="EK999">
        <v>1</v>
      </c>
      <c r="EL999">
        <v>0</v>
      </c>
      <c r="EM999">
        <v>0</v>
      </c>
      <c r="EN999" s="2">
        <v>0</v>
      </c>
      <c r="EP999" t="str">
        <f>IF(AND(AND(AND(OR($EC999=1,$EB999=1),OR($EH999=1,$EF999=1)),SUM($EA999:$EE999,$EK999)&gt;=3),SUM($EF999:$EJ999)&gt;=2),"Whole sector approach","")</f>
        <v/>
      </c>
      <c r="EQ999" t="str">
        <f>IF(AND(AND(OR($EC999=1,$EB999=1),AND($EH999=0,$EF999=0)),SUM($EA999:$EE999,$EK999)&gt;=4),"Ecosystem approach","")</f>
        <v/>
      </c>
      <c r="ER999" s="2" t="str">
        <f>IF(AND(AND(AND($EC999=0,$EB999=0),OR($EH999=1,$EF999=1)),SUM($EG999:$EJ999)&gt;=2),"Technology approach","")</f>
        <v/>
      </c>
      <c r="ES999" t="str">
        <f>IF(AND($EC999+$EB999+$EE999+$EA999+$ED999+$EG999=0,$N999="included"),"C neutral forest and HWP assumption","")</f>
        <v/>
      </c>
      <c r="ET999" t="str">
        <f>IF(AND(AND(AND(AND($EC999=1,$EB999+$EA999+$EG999&gt;=1),$EF999=1),$EH999+$EI999+$ED999+$EE999&gt;=2),$N999="included"),"All C pools assumption","")</f>
        <v/>
      </c>
      <c r="EU999" t="str">
        <f>IF(AND($ED999+$EE999+$EI999+$EH999+$EF999=0,$N999="included"),"In-situ only assumption","")</f>
        <v>In-situ only assumption</v>
      </c>
      <c r="EY999" t="str">
        <f>IF(ISNUMBER(BW999),IF(ABS(BW999-[5]QC_indicators!$B$2)&gt;3*[5]QC_indicators!$C$2,"C ratio",IF(ISNUMBER(CA999),IF(ABS(CA999-[5]QC_indicators!$B$1)&gt;3*[5]QC_indicators!$C$1,"DF","no"))),IF(ISNUMBER(CA999),IF(ABS(CA999-[5]QC_indicators!$B$1)&gt;3*[5]QC_indicators!$C$1,"DF","no")))</f>
        <v>no</v>
      </c>
      <c r="FA999" t="str">
        <f>IF(LEN($CY999)=0,"",IF(AND($CY999&lt;(-0.05),$ES999="C neutral forest and HWP assumption"),"Cneutral paradox",IF(AND($CY999&gt;0.05,$EU999="In-situ only assumption"),"In-situ only paradox","")))</f>
        <v>In-situ only paradox</v>
      </c>
      <c r="FB999" s="260" t="s">
        <v>2135</v>
      </c>
      <c r="FD999" s="294" t="s">
        <v>3097</v>
      </c>
      <c r="FE999" s="334" t="s">
        <v>5073</v>
      </c>
    </row>
    <row r="1000" spans="1:161" ht="15" customHeight="1">
      <c r="A1000" s="1" t="s">
        <v>1001</v>
      </c>
      <c r="B1000" t="s">
        <v>2125</v>
      </c>
      <c r="C1000" t="s">
        <v>2126</v>
      </c>
      <c r="D1000" t="s">
        <v>2127</v>
      </c>
      <c r="E1000" t="s">
        <v>2128</v>
      </c>
      <c r="F1000" t="s">
        <v>2129</v>
      </c>
      <c r="G1000" t="s">
        <v>1002</v>
      </c>
      <c r="H1000" t="s">
        <v>254</v>
      </c>
      <c r="I1000">
        <v>2016</v>
      </c>
      <c r="J1000">
        <v>13</v>
      </c>
      <c r="K1000" t="s">
        <v>2130</v>
      </c>
      <c r="M1000" t="str">
        <f>LEFT($D1000,FIND(",",$D1000)-1)&amp;"_"&amp;I1000&amp;L1000</f>
        <v>Torssonen_2016</v>
      </c>
      <c r="N1000" t="s">
        <v>222</v>
      </c>
      <c r="O1000" s="145" t="s">
        <v>1029</v>
      </c>
      <c r="Q1000" s="260" t="s">
        <v>256</v>
      </c>
      <c r="R1000" s="264" t="s">
        <v>341</v>
      </c>
      <c r="S1000" s="1" t="s">
        <v>2131</v>
      </c>
      <c r="T1000" t="s">
        <v>2138</v>
      </c>
      <c r="U1000" t="s">
        <v>2136</v>
      </c>
      <c r="V1000" s="253">
        <v>0</v>
      </c>
      <c r="W1000" s="253">
        <v>0</v>
      </c>
      <c r="X1000">
        <v>0</v>
      </c>
      <c r="Y1000">
        <v>0</v>
      </c>
      <c r="Z1000">
        <v>0</v>
      </c>
      <c r="AA1000">
        <v>1</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s="141">
        <f>COUNTIF(X1000:AY1000,"&lt;&gt;0")</f>
        <v>1</v>
      </c>
      <c r="BA1000" s="141">
        <f>COUNTIF(X1000:AN1000,"&lt;&gt;0")</f>
        <v>1</v>
      </c>
      <c r="BB1000">
        <f>COUNTIF(X1000:AE1000,"&lt;&gt;0")</f>
        <v>1</v>
      </c>
      <c r="BC1000">
        <f>COUNTIF(AF1000:AK1000,"&lt;&gt;0")</f>
        <v>0</v>
      </c>
      <c r="BD1000">
        <f>COUNTIF(AL1000:AN1000,"&lt;&gt;0")</f>
        <v>0</v>
      </c>
      <c r="BE1000">
        <f>COUNTIF(AU1000:AY1000,"&lt;&gt;0")</f>
        <v>0</v>
      </c>
      <c r="BF1000">
        <f>COUNTIF(AO1000:AT1000,"&lt;&gt;0")</f>
        <v>0</v>
      </c>
      <c r="BG1000" t="str" cm="1">
        <f t="array" ref="BG1000">IF(BA1000=1,INDEX($X$7:$AN$7,MATCH(TRUE,INDEX($X1000:$AY1000&lt;&gt;0,),0)),IF(BA1000=0,INDEX($AO$7:$AY$7,MATCH(1,$AO1000:$AY1000,0)),IF(BH1000="Multiple strategies","mixed drivers",IF(BH1000="Supply chain","multiple supply","multiple silviculture"))))</f>
        <v xml:space="preserve">cutting intensity </v>
      </c>
      <c r="BH1000" s="2" t="str" cm="1">
        <f t="array" ref="BH1000">IF(COUNTIF(BB1000:BD1000,"&lt;&gt;0")=1,INDEX($X$4:$AY$4,MATCH(TRUE,INDEX($X1000:$AY1000&lt;&gt;0,),0)),IF(COUNTIF(BB1000:BD1000,"&lt;&gt;0")=0,INDEX($AO$4:$AY$4,MATCH(1,$AO1000:$AY1000,0)),"Multiple strategies"))</f>
        <v>Silviculture for removals</v>
      </c>
      <c r="BI1000" s="1" t="s">
        <v>229</v>
      </c>
      <c r="BJ1000" s="294" t="s">
        <v>1949</v>
      </c>
      <c r="BK1000" s="260" t="s">
        <v>2133</v>
      </c>
      <c r="BL1000" s="294" t="s">
        <v>988</v>
      </c>
      <c r="BM1000">
        <v>6.697959172</v>
      </c>
      <c r="BN1000">
        <v>7.9367346699999999</v>
      </c>
      <c r="BO1000" s="143">
        <f>BN1000/BM1000</f>
        <v>1.1849482008159364</v>
      </c>
      <c r="BP1000">
        <f>BN1000-BM1000</f>
        <v>1.2387754979999999</v>
      </c>
      <c r="BQ1000">
        <f>BP1000</f>
        <v>1.2387754979999999</v>
      </c>
      <c r="BR1000" s="294" t="s">
        <v>395</v>
      </c>
      <c r="BS1000" s="153" t="s">
        <v>3096</v>
      </c>
      <c r="BT1000" s="260" t="s">
        <v>2134</v>
      </c>
      <c r="BU1000" s="290">
        <v>-334.54545000000002</v>
      </c>
      <c r="BV1000">
        <v>-402.90909090909099</v>
      </c>
      <c r="BW1000" s="144"/>
      <c r="BX1000" s="144">
        <f>BV1000-BU1000</f>
        <v>-68.363640909090975</v>
      </c>
      <c r="BY1000" s="144"/>
      <c r="BZ1000" s="144">
        <f>BX1000*10^4/10^6</f>
        <v>-0.68363640909090972</v>
      </c>
      <c r="CA1000">
        <f>IFERROR(BZ1000/BQ1000,"")</f>
        <v>-0.55186465198467283</v>
      </c>
      <c r="CB1000">
        <v>0</v>
      </c>
      <c r="CC1000">
        <v>0</v>
      </c>
      <c r="CD1000">
        <v>0</v>
      </c>
      <c r="CE1000">
        <v>0</v>
      </c>
      <c r="CF1000">
        <v>0</v>
      </c>
      <c r="CG1000">
        <v>0</v>
      </c>
      <c r="CH1000">
        <v>0</v>
      </c>
      <c r="CI1000">
        <v>0</v>
      </c>
      <c r="CJ1000">
        <v>0</v>
      </c>
      <c r="CK1000">
        <v>0</v>
      </c>
      <c r="CL1000">
        <v>0</v>
      </c>
      <c r="CM1000">
        <v>0</v>
      </c>
      <c r="CN1000">
        <v>0</v>
      </c>
      <c r="CO1000">
        <v>1</v>
      </c>
      <c r="CP1000" t="str">
        <f>IF($BN1000&lt;$BM1000,"refNeedCorrection","refOK")</f>
        <v>refOK</v>
      </c>
      <c r="CQ1000">
        <f>IF($CP1000="refOK",$BM1000,$BN1000)</f>
        <v>6.697959172</v>
      </c>
      <c r="CR1000">
        <f>IF($CP1000="refOK",$BN1000,$BM1000)</f>
        <v>7.9367346699999999</v>
      </c>
      <c r="CS1000">
        <f>IF($CP1000="refOK",$BQ1000,-$BQ1000)</f>
        <v>1.2387754979999999</v>
      </c>
      <c r="CT1000">
        <f>IF(BI1000="Roundwood",$CS1000/2,$CS1000)</f>
        <v>1.2387754979999999</v>
      </c>
      <c r="CU1000">
        <f>IF($CP1000="refOK",$BU1000,$BV1000)*IF($BR1000="Emissions positive",-1,1)</f>
        <v>334.54545000000002</v>
      </c>
      <c r="CV1000">
        <f>IF($CP1000="refOK",$BV1000,$BU1000)*IF($BR1000="Emissions positive",-1,1)</f>
        <v>402.90909090909099</v>
      </c>
      <c r="CW1000">
        <f>IF($CP1000="refNeedCorrection",-BZ1000,BZ1000)*IF($BR1000="Emissions positive",-1,1)</f>
        <v>0.68363640909090972</v>
      </c>
      <c r="CX1000">
        <f>IFERROR($CW1000/$CS1000,"")</f>
        <v>0.55186465198467283</v>
      </c>
      <c r="CY1000">
        <f>IFERROR($CW1000/$CS1000,"")</f>
        <v>0.55186465198467283</v>
      </c>
      <c r="CZ1000">
        <f>IFERROR($CW1000/$CT1000,"")</f>
        <v>0.55186465198467283</v>
      </c>
      <c r="DA1000" s="2">
        <f>IFERROR((CV1000-CU1000)/ABS(CU1000),"")</f>
        <v>0.20434784245037849</v>
      </c>
      <c r="DB1000" s="1" t="s">
        <v>1074</v>
      </c>
      <c r="DC1000" s="260" t="str">
        <f>IF(OR($DB1000="prd",$DB1000="std",$DB1000="cit"),"loc",IF(OR($DB1000="eur",$DB1000="reg",$DB1000="coy"),"reg",$DB1000))</f>
        <v>reg</v>
      </c>
      <c r="DD1000" t="s">
        <v>235</v>
      </c>
      <c r="DE1000">
        <v>2020</v>
      </c>
      <c r="DF1000">
        <v>2100</v>
      </c>
      <c r="DG1000">
        <f>DF1000-DE1000</f>
        <v>80</v>
      </c>
      <c r="DH1000" t="str">
        <f>IF(DG1000=0,"0",IF(AND(DG1000&gt;=1,DG1000&lt;=30),"1-30",IF(AND(DG1000&gt;30,DG1000&lt;=70),"31-70",IF(AND(DG1000&gt;70,DG1000&lt;=100),"71-100",IF(DG1000&gt;100,"+100")))))</f>
        <v>71-100</v>
      </c>
      <c r="DI1000">
        <v>0</v>
      </c>
      <c r="DJ1000">
        <v>1</v>
      </c>
      <c r="DK1000">
        <v>0</v>
      </c>
      <c r="DL1000">
        <v>1</v>
      </c>
      <c r="DN1000">
        <f>SUM(DI1000:DL1000)</f>
        <v>2</v>
      </c>
      <c r="DO1000" t="str">
        <f>IF(DN1000=1,INDEX($DI$7:$DL$7,MATCH(1,$DI1000:$DL1000,0)),"mixedProduct")</f>
        <v>mixedProduct</v>
      </c>
      <c r="DP1000">
        <f>IF(DI1000=1,DP$7,0)</f>
        <v>0</v>
      </c>
      <c r="DQ1000" t="str">
        <f>IF(DJ1000=1,DQ$7,0)</f>
        <v>Energy</v>
      </c>
      <c r="DR1000">
        <f>IF(DK1000=1,DR$7,0)</f>
        <v>0</v>
      </c>
      <c r="DS1000" t="str">
        <f>IF(DL1000=1,DS$7,0)</f>
        <v>Timber</v>
      </c>
      <c r="DT1000">
        <v>1</v>
      </c>
      <c r="DU1000">
        <v>0</v>
      </c>
      <c r="DV1000">
        <v>0</v>
      </c>
      <c r="DW1000">
        <v>0</v>
      </c>
      <c r="DX1000">
        <v>0</v>
      </c>
      <c r="DY1000">
        <f>SUM(DT1000:DU1000)</f>
        <v>1</v>
      </c>
      <c r="DZ1000" s="143" t="str">
        <f>IF(DT1000=1,"self-calculated DF",IF(DU1000=1,"external DF used","explicit C balance"))</f>
        <v>self-calculated DF</v>
      </c>
      <c r="EA1000">
        <v>1</v>
      </c>
      <c r="EB1000">
        <v>0</v>
      </c>
      <c r="EC1000">
        <v>1</v>
      </c>
      <c r="ED1000">
        <v>0</v>
      </c>
      <c r="EE1000">
        <v>0</v>
      </c>
      <c r="EF1000" s="143">
        <v>0</v>
      </c>
      <c r="EG1000">
        <v>0</v>
      </c>
      <c r="EH1000">
        <v>0</v>
      </c>
      <c r="EI1000">
        <v>0</v>
      </c>
      <c r="EJ1000">
        <v>0</v>
      </c>
      <c r="EK1000">
        <v>1</v>
      </c>
      <c r="EL1000">
        <v>0</v>
      </c>
      <c r="EM1000">
        <v>0</v>
      </c>
      <c r="EN1000" s="2">
        <v>0</v>
      </c>
      <c r="EP1000" t="str">
        <f>IF(AND(AND(AND(OR($EC1000=1,$EB1000=1),OR($EH1000=1,$EF1000=1)),SUM($EA1000:$EE1000,$EK1000)&gt;=3),SUM($EF1000:$EJ1000)&gt;=2),"Whole sector approach","")</f>
        <v/>
      </c>
      <c r="EQ1000" t="str">
        <f>IF(AND(AND(OR($EC1000=1,$EB1000=1),AND($EH1000=0,$EF1000=0)),SUM($EA1000:$EE1000,$EK1000)&gt;=4),"Ecosystem approach","")</f>
        <v/>
      </c>
      <c r="ER1000" s="2" t="str">
        <f>IF(AND(AND(AND($EC1000=0,$EB1000=0),OR($EH1000=1,$EF1000=1)),SUM($EG1000:$EJ1000)&gt;=2),"Technology approach","")</f>
        <v/>
      </c>
      <c r="ES1000" t="str">
        <f>IF(AND($EC1000+$EB1000+$EE1000+$EA1000+$ED1000+$EG1000=0,$N1000="included"),"C neutral forest and HWP assumption","")</f>
        <v/>
      </c>
      <c r="ET1000" t="str">
        <f>IF(AND(AND(AND(AND($EC1000=1,$EB1000+$EA1000+$EG1000&gt;=1),$EF1000=1),$EH1000+$EI1000+$ED1000+$EE1000&gt;=2),$N1000="included"),"All C pools assumption","")</f>
        <v/>
      </c>
      <c r="EU1000" t="str">
        <f>IF(AND($ED1000+$EE1000+$EI1000+$EH1000+$EF1000=0,$N1000="included"),"In-situ only assumption","")</f>
        <v>In-situ only assumption</v>
      </c>
      <c r="EY1000" t="str">
        <f>IF(ISNUMBER(BW1000),IF(ABS(BW1000-[5]QC_indicators!$B$2)&gt;3*[5]QC_indicators!$C$2,"C ratio",IF(ISNUMBER(CA1000),IF(ABS(CA1000-[5]QC_indicators!$B$1)&gt;3*[5]QC_indicators!$C$1,"DF","no"))),IF(ISNUMBER(CA1000),IF(ABS(CA1000-[5]QC_indicators!$B$1)&gt;3*[5]QC_indicators!$C$1,"DF","no")))</f>
        <v>no</v>
      </c>
      <c r="FA1000" t="str">
        <f>IF(LEN($CY1000)=0,"",IF(AND($CY1000&lt;(-0.05),$ES1000="C neutral forest and HWP assumption"),"Cneutral paradox",IF(AND($CY1000&gt;0.05,$EU1000="In-situ only assumption"),"In-situ only paradox","")))</f>
        <v>In-situ only paradox</v>
      </c>
      <c r="FB1000" s="260" t="s">
        <v>2135</v>
      </c>
      <c r="FD1000" s="294" t="s">
        <v>3097</v>
      </c>
      <c r="FE1000" s="334" t="s">
        <v>5073</v>
      </c>
    </row>
    <row r="1001" spans="1:161" ht="15" customHeight="1">
      <c r="A1001" s="1" t="s">
        <v>1001</v>
      </c>
      <c r="B1001" t="s">
        <v>2125</v>
      </c>
      <c r="C1001" t="s">
        <v>2126</v>
      </c>
      <c r="D1001" t="s">
        <v>2127</v>
      </c>
      <c r="E1001" t="s">
        <v>2128</v>
      </c>
      <c r="F1001" t="s">
        <v>2129</v>
      </c>
      <c r="G1001" t="s">
        <v>1002</v>
      </c>
      <c r="H1001" t="s">
        <v>254</v>
      </c>
      <c r="I1001">
        <v>2016</v>
      </c>
      <c r="J1001">
        <v>13</v>
      </c>
      <c r="K1001" t="s">
        <v>2130</v>
      </c>
      <c r="M1001" t="str">
        <f>LEFT($D1001,FIND(",",$D1001)-1)&amp;"_"&amp;I1001&amp;L1001</f>
        <v>Torssonen_2016</v>
      </c>
      <c r="N1001" t="s">
        <v>222</v>
      </c>
      <c r="O1001" s="145" t="s">
        <v>1029</v>
      </c>
      <c r="Q1001" s="260" t="s">
        <v>256</v>
      </c>
      <c r="R1001" s="264" t="s">
        <v>341</v>
      </c>
      <c r="S1001" s="1" t="s">
        <v>2131</v>
      </c>
      <c r="T1001" t="s">
        <v>2138</v>
      </c>
      <c r="U1001" t="s">
        <v>2132</v>
      </c>
      <c r="V1001" s="253">
        <v>0</v>
      </c>
      <c r="W1001" s="253">
        <v>0</v>
      </c>
      <c r="X1001">
        <v>0</v>
      </c>
      <c r="Y1001">
        <v>0</v>
      </c>
      <c r="Z1001">
        <v>0</v>
      </c>
      <c r="AA1001">
        <v>1</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s="141">
        <f>COUNTIF(X1001:AY1001,"&lt;&gt;0")</f>
        <v>1</v>
      </c>
      <c r="BA1001" s="141">
        <f>COUNTIF(X1001:AN1001,"&lt;&gt;0")</f>
        <v>1</v>
      </c>
      <c r="BB1001">
        <f>COUNTIF(X1001:AE1001,"&lt;&gt;0")</f>
        <v>1</v>
      </c>
      <c r="BC1001">
        <f>COUNTIF(AF1001:AK1001,"&lt;&gt;0")</f>
        <v>0</v>
      </c>
      <c r="BD1001">
        <f>COUNTIF(AL1001:AN1001,"&lt;&gt;0")</f>
        <v>0</v>
      </c>
      <c r="BE1001">
        <f>COUNTIF(AU1001:AY1001,"&lt;&gt;0")</f>
        <v>0</v>
      </c>
      <c r="BF1001">
        <f>COUNTIF(AO1001:AT1001,"&lt;&gt;0")</f>
        <v>0</v>
      </c>
      <c r="BG1001" t="str" cm="1">
        <f t="array" ref="BG1001">IF(BA1001=1,INDEX($X$7:$AN$7,MATCH(TRUE,INDEX($X1001:$AY1001&lt;&gt;0,),0)),IF(BA1001=0,INDEX($AO$7:$AY$7,MATCH(1,$AO1001:$AY1001,0)),IF(BH1001="Multiple strategies","mixed drivers",IF(BH1001="Supply chain","multiple supply","multiple silviculture"))))</f>
        <v xml:space="preserve">cutting intensity </v>
      </c>
      <c r="BH1001" s="2" t="str" cm="1">
        <f t="array" ref="BH1001">IF(COUNTIF(BB1001:BD1001,"&lt;&gt;0")=1,INDEX($X$4:$AY$4,MATCH(TRUE,INDEX($X1001:$AY1001&lt;&gt;0,),0)),IF(COUNTIF(BB1001:BD1001,"&lt;&gt;0")=0,INDEX($AO$4:$AY$4,MATCH(1,$AO1001:$AY1001,0)),"Multiple strategies"))</f>
        <v>Silviculture for removals</v>
      </c>
      <c r="BI1001" s="1" t="s">
        <v>229</v>
      </c>
      <c r="BJ1001" s="294" t="s">
        <v>1949</v>
      </c>
      <c r="BK1001" s="260" t="s">
        <v>2133</v>
      </c>
      <c r="BL1001" s="294" t="s">
        <v>988</v>
      </c>
      <c r="BM1001">
        <v>6.697959172</v>
      </c>
      <c r="BN1001">
        <v>6.8142857049999996</v>
      </c>
      <c r="BO1001" s="143">
        <f>BN1001/BM1001</f>
        <v>1.0173674592533033</v>
      </c>
      <c r="BP1001">
        <f>BN1001-BM1001</f>
        <v>0.11632653299999962</v>
      </c>
      <c r="BQ1001">
        <f>BP1001</f>
        <v>0.11632653299999962</v>
      </c>
      <c r="BR1001" s="294" t="s">
        <v>395</v>
      </c>
      <c r="BS1001" s="153" t="s">
        <v>3096</v>
      </c>
      <c r="BT1001" s="260" t="s">
        <v>2134</v>
      </c>
      <c r="BU1001" s="290">
        <v>-334.54545000000002</v>
      </c>
      <c r="BV1001">
        <v>-302.54545454545399</v>
      </c>
      <c r="BW1001" s="144"/>
      <c r="BX1001" s="144">
        <f>BV1001-BU1001</f>
        <v>31.999995454546024</v>
      </c>
      <c r="BY1001" s="144"/>
      <c r="BZ1001" s="144">
        <f>BX1001*10^4/10^6</f>
        <v>0.31999995454546021</v>
      </c>
      <c r="CA1001">
        <f>IFERROR(BZ1001/BQ1001,"")</f>
        <v>2.7508767457675476</v>
      </c>
      <c r="CB1001">
        <v>0</v>
      </c>
      <c r="CC1001">
        <v>0</v>
      </c>
      <c r="CD1001">
        <v>0</v>
      </c>
      <c r="CE1001">
        <v>0</v>
      </c>
      <c r="CF1001">
        <v>0</v>
      </c>
      <c r="CG1001">
        <v>0</v>
      </c>
      <c r="CH1001">
        <v>0</v>
      </c>
      <c r="CI1001">
        <v>0</v>
      </c>
      <c r="CJ1001">
        <v>0</v>
      </c>
      <c r="CK1001">
        <v>0</v>
      </c>
      <c r="CL1001">
        <v>0</v>
      </c>
      <c r="CM1001">
        <v>0</v>
      </c>
      <c r="CN1001">
        <v>0</v>
      </c>
      <c r="CO1001">
        <v>1</v>
      </c>
      <c r="CP1001" t="str">
        <f>IF($BN1001&lt;$BM1001,"refNeedCorrection","refOK")</f>
        <v>refOK</v>
      </c>
      <c r="CQ1001">
        <f>IF($CP1001="refOK",$BM1001,$BN1001)</f>
        <v>6.697959172</v>
      </c>
      <c r="CR1001">
        <f>IF($CP1001="refOK",$BN1001,$BM1001)</f>
        <v>6.8142857049999996</v>
      </c>
      <c r="CS1001">
        <f>IF($CP1001="refOK",$BQ1001,-$BQ1001)</f>
        <v>0.11632653299999962</v>
      </c>
      <c r="CT1001">
        <f>IF(BI1001="Roundwood",$CS1001/2,$CS1001)</f>
        <v>0.11632653299999962</v>
      </c>
      <c r="CU1001">
        <f>IF($CP1001="refOK",$BU1001,$BV1001)*IF($BR1001="Emissions positive",-1,1)</f>
        <v>334.54545000000002</v>
      </c>
      <c r="CV1001">
        <f>IF($CP1001="refOK",$BV1001,$BU1001)*IF($BR1001="Emissions positive",-1,1)</f>
        <v>302.54545454545399</v>
      </c>
      <c r="CW1001">
        <f>IF($CP1001="refNeedCorrection",-BZ1001,BZ1001)*IF($BR1001="Emissions positive",-1,1)</f>
        <v>-0.31999995454546021</v>
      </c>
      <c r="CX1001">
        <f>IFERROR($CW1001/$CS1001,"")</f>
        <v>-2.7508767457675476</v>
      </c>
      <c r="CY1001">
        <f>IFERROR($CW1001/$CS1001,"")</f>
        <v>-2.7508767457675476</v>
      </c>
      <c r="CZ1001">
        <f>IFERROR($CW1001/$CT1001,"")</f>
        <v>-2.7508767457675476</v>
      </c>
      <c r="DA1001" s="2">
        <f>IFERROR((CV1001-CU1001)/ABS(CU1001),"")</f>
        <v>-9.5652161625710413E-2</v>
      </c>
      <c r="DB1001" s="1" t="s">
        <v>1074</v>
      </c>
      <c r="DC1001" s="260" t="str">
        <f>IF(OR($DB1001="prd",$DB1001="std",$DB1001="cit"),"loc",IF(OR($DB1001="eur",$DB1001="reg",$DB1001="coy"),"reg",$DB1001))</f>
        <v>reg</v>
      </c>
      <c r="DD1001" t="s">
        <v>235</v>
      </c>
      <c r="DE1001">
        <v>2020</v>
      </c>
      <c r="DF1001">
        <v>2100</v>
      </c>
      <c r="DG1001">
        <f>DF1001-DE1001</f>
        <v>80</v>
      </c>
      <c r="DH1001" t="str">
        <f>IF(DG1001=0,"0",IF(AND(DG1001&gt;=1,DG1001&lt;=30),"1-30",IF(AND(DG1001&gt;30,DG1001&lt;=70),"31-70",IF(AND(DG1001&gt;70,DG1001&lt;=100),"71-100",IF(DG1001&gt;100,"+100")))))</f>
        <v>71-100</v>
      </c>
      <c r="DI1001">
        <v>0</v>
      </c>
      <c r="DJ1001">
        <v>1</v>
      </c>
      <c r="DK1001">
        <v>0</v>
      </c>
      <c r="DL1001">
        <v>1</v>
      </c>
      <c r="DN1001">
        <f>SUM(DI1001:DL1001)</f>
        <v>2</v>
      </c>
      <c r="DO1001" t="str">
        <f>IF(DN1001=1,INDEX($DI$7:$DL$7,MATCH(1,$DI1001:$DL1001,0)),"mixedProduct")</f>
        <v>mixedProduct</v>
      </c>
      <c r="DP1001">
        <f>IF(DI1001=1,DP$7,0)</f>
        <v>0</v>
      </c>
      <c r="DQ1001" t="str">
        <f>IF(DJ1001=1,DQ$7,0)</f>
        <v>Energy</v>
      </c>
      <c r="DR1001">
        <f>IF(DK1001=1,DR$7,0)</f>
        <v>0</v>
      </c>
      <c r="DS1001" t="str">
        <f>IF(DL1001=1,DS$7,0)</f>
        <v>Timber</v>
      </c>
      <c r="DT1001">
        <v>1</v>
      </c>
      <c r="DU1001">
        <v>0</v>
      </c>
      <c r="DV1001">
        <v>0</v>
      </c>
      <c r="DW1001">
        <v>0</v>
      </c>
      <c r="DX1001">
        <v>0</v>
      </c>
      <c r="DY1001">
        <f>SUM(DT1001:DU1001)</f>
        <v>1</v>
      </c>
      <c r="DZ1001" s="143" t="str">
        <f>IF(DT1001=1,"self-calculated DF",IF(DU1001=1,"external DF used","explicit C balance"))</f>
        <v>self-calculated DF</v>
      </c>
      <c r="EA1001">
        <v>1</v>
      </c>
      <c r="EB1001">
        <v>0</v>
      </c>
      <c r="EC1001">
        <v>1</v>
      </c>
      <c r="ED1001">
        <v>0</v>
      </c>
      <c r="EE1001">
        <v>0</v>
      </c>
      <c r="EF1001" s="143">
        <v>0</v>
      </c>
      <c r="EG1001">
        <v>0</v>
      </c>
      <c r="EH1001">
        <v>0</v>
      </c>
      <c r="EI1001">
        <v>0</v>
      </c>
      <c r="EJ1001">
        <v>0</v>
      </c>
      <c r="EK1001">
        <v>1</v>
      </c>
      <c r="EL1001">
        <v>0</v>
      </c>
      <c r="EM1001">
        <v>0</v>
      </c>
      <c r="EN1001" s="2">
        <v>0</v>
      </c>
      <c r="EP1001" t="str">
        <f>IF(AND(AND(AND(OR($EC1001=1,$EB1001=1),OR($EH1001=1,$EF1001=1)),SUM($EA1001:$EE1001,$EK1001)&gt;=3),SUM($EF1001:$EJ1001)&gt;=2),"Whole sector approach","")</f>
        <v/>
      </c>
      <c r="EQ1001" t="str">
        <f>IF(AND(AND(OR($EC1001=1,$EB1001=1),AND($EH1001=0,$EF1001=0)),SUM($EA1001:$EE1001,$EK1001)&gt;=4),"Ecosystem approach","")</f>
        <v/>
      </c>
      <c r="ER1001" s="2" t="str">
        <f>IF(AND(AND(AND($EC1001=0,$EB1001=0),OR($EH1001=1,$EF1001=1)),SUM($EG1001:$EJ1001)&gt;=2),"Technology approach","")</f>
        <v/>
      </c>
      <c r="ES1001" t="str">
        <f>IF(AND($EC1001+$EB1001+$EE1001+$EA1001+$ED1001+$EG1001=0,$N1001="included"),"C neutral forest and HWP assumption","")</f>
        <v/>
      </c>
      <c r="ET1001" t="str">
        <f>IF(AND(AND(AND(AND($EC1001=1,$EB1001+$EA1001+$EG1001&gt;=1),$EF1001=1),$EH1001+$EI1001+$ED1001+$EE1001&gt;=2),$N1001="included"),"All C pools assumption","")</f>
        <v/>
      </c>
      <c r="EU1001" t="str">
        <f>IF(AND($ED1001+$EE1001+$EI1001+$EH1001+$EF1001=0,$N1001="included"),"In-situ only assumption","")</f>
        <v>In-situ only assumption</v>
      </c>
      <c r="EY1001" t="str">
        <f>IF(ISNUMBER(BW1001),IF(ABS(BW1001-[5]QC_indicators!$B$2)&gt;3*[5]QC_indicators!$C$2,"C ratio",IF(ISNUMBER(CA1001),IF(ABS(CA1001-[5]QC_indicators!$B$1)&gt;3*[5]QC_indicators!$C$1,"DF","no"))),IF(ISNUMBER(CA1001),IF(ABS(CA1001-[5]QC_indicators!$B$1)&gt;3*[5]QC_indicators!$C$1,"DF","no")))</f>
        <v>no</v>
      </c>
      <c r="FA1001" t="str">
        <f>IF(LEN($CY1001)=0,"",IF(AND($CY1001&lt;(-0.05),$ES1001="C neutral forest and HWP assumption"),"Cneutral paradox",IF(AND($CY1001&gt;0.05,$EU1001="In-situ only assumption"),"In-situ only paradox","")))</f>
        <v/>
      </c>
      <c r="FB1001" s="260" t="s">
        <v>2135</v>
      </c>
      <c r="FD1001" s="294" t="s">
        <v>3097</v>
      </c>
      <c r="FE1001" s="334" t="s">
        <v>5073</v>
      </c>
    </row>
    <row r="1002" spans="1:161" ht="18" customHeight="1">
      <c r="A1002" s="1" t="s">
        <v>1001</v>
      </c>
      <c r="B1002" t="s">
        <v>2125</v>
      </c>
      <c r="C1002" t="s">
        <v>2126</v>
      </c>
      <c r="D1002" t="s">
        <v>2127</v>
      </c>
      <c r="E1002" t="s">
        <v>2128</v>
      </c>
      <c r="F1002" t="s">
        <v>2129</v>
      </c>
      <c r="G1002" t="s">
        <v>1002</v>
      </c>
      <c r="H1002" t="s">
        <v>254</v>
      </c>
      <c r="I1002">
        <v>2016</v>
      </c>
      <c r="J1002">
        <v>13</v>
      </c>
      <c r="K1002" t="s">
        <v>2130</v>
      </c>
      <c r="M1002" t="str">
        <f>LEFT($D1002,FIND(",",$D1002)-1)&amp;"_"&amp;I1002&amp;L1002</f>
        <v>Torssonen_2016</v>
      </c>
      <c r="N1002" t="s">
        <v>222</v>
      </c>
      <c r="O1002" s="145" t="s">
        <v>1029</v>
      </c>
      <c r="Q1002" s="260" t="s">
        <v>256</v>
      </c>
      <c r="R1002" s="264" t="s">
        <v>341</v>
      </c>
      <c r="S1002" s="295" t="s">
        <v>3095</v>
      </c>
      <c r="T1002" t="s">
        <v>2138</v>
      </c>
      <c r="U1002" s="260" t="s">
        <v>2140</v>
      </c>
      <c r="V1002" s="253">
        <v>0</v>
      </c>
      <c r="W1002" s="253">
        <v>0</v>
      </c>
      <c r="X1002">
        <v>0</v>
      </c>
      <c r="Y1002">
        <v>0</v>
      </c>
      <c r="Z1002">
        <v>0</v>
      </c>
      <c r="AA1002">
        <v>0</v>
      </c>
      <c r="AB1002">
        <v>0</v>
      </c>
      <c r="AC1002">
        <v>0</v>
      </c>
      <c r="AD1002">
        <v>1</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s="141">
        <f>COUNTIF(X1002:AY1002,"&lt;&gt;0")</f>
        <v>1</v>
      </c>
      <c r="BA1002" s="141">
        <f>COUNTIF(X1002:AN1002,"&lt;&gt;0")</f>
        <v>1</v>
      </c>
      <c r="BB1002">
        <f>COUNTIF(X1002:AE1002,"&lt;&gt;0")</f>
        <v>1</v>
      </c>
      <c r="BC1002">
        <f>COUNTIF(AF1002:AK1002,"&lt;&gt;0")</f>
        <v>0</v>
      </c>
      <c r="BD1002">
        <f>COUNTIF(AL1002:AN1002,"&lt;&gt;0")</f>
        <v>0</v>
      </c>
      <c r="BE1002">
        <f>COUNTIF(AU1002:AY1002,"&lt;&gt;0")</f>
        <v>0</v>
      </c>
      <c r="BF1002">
        <f>COUNTIF(AO1002:AT1002,"&lt;&gt;0")</f>
        <v>0</v>
      </c>
      <c r="BG1002" t="str" cm="1">
        <f t="array" ref="BG1002">IF(BA1002=1,INDEX($X$7:$AN$7,MATCH(TRUE,INDEX($X1002:$AY1002&lt;&gt;0,),0)),IF(BA1002=0,INDEX($AO$7:$AY$7,MATCH(1,$AO1002:$AY1002,0)),IF(BH1002="Multiple strategies","mixed drivers",IF(BH1002="Supply chain","multiple supply","multiple silviculture"))))</f>
        <v>fertilisation</v>
      </c>
      <c r="BH1002" s="2" t="str" cm="1">
        <f t="array" ref="BH1002">IF(COUNTIF(BB1002:BD1002,"&lt;&gt;0")=1,INDEX($X$4:$AY$4,MATCH(TRUE,INDEX($X1002:$AY1002&lt;&gt;0,),0)),IF(COUNTIF(BB1002:BD1002,"&lt;&gt;0")=0,INDEX($AO$4:$AY$4,MATCH(1,$AO1002:$AY1002,0)),"Multiple strategies"))</f>
        <v>Silviculture for productivity</v>
      </c>
      <c r="BI1002" s="1" t="s">
        <v>229</v>
      </c>
      <c r="BJ1002" s="294" t="s">
        <v>1949</v>
      </c>
      <c r="BK1002" s="260" t="s">
        <v>2133</v>
      </c>
      <c r="BL1002" s="294" t="s">
        <v>988</v>
      </c>
      <c r="BM1002">
        <v>6.697959172</v>
      </c>
      <c r="BN1002">
        <v>6.9183673350000001</v>
      </c>
      <c r="BO1002" s="143">
        <f>BN1002/BM1002</f>
        <v>1.0329067641859313</v>
      </c>
      <c r="BP1002">
        <f>BN1002-BM1002</f>
        <v>0.2204081630000001</v>
      </c>
      <c r="BQ1002">
        <f>BP1002</f>
        <v>0.2204081630000001</v>
      </c>
      <c r="BR1002" s="294" t="s">
        <v>395</v>
      </c>
      <c r="BS1002" s="153" t="s">
        <v>3096</v>
      </c>
      <c r="BT1002" s="260" t="s">
        <v>2134</v>
      </c>
      <c r="BU1002">
        <v>-302.54545454545399</v>
      </c>
      <c r="BV1002">
        <v>-353.45454545454498</v>
      </c>
      <c r="BW1002" s="144"/>
      <c r="BX1002" s="144">
        <f>BV1002-BU1002</f>
        <v>-50.909090909090992</v>
      </c>
      <c r="BY1002" s="144"/>
      <c r="BZ1002" s="144">
        <f>BX1002*10^4/10^6</f>
        <v>-0.50909090909090993</v>
      </c>
      <c r="CA1002">
        <f>IFERROR(BZ1002/BQ1002,"")</f>
        <v>-2.3097643125445844</v>
      </c>
      <c r="CB1002">
        <v>0</v>
      </c>
      <c r="CC1002">
        <v>0</v>
      </c>
      <c r="CD1002">
        <v>0</v>
      </c>
      <c r="CE1002">
        <v>0</v>
      </c>
      <c r="CF1002">
        <v>0</v>
      </c>
      <c r="CG1002">
        <v>0</v>
      </c>
      <c r="CH1002">
        <v>0</v>
      </c>
      <c r="CI1002">
        <v>0</v>
      </c>
      <c r="CJ1002">
        <v>0</v>
      </c>
      <c r="CK1002">
        <v>0</v>
      </c>
      <c r="CL1002">
        <v>0</v>
      </c>
      <c r="CM1002">
        <v>0</v>
      </c>
      <c r="CN1002">
        <v>0</v>
      </c>
      <c r="CO1002">
        <v>1</v>
      </c>
      <c r="CP1002" t="str">
        <f>IF($BN1002&lt;$BM1002,"refNeedCorrection","refOK")</f>
        <v>refOK</v>
      </c>
      <c r="CQ1002">
        <f>IF($CP1002="refOK",$BM1002,$BN1002)</f>
        <v>6.697959172</v>
      </c>
      <c r="CR1002">
        <f>IF($CP1002="refOK",$BN1002,$BM1002)</f>
        <v>6.9183673350000001</v>
      </c>
      <c r="CS1002">
        <f>IF($CP1002="refOK",$BQ1002,-$BQ1002)</f>
        <v>0.2204081630000001</v>
      </c>
      <c r="CT1002">
        <f>IF(BI1002="Roundwood",$CS1002/2,$CS1002)</f>
        <v>0.2204081630000001</v>
      </c>
      <c r="CU1002">
        <f>IF($CP1002="refOK",$BU1002,$BV1002)*IF($BR1002="Emissions positive",-1,1)</f>
        <v>302.54545454545399</v>
      </c>
      <c r="CV1002">
        <f>IF($CP1002="refOK",$BV1002,$BU1002)*IF($BR1002="Emissions positive",-1,1)</f>
        <v>353.45454545454498</v>
      </c>
      <c r="CW1002">
        <f>IF($CP1002="refNeedCorrection",-BZ1002,BZ1002)*IF($BR1002="Emissions positive",-1,1)</f>
        <v>0.50909090909090993</v>
      </c>
      <c r="CX1002">
        <f>IFERROR($CW1002/$CS1002,"")</f>
        <v>2.3097643125445844</v>
      </c>
      <c r="CY1002">
        <f>IFERROR($CW1002/$CS1002,"")</f>
        <v>2.3097643125445844</v>
      </c>
      <c r="CZ1002">
        <f>IFERROR($CW1002/$CT1002,"")</f>
        <v>2.3097643125445844</v>
      </c>
      <c r="DA1002" s="2">
        <f>IFERROR((CV1002-CU1002)/ABS(CU1002),"")</f>
        <v>0.16826923076923134</v>
      </c>
      <c r="DB1002" s="1" t="s">
        <v>1074</v>
      </c>
      <c r="DC1002" s="260" t="str">
        <f>IF(OR($DB1002="prd",$DB1002="std",$DB1002="cit"),"loc",IF(OR($DB1002="eur",$DB1002="reg",$DB1002="coy"),"reg",$DB1002))</f>
        <v>reg</v>
      </c>
      <c r="DD1002" t="s">
        <v>235</v>
      </c>
      <c r="DE1002">
        <v>2020</v>
      </c>
      <c r="DF1002">
        <v>2100</v>
      </c>
      <c r="DG1002">
        <f>DF1002-DE1002</f>
        <v>80</v>
      </c>
      <c r="DH1002" t="str">
        <f>IF(DG1002=0,"0",IF(AND(DG1002&gt;=1,DG1002&lt;=30),"1-30",IF(AND(DG1002&gt;30,DG1002&lt;=70),"31-70",IF(AND(DG1002&gt;70,DG1002&lt;=100),"71-100",IF(DG1002&gt;100,"+100")))))</f>
        <v>71-100</v>
      </c>
      <c r="DI1002">
        <v>0</v>
      </c>
      <c r="DJ1002">
        <v>1</v>
      </c>
      <c r="DK1002">
        <v>0</v>
      </c>
      <c r="DL1002">
        <v>1</v>
      </c>
      <c r="DN1002">
        <f>SUM(DI1002:DL1002)</f>
        <v>2</v>
      </c>
      <c r="DO1002" t="str">
        <f>IF(DN1002=1,INDEX($DI$7:$DL$7,MATCH(1,$DI1002:$DL1002,0)),"mixedProduct")</f>
        <v>mixedProduct</v>
      </c>
      <c r="DP1002">
        <f>IF(DI1002=1,DP$7,0)</f>
        <v>0</v>
      </c>
      <c r="DQ1002" t="str">
        <f>IF(DJ1002=1,DQ$7,0)</f>
        <v>Energy</v>
      </c>
      <c r="DR1002">
        <f>IF(DK1002=1,DR$7,0)</f>
        <v>0</v>
      </c>
      <c r="DS1002" t="str">
        <f>IF(DL1002=1,DS$7,0)</f>
        <v>Timber</v>
      </c>
      <c r="DT1002">
        <v>1</v>
      </c>
      <c r="DU1002">
        <v>0</v>
      </c>
      <c r="DV1002">
        <v>0</v>
      </c>
      <c r="DW1002">
        <v>0</v>
      </c>
      <c r="DX1002">
        <v>0</v>
      </c>
      <c r="DY1002">
        <f>SUM(DT1002:DU1002)</f>
        <v>1</v>
      </c>
      <c r="DZ1002" s="143" t="str">
        <f>IF(DT1002=1,"self-calculated DF",IF(DU1002=1,"external DF used","explicit C balance"))</f>
        <v>self-calculated DF</v>
      </c>
      <c r="EA1002">
        <v>1</v>
      </c>
      <c r="EB1002">
        <v>0</v>
      </c>
      <c r="EC1002">
        <v>1</v>
      </c>
      <c r="ED1002">
        <v>0</v>
      </c>
      <c r="EE1002">
        <v>0</v>
      </c>
      <c r="EF1002" s="143">
        <v>0</v>
      </c>
      <c r="EG1002">
        <v>0</v>
      </c>
      <c r="EH1002">
        <v>0</v>
      </c>
      <c r="EI1002">
        <v>0</v>
      </c>
      <c r="EJ1002">
        <v>0</v>
      </c>
      <c r="EK1002">
        <v>1</v>
      </c>
      <c r="EL1002">
        <v>0</v>
      </c>
      <c r="EM1002">
        <v>0</v>
      </c>
      <c r="EN1002" s="2">
        <v>0</v>
      </c>
      <c r="EP1002" t="str">
        <f>IF(AND(AND(AND(OR($EC1002=1,$EB1002=1),OR($EH1002=1,$EF1002=1)),SUM($EA1002:$EE1002,$EK1002)&gt;=3),SUM($EF1002:$EJ1002)&gt;=2),"Whole sector approach","")</f>
        <v/>
      </c>
      <c r="EQ1002" t="str">
        <f>IF(AND(AND(OR($EC1002=1,$EB1002=1),AND($EH1002=0,$EF1002=0)),SUM($EA1002:$EE1002,$EK1002)&gt;=4),"Ecosystem approach","")</f>
        <v/>
      </c>
      <c r="ER1002" s="2" t="str">
        <f>IF(AND(AND(AND($EC1002=0,$EB1002=0),OR($EH1002=1,$EF1002=1)),SUM($EG1002:$EJ1002)&gt;=2),"Technology approach","")</f>
        <v/>
      </c>
      <c r="ES1002" t="str">
        <f>IF(AND($EC1002+$EB1002+$EE1002+$EA1002+$ED1002+$EG1002=0,$N1002="included"),"C neutral forest and HWP assumption","")</f>
        <v/>
      </c>
      <c r="ET1002" t="str">
        <f>IF(AND(AND(AND(AND($EC1002=1,$EB1002+$EA1002+$EG1002&gt;=1),$EF1002=1),$EH1002+$EI1002+$ED1002+$EE1002&gt;=2),$N1002="included"),"All C pools assumption","")</f>
        <v/>
      </c>
      <c r="EU1002" t="str">
        <f>IF(AND($ED1002+$EE1002+$EI1002+$EH1002+$EF1002=0,$N1002="included"),"In-situ only assumption","")</f>
        <v>In-situ only assumption</v>
      </c>
      <c r="EY1002" t="str">
        <f>IF(ISNUMBER(BW1002),IF(ABS(BW1002-[5]QC_indicators!$B$2)&gt;3*[5]QC_indicators!$C$2,"C ratio",IF(ISNUMBER(CA1002),IF(ABS(CA1002-[5]QC_indicators!$B$1)&gt;3*[5]QC_indicators!$C$1,"DF","no"))),IF(ISNUMBER(CA1002),IF(ABS(CA1002-[5]QC_indicators!$B$1)&gt;3*[5]QC_indicators!$C$1,"DF","no")))</f>
        <v>no</v>
      </c>
      <c r="FA1002" t="str">
        <f>IF(LEN($CY1002)=0,"",IF(AND($CY1002&lt;(-0.05),$ES1002="C neutral forest and HWP assumption"),"Cneutral paradox",IF(AND($CY1002&gt;0.05,$EU1002="In-situ only assumption"),"In-situ only paradox","")))</f>
        <v>In-situ only paradox</v>
      </c>
      <c r="FB1002" s="260" t="s">
        <v>2141</v>
      </c>
      <c r="FD1002" s="294" t="s">
        <v>3097</v>
      </c>
      <c r="FE1002" s="334" t="s">
        <v>5073</v>
      </c>
    </row>
    <row r="1003" spans="1:161" ht="15" customHeight="1">
      <c r="A1003" s="1" t="s">
        <v>1001</v>
      </c>
      <c r="B1003" t="s">
        <v>2125</v>
      </c>
      <c r="C1003" t="s">
        <v>2126</v>
      </c>
      <c r="D1003" t="s">
        <v>2127</v>
      </c>
      <c r="E1003" t="s">
        <v>2128</v>
      </c>
      <c r="F1003" t="s">
        <v>2129</v>
      </c>
      <c r="G1003" t="s">
        <v>1002</v>
      </c>
      <c r="H1003" t="s">
        <v>254</v>
      </c>
      <c r="I1003">
        <v>2016</v>
      </c>
      <c r="J1003">
        <v>13</v>
      </c>
      <c r="K1003" t="s">
        <v>2130</v>
      </c>
      <c r="M1003" t="str">
        <f>LEFT($D1003,FIND(",",$D1003)-1)&amp;"_"&amp;I1003&amp;L1003</f>
        <v>Torssonen_2016</v>
      </c>
      <c r="N1003" t="s">
        <v>222</v>
      </c>
      <c r="O1003" s="145" t="s">
        <v>1029</v>
      </c>
      <c r="Q1003" s="260" t="s">
        <v>256</v>
      </c>
      <c r="R1003" s="264" t="s">
        <v>341</v>
      </c>
      <c r="S1003" s="1" t="s">
        <v>2131</v>
      </c>
      <c r="T1003" t="s">
        <v>2136</v>
      </c>
      <c r="U1003" s="260" t="s">
        <v>2142</v>
      </c>
      <c r="V1003" s="253">
        <v>0</v>
      </c>
      <c r="W1003" s="253">
        <v>0</v>
      </c>
      <c r="X1003">
        <v>0</v>
      </c>
      <c r="Y1003">
        <v>0</v>
      </c>
      <c r="Z1003">
        <v>0</v>
      </c>
      <c r="AA1003">
        <v>0</v>
      </c>
      <c r="AB1003">
        <v>0</v>
      </c>
      <c r="AC1003">
        <v>0</v>
      </c>
      <c r="AD1003">
        <v>1</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s="141">
        <f>COUNTIF(X1003:AY1003,"&lt;&gt;0")</f>
        <v>1</v>
      </c>
      <c r="BA1003" s="141">
        <f>COUNTIF(X1003:AN1003,"&lt;&gt;0")</f>
        <v>1</v>
      </c>
      <c r="BB1003">
        <f>COUNTIF(X1003:AE1003,"&lt;&gt;0")</f>
        <v>1</v>
      </c>
      <c r="BC1003">
        <f>COUNTIF(AF1003:AK1003,"&lt;&gt;0")</f>
        <v>0</v>
      </c>
      <c r="BD1003">
        <f>COUNTIF(AL1003:AN1003,"&lt;&gt;0")</f>
        <v>0</v>
      </c>
      <c r="BE1003">
        <f>COUNTIF(AU1003:AY1003,"&lt;&gt;0")</f>
        <v>0</v>
      </c>
      <c r="BF1003">
        <f>COUNTIF(AO1003:AT1003,"&lt;&gt;0")</f>
        <v>0</v>
      </c>
      <c r="BG1003" t="str" cm="1">
        <f t="array" ref="BG1003">IF(BA1003=1,INDEX($X$7:$AN$7,MATCH(TRUE,INDEX($X1003:$AY1003&lt;&gt;0,),0)),IF(BA1003=0,INDEX($AO$7:$AY$7,MATCH(1,$AO1003:$AY1003,0)),IF(BH1003="Multiple strategies","mixed drivers",IF(BH1003="Supply chain","multiple supply","multiple silviculture"))))</f>
        <v>fertilisation</v>
      </c>
      <c r="BH1003" s="2" t="str" cm="1">
        <f t="array" ref="BH1003">IF(COUNTIF(BB1003:BD1003,"&lt;&gt;0")=1,INDEX($X$4:$AY$4,MATCH(TRUE,INDEX($X1003:$AY1003&lt;&gt;0,),0)),IF(COUNTIF(BB1003:BD1003,"&lt;&gt;0")=0,INDEX($AO$4:$AY$4,MATCH(1,$AO1003:$AY1003,0)),"Multiple strategies"))</f>
        <v>Silviculture for productivity</v>
      </c>
      <c r="BI1003" s="1" t="s">
        <v>229</v>
      </c>
      <c r="BJ1003" s="294" t="s">
        <v>1949</v>
      </c>
      <c r="BK1003" s="260" t="s">
        <v>2133</v>
      </c>
      <c r="BL1003" s="294" t="s">
        <v>988</v>
      </c>
      <c r="BM1003">
        <v>7.9367346699999999</v>
      </c>
      <c r="BN1003">
        <v>8.0775509959999994</v>
      </c>
      <c r="BO1003" s="143">
        <f>BN1003/BM1003</f>
        <v>1.0177423502050875</v>
      </c>
      <c r="BP1003">
        <f>BN1003-BM1003</f>
        <v>0.14081632599999949</v>
      </c>
      <c r="BQ1003">
        <f>BP1003</f>
        <v>0.14081632599999949</v>
      </c>
      <c r="BR1003" s="294" t="s">
        <v>395</v>
      </c>
      <c r="BS1003" s="153" t="s">
        <v>3096</v>
      </c>
      <c r="BT1003" s="260" t="s">
        <v>2134</v>
      </c>
      <c r="BU1003">
        <v>-402.90909090909099</v>
      </c>
      <c r="BV1003">
        <v>-421.81818181818102</v>
      </c>
      <c r="BW1003" s="144"/>
      <c r="BX1003" s="144">
        <f>BV1003-BU1003</f>
        <v>-18.909090909090025</v>
      </c>
      <c r="BY1003" s="144"/>
      <c r="BZ1003" s="144">
        <f>BX1003*10^4/10^6</f>
        <v>-0.18909090909090023</v>
      </c>
      <c r="CA1003">
        <f>IFERROR(BZ1003/BQ1003,"")</f>
        <v>-1.34281950440108</v>
      </c>
      <c r="CB1003">
        <v>0</v>
      </c>
      <c r="CC1003">
        <v>0</v>
      </c>
      <c r="CD1003">
        <v>0</v>
      </c>
      <c r="CE1003">
        <v>0</v>
      </c>
      <c r="CF1003">
        <v>0</v>
      </c>
      <c r="CG1003">
        <v>0</v>
      </c>
      <c r="CH1003">
        <v>0</v>
      </c>
      <c r="CI1003">
        <v>0</v>
      </c>
      <c r="CJ1003">
        <v>0</v>
      </c>
      <c r="CK1003">
        <v>0</v>
      </c>
      <c r="CL1003">
        <v>0</v>
      </c>
      <c r="CM1003">
        <v>0</v>
      </c>
      <c r="CN1003">
        <v>0</v>
      </c>
      <c r="CO1003">
        <v>1</v>
      </c>
      <c r="CP1003" t="str">
        <f>IF($BN1003&lt;$BM1003,"refNeedCorrection","refOK")</f>
        <v>refOK</v>
      </c>
      <c r="CQ1003">
        <f>IF($CP1003="refOK",$BM1003,$BN1003)</f>
        <v>7.9367346699999999</v>
      </c>
      <c r="CR1003">
        <f>IF($CP1003="refOK",$BN1003,$BM1003)</f>
        <v>8.0775509959999994</v>
      </c>
      <c r="CS1003">
        <f>IF($CP1003="refOK",$BQ1003,-$BQ1003)</f>
        <v>0.14081632599999949</v>
      </c>
      <c r="CT1003">
        <f>IF(BI1003="Roundwood",$CS1003/2,$CS1003)</f>
        <v>0.14081632599999949</v>
      </c>
      <c r="CU1003">
        <f>IF($CP1003="refOK",$BU1003,$BV1003)*IF($BR1003="Emissions positive",-1,1)</f>
        <v>402.90909090909099</v>
      </c>
      <c r="CV1003">
        <f>IF($CP1003="refOK",$BV1003,$BU1003)*IF($BR1003="Emissions positive",-1,1)</f>
        <v>421.81818181818102</v>
      </c>
      <c r="CW1003">
        <f>IF($CP1003="refNeedCorrection",-BZ1003,BZ1003)*IF($BR1003="Emissions positive",-1,1)</f>
        <v>0.18909090909090023</v>
      </c>
      <c r="CX1003">
        <f>IFERROR($CW1003/$CS1003,"")</f>
        <v>1.34281950440108</v>
      </c>
      <c r="CY1003">
        <f>IFERROR($CW1003/$CS1003,"")</f>
        <v>1.34281950440108</v>
      </c>
      <c r="CZ1003">
        <f>IFERROR($CW1003/$CT1003,"")</f>
        <v>1.34281950440108</v>
      </c>
      <c r="DA1003" s="2">
        <f>IFERROR((CV1003-CU1003)/ABS(CU1003),"")</f>
        <v>4.6931407942236061E-2</v>
      </c>
      <c r="DB1003" s="1" t="s">
        <v>1074</v>
      </c>
      <c r="DC1003" s="260" t="str">
        <f>IF(OR($DB1003="prd",$DB1003="std",$DB1003="cit"),"loc",IF(OR($DB1003="eur",$DB1003="reg",$DB1003="coy"),"reg",$DB1003))</f>
        <v>reg</v>
      </c>
      <c r="DD1003" t="s">
        <v>235</v>
      </c>
      <c r="DE1003">
        <v>2020</v>
      </c>
      <c r="DF1003">
        <v>2100</v>
      </c>
      <c r="DG1003">
        <f>DF1003-DE1003</f>
        <v>80</v>
      </c>
      <c r="DH1003" t="str">
        <f>IF(DG1003=0,"0",IF(AND(DG1003&gt;=1,DG1003&lt;=30),"1-30",IF(AND(DG1003&gt;30,DG1003&lt;=70),"31-70",IF(AND(DG1003&gt;70,DG1003&lt;=100),"71-100",IF(DG1003&gt;100,"+100")))))</f>
        <v>71-100</v>
      </c>
      <c r="DI1003">
        <v>0</v>
      </c>
      <c r="DJ1003">
        <v>1</v>
      </c>
      <c r="DK1003">
        <v>0</v>
      </c>
      <c r="DL1003">
        <v>1</v>
      </c>
      <c r="DN1003">
        <f>SUM(DI1003:DL1003)</f>
        <v>2</v>
      </c>
      <c r="DO1003" t="str">
        <f>IF(DN1003=1,INDEX($DI$7:$DL$7,MATCH(1,$DI1003:$DL1003,0)),"mixedProduct")</f>
        <v>mixedProduct</v>
      </c>
      <c r="DP1003">
        <f>IF(DI1003=1,DP$7,0)</f>
        <v>0</v>
      </c>
      <c r="DQ1003" t="str">
        <f>IF(DJ1003=1,DQ$7,0)</f>
        <v>Energy</v>
      </c>
      <c r="DR1003">
        <f>IF(DK1003=1,DR$7,0)</f>
        <v>0</v>
      </c>
      <c r="DS1003" t="str">
        <f>IF(DL1003=1,DS$7,0)</f>
        <v>Timber</v>
      </c>
      <c r="DT1003">
        <v>1</v>
      </c>
      <c r="DU1003">
        <v>0</v>
      </c>
      <c r="DV1003">
        <v>0</v>
      </c>
      <c r="DW1003">
        <v>0</v>
      </c>
      <c r="DX1003">
        <v>0</v>
      </c>
      <c r="DY1003">
        <f>SUM(DT1003:DU1003)</f>
        <v>1</v>
      </c>
      <c r="DZ1003" s="143" t="str">
        <f>IF(DT1003=1,"self-calculated DF",IF(DU1003=1,"external DF used","explicit C balance"))</f>
        <v>self-calculated DF</v>
      </c>
      <c r="EA1003">
        <v>1</v>
      </c>
      <c r="EB1003">
        <v>0</v>
      </c>
      <c r="EC1003">
        <v>1</v>
      </c>
      <c r="ED1003">
        <v>0</v>
      </c>
      <c r="EE1003">
        <v>0</v>
      </c>
      <c r="EF1003" s="143">
        <v>0</v>
      </c>
      <c r="EG1003">
        <v>0</v>
      </c>
      <c r="EH1003">
        <v>0</v>
      </c>
      <c r="EI1003">
        <v>0</v>
      </c>
      <c r="EJ1003">
        <v>0</v>
      </c>
      <c r="EK1003">
        <v>1</v>
      </c>
      <c r="EL1003">
        <v>0</v>
      </c>
      <c r="EM1003">
        <v>0</v>
      </c>
      <c r="EN1003" s="2">
        <v>0</v>
      </c>
      <c r="EP1003" t="str">
        <f>IF(AND(AND(AND(OR($EC1003=1,$EB1003=1),OR($EH1003=1,$EF1003=1)),SUM($EA1003:$EE1003,$EK1003)&gt;=3),SUM($EF1003:$EJ1003)&gt;=2),"Whole sector approach","")</f>
        <v/>
      </c>
      <c r="EQ1003" t="str">
        <f>IF(AND(AND(OR($EC1003=1,$EB1003=1),AND($EH1003=0,$EF1003=0)),SUM($EA1003:$EE1003,$EK1003)&gt;=4),"Ecosystem approach","")</f>
        <v/>
      </c>
      <c r="ER1003" s="2" t="str">
        <f>IF(AND(AND(AND($EC1003=0,$EB1003=0),OR($EH1003=1,$EF1003=1)),SUM($EG1003:$EJ1003)&gt;=2),"Technology approach","")</f>
        <v/>
      </c>
      <c r="ES1003" t="str">
        <f>IF(AND($EC1003+$EB1003+$EE1003+$EA1003+$ED1003+$EG1003=0,$N1003="included"),"C neutral forest and HWP assumption","")</f>
        <v/>
      </c>
      <c r="ET1003" t="str">
        <f>IF(AND(AND(AND(AND($EC1003=1,$EB1003+$EA1003+$EG1003&gt;=1),$EF1003=1),$EH1003+$EI1003+$ED1003+$EE1003&gt;=2),$N1003="included"),"All C pools assumption","")</f>
        <v/>
      </c>
      <c r="EU1003" t="str">
        <f>IF(AND($ED1003+$EE1003+$EI1003+$EH1003+$EF1003=0,$N1003="included"),"In-situ only assumption","")</f>
        <v>In-situ only assumption</v>
      </c>
      <c r="EY1003" t="str">
        <f>IF(ISNUMBER(BW1003),IF(ABS(BW1003-[5]QC_indicators!$B$2)&gt;3*[5]QC_indicators!$C$2,"C ratio",IF(ISNUMBER(CA1003),IF(ABS(CA1003-[5]QC_indicators!$B$1)&gt;3*[5]QC_indicators!$C$1,"DF","no"))),IF(ISNUMBER(CA1003),IF(ABS(CA1003-[5]QC_indicators!$B$1)&gt;3*[5]QC_indicators!$C$1,"DF","no")))</f>
        <v>no</v>
      </c>
      <c r="FA1003" t="str">
        <f>IF(LEN($CY1003)=0,"",IF(AND($CY1003&lt;(-0.05),$ES1003="C neutral forest and HWP assumption"),"Cneutral paradox",IF(AND($CY1003&gt;0.05,$EU1003="In-situ only assumption"),"In-situ only paradox","")))</f>
        <v>In-situ only paradox</v>
      </c>
      <c r="FB1003" s="260" t="s">
        <v>2141</v>
      </c>
      <c r="FD1003" s="294" t="s">
        <v>3097</v>
      </c>
      <c r="FE1003" s="334" t="s">
        <v>5073</v>
      </c>
    </row>
    <row r="1004" spans="1:161" ht="85">
      <c r="A1004" s="1" t="s">
        <v>1001</v>
      </c>
      <c r="B1004" t="s">
        <v>2125</v>
      </c>
      <c r="C1004" t="s">
        <v>2126</v>
      </c>
      <c r="D1004" t="s">
        <v>2127</v>
      </c>
      <c r="E1004" t="s">
        <v>2128</v>
      </c>
      <c r="F1004" t="s">
        <v>2129</v>
      </c>
      <c r="G1004" t="s">
        <v>1002</v>
      </c>
      <c r="H1004" t="s">
        <v>254</v>
      </c>
      <c r="I1004">
        <v>2016</v>
      </c>
      <c r="J1004">
        <v>13</v>
      </c>
      <c r="K1004" t="s">
        <v>2130</v>
      </c>
      <c r="M1004" t="str">
        <f>LEFT($D1004,FIND(",",$D1004)-1)&amp;"_"&amp;I1004&amp;L1004</f>
        <v>Torssonen_2016</v>
      </c>
      <c r="N1004" t="s">
        <v>222</v>
      </c>
      <c r="O1004" s="145" t="s">
        <v>1029</v>
      </c>
      <c r="Q1004" s="260" t="s">
        <v>256</v>
      </c>
      <c r="R1004" s="264" t="s">
        <v>341</v>
      </c>
      <c r="S1004" s="1" t="s">
        <v>2131</v>
      </c>
      <c r="T1004" t="s">
        <v>2137</v>
      </c>
      <c r="U1004" s="260" t="s">
        <v>2143</v>
      </c>
      <c r="V1004" s="253">
        <v>0</v>
      </c>
      <c r="W1004" s="253">
        <v>0</v>
      </c>
      <c r="X1004">
        <v>0</v>
      </c>
      <c r="Y1004">
        <v>0</v>
      </c>
      <c r="Z1004">
        <v>0</v>
      </c>
      <c r="AA1004">
        <v>0</v>
      </c>
      <c r="AB1004">
        <v>0</v>
      </c>
      <c r="AC1004">
        <v>0</v>
      </c>
      <c r="AD1004">
        <v>1</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s="141">
        <f>COUNTIF(X1004:AY1004,"&lt;&gt;0")</f>
        <v>1</v>
      </c>
      <c r="BA1004" s="141">
        <f>COUNTIF(X1004:AN1004,"&lt;&gt;0")</f>
        <v>1</v>
      </c>
      <c r="BB1004">
        <f>COUNTIF(X1004:AE1004,"&lt;&gt;0")</f>
        <v>1</v>
      </c>
      <c r="BC1004">
        <f>COUNTIF(AF1004:AK1004,"&lt;&gt;0")</f>
        <v>0</v>
      </c>
      <c r="BD1004">
        <f>COUNTIF(AL1004:AN1004,"&lt;&gt;0")</f>
        <v>0</v>
      </c>
      <c r="BE1004">
        <f>COUNTIF(AU1004:AY1004,"&lt;&gt;0")</f>
        <v>0</v>
      </c>
      <c r="BF1004">
        <f>COUNTIF(AO1004:AT1004,"&lt;&gt;0")</f>
        <v>0</v>
      </c>
      <c r="BG1004" t="str" cm="1">
        <f t="array" ref="BG1004">IF(BA1004=1,INDEX($X$7:$AN$7,MATCH(TRUE,INDEX($X1004:$AY1004&lt;&gt;0,),0)),IF(BA1004=0,INDEX($AO$7:$AY$7,MATCH(1,$AO1004:$AY1004,0)),IF(BH1004="Multiple strategies","mixed drivers",IF(BH1004="Supply chain","multiple supply","multiple silviculture"))))</f>
        <v>fertilisation</v>
      </c>
      <c r="BH1004" s="2" t="str" cm="1">
        <f t="array" ref="BH1004">IF(COUNTIF(BB1004:BD1004,"&lt;&gt;0")=1,INDEX($X$4:$AY$4,MATCH(TRUE,INDEX($X1004:$AY1004&lt;&gt;0,),0)),IF(COUNTIF(BB1004:BD1004,"&lt;&gt;0")=0,INDEX($AO$4:$AY$4,MATCH(1,$AO1004:$AY1004,0)),"Multiple strategies"))</f>
        <v>Silviculture for productivity</v>
      </c>
      <c r="BI1004" s="1" t="s">
        <v>229</v>
      </c>
      <c r="BJ1004" s="294" t="s">
        <v>1949</v>
      </c>
      <c r="BK1004" s="260" t="s">
        <v>2133</v>
      </c>
      <c r="BL1004" s="294" t="s">
        <v>988</v>
      </c>
      <c r="BM1004">
        <v>8.0857142559999993</v>
      </c>
      <c r="BN1004">
        <v>8.3265305820000002</v>
      </c>
      <c r="BO1004" s="143">
        <f>BN1004/BM1004</f>
        <v>1.0297829379539727</v>
      </c>
      <c r="BP1004">
        <f>BN1004-BM1004</f>
        <v>0.24081632600000091</v>
      </c>
      <c r="BQ1004">
        <f>BP1004</f>
        <v>0.24081632600000091</v>
      </c>
      <c r="BR1004" s="294" t="s">
        <v>395</v>
      </c>
      <c r="BS1004" s="153" t="s">
        <v>3096</v>
      </c>
      <c r="BT1004" s="260" t="s">
        <v>2134</v>
      </c>
      <c r="BU1004">
        <v>-456.72727272727298</v>
      </c>
      <c r="BV1004">
        <v>-478.54545454545399</v>
      </c>
      <c r="BW1004" s="144"/>
      <c r="BX1004" s="144">
        <f>BV1004-BU1004</f>
        <v>-21.818181818181017</v>
      </c>
      <c r="BY1004" s="144"/>
      <c r="BZ1004" s="144">
        <f>BX1004*10^4/10^6</f>
        <v>-0.21818181818181018</v>
      </c>
      <c r="CA1004">
        <f>IFERROR(BZ1004/BQ1004,"")</f>
        <v>-0.90600924698855068</v>
      </c>
      <c r="CB1004">
        <v>0</v>
      </c>
      <c r="CC1004">
        <v>0</v>
      </c>
      <c r="CD1004">
        <v>0</v>
      </c>
      <c r="CE1004">
        <v>0</v>
      </c>
      <c r="CF1004">
        <v>0</v>
      </c>
      <c r="CG1004">
        <v>0</v>
      </c>
      <c r="CH1004">
        <v>0</v>
      </c>
      <c r="CI1004">
        <v>0</v>
      </c>
      <c r="CJ1004">
        <v>0</v>
      </c>
      <c r="CK1004">
        <v>0</v>
      </c>
      <c r="CL1004">
        <v>0</v>
      </c>
      <c r="CM1004">
        <v>0</v>
      </c>
      <c r="CN1004">
        <v>0</v>
      </c>
      <c r="CO1004">
        <v>1</v>
      </c>
      <c r="CP1004" t="str">
        <f>IF($BN1004&lt;$BM1004,"refNeedCorrection","refOK")</f>
        <v>refOK</v>
      </c>
      <c r="CQ1004">
        <f>IF($CP1004="refOK",$BM1004,$BN1004)</f>
        <v>8.0857142559999993</v>
      </c>
      <c r="CR1004">
        <f>IF($CP1004="refOK",$BN1004,$BM1004)</f>
        <v>8.3265305820000002</v>
      </c>
      <c r="CS1004">
        <f>IF($CP1004="refOK",$BQ1004,-$BQ1004)</f>
        <v>0.24081632600000091</v>
      </c>
      <c r="CT1004">
        <f>IF(BI1004="Roundwood",$CS1004/2,$CS1004)</f>
        <v>0.24081632600000091</v>
      </c>
      <c r="CU1004">
        <f>IF($CP1004="refOK",$BU1004,$BV1004)*IF($BR1004="Emissions positive",-1,1)</f>
        <v>456.72727272727298</v>
      </c>
      <c r="CV1004">
        <f>IF($CP1004="refOK",$BV1004,$BU1004)*IF($BR1004="Emissions positive",-1,1)</f>
        <v>478.54545454545399</v>
      </c>
      <c r="CW1004">
        <f>IF($CP1004="refNeedCorrection",-BZ1004,BZ1004)*IF($BR1004="Emissions positive",-1,1)</f>
        <v>0.21818181818181018</v>
      </c>
      <c r="CX1004">
        <f>IFERROR($CW1004/$CS1004,"")</f>
        <v>0.90600924698855068</v>
      </c>
      <c r="CY1004">
        <f>IFERROR($CW1004/$CS1004,"")</f>
        <v>0.90600924698855068</v>
      </c>
      <c r="CZ1004">
        <f>IFERROR($CW1004/$CT1004,"")</f>
        <v>0.90600924698855068</v>
      </c>
      <c r="DA1004" s="2">
        <f>IFERROR((CV1004-CU1004)/ABS(CU1004),"")</f>
        <v>4.7770700636940895E-2</v>
      </c>
      <c r="DB1004" s="1" t="s">
        <v>1074</v>
      </c>
      <c r="DC1004" s="260" t="str">
        <f>IF(OR($DB1004="prd",$DB1004="std",$DB1004="cit"),"loc",IF(OR($DB1004="eur",$DB1004="reg",$DB1004="coy"),"reg",$DB1004))</f>
        <v>reg</v>
      </c>
      <c r="DD1004" t="s">
        <v>235</v>
      </c>
      <c r="DE1004">
        <v>2020</v>
      </c>
      <c r="DF1004">
        <v>2100</v>
      </c>
      <c r="DG1004">
        <f>DF1004-DE1004</f>
        <v>80</v>
      </c>
      <c r="DH1004" t="str">
        <f>IF(DG1004=0,"0",IF(AND(DG1004&gt;=1,DG1004&lt;=30),"1-30",IF(AND(DG1004&gt;30,DG1004&lt;=70),"31-70",IF(AND(DG1004&gt;70,DG1004&lt;=100),"71-100",IF(DG1004&gt;100,"+100")))))</f>
        <v>71-100</v>
      </c>
      <c r="DI1004">
        <v>0</v>
      </c>
      <c r="DJ1004">
        <v>1</v>
      </c>
      <c r="DK1004">
        <v>0</v>
      </c>
      <c r="DL1004">
        <v>1</v>
      </c>
      <c r="DN1004">
        <f>SUM(DI1004:DL1004)</f>
        <v>2</v>
      </c>
      <c r="DO1004" t="str">
        <f>IF(DN1004=1,INDEX($DI$7:$DL$7,MATCH(1,$DI1004:$DL1004,0)),"mixedProduct")</f>
        <v>mixedProduct</v>
      </c>
      <c r="DP1004">
        <f>IF(DI1004=1,DP$7,0)</f>
        <v>0</v>
      </c>
      <c r="DQ1004" t="str">
        <f>IF(DJ1004=1,DQ$7,0)</f>
        <v>Energy</v>
      </c>
      <c r="DR1004">
        <f>IF(DK1004=1,DR$7,0)</f>
        <v>0</v>
      </c>
      <c r="DS1004" t="str">
        <f>IF(DL1004=1,DS$7,0)</f>
        <v>Timber</v>
      </c>
      <c r="DT1004">
        <v>1</v>
      </c>
      <c r="DU1004">
        <v>0</v>
      </c>
      <c r="DV1004">
        <v>0</v>
      </c>
      <c r="DW1004">
        <v>0</v>
      </c>
      <c r="DX1004">
        <v>0</v>
      </c>
      <c r="DY1004">
        <f>SUM(DT1004:DU1004)</f>
        <v>1</v>
      </c>
      <c r="DZ1004" s="143" t="str">
        <f>IF(DT1004=1,"self-calculated DF",IF(DU1004=1,"external DF used","explicit C balance"))</f>
        <v>self-calculated DF</v>
      </c>
      <c r="EA1004">
        <v>1</v>
      </c>
      <c r="EB1004">
        <v>0</v>
      </c>
      <c r="EC1004">
        <v>1</v>
      </c>
      <c r="ED1004">
        <v>0</v>
      </c>
      <c r="EE1004">
        <v>0</v>
      </c>
      <c r="EF1004" s="143">
        <v>0</v>
      </c>
      <c r="EG1004">
        <v>0</v>
      </c>
      <c r="EH1004">
        <v>0</v>
      </c>
      <c r="EI1004">
        <v>0</v>
      </c>
      <c r="EJ1004">
        <v>0</v>
      </c>
      <c r="EK1004">
        <v>1</v>
      </c>
      <c r="EL1004">
        <v>0</v>
      </c>
      <c r="EM1004">
        <v>0</v>
      </c>
      <c r="EN1004" s="2">
        <v>0</v>
      </c>
      <c r="EP1004" t="str">
        <f>IF(AND(AND(AND(OR($EC1004=1,$EB1004=1),OR($EH1004=1,$EF1004=1)),SUM($EA1004:$EE1004,$EK1004)&gt;=3),SUM($EF1004:$EJ1004)&gt;=2),"Whole sector approach","")</f>
        <v/>
      </c>
      <c r="EQ1004" t="str">
        <f>IF(AND(AND(OR($EC1004=1,$EB1004=1),AND($EH1004=0,$EF1004=0)),SUM($EA1004:$EE1004,$EK1004)&gt;=4),"Ecosystem approach","")</f>
        <v/>
      </c>
      <c r="ER1004" s="2" t="str">
        <f>IF(AND(AND(AND($EC1004=0,$EB1004=0),OR($EH1004=1,$EF1004=1)),SUM($EG1004:$EJ1004)&gt;=2),"Technology approach","")</f>
        <v/>
      </c>
      <c r="ES1004" t="str">
        <f>IF(AND($EC1004+$EB1004+$EE1004+$EA1004+$ED1004+$EG1004=0,$N1004="included"),"C neutral forest and HWP assumption","")</f>
        <v/>
      </c>
      <c r="ET1004" t="str">
        <f>IF(AND(AND(AND(AND($EC1004=1,$EB1004+$EA1004+$EG1004&gt;=1),$EF1004=1),$EH1004+$EI1004+$ED1004+$EE1004&gt;=2),$N1004="included"),"All C pools assumption","")</f>
        <v/>
      </c>
      <c r="EU1004" t="str">
        <f>IF(AND($ED1004+$EE1004+$EI1004+$EH1004+$EF1004=0,$N1004="included"),"In-situ only assumption","")</f>
        <v>In-situ only assumption</v>
      </c>
      <c r="EY1004" t="str">
        <f>IF(ISNUMBER(BW1004),IF(ABS(BW1004-[5]QC_indicators!$B$2)&gt;3*[5]QC_indicators!$C$2,"C ratio",IF(ISNUMBER(CA1004),IF(ABS(CA1004-[5]QC_indicators!$B$1)&gt;3*[5]QC_indicators!$C$1,"DF","no"))),IF(ISNUMBER(CA1004),IF(ABS(CA1004-[5]QC_indicators!$B$1)&gt;3*[5]QC_indicators!$C$1,"DF","no")))</f>
        <v>no</v>
      </c>
      <c r="FA1004" t="str">
        <f>IF(LEN($CY1004)=0,"",IF(AND($CY1004&lt;(-0.05),$ES1004="C neutral forest and HWP assumption"),"Cneutral paradox",IF(AND($CY1004&gt;0.05,$EU1004="In-situ only assumption"),"In-situ only paradox","")))</f>
        <v>In-situ only paradox</v>
      </c>
      <c r="FB1004" s="260" t="s">
        <v>2141</v>
      </c>
      <c r="FD1004" s="294" t="s">
        <v>3097</v>
      </c>
      <c r="FE1004" s="334" t="s">
        <v>5073</v>
      </c>
    </row>
    <row r="1005" spans="1:161" ht="15" customHeight="1">
      <c r="A1005" s="1" t="s">
        <v>1001</v>
      </c>
      <c r="B1005" t="s">
        <v>2125</v>
      </c>
      <c r="C1005" t="s">
        <v>2126</v>
      </c>
      <c r="D1005" t="s">
        <v>2127</v>
      </c>
      <c r="E1005" t="s">
        <v>2128</v>
      </c>
      <c r="F1005" t="s">
        <v>2129</v>
      </c>
      <c r="G1005" t="s">
        <v>1002</v>
      </c>
      <c r="H1005" t="s">
        <v>254</v>
      </c>
      <c r="I1005">
        <v>2016</v>
      </c>
      <c r="J1005">
        <v>13</v>
      </c>
      <c r="K1005" t="s">
        <v>2130</v>
      </c>
      <c r="M1005" t="str">
        <f>LEFT($D1005,FIND(",",$D1005)-1)&amp;"_"&amp;I1005&amp;L1005</f>
        <v>Torssonen_2016</v>
      </c>
      <c r="N1005" t="s">
        <v>222</v>
      </c>
      <c r="O1005" s="145" t="s">
        <v>1029</v>
      </c>
      <c r="Q1005" s="260" t="s">
        <v>256</v>
      </c>
      <c r="R1005" s="264" t="s">
        <v>341</v>
      </c>
      <c r="S1005" s="1" t="s">
        <v>2131</v>
      </c>
      <c r="T1005" t="s">
        <v>2138</v>
      </c>
      <c r="U1005" s="260" t="s">
        <v>2139</v>
      </c>
      <c r="V1005" s="253">
        <v>0</v>
      </c>
      <c r="W1005" s="253">
        <v>0</v>
      </c>
      <c r="X1005">
        <v>0</v>
      </c>
      <c r="Y1005">
        <v>0</v>
      </c>
      <c r="Z1005">
        <v>0</v>
      </c>
      <c r="AA1005">
        <v>1</v>
      </c>
      <c r="AB1005">
        <v>0</v>
      </c>
      <c r="AC1005">
        <v>0</v>
      </c>
      <c r="AD1005">
        <v>1</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s="141">
        <f>COUNTIF(X1005:AY1005,"&lt;&gt;0")</f>
        <v>2</v>
      </c>
      <c r="BA1005" s="141">
        <f>COUNTIF(X1005:AN1005,"&lt;&gt;0")</f>
        <v>2</v>
      </c>
      <c r="BB1005">
        <f>COUNTIF(X1005:AE1005,"&lt;&gt;0")</f>
        <v>2</v>
      </c>
      <c r="BC1005">
        <f>COUNTIF(AF1005:AK1005,"&lt;&gt;0")</f>
        <v>0</v>
      </c>
      <c r="BD1005">
        <f>COUNTIF(AL1005:AN1005,"&lt;&gt;0")</f>
        <v>0</v>
      </c>
      <c r="BE1005">
        <f>COUNTIF(AU1005:AY1005,"&lt;&gt;0")</f>
        <v>0</v>
      </c>
      <c r="BF1005">
        <f>COUNTIF(AO1005:AT1005,"&lt;&gt;0")</f>
        <v>0</v>
      </c>
      <c r="BG1005" t="str" cm="1">
        <f t="array" ref="BG1005">IF(BA1005=1,INDEX($X$7:$AN$7,MATCH(TRUE,INDEX($X1005:$AY1005&lt;&gt;0,),0)),IF(BA1005=0,INDEX($AO$7:$AY$7,MATCH(1,$AO1005:$AY1005,0)),IF(BH1005="Multiple strategies","mixed drivers",IF(BH1005="Supply chain","multiple supply","multiple silviculture"))))</f>
        <v>multiple silviculture</v>
      </c>
      <c r="BH1005" s="2" t="str" cm="1">
        <f t="array" ref="BH1005">IF(COUNTIF(BB1005:BD1005,"&lt;&gt;0")=1,INDEX($X$4:$AY$4,MATCH(TRUE,INDEX($X1005:$AY1005&lt;&gt;0,),0)),IF(COUNTIF(BB1005:BD1005,"&lt;&gt;0")=0,INDEX($AO$4:$AY$4,MATCH(1,$AO1005:$AY1005,0)),"Multiple strategies"))</f>
        <v>Silviculture for removals</v>
      </c>
      <c r="BI1005" s="1" t="s">
        <v>229</v>
      </c>
      <c r="BJ1005" s="294" t="s">
        <v>1949</v>
      </c>
      <c r="BK1005" s="260" t="s">
        <v>2133</v>
      </c>
      <c r="BL1005" s="294" t="s">
        <v>988</v>
      </c>
      <c r="BM1005">
        <v>6.697959172</v>
      </c>
      <c r="BN1005">
        <v>7.0346938679999997</v>
      </c>
      <c r="BO1005" s="143">
        <f>BN1005/BM1005</f>
        <v>1.0502742234392348</v>
      </c>
      <c r="BP1005">
        <f>BN1005-BM1005</f>
        <v>0.33673469599999972</v>
      </c>
      <c r="BQ1005">
        <f>BP1005</f>
        <v>0.33673469599999972</v>
      </c>
      <c r="BR1005" s="294" t="s">
        <v>395</v>
      </c>
      <c r="BS1005" s="153" t="s">
        <v>3096</v>
      </c>
      <c r="BT1005" s="260" t="s">
        <v>2134</v>
      </c>
      <c r="BU1005" s="290">
        <v>-334.54545000000002</v>
      </c>
      <c r="BV1005">
        <v>-324.36363636363598</v>
      </c>
      <c r="BW1005" s="144"/>
      <c r="BX1005" s="144">
        <f>BV1005-BU1005</f>
        <v>10.181813636364041</v>
      </c>
      <c r="BY1005" s="144"/>
      <c r="BZ1005" s="144">
        <f>BX1005*10^4/10^6</f>
        <v>0.1018181363636404</v>
      </c>
      <c r="CA1005">
        <f>IFERROR(BZ1005/BQ1005,"")</f>
        <v>0.30236900911345493</v>
      </c>
      <c r="CB1005">
        <v>0</v>
      </c>
      <c r="CC1005">
        <v>0</v>
      </c>
      <c r="CD1005">
        <v>0</v>
      </c>
      <c r="CE1005">
        <v>0</v>
      </c>
      <c r="CF1005">
        <v>0</v>
      </c>
      <c r="CG1005">
        <v>0</v>
      </c>
      <c r="CH1005">
        <v>0</v>
      </c>
      <c r="CI1005">
        <v>0</v>
      </c>
      <c r="CJ1005">
        <v>0</v>
      </c>
      <c r="CK1005">
        <v>0</v>
      </c>
      <c r="CL1005">
        <v>0</v>
      </c>
      <c r="CM1005">
        <v>0</v>
      </c>
      <c r="CN1005">
        <v>0</v>
      </c>
      <c r="CO1005">
        <v>1</v>
      </c>
      <c r="CP1005" t="str">
        <f>IF($BN1005&lt;$BM1005,"refNeedCorrection","refOK")</f>
        <v>refOK</v>
      </c>
      <c r="CQ1005">
        <f>IF($CP1005="refOK",$BM1005,$BN1005)</f>
        <v>6.697959172</v>
      </c>
      <c r="CR1005">
        <f>IF($CP1005="refOK",$BN1005,$BM1005)</f>
        <v>7.0346938679999997</v>
      </c>
      <c r="CS1005">
        <f>IF($CP1005="refOK",$BQ1005,-$BQ1005)</f>
        <v>0.33673469599999972</v>
      </c>
      <c r="CT1005">
        <f>IF(BI1005="Roundwood",$CS1005/2,$CS1005)</f>
        <v>0.33673469599999972</v>
      </c>
      <c r="CU1005">
        <f>IF($CP1005="refOK",$BU1005,$BV1005)*IF($BR1005="Emissions positive",-1,1)</f>
        <v>334.54545000000002</v>
      </c>
      <c r="CV1005">
        <f>IF($CP1005="refOK",$BV1005,$BU1005)*IF($BR1005="Emissions positive",-1,1)</f>
        <v>324.36363636363598</v>
      </c>
      <c r="CW1005">
        <f>IF($CP1005="refNeedCorrection",-BZ1005,BZ1005)*IF($BR1005="Emissions positive",-1,1)</f>
        <v>-0.1018181363636404</v>
      </c>
      <c r="CX1005">
        <f>IFERROR($CW1005/$CS1005,"")</f>
        <v>-0.30236900911345493</v>
      </c>
      <c r="CY1005">
        <f>IFERROR($CW1005/$CS1005,"")</f>
        <v>-0.30236900911345493</v>
      </c>
      <c r="CZ1005">
        <f>IFERROR($CW1005/$CT1005,"")</f>
        <v>-0.30236900911345493</v>
      </c>
      <c r="DA1005" s="2">
        <f>IFERROR((CV1005-CU1005)/ABS(CU1005),"")</f>
        <v>-3.0434769435256227E-2</v>
      </c>
      <c r="DB1005" s="1" t="s">
        <v>1074</v>
      </c>
      <c r="DC1005" s="260" t="str">
        <f>IF(OR($DB1005="prd",$DB1005="std",$DB1005="cit"),"loc",IF(OR($DB1005="eur",$DB1005="reg",$DB1005="coy"),"reg",$DB1005))</f>
        <v>reg</v>
      </c>
      <c r="DD1005" t="s">
        <v>235</v>
      </c>
      <c r="DE1005">
        <v>2020</v>
      </c>
      <c r="DF1005">
        <v>2100</v>
      </c>
      <c r="DG1005">
        <f>DF1005-DE1005</f>
        <v>80</v>
      </c>
      <c r="DH1005" t="str">
        <f>IF(DG1005=0,"0",IF(AND(DG1005&gt;=1,DG1005&lt;=30),"1-30",IF(AND(DG1005&gt;30,DG1005&lt;=70),"31-70",IF(AND(DG1005&gt;70,DG1005&lt;=100),"71-100",IF(DG1005&gt;100,"+100")))))</f>
        <v>71-100</v>
      </c>
      <c r="DI1005">
        <v>0</v>
      </c>
      <c r="DJ1005">
        <v>1</v>
      </c>
      <c r="DK1005">
        <v>0</v>
      </c>
      <c r="DL1005">
        <v>1</v>
      </c>
      <c r="DN1005">
        <f>SUM(DI1005:DL1005)</f>
        <v>2</v>
      </c>
      <c r="DO1005" t="str">
        <f>IF(DN1005=1,INDEX($DI$7:$DL$7,MATCH(1,$DI1005:$DL1005,0)),"mixedProduct")</f>
        <v>mixedProduct</v>
      </c>
      <c r="DP1005">
        <f>IF(DI1005=1,DP$7,0)</f>
        <v>0</v>
      </c>
      <c r="DQ1005" t="str">
        <f>IF(DJ1005=1,DQ$7,0)</f>
        <v>Energy</v>
      </c>
      <c r="DR1005">
        <f>IF(DK1005=1,DR$7,0)</f>
        <v>0</v>
      </c>
      <c r="DS1005" t="str">
        <f>IF(DL1005=1,DS$7,0)</f>
        <v>Timber</v>
      </c>
      <c r="DT1005">
        <v>1</v>
      </c>
      <c r="DU1005">
        <v>0</v>
      </c>
      <c r="DV1005">
        <v>0</v>
      </c>
      <c r="DW1005">
        <v>0</v>
      </c>
      <c r="DX1005">
        <v>0</v>
      </c>
      <c r="DY1005">
        <f>SUM(DT1005:DU1005)</f>
        <v>1</v>
      </c>
      <c r="DZ1005" s="143" t="str">
        <f>IF(DT1005=1,"self-calculated DF",IF(DU1005=1,"external DF used","explicit C balance"))</f>
        <v>self-calculated DF</v>
      </c>
      <c r="EA1005">
        <v>1</v>
      </c>
      <c r="EB1005">
        <v>0</v>
      </c>
      <c r="EC1005">
        <v>1</v>
      </c>
      <c r="ED1005">
        <v>0</v>
      </c>
      <c r="EE1005">
        <v>0</v>
      </c>
      <c r="EF1005" s="143">
        <v>0</v>
      </c>
      <c r="EG1005">
        <v>0</v>
      </c>
      <c r="EH1005">
        <v>0</v>
      </c>
      <c r="EI1005">
        <v>0</v>
      </c>
      <c r="EJ1005">
        <v>0</v>
      </c>
      <c r="EK1005">
        <v>1</v>
      </c>
      <c r="EL1005">
        <v>0</v>
      </c>
      <c r="EM1005">
        <v>0</v>
      </c>
      <c r="EN1005" s="2">
        <v>0</v>
      </c>
      <c r="EP1005" t="str">
        <f>IF(AND(AND(AND(OR($EC1005=1,$EB1005=1),OR($EH1005=1,$EF1005=1)),SUM($EA1005:$EE1005,$EK1005)&gt;=3),SUM($EF1005:$EJ1005)&gt;=2),"Whole sector approach","")</f>
        <v/>
      </c>
      <c r="EQ1005" t="str">
        <f>IF(AND(AND(OR($EC1005=1,$EB1005=1),AND($EH1005=0,$EF1005=0)),SUM($EA1005:$EE1005,$EK1005)&gt;=4),"Ecosystem approach","")</f>
        <v/>
      </c>
      <c r="ER1005" s="2" t="str">
        <f>IF(AND(AND(AND($EC1005=0,$EB1005=0),OR($EH1005=1,$EF1005=1)),SUM($EG1005:$EJ1005)&gt;=2),"Technology approach","")</f>
        <v/>
      </c>
      <c r="ES1005" t="str">
        <f>IF(AND($EC1005+$EB1005+$EE1005+$EA1005+$ED1005+$EG1005=0,$N1005="included"),"C neutral forest and HWP assumption","")</f>
        <v/>
      </c>
      <c r="ET1005" t="str">
        <f>IF(AND(AND(AND(AND($EC1005=1,$EB1005+$EA1005+$EG1005&gt;=1),$EF1005=1),$EH1005+$EI1005+$ED1005+$EE1005&gt;=2),$N1005="included"),"All C pools assumption","")</f>
        <v/>
      </c>
      <c r="EU1005" t="str">
        <f>IF(AND($ED1005+$EE1005+$EI1005+$EH1005+$EF1005=0,$N1005="included"),"In-situ only assumption","")</f>
        <v>In-situ only assumption</v>
      </c>
      <c r="EY1005" t="str">
        <f>IF(ISNUMBER(BW1005),IF(ABS(BW1005-[5]QC_indicators!$B$2)&gt;3*[5]QC_indicators!$C$2,"C ratio",IF(ISNUMBER(CA1005),IF(ABS(CA1005-[5]QC_indicators!$B$1)&gt;3*[5]QC_indicators!$C$1,"DF","no"))),IF(ISNUMBER(CA1005),IF(ABS(CA1005-[5]QC_indicators!$B$1)&gt;3*[5]QC_indicators!$C$1,"DF","no")))</f>
        <v>no</v>
      </c>
      <c r="FA1005" t="str">
        <f>IF(LEN($CY1005)=0,"",IF(AND($CY1005&lt;(-0.05),$ES1005="C neutral forest and HWP assumption"),"Cneutral paradox",IF(AND($CY1005&gt;0.05,$EU1005="In-situ only assumption"),"In-situ only paradox","")))</f>
        <v/>
      </c>
      <c r="FB1005" s="260" t="s">
        <v>2135</v>
      </c>
      <c r="FD1005" s="294" t="s">
        <v>3097</v>
      </c>
      <c r="FE1005" s="334" t="s">
        <v>5073</v>
      </c>
    </row>
    <row r="1006" spans="1:161" ht="85" hidden="1">
      <c r="A1006" s="1" t="s">
        <v>1295</v>
      </c>
      <c r="B1006" t="s">
        <v>2203</v>
      </c>
      <c r="C1006" t="s">
        <v>2204</v>
      </c>
      <c r="D1006" t="s">
        <v>2205</v>
      </c>
      <c r="E1006" t="s">
        <v>2206</v>
      </c>
      <c r="F1006" t="s">
        <v>2207</v>
      </c>
      <c r="G1006" t="s">
        <v>1301</v>
      </c>
      <c r="H1006" t="s">
        <v>254</v>
      </c>
      <c r="I1006">
        <v>2016</v>
      </c>
      <c r="J1006">
        <v>24</v>
      </c>
      <c r="K1006" t="s">
        <v>2208</v>
      </c>
      <c r="M1006" t="str">
        <f>LEFT($D1006,FIND(",",$D1006)-1)&amp;"_"&amp;I1006&amp;L1006</f>
        <v>Zubizarreta-Gerendiain_2016</v>
      </c>
      <c r="N1006" t="s">
        <v>222</v>
      </c>
      <c r="O1006" s="145" t="s">
        <v>1029</v>
      </c>
      <c r="Q1006" t="s">
        <v>256</v>
      </c>
      <c r="R1006" s="258" t="s">
        <v>223</v>
      </c>
      <c r="S1006" s="1" t="s">
        <v>2209</v>
      </c>
      <c r="T1006" t="s">
        <v>2230</v>
      </c>
      <c r="U1006" t="s">
        <v>2228</v>
      </c>
      <c r="V1006" s="253">
        <v>0</v>
      </c>
      <c r="W1006" s="253">
        <v>0</v>
      </c>
      <c r="X1006">
        <v>0</v>
      </c>
      <c r="Y1006">
        <v>0</v>
      </c>
      <c r="Z1006">
        <v>0</v>
      </c>
      <c r="AA1006">
        <v>2</v>
      </c>
      <c r="AB1006">
        <v>0</v>
      </c>
      <c r="AC1006">
        <v>0</v>
      </c>
      <c r="AD1006">
        <v>0</v>
      </c>
      <c r="AE1006">
        <v>0</v>
      </c>
      <c r="AF1006">
        <v>0</v>
      </c>
      <c r="AG1006">
        <v>0</v>
      </c>
      <c r="AH1006">
        <v>1</v>
      </c>
      <c r="AI1006">
        <v>0</v>
      </c>
      <c r="AJ1006">
        <v>0</v>
      </c>
      <c r="AK1006">
        <v>0</v>
      </c>
      <c r="AL1006">
        <v>0</v>
      </c>
      <c r="AM1006">
        <v>0</v>
      </c>
      <c r="AN1006">
        <v>0</v>
      </c>
      <c r="AO1006">
        <v>0</v>
      </c>
      <c r="AP1006">
        <v>2</v>
      </c>
      <c r="AQ1006">
        <v>2</v>
      </c>
      <c r="AR1006">
        <v>0</v>
      </c>
      <c r="AS1006">
        <v>0</v>
      </c>
      <c r="AT1006">
        <v>0</v>
      </c>
      <c r="AU1006">
        <v>0</v>
      </c>
      <c r="AV1006">
        <v>0</v>
      </c>
      <c r="AW1006">
        <v>0</v>
      </c>
      <c r="AX1006">
        <v>0</v>
      </c>
      <c r="AY1006">
        <v>0</v>
      </c>
      <c r="AZ1006" s="141">
        <f>COUNTIF(X1006:AY1006,"&lt;&gt;0")</f>
        <v>4</v>
      </c>
      <c r="BA1006" s="141">
        <f>COUNTIF(X1006:AN1006,"&lt;&gt;0")</f>
        <v>2</v>
      </c>
      <c r="BB1006">
        <f>COUNTIF(X1006:AE1006,"&lt;&gt;0")</f>
        <v>1</v>
      </c>
      <c r="BC1006">
        <f>COUNTIF(AF1006:AK1006,"&lt;&gt;0")</f>
        <v>1</v>
      </c>
      <c r="BD1006">
        <f>COUNTIF(AL1006:AN1006,"&lt;&gt;0")</f>
        <v>0</v>
      </c>
      <c r="BE1006">
        <f>COUNTIF(AU1006:AY1006,"&lt;&gt;0")</f>
        <v>0</v>
      </c>
      <c r="BF1006">
        <f>COUNTIF(AO1006:AT1006,"&lt;&gt;0")</f>
        <v>2</v>
      </c>
      <c r="BG1006" t="str">
        <f t="array" ref="BG1006">IF(BA1006=1,INDEX($X$7:$AN$7,MATCH(TRUE,INDEX($X1006:$AY1006&lt;&gt;0,),0)),IF(BA1006=0,INDEX($AO$7:$AY$7,MATCH(1,$AO1006:$AY1006,0)),IF(BH1006="Multiple strategies","mixed drivers",IF(BH1006="Supply chain","multiple supply","multiple silviculture"))))</f>
        <v>mixed drivers</v>
      </c>
      <c r="BH1006" s="2" t="str" cm="1">
        <f t="array" ref="BH1006">IF(COUNTIF(BB1006:BD1006,"&lt;&gt;0")=1,INDEX($X$4:$AY$4,MATCH(TRUE,INDEX($X1006:$AY1006&lt;&gt;0,),0)),IF(COUNTIF(BB1006:BD1006,"&lt;&gt;0")=0,INDEX($AO$4:$AY$4,MATCH(1,$AO1006:$AY1006,0)),"Multiple strategies"))</f>
        <v>Multiple strategies</v>
      </c>
      <c r="BO1006" s="143"/>
      <c r="BP1006" s="143"/>
      <c r="BR1006" s="143" t="s">
        <v>232</v>
      </c>
      <c r="BS1006" s="143"/>
      <c r="BT1006" t="s">
        <v>1070</v>
      </c>
      <c r="BU1006">
        <v>37718.968324022448</v>
      </c>
      <c r="BV1006">
        <v>-35451.70793296078</v>
      </c>
      <c r="BW1006" s="144">
        <f>IFERROR(BV1006/BU1006,"")</f>
        <v>-0.93989071038250815</v>
      </c>
      <c r="BX1006" s="144">
        <f>BV1006-BU1006</f>
        <v>-73170.676256983221</v>
      </c>
      <c r="BY1006" s="144"/>
      <c r="BZ1006" s="144">
        <f>BX1006</f>
        <v>-73170.676256983221</v>
      </c>
      <c r="CA1006" t="str">
        <f>IFERROR(BZ1006/BQ1006,"")</f>
        <v/>
      </c>
      <c r="CB1006">
        <v>0</v>
      </c>
      <c r="CC1006">
        <v>0</v>
      </c>
      <c r="CD1006">
        <v>0</v>
      </c>
      <c r="CE1006">
        <v>0</v>
      </c>
      <c r="CF1006">
        <v>0</v>
      </c>
      <c r="CG1006">
        <v>0</v>
      </c>
      <c r="CH1006">
        <v>0</v>
      </c>
      <c r="CI1006">
        <v>0</v>
      </c>
      <c r="CJ1006">
        <v>0</v>
      </c>
      <c r="CK1006">
        <v>0</v>
      </c>
      <c r="CL1006">
        <v>0</v>
      </c>
      <c r="CM1006">
        <v>0</v>
      </c>
      <c r="CN1006">
        <v>0</v>
      </c>
      <c r="CO1006">
        <v>1</v>
      </c>
      <c r="CP1006" t="str">
        <f>IF(BN1006&lt;BM1006,"refNeedCorrection","refOK")</f>
        <v>refOK</v>
      </c>
      <c r="CQ1006"/>
      <c r="CR1006"/>
      <c r="CS1006"/>
      <c r="CT1006">
        <f>IF(BI1006="Roundwood",$CS1006/2,$CS1006)</f>
        <v>0</v>
      </c>
      <c r="CU1006">
        <f>IF($CP1006="refOK",$BU1006,$BV1006)*IF($BR1006="Emissions positive",-1,1)</f>
        <v>37718.968324022448</v>
      </c>
      <c r="CV1006">
        <f>IF($CP1006="refOK",$BV1006,$BU1006)*IF($BR1006="Emissions positive",-1,1)</f>
        <v>-35451.70793296078</v>
      </c>
      <c r="CW1006">
        <f>IF($CP1006="refNeedCorrection",-BZ1006,BZ1006)*IF($BR1006="Emissions positive",-1,1)</f>
        <v>-73170.676256983221</v>
      </c>
      <c r="CX1006" t="str">
        <f>IFERROR($CW1006/$CS1006,"")</f>
        <v/>
      </c>
      <c r="CY1006" t="str">
        <f>IFERROR($CW1006/$CS1006,"")</f>
        <v/>
      </c>
      <c r="CZ1006" t="str">
        <f>IFERROR($CW1006/$CT1006,"")</f>
        <v/>
      </c>
      <c r="DA1006" s="2">
        <f>IFERROR((CV1006-CU1006)/ABS(CU1006),"")</f>
        <v>-1.939890710382508</v>
      </c>
      <c r="DB1006" s="1" t="s">
        <v>1074</v>
      </c>
      <c r="DC1006" t="str">
        <f>IF(OR($DB1006="prd",$DB1006="std",$DB1006="cit"),"loc",IF(OR($DB1006="eur",$DB1006="reg",$DB1006="coy"),"reg",$DB1006))</f>
        <v>reg</v>
      </c>
      <c r="DD1006" t="s">
        <v>235</v>
      </c>
      <c r="DE1006">
        <v>2010</v>
      </c>
      <c r="DF1006">
        <v>2070</v>
      </c>
      <c r="DG1006">
        <f>DF1006-DE1006</f>
        <v>60</v>
      </c>
      <c r="DH1006" t="str">
        <f>IF(DG1006=0,"0",IF(AND(DG1006&gt;=1,DG1006&lt;=30),"1-30",IF(AND(DG1006&gt;30,DG1006&lt;=70),"31-70",IF(AND(DG1006&gt;70,DG1006&lt;=100),"71-100",IF(DG1006&gt;100,"+100")))))</f>
        <v>31-70</v>
      </c>
      <c r="DI1006">
        <v>1</v>
      </c>
      <c r="DJ1006">
        <v>0</v>
      </c>
      <c r="DK1006">
        <v>0</v>
      </c>
      <c r="DL1006">
        <v>0</v>
      </c>
      <c r="DM1006">
        <v>0</v>
      </c>
      <c r="DN1006">
        <f>SUM(DI1006:DL1006)</f>
        <v>1</v>
      </c>
      <c r="DO1006" t="str">
        <f>IF(DN1006=1,INDEX($DI$7:$DL$7,MATCH(1,$DI1006:$DL1006,0)),"mixedProduct")</f>
        <v>UpstreamInput</v>
      </c>
      <c r="DP1006" t="str">
        <f>IF(DI1006=1,DP$7,0)</f>
        <v>Upstream</v>
      </c>
      <c r="DQ1006">
        <f>IF(DJ1006=1,DQ$7,0)</f>
        <v>0</v>
      </c>
      <c r="DR1006">
        <f>IF(DK1006=1,DR$7,0)</f>
        <v>0</v>
      </c>
      <c r="DS1006">
        <f>IF(DL1006=1,DS$7,0)</f>
        <v>0</v>
      </c>
      <c r="DT1006">
        <v>0</v>
      </c>
      <c r="DU1006">
        <v>0</v>
      </c>
      <c r="DV1006">
        <v>0</v>
      </c>
      <c r="DW1006">
        <v>0</v>
      </c>
      <c r="DX1006">
        <v>0</v>
      </c>
      <c r="DY1006">
        <f>SUM(DT1006:DU1006)</f>
        <v>0</v>
      </c>
      <c r="DZ1006" s="143" t="str">
        <f>IF(DT1006=1,"self-calculated DF",IF(DU1006=1,"external DF used","explicit C balance"))</f>
        <v>explicit C balance</v>
      </c>
      <c r="EA1006">
        <v>1</v>
      </c>
      <c r="EB1006">
        <v>1</v>
      </c>
      <c r="EC1006">
        <v>1</v>
      </c>
      <c r="ED1006">
        <v>1</v>
      </c>
      <c r="EE1006">
        <v>0</v>
      </c>
      <c r="EF1006" s="143">
        <v>0</v>
      </c>
      <c r="EG1006">
        <v>0</v>
      </c>
      <c r="EH1006">
        <v>0</v>
      </c>
      <c r="EI1006">
        <v>0</v>
      </c>
      <c r="EJ1006">
        <v>0</v>
      </c>
      <c r="EK1006">
        <v>1</v>
      </c>
      <c r="EL1006">
        <v>0</v>
      </c>
      <c r="EM1006">
        <v>0</v>
      </c>
      <c r="EN1006" s="2">
        <v>0</v>
      </c>
      <c r="EP1006" t="str">
        <f>IF(AND(AND(AND(OR($EC1006=1,$EB1006=1),OR($EH1006=1,$EF1006=1)),SUM($EA1006:$EE1006,$EK1006)&gt;=3),SUM($EF1006:$EJ1006)&gt;=2),"Whole sector approach","")</f>
        <v/>
      </c>
      <c r="EQ1006" t="str">
        <f>IF(AND(AND(OR($EC1006=1,$EB1006=1),AND($EH1006=0,$EF1006=0)),SUM($EA1006:$EE1006,$EK1006)&gt;=4),"Ecosystem approach","")</f>
        <v>Ecosystem approach</v>
      </c>
      <c r="ER1006" s="2" t="str">
        <f>IF(AND(AND(AND($EC1006=0,$EB1006=0),OR($EH1006=1,$EF1006=1)),SUM($EG1006:$EJ1006)&gt;=2),"Technology approach","")</f>
        <v/>
      </c>
      <c r="ES1006" t="str">
        <f>IF(AND($EC1006+$EB1006+$EE1006+$EA1006+$ED1006+$EG1006=0,$N1006="included"),"C neutral forest and HWP assumption","")</f>
        <v/>
      </c>
      <c r="ET1006" t="str">
        <f>IF(AND(AND(AND(AND($EC1006=1,$EB1006+$EA1006+$EG1006&gt;=1),$EF1006=1),$EH1006+$EI1006+$ED1006+$EE1006&gt;=2),$N1006="included"),"All C pools assumption","")</f>
        <v/>
      </c>
      <c r="EU1006" t="str">
        <f>IF(AND($ED1006+$EE1006+$EI1006+$EH1006+$EF1006=0,$N1006="included"),"In-situ only assumption","")</f>
        <v/>
      </c>
      <c r="EY1006" t="b">
        <f>IF(ISNUMBER(BW1006),IF(ABS(BW1006-[2]QC_indicators!$B$2)&gt;3*[2]QC_indicators!$C$2,"C ratio",IF(ISNUMBER(CA1006),IF(ABS(CA1006-[2]QC_indicators!$B$1)&gt;3*[2]QC_indicators!$C$1,"DF","no"))),IF(ISNUMBER(CA1006),IF(ABS(CA1006-[2]QC_indicators!$B$1)&gt;3*[2]QC_indicators!$C$1,"DF","no")))</f>
        <v>0</v>
      </c>
      <c r="FA1006" t="str">
        <f>IF(LEN($CY1006)=0,"",IF(AND($CY1006&lt;(-0.05),$ES1006="C neutral forest and HWP assumption"),"Cneutral paradox",IF(AND($CY1006&gt;0.05,$EU1006="In-situ only assumption"),"In-situ only paradox","")))</f>
        <v/>
      </c>
      <c r="FD1006" s="260" t="s">
        <v>2948</v>
      </c>
    </row>
    <row r="1007" spans="1:161" ht="85" hidden="1">
      <c r="A1007" s="1" t="s">
        <v>1295</v>
      </c>
      <c r="B1007" t="s">
        <v>2203</v>
      </c>
      <c r="C1007" t="s">
        <v>2204</v>
      </c>
      <c r="D1007" t="s">
        <v>2205</v>
      </c>
      <c r="E1007" t="s">
        <v>2206</v>
      </c>
      <c r="F1007" t="s">
        <v>2207</v>
      </c>
      <c r="G1007" t="s">
        <v>1301</v>
      </c>
      <c r="H1007" t="s">
        <v>254</v>
      </c>
      <c r="I1007">
        <v>2016</v>
      </c>
      <c r="J1007">
        <v>24</v>
      </c>
      <c r="K1007" t="s">
        <v>2208</v>
      </c>
      <c r="M1007" t="str">
        <f>LEFT($D1007,FIND(",",$D1007)-1)&amp;"_"&amp;I1007&amp;L1007</f>
        <v>Zubizarreta-Gerendiain_2016</v>
      </c>
      <c r="N1007" t="s">
        <v>222</v>
      </c>
      <c r="O1007" s="145" t="s">
        <v>1029</v>
      </c>
      <c r="Q1007" t="s">
        <v>256</v>
      </c>
      <c r="R1007" s="258" t="s">
        <v>223</v>
      </c>
      <c r="S1007" s="1" t="s">
        <v>2209</v>
      </c>
      <c r="T1007" t="s">
        <v>2229</v>
      </c>
      <c r="U1007" t="s">
        <v>2228</v>
      </c>
      <c r="V1007" s="253">
        <v>0</v>
      </c>
      <c r="W1007" s="253">
        <v>0</v>
      </c>
      <c r="X1007">
        <v>0</v>
      </c>
      <c r="Y1007">
        <v>0</v>
      </c>
      <c r="Z1007">
        <v>0</v>
      </c>
      <c r="AA1007">
        <v>2</v>
      </c>
      <c r="AB1007">
        <v>0</v>
      </c>
      <c r="AC1007">
        <v>0</v>
      </c>
      <c r="AD1007">
        <v>0</v>
      </c>
      <c r="AE1007">
        <v>0</v>
      </c>
      <c r="AF1007">
        <v>0</v>
      </c>
      <c r="AG1007">
        <v>0</v>
      </c>
      <c r="AH1007">
        <v>1</v>
      </c>
      <c r="AI1007">
        <v>0</v>
      </c>
      <c r="AJ1007">
        <v>0</v>
      </c>
      <c r="AK1007">
        <v>0</v>
      </c>
      <c r="AL1007">
        <v>0</v>
      </c>
      <c r="AM1007">
        <v>0</v>
      </c>
      <c r="AN1007">
        <v>0</v>
      </c>
      <c r="AO1007">
        <v>0</v>
      </c>
      <c r="AP1007">
        <v>2</v>
      </c>
      <c r="AQ1007">
        <v>2</v>
      </c>
      <c r="AR1007">
        <v>0</v>
      </c>
      <c r="AS1007">
        <v>0</v>
      </c>
      <c r="AT1007">
        <v>0</v>
      </c>
      <c r="AU1007">
        <v>0</v>
      </c>
      <c r="AV1007">
        <v>0</v>
      </c>
      <c r="AW1007">
        <v>0</v>
      </c>
      <c r="AX1007">
        <v>0</v>
      </c>
      <c r="AY1007">
        <v>0</v>
      </c>
      <c r="AZ1007" s="141">
        <f>COUNTIF(X1007:AY1007,"&lt;&gt;0")</f>
        <v>4</v>
      </c>
      <c r="BA1007" s="141">
        <f>COUNTIF(X1007:AN1007,"&lt;&gt;0")</f>
        <v>2</v>
      </c>
      <c r="BB1007">
        <f>COUNTIF(X1007:AE1007,"&lt;&gt;0")</f>
        <v>1</v>
      </c>
      <c r="BC1007">
        <f>COUNTIF(AF1007:AK1007,"&lt;&gt;0")</f>
        <v>1</v>
      </c>
      <c r="BD1007">
        <f>COUNTIF(AL1007:AN1007,"&lt;&gt;0")</f>
        <v>0</v>
      </c>
      <c r="BE1007">
        <f>COUNTIF(AU1007:AY1007,"&lt;&gt;0")</f>
        <v>0</v>
      </c>
      <c r="BF1007">
        <f>COUNTIF(AO1007:AT1007,"&lt;&gt;0")</f>
        <v>2</v>
      </c>
      <c r="BG1007" t="str">
        <f t="array" ref="BG1007">IF(BA1007=1,INDEX($X$7:$AN$7,MATCH(TRUE,INDEX($X1007:$AY1007&lt;&gt;0,),0)),IF(BA1007=0,INDEX($AO$7:$AY$7,MATCH(1,$AO1007:$AY1007,0)),IF(BH1007="Multiple strategies","mixed drivers",IF(BH1007="Supply chain","multiple supply","multiple silviculture"))))</f>
        <v>mixed drivers</v>
      </c>
      <c r="BH1007" s="2" t="str" cm="1">
        <f t="array" ref="BH1007">IF(COUNTIF(BB1007:BD1007,"&lt;&gt;0")=1,INDEX($X$4:$AY$4,MATCH(TRUE,INDEX($X1007:$AY1007&lt;&gt;0,),0)),IF(COUNTIF(BB1007:BD1007,"&lt;&gt;0")=0,INDEX($AO$4:$AY$4,MATCH(1,$AO1007:$AY1007,0)),"Multiple strategies"))</f>
        <v>Multiple strategies</v>
      </c>
      <c r="BO1007" s="143"/>
      <c r="BP1007" s="143"/>
      <c r="BR1007" s="143" t="s">
        <v>232</v>
      </c>
      <c r="BS1007" s="143"/>
      <c r="BT1007" t="s">
        <v>1070</v>
      </c>
      <c r="BU1007">
        <v>83064.176145251418</v>
      </c>
      <c r="BV1007">
        <v>-35451.70793296078</v>
      </c>
      <c r="BW1007" s="144">
        <f>IFERROR(BV1007/BU1007,"")</f>
        <v>-0.42679900744416727</v>
      </c>
      <c r="BX1007" s="144">
        <f>BV1007-BU1007</f>
        <v>-118515.8840782122</v>
      </c>
      <c r="BY1007" s="144"/>
      <c r="BZ1007" s="144">
        <f>BX1007</f>
        <v>-118515.8840782122</v>
      </c>
      <c r="CA1007" t="str">
        <f>IFERROR(BZ1007/BQ1007,"")</f>
        <v/>
      </c>
      <c r="CB1007">
        <v>0</v>
      </c>
      <c r="CC1007">
        <v>0</v>
      </c>
      <c r="CD1007">
        <v>0</v>
      </c>
      <c r="CE1007">
        <v>0</v>
      </c>
      <c r="CF1007">
        <v>0</v>
      </c>
      <c r="CG1007">
        <v>0</v>
      </c>
      <c r="CH1007">
        <v>0</v>
      </c>
      <c r="CI1007">
        <v>0</v>
      </c>
      <c r="CJ1007">
        <v>0</v>
      </c>
      <c r="CK1007">
        <v>0</v>
      </c>
      <c r="CL1007">
        <v>0</v>
      </c>
      <c r="CM1007">
        <v>0</v>
      </c>
      <c r="CN1007">
        <v>0</v>
      </c>
      <c r="CO1007">
        <v>1</v>
      </c>
      <c r="CP1007" t="str">
        <f>IF(BN1007&lt;BM1007,"refNeedCorrection","refOK")</f>
        <v>refOK</v>
      </c>
      <c r="CQ1007"/>
      <c r="CR1007"/>
      <c r="CS1007"/>
      <c r="CT1007">
        <f>IF(BI1007="Roundwood",$CS1007/2,$CS1007)</f>
        <v>0</v>
      </c>
      <c r="CU1007">
        <f>IF($CP1007="refOK",$BU1007,$BV1007)*IF($BR1007="Emissions positive",-1,1)</f>
        <v>83064.176145251418</v>
      </c>
      <c r="CV1007">
        <f>IF($CP1007="refOK",$BV1007,$BU1007)*IF($BR1007="Emissions positive",-1,1)</f>
        <v>-35451.70793296078</v>
      </c>
      <c r="CW1007">
        <f>IF($CP1007="refNeedCorrection",-BZ1007,BZ1007)*IF($BR1007="Emissions positive",-1,1)</f>
        <v>-118515.8840782122</v>
      </c>
      <c r="CX1007" t="str">
        <f>IFERROR($CW1007/$CS1007,"")</f>
        <v/>
      </c>
      <c r="CY1007" t="str">
        <f>IFERROR($CW1007/$CS1007,"")</f>
        <v/>
      </c>
      <c r="CZ1007" t="str">
        <f>IFERROR($CW1007/$CT1007,"")</f>
        <v/>
      </c>
      <c r="DA1007" s="2">
        <f>IFERROR((CV1007-CU1007)/ABS(CU1007),"")</f>
        <v>-1.4267990074441672</v>
      </c>
      <c r="DB1007" s="1" t="s">
        <v>1074</v>
      </c>
      <c r="DC1007" t="str">
        <f>IF(OR($DB1007="prd",$DB1007="std",$DB1007="cit"),"loc",IF(OR($DB1007="eur",$DB1007="reg",$DB1007="coy"),"reg",$DB1007))</f>
        <v>reg</v>
      </c>
      <c r="DD1007" t="s">
        <v>235</v>
      </c>
      <c r="DE1007">
        <v>2010</v>
      </c>
      <c r="DF1007">
        <v>2070</v>
      </c>
      <c r="DG1007">
        <f>DF1007-DE1007</f>
        <v>60</v>
      </c>
      <c r="DH1007" t="str">
        <f>IF(DG1007=0,"0",IF(AND(DG1007&gt;=1,DG1007&lt;=30),"1-30",IF(AND(DG1007&gt;30,DG1007&lt;=70),"31-70",IF(AND(DG1007&gt;70,DG1007&lt;=100),"71-100",IF(DG1007&gt;100,"+100")))))</f>
        <v>31-70</v>
      </c>
      <c r="DI1007">
        <v>1</v>
      </c>
      <c r="DJ1007">
        <v>0</v>
      </c>
      <c r="DK1007">
        <v>0</v>
      </c>
      <c r="DL1007">
        <v>0</v>
      </c>
      <c r="DM1007">
        <v>0</v>
      </c>
      <c r="DN1007">
        <f>SUM(DI1007:DL1007)</f>
        <v>1</v>
      </c>
      <c r="DO1007" t="str">
        <f>IF(DN1007=1,INDEX($DI$7:$DL$7,MATCH(1,$DI1007:$DL1007,0)),"mixedProduct")</f>
        <v>UpstreamInput</v>
      </c>
      <c r="DP1007" t="str">
        <f>IF(DI1007=1,DP$7,0)</f>
        <v>Upstream</v>
      </c>
      <c r="DQ1007">
        <f>IF(DJ1007=1,DQ$7,0)</f>
        <v>0</v>
      </c>
      <c r="DR1007">
        <f>IF(DK1007=1,DR$7,0)</f>
        <v>0</v>
      </c>
      <c r="DS1007">
        <f>IF(DL1007=1,DS$7,0)</f>
        <v>0</v>
      </c>
      <c r="DT1007">
        <v>0</v>
      </c>
      <c r="DU1007">
        <v>0</v>
      </c>
      <c r="DV1007">
        <v>0</v>
      </c>
      <c r="DW1007">
        <v>0</v>
      </c>
      <c r="DX1007">
        <v>0</v>
      </c>
      <c r="DY1007">
        <f>SUM(DT1007:DU1007)</f>
        <v>0</v>
      </c>
      <c r="DZ1007" s="143" t="str">
        <f>IF(DT1007=1,"self-calculated DF",IF(DU1007=1,"external DF used","explicit C balance"))</f>
        <v>explicit C balance</v>
      </c>
      <c r="EA1007">
        <v>1</v>
      </c>
      <c r="EB1007">
        <v>1</v>
      </c>
      <c r="EC1007">
        <v>1</v>
      </c>
      <c r="ED1007">
        <v>1</v>
      </c>
      <c r="EE1007">
        <v>0</v>
      </c>
      <c r="EF1007" s="143">
        <v>0</v>
      </c>
      <c r="EG1007">
        <v>0</v>
      </c>
      <c r="EH1007">
        <v>0</v>
      </c>
      <c r="EI1007">
        <v>0</v>
      </c>
      <c r="EJ1007">
        <v>0</v>
      </c>
      <c r="EK1007">
        <v>1</v>
      </c>
      <c r="EL1007">
        <v>0</v>
      </c>
      <c r="EM1007">
        <v>0</v>
      </c>
      <c r="EN1007" s="2">
        <v>0</v>
      </c>
      <c r="EP1007" t="str">
        <f>IF(AND(AND(AND(OR($EC1007=1,$EB1007=1),OR($EH1007=1,$EF1007=1)),SUM($EA1007:$EE1007,$EK1007)&gt;=3),SUM($EF1007:$EJ1007)&gt;=2),"Whole sector approach","")</f>
        <v/>
      </c>
      <c r="EQ1007" t="str">
        <f>IF(AND(AND(OR($EC1007=1,$EB1007=1),AND($EH1007=0,$EF1007=0)),SUM($EA1007:$EE1007,$EK1007)&gt;=4),"Ecosystem approach","")</f>
        <v>Ecosystem approach</v>
      </c>
      <c r="ER1007" s="2" t="str">
        <f>IF(AND(AND(AND($EC1007=0,$EB1007=0),OR($EH1007=1,$EF1007=1)),SUM($EG1007:$EJ1007)&gt;=2),"Technology approach","")</f>
        <v/>
      </c>
      <c r="ES1007" t="str">
        <f>IF(AND($EC1007+$EB1007+$EE1007+$EA1007+$ED1007+$EG1007=0,$N1007="included"),"C neutral forest and HWP assumption","")</f>
        <v/>
      </c>
      <c r="ET1007" t="str">
        <f>IF(AND(AND(AND(AND($EC1007=1,$EB1007+$EA1007+$EG1007&gt;=1),$EF1007=1),$EH1007+$EI1007+$ED1007+$EE1007&gt;=2),$N1007="included"),"All C pools assumption","")</f>
        <v/>
      </c>
      <c r="EU1007" t="str">
        <f>IF(AND($ED1007+$EE1007+$EI1007+$EH1007+$EF1007=0,$N1007="included"),"In-situ only assumption","")</f>
        <v/>
      </c>
      <c r="EY1007" t="b">
        <f>IF(ISNUMBER(BW1007),IF(ABS(BW1007-[2]QC_indicators!$B$2)&gt;3*[2]QC_indicators!$C$2,"C ratio",IF(ISNUMBER(CA1007),IF(ABS(CA1007-[2]QC_indicators!$B$1)&gt;3*[2]QC_indicators!$C$1,"DF","no"))),IF(ISNUMBER(CA1007),IF(ABS(CA1007-[2]QC_indicators!$B$1)&gt;3*[2]QC_indicators!$C$1,"DF","no")))</f>
        <v>0</v>
      </c>
      <c r="FA1007" t="str">
        <f>IF(LEN($CY1007)=0,"",IF(AND($CY1007&lt;(-0.05),$ES1007="C neutral forest and HWP assumption"),"Cneutral paradox",IF(AND($CY1007&gt;0.05,$EU1007="In-situ only assumption"),"In-situ only paradox","")))</f>
        <v/>
      </c>
      <c r="FD1007" s="260" t="s">
        <v>2948</v>
      </c>
    </row>
    <row r="1008" spans="1:161" ht="15" hidden="1" customHeight="1">
      <c r="A1008" s="1" t="s">
        <v>1295</v>
      </c>
      <c r="B1008" t="s">
        <v>2203</v>
      </c>
      <c r="C1008" t="s">
        <v>2204</v>
      </c>
      <c r="D1008" t="s">
        <v>2205</v>
      </c>
      <c r="E1008" t="s">
        <v>2206</v>
      </c>
      <c r="F1008" t="s">
        <v>2207</v>
      </c>
      <c r="G1008" t="s">
        <v>1301</v>
      </c>
      <c r="H1008" t="s">
        <v>254</v>
      </c>
      <c r="I1008">
        <v>2016</v>
      </c>
      <c r="J1008">
        <v>24</v>
      </c>
      <c r="K1008" t="s">
        <v>2208</v>
      </c>
      <c r="M1008" t="str">
        <f>LEFT($D1008,FIND(",",$D1008)-1)&amp;"_"&amp;I1008&amp;L1008</f>
        <v>Zubizarreta-Gerendiain_2016</v>
      </c>
      <c r="N1008" t="s">
        <v>222</v>
      </c>
      <c r="O1008" s="145" t="s">
        <v>1029</v>
      </c>
      <c r="Q1008" t="s">
        <v>256</v>
      </c>
      <c r="R1008" s="258" t="s">
        <v>223</v>
      </c>
      <c r="S1008" s="1" t="s">
        <v>2219</v>
      </c>
      <c r="T1008" t="s">
        <v>2227</v>
      </c>
      <c r="U1008" t="s">
        <v>2228</v>
      </c>
      <c r="V1008" s="253">
        <v>0</v>
      </c>
      <c r="W1008" s="253">
        <v>0</v>
      </c>
      <c r="X1008">
        <v>0</v>
      </c>
      <c r="Y1008">
        <v>0</v>
      </c>
      <c r="Z1008">
        <v>0</v>
      </c>
      <c r="AA1008">
        <v>2</v>
      </c>
      <c r="AB1008">
        <v>0</v>
      </c>
      <c r="AC1008">
        <v>0</v>
      </c>
      <c r="AD1008">
        <v>0</v>
      </c>
      <c r="AE1008">
        <v>0</v>
      </c>
      <c r="AF1008">
        <v>0</v>
      </c>
      <c r="AG1008">
        <v>0</v>
      </c>
      <c r="AH1008">
        <v>1</v>
      </c>
      <c r="AI1008">
        <v>0</v>
      </c>
      <c r="AJ1008">
        <v>0</v>
      </c>
      <c r="AK1008">
        <v>0</v>
      </c>
      <c r="AL1008">
        <v>0</v>
      </c>
      <c r="AM1008">
        <v>0</v>
      </c>
      <c r="AN1008">
        <v>0</v>
      </c>
      <c r="AO1008">
        <v>0</v>
      </c>
      <c r="AP1008">
        <v>2</v>
      </c>
      <c r="AQ1008">
        <v>2</v>
      </c>
      <c r="AR1008">
        <v>0</v>
      </c>
      <c r="AS1008">
        <v>0</v>
      </c>
      <c r="AT1008">
        <v>0</v>
      </c>
      <c r="AU1008">
        <v>0</v>
      </c>
      <c r="AV1008">
        <v>0</v>
      </c>
      <c r="AW1008">
        <v>0</v>
      </c>
      <c r="AX1008">
        <v>0</v>
      </c>
      <c r="AY1008">
        <v>0</v>
      </c>
      <c r="AZ1008" s="141">
        <f>COUNTIF(X1008:AY1008,"&lt;&gt;0")</f>
        <v>4</v>
      </c>
      <c r="BA1008" s="141">
        <f>COUNTIF(X1008:AN1008,"&lt;&gt;0")</f>
        <v>2</v>
      </c>
      <c r="BB1008">
        <f>COUNTIF(X1008:AE1008,"&lt;&gt;0")</f>
        <v>1</v>
      </c>
      <c r="BC1008">
        <f>COUNTIF(AF1008:AK1008,"&lt;&gt;0")</f>
        <v>1</v>
      </c>
      <c r="BD1008">
        <f>COUNTIF(AL1008:AN1008,"&lt;&gt;0")</f>
        <v>0</v>
      </c>
      <c r="BE1008">
        <f>COUNTIF(AU1008:AY1008,"&lt;&gt;0")</f>
        <v>0</v>
      </c>
      <c r="BF1008">
        <f>COUNTIF(AO1008:AT1008,"&lt;&gt;0")</f>
        <v>2</v>
      </c>
      <c r="BG1008" t="str">
        <f t="array" ref="BG1008">IF(BA1008=1,INDEX($X$7:$AN$7,MATCH(TRUE,INDEX($X1008:$AY1008&lt;&gt;0,),0)),IF(BA1008=0,INDEX($AO$7:$AY$7,MATCH(1,$AO1008:$AY1008,0)),IF(BH1008="Multiple strategies","mixed drivers",IF(BH1008="Supply chain","multiple supply","multiple silviculture"))))</f>
        <v>mixed drivers</v>
      </c>
      <c r="BH1008" s="2" t="str" cm="1">
        <f t="array" ref="BH1008">IF(COUNTIF(BB1008:BD1008,"&lt;&gt;0")=1,INDEX($X$4:$AY$4,MATCH(TRUE,INDEX($X1008:$AY1008&lt;&gt;0,),0)),IF(COUNTIF(BB1008:BD1008,"&lt;&gt;0")=0,INDEX($AO$4:$AY$4,MATCH(1,$AO1008:$AY1008,0)),"Multiple strategies"))</f>
        <v>Multiple strategies</v>
      </c>
      <c r="BO1008" s="143"/>
      <c r="BP1008" s="143"/>
      <c r="BR1008" s="143" t="s">
        <v>232</v>
      </c>
      <c r="BS1008" s="143"/>
      <c r="BT1008" t="s">
        <v>1070</v>
      </c>
      <c r="BU1008">
        <v>99553.342625698249</v>
      </c>
      <c r="BV1008">
        <v>-35451.70793296078</v>
      </c>
      <c r="BW1008" s="144">
        <f>IFERROR(BV1008/BU1008,"")</f>
        <v>-0.3561076604554857</v>
      </c>
      <c r="BX1008" s="144">
        <f>BV1008-BU1008</f>
        <v>-135005.05055865902</v>
      </c>
      <c r="BY1008" s="144"/>
      <c r="BZ1008" s="144">
        <f>BX1008</f>
        <v>-135005.05055865902</v>
      </c>
      <c r="CA1008" t="str">
        <f>IFERROR(BZ1008/BQ1008,"")</f>
        <v/>
      </c>
      <c r="CB1008">
        <v>0</v>
      </c>
      <c r="CC1008">
        <v>0</v>
      </c>
      <c r="CD1008">
        <v>0</v>
      </c>
      <c r="CE1008">
        <v>0</v>
      </c>
      <c r="CF1008">
        <v>0</v>
      </c>
      <c r="CG1008">
        <v>0</v>
      </c>
      <c r="CH1008">
        <v>0</v>
      </c>
      <c r="CI1008">
        <v>0</v>
      </c>
      <c r="CJ1008">
        <v>0</v>
      </c>
      <c r="CK1008">
        <v>0</v>
      </c>
      <c r="CL1008">
        <v>0</v>
      </c>
      <c r="CM1008">
        <v>0</v>
      </c>
      <c r="CN1008">
        <v>0</v>
      </c>
      <c r="CO1008">
        <v>1</v>
      </c>
      <c r="CP1008" t="str">
        <f>IF(BN1008&lt;BM1008,"refNeedCorrection","refOK")</f>
        <v>refOK</v>
      </c>
      <c r="CQ1008"/>
      <c r="CR1008"/>
      <c r="CS1008"/>
      <c r="CT1008">
        <f>IF(BI1008="Roundwood",$CS1008/2,$CS1008)</f>
        <v>0</v>
      </c>
      <c r="CU1008">
        <f>IF($CP1008="refOK",$BU1008,$BV1008)*IF($BR1008="Emissions positive",-1,1)</f>
        <v>99553.342625698249</v>
      </c>
      <c r="CV1008">
        <f>IF($CP1008="refOK",$BV1008,$BU1008)*IF($BR1008="Emissions positive",-1,1)</f>
        <v>-35451.70793296078</v>
      </c>
      <c r="CW1008">
        <f>IF($CP1008="refNeedCorrection",-BZ1008,BZ1008)*IF($BR1008="Emissions positive",-1,1)</f>
        <v>-135005.05055865902</v>
      </c>
      <c r="CX1008" t="str">
        <f>IFERROR($CW1008/$CS1008,"")</f>
        <v/>
      </c>
      <c r="CY1008" t="str">
        <f>IFERROR($CW1008/$CS1008,"")</f>
        <v/>
      </c>
      <c r="CZ1008" t="str">
        <f>IFERROR($CW1008/$CT1008,"")</f>
        <v/>
      </c>
      <c r="DA1008" s="2">
        <f>IFERROR((CV1008-CU1008)/ABS(CU1008),"")</f>
        <v>-1.3561076604554856</v>
      </c>
      <c r="DB1008" s="1" t="s">
        <v>1074</v>
      </c>
      <c r="DC1008" t="str">
        <f>IF(OR($DB1008="prd",$DB1008="std",$DB1008="cit"),"loc",IF(OR($DB1008="eur",$DB1008="reg",$DB1008="coy"),"reg",$DB1008))</f>
        <v>reg</v>
      </c>
      <c r="DD1008" t="s">
        <v>235</v>
      </c>
      <c r="DE1008">
        <v>2010</v>
      </c>
      <c r="DF1008">
        <v>2070</v>
      </c>
      <c r="DG1008">
        <f>DF1008-DE1008</f>
        <v>60</v>
      </c>
      <c r="DH1008" t="str">
        <f>IF(DG1008=0,"0",IF(AND(DG1008&gt;=1,DG1008&lt;=30),"1-30",IF(AND(DG1008&gt;30,DG1008&lt;=70),"31-70",IF(AND(DG1008&gt;70,DG1008&lt;=100),"71-100",IF(DG1008&gt;100,"+100")))))</f>
        <v>31-70</v>
      </c>
      <c r="DI1008">
        <v>1</v>
      </c>
      <c r="DJ1008">
        <v>0</v>
      </c>
      <c r="DK1008">
        <v>0</v>
      </c>
      <c r="DL1008">
        <v>0</v>
      </c>
      <c r="DM1008">
        <v>0</v>
      </c>
      <c r="DN1008">
        <f>SUM(DI1008:DL1008)</f>
        <v>1</v>
      </c>
      <c r="DO1008" t="str">
        <f>IF(DN1008=1,INDEX($DI$7:$DL$7,MATCH(1,$DI1008:$DL1008,0)),"mixedProduct")</f>
        <v>UpstreamInput</v>
      </c>
      <c r="DP1008" t="str">
        <f>IF(DI1008=1,DP$7,0)</f>
        <v>Upstream</v>
      </c>
      <c r="DQ1008">
        <f>IF(DJ1008=1,DQ$7,0)</f>
        <v>0</v>
      </c>
      <c r="DR1008">
        <f>IF(DK1008=1,DR$7,0)</f>
        <v>0</v>
      </c>
      <c r="DS1008">
        <f>IF(DL1008=1,DS$7,0)</f>
        <v>0</v>
      </c>
      <c r="DT1008">
        <v>0</v>
      </c>
      <c r="DU1008">
        <v>0</v>
      </c>
      <c r="DV1008">
        <v>0</v>
      </c>
      <c r="DW1008">
        <v>0</v>
      </c>
      <c r="DX1008">
        <v>0</v>
      </c>
      <c r="DY1008">
        <f>SUM(DT1008:DU1008)</f>
        <v>0</v>
      </c>
      <c r="DZ1008" s="143" t="str">
        <f>IF(DT1008=1,"self-calculated DF",IF(DU1008=1,"external DF used","explicit C balance"))</f>
        <v>explicit C balance</v>
      </c>
      <c r="EA1008">
        <v>1</v>
      </c>
      <c r="EB1008">
        <v>1</v>
      </c>
      <c r="EC1008">
        <v>1</v>
      </c>
      <c r="ED1008">
        <v>1</v>
      </c>
      <c r="EE1008">
        <v>0</v>
      </c>
      <c r="EF1008" s="143">
        <v>0</v>
      </c>
      <c r="EG1008">
        <v>0</v>
      </c>
      <c r="EH1008">
        <v>0</v>
      </c>
      <c r="EI1008">
        <v>0</v>
      </c>
      <c r="EJ1008">
        <v>0</v>
      </c>
      <c r="EK1008">
        <v>1</v>
      </c>
      <c r="EL1008">
        <v>0</v>
      </c>
      <c r="EM1008">
        <v>0</v>
      </c>
      <c r="EN1008" s="2">
        <v>0</v>
      </c>
      <c r="EP1008" t="str">
        <f>IF(AND(AND(AND(OR($EC1008=1,$EB1008=1),OR($EH1008=1,$EF1008=1)),SUM($EA1008:$EE1008,$EK1008)&gt;=3),SUM($EF1008:$EJ1008)&gt;=2),"Whole sector approach","")</f>
        <v/>
      </c>
      <c r="EQ1008" t="str">
        <f>IF(AND(AND(OR($EC1008=1,$EB1008=1),AND($EH1008=0,$EF1008=0)),SUM($EA1008:$EE1008,$EK1008)&gt;=4),"Ecosystem approach","")</f>
        <v>Ecosystem approach</v>
      </c>
      <c r="ER1008" s="2" t="str">
        <f>IF(AND(AND(AND($EC1008=0,$EB1008=0),OR($EH1008=1,$EF1008=1)),SUM($EG1008:$EJ1008)&gt;=2),"Technology approach","")</f>
        <v/>
      </c>
      <c r="ES1008" t="str">
        <f>IF(AND($EC1008+$EB1008+$EE1008+$EA1008+$ED1008+$EG1008=0,$N1008="included"),"C neutral forest and HWP assumption","")</f>
        <v/>
      </c>
      <c r="ET1008" t="str">
        <f>IF(AND(AND(AND(AND($EC1008=1,$EB1008+$EA1008+$EG1008&gt;=1),$EF1008=1),$EH1008+$EI1008+$ED1008+$EE1008&gt;=2),$N1008="included"),"All C pools assumption","")</f>
        <v/>
      </c>
      <c r="EU1008" t="str">
        <f>IF(AND($ED1008+$EE1008+$EI1008+$EH1008+$EF1008=0,$N1008="included"),"In-situ only assumption","")</f>
        <v/>
      </c>
      <c r="EW1008" t="s">
        <v>2221</v>
      </c>
      <c r="EY1008" t="b">
        <f>IF(ISNUMBER(BW1008),IF(ABS(BW1008-[2]QC_indicators!$B$2)&gt;3*[2]QC_indicators!$C$2,"C ratio",IF(ISNUMBER(CA1008),IF(ABS(CA1008-[2]QC_indicators!$B$1)&gt;3*[2]QC_indicators!$C$1,"DF","no"))),IF(ISNUMBER(CA1008),IF(ABS(CA1008-[2]QC_indicators!$B$1)&gt;3*[2]QC_indicators!$C$1,"DF","no")))</f>
        <v>0</v>
      </c>
      <c r="FA1008" t="str">
        <f>IF(LEN($CY1008)=0,"",IF(AND($CY1008&lt;(-0.05),$ES1008="C neutral forest and HWP assumption"),"Cneutral paradox",IF(AND($CY1008&gt;0.05,$EU1008="In-situ only assumption"),"In-situ only paradox","")))</f>
        <v/>
      </c>
      <c r="FD1008" s="260" t="s">
        <v>2948</v>
      </c>
    </row>
    <row r="1009" spans="1:160" ht="15" hidden="1" customHeight="1">
      <c r="A1009" s="1" t="s">
        <v>1295</v>
      </c>
      <c r="B1009" t="s">
        <v>2203</v>
      </c>
      <c r="C1009" t="s">
        <v>2204</v>
      </c>
      <c r="D1009" t="s">
        <v>2205</v>
      </c>
      <c r="E1009" t="s">
        <v>2206</v>
      </c>
      <c r="F1009" t="s">
        <v>2207</v>
      </c>
      <c r="G1009" t="s">
        <v>1301</v>
      </c>
      <c r="H1009" t="s">
        <v>254</v>
      </c>
      <c r="I1009">
        <v>2016</v>
      </c>
      <c r="J1009">
        <v>24</v>
      </c>
      <c r="K1009" t="s">
        <v>2208</v>
      </c>
      <c r="M1009" t="str">
        <f>LEFT($D1009,FIND(",",$D1009)-1)&amp;"_"&amp;I1009&amp;L1009</f>
        <v>Zubizarreta-Gerendiain_2016</v>
      </c>
      <c r="N1009" t="s">
        <v>222</v>
      </c>
      <c r="O1009" s="145" t="s">
        <v>1029</v>
      </c>
      <c r="Q1009" t="s">
        <v>256</v>
      </c>
      <c r="R1009" s="258" t="s">
        <v>223</v>
      </c>
      <c r="S1009" s="1" t="s">
        <v>2209</v>
      </c>
      <c r="T1009" t="s">
        <v>2226</v>
      </c>
      <c r="U1009" t="s">
        <v>2224</v>
      </c>
      <c r="V1009" s="253">
        <v>0</v>
      </c>
      <c r="W1009" s="253">
        <v>0</v>
      </c>
      <c r="X1009">
        <v>0</v>
      </c>
      <c r="Y1009">
        <v>0</v>
      </c>
      <c r="Z1009">
        <v>0</v>
      </c>
      <c r="AA1009">
        <v>2</v>
      </c>
      <c r="AB1009">
        <v>0</v>
      </c>
      <c r="AC1009">
        <v>0</v>
      </c>
      <c r="AD1009">
        <v>0</v>
      </c>
      <c r="AE1009">
        <v>0</v>
      </c>
      <c r="AF1009">
        <v>0</v>
      </c>
      <c r="AG1009">
        <v>0</v>
      </c>
      <c r="AH1009">
        <v>1</v>
      </c>
      <c r="AI1009">
        <v>0</v>
      </c>
      <c r="AJ1009">
        <v>0</v>
      </c>
      <c r="AK1009">
        <v>0</v>
      </c>
      <c r="AL1009">
        <v>0</v>
      </c>
      <c r="AM1009">
        <v>0</v>
      </c>
      <c r="AN1009">
        <v>0</v>
      </c>
      <c r="AO1009">
        <v>0</v>
      </c>
      <c r="AP1009">
        <v>2</v>
      </c>
      <c r="AQ1009">
        <v>2</v>
      </c>
      <c r="AR1009">
        <v>0</v>
      </c>
      <c r="AS1009">
        <v>0</v>
      </c>
      <c r="AT1009">
        <v>0</v>
      </c>
      <c r="AU1009">
        <v>0</v>
      </c>
      <c r="AV1009">
        <v>0</v>
      </c>
      <c r="AW1009">
        <v>0</v>
      </c>
      <c r="AX1009">
        <v>0</v>
      </c>
      <c r="AY1009">
        <v>0</v>
      </c>
      <c r="AZ1009" s="141">
        <f>COUNTIF(X1009:AY1009,"&lt;&gt;0")</f>
        <v>4</v>
      </c>
      <c r="BA1009" s="141">
        <f>COUNTIF(X1009:AN1009,"&lt;&gt;0")</f>
        <v>2</v>
      </c>
      <c r="BB1009">
        <f>COUNTIF(X1009:AE1009,"&lt;&gt;0")</f>
        <v>1</v>
      </c>
      <c r="BC1009">
        <f>COUNTIF(AF1009:AK1009,"&lt;&gt;0")</f>
        <v>1</v>
      </c>
      <c r="BD1009">
        <f>COUNTIF(AL1009:AN1009,"&lt;&gt;0")</f>
        <v>0</v>
      </c>
      <c r="BE1009">
        <f>COUNTIF(AU1009:AY1009,"&lt;&gt;0")</f>
        <v>0</v>
      </c>
      <c r="BF1009">
        <f>COUNTIF(AO1009:AT1009,"&lt;&gt;0")</f>
        <v>2</v>
      </c>
      <c r="BG1009" t="str">
        <f t="array" ref="BG1009">IF(BA1009=1,INDEX($X$7:$AN$7,MATCH(TRUE,INDEX($X1009:$AY1009&lt;&gt;0,),0)),IF(BA1009=0,INDEX($AO$7:$AY$7,MATCH(1,$AO1009:$AY1009,0)),IF(BH1009="Multiple strategies","mixed drivers",IF(BH1009="Supply chain","multiple supply","multiple silviculture"))))</f>
        <v>mixed drivers</v>
      </c>
      <c r="BH1009" s="2" t="str" cm="1">
        <f t="array" ref="BH1009">IF(COUNTIF(BB1009:BD1009,"&lt;&gt;0")=1,INDEX($X$4:$AY$4,MATCH(TRUE,INDEX($X1009:$AY1009&lt;&gt;0,),0)),IF(COUNTIF(BB1009:BD1009,"&lt;&gt;0")=0,INDEX($AO$4:$AY$4,MATCH(1,$AO1009:$AY1009,0)),"Multiple strategies"))</f>
        <v>Multiple strategies</v>
      </c>
      <c r="BO1009" s="143"/>
      <c r="BP1009" s="143"/>
      <c r="BR1009" s="143" t="s">
        <v>232</v>
      </c>
      <c r="BS1009" s="143"/>
      <c r="BT1009" t="s">
        <v>1070</v>
      </c>
      <c r="BU1009">
        <v>65764.523961661384</v>
      </c>
      <c r="BV1009">
        <v>-3408.5271565495204</v>
      </c>
      <c r="BW1009" s="144">
        <f>IFERROR(BV1009/BU1009,"")</f>
        <v>-5.182926829268289E-2</v>
      </c>
      <c r="BX1009" s="144">
        <f>BV1009-BU1009</f>
        <v>-69173.051118210904</v>
      </c>
      <c r="BY1009" s="144"/>
      <c r="BZ1009" s="144">
        <f>BX1009</f>
        <v>-69173.051118210904</v>
      </c>
      <c r="CA1009" t="str">
        <f>IFERROR(BZ1009/BQ1009,"")</f>
        <v/>
      </c>
      <c r="CB1009">
        <v>0</v>
      </c>
      <c r="CC1009">
        <v>0</v>
      </c>
      <c r="CD1009">
        <v>0</v>
      </c>
      <c r="CE1009">
        <v>0</v>
      </c>
      <c r="CF1009">
        <v>0</v>
      </c>
      <c r="CG1009">
        <v>0</v>
      </c>
      <c r="CH1009">
        <v>0</v>
      </c>
      <c r="CI1009">
        <v>0</v>
      </c>
      <c r="CJ1009">
        <v>0</v>
      </c>
      <c r="CK1009">
        <v>0</v>
      </c>
      <c r="CL1009">
        <v>0</v>
      </c>
      <c r="CM1009">
        <v>0</v>
      </c>
      <c r="CN1009">
        <v>0</v>
      </c>
      <c r="CO1009">
        <v>1</v>
      </c>
      <c r="CP1009" t="str">
        <f>IF(BN1009&lt;BM1009,"refNeedCorrection","refOK")</f>
        <v>refOK</v>
      </c>
      <c r="CQ1009"/>
      <c r="CR1009"/>
      <c r="CS1009"/>
      <c r="CT1009">
        <f>IF(BI1009="Roundwood",$CS1009/2,$CS1009)</f>
        <v>0</v>
      </c>
      <c r="CU1009">
        <f>IF($CP1009="refOK",$BU1009,$BV1009)*IF($BR1009="Emissions positive",-1,1)</f>
        <v>65764.523961661384</v>
      </c>
      <c r="CV1009">
        <f>IF($CP1009="refOK",$BV1009,$BU1009)*IF($BR1009="Emissions positive",-1,1)</f>
        <v>-3408.5271565495204</v>
      </c>
      <c r="CW1009">
        <f>IF($CP1009="refNeedCorrection",-BZ1009,BZ1009)*IF($BR1009="Emissions positive",-1,1)</f>
        <v>-69173.051118210904</v>
      </c>
      <c r="CX1009" t="str">
        <f>IFERROR($CW1009/$CS1009,"")</f>
        <v/>
      </c>
      <c r="CY1009" t="str">
        <f>IFERROR($CW1009/$CS1009,"")</f>
        <v/>
      </c>
      <c r="CZ1009" t="str">
        <f>IFERROR($CW1009/$CT1009,"")</f>
        <v/>
      </c>
      <c r="DA1009" s="2">
        <f>IFERROR((CV1009-CU1009)/ABS(CU1009),"")</f>
        <v>-1.0518292682926829</v>
      </c>
      <c r="DB1009" s="1" t="s">
        <v>1074</v>
      </c>
      <c r="DC1009" t="str">
        <f>IF(OR($DB1009="prd",$DB1009="std",$DB1009="cit"),"loc",IF(OR($DB1009="eur",$DB1009="reg",$DB1009="coy"),"reg",$DB1009))</f>
        <v>reg</v>
      </c>
      <c r="DD1009" t="s">
        <v>235</v>
      </c>
      <c r="DE1009">
        <v>2010</v>
      </c>
      <c r="DF1009">
        <v>2070</v>
      </c>
      <c r="DG1009">
        <f>DF1009-DE1009</f>
        <v>60</v>
      </c>
      <c r="DH1009" t="str">
        <f>IF(DG1009=0,"0",IF(AND(DG1009&gt;=1,DG1009&lt;=30),"1-30",IF(AND(DG1009&gt;30,DG1009&lt;=70),"31-70",IF(AND(DG1009&gt;70,DG1009&lt;=100),"71-100",IF(DG1009&gt;100,"+100")))))</f>
        <v>31-70</v>
      </c>
      <c r="DI1009">
        <v>1</v>
      </c>
      <c r="DJ1009">
        <v>0</v>
      </c>
      <c r="DK1009">
        <v>0</v>
      </c>
      <c r="DL1009">
        <v>0</v>
      </c>
      <c r="DM1009">
        <v>0</v>
      </c>
      <c r="DN1009">
        <f>SUM(DI1009:DL1009)</f>
        <v>1</v>
      </c>
      <c r="DO1009" t="str">
        <f>IF(DN1009=1,INDEX($DI$7:$DL$7,MATCH(1,$DI1009:$DL1009,0)),"mixedProduct")</f>
        <v>UpstreamInput</v>
      </c>
      <c r="DP1009" t="str">
        <f>IF(DI1009=1,DP$7,0)</f>
        <v>Upstream</v>
      </c>
      <c r="DQ1009">
        <f>IF(DJ1009=1,DQ$7,0)</f>
        <v>0</v>
      </c>
      <c r="DR1009">
        <f>IF(DK1009=1,DR$7,0)</f>
        <v>0</v>
      </c>
      <c r="DS1009">
        <f>IF(DL1009=1,DS$7,0)</f>
        <v>0</v>
      </c>
      <c r="DT1009">
        <v>0</v>
      </c>
      <c r="DU1009">
        <v>0</v>
      </c>
      <c r="DV1009">
        <v>0</v>
      </c>
      <c r="DW1009">
        <v>0</v>
      </c>
      <c r="DX1009">
        <v>0</v>
      </c>
      <c r="DY1009">
        <f>SUM(DT1009:DU1009)</f>
        <v>0</v>
      </c>
      <c r="DZ1009" s="143" t="str">
        <f>IF(DT1009=1,"self-calculated DF",IF(DU1009=1,"external DF used","explicit C balance"))</f>
        <v>explicit C balance</v>
      </c>
      <c r="EA1009">
        <v>1</v>
      </c>
      <c r="EB1009">
        <v>1</v>
      </c>
      <c r="EC1009">
        <v>1</v>
      </c>
      <c r="ED1009">
        <v>1</v>
      </c>
      <c r="EE1009">
        <v>0</v>
      </c>
      <c r="EF1009" s="143">
        <v>0</v>
      </c>
      <c r="EG1009">
        <v>0</v>
      </c>
      <c r="EH1009">
        <v>0</v>
      </c>
      <c r="EI1009">
        <v>0</v>
      </c>
      <c r="EJ1009">
        <v>0</v>
      </c>
      <c r="EK1009">
        <v>1</v>
      </c>
      <c r="EL1009">
        <v>0</v>
      </c>
      <c r="EM1009">
        <v>0</v>
      </c>
      <c r="EN1009" s="2">
        <v>0</v>
      </c>
      <c r="EP1009" t="str">
        <f>IF(AND(AND(AND(OR($EC1009=1,$EB1009=1),OR($EH1009=1,$EF1009=1)),SUM($EA1009:$EE1009,$EK1009)&gt;=3),SUM($EF1009:$EJ1009)&gt;=2),"Whole sector approach","")</f>
        <v/>
      </c>
      <c r="EQ1009" t="str">
        <f>IF(AND(AND(OR($EC1009=1,$EB1009=1),AND($EH1009=0,$EF1009=0)),SUM($EA1009:$EE1009,$EK1009)&gt;=4),"Ecosystem approach","")</f>
        <v>Ecosystem approach</v>
      </c>
      <c r="ER1009" s="2" t="str">
        <f>IF(AND(AND(AND($EC1009=0,$EB1009=0),OR($EH1009=1,$EF1009=1)),SUM($EG1009:$EJ1009)&gt;=2),"Technology approach","")</f>
        <v/>
      </c>
      <c r="ES1009" t="str">
        <f>IF(AND($EC1009+$EB1009+$EE1009+$EA1009+$ED1009+$EG1009=0,$N1009="included"),"C neutral forest and HWP assumption","")</f>
        <v/>
      </c>
      <c r="ET1009" t="str">
        <f>IF(AND(AND(AND(AND($EC1009=1,$EB1009+$EA1009+$EG1009&gt;=1),$EF1009=1),$EH1009+$EI1009+$ED1009+$EE1009&gt;=2),$N1009="included"),"All C pools assumption","")</f>
        <v/>
      </c>
      <c r="EU1009" t="str">
        <f>IF(AND($ED1009+$EE1009+$EI1009+$EH1009+$EF1009=0,$N1009="included"),"In-situ only assumption","")</f>
        <v/>
      </c>
      <c r="EY1009" t="b">
        <f>IF(ISNUMBER(BW1009),IF(ABS(BW1009-[2]QC_indicators!$B$2)&gt;3*[2]QC_indicators!$C$2,"C ratio",IF(ISNUMBER(CA1009),IF(ABS(CA1009-[2]QC_indicators!$B$1)&gt;3*[2]QC_indicators!$C$1,"DF","no"))),IF(ISNUMBER(CA1009),IF(ABS(CA1009-[2]QC_indicators!$B$1)&gt;3*[2]QC_indicators!$C$1,"DF","no")))</f>
        <v>0</v>
      </c>
      <c r="FA1009" t="str">
        <f>IF(LEN($CY1009)=0,"",IF(AND($CY1009&lt;(-0.05),$ES1009="C neutral forest and HWP assumption"),"Cneutral paradox",IF(AND($CY1009&gt;0.05,$EU1009="In-situ only assumption"),"In-situ only paradox","")))</f>
        <v/>
      </c>
      <c r="FD1009" s="260" t="s">
        <v>2948</v>
      </c>
    </row>
    <row r="1010" spans="1:160" ht="15" hidden="1" customHeight="1">
      <c r="A1010" s="1" t="s">
        <v>1295</v>
      </c>
      <c r="B1010" t="s">
        <v>2203</v>
      </c>
      <c r="C1010" t="s">
        <v>2204</v>
      </c>
      <c r="D1010" t="s">
        <v>2205</v>
      </c>
      <c r="E1010" t="s">
        <v>2206</v>
      </c>
      <c r="F1010" t="s">
        <v>2207</v>
      </c>
      <c r="G1010" t="s">
        <v>1301</v>
      </c>
      <c r="H1010" t="s">
        <v>254</v>
      </c>
      <c r="I1010">
        <v>2016</v>
      </c>
      <c r="J1010">
        <v>24</v>
      </c>
      <c r="K1010" t="s">
        <v>2208</v>
      </c>
      <c r="M1010" t="str">
        <f>LEFT($D1010,FIND(",",$D1010)-1)&amp;"_"&amp;I1010&amp;L1010</f>
        <v>Zubizarreta-Gerendiain_2016</v>
      </c>
      <c r="N1010" t="s">
        <v>222</v>
      </c>
      <c r="O1010" s="145" t="s">
        <v>1029</v>
      </c>
      <c r="Q1010" t="s">
        <v>256</v>
      </c>
      <c r="R1010" s="258" t="s">
        <v>223</v>
      </c>
      <c r="S1010" s="1" t="s">
        <v>2209</v>
      </c>
      <c r="T1010" t="s">
        <v>2225</v>
      </c>
      <c r="U1010" t="s">
        <v>2224</v>
      </c>
      <c r="V1010" s="253">
        <v>0</v>
      </c>
      <c r="W1010" s="253">
        <v>0</v>
      </c>
      <c r="X1010">
        <v>0</v>
      </c>
      <c r="Y1010">
        <v>0</v>
      </c>
      <c r="Z1010">
        <v>0</v>
      </c>
      <c r="AA1010">
        <v>2</v>
      </c>
      <c r="AB1010">
        <v>0</v>
      </c>
      <c r="AC1010">
        <v>0</v>
      </c>
      <c r="AD1010">
        <v>0</v>
      </c>
      <c r="AE1010">
        <v>0</v>
      </c>
      <c r="AF1010">
        <v>0</v>
      </c>
      <c r="AG1010">
        <v>0</v>
      </c>
      <c r="AH1010">
        <v>1</v>
      </c>
      <c r="AI1010">
        <v>0</v>
      </c>
      <c r="AJ1010">
        <v>0</v>
      </c>
      <c r="AK1010">
        <v>0</v>
      </c>
      <c r="AL1010">
        <v>0</v>
      </c>
      <c r="AM1010">
        <v>0</v>
      </c>
      <c r="AN1010">
        <v>0</v>
      </c>
      <c r="AO1010">
        <v>0</v>
      </c>
      <c r="AP1010">
        <v>2</v>
      </c>
      <c r="AQ1010">
        <v>2</v>
      </c>
      <c r="AR1010">
        <v>0</v>
      </c>
      <c r="AS1010">
        <v>0</v>
      </c>
      <c r="AT1010">
        <v>0</v>
      </c>
      <c r="AU1010">
        <v>0</v>
      </c>
      <c r="AV1010">
        <v>0</v>
      </c>
      <c r="AW1010">
        <v>0</v>
      </c>
      <c r="AX1010">
        <v>0</v>
      </c>
      <c r="AY1010">
        <v>0</v>
      </c>
      <c r="AZ1010" s="141">
        <f>COUNTIF(X1010:AY1010,"&lt;&gt;0")</f>
        <v>4</v>
      </c>
      <c r="BA1010" s="141">
        <f>COUNTIF(X1010:AN1010,"&lt;&gt;0")</f>
        <v>2</v>
      </c>
      <c r="BB1010">
        <f>COUNTIF(X1010:AE1010,"&lt;&gt;0")</f>
        <v>1</v>
      </c>
      <c r="BC1010">
        <f>COUNTIF(AF1010:AK1010,"&lt;&gt;0")</f>
        <v>1</v>
      </c>
      <c r="BD1010">
        <f>COUNTIF(AL1010:AN1010,"&lt;&gt;0")</f>
        <v>0</v>
      </c>
      <c r="BE1010">
        <f>COUNTIF(AU1010:AY1010,"&lt;&gt;0")</f>
        <v>0</v>
      </c>
      <c r="BF1010">
        <f>COUNTIF(AO1010:AT1010,"&lt;&gt;0")</f>
        <v>2</v>
      </c>
      <c r="BG1010" t="str">
        <f t="array" ref="BG1010">IF(BA1010=1,INDEX($X$7:$AN$7,MATCH(TRUE,INDEX($X1010:$AY1010&lt;&gt;0,),0)),IF(BA1010=0,INDEX($AO$7:$AY$7,MATCH(1,$AO1010:$AY1010,0)),IF(BH1010="Multiple strategies","mixed drivers",IF(BH1010="Supply chain","multiple supply","multiple silviculture"))))</f>
        <v>mixed drivers</v>
      </c>
      <c r="BH1010" s="2" t="str" cm="1">
        <f t="array" ref="BH1010">IF(COUNTIF(BB1010:BD1010,"&lt;&gt;0")=1,INDEX($X$4:$AY$4,MATCH(TRUE,INDEX($X1010:$AY1010&lt;&gt;0,),0)),IF(COUNTIF(BB1010:BD1010,"&lt;&gt;0")=0,INDEX($AO$4:$AY$4,MATCH(1,$AO1010:$AY1010,0)),"Multiple strategies"))</f>
        <v>Multiple strategies</v>
      </c>
      <c r="BO1010" s="143"/>
      <c r="BP1010" s="143"/>
      <c r="BR1010" s="143" t="s">
        <v>232</v>
      </c>
      <c r="BS1010" s="143"/>
      <c r="BT1010" t="s">
        <v>1070</v>
      </c>
      <c r="BU1010">
        <v>96842.271565495292</v>
      </c>
      <c r="BV1010">
        <v>-3408.5271565495204</v>
      </c>
      <c r="BW1010" s="144">
        <f>IFERROR(BV1010/BU1010,"")</f>
        <v>-3.5196687370600381E-2</v>
      </c>
      <c r="BX1010" s="144">
        <f>BV1010-BU1010</f>
        <v>-100250.79872204481</v>
      </c>
      <c r="BY1010" s="144"/>
      <c r="BZ1010" s="144">
        <f>BX1010</f>
        <v>-100250.79872204481</v>
      </c>
      <c r="CA1010" t="str">
        <f>IFERROR(BZ1010/BQ1010,"")</f>
        <v/>
      </c>
      <c r="CB1010">
        <v>0</v>
      </c>
      <c r="CC1010">
        <v>0</v>
      </c>
      <c r="CD1010">
        <v>0</v>
      </c>
      <c r="CE1010">
        <v>0</v>
      </c>
      <c r="CF1010">
        <v>0</v>
      </c>
      <c r="CG1010">
        <v>0</v>
      </c>
      <c r="CH1010">
        <v>0</v>
      </c>
      <c r="CI1010">
        <v>0</v>
      </c>
      <c r="CJ1010">
        <v>0</v>
      </c>
      <c r="CK1010">
        <v>0</v>
      </c>
      <c r="CL1010">
        <v>0</v>
      </c>
      <c r="CM1010">
        <v>0</v>
      </c>
      <c r="CN1010">
        <v>0</v>
      </c>
      <c r="CO1010">
        <v>1</v>
      </c>
      <c r="CP1010" t="str">
        <f>IF(BN1010&lt;BM1010,"refNeedCorrection","refOK")</f>
        <v>refOK</v>
      </c>
      <c r="CQ1010"/>
      <c r="CR1010"/>
      <c r="CS1010"/>
      <c r="CT1010">
        <f>IF(BI1010="Roundwood",$CS1010/2,$CS1010)</f>
        <v>0</v>
      </c>
      <c r="CU1010">
        <f>IF($CP1010="refOK",$BU1010,$BV1010)*IF($BR1010="Emissions positive",-1,1)</f>
        <v>96842.271565495292</v>
      </c>
      <c r="CV1010">
        <f>IF($CP1010="refOK",$BV1010,$BU1010)*IF($BR1010="Emissions positive",-1,1)</f>
        <v>-3408.5271565495204</v>
      </c>
      <c r="CW1010">
        <f>IF($CP1010="refNeedCorrection",-BZ1010,BZ1010)*IF($BR1010="Emissions positive",-1,1)</f>
        <v>-100250.79872204481</v>
      </c>
      <c r="CX1010" t="str">
        <f>IFERROR($CW1010/$CS1010,"")</f>
        <v/>
      </c>
      <c r="CY1010" t="str">
        <f>IFERROR($CW1010/$CS1010,"")</f>
        <v/>
      </c>
      <c r="CZ1010" t="str">
        <f>IFERROR($CW1010/$CT1010,"")</f>
        <v/>
      </c>
      <c r="DA1010" s="2">
        <f>IFERROR((CV1010-CU1010)/ABS(CU1010),"")</f>
        <v>-1.0351966873706004</v>
      </c>
      <c r="DB1010" s="1" t="s">
        <v>1074</v>
      </c>
      <c r="DC1010" t="str">
        <f>IF(OR($DB1010="prd",$DB1010="std",$DB1010="cit"),"loc",IF(OR($DB1010="eur",$DB1010="reg",$DB1010="coy"),"reg",$DB1010))</f>
        <v>reg</v>
      </c>
      <c r="DD1010" t="s">
        <v>235</v>
      </c>
      <c r="DE1010">
        <v>2010</v>
      </c>
      <c r="DF1010">
        <v>2070</v>
      </c>
      <c r="DG1010">
        <f>DF1010-DE1010</f>
        <v>60</v>
      </c>
      <c r="DH1010" t="str">
        <f>IF(DG1010=0,"0",IF(AND(DG1010&gt;=1,DG1010&lt;=30),"1-30",IF(AND(DG1010&gt;30,DG1010&lt;=70),"31-70",IF(AND(DG1010&gt;70,DG1010&lt;=100),"71-100",IF(DG1010&gt;100,"+100")))))</f>
        <v>31-70</v>
      </c>
      <c r="DI1010">
        <v>1</v>
      </c>
      <c r="DJ1010">
        <v>0</v>
      </c>
      <c r="DK1010">
        <v>0</v>
      </c>
      <c r="DL1010">
        <v>0</v>
      </c>
      <c r="DM1010">
        <v>0</v>
      </c>
      <c r="DN1010">
        <f>SUM(DI1010:DL1010)</f>
        <v>1</v>
      </c>
      <c r="DO1010" t="str">
        <f>IF(DN1010=1,INDEX($DI$7:$DL$7,MATCH(1,$DI1010:$DL1010,0)),"mixedProduct")</f>
        <v>UpstreamInput</v>
      </c>
      <c r="DP1010" t="str">
        <f>IF(DI1010=1,DP$7,0)</f>
        <v>Upstream</v>
      </c>
      <c r="DQ1010">
        <f>IF(DJ1010=1,DQ$7,0)</f>
        <v>0</v>
      </c>
      <c r="DR1010">
        <f>IF(DK1010=1,DR$7,0)</f>
        <v>0</v>
      </c>
      <c r="DS1010">
        <f>IF(DL1010=1,DS$7,0)</f>
        <v>0</v>
      </c>
      <c r="DT1010">
        <v>0</v>
      </c>
      <c r="DU1010">
        <v>0</v>
      </c>
      <c r="DV1010">
        <v>0</v>
      </c>
      <c r="DW1010">
        <v>0</v>
      </c>
      <c r="DX1010">
        <v>0</v>
      </c>
      <c r="DY1010">
        <f>SUM(DT1010:DU1010)</f>
        <v>0</v>
      </c>
      <c r="DZ1010" s="143" t="str">
        <f>IF(DT1010=1,"self-calculated DF",IF(DU1010=1,"external DF used","explicit C balance"))</f>
        <v>explicit C balance</v>
      </c>
      <c r="EA1010">
        <v>1</v>
      </c>
      <c r="EB1010">
        <v>1</v>
      </c>
      <c r="EC1010">
        <v>1</v>
      </c>
      <c r="ED1010">
        <v>1</v>
      </c>
      <c r="EE1010">
        <v>0</v>
      </c>
      <c r="EF1010" s="143">
        <v>0</v>
      </c>
      <c r="EG1010">
        <v>0</v>
      </c>
      <c r="EH1010">
        <v>0</v>
      </c>
      <c r="EI1010">
        <v>0</v>
      </c>
      <c r="EJ1010">
        <v>0</v>
      </c>
      <c r="EK1010">
        <v>1</v>
      </c>
      <c r="EL1010">
        <v>0</v>
      </c>
      <c r="EM1010">
        <v>0</v>
      </c>
      <c r="EN1010" s="2">
        <v>0</v>
      </c>
      <c r="EP1010" t="str">
        <f>IF(AND(AND(AND(OR($EC1010=1,$EB1010=1),OR($EH1010=1,$EF1010=1)),SUM($EA1010:$EE1010,$EK1010)&gt;=3),SUM($EF1010:$EJ1010)&gt;=2),"Whole sector approach","")</f>
        <v/>
      </c>
      <c r="EQ1010" t="str">
        <f>IF(AND(AND(OR($EC1010=1,$EB1010=1),AND($EH1010=0,$EF1010=0)),SUM($EA1010:$EE1010,$EK1010)&gt;=4),"Ecosystem approach","")</f>
        <v>Ecosystem approach</v>
      </c>
      <c r="ER1010" s="2" t="str">
        <f>IF(AND(AND(AND($EC1010=0,$EB1010=0),OR($EH1010=1,$EF1010=1)),SUM($EG1010:$EJ1010)&gt;=2),"Technology approach","")</f>
        <v/>
      </c>
      <c r="ES1010" t="str">
        <f>IF(AND($EC1010+$EB1010+$EE1010+$EA1010+$ED1010+$EG1010=0,$N1010="included"),"C neutral forest and HWP assumption","")</f>
        <v/>
      </c>
      <c r="ET1010" t="str">
        <f>IF(AND(AND(AND(AND($EC1010=1,$EB1010+$EA1010+$EG1010&gt;=1),$EF1010=1),$EH1010+$EI1010+$ED1010+$EE1010&gt;=2),$N1010="included"),"All C pools assumption","")</f>
        <v/>
      </c>
      <c r="EU1010" t="str">
        <f>IF(AND($ED1010+$EE1010+$EI1010+$EH1010+$EF1010=0,$N1010="included"),"In-situ only assumption","")</f>
        <v/>
      </c>
      <c r="EY1010" t="b">
        <f>IF(ISNUMBER(BW1010),IF(ABS(BW1010-[2]QC_indicators!$B$2)&gt;3*[2]QC_indicators!$C$2,"C ratio",IF(ISNUMBER(CA1010),IF(ABS(CA1010-[2]QC_indicators!$B$1)&gt;3*[2]QC_indicators!$C$1,"DF","no"))),IF(ISNUMBER(CA1010),IF(ABS(CA1010-[2]QC_indicators!$B$1)&gt;3*[2]QC_indicators!$C$1,"DF","no")))</f>
        <v>0</v>
      </c>
      <c r="FA1010" t="str">
        <f>IF(LEN($CY1010)=0,"",IF(AND($CY1010&lt;(-0.05),$ES1010="C neutral forest and HWP assumption"),"Cneutral paradox",IF(AND($CY1010&gt;0.05,$EU1010="In-situ only assumption"),"In-situ only paradox","")))</f>
        <v/>
      </c>
      <c r="FD1010" s="260" t="s">
        <v>2948</v>
      </c>
    </row>
    <row r="1011" spans="1:160" ht="18" hidden="1" customHeight="1">
      <c r="A1011" s="1" t="s">
        <v>1295</v>
      </c>
      <c r="B1011" t="s">
        <v>2203</v>
      </c>
      <c r="C1011" t="s">
        <v>2204</v>
      </c>
      <c r="D1011" t="s">
        <v>2205</v>
      </c>
      <c r="E1011" t="s">
        <v>2206</v>
      </c>
      <c r="F1011" t="s">
        <v>2207</v>
      </c>
      <c r="G1011" t="s">
        <v>1301</v>
      </c>
      <c r="H1011" t="s">
        <v>254</v>
      </c>
      <c r="I1011">
        <v>2016</v>
      </c>
      <c r="J1011">
        <v>24</v>
      </c>
      <c r="K1011" t="s">
        <v>2208</v>
      </c>
      <c r="M1011" t="str">
        <f>LEFT($D1011,FIND(",",$D1011)-1)&amp;"_"&amp;I1011&amp;L1011</f>
        <v>Zubizarreta-Gerendiain_2016</v>
      </c>
      <c r="N1011" t="s">
        <v>222</v>
      </c>
      <c r="O1011" s="145" t="s">
        <v>1029</v>
      </c>
      <c r="Q1011" t="s">
        <v>256</v>
      </c>
      <c r="R1011" s="258" t="s">
        <v>223</v>
      </c>
      <c r="S1011" s="1" t="s">
        <v>2219</v>
      </c>
      <c r="T1011" t="s">
        <v>2223</v>
      </c>
      <c r="U1011" t="s">
        <v>2224</v>
      </c>
      <c r="V1011" s="253">
        <v>0</v>
      </c>
      <c r="W1011" s="253">
        <v>0</v>
      </c>
      <c r="X1011">
        <v>0</v>
      </c>
      <c r="Y1011">
        <v>0</v>
      </c>
      <c r="Z1011">
        <v>0</v>
      </c>
      <c r="AA1011">
        <v>2</v>
      </c>
      <c r="AB1011">
        <v>0</v>
      </c>
      <c r="AC1011">
        <v>0</v>
      </c>
      <c r="AD1011">
        <v>0</v>
      </c>
      <c r="AE1011">
        <v>0</v>
      </c>
      <c r="AF1011">
        <v>0</v>
      </c>
      <c r="AG1011">
        <v>0</v>
      </c>
      <c r="AH1011">
        <v>1</v>
      </c>
      <c r="AI1011">
        <v>0</v>
      </c>
      <c r="AJ1011">
        <v>0</v>
      </c>
      <c r="AK1011">
        <v>0</v>
      </c>
      <c r="AL1011">
        <v>0</v>
      </c>
      <c r="AM1011">
        <v>0</v>
      </c>
      <c r="AN1011">
        <v>0</v>
      </c>
      <c r="AO1011">
        <v>0</v>
      </c>
      <c r="AP1011">
        <v>2</v>
      </c>
      <c r="AQ1011">
        <v>2</v>
      </c>
      <c r="AR1011">
        <v>0</v>
      </c>
      <c r="AS1011">
        <v>0</v>
      </c>
      <c r="AT1011">
        <v>0</v>
      </c>
      <c r="AU1011">
        <v>0</v>
      </c>
      <c r="AV1011">
        <v>0</v>
      </c>
      <c r="AW1011">
        <v>0</v>
      </c>
      <c r="AX1011">
        <v>0</v>
      </c>
      <c r="AY1011">
        <v>0</v>
      </c>
      <c r="AZ1011" s="141">
        <f>COUNTIF(X1011:AY1011,"&lt;&gt;0")</f>
        <v>4</v>
      </c>
      <c r="BA1011" s="141">
        <f>COUNTIF(X1011:AN1011,"&lt;&gt;0")</f>
        <v>2</v>
      </c>
      <c r="BB1011">
        <f>COUNTIF(X1011:AE1011,"&lt;&gt;0")</f>
        <v>1</v>
      </c>
      <c r="BC1011">
        <f>COUNTIF(AF1011:AK1011,"&lt;&gt;0")</f>
        <v>1</v>
      </c>
      <c r="BD1011">
        <f>COUNTIF(AL1011:AN1011,"&lt;&gt;0")</f>
        <v>0</v>
      </c>
      <c r="BE1011">
        <f>COUNTIF(AU1011:AY1011,"&lt;&gt;0")</f>
        <v>0</v>
      </c>
      <c r="BF1011">
        <f>COUNTIF(AO1011:AT1011,"&lt;&gt;0")</f>
        <v>2</v>
      </c>
      <c r="BG1011" t="str">
        <f t="array" ref="BG1011">IF(BA1011=1,INDEX($X$7:$AN$7,MATCH(TRUE,INDEX($X1011:$AY1011&lt;&gt;0,),0)),IF(BA1011=0,INDEX($AO$7:$AY$7,MATCH(1,$AO1011:$AY1011,0)),IF(BH1011="Multiple strategies","mixed drivers",IF(BH1011="Supply chain","multiple supply","multiple silviculture"))))</f>
        <v>mixed drivers</v>
      </c>
      <c r="BH1011" s="2" t="str" cm="1">
        <f t="array" ref="BH1011">IF(COUNTIF(BB1011:BD1011,"&lt;&gt;0")=1,INDEX($X$4:$AY$4,MATCH(TRUE,INDEX($X1011:$AY1011&lt;&gt;0,),0)),IF(COUNTIF(BB1011:BD1011,"&lt;&gt;0")=0,INDEX($AO$4:$AY$4,MATCH(1,$AO1011:$AY1011,0)),"Multiple strategies"))</f>
        <v>Multiple strategies</v>
      </c>
      <c r="BO1011" s="143"/>
      <c r="BP1011" s="143"/>
      <c r="BR1011" s="143" t="s">
        <v>232</v>
      </c>
      <c r="BS1011" s="143"/>
      <c r="BT1011" t="s">
        <v>1070</v>
      </c>
      <c r="BU1011">
        <v>121904.97124600642</v>
      </c>
      <c r="BV1011">
        <v>-3408.5271565495204</v>
      </c>
      <c r="BW1011" s="144">
        <f>IFERROR(BV1011/BU1011,"")</f>
        <v>-2.7960526315789463E-2</v>
      </c>
      <c r="BX1011" s="144">
        <f>BV1011-BU1011</f>
        <v>-125313.49840255594</v>
      </c>
      <c r="BY1011" s="144"/>
      <c r="BZ1011" s="144">
        <f>BX1011</f>
        <v>-125313.49840255594</v>
      </c>
      <c r="CA1011" t="str">
        <f>IFERROR(BZ1011/BQ1011,"")</f>
        <v/>
      </c>
      <c r="CB1011">
        <v>0</v>
      </c>
      <c r="CC1011">
        <v>0</v>
      </c>
      <c r="CD1011">
        <v>0</v>
      </c>
      <c r="CE1011">
        <v>0</v>
      </c>
      <c r="CF1011">
        <v>0</v>
      </c>
      <c r="CG1011">
        <v>0</v>
      </c>
      <c r="CH1011">
        <v>0</v>
      </c>
      <c r="CI1011">
        <v>0</v>
      </c>
      <c r="CJ1011">
        <v>0</v>
      </c>
      <c r="CK1011">
        <v>0</v>
      </c>
      <c r="CL1011">
        <v>0</v>
      </c>
      <c r="CM1011">
        <v>0</v>
      </c>
      <c r="CN1011">
        <v>0</v>
      </c>
      <c r="CO1011">
        <v>1</v>
      </c>
      <c r="CP1011" t="str">
        <f>IF(BN1011&lt;BM1011,"refNeedCorrection","refOK")</f>
        <v>refOK</v>
      </c>
      <c r="CQ1011"/>
      <c r="CR1011"/>
      <c r="CS1011"/>
      <c r="CT1011">
        <f>IF(BI1011="Roundwood",$CS1011/2,$CS1011)</f>
        <v>0</v>
      </c>
      <c r="CU1011">
        <f>IF($CP1011="refOK",$BU1011,$BV1011)*IF($BR1011="Emissions positive",-1,1)</f>
        <v>121904.97124600642</v>
      </c>
      <c r="CV1011">
        <f>IF($CP1011="refOK",$BV1011,$BU1011)*IF($BR1011="Emissions positive",-1,1)</f>
        <v>-3408.5271565495204</v>
      </c>
      <c r="CW1011">
        <f>IF($CP1011="refNeedCorrection",-BZ1011,BZ1011)*IF($BR1011="Emissions positive",-1,1)</f>
        <v>-125313.49840255594</v>
      </c>
      <c r="CX1011" t="str">
        <f>IFERROR($CW1011/$CS1011,"")</f>
        <v/>
      </c>
      <c r="CY1011" t="str">
        <f>IFERROR($CW1011/$CS1011,"")</f>
        <v/>
      </c>
      <c r="CZ1011" t="str">
        <f>IFERROR($CW1011/$CT1011,"")</f>
        <v/>
      </c>
      <c r="DA1011" s="2">
        <f>IFERROR((CV1011-CU1011)/ABS(CU1011),"")</f>
        <v>-1.0279605263157894</v>
      </c>
      <c r="DB1011" s="1" t="s">
        <v>1074</v>
      </c>
      <c r="DC1011" t="str">
        <f>IF(OR($DB1011="prd",$DB1011="std",$DB1011="cit"),"loc",IF(OR($DB1011="eur",$DB1011="reg",$DB1011="coy"),"reg",$DB1011))</f>
        <v>reg</v>
      </c>
      <c r="DD1011" t="s">
        <v>235</v>
      </c>
      <c r="DE1011">
        <v>2010</v>
      </c>
      <c r="DF1011">
        <v>2070</v>
      </c>
      <c r="DG1011">
        <f>DF1011-DE1011</f>
        <v>60</v>
      </c>
      <c r="DH1011" t="str">
        <f>IF(DG1011=0,"0",IF(AND(DG1011&gt;=1,DG1011&lt;=30),"1-30",IF(AND(DG1011&gt;30,DG1011&lt;=70),"31-70",IF(AND(DG1011&gt;70,DG1011&lt;=100),"71-100",IF(DG1011&gt;100,"+100")))))</f>
        <v>31-70</v>
      </c>
      <c r="DI1011">
        <v>1</v>
      </c>
      <c r="DJ1011">
        <v>0</v>
      </c>
      <c r="DK1011">
        <v>0</v>
      </c>
      <c r="DL1011">
        <v>0</v>
      </c>
      <c r="DM1011">
        <v>0</v>
      </c>
      <c r="DN1011">
        <f>SUM(DI1011:DL1011)</f>
        <v>1</v>
      </c>
      <c r="DO1011" t="str">
        <f>IF(DN1011=1,INDEX($DI$7:$DL$7,MATCH(1,$DI1011:$DL1011,0)),"mixedProduct")</f>
        <v>UpstreamInput</v>
      </c>
      <c r="DP1011" t="str">
        <f>IF(DI1011=1,DP$7,0)</f>
        <v>Upstream</v>
      </c>
      <c r="DQ1011">
        <f>IF(DJ1011=1,DQ$7,0)</f>
        <v>0</v>
      </c>
      <c r="DR1011">
        <f>IF(DK1011=1,DR$7,0)</f>
        <v>0</v>
      </c>
      <c r="DS1011">
        <f>IF(DL1011=1,DS$7,0)</f>
        <v>0</v>
      </c>
      <c r="DT1011">
        <v>0</v>
      </c>
      <c r="DU1011">
        <v>0</v>
      </c>
      <c r="DV1011">
        <v>0</v>
      </c>
      <c r="DW1011">
        <v>0</v>
      </c>
      <c r="DX1011">
        <v>0</v>
      </c>
      <c r="DY1011">
        <f>SUM(DT1011:DU1011)</f>
        <v>0</v>
      </c>
      <c r="DZ1011" s="143" t="str">
        <f>IF(DT1011=1,"self-calculated DF",IF(DU1011=1,"external DF used","explicit C balance"))</f>
        <v>explicit C balance</v>
      </c>
      <c r="EA1011">
        <v>1</v>
      </c>
      <c r="EB1011">
        <v>1</v>
      </c>
      <c r="EC1011">
        <v>1</v>
      </c>
      <c r="ED1011">
        <v>1</v>
      </c>
      <c r="EE1011">
        <v>0</v>
      </c>
      <c r="EF1011" s="143">
        <v>0</v>
      </c>
      <c r="EG1011">
        <v>0</v>
      </c>
      <c r="EH1011">
        <v>0</v>
      </c>
      <c r="EI1011">
        <v>0</v>
      </c>
      <c r="EJ1011">
        <v>0</v>
      </c>
      <c r="EK1011">
        <v>1</v>
      </c>
      <c r="EL1011">
        <v>0</v>
      </c>
      <c r="EM1011">
        <v>0</v>
      </c>
      <c r="EN1011" s="2">
        <v>0</v>
      </c>
      <c r="EP1011" t="str">
        <f>IF(AND(AND(AND(OR($EC1011=1,$EB1011=1),OR($EH1011=1,$EF1011=1)),SUM($EA1011:$EE1011,$EK1011)&gt;=3),SUM($EF1011:$EJ1011)&gt;=2),"Whole sector approach","")</f>
        <v/>
      </c>
      <c r="EQ1011" t="str">
        <f>IF(AND(AND(OR($EC1011=1,$EB1011=1),AND($EH1011=0,$EF1011=0)),SUM($EA1011:$EE1011,$EK1011)&gt;=4),"Ecosystem approach","")</f>
        <v>Ecosystem approach</v>
      </c>
      <c r="ER1011" s="2" t="str">
        <f>IF(AND(AND(AND($EC1011=0,$EB1011=0),OR($EH1011=1,$EF1011=1)),SUM($EG1011:$EJ1011)&gt;=2),"Technology approach","")</f>
        <v/>
      </c>
      <c r="ES1011" t="str">
        <f>IF(AND($EC1011+$EB1011+$EE1011+$EA1011+$ED1011+$EG1011=0,$N1011="included"),"C neutral forest and HWP assumption","")</f>
        <v/>
      </c>
      <c r="ET1011" t="str">
        <f>IF(AND(AND(AND(AND($EC1011=1,$EB1011+$EA1011+$EG1011&gt;=1),$EF1011=1),$EH1011+$EI1011+$ED1011+$EE1011&gt;=2),$N1011="included"),"All C pools assumption","")</f>
        <v/>
      </c>
      <c r="EU1011" t="str">
        <f>IF(AND($ED1011+$EE1011+$EI1011+$EH1011+$EF1011=0,$N1011="included"),"In-situ only assumption","")</f>
        <v/>
      </c>
      <c r="EW1011" t="s">
        <v>2221</v>
      </c>
      <c r="EY1011" t="b">
        <f>IF(ISNUMBER(BW1011),IF(ABS(BW1011-[2]QC_indicators!$B$2)&gt;3*[2]QC_indicators!$C$2,"C ratio",IF(ISNUMBER(CA1011),IF(ABS(CA1011-[2]QC_indicators!$B$1)&gt;3*[2]QC_indicators!$C$1,"DF","no"))),IF(ISNUMBER(CA1011),IF(ABS(CA1011-[2]QC_indicators!$B$1)&gt;3*[2]QC_indicators!$C$1,"DF","no")))</f>
        <v>0</v>
      </c>
      <c r="FA1011" t="str">
        <f>IF(LEN($CY1011)=0,"",IF(AND($CY1011&lt;(-0.05),$ES1011="C neutral forest and HWP assumption"),"Cneutral paradox",IF(AND($CY1011&gt;0.05,$EU1011="In-situ only assumption"),"In-situ only paradox","")))</f>
        <v/>
      </c>
      <c r="FD1011" s="260" t="s">
        <v>2948</v>
      </c>
    </row>
    <row r="1012" spans="1:160" ht="15" hidden="1" customHeight="1">
      <c r="A1012" s="1" t="s">
        <v>1295</v>
      </c>
      <c r="B1012" t="s">
        <v>2203</v>
      </c>
      <c r="C1012" t="s">
        <v>2204</v>
      </c>
      <c r="D1012" t="s">
        <v>2205</v>
      </c>
      <c r="E1012" t="s">
        <v>2206</v>
      </c>
      <c r="F1012" t="s">
        <v>2207</v>
      </c>
      <c r="G1012" t="s">
        <v>1301</v>
      </c>
      <c r="H1012" t="s">
        <v>254</v>
      </c>
      <c r="I1012">
        <v>2016</v>
      </c>
      <c r="J1012">
        <v>24</v>
      </c>
      <c r="K1012" t="s">
        <v>2208</v>
      </c>
      <c r="M1012" t="str">
        <f>LEFT($D1012,FIND(",",$D1012)-1)&amp;"_"&amp;I1012&amp;L1012</f>
        <v>Zubizarreta-Gerendiain_2016</v>
      </c>
      <c r="N1012" t="s">
        <v>222</v>
      </c>
      <c r="O1012" s="145" t="s">
        <v>1029</v>
      </c>
      <c r="Q1012" t="s">
        <v>256</v>
      </c>
      <c r="R1012" s="258" t="s">
        <v>223</v>
      </c>
      <c r="S1012" s="1" t="s">
        <v>2209</v>
      </c>
      <c r="T1012" t="s">
        <v>2226</v>
      </c>
      <c r="U1012" t="s">
        <v>2224</v>
      </c>
      <c r="V1012" s="253">
        <v>0</v>
      </c>
      <c r="W1012" s="253">
        <v>0</v>
      </c>
      <c r="X1012">
        <v>0</v>
      </c>
      <c r="Y1012">
        <v>0</v>
      </c>
      <c r="Z1012">
        <v>0</v>
      </c>
      <c r="AA1012">
        <v>2</v>
      </c>
      <c r="AB1012">
        <v>0</v>
      </c>
      <c r="AC1012">
        <v>0</v>
      </c>
      <c r="AD1012">
        <v>0</v>
      </c>
      <c r="AE1012">
        <v>0</v>
      </c>
      <c r="AF1012">
        <v>0</v>
      </c>
      <c r="AG1012">
        <v>0</v>
      </c>
      <c r="AH1012">
        <v>1</v>
      </c>
      <c r="AI1012">
        <v>0</v>
      </c>
      <c r="AJ1012">
        <v>0</v>
      </c>
      <c r="AK1012">
        <v>0</v>
      </c>
      <c r="AL1012">
        <v>0</v>
      </c>
      <c r="AM1012">
        <v>0</v>
      </c>
      <c r="AN1012">
        <v>0</v>
      </c>
      <c r="AO1012">
        <v>0</v>
      </c>
      <c r="AP1012">
        <v>2</v>
      </c>
      <c r="AQ1012">
        <v>2</v>
      </c>
      <c r="AR1012">
        <v>0</v>
      </c>
      <c r="AS1012">
        <v>0</v>
      </c>
      <c r="AT1012">
        <v>0</v>
      </c>
      <c r="AU1012">
        <v>0</v>
      </c>
      <c r="AV1012">
        <v>0</v>
      </c>
      <c r="AW1012">
        <v>0</v>
      </c>
      <c r="AX1012">
        <v>0</v>
      </c>
      <c r="AY1012">
        <v>0</v>
      </c>
      <c r="AZ1012" s="141">
        <f>COUNTIF(X1012:AY1012,"&lt;&gt;0")</f>
        <v>4</v>
      </c>
      <c r="BA1012" s="141">
        <f>COUNTIF(X1012:AN1012,"&lt;&gt;0")</f>
        <v>2</v>
      </c>
      <c r="BB1012">
        <f>COUNTIF(X1012:AE1012,"&lt;&gt;0")</f>
        <v>1</v>
      </c>
      <c r="BC1012">
        <f>COUNTIF(AF1012:AK1012,"&lt;&gt;0")</f>
        <v>1</v>
      </c>
      <c r="BD1012">
        <f>COUNTIF(AL1012:AN1012,"&lt;&gt;0")</f>
        <v>0</v>
      </c>
      <c r="BE1012">
        <f>COUNTIF(AU1012:AY1012,"&lt;&gt;0")</f>
        <v>0</v>
      </c>
      <c r="BF1012">
        <f>COUNTIF(AO1012:AT1012,"&lt;&gt;0")</f>
        <v>2</v>
      </c>
      <c r="BG1012" t="str">
        <f t="array" ref="BG1012">IF(BA1012=1,INDEX($X$7:$AN$7,MATCH(TRUE,INDEX($X1012:$AY1012&lt;&gt;0,),0)),IF(BA1012=0,INDEX($AO$7:$AY$7,MATCH(1,$AO1012:$AY1012,0)),IF(BH1012="Multiple strategies","mixed drivers",IF(BH1012="Supply chain","multiple supply","multiple silviculture"))))</f>
        <v>mixed drivers</v>
      </c>
      <c r="BH1012" s="2" t="str" cm="1">
        <f t="array" ref="BH1012">IF(COUNTIF(BB1012:BD1012,"&lt;&gt;0")=1,INDEX($X$4:$AY$4,MATCH(TRUE,INDEX($X1012:$AY1012&lt;&gt;0,),0)),IF(COUNTIF(BB1012:BD1012,"&lt;&gt;0")=0,INDEX($AO$4:$AY$4,MATCH(1,$AO1012:$AY1012,0)),"Multiple strategies"))</f>
        <v>Multiple strategies</v>
      </c>
      <c r="BO1012" s="143"/>
      <c r="BP1012" s="143"/>
      <c r="BR1012" s="143" t="s">
        <v>232</v>
      </c>
      <c r="BS1012" s="143"/>
      <c r="BT1012" t="s">
        <v>1070</v>
      </c>
      <c r="BU1012">
        <v>-4411.0351437700365</v>
      </c>
      <c r="BV1012">
        <v>-70376.060702875271</v>
      </c>
      <c r="BW1012" s="144">
        <f>IFERROR(BV1012/BU1012,"")</f>
        <v>15.954545454545178</v>
      </c>
      <c r="BX1012" s="144">
        <f>BV1012-BU1012</f>
        <v>-65965.025559105241</v>
      </c>
      <c r="BY1012" s="144"/>
      <c r="BZ1012" s="144">
        <f>BX1012</f>
        <v>-65965.025559105241</v>
      </c>
      <c r="CA1012" t="str">
        <f>IFERROR(BZ1012/BQ1012,"")</f>
        <v/>
      </c>
      <c r="CB1012">
        <v>0</v>
      </c>
      <c r="CC1012">
        <v>0</v>
      </c>
      <c r="CD1012">
        <v>0</v>
      </c>
      <c r="CE1012">
        <v>0</v>
      </c>
      <c r="CF1012">
        <v>0</v>
      </c>
      <c r="CG1012">
        <v>0</v>
      </c>
      <c r="CH1012">
        <v>0</v>
      </c>
      <c r="CI1012">
        <v>0</v>
      </c>
      <c r="CJ1012">
        <v>0</v>
      </c>
      <c r="CK1012">
        <v>0</v>
      </c>
      <c r="CL1012">
        <v>0</v>
      </c>
      <c r="CM1012">
        <v>0</v>
      </c>
      <c r="CN1012">
        <v>0</v>
      </c>
      <c r="CO1012">
        <v>1</v>
      </c>
      <c r="CP1012" t="str">
        <f>IF(BN1012&lt;BM1012,"refNeedCorrection","refOK")</f>
        <v>refOK</v>
      </c>
      <c r="CQ1012"/>
      <c r="CR1012"/>
      <c r="CS1012"/>
      <c r="CT1012">
        <f>IF(BI1012="Roundwood",$CS1012/2,$CS1012)</f>
        <v>0</v>
      </c>
      <c r="CU1012">
        <f>IF($CP1012="refOK",$BU1012,$BV1012)*IF($BR1012="Emissions positive",-1,1)</f>
        <v>-4411.0351437700365</v>
      </c>
      <c r="CV1012">
        <f>IF($CP1012="refOK",$BV1012,$BU1012)*IF($BR1012="Emissions positive",-1,1)</f>
        <v>-70376.060702875271</v>
      </c>
      <c r="CW1012">
        <f>IF($CP1012="refNeedCorrection",-BZ1012,BZ1012)*IF($BR1012="Emissions positive",-1,1)</f>
        <v>-65965.025559105241</v>
      </c>
      <c r="CX1012" t="str">
        <f>IFERROR($CW1012/$CS1012,"")</f>
        <v/>
      </c>
      <c r="CY1012" t="str">
        <f>IFERROR($CW1012/$CS1012,"")</f>
        <v/>
      </c>
      <c r="CZ1012" t="str">
        <f>IFERROR($CW1012/$CT1012,"")</f>
        <v/>
      </c>
      <c r="DA1012" s="2">
        <f>IFERROR((CV1012-CU1012)/ABS(CU1012),"")</f>
        <v>-14.95454545454518</v>
      </c>
      <c r="DB1012" s="1" t="s">
        <v>1074</v>
      </c>
      <c r="DC1012" t="str">
        <f>IF(OR($DB1012="prd",$DB1012="std",$DB1012="cit"),"loc",IF(OR($DB1012="eur",$DB1012="reg",$DB1012="coy"),"reg",$DB1012))</f>
        <v>reg</v>
      </c>
      <c r="DD1012" t="s">
        <v>235</v>
      </c>
      <c r="DE1012">
        <v>2010</v>
      </c>
      <c r="DF1012">
        <v>2070</v>
      </c>
      <c r="DG1012">
        <f>DF1012-DE1012</f>
        <v>60</v>
      </c>
      <c r="DH1012" t="str">
        <f>IF(DG1012=0,"0",IF(AND(DG1012&gt;=1,DG1012&lt;=30),"1-30",IF(AND(DG1012&gt;30,DG1012&lt;=70),"31-70",IF(AND(DG1012&gt;70,DG1012&lt;=100),"71-100",IF(DG1012&gt;100,"+100")))))</f>
        <v>31-70</v>
      </c>
      <c r="DI1012">
        <v>1</v>
      </c>
      <c r="DJ1012">
        <v>1</v>
      </c>
      <c r="DK1012">
        <v>1</v>
      </c>
      <c r="DL1012">
        <v>1</v>
      </c>
      <c r="DM1012">
        <v>0</v>
      </c>
      <c r="DN1012">
        <f>SUM(DI1012:DL1012)</f>
        <v>4</v>
      </c>
      <c r="DO1012" t="str">
        <f>IF(DN1012=1,INDEX($DI$7:$DL$7,MATCH(1,$DI1012:$DL1012,0)),"mixedProduct")</f>
        <v>mixedProduct</v>
      </c>
      <c r="DP1012" t="str">
        <f>IF(DI1012=1,DP$7,0)</f>
        <v>Upstream</v>
      </c>
      <c r="DQ1012" t="str">
        <f>IF(DJ1012=1,DQ$7,0)</f>
        <v>Energy</v>
      </c>
      <c r="DR1012" t="str">
        <f>IF(DK1012=1,DR$7,0)</f>
        <v>Pulp/Paper</v>
      </c>
      <c r="DS1012" t="str">
        <f>IF(DL1012=1,DS$7,0)</f>
        <v>Timber</v>
      </c>
      <c r="DT1012">
        <v>0</v>
      </c>
      <c r="DU1012">
        <v>0</v>
      </c>
      <c r="DV1012">
        <v>0</v>
      </c>
      <c r="DW1012">
        <v>0</v>
      </c>
      <c r="DX1012">
        <v>0</v>
      </c>
      <c r="DY1012">
        <f>SUM(DT1012:DU1012)</f>
        <v>0</v>
      </c>
      <c r="DZ1012" s="143" t="str">
        <f>IF(DT1012=1,"self-calculated DF",IF(DU1012=1,"external DF used","explicit C balance"))</f>
        <v>explicit C balance</v>
      </c>
      <c r="EA1012">
        <v>1</v>
      </c>
      <c r="EB1012">
        <v>1</v>
      </c>
      <c r="EC1012">
        <v>1</v>
      </c>
      <c r="ED1012">
        <v>0</v>
      </c>
      <c r="EE1012">
        <v>0</v>
      </c>
      <c r="EF1012" s="143">
        <v>0</v>
      </c>
      <c r="EG1012">
        <v>1</v>
      </c>
      <c r="EH1012">
        <v>1</v>
      </c>
      <c r="EI1012">
        <v>0</v>
      </c>
      <c r="EJ1012">
        <v>0</v>
      </c>
      <c r="EK1012">
        <v>1</v>
      </c>
      <c r="EL1012">
        <v>0</v>
      </c>
      <c r="EM1012">
        <v>0</v>
      </c>
      <c r="EN1012" s="2">
        <v>0</v>
      </c>
      <c r="EP1012" t="str">
        <f>IF(AND(AND(AND(OR($EC1012=1,$EB1012=1),OR($EH1012=1,$EF1012=1)),SUM($EA1012:$EE1012,$EK1012)&gt;=3),SUM($EF1012:$EJ1012)&gt;=2),"Whole sector approach","")</f>
        <v>Whole sector approach</v>
      </c>
      <c r="EQ1012" t="str">
        <f>IF(AND(AND(OR($EC1012=1,$EB1012=1),AND($EH1012=0,$EF1012=0)),SUM($EA1012:$EE1012,$EK1012)&gt;=4),"Ecosystem approach","")</f>
        <v/>
      </c>
      <c r="ER1012" s="2" t="str">
        <f>IF(AND(AND(AND($EC1012=0,$EB1012=0),OR($EH1012=1,$EF1012=1)),SUM($EG1012:$EJ1012)&gt;=2),"Technology approach","")</f>
        <v/>
      </c>
      <c r="ES1012" t="str">
        <f>IF(AND($EC1012+$EB1012+$EE1012+$EA1012+$ED1012+$EG1012=0,$N1012="included"),"C neutral forest and HWP assumption","")</f>
        <v/>
      </c>
      <c r="ET1012" t="str">
        <f>IF(AND(AND(AND(AND($EC1012=1,$EB1012+$EA1012+$EG1012&gt;=1),$EF1012=1),$EH1012+$EI1012+$ED1012+$EE1012&gt;=2),$N1012="included"),"All C pools assumption","")</f>
        <v/>
      </c>
      <c r="EU1012" t="str">
        <f>IF(AND($ED1012+$EE1012+$EI1012+$EH1012+$EF1012=0,$N1012="included"),"In-situ only assumption","")</f>
        <v/>
      </c>
      <c r="EY1012" t="str">
        <f>IF(ISNUMBER(BW1012),IF(ABS(BW1012-[2]QC_indicators!$B$2)&gt;3*[2]QC_indicators!$C$2,"C ratio",IF(ISNUMBER(CA1012),IF(ABS(CA1012-[2]QC_indicators!$B$1)&gt;3*[2]QC_indicators!$C$1,"DF","no"))),IF(ISNUMBER(CA1012),IF(ABS(CA1012-[2]QC_indicators!$B$1)&gt;3*[2]QC_indicators!$C$1,"DF","no")))</f>
        <v>C ratio</v>
      </c>
      <c r="EZ1012" t="s">
        <v>2214</v>
      </c>
      <c r="FA1012" t="str">
        <f>IF(LEN($CY1012)=0,"",IF(AND($CY1012&lt;(-0.05),$ES1012="C neutral forest and HWP assumption"),"Cneutral paradox",IF(AND($CY1012&gt;0.05,$EU1012="In-situ only assumption"),"In-situ only paradox","")))</f>
        <v/>
      </c>
      <c r="FD1012" s="260" t="s">
        <v>2948</v>
      </c>
    </row>
    <row r="1013" spans="1:160" ht="15" hidden="1" customHeight="1">
      <c r="A1013" s="1" t="s">
        <v>1295</v>
      </c>
      <c r="B1013" t="s">
        <v>2203</v>
      </c>
      <c r="C1013" t="s">
        <v>2204</v>
      </c>
      <c r="D1013" t="s">
        <v>2205</v>
      </c>
      <c r="E1013" t="s">
        <v>2206</v>
      </c>
      <c r="F1013" t="s">
        <v>2207</v>
      </c>
      <c r="G1013" t="s">
        <v>1301</v>
      </c>
      <c r="H1013" t="s">
        <v>254</v>
      </c>
      <c r="I1013">
        <v>2016</v>
      </c>
      <c r="J1013">
        <v>24</v>
      </c>
      <c r="K1013" t="s">
        <v>2208</v>
      </c>
      <c r="M1013" t="str">
        <f>LEFT($D1013,FIND(",",$D1013)-1)&amp;"_"&amp;I1013&amp;L1013</f>
        <v>Zubizarreta-Gerendiain_2016</v>
      </c>
      <c r="N1013" t="s">
        <v>222</v>
      </c>
      <c r="O1013" s="145" t="s">
        <v>1029</v>
      </c>
      <c r="Q1013" t="s">
        <v>256</v>
      </c>
      <c r="R1013" s="258" t="s">
        <v>223</v>
      </c>
      <c r="S1013" s="1" t="s">
        <v>2209</v>
      </c>
      <c r="T1013" t="s">
        <v>2229</v>
      </c>
      <c r="U1013" t="s">
        <v>2228</v>
      </c>
      <c r="V1013" s="253">
        <v>0</v>
      </c>
      <c r="W1013" s="253">
        <v>0</v>
      </c>
      <c r="X1013">
        <v>0</v>
      </c>
      <c r="Y1013">
        <v>0</v>
      </c>
      <c r="Z1013">
        <v>0</v>
      </c>
      <c r="AA1013">
        <v>2</v>
      </c>
      <c r="AB1013">
        <v>0</v>
      </c>
      <c r="AC1013">
        <v>0</v>
      </c>
      <c r="AD1013">
        <v>0</v>
      </c>
      <c r="AE1013">
        <v>0</v>
      </c>
      <c r="AF1013">
        <v>0</v>
      </c>
      <c r="AG1013">
        <v>0</v>
      </c>
      <c r="AH1013">
        <v>1</v>
      </c>
      <c r="AI1013">
        <v>0</v>
      </c>
      <c r="AJ1013">
        <v>0</v>
      </c>
      <c r="AK1013">
        <v>0</v>
      </c>
      <c r="AL1013">
        <v>0</v>
      </c>
      <c r="AM1013">
        <v>0</v>
      </c>
      <c r="AN1013">
        <v>0</v>
      </c>
      <c r="AO1013">
        <v>0</v>
      </c>
      <c r="AP1013">
        <v>2</v>
      </c>
      <c r="AQ1013">
        <v>2</v>
      </c>
      <c r="AR1013">
        <v>0</v>
      </c>
      <c r="AS1013">
        <v>0</v>
      </c>
      <c r="AT1013">
        <v>0</v>
      </c>
      <c r="AU1013">
        <v>0</v>
      </c>
      <c r="AV1013">
        <v>0</v>
      </c>
      <c r="AW1013">
        <v>0</v>
      </c>
      <c r="AX1013">
        <v>0</v>
      </c>
      <c r="AY1013">
        <v>0</v>
      </c>
      <c r="AZ1013" s="141">
        <f>COUNTIF(X1013:AY1013,"&lt;&gt;0")</f>
        <v>4</v>
      </c>
      <c r="BA1013" s="141">
        <f>COUNTIF(X1013:AN1013,"&lt;&gt;0")</f>
        <v>2</v>
      </c>
      <c r="BB1013">
        <f>COUNTIF(X1013:AE1013,"&lt;&gt;0")</f>
        <v>1</v>
      </c>
      <c r="BC1013">
        <f>COUNTIF(AF1013:AK1013,"&lt;&gt;0")</f>
        <v>1</v>
      </c>
      <c r="BD1013">
        <f>COUNTIF(AL1013:AN1013,"&lt;&gt;0")</f>
        <v>0</v>
      </c>
      <c r="BE1013">
        <f>COUNTIF(AU1013:AY1013,"&lt;&gt;0")</f>
        <v>0</v>
      </c>
      <c r="BF1013">
        <f>COUNTIF(AO1013:AT1013,"&lt;&gt;0")</f>
        <v>2</v>
      </c>
      <c r="BG1013" t="str">
        <f t="array" ref="BG1013">IF(BA1013=1,INDEX($X$7:$AN$7,MATCH(TRUE,INDEX($X1013:$AY1013&lt;&gt;0,),0)),IF(BA1013=0,INDEX($AO$7:$AY$7,MATCH(1,$AO1013:$AY1013,0)),IF(BH1013="Multiple strategies","mixed drivers",IF(BH1013="Supply chain","multiple supply","multiple silviculture"))))</f>
        <v>mixed drivers</v>
      </c>
      <c r="BH1013" s="2" t="str" cm="1">
        <f t="array" ref="BH1013">IF(COUNTIF(BB1013:BD1013,"&lt;&gt;0")=1,INDEX($X$4:$AY$4,MATCH(TRUE,INDEX($X1013:$AY1013&lt;&gt;0,),0)),IF(COUNTIF(BB1013:BD1013,"&lt;&gt;0")=0,INDEX($AO$4:$AY$4,MATCH(1,$AO1013:$AY1013,0)),"Multiple strategies"))</f>
        <v>Multiple strategies</v>
      </c>
      <c r="BO1013" s="143"/>
      <c r="BP1013" s="143"/>
      <c r="BR1013" s="143" t="s">
        <v>232</v>
      </c>
      <c r="BS1013" s="143"/>
      <c r="BT1013" t="s">
        <v>1070</v>
      </c>
      <c r="BU1013">
        <v>9893.4998882682703</v>
      </c>
      <c r="BV1013">
        <v>-104293.97798882655</v>
      </c>
      <c r="BW1013" s="144">
        <f>IFERROR(BV1013/BU1013,"")</f>
        <v>-10.541666666666519</v>
      </c>
      <c r="BX1013" s="144">
        <f>BV1013-BU1013</f>
        <v>-114187.47787709482</v>
      </c>
      <c r="BY1013" s="144"/>
      <c r="BZ1013" s="144">
        <f>BX1013</f>
        <v>-114187.47787709482</v>
      </c>
      <c r="CA1013" t="str">
        <f>IFERROR(BZ1013/BQ1013,"")</f>
        <v/>
      </c>
      <c r="CB1013">
        <v>0</v>
      </c>
      <c r="CC1013">
        <v>0</v>
      </c>
      <c r="CD1013">
        <v>0</v>
      </c>
      <c r="CE1013">
        <v>0</v>
      </c>
      <c r="CF1013">
        <v>0</v>
      </c>
      <c r="CG1013">
        <v>0</v>
      </c>
      <c r="CH1013">
        <v>0</v>
      </c>
      <c r="CI1013">
        <v>0</v>
      </c>
      <c r="CJ1013">
        <v>0</v>
      </c>
      <c r="CK1013">
        <v>0</v>
      </c>
      <c r="CL1013">
        <v>0</v>
      </c>
      <c r="CM1013">
        <v>0</v>
      </c>
      <c r="CN1013">
        <v>0</v>
      </c>
      <c r="CO1013">
        <v>1</v>
      </c>
      <c r="CP1013" t="str">
        <f>IF(BN1013&lt;BM1013,"refNeedCorrection","refOK")</f>
        <v>refOK</v>
      </c>
      <c r="CQ1013"/>
      <c r="CR1013"/>
      <c r="CS1013"/>
      <c r="CT1013">
        <f>IF(BI1013="Roundwood",$CS1013/2,$CS1013)</f>
        <v>0</v>
      </c>
      <c r="CU1013">
        <f>IF($CP1013="refOK",$BU1013,$BV1013)*IF($BR1013="Emissions positive",-1,1)</f>
        <v>9893.4998882682703</v>
      </c>
      <c r="CV1013">
        <f>IF($CP1013="refOK",$BV1013,$BU1013)*IF($BR1013="Emissions positive",-1,1)</f>
        <v>-104293.97798882655</v>
      </c>
      <c r="CW1013">
        <f>IF($CP1013="refNeedCorrection",-BZ1013,BZ1013)*IF($BR1013="Emissions positive",-1,1)</f>
        <v>-114187.47787709482</v>
      </c>
      <c r="CX1013" t="str">
        <f>IFERROR($CW1013/$CS1013,"")</f>
        <v/>
      </c>
      <c r="CY1013" t="str">
        <f>IFERROR($CW1013/$CS1013,"")</f>
        <v/>
      </c>
      <c r="CZ1013" t="str">
        <f>IFERROR($CW1013/$CT1013,"")</f>
        <v/>
      </c>
      <c r="DA1013" s="2">
        <f>IFERROR((CV1013-CU1013)/ABS(CU1013),"")</f>
        <v>-11.541666666666519</v>
      </c>
      <c r="DB1013" s="1" t="s">
        <v>1074</v>
      </c>
      <c r="DC1013" t="str">
        <f>IF(OR($DB1013="prd",$DB1013="std",$DB1013="cit"),"loc",IF(OR($DB1013="eur",$DB1013="reg",$DB1013="coy"),"reg",$DB1013))</f>
        <v>reg</v>
      </c>
      <c r="DD1013" t="s">
        <v>235</v>
      </c>
      <c r="DE1013">
        <v>2010</v>
      </c>
      <c r="DF1013">
        <v>2070</v>
      </c>
      <c r="DG1013">
        <f>DF1013-DE1013</f>
        <v>60</v>
      </c>
      <c r="DH1013" t="str">
        <f>IF(DG1013=0,"0",IF(AND(DG1013&gt;=1,DG1013&lt;=30),"1-30",IF(AND(DG1013&gt;30,DG1013&lt;=70),"31-70",IF(AND(DG1013&gt;70,DG1013&lt;=100),"71-100",IF(DG1013&gt;100,"+100")))))</f>
        <v>31-70</v>
      </c>
      <c r="DI1013">
        <v>1</v>
      </c>
      <c r="DJ1013">
        <v>1</v>
      </c>
      <c r="DK1013">
        <v>1</v>
      </c>
      <c r="DL1013">
        <v>1</v>
      </c>
      <c r="DM1013">
        <v>0</v>
      </c>
      <c r="DN1013">
        <f>SUM(DI1013:DL1013)</f>
        <v>4</v>
      </c>
      <c r="DO1013" t="str">
        <f>IF(DN1013=1,INDEX($DI$7:$DL$7,MATCH(1,$DI1013:$DL1013,0)),"mixedProduct")</f>
        <v>mixedProduct</v>
      </c>
      <c r="DP1013" t="str">
        <f>IF(DI1013=1,DP$7,0)</f>
        <v>Upstream</v>
      </c>
      <c r="DQ1013" t="str">
        <f>IF(DJ1013=1,DQ$7,0)</f>
        <v>Energy</v>
      </c>
      <c r="DR1013" t="str">
        <f>IF(DK1013=1,DR$7,0)</f>
        <v>Pulp/Paper</v>
      </c>
      <c r="DS1013" t="str">
        <f>IF(DL1013=1,DS$7,0)</f>
        <v>Timber</v>
      </c>
      <c r="DT1013">
        <v>0</v>
      </c>
      <c r="DU1013">
        <v>0</v>
      </c>
      <c r="DV1013">
        <v>0</v>
      </c>
      <c r="DW1013">
        <v>0</v>
      </c>
      <c r="DX1013">
        <v>0</v>
      </c>
      <c r="DY1013">
        <f>SUM(DT1013:DU1013)</f>
        <v>0</v>
      </c>
      <c r="DZ1013" s="143" t="str">
        <f>IF(DT1013=1,"self-calculated DF",IF(DU1013=1,"external DF used","explicit C balance"))</f>
        <v>explicit C balance</v>
      </c>
      <c r="EA1013">
        <v>1</v>
      </c>
      <c r="EB1013">
        <v>1</v>
      </c>
      <c r="EC1013">
        <v>1</v>
      </c>
      <c r="ED1013">
        <v>0</v>
      </c>
      <c r="EE1013">
        <v>0</v>
      </c>
      <c r="EF1013" s="143">
        <v>0</v>
      </c>
      <c r="EG1013">
        <v>1</v>
      </c>
      <c r="EH1013">
        <v>1</v>
      </c>
      <c r="EI1013">
        <v>0</v>
      </c>
      <c r="EJ1013">
        <v>0</v>
      </c>
      <c r="EK1013">
        <v>1</v>
      </c>
      <c r="EL1013">
        <v>0</v>
      </c>
      <c r="EM1013">
        <v>0</v>
      </c>
      <c r="EN1013" s="2">
        <v>0</v>
      </c>
      <c r="EP1013" t="str">
        <f>IF(AND(AND(AND(OR($EC1013=1,$EB1013=1),OR($EH1013=1,$EF1013=1)),SUM($EA1013:$EE1013,$EK1013)&gt;=3),SUM($EF1013:$EJ1013)&gt;=2),"Whole sector approach","")</f>
        <v>Whole sector approach</v>
      </c>
      <c r="EQ1013" t="str">
        <f>IF(AND(AND(OR($EC1013=1,$EB1013=1),AND($EH1013=0,$EF1013=0)),SUM($EA1013:$EE1013,$EK1013)&gt;=4),"Ecosystem approach","")</f>
        <v/>
      </c>
      <c r="ER1013" s="2" t="str">
        <f>IF(AND(AND(AND($EC1013=0,$EB1013=0),OR($EH1013=1,$EF1013=1)),SUM($EG1013:$EJ1013)&gt;=2),"Technology approach","")</f>
        <v/>
      </c>
      <c r="ES1013" t="str">
        <f>IF(AND($EC1013+$EB1013+$EE1013+$EA1013+$ED1013+$EG1013=0,$N1013="included"),"C neutral forest and HWP assumption","")</f>
        <v/>
      </c>
      <c r="ET1013" t="str">
        <f>IF(AND(AND(AND(AND($EC1013=1,$EB1013+$EA1013+$EG1013&gt;=1),$EF1013=1),$EH1013+$EI1013+$ED1013+$EE1013&gt;=2),$N1013="included"),"All C pools assumption","")</f>
        <v/>
      </c>
      <c r="EU1013" t="str">
        <f>IF(AND($ED1013+$EE1013+$EI1013+$EH1013+$EF1013=0,$N1013="included"),"In-situ only assumption","")</f>
        <v/>
      </c>
      <c r="EY1013" t="str">
        <f>IF(ISNUMBER(BW1013),IF(ABS(BW1013-[2]QC_indicators!$B$2)&gt;3*[2]QC_indicators!$C$2,"C ratio",IF(ISNUMBER(CA1013),IF(ABS(CA1013-[2]QC_indicators!$B$1)&gt;3*[2]QC_indicators!$C$1,"DF","no"))),IF(ISNUMBER(CA1013),IF(ABS(CA1013-[2]QC_indicators!$B$1)&gt;3*[2]QC_indicators!$C$1,"DF","no")))</f>
        <v>C ratio</v>
      </c>
      <c r="EZ1013" t="s">
        <v>2214</v>
      </c>
      <c r="FA1013" t="str">
        <f>IF(LEN($CY1013)=0,"",IF(AND($CY1013&lt;(-0.05),$ES1013="C neutral forest and HWP assumption"),"Cneutral paradox",IF(AND($CY1013&gt;0.05,$EU1013="In-situ only assumption"),"In-situ only paradox","")))</f>
        <v/>
      </c>
      <c r="FD1013" s="260" t="s">
        <v>2948</v>
      </c>
    </row>
    <row r="1014" spans="1:160" ht="15" hidden="1" customHeight="1">
      <c r="A1014" s="1" t="s">
        <v>1295</v>
      </c>
      <c r="B1014" t="s">
        <v>2203</v>
      </c>
      <c r="C1014" t="s">
        <v>2204</v>
      </c>
      <c r="D1014" t="s">
        <v>2205</v>
      </c>
      <c r="E1014" t="s">
        <v>2206</v>
      </c>
      <c r="F1014" t="s">
        <v>2207</v>
      </c>
      <c r="G1014" t="s">
        <v>1301</v>
      </c>
      <c r="H1014" t="s">
        <v>254</v>
      </c>
      <c r="I1014">
        <v>2016</v>
      </c>
      <c r="J1014">
        <v>24</v>
      </c>
      <c r="K1014" t="s">
        <v>2208</v>
      </c>
      <c r="M1014" t="str">
        <f>LEFT($D1014,FIND(",",$D1014)-1)&amp;"_"&amp;I1014&amp;L1014</f>
        <v>Zubizarreta-Gerendiain_2016</v>
      </c>
      <c r="N1014" t="s">
        <v>222</v>
      </c>
      <c r="O1014" s="145" t="s">
        <v>1029</v>
      </c>
      <c r="Q1014" t="s">
        <v>256</v>
      </c>
      <c r="R1014" s="258" t="s">
        <v>223</v>
      </c>
      <c r="S1014" s="1" t="s">
        <v>2219</v>
      </c>
      <c r="T1014" t="s">
        <v>2227</v>
      </c>
      <c r="U1014" t="s">
        <v>2228</v>
      </c>
      <c r="V1014" s="253">
        <v>0</v>
      </c>
      <c r="W1014" s="253">
        <v>0</v>
      </c>
      <c r="X1014">
        <v>0</v>
      </c>
      <c r="Y1014">
        <v>0</v>
      </c>
      <c r="Z1014">
        <v>0</v>
      </c>
      <c r="AA1014">
        <v>2</v>
      </c>
      <c r="AB1014">
        <v>0</v>
      </c>
      <c r="AC1014">
        <v>0</v>
      </c>
      <c r="AD1014">
        <v>0</v>
      </c>
      <c r="AE1014">
        <v>0</v>
      </c>
      <c r="AF1014">
        <v>0</v>
      </c>
      <c r="AG1014">
        <v>0</v>
      </c>
      <c r="AH1014">
        <v>1</v>
      </c>
      <c r="AI1014">
        <v>0</v>
      </c>
      <c r="AJ1014">
        <v>0</v>
      </c>
      <c r="AK1014">
        <v>0</v>
      </c>
      <c r="AL1014">
        <v>0</v>
      </c>
      <c r="AM1014">
        <v>0</v>
      </c>
      <c r="AN1014">
        <v>0</v>
      </c>
      <c r="AO1014">
        <v>0</v>
      </c>
      <c r="AP1014">
        <v>2</v>
      </c>
      <c r="AQ1014">
        <v>2</v>
      </c>
      <c r="AR1014">
        <v>0</v>
      </c>
      <c r="AS1014">
        <v>0</v>
      </c>
      <c r="AT1014">
        <v>0</v>
      </c>
      <c r="AU1014">
        <v>0</v>
      </c>
      <c r="AV1014">
        <v>0</v>
      </c>
      <c r="AW1014">
        <v>0</v>
      </c>
      <c r="AX1014">
        <v>0</v>
      </c>
      <c r="AY1014">
        <v>0</v>
      </c>
      <c r="AZ1014" s="141">
        <f>COUNTIF(X1014:AY1014,"&lt;&gt;0")</f>
        <v>4</v>
      </c>
      <c r="BA1014" s="141">
        <f>COUNTIF(X1014:AN1014,"&lt;&gt;0")</f>
        <v>2</v>
      </c>
      <c r="BB1014">
        <f>COUNTIF(X1014:AE1014,"&lt;&gt;0")</f>
        <v>1</v>
      </c>
      <c r="BC1014">
        <f>COUNTIF(AF1014:AK1014,"&lt;&gt;0")</f>
        <v>1</v>
      </c>
      <c r="BD1014">
        <f>COUNTIF(AL1014:AN1014,"&lt;&gt;0")</f>
        <v>0</v>
      </c>
      <c r="BE1014">
        <f>COUNTIF(AU1014:AY1014,"&lt;&gt;0")</f>
        <v>0</v>
      </c>
      <c r="BF1014">
        <f>COUNTIF(AO1014:AT1014,"&lt;&gt;0")</f>
        <v>2</v>
      </c>
      <c r="BG1014" t="str">
        <f t="array" ref="BG1014">IF(BA1014=1,INDEX($X$7:$AN$7,MATCH(TRUE,INDEX($X1014:$AY1014&lt;&gt;0,),0)),IF(BA1014=0,INDEX($AO$7:$AY$7,MATCH(1,$AO1014:$AY1014,0)),IF(BH1014="Multiple strategies","mixed drivers",IF(BH1014="Supply chain","multiple supply","multiple silviculture"))))</f>
        <v>mixed drivers</v>
      </c>
      <c r="BH1014" s="2" t="str" cm="1">
        <f t="array" ref="BH1014">IF(COUNTIF(BB1014:BD1014,"&lt;&gt;0")=1,INDEX($X$4:$AY$4,MATCH(TRUE,INDEX($X1014:$AY1014&lt;&gt;0,),0)),IF(COUNTIF(BB1014:BD1014,"&lt;&gt;0")=0,INDEX($AO$4:$AY$4,MATCH(1,$AO1014:$AY1014,0)),"Multiple strategies"))</f>
        <v>Multiple strategies</v>
      </c>
      <c r="BO1014" s="143"/>
      <c r="BP1014" s="143"/>
      <c r="BR1014" s="143" t="s">
        <v>232</v>
      </c>
      <c r="BS1014" s="143"/>
      <c r="BT1014" t="s">
        <v>1070</v>
      </c>
      <c r="BU1014">
        <v>12985.218603352034</v>
      </c>
      <c r="BV1014">
        <v>-104293.97798882655</v>
      </c>
      <c r="BW1014" s="144">
        <f>IFERROR(BV1014/BU1014,"")</f>
        <v>-8.0317460317459624</v>
      </c>
      <c r="BX1014" s="144">
        <f>BV1014-BU1014</f>
        <v>-117279.19659217857</v>
      </c>
      <c r="BY1014" s="144"/>
      <c r="BZ1014" s="144">
        <f>BX1014</f>
        <v>-117279.19659217857</v>
      </c>
      <c r="CA1014" t="str">
        <f>IFERROR(BZ1014/BQ1014,"")</f>
        <v/>
      </c>
      <c r="CB1014">
        <v>0</v>
      </c>
      <c r="CC1014">
        <v>0</v>
      </c>
      <c r="CD1014">
        <v>0</v>
      </c>
      <c r="CE1014">
        <v>0</v>
      </c>
      <c r="CF1014">
        <v>0</v>
      </c>
      <c r="CG1014">
        <v>0</v>
      </c>
      <c r="CH1014">
        <v>0</v>
      </c>
      <c r="CI1014">
        <v>0</v>
      </c>
      <c r="CJ1014">
        <v>0</v>
      </c>
      <c r="CK1014">
        <v>0</v>
      </c>
      <c r="CL1014">
        <v>0</v>
      </c>
      <c r="CM1014">
        <v>0</v>
      </c>
      <c r="CN1014">
        <v>0</v>
      </c>
      <c r="CO1014">
        <v>1</v>
      </c>
      <c r="CP1014" t="str">
        <f>IF(BN1014&lt;BM1014,"refNeedCorrection","refOK")</f>
        <v>refOK</v>
      </c>
      <c r="CQ1014"/>
      <c r="CR1014"/>
      <c r="CS1014"/>
      <c r="CT1014">
        <f>IF(BI1014="Roundwood",$CS1014/2,$CS1014)</f>
        <v>0</v>
      </c>
      <c r="CU1014">
        <f>IF($CP1014="refOK",$BU1014,$BV1014)*IF($BR1014="Emissions positive",-1,1)</f>
        <v>12985.218603352034</v>
      </c>
      <c r="CV1014">
        <f>IF($CP1014="refOK",$BV1014,$BU1014)*IF($BR1014="Emissions positive",-1,1)</f>
        <v>-104293.97798882655</v>
      </c>
      <c r="CW1014">
        <f>IF($CP1014="refNeedCorrection",-BZ1014,BZ1014)*IF($BR1014="Emissions positive",-1,1)</f>
        <v>-117279.19659217857</v>
      </c>
      <c r="CX1014" t="str">
        <f>IFERROR($CW1014/$CS1014,"")</f>
        <v/>
      </c>
      <c r="CY1014" t="str">
        <f>IFERROR($CW1014/$CS1014,"")</f>
        <v/>
      </c>
      <c r="CZ1014" t="str">
        <f>IFERROR($CW1014/$CT1014,"")</f>
        <v/>
      </c>
      <c r="DA1014" s="2">
        <f>IFERROR((CV1014-CU1014)/ABS(CU1014),"")</f>
        <v>-9.0317460317459624</v>
      </c>
      <c r="DB1014" s="1" t="s">
        <v>1074</v>
      </c>
      <c r="DC1014" t="str">
        <f>IF(OR($DB1014="prd",$DB1014="std",$DB1014="cit"),"loc",IF(OR($DB1014="eur",$DB1014="reg",$DB1014="coy"),"reg",$DB1014))</f>
        <v>reg</v>
      </c>
      <c r="DD1014" t="s">
        <v>235</v>
      </c>
      <c r="DE1014">
        <v>2010</v>
      </c>
      <c r="DF1014">
        <v>2070</v>
      </c>
      <c r="DG1014">
        <f>DF1014-DE1014</f>
        <v>60</v>
      </c>
      <c r="DH1014" t="str">
        <f>IF(DG1014=0,"0",IF(AND(DG1014&gt;=1,DG1014&lt;=30),"1-30",IF(AND(DG1014&gt;30,DG1014&lt;=70),"31-70",IF(AND(DG1014&gt;70,DG1014&lt;=100),"71-100",IF(DG1014&gt;100,"+100")))))</f>
        <v>31-70</v>
      </c>
      <c r="DI1014">
        <v>1</v>
      </c>
      <c r="DJ1014">
        <v>1</v>
      </c>
      <c r="DK1014">
        <v>1</v>
      </c>
      <c r="DL1014">
        <v>1</v>
      </c>
      <c r="DM1014">
        <v>0</v>
      </c>
      <c r="DN1014">
        <f>SUM(DI1014:DL1014)</f>
        <v>4</v>
      </c>
      <c r="DO1014" t="str">
        <f>IF(DN1014=1,INDEX($DI$7:$DL$7,MATCH(1,$DI1014:$DL1014,0)),"mixedProduct")</f>
        <v>mixedProduct</v>
      </c>
      <c r="DP1014" t="str">
        <f>IF(DI1014=1,DP$7,0)</f>
        <v>Upstream</v>
      </c>
      <c r="DQ1014" t="str">
        <f>IF(DJ1014=1,DQ$7,0)</f>
        <v>Energy</v>
      </c>
      <c r="DR1014" t="str">
        <f>IF(DK1014=1,DR$7,0)</f>
        <v>Pulp/Paper</v>
      </c>
      <c r="DS1014" t="str">
        <f>IF(DL1014=1,DS$7,0)</f>
        <v>Timber</v>
      </c>
      <c r="DT1014">
        <v>0</v>
      </c>
      <c r="DU1014">
        <v>0</v>
      </c>
      <c r="DV1014">
        <v>0</v>
      </c>
      <c r="DW1014">
        <v>0</v>
      </c>
      <c r="DX1014">
        <v>0</v>
      </c>
      <c r="DY1014">
        <f>SUM(DT1014:DU1014)</f>
        <v>0</v>
      </c>
      <c r="DZ1014" s="143" t="str">
        <f>IF(DT1014=1,"self-calculated DF",IF(DU1014=1,"external DF used","explicit C balance"))</f>
        <v>explicit C balance</v>
      </c>
      <c r="EA1014">
        <v>1</v>
      </c>
      <c r="EB1014">
        <v>1</v>
      </c>
      <c r="EC1014">
        <v>1</v>
      </c>
      <c r="ED1014">
        <v>0</v>
      </c>
      <c r="EE1014">
        <v>0</v>
      </c>
      <c r="EF1014" s="143">
        <v>0</v>
      </c>
      <c r="EG1014">
        <v>1</v>
      </c>
      <c r="EH1014">
        <v>1</v>
      </c>
      <c r="EI1014">
        <v>0</v>
      </c>
      <c r="EJ1014">
        <v>0</v>
      </c>
      <c r="EK1014">
        <v>1</v>
      </c>
      <c r="EL1014">
        <v>0</v>
      </c>
      <c r="EM1014">
        <v>0</v>
      </c>
      <c r="EN1014" s="2">
        <v>0</v>
      </c>
      <c r="EP1014" t="str">
        <f>IF(AND(AND(AND(OR($EC1014=1,$EB1014=1),OR($EH1014=1,$EF1014=1)),SUM($EA1014:$EE1014,$EK1014)&gt;=3),SUM($EF1014:$EJ1014)&gt;=2),"Whole sector approach","")</f>
        <v>Whole sector approach</v>
      </c>
      <c r="EQ1014" t="str">
        <f>IF(AND(AND(OR($EC1014=1,$EB1014=1),AND($EH1014=0,$EF1014=0)),SUM($EA1014:$EE1014,$EK1014)&gt;=4),"Ecosystem approach","")</f>
        <v/>
      </c>
      <c r="ER1014" s="2" t="str">
        <f>IF(AND(AND(AND($EC1014=0,$EB1014=0),OR($EH1014=1,$EF1014=1)),SUM($EG1014:$EJ1014)&gt;=2),"Technology approach","")</f>
        <v/>
      </c>
      <c r="ES1014" t="str">
        <f>IF(AND($EC1014+$EB1014+$EE1014+$EA1014+$ED1014+$EG1014=0,$N1014="included"),"C neutral forest and HWP assumption","")</f>
        <v/>
      </c>
      <c r="ET1014" t="str">
        <f>IF(AND(AND(AND(AND($EC1014=1,$EB1014+$EA1014+$EG1014&gt;=1),$EF1014=1),$EH1014+$EI1014+$ED1014+$EE1014&gt;=2),$N1014="included"),"All C pools assumption","")</f>
        <v/>
      </c>
      <c r="EU1014" t="str">
        <f>IF(AND($ED1014+$EE1014+$EI1014+$EH1014+$EF1014=0,$N1014="included"),"In-situ only assumption","")</f>
        <v/>
      </c>
      <c r="EW1014" t="s">
        <v>2221</v>
      </c>
      <c r="EY1014" t="b">
        <f>IF(ISNUMBER(BW1014),IF(ABS(BW1014-[2]QC_indicators!$B$2)&gt;3*[2]QC_indicators!$C$2,"C ratio",IF(ISNUMBER(CA1014),IF(ABS(CA1014-[2]QC_indicators!$B$1)&gt;3*[2]QC_indicators!$C$1,"DF","no"))),IF(ISNUMBER(CA1014),IF(ABS(CA1014-[2]QC_indicators!$B$1)&gt;3*[2]QC_indicators!$C$1,"DF","no")))</f>
        <v>0</v>
      </c>
      <c r="FA1014" t="str">
        <f>IF(LEN($CY1014)=0,"",IF(AND($CY1014&lt;(-0.05),$ES1014="C neutral forest and HWP assumption"),"Cneutral paradox",IF(AND($CY1014&gt;0.05,$EU1014="In-situ only assumption"),"In-situ only paradox","")))</f>
        <v/>
      </c>
      <c r="FD1014" s="260" t="s">
        <v>2948</v>
      </c>
    </row>
    <row r="1015" spans="1:160" ht="85" hidden="1">
      <c r="A1015" s="1" t="s">
        <v>1295</v>
      </c>
      <c r="B1015" t="s">
        <v>2203</v>
      </c>
      <c r="C1015" t="s">
        <v>2204</v>
      </c>
      <c r="D1015" t="s">
        <v>2205</v>
      </c>
      <c r="E1015" t="s">
        <v>2206</v>
      </c>
      <c r="F1015" t="s">
        <v>2207</v>
      </c>
      <c r="G1015" t="s">
        <v>1301</v>
      </c>
      <c r="H1015" t="s">
        <v>254</v>
      </c>
      <c r="I1015">
        <v>2016</v>
      </c>
      <c r="J1015">
        <v>24</v>
      </c>
      <c r="K1015" t="s">
        <v>2208</v>
      </c>
      <c r="M1015" t="str">
        <f>LEFT($D1015,FIND(",",$D1015)-1)&amp;"_"&amp;I1015&amp;L1015</f>
        <v>Zubizarreta-Gerendiain_2016</v>
      </c>
      <c r="N1015" t="s">
        <v>222</v>
      </c>
      <c r="O1015" s="145" t="s">
        <v>1029</v>
      </c>
      <c r="Q1015" t="s">
        <v>256</v>
      </c>
      <c r="R1015" s="258" t="s">
        <v>223</v>
      </c>
      <c r="S1015" s="1" t="s">
        <v>2219</v>
      </c>
      <c r="T1015" t="s">
        <v>2223</v>
      </c>
      <c r="U1015" t="s">
        <v>2224</v>
      </c>
      <c r="V1015" s="253">
        <v>0</v>
      </c>
      <c r="W1015" s="253">
        <v>0</v>
      </c>
      <c r="X1015">
        <v>0</v>
      </c>
      <c r="Y1015">
        <v>0</v>
      </c>
      <c r="Z1015">
        <v>0</v>
      </c>
      <c r="AA1015">
        <v>2</v>
      </c>
      <c r="AB1015">
        <v>0</v>
      </c>
      <c r="AC1015">
        <v>0</v>
      </c>
      <c r="AD1015">
        <v>0</v>
      </c>
      <c r="AE1015">
        <v>0</v>
      </c>
      <c r="AF1015">
        <v>0</v>
      </c>
      <c r="AG1015">
        <v>0</v>
      </c>
      <c r="AH1015">
        <v>1</v>
      </c>
      <c r="AI1015">
        <v>0</v>
      </c>
      <c r="AJ1015">
        <v>0</v>
      </c>
      <c r="AK1015">
        <v>0</v>
      </c>
      <c r="AL1015">
        <v>0</v>
      </c>
      <c r="AM1015">
        <v>0</v>
      </c>
      <c r="AN1015">
        <v>0</v>
      </c>
      <c r="AO1015">
        <v>0</v>
      </c>
      <c r="AP1015">
        <v>2</v>
      </c>
      <c r="AQ1015">
        <v>2</v>
      </c>
      <c r="AR1015">
        <v>0</v>
      </c>
      <c r="AS1015">
        <v>0</v>
      </c>
      <c r="AT1015">
        <v>0</v>
      </c>
      <c r="AU1015">
        <v>0</v>
      </c>
      <c r="AV1015">
        <v>0</v>
      </c>
      <c r="AW1015">
        <v>0</v>
      </c>
      <c r="AX1015">
        <v>0</v>
      </c>
      <c r="AY1015">
        <v>0</v>
      </c>
      <c r="AZ1015" s="141">
        <f>COUNTIF(X1015:AY1015,"&lt;&gt;0")</f>
        <v>4</v>
      </c>
      <c r="BA1015" s="141">
        <f>COUNTIF(X1015:AN1015,"&lt;&gt;0")</f>
        <v>2</v>
      </c>
      <c r="BB1015">
        <f>COUNTIF(X1015:AE1015,"&lt;&gt;0")</f>
        <v>1</v>
      </c>
      <c r="BC1015">
        <f>COUNTIF(AF1015:AK1015,"&lt;&gt;0")</f>
        <v>1</v>
      </c>
      <c r="BD1015">
        <f>COUNTIF(AL1015:AN1015,"&lt;&gt;0")</f>
        <v>0</v>
      </c>
      <c r="BE1015">
        <f>COUNTIF(AU1015:AY1015,"&lt;&gt;0")</f>
        <v>0</v>
      </c>
      <c r="BF1015">
        <f>COUNTIF(AO1015:AT1015,"&lt;&gt;0")</f>
        <v>2</v>
      </c>
      <c r="BG1015" t="str">
        <f t="array" ref="BG1015">IF(BA1015=1,INDEX($X$7:$AN$7,MATCH(TRUE,INDEX($X1015:$AY1015&lt;&gt;0,),0)),IF(BA1015=0,INDEX($AO$7:$AY$7,MATCH(1,$AO1015:$AY1015,0)),IF(BH1015="Multiple strategies","mixed drivers",IF(BH1015="Supply chain","multiple supply","multiple silviculture"))))</f>
        <v>mixed drivers</v>
      </c>
      <c r="BH1015" s="2" t="str" cm="1">
        <f t="array" ref="BH1015">IF(COUNTIF(BB1015:BD1015,"&lt;&gt;0")=1,INDEX($X$4:$AY$4,MATCH(TRUE,INDEX($X1015:$AY1015&lt;&gt;0,),0)),IF(COUNTIF(BB1015:BD1015,"&lt;&gt;0")=0,INDEX($AO$4:$AY$4,MATCH(1,$AO1015:$AY1015,0)),"Multiple strategies"))</f>
        <v>Multiple strategies</v>
      </c>
      <c r="BO1015" s="143"/>
      <c r="BP1015" s="143"/>
      <c r="BR1015" s="143" t="s">
        <v>232</v>
      </c>
      <c r="BS1015" s="143"/>
      <c r="BT1015" t="s">
        <v>1070</v>
      </c>
      <c r="BU1015">
        <v>29674.236421725247</v>
      </c>
      <c r="BV1015">
        <v>-70376.060702875271</v>
      </c>
      <c r="BW1015" s="144">
        <f>IFERROR(BV1015/BU1015,"")</f>
        <v>-2.3716216216216166</v>
      </c>
      <c r="BX1015" s="144">
        <f>BV1015-BU1015</f>
        <v>-100050.29712460052</v>
      </c>
      <c r="BY1015" s="144"/>
      <c r="BZ1015" s="144">
        <f>BX1015</f>
        <v>-100050.29712460052</v>
      </c>
      <c r="CA1015" t="str">
        <f>IFERROR(BZ1015/BQ1015,"")</f>
        <v/>
      </c>
      <c r="CB1015">
        <v>0</v>
      </c>
      <c r="CC1015">
        <v>0</v>
      </c>
      <c r="CD1015">
        <v>0</v>
      </c>
      <c r="CE1015">
        <v>0</v>
      </c>
      <c r="CF1015">
        <v>0</v>
      </c>
      <c r="CG1015">
        <v>0</v>
      </c>
      <c r="CH1015">
        <v>0</v>
      </c>
      <c r="CI1015">
        <v>0</v>
      </c>
      <c r="CJ1015">
        <v>0</v>
      </c>
      <c r="CK1015">
        <v>0</v>
      </c>
      <c r="CL1015">
        <v>0</v>
      </c>
      <c r="CM1015">
        <v>0</v>
      </c>
      <c r="CN1015">
        <v>0</v>
      </c>
      <c r="CO1015">
        <v>1</v>
      </c>
      <c r="CP1015" t="str">
        <f>IF(BN1015&lt;BM1015,"refNeedCorrection","refOK")</f>
        <v>refOK</v>
      </c>
      <c r="CQ1015"/>
      <c r="CR1015"/>
      <c r="CS1015"/>
      <c r="CT1015">
        <f>IF(BI1015="Roundwood",$CS1015/2,$CS1015)</f>
        <v>0</v>
      </c>
      <c r="CU1015">
        <f>IF($CP1015="refOK",$BU1015,$BV1015)*IF($BR1015="Emissions positive",-1,1)</f>
        <v>29674.236421725247</v>
      </c>
      <c r="CV1015">
        <f>IF($CP1015="refOK",$BV1015,$BU1015)*IF($BR1015="Emissions positive",-1,1)</f>
        <v>-70376.060702875271</v>
      </c>
      <c r="CW1015">
        <f>IF($CP1015="refNeedCorrection",-BZ1015,BZ1015)*IF($BR1015="Emissions positive",-1,1)</f>
        <v>-100050.29712460052</v>
      </c>
      <c r="CX1015" t="str">
        <f>IFERROR($CW1015/$CS1015,"")</f>
        <v/>
      </c>
      <c r="CY1015" t="str">
        <f>IFERROR($CW1015/$CS1015,"")</f>
        <v/>
      </c>
      <c r="CZ1015" t="str">
        <f>IFERROR($CW1015/$CT1015,"")</f>
        <v/>
      </c>
      <c r="DA1015" s="2">
        <f>IFERROR((CV1015-CU1015)/ABS(CU1015),"")</f>
        <v>-3.3716216216216166</v>
      </c>
      <c r="DB1015" s="1" t="s">
        <v>1074</v>
      </c>
      <c r="DC1015" t="str">
        <f>IF(OR($DB1015="prd",$DB1015="std",$DB1015="cit"),"loc",IF(OR($DB1015="eur",$DB1015="reg",$DB1015="coy"),"reg",$DB1015))</f>
        <v>reg</v>
      </c>
      <c r="DD1015" t="s">
        <v>235</v>
      </c>
      <c r="DE1015">
        <v>2010</v>
      </c>
      <c r="DF1015">
        <v>2070</v>
      </c>
      <c r="DG1015">
        <f>DF1015-DE1015</f>
        <v>60</v>
      </c>
      <c r="DH1015" t="str">
        <f>IF(DG1015=0,"0",IF(AND(DG1015&gt;=1,DG1015&lt;=30),"1-30",IF(AND(DG1015&gt;30,DG1015&lt;=70),"31-70",IF(AND(DG1015&gt;70,DG1015&lt;=100),"71-100",IF(DG1015&gt;100,"+100")))))</f>
        <v>31-70</v>
      </c>
      <c r="DI1015">
        <v>1</v>
      </c>
      <c r="DJ1015">
        <v>1</v>
      </c>
      <c r="DK1015">
        <v>1</v>
      </c>
      <c r="DL1015">
        <v>1</v>
      </c>
      <c r="DM1015">
        <v>0</v>
      </c>
      <c r="DN1015">
        <f>SUM(DI1015:DL1015)</f>
        <v>4</v>
      </c>
      <c r="DO1015" t="str">
        <f>IF(DN1015=1,INDEX($DI$7:$DL$7,MATCH(1,$DI1015:$DL1015,0)),"mixedProduct")</f>
        <v>mixedProduct</v>
      </c>
      <c r="DP1015" t="str">
        <f>IF(DI1015=1,DP$7,0)</f>
        <v>Upstream</v>
      </c>
      <c r="DQ1015" t="str">
        <f>IF(DJ1015=1,DQ$7,0)</f>
        <v>Energy</v>
      </c>
      <c r="DR1015" t="str">
        <f>IF(DK1015=1,DR$7,0)</f>
        <v>Pulp/Paper</v>
      </c>
      <c r="DS1015" t="str">
        <f>IF(DL1015=1,DS$7,0)</f>
        <v>Timber</v>
      </c>
      <c r="DT1015">
        <v>0</v>
      </c>
      <c r="DU1015">
        <v>0</v>
      </c>
      <c r="DV1015">
        <v>0</v>
      </c>
      <c r="DW1015">
        <v>0</v>
      </c>
      <c r="DX1015">
        <v>0</v>
      </c>
      <c r="DY1015">
        <f>SUM(DT1015:DU1015)</f>
        <v>0</v>
      </c>
      <c r="DZ1015" s="143" t="str">
        <f>IF(DT1015=1,"self-calculated DF",IF(DU1015=1,"external DF used","explicit C balance"))</f>
        <v>explicit C balance</v>
      </c>
      <c r="EA1015">
        <v>1</v>
      </c>
      <c r="EB1015">
        <v>1</v>
      </c>
      <c r="EC1015">
        <v>1</v>
      </c>
      <c r="ED1015">
        <v>0</v>
      </c>
      <c r="EE1015">
        <v>0</v>
      </c>
      <c r="EF1015" s="143">
        <v>0</v>
      </c>
      <c r="EG1015">
        <v>1</v>
      </c>
      <c r="EH1015">
        <v>1</v>
      </c>
      <c r="EI1015">
        <v>0</v>
      </c>
      <c r="EJ1015">
        <v>0</v>
      </c>
      <c r="EK1015">
        <v>1</v>
      </c>
      <c r="EL1015">
        <v>0</v>
      </c>
      <c r="EM1015">
        <v>0</v>
      </c>
      <c r="EN1015" s="2">
        <v>0</v>
      </c>
      <c r="EP1015" t="str">
        <f>IF(AND(AND(AND(OR($EC1015=1,$EB1015=1),OR($EH1015=1,$EF1015=1)),SUM($EA1015:$EE1015,$EK1015)&gt;=3),SUM($EF1015:$EJ1015)&gt;=2),"Whole sector approach","")</f>
        <v>Whole sector approach</v>
      </c>
      <c r="EQ1015" t="str">
        <f>IF(AND(AND(OR($EC1015=1,$EB1015=1),AND($EH1015=0,$EF1015=0)),SUM($EA1015:$EE1015,$EK1015)&gt;=4),"Ecosystem approach","")</f>
        <v/>
      </c>
      <c r="ER1015" s="2" t="str">
        <f>IF(AND(AND(AND($EC1015=0,$EB1015=0),OR($EH1015=1,$EF1015=1)),SUM($EG1015:$EJ1015)&gt;=2),"Technology approach","")</f>
        <v/>
      </c>
      <c r="ES1015" t="str">
        <f>IF(AND($EC1015+$EB1015+$EE1015+$EA1015+$ED1015+$EG1015=0,$N1015="included"),"C neutral forest and HWP assumption","")</f>
        <v/>
      </c>
      <c r="ET1015" t="str">
        <f>IF(AND(AND(AND(AND($EC1015=1,$EB1015+$EA1015+$EG1015&gt;=1),$EF1015=1),$EH1015+$EI1015+$ED1015+$EE1015&gt;=2),$N1015="included"),"All C pools assumption","")</f>
        <v/>
      </c>
      <c r="EU1015" t="str">
        <f>IF(AND($ED1015+$EE1015+$EI1015+$EH1015+$EF1015=0,$N1015="included"),"In-situ only assumption","")</f>
        <v/>
      </c>
      <c r="EW1015" t="s">
        <v>2221</v>
      </c>
      <c r="EY1015" t="b">
        <f>IF(ISNUMBER(BW1015),IF(ABS(BW1015-[2]QC_indicators!$B$2)&gt;3*[2]QC_indicators!$C$2,"C ratio",IF(ISNUMBER(CA1015),IF(ABS(CA1015-[2]QC_indicators!$B$1)&gt;3*[2]QC_indicators!$C$1,"DF","no"))),IF(ISNUMBER(CA1015),IF(ABS(CA1015-[2]QC_indicators!$B$1)&gt;3*[2]QC_indicators!$C$1,"DF","no")))</f>
        <v>0</v>
      </c>
      <c r="FA1015" t="str">
        <f>IF(LEN($CY1015)=0,"",IF(AND($CY1015&lt;(-0.05),$ES1015="C neutral forest and HWP assumption"),"Cneutral paradox",IF(AND($CY1015&gt;0.05,$EU1015="In-situ only assumption"),"In-situ only paradox","")))</f>
        <v/>
      </c>
      <c r="FD1015" s="260" t="s">
        <v>2948</v>
      </c>
    </row>
    <row r="1016" spans="1:160" ht="15" hidden="1" customHeight="1">
      <c r="A1016" s="1" t="s">
        <v>1295</v>
      </c>
      <c r="B1016" t="s">
        <v>2203</v>
      </c>
      <c r="C1016" t="s">
        <v>2204</v>
      </c>
      <c r="D1016" t="s">
        <v>2205</v>
      </c>
      <c r="E1016" t="s">
        <v>2206</v>
      </c>
      <c r="F1016" t="s">
        <v>2207</v>
      </c>
      <c r="G1016" t="s">
        <v>1301</v>
      </c>
      <c r="H1016" t="s">
        <v>254</v>
      </c>
      <c r="I1016">
        <v>2016</v>
      </c>
      <c r="J1016">
        <v>24</v>
      </c>
      <c r="K1016" t="s">
        <v>2208</v>
      </c>
      <c r="M1016" t="str">
        <f>LEFT($D1016,FIND(",",$D1016)-1)&amp;"_"&amp;I1016&amp;L1016</f>
        <v>Zubizarreta-Gerendiain_2016</v>
      </c>
      <c r="N1016" t="s">
        <v>222</v>
      </c>
      <c r="O1016" s="145" t="s">
        <v>1029</v>
      </c>
      <c r="Q1016" t="s">
        <v>256</v>
      </c>
      <c r="R1016" s="258" t="s">
        <v>223</v>
      </c>
      <c r="S1016" s="1" t="s">
        <v>2209</v>
      </c>
      <c r="T1016" t="s">
        <v>2225</v>
      </c>
      <c r="U1016" t="s">
        <v>2224</v>
      </c>
      <c r="V1016" s="253">
        <v>0</v>
      </c>
      <c r="W1016" s="253">
        <v>0</v>
      </c>
      <c r="X1016">
        <v>0</v>
      </c>
      <c r="Y1016">
        <v>0</v>
      </c>
      <c r="Z1016">
        <v>0</v>
      </c>
      <c r="AA1016">
        <v>2</v>
      </c>
      <c r="AB1016">
        <v>0</v>
      </c>
      <c r="AC1016">
        <v>0</v>
      </c>
      <c r="AD1016">
        <v>0</v>
      </c>
      <c r="AE1016">
        <v>0</v>
      </c>
      <c r="AF1016">
        <v>0</v>
      </c>
      <c r="AG1016">
        <v>0</v>
      </c>
      <c r="AH1016">
        <v>1</v>
      </c>
      <c r="AI1016">
        <v>0</v>
      </c>
      <c r="AJ1016">
        <v>0</v>
      </c>
      <c r="AK1016">
        <v>0</v>
      </c>
      <c r="AL1016">
        <v>0</v>
      </c>
      <c r="AM1016">
        <v>0</v>
      </c>
      <c r="AN1016">
        <v>0</v>
      </c>
      <c r="AO1016">
        <v>0</v>
      </c>
      <c r="AP1016">
        <v>2</v>
      </c>
      <c r="AQ1016">
        <v>2</v>
      </c>
      <c r="AR1016">
        <v>0</v>
      </c>
      <c r="AS1016">
        <v>0</v>
      </c>
      <c r="AT1016">
        <v>0</v>
      </c>
      <c r="AU1016">
        <v>0</v>
      </c>
      <c r="AV1016">
        <v>0</v>
      </c>
      <c r="AW1016">
        <v>0</v>
      </c>
      <c r="AX1016">
        <v>0</v>
      </c>
      <c r="AY1016">
        <v>0</v>
      </c>
      <c r="AZ1016" s="141">
        <f>COUNTIF(X1016:AY1016,"&lt;&gt;0")</f>
        <v>4</v>
      </c>
      <c r="BA1016" s="141">
        <f>COUNTIF(X1016:AN1016,"&lt;&gt;0")</f>
        <v>2</v>
      </c>
      <c r="BB1016">
        <f>COUNTIF(X1016:AE1016,"&lt;&gt;0")</f>
        <v>1</v>
      </c>
      <c r="BC1016">
        <f>COUNTIF(AF1016:AK1016,"&lt;&gt;0")</f>
        <v>1</v>
      </c>
      <c r="BD1016">
        <f>COUNTIF(AL1016:AN1016,"&lt;&gt;0")</f>
        <v>0</v>
      </c>
      <c r="BE1016">
        <f>COUNTIF(AU1016:AY1016,"&lt;&gt;0")</f>
        <v>0</v>
      </c>
      <c r="BF1016">
        <f>COUNTIF(AO1016:AT1016,"&lt;&gt;0")</f>
        <v>2</v>
      </c>
      <c r="BG1016" t="str">
        <f t="array" ref="BG1016">IF(BA1016=1,INDEX($X$7:$AN$7,MATCH(TRUE,INDEX($X1016:$AY1016&lt;&gt;0,),0)),IF(BA1016=0,INDEX($AO$7:$AY$7,MATCH(1,$AO1016:$AY1016,0)),IF(BH1016="Multiple strategies","mixed drivers",IF(BH1016="Supply chain","multiple supply","multiple silviculture"))))</f>
        <v>mixed drivers</v>
      </c>
      <c r="BH1016" s="2" t="str" cm="1">
        <f t="array" ref="BH1016">IF(COUNTIF(BB1016:BD1016,"&lt;&gt;0")=1,INDEX($X$4:$AY$4,MATCH(TRUE,INDEX($X1016:$AY1016&lt;&gt;0,),0)),IF(COUNTIF(BB1016:BD1016,"&lt;&gt;0")=0,INDEX($AO$4:$AY$4,MATCH(1,$AO1016:$AY1016,0)),"Multiple strategies"))</f>
        <v>Multiple strategies</v>
      </c>
      <c r="BO1016" s="143"/>
      <c r="BP1016" s="143"/>
      <c r="BR1016" s="143" t="s">
        <v>232</v>
      </c>
      <c r="BS1016" s="143"/>
      <c r="BT1016" t="s">
        <v>1070</v>
      </c>
      <c r="BU1016">
        <v>30676.744408945775</v>
      </c>
      <c r="BV1016">
        <v>-70376.060702875271</v>
      </c>
      <c r="BW1016" s="144">
        <f>IFERROR(BV1016/BU1016,"")</f>
        <v>-2.2941176470588127</v>
      </c>
      <c r="BX1016" s="144">
        <f>BV1016-BU1016</f>
        <v>-101052.80511182104</v>
      </c>
      <c r="BY1016" s="144"/>
      <c r="BZ1016" s="144">
        <f>BX1016</f>
        <v>-101052.80511182104</v>
      </c>
      <c r="CA1016" t="str">
        <f>IFERROR(BZ1016/BQ1016,"")</f>
        <v/>
      </c>
      <c r="CB1016">
        <v>0</v>
      </c>
      <c r="CC1016">
        <v>0</v>
      </c>
      <c r="CD1016">
        <v>0</v>
      </c>
      <c r="CE1016">
        <v>0</v>
      </c>
      <c r="CF1016">
        <v>0</v>
      </c>
      <c r="CG1016">
        <v>0</v>
      </c>
      <c r="CH1016">
        <v>0</v>
      </c>
      <c r="CI1016">
        <v>0</v>
      </c>
      <c r="CJ1016">
        <v>0</v>
      </c>
      <c r="CK1016">
        <v>0</v>
      </c>
      <c r="CL1016">
        <v>0</v>
      </c>
      <c r="CM1016">
        <v>0</v>
      </c>
      <c r="CN1016">
        <v>0</v>
      </c>
      <c r="CO1016">
        <v>1</v>
      </c>
      <c r="CP1016" t="str">
        <f>IF(BN1016&lt;BM1016,"refNeedCorrection","refOK")</f>
        <v>refOK</v>
      </c>
      <c r="CQ1016"/>
      <c r="CR1016"/>
      <c r="CS1016"/>
      <c r="CT1016">
        <f>IF(BI1016="Roundwood",$CS1016/2,$CS1016)</f>
        <v>0</v>
      </c>
      <c r="CU1016">
        <f>IF($CP1016="refOK",$BU1016,$BV1016)*IF($BR1016="Emissions positive",-1,1)</f>
        <v>30676.744408945775</v>
      </c>
      <c r="CV1016">
        <f>IF($CP1016="refOK",$BV1016,$BU1016)*IF($BR1016="Emissions positive",-1,1)</f>
        <v>-70376.060702875271</v>
      </c>
      <c r="CW1016">
        <f>IF($CP1016="refNeedCorrection",-BZ1016,BZ1016)*IF($BR1016="Emissions positive",-1,1)</f>
        <v>-101052.80511182104</v>
      </c>
      <c r="CX1016" t="str">
        <f>IFERROR($CW1016/$CS1016,"")</f>
        <v/>
      </c>
      <c r="CY1016" t="str">
        <f>IFERROR($CW1016/$CS1016,"")</f>
        <v/>
      </c>
      <c r="CZ1016" t="str">
        <f>IFERROR($CW1016/$CT1016,"")</f>
        <v/>
      </c>
      <c r="DA1016" s="2">
        <f>IFERROR((CV1016-CU1016)/ABS(CU1016),"")</f>
        <v>-3.2941176470588127</v>
      </c>
      <c r="DB1016" s="1" t="s">
        <v>1074</v>
      </c>
      <c r="DC1016" t="str">
        <f>IF(OR($DB1016="prd",$DB1016="std",$DB1016="cit"),"loc",IF(OR($DB1016="eur",$DB1016="reg",$DB1016="coy"),"reg",$DB1016))</f>
        <v>reg</v>
      </c>
      <c r="DD1016" t="s">
        <v>235</v>
      </c>
      <c r="DE1016">
        <v>2010</v>
      </c>
      <c r="DF1016">
        <v>2070</v>
      </c>
      <c r="DG1016">
        <f>DF1016-DE1016</f>
        <v>60</v>
      </c>
      <c r="DH1016" t="str">
        <f>IF(DG1016=0,"0",IF(AND(DG1016&gt;=1,DG1016&lt;=30),"1-30",IF(AND(DG1016&gt;30,DG1016&lt;=70),"31-70",IF(AND(DG1016&gt;70,DG1016&lt;=100),"71-100",IF(DG1016&gt;100,"+100")))))</f>
        <v>31-70</v>
      </c>
      <c r="DI1016">
        <v>1</v>
      </c>
      <c r="DJ1016">
        <v>1</v>
      </c>
      <c r="DK1016">
        <v>1</v>
      </c>
      <c r="DL1016">
        <v>1</v>
      </c>
      <c r="DM1016">
        <v>0</v>
      </c>
      <c r="DN1016">
        <f>SUM(DI1016:DL1016)</f>
        <v>4</v>
      </c>
      <c r="DO1016" t="str">
        <f>IF(DN1016=1,INDEX($DI$7:$DL$7,MATCH(1,$DI1016:$DL1016,0)),"mixedProduct")</f>
        <v>mixedProduct</v>
      </c>
      <c r="DP1016" t="str">
        <f>IF(DI1016=1,DP$7,0)</f>
        <v>Upstream</v>
      </c>
      <c r="DQ1016" t="str">
        <f>IF(DJ1016=1,DQ$7,0)</f>
        <v>Energy</v>
      </c>
      <c r="DR1016" t="str">
        <f>IF(DK1016=1,DR$7,0)</f>
        <v>Pulp/Paper</v>
      </c>
      <c r="DS1016" t="str">
        <f>IF(DL1016=1,DS$7,0)</f>
        <v>Timber</v>
      </c>
      <c r="DT1016">
        <v>0</v>
      </c>
      <c r="DU1016">
        <v>0</v>
      </c>
      <c r="DV1016">
        <v>0</v>
      </c>
      <c r="DW1016">
        <v>0</v>
      </c>
      <c r="DX1016">
        <v>0</v>
      </c>
      <c r="DY1016">
        <f>SUM(DT1016:DU1016)</f>
        <v>0</v>
      </c>
      <c r="DZ1016" s="143" t="str">
        <f>IF(DT1016=1,"self-calculated DF",IF(DU1016=1,"external DF used","explicit C balance"))</f>
        <v>explicit C balance</v>
      </c>
      <c r="EA1016">
        <v>1</v>
      </c>
      <c r="EB1016">
        <v>1</v>
      </c>
      <c r="EC1016">
        <v>1</v>
      </c>
      <c r="ED1016">
        <v>0</v>
      </c>
      <c r="EE1016">
        <v>0</v>
      </c>
      <c r="EF1016" s="143">
        <v>0</v>
      </c>
      <c r="EG1016">
        <v>1</v>
      </c>
      <c r="EH1016">
        <v>1</v>
      </c>
      <c r="EI1016">
        <v>0</v>
      </c>
      <c r="EJ1016">
        <v>0</v>
      </c>
      <c r="EK1016">
        <v>1</v>
      </c>
      <c r="EL1016">
        <v>0</v>
      </c>
      <c r="EM1016">
        <v>0</v>
      </c>
      <c r="EN1016" s="2">
        <v>0</v>
      </c>
      <c r="EP1016" t="str">
        <f>IF(AND(AND(AND(OR($EC1016=1,$EB1016=1),OR($EH1016=1,$EF1016=1)),SUM($EA1016:$EE1016,$EK1016)&gt;=3),SUM($EF1016:$EJ1016)&gt;=2),"Whole sector approach","")</f>
        <v>Whole sector approach</v>
      </c>
      <c r="EQ1016" t="str">
        <f>IF(AND(AND(OR($EC1016=1,$EB1016=1),AND($EH1016=0,$EF1016=0)),SUM($EA1016:$EE1016,$EK1016)&gt;=4),"Ecosystem approach","")</f>
        <v/>
      </c>
      <c r="ER1016" s="2" t="str">
        <f>IF(AND(AND(AND($EC1016=0,$EB1016=0),OR($EH1016=1,$EF1016=1)),SUM($EG1016:$EJ1016)&gt;=2),"Technology approach","")</f>
        <v/>
      </c>
      <c r="ES1016" t="str">
        <f>IF(AND($EC1016+$EB1016+$EE1016+$EA1016+$ED1016+$EG1016=0,$N1016="included"),"C neutral forest and HWP assumption","")</f>
        <v/>
      </c>
      <c r="ET1016" t="str">
        <f>IF(AND(AND(AND(AND($EC1016=1,$EB1016+$EA1016+$EG1016&gt;=1),$EF1016=1),$EH1016+$EI1016+$ED1016+$EE1016&gt;=2),$N1016="included"),"All C pools assumption","")</f>
        <v/>
      </c>
      <c r="EU1016" t="str">
        <f>IF(AND($ED1016+$EE1016+$EI1016+$EH1016+$EF1016=0,$N1016="included"),"In-situ only assumption","")</f>
        <v/>
      </c>
      <c r="EY1016" t="b">
        <f>IF(ISNUMBER(BW1016),IF(ABS(BW1016-[2]QC_indicators!$B$2)&gt;3*[2]QC_indicators!$C$2,"C ratio",IF(ISNUMBER(CA1016),IF(ABS(CA1016-[2]QC_indicators!$B$1)&gt;3*[2]QC_indicators!$C$1,"DF","no"))),IF(ISNUMBER(CA1016),IF(ABS(CA1016-[2]QC_indicators!$B$1)&gt;3*[2]QC_indicators!$C$1,"DF","no")))</f>
        <v>0</v>
      </c>
      <c r="FA1016" t="str">
        <f>IF(LEN($CY1016)=0,"",IF(AND($CY1016&lt;(-0.05),$ES1016="C neutral forest and HWP assumption"),"Cneutral paradox",IF(AND($CY1016&gt;0.05,$EU1016="In-situ only assumption"),"In-situ only paradox","")))</f>
        <v/>
      </c>
      <c r="FD1016" s="260" t="s">
        <v>2948</v>
      </c>
    </row>
    <row r="1017" spans="1:160" ht="15" hidden="1" customHeight="1">
      <c r="A1017" s="1" t="s">
        <v>1295</v>
      </c>
      <c r="B1017" t="s">
        <v>2203</v>
      </c>
      <c r="C1017" t="s">
        <v>2204</v>
      </c>
      <c r="D1017" t="s">
        <v>2205</v>
      </c>
      <c r="E1017" t="s">
        <v>2206</v>
      </c>
      <c r="F1017" t="s">
        <v>2207</v>
      </c>
      <c r="G1017" t="s">
        <v>1301</v>
      </c>
      <c r="H1017" t="s">
        <v>254</v>
      </c>
      <c r="I1017">
        <v>2016</v>
      </c>
      <c r="J1017">
        <v>24</v>
      </c>
      <c r="K1017" t="s">
        <v>2208</v>
      </c>
      <c r="M1017" t="str">
        <f>LEFT($D1017,FIND(",",$D1017)-1)&amp;"_"&amp;I1017&amp;L1017</f>
        <v>Zubizarreta-Gerendiain_2016</v>
      </c>
      <c r="N1017" t="s">
        <v>222</v>
      </c>
      <c r="O1017" s="145" t="s">
        <v>1029</v>
      </c>
      <c r="Q1017" t="s">
        <v>256</v>
      </c>
      <c r="R1017" s="258" t="s">
        <v>223</v>
      </c>
      <c r="S1017" s="1" t="s">
        <v>2209</v>
      </c>
      <c r="T1017" t="s">
        <v>2230</v>
      </c>
      <c r="U1017" t="s">
        <v>2228</v>
      </c>
      <c r="V1017" s="253">
        <v>0</v>
      </c>
      <c r="W1017" s="253">
        <v>0</v>
      </c>
      <c r="X1017">
        <v>0</v>
      </c>
      <c r="Y1017">
        <v>0</v>
      </c>
      <c r="Z1017">
        <v>0</v>
      </c>
      <c r="AA1017">
        <v>2</v>
      </c>
      <c r="AB1017">
        <v>0</v>
      </c>
      <c r="AC1017">
        <v>0</v>
      </c>
      <c r="AD1017">
        <v>0</v>
      </c>
      <c r="AE1017">
        <v>0</v>
      </c>
      <c r="AF1017">
        <v>0</v>
      </c>
      <c r="AG1017">
        <v>0</v>
      </c>
      <c r="AH1017">
        <v>1</v>
      </c>
      <c r="AI1017">
        <v>0</v>
      </c>
      <c r="AJ1017">
        <v>0</v>
      </c>
      <c r="AK1017">
        <v>0</v>
      </c>
      <c r="AL1017">
        <v>0</v>
      </c>
      <c r="AM1017">
        <v>0</v>
      </c>
      <c r="AN1017">
        <v>0</v>
      </c>
      <c r="AO1017">
        <v>0</v>
      </c>
      <c r="AP1017">
        <v>2</v>
      </c>
      <c r="AQ1017">
        <v>2</v>
      </c>
      <c r="AR1017">
        <v>0</v>
      </c>
      <c r="AS1017">
        <v>0</v>
      </c>
      <c r="AT1017">
        <v>0</v>
      </c>
      <c r="AU1017">
        <v>0</v>
      </c>
      <c r="AV1017">
        <v>0</v>
      </c>
      <c r="AW1017">
        <v>0</v>
      </c>
      <c r="AX1017">
        <v>0</v>
      </c>
      <c r="AY1017">
        <v>0</v>
      </c>
      <c r="AZ1017" s="141">
        <f>COUNTIF(X1017:AY1017,"&lt;&gt;0")</f>
        <v>4</v>
      </c>
      <c r="BA1017" s="141">
        <f>COUNTIF(X1017:AN1017,"&lt;&gt;0")</f>
        <v>2</v>
      </c>
      <c r="BB1017">
        <f>COUNTIF(X1017:AE1017,"&lt;&gt;0")</f>
        <v>1</v>
      </c>
      <c r="BC1017">
        <f>COUNTIF(AF1017:AK1017,"&lt;&gt;0")</f>
        <v>1</v>
      </c>
      <c r="BD1017">
        <f>COUNTIF(AL1017:AN1017,"&lt;&gt;0")</f>
        <v>0</v>
      </c>
      <c r="BE1017">
        <f>COUNTIF(AU1017:AY1017,"&lt;&gt;0")</f>
        <v>0</v>
      </c>
      <c r="BF1017">
        <f>COUNTIF(AO1017:AT1017,"&lt;&gt;0")</f>
        <v>2</v>
      </c>
      <c r="BG1017" t="str">
        <f t="array" ref="BG1017">IF(BA1017=1,INDEX($X$7:$AN$7,MATCH(TRUE,INDEX($X1017:$AY1017&lt;&gt;0,),0)),IF(BA1017=0,INDEX($AO$7:$AY$7,MATCH(1,$AO1017:$AY1017,0)),IF(BH1017="Multiple strategies","mixed drivers",IF(BH1017="Supply chain","multiple supply","multiple silviculture"))))</f>
        <v>mixed drivers</v>
      </c>
      <c r="BH1017" s="2" t="str" cm="1">
        <f t="array" ref="BH1017">IF(COUNTIF(BB1017:BD1017,"&lt;&gt;0")=1,INDEX($X$4:$AY$4,MATCH(TRUE,INDEX($X1017:$AY1017&lt;&gt;0,),0)),IF(COUNTIF(BB1017:BD1017,"&lt;&gt;0")=0,INDEX($AO$4:$AY$4,MATCH(1,$AO1017:$AY1017,0)),"Multiple strategies"))</f>
        <v>Multiple strategies</v>
      </c>
      <c r="BO1017" s="143"/>
      <c r="BP1017" s="143"/>
      <c r="BR1017" s="143" t="s">
        <v>232</v>
      </c>
      <c r="BS1017" s="143"/>
      <c r="BT1017" t="s">
        <v>1070</v>
      </c>
      <c r="BU1017">
        <v>-38337.312067038984</v>
      </c>
      <c r="BV1017">
        <v>-104293.97798882655</v>
      </c>
      <c r="BW1017" s="144">
        <f>IFERROR(BV1017/BU1017,"")</f>
        <v>2.7204301075268833</v>
      </c>
      <c r="BX1017" s="144">
        <f>BV1017-BU1017</f>
        <v>-65956.665921787557</v>
      </c>
      <c r="BY1017" s="144"/>
      <c r="BZ1017" s="144">
        <f>BX1017</f>
        <v>-65956.665921787557</v>
      </c>
      <c r="CA1017" t="str">
        <f>IFERROR(BZ1017/BQ1017,"")</f>
        <v/>
      </c>
      <c r="CB1017">
        <v>0</v>
      </c>
      <c r="CC1017">
        <v>0</v>
      </c>
      <c r="CD1017">
        <v>0</v>
      </c>
      <c r="CE1017">
        <v>0</v>
      </c>
      <c r="CF1017">
        <v>0</v>
      </c>
      <c r="CG1017">
        <v>0</v>
      </c>
      <c r="CH1017">
        <v>0</v>
      </c>
      <c r="CI1017">
        <v>0</v>
      </c>
      <c r="CJ1017">
        <v>0</v>
      </c>
      <c r="CK1017">
        <v>0</v>
      </c>
      <c r="CL1017">
        <v>0</v>
      </c>
      <c r="CM1017">
        <v>0</v>
      </c>
      <c r="CN1017">
        <v>0</v>
      </c>
      <c r="CO1017">
        <v>1</v>
      </c>
      <c r="CP1017" t="str">
        <f>IF(BN1017&lt;BM1017,"refNeedCorrection","refOK")</f>
        <v>refOK</v>
      </c>
      <c r="CQ1017"/>
      <c r="CR1017"/>
      <c r="CS1017"/>
      <c r="CT1017">
        <f>IF(BI1017="Roundwood",$CS1017/2,$CS1017)</f>
        <v>0</v>
      </c>
      <c r="CU1017">
        <f>IF($CP1017="refOK",$BU1017,$BV1017)*IF($BR1017="Emissions positive",-1,1)</f>
        <v>-38337.312067038984</v>
      </c>
      <c r="CV1017">
        <f>IF($CP1017="refOK",$BV1017,$BU1017)*IF($BR1017="Emissions positive",-1,1)</f>
        <v>-104293.97798882655</v>
      </c>
      <c r="CW1017">
        <f>IF($CP1017="refNeedCorrection",-BZ1017,BZ1017)*IF($BR1017="Emissions positive",-1,1)</f>
        <v>-65956.665921787557</v>
      </c>
      <c r="CX1017" t="str">
        <f>IFERROR($CW1017/$CS1017,"")</f>
        <v/>
      </c>
      <c r="CY1017" t="str">
        <f>IFERROR($CW1017/$CS1017,"")</f>
        <v/>
      </c>
      <c r="CZ1017" t="str">
        <f>IFERROR($CW1017/$CT1017,"")</f>
        <v/>
      </c>
      <c r="DA1017" s="2">
        <f>IFERROR((CV1017-CU1017)/ABS(CU1017),"")</f>
        <v>-1.7204301075268833</v>
      </c>
      <c r="DB1017" s="1" t="s">
        <v>1074</v>
      </c>
      <c r="DC1017" t="str">
        <f>IF(OR($DB1017="prd",$DB1017="std",$DB1017="cit"),"loc",IF(OR($DB1017="eur",$DB1017="reg",$DB1017="coy"),"reg",$DB1017))</f>
        <v>reg</v>
      </c>
      <c r="DD1017" t="s">
        <v>235</v>
      </c>
      <c r="DE1017">
        <v>2010</v>
      </c>
      <c r="DF1017">
        <v>2070</v>
      </c>
      <c r="DG1017">
        <f>DF1017-DE1017</f>
        <v>60</v>
      </c>
      <c r="DH1017" t="str">
        <f>IF(DG1017=0,"0",IF(AND(DG1017&gt;=1,DG1017&lt;=30),"1-30",IF(AND(DG1017&gt;30,DG1017&lt;=70),"31-70",IF(AND(DG1017&gt;70,DG1017&lt;=100),"71-100",IF(DG1017&gt;100,"+100")))))</f>
        <v>31-70</v>
      </c>
      <c r="DI1017">
        <v>1</v>
      </c>
      <c r="DJ1017">
        <v>1</v>
      </c>
      <c r="DK1017">
        <v>1</v>
      </c>
      <c r="DL1017">
        <v>1</v>
      </c>
      <c r="DM1017">
        <v>0</v>
      </c>
      <c r="DN1017">
        <f>SUM(DI1017:DL1017)</f>
        <v>4</v>
      </c>
      <c r="DO1017" t="str">
        <f>IF(DN1017=1,INDEX($DI$7:$DL$7,MATCH(1,$DI1017:$DL1017,0)),"mixedProduct")</f>
        <v>mixedProduct</v>
      </c>
      <c r="DP1017" t="str">
        <f>IF(DI1017=1,DP$7,0)</f>
        <v>Upstream</v>
      </c>
      <c r="DQ1017" t="str">
        <f>IF(DJ1017=1,DQ$7,0)</f>
        <v>Energy</v>
      </c>
      <c r="DR1017" t="str">
        <f>IF(DK1017=1,DR$7,0)</f>
        <v>Pulp/Paper</v>
      </c>
      <c r="DS1017" t="str">
        <f>IF(DL1017=1,DS$7,0)</f>
        <v>Timber</v>
      </c>
      <c r="DT1017">
        <v>0</v>
      </c>
      <c r="DU1017">
        <v>0</v>
      </c>
      <c r="DV1017">
        <v>0</v>
      </c>
      <c r="DW1017">
        <v>0</v>
      </c>
      <c r="DX1017">
        <v>0</v>
      </c>
      <c r="DY1017">
        <f>SUM(DT1017:DU1017)</f>
        <v>0</v>
      </c>
      <c r="DZ1017" s="143" t="str">
        <f>IF(DT1017=1,"self-calculated DF",IF(DU1017=1,"external DF used","explicit C balance"))</f>
        <v>explicit C balance</v>
      </c>
      <c r="EA1017">
        <v>1</v>
      </c>
      <c r="EB1017">
        <v>1</v>
      </c>
      <c r="EC1017">
        <v>1</v>
      </c>
      <c r="ED1017">
        <v>0</v>
      </c>
      <c r="EE1017">
        <v>0</v>
      </c>
      <c r="EF1017" s="143">
        <v>0</v>
      </c>
      <c r="EG1017">
        <v>1</v>
      </c>
      <c r="EH1017">
        <v>1</v>
      </c>
      <c r="EI1017">
        <v>0</v>
      </c>
      <c r="EJ1017">
        <v>0</v>
      </c>
      <c r="EK1017">
        <v>1</v>
      </c>
      <c r="EL1017">
        <v>0</v>
      </c>
      <c r="EM1017">
        <v>0</v>
      </c>
      <c r="EN1017" s="2">
        <v>0</v>
      </c>
      <c r="EP1017" t="str">
        <f>IF(AND(AND(AND(OR($EC1017=1,$EB1017=1),OR($EH1017=1,$EF1017=1)),SUM($EA1017:$EE1017,$EK1017)&gt;=3),SUM($EF1017:$EJ1017)&gt;=2),"Whole sector approach","")</f>
        <v>Whole sector approach</v>
      </c>
      <c r="EQ1017" t="str">
        <f>IF(AND(AND(OR($EC1017=1,$EB1017=1),AND($EH1017=0,$EF1017=0)),SUM($EA1017:$EE1017,$EK1017)&gt;=4),"Ecosystem approach","")</f>
        <v/>
      </c>
      <c r="ER1017" s="2" t="str">
        <f>IF(AND(AND(AND($EC1017=0,$EB1017=0),OR($EH1017=1,$EF1017=1)),SUM($EG1017:$EJ1017)&gt;=2),"Technology approach","")</f>
        <v/>
      </c>
      <c r="ES1017" t="str">
        <f>IF(AND($EC1017+$EB1017+$EE1017+$EA1017+$ED1017+$EG1017=0,$N1017="included"),"C neutral forest and HWP assumption","")</f>
        <v/>
      </c>
      <c r="ET1017" t="str">
        <f>IF(AND(AND(AND(AND($EC1017=1,$EB1017+$EA1017+$EG1017&gt;=1),$EF1017=1),$EH1017+$EI1017+$ED1017+$EE1017&gt;=2),$N1017="included"),"All C pools assumption","")</f>
        <v/>
      </c>
      <c r="EU1017" t="str">
        <f>IF(AND($ED1017+$EE1017+$EI1017+$EH1017+$EF1017=0,$N1017="included"),"In-situ only assumption","")</f>
        <v/>
      </c>
      <c r="EY1017" t="b">
        <f>IF(ISNUMBER(BW1017),IF(ABS(BW1017-[2]QC_indicators!$B$2)&gt;3*[2]QC_indicators!$C$2,"C ratio",IF(ISNUMBER(CA1017),IF(ABS(CA1017-[2]QC_indicators!$B$1)&gt;3*[2]QC_indicators!$C$1,"DF","no"))),IF(ISNUMBER(CA1017),IF(ABS(CA1017-[2]QC_indicators!$B$1)&gt;3*[2]QC_indicators!$C$1,"DF","no")))</f>
        <v>0</v>
      </c>
      <c r="FA1017" t="str">
        <f>IF(LEN($CY1017)=0,"",IF(AND($CY1017&lt;(-0.05),$ES1017="C neutral forest and HWP assumption"),"Cneutral paradox",IF(AND($CY1017&gt;0.05,$EU1017="In-situ only assumption"),"In-situ only paradox","")))</f>
        <v/>
      </c>
      <c r="FD1017" s="260" t="s">
        <v>2948</v>
      </c>
    </row>
    <row r="1018" spans="1:160" ht="18" hidden="1" customHeight="1">
      <c r="A1018" s="1" t="s">
        <v>1295</v>
      </c>
      <c r="B1018" t="s">
        <v>2203</v>
      </c>
      <c r="C1018" t="s">
        <v>2204</v>
      </c>
      <c r="D1018" t="s">
        <v>2205</v>
      </c>
      <c r="E1018" t="s">
        <v>2206</v>
      </c>
      <c r="F1018" t="s">
        <v>2207</v>
      </c>
      <c r="G1018" t="s">
        <v>1301</v>
      </c>
      <c r="H1018" t="s">
        <v>254</v>
      </c>
      <c r="I1018">
        <v>2016</v>
      </c>
      <c r="J1018">
        <v>24</v>
      </c>
      <c r="K1018" t="s">
        <v>2208</v>
      </c>
      <c r="M1018" t="str">
        <f>LEFT($D1018,FIND(",",$D1018)-1)&amp;"_"&amp;I1018&amp;L1018</f>
        <v>Zubizarreta-Gerendiain_2016</v>
      </c>
      <c r="N1018" t="s">
        <v>222</v>
      </c>
      <c r="O1018" s="145" t="s">
        <v>1029</v>
      </c>
      <c r="Q1018" t="s">
        <v>256</v>
      </c>
      <c r="R1018" s="258" t="s">
        <v>223</v>
      </c>
      <c r="S1018" s="1" t="s">
        <v>2209</v>
      </c>
      <c r="T1018" t="s">
        <v>2230</v>
      </c>
      <c r="U1018" t="s">
        <v>2228</v>
      </c>
      <c r="V1018" s="253">
        <v>0</v>
      </c>
      <c r="W1018" s="253">
        <v>0</v>
      </c>
      <c r="X1018">
        <v>0</v>
      </c>
      <c r="Y1018">
        <v>0</v>
      </c>
      <c r="Z1018">
        <v>0</v>
      </c>
      <c r="AA1018">
        <v>2</v>
      </c>
      <c r="AB1018">
        <v>0</v>
      </c>
      <c r="AC1018">
        <v>0</v>
      </c>
      <c r="AD1018">
        <v>0</v>
      </c>
      <c r="AE1018">
        <v>0</v>
      </c>
      <c r="AF1018">
        <v>0</v>
      </c>
      <c r="AG1018">
        <v>0</v>
      </c>
      <c r="AH1018">
        <v>1</v>
      </c>
      <c r="AI1018">
        <v>0</v>
      </c>
      <c r="AJ1018">
        <v>0</v>
      </c>
      <c r="AK1018">
        <v>0</v>
      </c>
      <c r="AL1018">
        <v>0</v>
      </c>
      <c r="AM1018">
        <v>0</v>
      </c>
      <c r="AN1018">
        <v>0</v>
      </c>
      <c r="AO1018">
        <v>0</v>
      </c>
      <c r="AP1018">
        <v>2</v>
      </c>
      <c r="AQ1018">
        <v>2</v>
      </c>
      <c r="AR1018">
        <v>0</v>
      </c>
      <c r="AS1018">
        <v>0</v>
      </c>
      <c r="AT1018">
        <v>0</v>
      </c>
      <c r="AU1018">
        <v>0</v>
      </c>
      <c r="AV1018">
        <v>0</v>
      </c>
      <c r="AW1018">
        <v>0</v>
      </c>
      <c r="AX1018">
        <v>0</v>
      </c>
      <c r="AY1018">
        <v>0</v>
      </c>
      <c r="AZ1018" s="141">
        <f>COUNTIF(X1018:AY1018,"&lt;&gt;0")</f>
        <v>4</v>
      </c>
      <c r="BA1018" s="141">
        <f>COUNTIF(X1018:AN1018,"&lt;&gt;0")</f>
        <v>2</v>
      </c>
      <c r="BB1018">
        <f>COUNTIF(X1018:AE1018,"&lt;&gt;0")</f>
        <v>1</v>
      </c>
      <c r="BC1018">
        <f>COUNTIF(AF1018:AK1018,"&lt;&gt;0")</f>
        <v>1</v>
      </c>
      <c r="BD1018">
        <f>COUNTIF(AL1018:AN1018,"&lt;&gt;0")</f>
        <v>0</v>
      </c>
      <c r="BE1018">
        <f>COUNTIF(AU1018:AY1018,"&lt;&gt;0")</f>
        <v>0</v>
      </c>
      <c r="BF1018">
        <f>COUNTIF(AO1018:AT1018,"&lt;&gt;0")</f>
        <v>2</v>
      </c>
      <c r="BG1018" t="str">
        <f t="array" ref="BG1018">IF(BA1018=1,INDEX($X$7:$AN$7,MATCH(TRUE,INDEX($X1018:$AY1018&lt;&gt;0,),0)),IF(BA1018=0,INDEX($AO$7:$AY$7,MATCH(1,$AO1018:$AY1018,0)),IF(BH1018="Multiple strategies","mixed drivers",IF(BH1018="Supply chain","multiple supply","multiple silviculture"))))</f>
        <v>mixed drivers</v>
      </c>
      <c r="BH1018" s="2" t="str" cm="1">
        <f t="array" ref="BH1018">IF(COUNTIF(BB1018:BD1018,"&lt;&gt;0")=1,INDEX($X$4:$AY$4,MATCH(TRUE,INDEX($X1018:$AY1018&lt;&gt;0,),0)),IF(COUNTIF(BB1018:BD1018,"&lt;&gt;0")=0,INDEX($AO$4:$AY$4,MATCH(1,$AO1018:$AY1018,0)),"Multiple strategies"))</f>
        <v>Multiple strategies</v>
      </c>
      <c r="BO1018" s="143"/>
      <c r="BP1018" s="143"/>
      <c r="BR1018" s="143" t="s">
        <v>232</v>
      </c>
      <c r="BS1018" s="143"/>
      <c r="BT1018" t="s">
        <v>1070</v>
      </c>
      <c r="BU1018">
        <v>36825.805139664684</v>
      </c>
      <c r="BV1018">
        <v>-14015.791508379843</v>
      </c>
      <c r="BW1018" s="144">
        <f>IFERROR(BV1018/BU1018,"")</f>
        <v>-0.38059701492537318</v>
      </c>
      <c r="BX1018" s="144">
        <f>BV1018-BU1018</f>
        <v>-50841.596648044528</v>
      </c>
      <c r="BY1018" s="144"/>
      <c r="BZ1018" s="144">
        <f>BX1018</f>
        <v>-50841.596648044528</v>
      </c>
      <c r="CA1018" t="str">
        <f>IFERROR(BZ1018/BQ1018,"")</f>
        <v/>
      </c>
      <c r="CB1018">
        <v>0</v>
      </c>
      <c r="CC1018">
        <v>0</v>
      </c>
      <c r="CD1018">
        <v>0</v>
      </c>
      <c r="CE1018">
        <v>0</v>
      </c>
      <c r="CF1018">
        <v>0</v>
      </c>
      <c r="CG1018">
        <v>0</v>
      </c>
      <c r="CH1018">
        <v>0</v>
      </c>
      <c r="CI1018">
        <v>0</v>
      </c>
      <c r="CJ1018">
        <v>0</v>
      </c>
      <c r="CK1018">
        <v>0</v>
      </c>
      <c r="CL1018">
        <v>0</v>
      </c>
      <c r="CM1018">
        <v>0</v>
      </c>
      <c r="CN1018">
        <v>0</v>
      </c>
      <c r="CO1018">
        <v>1</v>
      </c>
      <c r="CP1018" t="str">
        <f>IF(BN1018&lt;BM1018,"refNeedCorrection","refOK")</f>
        <v>refOK</v>
      </c>
      <c r="CQ1018"/>
      <c r="CR1018"/>
      <c r="CS1018"/>
      <c r="CT1018">
        <f>IF(BI1018="Roundwood",$CS1018/2,$CS1018)</f>
        <v>0</v>
      </c>
      <c r="CU1018">
        <f>IF($CP1018="refOK",$BU1018,$BV1018)*IF($BR1018="Emissions positive",-1,1)</f>
        <v>36825.805139664684</v>
      </c>
      <c r="CV1018">
        <f>IF($CP1018="refOK",$BV1018,$BU1018)*IF($BR1018="Emissions positive",-1,1)</f>
        <v>-14015.791508379843</v>
      </c>
      <c r="CW1018">
        <f>IF($CP1018="refNeedCorrection",-BZ1018,BZ1018)*IF($BR1018="Emissions positive",-1,1)</f>
        <v>-50841.596648044528</v>
      </c>
      <c r="CX1018" t="str">
        <f>IFERROR($CW1018/$CS1018,"")</f>
        <v/>
      </c>
      <c r="CY1018" t="str">
        <f>IFERROR($CW1018/$CS1018,"")</f>
        <v/>
      </c>
      <c r="CZ1018" t="str">
        <f>IFERROR($CW1018/$CT1018,"")</f>
        <v/>
      </c>
      <c r="DA1018" s="2">
        <f>IFERROR((CV1018-CU1018)/ABS(CU1018),"")</f>
        <v>-1.3805970149253732</v>
      </c>
      <c r="DB1018" s="1" t="s">
        <v>1074</v>
      </c>
      <c r="DC1018" t="str">
        <f>IF(OR($DB1018="prd",$DB1018="std",$DB1018="cit"),"loc",IF(OR($DB1018="eur",$DB1018="reg",$DB1018="coy"),"reg",$DB1018))</f>
        <v>reg</v>
      </c>
      <c r="DD1018" t="s">
        <v>235</v>
      </c>
      <c r="DE1018">
        <v>2010</v>
      </c>
      <c r="DF1018">
        <v>2070</v>
      </c>
      <c r="DG1018">
        <f>DF1018-DE1018</f>
        <v>60</v>
      </c>
      <c r="DH1018" t="str">
        <f>IF(DG1018=0,"0",IF(AND(DG1018&gt;=1,DG1018&lt;=30),"1-30",IF(AND(DG1018&gt;30,DG1018&lt;=70),"31-70",IF(AND(DG1018&gt;70,DG1018&lt;=100),"71-100",IF(DG1018&gt;100,"+100")))))</f>
        <v>31-70</v>
      </c>
      <c r="DI1018">
        <v>1</v>
      </c>
      <c r="DJ1018">
        <v>1</v>
      </c>
      <c r="DK1018">
        <v>1</v>
      </c>
      <c r="DL1018">
        <v>1</v>
      </c>
      <c r="DM1018">
        <v>0</v>
      </c>
      <c r="DN1018">
        <f>SUM(DI1018:DL1018)</f>
        <v>4</v>
      </c>
      <c r="DO1018" t="str">
        <f>IF(DN1018=1,INDEX($DI$7:$DL$7,MATCH(1,$DI1018:$DL1018,0)),"mixedProduct")</f>
        <v>mixedProduct</v>
      </c>
      <c r="DP1018" t="str">
        <f>IF(DI1018=1,DP$7,0)</f>
        <v>Upstream</v>
      </c>
      <c r="DQ1018" t="str">
        <f>IF(DJ1018=1,DQ$7,0)</f>
        <v>Energy</v>
      </c>
      <c r="DR1018" t="str">
        <f>IF(DK1018=1,DR$7,0)</f>
        <v>Pulp/Paper</v>
      </c>
      <c r="DS1018" t="str">
        <f>IF(DL1018=1,DS$7,0)</f>
        <v>Timber</v>
      </c>
      <c r="DT1018">
        <v>0</v>
      </c>
      <c r="DU1018">
        <v>1</v>
      </c>
      <c r="DV1018" t="s">
        <v>2237</v>
      </c>
      <c r="DW1018" t="s">
        <v>2238</v>
      </c>
      <c r="DX1018">
        <v>0</v>
      </c>
      <c r="DY1018">
        <f>SUM(DT1018:DU1018)</f>
        <v>1</v>
      </c>
      <c r="DZ1018" s="143" t="str">
        <f>IF(DT1018=1,"self-calculated DF",IF(DU1018=1,"external DF used","explicit C balance"))</f>
        <v>external DF used</v>
      </c>
      <c r="EA1018">
        <v>1</v>
      </c>
      <c r="EB1018">
        <v>1</v>
      </c>
      <c r="EC1018">
        <v>1</v>
      </c>
      <c r="ED1018">
        <v>1</v>
      </c>
      <c r="EE1018">
        <v>0</v>
      </c>
      <c r="EF1018" s="143">
        <v>0</v>
      </c>
      <c r="EG1018">
        <v>1</v>
      </c>
      <c r="EH1018">
        <v>1</v>
      </c>
      <c r="EI1018">
        <v>0</v>
      </c>
      <c r="EJ1018">
        <v>0</v>
      </c>
      <c r="EK1018">
        <v>1</v>
      </c>
      <c r="EL1018">
        <v>0</v>
      </c>
      <c r="EM1018">
        <v>0</v>
      </c>
      <c r="EN1018" s="2">
        <v>0</v>
      </c>
      <c r="EP1018" t="str">
        <f>IF(AND(AND(AND(OR($EC1018=1,$EB1018=1),OR($EH1018=1,$EF1018=1)),SUM($EA1018:$EE1018,$EK1018)&gt;=3),SUM($EF1018:$EJ1018)&gt;=2),"Whole sector approach","")</f>
        <v>Whole sector approach</v>
      </c>
      <c r="EQ1018" t="str">
        <f>IF(AND(AND(OR($EC1018=1,$EB1018=1),AND($EH1018=0,$EF1018=0)),SUM($EA1018:$EE1018,$EK1018)&gt;=4),"Ecosystem approach","")</f>
        <v/>
      </c>
      <c r="ER1018" s="2" t="str">
        <f>IF(AND(AND(AND($EC1018=0,$EB1018=0),OR($EH1018=1,$EF1018=1)),SUM($EG1018:$EJ1018)&gt;=2),"Technology approach","")</f>
        <v/>
      </c>
      <c r="ES1018" t="str">
        <f>IF(AND($EC1018+$EB1018+$EE1018+$EA1018+$ED1018+$EG1018=0,$N1018="included"),"C neutral forest and HWP assumption","")</f>
        <v/>
      </c>
      <c r="ET1018" t="str">
        <f>IF(AND(AND(AND(AND($EC1018=1,$EB1018+$EA1018+$EG1018&gt;=1),$EF1018=1),$EH1018+$EI1018+$ED1018+$EE1018&gt;=2),$N1018="included"),"All C pools assumption","")</f>
        <v/>
      </c>
      <c r="EU1018" t="str">
        <f>IF(AND($ED1018+$EE1018+$EI1018+$EH1018+$EF1018=0,$N1018="included"),"In-situ only assumption","")</f>
        <v/>
      </c>
      <c r="EY1018" t="b">
        <f>IF(ISNUMBER(BW1018),IF(ABS(BW1018-[2]QC_indicators!$B$2)&gt;3*[2]QC_indicators!$C$2,"C ratio",IF(ISNUMBER(CA1018),IF(ABS(CA1018-[2]QC_indicators!$B$1)&gt;3*[2]QC_indicators!$C$1,"DF","no"))),IF(ISNUMBER(CA1018),IF(ABS(CA1018-[2]QC_indicators!$B$1)&gt;3*[2]QC_indicators!$C$1,"DF","no")))</f>
        <v>0</v>
      </c>
      <c r="FA1018" t="str">
        <f>IF(LEN($CY1018)=0,"",IF(AND($CY1018&lt;(-0.05),$ES1018="C neutral forest and HWP assumption"),"Cneutral paradox",IF(AND($CY1018&gt;0.05,$EU1018="In-situ only assumption"),"In-situ only paradox","")))</f>
        <v/>
      </c>
      <c r="FD1018" s="260" t="s">
        <v>2948</v>
      </c>
    </row>
    <row r="1019" spans="1:160" ht="15" hidden="1" customHeight="1">
      <c r="A1019" s="1" t="s">
        <v>1295</v>
      </c>
      <c r="B1019" t="s">
        <v>2203</v>
      </c>
      <c r="C1019" t="s">
        <v>2204</v>
      </c>
      <c r="D1019" t="s">
        <v>2205</v>
      </c>
      <c r="E1019" t="s">
        <v>2206</v>
      </c>
      <c r="F1019" t="s">
        <v>2207</v>
      </c>
      <c r="G1019" t="s">
        <v>1301</v>
      </c>
      <c r="H1019" t="s">
        <v>254</v>
      </c>
      <c r="I1019">
        <v>2016</v>
      </c>
      <c r="J1019">
        <v>24</v>
      </c>
      <c r="K1019" t="s">
        <v>2208</v>
      </c>
      <c r="M1019" t="str">
        <f>LEFT($D1019,FIND(",",$D1019)-1)&amp;"_"&amp;I1019&amp;L1019</f>
        <v>Zubizarreta-Gerendiain_2016</v>
      </c>
      <c r="N1019" t="s">
        <v>222</v>
      </c>
      <c r="O1019" s="145" t="s">
        <v>1029</v>
      </c>
      <c r="Q1019" t="s">
        <v>256</v>
      </c>
      <c r="R1019" s="258" t="s">
        <v>223</v>
      </c>
      <c r="S1019" s="1" t="s">
        <v>2209</v>
      </c>
      <c r="T1019" t="s">
        <v>2229</v>
      </c>
      <c r="U1019" t="s">
        <v>2228</v>
      </c>
      <c r="V1019" s="253">
        <v>0</v>
      </c>
      <c r="W1019" s="253">
        <v>0</v>
      </c>
      <c r="X1019">
        <v>0</v>
      </c>
      <c r="Y1019">
        <v>0</v>
      </c>
      <c r="Z1019">
        <v>0</v>
      </c>
      <c r="AA1019">
        <v>2</v>
      </c>
      <c r="AB1019">
        <v>0</v>
      </c>
      <c r="AC1019">
        <v>0</v>
      </c>
      <c r="AD1019">
        <v>0</v>
      </c>
      <c r="AE1019">
        <v>0</v>
      </c>
      <c r="AF1019">
        <v>0</v>
      </c>
      <c r="AG1019">
        <v>0</v>
      </c>
      <c r="AH1019">
        <v>1</v>
      </c>
      <c r="AI1019">
        <v>0</v>
      </c>
      <c r="AJ1019">
        <v>0</v>
      </c>
      <c r="AK1019">
        <v>0</v>
      </c>
      <c r="AL1019">
        <v>0</v>
      </c>
      <c r="AM1019">
        <v>0</v>
      </c>
      <c r="AN1019">
        <v>0</v>
      </c>
      <c r="AO1019">
        <v>0</v>
      </c>
      <c r="AP1019">
        <v>2</v>
      </c>
      <c r="AQ1019">
        <v>2</v>
      </c>
      <c r="AR1019">
        <v>0</v>
      </c>
      <c r="AS1019">
        <v>0</v>
      </c>
      <c r="AT1019">
        <v>0</v>
      </c>
      <c r="AU1019">
        <v>0</v>
      </c>
      <c r="AV1019">
        <v>0</v>
      </c>
      <c r="AW1019">
        <v>0</v>
      </c>
      <c r="AX1019">
        <v>0</v>
      </c>
      <c r="AY1019">
        <v>0</v>
      </c>
      <c r="AZ1019" s="141">
        <f>COUNTIF(X1019:AY1019,"&lt;&gt;0")</f>
        <v>4</v>
      </c>
      <c r="BA1019" s="141">
        <f>COUNTIF(X1019:AN1019,"&lt;&gt;0")</f>
        <v>2</v>
      </c>
      <c r="BB1019">
        <f>COUNTIF(X1019:AE1019,"&lt;&gt;0")</f>
        <v>1</v>
      </c>
      <c r="BC1019">
        <f>COUNTIF(AF1019:AK1019,"&lt;&gt;0")</f>
        <v>1</v>
      </c>
      <c r="BD1019">
        <f>COUNTIF(AL1019:AN1019,"&lt;&gt;0")</f>
        <v>0</v>
      </c>
      <c r="BE1019">
        <f>COUNTIF(AU1019:AY1019,"&lt;&gt;0")</f>
        <v>0</v>
      </c>
      <c r="BF1019">
        <f>COUNTIF(AO1019:AT1019,"&lt;&gt;0")</f>
        <v>2</v>
      </c>
      <c r="BG1019" t="str">
        <f t="array" ref="BG1019">IF(BA1019=1,INDEX($X$7:$AN$7,MATCH(TRUE,INDEX($X1019:$AY1019&lt;&gt;0,),0)),IF(BA1019=0,INDEX($AO$7:$AY$7,MATCH(1,$AO1019:$AY1019,0)),IF(BH1019="Multiple strategies","mixed drivers",IF(BH1019="Supply chain","multiple supply","multiple silviculture"))))</f>
        <v>mixed drivers</v>
      </c>
      <c r="BH1019" s="2" t="str" cm="1">
        <f t="array" ref="BH1019">IF(COUNTIF(BB1019:BD1019,"&lt;&gt;0")=1,INDEX($X$4:$AY$4,MATCH(TRUE,INDEX($X1019:$AY1019&lt;&gt;0,),0)),IF(COUNTIF(BB1019:BD1019,"&lt;&gt;0")=0,INDEX($AO$4:$AY$4,MATCH(1,$AO1019:$AY1019,0)),"Multiple strategies"))</f>
        <v>Multiple strategies</v>
      </c>
      <c r="BO1019" s="143"/>
      <c r="BP1019" s="143"/>
      <c r="BR1019" s="143" t="s">
        <v>232</v>
      </c>
      <c r="BS1019" s="143"/>
      <c r="BT1019" t="s">
        <v>1070</v>
      </c>
      <c r="BU1019">
        <v>83545.110167597581</v>
      </c>
      <c r="BV1019">
        <v>-14015.791508379843</v>
      </c>
      <c r="BW1019" s="144">
        <f>IFERROR(BV1019/BU1019,"")</f>
        <v>-0.16776315789473667</v>
      </c>
      <c r="BX1019" s="144">
        <f>BV1019-BU1019</f>
        <v>-97560.901675977424</v>
      </c>
      <c r="BY1019" s="144"/>
      <c r="BZ1019" s="144">
        <f>BX1019</f>
        <v>-97560.901675977424</v>
      </c>
      <c r="CA1019" t="str">
        <f>IFERROR(BZ1019/BQ1019,"")</f>
        <v/>
      </c>
      <c r="CB1019">
        <v>0</v>
      </c>
      <c r="CC1019">
        <v>0</v>
      </c>
      <c r="CD1019">
        <v>0</v>
      </c>
      <c r="CE1019">
        <v>0</v>
      </c>
      <c r="CF1019">
        <v>0</v>
      </c>
      <c r="CG1019">
        <v>0</v>
      </c>
      <c r="CH1019">
        <v>0</v>
      </c>
      <c r="CI1019">
        <v>0</v>
      </c>
      <c r="CJ1019">
        <v>0</v>
      </c>
      <c r="CK1019">
        <v>0</v>
      </c>
      <c r="CL1019">
        <v>0</v>
      </c>
      <c r="CM1019">
        <v>0</v>
      </c>
      <c r="CN1019">
        <v>0</v>
      </c>
      <c r="CO1019">
        <v>1</v>
      </c>
      <c r="CP1019" t="str">
        <f>IF(BN1019&lt;BM1019,"refNeedCorrection","refOK")</f>
        <v>refOK</v>
      </c>
      <c r="CQ1019"/>
      <c r="CR1019"/>
      <c r="CS1019"/>
      <c r="CT1019">
        <f>IF(BI1019="Roundwood",$CS1019/2,$CS1019)</f>
        <v>0</v>
      </c>
      <c r="CU1019">
        <f>IF($CP1019="refOK",$BU1019,$BV1019)*IF($BR1019="Emissions positive",-1,1)</f>
        <v>83545.110167597581</v>
      </c>
      <c r="CV1019">
        <f>IF($CP1019="refOK",$BV1019,$BU1019)*IF($BR1019="Emissions positive",-1,1)</f>
        <v>-14015.791508379843</v>
      </c>
      <c r="CW1019">
        <f>IF($CP1019="refNeedCorrection",-BZ1019,BZ1019)*IF($BR1019="Emissions positive",-1,1)</f>
        <v>-97560.901675977424</v>
      </c>
      <c r="CX1019" t="str">
        <f>IFERROR($CW1019/$CS1019,"")</f>
        <v/>
      </c>
      <c r="CY1019" t="str">
        <f>IFERROR($CW1019/$CS1019,"")</f>
        <v/>
      </c>
      <c r="CZ1019" t="str">
        <f>IFERROR($CW1019/$CT1019,"")</f>
        <v/>
      </c>
      <c r="DA1019" s="2">
        <f>IFERROR((CV1019-CU1019)/ABS(CU1019),"")</f>
        <v>-1.1677631578947367</v>
      </c>
      <c r="DB1019" s="1" t="s">
        <v>1074</v>
      </c>
      <c r="DC1019" t="str">
        <f>IF(OR($DB1019="prd",$DB1019="std",$DB1019="cit"),"loc",IF(OR($DB1019="eur",$DB1019="reg",$DB1019="coy"),"reg",$DB1019))</f>
        <v>reg</v>
      </c>
      <c r="DD1019" t="s">
        <v>235</v>
      </c>
      <c r="DE1019">
        <v>2010</v>
      </c>
      <c r="DF1019">
        <v>2070</v>
      </c>
      <c r="DG1019">
        <f>DF1019-DE1019</f>
        <v>60</v>
      </c>
      <c r="DH1019" t="str">
        <f>IF(DG1019=0,"0",IF(AND(DG1019&gt;=1,DG1019&lt;=30),"1-30",IF(AND(DG1019&gt;30,DG1019&lt;=70),"31-70",IF(AND(DG1019&gt;70,DG1019&lt;=100),"71-100",IF(DG1019&gt;100,"+100")))))</f>
        <v>31-70</v>
      </c>
      <c r="DI1019">
        <v>1</v>
      </c>
      <c r="DJ1019">
        <v>1</v>
      </c>
      <c r="DK1019">
        <v>1</v>
      </c>
      <c r="DL1019">
        <v>1</v>
      </c>
      <c r="DM1019">
        <v>0</v>
      </c>
      <c r="DN1019">
        <f>SUM(DI1019:DL1019)</f>
        <v>4</v>
      </c>
      <c r="DO1019" t="str">
        <f>IF(DN1019=1,INDEX($DI$7:$DL$7,MATCH(1,$DI1019:$DL1019,0)),"mixedProduct")</f>
        <v>mixedProduct</v>
      </c>
      <c r="DP1019" t="str">
        <f>IF(DI1019=1,DP$7,0)</f>
        <v>Upstream</v>
      </c>
      <c r="DQ1019" t="str">
        <f>IF(DJ1019=1,DQ$7,0)</f>
        <v>Energy</v>
      </c>
      <c r="DR1019" t="str">
        <f>IF(DK1019=1,DR$7,0)</f>
        <v>Pulp/Paper</v>
      </c>
      <c r="DS1019" t="str">
        <f>IF(DL1019=1,DS$7,0)</f>
        <v>Timber</v>
      </c>
      <c r="DT1019">
        <v>0</v>
      </c>
      <c r="DU1019">
        <v>1</v>
      </c>
      <c r="DV1019" t="s">
        <v>2237</v>
      </c>
      <c r="DW1019" t="s">
        <v>2238</v>
      </c>
      <c r="DX1019">
        <v>0</v>
      </c>
      <c r="DY1019">
        <f>SUM(DT1019:DU1019)</f>
        <v>1</v>
      </c>
      <c r="DZ1019" s="143" t="str">
        <f>IF(DT1019=1,"self-calculated DF",IF(DU1019=1,"external DF used","explicit C balance"))</f>
        <v>external DF used</v>
      </c>
      <c r="EA1019">
        <v>1</v>
      </c>
      <c r="EB1019">
        <v>1</v>
      </c>
      <c r="EC1019">
        <v>1</v>
      </c>
      <c r="ED1019">
        <v>1</v>
      </c>
      <c r="EE1019">
        <v>0</v>
      </c>
      <c r="EF1019" s="143">
        <v>0</v>
      </c>
      <c r="EG1019">
        <v>1</v>
      </c>
      <c r="EH1019">
        <v>1</v>
      </c>
      <c r="EI1019">
        <v>0</v>
      </c>
      <c r="EJ1019">
        <v>0</v>
      </c>
      <c r="EK1019">
        <v>1</v>
      </c>
      <c r="EL1019">
        <v>0</v>
      </c>
      <c r="EM1019">
        <v>0</v>
      </c>
      <c r="EN1019" s="2">
        <v>0</v>
      </c>
      <c r="EP1019" t="str">
        <f>IF(AND(AND(AND(OR($EC1019=1,$EB1019=1),OR($EH1019=1,$EF1019=1)),SUM($EA1019:$EE1019,$EK1019)&gt;=3),SUM($EF1019:$EJ1019)&gt;=2),"Whole sector approach","")</f>
        <v>Whole sector approach</v>
      </c>
      <c r="EQ1019" t="str">
        <f>IF(AND(AND(OR($EC1019=1,$EB1019=1),AND($EH1019=0,$EF1019=0)),SUM($EA1019:$EE1019,$EK1019)&gt;=4),"Ecosystem approach","")</f>
        <v/>
      </c>
      <c r="ER1019" s="2" t="str">
        <f>IF(AND(AND(AND($EC1019=0,$EB1019=0),OR($EH1019=1,$EF1019=1)),SUM($EG1019:$EJ1019)&gt;=2),"Technology approach","")</f>
        <v/>
      </c>
      <c r="ES1019" t="str">
        <f>IF(AND($EC1019+$EB1019+$EE1019+$EA1019+$ED1019+$EG1019=0,$N1019="included"),"C neutral forest and HWP assumption","")</f>
        <v/>
      </c>
      <c r="ET1019" t="str">
        <f>IF(AND(AND(AND(AND($EC1019=1,$EB1019+$EA1019+$EG1019&gt;=1),$EF1019=1),$EH1019+$EI1019+$ED1019+$EE1019&gt;=2),$N1019="included"),"All C pools assumption","")</f>
        <v/>
      </c>
      <c r="EU1019" t="str">
        <f>IF(AND($ED1019+$EE1019+$EI1019+$EH1019+$EF1019=0,$N1019="included"),"In-situ only assumption","")</f>
        <v/>
      </c>
      <c r="EY1019" t="b">
        <f>IF(ISNUMBER(BW1019),IF(ABS(BW1019-[2]QC_indicators!$B$2)&gt;3*[2]QC_indicators!$C$2,"C ratio",IF(ISNUMBER(CA1019),IF(ABS(CA1019-[2]QC_indicators!$B$1)&gt;3*[2]QC_indicators!$C$1,"DF","no"))),IF(ISNUMBER(CA1019),IF(ABS(CA1019-[2]QC_indicators!$B$1)&gt;3*[2]QC_indicators!$C$1,"DF","no")))</f>
        <v>0</v>
      </c>
      <c r="FA1019" t="str">
        <f>IF(LEN($CY1019)=0,"",IF(AND($CY1019&lt;(-0.05),$ES1019="C neutral forest and HWP assumption"),"Cneutral paradox",IF(AND($CY1019&gt;0.05,$EU1019="In-situ only assumption"),"In-situ only paradox","")))</f>
        <v/>
      </c>
      <c r="FD1019" s="260" t="s">
        <v>2948</v>
      </c>
    </row>
    <row r="1020" spans="1:160" ht="15" hidden="1" customHeight="1">
      <c r="A1020" s="1" t="s">
        <v>1295</v>
      </c>
      <c r="B1020" t="s">
        <v>2203</v>
      </c>
      <c r="C1020" t="s">
        <v>2204</v>
      </c>
      <c r="D1020" t="s">
        <v>2205</v>
      </c>
      <c r="E1020" t="s">
        <v>2206</v>
      </c>
      <c r="F1020" t="s">
        <v>2207</v>
      </c>
      <c r="G1020" t="s">
        <v>1301</v>
      </c>
      <c r="H1020" t="s">
        <v>254</v>
      </c>
      <c r="I1020">
        <v>2016</v>
      </c>
      <c r="J1020">
        <v>24</v>
      </c>
      <c r="K1020" t="s">
        <v>2208</v>
      </c>
      <c r="M1020" t="str">
        <f>LEFT($D1020,FIND(",",$D1020)-1)&amp;"_"&amp;I1020&amp;L1020</f>
        <v>Zubizarreta-Gerendiain_2016</v>
      </c>
      <c r="N1020" t="s">
        <v>222</v>
      </c>
      <c r="O1020" s="145" t="s">
        <v>1029</v>
      </c>
      <c r="Q1020" t="s">
        <v>256</v>
      </c>
      <c r="R1020" s="258" t="s">
        <v>223</v>
      </c>
      <c r="S1020" s="1" t="s">
        <v>2219</v>
      </c>
      <c r="T1020" t="s">
        <v>2227</v>
      </c>
      <c r="U1020" t="s">
        <v>2228</v>
      </c>
      <c r="V1020" s="253">
        <v>0</v>
      </c>
      <c r="W1020" s="253">
        <v>0</v>
      </c>
      <c r="X1020">
        <v>0</v>
      </c>
      <c r="Y1020">
        <v>0</v>
      </c>
      <c r="Z1020">
        <v>0</v>
      </c>
      <c r="AA1020">
        <v>2</v>
      </c>
      <c r="AB1020">
        <v>0</v>
      </c>
      <c r="AC1020">
        <v>0</v>
      </c>
      <c r="AD1020">
        <v>0</v>
      </c>
      <c r="AE1020">
        <v>0</v>
      </c>
      <c r="AF1020">
        <v>0</v>
      </c>
      <c r="AG1020">
        <v>0</v>
      </c>
      <c r="AH1020">
        <v>1</v>
      </c>
      <c r="AI1020">
        <v>0</v>
      </c>
      <c r="AJ1020">
        <v>0</v>
      </c>
      <c r="AK1020">
        <v>0</v>
      </c>
      <c r="AL1020">
        <v>0</v>
      </c>
      <c r="AM1020">
        <v>0</v>
      </c>
      <c r="AN1020">
        <v>0</v>
      </c>
      <c r="AO1020">
        <v>0</v>
      </c>
      <c r="AP1020">
        <v>2</v>
      </c>
      <c r="AQ1020">
        <v>2</v>
      </c>
      <c r="AR1020">
        <v>0</v>
      </c>
      <c r="AS1020">
        <v>0</v>
      </c>
      <c r="AT1020">
        <v>0</v>
      </c>
      <c r="AU1020">
        <v>0</v>
      </c>
      <c r="AV1020">
        <v>0</v>
      </c>
      <c r="AW1020">
        <v>0</v>
      </c>
      <c r="AX1020">
        <v>0</v>
      </c>
      <c r="AY1020">
        <v>0</v>
      </c>
      <c r="AZ1020" s="141">
        <f>COUNTIF(X1020:AY1020,"&lt;&gt;0")</f>
        <v>4</v>
      </c>
      <c r="BA1020" s="141">
        <f>COUNTIF(X1020:AN1020,"&lt;&gt;0")</f>
        <v>2</v>
      </c>
      <c r="BB1020">
        <f>COUNTIF(X1020:AE1020,"&lt;&gt;0")</f>
        <v>1</v>
      </c>
      <c r="BC1020">
        <f>COUNTIF(AF1020:AK1020,"&lt;&gt;0")</f>
        <v>1</v>
      </c>
      <c r="BD1020">
        <f>COUNTIF(AL1020:AN1020,"&lt;&gt;0")</f>
        <v>0</v>
      </c>
      <c r="BE1020">
        <f>COUNTIF(AU1020:AY1020,"&lt;&gt;0")</f>
        <v>0</v>
      </c>
      <c r="BF1020">
        <f>COUNTIF(AO1020:AT1020,"&lt;&gt;0")</f>
        <v>2</v>
      </c>
      <c r="BG1020" t="str">
        <f t="array" ref="BG1020">IF(BA1020=1,INDEX($X$7:$AN$7,MATCH(TRUE,INDEX($X1020:$AY1020&lt;&gt;0,),0)),IF(BA1020=0,INDEX($AO$7:$AY$7,MATCH(1,$AO1020:$AY1020,0)),IF(BH1020="Multiple strategies","mixed drivers",IF(BH1020="Supply chain","multiple supply","multiple silviculture"))))</f>
        <v>mixed drivers</v>
      </c>
      <c r="BH1020" s="2" t="str" cm="1">
        <f t="array" ref="BH1020">IF(COUNTIF(BB1020:BD1020,"&lt;&gt;0")=1,INDEX($X$4:$AY$4,MATCH(TRUE,INDEX($X1020:$AY1020&lt;&gt;0,),0)),IF(COUNTIF(BB1020:BD1020,"&lt;&gt;0")=0,INDEX($AO$4:$AY$4,MATCH(1,$AO1020:$AY1020,0)),"Multiple strategies"))</f>
        <v>Multiple strategies</v>
      </c>
      <c r="BO1020" s="143"/>
      <c r="BP1020" s="143"/>
      <c r="BR1020" s="143" t="s">
        <v>232</v>
      </c>
      <c r="BS1020" s="143"/>
      <c r="BT1020" t="s">
        <v>1070</v>
      </c>
      <c r="BU1020">
        <v>88354.450391061444</v>
      </c>
      <c r="BV1020">
        <v>-14015.791508379843</v>
      </c>
      <c r="BW1020" s="144">
        <f>IFERROR(BV1020/BU1020,"")</f>
        <v>-0.15863141524105706</v>
      </c>
      <c r="BX1020" s="144">
        <f>BV1020-BU1020</f>
        <v>-102370.24189944129</v>
      </c>
      <c r="BY1020" s="144"/>
      <c r="BZ1020" s="144">
        <f>BX1020</f>
        <v>-102370.24189944129</v>
      </c>
      <c r="CA1020" t="str">
        <f>IFERROR(BZ1020/BQ1020,"")</f>
        <v/>
      </c>
      <c r="CB1020">
        <v>0</v>
      </c>
      <c r="CC1020">
        <v>0</v>
      </c>
      <c r="CD1020">
        <v>0</v>
      </c>
      <c r="CE1020">
        <v>0</v>
      </c>
      <c r="CF1020">
        <v>0</v>
      </c>
      <c r="CG1020">
        <v>0</v>
      </c>
      <c r="CH1020">
        <v>0</v>
      </c>
      <c r="CI1020">
        <v>0</v>
      </c>
      <c r="CJ1020">
        <v>0</v>
      </c>
      <c r="CK1020">
        <v>0</v>
      </c>
      <c r="CL1020">
        <v>0</v>
      </c>
      <c r="CM1020">
        <v>0</v>
      </c>
      <c r="CN1020">
        <v>0</v>
      </c>
      <c r="CO1020">
        <v>1</v>
      </c>
      <c r="CP1020" t="str">
        <f>IF(BN1020&lt;BM1020,"refNeedCorrection","refOK")</f>
        <v>refOK</v>
      </c>
      <c r="CQ1020"/>
      <c r="CR1020"/>
      <c r="CS1020"/>
      <c r="CT1020">
        <f>IF(BI1020="Roundwood",$CS1020/2,$CS1020)</f>
        <v>0</v>
      </c>
      <c r="CU1020">
        <f>IF($CP1020="refOK",$BU1020,$BV1020)*IF($BR1020="Emissions positive",-1,1)</f>
        <v>88354.450391061444</v>
      </c>
      <c r="CV1020">
        <f>IF($CP1020="refOK",$BV1020,$BU1020)*IF($BR1020="Emissions positive",-1,1)</f>
        <v>-14015.791508379843</v>
      </c>
      <c r="CW1020">
        <f>IF($CP1020="refNeedCorrection",-BZ1020,BZ1020)*IF($BR1020="Emissions positive",-1,1)</f>
        <v>-102370.24189944129</v>
      </c>
      <c r="CX1020" t="str">
        <f>IFERROR($CW1020/$CS1020,"")</f>
        <v/>
      </c>
      <c r="CY1020" t="str">
        <f>IFERROR($CW1020/$CS1020,"")</f>
        <v/>
      </c>
      <c r="CZ1020" t="str">
        <f>IFERROR($CW1020/$CT1020,"")</f>
        <v/>
      </c>
      <c r="DA1020" s="2">
        <f>IFERROR((CV1020-CU1020)/ABS(CU1020),"")</f>
        <v>-1.1586314152410571</v>
      </c>
      <c r="DB1020" s="1" t="s">
        <v>1074</v>
      </c>
      <c r="DC1020" t="str">
        <f>IF(OR($DB1020="prd",$DB1020="std",$DB1020="cit"),"loc",IF(OR($DB1020="eur",$DB1020="reg",$DB1020="coy"),"reg",$DB1020))</f>
        <v>reg</v>
      </c>
      <c r="DD1020" t="s">
        <v>235</v>
      </c>
      <c r="DE1020">
        <v>2010</v>
      </c>
      <c r="DF1020">
        <v>2070</v>
      </c>
      <c r="DG1020">
        <f>DF1020-DE1020</f>
        <v>60</v>
      </c>
      <c r="DH1020" t="str">
        <f>IF(DG1020=0,"0",IF(AND(DG1020&gt;=1,DG1020&lt;=30),"1-30",IF(AND(DG1020&gt;30,DG1020&lt;=70),"31-70",IF(AND(DG1020&gt;70,DG1020&lt;=100),"71-100",IF(DG1020&gt;100,"+100")))))</f>
        <v>31-70</v>
      </c>
      <c r="DI1020">
        <v>1</v>
      </c>
      <c r="DJ1020">
        <v>1</v>
      </c>
      <c r="DK1020">
        <v>1</v>
      </c>
      <c r="DL1020">
        <v>1</v>
      </c>
      <c r="DM1020">
        <v>0</v>
      </c>
      <c r="DN1020">
        <f>SUM(DI1020:DL1020)</f>
        <v>4</v>
      </c>
      <c r="DO1020" t="str">
        <f>IF(DN1020=1,INDEX($DI$7:$DL$7,MATCH(1,$DI1020:$DL1020,0)),"mixedProduct")</f>
        <v>mixedProduct</v>
      </c>
      <c r="DP1020" t="str">
        <f>IF(DI1020=1,DP$7,0)</f>
        <v>Upstream</v>
      </c>
      <c r="DQ1020" t="str">
        <f>IF(DJ1020=1,DQ$7,0)</f>
        <v>Energy</v>
      </c>
      <c r="DR1020" t="str">
        <f>IF(DK1020=1,DR$7,0)</f>
        <v>Pulp/Paper</v>
      </c>
      <c r="DS1020" t="str">
        <f>IF(DL1020=1,DS$7,0)</f>
        <v>Timber</v>
      </c>
      <c r="DT1020">
        <v>0</v>
      </c>
      <c r="DU1020">
        <v>1</v>
      </c>
      <c r="DV1020" t="s">
        <v>2237</v>
      </c>
      <c r="DW1020" t="s">
        <v>2238</v>
      </c>
      <c r="DX1020">
        <v>0</v>
      </c>
      <c r="DY1020">
        <f>SUM(DT1020:DU1020)</f>
        <v>1</v>
      </c>
      <c r="DZ1020" s="143" t="str">
        <f>IF(DT1020=1,"self-calculated DF",IF(DU1020=1,"external DF used","explicit C balance"))</f>
        <v>external DF used</v>
      </c>
      <c r="EA1020">
        <v>1</v>
      </c>
      <c r="EB1020">
        <v>1</v>
      </c>
      <c r="EC1020">
        <v>1</v>
      </c>
      <c r="ED1020">
        <v>1</v>
      </c>
      <c r="EE1020">
        <v>0</v>
      </c>
      <c r="EF1020" s="143">
        <v>0</v>
      </c>
      <c r="EG1020">
        <v>1</v>
      </c>
      <c r="EH1020">
        <v>1</v>
      </c>
      <c r="EI1020">
        <v>0</v>
      </c>
      <c r="EJ1020">
        <v>0</v>
      </c>
      <c r="EK1020">
        <v>1</v>
      </c>
      <c r="EL1020">
        <v>0</v>
      </c>
      <c r="EM1020">
        <v>0</v>
      </c>
      <c r="EN1020" s="2">
        <v>0</v>
      </c>
      <c r="EP1020" t="str">
        <f>IF(AND(AND(AND(OR($EC1020=1,$EB1020=1),OR($EH1020=1,$EF1020=1)),SUM($EA1020:$EE1020,$EK1020)&gt;=3),SUM($EF1020:$EJ1020)&gt;=2),"Whole sector approach","")</f>
        <v>Whole sector approach</v>
      </c>
      <c r="EQ1020" t="str">
        <f>IF(AND(AND(OR($EC1020=1,$EB1020=1),AND($EH1020=0,$EF1020=0)),SUM($EA1020:$EE1020,$EK1020)&gt;=4),"Ecosystem approach","")</f>
        <v/>
      </c>
      <c r="ER1020" s="2" t="str">
        <f>IF(AND(AND(AND($EC1020=0,$EB1020=0),OR($EH1020=1,$EF1020=1)),SUM($EG1020:$EJ1020)&gt;=2),"Technology approach","")</f>
        <v/>
      </c>
      <c r="ES1020" t="str">
        <f>IF(AND($EC1020+$EB1020+$EE1020+$EA1020+$ED1020+$EG1020=0,$N1020="included"),"C neutral forest and HWP assumption","")</f>
        <v/>
      </c>
      <c r="ET1020" t="str">
        <f>IF(AND(AND(AND(AND($EC1020=1,$EB1020+$EA1020+$EG1020&gt;=1),$EF1020=1),$EH1020+$EI1020+$ED1020+$EE1020&gt;=2),$N1020="included"),"All C pools assumption","")</f>
        <v/>
      </c>
      <c r="EU1020" t="str">
        <f>IF(AND($ED1020+$EE1020+$EI1020+$EH1020+$EF1020=0,$N1020="included"),"In-situ only assumption","")</f>
        <v/>
      </c>
      <c r="EW1020" t="s">
        <v>2221</v>
      </c>
      <c r="EY1020" t="b">
        <f>IF(ISNUMBER(BW1020),IF(ABS(BW1020-[2]QC_indicators!$B$2)&gt;3*[2]QC_indicators!$C$2,"C ratio",IF(ISNUMBER(CA1020),IF(ABS(CA1020-[2]QC_indicators!$B$1)&gt;3*[2]QC_indicators!$C$1,"DF","no"))),IF(ISNUMBER(CA1020),IF(ABS(CA1020-[2]QC_indicators!$B$1)&gt;3*[2]QC_indicators!$C$1,"DF","no")))</f>
        <v>0</v>
      </c>
      <c r="FA1020" t="str">
        <f>IF(LEN($CY1020)=0,"",IF(AND($CY1020&lt;(-0.05),$ES1020="C neutral forest and HWP assumption"),"Cneutral paradox",IF(AND($CY1020&gt;0.05,$EU1020="In-situ only assumption"),"In-situ only paradox","")))</f>
        <v/>
      </c>
      <c r="FD1020" s="260" t="s">
        <v>2948</v>
      </c>
    </row>
    <row r="1021" spans="1:160" ht="15" hidden="1" customHeight="1">
      <c r="A1021" s="1" t="s">
        <v>1295</v>
      </c>
      <c r="B1021" t="s">
        <v>2203</v>
      </c>
      <c r="C1021" t="s">
        <v>2204</v>
      </c>
      <c r="D1021" t="s">
        <v>2205</v>
      </c>
      <c r="E1021" t="s">
        <v>2206</v>
      </c>
      <c r="F1021" t="s">
        <v>2207</v>
      </c>
      <c r="G1021" t="s">
        <v>1301</v>
      </c>
      <c r="H1021" t="s">
        <v>254</v>
      </c>
      <c r="I1021">
        <v>2016</v>
      </c>
      <c r="J1021">
        <v>24</v>
      </c>
      <c r="K1021" t="s">
        <v>2208</v>
      </c>
      <c r="M1021" t="str">
        <f>LEFT($D1021,FIND(",",$D1021)-1)&amp;"_"&amp;I1021&amp;L1021</f>
        <v>Zubizarreta-Gerendiain_2016</v>
      </c>
      <c r="N1021" t="s">
        <v>222</v>
      </c>
      <c r="O1021" s="145" t="s">
        <v>1029</v>
      </c>
      <c r="Q1021" t="s">
        <v>256</v>
      </c>
      <c r="R1021" s="258" t="s">
        <v>223</v>
      </c>
      <c r="S1021" s="1" t="s">
        <v>2219</v>
      </c>
      <c r="T1021" t="s">
        <v>2223</v>
      </c>
      <c r="U1021" t="s">
        <v>2224</v>
      </c>
      <c r="V1021" s="253">
        <v>0</v>
      </c>
      <c r="W1021" s="253">
        <v>0</v>
      </c>
      <c r="X1021">
        <v>0</v>
      </c>
      <c r="Y1021">
        <v>0</v>
      </c>
      <c r="Z1021">
        <v>0</v>
      </c>
      <c r="AA1021">
        <v>2</v>
      </c>
      <c r="AB1021">
        <v>0</v>
      </c>
      <c r="AC1021">
        <v>0</v>
      </c>
      <c r="AD1021">
        <v>0</v>
      </c>
      <c r="AE1021">
        <v>0</v>
      </c>
      <c r="AF1021">
        <v>0</v>
      </c>
      <c r="AG1021">
        <v>0</v>
      </c>
      <c r="AH1021">
        <v>1</v>
      </c>
      <c r="AI1021">
        <v>0</v>
      </c>
      <c r="AJ1021">
        <v>0</v>
      </c>
      <c r="AK1021">
        <v>0</v>
      </c>
      <c r="AL1021">
        <v>0</v>
      </c>
      <c r="AM1021">
        <v>0</v>
      </c>
      <c r="AN1021">
        <v>0</v>
      </c>
      <c r="AO1021">
        <v>0</v>
      </c>
      <c r="AP1021">
        <v>2</v>
      </c>
      <c r="AQ1021">
        <v>2</v>
      </c>
      <c r="AR1021">
        <v>0</v>
      </c>
      <c r="AS1021">
        <v>0</v>
      </c>
      <c r="AT1021">
        <v>0</v>
      </c>
      <c r="AU1021">
        <v>0</v>
      </c>
      <c r="AV1021">
        <v>0</v>
      </c>
      <c r="AW1021">
        <v>0</v>
      </c>
      <c r="AX1021">
        <v>0</v>
      </c>
      <c r="AY1021">
        <v>0</v>
      </c>
      <c r="AZ1021" s="141">
        <f>COUNTIF(X1021:AY1021,"&lt;&gt;0")</f>
        <v>4</v>
      </c>
      <c r="BA1021" s="141">
        <f>COUNTIF(X1021:AN1021,"&lt;&gt;0")</f>
        <v>2</v>
      </c>
      <c r="BB1021">
        <f>COUNTIF(X1021:AE1021,"&lt;&gt;0")</f>
        <v>1</v>
      </c>
      <c r="BC1021">
        <f>COUNTIF(AF1021:AK1021,"&lt;&gt;0")</f>
        <v>1</v>
      </c>
      <c r="BD1021">
        <f>COUNTIF(AL1021:AN1021,"&lt;&gt;0")</f>
        <v>0</v>
      </c>
      <c r="BE1021">
        <f>COUNTIF(AU1021:AY1021,"&lt;&gt;0")</f>
        <v>0</v>
      </c>
      <c r="BF1021">
        <f>COUNTIF(AO1021:AT1021,"&lt;&gt;0")</f>
        <v>2</v>
      </c>
      <c r="BG1021" t="str">
        <f t="array" ref="BG1021">IF(BA1021=1,INDEX($X$7:$AN$7,MATCH(TRUE,INDEX($X1021:$AY1021&lt;&gt;0,),0)),IF(BA1021=0,INDEX($AO$7:$AY$7,MATCH(1,$AO1021:$AY1021,0)),IF(BH1021="Multiple strategies","mixed drivers",IF(BH1021="Supply chain","multiple supply","multiple silviculture"))))</f>
        <v>mixed drivers</v>
      </c>
      <c r="BH1021" s="2" t="str" cm="1">
        <f t="array" ref="BH1021">IF(COUNTIF(BB1021:BD1021,"&lt;&gt;0")=1,INDEX($X$4:$AY$4,MATCH(TRUE,INDEX($X1021:$AY1021&lt;&gt;0,),0)),IF(COUNTIF(BB1021:BD1021,"&lt;&gt;0")=0,INDEX($AO$4:$AY$4,MATCH(1,$AO1021:$AY1021,0)),"Multiple strategies"))</f>
        <v>Multiple strategies</v>
      </c>
      <c r="BO1021" s="143"/>
      <c r="BP1021" s="143"/>
      <c r="BR1021" s="143" t="s">
        <v>232</v>
      </c>
      <c r="BS1021" s="143"/>
      <c r="BT1021" t="s">
        <v>1070</v>
      </c>
      <c r="BU1021">
        <v>144211.00407709272</v>
      </c>
      <c r="BV1021">
        <v>29471.133802816759</v>
      </c>
      <c r="BW1021" s="144">
        <f>IFERROR(BV1021/BU1021,"")</f>
        <v>0.20436119969778449</v>
      </c>
      <c r="BX1021" s="144">
        <f>BV1021-BU1021</f>
        <v>-114739.87027427595</v>
      </c>
      <c r="BY1021" s="144"/>
      <c r="BZ1021" s="144">
        <f>BX1021</f>
        <v>-114739.87027427595</v>
      </c>
      <c r="CA1021" t="str">
        <f>IFERROR(BZ1021/BQ1021,"")</f>
        <v/>
      </c>
      <c r="CB1021">
        <v>0</v>
      </c>
      <c r="CC1021">
        <v>0</v>
      </c>
      <c r="CD1021">
        <v>0</v>
      </c>
      <c r="CE1021">
        <v>0</v>
      </c>
      <c r="CF1021">
        <v>0</v>
      </c>
      <c r="CG1021">
        <v>0</v>
      </c>
      <c r="CH1021">
        <v>0</v>
      </c>
      <c r="CI1021">
        <v>0</v>
      </c>
      <c r="CJ1021">
        <v>0</v>
      </c>
      <c r="CK1021">
        <v>0</v>
      </c>
      <c r="CL1021">
        <v>0</v>
      </c>
      <c r="CM1021">
        <v>0</v>
      </c>
      <c r="CN1021">
        <v>0</v>
      </c>
      <c r="CO1021">
        <v>1</v>
      </c>
      <c r="CP1021" t="str">
        <f>IF(BN1021&lt;BM1021,"refNeedCorrection","refOK")</f>
        <v>refOK</v>
      </c>
      <c r="CQ1021"/>
      <c r="CR1021"/>
      <c r="CS1021"/>
      <c r="CT1021">
        <f>IF(BI1021="Roundwood",$CS1021/2,$CS1021)</f>
        <v>0</v>
      </c>
      <c r="CU1021">
        <f>IF($CP1021="refOK",$BU1021,$BV1021)*IF($BR1021="Emissions positive",-1,1)</f>
        <v>144211.00407709272</v>
      </c>
      <c r="CV1021">
        <f>IF($CP1021="refOK",$BV1021,$BU1021)*IF($BR1021="Emissions positive",-1,1)</f>
        <v>29471.133802816759</v>
      </c>
      <c r="CW1021">
        <f>IF($CP1021="refNeedCorrection",-BZ1021,BZ1021)*IF($BR1021="Emissions positive",-1,1)</f>
        <v>-114739.87027427595</v>
      </c>
      <c r="CX1021" t="str">
        <f>IFERROR($CW1021/$CS1021,"")</f>
        <v/>
      </c>
      <c r="CY1021" t="str">
        <f>IFERROR($CW1021/$CS1021,"")</f>
        <v/>
      </c>
      <c r="CZ1021" t="str">
        <f>IFERROR($CW1021/$CT1021,"")</f>
        <v/>
      </c>
      <c r="DA1021" s="2">
        <f>IFERROR((CV1021-CU1021)/ABS(CU1021),"")</f>
        <v>-0.79563880030221545</v>
      </c>
      <c r="DB1021" s="1" t="s">
        <v>1074</v>
      </c>
      <c r="DC1021" t="str">
        <f>IF(OR($DB1021="prd",$DB1021="std",$DB1021="cit"),"loc",IF(OR($DB1021="eur",$DB1021="reg",$DB1021="coy"),"reg",$DB1021))</f>
        <v>reg</v>
      </c>
      <c r="DD1021" t="s">
        <v>235</v>
      </c>
      <c r="DE1021">
        <v>2010</v>
      </c>
      <c r="DF1021">
        <v>2070</v>
      </c>
      <c r="DG1021">
        <f>DF1021-DE1021</f>
        <v>60</v>
      </c>
      <c r="DH1021" t="str">
        <f>IF(DG1021=0,"0",IF(AND(DG1021&gt;=1,DG1021&lt;=30),"1-30",IF(AND(DG1021&gt;30,DG1021&lt;=70),"31-70",IF(AND(DG1021&gt;70,DG1021&lt;=100),"71-100",IF(DG1021&gt;100,"+100")))))</f>
        <v>31-70</v>
      </c>
      <c r="DI1021">
        <v>1</v>
      </c>
      <c r="DJ1021">
        <v>1</v>
      </c>
      <c r="DK1021">
        <v>1</v>
      </c>
      <c r="DL1021">
        <v>1</v>
      </c>
      <c r="DM1021">
        <v>0</v>
      </c>
      <c r="DN1021">
        <f>SUM(DI1021:DL1021)</f>
        <v>4</v>
      </c>
      <c r="DO1021" t="str">
        <f>IF(DN1021=1,INDEX($DI$7:$DL$7,MATCH(1,$DI1021:$DL1021,0)),"mixedProduct")</f>
        <v>mixedProduct</v>
      </c>
      <c r="DP1021" t="str">
        <f>IF(DI1021=1,DP$7,0)</f>
        <v>Upstream</v>
      </c>
      <c r="DQ1021" t="str">
        <f>IF(DJ1021=1,DQ$7,0)</f>
        <v>Energy</v>
      </c>
      <c r="DR1021" t="str">
        <f>IF(DK1021=1,DR$7,0)</f>
        <v>Pulp/Paper</v>
      </c>
      <c r="DS1021" t="str">
        <f>IF(DL1021=1,DS$7,0)</f>
        <v>Timber</v>
      </c>
      <c r="DT1021">
        <v>0</v>
      </c>
      <c r="DU1021">
        <v>1</v>
      </c>
      <c r="DV1021" t="s">
        <v>2237</v>
      </c>
      <c r="DW1021" t="s">
        <v>2238</v>
      </c>
      <c r="DX1021">
        <v>0</v>
      </c>
      <c r="DY1021">
        <f>SUM(DT1021:DU1021)</f>
        <v>1</v>
      </c>
      <c r="DZ1021" s="143" t="str">
        <f>IF(DT1021=1,"self-calculated DF",IF(DU1021=1,"external DF used","explicit C balance"))</f>
        <v>external DF used</v>
      </c>
      <c r="EA1021">
        <v>1</v>
      </c>
      <c r="EB1021">
        <v>1</v>
      </c>
      <c r="EC1021">
        <v>1</v>
      </c>
      <c r="ED1021">
        <v>1</v>
      </c>
      <c r="EE1021">
        <v>0</v>
      </c>
      <c r="EF1021" s="143">
        <v>0</v>
      </c>
      <c r="EG1021">
        <v>1</v>
      </c>
      <c r="EH1021">
        <v>1</v>
      </c>
      <c r="EI1021">
        <v>0</v>
      </c>
      <c r="EJ1021">
        <v>0</v>
      </c>
      <c r="EK1021">
        <v>1</v>
      </c>
      <c r="EL1021">
        <v>0</v>
      </c>
      <c r="EM1021">
        <v>0</v>
      </c>
      <c r="EN1021" s="2">
        <v>0</v>
      </c>
      <c r="EP1021" t="str">
        <f>IF(AND(AND(AND(OR($EC1021=1,$EB1021=1),OR($EH1021=1,$EF1021=1)),SUM($EA1021:$EE1021,$EK1021)&gt;=3),SUM($EF1021:$EJ1021)&gt;=2),"Whole sector approach","")</f>
        <v>Whole sector approach</v>
      </c>
      <c r="EQ1021" t="str">
        <f>IF(AND(AND(OR($EC1021=1,$EB1021=1),AND($EH1021=0,$EF1021=0)),SUM($EA1021:$EE1021,$EK1021)&gt;=4),"Ecosystem approach","")</f>
        <v/>
      </c>
      <c r="ER1021" s="2" t="str">
        <f>IF(AND(AND(AND($EC1021=0,$EB1021=0),OR($EH1021=1,$EF1021=1)),SUM($EG1021:$EJ1021)&gt;=2),"Technology approach","")</f>
        <v/>
      </c>
      <c r="ES1021" t="str">
        <f>IF(AND($EC1021+$EB1021+$EE1021+$EA1021+$ED1021+$EG1021=0,$N1021="included"),"C neutral forest and HWP assumption","")</f>
        <v/>
      </c>
      <c r="ET1021" t="str">
        <f>IF(AND(AND(AND(AND($EC1021=1,$EB1021+$EA1021+$EG1021&gt;=1),$EF1021=1),$EH1021+$EI1021+$ED1021+$EE1021&gt;=2),$N1021="included"),"All C pools assumption","")</f>
        <v/>
      </c>
      <c r="EU1021" t="str">
        <f>IF(AND($ED1021+$EE1021+$EI1021+$EH1021+$EF1021=0,$N1021="included"),"In-situ only assumption","")</f>
        <v/>
      </c>
      <c r="EW1021" t="s">
        <v>2221</v>
      </c>
      <c r="EY1021" t="b">
        <f>IF(ISNUMBER(BW1021),IF(ABS(BW1021-[2]QC_indicators!$B$2)&gt;3*[2]QC_indicators!$C$2,"C ratio",IF(ISNUMBER(CA1021),IF(ABS(CA1021-[2]QC_indicators!$B$1)&gt;3*[2]QC_indicators!$C$1,"DF","no"))),IF(ISNUMBER(CA1021),IF(ABS(CA1021-[2]QC_indicators!$B$1)&gt;3*[2]QC_indicators!$C$1,"DF","no")))</f>
        <v>0</v>
      </c>
      <c r="FA1021" t="str">
        <f>IF(LEN($CY1021)=0,"",IF(AND($CY1021&lt;(-0.05),$ES1021="C neutral forest and HWP assumption"),"Cneutral paradox",IF(AND($CY1021&gt;0.05,$EU1021="In-situ only assumption"),"In-situ only paradox","")))</f>
        <v/>
      </c>
      <c r="FD1021" s="260" t="s">
        <v>2948</v>
      </c>
    </row>
    <row r="1022" spans="1:160" ht="15" hidden="1" customHeight="1">
      <c r="A1022" s="1" t="s">
        <v>1295</v>
      </c>
      <c r="B1022" t="s">
        <v>2203</v>
      </c>
      <c r="C1022" t="s">
        <v>2204</v>
      </c>
      <c r="D1022" t="s">
        <v>2205</v>
      </c>
      <c r="E1022" t="s">
        <v>2206</v>
      </c>
      <c r="F1022" t="s">
        <v>2207</v>
      </c>
      <c r="G1022" t="s">
        <v>1301</v>
      </c>
      <c r="H1022" t="s">
        <v>254</v>
      </c>
      <c r="I1022">
        <v>2016</v>
      </c>
      <c r="J1022">
        <v>24</v>
      </c>
      <c r="K1022" t="s">
        <v>2208</v>
      </c>
      <c r="M1022" t="str">
        <f>LEFT($D1022,FIND(",",$D1022)-1)&amp;"_"&amp;I1022&amp;L1022</f>
        <v>Zubizarreta-Gerendiain_2016</v>
      </c>
      <c r="N1022" t="s">
        <v>222</v>
      </c>
      <c r="O1022" s="145" t="s">
        <v>1029</v>
      </c>
      <c r="Q1022" t="s">
        <v>256</v>
      </c>
      <c r="R1022" s="258" t="s">
        <v>223</v>
      </c>
      <c r="S1022" s="1" t="s">
        <v>2209</v>
      </c>
      <c r="T1022" t="s">
        <v>2225</v>
      </c>
      <c r="U1022" t="s">
        <v>2224</v>
      </c>
      <c r="V1022" s="253">
        <v>0</v>
      </c>
      <c r="W1022" s="253">
        <v>0</v>
      </c>
      <c r="X1022">
        <v>0</v>
      </c>
      <c r="Y1022">
        <v>0</v>
      </c>
      <c r="Z1022">
        <v>0</v>
      </c>
      <c r="AA1022">
        <v>2</v>
      </c>
      <c r="AB1022">
        <v>0</v>
      </c>
      <c r="AC1022">
        <v>0</v>
      </c>
      <c r="AD1022">
        <v>0</v>
      </c>
      <c r="AE1022">
        <v>0</v>
      </c>
      <c r="AF1022">
        <v>0</v>
      </c>
      <c r="AG1022">
        <v>0</v>
      </c>
      <c r="AH1022">
        <v>1</v>
      </c>
      <c r="AI1022">
        <v>0</v>
      </c>
      <c r="AJ1022">
        <v>0</v>
      </c>
      <c r="AK1022">
        <v>0</v>
      </c>
      <c r="AL1022">
        <v>0</v>
      </c>
      <c r="AM1022">
        <v>0</v>
      </c>
      <c r="AN1022">
        <v>0</v>
      </c>
      <c r="AO1022">
        <v>0</v>
      </c>
      <c r="AP1022">
        <v>2</v>
      </c>
      <c r="AQ1022">
        <v>2</v>
      </c>
      <c r="AR1022">
        <v>0</v>
      </c>
      <c r="AS1022">
        <v>0</v>
      </c>
      <c r="AT1022">
        <v>0</v>
      </c>
      <c r="AU1022">
        <v>0</v>
      </c>
      <c r="AV1022">
        <v>0</v>
      </c>
      <c r="AW1022">
        <v>0</v>
      </c>
      <c r="AX1022">
        <v>0</v>
      </c>
      <c r="AY1022">
        <v>0</v>
      </c>
      <c r="AZ1022" s="141">
        <f>COUNTIF(X1022:AY1022,"&lt;&gt;0")</f>
        <v>4</v>
      </c>
      <c r="BA1022" s="141">
        <f>COUNTIF(X1022:AN1022,"&lt;&gt;0")</f>
        <v>2</v>
      </c>
      <c r="BB1022">
        <f>COUNTIF(X1022:AE1022,"&lt;&gt;0")</f>
        <v>1</v>
      </c>
      <c r="BC1022">
        <f>COUNTIF(AF1022:AK1022,"&lt;&gt;0")</f>
        <v>1</v>
      </c>
      <c r="BD1022">
        <f>COUNTIF(AL1022:AN1022,"&lt;&gt;0")</f>
        <v>0</v>
      </c>
      <c r="BE1022">
        <f>COUNTIF(AU1022:AY1022,"&lt;&gt;0")</f>
        <v>0</v>
      </c>
      <c r="BF1022">
        <f>COUNTIF(AO1022:AT1022,"&lt;&gt;0")</f>
        <v>2</v>
      </c>
      <c r="BG1022" t="str">
        <f t="array" ref="BG1022">IF(BA1022=1,INDEX($X$7:$AN$7,MATCH(TRUE,INDEX($X1022:$AY1022&lt;&gt;0,),0)),IF(BA1022=0,INDEX($AO$7:$AY$7,MATCH(1,$AO1022:$AY1022,0)),IF(BH1022="Multiple strategies","mixed drivers",IF(BH1022="Supply chain","multiple supply","multiple silviculture"))))</f>
        <v>mixed drivers</v>
      </c>
      <c r="BH1022" s="2" t="str" cm="1">
        <f t="array" ref="BH1022">IF(COUNTIF(BB1022:BD1022,"&lt;&gt;0")=1,INDEX($X$4:$AY$4,MATCH(TRUE,INDEX($X1022:$AY1022&lt;&gt;0,),0)),IF(COUNTIF(BB1022:BD1022,"&lt;&gt;0")=0,INDEX($AO$4:$AY$4,MATCH(1,$AO1022:$AY1022,0)),"Multiple strategies"))</f>
        <v>Multiple strategies</v>
      </c>
      <c r="BO1022" s="143"/>
      <c r="BP1022" s="143"/>
      <c r="BR1022" s="143" t="s">
        <v>232</v>
      </c>
      <c r="BS1022" s="143"/>
      <c r="BT1022" t="s">
        <v>1070</v>
      </c>
      <c r="BU1022">
        <v>125518.89696071042</v>
      </c>
      <c r="BV1022">
        <v>29471.133802816759</v>
      </c>
      <c r="BW1022" s="144">
        <f>IFERROR(BV1022/BU1022,"")</f>
        <v>0.23479439762796619</v>
      </c>
      <c r="BX1022" s="144">
        <f>BV1022-BU1022</f>
        <v>-96047.763157893671</v>
      </c>
      <c r="BY1022" s="144"/>
      <c r="BZ1022" s="144">
        <f>BX1022</f>
        <v>-96047.763157893671</v>
      </c>
      <c r="CA1022" t="str">
        <f>IFERROR(BZ1022/BQ1022,"")</f>
        <v/>
      </c>
      <c r="CB1022">
        <v>0</v>
      </c>
      <c r="CC1022">
        <v>0</v>
      </c>
      <c r="CD1022">
        <v>0</v>
      </c>
      <c r="CE1022">
        <v>0</v>
      </c>
      <c r="CF1022">
        <v>0</v>
      </c>
      <c r="CG1022">
        <v>0</v>
      </c>
      <c r="CH1022">
        <v>0</v>
      </c>
      <c r="CI1022">
        <v>0</v>
      </c>
      <c r="CJ1022">
        <v>0</v>
      </c>
      <c r="CK1022">
        <v>0</v>
      </c>
      <c r="CL1022">
        <v>0</v>
      </c>
      <c r="CM1022">
        <v>0</v>
      </c>
      <c r="CN1022">
        <v>0</v>
      </c>
      <c r="CO1022">
        <v>1</v>
      </c>
      <c r="CP1022" t="str">
        <f>IF(BN1022&lt;BM1022,"refNeedCorrection","refOK")</f>
        <v>refOK</v>
      </c>
      <c r="CQ1022"/>
      <c r="CR1022"/>
      <c r="CS1022"/>
      <c r="CT1022">
        <f>IF(BI1022="Roundwood",$CS1022/2,$CS1022)</f>
        <v>0</v>
      </c>
      <c r="CU1022">
        <f>IF($CP1022="refOK",$BU1022,$BV1022)*IF($BR1022="Emissions positive",-1,1)</f>
        <v>125518.89696071042</v>
      </c>
      <c r="CV1022">
        <f>IF($CP1022="refOK",$BV1022,$BU1022)*IF($BR1022="Emissions positive",-1,1)</f>
        <v>29471.133802816759</v>
      </c>
      <c r="CW1022">
        <f>IF($CP1022="refNeedCorrection",-BZ1022,BZ1022)*IF($BR1022="Emissions positive",-1,1)</f>
        <v>-96047.763157893671</v>
      </c>
      <c r="CX1022" t="str">
        <f>IFERROR($CW1022/$CS1022,"")</f>
        <v/>
      </c>
      <c r="CY1022" t="str">
        <f>IFERROR($CW1022/$CS1022,"")</f>
        <v/>
      </c>
      <c r="CZ1022" t="str">
        <f>IFERROR($CW1022/$CT1022,"")</f>
        <v/>
      </c>
      <c r="DA1022" s="2">
        <f>IFERROR((CV1022-CU1022)/ABS(CU1022),"")</f>
        <v>-0.76520560237203383</v>
      </c>
      <c r="DB1022" s="1" t="s">
        <v>1074</v>
      </c>
      <c r="DC1022" t="str">
        <f>IF(OR($DB1022="prd",$DB1022="std",$DB1022="cit"),"loc",IF(OR($DB1022="eur",$DB1022="reg",$DB1022="coy"),"reg",$DB1022))</f>
        <v>reg</v>
      </c>
      <c r="DD1022" t="s">
        <v>235</v>
      </c>
      <c r="DE1022">
        <v>2010</v>
      </c>
      <c r="DF1022">
        <v>2070</v>
      </c>
      <c r="DG1022">
        <f>DF1022-DE1022</f>
        <v>60</v>
      </c>
      <c r="DH1022" t="str">
        <f>IF(DG1022=0,"0",IF(AND(DG1022&gt;=1,DG1022&lt;=30),"1-30",IF(AND(DG1022&gt;30,DG1022&lt;=70),"31-70",IF(AND(DG1022&gt;70,DG1022&lt;=100),"71-100",IF(DG1022&gt;100,"+100")))))</f>
        <v>31-70</v>
      </c>
      <c r="DI1022">
        <v>1</v>
      </c>
      <c r="DJ1022">
        <v>1</v>
      </c>
      <c r="DK1022">
        <v>1</v>
      </c>
      <c r="DL1022">
        <v>1</v>
      </c>
      <c r="DM1022">
        <v>0</v>
      </c>
      <c r="DN1022">
        <f>SUM(DI1022:DL1022)</f>
        <v>4</v>
      </c>
      <c r="DO1022" t="str">
        <f>IF(DN1022=1,INDEX($DI$7:$DL$7,MATCH(1,$DI1022:$DL1022,0)),"mixedProduct")</f>
        <v>mixedProduct</v>
      </c>
      <c r="DP1022" t="str">
        <f>IF(DI1022=1,DP$7,0)</f>
        <v>Upstream</v>
      </c>
      <c r="DQ1022" t="str">
        <f>IF(DJ1022=1,DQ$7,0)</f>
        <v>Energy</v>
      </c>
      <c r="DR1022" t="str">
        <f>IF(DK1022=1,DR$7,0)</f>
        <v>Pulp/Paper</v>
      </c>
      <c r="DS1022" t="str">
        <f>IF(DL1022=1,DS$7,0)</f>
        <v>Timber</v>
      </c>
      <c r="DT1022">
        <v>0</v>
      </c>
      <c r="DU1022">
        <v>1</v>
      </c>
      <c r="DV1022" t="s">
        <v>2237</v>
      </c>
      <c r="DW1022" t="s">
        <v>2238</v>
      </c>
      <c r="DX1022">
        <v>0</v>
      </c>
      <c r="DY1022">
        <f>SUM(DT1022:DU1022)</f>
        <v>1</v>
      </c>
      <c r="DZ1022" s="143" t="str">
        <f>IF(DT1022=1,"self-calculated DF",IF(DU1022=1,"external DF used","explicit C balance"))</f>
        <v>external DF used</v>
      </c>
      <c r="EA1022">
        <v>1</v>
      </c>
      <c r="EB1022">
        <v>1</v>
      </c>
      <c r="EC1022">
        <v>1</v>
      </c>
      <c r="ED1022">
        <v>1</v>
      </c>
      <c r="EE1022">
        <v>0</v>
      </c>
      <c r="EF1022" s="143">
        <v>0</v>
      </c>
      <c r="EG1022">
        <v>1</v>
      </c>
      <c r="EH1022">
        <v>1</v>
      </c>
      <c r="EI1022">
        <v>0</v>
      </c>
      <c r="EJ1022">
        <v>0</v>
      </c>
      <c r="EK1022">
        <v>1</v>
      </c>
      <c r="EL1022">
        <v>0</v>
      </c>
      <c r="EM1022">
        <v>0</v>
      </c>
      <c r="EN1022" s="2">
        <v>0</v>
      </c>
      <c r="EP1022" t="str">
        <f>IF(AND(AND(AND(OR($EC1022=1,$EB1022=1),OR($EH1022=1,$EF1022=1)),SUM($EA1022:$EE1022,$EK1022)&gt;=3),SUM($EF1022:$EJ1022)&gt;=2),"Whole sector approach","")</f>
        <v>Whole sector approach</v>
      </c>
      <c r="EQ1022" t="str">
        <f>IF(AND(AND(OR($EC1022=1,$EB1022=1),AND($EH1022=0,$EF1022=0)),SUM($EA1022:$EE1022,$EK1022)&gt;=4),"Ecosystem approach","")</f>
        <v/>
      </c>
      <c r="ER1022" s="2" t="str">
        <f>IF(AND(AND(AND($EC1022=0,$EB1022=0),OR($EH1022=1,$EF1022=1)),SUM($EG1022:$EJ1022)&gt;=2),"Technology approach","")</f>
        <v/>
      </c>
      <c r="ES1022" t="str">
        <f>IF(AND($EC1022+$EB1022+$EE1022+$EA1022+$ED1022+$EG1022=0,$N1022="included"),"C neutral forest and HWP assumption","")</f>
        <v/>
      </c>
      <c r="ET1022" t="str">
        <f>IF(AND(AND(AND(AND($EC1022=1,$EB1022+$EA1022+$EG1022&gt;=1),$EF1022=1),$EH1022+$EI1022+$ED1022+$EE1022&gt;=2),$N1022="included"),"All C pools assumption","")</f>
        <v/>
      </c>
      <c r="EU1022" t="str">
        <f>IF(AND($ED1022+$EE1022+$EI1022+$EH1022+$EF1022=0,$N1022="included"),"In-situ only assumption","")</f>
        <v/>
      </c>
      <c r="EY1022" t="b">
        <f>IF(ISNUMBER(BW1022),IF(ABS(BW1022-[2]QC_indicators!$B$2)&gt;3*[2]QC_indicators!$C$2,"C ratio",IF(ISNUMBER(CA1022),IF(ABS(CA1022-[2]QC_indicators!$B$1)&gt;3*[2]QC_indicators!$C$1,"DF","no"))),IF(ISNUMBER(CA1022),IF(ABS(CA1022-[2]QC_indicators!$B$1)&gt;3*[2]QC_indicators!$C$1,"DF","no")))</f>
        <v>0</v>
      </c>
      <c r="FA1022" t="str">
        <f>IF(LEN($CY1022)=0,"",IF(AND($CY1022&lt;(-0.05),$ES1022="C neutral forest and HWP assumption"),"Cneutral paradox",IF(AND($CY1022&gt;0.05,$EU1022="In-situ only assumption"),"In-situ only paradox","")))</f>
        <v/>
      </c>
      <c r="FD1022" s="260" t="s">
        <v>2948</v>
      </c>
    </row>
    <row r="1023" spans="1:160" ht="15" hidden="1" customHeight="1">
      <c r="A1023" s="1" t="s">
        <v>1295</v>
      </c>
      <c r="B1023" t="s">
        <v>2203</v>
      </c>
      <c r="C1023" t="s">
        <v>2204</v>
      </c>
      <c r="D1023" t="s">
        <v>2205</v>
      </c>
      <c r="E1023" t="s">
        <v>2206</v>
      </c>
      <c r="F1023" t="s">
        <v>2207</v>
      </c>
      <c r="G1023" t="s">
        <v>1301</v>
      </c>
      <c r="H1023" t="s">
        <v>254</v>
      </c>
      <c r="I1023">
        <v>2016</v>
      </c>
      <c r="J1023">
        <v>24</v>
      </c>
      <c r="K1023" t="s">
        <v>2208</v>
      </c>
      <c r="M1023" t="str">
        <f>LEFT($D1023,FIND(",",$D1023)-1)&amp;"_"&amp;I1023&amp;L1023</f>
        <v>Zubizarreta-Gerendiain_2016</v>
      </c>
      <c r="N1023" t="s">
        <v>222</v>
      </c>
      <c r="O1023" s="145" t="s">
        <v>1029</v>
      </c>
      <c r="Q1023" t="s">
        <v>256</v>
      </c>
      <c r="R1023" s="258" t="s">
        <v>223</v>
      </c>
      <c r="S1023" s="1" t="s">
        <v>2209</v>
      </c>
      <c r="T1023" t="s">
        <v>2226</v>
      </c>
      <c r="U1023" t="s">
        <v>2224</v>
      </c>
      <c r="V1023" s="253">
        <v>0</v>
      </c>
      <c r="W1023" s="253">
        <v>0</v>
      </c>
      <c r="X1023">
        <v>0</v>
      </c>
      <c r="Y1023">
        <v>0</v>
      </c>
      <c r="Z1023">
        <v>0</v>
      </c>
      <c r="AA1023">
        <v>2</v>
      </c>
      <c r="AB1023">
        <v>0</v>
      </c>
      <c r="AC1023">
        <v>0</v>
      </c>
      <c r="AD1023">
        <v>0</v>
      </c>
      <c r="AE1023">
        <v>0</v>
      </c>
      <c r="AF1023">
        <v>0</v>
      </c>
      <c r="AG1023">
        <v>0</v>
      </c>
      <c r="AH1023">
        <v>1</v>
      </c>
      <c r="AI1023">
        <v>0</v>
      </c>
      <c r="AJ1023">
        <v>0</v>
      </c>
      <c r="AK1023">
        <v>0</v>
      </c>
      <c r="AL1023">
        <v>0</v>
      </c>
      <c r="AM1023">
        <v>0</v>
      </c>
      <c r="AN1023">
        <v>0</v>
      </c>
      <c r="AO1023">
        <v>0</v>
      </c>
      <c r="AP1023">
        <v>2</v>
      </c>
      <c r="AQ1023">
        <v>2</v>
      </c>
      <c r="AR1023">
        <v>0</v>
      </c>
      <c r="AS1023">
        <v>0</v>
      </c>
      <c r="AT1023">
        <v>0</v>
      </c>
      <c r="AU1023">
        <v>0</v>
      </c>
      <c r="AV1023">
        <v>0</v>
      </c>
      <c r="AW1023">
        <v>0</v>
      </c>
      <c r="AX1023">
        <v>0</v>
      </c>
      <c r="AY1023">
        <v>0</v>
      </c>
      <c r="AZ1023" s="141">
        <f>COUNTIF(X1023:AY1023,"&lt;&gt;0")</f>
        <v>4</v>
      </c>
      <c r="BA1023" s="141">
        <f>COUNTIF(X1023:AN1023,"&lt;&gt;0")</f>
        <v>2</v>
      </c>
      <c r="BB1023">
        <f>COUNTIF(X1023:AE1023,"&lt;&gt;0")</f>
        <v>1</v>
      </c>
      <c r="BC1023">
        <f>COUNTIF(AF1023:AK1023,"&lt;&gt;0")</f>
        <v>1</v>
      </c>
      <c r="BD1023">
        <f>COUNTIF(AL1023:AN1023,"&lt;&gt;0")</f>
        <v>0</v>
      </c>
      <c r="BE1023">
        <f>COUNTIF(AU1023:AY1023,"&lt;&gt;0")</f>
        <v>0</v>
      </c>
      <c r="BF1023">
        <f>COUNTIF(AO1023:AT1023,"&lt;&gt;0")</f>
        <v>2</v>
      </c>
      <c r="BG1023" t="str">
        <f t="array" ref="BG1023">IF(BA1023=1,INDEX($X$7:$AN$7,MATCH(TRUE,INDEX($X1023:$AY1023&lt;&gt;0,),0)),IF(BA1023=0,INDEX($AO$7:$AY$7,MATCH(1,$AO1023:$AY1023,0)),IF(BH1023="Multiple strategies","mixed drivers",IF(BH1023="Supply chain","multiple supply","multiple silviculture"))))</f>
        <v>mixed drivers</v>
      </c>
      <c r="BH1023" s="2" t="str" cm="1">
        <f t="array" ref="BH1023">IF(COUNTIF(BB1023:BD1023,"&lt;&gt;0")=1,INDEX($X$4:$AY$4,MATCH(TRUE,INDEX($X1023:$AY1023&lt;&gt;0,),0)),IF(COUNTIF(BB1023:BD1023,"&lt;&gt;0")=0,INDEX($AO$4:$AY$4,MATCH(1,$AO1023:$AY1023,0)),"Multiple strategies"))</f>
        <v>Multiple strategies</v>
      </c>
      <c r="BO1023" s="143"/>
      <c r="BP1023" s="143"/>
      <c r="BR1023" s="143" t="s">
        <v>232</v>
      </c>
      <c r="BS1023" s="143"/>
      <c r="BT1023" t="s">
        <v>1070</v>
      </c>
      <c r="BU1023">
        <v>88283.631949591363</v>
      </c>
      <c r="BV1023">
        <v>29471.133802816759</v>
      </c>
      <c r="BW1023" s="144">
        <f>IFERROR(BV1023/BU1023,"")</f>
        <v>0.33382330509062358</v>
      </c>
      <c r="BX1023" s="144">
        <f>BV1023-BU1023</f>
        <v>-58812.498146774604</v>
      </c>
      <c r="BY1023" s="144"/>
      <c r="BZ1023" s="144">
        <f>BX1023</f>
        <v>-58812.498146774604</v>
      </c>
      <c r="CA1023" t="str">
        <f>IFERROR(BZ1023/BQ1023,"")</f>
        <v/>
      </c>
      <c r="CB1023">
        <v>0</v>
      </c>
      <c r="CC1023">
        <v>0</v>
      </c>
      <c r="CD1023">
        <v>0</v>
      </c>
      <c r="CE1023">
        <v>0</v>
      </c>
      <c r="CF1023">
        <v>0</v>
      </c>
      <c r="CG1023">
        <v>0</v>
      </c>
      <c r="CH1023">
        <v>0</v>
      </c>
      <c r="CI1023">
        <v>0</v>
      </c>
      <c r="CJ1023">
        <v>0</v>
      </c>
      <c r="CK1023">
        <v>0</v>
      </c>
      <c r="CL1023">
        <v>0</v>
      </c>
      <c r="CM1023">
        <v>0</v>
      </c>
      <c r="CN1023">
        <v>0</v>
      </c>
      <c r="CO1023">
        <v>1</v>
      </c>
      <c r="CP1023" t="str">
        <f>IF(BN1023&lt;BM1023,"refNeedCorrection","refOK")</f>
        <v>refOK</v>
      </c>
      <c r="CQ1023"/>
      <c r="CR1023"/>
      <c r="CS1023"/>
      <c r="CT1023">
        <f>IF(BI1023="Roundwood",$CS1023/2,$CS1023)</f>
        <v>0</v>
      </c>
      <c r="CU1023">
        <f>IF($CP1023="refOK",$BU1023,$BV1023)*IF($BR1023="Emissions positive",-1,1)</f>
        <v>88283.631949591363</v>
      </c>
      <c r="CV1023">
        <f>IF($CP1023="refOK",$BV1023,$BU1023)*IF($BR1023="Emissions positive",-1,1)</f>
        <v>29471.133802816759</v>
      </c>
      <c r="CW1023">
        <f>IF($CP1023="refNeedCorrection",-BZ1023,BZ1023)*IF($BR1023="Emissions positive",-1,1)</f>
        <v>-58812.498146774604</v>
      </c>
      <c r="CX1023" t="str">
        <f>IFERROR($CW1023/$CS1023,"")</f>
        <v/>
      </c>
      <c r="CY1023" t="str">
        <f>IFERROR($CW1023/$CS1023,"")</f>
        <v/>
      </c>
      <c r="CZ1023" t="str">
        <f>IFERROR($CW1023/$CT1023,"")</f>
        <v/>
      </c>
      <c r="DA1023" s="2">
        <f>IFERROR((CV1023-CU1023)/ABS(CU1023),"")</f>
        <v>-0.66617669490937648</v>
      </c>
      <c r="DB1023" s="1" t="s">
        <v>1074</v>
      </c>
      <c r="DC1023" t="str">
        <f>IF(OR($DB1023="prd",$DB1023="std",$DB1023="cit"),"loc",IF(OR($DB1023="eur",$DB1023="reg",$DB1023="coy"),"reg",$DB1023))</f>
        <v>reg</v>
      </c>
      <c r="DD1023" t="s">
        <v>235</v>
      </c>
      <c r="DE1023">
        <v>2010</v>
      </c>
      <c r="DF1023">
        <v>2070</v>
      </c>
      <c r="DG1023">
        <f>DF1023-DE1023</f>
        <v>60</v>
      </c>
      <c r="DH1023" t="str">
        <f>IF(DG1023=0,"0",IF(AND(DG1023&gt;=1,DG1023&lt;=30),"1-30",IF(AND(DG1023&gt;30,DG1023&lt;=70),"31-70",IF(AND(DG1023&gt;70,DG1023&lt;=100),"71-100",IF(DG1023&gt;100,"+100")))))</f>
        <v>31-70</v>
      </c>
      <c r="DI1023">
        <v>1</v>
      </c>
      <c r="DJ1023">
        <v>1</v>
      </c>
      <c r="DK1023">
        <v>1</v>
      </c>
      <c r="DL1023">
        <v>1</v>
      </c>
      <c r="DM1023">
        <v>0</v>
      </c>
      <c r="DN1023">
        <f>SUM(DI1023:DL1023)</f>
        <v>4</v>
      </c>
      <c r="DO1023" t="str">
        <f>IF(DN1023=1,INDEX($DI$7:$DL$7,MATCH(1,$DI1023:$DL1023,0)),"mixedProduct")</f>
        <v>mixedProduct</v>
      </c>
      <c r="DP1023" t="str">
        <f>IF(DI1023=1,DP$7,0)</f>
        <v>Upstream</v>
      </c>
      <c r="DQ1023" t="str">
        <f>IF(DJ1023=1,DQ$7,0)</f>
        <v>Energy</v>
      </c>
      <c r="DR1023" t="str">
        <f>IF(DK1023=1,DR$7,0)</f>
        <v>Pulp/Paper</v>
      </c>
      <c r="DS1023" t="str">
        <f>IF(DL1023=1,DS$7,0)</f>
        <v>Timber</v>
      </c>
      <c r="DT1023">
        <v>0</v>
      </c>
      <c r="DU1023">
        <v>1</v>
      </c>
      <c r="DV1023" t="s">
        <v>2237</v>
      </c>
      <c r="DW1023" t="s">
        <v>2238</v>
      </c>
      <c r="DX1023">
        <v>0</v>
      </c>
      <c r="DY1023">
        <f>SUM(DT1023:DU1023)</f>
        <v>1</v>
      </c>
      <c r="DZ1023" s="143" t="str">
        <f>IF(DT1023=1,"self-calculated DF",IF(DU1023=1,"external DF used","explicit C balance"))</f>
        <v>external DF used</v>
      </c>
      <c r="EA1023">
        <v>1</v>
      </c>
      <c r="EB1023">
        <v>1</v>
      </c>
      <c r="EC1023">
        <v>1</v>
      </c>
      <c r="ED1023">
        <v>1</v>
      </c>
      <c r="EE1023">
        <v>0</v>
      </c>
      <c r="EF1023" s="143">
        <v>0</v>
      </c>
      <c r="EG1023">
        <v>1</v>
      </c>
      <c r="EH1023">
        <v>1</v>
      </c>
      <c r="EI1023">
        <v>0</v>
      </c>
      <c r="EJ1023">
        <v>0</v>
      </c>
      <c r="EK1023">
        <v>1</v>
      </c>
      <c r="EL1023">
        <v>0</v>
      </c>
      <c r="EM1023">
        <v>0</v>
      </c>
      <c r="EN1023" s="2">
        <v>0</v>
      </c>
      <c r="EP1023" t="str">
        <f>IF(AND(AND(AND(OR($EC1023=1,$EB1023=1),OR($EH1023=1,$EF1023=1)),SUM($EA1023:$EE1023,$EK1023)&gt;=3),SUM($EF1023:$EJ1023)&gt;=2),"Whole sector approach","")</f>
        <v>Whole sector approach</v>
      </c>
      <c r="EQ1023" t="str">
        <f>IF(AND(AND(OR($EC1023=1,$EB1023=1),AND($EH1023=0,$EF1023=0)),SUM($EA1023:$EE1023,$EK1023)&gt;=4),"Ecosystem approach","")</f>
        <v/>
      </c>
      <c r="ER1023" s="2" t="str">
        <f>IF(AND(AND(AND($EC1023=0,$EB1023=0),OR($EH1023=1,$EF1023=1)),SUM($EG1023:$EJ1023)&gt;=2),"Technology approach","")</f>
        <v/>
      </c>
      <c r="ES1023" t="str">
        <f>IF(AND($EC1023+$EB1023+$EE1023+$EA1023+$ED1023+$EG1023=0,$N1023="included"),"C neutral forest and HWP assumption","")</f>
        <v/>
      </c>
      <c r="ET1023" t="str">
        <f>IF(AND(AND(AND(AND($EC1023=1,$EB1023+$EA1023+$EG1023&gt;=1),$EF1023=1),$EH1023+$EI1023+$ED1023+$EE1023&gt;=2),$N1023="included"),"All C pools assumption","")</f>
        <v/>
      </c>
      <c r="EU1023" t="str">
        <f>IF(AND($ED1023+$EE1023+$EI1023+$EH1023+$EF1023=0,$N1023="included"),"In-situ only assumption","")</f>
        <v/>
      </c>
      <c r="EY1023" t="b">
        <f>IF(ISNUMBER(BW1023),IF(ABS(BW1023-[2]QC_indicators!$B$2)&gt;3*[2]QC_indicators!$C$2,"C ratio",IF(ISNUMBER(CA1023),IF(ABS(CA1023-[2]QC_indicators!$B$1)&gt;3*[2]QC_indicators!$C$1,"DF","no"))),IF(ISNUMBER(CA1023),IF(ABS(CA1023-[2]QC_indicators!$B$1)&gt;3*[2]QC_indicators!$C$1,"DF","no")))</f>
        <v>0</v>
      </c>
      <c r="FA1023" t="str">
        <f>IF(LEN($CY1023)=0,"",IF(AND($CY1023&lt;(-0.05),$ES1023="C neutral forest and HWP assumption"),"Cneutral paradox",IF(AND($CY1023&gt;0.05,$EU1023="In-situ only assumption"),"In-situ only paradox","")))</f>
        <v/>
      </c>
      <c r="FD1023" s="260" t="s">
        <v>2948</v>
      </c>
    </row>
    <row r="1024" spans="1:160" ht="15" hidden="1" customHeight="1">
      <c r="A1024" s="1" t="s">
        <v>1295</v>
      </c>
      <c r="B1024" t="s">
        <v>2203</v>
      </c>
      <c r="C1024" t="s">
        <v>2204</v>
      </c>
      <c r="D1024" t="s">
        <v>2205</v>
      </c>
      <c r="E1024" t="s">
        <v>2206</v>
      </c>
      <c r="F1024" t="s">
        <v>2207</v>
      </c>
      <c r="G1024" t="s">
        <v>1301</v>
      </c>
      <c r="H1024" t="s">
        <v>254</v>
      </c>
      <c r="I1024">
        <v>2016</v>
      </c>
      <c r="J1024">
        <v>24</v>
      </c>
      <c r="K1024" t="s">
        <v>2208</v>
      </c>
      <c r="M1024" t="str">
        <f>LEFT($D1024,FIND(",",$D1024)-1)&amp;"_"&amp;I1024&amp;L1024</f>
        <v>Zubizarreta-Gerendiain_2016</v>
      </c>
      <c r="N1024" t="s">
        <v>222</v>
      </c>
      <c r="O1024" s="145" t="s">
        <v>1029</v>
      </c>
      <c r="Q1024" t="s">
        <v>256</v>
      </c>
      <c r="R1024" s="258" t="s">
        <v>223</v>
      </c>
      <c r="S1024" s="1" t="s">
        <v>2239</v>
      </c>
      <c r="T1024" t="s">
        <v>2223</v>
      </c>
      <c r="U1024" t="s">
        <v>2242</v>
      </c>
      <c r="V1024" s="253">
        <v>0</v>
      </c>
      <c r="W1024" s="253">
        <v>0</v>
      </c>
      <c r="X1024">
        <v>0</v>
      </c>
      <c r="Y1024">
        <v>0</v>
      </c>
      <c r="Z1024">
        <v>0</v>
      </c>
      <c r="AA1024">
        <v>1</v>
      </c>
      <c r="AB1024">
        <v>0</v>
      </c>
      <c r="AC1024">
        <v>0</v>
      </c>
      <c r="AD1024">
        <v>0</v>
      </c>
      <c r="AE1024">
        <v>0</v>
      </c>
      <c r="AF1024">
        <v>0</v>
      </c>
      <c r="AG1024">
        <v>0</v>
      </c>
      <c r="AH1024">
        <v>0</v>
      </c>
      <c r="AI1024">
        <v>0</v>
      </c>
      <c r="AJ1024">
        <v>0</v>
      </c>
      <c r="AK1024">
        <v>0</v>
      </c>
      <c r="AL1024">
        <v>0</v>
      </c>
      <c r="AM1024">
        <v>0</v>
      </c>
      <c r="AN1024">
        <v>0</v>
      </c>
      <c r="AO1024">
        <v>0</v>
      </c>
      <c r="AP1024">
        <v>2</v>
      </c>
      <c r="AQ1024">
        <v>2</v>
      </c>
      <c r="AR1024">
        <v>0</v>
      </c>
      <c r="AS1024">
        <v>0</v>
      </c>
      <c r="AT1024">
        <v>0</v>
      </c>
      <c r="AU1024">
        <v>0</v>
      </c>
      <c r="AV1024">
        <v>0</v>
      </c>
      <c r="AW1024">
        <v>0</v>
      </c>
      <c r="AX1024">
        <v>0</v>
      </c>
      <c r="AY1024">
        <v>0</v>
      </c>
      <c r="AZ1024" s="141">
        <f>COUNTIF(X1024:AY1024,"&lt;&gt;0")</f>
        <v>3</v>
      </c>
      <c r="BA1024" s="141">
        <f>COUNTIF(X1024:AN1024,"&lt;&gt;0")</f>
        <v>1</v>
      </c>
      <c r="BB1024">
        <f>COUNTIF(X1024:AE1024,"&lt;&gt;0")</f>
        <v>1</v>
      </c>
      <c r="BC1024">
        <f>COUNTIF(AF1024:AK1024,"&lt;&gt;0")</f>
        <v>0</v>
      </c>
      <c r="BD1024">
        <f>COUNTIF(AL1024:AN1024,"&lt;&gt;0")</f>
        <v>0</v>
      </c>
      <c r="BE1024">
        <f>COUNTIF(AU1024:AY1024,"&lt;&gt;0")</f>
        <v>0</v>
      </c>
      <c r="BF1024">
        <f>COUNTIF(AO1024:AT1024,"&lt;&gt;0")</f>
        <v>2</v>
      </c>
      <c r="BG1024" t="str">
        <f t="array" ref="BG1024">IF(BA1024=1,INDEX($X$7:$AN$7,MATCH(TRUE,INDEX($X1024:$AY1024&lt;&gt;0,),0)),IF(BA1024=0,INDEX($AO$7:$AY$7,MATCH(1,$AO1024:$AY1024,0)),IF(BH1024="Multiple strategies","mixed drivers",IF(BH1024="Supply chain","multiple supply","multiple silviculture"))))</f>
        <v xml:space="preserve">cutting intensity </v>
      </c>
      <c r="BH1024" s="2" t="str" cm="1">
        <f t="array" ref="BH1024">IF(COUNTIF(BB1024:BD1024,"&lt;&gt;0")=1,INDEX($X$4:$AY$4,MATCH(TRUE,INDEX($X1024:$AY1024&lt;&gt;0,),0)),IF(COUNTIF(BB1024:BD1024,"&lt;&gt;0")=0,INDEX($AO$4:$AY$4,MATCH(1,$AO1024:$AY1024,0)),"Multiple strategies"))</f>
        <v>Silviculture for removals</v>
      </c>
      <c r="BO1024" s="143"/>
      <c r="BP1024" s="143"/>
      <c r="BR1024" s="143" t="s">
        <v>232</v>
      </c>
      <c r="BS1024" s="143"/>
      <c r="BT1024" t="s">
        <v>1070</v>
      </c>
      <c r="BU1024">
        <v>29674.236421725247</v>
      </c>
      <c r="BV1024">
        <v>26666.712460063867</v>
      </c>
      <c r="BW1024" s="144">
        <f>IFERROR(BV1024/BU1024,"")</f>
        <v>0.89864864864864735</v>
      </c>
      <c r="BX1024" s="144">
        <f>BV1024-BU1024</f>
        <v>-3007.5239616613799</v>
      </c>
      <c r="BY1024" s="144"/>
      <c r="BZ1024" s="144">
        <f>BX1024</f>
        <v>-3007.5239616613799</v>
      </c>
      <c r="CA1024" t="str">
        <f>IFERROR(BZ1024/BQ1024,"")</f>
        <v/>
      </c>
      <c r="CB1024">
        <v>0</v>
      </c>
      <c r="CC1024">
        <v>0</v>
      </c>
      <c r="CD1024">
        <v>0</v>
      </c>
      <c r="CE1024">
        <v>0</v>
      </c>
      <c r="CF1024">
        <v>0</v>
      </c>
      <c r="CG1024">
        <v>0</v>
      </c>
      <c r="CH1024">
        <v>0</v>
      </c>
      <c r="CI1024">
        <v>0</v>
      </c>
      <c r="CJ1024">
        <v>0</v>
      </c>
      <c r="CK1024">
        <v>0</v>
      </c>
      <c r="CL1024">
        <v>0</v>
      </c>
      <c r="CM1024">
        <v>0</v>
      </c>
      <c r="CN1024">
        <v>0</v>
      </c>
      <c r="CO1024">
        <v>1</v>
      </c>
      <c r="CP1024" t="str">
        <f>IF(BN1024&lt;BM1024,"refNeedCorrection","refOK")</f>
        <v>refOK</v>
      </c>
      <c r="CQ1024"/>
      <c r="CR1024"/>
      <c r="CS1024"/>
      <c r="CT1024">
        <f>IF(BI1024="Roundwood",$CS1024/2,$CS1024)</f>
        <v>0</v>
      </c>
      <c r="CU1024">
        <f>IF($CP1024="refOK",$BU1024,$BV1024)*IF($BR1024="Emissions positive",-1,1)</f>
        <v>29674.236421725247</v>
      </c>
      <c r="CV1024">
        <f>IF($CP1024="refOK",$BV1024,$BU1024)*IF($BR1024="Emissions positive",-1,1)</f>
        <v>26666.712460063867</v>
      </c>
      <c r="CW1024">
        <f>IF($CP1024="refNeedCorrection",-BZ1024,BZ1024)*IF($BR1024="Emissions positive",-1,1)</f>
        <v>-3007.5239616613799</v>
      </c>
      <c r="CX1024" t="str">
        <f>IFERROR($CW1024/$CS1024,"")</f>
        <v/>
      </c>
      <c r="CY1024" t="str">
        <f>IFERROR($CW1024/$CS1024,"")</f>
        <v/>
      </c>
      <c r="CZ1024" t="str">
        <f>IFERROR($CW1024/$CT1024,"")</f>
        <v/>
      </c>
      <c r="DA1024" s="2">
        <f>IFERROR((CV1024-CU1024)/ABS(CU1024),"")</f>
        <v>-0.10135135135135261</v>
      </c>
      <c r="DB1024" s="1" t="s">
        <v>1074</v>
      </c>
      <c r="DC1024" t="str">
        <f>IF(OR($DB1024="prd",$DB1024="std",$DB1024="cit"),"loc",IF(OR($DB1024="eur",$DB1024="reg",$DB1024="coy"),"reg",$DB1024))</f>
        <v>reg</v>
      </c>
      <c r="DD1024" t="s">
        <v>235</v>
      </c>
      <c r="DE1024">
        <v>2010</v>
      </c>
      <c r="DF1024">
        <v>2070</v>
      </c>
      <c r="DG1024">
        <f>DF1024-DE1024</f>
        <v>60</v>
      </c>
      <c r="DH1024" t="str">
        <f>IF(DG1024=0,"0",IF(AND(DG1024&gt;=1,DG1024&lt;=30),"1-30",IF(AND(DG1024&gt;30,DG1024&lt;=70),"31-70",IF(AND(DG1024&gt;70,DG1024&lt;=100),"71-100",IF(DG1024&gt;100,"+100")))))</f>
        <v>31-70</v>
      </c>
      <c r="DI1024">
        <v>0</v>
      </c>
      <c r="DJ1024">
        <v>1</v>
      </c>
      <c r="DK1024">
        <v>0</v>
      </c>
      <c r="DL1024">
        <v>0</v>
      </c>
      <c r="DM1024">
        <v>0</v>
      </c>
      <c r="DN1024">
        <f>SUM(DI1024:DL1024)</f>
        <v>1</v>
      </c>
      <c r="DO1024" t="str">
        <f>IF(DN1024=1,INDEX($DI$7:$DL$7,MATCH(1,$DI1024:$DL1024,0)),"mixedProduct")</f>
        <v>EnergyInput</v>
      </c>
      <c r="DP1024">
        <f>IF(DI1024=1,DP$7,0)</f>
        <v>0</v>
      </c>
      <c r="DQ1024" t="str">
        <f>IF(DJ1024=1,DQ$7,0)</f>
        <v>Energy</v>
      </c>
      <c r="DR1024">
        <f>IF(DK1024=1,DR$7,0)</f>
        <v>0</v>
      </c>
      <c r="DS1024">
        <f>IF(DL1024=1,DS$7,0)</f>
        <v>0</v>
      </c>
      <c r="DT1024">
        <v>0</v>
      </c>
      <c r="DU1024">
        <v>0</v>
      </c>
      <c r="DV1024">
        <v>0</v>
      </c>
      <c r="DW1024">
        <v>0</v>
      </c>
      <c r="DX1024">
        <v>0</v>
      </c>
      <c r="DY1024">
        <f>SUM(DT1024:DU1024)</f>
        <v>0</v>
      </c>
      <c r="DZ1024" s="143" t="str">
        <f>IF(DT1024=1,"self-calculated DF",IF(DU1024=1,"external DF used","explicit C balance"))</f>
        <v>explicit C balance</v>
      </c>
      <c r="EA1024">
        <v>1</v>
      </c>
      <c r="EB1024">
        <v>1</v>
      </c>
      <c r="EC1024">
        <v>1</v>
      </c>
      <c r="ED1024">
        <v>0</v>
      </c>
      <c r="EE1024">
        <v>0</v>
      </c>
      <c r="EF1024" s="143">
        <v>0</v>
      </c>
      <c r="EG1024">
        <v>1</v>
      </c>
      <c r="EH1024">
        <v>1</v>
      </c>
      <c r="EI1024">
        <v>0</v>
      </c>
      <c r="EJ1024">
        <v>0</v>
      </c>
      <c r="EK1024">
        <v>1</v>
      </c>
      <c r="EL1024">
        <v>0</v>
      </c>
      <c r="EM1024">
        <v>0</v>
      </c>
      <c r="EN1024" s="2">
        <v>0</v>
      </c>
      <c r="EP1024" t="str">
        <f>IF(AND(AND(AND(OR($EC1024=1,$EB1024=1),OR($EH1024=1,$EF1024=1)),SUM($EA1024:$EE1024,$EK1024)&gt;=3),SUM($EF1024:$EJ1024)&gt;=2),"Whole sector approach","")</f>
        <v>Whole sector approach</v>
      </c>
      <c r="EQ1024" t="str">
        <f>IF(AND(AND(OR($EC1024=1,$EB1024=1),AND($EH1024=0,$EF1024=0)),SUM($EA1024:$EE1024,$EK1024)&gt;=4),"Ecosystem approach","")</f>
        <v/>
      </c>
      <c r="ER1024" s="2" t="str">
        <f>IF(AND(AND(AND($EC1024=0,$EB1024=0),OR($EH1024=1,$EF1024=1)),SUM($EG1024:$EJ1024)&gt;=2),"Technology approach","")</f>
        <v/>
      </c>
      <c r="ES1024" t="str">
        <f>IF(AND($EC1024+$EB1024+$EE1024+$EA1024+$ED1024+$EG1024=0,$N1024="included"),"C neutral forest and HWP assumption","")</f>
        <v/>
      </c>
      <c r="ET1024" t="str">
        <f>IF(AND(AND(AND(AND($EC1024=1,$EB1024+$EA1024+$EG1024&gt;=1),$EF1024=1),$EH1024+$EI1024+$ED1024+$EE1024&gt;=2),$N1024="included"),"All C pools assumption","")</f>
        <v/>
      </c>
      <c r="EU1024" t="str">
        <f>IF(AND($ED1024+$EE1024+$EI1024+$EH1024+$EF1024=0,$N1024="included"),"In-situ only assumption","")</f>
        <v/>
      </c>
      <c r="EY1024" t="b">
        <f>IF(ISNUMBER(BW1024),IF(ABS(BW1024-[2]QC_indicators!$B$2)&gt;3*[2]QC_indicators!$C$2,"C ratio",IF(ISNUMBER(CA1024),IF(ABS(CA1024-[2]QC_indicators!$B$1)&gt;3*[2]QC_indicators!$C$1,"DF","no"))),IF(ISNUMBER(CA1024),IF(ABS(CA1024-[2]QC_indicators!$B$1)&gt;3*[2]QC_indicators!$C$1,"DF","no")))</f>
        <v>0</v>
      </c>
      <c r="FA1024" t="str">
        <f>IF(LEN($CY1024)=0,"",IF(AND($CY1024&lt;(-0.05),$ES1024="C neutral forest and HWP assumption"),"Cneutral paradox",IF(AND($CY1024&gt;0.05,$EU1024="In-situ only assumption"),"In-situ only paradox","")))</f>
        <v/>
      </c>
      <c r="FD1024" s="260" t="s">
        <v>2948</v>
      </c>
    </row>
    <row r="1025" spans="1:160" ht="15" hidden="1" customHeight="1">
      <c r="A1025" s="1" t="s">
        <v>1295</v>
      </c>
      <c r="B1025" t="s">
        <v>2203</v>
      </c>
      <c r="C1025" t="s">
        <v>2204</v>
      </c>
      <c r="D1025" t="s">
        <v>2205</v>
      </c>
      <c r="E1025" t="s">
        <v>2206</v>
      </c>
      <c r="F1025" t="s">
        <v>2207</v>
      </c>
      <c r="G1025" t="s">
        <v>1301</v>
      </c>
      <c r="H1025" t="s">
        <v>254</v>
      </c>
      <c r="I1025">
        <v>2016</v>
      </c>
      <c r="J1025">
        <v>24</v>
      </c>
      <c r="K1025" t="s">
        <v>2208</v>
      </c>
      <c r="M1025" t="str">
        <f>LEFT($D1025,FIND(",",$D1025)-1)&amp;"_"&amp;I1025&amp;L1025</f>
        <v>Zubizarreta-Gerendiain_2016</v>
      </c>
      <c r="N1025" t="s">
        <v>222</v>
      </c>
      <c r="O1025" s="145" t="s">
        <v>1029</v>
      </c>
      <c r="Q1025" t="s">
        <v>256</v>
      </c>
      <c r="R1025" s="258" t="s">
        <v>223</v>
      </c>
      <c r="S1025" s="1" t="s">
        <v>2239</v>
      </c>
      <c r="T1025" t="s">
        <v>2223</v>
      </c>
      <c r="U1025" t="s">
        <v>2242</v>
      </c>
      <c r="V1025" s="253">
        <v>0</v>
      </c>
      <c r="W1025" s="253">
        <v>0</v>
      </c>
      <c r="X1025">
        <v>0</v>
      </c>
      <c r="Y1025">
        <v>0</v>
      </c>
      <c r="Z1025">
        <v>0</v>
      </c>
      <c r="AA1025">
        <v>1</v>
      </c>
      <c r="AB1025">
        <v>0</v>
      </c>
      <c r="AC1025">
        <v>0</v>
      </c>
      <c r="AD1025">
        <v>0</v>
      </c>
      <c r="AE1025">
        <v>0</v>
      </c>
      <c r="AF1025">
        <v>0</v>
      </c>
      <c r="AG1025">
        <v>0</v>
      </c>
      <c r="AH1025">
        <v>0</v>
      </c>
      <c r="AI1025">
        <v>0</v>
      </c>
      <c r="AJ1025">
        <v>0</v>
      </c>
      <c r="AK1025">
        <v>0</v>
      </c>
      <c r="AL1025">
        <v>0</v>
      </c>
      <c r="AM1025">
        <v>0</v>
      </c>
      <c r="AN1025">
        <v>0</v>
      </c>
      <c r="AO1025">
        <v>0</v>
      </c>
      <c r="AP1025">
        <v>2</v>
      </c>
      <c r="AQ1025">
        <v>2</v>
      </c>
      <c r="AR1025">
        <v>0</v>
      </c>
      <c r="AS1025">
        <v>0</v>
      </c>
      <c r="AT1025">
        <v>0</v>
      </c>
      <c r="AU1025">
        <v>0</v>
      </c>
      <c r="AV1025">
        <v>0</v>
      </c>
      <c r="AW1025">
        <v>0</v>
      </c>
      <c r="AX1025">
        <v>0</v>
      </c>
      <c r="AY1025">
        <v>0</v>
      </c>
      <c r="AZ1025" s="141">
        <f>COUNTIF(X1025:AY1025,"&lt;&gt;0")</f>
        <v>3</v>
      </c>
      <c r="BA1025" s="141">
        <f>COUNTIF(X1025:AN1025,"&lt;&gt;0")</f>
        <v>1</v>
      </c>
      <c r="BB1025">
        <f>COUNTIF(X1025:AE1025,"&lt;&gt;0")</f>
        <v>1</v>
      </c>
      <c r="BC1025">
        <f>COUNTIF(AF1025:AK1025,"&lt;&gt;0")</f>
        <v>0</v>
      </c>
      <c r="BD1025">
        <f>COUNTIF(AL1025:AN1025,"&lt;&gt;0")</f>
        <v>0</v>
      </c>
      <c r="BE1025">
        <f>COUNTIF(AU1025:AY1025,"&lt;&gt;0")</f>
        <v>0</v>
      </c>
      <c r="BF1025">
        <f>COUNTIF(AO1025:AT1025,"&lt;&gt;0")</f>
        <v>2</v>
      </c>
      <c r="BG1025" t="str">
        <f t="array" ref="BG1025">IF(BA1025=1,INDEX($X$7:$AN$7,MATCH(TRUE,INDEX($X1025:$AY1025&lt;&gt;0,),0)),IF(BA1025=0,INDEX($AO$7:$AY$7,MATCH(1,$AO1025:$AY1025,0)),IF(BH1025="Multiple strategies","mixed drivers",IF(BH1025="Supply chain","multiple supply","multiple silviculture"))))</f>
        <v xml:space="preserve">cutting intensity </v>
      </c>
      <c r="BH1025" s="2" t="str" cm="1">
        <f t="array" ref="BH1025">IF(COUNTIF(BB1025:BD1025,"&lt;&gt;0")=1,INDEX($X$4:$AY$4,MATCH(TRUE,INDEX($X1025:$AY1025&lt;&gt;0,),0)),IF(COUNTIF(BB1025:BD1025,"&lt;&gt;0")=0,INDEX($AO$4:$AY$4,MATCH(1,$AO1025:$AY1025,0)),"Multiple strategies"))</f>
        <v>Silviculture for removals</v>
      </c>
      <c r="BO1025" s="143"/>
      <c r="BP1025" s="143"/>
      <c r="BR1025" s="143" t="s">
        <v>232</v>
      </c>
      <c r="BS1025" s="143"/>
      <c r="BT1025" t="s">
        <v>1070</v>
      </c>
      <c r="BU1025">
        <v>144211.00407709272</v>
      </c>
      <c r="BV1025">
        <v>147828.63380281517</v>
      </c>
      <c r="BW1025" s="144">
        <f>IFERROR(BV1025/BU1025,"")</f>
        <v>1.025085670465123</v>
      </c>
      <c r="BX1025" s="144">
        <f>BV1025-BU1025</f>
        <v>3617.6297257224505</v>
      </c>
      <c r="BY1025" s="144"/>
      <c r="BZ1025" s="144">
        <f>BX1025</f>
        <v>3617.6297257224505</v>
      </c>
      <c r="CA1025" t="str">
        <f>IFERROR(BZ1025/BQ1025,"")</f>
        <v/>
      </c>
      <c r="CB1025">
        <v>0</v>
      </c>
      <c r="CC1025">
        <v>0</v>
      </c>
      <c r="CD1025">
        <v>0</v>
      </c>
      <c r="CE1025">
        <v>0</v>
      </c>
      <c r="CF1025">
        <v>0</v>
      </c>
      <c r="CG1025">
        <v>0</v>
      </c>
      <c r="CH1025">
        <v>0</v>
      </c>
      <c r="CI1025">
        <v>0</v>
      </c>
      <c r="CJ1025">
        <v>0</v>
      </c>
      <c r="CK1025">
        <v>0</v>
      </c>
      <c r="CL1025">
        <v>0</v>
      </c>
      <c r="CM1025">
        <v>0</v>
      </c>
      <c r="CN1025">
        <v>0</v>
      </c>
      <c r="CO1025">
        <v>1</v>
      </c>
      <c r="CP1025" t="str">
        <f>IF(BN1025&lt;BM1025,"refNeedCorrection","refOK")</f>
        <v>refOK</v>
      </c>
      <c r="CQ1025"/>
      <c r="CR1025"/>
      <c r="CS1025"/>
      <c r="CT1025">
        <f>IF(BI1025="Roundwood",$CS1025/2,$CS1025)</f>
        <v>0</v>
      </c>
      <c r="CU1025">
        <f>IF($CP1025="refOK",$BU1025,$BV1025)*IF($BR1025="Emissions positive",-1,1)</f>
        <v>144211.00407709272</v>
      </c>
      <c r="CV1025">
        <f>IF($CP1025="refOK",$BV1025,$BU1025)*IF($BR1025="Emissions positive",-1,1)</f>
        <v>147828.63380281517</v>
      </c>
      <c r="CW1025">
        <f>IF($CP1025="refNeedCorrection",-BZ1025,BZ1025)*IF($BR1025="Emissions positive",-1,1)</f>
        <v>3617.6297257224505</v>
      </c>
      <c r="CX1025" t="str">
        <f>IFERROR($CW1025/$CS1025,"")</f>
        <v/>
      </c>
      <c r="CY1025" t="str">
        <f>IFERROR($CW1025/$CS1025,"")</f>
        <v/>
      </c>
      <c r="CZ1025" t="str">
        <f>IFERROR($CW1025/$CT1025,"")</f>
        <v/>
      </c>
      <c r="DA1025" s="2">
        <f>IFERROR((CV1025-CU1025)/ABS(CU1025),"")</f>
        <v>2.5085670465122955E-2</v>
      </c>
      <c r="DB1025" s="1" t="s">
        <v>1074</v>
      </c>
      <c r="DC1025" t="str">
        <f>IF(OR($DB1025="prd",$DB1025="std",$DB1025="cit"),"loc",IF(OR($DB1025="eur",$DB1025="reg",$DB1025="coy"),"reg",$DB1025))</f>
        <v>reg</v>
      </c>
      <c r="DD1025" t="s">
        <v>235</v>
      </c>
      <c r="DE1025">
        <v>2010</v>
      </c>
      <c r="DF1025">
        <v>2070</v>
      </c>
      <c r="DG1025">
        <f>DF1025-DE1025</f>
        <v>60</v>
      </c>
      <c r="DH1025" t="str">
        <f>IF(DG1025=0,"0",IF(AND(DG1025&gt;=1,DG1025&lt;=30),"1-30",IF(AND(DG1025&gt;30,DG1025&lt;=70),"31-70",IF(AND(DG1025&gt;70,DG1025&lt;=100),"71-100",IF(DG1025&gt;100,"+100")))))</f>
        <v>31-70</v>
      </c>
      <c r="DI1025">
        <v>0</v>
      </c>
      <c r="DJ1025">
        <v>1</v>
      </c>
      <c r="DK1025">
        <v>0</v>
      </c>
      <c r="DL1025">
        <v>0</v>
      </c>
      <c r="DM1025">
        <v>0</v>
      </c>
      <c r="DN1025">
        <f>SUM(DI1025:DL1025)</f>
        <v>1</v>
      </c>
      <c r="DO1025" t="str">
        <f>IF(DN1025=1,INDEX($DI$7:$DL$7,MATCH(1,$DI1025:$DL1025,0)),"mixedProduct")</f>
        <v>EnergyInput</v>
      </c>
      <c r="DP1025">
        <f>IF(DI1025=1,DP$7,0)</f>
        <v>0</v>
      </c>
      <c r="DQ1025" t="str">
        <f>IF(DJ1025=1,DQ$7,0)</f>
        <v>Energy</v>
      </c>
      <c r="DR1025">
        <f>IF(DK1025=1,DR$7,0)</f>
        <v>0</v>
      </c>
      <c r="DS1025">
        <f>IF(DL1025=1,DS$7,0)</f>
        <v>0</v>
      </c>
      <c r="DT1025">
        <v>0</v>
      </c>
      <c r="DU1025">
        <v>1</v>
      </c>
      <c r="DV1025" t="s">
        <v>2237</v>
      </c>
      <c r="DW1025" t="s">
        <v>2238</v>
      </c>
      <c r="DX1025">
        <v>0</v>
      </c>
      <c r="DY1025">
        <f>SUM(DT1025:DU1025)</f>
        <v>1</v>
      </c>
      <c r="DZ1025" s="143" t="str">
        <f>IF(DT1025=1,"self-calculated DF",IF(DU1025=1,"external DF used","explicit C balance"))</f>
        <v>external DF used</v>
      </c>
      <c r="EA1025">
        <v>1</v>
      </c>
      <c r="EB1025">
        <v>1</v>
      </c>
      <c r="EC1025">
        <v>1</v>
      </c>
      <c r="ED1025">
        <v>1</v>
      </c>
      <c r="EE1025">
        <v>0</v>
      </c>
      <c r="EF1025" s="143">
        <v>0</v>
      </c>
      <c r="EG1025">
        <v>1</v>
      </c>
      <c r="EH1025">
        <v>1</v>
      </c>
      <c r="EI1025">
        <v>0</v>
      </c>
      <c r="EJ1025">
        <v>0</v>
      </c>
      <c r="EK1025">
        <v>1</v>
      </c>
      <c r="EL1025">
        <v>0</v>
      </c>
      <c r="EM1025">
        <v>0</v>
      </c>
      <c r="EN1025" s="2">
        <v>0</v>
      </c>
      <c r="EP1025" t="str">
        <f>IF(AND(AND(AND(OR($EC1025=1,$EB1025=1),OR($EH1025=1,$EF1025=1)),SUM($EA1025:$EE1025,$EK1025)&gt;=3),SUM($EF1025:$EJ1025)&gt;=2),"Whole sector approach","")</f>
        <v>Whole sector approach</v>
      </c>
      <c r="EQ1025" t="str">
        <f>IF(AND(AND(OR($EC1025=1,$EB1025=1),AND($EH1025=0,$EF1025=0)),SUM($EA1025:$EE1025,$EK1025)&gt;=4),"Ecosystem approach","")</f>
        <v/>
      </c>
      <c r="ER1025" s="2" t="str">
        <f>IF(AND(AND(AND($EC1025=0,$EB1025=0),OR($EH1025=1,$EF1025=1)),SUM($EG1025:$EJ1025)&gt;=2),"Technology approach","")</f>
        <v/>
      </c>
      <c r="ES1025" t="str">
        <f>IF(AND($EC1025+$EB1025+$EE1025+$EA1025+$ED1025+$EG1025=0,$N1025="included"),"C neutral forest and HWP assumption","")</f>
        <v/>
      </c>
      <c r="ET1025" t="str">
        <f>IF(AND(AND(AND(AND($EC1025=1,$EB1025+$EA1025+$EG1025&gt;=1),$EF1025=1),$EH1025+$EI1025+$ED1025+$EE1025&gt;=2),$N1025="included"),"All C pools assumption","")</f>
        <v/>
      </c>
      <c r="EU1025" t="str">
        <f>IF(AND($ED1025+$EE1025+$EI1025+$EH1025+$EF1025=0,$N1025="included"),"In-situ only assumption","")</f>
        <v/>
      </c>
      <c r="EY1025" t="b">
        <f>IF(ISNUMBER(BW1025),IF(ABS(BW1025-[2]QC_indicators!$B$2)&gt;3*[2]QC_indicators!$C$2,"C ratio",IF(ISNUMBER(CA1025),IF(ABS(CA1025-[2]QC_indicators!$B$1)&gt;3*[2]QC_indicators!$C$1,"DF","no"))),IF(ISNUMBER(CA1025),IF(ABS(CA1025-[2]QC_indicators!$B$1)&gt;3*[2]QC_indicators!$C$1,"DF","no")))</f>
        <v>0</v>
      </c>
      <c r="FA1025" t="str">
        <f>IF(LEN($CY1025)=0,"",IF(AND($CY1025&lt;(-0.05),$ES1025="C neutral forest and HWP assumption"),"Cneutral paradox",IF(AND($CY1025&gt;0.05,$EU1025="In-situ only assumption"),"In-situ only paradox","")))</f>
        <v/>
      </c>
      <c r="FD1025" s="260" t="s">
        <v>2948</v>
      </c>
    </row>
    <row r="1026" spans="1:160" ht="15" hidden="1" customHeight="1">
      <c r="A1026" s="1" t="s">
        <v>1295</v>
      </c>
      <c r="B1026" t="s">
        <v>2203</v>
      </c>
      <c r="C1026" t="s">
        <v>2204</v>
      </c>
      <c r="D1026" t="s">
        <v>2205</v>
      </c>
      <c r="E1026" t="s">
        <v>2206</v>
      </c>
      <c r="F1026" t="s">
        <v>2207</v>
      </c>
      <c r="G1026" t="s">
        <v>1301</v>
      </c>
      <c r="H1026" t="s">
        <v>254</v>
      </c>
      <c r="I1026">
        <v>2016</v>
      </c>
      <c r="J1026">
        <v>24</v>
      </c>
      <c r="K1026" t="s">
        <v>2208</v>
      </c>
      <c r="M1026" t="str">
        <f>LEFT($D1026,FIND(",",$D1026)-1)&amp;"_"&amp;I1026&amp;L1026</f>
        <v>Zubizarreta-Gerendiain_2016</v>
      </c>
      <c r="N1026" t="s">
        <v>222</v>
      </c>
      <c r="O1026" s="145" t="s">
        <v>1029</v>
      </c>
      <c r="Q1026" t="s">
        <v>256</v>
      </c>
      <c r="R1026" s="258" t="s">
        <v>223</v>
      </c>
      <c r="S1026" s="1" t="s">
        <v>2239</v>
      </c>
      <c r="T1026" t="s">
        <v>2227</v>
      </c>
      <c r="U1026" t="s">
        <v>2243</v>
      </c>
      <c r="V1026" s="253">
        <v>0</v>
      </c>
      <c r="W1026" s="253">
        <v>0</v>
      </c>
      <c r="X1026">
        <v>0</v>
      </c>
      <c r="Y1026">
        <v>0</v>
      </c>
      <c r="Z1026">
        <v>0</v>
      </c>
      <c r="AA1026">
        <v>1</v>
      </c>
      <c r="AB1026">
        <v>0</v>
      </c>
      <c r="AC1026">
        <v>0</v>
      </c>
      <c r="AD1026">
        <v>0</v>
      </c>
      <c r="AE1026">
        <v>0</v>
      </c>
      <c r="AF1026">
        <v>0</v>
      </c>
      <c r="AG1026">
        <v>0</v>
      </c>
      <c r="AH1026">
        <v>0</v>
      </c>
      <c r="AI1026">
        <v>0</v>
      </c>
      <c r="AJ1026">
        <v>0</v>
      </c>
      <c r="AK1026">
        <v>0</v>
      </c>
      <c r="AL1026">
        <v>0</v>
      </c>
      <c r="AM1026">
        <v>0</v>
      </c>
      <c r="AN1026">
        <v>0</v>
      </c>
      <c r="AO1026">
        <v>0</v>
      </c>
      <c r="AP1026">
        <v>2</v>
      </c>
      <c r="AQ1026">
        <v>2</v>
      </c>
      <c r="AR1026">
        <v>0</v>
      </c>
      <c r="AS1026">
        <v>0</v>
      </c>
      <c r="AT1026">
        <v>0</v>
      </c>
      <c r="AU1026">
        <v>0</v>
      </c>
      <c r="AV1026">
        <v>0</v>
      </c>
      <c r="AW1026">
        <v>0</v>
      </c>
      <c r="AX1026">
        <v>0</v>
      </c>
      <c r="AY1026">
        <v>0</v>
      </c>
      <c r="AZ1026" s="141">
        <f>COUNTIF(X1026:AY1026,"&lt;&gt;0")</f>
        <v>3</v>
      </c>
      <c r="BA1026" s="141">
        <f>COUNTIF(X1026:AN1026,"&lt;&gt;0")</f>
        <v>1</v>
      </c>
      <c r="BB1026">
        <f>COUNTIF(X1026:AE1026,"&lt;&gt;0")</f>
        <v>1</v>
      </c>
      <c r="BC1026">
        <f>COUNTIF(AF1026:AK1026,"&lt;&gt;0")</f>
        <v>0</v>
      </c>
      <c r="BD1026">
        <f>COUNTIF(AL1026:AN1026,"&lt;&gt;0")</f>
        <v>0</v>
      </c>
      <c r="BE1026">
        <f>COUNTIF(AU1026:AY1026,"&lt;&gt;0")</f>
        <v>0</v>
      </c>
      <c r="BF1026">
        <f>COUNTIF(AO1026:AT1026,"&lt;&gt;0")</f>
        <v>2</v>
      </c>
      <c r="BG1026" t="str">
        <f t="array" ref="BG1026">IF(BA1026=1,INDEX($X$7:$AN$7,MATCH(TRUE,INDEX($X1026:$AY1026&lt;&gt;0,),0)),IF(BA1026=0,INDEX($AO$7:$AY$7,MATCH(1,$AO1026:$AY1026,0)),IF(BH1026="Multiple strategies","mixed drivers",IF(BH1026="Supply chain","multiple supply","multiple silviculture"))))</f>
        <v xml:space="preserve">cutting intensity </v>
      </c>
      <c r="BH1026" s="2" t="str" cm="1">
        <f t="array" ref="BH1026">IF(COUNTIF(BB1026:BD1026,"&lt;&gt;0")=1,INDEX($X$4:$AY$4,MATCH(TRUE,INDEX($X1026:$AY1026&lt;&gt;0,),0)),IF(COUNTIF(BB1026:BD1026,"&lt;&gt;0")=0,INDEX($AO$4:$AY$4,MATCH(1,$AO1026:$AY1026,0)),"Multiple strategies"))</f>
        <v>Silviculture for removals</v>
      </c>
      <c r="BO1026" s="143"/>
      <c r="BP1026" s="143"/>
      <c r="BR1026" s="143" t="s">
        <v>232</v>
      </c>
      <c r="BS1026" s="143"/>
      <c r="BT1026" t="s">
        <v>1070</v>
      </c>
      <c r="BU1026">
        <v>99553.342625698249</v>
      </c>
      <c r="BV1026">
        <v>105736.78005586576</v>
      </c>
      <c r="BW1026" s="144">
        <f>IFERROR(BV1026/BU1026,"")</f>
        <v>1.0621118012422353</v>
      </c>
      <c r="BX1026" s="144">
        <f>BV1026-BU1026</f>
        <v>6183.4374301675125</v>
      </c>
      <c r="BY1026" s="144"/>
      <c r="BZ1026" s="144">
        <f>BX1026</f>
        <v>6183.4374301675125</v>
      </c>
      <c r="CA1026" t="str">
        <f>IFERROR(BZ1026/BQ1026,"")</f>
        <v/>
      </c>
      <c r="CB1026">
        <v>0</v>
      </c>
      <c r="CC1026">
        <v>0</v>
      </c>
      <c r="CD1026">
        <v>0</v>
      </c>
      <c r="CE1026">
        <v>0</v>
      </c>
      <c r="CF1026">
        <v>0</v>
      </c>
      <c r="CG1026">
        <v>0</v>
      </c>
      <c r="CH1026">
        <v>0</v>
      </c>
      <c r="CI1026">
        <v>0</v>
      </c>
      <c r="CJ1026">
        <v>0</v>
      </c>
      <c r="CK1026">
        <v>0</v>
      </c>
      <c r="CL1026">
        <v>0</v>
      </c>
      <c r="CM1026">
        <v>0</v>
      </c>
      <c r="CN1026">
        <v>0</v>
      </c>
      <c r="CO1026">
        <v>1</v>
      </c>
      <c r="CP1026" t="str">
        <f>IF(BN1026&lt;BM1026,"refNeedCorrection","refOK")</f>
        <v>refOK</v>
      </c>
      <c r="CQ1026"/>
      <c r="CR1026"/>
      <c r="CS1026"/>
      <c r="CT1026">
        <f>IF(BI1026="Roundwood",$CS1026/2,$CS1026)</f>
        <v>0</v>
      </c>
      <c r="CU1026">
        <f>IF($CP1026="refOK",$BU1026,$BV1026)*IF($BR1026="Emissions positive",-1,1)</f>
        <v>99553.342625698249</v>
      </c>
      <c r="CV1026">
        <f>IF($CP1026="refOK",$BV1026,$BU1026)*IF($BR1026="Emissions positive",-1,1)</f>
        <v>105736.78005586576</v>
      </c>
      <c r="CW1026">
        <f>IF($CP1026="refNeedCorrection",-BZ1026,BZ1026)*IF($BR1026="Emissions positive",-1,1)</f>
        <v>6183.4374301675125</v>
      </c>
      <c r="CX1026" t="str">
        <f>IFERROR($CW1026/$CS1026,"")</f>
        <v/>
      </c>
      <c r="CY1026" t="str">
        <f>IFERROR($CW1026/$CS1026,"")</f>
        <v/>
      </c>
      <c r="CZ1026" t="str">
        <f>IFERROR($CW1026/$CT1026,"")</f>
        <v/>
      </c>
      <c r="DA1026" s="2">
        <f>IFERROR((CV1026-CU1026)/ABS(CU1026),"")</f>
        <v>6.2111801242235212E-2</v>
      </c>
      <c r="DB1026" s="1" t="s">
        <v>1074</v>
      </c>
      <c r="DC1026" t="str">
        <f>IF(OR($DB1026="prd",$DB1026="std",$DB1026="cit"),"loc",IF(OR($DB1026="eur",$DB1026="reg",$DB1026="coy"),"reg",$DB1026))</f>
        <v>reg</v>
      </c>
      <c r="DD1026" t="s">
        <v>235</v>
      </c>
      <c r="DE1026">
        <v>2010</v>
      </c>
      <c r="DF1026">
        <v>2070</v>
      </c>
      <c r="DG1026">
        <f>DF1026-DE1026</f>
        <v>60</v>
      </c>
      <c r="DH1026" t="str">
        <f>IF(DG1026=0,"0",IF(AND(DG1026&gt;=1,DG1026&lt;=30),"1-30",IF(AND(DG1026&gt;30,DG1026&lt;=70),"31-70",IF(AND(DG1026&gt;70,DG1026&lt;=100),"71-100",IF(DG1026&gt;100,"+100")))))</f>
        <v>31-70</v>
      </c>
      <c r="DI1026">
        <v>0</v>
      </c>
      <c r="DJ1026">
        <v>1</v>
      </c>
      <c r="DK1026">
        <v>0</v>
      </c>
      <c r="DL1026">
        <v>0</v>
      </c>
      <c r="DM1026">
        <v>0</v>
      </c>
      <c r="DN1026">
        <f>SUM(DI1026:DL1026)</f>
        <v>1</v>
      </c>
      <c r="DO1026" t="str">
        <f>IF(DN1026=1,INDEX($DI$7:$DL$7,MATCH(1,$DI1026:$DL1026,0)),"mixedProduct")</f>
        <v>EnergyInput</v>
      </c>
      <c r="DP1026">
        <f>IF(DI1026=1,DP$7,0)</f>
        <v>0</v>
      </c>
      <c r="DQ1026" t="str">
        <f>IF(DJ1026=1,DQ$7,0)</f>
        <v>Energy</v>
      </c>
      <c r="DR1026">
        <f>IF(DK1026=1,DR$7,0)</f>
        <v>0</v>
      </c>
      <c r="DS1026">
        <f>IF(DL1026=1,DS$7,0)</f>
        <v>0</v>
      </c>
      <c r="DT1026">
        <v>0</v>
      </c>
      <c r="DU1026">
        <v>0</v>
      </c>
      <c r="DV1026">
        <v>0</v>
      </c>
      <c r="DW1026">
        <v>0</v>
      </c>
      <c r="DX1026">
        <v>0</v>
      </c>
      <c r="DY1026">
        <f>SUM(DT1026:DU1026)</f>
        <v>0</v>
      </c>
      <c r="DZ1026" s="143" t="str">
        <f>IF(DT1026=1,"self-calculated DF",IF(DU1026=1,"external DF used","explicit C balance"))</f>
        <v>explicit C balance</v>
      </c>
      <c r="EA1026">
        <v>1</v>
      </c>
      <c r="EB1026">
        <v>1</v>
      </c>
      <c r="EC1026">
        <v>1</v>
      </c>
      <c r="ED1026">
        <v>1</v>
      </c>
      <c r="EE1026">
        <v>0</v>
      </c>
      <c r="EF1026" s="143">
        <v>0</v>
      </c>
      <c r="EG1026">
        <v>0</v>
      </c>
      <c r="EH1026">
        <v>0</v>
      </c>
      <c r="EI1026">
        <v>0</v>
      </c>
      <c r="EJ1026">
        <v>0</v>
      </c>
      <c r="EK1026">
        <v>1</v>
      </c>
      <c r="EL1026">
        <v>0</v>
      </c>
      <c r="EM1026">
        <v>0</v>
      </c>
      <c r="EN1026" s="2">
        <v>0</v>
      </c>
      <c r="EP1026" t="str">
        <f>IF(AND(AND(AND(OR($EC1026=1,$EB1026=1),OR($EH1026=1,$EF1026=1)),SUM($EA1026:$EE1026,$EK1026)&gt;=3),SUM($EF1026:$EJ1026)&gt;=2),"Whole sector approach","")</f>
        <v/>
      </c>
      <c r="EQ1026" t="str">
        <f>IF(AND(AND(OR($EC1026=1,$EB1026=1),AND($EH1026=0,$EF1026=0)),SUM($EA1026:$EE1026,$EK1026)&gt;=4),"Ecosystem approach","")</f>
        <v>Ecosystem approach</v>
      </c>
      <c r="ER1026" s="2" t="str">
        <f>IF(AND(AND(AND($EC1026=0,$EB1026=0),OR($EH1026=1,$EF1026=1)),SUM($EG1026:$EJ1026)&gt;=2),"Technology approach","")</f>
        <v/>
      </c>
      <c r="ES1026" t="str">
        <f>IF(AND($EC1026+$EB1026+$EE1026+$EA1026+$ED1026+$EG1026=0,$N1026="included"),"C neutral forest and HWP assumption","")</f>
        <v/>
      </c>
      <c r="ET1026" t="str">
        <f>IF(AND(AND(AND(AND($EC1026=1,$EB1026+$EA1026+$EG1026&gt;=1),$EF1026=1),$EH1026+$EI1026+$ED1026+$EE1026&gt;=2),$N1026="included"),"All C pools assumption","")</f>
        <v/>
      </c>
      <c r="EU1026" t="str">
        <f>IF(AND($ED1026+$EE1026+$EI1026+$EH1026+$EF1026=0,$N1026="included"),"In-situ only assumption","")</f>
        <v/>
      </c>
      <c r="EY1026" t="b">
        <f>IF(ISNUMBER(BW1026),IF(ABS(BW1026-[2]QC_indicators!$B$2)&gt;3*[2]QC_indicators!$C$2,"C ratio",IF(ISNUMBER(CA1026),IF(ABS(CA1026-[2]QC_indicators!$B$1)&gt;3*[2]QC_indicators!$C$1,"DF","no"))),IF(ISNUMBER(CA1026),IF(ABS(CA1026-[2]QC_indicators!$B$1)&gt;3*[2]QC_indicators!$C$1,"DF","no")))</f>
        <v>0</v>
      </c>
      <c r="FA1026" t="str">
        <f>IF(LEN($CY1026)=0,"",IF(AND($CY1026&lt;(-0.05),$ES1026="C neutral forest and HWP assumption"),"Cneutral paradox",IF(AND($CY1026&gt;0.05,$EU1026="In-situ only assumption"),"In-situ only paradox","")))</f>
        <v/>
      </c>
      <c r="FD1026" s="260" t="s">
        <v>2948</v>
      </c>
    </row>
    <row r="1027" spans="1:160" ht="15" hidden="1" customHeight="1">
      <c r="A1027" s="1" t="s">
        <v>1295</v>
      </c>
      <c r="B1027" t="s">
        <v>2203</v>
      </c>
      <c r="C1027" t="s">
        <v>2204</v>
      </c>
      <c r="D1027" t="s">
        <v>2205</v>
      </c>
      <c r="E1027" t="s">
        <v>2206</v>
      </c>
      <c r="F1027" t="s">
        <v>2207</v>
      </c>
      <c r="G1027" t="s">
        <v>1301</v>
      </c>
      <c r="H1027" t="s">
        <v>254</v>
      </c>
      <c r="I1027">
        <v>2016</v>
      </c>
      <c r="J1027">
        <v>24</v>
      </c>
      <c r="K1027" t="s">
        <v>2208</v>
      </c>
      <c r="M1027" t="str">
        <f>LEFT($D1027,FIND(",",$D1027)-1)&amp;"_"&amp;I1027&amp;L1027</f>
        <v>Zubizarreta-Gerendiain_2016</v>
      </c>
      <c r="N1027" t="s">
        <v>222</v>
      </c>
      <c r="O1027" s="145" t="s">
        <v>1029</v>
      </c>
      <c r="Q1027" t="s">
        <v>256</v>
      </c>
      <c r="R1027" s="258" t="s">
        <v>223</v>
      </c>
      <c r="S1027" s="1" t="s">
        <v>2239</v>
      </c>
      <c r="T1027" t="s">
        <v>2223</v>
      </c>
      <c r="U1027" t="s">
        <v>2242</v>
      </c>
      <c r="V1027" s="253">
        <v>0</v>
      </c>
      <c r="W1027" s="253">
        <v>0</v>
      </c>
      <c r="X1027">
        <v>0</v>
      </c>
      <c r="Y1027">
        <v>0</v>
      </c>
      <c r="Z1027">
        <v>0</v>
      </c>
      <c r="AA1027">
        <v>1</v>
      </c>
      <c r="AB1027">
        <v>0</v>
      </c>
      <c r="AC1027">
        <v>0</v>
      </c>
      <c r="AD1027">
        <v>0</v>
      </c>
      <c r="AE1027">
        <v>0</v>
      </c>
      <c r="AF1027">
        <v>0</v>
      </c>
      <c r="AG1027">
        <v>0</v>
      </c>
      <c r="AH1027">
        <v>0</v>
      </c>
      <c r="AI1027">
        <v>0</v>
      </c>
      <c r="AJ1027">
        <v>0</v>
      </c>
      <c r="AK1027">
        <v>0</v>
      </c>
      <c r="AL1027">
        <v>0</v>
      </c>
      <c r="AM1027">
        <v>0</v>
      </c>
      <c r="AN1027">
        <v>0</v>
      </c>
      <c r="AO1027">
        <v>0</v>
      </c>
      <c r="AP1027">
        <v>2</v>
      </c>
      <c r="AQ1027">
        <v>2</v>
      </c>
      <c r="AR1027">
        <v>0</v>
      </c>
      <c r="AS1027">
        <v>0</v>
      </c>
      <c r="AT1027">
        <v>0</v>
      </c>
      <c r="AU1027">
        <v>0</v>
      </c>
      <c r="AV1027">
        <v>0</v>
      </c>
      <c r="AW1027">
        <v>0</v>
      </c>
      <c r="AX1027">
        <v>0</v>
      </c>
      <c r="AY1027">
        <v>0</v>
      </c>
      <c r="AZ1027" s="141">
        <f>COUNTIF(X1027:AY1027,"&lt;&gt;0")</f>
        <v>3</v>
      </c>
      <c r="BA1027" s="141">
        <f>COUNTIF(X1027:AN1027,"&lt;&gt;0")</f>
        <v>1</v>
      </c>
      <c r="BB1027">
        <f>COUNTIF(X1027:AE1027,"&lt;&gt;0")</f>
        <v>1</v>
      </c>
      <c r="BC1027">
        <f>COUNTIF(AF1027:AK1027,"&lt;&gt;0")</f>
        <v>0</v>
      </c>
      <c r="BD1027">
        <f>COUNTIF(AL1027:AN1027,"&lt;&gt;0")</f>
        <v>0</v>
      </c>
      <c r="BE1027">
        <f>COUNTIF(AU1027:AY1027,"&lt;&gt;0")</f>
        <v>0</v>
      </c>
      <c r="BF1027">
        <f>COUNTIF(AO1027:AT1027,"&lt;&gt;0")</f>
        <v>2</v>
      </c>
      <c r="BG1027" t="str">
        <f t="array" ref="BG1027">IF(BA1027=1,INDEX($X$7:$AN$7,MATCH(TRUE,INDEX($X1027:$AY1027&lt;&gt;0,),0)),IF(BA1027=0,INDEX($AO$7:$AY$7,MATCH(1,$AO1027:$AY1027,0)),IF(BH1027="Multiple strategies","mixed drivers",IF(BH1027="Supply chain","multiple supply","multiple silviculture"))))</f>
        <v xml:space="preserve">cutting intensity </v>
      </c>
      <c r="BH1027" s="2" t="str" cm="1">
        <f t="array" ref="BH1027">IF(COUNTIF(BB1027:BD1027,"&lt;&gt;0")=1,INDEX($X$4:$AY$4,MATCH(TRUE,INDEX($X1027:$AY1027&lt;&gt;0,),0)),IF(COUNTIF(BB1027:BD1027,"&lt;&gt;0")=0,INDEX($AO$4:$AY$4,MATCH(1,$AO1027:$AY1027,0)),"Multiple strategies"))</f>
        <v>Silviculture for removals</v>
      </c>
      <c r="BO1027" s="143"/>
      <c r="BP1027" s="143"/>
      <c r="BR1027" s="143" t="s">
        <v>232</v>
      </c>
      <c r="BS1027" s="143"/>
      <c r="BT1027" t="s">
        <v>1070</v>
      </c>
      <c r="BU1027">
        <v>121904.97124600642</v>
      </c>
      <c r="BV1027">
        <v>130927.54313099037</v>
      </c>
      <c r="BW1027" s="144">
        <f>IFERROR(BV1027/BU1027,"")</f>
        <v>1.0740131578947363</v>
      </c>
      <c r="BX1027" s="144">
        <f>BV1027-BU1027</f>
        <v>9022.5718849839468</v>
      </c>
      <c r="BY1027" s="144"/>
      <c r="BZ1027" s="144">
        <f>BX1027</f>
        <v>9022.5718849839468</v>
      </c>
      <c r="CA1027" t="str">
        <f>IFERROR(BZ1027/BQ1027,"")</f>
        <v/>
      </c>
      <c r="CB1027">
        <v>0</v>
      </c>
      <c r="CC1027">
        <v>0</v>
      </c>
      <c r="CD1027">
        <v>0</v>
      </c>
      <c r="CE1027">
        <v>0</v>
      </c>
      <c r="CF1027">
        <v>0</v>
      </c>
      <c r="CG1027">
        <v>0</v>
      </c>
      <c r="CH1027">
        <v>0</v>
      </c>
      <c r="CI1027">
        <v>0</v>
      </c>
      <c r="CJ1027">
        <v>0</v>
      </c>
      <c r="CK1027">
        <v>0</v>
      </c>
      <c r="CL1027">
        <v>0</v>
      </c>
      <c r="CM1027">
        <v>0</v>
      </c>
      <c r="CN1027">
        <v>0</v>
      </c>
      <c r="CO1027">
        <v>1</v>
      </c>
      <c r="CP1027" t="str">
        <f>IF(BN1027&lt;BM1027,"refNeedCorrection","refOK")</f>
        <v>refOK</v>
      </c>
      <c r="CQ1027"/>
      <c r="CR1027"/>
      <c r="CS1027"/>
      <c r="CT1027">
        <f>IF(BI1027="Roundwood",$CS1027/2,$CS1027)</f>
        <v>0</v>
      </c>
      <c r="CU1027">
        <f>IF($CP1027="refOK",$BU1027,$BV1027)*IF($BR1027="Emissions positive",-1,1)</f>
        <v>121904.97124600642</v>
      </c>
      <c r="CV1027">
        <f>IF($CP1027="refOK",$BV1027,$BU1027)*IF($BR1027="Emissions positive",-1,1)</f>
        <v>130927.54313099037</v>
      </c>
      <c r="CW1027">
        <f>IF($CP1027="refNeedCorrection",-BZ1027,BZ1027)*IF($BR1027="Emissions positive",-1,1)</f>
        <v>9022.5718849839468</v>
      </c>
      <c r="CX1027" t="str">
        <f>IFERROR($CW1027/$CS1027,"")</f>
        <v/>
      </c>
      <c r="CY1027" t="str">
        <f>IFERROR($CW1027/$CS1027,"")</f>
        <v/>
      </c>
      <c r="CZ1027" t="str">
        <f>IFERROR($CW1027/$CT1027,"")</f>
        <v/>
      </c>
      <c r="DA1027" s="2">
        <f>IFERROR((CV1027-CU1027)/ABS(CU1027),"")</f>
        <v>7.4013157894736184E-2</v>
      </c>
      <c r="DB1027" s="1" t="s">
        <v>1074</v>
      </c>
      <c r="DC1027" t="str">
        <f>IF(OR($DB1027="prd",$DB1027="std",$DB1027="cit"),"loc",IF(OR($DB1027="eur",$DB1027="reg",$DB1027="coy"),"reg",$DB1027))</f>
        <v>reg</v>
      </c>
      <c r="DD1027" t="s">
        <v>235</v>
      </c>
      <c r="DE1027">
        <v>2010</v>
      </c>
      <c r="DF1027">
        <v>2070</v>
      </c>
      <c r="DG1027">
        <f>DF1027-DE1027</f>
        <v>60</v>
      </c>
      <c r="DH1027" t="str">
        <f>IF(DG1027=0,"0",IF(AND(DG1027&gt;=1,DG1027&lt;=30),"1-30",IF(AND(DG1027&gt;30,DG1027&lt;=70),"31-70",IF(AND(DG1027&gt;70,DG1027&lt;=100),"71-100",IF(DG1027&gt;100,"+100")))))</f>
        <v>31-70</v>
      </c>
      <c r="DI1027">
        <v>0</v>
      </c>
      <c r="DJ1027">
        <v>1</v>
      </c>
      <c r="DK1027">
        <v>0</v>
      </c>
      <c r="DL1027">
        <v>0</v>
      </c>
      <c r="DM1027">
        <v>0</v>
      </c>
      <c r="DN1027">
        <f>SUM(DI1027:DL1027)</f>
        <v>1</v>
      </c>
      <c r="DO1027" t="str">
        <f>IF(DN1027=1,INDEX($DI$7:$DL$7,MATCH(1,$DI1027:$DL1027,0)),"mixedProduct")</f>
        <v>EnergyInput</v>
      </c>
      <c r="DP1027">
        <f>IF(DI1027=1,DP$7,0)</f>
        <v>0</v>
      </c>
      <c r="DQ1027" t="str">
        <f>IF(DJ1027=1,DQ$7,0)</f>
        <v>Energy</v>
      </c>
      <c r="DR1027">
        <f>IF(DK1027=1,DR$7,0)</f>
        <v>0</v>
      </c>
      <c r="DS1027">
        <f>IF(DL1027=1,DS$7,0)</f>
        <v>0</v>
      </c>
      <c r="DT1027">
        <v>0</v>
      </c>
      <c r="DU1027">
        <v>0</v>
      </c>
      <c r="DV1027">
        <v>0</v>
      </c>
      <c r="DW1027">
        <v>0</v>
      </c>
      <c r="DX1027">
        <v>0</v>
      </c>
      <c r="DY1027">
        <f>SUM(DT1027:DU1027)</f>
        <v>0</v>
      </c>
      <c r="DZ1027" s="143" t="str">
        <f>IF(DT1027=1,"self-calculated DF",IF(DU1027=1,"external DF used","explicit C balance"))</f>
        <v>explicit C balance</v>
      </c>
      <c r="EA1027">
        <v>1</v>
      </c>
      <c r="EB1027">
        <v>1</v>
      </c>
      <c r="EC1027">
        <v>1</v>
      </c>
      <c r="ED1027">
        <v>1</v>
      </c>
      <c r="EE1027">
        <v>0</v>
      </c>
      <c r="EF1027" s="143">
        <v>0</v>
      </c>
      <c r="EG1027">
        <v>0</v>
      </c>
      <c r="EH1027">
        <v>0</v>
      </c>
      <c r="EI1027">
        <v>0</v>
      </c>
      <c r="EJ1027">
        <v>0</v>
      </c>
      <c r="EK1027">
        <v>1</v>
      </c>
      <c r="EL1027">
        <v>0</v>
      </c>
      <c r="EM1027">
        <v>0</v>
      </c>
      <c r="EN1027" s="2">
        <v>0</v>
      </c>
      <c r="EP1027" t="str">
        <f>IF(AND(AND(AND(OR($EC1027=1,$EB1027=1),OR($EH1027=1,$EF1027=1)),SUM($EA1027:$EE1027,$EK1027)&gt;=3),SUM($EF1027:$EJ1027)&gt;=2),"Whole sector approach","")</f>
        <v/>
      </c>
      <c r="EQ1027" t="str">
        <f>IF(AND(AND(OR($EC1027=1,$EB1027=1),AND($EH1027=0,$EF1027=0)),SUM($EA1027:$EE1027,$EK1027)&gt;=4),"Ecosystem approach","")</f>
        <v>Ecosystem approach</v>
      </c>
      <c r="ER1027" s="2" t="str">
        <f>IF(AND(AND(AND($EC1027=0,$EB1027=0),OR($EH1027=1,$EF1027=1)),SUM($EG1027:$EJ1027)&gt;=2),"Technology approach","")</f>
        <v/>
      </c>
      <c r="ES1027" t="str">
        <f>IF(AND($EC1027+$EB1027+$EE1027+$EA1027+$ED1027+$EG1027=0,$N1027="included"),"C neutral forest and HWP assumption","")</f>
        <v/>
      </c>
      <c r="ET1027" t="str">
        <f>IF(AND(AND(AND(AND($EC1027=1,$EB1027+$EA1027+$EG1027&gt;=1),$EF1027=1),$EH1027+$EI1027+$ED1027+$EE1027&gt;=2),$N1027="included"),"All C pools assumption","")</f>
        <v/>
      </c>
      <c r="EU1027" t="str">
        <f>IF(AND($ED1027+$EE1027+$EI1027+$EH1027+$EF1027=0,$N1027="included"),"In-situ only assumption","")</f>
        <v/>
      </c>
      <c r="EY1027" t="b">
        <f>IF(ISNUMBER(BW1027),IF(ABS(BW1027-[2]QC_indicators!$B$2)&gt;3*[2]QC_indicators!$C$2,"C ratio",IF(ISNUMBER(CA1027),IF(ABS(CA1027-[2]QC_indicators!$B$1)&gt;3*[2]QC_indicators!$C$1,"DF","no"))),IF(ISNUMBER(CA1027),IF(ABS(CA1027-[2]QC_indicators!$B$1)&gt;3*[2]QC_indicators!$C$1,"DF","no")))</f>
        <v>0</v>
      </c>
      <c r="FA1027" t="str">
        <f>IF(LEN($CY1027)=0,"",IF(AND($CY1027&lt;(-0.05),$ES1027="C neutral forest and HWP assumption"),"Cneutral paradox",IF(AND($CY1027&gt;0.05,$EU1027="In-situ only assumption"),"In-situ only paradox","")))</f>
        <v/>
      </c>
      <c r="FD1027" s="260" t="s">
        <v>2948</v>
      </c>
    </row>
    <row r="1028" spans="1:160" ht="18" hidden="1" customHeight="1">
      <c r="A1028" s="1" t="s">
        <v>1295</v>
      </c>
      <c r="B1028" t="s">
        <v>2203</v>
      </c>
      <c r="C1028" t="s">
        <v>2204</v>
      </c>
      <c r="D1028" t="s">
        <v>2205</v>
      </c>
      <c r="E1028" t="s">
        <v>2206</v>
      </c>
      <c r="F1028" t="s">
        <v>2207</v>
      </c>
      <c r="G1028" t="s">
        <v>1301</v>
      </c>
      <c r="H1028" t="s">
        <v>254</v>
      </c>
      <c r="I1028">
        <v>2016</v>
      </c>
      <c r="J1028">
        <v>24</v>
      </c>
      <c r="K1028" t="s">
        <v>2208</v>
      </c>
      <c r="M1028" t="str">
        <f>LEFT($D1028,FIND(",",$D1028)-1)&amp;"_"&amp;I1028&amp;L1028</f>
        <v>Zubizarreta-Gerendiain_2016</v>
      </c>
      <c r="N1028" t="s">
        <v>222</v>
      </c>
      <c r="O1028" s="145" t="s">
        <v>1029</v>
      </c>
      <c r="Q1028" t="s">
        <v>256</v>
      </c>
      <c r="R1028" s="258" t="s">
        <v>223</v>
      </c>
      <c r="S1028" s="1" t="s">
        <v>2239</v>
      </c>
      <c r="T1028" t="s">
        <v>2227</v>
      </c>
      <c r="U1028" t="s">
        <v>2243</v>
      </c>
      <c r="V1028" s="253">
        <v>0</v>
      </c>
      <c r="W1028" s="253">
        <v>0</v>
      </c>
      <c r="X1028">
        <v>0</v>
      </c>
      <c r="Y1028">
        <v>0</v>
      </c>
      <c r="Z1028">
        <v>0</v>
      </c>
      <c r="AA1028">
        <v>1</v>
      </c>
      <c r="AB1028">
        <v>0</v>
      </c>
      <c r="AC1028">
        <v>0</v>
      </c>
      <c r="AD1028">
        <v>0</v>
      </c>
      <c r="AE1028">
        <v>0</v>
      </c>
      <c r="AF1028">
        <v>0</v>
      </c>
      <c r="AG1028">
        <v>0</v>
      </c>
      <c r="AH1028">
        <v>0</v>
      </c>
      <c r="AI1028">
        <v>0</v>
      </c>
      <c r="AJ1028">
        <v>0</v>
      </c>
      <c r="AK1028">
        <v>0</v>
      </c>
      <c r="AL1028">
        <v>0</v>
      </c>
      <c r="AM1028">
        <v>0</v>
      </c>
      <c r="AN1028">
        <v>0</v>
      </c>
      <c r="AO1028">
        <v>0</v>
      </c>
      <c r="AP1028">
        <v>2</v>
      </c>
      <c r="AQ1028">
        <v>2</v>
      </c>
      <c r="AR1028">
        <v>0</v>
      </c>
      <c r="AS1028">
        <v>0</v>
      </c>
      <c r="AT1028">
        <v>0</v>
      </c>
      <c r="AU1028">
        <v>0</v>
      </c>
      <c r="AV1028">
        <v>0</v>
      </c>
      <c r="AW1028">
        <v>0</v>
      </c>
      <c r="AX1028">
        <v>0</v>
      </c>
      <c r="AY1028">
        <v>0</v>
      </c>
      <c r="AZ1028" s="141">
        <f>COUNTIF(X1028:AY1028,"&lt;&gt;0")</f>
        <v>3</v>
      </c>
      <c r="BA1028" s="141">
        <f>COUNTIF(X1028:AN1028,"&lt;&gt;0")</f>
        <v>1</v>
      </c>
      <c r="BB1028">
        <f>COUNTIF(X1028:AE1028,"&lt;&gt;0")</f>
        <v>1</v>
      </c>
      <c r="BC1028">
        <f>COUNTIF(AF1028:AK1028,"&lt;&gt;0")</f>
        <v>0</v>
      </c>
      <c r="BD1028">
        <f>COUNTIF(AL1028:AN1028,"&lt;&gt;0")</f>
        <v>0</v>
      </c>
      <c r="BE1028">
        <f>COUNTIF(AU1028:AY1028,"&lt;&gt;0")</f>
        <v>0</v>
      </c>
      <c r="BF1028">
        <f>COUNTIF(AO1028:AT1028,"&lt;&gt;0")</f>
        <v>2</v>
      </c>
      <c r="BG1028" t="str">
        <f t="array" ref="BG1028">IF(BA1028=1,INDEX($X$7:$AN$7,MATCH(TRUE,INDEX($X1028:$AY1028&lt;&gt;0,),0)),IF(BA1028=0,INDEX($AO$7:$AY$7,MATCH(1,$AO1028:$AY1028,0)),IF(BH1028="Multiple strategies","mixed drivers",IF(BH1028="Supply chain","multiple supply","multiple silviculture"))))</f>
        <v xml:space="preserve">cutting intensity </v>
      </c>
      <c r="BH1028" s="2" t="str" cm="1">
        <f t="array" ref="BH1028">IF(COUNTIF(BB1028:BD1028,"&lt;&gt;0")=1,INDEX($X$4:$AY$4,MATCH(TRUE,INDEX($X1028:$AY1028&lt;&gt;0,),0)),IF(COUNTIF(BB1028:BD1028,"&lt;&gt;0")=0,INDEX($AO$4:$AY$4,MATCH(1,$AO1028:$AY1028,0)),"Multiple strategies"))</f>
        <v>Silviculture for removals</v>
      </c>
      <c r="BO1028" s="143"/>
      <c r="BP1028" s="143"/>
      <c r="BR1028" s="143" t="s">
        <v>232</v>
      </c>
      <c r="BS1028" s="143"/>
      <c r="BT1028" t="s">
        <v>1070</v>
      </c>
      <c r="BU1028">
        <v>12985.218603352034</v>
      </c>
      <c r="BV1028">
        <v>14015.791508379965</v>
      </c>
      <c r="BW1028" s="144">
        <f>IFERROR(BV1028/BU1028,"")</f>
        <v>1.0793650793650789</v>
      </c>
      <c r="BX1028" s="144">
        <f>BV1028-BU1028</f>
        <v>1030.5729050279315</v>
      </c>
      <c r="BY1028" s="144"/>
      <c r="BZ1028" s="144">
        <f>BX1028</f>
        <v>1030.5729050279315</v>
      </c>
      <c r="CA1028" t="str">
        <f>IFERROR(BZ1028/BQ1028,"")</f>
        <v/>
      </c>
      <c r="CB1028">
        <v>0</v>
      </c>
      <c r="CC1028">
        <v>0</v>
      </c>
      <c r="CD1028">
        <v>0</v>
      </c>
      <c r="CE1028">
        <v>0</v>
      </c>
      <c r="CF1028">
        <v>0</v>
      </c>
      <c r="CG1028">
        <v>0</v>
      </c>
      <c r="CH1028">
        <v>0</v>
      </c>
      <c r="CI1028">
        <v>0</v>
      </c>
      <c r="CJ1028">
        <v>0</v>
      </c>
      <c r="CK1028">
        <v>0</v>
      </c>
      <c r="CL1028">
        <v>0</v>
      </c>
      <c r="CM1028">
        <v>0</v>
      </c>
      <c r="CN1028">
        <v>0</v>
      </c>
      <c r="CO1028">
        <v>1</v>
      </c>
      <c r="CP1028" t="str">
        <f>IF(BN1028&lt;BM1028,"refNeedCorrection","refOK")</f>
        <v>refOK</v>
      </c>
      <c r="CQ1028"/>
      <c r="CR1028"/>
      <c r="CS1028"/>
      <c r="CT1028">
        <f>IF(BI1028="Roundwood",$CS1028/2,$CS1028)</f>
        <v>0</v>
      </c>
      <c r="CU1028">
        <f>IF($CP1028="refOK",$BU1028,$BV1028)*IF($BR1028="Emissions positive",-1,1)</f>
        <v>12985.218603352034</v>
      </c>
      <c r="CV1028">
        <f>IF($CP1028="refOK",$BV1028,$BU1028)*IF($BR1028="Emissions positive",-1,1)</f>
        <v>14015.791508379965</v>
      </c>
      <c r="CW1028">
        <f>IF($CP1028="refNeedCorrection",-BZ1028,BZ1028)*IF($BR1028="Emissions positive",-1,1)</f>
        <v>1030.5729050279315</v>
      </c>
      <c r="CX1028" t="str">
        <f>IFERROR($CW1028/$CS1028,"")</f>
        <v/>
      </c>
      <c r="CY1028" t="str">
        <f>IFERROR($CW1028/$CS1028,"")</f>
        <v/>
      </c>
      <c r="CZ1028" t="str">
        <f>IFERROR($CW1028/$CT1028,"")</f>
        <v/>
      </c>
      <c r="DA1028" s="2">
        <f>IFERROR((CV1028-CU1028)/ABS(CU1028),"")</f>
        <v>7.9365079365078778E-2</v>
      </c>
      <c r="DB1028" s="1" t="s">
        <v>1074</v>
      </c>
      <c r="DC1028" t="str">
        <f>IF(OR($DB1028="prd",$DB1028="std",$DB1028="cit"),"loc",IF(OR($DB1028="eur",$DB1028="reg",$DB1028="coy"),"reg",$DB1028))</f>
        <v>reg</v>
      </c>
      <c r="DD1028" t="s">
        <v>235</v>
      </c>
      <c r="DE1028">
        <v>2010</v>
      </c>
      <c r="DF1028">
        <v>2070</v>
      </c>
      <c r="DG1028">
        <f>DF1028-DE1028</f>
        <v>60</v>
      </c>
      <c r="DH1028" t="str">
        <f>IF(DG1028=0,"0",IF(AND(DG1028&gt;=1,DG1028&lt;=30),"1-30",IF(AND(DG1028&gt;30,DG1028&lt;=70),"31-70",IF(AND(DG1028&gt;70,DG1028&lt;=100),"71-100",IF(DG1028&gt;100,"+100")))))</f>
        <v>31-70</v>
      </c>
      <c r="DI1028">
        <v>0</v>
      </c>
      <c r="DJ1028">
        <v>1</v>
      </c>
      <c r="DK1028">
        <v>0</v>
      </c>
      <c r="DL1028">
        <v>0</v>
      </c>
      <c r="DM1028">
        <v>0</v>
      </c>
      <c r="DN1028">
        <f>SUM(DI1028:DL1028)</f>
        <v>1</v>
      </c>
      <c r="DO1028" t="str">
        <f>IF(DN1028=1,INDEX($DI$7:$DL$7,MATCH(1,$DI1028:$DL1028,0)),"mixedProduct")</f>
        <v>EnergyInput</v>
      </c>
      <c r="DP1028">
        <f>IF(DI1028=1,DP$7,0)</f>
        <v>0</v>
      </c>
      <c r="DQ1028" t="str">
        <f>IF(DJ1028=1,DQ$7,0)</f>
        <v>Energy</v>
      </c>
      <c r="DR1028">
        <f>IF(DK1028=1,DR$7,0)</f>
        <v>0</v>
      </c>
      <c r="DS1028">
        <f>IF(DL1028=1,DS$7,0)</f>
        <v>0</v>
      </c>
      <c r="DT1028">
        <v>0</v>
      </c>
      <c r="DU1028">
        <v>0</v>
      </c>
      <c r="DV1028">
        <v>0</v>
      </c>
      <c r="DW1028">
        <v>0</v>
      </c>
      <c r="DX1028">
        <v>0</v>
      </c>
      <c r="DY1028">
        <f>SUM(DT1028:DU1028)</f>
        <v>0</v>
      </c>
      <c r="DZ1028" s="143" t="str">
        <f>IF(DT1028=1,"self-calculated DF",IF(DU1028=1,"external DF used","explicit C balance"))</f>
        <v>explicit C balance</v>
      </c>
      <c r="EA1028">
        <v>1</v>
      </c>
      <c r="EB1028">
        <v>1</v>
      </c>
      <c r="EC1028">
        <v>1</v>
      </c>
      <c r="ED1028">
        <v>0</v>
      </c>
      <c r="EE1028">
        <v>0</v>
      </c>
      <c r="EF1028" s="143">
        <v>0</v>
      </c>
      <c r="EG1028">
        <v>1</v>
      </c>
      <c r="EH1028">
        <v>1</v>
      </c>
      <c r="EI1028">
        <v>0</v>
      </c>
      <c r="EJ1028">
        <v>0</v>
      </c>
      <c r="EK1028">
        <v>1</v>
      </c>
      <c r="EL1028">
        <v>0</v>
      </c>
      <c r="EM1028">
        <v>0</v>
      </c>
      <c r="EN1028" s="2">
        <v>0</v>
      </c>
      <c r="EP1028" t="str">
        <f>IF(AND(AND(AND(OR($EC1028=1,$EB1028=1),OR($EH1028=1,$EF1028=1)),SUM($EA1028:$EE1028,$EK1028)&gt;=3),SUM($EF1028:$EJ1028)&gt;=2),"Whole sector approach","")</f>
        <v>Whole sector approach</v>
      </c>
      <c r="EQ1028" t="str">
        <f>IF(AND(AND(OR($EC1028=1,$EB1028=1),AND($EH1028=0,$EF1028=0)),SUM($EA1028:$EE1028,$EK1028)&gt;=4),"Ecosystem approach","")</f>
        <v/>
      </c>
      <c r="ER1028" s="2" t="str">
        <f>IF(AND(AND(AND($EC1028=0,$EB1028=0),OR($EH1028=1,$EF1028=1)),SUM($EG1028:$EJ1028)&gt;=2),"Technology approach","")</f>
        <v/>
      </c>
      <c r="ES1028" t="str">
        <f>IF(AND($EC1028+$EB1028+$EE1028+$EA1028+$ED1028+$EG1028=0,$N1028="included"),"C neutral forest and HWP assumption","")</f>
        <v/>
      </c>
      <c r="ET1028" t="str">
        <f>IF(AND(AND(AND(AND($EC1028=1,$EB1028+$EA1028+$EG1028&gt;=1),$EF1028=1),$EH1028+$EI1028+$ED1028+$EE1028&gt;=2),$N1028="included"),"All C pools assumption","")</f>
        <v/>
      </c>
      <c r="EU1028" t="str">
        <f>IF(AND($ED1028+$EE1028+$EI1028+$EH1028+$EF1028=0,$N1028="included"),"In-situ only assumption","")</f>
        <v/>
      </c>
      <c r="EY1028" t="b">
        <f>IF(ISNUMBER(BW1028),IF(ABS(BW1028-[2]QC_indicators!$B$2)&gt;3*[2]QC_indicators!$C$2,"C ratio",IF(ISNUMBER(CA1028),IF(ABS(CA1028-[2]QC_indicators!$B$1)&gt;3*[2]QC_indicators!$C$1,"DF","no"))),IF(ISNUMBER(CA1028),IF(ABS(CA1028-[2]QC_indicators!$B$1)&gt;3*[2]QC_indicators!$C$1,"DF","no")))</f>
        <v>0</v>
      </c>
      <c r="FA1028" t="str">
        <f>IF(LEN($CY1028)=0,"",IF(AND($CY1028&lt;(-0.05),$ES1028="C neutral forest and HWP assumption"),"Cneutral paradox",IF(AND($CY1028&gt;0.05,$EU1028="In-situ only assumption"),"In-situ only paradox","")))</f>
        <v/>
      </c>
      <c r="FD1028" s="260" t="s">
        <v>2948</v>
      </c>
    </row>
    <row r="1029" spans="1:160" ht="15" hidden="1" customHeight="1">
      <c r="A1029" s="1" t="s">
        <v>1295</v>
      </c>
      <c r="B1029" t="s">
        <v>2203</v>
      </c>
      <c r="C1029" t="s">
        <v>2204</v>
      </c>
      <c r="D1029" t="s">
        <v>2205</v>
      </c>
      <c r="E1029" t="s">
        <v>2206</v>
      </c>
      <c r="F1029" t="s">
        <v>2207</v>
      </c>
      <c r="G1029" t="s">
        <v>1301</v>
      </c>
      <c r="H1029" t="s">
        <v>254</v>
      </c>
      <c r="I1029">
        <v>2016</v>
      </c>
      <c r="J1029">
        <v>24</v>
      </c>
      <c r="K1029" t="s">
        <v>2208</v>
      </c>
      <c r="M1029" t="str">
        <f>LEFT($D1029,FIND(",",$D1029)-1)&amp;"_"&amp;I1029&amp;L1029</f>
        <v>Zubizarreta-Gerendiain_2016</v>
      </c>
      <c r="N1029" t="s">
        <v>222</v>
      </c>
      <c r="O1029" s="145" t="s">
        <v>1029</v>
      </c>
      <c r="Q1029" t="s">
        <v>256</v>
      </c>
      <c r="R1029" s="258" t="s">
        <v>223</v>
      </c>
      <c r="S1029" s="1" t="s">
        <v>2239</v>
      </c>
      <c r="T1029" t="s">
        <v>2227</v>
      </c>
      <c r="U1029" t="s">
        <v>2243</v>
      </c>
      <c r="V1029" s="253">
        <v>0</v>
      </c>
      <c r="W1029" s="253">
        <v>0</v>
      </c>
      <c r="X1029">
        <v>0</v>
      </c>
      <c r="Y1029">
        <v>0</v>
      </c>
      <c r="Z1029">
        <v>0</v>
      </c>
      <c r="AA1029">
        <v>1</v>
      </c>
      <c r="AB1029">
        <v>0</v>
      </c>
      <c r="AC1029">
        <v>0</v>
      </c>
      <c r="AD1029">
        <v>0</v>
      </c>
      <c r="AE1029">
        <v>0</v>
      </c>
      <c r="AF1029">
        <v>0</v>
      </c>
      <c r="AG1029">
        <v>0</v>
      </c>
      <c r="AH1029">
        <v>0</v>
      </c>
      <c r="AI1029">
        <v>0</v>
      </c>
      <c r="AJ1029">
        <v>0</v>
      </c>
      <c r="AK1029">
        <v>0</v>
      </c>
      <c r="AL1029">
        <v>0</v>
      </c>
      <c r="AM1029">
        <v>0</v>
      </c>
      <c r="AN1029">
        <v>0</v>
      </c>
      <c r="AO1029">
        <v>0</v>
      </c>
      <c r="AP1029">
        <v>2</v>
      </c>
      <c r="AQ1029">
        <v>2</v>
      </c>
      <c r="AR1029">
        <v>0</v>
      </c>
      <c r="AS1029">
        <v>0</v>
      </c>
      <c r="AT1029">
        <v>0</v>
      </c>
      <c r="AU1029">
        <v>0</v>
      </c>
      <c r="AV1029">
        <v>0</v>
      </c>
      <c r="AW1029">
        <v>0</v>
      </c>
      <c r="AX1029">
        <v>0</v>
      </c>
      <c r="AY1029">
        <v>0</v>
      </c>
      <c r="AZ1029" s="141">
        <f>COUNTIF(X1029:AY1029,"&lt;&gt;0")</f>
        <v>3</v>
      </c>
      <c r="BA1029" s="141">
        <f>COUNTIF(X1029:AN1029,"&lt;&gt;0")</f>
        <v>1</v>
      </c>
      <c r="BB1029">
        <f>COUNTIF(X1029:AE1029,"&lt;&gt;0")</f>
        <v>1</v>
      </c>
      <c r="BC1029">
        <f>COUNTIF(AF1029:AK1029,"&lt;&gt;0")</f>
        <v>0</v>
      </c>
      <c r="BD1029">
        <f>COUNTIF(AL1029:AN1029,"&lt;&gt;0")</f>
        <v>0</v>
      </c>
      <c r="BE1029">
        <f>COUNTIF(AU1029:AY1029,"&lt;&gt;0")</f>
        <v>0</v>
      </c>
      <c r="BF1029">
        <f>COUNTIF(AO1029:AT1029,"&lt;&gt;0")</f>
        <v>2</v>
      </c>
      <c r="BG1029" t="str">
        <f t="array" ref="BG1029">IF(BA1029=1,INDEX($X$7:$AN$7,MATCH(TRUE,INDEX($X1029:$AY1029&lt;&gt;0,),0)),IF(BA1029=0,INDEX($AO$7:$AY$7,MATCH(1,$AO1029:$AY1029,0)),IF(BH1029="Multiple strategies","mixed drivers",IF(BH1029="Supply chain","multiple supply","multiple silviculture"))))</f>
        <v xml:space="preserve">cutting intensity </v>
      </c>
      <c r="BH1029" s="2" t="str" cm="1">
        <f t="array" ref="BH1029">IF(COUNTIF(BB1029:BD1029,"&lt;&gt;0")=1,INDEX($X$4:$AY$4,MATCH(TRUE,INDEX($X1029:$AY1029&lt;&gt;0,),0)),IF(COUNTIF(BB1029:BD1029,"&lt;&gt;0")=0,INDEX($AO$4:$AY$4,MATCH(1,$AO1029:$AY1029,0)),"Multiple strategies"))</f>
        <v>Silviculture for removals</v>
      </c>
      <c r="BO1029" s="143"/>
      <c r="BP1029" s="143"/>
      <c r="BR1029" s="143" t="s">
        <v>232</v>
      </c>
      <c r="BS1029" s="143"/>
      <c r="BT1029" t="s">
        <v>1070</v>
      </c>
      <c r="BU1029">
        <v>88354.450391061444</v>
      </c>
      <c r="BV1029">
        <v>96599.033631284721</v>
      </c>
      <c r="BW1029" s="144">
        <f>IFERROR(BV1029/BU1029,"")</f>
        <v>1.0933125972006199</v>
      </c>
      <c r="BX1029" s="144">
        <f>BV1029-BU1029</f>
        <v>8244.5832402232772</v>
      </c>
      <c r="BY1029" s="144"/>
      <c r="BZ1029" s="144">
        <f>BX1029</f>
        <v>8244.5832402232772</v>
      </c>
      <c r="CA1029" t="str">
        <f>IFERROR(BZ1029/BQ1029,"")</f>
        <v/>
      </c>
      <c r="CB1029">
        <v>0</v>
      </c>
      <c r="CC1029">
        <v>0</v>
      </c>
      <c r="CD1029">
        <v>0</v>
      </c>
      <c r="CE1029">
        <v>0</v>
      </c>
      <c r="CF1029">
        <v>0</v>
      </c>
      <c r="CG1029">
        <v>0</v>
      </c>
      <c r="CH1029">
        <v>0</v>
      </c>
      <c r="CI1029">
        <v>0</v>
      </c>
      <c r="CJ1029">
        <v>0</v>
      </c>
      <c r="CK1029">
        <v>0</v>
      </c>
      <c r="CL1029">
        <v>0</v>
      </c>
      <c r="CM1029">
        <v>0</v>
      </c>
      <c r="CN1029">
        <v>0</v>
      </c>
      <c r="CO1029">
        <v>1</v>
      </c>
      <c r="CP1029" t="str">
        <f>IF(BN1029&lt;BM1029,"refNeedCorrection","refOK")</f>
        <v>refOK</v>
      </c>
      <c r="CQ1029"/>
      <c r="CR1029"/>
      <c r="CS1029"/>
      <c r="CT1029">
        <f>IF(BI1029="Roundwood",$CS1029/2,$CS1029)</f>
        <v>0</v>
      </c>
      <c r="CU1029">
        <f>IF($CP1029="refOK",$BU1029,$BV1029)*IF($BR1029="Emissions positive",-1,1)</f>
        <v>88354.450391061444</v>
      </c>
      <c r="CV1029">
        <f>IF($CP1029="refOK",$BV1029,$BU1029)*IF($BR1029="Emissions positive",-1,1)</f>
        <v>96599.033631284721</v>
      </c>
      <c r="CW1029">
        <f>IF($CP1029="refNeedCorrection",-BZ1029,BZ1029)*IF($BR1029="Emissions positive",-1,1)</f>
        <v>8244.5832402232772</v>
      </c>
      <c r="CX1029" t="str">
        <f>IFERROR($CW1029/$CS1029,"")</f>
        <v/>
      </c>
      <c r="CY1029" t="str">
        <f>IFERROR($CW1029/$CS1029,"")</f>
        <v/>
      </c>
      <c r="CZ1029" t="str">
        <f>IFERROR($CW1029/$CT1029,"")</f>
        <v/>
      </c>
      <c r="DA1029" s="2">
        <f>IFERROR((CV1029-CU1029)/ABS(CU1029),"")</f>
        <v>9.3312597200619976E-2</v>
      </c>
      <c r="DB1029" s="1" t="s">
        <v>1074</v>
      </c>
      <c r="DC1029" t="str">
        <f>IF(OR($DB1029="prd",$DB1029="std",$DB1029="cit"),"loc",IF(OR($DB1029="eur",$DB1029="reg",$DB1029="coy"),"reg",$DB1029))</f>
        <v>reg</v>
      </c>
      <c r="DD1029" t="s">
        <v>235</v>
      </c>
      <c r="DE1029">
        <v>2010</v>
      </c>
      <c r="DF1029">
        <v>2070</v>
      </c>
      <c r="DG1029">
        <f>DF1029-DE1029</f>
        <v>60</v>
      </c>
      <c r="DH1029" t="str">
        <f>IF(DG1029=0,"0",IF(AND(DG1029&gt;=1,DG1029&lt;=30),"1-30",IF(AND(DG1029&gt;30,DG1029&lt;=70),"31-70",IF(AND(DG1029&gt;70,DG1029&lt;=100),"71-100",IF(DG1029&gt;100,"+100")))))</f>
        <v>31-70</v>
      </c>
      <c r="DI1029">
        <v>0</v>
      </c>
      <c r="DJ1029">
        <v>1</v>
      </c>
      <c r="DK1029">
        <v>0</v>
      </c>
      <c r="DL1029">
        <v>0</v>
      </c>
      <c r="DM1029">
        <v>0</v>
      </c>
      <c r="DN1029">
        <f>SUM(DI1029:DL1029)</f>
        <v>1</v>
      </c>
      <c r="DO1029" t="str">
        <f>IF(DN1029=1,INDEX($DI$7:$DL$7,MATCH(1,$DI1029:$DL1029,0)),"mixedProduct")</f>
        <v>EnergyInput</v>
      </c>
      <c r="DP1029">
        <f>IF(DI1029=1,DP$7,0)</f>
        <v>0</v>
      </c>
      <c r="DQ1029" t="str">
        <f>IF(DJ1029=1,DQ$7,0)</f>
        <v>Energy</v>
      </c>
      <c r="DR1029">
        <f>IF(DK1029=1,DR$7,0)</f>
        <v>0</v>
      </c>
      <c r="DS1029">
        <f>IF(DL1029=1,DS$7,0)</f>
        <v>0</v>
      </c>
      <c r="DT1029">
        <v>0</v>
      </c>
      <c r="DU1029">
        <v>1</v>
      </c>
      <c r="DV1029" t="s">
        <v>2237</v>
      </c>
      <c r="DW1029" t="s">
        <v>2238</v>
      </c>
      <c r="DX1029">
        <v>0</v>
      </c>
      <c r="DY1029">
        <f>SUM(DT1029:DU1029)</f>
        <v>1</v>
      </c>
      <c r="DZ1029" s="143" t="str">
        <f>IF(DT1029=1,"self-calculated DF",IF(DU1029=1,"external DF used","explicit C balance"))</f>
        <v>external DF used</v>
      </c>
      <c r="EA1029">
        <v>1</v>
      </c>
      <c r="EB1029">
        <v>1</v>
      </c>
      <c r="EC1029">
        <v>1</v>
      </c>
      <c r="ED1029">
        <v>1</v>
      </c>
      <c r="EE1029">
        <v>0</v>
      </c>
      <c r="EF1029" s="143">
        <v>0</v>
      </c>
      <c r="EG1029">
        <v>1</v>
      </c>
      <c r="EH1029">
        <v>1</v>
      </c>
      <c r="EI1029">
        <v>0</v>
      </c>
      <c r="EJ1029">
        <v>0</v>
      </c>
      <c r="EK1029">
        <v>1</v>
      </c>
      <c r="EL1029">
        <v>0</v>
      </c>
      <c r="EM1029">
        <v>0</v>
      </c>
      <c r="EN1029" s="2">
        <v>0</v>
      </c>
      <c r="EP1029" t="str">
        <f>IF(AND(AND(AND(OR($EC1029=1,$EB1029=1),OR($EH1029=1,$EF1029=1)),SUM($EA1029:$EE1029,$EK1029)&gt;=3),SUM($EF1029:$EJ1029)&gt;=2),"Whole sector approach","")</f>
        <v>Whole sector approach</v>
      </c>
      <c r="EQ1029" t="str">
        <f>IF(AND(AND(OR($EC1029=1,$EB1029=1),AND($EH1029=0,$EF1029=0)),SUM($EA1029:$EE1029,$EK1029)&gt;=4),"Ecosystem approach","")</f>
        <v/>
      </c>
      <c r="ER1029" s="2" t="str">
        <f>IF(AND(AND(AND($EC1029=0,$EB1029=0),OR($EH1029=1,$EF1029=1)),SUM($EG1029:$EJ1029)&gt;=2),"Technology approach","")</f>
        <v/>
      </c>
      <c r="ES1029" t="str">
        <f>IF(AND($EC1029+$EB1029+$EE1029+$EA1029+$ED1029+$EG1029=0,$N1029="included"),"C neutral forest and HWP assumption","")</f>
        <v/>
      </c>
      <c r="ET1029" t="str">
        <f>IF(AND(AND(AND(AND($EC1029=1,$EB1029+$EA1029+$EG1029&gt;=1),$EF1029=1),$EH1029+$EI1029+$ED1029+$EE1029&gt;=2),$N1029="included"),"All C pools assumption","")</f>
        <v/>
      </c>
      <c r="EU1029" t="str">
        <f>IF(AND($ED1029+$EE1029+$EI1029+$EH1029+$EF1029=0,$N1029="included"),"In-situ only assumption","")</f>
        <v/>
      </c>
      <c r="EY1029" t="b">
        <f>IF(ISNUMBER(BW1029),IF(ABS(BW1029-[2]QC_indicators!$B$2)&gt;3*[2]QC_indicators!$C$2,"C ratio",IF(ISNUMBER(CA1029),IF(ABS(CA1029-[2]QC_indicators!$B$1)&gt;3*[2]QC_indicators!$C$1,"DF","no"))),IF(ISNUMBER(CA1029),IF(ABS(CA1029-[2]QC_indicators!$B$1)&gt;3*[2]QC_indicators!$C$1,"DF","no")))</f>
        <v>0</v>
      </c>
      <c r="FA1029" t="str">
        <f>IF(LEN($CY1029)=0,"",IF(AND($CY1029&lt;(-0.05),$ES1029="C neutral forest and HWP assumption"),"Cneutral paradox",IF(AND($CY1029&gt;0.05,$EU1029="In-situ only assumption"),"In-situ only paradox","")))</f>
        <v/>
      </c>
      <c r="FD1029" s="260" t="s">
        <v>2948</v>
      </c>
    </row>
    <row r="1030" spans="1:160" ht="15" hidden="1" customHeight="1">
      <c r="A1030" s="1" t="s">
        <v>1295</v>
      </c>
      <c r="B1030" t="s">
        <v>2203</v>
      </c>
      <c r="C1030" t="s">
        <v>2204</v>
      </c>
      <c r="D1030" t="s">
        <v>2205</v>
      </c>
      <c r="E1030" t="s">
        <v>2206</v>
      </c>
      <c r="F1030" t="s">
        <v>2207</v>
      </c>
      <c r="G1030" t="s">
        <v>1301</v>
      </c>
      <c r="H1030" t="s">
        <v>254</v>
      </c>
      <c r="I1030">
        <v>2016</v>
      </c>
      <c r="J1030">
        <v>24</v>
      </c>
      <c r="K1030" t="s">
        <v>2208</v>
      </c>
      <c r="M1030" t="str">
        <f>LEFT($D1030,FIND(",",$D1030)-1)&amp;"_"&amp;I1030&amp;L1030</f>
        <v>Zubizarreta-Gerendiain_2016</v>
      </c>
      <c r="N1030" t="s">
        <v>222</v>
      </c>
      <c r="O1030" s="145" t="s">
        <v>1029</v>
      </c>
      <c r="Q1030" t="s">
        <v>256</v>
      </c>
      <c r="R1030" s="258" t="s">
        <v>223</v>
      </c>
      <c r="S1030" s="1" t="s">
        <v>2234</v>
      </c>
      <c r="T1030" t="s">
        <v>2228</v>
      </c>
      <c r="U1030" t="s">
        <v>2235</v>
      </c>
      <c r="V1030">
        <v>0</v>
      </c>
      <c r="W1030">
        <v>0</v>
      </c>
      <c r="X1030">
        <v>0</v>
      </c>
      <c r="Y1030">
        <v>0</v>
      </c>
      <c r="Z1030">
        <v>0</v>
      </c>
      <c r="AA1030">
        <v>0</v>
      </c>
      <c r="AB1030">
        <v>0</v>
      </c>
      <c r="AC1030">
        <v>0</v>
      </c>
      <c r="AD1030">
        <v>0</v>
      </c>
      <c r="AE1030">
        <v>0</v>
      </c>
      <c r="AF1030">
        <v>0</v>
      </c>
      <c r="AG1030">
        <v>0</v>
      </c>
      <c r="AH1030">
        <v>2</v>
      </c>
      <c r="AI1030">
        <v>0</v>
      </c>
      <c r="AJ1030">
        <v>0</v>
      </c>
      <c r="AK1030">
        <v>0</v>
      </c>
      <c r="AL1030">
        <v>0</v>
      </c>
      <c r="AM1030">
        <v>0</v>
      </c>
      <c r="AN1030">
        <v>0</v>
      </c>
      <c r="AO1030">
        <v>0</v>
      </c>
      <c r="AP1030">
        <v>1</v>
      </c>
      <c r="AQ1030">
        <v>2</v>
      </c>
      <c r="AR1030">
        <v>0</v>
      </c>
      <c r="AS1030">
        <v>0</v>
      </c>
      <c r="AT1030">
        <v>0</v>
      </c>
      <c r="AU1030">
        <v>0</v>
      </c>
      <c r="AV1030">
        <v>0</v>
      </c>
      <c r="AW1030">
        <v>0</v>
      </c>
      <c r="AX1030">
        <v>0</v>
      </c>
      <c r="AY1030">
        <v>0</v>
      </c>
      <c r="AZ1030" s="141">
        <f>COUNTIF(X1030:AY1030,"&lt;&gt;0")</f>
        <v>3</v>
      </c>
      <c r="BA1030" s="141">
        <f>COUNTIF(X1030:AN1030,"&lt;&gt;0")</f>
        <v>1</v>
      </c>
      <c r="BB1030">
        <f>COUNTIF(X1030:AE1030,"&lt;&gt;0")</f>
        <v>0</v>
      </c>
      <c r="BC1030">
        <f>COUNTIF(AF1030:AK1030,"&lt;&gt;0")</f>
        <v>1</v>
      </c>
      <c r="BD1030">
        <f>COUNTIF(AL1030:AN1030,"&lt;&gt;0")</f>
        <v>0</v>
      </c>
      <c r="BE1030">
        <f>COUNTIF(AU1030:AY1030,"&lt;&gt;0")</f>
        <v>0</v>
      </c>
      <c r="BF1030">
        <f>COUNTIF(AO1030:AT1030,"&lt;&gt;0")</f>
        <v>2</v>
      </c>
      <c r="BG1030" t="str">
        <f t="array" ref="BG1030">IF(BA1030=1,INDEX($X$7:$AN$7,MATCH(TRUE,INDEX($X1030:$AY1030&lt;&gt;0,),0)),IF(BA1030=0,INDEX($AO$7:$AY$7,MATCH(1,$AO1030:$AY1030,0)),IF(BH1030="Multiple strategies","mixed drivers",IF(BH1030="Supply chain","multiple supply","multiple silviculture"))))</f>
        <v>supply chain organization</v>
      </c>
      <c r="BH1030" s="2" t="str" cm="1">
        <f t="array" ref="BH1030">IF(COUNTIF(BB1030:BD1030,"&lt;&gt;0")=1,INDEX($X$4:$AY$4,MATCH(TRUE,INDEX($X1030:$AY1030&lt;&gt;0,),0)),IF(COUNTIF(BB1030:BD1030,"&lt;&gt;0")=0,INDEX($AO$4:$AY$4,MATCH(1,$AO1030:$AY1030,0)),"Multiple strategies"))</f>
        <v>Supply chain</v>
      </c>
      <c r="BO1030" s="143"/>
      <c r="BP1030" s="143"/>
      <c r="BR1030" s="143" t="s">
        <v>232</v>
      </c>
      <c r="BS1030" s="143"/>
      <c r="BT1030" t="s">
        <v>1070</v>
      </c>
      <c r="BU1030">
        <v>-35451.70793296078</v>
      </c>
      <c r="BV1030">
        <v>-18962.541452513949</v>
      </c>
      <c r="BW1030" s="144">
        <f>IFERROR(BV1030/BU1030,"")</f>
        <v>0.53488372093023384</v>
      </c>
      <c r="BX1030" s="144">
        <f>BV1030-BU1030</f>
        <v>16489.166480446831</v>
      </c>
      <c r="BY1030" s="144"/>
      <c r="BZ1030" s="144">
        <f>BX1030</f>
        <v>16489.166480446831</v>
      </c>
      <c r="CA1030" t="str">
        <f>IFERROR(BZ1030/BQ1030,"")</f>
        <v/>
      </c>
      <c r="CB1030">
        <v>0</v>
      </c>
      <c r="CC1030">
        <v>0</v>
      </c>
      <c r="CD1030">
        <v>0</v>
      </c>
      <c r="CE1030">
        <v>0</v>
      </c>
      <c r="CF1030">
        <v>0</v>
      </c>
      <c r="CG1030">
        <v>0</v>
      </c>
      <c r="CH1030">
        <v>0</v>
      </c>
      <c r="CI1030">
        <v>0</v>
      </c>
      <c r="CJ1030">
        <v>0</v>
      </c>
      <c r="CK1030">
        <v>0</v>
      </c>
      <c r="CL1030">
        <v>0</v>
      </c>
      <c r="CM1030">
        <v>0</v>
      </c>
      <c r="CN1030">
        <v>0</v>
      </c>
      <c r="CO1030">
        <v>1</v>
      </c>
      <c r="CP1030" t="str">
        <f>IF(BN1030&lt;BM1030,"refNeedCorrection","refOK")</f>
        <v>refOK</v>
      </c>
      <c r="CQ1030"/>
      <c r="CR1030"/>
      <c r="CS1030"/>
      <c r="CT1030">
        <f>IF(BI1030="Roundwood",$CS1030/2,$CS1030)</f>
        <v>0</v>
      </c>
      <c r="CU1030">
        <f>IF($CP1030="refOK",$BU1030,$BV1030)*IF($BR1030="Emissions positive",-1,1)</f>
        <v>-35451.70793296078</v>
      </c>
      <c r="CV1030">
        <f>IF($CP1030="refOK",$BV1030,$BU1030)*IF($BR1030="Emissions positive",-1,1)</f>
        <v>-18962.541452513949</v>
      </c>
      <c r="CW1030">
        <f>IF($CP1030="refNeedCorrection",-BZ1030,BZ1030)*IF($BR1030="Emissions positive",-1,1)</f>
        <v>16489.166480446831</v>
      </c>
      <c r="CX1030" t="str">
        <f>IFERROR($CW1030/$CS1030,"")</f>
        <v/>
      </c>
      <c r="CY1030" t="str">
        <f>IFERROR($CW1030/$CS1030,"")</f>
        <v/>
      </c>
      <c r="CZ1030" t="str">
        <f>IFERROR($CW1030/$CT1030,"")</f>
        <v/>
      </c>
      <c r="DA1030" s="2">
        <f>IFERROR((CV1030-CU1030)/ABS(CU1030),"")</f>
        <v>0.46511627906976621</v>
      </c>
      <c r="DB1030" s="1" t="s">
        <v>1074</v>
      </c>
      <c r="DC1030" t="str">
        <f>IF(OR($DB1030="prd",$DB1030="std",$DB1030="cit"),"loc",IF(OR($DB1030="eur",$DB1030="reg",$DB1030="coy"),"reg",$DB1030))</f>
        <v>reg</v>
      </c>
      <c r="DD1030" t="s">
        <v>235</v>
      </c>
      <c r="DE1030">
        <v>2010</v>
      </c>
      <c r="DF1030">
        <v>2070</v>
      </c>
      <c r="DG1030">
        <f>DF1030-DE1030</f>
        <v>60</v>
      </c>
      <c r="DH1030" t="str">
        <f>IF(DG1030=0,"0",IF(AND(DG1030&gt;=1,DG1030&lt;=30),"1-30",IF(AND(DG1030&gt;30,DG1030&lt;=70),"31-70",IF(AND(DG1030&gt;70,DG1030&lt;=100),"71-100",IF(DG1030&gt;100,"+100")))))</f>
        <v>31-70</v>
      </c>
      <c r="DI1030">
        <v>1</v>
      </c>
      <c r="DJ1030">
        <v>0</v>
      </c>
      <c r="DK1030">
        <v>0</v>
      </c>
      <c r="DL1030">
        <v>0</v>
      </c>
      <c r="DM1030">
        <v>0</v>
      </c>
      <c r="DN1030">
        <f>SUM(DI1030:DL1030)</f>
        <v>1</v>
      </c>
      <c r="DO1030" t="str">
        <f>IF(DN1030=1,INDEX($DI$7:$DL$7,MATCH(1,$DI1030:$DL1030,0)),"mixedProduct")</f>
        <v>UpstreamInput</v>
      </c>
      <c r="DP1030" t="str">
        <f>IF(DI1030=1,DP$7,0)</f>
        <v>Upstream</v>
      </c>
      <c r="DQ1030">
        <f>IF(DJ1030=1,DQ$7,0)</f>
        <v>0</v>
      </c>
      <c r="DR1030">
        <f>IF(DK1030=1,DR$7,0)</f>
        <v>0</v>
      </c>
      <c r="DS1030">
        <f>IF(DL1030=1,DS$7,0)</f>
        <v>0</v>
      </c>
      <c r="DT1030">
        <v>0</v>
      </c>
      <c r="DU1030">
        <v>0</v>
      </c>
      <c r="DV1030">
        <v>0</v>
      </c>
      <c r="DW1030">
        <v>0</v>
      </c>
      <c r="DX1030">
        <v>0</v>
      </c>
      <c r="DY1030">
        <f>SUM(DT1030:DU1030)</f>
        <v>0</v>
      </c>
      <c r="DZ1030" s="143" t="str">
        <f>IF(DT1030=1,"self-calculated DF",IF(DU1030=1,"external DF used","explicit C balance"))</f>
        <v>explicit C balance</v>
      </c>
      <c r="EA1030">
        <v>1</v>
      </c>
      <c r="EB1030">
        <v>1</v>
      </c>
      <c r="EC1030">
        <v>1</v>
      </c>
      <c r="ED1030">
        <v>1</v>
      </c>
      <c r="EE1030">
        <v>0</v>
      </c>
      <c r="EF1030" s="143">
        <v>0</v>
      </c>
      <c r="EG1030">
        <v>0</v>
      </c>
      <c r="EH1030">
        <v>0</v>
      </c>
      <c r="EI1030">
        <v>0</v>
      </c>
      <c r="EJ1030">
        <v>0</v>
      </c>
      <c r="EK1030">
        <v>1</v>
      </c>
      <c r="EL1030">
        <v>0</v>
      </c>
      <c r="EM1030">
        <v>0</v>
      </c>
      <c r="EN1030" s="2">
        <v>0</v>
      </c>
      <c r="EP1030" t="str">
        <f>IF(AND(AND(AND(OR($EC1030=1,$EB1030=1),OR($EH1030=1,$EF1030=1)),SUM($EA1030:$EE1030,$EK1030)&gt;=3),SUM($EF1030:$EJ1030)&gt;=2),"Whole sector approach","")</f>
        <v/>
      </c>
      <c r="EQ1030" t="str">
        <f>IF(AND(AND(OR($EC1030=1,$EB1030=1),AND($EH1030=0,$EF1030=0)),SUM($EA1030:$EE1030,$EK1030)&gt;=4),"Ecosystem approach","")</f>
        <v>Ecosystem approach</v>
      </c>
      <c r="ER1030" s="2" t="str">
        <f>IF(AND(AND(AND($EC1030=0,$EB1030=0),OR($EH1030=1,$EF1030=1)),SUM($EG1030:$EJ1030)&gt;=2),"Technology approach","")</f>
        <v/>
      </c>
      <c r="ES1030" t="str">
        <f>IF(AND($EC1030+$EB1030+$EE1030+$EA1030+$ED1030+$EG1030=0,$N1030="included"),"C neutral forest and HWP assumption","")</f>
        <v/>
      </c>
      <c r="ET1030" t="str">
        <f>IF(AND(AND(AND(AND($EC1030=1,$EB1030+$EA1030+$EG1030&gt;=1),$EF1030=1),$EH1030+$EI1030+$ED1030+$EE1030&gt;=2),$N1030="included"),"All C pools assumption","")</f>
        <v/>
      </c>
      <c r="EU1030" t="str">
        <f>IF(AND($ED1030+$EE1030+$EI1030+$EH1030+$EF1030=0,$N1030="included"),"In-situ only assumption","")</f>
        <v/>
      </c>
      <c r="EW1030" t="s">
        <v>2221</v>
      </c>
      <c r="EY1030" t="b">
        <f>IF(ISNUMBER(BW1030),IF(ABS(BW1030-[2]QC_indicators!$B$2)&gt;3*[2]QC_indicators!$C$2,"C ratio",IF(ISNUMBER(CA1030),IF(ABS(CA1030-[2]QC_indicators!$B$1)&gt;3*[2]QC_indicators!$C$1,"DF","no"))),IF(ISNUMBER(CA1030),IF(ABS(CA1030-[2]QC_indicators!$B$1)&gt;3*[2]QC_indicators!$C$1,"DF","no")))</f>
        <v>0</v>
      </c>
      <c r="FA1030" t="str">
        <f>IF(LEN($CY1030)=0,"",IF(AND($CY1030&lt;(-0.05),$ES1030="C neutral forest and HWP assumption"),"Cneutral paradox",IF(AND($CY1030&gt;0.05,$EU1030="In-situ only assumption"),"In-situ only paradox","")))</f>
        <v/>
      </c>
      <c r="FD1030" s="260" t="s">
        <v>2948</v>
      </c>
    </row>
    <row r="1031" spans="1:160" hidden="1">
      <c r="A1031" s="1" t="s">
        <v>1295</v>
      </c>
      <c r="B1031" t="s">
        <v>2203</v>
      </c>
      <c r="C1031" t="s">
        <v>2204</v>
      </c>
      <c r="D1031" t="s">
        <v>2205</v>
      </c>
      <c r="E1031" t="s">
        <v>2206</v>
      </c>
      <c r="F1031" t="s">
        <v>2207</v>
      </c>
      <c r="G1031" t="s">
        <v>1301</v>
      </c>
      <c r="H1031" t="s">
        <v>254</v>
      </c>
      <c r="I1031">
        <v>2016</v>
      </c>
      <c r="J1031">
        <v>24</v>
      </c>
      <c r="K1031" t="s">
        <v>2208</v>
      </c>
      <c r="M1031" t="str">
        <f>LEFT($D1031,FIND(",",$D1031)-1)&amp;"_"&amp;I1031&amp;L1031</f>
        <v>Zubizarreta-Gerendiain_2016</v>
      </c>
      <c r="N1031" t="s">
        <v>222</v>
      </c>
      <c r="O1031" s="145" t="s">
        <v>1029</v>
      </c>
      <c r="Q1031" t="s">
        <v>256</v>
      </c>
      <c r="R1031" s="258" t="s">
        <v>223</v>
      </c>
      <c r="S1031" s="1" t="s">
        <v>2234</v>
      </c>
      <c r="T1031" t="s">
        <v>2224</v>
      </c>
      <c r="U1031" t="s">
        <v>2236</v>
      </c>
      <c r="V1031">
        <v>0</v>
      </c>
      <c r="W1031">
        <v>0</v>
      </c>
      <c r="X1031">
        <v>0</v>
      </c>
      <c r="Y1031">
        <v>0</v>
      </c>
      <c r="Z1031">
        <v>0</v>
      </c>
      <c r="AA1031">
        <v>0</v>
      </c>
      <c r="AB1031">
        <v>0</v>
      </c>
      <c r="AC1031">
        <v>0</v>
      </c>
      <c r="AD1031">
        <v>0</v>
      </c>
      <c r="AE1031">
        <v>0</v>
      </c>
      <c r="AF1031">
        <v>0</v>
      </c>
      <c r="AG1031">
        <v>0</v>
      </c>
      <c r="AH1031">
        <v>2</v>
      </c>
      <c r="AI1031">
        <v>0</v>
      </c>
      <c r="AJ1031">
        <v>0</v>
      </c>
      <c r="AK1031">
        <v>0</v>
      </c>
      <c r="AL1031">
        <v>0</v>
      </c>
      <c r="AM1031">
        <v>0</v>
      </c>
      <c r="AN1031">
        <v>0</v>
      </c>
      <c r="AO1031">
        <v>0</v>
      </c>
      <c r="AP1031">
        <v>1</v>
      </c>
      <c r="AQ1031">
        <v>2</v>
      </c>
      <c r="AR1031">
        <v>0</v>
      </c>
      <c r="AS1031">
        <v>0</v>
      </c>
      <c r="AT1031">
        <v>0</v>
      </c>
      <c r="AU1031">
        <v>0</v>
      </c>
      <c r="AV1031">
        <v>0</v>
      </c>
      <c r="AW1031">
        <v>0</v>
      </c>
      <c r="AX1031">
        <v>0</v>
      </c>
      <c r="AY1031">
        <v>0</v>
      </c>
      <c r="AZ1031" s="141">
        <f>COUNTIF(X1031:AY1031,"&lt;&gt;0")</f>
        <v>3</v>
      </c>
      <c r="BA1031" s="141">
        <f>COUNTIF(X1031:AN1031,"&lt;&gt;0")</f>
        <v>1</v>
      </c>
      <c r="BB1031">
        <f>COUNTIF(X1031:AE1031,"&lt;&gt;0")</f>
        <v>0</v>
      </c>
      <c r="BC1031">
        <f>COUNTIF(AF1031:AK1031,"&lt;&gt;0")</f>
        <v>1</v>
      </c>
      <c r="BD1031">
        <f>COUNTIF(AL1031:AN1031,"&lt;&gt;0")</f>
        <v>0</v>
      </c>
      <c r="BE1031">
        <f>COUNTIF(AU1031:AY1031,"&lt;&gt;0")</f>
        <v>0</v>
      </c>
      <c r="BF1031">
        <f>COUNTIF(AO1031:AT1031,"&lt;&gt;0")</f>
        <v>2</v>
      </c>
      <c r="BG1031" t="str">
        <f t="array" ref="BG1031">IF(BA1031=1,INDEX($X$7:$AN$7,MATCH(TRUE,INDEX($X1031:$AY1031&lt;&gt;0,),0)),IF(BA1031=0,INDEX($AO$7:$AY$7,MATCH(1,$AO1031:$AY1031,0)),IF(BH1031="Multiple strategies","mixed drivers",IF(BH1031="Supply chain","multiple supply","multiple silviculture"))))</f>
        <v>supply chain organization</v>
      </c>
      <c r="BH1031" s="2" t="str" cm="1">
        <f t="array" ref="BH1031">IF(COUNTIF(BB1031:BD1031,"&lt;&gt;0")=1,INDEX($X$4:$AY$4,MATCH(TRUE,INDEX($X1031:$AY1031&lt;&gt;0,),0)),IF(COUNTIF(BB1031:BD1031,"&lt;&gt;0")=0,INDEX($AO$4:$AY$4,MATCH(1,$AO1031:$AY1031,0)),"Multiple strategies"))</f>
        <v>Supply chain</v>
      </c>
      <c r="BO1031" s="143"/>
      <c r="BP1031" s="143"/>
      <c r="BR1031" s="143" t="s">
        <v>232</v>
      </c>
      <c r="BS1031" s="143"/>
      <c r="BT1031" t="s">
        <v>1070</v>
      </c>
      <c r="BU1031">
        <v>-3408.5271565495204</v>
      </c>
      <c r="BV1031">
        <v>8621.5686900957953</v>
      </c>
      <c r="BW1031" s="144">
        <f>IFERROR(BV1031/BU1031,"")</f>
        <v>-2.5294117647058676</v>
      </c>
      <c r="BX1031" s="144">
        <f>BV1031-BU1031</f>
        <v>12030.095846645316</v>
      </c>
      <c r="BY1031" s="144"/>
      <c r="BZ1031" s="144">
        <f>BX1031</f>
        <v>12030.095846645316</v>
      </c>
      <c r="CA1031" t="str">
        <f>IFERROR(BZ1031/BQ1031,"")</f>
        <v/>
      </c>
      <c r="CB1031">
        <v>0</v>
      </c>
      <c r="CC1031">
        <v>0</v>
      </c>
      <c r="CD1031">
        <v>0</v>
      </c>
      <c r="CE1031">
        <v>0</v>
      </c>
      <c r="CF1031">
        <v>0</v>
      </c>
      <c r="CG1031">
        <v>0</v>
      </c>
      <c r="CH1031">
        <v>0</v>
      </c>
      <c r="CI1031">
        <v>0</v>
      </c>
      <c r="CJ1031">
        <v>0</v>
      </c>
      <c r="CK1031">
        <v>0</v>
      </c>
      <c r="CL1031">
        <v>0</v>
      </c>
      <c r="CM1031">
        <v>0</v>
      </c>
      <c r="CN1031">
        <v>0</v>
      </c>
      <c r="CO1031">
        <v>1</v>
      </c>
      <c r="CP1031" t="str">
        <f>IF(BN1031&lt;BM1031,"refNeedCorrection","refOK")</f>
        <v>refOK</v>
      </c>
      <c r="CQ1031"/>
      <c r="CR1031"/>
      <c r="CS1031"/>
      <c r="CT1031">
        <f>IF(BI1031="Roundwood",$CS1031/2,$CS1031)</f>
        <v>0</v>
      </c>
      <c r="CU1031">
        <f>IF($CP1031="refOK",$BU1031,$BV1031)*IF($BR1031="Emissions positive",-1,1)</f>
        <v>-3408.5271565495204</v>
      </c>
      <c r="CV1031">
        <f>IF($CP1031="refOK",$BV1031,$BU1031)*IF($BR1031="Emissions positive",-1,1)</f>
        <v>8621.5686900957953</v>
      </c>
      <c r="CW1031">
        <f>IF($CP1031="refNeedCorrection",-BZ1031,BZ1031)*IF($BR1031="Emissions positive",-1,1)</f>
        <v>12030.095846645316</v>
      </c>
      <c r="CX1031" t="str">
        <f>IFERROR($CW1031/$CS1031,"")</f>
        <v/>
      </c>
      <c r="CY1031" t="str">
        <f>IFERROR($CW1031/$CS1031,"")</f>
        <v/>
      </c>
      <c r="CZ1031" t="str">
        <f>IFERROR($CW1031/$CT1031,"")</f>
        <v/>
      </c>
      <c r="DA1031" s="2">
        <f>IFERROR((CV1031-CU1031)/ABS(CU1031),"")</f>
        <v>3.5294117647058676</v>
      </c>
      <c r="DB1031" s="1" t="s">
        <v>1074</v>
      </c>
      <c r="DC1031" t="str">
        <f>IF(OR($DB1031="prd",$DB1031="std",$DB1031="cit"),"loc",IF(OR($DB1031="eur",$DB1031="reg",$DB1031="coy"),"reg",$DB1031))</f>
        <v>reg</v>
      </c>
      <c r="DD1031" t="s">
        <v>235</v>
      </c>
      <c r="DE1031">
        <v>2010</v>
      </c>
      <c r="DF1031">
        <v>2070</v>
      </c>
      <c r="DG1031">
        <f>DF1031-DE1031</f>
        <v>60</v>
      </c>
      <c r="DH1031" t="str">
        <f>IF(DG1031=0,"0",IF(AND(DG1031&gt;=1,DG1031&lt;=30),"1-30",IF(AND(DG1031&gt;30,DG1031&lt;=70),"31-70",IF(AND(DG1031&gt;70,DG1031&lt;=100),"71-100",IF(DG1031&gt;100,"+100")))))</f>
        <v>31-70</v>
      </c>
      <c r="DI1031">
        <v>1</v>
      </c>
      <c r="DJ1031">
        <v>0</v>
      </c>
      <c r="DK1031">
        <v>0</v>
      </c>
      <c r="DL1031">
        <v>0</v>
      </c>
      <c r="DM1031">
        <v>0</v>
      </c>
      <c r="DN1031">
        <f>SUM(DI1031:DL1031)</f>
        <v>1</v>
      </c>
      <c r="DO1031" t="str">
        <f>IF(DN1031=1,INDEX($DI$7:$DL$7,MATCH(1,$DI1031:$DL1031,0)),"mixedProduct")</f>
        <v>UpstreamInput</v>
      </c>
      <c r="DP1031" t="str">
        <f>IF(DI1031=1,DP$7,0)</f>
        <v>Upstream</v>
      </c>
      <c r="DQ1031">
        <f>IF(DJ1031=1,DQ$7,0)</f>
        <v>0</v>
      </c>
      <c r="DR1031">
        <f>IF(DK1031=1,DR$7,0)</f>
        <v>0</v>
      </c>
      <c r="DS1031">
        <f>IF(DL1031=1,DS$7,0)</f>
        <v>0</v>
      </c>
      <c r="DT1031">
        <v>0</v>
      </c>
      <c r="DU1031">
        <v>0</v>
      </c>
      <c r="DV1031">
        <v>0</v>
      </c>
      <c r="DW1031">
        <v>0</v>
      </c>
      <c r="DX1031">
        <v>0</v>
      </c>
      <c r="DY1031">
        <f>SUM(DT1031:DU1031)</f>
        <v>0</v>
      </c>
      <c r="DZ1031" s="143" t="str">
        <f>IF(DT1031=1,"self-calculated DF",IF(DU1031=1,"external DF used","explicit C balance"))</f>
        <v>explicit C balance</v>
      </c>
      <c r="EA1031">
        <v>1</v>
      </c>
      <c r="EB1031">
        <v>1</v>
      </c>
      <c r="EC1031">
        <v>1</v>
      </c>
      <c r="ED1031">
        <v>1</v>
      </c>
      <c r="EE1031">
        <v>0</v>
      </c>
      <c r="EF1031" s="143">
        <v>0</v>
      </c>
      <c r="EG1031">
        <v>0</v>
      </c>
      <c r="EH1031">
        <v>0</v>
      </c>
      <c r="EI1031">
        <v>0</v>
      </c>
      <c r="EJ1031">
        <v>0</v>
      </c>
      <c r="EK1031">
        <v>1</v>
      </c>
      <c r="EL1031">
        <v>0</v>
      </c>
      <c r="EM1031">
        <v>0</v>
      </c>
      <c r="EN1031" s="2">
        <v>0</v>
      </c>
      <c r="EP1031" t="str">
        <f>IF(AND(AND(AND(OR($EC1031=1,$EB1031=1),OR($EH1031=1,$EF1031=1)),SUM($EA1031:$EE1031,$EK1031)&gt;=3),SUM($EF1031:$EJ1031)&gt;=2),"Whole sector approach","")</f>
        <v/>
      </c>
      <c r="EQ1031" t="str">
        <f>IF(AND(AND(OR($EC1031=1,$EB1031=1),AND($EH1031=0,$EF1031=0)),SUM($EA1031:$EE1031,$EK1031)&gt;=4),"Ecosystem approach","")</f>
        <v>Ecosystem approach</v>
      </c>
      <c r="ER1031" s="2" t="str">
        <f>IF(AND(AND(AND($EC1031=0,$EB1031=0),OR($EH1031=1,$EF1031=1)),SUM($EG1031:$EJ1031)&gt;=2),"Technology approach","")</f>
        <v/>
      </c>
      <c r="ES1031" t="str">
        <f>IF(AND($EC1031+$EB1031+$EE1031+$EA1031+$ED1031+$EG1031=0,$N1031="included"),"C neutral forest and HWP assumption","")</f>
        <v/>
      </c>
      <c r="ET1031" t="str">
        <f>IF(AND(AND(AND(AND($EC1031=1,$EB1031+$EA1031+$EG1031&gt;=1),$EF1031=1),$EH1031+$EI1031+$ED1031+$EE1031&gt;=2),$N1031="included"),"All C pools assumption","")</f>
        <v/>
      </c>
      <c r="EU1031" t="str">
        <f>IF(AND($ED1031+$EE1031+$EI1031+$EH1031+$EF1031=0,$N1031="included"),"In-situ only assumption","")</f>
        <v/>
      </c>
      <c r="EW1031" t="s">
        <v>2221</v>
      </c>
      <c r="EY1031" t="b">
        <f>IF(ISNUMBER(BW1031),IF(ABS(BW1031-[2]QC_indicators!$B$2)&gt;3*[2]QC_indicators!$C$2,"C ratio",IF(ISNUMBER(CA1031),IF(ABS(CA1031-[2]QC_indicators!$B$1)&gt;3*[2]QC_indicators!$C$1,"DF","no"))),IF(ISNUMBER(CA1031),IF(ABS(CA1031-[2]QC_indicators!$B$1)&gt;3*[2]QC_indicators!$C$1,"DF","no")))</f>
        <v>0</v>
      </c>
      <c r="FA1031" t="str">
        <f>IF(LEN($CY1031)=0,"",IF(AND($CY1031&lt;(-0.05),$ES1031="C neutral forest and HWP assumption"),"Cneutral paradox",IF(AND($CY1031&gt;0.05,$EU1031="In-situ only assumption"),"In-situ only paradox","")))</f>
        <v/>
      </c>
      <c r="FD1031" s="260" t="s">
        <v>2948</v>
      </c>
    </row>
    <row r="1032" spans="1:160" ht="15" hidden="1" customHeight="1">
      <c r="A1032" s="1" t="s">
        <v>1295</v>
      </c>
      <c r="B1032" t="s">
        <v>2203</v>
      </c>
      <c r="C1032" t="s">
        <v>2204</v>
      </c>
      <c r="D1032" t="s">
        <v>2205</v>
      </c>
      <c r="E1032" t="s">
        <v>2206</v>
      </c>
      <c r="F1032" t="s">
        <v>2207</v>
      </c>
      <c r="G1032" t="s">
        <v>1301</v>
      </c>
      <c r="H1032" t="s">
        <v>254</v>
      </c>
      <c r="I1032">
        <v>2016</v>
      </c>
      <c r="J1032">
        <v>24</v>
      </c>
      <c r="K1032" t="s">
        <v>2208</v>
      </c>
      <c r="M1032" t="str">
        <f>LEFT($D1032,FIND(",",$D1032)-1)&amp;"_"&amp;I1032&amp;L1032</f>
        <v>Zubizarreta-Gerendiain_2016</v>
      </c>
      <c r="N1032" t="s">
        <v>222</v>
      </c>
      <c r="O1032" s="145" t="s">
        <v>1029</v>
      </c>
      <c r="Q1032" t="s">
        <v>256</v>
      </c>
      <c r="R1032" s="258" t="s">
        <v>223</v>
      </c>
      <c r="S1032" s="1" t="s">
        <v>2234</v>
      </c>
      <c r="T1032" t="s">
        <v>2228</v>
      </c>
      <c r="U1032" t="s">
        <v>2235</v>
      </c>
      <c r="V1032">
        <v>0</v>
      </c>
      <c r="W1032">
        <v>0</v>
      </c>
      <c r="X1032">
        <v>0</v>
      </c>
      <c r="Y1032">
        <v>0</v>
      </c>
      <c r="Z1032">
        <v>0</v>
      </c>
      <c r="AA1032">
        <v>0</v>
      </c>
      <c r="AB1032">
        <v>0</v>
      </c>
      <c r="AC1032">
        <v>0</v>
      </c>
      <c r="AD1032">
        <v>0</v>
      </c>
      <c r="AE1032">
        <v>0</v>
      </c>
      <c r="AF1032">
        <v>0</v>
      </c>
      <c r="AG1032">
        <v>0</v>
      </c>
      <c r="AH1032">
        <v>2</v>
      </c>
      <c r="AI1032">
        <v>0</v>
      </c>
      <c r="AJ1032">
        <v>0</v>
      </c>
      <c r="AK1032">
        <v>0</v>
      </c>
      <c r="AL1032">
        <v>0</v>
      </c>
      <c r="AM1032">
        <v>0</v>
      </c>
      <c r="AN1032">
        <v>0</v>
      </c>
      <c r="AO1032">
        <v>0</v>
      </c>
      <c r="AP1032">
        <v>1</v>
      </c>
      <c r="AQ1032">
        <v>2</v>
      </c>
      <c r="AR1032">
        <v>0</v>
      </c>
      <c r="AS1032">
        <v>0</v>
      </c>
      <c r="AT1032">
        <v>0</v>
      </c>
      <c r="AU1032">
        <v>0</v>
      </c>
      <c r="AV1032">
        <v>0</v>
      </c>
      <c r="AW1032">
        <v>0</v>
      </c>
      <c r="AX1032">
        <v>0</v>
      </c>
      <c r="AY1032">
        <v>0</v>
      </c>
      <c r="AZ1032" s="141">
        <f>COUNTIF(X1032:AY1032,"&lt;&gt;0")</f>
        <v>3</v>
      </c>
      <c r="BA1032" s="141">
        <f>COUNTIF(X1032:AN1032,"&lt;&gt;0")</f>
        <v>1</v>
      </c>
      <c r="BB1032">
        <f>COUNTIF(X1032:AE1032,"&lt;&gt;0")</f>
        <v>0</v>
      </c>
      <c r="BC1032">
        <f>COUNTIF(AF1032:AK1032,"&lt;&gt;0")</f>
        <v>1</v>
      </c>
      <c r="BD1032">
        <f>COUNTIF(AL1032:AN1032,"&lt;&gt;0")</f>
        <v>0</v>
      </c>
      <c r="BE1032">
        <f>COUNTIF(AU1032:AY1032,"&lt;&gt;0")</f>
        <v>0</v>
      </c>
      <c r="BF1032">
        <f>COUNTIF(AO1032:AT1032,"&lt;&gt;0")</f>
        <v>2</v>
      </c>
      <c r="BG1032" t="str">
        <f t="array" ref="BG1032">IF(BA1032=1,INDEX($X$7:$AN$7,MATCH(TRUE,INDEX($X1032:$AY1032&lt;&gt;0,),0)),IF(BA1032=0,INDEX($AO$7:$AY$7,MATCH(1,$AO1032:$AY1032,0)),IF(BH1032="Multiple strategies","mixed drivers",IF(BH1032="Supply chain","multiple supply","multiple silviculture"))))</f>
        <v>supply chain organization</v>
      </c>
      <c r="BH1032" s="2" t="str" cm="1">
        <f t="array" ref="BH1032">IF(COUNTIF(BB1032:BD1032,"&lt;&gt;0")=1,INDEX($X$4:$AY$4,MATCH(TRUE,INDEX($X1032:$AY1032&lt;&gt;0,),0)),IF(COUNTIF(BB1032:BD1032,"&lt;&gt;0")=0,INDEX($AO$4:$AY$4,MATCH(1,$AO1032:$AY1032,0)),"Multiple strategies"))</f>
        <v>Supply chain</v>
      </c>
      <c r="BO1032" s="143"/>
      <c r="BP1032" s="143"/>
      <c r="BR1032" s="143" t="s">
        <v>232</v>
      </c>
      <c r="BS1032" s="143"/>
      <c r="BT1032" t="s">
        <v>1070</v>
      </c>
      <c r="BU1032">
        <v>-104293.97798882655</v>
      </c>
      <c r="BV1032">
        <v>-105324.55089385468</v>
      </c>
      <c r="BW1032" s="144">
        <f>IFERROR(BV1032/BU1032,"")</f>
        <v>1.0098814229249031</v>
      </c>
      <c r="BX1032" s="144">
        <f>BV1032-BU1032</f>
        <v>-1030.572905028137</v>
      </c>
      <c r="BY1032" s="144"/>
      <c r="BZ1032" s="144">
        <f>BX1032</f>
        <v>-1030.572905028137</v>
      </c>
      <c r="CA1032" t="str">
        <f>IFERROR(BZ1032/BQ1032,"")</f>
        <v/>
      </c>
      <c r="CB1032">
        <v>0</v>
      </c>
      <c r="CC1032">
        <v>0</v>
      </c>
      <c r="CD1032">
        <v>0</v>
      </c>
      <c r="CE1032">
        <v>0</v>
      </c>
      <c r="CF1032">
        <v>0</v>
      </c>
      <c r="CG1032">
        <v>0</v>
      </c>
      <c r="CH1032">
        <v>0</v>
      </c>
      <c r="CI1032">
        <v>0</v>
      </c>
      <c r="CJ1032">
        <v>0</v>
      </c>
      <c r="CK1032">
        <v>0</v>
      </c>
      <c r="CL1032">
        <v>0</v>
      </c>
      <c r="CM1032">
        <v>0</v>
      </c>
      <c r="CN1032">
        <v>0</v>
      </c>
      <c r="CO1032">
        <v>1</v>
      </c>
      <c r="CP1032" t="str">
        <f>IF(BN1032&lt;BM1032,"refNeedCorrection","refOK")</f>
        <v>refOK</v>
      </c>
      <c r="CQ1032"/>
      <c r="CR1032"/>
      <c r="CS1032"/>
      <c r="CT1032">
        <f>IF(BI1032="Roundwood",$CS1032/2,$CS1032)</f>
        <v>0</v>
      </c>
      <c r="CU1032">
        <f>IF($CP1032="refOK",$BU1032,$BV1032)*IF($BR1032="Emissions positive",-1,1)</f>
        <v>-104293.97798882655</v>
      </c>
      <c r="CV1032">
        <f>IF($CP1032="refOK",$BV1032,$BU1032)*IF($BR1032="Emissions positive",-1,1)</f>
        <v>-105324.55089385468</v>
      </c>
      <c r="CW1032">
        <f>IF($CP1032="refNeedCorrection",-BZ1032,BZ1032)*IF($BR1032="Emissions positive",-1,1)</f>
        <v>-1030.572905028137</v>
      </c>
      <c r="CX1032" t="str">
        <f>IFERROR($CW1032/$CS1032,"")</f>
        <v/>
      </c>
      <c r="CY1032" t="str">
        <f>IFERROR($CW1032/$CS1032,"")</f>
        <v/>
      </c>
      <c r="CZ1032" t="str">
        <f>IFERROR($CW1032/$CT1032,"")</f>
        <v/>
      </c>
      <c r="DA1032" s="2">
        <f>IFERROR((CV1032-CU1032)/ABS(CU1032),"")</f>
        <v>-9.881422924903167E-3</v>
      </c>
      <c r="DB1032" s="1" t="s">
        <v>1074</v>
      </c>
      <c r="DC1032" t="str">
        <f>IF(OR($DB1032="prd",$DB1032="std",$DB1032="cit"),"loc",IF(OR($DB1032="eur",$DB1032="reg",$DB1032="coy"),"reg",$DB1032))</f>
        <v>reg</v>
      </c>
      <c r="DD1032" t="s">
        <v>235</v>
      </c>
      <c r="DE1032">
        <v>2010</v>
      </c>
      <c r="DF1032">
        <v>2070</v>
      </c>
      <c r="DG1032">
        <f>DF1032-DE1032</f>
        <v>60</v>
      </c>
      <c r="DH1032" t="str">
        <f>IF(DG1032=0,"0",IF(AND(DG1032&gt;=1,DG1032&lt;=30),"1-30",IF(AND(DG1032&gt;30,DG1032&lt;=70),"31-70",IF(AND(DG1032&gt;70,DG1032&lt;=100),"71-100",IF(DG1032&gt;100,"+100")))))</f>
        <v>31-70</v>
      </c>
      <c r="DI1032">
        <v>1</v>
      </c>
      <c r="DJ1032">
        <v>1</v>
      </c>
      <c r="DK1032">
        <v>1</v>
      </c>
      <c r="DL1032">
        <v>1</v>
      </c>
      <c r="DM1032">
        <v>0</v>
      </c>
      <c r="DN1032">
        <f>SUM(DI1032:DL1032)</f>
        <v>4</v>
      </c>
      <c r="DO1032" t="str">
        <f>IF(DN1032=1,INDEX($DI$7:$DL$7,MATCH(1,$DI1032:$DL1032,0)),"mixedProduct")</f>
        <v>mixedProduct</v>
      </c>
      <c r="DP1032" t="str">
        <f>IF(DI1032=1,DP$7,0)</f>
        <v>Upstream</v>
      </c>
      <c r="DQ1032" t="str">
        <f>IF(DJ1032=1,DQ$7,0)</f>
        <v>Energy</v>
      </c>
      <c r="DR1032" t="str">
        <f>IF(DK1032=1,DR$7,0)</f>
        <v>Pulp/Paper</v>
      </c>
      <c r="DS1032" t="str">
        <f>IF(DL1032=1,DS$7,0)</f>
        <v>Timber</v>
      </c>
      <c r="DT1032">
        <v>0</v>
      </c>
      <c r="DU1032">
        <v>0</v>
      </c>
      <c r="DV1032">
        <v>0</v>
      </c>
      <c r="DW1032">
        <v>0</v>
      </c>
      <c r="DX1032">
        <v>0</v>
      </c>
      <c r="DY1032">
        <f>SUM(DT1032:DU1032)</f>
        <v>0</v>
      </c>
      <c r="DZ1032" s="143" t="str">
        <f>IF(DT1032=1,"self-calculated DF",IF(DU1032=1,"external DF used","explicit C balance"))</f>
        <v>explicit C balance</v>
      </c>
      <c r="EA1032">
        <v>1</v>
      </c>
      <c r="EB1032">
        <v>1</v>
      </c>
      <c r="EC1032">
        <v>1</v>
      </c>
      <c r="ED1032">
        <v>0</v>
      </c>
      <c r="EE1032">
        <v>0</v>
      </c>
      <c r="EF1032" s="143">
        <v>0</v>
      </c>
      <c r="EG1032">
        <v>1</v>
      </c>
      <c r="EH1032">
        <v>1</v>
      </c>
      <c r="EI1032">
        <v>0</v>
      </c>
      <c r="EJ1032">
        <v>0</v>
      </c>
      <c r="EK1032">
        <v>1</v>
      </c>
      <c r="EL1032">
        <v>0</v>
      </c>
      <c r="EM1032">
        <v>0</v>
      </c>
      <c r="EN1032" s="2">
        <v>0</v>
      </c>
      <c r="EP1032" t="str">
        <f>IF(AND(AND(AND(OR($EC1032=1,$EB1032=1),OR($EH1032=1,$EF1032=1)),SUM($EA1032:$EE1032,$EK1032)&gt;=3),SUM($EF1032:$EJ1032)&gt;=2),"Whole sector approach","")</f>
        <v>Whole sector approach</v>
      </c>
      <c r="EQ1032" t="str">
        <f>IF(AND(AND(OR($EC1032=1,$EB1032=1),AND($EH1032=0,$EF1032=0)),SUM($EA1032:$EE1032,$EK1032)&gt;=4),"Ecosystem approach","")</f>
        <v/>
      </c>
      <c r="ER1032" s="2" t="str">
        <f>IF(AND(AND(AND($EC1032=0,$EB1032=0),OR($EH1032=1,$EF1032=1)),SUM($EG1032:$EJ1032)&gt;=2),"Technology approach","")</f>
        <v/>
      </c>
      <c r="ES1032" t="str">
        <f>IF(AND($EC1032+$EB1032+$EE1032+$EA1032+$ED1032+$EG1032=0,$N1032="included"),"C neutral forest and HWP assumption","")</f>
        <v/>
      </c>
      <c r="ET1032" t="str">
        <f>IF(AND(AND(AND(AND($EC1032=1,$EB1032+$EA1032+$EG1032&gt;=1),$EF1032=1),$EH1032+$EI1032+$ED1032+$EE1032&gt;=2),$N1032="included"),"All C pools assumption","")</f>
        <v/>
      </c>
      <c r="EU1032" t="str">
        <f>IF(AND($ED1032+$EE1032+$EI1032+$EH1032+$EF1032=0,$N1032="included"),"In-situ only assumption","")</f>
        <v/>
      </c>
      <c r="EW1032" t="s">
        <v>2221</v>
      </c>
      <c r="EY1032" t="b">
        <f>IF(ISNUMBER(BW1032),IF(ABS(BW1032-[2]QC_indicators!$B$2)&gt;3*[2]QC_indicators!$C$2,"C ratio",IF(ISNUMBER(CA1032),IF(ABS(CA1032-[2]QC_indicators!$B$1)&gt;3*[2]QC_indicators!$C$1,"DF","no"))),IF(ISNUMBER(CA1032),IF(ABS(CA1032-[2]QC_indicators!$B$1)&gt;3*[2]QC_indicators!$C$1,"DF","no")))</f>
        <v>0</v>
      </c>
      <c r="FA1032" t="str">
        <f>IF(LEN($CY1032)=0,"",IF(AND($CY1032&lt;(-0.05),$ES1032="C neutral forest and HWP assumption"),"Cneutral paradox",IF(AND($CY1032&gt;0.05,$EU1032="In-situ only assumption"),"In-situ only paradox","")))</f>
        <v/>
      </c>
      <c r="FD1032" s="260" t="s">
        <v>2948</v>
      </c>
    </row>
    <row r="1033" spans="1:160" ht="18" hidden="1" customHeight="1">
      <c r="A1033" s="1" t="s">
        <v>1295</v>
      </c>
      <c r="B1033" t="s">
        <v>2203</v>
      </c>
      <c r="C1033" t="s">
        <v>2204</v>
      </c>
      <c r="D1033" t="s">
        <v>2205</v>
      </c>
      <c r="E1033" t="s">
        <v>2206</v>
      </c>
      <c r="F1033" t="s">
        <v>2207</v>
      </c>
      <c r="G1033" t="s">
        <v>1301</v>
      </c>
      <c r="H1033" t="s">
        <v>254</v>
      </c>
      <c r="I1033">
        <v>2016</v>
      </c>
      <c r="J1033">
        <v>24</v>
      </c>
      <c r="K1033" t="s">
        <v>2208</v>
      </c>
      <c r="M1033" t="str">
        <f>LEFT($D1033,FIND(",",$D1033)-1)&amp;"_"&amp;I1033&amp;L1033</f>
        <v>Zubizarreta-Gerendiain_2016</v>
      </c>
      <c r="N1033" t="s">
        <v>222</v>
      </c>
      <c r="O1033" s="145" t="s">
        <v>1029</v>
      </c>
      <c r="Q1033" t="s">
        <v>256</v>
      </c>
      <c r="R1033" s="258" t="s">
        <v>223</v>
      </c>
      <c r="S1033" s="1" t="s">
        <v>2234</v>
      </c>
      <c r="T1033" t="s">
        <v>2224</v>
      </c>
      <c r="U1033" t="s">
        <v>2236</v>
      </c>
      <c r="V1033">
        <v>0</v>
      </c>
      <c r="W1033">
        <v>0</v>
      </c>
      <c r="X1033">
        <v>0</v>
      </c>
      <c r="Y1033">
        <v>0</v>
      </c>
      <c r="Z1033">
        <v>0</v>
      </c>
      <c r="AA1033">
        <v>0</v>
      </c>
      <c r="AB1033">
        <v>0</v>
      </c>
      <c r="AC1033">
        <v>0</v>
      </c>
      <c r="AD1033">
        <v>0</v>
      </c>
      <c r="AE1033">
        <v>0</v>
      </c>
      <c r="AF1033">
        <v>0</v>
      </c>
      <c r="AG1033">
        <v>0</v>
      </c>
      <c r="AH1033">
        <v>2</v>
      </c>
      <c r="AI1033">
        <v>0</v>
      </c>
      <c r="AJ1033">
        <v>0</v>
      </c>
      <c r="AK1033">
        <v>0</v>
      </c>
      <c r="AL1033">
        <v>0</v>
      </c>
      <c r="AM1033">
        <v>0</v>
      </c>
      <c r="AN1033">
        <v>0</v>
      </c>
      <c r="AO1033">
        <v>0</v>
      </c>
      <c r="AP1033">
        <v>1</v>
      </c>
      <c r="AQ1033">
        <v>2</v>
      </c>
      <c r="AR1033">
        <v>0</v>
      </c>
      <c r="AS1033">
        <v>0</v>
      </c>
      <c r="AT1033">
        <v>0</v>
      </c>
      <c r="AU1033">
        <v>0</v>
      </c>
      <c r="AV1033">
        <v>0</v>
      </c>
      <c r="AW1033">
        <v>0</v>
      </c>
      <c r="AX1033">
        <v>0</v>
      </c>
      <c r="AY1033">
        <v>0</v>
      </c>
      <c r="AZ1033" s="141">
        <f>COUNTIF(X1033:AY1033,"&lt;&gt;0")</f>
        <v>3</v>
      </c>
      <c r="BA1033" s="141">
        <f>COUNTIF(X1033:AN1033,"&lt;&gt;0")</f>
        <v>1</v>
      </c>
      <c r="BB1033">
        <f>COUNTIF(X1033:AE1033,"&lt;&gt;0")</f>
        <v>0</v>
      </c>
      <c r="BC1033">
        <f>COUNTIF(AF1033:AK1033,"&lt;&gt;0")</f>
        <v>1</v>
      </c>
      <c r="BD1033">
        <f>COUNTIF(AL1033:AN1033,"&lt;&gt;0")</f>
        <v>0</v>
      </c>
      <c r="BE1033">
        <f>COUNTIF(AU1033:AY1033,"&lt;&gt;0")</f>
        <v>0</v>
      </c>
      <c r="BF1033">
        <f>COUNTIF(AO1033:AT1033,"&lt;&gt;0")</f>
        <v>2</v>
      </c>
      <c r="BG1033" t="str">
        <f t="array" ref="BG1033">IF(BA1033=1,INDEX($X$7:$AN$7,MATCH(TRUE,INDEX($X1033:$AY1033&lt;&gt;0,),0)),IF(BA1033=0,INDEX($AO$7:$AY$7,MATCH(1,$AO1033:$AY1033,0)),IF(BH1033="Multiple strategies","mixed drivers",IF(BH1033="Supply chain","multiple supply","multiple silviculture"))))</f>
        <v>supply chain organization</v>
      </c>
      <c r="BH1033" s="2" t="str" cm="1">
        <f t="array" ref="BH1033">IF(COUNTIF(BB1033:BD1033,"&lt;&gt;0")=1,INDEX($X$4:$AY$4,MATCH(TRUE,INDEX($X1033:$AY1033&lt;&gt;0,),0)),IF(COUNTIF(BB1033:BD1033,"&lt;&gt;0")=0,INDEX($AO$4:$AY$4,MATCH(1,$AO1033:$AY1033,0)),"Multiple strategies"))</f>
        <v>Supply chain</v>
      </c>
      <c r="BO1033" s="143"/>
      <c r="BP1033" s="143"/>
      <c r="BR1033" s="143" t="s">
        <v>232</v>
      </c>
      <c r="BS1033" s="143"/>
      <c r="BT1033" t="s">
        <v>1070</v>
      </c>
      <c r="BU1033">
        <v>-70376.060702875271</v>
      </c>
      <c r="BV1033">
        <v>-69373.552715654951</v>
      </c>
      <c r="BW1033" s="144">
        <f>IFERROR(BV1033/BU1033,"")</f>
        <v>0.98575498575498754</v>
      </c>
      <c r="BX1033" s="144">
        <f>BV1033-BU1033</f>
        <v>1002.5079872203205</v>
      </c>
      <c r="BY1033" s="144"/>
      <c r="BZ1033" s="144">
        <f>BX1033</f>
        <v>1002.5079872203205</v>
      </c>
      <c r="CA1033" t="str">
        <f>IFERROR(BZ1033/BQ1033,"")</f>
        <v/>
      </c>
      <c r="CB1033">
        <v>0</v>
      </c>
      <c r="CC1033">
        <v>0</v>
      </c>
      <c r="CD1033">
        <v>0</v>
      </c>
      <c r="CE1033">
        <v>0</v>
      </c>
      <c r="CF1033">
        <v>0</v>
      </c>
      <c r="CG1033">
        <v>0</v>
      </c>
      <c r="CH1033">
        <v>0</v>
      </c>
      <c r="CI1033">
        <v>0</v>
      </c>
      <c r="CJ1033">
        <v>0</v>
      </c>
      <c r="CK1033">
        <v>0</v>
      </c>
      <c r="CL1033">
        <v>0</v>
      </c>
      <c r="CM1033">
        <v>0</v>
      </c>
      <c r="CN1033">
        <v>0</v>
      </c>
      <c r="CO1033">
        <v>1</v>
      </c>
      <c r="CP1033" t="str">
        <f>IF(BN1033&lt;BM1033,"refNeedCorrection","refOK")</f>
        <v>refOK</v>
      </c>
      <c r="CQ1033"/>
      <c r="CR1033"/>
      <c r="CS1033"/>
      <c r="CT1033">
        <f>IF(BI1033="Roundwood",$CS1033/2,$CS1033)</f>
        <v>0</v>
      </c>
      <c r="CU1033">
        <f>IF($CP1033="refOK",$BU1033,$BV1033)*IF($BR1033="Emissions positive",-1,1)</f>
        <v>-70376.060702875271</v>
      </c>
      <c r="CV1033">
        <f>IF($CP1033="refOK",$BV1033,$BU1033)*IF($BR1033="Emissions positive",-1,1)</f>
        <v>-69373.552715654951</v>
      </c>
      <c r="CW1033">
        <f>IF($CP1033="refNeedCorrection",-BZ1033,BZ1033)*IF($BR1033="Emissions positive",-1,1)</f>
        <v>1002.5079872203205</v>
      </c>
      <c r="CX1033" t="str">
        <f>IFERROR($CW1033/$CS1033,"")</f>
        <v/>
      </c>
      <c r="CY1033" t="str">
        <f>IFERROR($CW1033/$CS1033,"")</f>
        <v/>
      </c>
      <c r="CZ1033" t="str">
        <f>IFERROR($CW1033/$CT1033,"")</f>
        <v/>
      </c>
      <c r="DA1033" s="2">
        <f>IFERROR((CV1033-CU1033)/ABS(CU1033),"")</f>
        <v>1.4245014245012469E-2</v>
      </c>
      <c r="DB1033" s="1" t="s">
        <v>1074</v>
      </c>
      <c r="DC1033" t="str">
        <f>IF(OR($DB1033="prd",$DB1033="std",$DB1033="cit"),"loc",IF(OR($DB1033="eur",$DB1033="reg",$DB1033="coy"),"reg",$DB1033))</f>
        <v>reg</v>
      </c>
      <c r="DD1033" t="s">
        <v>235</v>
      </c>
      <c r="DE1033">
        <v>2010</v>
      </c>
      <c r="DF1033">
        <v>2070</v>
      </c>
      <c r="DG1033">
        <f>DF1033-DE1033</f>
        <v>60</v>
      </c>
      <c r="DH1033" t="str">
        <f>IF(DG1033=0,"0",IF(AND(DG1033&gt;=1,DG1033&lt;=30),"1-30",IF(AND(DG1033&gt;30,DG1033&lt;=70),"31-70",IF(AND(DG1033&gt;70,DG1033&lt;=100),"71-100",IF(DG1033&gt;100,"+100")))))</f>
        <v>31-70</v>
      </c>
      <c r="DI1033">
        <v>1</v>
      </c>
      <c r="DJ1033">
        <v>1</v>
      </c>
      <c r="DK1033">
        <v>1</v>
      </c>
      <c r="DL1033">
        <v>1</v>
      </c>
      <c r="DM1033">
        <v>0</v>
      </c>
      <c r="DN1033">
        <f>SUM(DI1033:DL1033)</f>
        <v>4</v>
      </c>
      <c r="DO1033" t="str">
        <f>IF(DN1033=1,INDEX($DI$7:$DL$7,MATCH(1,$DI1033:$DL1033,0)),"mixedProduct")</f>
        <v>mixedProduct</v>
      </c>
      <c r="DP1033" t="str">
        <f>IF(DI1033=1,DP$7,0)</f>
        <v>Upstream</v>
      </c>
      <c r="DQ1033" t="str">
        <f>IF(DJ1033=1,DQ$7,0)</f>
        <v>Energy</v>
      </c>
      <c r="DR1033" t="str">
        <f>IF(DK1033=1,DR$7,0)</f>
        <v>Pulp/Paper</v>
      </c>
      <c r="DS1033" t="str">
        <f>IF(DL1033=1,DS$7,0)</f>
        <v>Timber</v>
      </c>
      <c r="DT1033">
        <v>0</v>
      </c>
      <c r="DU1033">
        <v>0</v>
      </c>
      <c r="DV1033">
        <v>0</v>
      </c>
      <c r="DW1033">
        <v>0</v>
      </c>
      <c r="DX1033">
        <v>0</v>
      </c>
      <c r="DY1033">
        <f>SUM(DT1033:DU1033)</f>
        <v>0</v>
      </c>
      <c r="DZ1033" s="143" t="str">
        <f>IF(DT1033=1,"self-calculated DF",IF(DU1033=1,"external DF used","explicit C balance"))</f>
        <v>explicit C balance</v>
      </c>
      <c r="EA1033">
        <v>1</v>
      </c>
      <c r="EB1033">
        <v>1</v>
      </c>
      <c r="EC1033">
        <v>1</v>
      </c>
      <c r="ED1033">
        <v>0</v>
      </c>
      <c r="EE1033">
        <v>0</v>
      </c>
      <c r="EF1033" s="143">
        <v>0</v>
      </c>
      <c r="EG1033">
        <v>1</v>
      </c>
      <c r="EH1033">
        <v>1</v>
      </c>
      <c r="EI1033">
        <v>0</v>
      </c>
      <c r="EJ1033">
        <v>0</v>
      </c>
      <c r="EK1033">
        <v>1</v>
      </c>
      <c r="EL1033">
        <v>0</v>
      </c>
      <c r="EM1033">
        <v>0</v>
      </c>
      <c r="EN1033" s="2">
        <v>0</v>
      </c>
      <c r="EP1033" t="str">
        <f>IF(AND(AND(AND(OR($EC1033=1,$EB1033=1),OR($EH1033=1,$EF1033=1)),SUM($EA1033:$EE1033,$EK1033)&gt;=3),SUM($EF1033:$EJ1033)&gt;=2),"Whole sector approach","")</f>
        <v>Whole sector approach</v>
      </c>
      <c r="EQ1033" t="str">
        <f>IF(AND(AND(OR($EC1033=1,$EB1033=1),AND($EH1033=0,$EF1033=0)),SUM($EA1033:$EE1033,$EK1033)&gt;=4),"Ecosystem approach","")</f>
        <v/>
      </c>
      <c r="ER1033" s="2" t="str">
        <f>IF(AND(AND(AND($EC1033=0,$EB1033=0),OR($EH1033=1,$EF1033=1)),SUM($EG1033:$EJ1033)&gt;=2),"Technology approach","")</f>
        <v/>
      </c>
      <c r="ES1033" t="str">
        <f>IF(AND($EC1033+$EB1033+$EE1033+$EA1033+$ED1033+$EG1033=0,$N1033="included"),"C neutral forest and HWP assumption","")</f>
        <v/>
      </c>
      <c r="ET1033" t="str">
        <f>IF(AND(AND(AND(AND($EC1033=1,$EB1033+$EA1033+$EG1033&gt;=1),$EF1033=1),$EH1033+$EI1033+$ED1033+$EE1033&gt;=2),$N1033="included"),"All C pools assumption","")</f>
        <v/>
      </c>
      <c r="EU1033" t="str">
        <f>IF(AND($ED1033+$EE1033+$EI1033+$EH1033+$EF1033=0,$N1033="included"),"In-situ only assumption","")</f>
        <v/>
      </c>
      <c r="EW1033" t="s">
        <v>2221</v>
      </c>
      <c r="EY1033" t="b">
        <f>IF(ISNUMBER(BW1033),IF(ABS(BW1033-[2]QC_indicators!$B$2)&gt;3*[2]QC_indicators!$C$2,"C ratio",IF(ISNUMBER(CA1033),IF(ABS(CA1033-[2]QC_indicators!$B$1)&gt;3*[2]QC_indicators!$C$1,"DF","no"))),IF(ISNUMBER(CA1033),IF(ABS(CA1033-[2]QC_indicators!$B$1)&gt;3*[2]QC_indicators!$C$1,"DF","no")))</f>
        <v>0</v>
      </c>
      <c r="FA1033" t="str">
        <f>IF(LEN($CY1033)=0,"",IF(AND($CY1033&lt;(-0.05),$ES1033="C neutral forest and HWP assumption"),"Cneutral paradox",IF(AND($CY1033&gt;0.05,$EU1033="In-situ only assumption"),"In-situ only paradox","")))</f>
        <v/>
      </c>
      <c r="FD1033" s="260" t="s">
        <v>2948</v>
      </c>
    </row>
    <row r="1034" spans="1:160" ht="15" hidden="1" customHeight="1">
      <c r="A1034" s="1" t="s">
        <v>1295</v>
      </c>
      <c r="B1034" t="s">
        <v>2203</v>
      </c>
      <c r="C1034" t="s">
        <v>2204</v>
      </c>
      <c r="D1034" t="s">
        <v>2205</v>
      </c>
      <c r="E1034" t="s">
        <v>2206</v>
      </c>
      <c r="F1034" t="s">
        <v>2207</v>
      </c>
      <c r="G1034" t="s">
        <v>1301</v>
      </c>
      <c r="H1034" t="s">
        <v>254</v>
      </c>
      <c r="I1034">
        <v>2016</v>
      </c>
      <c r="J1034">
        <v>24</v>
      </c>
      <c r="K1034" t="s">
        <v>2208</v>
      </c>
      <c r="M1034" t="str">
        <f>LEFT($D1034,FIND(",",$D1034)-1)&amp;"_"&amp;I1034&amp;L1034</f>
        <v>Zubizarreta-Gerendiain_2016</v>
      </c>
      <c r="N1034" t="s">
        <v>222</v>
      </c>
      <c r="O1034" s="145" t="s">
        <v>1029</v>
      </c>
      <c r="Q1034" t="s">
        <v>256</v>
      </c>
      <c r="R1034" s="258" t="s">
        <v>223</v>
      </c>
      <c r="S1034" s="1" t="s">
        <v>2234</v>
      </c>
      <c r="T1034" t="s">
        <v>2224</v>
      </c>
      <c r="U1034" t="s">
        <v>2236</v>
      </c>
      <c r="V1034">
        <v>0</v>
      </c>
      <c r="W1034">
        <v>0</v>
      </c>
      <c r="X1034">
        <v>0</v>
      </c>
      <c r="Y1034">
        <v>0</v>
      </c>
      <c r="Z1034">
        <v>0</v>
      </c>
      <c r="AA1034">
        <v>0</v>
      </c>
      <c r="AB1034">
        <v>0</v>
      </c>
      <c r="AC1034">
        <v>0</v>
      </c>
      <c r="AD1034">
        <v>0</v>
      </c>
      <c r="AE1034">
        <v>0</v>
      </c>
      <c r="AF1034">
        <v>0</v>
      </c>
      <c r="AG1034">
        <v>0</v>
      </c>
      <c r="AH1034">
        <v>2</v>
      </c>
      <c r="AI1034">
        <v>0</v>
      </c>
      <c r="AJ1034">
        <v>0</v>
      </c>
      <c r="AK1034">
        <v>0</v>
      </c>
      <c r="AL1034">
        <v>0</v>
      </c>
      <c r="AM1034">
        <v>0</v>
      </c>
      <c r="AN1034">
        <v>0</v>
      </c>
      <c r="AO1034">
        <v>0</v>
      </c>
      <c r="AP1034">
        <v>1</v>
      </c>
      <c r="AQ1034">
        <v>2</v>
      </c>
      <c r="AR1034">
        <v>0</v>
      </c>
      <c r="AS1034">
        <v>0</v>
      </c>
      <c r="AT1034">
        <v>0</v>
      </c>
      <c r="AU1034">
        <v>0</v>
      </c>
      <c r="AV1034">
        <v>0</v>
      </c>
      <c r="AW1034">
        <v>0</v>
      </c>
      <c r="AX1034">
        <v>0</v>
      </c>
      <c r="AY1034">
        <v>0</v>
      </c>
      <c r="AZ1034" s="141">
        <f>COUNTIF(X1034:AY1034,"&lt;&gt;0")</f>
        <v>3</v>
      </c>
      <c r="BA1034" s="141">
        <f>COUNTIF(X1034:AN1034,"&lt;&gt;0")</f>
        <v>1</v>
      </c>
      <c r="BB1034">
        <f>COUNTIF(X1034:AE1034,"&lt;&gt;0")</f>
        <v>0</v>
      </c>
      <c r="BC1034">
        <f>COUNTIF(AF1034:AK1034,"&lt;&gt;0")</f>
        <v>1</v>
      </c>
      <c r="BD1034">
        <f>COUNTIF(AL1034:AN1034,"&lt;&gt;0")</f>
        <v>0</v>
      </c>
      <c r="BE1034">
        <f>COUNTIF(AU1034:AY1034,"&lt;&gt;0")</f>
        <v>0</v>
      </c>
      <c r="BF1034">
        <f>COUNTIF(AO1034:AT1034,"&lt;&gt;0")</f>
        <v>2</v>
      </c>
      <c r="BG1034" t="str">
        <f t="array" ref="BG1034">IF(BA1034=1,INDEX($X$7:$AN$7,MATCH(TRUE,INDEX($X1034:$AY1034&lt;&gt;0,),0)),IF(BA1034=0,INDEX($AO$7:$AY$7,MATCH(1,$AO1034:$AY1034,0)),IF(BH1034="Multiple strategies","mixed drivers",IF(BH1034="Supply chain","multiple supply","multiple silviculture"))))</f>
        <v>supply chain organization</v>
      </c>
      <c r="BH1034" s="2" t="str" cm="1">
        <f t="array" ref="BH1034">IF(COUNTIF(BB1034:BD1034,"&lt;&gt;0")=1,INDEX($X$4:$AY$4,MATCH(TRUE,INDEX($X1034:$AY1034&lt;&gt;0,),0)),IF(COUNTIF(BB1034:BD1034,"&lt;&gt;0")=0,INDEX($AO$4:$AY$4,MATCH(1,$AO1034:$AY1034,0)),"Multiple strategies"))</f>
        <v>Supply chain</v>
      </c>
      <c r="BO1034" s="143"/>
      <c r="BP1034" s="143"/>
      <c r="BR1034" s="143" t="s">
        <v>232</v>
      </c>
      <c r="BS1034" s="143"/>
      <c r="BT1034" t="s">
        <v>1070</v>
      </c>
      <c r="BU1034">
        <v>29471.133802816759</v>
      </c>
      <c r="BV1034">
        <v>37149.160118605767</v>
      </c>
      <c r="BW1034" s="144">
        <f>IFERROR(BV1034/BU1034,"")</f>
        <v>1.2605270081280404</v>
      </c>
      <c r="BX1034" s="144">
        <f>BV1034-BU1034</f>
        <v>7678.0263157890076</v>
      </c>
      <c r="BY1034" s="144"/>
      <c r="BZ1034" s="144">
        <f>BX1034</f>
        <v>7678.0263157890076</v>
      </c>
      <c r="CA1034" t="str">
        <f>IFERROR(BZ1034/BQ1034,"")</f>
        <v/>
      </c>
      <c r="CB1034">
        <v>0</v>
      </c>
      <c r="CC1034">
        <v>0</v>
      </c>
      <c r="CD1034">
        <v>0</v>
      </c>
      <c r="CE1034">
        <v>0</v>
      </c>
      <c r="CF1034">
        <v>0</v>
      </c>
      <c r="CG1034">
        <v>0</v>
      </c>
      <c r="CH1034">
        <v>0</v>
      </c>
      <c r="CI1034">
        <v>0</v>
      </c>
      <c r="CJ1034">
        <v>0</v>
      </c>
      <c r="CK1034">
        <v>0</v>
      </c>
      <c r="CL1034">
        <v>0</v>
      </c>
      <c r="CM1034">
        <v>0</v>
      </c>
      <c r="CN1034">
        <v>0</v>
      </c>
      <c r="CO1034">
        <v>1</v>
      </c>
      <c r="CP1034" t="str">
        <f>IF(BN1034&lt;BM1034,"refNeedCorrection","refOK")</f>
        <v>refOK</v>
      </c>
      <c r="CQ1034"/>
      <c r="CR1034"/>
      <c r="CS1034"/>
      <c r="CT1034">
        <f>IF(BI1034="Roundwood",$CS1034/2,$CS1034)</f>
        <v>0</v>
      </c>
      <c r="CU1034">
        <f>IF($CP1034="refOK",$BU1034,$BV1034)*IF($BR1034="Emissions positive",-1,1)</f>
        <v>29471.133802816759</v>
      </c>
      <c r="CV1034">
        <f>IF($CP1034="refOK",$BV1034,$BU1034)*IF($BR1034="Emissions positive",-1,1)</f>
        <v>37149.160118605767</v>
      </c>
      <c r="CW1034">
        <f>IF($CP1034="refNeedCorrection",-BZ1034,BZ1034)*IF($BR1034="Emissions positive",-1,1)</f>
        <v>7678.0263157890076</v>
      </c>
      <c r="CX1034" t="str">
        <f>IFERROR($CW1034/$CS1034,"")</f>
        <v/>
      </c>
      <c r="CY1034" t="str">
        <f>IFERROR($CW1034/$CS1034,"")</f>
        <v/>
      </c>
      <c r="CZ1034" t="str">
        <f>IFERROR($CW1034/$CT1034,"")</f>
        <v/>
      </c>
      <c r="DA1034" s="2">
        <f>IFERROR((CV1034-CU1034)/ABS(CU1034),"")</f>
        <v>0.26052700812804036</v>
      </c>
      <c r="DB1034" s="1" t="s">
        <v>1074</v>
      </c>
      <c r="DC1034" t="str">
        <f>IF(OR($DB1034="prd",$DB1034="std",$DB1034="cit"),"loc",IF(OR($DB1034="eur",$DB1034="reg",$DB1034="coy"),"reg",$DB1034))</f>
        <v>reg</v>
      </c>
      <c r="DD1034" t="s">
        <v>235</v>
      </c>
      <c r="DE1034">
        <v>2010</v>
      </c>
      <c r="DF1034">
        <v>2070</v>
      </c>
      <c r="DG1034">
        <f>DF1034-DE1034</f>
        <v>60</v>
      </c>
      <c r="DH1034" t="str">
        <f>IF(DG1034=0,"0",IF(AND(DG1034&gt;=1,DG1034&lt;=30),"1-30",IF(AND(DG1034&gt;30,DG1034&lt;=70),"31-70",IF(AND(DG1034&gt;70,DG1034&lt;=100),"71-100",IF(DG1034&gt;100,"+100")))))</f>
        <v>31-70</v>
      </c>
      <c r="DI1034">
        <v>1</v>
      </c>
      <c r="DJ1034">
        <v>1</v>
      </c>
      <c r="DK1034">
        <v>1</v>
      </c>
      <c r="DL1034">
        <v>1</v>
      </c>
      <c r="DM1034">
        <v>0</v>
      </c>
      <c r="DN1034">
        <f>SUM(DI1034:DL1034)</f>
        <v>4</v>
      </c>
      <c r="DO1034" t="str">
        <f>IF(DN1034=1,INDEX($DI$7:$DL$7,MATCH(1,$DI1034:$DL1034,0)),"mixedProduct")</f>
        <v>mixedProduct</v>
      </c>
      <c r="DP1034" t="str">
        <f>IF(DI1034=1,DP$7,0)</f>
        <v>Upstream</v>
      </c>
      <c r="DQ1034" t="str">
        <f>IF(DJ1034=1,DQ$7,0)</f>
        <v>Energy</v>
      </c>
      <c r="DR1034" t="str">
        <f>IF(DK1034=1,DR$7,0)</f>
        <v>Pulp/Paper</v>
      </c>
      <c r="DS1034" t="str">
        <f>IF(DL1034=1,DS$7,0)</f>
        <v>Timber</v>
      </c>
      <c r="DT1034">
        <v>0</v>
      </c>
      <c r="DU1034">
        <v>1</v>
      </c>
      <c r="DV1034" t="s">
        <v>2237</v>
      </c>
      <c r="DW1034" t="s">
        <v>2238</v>
      </c>
      <c r="DX1034">
        <v>0</v>
      </c>
      <c r="DY1034">
        <f>SUM(DT1034:DU1034)</f>
        <v>1</v>
      </c>
      <c r="DZ1034" s="143" t="str">
        <f>IF(DT1034=1,"self-calculated DF",IF(DU1034=1,"external DF used","explicit C balance"))</f>
        <v>external DF used</v>
      </c>
      <c r="EA1034">
        <v>1</v>
      </c>
      <c r="EB1034">
        <v>1</v>
      </c>
      <c r="EC1034">
        <v>1</v>
      </c>
      <c r="ED1034">
        <v>1</v>
      </c>
      <c r="EE1034">
        <v>0</v>
      </c>
      <c r="EF1034" s="143">
        <v>0</v>
      </c>
      <c r="EG1034">
        <v>1</v>
      </c>
      <c r="EH1034">
        <v>1</v>
      </c>
      <c r="EI1034">
        <v>0</v>
      </c>
      <c r="EJ1034">
        <v>0</v>
      </c>
      <c r="EK1034">
        <v>1</v>
      </c>
      <c r="EL1034">
        <v>0</v>
      </c>
      <c r="EM1034">
        <v>0</v>
      </c>
      <c r="EN1034" s="2">
        <v>0</v>
      </c>
      <c r="EP1034" t="str">
        <f>IF(AND(AND(AND(OR($EC1034=1,$EB1034=1),OR($EH1034=1,$EF1034=1)),SUM($EA1034:$EE1034,$EK1034)&gt;=3),SUM($EF1034:$EJ1034)&gt;=2),"Whole sector approach","")</f>
        <v>Whole sector approach</v>
      </c>
      <c r="EQ1034" t="str">
        <f>IF(AND(AND(OR($EC1034=1,$EB1034=1),AND($EH1034=0,$EF1034=0)),SUM($EA1034:$EE1034,$EK1034)&gt;=4),"Ecosystem approach","")</f>
        <v/>
      </c>
      <c r="ER1034" s="2" t="str">
        <f>IF(AND(AND(AND($EC1034=0,$EB1034=0),OR($EH1034=1,$EF1034=1)),SUM($EG1034:$EJ1034)&gt;=2),"Technology approach","")</f>
        <v/>
      </c>
      <c r="ES1034" t="str">
        <f>IF(AND($EC1034+$EB1034+$EE1034+$EA1034+$ED1034+$EG1034=0,$N1034="included"),"C neutral forest and HWP assumption","")</f>
        <v/>
      </c>
      <c r="ET1034" t="str">
        <f>IF(AND(AND(AND(AND($EC1034=1,$EB1034+$EA1034+$EG1034&gt;=1),$EF1034=1),$EH1034+$EI1034+$ED1034+$EE1034&gt;=2),$N1034="included"),"All C pools assumption","")</f>
        <v/>
      </c>
      <c r="EU1034" t="str">
        <f>IF(AND($ED1034+$EE1034+$EI1034+$EH1034+$EF1034=0,$N1034="included"),"In-situ only assumption","")</f>
        <v/>
      </c>
      <c r="EW1034" t="s">
        <v>2221</v>
      </c>
      <c r="EY1034" t="b">
        <f>IF(ISNUMBER(BW1034),IF(ABS(BW1034-[2]QC_indicators!$B$2)&gt;3*[2]QC_indicators!$C$2,"C ratio",IF(ISNUMBER(CA1034),IF(ABS(CA1034-[2]QC_indicators!$B$1)&gt;3*[2]QC_indicators!$C$1,"DF","no"))),IF(ISNUMBER(CA1034),IF(ABS(CA1034-[2]QC_indicators!$B$1)&gt;3*[2]QC_indicators!$C$1,"DF","no")))</f>
        <v>0</v>
      </c>
      <c r="FA1034" t="str">
        <f>IF(LEN($CY1034)=0,"",IF(AND($CY1034&lt;(-0.05),$ES1034="C neutral forest and HWP assumption"),"Cneutral paradox",IF(AND($CY1034&gt;0.05,$EU1034="In-situ only assumption"),"In-situ only paradox","")))</f>
        <v/>
      </c>
      <c r="FD1034" s="260" t="s">
        <v>2948</v>
      </c>
    </row>
    <row r="1035" spans="1:160" ht="15" hidden="1" customHeight="1">
      <c r="A1035" s="1" t="s">
        <v>1295</v>
      </c>
      <c r="B1035" t="s">
        <v>2203</v>
      </c>
      <c r="C1035" t="s">
        <v>2204</v>
      </c>
      <c r="D1035" t="s">
        <v>2205</v>
      </c>
      <c r="E1035" t="s">
        <v>2206</v>
      </c>
      <c r="F1035" t="s">
        <v>2207</v>
      </c>
      <c r="G1035" t="s">
        <v>1301</v>
      </c>
      <c r="H1035" t="s">
        <v>254</v>
      </c>
      <c r="I1035">
        <v>2016</v>
      </c>
      <c r="J1035">
        <v>24</v>
      </c>
      <c r="K1035" t="s">
        <v>2208</v>
      </c>
      <c r="M1035" t="str">
        <f>LEFT($D1035,FIND(",",$D1035)-1)&amp;"_"&amp;I1035&amp;L1035</f>
        <v>Zubizarreta-Gerendiain_2016</v>
      </c>
      <c r="N1035" t="s">
        <v>222</v>
      </c>
      <c r="O1035" s="145" t="s">
        <v>1029</v>
      </c>
      <c r="Q1035" t="s">
        <v>256</v>
      </c>
      <c r="R1035" s="258" t="s">
        <v>223</v>
      </c>
      <c r="S1035" s="1" t="s">
        <v>2234</v>
      </c>
      <c r="T1035" t="s">
        <v>2228</v>
      </c>
      <c r="U1035" t="s">
        <v>2235</v>
      </c>
      <c r="V1035">
        <v>0</v>
      </c>
      <c r="W1035">
        <v>0</v>
      </c>
      <c r="X1035">
        <v>0</v>
      </c>
      <c r="Y1035">
        <v>0</v>
      </c>
      <c r="Z1035">
        <v>0</v>
      </c>
      <c r="AA1035">
        <v>0</v>
      </c>
      <c r="AB1035">
        <v>0</v>
      </c>
      <c r="AC1035">
        <v>0</v>
      </c>
      <c r="AD1035">
        <v>0</v>
      </c>
      <c r="AE1035">
        <v>0</v>
      </c>
      <c r="AF1035">
        <v>0</v>
      </c>
      <c r="AG1035">
        <v>0</v>
      </c>
      <c r="AH1035">
        <v>2</v>
      </c>
      <c r="AI1035">
        <v>0</v>
      </c>
      <c r="AJ1035">
        <v>0</v>
      </c>
      <c r="AK1035">
        <v>0</v>
      </c>
      <c r="AL1035">
        <v>0</v>
      </c>
      <c r="AM1035">
        <v>0</v>
      </c>
      <c r="AN1035">
        <v>0</v>
      </c>
      <c r="AO1035">
        <v>0</v>
      </c>
      <c r="AP1035">
        <v>1</v>
      </c>
      <c r="AQ1035">
        <v>2</v>
      </c>
      <c r="AR1035">
        <v>0</v>
      </c>
      <c r="AS1035">
        <v>0</v>
      </c>
      <c r="AT1035">
        <v>0</v>
      </c>
      <c r="AU1035">
        <v>0</v>
      </c>
      <c r="AV1035">
        <v>0</v>
      </c>
      <c r="AW1035">
        <v>0</v>
      </c>
      <c r="AX1035">
        <v>0</v>
      </c>
      <c r="AY1035">
        <v>0</v>
      </c>
      <c r="AZ1035" s="141">
        <f>COUNTIF(X1035:AY1035,"&lt;&gt;0")</f>
        <v>3</v>
      </c>
      <c r="BA1035" s="141">
        <f>COUNTIF(X1035:AN1035,"&lt;&gt;0")</f>
        <v>1</v>
      </c>
      <c r="BB1035">
        <f>COUNTIF(X1035:AE1035,"&lt;&gt;0")</f>
        <v>0</v>
      </c>
      <c r="BC1035">
        <f>COUNTIF(AF1035:AK1035,"&lt;&gt;0")</f>
        <v>1</v>
      </c>
      <c r="BD1035">
        <f>COUNTIF(AL1035:AN1035,"&lt;&gt;0")</f>
        <v>0</v>
      </c>
      <c r="BE1035">
        <f>COUNTIF(AU1035:AY1035,"&lt;&gt;0")</f>
        <v>0</v>
      </c>
      <c r="BF1035">
        <f>COUNTIF(AO1035:AT1035,"&lt;&gt;0")</f>
        <v>2</v>
      </c>
      <c r="BG1035" t="str">
        <f t="array" ref="BG1035">IF(BA1035=1,INDEX($X$7:$AN$7,MATCH(TRUE,INDEX($X1035:$AY1035&lt;&gt;0,),0)),IF(BA1035=0,INDEX($AO$7:$AY$7,MATCH(1,$AO1035:$AY1035,0)),IF(BH1035="Multiple strategies","mixed drivers",IF(BH1035="Supply chain","multiple supply","multiple silviculture"))))</f>
        <v>supply chain organization</v>
      </c>
      <c r="BH1035" s="2" t="str" cm="1">
        <f t="array" ref="BH1035">IF(COUNTIF(BB1035:BD1035,"&lt;&gt;0")=1,INDEX($X$4:$AY$4,MATCH(TRUE,INDEX($X1035:$AY1035&lt;&gt;0,),0)),IF(COUNTIF(BB1035:BD1035,"&lt;&gt;0")=0,INDEX($AO$4:$AY$4,MATCH(1,$AO1035:$AY1035,0)),"Multiple strategies"))</f>
        <v>Supply chain</v>
      </c>
      <c r="BO1035" s="143"/>
      <c r="BP1035" s="143"/>
      <c r="BR1035" s="143" t="s">
        <v>232</v>
      </c>
      <c r="BS1035" s="143"/>
      <c r="BT1035" t="s">
        <v>1070</v>
      </c>
      <c r="BU1035">
        <v>-14015.791508379843</v>
      </c>
      <c r="BV1035">
        <v>-1648.9166480446902</v>
      </c>
      <c r="BW1035" s="144">
        <f>IFERROR(BV1035/BU1035,"")</f>
        <v>0.1176470588235296</v>
      </c>
      <c r="BX1035" s="144">
        <f>BV1035-BU1035</f>
        <v>12366.874860335152</v>
      </c>
      <c r="BY1035" s="144"/>
      <c r="BZ1035" s="144">
        <f>BX1035</f>
        <v>12366.874860335152</v>
      </c>
      <c r="CA1035" t="str">
        <f>IFERROR(BZ1035/BQ1035,"")</f>
        <v/>
      </c>
      <c r="CB1035">
        <v>0</v>
      </c>
      <c r="CC1035">
        <v>0</v>
      </c>
      <c r="CD1035">
        <v>0</v>
      </c>
      <c r="CE1035">
        <v>0</v>
      </c>
      <c r="CF1035">
        <v>0</v>
      </c>
      <c r="CG1035">
        <v>0</v>
      </c>
      <c r="CH1035">
        <v>0</v>
      </c>
      <c r="CI1035">
        <v>0</v>
      </c>
      <c r="CJ1035">
        <v>0</v>
      </c>
      <c r="CK1035">
        <v>0</v>
      </c>
      <c r="CL1035">
        <v>0</v>
      </c>
      <c r="CM1035">
        <v>0</v>
      </c>
      <c r="CN1035">
        <v>0</v>
      </c>
      <c r="CO1035">
        <v>1</v>
      </c>
      <c r="CP1035" t="str">
        <f>IF(BN1035&lt;BM1035,"refNeedCorrection","refOK")</f>
        <v>refOK</v>
      </c>
      <c r="CQ1035"/>
      <c r="CR1035"/>
      <c r="CS1035"/>
      <c r="CT1035">
        <f>IF(BI1035="Roundwood",$CS1035/2,$CS1035)</f>
        <v>0</v>
      </c>
      <c r="CU1035">
        <f>IF($CP1035="refOK",$BU1035,$BV1035)*IF($BR1035="Emissions positive",-1,1)</f>
        <v>-14015.791508379843</v>
      </c>
      <c r="CV1035">
        <f>IF($CP1035="refOK",$BV1035,$BU1035)*IF($BR1035="Emissions positive",-1,1)</f>
        <v>-1648.9166480446902</v>
      </c>
      <c r="CW1035">
        <f>IF($CP1035="refNeedCorrection",-BZ1035,BZ1035)*IF($BR1035="Emissions positive",-1,1)</f>
        <v>12366.874860335152</v>
      </c>
      <c r="CX1035" t="str">
        <f>IFERROR($CW1035/$CS1035,"")</f>
        <v/>
      </c>
      <c r="CY1035" t="str">
        <f>IFERROR($CW1035/$CS1035,"")</f>
        <v/>
      </c>
      <c r="CZ1035" t="str">
        <f>IFERROR($CW1035/$CT1035,"")</f>
        <v/>
      </c>
      <c r="DA1035" s="2">
        <f>IFERROR((CV1035-CU1035)/ABS(CU1035),"")</f>
        <v>0.88235294117647034</v>
      </c>
      <c r="DB1035" s="1" t="s">
        <v>1074</v>
      </c>
      <c r="DC1035" t="str">
        <f>IF(OR($DB1035="prd",$DB1035="std",$DB1035="cit"),"loc",IF(OR($DB1035="eur",$DB1035="reg",$DB1035="coy"),"reg",$DB1035))</f>
        <v>reg</v>
      </c>
      <c r="DD1035" t="s">
        <v>235</v>
      </c>
      <c r="DE1035">
        <v>2010</v>
      </c>
      <c r="DF1035">
        <v>2070</v>
      </c>
      <c r="DG1035">
        <f>DF1035-DE1035</f>
        <v>60</v>
      </c>
      <c r="DH1035" t="str">
        <f>IF(DG1035=0,"0",IF(AND(DG1035&gt;=1,DG1035&lt;=30),"1-30",IF(AND(DG1035&gt;30,DG1035&lt;=70),"31-70",IF(AND(DG1035&gt;70,DG1035&lt;=100),"71-100",IF(DG1035&gt;100,"+100")))))</f>
        <v>31-70</v>
      </c>
      <c r="DI1035">
        <v>1</v>
      </c>
      <c r="DJ1035">
        <v>1</v>
      </c>
      <c r="DK1035">
        <v>1</v>
      </c>
      <c r="DL1035">
        <v>1</v>
      </c>
      <c r="DM1035">
        <v>0</v>
      </c>
      <c r="DN1035">
        <f>SUM(DI1035:DL1035)</f>
        <v>4</v>
      </c>
      <c r="DO1035" t="str">
        <f>IF(DN1035=1,INDEX($DI$7:$DL$7,MATCH(1,$DI1035:$DL1035,0)),"mixedProduct")</f>
        <v>mixedProduct</v>
      </c>
      <c r="DP1035" t="str">
        <f>IF(DI1035=1,DP$7,0)</f>
        <v>Upstream</v>
      </c>
      <c r="DQ1035" t="str">
        <f>IF(DJ1035=1,DQ$7,0)</f>
        <v>Energy</v>
      </c>
      <c r="DR1035" t="str">
        <f>IF(DK1035=1,DR$7,0)</f>
        <v>Pulp/Paper</v>
      </c>
      <c r="DS1035" t="str">
        <f>IF(DL1035=1,DS$7,0)</f>
        <v>Timber</v>
      </c>
      <c r="DT1035">
        <v>0</v>
      </c>
      <c r="DU1035">
        <v>1</v>
      </c>
      <c r="DV1035" t="s">
        <v>2237</v>
      </c>
      <c r="DW1035" t="s">
        <v>2238</v>
      </c>
      <c r="DX1035">
        <v>0</v>
      </c>
      <c r="DY1035">
        <f>SUM(DT1035:DU1035)</f>
        <v>1</v>
      </c>
      <c r="DZ1035" s="143" t="str">
        <f>IF(DT1035=1,"self-calculated DF",IF(DU1035=1,"external DF used","explicit C balance"))</f>
        <v>external DF used</v>
      </c>
      <c r="EA1035">
        <v>1</v>
      </c>
      <c r="EB1035">
        <v>1</v>
      </c>
      <c r="EC1035">
        <v>1</v>
      </c>
      <c r="ED1035">
        <v>1</v>
      </c>
      <c r="EE1035">
        <v>0</v>
      </c>
      <c r="EF1035" s="143">
        <v>0</v>
      </c>
      <c r="EG1035">
        <v>1</v>
      </c>
      <c r="EH1035">
        <v>1</v>
      </c>
      <c r="EI1035">
        <v>0</v>
      </c>
      <c r="EJ1035">
        <v>0</v>
      </c>
      <c r="EK1035">
        <v>1</v>
      </c>
      <c r="EL1035">
        <v>0</v>
      </c>
      <c r="EM1035">
        <v>0</v>
      </c>
      <c r="EN1035" s="2">
        <v>0</v>
      </c>
      <c r="EP1035" t="str">
        <f>IF(AND(AND(AND(OR($EC1035=1,$EB1035=1),OR($EH1035=1,$EF1035=1)),SUM($EA1035:$EE1035,$EK1035)&gt;=3),SUM($EF1035:$EJ1035)&gt;=2),"Whole sector approach","")</f>
        <v>Whole sector approach</v>
      </c>
      <c r="EQ1035" t="str">
        <f>IF(AND(AND(OR($EC1035=1,$EB1035=1),AND($EH1035=0,$EF1035=0)),SUM($EA1035:$EE1035,$EK1035)&gt;=4),"Ecosystem approach","")</f>
        <v/>
      </c>
      <c r="ER1035" s="2" t="str">
        <f>IF(AND(AND(AND($EC1035=0,$EB1035=0),OR($EH1035=1,$EF1035=1)),SUM($EG1035:$EJ1035)&gt;=2),"Technology approach","")</f>
        <v/>
      </c>
      <c r="ES1035" t="str">
        <f>IF(AND($EC1035+$EB1035+$EE1035+$EA1035+$ED1035+$EG1035=0,$N1035="included"),"C neutral forest and HWP assumption","")</f>
        <v/>
      </c>
      <c r="ET1035" t="str">
        <f>IF(AND(AND(AND(AND($EC1035=1,$EB1035+$EA1035+$EG1035&gt;=1),$EF1035=1),$EH1035+$EI1035+$ED1035+$EE1035&gt;=2),$N1035="included"),"All C pools assumption","")</f>
        <v/>
      </c>
      <c r="EU1035" t="str">
        <f>IF(AND($ED1035+$EE1035+$EI1035+$EH1035+$EF1035=0,$N1035="included"),"In-situ only assumption","")</f>
        <v/>
      </c>
      <c r="EW1035" t="s">
        <v>2221</v>
      </c>
      <c r="EY1035" t="b">
        <f>IF(ISNUMBER(BW1035),IF(ABS(BW1035-[2]QC_indicators!$B$2)&gt;3*[2]QC_indicators!$C$2,"C ratio",IF(ISNUMBER(CA1035),IF(ABS(CA1035-[2]QC_indicators!$B$1)&gt;3*[2]QC_indicators!$C$1,"DF","no"))),IF(ISNUMBER(CA1035),IF(ABS(CA1035-[2]QC_indicators!$B$1)&gt;3*[2]QC_indicators!$C$1,"DF","no")))</f>
        <v>0</v>
      </c>
      <c r="FA1035" t="str">
        <f>IF(LEN($CY1035)=0,"",IF(AND($CY1035&lt;(-0.05),$ES1035="C neutral forest and HWP assumption"),"Cneutral paradox",IF(AND($CY1035&gt;0.05,$EU1035="In-situ only assumption"),"In-situ only paradox","")))</f>
        <v/>
      </c>
      <c r="FD1035" s="260" t="s">
        <v>2948</v>
      </c>
    </row>
    <row r="1036" spans="1:160" ht="15" hidden="1" customHeight="1">
      <c r="A1036" s="1" t="s">
        <v>1295</v>
      </c>
      <c r="B1036" t="s">
        <v>2203</v>
      </c>
      <c r="C1036" t="s">
        <v>2204</v>
      </c>
      <c r="D1036" t="s">
        <v>2205</v>
      </c>
      <c r="E1036" t="s">
        <v>2206</v>
      </c>
      <c r="F1036" t="s">
        <v>2207</v>
      </c>
      <c r="G1036" t="s">
        <v>1301</v>
      </c>
      <c r="H1036" t="s">
        <v>254</v>
      </c>
      <c r="I1036">
        <v>2016</v>
      </c>
      <c r="J1036">
        <v>24</v>
      </c>
      <c r="K1036" t="s">
        <v>2208</v>
      </c>
      <c r="M1036" t="str">
        <f>LEFT($D1036,FIND(",",$D1036)-1)&amp;"_"&amp;I1036&amp;L1036</f>
        <v>Zubizarreta-Gerendiain_2016</v>
      </c>
      <c r="N1036" t="s">
        <v>222</v>
      </c>
      <c r="O1036" s="145" t="s">
        <v>1029</v>
      </c>
      <c r="Q1036" t="s">
        <v>256</v>
      </c>
      <c r="R1036" s="258" t="s">
        <v>223</v>
      </c>
      <c r="S1036" s="1" t="s">
        <v>2209</v>
      </c>
      <c r="T1036" t="s">
        <v>2210</v>
      </c>
      <c r="U1036" t="s">
        <v>2211</v>
      </c>
      <c r="V1036" s="253">
        <v>0</v>
      </c>
      <c r="W1036" s="253">
        <v>0</v>
      </c>
      <c r="X1036">
        <v>0</v>
      </c>
      <c r="Y1036">
        <v>0</v>
      </c>
      <c r="Z1036">
        <v>0</v>
      </c>
      <c r="AA1036">
        <v>1</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s="141">
        <f>COUNTIF(X1036:AY1036,"&lt;&gt;0")</f>
        <v>1</v>
      </c>
      <c r="BA1036" s="141">
        <f>COUNTIF(X1036:AN1036,"&lt;&gt;0")</f>
        <v>1</v>
      </c>
      <c r="BB1036">
        <f>COUNTIF(X1036:AE1036,"&lt;&gt;0")</f>
        <v>1</v>
      </c>
      <c r="BC1036">
        <f>COUNTIF(AF1036:AK1036,"&lt;&gt;0")</f>
        <v>0</v>
      </c>
      <c r="BD1036">
        <f>COUNTIF(AL1036:AN1036,"&lt;&gt;0")</f>
        <v>0</v>
      </c>
      <c r="BE1036">
        <f>COUNTIF(AU1036:AY1036,"&lt;&gt;0")</f>
        <v>0</v>
      </c>
      <c r="BF1036">
        <f>COUNTIF(AO1036:AT1036,"&lt;&gt;0")</f>
        <v>0</v>
      </c>
      <c r="BG1036" t="str">
        <f t="array" ref="BG1036">IF(BA1036=1,INDEX($X$7:$AN$7,MATCH(TRUE,INDEX($X1036:$AY1036&lt;&gt;0,),0)),IF(BA1036=0,INDEX($AO$7:$AY$7,MATCH(1,$AO1036:$AY1036,0)),IF(BH1036="Multiple strategies","mixed drivers",IF(BH1036="Supply chain","multiple supply","multiple silviculture"))))</f>
        <v xml:space="preserve">cutting intensity </v>
      </c>
      <c r="BH1036" s="2" t="str" cm="1">
        <f t="array" ref="BH1036">IF(COUNTIF(BB1036:BD1036,"&lt;&gt;0")=1,INDEX($X$4:$AY$4,MATCH(TRUE,INDEX($X1036:$AY1036&lt;&gt;0,),0)),IF(COUNTIF(BB1036:BD1036,"&lt;&gt;0")=0,INDEX($AO$4:$AY$4,MATCH(1,$AO1036:$AY1036,0)),"Multiple strategies"))</f>
        <v>Silviculture for removals</v>
      </c>
      <c r="BI1036" s="1" t="s">
        <v>321</v>
      </c>
      <c r="BJ1036" t="s">
        <v>2212</v>
      </c>
      <c r="BK1036" s="260" t="s">
        <v>1919</v>
      </c>
      <c r="BL1036" t="s">
        <v>2213</v>
      </c>
      <c r="BM1036">
        <v>77.868338557993695</v>
      </c>
      <c r="BN1036">
        <v>82.946708463949804</v>
      </c>
      <c r="BO1036" s="143">
        <f>BN1036/BM1036</f>
        <v>1.0652173913043479</v>
      </c>
      <c r="BP1036">
        <f>BN1036-BM1036</f>
        <v>5.0783699059561087</v>
      </c>
      <c r="BQ1036">
        <f>BP1036*1000*t_to_m3</f>
        <v>10364.020216236957</v>
      </c>
      <c r="BR1036" s="143" t="s">
        <v>232</v>
      </c>
      <c r="BS1036" s="143" t="s">
        <v>2931</v>
      </c>
      <c r="BT1036" t="s">
        <v>1070</v>
      </c>
      <c r="BU1036">
        <v>22260.374748603492</v>
      </c>
      <c r="BV1036">
        <v>-46788.009888268192</v>
      </c>
      <c r="BW1036" s="144">
        <f>IFERROR(BV1036/BU1036,"")</f>
        <v>-2.1018518518518401</v>
      </c>
      <c r="BX1036" s="144">
        <f>BV1036-BU1036</f>
        <v>-69048.384636871691</v>
      </c>
      <c r="BY1036" s="144"/>
      <c r="BZ1036" s="144">
        <f>BX1036</f>
        <v>-69048.384636871691</v>
      </c>
      <c r="CA1036">
        <f>IFERROR(BZ1036/BQ1036,"")</f>
        <v>-6.6623166682650758</v>
      </c>
      <c r="CB1036">
        <v>0</v>
      </c>
      <c r="CC1036">
        <v>0</v>
      </c>
      <c r="CD1036">
        <v>0</v>
      </c>
      <c r="CE1036">
        <v>0</v>
      </c>
      <c r="CF1036">
        <v>0</v>
      </c>
      <c r="CG1036">
        <v>0</v>
      </c>
      <c r="CH1036">
        <v>0</v>
      </c>
      <c r="CI1036">
        <v>0</v>
      </c>
      <c r="CJ1036">
        <v>0</v>
      </c>
      <c r="CK1036">
        <v>0</v>
      </c>
      <c r="CL1036">
        <v>0</v>
      </c>
      <c r="CM1036">
        <v>0</v>
      </c>
      <c r="CN1036">
        <v>0</v>
      </c>
      <c r="CO1036">
        <v>1</v>
      </c>
      <c r="CP1036" t="str">
        <f>IF($BN1036&lt;$BM1036,"refNeedCorrection","refOK")</f>
        <v>refOK</v>
      </c>
      <c r="CQ1036">
        <f>IF($CP1036="refOK",$BM1036,$BN1036)</f>
        <v>77.868338557993695</v>
      </c>
      <c r="CR1036">
        <f>IF($CP1036="refOK",$BN1036,$BM1036)</f>
        <v>82.946708463949804</v>
      </c>
      <c r="CS1036">
        <f>IF($CP1036="refOK",$BQ1036,-$BQ1036)</f>
        <v>10364.020216236957</v>
      </c>
      <c r="CT1036">
        <f>IF(BI1036="Roundwood",$CS1036/2,$CS1036)</f>
        <v>5182.0101081184785</v>
      </c>
      <c r="CU1036">
        <f>IF($CP1036="refOK",$BU1036,$BV1036)*IF($BR1036="Emissions positive",-1,1)</f>
        <v>22260.374748603492</v>
      </c>
      <c r="CV1036">
        <f>IF($CP1036="refOK",$BV1036,$BU1036)*IF($BR1036="Emissions positive",-1,1)</f>
        <v>-46788.009888268192</v>
      </c>
      <c r="CW1036">
        <f>IF($CP1036="refNeedCorrection",-BZ1036,BZ1036)*IF($BR1036="Emissions positive",-1,1)</f>
        <v>-69048.384636871691</v>
      </c>
      <c r="CX1036">
        <f>IFERROR($CW1036/$CS1036,"")</f>
        <v>-6.6623166682650758</v>
      </c>
      <c r="CY1036">
        <f>IFERROR($CW1036/$CS1036,"")</f>
        <v>-6.6623166682650758</v>
      </c>
      <c r="CZ1036">
        <f>IFERROR($CW1036/$CT1036,"")</f>
        <v>-13.324633336530152</v>
      </c>
      <c r="DA1036" s="2">
        <f>IFERROR((CV1036-CU1036)/ABS(CU1036),"")</f>
        <v>-3.1018518518518405</v>
      </c>
      <c r="DB1036" s="1" t="s">
        <v>1074</v>
      </c>
      <c r="DC1036" t="str">
        <f>IF(OR($DB1036="prd",$DB1036="std",$DB1036="cit"),"loc",IF(OR($DB1036="eur",$DB1036="reg",$DB1036="coy"),"reg",$DB1036))</f>
        <v>reg</v>
      </c>
      <c r="DD1036" t="s">
        <v>235</v>
      </c>
      <c r="DE1036">
        <v>2010</v>
      </c>
      <c r="DF1036">
        <v>2070</v>
      </c>
      <c r="DG1036">
        <f>DF1036-DE1036</f>
        <v>60</v>
      </c>
      <c r="DH1036" t="str">
        <f>IF(DG1036=0,"0",IF(AND(DG1036&gt;=1,DG1036&lt;=30),"1-30",IF(AND(DG1036&gt;30,DG1036&lt;=70),"31-70",IF(AND(DG1036&gt;70,DG1036&lt;=100),"71-100",IF(DG1036&gt;100,"+100")))))</f>
        <v>31-70</v>
      </c>
      <c r="DI1036">
        <v>1</v>
      </c>
      <c r="DJ1036">
        <v>0</v>
      </c>
      <c r="DK1036">
        <v>0</v>
      </c>
      <c r="DL1036">
        <v>0</v>
      </c>
      <c r="DM1036">
        <v>0</v>
      </c>
      <c r="DN1036">
        <f>SUM(DI1036:DL1036)</f>
        <v>1</v>
      </c>
      <c r="DO1036" t="str">
        <f>IF(DN1036=1,INDEX($DI$7:$DL$7,MATCH(1,$DI1036:$DL1036,0)),"mixedProduct")</f>
        <v>UpstreamInput</v>
      </c>
      <c r="DP1036" t="str">
        <f>IF(DI1036=1,DP$7,0)</f>
        <v>Upstream</v>
      </c>
      <c r="DQ1036">
        <f>IF(DJ1036=1,DQ$7,0)</f>
        <v>0</v>
      </c>
      <c r="DR1036">
        <f>IF(DK1036=1,DR$7,0)</f>
        <v>0</v>
      </c>
      <c r="DS1036">
        <f>IF(DL1036=1,DS$7,0)</f>
        <v>0</v>
      </c>
      <c r="DT1036">
        <v>0</v>
      </c>
      <c r="DU1036">
        <v>0</v>
      </c>
      <c r="DV1036">
        <v>0</v>
      </c>
      <c r="DW1036">
        <v>0</v>
      </c>
      <c r="DX1036">
        <v>0</v>
      </c>
      <c r="DY1036">
        <f>SUM(DT1036:DU1036)</f>
        <v>0</v>
      </c>
      <c r="DZ1036" s="143" t="str">
        <f>IF(DT1036=1,"self-calculated DF",IF(DU1036=1,"external DF used","explicit C balance"))</f>
        <v>explicit C balance</v>
      </c>
      <c r="EA1036">
        <v>1</v>
      </c>
      <c r="EB1036">
        <v>1</v>
      </c>
      <c r="EC1036">
        <v>1</v>
      </c>
      <c r="ED1036">
        <v>1</v>
      </c>
      <c r="EE1036">
        <v>0</v>
      </c>
      <c r="EF1036" s="143">
        <v>0</v>
      </c>
      <c r="EG1036">
        <v>0</v>
      </c>
      <c r="EH1036">
        <v>0</v>
      </c>
      <c r="EI1036">
        <v>0</v>
      </c>
      <c r="EJ1036">
        <v>0</v>
      </c>
      <c r="EK1036">
        <v>1</v>
      </c>
      <c r="EL1036">
        <v>0</v>
      </c>
      <c r="EM1036">
        <v>0</v>
      </c>
      <c r="EN1036" s="2">
        <v>0</v>
      </c>
      <c r="EP1036" t="str">
        <f>IF(AND(AND(AND(OR($EC1036=1,$EB1036=1),OR($EH1036=1,$EF1036=1)),SUM($EA1036:$EE1036,$EK1036)&gt;=3),SUM($EF1036:$EJ1036)&gt;=2),"Whole sector approach","")</f>
        <v/>
      </c>
      <c r="EQ1036" t="str">
        <f>IF(AND(AND(OR($EC1036=1,$EB1036=1),AND($EH1036=0,$EF1036=0)),SUM($EA1036:$EE1036,$EK1036)&gt;=4),"Ecosystem approach","")</f>
        <v>Ecosystem approach</v>
      </c>
      <c r="ER1036" s="2" t="str">
        <f>IF(AND(AND(AND($EC1036=0,$EB1036=0),OR($EH1036=1,$EF1036=1)),SUM($EG1036:$EJ1036)&gt;=2),"Technology approach","")</f>
        <v/>
      </c>
      <c r="ES1036" t="str">
        <f>IF(AND($EC1036+$EB1036+$EE1036+$EA1036+$ED1036+$EG1036=0,$N1036="included"),"C neutral forest and HWP assumption","")</f>
        <v/>
      </c>
      <c r="ET1036" t="str">
        <f>IF(AND(AND(AND(AND($EC1036=1,$EB1036+$EA1036+$EG1036&gt;=1),$EF1036=1),$EH1036+$EI1036+$ED1036+$EE1036&gt;=2),$N1036="included"),"All C pools assumption","")</f>
        <v/>
      </c>
      <c r="EU1036" t="str">
        <f>IF(AND($ED1036+$EE1036+$EI1036+$EH1036+$EF1036=0,$N1036="included"),"In-situ only assumption","")</f>
        <v/>
      </c>
      <c r="EY1036" t="str">
        <f>IF(ISNUMBER(BW1036),IF(ABS(BW1036-[2]QC_indicators!$B$2)&gt;3*[2]QC_indicators!$C$2,"C ratio",IF(ISNUMBER(CA1036),IF(ABS(CA1036-[2]QC_indicators!$B$1)&gt;3*[2]QC_indicators!$C$1,"DF","no"))),IF(ISNUMBER(CA1036),IF(ABS(CA1036-[2]QC_indicators!$B$1)&gt;3*[2]QC_indicators!$C$1,"DF","no")))</f>
        <v>no</v>
      </c>
      <c r="EZ1036" t="s">
        <v>2214</v>
      </c>
      <c r="FA1036" t="str">
        <f>IF(LEN($CY1036)=0,"",IF(AND($CY1036&lt;(-0.05),$ES1036="C neutral forest and HWP assumption"),"Cneutral paradox",IF(AND($CY1036&gt;0.05,$EU1036="In-situ only assumption"),"In-situ only paradox","")))</f>
        <v/>
      </c>
      <c r="FD1036" s="260" t="s">
        <v>2932</v>
      </c>
    </row>
    <row r="1037" spans="1:160" ht="15" hidden="1" customHeight="1">
      <c r="A1037" s="1" t="s">
        <v>1295</v>
      </c>
      <c r="B1037" t="s">
        <v>2203</v>
      </c>
      <c r="C1037" t="s">
        <v>2204</v>
      </c>
      <c r="D1037" t="s">
        <v>2205</v>
      </c>
      <c r="E1037" t="s">
        <v>2206</v>
      </c>
      <c r="F1037" t="s">
        <v>2207</v>
      </c>
      <c r="G1037" t="s">
        <v>1301</v>
      </c>
      <c r="H1037" t="s">
        <v>254</v>
      </c>
      <c r="I1037">
        <v>2016</v>
      </c>
      <c r="J1037">
        <v>24</v>
      </c>
      <c r="K1037" t="s">
        <v>2208</v>
      </c>
      <c r="M1037" t="str">
        <f>LEFT($D1037,FIND(",",$D1037)-1)&amp;"_"&amp;I1037&amp;L1037</f>
        <v>Zubizarreta-Gerendiain_2016</v>
      </c>
      <c r="N1037" t="s">
        <v>222</v>
      </c>
      <c r="O1037" s="145" t="s">
        <v>1029</v>
      </c>
      <c r="Q1037" t="s">
        <v>256</v>
      </c>
      <c r="R1037" s="258" t="s">
        <v>223</v>
      </c>
      <c r="S1037" s="1" t="s">
        <v>2231</v>
      </c>
      <c r="T1037" t="s">
        <v>2217</v>
      </c>
      <c r="U1037" t="s">
        <v>2233</v>
      </c>
      <c r="V1037" s="253">
        <v>0</v>
      </c>
      <c r="W1037" s="253">
        <v>0</v>
      </c>
      <c r="X1037">
        <v>0</v>
      </c>
      <c r="Y1037">
        <v>0</v>
      </c>
      <c r="Z1037">
        <v>0</v>
      </c>
      <c r="AA1037">
        <v>0</v>
      </c>
      <c r="AB1037">
        <v>0</v>
      </c>
      <c r="AC1037">
        <v>0</v>
      </c>
      <c r="AD1037">
        <v>0</v>
      </c>
      <c r="AE1037">
        <v>0</v>
      </c>
      <c r="AF1037">
        <v>0</v>
      </c>
      <c r="AG1037">
        <v>0</v>
      </c>
      <c r="AH1037">
        <v>1</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s="141">
        <f>COUNTIF(X1037:AY1037,"&lt;&gt;0")</f>
        <v>1</v>
      </c>
      <c r="BA1037" s="141">
        <f>COUNTIF(X1037:AN1037,"&lt;&gt;0")</f>
        <v>1</v>
      </c>
      <c r="BB1037">
        <f>COUNTIF(X1037:AE1037,"&lt;&gt;0")</f>
        <v>0</v>
      </c>
      <c r="BC1037">
        <f>COUNTIF(AF1037:AK1037,"&lt;&gt;0")</f>
        <v>1</v>
      </c>
      <c r="BD1037">
        <f>COUNTIF(AL1037:AN1037,"&lt;&gt;0")</f>
        <v>0</v>
      </c>
      <c r="BE1037">
        <f>COUNTIF(AU1037:AY1037,"&lt;&gt;0")</f>
        <v>0</v>
      </c>
      <c r="BF1037">
        <f>COUNTIF(AO1037:AT1037,"&lt;&gt;0")</f>
        <v>0</v>
      </c>
      <c r="BG1037" t="str">
        <f t="array" ref="BG1037">IF(BA1037=1,INDEX($X$7:$AN$7,MATCH(TRUE,INDEX($X1037:$AY1037&lt;&gt;0,),0)),IF(BA1037=0,INDEX($AO$7:$AY$7,MATCH(1,$AO1037:$AY1037,0)),IF(BH1037="Multiple strategies","mixed drivers",IF(BH1037="Supply chain","multiple supply","multiple silviculture"))))</f>
        <v>supply chain organization</v>
      </c>
      <c r="BH1037" s="2" t="str" cm="1">
        <f t="array" ref="BH1037">IF(COUNTIF(BB1037:BD1037,"&lt;&gt;0")=1,INDEX($X$4:$AY$4,MATCH(TRUE,INDEX($X1037:$AY1037&lt;&gt;0,),0)),IF(COUNTIF(BB1037:BD1037,"&lt;&gt;0")=0,INDEX($AO$4:$AY$4,MATCH(1,$AO1037:$AY1037,0)),"Multiple strategies"))</f>
        <v>Supply chain</v>
      </c>
      <c r="BI1037" s="1" t="s">
        <v>321</v>
      </c>
      <c r="BJ1037" t="s">
        <v>2212</v>
      </c>
      <c r="BK1037" s="260" t="s">
        <v>1919</v>
      </c>
      <c r="BL1037" t="s">
        <v>2213</v>
      </c>
      <c r="BM1037">
        <v>82.634271099744197</v>
      </c>
      <c r="BN1037">
        <v>84.015345268542205</v>
      </c>
      <c r="BO1037" s="143">
        <f>BN1037/BM1037</f>
        <v>1.0167130919220062</v>
      </c>
      <c r="BP1037">
        <f>BN1037-BM1037</f>
        <v>1.3810741687980084</v>
      </c>
      <c r="BQ1037">
        <f>BP1037*1000*t_to_m3</f>
        <v>2818.5187118326703</v>
      </c>
      <c r="BR1037" s="143" t="s">
        <v>232</v>
      </c>
      <c r="BS1037" s="143" t="s">
        <v>2931</v>
      </c>
      <c r="BT1037" t="s">
        <v>1070</v>
      </c>
      <c r="BU1037">
        <v>-22456.178913738113</v>
      </c>
      <c r="BV1037">
        <v>-5413.5431309905543</v>
      </c>
      <c r="BW1037" s="144">
        <f>IFERROR(BV1037/BU1037,"")</f>
        <v>0.24107142857143377</v>
      </c>
      <c r="BX1037" s="144">
        <f>BV1037-BU1037</f>
        <v>17042.635782747559</v>
      </c>
      <c r="BY1037" s="144"/>
      <c r="BZ1037" s="144">
        <f>BX1037</f>
        <v>17042.635782747559</v>
      </c>
      <c r="CA1037">
        <f>IFERROR(BZ1037/BQ1037,"")</f>
        <v>6.0466640548453254</v>
      </c>
      <c r="CB1037">
        <v>0</v>
      </c>
      <c r="CC1037">
        <v>0</v>
      </c>
      <c r="CD1037">
        <v>0</v>
      </c>
      <c r="CE1037">
        <v>0</v>
      </c>
      <c r="CF1037">
        <v>0</v>
      </c>
      <c r="CG1037">
        <v>0</v>
      </c>
      <c r="CH1037">
        <v>0</v>
      </c>
      <c r="CI1037">
        <v>0</v>
      </c>
      <c r="CJ1037">
        <v>0</v>
      </c>
      <c r="CK1037">
        <v>0</v>
      </c>
      <c r="CL1037">
        <v>0</v>
      </c>
      <c r="CM1037">
        <v>0</v>
      </c>
      <c r="CN1037">
        <v>0</v>
      </c>
      <c r="CO1037">
        <v>1</v>
      </c>
      <c r="CP1037" t="str">
        <f>IF($BN1037&lt;$BM1037,"refNeedCorrection","refOK")</f>
        <v>refOK</v>
      </c>
      <c r="CQ1037">
        <f>IF($CP1037="refOK",$BM1037,$BN1037)</f>
        <v>82.634271099744197</v>
      </c>
      <c r="CR1037">
        <f>IF($CP1037="refOK",$BN1037,$BM1037)</f>
        <v>84.015345268542205</v>
      </c>
      <c r="CS1037">
        <f>IF($CP1037="refOK",$BQ1037,-$BQ1037)</f>
        <v>2818.5187118326703</v>
      </c>
      <c r="CT1037">
        <f>IF(BI1037="Roundwood",$CS1037/2,$CS1037)</f>
        <v>1409.2593559163352</v>
      </c>
      <c r="CU1037">
        <f>IF($CP1037="refOK",$BU1037,$BV1037)*IF($BR1037="Emissions positive",-1,1)</f>
        <v>-22456.178913738113</v>
      </c>
      <c r="CV1037">
        <f>IF($CP1037="refOK",$BV1037,$BU1037)*IF($BR1037="Emissions positive",-1,1)</f>
        <v>-5413.5431309905543</v>
      </c>
      <c r="CW1037">
        <f>IF($CP1037="refNeedCorrection",-BZ1037,BZ1037)*IF($BR1037="Emissions positive",-1,1)</f>
        <v>17042.635782747559</v>
      </c>
      <c r="CX1037">
        <f>IFERROR($CW1037/$CS1037,"")</f>
        <v>6.0466640548453254</v>
      </c>
      <c r="CY1037">
        <f>IFERROR($CW1037/$CS1037,"")</f>
        <v>6.0466640548453254</v>
      </c>
      <c r="CZ1037">
        <f>IFERROR($CW1037/$CT1037,"")</f>
        <v>12.093328109690651</v>
      </c>
      <c r="DA1037" s="2">
        <f>IFERROR((CV1037-CU1037)/ABS(CU1037),"")</f>
        <v>0.75892857142856629</v>
      </c>
      <c r="DB1037" s="1" t="s">
        <v>1074</v>
      </c>
      <c r="DC1037" t="str">
        <f>IF(OR($DB1037="prd",$DB1037="std",$DB1037="cit"),"loc",IF(OR($DB1037="eur",$DB1037="reg",$DB1037="coy"),"reg",$DB1037))</f>
        <v>reg</v>
      </c>
      <c r="DD1037" t="s">
        <v>235</v>
      </c>
      <c r="DE1037">
        <v>2010</v>
      </c>
      <c r="DF1037">
        <v>2070</v>
      </c>
      <c r="DG1037">
        <f>DF1037-DE1037</f>
        <v>60</v>
      </c>
      <c r="DH1037" t="str">
        <f>IF(DG1037=0,"0",IF(AND(DG1037&gt;=1,DG1037&lt;=30),"1-30",IF(AND(DG1037&gt;30,DG1037&lt;=70),"31-70",IF(AND(DG1037&gt;70,DG1037&lt;=100),"71-100",IF(DG1037&gt;100,"+100")))))</f>
        <v>31-70</v>
      </c>
      <c r="DI1037">
        <v>1</v>
      </c>
      <c r="DJ1037">
        <v>0</v>
      </c>
      <c r="DK1037">
        <v>0</v>
      </c>
      <c r="DL1037">
        <v>0</v>
      </c>
      <c r="DM1037">
        <v>0</v>
      </c>
      <c r="DN1037">
        <f>SUM(DI1037:DL1037)</f>
        <v>1</v>
      </c>
      <c r="DO1037" t="str">
        <f>IF(DN1037=1,INDEX($DI$7:$DL$7,MATCH(1,$DI1037:$DL1037,0)),"mixedProduct")</f>
        <v>UpstreamInput</v>
      </c>
      <c r="DP1037" t="str">
        <f>IF(DI1037=1,DP$7,0)</f>
        <v>Upstream</v>
      </c>
      <c r="DQ1037">
        <f>IF(DJ1037=1,DQ$7,0)</f>
        <v>0</v>
      </c>
      <c r="DR1037">
        <f>IF(DK1037=1,DR$7,0)</f>
        <v>0</v>
      </c>
      <c r="DS1037">
        <f>IF(DL1037=1,DS$7,0)</f>
        <v>0</v>
      </c>
      <c r="DT1037">
        <v>0</v>
      </c>
      <c r="DU1037">
        <v>0</v>
      </c>
      <c r="DV1037">
        <v>0</v>
      </c>
      <c r="DW1037">
        <v>0</v>
      </c>
      <c r="DX1037">
        <v>0</v>
      </c>
      <c r="DY1037">
        <f>SUM(DT1037:DU1037)</f>
        <v>0</v>
      </c>
      <c r="DZ1037" s="143" t="str">
        <f>IF(DT1037=1,"self-calculated DF",IF(DU1037=1,"external DF used","explicit C balance"))</f>
        <v>explicit C balance</v>
      </c>
      <c r="EA1037">
        <v>1</v>
      </c>
      <c r="EB1037">
        <v>1</v>
      </c>
      <c r="EC1037">
        <v>1</v>
      </c>
      <c r="ED1037">
        <v>1</v>
      </c>
      <c r="EE1037">
        <v>0</v>
      </c>
      <c r="EF1037" s="143">
        <v>0</v>
      </c>
      <c r="EG1037">
        <v>0</v>
      </c>
      <c r="EH1037">
        <v>0</v>
      </c>
      <c r="EI1037">
        <v>0</v>
      </c>
      <c r="EJ1037">
        <v>0</v>
      </c>
      <c r="EK1037">
        <v>1</v>
      </c>
      <c r="EL1037">
        <v>0</v>
      </c>
      <c r="EM1037">
        <v>0</v>
      </c>
      <c r="EN1037" s="2">
        <v>0</v>
      </c>
      <c r="EP1037" t="str">
        <f>IF(AND(AND(AND(OR($EC1037=1,$EB1037=1),OR($EH1037=1,$EF1037=1)),SUM($EA1037:$EE1037,$EK1037)&gt;=3),SUM($EF1037:$EJ1037)&gt;=2),"Whole sector approach","")</f>
        <v/>
      </c>
      <c r="EQ1037" t="str">
        <f>IF(AND(AND(OR($EC1037=1,$EB1037=1),AND($EH1037=0,$EF1037=0)),SUM($EA1037:$EE1037,$EK1037)&gt;=4),"Ecosystem approach","")</f>
        <v>Ecosystem approach</v>
      </c>
      <c r="ER1037" s="2" t="str">
        <f>IF(AND(AND(AND($EC1037=0,$EB1037=0),OR($EH1037=1,$EF1037=1)),SUM($EG1037:$EJ1037)&gt;=2),"Technology approach","")</f>
        <v/>
      </c>
      <c r="ES1037" t="str">
        <f>IF(AND($EC1037+$EB1037+$EE1037+$EA1037+$ED1037+$EG1037=0,$N1037="included"),"C neutral forest and HWP assumption","")</f>
        <v/>
      </c>
      <c r="ET1037" t="str">
        <f>IF(AND(AND(AND(AND($EC1037=1,$EB1037+$EA1037+$EG1037&gt;=1),$EF1037=1),$EH1037+$EI1037+$ED1037+$EE1037&gt;=2),$N1037="included"),"All C pools assumption","")</f>
        <v/>
      </c>
      <c r="EU1037" t="str">
        <f>IF(AND($ED1037+$EE1037+$EI1037+$EH1037+$EF1037=0,$N1037="included"),"In-situ only assumption","")</f>
        <v/>
      </c>
      <c r="EW1037" t="s">
        <v>2221</v>
      </c>
      <c r="EY1037" t="str">
        <f>IF(ISNUMBER(BW1037),IF(ABS(BW1037-[2]QC_indicators!$B$2)&gt;3*[2]QC_indicators!$C$2,"C ratio",IF(ISNUMBER(CA1037),IF(ABS(CA1037-[2]QC_indicators!$B$1)&gt;3*[2]QC_indicators!$C$1,"DF","no"))),IF(ISNUMBER(CA1037),IF(ABS(CA1037-[2]QC_indicators!$B$1)&gt;3*[2]QC_indicators!$C$1,"DF","no")))</f>
        <v>no</v>
      </c>
      <c r="EZ1037" t="s">
        <v>2214</v>
      </c>
      <c r="FA1037" t="str">
        <f>IF(LEN($CY1037)=0,"",IF(AND($CY1037&lt;(-0.05),$ES1037="C neutral forest and HWP assumption"),"Cneutral paradox",IF(AND($CY1037&gt;0.05,$EU1037="In-situ only assumption"),"In-situ only paradox","")))</f>
        <v/>
      </c>
      <c r="FD1037" s="260" t="s">
        <v>2932</v>
      </c>
    </row>
    <row r="1038" spans="1:160" ht="15" hidden="1" customHeight="1">
      <c r="A1038" s="1" t="s">
        <v>1295</v>
      </c>
      <c r="B1038" t="s">
        <v>2203</v>
      </c>
      <c r="C1038" t="s">
        <v>2204</v>
      </c>
      <c r="D1038" t="s">
        <v>2205</v>
      </c>
      <c r="E1038" t="s">
        <v>2206</v>
      </c>
      <c r="F1038" t="s">
        <v>2207</v>
      </c>
      <c r="G1038" t="s">
        <v>1301</v>
      </c>
      <c r="H1038" t="s">
        <v>254</v>
      </c>
      <c r="I1038">
        <v>2016</v>
      </c>
      <c r="J1038">
        <v>24</v>
      </c>
      <c r="K1038" t="s">
        <v>2208</v>
      </c>
      <c r="M1038" t="str">
        <f>LEFT($D1038,FIND(",",$D1038)-1)&amp;"_"&amp;I1038&amp;L1038</f>
        <v>Zubizarreta-Gerendiain_2016</v>
      </c>
      <c r="N1038" t="s">
        <v>222</v>
      </c>
      <c r="O1038" s="145" t="s">
        <v>1029</v>
      </c>
      <c r="Q1038" t="s">
        <v>256</v>
      </c>
      <c r="R1038" s="258" t="s">
        <v>223</v>
      </c>
      <c r="S1038" s="1" t="s">
        <v>2231</v>
      </c>
      <c r="T1038" t="s">
        <v>2211</v>
      </c>
      <c r="U1038" t="s">
        <v>2232</v>
      </c>
      <c r="V1038" s="253">
        <v>0</v>
      </c>
      <c r="W1038" s="253">
        <v>0</v>
      </c>
      <c r="X1038">
        <v>0</v>
      </c>
      <c r="Y1038">
        <v>0</v>
      </c>
      <c r="Z1038">
        <v>0</v>
      </c>
      <c r="AA1038">
        <v>0</v>
      </c>
      <c r="AB1038">
        <v>0</v>
      </c>
      <c r="AC1038">
        <v>0</v>
      </c>
      <c r="AD1038">
        <v>0</v>
      </c>
      <c r="AE1038">
        <v>0</v>
      </c>
      <c r="AF1038">
        <v>0</v>
      </c>
      <c r="AG1038">
        <v>0</v>
      </c>
      <c r="AH1038">
        <v>1</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s="141">
        <f>COUNTIF(X1038:AY1038,"&lt;&gt;0")</f>
        <v>1</v>
      </c>
      <c r="BA1038" s="141">
        <f>COUNTIF(X1038:AN1038,"&lt;&gt;0")</f>
        <v>1</v>
      </c>
      <c r="BB1038">
        <f>COUNTIF(X1038:AE1038,"&lt;&gt;0")</f>
        <v>0</v>
      </c>
      <c r="BC1038">
        <f>COUNTIF(AF1038:AK1038,"&lt;&gt;0")</f>
        <v>1</v>
      </c>
      <c r="BD1038">
        <f>COUNTIF(AL1038:AN1038,"&lt;&gt;0")</f>
        <v>0</v>
      </c>
      <c r="BE1038">
        <f>COUNTIF(AU1038:AY1038,"&lt;&gt;0")</f>
        <v>0</v>
      </c>
      <c r="BF1038">
        <f>COUNTIF(AO1038:AT1038,"&lt;&gt;0")</f>
        <v>0</v>
      </c>
      <c r="BG1038" t="str">
        <f t="array" ref="BG1038">IF(BA1038=1,INDEX($X$7:$AN$7,MATCH(TRUE,INDEX($X1038:$AY1038&lt;&gt;0,),0)),IF(BA1038=0,INDEX($AO$7:$AY$7,MATCH(1,$AO1038:$AY1038,0)),IF(BH1038="Multiple strategies","mixed drivers",IF(BH1038="Supply chain","multiple supply","multiple silviculture"))))</f>
        <v>supply chain organization</v>
      </c>
      <c r="BH1038" s="2" t="str" cm="1">
        <f t="array" ref="BH1038">IF(COUNTIF(BB1038:BD1038,"&lt;&gt;0")=1,INDEX($X$4:$AY$4,MATCH(TRUE,INDEX($X1038:$AY1038&lt;&gt;0,),0)),IF(COUNTIF(BB1038:BD1038,"&lt;&gt;0")=0,INDEX($AO$4:$AY$4,MATCH(1,$AO1038:$AY1038,0)),"Multiple strategies"))</f>
        <v>Supply chain</v>
      </c>
      <c r="BI1038" s="1" t="s">
        <v>321</v>
      </c>
      <c r="BJ1038" t="s">
        <v>2212</v>
      </c>
      <c r="BK1038" s="260" t="s">
        <v>1919</v>
      </c>
      <c r="BL1038" t="s">
        <v>2213</v>
      </c>
      <c r="BM1038">
        <v>82.946708463949804</v>
      </c>
      <c r="BN1038">
        <v>84.921630094043806</v>
      </c>
      <c r="BO1038" s="143">
        <f>BN1038/BM1038</f>
        <v>1.0238095238095233</v>
      </c>
      <c r="BP1038">
        <f>BN1038-BM1038</f>
        <v>1.974921630094002</v>
      </c>
      <c r="BQ1038">
        <f>BP1038*1000*t_to_m3</f>
        <v>4030.4523063142901</v>
      </c>
      <c r="BR1038" s="143" t="s">
        <v>232</v>
      </c>
      <c r="BS1038" s="143" t="s">
        <v>2931</v>
      </c>
      <c r="BT1038" t="s">
        <v>1070</v>
      </c>
      <c r="BU1038">
        <v>-46788.009888268192</v>
      </c>
      <c r="BV1038">
        <v>-28237.697597765364</v>
      </c>
      <c r="BW1038" s="144">
        <f>IFERROR(BV1038/BU1038,"")</f>
        <v>0.60352422907488945</v>
      </c>
      <c r="BX1038" s="144">
        <f>BV1038-BU1038</f>
        <v>18550.312290502829</v>
      </c>
      <c r="BY1038" s="144"/>
      <c r="BZ1038" s="144">
        <f>BX1038</f>
        <v>18550.312290502829</v>
      </c>
      <c r="CA1038">
        <f>IFERROR(BZ1038/BQ1038,"")</f>
        <v>4.6025385938548542</v>
      </c>
      <c r="CB1038">
        <v>0</v>
      </c>
      <c r="CC1038">
        <v>0</v>
      </c>
      <c r="CD1038">
        <v>0</v>
      </c>
      <c r="CE1038">
        <v>0</v>
      </c>
      <c r="CF1038">
        <v>0</v>
      </c>
      <c r="CG1038">
        <v>0</v>
      </c>
      <c r="CH1038">
        <v>0</v>
      </c>
      <c r="CI1038">
        <v>0</v>
      </c>
      <c r="CJ1038">
        <v>0</v>
      </c>
      <c r="CK1038">
        <v>0</v>
      </c>
      <c r="CL1038">
        <v>0</v>
      </c>
      <c r="CM1038">
        <v>0</v>
      </c>
      <c r="CN1038">
        <v>0</v>
      </c>
      <c r="CO1038">
        <v>1</v>
      </c>
      <c r="CP1038" t="str">
        <f>IF($BN1038&lt;$BM1038,"refNeedCorrection","refOK")</f>
        <v>refOK</v>
      </c>
      <c r="CQ1038">
        <f>IF($CP1038="refOK",$BM1038,$BN1038)</f>
        <v>82.946708463949804</v>
      </c>
      <c r="CR1038">
        <f>IF($CP1038="refOK",$BN1038,$BM1038)</f>
        <v>84.921630094043806</v>
      </c>
      <c r="CS1038">
        <f>IF($CP1038="refOK",$BQ1038,-$BQ1038)</f>
        <v>4030.4523063142901</v>
      </c>
      <c r="CT1038">
        <f>IF(BI1038="Roundwood",$CS1038/2,$CS1038)</f>
        <v>2015.2261531571451</v>
      </c>
      <c r="CU1038">
        <f>IF($CP1038="refOK",$BU1038,$BV1038)*IF($BR1038="Emissions positive",-1,1)</f>
        <v>-46788.009888268192</v>
      </c>
      <c r="CV1038">
        <f>IF($CP1038="refOK",$BV1038,$BU1038)*IF($BR1038="Emissions positive",-1,1)</f>
        <v>-28237.697597765364</v>
      </c>
      <c r="CW1038">
        <f>IF($CP1038="refNeedCorrection",-BZ1038,BZ1038)*IF($BR1038="Emissions positive",-1,1)</f>
        <v>18550.312290502829</v>
      </c>
      <c r="CX1038">
        <f>IFERROR($CW1038/$CS1038,"")</f>
        <v>4.6025385938548542</v>
      </c>
      <c r="CY1038">
        <f>IFERROR($CW1038/$CS1038,"")</f>
        <v>4.6025385938548542</v>
      </c>
      <c r="CZ1038">
        <f>IFERROR($CW1038/$CT1038,"")</f>
        <v>9.2050771877097084</v>
      </c>
      <c r="DA1038" s="2">
        <f>IFERROR((CV1038-CU1038)/ABS(CU1038),"")</f>
        <v>0.3964757709251106</v>
      </c>
      <c r="DB1038" s="1" t="s">
        <v>1074</v>
      </c>
      <c r="DC1038" t="str">
        <f>IF(OR($DB1038="prd",$DB1038="std",$DB1038="cit"),"loc",IF(OR($DB1038="eur",$DB1038="reg",$DB1038="coy"),"reg",$DB1038))</f>
        <v>reg</v>
      </c>
      <c r="DD1038" t="s">
        <v>235</v>
      </c>
      <c r="DE1038">
        <v>2010</v>
      </c>
      <c r="DF1038">
        <v>2070</v>
      </c>
      <c r="DG1038">
        <f>DF1038-DE1038</f>
        <v>60</v>
      </c>
      <c r="DH1038" t="str">
        <f>IF(DG1038=0,"0",IF(AND(DG1038&gt;=1,DG1038&lt;=30),"1-30",IF(AND(DG1038&gt;30,DG1038&lt;=70),"31-70",IF(AND(DG1038&gt;70,DG1038&lt;=100),"71-100",IF(DG1038&gt;100,"+100")))))</f>
        <v>31-70</v>
      </c>
      <c r="DI1038">
        <v>1</v>
      </c>
      <c r="DJ1038">
        <v>0</v>
      </c>
      <c r="DK1038">
        <v>0</v>
      </c>
      <c r="DL1038">
        <v>0</v>
      </c>
      <c r="DM1038">
        <v>0</v>
      </c>
      <c r="DN1038">
        <f>SUM(DI1038:DL1038)</f>
        <v>1</v>
      </c>
      <c r="DO1038" t="str">
        <f>IF(DN1038=1,INDEX($DI$7:$DL$7,MATCH(1,$DI1038:$DL1038,0)),"mixedProduct")</f>
        <v>UpstreamInput</v>
      </c>
      <c r="DP1038" t="str">
        <f>IF(DI1038=1,DP$7,0)</f>
        <v>Upstream</v>
      </c>
      <c r="DQ1038">
        <f>IF(DJ1038=1,DQ$7,0)</f>
        <v>0</v>
      </c>
      <c r="DR1038">
        <f>IF(DK1038=1,DR$7,0)</f>
        <v>0</v>
      </c>
      <c r="DS1038">
        <f>IF(DL1038=1,DS$7,0)</f>
        <v>0</v>
      </c>
      <c r="DT1038">
        <v>0</v>
      </c>
      <c r="DU1038">
        <v>0</v>
      </c>
      <c r="DV1038">
        <v>0</v>
      </c>
      <c r="DW1038">
        <v>0</v>
      </c>
      <c r="DX1038">
        <v>0</v>
      </c>
      <c r="DY1038">
        <f>SUM(DT1038:DU1038)</f>
        <v>0</v>
      </c>
      <c r="DZ1038" s="143" t="str">
        <f>IF(DT1038=1,"self-calculated DF",IF(DU1038=1,"external DF used","explicit C balance"))</f>
        <v>explicit C balance</v>
      </c>
      <c r="EA1038">
        <v>1</v>
      </c>
      <c r="EB1038">
        <v>1</v>
      </c>
      <c r="EC1038">
        <v>1</v>
      </c>
      <c r="ED1038">
        <v>1</v>
      </c>
      <c r="EE1038">
        <v>0</v>
      </c>
      <c r="EF1038" s="143">
        <v>0</v>
      </c>
      <c r="EG1038">
        <v>0</v>
      </c>
      <c r="EH1038">
        <v>0</v>
      </c>
      <c r="EI1038">
        <v>0</v>
      </c>
      <c r="EJ1038">
        <v>0</v>
      </c>
      <c r="EK1038">
        <v>1</v>
      </c>
      <c r="EL1038">
        <v>0</v>
      </c>
      <c r="EM1038">
        <v>0</v>
      </c>
      <c r="EN1038" s="2">
        <v>0</v>
      </c>
      <c r="EP1038" t="str">
        <f>IF(AND(AND(AND(OR($EC1038=1,$EB1038=1),OR($EH1038=1,$EF1038=1)),SUM($EA1038:$EE1038,$EK1038)&gt;=3),SUM($EF1038:$EJ1038)&gt;=2),"Whole sector approach","")</f>
        <v/>
      </c>
      <c r="EQ1038" t="str">
        <f>IF(AND(AND(OR($EC1038=1,$EB1038=1),AND($EH1038=0,$EF1038=0)),SUM($EA1038:$EE1038,$EK1038)&gt;=4),"Ecosystem approach","")</f>
        <v>Ecosystem approach</v>
      </c>
      <c r="ER1038" s="2" t="str">
        <f>IF(AND(AND(AND($EC1038=0,$EB1038=0),OR($EH1038=1,$EF1038=1)),SUM($EG1038:$EJ1038)&gt;=2),"Technology approach","")</f>
        <v/>
      </c>
      <c r="ES1038" t="str">
        <f>IF(AND($EC1038+$EB1038+$EE1038+$EA1038+$ED1038+$EG1038=0,$N1038="included"),"C neutral forest and HWP assumption","")</f>
        <v/>
      </c>
      <c r="ET1038" t="str">
        <f>IF(AND(AND(AND(AND($EC1038=1,$EB1038+$EA1038+$EG1038&gt;=1),$EF1038=1),$EH1038+$EI1038+$ED1038+$EE1038&gt;=2),$N1038="included"),"All C pools assumption","")</f>
        <v/>
      </c>
      <c r="EU1038" t="str">
        <f>IF(AND($ED1038+$EE1038+$EI1038+$EH1038+$EF1038=0,$N1038="included"),"In-situ only assumption","")</f>
        <v/>
      </c>
      <c r="EW1038" t="s">
        <v>2221</v>
      </c>
      <c r="EY1038" t="str">
        <f>IF(ISNUMBER(BW1038),IF(ABS(BW1038-[2]QC_indicators!$B$2)&gt;3*[2]QC_indicators!$C$2,"C ratio",IF(ISNUMBER(CA1038),IF(ABS(CA1038-[2]QC_indicators!$B$1)&gt;3*[2]QC_indicators!$C$1,"DF","no"))),IF(ISNUMBER(CA1038),IF(ABS(CA1038-[2]QC_indicators!$B$1)&gt;3*[2]QC_indicators!$C$1,"DF","no")))</f>
        <v>no</v>
      </c>
      <c r="EZ1038" t="s">
        <v>2214</v>
      </c>
      <c r="FA1038" t="str">
        <f>IF(LEN($CY1038)=0,"",IF(AND($CY1038&lt;(-0.05),$ES1038="C neutral forest and HWP assumption"),"Cneutral paradox",IF(AND($CY1038&gt;0.05,$EU1038="In-situ only assumption"),"In-situ only paradox","")))</f>
        <v/>
      </c>
      <c r="FD1038" s="260" t="s">
        <v>2932</v>
      </c>
    </row>
    <row r="1039" spans="1:160" ht="15" hidden="1" customHeight="1">
      <c r="A1039" s="1" t="s">
        <v>1295</v>
      </c>
      <c r="B1039" t="s">
        <v>2203</v>
      </c>
      <c r="C1039" t="s">
        <v>2204</v>
      </c>
      <c r="D1039" t="s">
        <v>2205</v>
      </c>
      <c r="E1039" t="s">
        <v>2206</v>
      </c>
      <c r="F1039" t="s">
        <v>2207</v>
      </c>
      <c r="G1039" t="s">
        <v>1301</v>
      </c>
      <c r="H1039" t="s">
        <v>254</v>
      </c>
      <c r="I1039">
        <v>2016</v>
      </c>
      <c r="J1039">
        <v>24</v>
      </c>
      <c r="K1039" t="s">
        <v>2208</v>
      </c>
      <c r="M1039" t="str">
        <f>LEFT($D1039,FIND(",",$D1039)-1)&amp;"_"&amp;I1039&amp;L1039</f>
        <v>Zubizarreta-Gerendiain_2016</v>
      </c>
      <c r="N1039" t="s">
        <v>222</v>
      </c>
      <c r="O1039" s="145" t="s">
        <v>1029</v>
      </c>
      <c r="Q1039" t="s">
        <v>256</v>
      </c>
      <c r="R1039" s="258" t="s">
        <v>223</v>
      </c>
      <c r="S1039" s="1" t="s">
        <v>2219</v>
      </c>
      <c r="T1039" t="s">
        <v>2222</v>
      </c>
      <c r="U1039" t="s">
        <v>2211</v>
      </c>
      <c r="V1039" s="253">
        <v>0</v>
      </c>
      <c r="W1039" s="253">
        <v>0</v>
      </c>
      <c r="X1039">
        <v>0</v>
      </c>
      <c r="Y1039">
        <v>0</v>
      </c>
      <c r="Z1039">
        <v>0</v>
      </c>
      <c r="AA1039">
        <v>2</v>
      </c>
      <c r="AB1039">
        <v>0</v>
      </c>
      <c r="AC1039">
        <v>0</v>
      </c>
      <c r="AD1039">
        <v>0</v>
      </c>
      <c r="AE1039">
        <v>0</v>
      </c>
      <c r="AF1039">
        <v>0</v>
      </c>
      <c r="AG1039">
        <v>0</v>
      </c>
      <c r="AH1039">
        <v>1</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s="141">
        <f>COUNTIF(X1039:AY1039,"&lt;&gt;0")</f>
        <v>2</v>
      </c>
      <c r="BA1039" s="141">
        <f>COUNTIF(X1039:AN1039,"&lt;&gt;0")</f>
        <v>2</v>
      </c>
      <c r="BB1039">
        <f>COUNTIF(X1039:AE1039,"&lt;&gt;0")</f>
        <v>1</v>
      </c>
      <c r="BC1039">
        <f>COUNTIF(AF1039:AK1039,"&lt;&gt;0")</f>
        <v>1</v>
      </c>
      <c r="BD1039">
        <f>COUNTIF(AL1039:AN1039,"&lt;&gt;0")</f>
        <v>0</v>
      </c>
      <c r="BE1039">
        <f>COUNTIF(AU1039:AY1039,"&lt;&gt;0")</f>
        <v>0</v>
      </c>
      <c r="BF1039">
        <f>COUNTIF(AO1039:AT1039,"&lt;&gt;0")</f>
        <v>0</v>
      </c>
      <c r="BG1039" t="str">
        <f t="array" ref="BG1039">IF(BA1039=1,INDEX($X$7:$AN$7,MATCH(TRUE,INDEX($X1039:$AY1039&lt;&gt;0,),0)),IF(BA1039=0,INDEX($AO$7:$AY$7,MATCH(1,$AO1039:$AY1039,0)),IF(BH1039="Multiple strategies","mixed drivers",IF(BH1039="Supply chain","multiple supply","multiple silviculture"))))</f>
        <v>mixed drivers</v>
      </c>
      <c r="BH1039" s="2" t="str" cm="1">
        <f t="array" ref="BH1039">IF(COUNTIF(BB1039:BD1039,"&lt;&gt;0")=1,INDEX($X$4:$AY$4,MATCH(TRUE,INDEX($X1039:$AY1039&lt;&gt;0,),0)),IF(COUNTIF(BB1039:BD1039,"&lt;&gt;0")=0,INDEX($AO$4:$AY$4,MATCH(1,$AO1039:$AY1039,0)),"Multiple strategies"))</f>
        <v>Multiple strategies</v>
      </c>
      <c r="BI1039" s="1" t="s">
        <v>321</v>
      </c>
      <c r="BJ1039" t="s">
        <v>2212</v>
      </c>
      <c r="BK1039" s="260" t="s">
        <v>1919</v>
      </c>
      <c r="BL1039" t="s">
        <v>2213</v>
      </c>
      <c r="BM1039">
        <v>64.910485933503793</v>
      </c>
      <c r="BN1039">
        <v>82.946708463949804</v>
      </c>
      <c r="BO1039" s="143">
        <f>BN1039/BM1039</f>
        <v>1.2778630027346098</v>
      </c>
      <c r="BP1039">
        <f>BN1039-BM1039</f>
        <v>18.036222530446011</v>
      </c>
      <c r="BQ1039">
        <f>BP1039*1000*t_to_m3</f>
        <v>36808.617409073493</v>
      </c>
      <c r="BR1039" s="143" t="s">
        <v>232</v>
      </c>
      <c r="BS1039" s="143" t="s">
        <v>2931</v>
      </c>
      <c r="BT1039" t="s">
        <v>1070</v>
      </c>
      <c r="BU1039">
        <v>78941.884525139583</v>
      </c>
      <c r="BV1039">
        <v>-46788.009888268192</v>
      </c>
      <c r="BW1039" s="144">
        <f>IFERROR(BV1039/BU1039,"")</f>
        <v>-0.59268929503916556</v>
      </c>
      <c r="BX1039" s="144">
        <f>BV1039-BU1039</f>
        <v>-125729.89441340778</v>
      </c>
      <c r="BY1039" s="144"/>
      <c r="BZ1039" s="144">
        <f>BX1039</f>
        <v>-125729.89441340778</v>
      </c>
      <c r="CA1039">
        <f>IFERROR(BZ1039/BQ1039,"")</f>
        <v>-3.4157733504658823</v>
      </c>
      <c r="CB1039">
        <v>0</v>
      </c>
      <c r="CC1039">
        <v>0</v>
      </c>
      <c r="CD1039">
        <v>0</v>
      </c>
      <c r="CE1039">
        <v>0</v>
      </c>
      <c r="CF1039">
        <v>0</v>
      </c>
      <c r="CG1039">
        <v>0</v>
      </c>
      <c r="CH1039">
        <v>0</v>
      </c>
      <c r="CI1039">
        <v>0</v>
      </c>
      <c r="CJ1039">
        <v>0</v>
      </c>
      <c r="CK1039">
        <v>0</v>
      </c>
      <c r="CL1039">
        <v>0</v>
      </c>
      <c r="CM1039">
        <v>0</v>
      </c>
      <c r="CN1039">
        <v>0</v>
      </c>
      <c r="CO1039">
        <v>1</v>
      </c>
      <c r="CP1039" t="str">
        <f>IF($BN1039&lt;$BM1039,"refNeedCorrection","refOK")</f>
        <v>refOK</v>
      </c>
      <c r="CQ1039">
        <f>IF($CP1039="refOK",$BM1039,$BN1039)</f>
        <v>64.910485933503793</v>
      </c>
      <c r="CR1039">
        <f>IF($CP1039="refOK",$BN1039,$BM1039)</f>
        <v>82.946708463949804</v>
      </c>
      <c r="CS1039">
        <f>IF($CP1039="refOK",$BQ1039,-$BQ1039)</f>
        <v>36808.617409073493</v>
      </c>
      <c r="CT1039">
        <f>IF(BI1039="Roundwood",$CS1039/2,$CS1039)</f>
        <v>18404.308704536747</v>
      </c>
      <c r="CU1039">
        <f>IF($CP1039="refOK",$BU1039,$BV1039)*IF($BR1039="Emissions positive",-1,1)</f>
        <v>78941.884525139583</v>
      </c>
      <c r="CV1039">
        <f>IF($CP1039="refOK",$BV1039,$BU1039)*IF($BR1039="Emissions positive",-1,1)</f>
        <v>-46788.009888268192</v>
      </c>
      <c r="CW1039">
        <f>IF($CP1039="refNeedCorrection",-BZ1039,BZ1039)*IF($BR1039="Emissions positive",-1,1)</f>
        <v>-125729.89441340778</v>
      </c>
      <c r="CX1039">
        <f>IFERROR($CW1039/$CS1039,"")</f>
        <v>-3.4157733504658823</v>
      </c>
      <c r="CY1039">
        <f>IFERROR($CW1039/$CS1039,"")</f>
        <v>-3.4157733504658823</v>
      </c>
      <c r="CZ1039">
        <f>IFERROR($CW1039/$CT1039,"")</f>
        <v>-6.8315467009317645</v>
      </c>
      <c r="DA1039" s="2">
        <f>IFERROR((CV1039-CU1039)/ABS(CU1039),"")</f>
        <v>-1.5926892950391656</v>
      </c>
      <c r="DB1039" s="1" t="s">
        <v>1074</v>
      </c>
      <c r="DC1039" t="str">
        <f>IF(OR($DB1039="prd",$DB1039="std",$DB1039="cit"),"loc",IF(OR($DB1039="eur",$DB1039="reg",$DB1039="coy"),"reg",$DB1039))</f>
        <v>reg</v>
      </c>
      <c r="DD1039" t="s">
        <v>235</v>
      </c>
      <c r="DE1039">
        <v>2010</v>
      </c>
      <c r="DF1039">
        <v>2070</v>
      </c>
      <c r="DG1039">
        <f>DF1039-DE1039</f>
        <v>60</v>
      </c>
      <c r="DH1039" t="str">
        <f>IF(DG1039=0,"0",IF(AND(DG1039&gt;=1,DG1039&lt;=30),"1-30",IF(AND(DG1039&gt;30,DG1039&lt;=70),"31-70",IF(AND(DG1039&gt;70,DG1039&lt;=100),"71-100",IF(DG1039&gt;100,"+100")))))</f>
        <v>31-70</v>
      </c>
      <c r="DI1039">
        <v>1</v>
      </c>
      <c r="DJ1039">
        <v>0</v>
      </c>
      <c r="DK1039">
        <v>0</v>
      </c>
      <c r="DL1039">
        <v>0</v>
      </c>
      <c r="DM1039">
        <v>0</v>
      </c>
      <c r="DN1039">
        <f>SUM(DI1039:DL1039)</f>
        <v>1</v>
      </c>
      <c r="DO1039" t="str">
        <f>IF(DN1039=1,INDEX($DI$7:$DL$7,MATCH(1,$DI1039:$DL1039,0)),"mixedProduct")</f>
        <v>UpstreamInput</v>
      </c>
      <c r="DP1039" t="str">
        <f>IF(DI1039=1,DP$7,0)</f>
        <v>Upstream</v>
      </c>
      <c r="DQ1039">
        <f>IF(DJ1039=1,DQ$7,0)</f>
        <v>0</v>
      </c>
      <c r="DR1039">
        <f>IF(DK1039=1,DR$7,0)</f>
        <v>0</v>
      </c>
      <c r="DS1039">
        <f>IF(DL1039=1,DS$7,0)</f>
        <v>0</v>
      </c>
      <c r="DT1039">
        <v>0</v>
      </c>
      <c r="DU1039">
        <v>0</v>
      </c>
      <c r="DV1039">
        <v>0</v>
      </c>
      <c r="DW1039">
        <v>0</v>
      </c>
      <c r="DX1039">
        <v>0</v>
      </c>
      <c r="DY1039">
        <f>SUM(DT1039:DU1039)</f>
        <v>0</v>
      </c>
      <c r="DZ1039" s="143" t="str">
        <f>IF(DT1039=1,"self-calculated DF",IF(DU1039=1,"external DF used","explicit C balance"))</f>
        <v>explicit C balance</v>
      </c>
      <c r="EA1039">
        <v>1</v>
      </c>
      <c r="EB1039">
        <v>1</v>
      </c>
      <c r="EC1039">
        <v>1</v>
      </c>
      <c r="ED1039">
        <v>1</v>
      </c>
      <c r="EE1039">
        <v>0</v>
      </c>
      <c r="EF1039" s="143">
        <v>0</v>
      </c>
      <c r="EG1039">
        <v>0</v>
      </c>
      <c r="EH1039">
        <v>0</v>
      </c>
      <c r="EI1039">
        <v>0</v>
      </c>
      <c r="EJ1039">
        <v>0</v>
      </c>
      <c r="EK1039">
        <v>1</v>
      </c>
      <c r="EL1039">
        <v>0</v>
      </c>
      <c r="EM1039">
        <v>0</v>
      </c>
      <c r="EN1039" s="2">
        <v>0</v>
      </c>
      <c r="EP1039" t="str">
        <f>IF(AND(AND(AND(OR($EC1039=1,$EB1039=1),OR($EH1039=1,$EF1039=1)),SUM($EA1039:$EE1039,$EK1039)&gt;=3),SUM($EF1039:$EJ1039)&gt;=2),"Whole sector approach","")</f>
        <v/>
      </c>
      <c r="EQ1039" t="str">
        <f>IF(AND(AND(OR($EC1039=1,$EB1039=1),AND($EH1039=0,$EF1039=0)),SUM($EA1039:$EE1039,$EK1039)&gt;=4),"Ecosystem approach","")</f>
        <v>Ecosystem approach</v>
      </c>
      <c r="ER1039" s="2" t="str">
        <f>IF(AND(AND(AND($EC1039=0,$EB1039=0),OR($EH1039=1,$EF1039=1)),SUM($EG1039:$EJ1039)&gt;=2),"Technology approach","")</f>
        <v/>
      </c>
      <c r="ES1039" t="str">
        <f>IF(AND($EC1039+$EB1039+$EE1039+$EA1039+$ED1039+$EG1039=0,$N1039="included"),"C neutral forest and HWP assumption","")</f>
        <v/>
      </c>
      <c r="ET1039" t="str">
        <f>IF(AND(AND(AND(AND($EC1039=1,$EB1039+$EA1039+$EG1039&gt;=1),$EF1039=1),$EH1039+$EI1039+$ED1039+$EE1039&gt;=2),$N1039="included"),"All C pools assumption","")</f>
        <v/>
      </c>
      <c r="EU1039" t="str">
        <f>IF(AND($ED1039+$EE1039+$EI1039+$EH1039+$EF1039=0,$N1039="included"),"In-situ only assumption","")</f>
        <v/>
      </c>
      <c r="EW1039" t="s">
        <v>2221</v>
      </c>
      <c r="EY1039" t="str">
        <f>IF(ISNUMBER(BW1039),IF(ABS(BW1039-[2]QC_indicators!$B$2)&gt;3*[2]QC_indicators!$C$2,"C ratio",IF(ISNUMBER(CA1039),IF(ABS(CA1039-[2]QC_indicators!$B$1)&gt;3*[2]QC_indicators!$C$1,"DF","no"))),IF(ISNUMBER(CA1039),IF(ABS(CA1039-[2]QC_indicators!$B$1)&gt;3*[2]QC_indicators!$C$1,"DF","no")))</f>
        <v>no</v>
      </c>
      <c r="FA1039" t="str">
        <f>IF(LEN($CY1039)=0,"",IF(AND($CY1039&lt;(-0.05),$ES1039="C neutral forest and HWP assumption"),"Cneutral paradox",IF(AND($CY1039&gt;0.05,$EU1039="In-situ only assumption"),"In-situ only paradox","")))</f>
        <v/>
      </c>
      <c r="FD1039" s="260" t="s">
        <v>2932</v>
      </c>
    </row>
    <row r="1040" spans="1:160" hidden="1">
      <c r="A1040" s="1" t="s">
        <v>1295</v>
      </c>
      <c r="B1040" t="s">
        <v>2203</v>
      </c>
      <c r="C1040" t="s">
        <v>2204</v>
      </c>
      <c r="D1040" t="s">
        <v>2205</v>
      </c>
      <c r="E1040" t="s">
        <v>2206</v>
      </c>
      <c r="F1040" t="s">
        <v>2207</v>
      </c>
      <c r="G1040" t="s">
        <v>1301</v>
      </c>
      <c r="H1040" t="s">
        <v>254</v>
      </c>
      <c r="I1040">
        <v>2016</v>
      </c>
      <c r="J1040">
        <v>24</v>
      </c>
      <c r="K1040" t="s">
        <v>2208</v>
      </c>
      <c r="M1040" t="str">
        <f>LEFT($D1040,FIND(",",$D1040)-1)&amp;"_"&amp;I1040&amp;L1040</f>
        <v>Zubizarreta-Gerendiain_2016</v>
      </c>
      <c r="N1040" t="s">
        <v>222</v>
      </c>
      <c r="O1040" s="145" t="s">
        <v>1029</v>
      </c>
      <c r="Q1040" t="s">
        <v>256</v>
      </c>
      <c r="R1040" s="258" t="s">
        <v>223</v>
      </c>
      <c r="S1040" s="1" t="s">
        <v>2219</v>
      </c>
      <c r="T1040" t="s">
        <v>2220</v>
      </c>
      <c r="U1040" t="s">
        <v>2217</v>
      </c>
      <c r="V1040" s="253">
        <v>0</v>
      </c>
      <c r="W1040" s="253">
        <v>0</v>
      </c>
      <c r="X1040">
        <v>0</v>
      </c>
      <c r="Y1040">
        <v>0</v>
      </c>
      <c r="Z1040">
        <v>0</v>
      </c>
      <c r="AA1040">
        <v>2</v>
      </c>
      <c r="AB1040">
        <v>0</v>
      </c>
      <c r="AC1040">
        <v>0</v>
      </c>
      <c r="AD1040">
        <v>0</v>
      </c>
      <c r="AE1040">
        <v>0</v>
      </c>
      <c r="AF1040">
        <v>0</v>
      </c>
      <c r="AG1040">
        <v>0</v>
      </c>
      <c r="AH1040">
        <v>1</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s="141">
        <f>COUNTIF(X1040:AY1040,"&lt;&gt;0")</f>
        <v>2</v>
      </c>
      <c r="BA1040" s="141">
        <f>COUNTIF(X1040:AN1040,"&lt;&gt;0")</f>
        <v>2</v>
      </c>
      <c r="BB1040">
        <f>COUNTIF(X1040:AE1040,"&lt;&gt;0")</f>
        <v>1</v>
      </c>
      <c r="BC1040">
        <f>COUNTIF(AF1040:AK1040,"&lt;&gt;0")</f>
        <v>1</v>
      </c>
      <c r="BD1040">
        <f>COUNTIF(AL1040:AN1040,"&lt;&gt;0")</f>
        <v>0</v>
      </c>
      <c r="BE1040">
        <f>COUNTIF(AU1040:AY1040,"&lt;&gt;0")</f>
        <v>0</v>
      </c>
      <c r="BF1040">
        <f>COUNTIF(AO1040:AT1040,"&lt;&gt;0")</f>
        <v>0</v>
      </c>
      <c r="BG1040" t="str">
        <f t="array" ref="BG1040">IF(BA1040=1,INDEX($X$7:$AN$7,MATCH(TRUE,INDEX($X1040:$AY1040&lt;&gt;0,),0)),IF(BA1040=0,INDEX($AO$7:$AY$7,MATCH(1,$AO1040:$AY1040,0)),IF(BH1040="Multiple strategies","mixed drivers",IF(BH1040="Supply chain","multiple supply","multiple silviculture"))))</f>
        <v>mixed drivers</v>
      </c>
      <c r="BH1040" s="2" t="str" cm="1">
        <f t="array" ref="BH1040">IF(COUNTIF(BB1040:BD1040,"&lt;&gt;0")=1,INDEX($X$4:$AY$4,MATCH(TRUE,INDEX($X1040:$AY1040&lt;&gt;0,),0)),IF(COUNTIF(BB1040:BD1040,"&lt;&gt;0")=0,INDEX($AO$4:$AY$4,MATCH(1,$AO1040:$AY1040,0)),"Multiple strategies"))</f>
        <v>Multiple strategies</v>
      </c>
      <c r="BI1040" s="1" t="s">
        <v>321</v>
      </c>
      <c r="BJ1040" t="s">
        <v>2212</v>
      </c>
      <c r="BK1040" s="260" t="s">
        <v>1919</v>
      </c>
      <c r="BL1040" t="s">
        <v>2213</v>
      </c>
      <c r="BM1040">
        <v>64.910485933503793</v>
      </c>
      <c r="BN1040">
        <v>82.634271099744197</v>
      </c>
      <c r="BO1040" s="143">
        <f>BN1040/BM1040</f>
        <v>1.273049645390071</v>
      </c>
      <c r="BP1040">
        <f>BN1040-BM1040</f>
        <v>17.723785166240404</v>
      </c>
      <c r="BQ1040">
        <f>BP1040*1000*t_to_m3</f>
        <v>36170.990135184496</v>
      </c>
      <c r="BR1040" s="143" t="s">
        <v>232</v>
      </c>
      <c r="BS1040" s="143" t="s">
        <v>2931</v>
      </c>
      <c r="BT1040" t="s">
        <v>1070</v>
      </c>
      <c r="BU1040">
        <v>103859.82747603832</v>
      </c>
      <c r="BV1040">
        <v>-22456.178913738113</v>
      </c>
      <c r="BW1040" s="144">
        <f>IFERROR(BV1040/BU1040,"")</f>
        <v>-0.21621621621621714</v>
      </c>
      <c r="BX1040" s="144">
        <f>BV1040-BU1040</f>
        <v>-126316.00638977643</v>
      </c>
      <c r="BY1040" s="144"/>
      <c r="BZ1040" s="144">
        <f>BX1040</f>
        <v>-126316.00638977643</v>
      </c>
      <c r="CA1040">
        <f>IFERROR(BZ1040/BQ1040,"")</f>
        <v>-3.4921910049375575</v>
      </c>
      <c r="CB1040">
        <v>0</v>
      </c>
      <c r="CC1040">
        <v>0</v>
      </c>
      <c r="CD1040">
        <v>0</v>
      </c>
      <c r="CE1040">
        <v>0</v>
      </c>
      <c r="CF1040">
        <v>0</v>
      </c>
      <c r="CG1040">
        <v>0</v>
      </c>
      <c r="CH1040">
        <v>0</v>
      </c>
      <c r="CI1040">
        <v>0</v>
      </c>
      <c r="CJ1040">
        <v>0</v>
      </c>
      <c r="CK1040">
        <v>0</v>
      </c>
      <c r="CL1040">
        <v>0</v>
      </c>
      <c r="CM1040">
        <v>0</v>
      </c>
      <c r="CN1040">
        <v>0</v>
      </c>
      <c r="CO1040">
        <v>1</v>
      </c>
      <c r="CP1040" t="str">
        <f>IF($BN1040&lt;$BM1040,"refNeedCorrection","refOK")</f>
        <v>refOK</v>
      </c>
      <c r="CQ1040">
        <f>IF($CP1040="refOK",$BM1040,$BN1040)</f>
        <v>64.910485933503793</v>
      </c>
      <c r="CR1040">
        <f>IF($CP1040="refOK",$BN1040,$BM1040)</f>
        <v>82.634271099744197</v>
      </c>
      <c r="CS1040">
        <f>IF($CP1040="refOK",$BQ1040,-$BQ1040)</f>
        <v>36170.990135184496</v>
      </c>
      <c r="CT1040">
        <f>IF(BI1040="Roundwood",$CS1040/2,$CS1040)</f>
        <v>18085.495067592248</v>
      </c>
      <c r="CU1040">
        <f>IF($CP1040="refOK",$BU1040,$BV1040)*IF($BR1040="Emissions positive",-1,1)</f>
        <v>103859.82747603832</v>
      </c>
      <c r="CV1040">
        <f>IF($CP1040="refOK",$BV1040,$BU1040)*IF($BR1040="Emissions positive",-1,1)</f>
        <v>-22456.178913738113</v>
      </c>
      <c r="CW1040">
        <f>IF($CP1040="refNeedCorrection",-BZ1040,BZ1040)*IF($BR1040="Emissions positive",-1,1)</f>
        <v>-126316.00638977643</v>
      </c>
      <c r="CX1040">
        <f>IFERROR($CW1040/$CS1040,"")</f>
        <v>-3.4921910049375575</v>
      </c>
      <c r="CY1040">
        <f>IFERROR($CW1040/$CS1040,"")</f>
        <v>-3.4921910049375575</v>
      </c>
      <c r="CZ1040">
        <f>IFERROR($CW1040/$CT1040,"")</f>
        <v>-6.984382009875115</v>
      </c>
      <c r="DA1040" s="2">
        <f>IFERROR((CV1040-CU1040)/ABS(CU1040),"")</f>
        <v>-1.2162162162162171</v>
      </c>
      <c r="DB1040" s="1" t="s">
        <v>1074</v>
      </c>
      <c r="DC1040" t="str">
        <f>IF(OR($DB1040="prd",$DB1040="std",$DB1040="cit"),"loc",IF(OR($DB1040="eur",$DB1040="reg",$DB1040="coy"),"reg",$DB1040))</f>
        <v>reg</v>
      </c>
      <c r="DD1040" t="s">
        <v>235</v>
      </c>
      <c r="DE1040">
        <v>2010</v>
      </c>
      <c r="DF1040">
        <v>2070</v>
      </c>
      <c r="DG1040">
        <f>DF1040-DE1040</f>
        <v>60</v>
      </c>
      <c r="DH1040" t="str">
        <f>IF(DG1040=0,"0",IF(AND(DG1040&gt;=1,DG1040&lt;=30),"1-30",IF(AND(DG1040&gt;30,DG1040&lt;=70),"31-70",IF(AND(DG1040&gt;70,DG1040&lt;=100),"71-100",IF(DG1040&gt;100,"+100")))))</f>
        <v>31-70</v>
      </c>
      <c r="DI1040">
        <v>1</v>
      </c>
      <c r="DJ1040">
        <v>0</v>
      </c>
      <c r="DK1040">
        <v>0</v>
      </c>
      <c r="DL1040">
        <v>0</v>
      </c>
      <c r="DM1040">
        <v>0</v>
      </c>
      <c r="DN1040">
        <f>SUM(DI1040:DL1040)</f>
        <v>1</v>
      </c>
      <c r="DO1040" t="str">
        <f>IF(DN1040=1,INDEX($DI$7:$DL$7,MATCH(1,$DI1040:$DL1040,0)),"mixedProduct")</f>
        <v>UpstreamInput</v>
      </c>
      <c r="DP1040" t="str">
        <f>IF(DI1040=1,DP$7,0)</f>
        <v>Upstream</v>
      </c>
      <c r="DQ1040">
        <f>IF(DJ1040=1,DQ$7,0)</f>
        <v>0</v>
      </c>
      <c r="DR1040">
        <f>IF(DK1040=1,DR$7,0)</f>
        <v>0</v>
      </c>
      <c r="DS1040">
        <f>IF(DL1040=1,DS$7,0)</f>
        <v>0</v>
      </c>
      <c r="DT1040">
        <v>0</v>
      </c>
      <c r="DU1040">
        <v>0</v>
      </c>
      <c r="DV1040">
        <v>0</v>
      </c>
      <c r="DW1040">
        <v>0</v>
      </c>
      <c r="DX1040">
        <v>0</v>
      </c>
      <c r="DY1040">
        <f>SUM(DT1040:DU1040)</f>
        <v>0</v>
      </c>
      <c r="DZ1040" s="143" t="str">
        <f>IF(DT1040=1,"self-calculated DF",IF(DU1040=1,"external DF used","explicit C balance"))</f>
        <v>explicit C balance</v>
      </c>
      <c r="EA1040">
        <v>1</v>
      </c>
      <c r="EB1040">
        <v>1</v>
      </c>
      <c r="EC1040">
        <v>1</v>
      </c>
      <c r="ED1040">
        <v>1</v>
      </c>
      <c r="EE1040">
        <v>0</v>
      </c>
      <c r="EF1040" s="143">
        <v>0</v>
      </c>
      <c r="EG1040">
        <v>0</v>
      </c>
      <c r="EH1040">
        <v>0</v>
      </c>
      <c r="EI1040">
        <v>0</v>
      </c>
      <c r="EJ1040">
        <v>0</v>
      </c>
      <c r="EK1040">
        <v>1</v>
      </c>
      <c r="EL1040">
        <v>0</v>
      </c>
      <c r="EM1040">
        <v>0</v>
      </c>
      <c r="EN1040" s="2">
        <v>0</v>
      </c>
      <c r="EP1040" t="str">
        <f>IF(AND(AND(AND(OR($EC1040=1,$EB1040=1),OR($EH1040=1,$EF1040=1)),SUM($EA1040:$EE1040,$EK1040)&gt;=3),SUM($EF1040:$EJ1040)&gt;=2),"Whole sector approach","")</f>
        <v/>
      </c>
      <c r="EQ1040" t="str">
        <f>IF(AND(AND(OR($EC1040=1,$EB1040=1),AND($EH1040=0,$EF1040=0)),SUM($EA1040:$EE1040,$EK1040)&gt;=4),"Ecosystem approach","")</f>
        <v>Ecosystem approach</v>
      </c>
      <c r="ER1040" s="2" t="str">
        <f>IF(AND(AND(AND($EC1040=0,$EB1040=0),OR($EH1040=1,$EF1040=1)),SUM($EG1040:$EJ1040)&gt;=2),"Technology approach","")</f>
        <v/>
      </c>
      <c r="ES1040" t="str">
        <f>IF(AND($EC1040+$EB1040+$EE1040+$EA1040+$ED1040+$EG1040=0,$N1040="included"),"C neutral forest and HWP assumption","")</f>
        <v/>
      </c>
      <c r="ET1040" t="str">
        <f>IF(AND(AND(AND(AND($EC1040=1,$EB1040+$EA1040+$EG1040&gt;=1),$EF1040=1),$EH1040+$EI1040+$ED1040+$EE1040&gt;=2),$N1040="included"),"All C pools assumption","")</f>
        <v/>
      </c>
      <c r="EU1040" t="str">
        <f>IF(AND($ED1040+$EE1040+$EI1040+$EH1040+$EF1040=0,$N1040="included"),"In-situ only assumption","")</f>
        <v/>
      </c>
      <c r="EW1040" t="s">
        <v>2221</v>
      </c>
      <c r="EY1040" t="str">
        <f>IF(ISNUMBER(BW1040),IF(ABS(BW1040-[2]QC_indicators!$B$2)&gt;3*[2]QC_indicators!$C$2,"C ratio",IF(ISNUMBER(CA1040),IF(ABS(CA1040-[2]QC_indicators!$B$1)&gt;3*[2]QC_indicators!$C$1,"DF","no"))),IF(ISNUMBER(CA1040),IF(ABS(CA1040-[2]QC_indicators!$B$1)&gt;3*[2]QC_indicators!$C$1,"DF","no")))</f>
        <v>no</v>
      </c>
      <c r="FA1040" t="str">
        <f>IF(LEN($CY1040)=0,"",IF(AND($CY1040&lt;(-0.05),$ES1040="C neutral forest and HWP assumption"),"Cneutral paradox",IF(AND($CY1040&gt;0.05,$EU1040="In-situ only assumption"),"In-situ only paradox","")))</f>
        <v/>
      </c>
      <c r="FD1040" s="260" t="s">
        <v>2932</v>
      </c>
    </row>
    <row r="1041" spans="1:160" ht="15" hidden="1" customHeight="1">
      <c r="A1041" s="1" t="s">
        <v>1295</v>
      </c>
      <c r="B1041" t="s">
        <v>2203</v>
      </c>
      <c r="C1041" t="s">
        <v>2204</v>
      </c>
      <c r="D1041" t="s">
        <v>2205</v>
      </c>
      <c r="E1041" t="s">
        <v>2206</v>
      </c>
      <c r="F1041" t="s">
        <v>2207</v>
      </c>
      <c r="G1041" t="s">
        <v>1301</v>
      </c>
      <c r="H1041" t="s">
        <v>254</v>
      </c>
      <c r="I1041">
        <v>2016</v>
      </c>
      <c r="J1041">
        <v>24</v>
      </c>
      <c r="K1041" t="s">
        <v>2208</v>
      </c>
      <c r="M1041" t="str">
        <f>LEFT($D1041,FIND(",",$D1041)-1)&amp;"_"&amp;I1041&amp;L1041</f>
        <v>Zubizarreta-Gerendiain_2016</v>
      </c>
      <c r="N1041" t="s">
        <v>222</v>
      </c>
      <c r="O1041" s="145" t="s">
        <v>1029</v>
      </c>
      <c r="Q1041" t="s">
        <v>256</v>
      </c>
      <c r="R1041" s="258" t="s">
        <v>223</v>
      </c>
      <c r="S1041" s="1" t="s">
        <v>2209</v>
      </c>
      <c r="T1041" t="s">
        <v>2218</v>
      </c>
      <c r="U1041" t="s">
        <v>2217</v>
      </c>
      <c r="V1041" s="253">
        <v>0</v>
      </c>
      <c r="W1041" s="253">
        <v>0</v>
      </c>
      <c r="X1041">
        <v>0</v>
      </c>
      <c r="Y1041">
        <v>0</v>
      </c>
      <c r="Z1041">
        <v>0</v>
      </c>
      <c r="AA1041">
        <v>2</v>
      </c>
      <c r="AB1041">
        <v>0</v>
      </c>
      <c r="AC1041">
        <v>0</v>
      </c>
      <c r="AD1041">
        <v>0</v>
      </c>
      <c r="AE1041">
        <v>0</v>
      </c>
      <c r="AF1041">
        <v>0</v>
      </c>
      <c r="AG1041">
        <v>0</v>
      </c>
      <c r="AH1041">
        <v>1</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s="141">
        <f>COUNTIF(X1041:AY1041,"&lt;&gt;0")</f>
        <v>2</v>
      </c>
      <c r="BA1041" s="141">
        <f>COUNTIF(X1041:AN1041,"&lt;&gt;0")</f>
        <v>2</v>
      </c>
      <c r="BB1041">
        <f>COUNTIF(X1041:AE1041,"&lt;&gt;0")</f>
        <v>1</v>
      </c>
      <c r="BC1041">
        <f>COUNTIF(AF1041:AK1041,"&lt;&gt;0")</f>
        <v>1</v>
      </c>
      <c r="BD1041">
        <f>COUNTIF(AL1041:AN1041,"&lt;&gt;0")</f>
        <v>0</v>
      </c>
      <c r="BE1041">
        <f>COUNTIF(AU1041:AY1041,"&lt;&gt;0")</f>
        <v>0</v>
      </c>
      <c r="BF1041">
        <f>COUNTIF(AO1041:AT1041,"&lt;&gt;0")</f>
        <v>0</v>
      </c>
      <c r="BG1041" t="str">
        <f t="array" ref="BG1041">IF(BA1041=1,INDEX($X$7:$AN$7,MATCH(TRUE,INDEX($X1041:$AY1041&lt;&gt;0,),0)),IF(BA1041=0,INDEX($AO$7:$AY$7,MATCH(1,$AO1041:$AY1041,0)),IF(BH1041="Multiple strategies","mixed drivers",IF(BH1041="Supply chain","multiple supply","multiple silviculture"))))</f>
        <v>mixed drivers</v>
      </c>
      <c r="BH1041" s="2" t="str" cm="1">
        <f t="array" ref="BH1041">IF(COUNTIF(BB1041:BD1041,"&lt;&gt;0")=1,INDEX($X$4:$AY$4,MATCH(TRUE,INDEX($X1041:$AY1041&lt;&gt;0,),0)),IF(COUNTIF(BB1041:BD1041,"&lt;&gt;0")=0,INDEX($AO$4:$AY$4,MATCH(1,$AO1041:$AY1041,0)),"Multiple strategies"))</f>
        <v>Multiple strategies</v>
      </c>
      <c r="BI1041" s="1" t="s">
        <v>321</v>
      </c>
      <c r="BJ1041" t="s">
        <v>2212</v>
      </c>
      <c r="BK1041" s="260" t="s">
        <v>1919</v>
      </c>
      <c r="BL1041" t="s">
        <v>2213</v>
      </c>
      <c r="BM1041">
        <v>70.434782608695599</v>
      </c>
      <c r="BN1041">
        <v>82.634271099744197</v>
      </c>
      <c r="BO1041" s="143">
        <f>BN1041/BM1041</f>
        <v>1.1732026143790852</v>
      </c>
      <c r="BP1041">
        <f>BN1041-BM1041</f>
        <v>12.199488491048598</v>
      </c>
      <c r="BQ1041">
        <f>BP1041*1000*t_to_m3</f>
        <v>24896.915287854281</v>
      </c>
      <c r="BR1041" s="143" t="s">
        <v>232</v>
      </c>
      <c r="BS1041" s="143" t="s">
        <v>2931</v>
      </c>
      <c r="BT1041" t="s">
        <v>1070</v>
      </c>
      <c r="BU1041">
        <v>82807.159744408913</v>
      </c>
      <c r="BV1041">
        <v>-22456.178913738113</v>
      </c>
      <c r="BW1041" s="144">
        <f>IFERROR(BV1041/BU1041,"")</f>
        <v>-0.27118644067796732</v>
      </c>
      <c r="BX1041" s="144">
        <f>BV1041-BU1041</f>
        <v>-105263.33865814703</v>
      </c>
      <c r="BY1041" s="144"/>
      <c r="BZ1041" s="144">
        <f>BX1041</f>
        <v>-105263.33865814703</v>
      </c>
      <c r="CA1041">
        <f>IFERROR(BZ1041/BQ1041,"")</f>
        <v>-4.2279670971728267</v>
      </c>
      <c r="CB1041">
        <v>0</v>
      </c>
      <c r="CC1041">
        <v>0</v>
      </c>
      <c r="CD1041">
        <v>0</v>
      </c>
      <c r="CE1041">
        <v>0</v>
      </c>
      <c r="CF1041">
        <v>0</v>
      </c>
      <c r="CG1041">
        <v>0</v>
      </c>
      <c r="CH1041">
        <v>0</v>
      </c>
      <c r="CI1041">
        <v>0</v>
      </c>
      <c r="CJ1041">
        <v>0</v>
      </c>
      <c r="CK1041">
        <v>0</v>
      </c>
      <c r="CL1041">
        <v>0</v>
      </c>
      <c r="CM1041">
        <v>0</v>
      </c>
      <c r="CN1041">
        <v>0</v>
      </c>
      <c r="CO1041">
        <v>1</v>
      </c>
      <c r="CP1041" t="str">
        <f>IF($BN1041&lt;$BM1041,"refNeedCorrection","refOK")</f>
        <v>refOK</v>
      </c>
      <c r="CQ1041">
        <f>IF($CP1041="refOK",$BM1041,$BN1041)</f>
        <v>70.434782608695599</v>
      </c>
      <c r="CR1041">
        <f>IF($CP1041="refOK",$BN1041,$BM1041)</f>
        <v>82.634271099744197</v>
      </c>
      <c r="CS1041">
        <f>IF($CP1041="refOK",$BQ1041,-$BQ1041)</f>
        <v>24896.915287854281</v>
      </c>
      <c r="CT1041">
        <f>IF(BI1041="Roundwood",$CS1041/2,$CS1041)</f>
        <v>12448.45764392714</v>
      </c>
      <c r="CU1041">
        <f>IF($CP1041="refOK",$BU1041,$BV1041)*IF($BR1041="Emissions positive",-1,1)</f>
        <v>82807.159744408913</v>
      </c>
      <c r="CV1041">
        <f>IF($CP1041="refOK",$BV1041,$BU1041)*IF($BR1041="Emissions positive",-1,1)</f>
        <v>-22456.178913738113</v>
      </c>
      <c r="CW1041">
        <f>IF($CP1041="refNeedCorrection",-BZ1041,BZ1041)*IF($BR1041="Emissions positive",-1,1)</f>
        <v>-105263.33865814703</v>
      </c>
      <c r="CX1041">
        <f>IFERROR($CW1041/$CS1041,"")</f>
        <v>-4.2279670971728267</v>
      </c>
      <c r="CY1041">
        <f>IFERROR($CW1041/$CS1041,"")</f>
        <v>-4.2279670971728267</v>
      </c>
      <c r="CZ1041">
        <f>IFERROR($CW1041/$CT1041,"")</f>
        <v>-8.4559341943456534</v>
      </c>
      <c r="DA1041" s="2">
        <f>IFERROR((CV1041-CU1041)/ABS(CU1041),"")</f>
        <v>-1.2711864406779674</v>
      </c>
      <c r="DB1041" s="1" t="s">
        <v>1074</v>
      </c>
      <c r="DC1041" t="str">
        <f>IF(OR($DB1041="prd",$DB1041="std",$DB1041="cit"),"loc",IF(OR($DB1041="eur",$DB1041="reg",$DB1041="coy"),"reg",$DB1041))</f>
        <v>reg</v>
      </c>
      <c r="DD1041" t="s">
        <v>235</v>
      </c>
      <c r="DE1041">
        <v>2010</v>
      </c>
      <c r="DF1041">
        <v>2070</v>
      </c>
      <c r="DG1041">
        <f>DF1041-DE1041</f>
        <v>60</v>
      </c>
      <c r="DH1041" t="str">
        <f>IF(DG1041=0,"0",IF(AND(DG1041&gt;=1,DG1041&lt;=30),"1-30",IF(AND(DG1041&gt;30,DG1041&lt;=70),"31-70",IF(AND(DG1041&gt;70,DG1041&lt;=100),"71-100",IF(DG1041&gt;100,"+100")))))</f>
        <v>31-70</v>
      </c>
      <c r="DI1041">
        <v>1</v>
      </c>
      <c r="DJ1041">
        <v>0</v>
      </c>
      <c r="DK1041">
        <v>0</v>
      </c>
      <c r="DL1041">
        <v>0</v>
      </c>
      <c r="DM1041">
        <v>0</v>
      </c>
      <c r="DN1041">
        <f>SUM(DI1041:DL1041)</f>
        <v>1</v>
      </c>
      <c r="DO1041" t="str">
        <f>IF(DN1041=1,INDEX($DI$7:$DL$7,MATCH(1,$DI1041:$DL1041,0)),"mixedProduct")</f>
        <v>UpstreamInput</v>
      </c>
      <c r="DP1041" t="str">
        <f>IF(DI1041=1,DP$7,0)</f>
        <v>Upstream</v>
      </c>
      <c r="DQ1041">
        <f>IF(DJ1041=1,DQ$7,0)</f>
        <v>0</v>
      </c>
      <c r="DR1041">
        <f>IF(DK1041=1,DR$7,0)</f>
        <v>0</v>
      </c>
      <c r="DS1041">
        <f>IF(DL1041=1,DS$7,0)</f>
        <v>0</v>
      </c>
      <c r="DT1041">
        <v>0</v>
      </c>
      <c r="DU1041">
        <v>0</v>
      </c>
      <c r="DV1041">
        <v>0</v>
      </c>
      <c r="DW1041">
        <v>0</v>
      </c>
      <c r="DX1041">
        <v>0</v>
      </c>
      <c r="DY1041">
        <f>SUM(DT1041:DU1041)</f>
        <v>0</v>
      </c>
      <c r="DZ1041" s="143" t="str">
        <f>IF(DT1041=1,"self-calculated DF",IF(DU1041=1,"external DF used","explicit C balance"))</f>
        <v>explicit C balance</v>
      </c>
      <c r="EA1041">
        <v>1</v>
      </c>
      <c r="EB1041">
        <v>1</v>
      </c>
      <c r="EC1041">
        <v>1</v>
      </c>
      <c r="ED1041">
        <v>1</v>
      </c>
      <c r="EE1041">
        <v>0</v>
      </c>
      <c r="EF1041" s="143">
        <v>0</v>
      </c>
      <c r="EG1041">
        <v>0</v>
      </c>
      <c r="EH1041">
        <v>0</v>
      </c>
      <c r="EI1041">
        <v>0</v>
      </c>
      <c r="EJ1041">
        <v>0</v>
      </c>
      <c r="EK1041">
        <v>1</v>
      </c>
      <c r="EL1041">
        <v>0</v>
      </c>
      <c r="EM1041">
        <v>0</v>
      </c>
      <c r="EN1041" s="2">
        <v>0</v>
      </c>
      <c r="EP1041" t="str">
        <f>IF(AND(AND(AND(OR($EC1041=1,$EB1041=1),OR($EH1041=1,$EF1041=1)),SUM($EA1041:$EE1041,$EK1041)&gt;=3),SUM($EF1041:$EJ1041)&gt;=2),"Whole sector approach","")</f>
        <v/>
      </c>
      <c r="EQ1041" t="str">
        <f>IF(AND(AND(OR($EC1041=1,$EB1041=1),AND($EH1041=0,$EF1041=0)),SUM($EA1041:$EE1041,$EK1041)&gt;=4),"Ecosystem approach","")</f>
        <v>Ecosystem approach</v>
      </c>
      <c r="ER1041" s="2" t="str">
        <f>IF(AND(AND(AND($EC1041=0,$EB1041=0),OR($EH1041=1,$EF1041=1)),SUM($EG1041:$EJ1041)&gt;=2),"Technology approach","")</f>
        <v/>
      </c>
      <c r="ES1041" t="str">
        <f>IF(AND($EC1041+$EB1041+$EE1041+$EA1041+$ED1041+$EG1041=0,$N1041="included"),"C neutral forest and HWP assumption","")</f>
        <v/>
      </c>
      <c r="ET1041" t="str">
        <f>IF(AND(AND(AND(AND($EC1041=1,$EB1041+$EA1041+$EG1041&gt;=1),$EF1041=1),$EH1041+$EI1041+$ED1041+$EE1041&gt;=2),$N1041="included"),"All C pools assumption","")</f>
        <v/>
      </c>
      <c r="EU1041" t="str">
        <f>IF(AND($ED1041+$EE1041+$EI1041+$EH1041+$EF1041=0,$N1041="included"),"In-situ only assumption","")</f>
        <v/>
      </c>
      <c r="EY1041" t="str">
        <f>IF(ISNUMBER(BW1041),IF(ABS(BW1041-[2]QC_indicators!$B$2)&gt;3*[2]QC_indicators!$C$2,"C ratio",IF(ISNUMBER(CA1041),IF(ABS(CA1041-[2]QC_indicators!$B$1)&gt;3*[2]QC_indicators!$C$1,"DF","no"))),IF(ISNUMBER(CA1041),IF(ABS(CA1041-[2]QC_indicators!$B$1)&gt;3*[2]QC_indicators!$C$1,"DF","no")))</f>
        <v>no</v>
      </c>
      <c r="EZ1041" t="s">
        <v>2214</v>
      </c>
      <c r="FA1041" t="str">
        <f>IF(LEN($CY1041)=0,"",IF(AND($CY1041&lt;(-0.05),$ES1041="C neutral forest and HWP assumption"),"Cneutral paradox",IF(AND($CY1041&gt;0.05,$EU1041="In-situ only assumption"),"In-situ only paradox","")))</f>
        <v/>
      </c>
      <c r="FD1041" s="260" t="s">
        <v>2932</v>
      </c>
    </row>
    <row r="1042" spans="1:160" ht="15" hidden="1" customHeight="1">
      <c r="A1042" s="1" t="s">
        <v>1295</v>
      </c>
      <c r="B1042" t="s">
        <v>2203</v>
      </c>
      <c r="C1042" t="s">
        <v>2204</v>
      </c>
      <c r="D1042" t="s">
        <v>2205</v>
      </c>
      <c r="E1042" t="s">
        <v>2206</v>
      </c>
      <c r="F1042" t="s">
        <v>2207</v>
      </c>
      <c r="G1042" t="s">
        <v>1301</v>
      </c>
      <c r="H1042" t="s">
        <v>254</v>
      </c>
      <c r="I1042">
        <v>2016</v>
      </c>
      <c r="J1042">
        <v>24</v>
      </c>
      <c r="K1042" t="s">
        <v>2208</v>
      </c>
      <c r="M1042" t="str">
        <f>LEFT($D1042,FIND(",",$D1042)-1)&amp;"_"&amp;I1042&amp;L1042</f>
        <v>Zubizarreta-Gerendiain_2016</v>
      </c>
      <c r="N1042" t="s">
        <v>222</v>
      </c>
      <c r="O1042" s="145" t="s">
        <v>1029</v>
      </c>
      <c r="Q1042" t="s">
        <v>256</v>
      </c>
      <c r="R1042" s="258" t="s">
        <v>223</v>
      </c>
      <c r="S1042" s="1" t="s">
        <v>2209</v>
      </c>
      <c r="T1042" t="s">
        <v>2216</v>
      </c>
      <c r="U1042" t="s">
        <v>2217</v>
      </c>
      <c r="V1042" s="253">
        <v>0</v>
      </c>
      <c r="W1042" s="253">
        <v>0</v>
      </c>
      <c r="X1042">
        <v>0</v>
      </c>
      <c r="Y1042">
        <v>0</v>
      </c>
      <c r="Z1042">
        <v>0</v>
      </c>
      <c r="AA1042">
        <v>2</v>
      </c>
      <c r="AB1042">
        <v>0</v>
      </c>
      <c r="AC1042">
        <v>0</v>
      </c>
      <c r="AD1042">
        <v>0</v>
      </c>
      <c r="AE1042">
        <v>0</v>
      </c>
      <c r="AF1042">
        <v>0</v>
      </c>
      <c r="AG1042">
        <v>0</v>
      </c>
      <c r="AH1042">
        <v>1</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s="141">
        <f>COUNTIF(X1042:AY1042,"&lt;&gt;0")</f>
        <v>2</v>
      </c>
      <c r="BA1042" s="141">
        <f>COUNTIF(X1042:AN1042,"&lt;&gt;0")</f>
        <v>2</v>
      </c>
      <c r="BB1042">
        <f>COUNTIF(X1042:AE1042,"&lt;&gt;0")</f>
        <v>1</v>
      </c>
      <c r="BC1042">
        <f>COUNTIF(AF1042:AK1042,"&lt;&gt;0")</f>
        <v>1</v>
      </c>
      <c r="BD1042">
        <f>COUNTIF(AL1042:AN1042,"&lt;&gt;0")</f>
        <v>0</v>
      </c>
      <c r="BE1042">
        <f>COUNTIF(AU1042:AY1042,"&lt;&gt;0")</f>
        <v>0</v>
      </c>
      <c r="BF1042">
        <f>COUNTIF(AO1042:AT1042,"&lt;&gt;0")</f>
        <v>0</v>
      </c>
      <c r="BG1042" t="str">
        <f t="array" ref="BG1042">IF(BA1042=1,INDEX($X$7:$AN$7,MATCH(TRUE,INDEX($X1042:$AY1042&lt;&gt;0,),0)),IF(BA1042=0,INDEX($AO$7:$AY$7,MATCH(1,$AO1042:$AY1042,0)),IF(BH1042="Multiple strategies","mixed drivers",IF(BH1042="Supply chain","multiple supply","multiple silviculture"))))</f>
        <v>mixed drivers</v>
      </c>
      <c r="BH1042" s="2" t="str" cm="1">
        <f t="array" ref="BH1042">IF(COUNTIF(BB1042:BD1042,"&lt;&gt;0")=1,INDEX($X$4:$AY$4,MATCH(TRUE,INDEX($X1042:$AY1042&lt;&gt;0,),0)),IF(COUNTIF(BB1042:BD1042,"&lt;&gt;0")=0,INDEX($AO$4:$AY$4,MATCH(1,$AO1042:$AY1042,0)),"Multiple strategies"))</f>
        <v>Multiple strategies</v>
      </c>
      <c r="BI1042" s="1" t="s">
        <v>321</v>
      </c>
      <c r="BJ1042" t="s">
        <v>2212</v>
      </c>
      <c r="BK1042" s="260" t="s">
        <v>1919</v>
      </c>
      <c r="BL1042" t="s">
        <v>2213</v>
      </c>
      <c r="BM1042">
        <v>74.117647058823493</v>
      </c>
      <c r="BN1042">
        <v>82.634271099744197</v>
      </c>
      <c r="BO1042" s="143">
        <f>BN1042/BM1042</f>
        <v>1.1149068322981366</v>
      </c>
      <c r="BP1042">
        <f>BN1042-BM1042</f>
        <v>8.5166240409207035</v>
      </c>
      <c r="BQ1042">
        <f>BP1042*1000*t_to_m3</f>
        <v>17380.865389634091</v>
      </c>
      <c r="BR1042" t="s">
        <v>232</v>
      </c>
      <c r="BS1042" s="143" t="s">
        <v>2931</v>
      </c>
      <c r="BT1042" t="s">
        <v>1070</v>
      </c>
      <c r="BU1042">
        <v>52731.920127795442</v>
      </c>
      <c r="BV1042">
        <v>-22456.178913738113</v>
      </c>
      <c r="BW1042" s="144">
        <f>IFERROR(BV1042/BU1042,"")</f>
        <v>-0.42585551330798727</v>
      </c>
      <c r="BX1042" s="144">
        <f>BV1042-BU1042</f>
        <v>-75188.099041533555</v>
      </c>
      <c r="BY1042" s="144"/>
      <c r="BZ1042" s="144">
        <f>BX1042</f>
        <v>-75188.099041533555</v>
      </c>
      <c r="CA1042">
        <f>IFERROR(BZ1042/BQ1042,"")</f>
        <v>-4.3259122808911208</v>
      </c>
      <c r="CB1042">
        <v>0</v>
      </c>
      <c r="CC1042">
        <v>0</v>
      </c>
      <c r="CD1042">
        <v>0</v>
      </c>
      <c r="CE1042">
        <v>0</v>
      </c>
      <c r="CF1042">
        <v>0</v>
      </c>
      <c r="CG1042">
        <v>0</v>
      </c>
      <c r="CH1042">
        <v>0</v>
      </c>
      <c r="CI1042">
        <v>0</v>
      </c>
      <c r="CJ1042">
        <v>0</v>
      </c>
      <c r="CK1042">
        <v>0</v>
      </c>
      <c r="CL1042">
        <v>0</v>
      </c>
      <c r="CM1042">
        <v>0</v>
      </c>
      <c r="CN1042">
        <v>0</v>
      </c>
      <c r="CO1042">
        <v>1</v>
      </c>
      <c r="CP1042" t="str">
        <f>IF($BN1042&lt;$BM1042,"refNeedCorrection","refOK")</f>
        <v>refOK</v>
      </c>
      <c r="CQ1042">
        <f>IF($CP1042="refOK",$BM1042,$BN1042)</f>
        <v>74.117647058823493</v>
      </c>
      <c r="CR1042">
        <f>IF($CP1042="refOK",$BN1042,$BM1042)</f>
        <v>82.634271099744197</v>
      </c>
      <c r="CS1042">
        <f>IF($CP1042="refOK",$BQ1042,-$BQ1042)</f>
        <v>17380.865389634091</v>
      </c>
      <c r="CT1042">
        <f>IF(BI1042="Roundwood",$CS1042/2,$CS1042)</f>
        <v>8690.4326948170456</v>
      </c>
      <c r="CU1042">
        <f>IF($CP1042="refOK",$BU1042,$BV1042)*IF($BR1042="Emissions positive",-1,1)</f>
        <v>52731.920127795442</v>
      </c>
      <c r="CV1042">
        <f>IF($CP1042="refOK",$BV1042,$BU1042)*IF($BR1042="Emissions positive",-1,1)</f>
        <v>-22456.178913738113</v>
      </c>
      <c r="CW1042">
        <f>IF($CP1042="refNeedCorrection",-BZ1042,BZ1042)*IF($BR1042="Emissions positive",-1,1)</f>
        <v>-75188.099041533555</v>
      </c>
      <c r="CX1042">
        <f>IFERROR($CW1042/$CS1042,"")</f>
        <v>-4.3259122808911208</v>
      </c>
      <c r="CY1042">
        <f>IFERROR($CW1042/$CS1042,"")</f>
        <v>-4.3259122808911208</v>
      </c>
      <c r="CZ1042">
        <f>IFERROR($CW1042/$CT1042,"")</f>
        <v>-8.6518245617822416</v>
      </c>
      <c r="DA1042" s="2">
        <f>IFERROR((CV1042-CU1042)/ABS(CU1042),"")</f>
        <v>-1.4258555133079873</v>
      </c>
      <c r="DB1042" s="1" t="s">
        <v>1074</v>
      </c>
      <c r="DC1042" t="str">
        <f>IF(OR($DB1042="prd",$DB1042="std",$DB1042="cit"),"loc",IF(OR($DB1042="eur",$DB1042="reg",$DB1042="coy"),"reg",$DB1042))</f>
        <v>reg</v>
      </c>
      <c r="DD1042" t="s">
        <v>235</v>
      </c>
      <c r="DE1042">
        <v>2010</v>
      </c>
      <c r="DF1042">
        <v>2070</v>
      </c>
      <c r="DG1042">
        <f>DF1042-DE1042</f>
        <v>60</v>
      </c>
      <c r="DH1042" t="str">
        <f>IF(DG1042=0,"0",IF(AND(DG1042&gt;=1,DG1042&lt;=30),"1-30",IF(AND(DG1042&gt;30,DG1042&lt;=70),"31-70",IF(AND(DG1042&gt;70,DG1042&lt;=100),"71-100",IF(DG1042&gt;100,"+100")))))</f>
        <v>31-70</v>
      </c>
      <c r="DI1042">
        <v>1</v>
      </c>
      <c r="DJ1042">
        <v>0</v>
      </c>
      <c r="DK1042">
        <v>0</v>
      </c>
      <c r="DL1042">
        <v>0</v>
      </c>
      <c r="DM1042">
        <v>0</v>
      </c>
      <c r="DN1042">
        <f>SUM(DI1042:DL1042)</f>
        <v>1</v>
      </c>
      <c r="DO1042" t="str">
        <f>IF(DN1042=1,INDEX($DI$7:$DL$7,MATCH(1,$DI1042:$DL1042,0)),"mixedProduct")</f>
        <v>UpstreamInput</v>
      </c>
      <c r="DP1042" t="str">
        <f>IF(DI1042=1,DP$7,0)</f>
        <v>Upstream</v>
      </c>
      <c r="DQ1042">
        <f>IF(DJ1042=1,DQ$7,0)</f>
        <v>0</v>
      </c>
      <c r="DR1042">
        <f>IF(DK1042=1,DR$7,0)</f>
        <v>0</v>
      </c>
      <c r="DS1042">
        <f>IF(DL1042=1,DS$7,0)</f>
        <v>0</v>
      </c>
      <c r="DT1042">
        <v>0</v>
      </c>
      <c r="DU1042">
        <v>0</v>
      </c>
      <c r="DV1042">
        <v>0</v>
      </c>
      <c r="DW1042">
        <v>0</v>
      </c>
      <c r="DX1042">
        <v>0</v>
      </c>
      <c r="DY1042">
        <f>SUM(DT1042:DU1042)</f>
        <v>0</v>
      </c>
      <c r="DZ1042" s="143" t="str">
        <f>IF(DT1042=1,"self-calculated DF",IF(DU1042=1,"external DF used","explicit C balance"))</f>
        <v>explicit C balance</v>
      </c>
      <c r="EA1042">
        <v>1</v>
      </c>
      <c r="EB1042">
        <v>1</v>
      </c>
      <c r="EC1042">
        <v>1</v>
      </c>
      <c r="ED1042">
        <v>1</v>
      </c>
      <c r="EE1042">
        <v>0</v>
      </c>
      <c r="EF1042" s="143">
        <v>0</v>
      </c>
      <c r="EG1042">
        <v>0</v>
      </c>
      <c r="EH1042">
        <v>0</v>
      </c>
      <c r="EI1042">
        <v>0</v>
      </c>
      <c r="EJ1042">
        <v>0</v>
      </c>
      <c r="EK1042">
        <v>1</v>
      </c>
      <c r="EL1042">
        <v>0</v>
      </c>
      <c r="EM1042">
        <v>0</v>
      </c>
      <c r="EN1042" s="2">
        <v>0</v>
      </c>
      <c r="EP1042" t="str">
        <f>IF(AND(AND(AND(OR($EC1042=1,$EB1042=1),OR($EH1042=1,$EF1042=1)),SUM($EA1042:$EE1042,$EK1042)&gt;=3),SUM($EF1042:$EJ1042)&gt;=2),"Whole sector approach","")</f>
        <v/>
      </c>
      <c r="EQ1042" t="str">
        <f>IF(AND(AND(OR($EC1042=1,$EB1042=1),AND($EH1042=0,$EF1042=0)),SUM($EA1042:$EE1042,$EK1042)&gt;=4),"Ecosystem approach","")</f>
        <v>Ecosystem approach</v>
      </c>
      <c r="ER1042" s="2" t="str">
        <f>IF(AND(AND(AND($EC1042=0,$EB1042=0),OR($EH1042=1,$EF1042=1)),SUM($EG1042:$EJ1042)&gt;=2),"Technology approach","")</f>
        <v/>
      </c>
      <c r="ES1042" t="str">
        <f>IF(AND($EC1042+$EB1042+$EE1042+$EA1042+$ED1042+$EG1042=0,$N1042="included"),"C neutral forest and HWP assumption","")</f>
        <v/>
      </c>
      <c r="ET1042" t="str">
        <f>IF(AND(AND(AND(AND($EC1042=1,$EB1042+$EA1042+$EG1042&gt;=1),$EF1042=1),$EH1042+$EI1042+$ED1042+$EE1042&gt;=2),$N1042="included"),"All C pools assumption","")</f>
        <v/>
      </c>
      <c r="EU1042" t="str">
        <f>IF(AND($ED1042+$EE1042+$EI1042+$EH1042+$EF1042=0,$N1042="included"),"In-situ only assumption","")</f>
        <v/>
      </c>
      <c r="EY1042" t="str">
        <f>IF(ISNUMBER(BW1042),IF(ABS(BW1042-[2]QC_indicators!$B$2)&gt;3*[2]QC_indicators!$C$2,"C ratio",IF(ISNUMBER(CA1042),IF(ABS(CA1042-[2]QC_indicators!$B$1)&gt;3*[2]QC_indicators!$C$1,"DF","no"))),IF(ISNUMBER(CA1042),IF(ABS(CA1042-[2]QC_indicators!$B$1)&gt;3*[2]QC_indicators!$C$1,"DF","no")))</f>
        <v>no</v>
      </c>
      <c r="EZ1042" t="s">
        <v>2214</v>
      </c>
      <c r="FA1042" t="str">
        <f>IF(LEN($CY1042)=0,"",IF(AND($CY1042&lt;(-0.05),$ES1042="C neutral forest and HWP assumption"),"Cneutral paradox",IF(AND($CY1042&gt;0.05,$EU1042="In-situ only assumption"),"In-situ only paradox","")))</f>
        <v/>
      </c>
      <c r="FD1042" s="260" t="s">
        <v>2932</v>
      </c>
    </row>
    <row r="1043" spans="1:160" hidden="1">
      <c r="A1043" s="1" t="s">
        <v>1295</v>
      </c>
      <c r="B1043" t="s">
        <v>2203</v>
      </c>
      <c r="C1043" t="s">
        <v>2204</v>
      </c>
      <c r="D1043" t="s">
        <v>2205</v>
      </c>
      <c r="E1043" t="s">
        <v>2206</v>
      </c>
      <c r="F1043" t="s">
        <v>2207</v>
      </c>
      <c r="G1043" t="s">
        <v>1301</v>
      </c>
      <c r="H1043" t="s">
        <v>254</v>
      </c>
      <c r="I1043">
        <v>2016</v>
      </c>
      <c r="J1043">
        <v>24</v>
      </c>
      <c r="K1043" t="s">
        <v>2208</v>
      </c>
      <c r="M1043" t="str">
        <f>LEFT($D1043,FIND(",",$D1043)-1)&amp;"_"&amp;I1043&amp;L1043</f>
        <v>Zubizarreta-Gerendiain_2016</v>
      </c>
      <c r="N1043" t="s">
        <v>222</v>
      </c>
      <c r="O1043" s="145" t="s">
        <v>1029</v>
      </c>
      <c r="Q1043" t="s">
        <v>256</v>
      </c>
      <c r="R1043" s="258" t="s">
        <v>223</v>
      </c>
      <c r="S1043" s="1" t="s">
        <v>2209</v>
      </c>
      <c r="T1043" t="s">
        <v>2215</v>
      </c>
      <c r="U1043" t="s">
        <v>2211</v>
      </c>
      <c r="V1043" s="253">
        <v>0</v>
      </c>
      <c r="W1043" s="253">
        <v>0</v>
      </c>
      <c r="X1043">
        <v>0</v>
      </c>
      <c r="Y1043">
        <v>0</v>
      </c>
      <c r="Z1043">
        <v>0</v>
      </c>
      <c r="AA1043">
        <v>2</v>
      </c>
      <c r="AB1043">
        <v>0</v>
      </c>
      <c r="AC1043">
        <v>0</v>
      </c>
      <c r="AD1043">
        <v>0</v>
      </c>
      <c r="AE1043">
        <v>0</v>
      </c>
      <c r="AF1043">
        <v>0</v>
      </c>
      <c r="AG1043">
        <v>0</v>
      </c>
      <c r="AH1043">
        <v>1</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s="141">
        <f>COUNTIF(X1043:AY1043,"&lt;&gt;0")</f>
        <v>2</v>
      </c>
      <c r="BA1043" s="141">
        <f>COUNTIF(X1043:AN1043,"&lt;&gt;0")</f>
        <v>2</v>
      </c>
      <c r="BB1043">
        <f>COUNTIF(X1043:AE1043,"&lt;&gt;0")</f>
        <v>1</v>
      </c>
      <c r="BC1043">
        <f>COUNTIF(AF1043:AK1043,"&lt;&gt;0")</f>
        <v>1</v>
      </c>
      <c r="BD1043">
        <f>COUNTIF(AL1043:AN1043,"&lt;&gt;0")</f>
        <v>0</v>
      </c>
      <c r="BE1043">
        <f>COUNTIF(AU1043:AY1043,"&lt;&gt;0")</f>
        <v>0</v>
      </c>
      <c r="BF1043">
        <f>COUNTIF(AO1043:AT1043,"&lt;&gt;0")</f>
        <v>0</v>
      </c>
      <c r="BG1043" t="str">
        <f t="array" ref="BG1043">IF(BA1043=1,INDEX($X$7:$AN$7,MATCH(TRUE,INDEX($X1043:$AY1043&lt;&gt;0,),0)),IF(BA1043=0,INDEX($AO$7:$AY$7,MATCH(1,$AO1043:$AY1043,0)),IF(BH1043="Multiple strategies","mixed drivers",IF(BH1043="Supply chain","multiple supply","multiple silviculture"))))</f>
        <v>mixed drivers</v>
      </c>
      <c r="BH1043" s="2" t="str" cm="1">
        <f t="array" ref="BH1043">IF(COUNTIF(BB1043:BD1043,"&lt;&gt;0")=1,INDEX($X$4:$AY$4,MATCH(TRUE,INDEX($X1043:$AY1043&lt;&gt;0,),0)),IF(COUNTIF(BB1043:BD1043,"&lt;&gt;0")=0,INDEX($AO$4:$AY$4,MATCH(1,$AO1043:$AY1043,0)),"Multiple strategies"))</f>
        <v>Multiple strategies</v>
      </c>
      <c r="BI1043" s="1" t="s">
        <v>321</v>
      </c>
      <c r="BJ1043" t="s">
        <v>2212</v>
      </c>
      <c r="BK1043" s="260" t="s">
        <v>1919</v>
      </c>
      <c r="BL1043" t="s">
        <v>2213</v>
      </c>
      <c r="BM1043">
        <v>70.532915360501505</v>
      </c>
      <c r="BN1043">
        <v>82.946708463949804</v>
      </c>
      <c r="BO1043" s="143">
        <f>BN1043/BM1043</f>
        <v>1.1760000000000004</v>
      </c>
      <c r="BP1043">
        <f>BN1043-BM1043</f>
        <v>12.413793103448299</v>
      </c>
      <c r="BQ1043">
        <f>BP1043*1000*t_to_m3</f>
        <v>25334.271639690407</v>
      </c>
      <c r="BR1043" s="143" t="s">
        <v>232</v>
      </c>
      <c r="BS1043" s="143" t="s">
        <v>2931</v>
      </c>
      <c r="BT1043" t="s">
        <v>1070</v>
      </c>
      <c r="BU1043">
        <v>64513.863854748583</v>
      </c>
      <c r="BV1043">
        <v>-46788.009888268192</v>
      </c>
      <c r="BW1043" s="144">
        <f>IFERROR(BV1043/BU1043,"")</f>
        <v>-0.72523961661341929</v>
      </c>
      <c r="BX1043" s="144">
        <f>BV1043-BU1043</f>
        <v>-111301.87374301677</v>
      </c>
      <c r="BY1043" s="144"/>
      <c r="BZ1043" s="144">
        <f>BX1043</f>
        <v>-111301.87374301677</v>
      </c>
      <c r="CA1043">
        <f>IFERROR(BZ1043/BQ1043,"")</f>
        <v>-4.39333229413407</v>
      </c>
      <c r="CB1043">
        <v>0</v>
      </c>
      <c r="CC1043">
        <v>0</v>
      </c>
      <c r="CD1043">
        <v>0</v>
      </c>
      <c r="CE1043">
        <v>0</v>
      </c>
      <c r="CF1043">
        <v>0</v>
      </c>
      <c r="CG1043">
        <v>0</v>
      </c>
      <c r="CH1043">
        <v>0</v>
      </c>
      <c r="CI1043">
        <v>0</v>
      </c>
      <c r="CJ1043">
        <v>0</v>
      </c>
      <c r="CK1043">
        <v>0</v>
      </c>
      <c r="CL1043">
        <v>0</v>
      </c>
      <c r="CM1043">
        <v>0</v>
      </c>
      <c r="CN1043">
        <v>0</v>
      </c>
      <c r="CO1043">
        <v>1</v>
      </c>
      <c r="CP1043" t="str">
        <f>IF($BN1043&lt;$BM1043,"refNeedCorrection","refOK")</f>
        <v>refOK</v>
      </c>
      <c r="CQ1043">
        <f>IF($CP1043="refOK",$BM1043,$BN1043)</f>
        <v>70.532915360501505</v>
      </c>
      <c r="CR1043">
        <f>IF($CP1043="refOK",$BN1043,$BM1043)</f>
        <v>82.946708463949804</v>
      </c>
      <c r="CS1043">
        <f>IF($CP1043="refOK",$BQ1043,-$BQ1043)</f>
        <v>25334.271639690407</v>
      </c>
      <c r="CT1043">
        <f>IF(BI1043="Roundwood",$CS1043/2,$CS1043)</f>
        <v>12667.135819845204</v>
      </c>
      <c r="CU1043">
        <f>IF($CP1043="refOK",$BU1043,$BV1043)*IF($BR1043="Emissions positive",-1,1)</f>
        <v>64513.863854748583</v>
      </c>
      <c r="CV1043">
        <f>IF($CP1043="refOK",$BV1043,$BU1043)*IF($BR1043="Emissions positive",-1,1)</f>
        <v>-46788.009888268192</v>
      </c>
      <c r="CW1043">
        <f>IF($CP1043="refNeedCorrection",-BZ1043,BZ1043)*IF($BR1043="Emissions positive",-1,1)</f>
        <v>-111301.87374301677</v>
      </c>
      <c r="CX1043">
        <f>IFERROR($CW1043/$CS1043,"")</f>
        <v>-4.39333229413407</v>
      </c>
      <c r="CY1043">
        <f>IFERROR($CW1043/$CS1043,"")</f>
        <v>-4.39333229413407</v>
      </c>
      <c r="CZ1043">
        <f>IFERROR($CW1043/$CT1043,"")</f>
        <v>-8.78666458826814</v>
      </c>
      <c r="DA1043" s="2">
        <f>IFERROR((CV1043-CU1043)/ABS(CU1043),"")</f>
        <v>-1.7252396166134192</v>
      </c>
      <c r="DB1043" s="1" t="s">
        <v>1074</v>
      </c>
      <c r="DC1043" t="str">
        <f>IF(OR($DB1043="prd",$DB1043="std",$DB1043="cit"),"loc",IF(OR($DB1043="eur",$DB1043="reg",$DB1043="coy"),"reg",$DB1043))</f>
        <v>reg</v>
      </c>
      <c r="DD1043" t="s">
        <v>235</v>
      </c>
      <c r="DE1043">
        <v>2010</v>
      </c>
      <c r="DF1043">
        <v>2070</v>
      </c>
      <c r="DG1043">
        <f>DF1043-DE1043</f>
        <v>60</v>
      </c>
      <c r="DH1043" t="str">
        <f>IF(DG1043=0,"0",IF(AND(DG1043&gt;=1,DG1043&lt;=30),"1-30",IF(AND(DG1043&gt;30,DG1043&lt;=70),"31-70",IF(AND(DG1043&gt;70,DG1043&lt;=100),"71-100",IF(DG1043&gt;100,"+100")))))</f>
        <v>31-70</v>
      </c>
      <c r="DI1043">
        <v>1</v>
      </c>
      <c r="DJ1043">
        <v>0</v>
      </c>
      <c r="DK1043">
        <v>0</v>
      </c>
      <c r="DL1043">
        <v>0</v>
      </c>
      <c r="DM1043">
        <v>0</v>
      </c>
      <c r="DN1043">
        <f>SUM(DI1043:DL1043)</f>
        <v>1</v>
      </c>
      <c r="DO1043" t="str">
        <f>IF(DN1043=1,INDEX($DI$7:$DL$7,MATCH(1,$DI1043:$DL1043,0)),"mixedProduct")</f>
        <v>UpstreamInput</v>
      </c>
      <c r="DP1043" t="str">
        <f>IF(DI1043=1,DP$7,0)</f>
        <v>Upstream</v>
      </c>
      <c r="DQ1043">
        <f>IF(DJ1043=1,DQ$7,0)</f>
        <v>0</v>
      </c>
      <c r="DR1043">
        <f>IF(DK1043=1,DR$7,0)</f>
        <v>0</v>
      </c>
      <c r="DS1043">
        <f>IF(DL1043=1,DS$7,0)</f>
        <v>0</v>
      </c>
      <c r="DT1043">
        <v>0</v>
      </c>
      <c r="DU1043">
        <v>0</v>
      </c>
      <c r="DV1043">
        <v>0</v>
      </c>
      <c r="DW1043">
        <v>0</v>
      </c>
      <c r="DX1043">
        <v>0</v>
      </c>
      <c r="DY1043">
        <f>SUM(DT1043:DU1043)</f>
        <v>0</v>
      </c>
      <c r="DZ1043" s="143" t="str">
        <f>IF(DT1043=1,"self-calculated DF",IF(DU1043=1,"external DF used","explicit C balance"))</f>
        <v>explicit C balance</v>
      </c>
      <c r="EA1043">
        <v>1</v>
      </c>
      <c r="EB1043">
        <v>1</v>
      </c>
      <c r="EC1043">
        <v>1</v>
      </c>
      <c r="ED1043">
        <v>1</v>
      </c>
      <c r="EE1043">
        <v>0</v>
      </c>
      <c r="EF1043" s="143">
        <v>0</v>
      </c>
      <c r="EG1043">
        <v>0</v>
      </c>
      <c r="EH1043">
        <v>0</v>
      </c>
      <c r="EI1043">
        <v>0</v>
      </c>
      <c r="EJ1043">
        <v>0</v>
      </c>
      <c r="EK1043">
        <v>1</v>
      </c>
      <c r="EL1043">
        <v>0</v>
      </c>
      <c r="EM1043">
        <v>0</v>
      </c>
      <c r="EN1043" s="2">
        <v>0</v>
      </c>
      <c r="EP1043" t="str">
        <f>IF(AND(AND(AND(OR($EC1043=1,$EB1043=1),OR($EH1043=1,$EF1043=1)),SUM($EA1043:$EE1043,$EK1043)&gt;=3),SUM($EF1043:$EJ1043)&gt;=2),"Whole sector approach","")</f>
        <v/>
      </c>
      <c r="EQ1043" t="str">
        <f>IF(AND(AND(OR($EC1043=1,$EB1043=1),AND($EH1043=0,$EF1043=0)),SUM($EA1043:$EE1043,$EK1043)&gt;=4),"Ecosystem approach","")</f>
        <v>Ecosystem approach</v>
      </c>
      <c r="ER1043" s="2" t="str">
        <f>IF(AND(AND(AND($EC1043=0,$EB1043=0),OR($EH1043=1,$EF1043=1)),SUM($EG1043:$EJ1043)&gt;=2),"Technology approach","")</f>
        <v/>
      </c>
      <c r="ES1043" t="str">
        <f>IF(AND($EC1043+$EB1043+$EE1043+$EA1043+$ED1043+$EG1043=0,$N1043="included"),"C neutral forest and HWP assumption","")</f>
        <v/>
      </c>
      <c r="ET1043" t="str">
        <f>IF(AND(AND(AND(AND($EC1043=1,$EB1043+$EA1043+$EG1043&gt;=1),$EF1043=1),$EH1043+$EI1043+$ED1043+$EE1043&gt;=2),$N1043="included"),"All C pools assumption","")</f>
        <v/>
      </c>
      <c r="EU1043" t="str">
        <f>IF(AND($ED1043+$EE1043+$EI1043+$EH1043+$EF1043=0,$N1043="included"),"In-situ only assumption","")</f>
        <v/>
      </c>
      <c r="EY1043" t="str">
        <f>IF(ISNUMBER(BW1043),IF(ABS(BW1043-[2]QC_indicators!$B$2)&gt;3*[2]QC_indicators!$C$2,"C ratio",IF(ISNUMBER(CA1043),IF(ABS(CA1043-[2]QC_indicators!$B$1)&gt;3*[2]QC_indicators!$C$1,"DF","no"))),IF(ISNUMBER(CA1043),IF(ABS(CA1043-[2]QC_indicators!$B$1)&gt;3*[2]QC_indicators!$C$1,"DF","no")))</f>
        <v>no</v>
      </c>
      <c r="EZ1043" t="s">
        <v>2214</v>
      </c>
      <c r="FA1043" t="str">
        <f>IF(LEN($CY1043)=0,"",IF(AND($CY1043&lt;(-0.05),$ES1043="C neutral forest and HWP assumption"),"Cneutral paradox",IF(AND($CY1043&gt;0.05,$EU1043="In-situ only assumption"),"In-situ only paradox","")))</f>
        <v/>
      </c>
      <c r="FD1043" s="260" t="s">
        <v>2932</v>
      </c>
    </row>
    <row r="1044" spans="1:160" ht="15" hidden="1" customHeight="1">
      <c r="A1044" s="1" t="s">
        <v>1295</v>
      </c>
      <c r="B1044" t="s">
        <v>2203</v>
      </c>
      <c r="C1044" t="s">
        <v>2204</v>
      </c>
      <c r="D1044" t="s">
        <v>2205</v>
      </c>
      <c r="E1044" t="s">
        <v>2206</v>
      </c>
      <c r="F1044" t="s">
        <v>2207</v>
      </c>
      <c r="G1044" t="s">
        <v>1301</v>
      </c>
      <c r="H1044" t="s">
        <v>254</v>
      </c>
      <c r="I1044">
        <v>2016</v>
      </c>
      <c r="J1044">
        <v>24</v>
      </c>
      <c r="K1044" t="s">
        <v>2208</v>
      </c>
      <c r="M1044" t="str">
        <f>LEFT($D1044,FIND(",",$D1044)-1)&amp;"_"&amp;I1044&amp;L1044</f>
        <v>Zubizarreta-Gerendiain_2016</v>
      </c>
      <c r="N1044" t="s">
        <v>222</v>
      </c>
      <c r="O1044" s="145" t="s">
        <v>1029</v>
      </c>
      <c r="Q1044" t="s">
        <v>256</v>
      </c>
      <c r="R1044" s="258" t="s">
        <v>223</v>
      </c>
      <c r="S1044" s="1" t="s">
        <v>2239</v>
      </c>
      <c r="T1044" t="s">
        <v>2220</v>
      </c>
      <c r="U1044" t="s">
        <v>2241</v>
      </c>
      <c r="V1044" s="253">
        <v>0</v>
      </c>
      <c r="W1044" s="253">
        <v>0</v>
      </c>
      <c r="X1044">
        <v>0</v>
      </c>
      <c r="Y1044">
        <v>0</v>
      </c>
      <c r="Z1044">
        <v>0</v>
      </c>
      <c r="AA1044">
        <v>1</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s="141">
        <f>COUNTIF(X1044:AY1044,"&lt;&gt;0")</f>
        <v>1</v>
      </c>
      <c r="BA1044" s="141">
        <f>COUNTIF(X1044:AN1044,"&lt;&gt;0")</f>
        <v>1</v>
      </c>
      <c r="BB1044">
        <f>COUNTIF(X1044:AE1044,"&lt;&gt;0")</f>
        <v>1</v>
      </c>
      <c r="BC1044">
        <f>COUNTIF(AF1044:AK1044,"&lt;&gt;0")</f>
        <v>0</v>
      </c>
      <c r="BD1044">
        <f>COUNTIF(AL1044:AN1044,"&lt;&gt;0")</f>
        <v>0</v>
      </c>
      <c r="BE1044">
        <f>COUNTIF(AU1044:AY1044,"&lt;&gt;0")</f>
        <v>0</v>
      </c>
      <c r="BF1044">
        <f>COUNTIF(AO1044:AT1044,"&lt;&gt;0")</f>
        <v>0</v>
      </c>
      <c r="BG1044" t="str">
        <f t="array" ref="BG1044">IF(BA1044=1,INDEX($X$7:$AN$7,MATCH(TRUE,INDEX($X1044:$AY1044&lt;&gt;0,),0)),IF(BA1044=0,INDEX($AO$7:$AY$7,MATCH(1,$AO1044:$AY1044,0)),IF(BH1044="Multiple strategies","mixed drivers",IF(BH1044="Supply chain","multiple supply","multiple silviculture"))))</f>
        <v xml:space="preserve">cutting intensity </v>
      </c>
      <c r="BH1044" s="2" t="str" cm="1">
        <f t="array" ref="BH1044">IF(COUNTIF(BB1044:BD1044,"&lt;&gt;0")=1,INDEX($X$4:$AY$4,MATCH(TRUE,INDEX($X1044:$AY1044&lt;&gt;0,),0)),IF(COUNTIF(BB1044:BD1044,"&lt;&gt;0")=0,INDEX($AO$4:$AY$4,MATCH(1,$AO1044:$AY1044,0)),"Multiple strategies"))</f>
        <v>Silviculture for removals</v>
      </c>
      <c r="BI1044" s="1" t="s">
        <v>321</v>
      </c>
      <c r="BJ1044" t="s">
        <v>2212</v>
      </c>
      <c r="BK1044" s="260" t="s">
        <v>1919</v>
      </c>
      <c r="BL1044" t="s">
        <v>2213</v>
      </c>
      <c r="BM1044">
        <v>64.910485933503793</v>
      </c>
      <c r="BN1044">
        <v>71.585677749360599</v>
      </c>
      <c r="BO1044" s="143">
        <f>BN1044/BM1044</f>
        <v>1.1028368794326247</v>
      </c>
      <c r="BP1044">
        <f>BN1044-BM1044</f>
        <v>6.675191815856806</v>
      </c>
      <c r="BQ1044">
        <f>BP1044*1000*t_to_m3</f>
        <v>13622.840440524094</v>
      </c>
      <c r="BR1044" t="s">
        <v>232</v>
      </c>
      <c r="BS1044" s="143" t="s">
        <v>2931</v>
      </c>
      <c r="BT1044" t="s">
        <v>1070</v>
      </c>
      <c r="BU1044">
        <v>103859.82747603832</v>
      </c>
      <c r="BV1044">
        <v>113884.90734824278</v>
      </c>
      <c r="BW1044" s="144">
        <f>IFERROR(BV1044/BU1044,"")</f>
        <v>1.0965250965250963</v>
      </c>
      <c r="BX1044" s="144">
        <f>BV1044-BU1044</f>
        <v>10025.079872204456</v>
      </c>
      <c r="BY1044" s="144"/>
      <c r="BZ1044" s="144">
        <f>BX1044</f>
        <v>10025.079872204456</v>
      </c>
      <c r="CA1044">
        <f>IFERROR(BZ1044/BQ1044,"")</f>
        <v>0.7359023190481393</v>
      </c>
      <c r="CB1044">
        <v>0</v>
      </c>
      <c r="CC1044">
        <v>0</v>
      </c>
      <c r="CD1044">
        <v>0</v>
      </c>
      <c r="CE1044">
        <v>0</v>
      </c>
      <c r="CF1044">
        <v>0</v>
      </c>
      <c r="CG1044">
        <v>0</v>
      </c>
      <c r="CH1044">
        <v>0</v>
      </c>
      <c r="CI1044">
        <v>0</v>
      </c>
      <c r="CJ1044">
        <v>0</v>
      </c>
      <c r="CK1044">
        <v>0</v>
      </c>
      <c r="CL1044">
        <v>0</v>
      </c>
      <c r="CM1044">
        <v>0</v>
      </c>
      <c r="CN1044">
        <v>0</v>
      </c>
      <c r="CO1044">
        <v>1</v>
      </c>
      <c r="CP1044" t="str">
        <f>IF($BN1044&lt;$BM1044,"refNeedCorrection","refOK")</f>
        <v>refOK</v>
      </c>
      <c r="CQ1044">
        <f>IF($CP1044="refOK",$BM1044,$BN1044)</f>
        <v>64.910485933503793</v>
      </c>
      <c r="CR1044">
        <f>IF($CP1044="refOK",$BN1044,$BM1044)</f>
        <v>71.585677749360599</v>
      </c>
      <c r="CS1044">
        <f>IF($CP1044="refOK",$BQ1044,-$BQ1044)</f>
        <v>13622.840440524094</v>
      </c>
      <c r="CT1044">
        <f>IF(BI1044="Roundwood",$CS1044/2,$CS1044)</f>
        <v>6811.4202202620472</v>
      </c>
      <c r="CU1044">
        <f>IF($CP1044="refOK",$BU1044,$BV1044)*IF($BR1044="Emissions positive",-1,1)</f>
        <v>103859.82747603832</v>
      </c>
      <c r="CV1044">
        <f>IF($CP1044="refOK",$BV1044,$BU1044)*IF($BR1044="Emissions positive",-1,1)</f>
        <v>113884.90734824278</v>
      </c>
      <c r="CW1044">
        <f>IF($CP1044="refNeedCorrection",-BZ1044,BZ1044)*IF($BR1044="Emissions positive",-1,1)</f>
        <v>10025.079872204456</v>
      </c>
      <c r="CX1044">
        <f>IFERROR($CW1044/$CS1044,"")</f>
        <v>0.7359023190481393</v>
      </c>
      <c r="CY1044">
        <f>IFERROR($CW1044/$CS1044,"")</f>
        <v>0.7359023190481393</v>
      </c>
      <c r="CZ1044">
        <f>IFERROR($CW1044/$CT1044,"")</f>
        <v>1.4718046380962786</v>
      </c>
      <c r="DA1044" s="2">
        <f>IFERROR((CV1044-CU1044)/ABS(CU1044),"")</f>
        <v>9.6525096525096388E-2</v>
      </c>
      <c r="DB1044" s="1" t="s">
        <v>1074</v>
      </c>
      <c r="DC1044" t="str">
        <f>IF(OR($DB1044="prd",$DB1044="std",$DB1044="cit"),"loc",IF(OR($DB1044="eur",$DB1044="reg",$DB1044="coy"),"reg",$DB1044))</f>
        <v>reg</v>
      </c>
      <c r="DD1044" t="s">
        <v>235</v>
      </c>
      <c r="DE1044">
        <v>2010</v>
      </c>
      <c r="DF1044">
        <v>2070</v>
      </c>
      <c r="DG1044">
        <f>DF1044-DE1044</f>
        <v>60</v>
      </c>
      <c r="DH1044" t="str">
        <f>IF(DG1044=0,"0",IF(AND(DG1044&gt;=1,DG1044&lt;=30),"1-30",IF(AND(DG1044&gt;30,DG1044&lt;=70),"31-70",IF(AND(DG1044&gt;70,DG1044&lt;=100),"71-100",IF(DG1044&gt;100,"+100")))))</f>
        <v>31-70</v>
      </c>
      <c r="DI1044">
        <v>1</v>
      </c>
      <c r="DJ1044">
        <v>1</v>
      </c>
      <c r="DK1044">
        <v>1</v>
      </c>
      <c r="DL1044">
        <v>1</v>
      </c>
      <c r="DM1044">
        <v>0</v>
      </c>
      <c r="DN1044">
        <f>SUM(DI1044:DL1044)</f>
        <v>4</v>
      </c>
      <c r="DO1044" t="str">
        <f>IF(DN1044=1,INDEX($DI$7:$DL$7,MATCH(1,$DI1044:$DL1044,0)),"mixedProduct")</f>
        <v>mixedProduct</v>
      </c>
      <c r="DP1044" t="str">
        <f>IF(DI1044=1,DP$7,0)</f>
        <v>Upstream</v>
      </c>
      <c r="DQ1044" t="str">
        <f>IF(DJ1044=1,DQ$7,0)</f>
        <v>Energy</v>
      </c>
      <c r="DR1044" t="str">
        <f>IF(DK1044=1,DR$7,0)</f>
        <v>Pulp/Paper</v>
      </c>
      <c r="DS1044" t="str">
        <f>IF(DL1044=1,DS$7,0)</f>
        <v>Timber</v>
      </c>
      <c r="DT1044">
        <v>0</v>
      </c>
      <c r="DU1044">
        <v>0</v>
      </c>
      <c r="DV1044">
        <v>0</v>
      </c>
      <c r="DW1044">
        <v>0</v>
      </c>
      <c r="DX1044">
        <v>0</v>
      </c>
      <c r="DY1044">
        <f>SUM(DT1044:DU1044)</f>
        <v>0</v>
      </c>
      <c r="DZ1044" s="143" t="str">
        <f>IF(DT1044=1,"self-calculated DF",IF(DU1044=1,"external DF used","explicit C balance"))</f>
        <v>explicit C balance</v>
      </c>
      <c r="EA1044">
        <v>1</v>
      </c>
      <c r="EB1044">
        <v>1</v>
      </c>
      <c r="EC1044">
        <v>1</v>
      </c>
      <c r="ED1044">
        <v>1</v>
      </c>
      <c r="EE1044">
        <v>0</v>
      </c>
      <c r="EF1044" s="143">
        <v>0</v>
      </c>
      <c r="EG1044">
        <v>0</v>
      </c>
      <c r="EH1044">
        <v>0</v>
      </c>
      <c r="EI1044">
        <v>0</v>
      </c>
      <c r="EJ1044">
        <v>0</v>
      </c>
      <c r="EK1044">
        <v>1</v>
      </c>
      <c r="EL1044">
        <v>0</v>
      </c>
      <c r="EM1044">
        <v>0</v>
      </c>
      <c r="EN1044" s="2">
        <v>0</v>
      </c>
      <c r="EP1044" t="str">
        <f>IF(AND(AND(AND(OR($EC1044=1,$EB1044=1),OR($EH1044=1,$EF1044=1)),SUM($EA1044:$EE1044,$EK1044)&gt;=3),SUM($EF1044:$EJ1044)&gt;=2),"Whole sector approach","")</f>
        <v/>
      </c>
      <c r="EQ1044" t="str">
        <f>IF(AND(AND(OR($EC1044=1,$EB1044=1),AND($EH1044=0,$EF1044=0)),SUM($EA1044:$EE1044,$EK1044)&gt;=4),"Ecosystem approach","")</f>
        <v>Ecosystem approach</v>
      </c>
      <c r="ER1044" s="2" t="str">
        <f>IF(AND(AND(AND($EC1044=0,$EB1044=0),OR($EH1044=1,$EF1044=1)),SUM($EG1044:$EJ1044)&gt;=2),"Technology approach","")</f>
        <v/>
      </c>
      <c r="ES1044" t="str">
        <f>IF(AND($EC1044+$EB1044+$EE1044+$EA1044+$ED1044+$EG1044=0,$N1044="included"),"C neutral forest and HWP assumption","")</f>
        <v/>
      </c>
      <c r="ET1044" t="str">
        <f>IF(AND(AND(AND(AND($EC1044=1,$EB1044+$EA1044+$EG1044&gt;=1),$EF1044=1),$EH1044+$EI1044+$ED1044+$EE1044&gt;=2),$N1044="included"),"All C pools assumption","")</f>
        <v/>
      </c>
      <c r="EU1044" t="str">
        <f>IF(AND($ED1044+$EE1044+$EI1044+$EH1044+$EF1044=0,$N1044="included"),"In-situ only assumption","")</f>
        <v/>
      </c>
      <c r="EY1044" t="str">
        <f>IF(ISNUMBER(BW1044),IF(ABS(BW1044-[2]QC_indicators!$B$2)&gt;3*[2]QC_indicators!$C$2,"C ratio",IF(ISNUMBER(CA1044),IF(ABS(CA1044-[2]QC_indicators!$B$1)&gt;3*[2]QC_indicators!$C$1,"DF","no"))),IF(ISNUMBER(CA1044),IF(ABS(CA1044-[2]QC_indicators!$B$1)&gt;3*[2]QC_indicators!$C$1,"DF","no")))</f>
        <v>no</v>
      </c>
      <c r="FA1044" t="str">
        <f>IF(LEN($CY1044)=0,"",IF(AND($CY1044&lt;(-0.05),$ES1044="C neutral forest and HWP assumption"),"Cneutral paradox",IF(AND($CY1044&gt;0.05,$EU1044="In-situ only assumption"),"In-situ only paradox","")))</f>
        <v/>
      </c>
      <c r="FD1044" s="260" t="s">
        <v>2933</v>
      </c>
    </row>
    <row r="1045" spans="1:160" ht="15" hidden="1" customHeight="1">
      <c r="A1045" s="1" t="s">
        <v>1295</v>
      </c>
      <c r="B1045" t="s">
        <v>2203</v>
      </c>
      <c r="C1045" t="s">
        <v>2204</v>
      </c>
      <c r="D1045" t="s">
        <v>2205</v>
      </c>
      <c r="E1045" t="s">
        <v>2206</v>
      </c>
      <c r="F1045" t="s">
        <v>2207</v>
      </c>
      <c r="G1045" t="s">
        <v>1301</v>
      </c>
      <c r="H1045" t="s">
        <v>254</v>
      </c>
      <c r="I1045">
        <v>2016</v>
      </c>
      <c r="J1045">
        <v>24</v>
      </c>
      <c r="K1045" t="s">
        <v>2208</v>
      </c>
      <c r="M1045" t="str">
        <f>LEFT($D1045,FIND(",",$D1045)-1)&amp;"_"&amp;I1045&amp;L1045</f>
        <v>Zubizarreta-Gerendiain_2016</v>
      </c>
      <c r="N1045" t="s">
        <v>222</v>
      </c>
      <c r="O1045" s="145" t="s">
        <v>1029</v>
      </c>
      <c r="Q1045" t="s">
        <v>256</v>
      </c>
      <c r="R1045" s="258" t="s">
        <v>223</v>
      </c>
      <c r="S1045" s="1" t="s">
        <v>2239</v>
      </c>
      <c r="T1045" t="s">
        <v>2220</v>
      </c>
      <c r="U1045" t="s">
        <v>2241</v>
      </c>
      <c r="V1045" s="253">
        <v>0</v>
      </c>
      <c r="W1045" s="253">
        <v>0</v>
      </c>
      <c r="X1045">
        <v>0</v>
      </c>
      <c r="Y1045">
        <v>0</v>
      </c>
      <c r="Z1045">
        <v>0</v>
      </c>
      <c r="AA1045">
        <v>1</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s="141">
        <f>COUNTIF(X1045:AY1045,"&lt;&gt;0")</f>
        <v>1</v>
      </c>
      <c r="BA1045" s="141">
        <f>COUNTIF(X1045:AN1045,"&lt;&gt;0")</f>
        <v>1</v>
      </c>
      <c r="BB1045">
        <f>COUNTIF(X1045:AE1045,"&lt;&gt;0")</f>
        <v>1</v>
      </c>
      <c r="BC1045">
        <f>COUNTIF(AF1045:AK1045,"&lt;&gt;0")</f>
        <v>0</v>
      </c>
      <c r="BD1045">
        <f>COUNTIF(AL1045:AN1045,"&lt;&gt;0")</f>
        <v>0</v>
      </c>
      <c r="BE1045">
        <f>COUNTIF(AU1045:AY1045,"&lt;&gt;0")</f>
        <v>0</v>
      </c>
      <c r="BF1045">
        <f>COUNTIF(AO1045:AT1045,"&lt;&gt;0")</f>
        <v>0</v>
      </c>
      <c r="BG1045" t="str">
        <f t="array" ref="BG1045">IF(BA1045=1,INDEX($X$7:$AN$7,MATCH(TRUE,INDEX($X1045:$AY1045&lt;&gt;0,),0)),IF(BA1045=0,INDEX($AO$7:$AY$7,MATCH(1,$AO1045:$AY1045,0)),IF(BH1045="Multiple strategies","mixed drivers",IF(BH1045="Supply chain","multiple supply","multiple silviculture"))))</f>
        <v xml:space="preserve">cutting intensity </v>
      </c>
      <c r="BH1045" s="2" t="str" cm="1">
        <f t="array" ref="BH1045">IF(COUNTIF(BB1045:BD1045,"&lt;&gt;0")=1,INDEX($X$4:$AY$4,MATCH(TRUE,INDEX($X1045:$AY1045&lt;&gt;0,),0)),IF(COUNTIF(BB1045:BD1045,"&lt;&gt;0")=0,INDEX($AO$4:$AY$4,MATCH(1,$AO1045:$AY1045,0)),"Multiple strategies"))</f>
        <v>Silviculture for removals</v>
      </c>
      <c r="BI1045" s="1" t="s">
        <v>321</v>
      </c>
      <c r="BJ1045" t="s">
        <v>2212</v>
      </c>
      <c r="BK1045" s="260" t="s">
        <v>1919</v>
      </c>
      <c r="BL1045" t="s">
        <v>2213</v>
      </c>
      <c r="BM1045">
        <v>64.910485933503793</v>
      </c>
      <c r="BN1045">
        <v>71.585677749360599</v>
      </c>
      <c r="BO1045" s="143">
        <f>BN1045/BM1045</f>
        <v>1.1028368794326247</v>
      </c>
      <c r="BP1045">
        <f>BN1045-BM1045</f>
        <v>6.675191815856806</v>
      </c>
      <c r="BQ1045">
        <f>BP1045*1000*t_to_m3</f>
        <v>13622.840440524094</v>
      </c>
      <c r="BR1045" t="s">
        <v>232</v>
      </c>
      <c r="BS1045" s="143" t="s">
        <v>2931</v>
      </c>
      <c r="BT1045" t="s">
        <v>1070</v>
      </c>
      <c r="BU1045">
        <v>120401.57301704831</v>
      </c>
      <c r="BV1045">
        <v>128079.5993328375</v>
      </c>
      <c r="BW1045" s="144">
        <f>IFERROR(BV1045/BU1045,"")</f>
        <v>1.0637701495370167</v>
      </c>
      <c r="BX1045" s="144">
        <f>BV1045-BU1045</f>
        <v>7678.0263157891895</v>
      </c>
      <c r="BY1045" s="144"/>
      <c r="BZ1045" s="144">
        <f>BX1045</f>
        <v>7678.0263157891895</v>
      </c>
      <c r="CA1045">
        <f>IFERROR(BZ1045/BQ1045,"")</f>
        <v>0.5636141999394807</v>
      </c>
      <c r="CB1045">
        <v>0</v>
      </c>
      <c r="CC1045">
        <v>0</v>
      </c>
      <c r="CD1045">
        <v>0</v>
      </c>
      <c r="CE1045">
        <v>0</v>
      </c>
      <c r="CF1045">
        <v>0</v>
      </c>
      <c r="CG1045">
        <v>0</v>
      </c>
      <c r="CH1045">
        <v>0</v>
      </c>
      <c r="CI1045">
        <v>0</v>
      </c>
      <c r="CJ1045">
        <v>0</v>
      </c>
      <c r="CK1045">
        <v>0</v>
      </c>
      <c r="CL1045">
        <v>0</v>
      </c>
      <c r="CM1045">
        <v>0</v>
      </c>
      <c r="CN1045">
        <v>0</v>
      </c>
      <c r="CO1045">
        <v>1</v>
      </c>
      <c r="CP1045" t="str">
        <f>IF($BN1045&lt;$BM1045,"refNeedCorrection","refOK")</f>
        <v>refOK</v>
      </c>
      <c r="CQ1045">
        <f>IF($CP1045="refOK",$BM1045,$BN1045)</f>
        <v>64.910485933503793</v>
      </c>
      <c r="CR1045">
        <f>IF($CP1045="refOK",$BN1045,$BM1045)</f>
        <v>71.585677749360599</v>
      </c>
      <c r="CS1045">
        <f>IF($CP1045="refOK",$BQ1045,-$BQ1045)</f>
        <v>13622.840440524094</v>
      </c>
      <c r="CT1045">
        <f>IF(BI1045="Roundwood",$CS1045/2,$CS1045)</f>
        <v>6811.4202202620472</v>
      </c>
      <c r="CU1045">
        <f>IF($CP1045="refOK",$BU1045,$BV1045)*IF($BR1045="Emissions positive",-1,1)</f>
        <v>120401.57301704831</v>
      </c>
      <c r="CV1045">
        <f>IF($CP1045="refOK",$BV1045,$BU1045)*IF($BR1045="Emissions positive",-1,1)</f>
        <v>128079.5993328375</v>
      </c>
      <c r="CW1045">
        <f>IF($CP1045="refNeedCorrection",-BZ1045,BZ1045)*IF($BR1045="Emissions positive",-1,1)</f>
        <v>7678.0263157891895</v>
      </c>
      <c r="CX1045">
        <f>IFERROR($CW1045/$CS1045,"")</f>
        <v>0.5636141999394807</v>
      </c>
      <c r="CY1045">
        <f>IFERROR($CW1045/$CS1045,"")</f>
        <v>0.5636141999394807</v>
      </c>
      <c r="CZ1045">
        <f>IFERROR($CW1045/$CT1045,"")</f>
        <v>1.1272283998789614</v>
      </c>
      <c r="DA1045" s="2">
        <f>IFERROR((CV1045-CU1045)/ABS(CU1045),"")</f>
        <v>6.3770149537016568E-2</v>
      </c>
      <c r="DB1045" s="1" t="s">
        <v>1074</v>
      </c>
      <c r="DC1045" t="str">
        <f>IF(OR($DB1045="prd",$DB1045="std",$DB1045="cit"),"loc",IF(OR($DB1045="eur",$DB1045="reg",$DB1045="coy"),"reg",$DB1045))</f>
        <v>reg</v>
      </c>
      <c r="DD1045" t="s">
        <v>235</v>
      </c>
      <c r="DE1045">
        <v>2010</v>
      </c>
      <c r="DF1045">
        <v>2070</v>
      </c>
      <c r="DG1045">
        <f>DF1045-DE1045</f>
        <v>60</v>
      </c>
      <c r="DH1045" t="str">
        <f>IF(DG1045=0,"0",IF(AND(DG1045&gt;=1,DG1045&lt;=30),"1-30",IF(AND(DG1045&gt;30,DG1045&lt;=70),"31-70",IF(AND(DG1045&gt;70,DG1045&lt;=100),"71-100",IF(DG1045&gt;100,"+100")))))</f>
        <v>31-70</v>
      </c>
      <c r="DI1045">
        <v>1</v>
      </c>
      <c r="DJ1045">
        <v>1</v>
      </c>
      <c r="DK1045">
        <v>1</v>
      </c>
      <c r="DL1045">
        <v>1</v>
      </c>
      <c r="DM1045">
        <v>0</v>
      </c>
      <c r="DN1045">
        <f>SUM(DI1045:DL1045)</f>
        <v>4</v>
      </c>
      <c r="DO1045" t="str">
        <f>IF(DN1045=1,INDEX($DI$7:$DL$7,MATCH(1,$DI1045:$DL1045,0)),"mixedProduct")</f>
        <v>mixedProduct</v>
      </c>
      <c r="DP1045" t="str">
        <f>IF(DI1045=1,DP$7,0)</f>
        <v>Upstream</v>
      </c>
      <c r="DQ1045" t="str">
        <f>IF(DJ1045=1,DQ$7,0)</f>
        <v>Energy</v>
      </c>
      <c r="DR1045" t="str">
        <f>IF(DK1045=1,DR$7,0)</f>
        <v>Pulp/Paper</v>
      </c>
      <c r="DS1045" t="str">
        <f>IF(DL1045=1,DS$7,0)</f>
        <v>Timber</v>
      </c>
      <c r="DT1045">
        <v>0</v>
      </c>
      <c r="DU1045">
        <v>1</v>
      </c>
      <c r="DV1045" t="s">
        <v>2237</v>
      </c>
      <c r="DW1045" t="s">
        <v>2238</v>
      </c>
      <c r="DX1045">
        <v>0</v>
      </c>
      <c r="DY1045">
        <f>SUM(DT1045:DU1045)</f>
        <v>1</v>
      </c>
      <c r="DZ1045" s="143" t="str">
        <f>IF(DT1045=1,"self-calculated DF",IF(DU1045=1,"external DF used","explicit C balance"))</f>
        <v>external DF used</v>
      </c>
      <c r="EA1045">
        <v>1</v>
      </c>
      <c r="EB1045">
        <v>1</v>
      </c>
      <c r="EC1045">
        <v>1</v>
      </c>
      <c r="ED1045">
        <v>1</v>
      </c>
      <c r="EE1045">
        <v>0</v>
      </c>
      <c r="EF1045" s="143">
        <v>1</v>
      </c>
      <c r="EG1045">
        <v>1</v>
      </c>
      <c r="EH1045">
        <v>1</v>
      </c>
      <c r="EI1045">
        <v>0</v>
      </c>
      <c r="EJ1045">
        <v>0</v>
      </c>
      <c r="EK1045">
        <v>1</v>
      </c>
      <c r="EL1045">
        <v>0</v>
      </c>
      <c r="EM1045">
        <v>0</v>
      </c>
      <c r="EN1045" s="2">
        <v>0</v>
      </c>
      <c r="EP1045" t="str">
        <f>IF(AND(AND(AND(OR($EC1045=1,$EB1045=1),OR($EH1045=1,$EF1045=1)),SUM($EA1045:$EE1045,$EK1045)&gt;=3),SUM($EF1045:$EJ1045)&gt;=2),"Whole sector approach","")</f>
        <v>Whole sector approach</v>
      </c>
      <c r="EQ1045" t="str">
        <f>IF(AND(AND(OR($EC1045=1,$EB1045=1),AND($EH1045=0,$EF1045=0)),SUM($EA1045:$EE1045,$EK1045)&gt;=4),"Ecosystem approach","")</f>
        <v/>
      </c>
      <c r="ER1045" s="2" t="str">
        <f>IF(AND(AND(AND($EC1045=0,$EB1045=0),OR($EH1045=1,$EF1045=1)),SUM($EG1045:$EJ1045)&gt;=2),"Technology approach","")</f>
        <v/>
      </c>
      <c r="ES1045" t="str">
        <f>IF(AND($EC1045+$EB1045+$EE1045+$EA1045+$ED1045+$EG1045=0,$N1045="included"),"C neutral forest and HWP assumption","")</f>
        <v/>
      </c>
      <c r="ET1045" t="str">
        <f>IF(AND(AND(AND(AND($EC1045=1,$EB1045+$EA1045+$EG1045&gt;=1),$EF1045=1),$EH1045+$EI1045+$ED1045+$EE1045&gt;=2),$N1045="included"),"All C pools assumption","")</f>
        <v>All C pools assumption</v>
      </c>
      <c r="EU1045" t="str">
        <f>IF(AND($ED1045+$EE1045+$EI1045+$EH1045+$EF1045=0,$N1045="included"),"In-situ only assumption","")</f>
        <v/>
      </c>
      <c r="EY1045" t="str">
        <f>IF(ISNUMBER(BW1045),IF(ABS(BW1045-[2]QC_indicators!$B$2)&gt;3*[2]QC_indicators!$C$2,"C ratio",IF(ISNUMBER(CA1045),IF(ABS(CA1045-[2]QC_indicators!$B$1)&gt;3*[2]QC_indicators!$C$1,"DF","no"))),IF(ISNUMBER(CA1045),IF(ABS(CA1045-[2]QC_indicators!$B$1)&gt;3*[2]QC_indicators!$C$1,"DF","no")))</f>
        <v>no</v>
      </c>
      <c r="FA1045" t="str">
        <f>IF(LEN($CY1045)=0,"",IF(AND($CY1045&lt;(-0.05),$ES1045="C neutral forest and HWP assumption"),"Cneutral paradox",IF(AND($CY1045&gt;0.05,$EU1045="In-situ only assumption"),"In-situ only paradox","")))</f>
        <v/>
      </c>
      <c r="FD1045" s="260" t="s">
        <v>2934</v>
      </c>
    </row>
    <row r="1046" spans="1:160" hidden="1">
      <c r="A1046" s="1" t="s">
        <v>1295</v>
      </c>
      <c r="B1046" t="s">
        <v>2203</v>
      </c>
      <c r="C1046" t="s">
        <v>2204</v>
      </c>
      <c r="D1046" t="s">
        <v>2205</v>
      </c>
      <c r="E1046" t="s">
        <v>2206</v>
      </c>
      <c r="F1046" t="s">
        <v>2207</v>
      </c>
      <c r="G1046" t="s">
        <v>1301</v>
      </c>
      <c r="H1046" t="s">
        <v>254</v>
      </c>
      <c r="I1046">
        <v>2016</v>
      </c>
      <c r="J1046">
        <v>24</v>
      </c>
      <c r="K1046" t="s">
        <v>2208</v>
      </c>
      <c r="M1046" t="str">
        <f>LEFT($D1046,FIND(",",$D1046)-1)&amp;"_"&amp;I1046&amp;L1046</f>
        <v>Zubizarreta-Gerendiain_2016</v>
      </c>
      <c r="N1046" t="s">
        <v>222</v>
      </c>
      <c r="O1046" s="145" t="s">
        <v>1029</v>
      </c>
      <c r="Q1046" t="s">
        <v>256</v>
      </c>
      <c r="R1046" s="258" t="s">
        <v>223</v>
      </c>
      <c r="S1046" s="1" t="s">
        <v>2239</v>
      </c>
      <c r="T1046" t="s">
        <v>2222</v>
      </c>
      <c r="U1046" t="s">
        <v>2240</v>
      </c>
      <c r="V1046" s="253">
        <v>0</v>
      </c>
      <c r="W1046" s="253">
        <v>0</v>
      </c>
      <c r="X1046">
        <v>0</v>
      </c>
      <c r="Y1046">
        <v>0</v>
      </c>
      <c r="Z1046">
        <v>0</v>
      </c>
      <c r="AA1046">
        <v>1</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s="141">
        <f>COUNTIF(X1046:AY1046,"&lt;&gt;0")</f>
        <v>1</v>
      </c>
      <c r="BA1046" s="141">
        <f>COUNTIF(X1046:AN1046,"&lt;&gt;0")</f>
        <v>1</v>
      </c>
      <c r="BB1046">
        <f>COUNTIF(X1046:AE1046,"&lt;&gt;0")</f>
        <v>1</v>
      </c>
      <c r="BC1046">
        <f>COUNTIF(AF1046:AK1046,"&lt;&gt;0")</f>
        <v>0</v>
      </c>
      <c r="BD1046">
        <f>COUNTIF(AL1046:AN1046,"&lt;&gt;0")</f>
        <v>0</v>
      </c>
      <c r="BE1046">
        <f>COUNTIF(AU1046:AY1046,"&lt;&gt;0")</f>
        <v>0</v>
      </c>
      <c r="BF1046">
        <f>COUNTIF(AO1046:AT1046,"&lt;&gt;0")</f>
        <v>0</v>
      </c>
      <c r="BG1046" t="str">
        <f t="array" ref="BG1046">IF(BA1046=1,INDEX($X$7:$AN$7,MATCH(TRUE,INDEX($X1046:$AY1046&lt;&gt;0,),0)),IF(BA1046=0,INDEX($AO$7:$AY$7,MATCH(1,$AO1046:$AY1046,0)),IF(BH1046="Multiple strategies","mixed drivers",IF(BH1046="Supply chain","multiple supply","multiple silviculture"))))</f>
        <v xml:space="preserve">cutting intensity </v>
      </c>
      <c r="BH1046" s="2" t="str" cm="1">
        <f t="array" ref="BH1046">IF(COUNTIF(BB1046:BD1046,"&lt;&gt;0")=1,INDEX($X$4:$AY$4,MATCH(TRUE,INDEX($X1046:$AY1046&lt;&gt;0,),0)),IF(COUNTIF(BB1046:BD1046,"&lt;&gt;0")=0,INDEX($AO$4:$AY$4,MATCH(1,$AO1046:$AY1046,0)),"Multiple strategies"))</f>
        <v>Silviculture for removals</v>
      </c>
      <c r="BI1046" s="1" t="s">
        <v>321</v>
      </c>
      <c r="BJ1046" t="s">
        <v>2212</v>
      </c>
      <c r="BK1046" s="260" t="s">
        <v>1919</v>
      </c>
      <c r="BL1046" t="s">
        <v>2213</v>
      </c>
      <c r="BM1046">
        <v>64.910485933503793</v>
      </c>
      <c r="BN1046">
        <v>77.586206896551701</v>
      </c>
      <c r="BO1046" s="143">
        <f>BN1046/BM1046</f>
        <v>1.1952800195646862</v>
      </c>
      <c r="BP1046">
        <f>BN1046-BM1046</f>
        <v>12.675720963047908</v>
      </c>
      <c r="BQ1046">
        <f>BP1046*1000*t_to_m3</f>
        <v>25868.818291934509</v>
      </c>
      <c r="BR1046" t="s">
        <v>232</v>
      </c>
      <c r="BS1046" s="143" t="s">
        <v>2931</v>
      </c>
      <c r="BT1046" t="s">
        <v>1070</v>
      </c>
      <c r="BU1046">
        <v>78941.884525139583</v>
      </c>
      <c r="BV1046">
        <v>87186.467765363064</v>
      </c>
      <c r="BW1046" s="144">
        <f>IFERROR(BV1046/BU1046,"")</f>
        <v>1.1044386422976504</v>
      </c>
      <c r="BX1046" s="144">
        <f>BV1046-BU1046</f>
        <v>8244.583240223481</v>
      </c>
      <c r="BY1046" s="144"/>
      <c r="BZ1046" s="144">
        <f>BX1046</f>
        <v>8244.583240223481</v>
      </c>
      <c r="CA1046">
        <f>IFERROR(BZ1046/BQ1046,"")</f>
        <v>0.31870737763054341</v>
      </c>
      <c r="CB1046">
        <v>0</v>
      </c>
      <c r="CC1046">
        <v>0</v>
      </c>
      <c r="CD1046">
        <v>0</v>
      </c>
      <c r="CE1046">
        <v>0</v>
      </c>
      <c r="CF1046">
        <v>0</v>
      </c>
      <c r="CG1046">
        <v>0</v>
      </c>
      <c r="CH1046">
        <v>0</v>
      </c>
      <c r="CI1046">
        <v>0</v>
      </c>
      <c r="CJ1046">
        <v>0</v>
      </c>
      <c r="CK1046">
        <v>0</v>
      </c>
      <c r="CL1046">
        <v>0</v>
      </c>
      <c r="CM1046">
        <v>0</v>
      </c>
      <c r="CN1046">
        <v>0</v>
      </c>
      <c r="CO1046">
        <v>1</v>
      </c>
      <c r="CP1046" t="str">
        <f>IF($BN1046&lt;$BM1046,"refNeedCorrection","refOK")</f>
        <v>refOK</v>
      </c>
      <c r="CQ1046">
        <f>IF($CP1046="refOK",$BM1046,$BN1046)</f>
        <v>64.910485933503793</v>
      </c>
      <c r="CR1046">
        <f>IF($CP1046="refOK",$BN1046,$BM1046)</f>
        <v>77.586206896551701</v>
      </c>
      <c r="CS1046">
        <f>IF($CP1046="refOK",$BQ1046,-$BQ1046)</f>
        <v>25868.818291934509</v>
      </c>
      <c r="CT1046">
        <f>IF(BI1046="Roundwood",$CS1046/2,$CS1046)</f>
        <v>12934.409145967255</v>
      </c>
      <c r="CU1046">
        <f>IF($CP1046="refOK",$BU1046,$BV1046)*IF($BR1046="Emissions positive",-1,1)</f>
        <v>78941.884525139583</v>
      </c>
      <c r="CV1046">
        <f>IF($CP1046="refOK",$BV1046,$BU1046)*IF($BR1046="Emissions positive",-1,1)</f>
        <v>87186.467765363064</v>
      </c>
      <c r="CW1046">
        <f>IF($CP1046="refNeedCorrection",-BZ1046,BZ1046)*IF($BR1046="Emissions positive",-1,1)</f>
        <v>8244.583240223481</v>
      </c>
      <c r="CX1046">
        <f>IFERROR($CW1046/$CS1046,"")</f>
        <v>0.31870737763054341</v>
      </c>
      <c r="CY1046">
        <f>IFERROR($CW1046/$CS1046,"")</f>
        <v>0.31870737763054341</v>
      </c>
      <c r="CZ1046">
        <f>IFERROR($CW1046/$CT1046,"")</f>
        <v>0.63741475526108682</v>
      </c>
      <c r="DA1046" s="2">
        <f>IFERROR((CV1046-CU1046)/ABS(CU1046),"")</f>
        <v>0.10443864229765046</v>
      </c>
      <c r="DB1046" s="1" t="s">
        <v>1074</v>
      </c>
      <c r="DC1046" t="str">
        <f>IF(OR($DB1046="prd",$DB1046="std",$DB1046="cit"),"loc",IF(OR($DB1046="eur",$DB1046="reg",$DB1046="coy"),"reg",$DB1046))</f>
        <v>reg</v>
      </c>
      <c r="DD1046" t="s">
        <v>235</v>
      </c>
      <c r="DE1046">
        <v>2010</v>
      </c>
      <c r="DF1046">
        <v>2070</v>
      </c>
      <c r="DG1046">
        <f>DF1046-DE1046</f>
        <v>60</v>
      </c>
      <c r="DH1046" t="str">
        <f>IF(DG1046=0,"0",IF(AND(DG1046&gt;=1,DG1046&lt;=30),"1-30",IF(AND(DG1046&gt;30,DG1046&lt;=70),"31-70",IF(AND(DG1046&gt;70,DG1046&lt;=100),"71-100",IF(DG1046&gt;100,"+100")))))</f>
        <v>31-70</v>
      </c>
      <c r="DI1046">
        <v>1</v>
      </c>
      <c r="DJ1046">
        <v>1</v>
      </c>
      <c r="DK1046">
        <v>1</v>
      </c>
      <c r="DL1046">
        <v>1</v>
      </c>
      <c r="DM1046">
        <v>0</v>
      </c>
      <c r="DN1046">
        <f>SUM(DI1046:DL1046)</f>
        <v>4</v>
      </c>
      <c r="DO1046" t="str">
        <f>IF(DN1046=1,INDEX($DI$7:$DL$7,MATCH(1,$DI1046:$DL1046,0)),"mixedProduct")</f>
        <v>mixedProduct</v>
      </c>
      <c r="DP1046" t="str">
        <f>IF(DI1046=1,DP$7,0)</f>
        <v>Upstream</v>
      </c>
      <c r="DQ1046" t="str">
        <f>IF(DJ1046=1,DQ$7,0)</f>
        <v>Energy</v>
      </c>
      <c r="DR1046" t="str">
        <f>IF(DK1046=1,DR$7,0)</f>
        <v>Pulp/Paper</v>
      </c>
      <c r="DS1046" t="str">
        <f>IF(DL1046=1,DS$7,0)</f>
        <v>Timber</v>
      </c>
      <c r="DT1046">
        <v>0</v>
      </c>
      <c r="DU1046">
        <v>0</v>
      </c>
      <c r="DV1046">
        <v>0</v>
      </c>
      <c r="DW1046">
        <v>0</v>
      </c>
      <c r="DX1046">
        <v>0</v>
      </c>
      <c r="DY1046">
        <f>SUM(DT1046:DU1046)</f>
        <v>0</v>
      </c>
      <c r="DZ1046" s="143" t="str">
        <f>IF(DT1046=1,"self-calculated DF",IF(DU1046=1,"external DF used","explicit C balance"))</f>
        <v>explicit C balance</v>
      </c>
      <c r="EA1046">
        <v>1</v>
      </c>
      <c r="EB1046">
        <v>1</v>
      </c>
      <c r="EC1046">
        <v>1</v>
      </c>
      <c r="ED1046">
        <v>1</v>
      </c>
      <c r="EE1046">
        <v>0</v>
      </c>
      <c r="EF1046" s="143">
        <v>0</v>
      </c>
      <c r="EG1046">
        <v>0</v>
      </c>
      <c r="EH1046">
        <v>0</v>
      </c>
      <c r="EI1046">
        <v>0</v>
      </c>
      <c r="EJ1046">
        <v>0</v>
      </c>
      <c r="EK1046">
        <v>1</v>
      </c>
      <c r="EL1046">
        <v>0</v>
      </c>
      <c r="EM1046">
        <v>0</v>
      </c>
      <c r="EN1046" s="2">
        <v>0</v>
      </c>
      <c r="EP1046" t="str">
        <f>IF(AND(AND(AND(OR($EC1046=1,$EB1046=1),OR($EH1046=1,$EF1046=1)),SUM($EA1046:$EE1046,$EK1046)&gt;=3),SUM($EF1046:$EJ1046)&gt;=2),"Whole sector approach","")</f>
        <v/>
      </c>
      <c r="EQ1046" t="str">
        <f>IF(AND(AND(OR($EC1046=1,$EB1046=1),AND($EH1046=0,$EF1046=0)),SUM($EA1046:$EE1046,$EK1046)&gt;=4),"Ecosystem approach","")</f>
        <v>Ecosystem approach</v>
      </c>
      <c r="ER1046" s="2" t="str">
        <f>IF(AND(AND(AND($EC1046=0,$EB1046=0),OR($EH1046=1,$EF1046=1)),SUM($EG1046:$EJ1046)&gt;=2),"Technology approach","")</f>
        <v/>
      </c>
      <c r="ES1046" t="str">
        <f>IF(AND($EC1046+$EB1046+$EE1046+$EA1046+$ED1046+$EG1046=0,$N1046="included"),"C neutral forest and HWP assumption","")</f>
        <v/>
      </c>
      <c r="ET1046" t="str">
        <f>IF(AND(AND(AND(AND($EC1046=1,$EB1046+$EA1046+$EG1046&gt;=1),$EF1046=1),$EH1046+$EI1046+$ED1046+$EE1046&gt;=2),$N1046="included"),"All C pools assumption","")</f>
        <v/>
      </c>
      <c r="EU1046" t="str">
        <f>IF(AND($ED1046+$EE1046+$EI1046+$EH1046+$EF1046=0,$N1046="included"),"In-situ only assumption","")</f>
        <v/>
      </c>
      <c r="EY1046" t="str">
        <f>IF(ISNUMBER(BW1046),IF(ABS(BW1046-[2]QC_indicators!$B$2)&gt;3*[2]QC_indicators!$C$2,"C ratio",IF(ISNUMBER(CA1046),IF(ABS(CA1046-[2]QC_indicators!$B$1)&gt;3*[2]QC_indicators!$C$1,"DF","no"))),IF(ISNUMBER(CA1046),IF(ABS(CA1046-[2]QC_indicators!$B$1)&gt;3*[2]QC_indicators!$C$1,"DF","no")))</f>
        <v>no</v>
      </c>
      <c r="FA1046" t="str">
        <f>IF(LEN($CY1046)=0,"",IF(AND($CY1046&lt;(-0.05),$ES1046="C neutral forest and HWP assumption"),"Cneutral paradox",IF(AND($CY1046&gt;0.05,$EU1046="In-situ only assumption"),"In-situ only paradox","")))</f>
        <v/>
      </c>
      <c r="FD1046" s="260" t="s">
        <v>2933</v>
      </c>
    </row>
    <row r="1047" spans="1:160" ht="15" hidden="1" customHeight="1">
      <c r="A1047" s="1" t="s">
        <v>1295</v>
      </c>
      <c r="B1047" t="s">
        <v>2203</v>
      </c>
      <c r="C1047" t="s">
        <v>2204</v>
      </c>
      <c r="D1047" t="s">
        <v>2205</v>
      </c>
      <c r="E1047" t="s">
        <v>2206</v>
      </c>
      <c r="F1047" t="s">
        <v>2207</v>
      </c>
      <c r="G1047" t="s">
        <v>1301</v>
      </c>
      <c r="H1047" t="s">
        <v>254</v>
      </c>
      <c r="I1047">
        <v>2016</v>
      </c>
      <c r="J1047">
        <v>24</v>
      </c>
      <c r="K1047" t="s">
        <v>2208</v>
      </c>
      <c r="M1047" t="str">
        <f>LEFT($D1047,FIND(",",$D1047)-1)&amp;"_"&amp;I1047&amp;L1047</f>
        <v>Zubizarreta-Gerendiain_2016</v>
      </c>
      <c r="N1047" t="s">
        <v>222</v>
      </c>
      <c r="O1047" s="145" t="s">
        <v>1029</v>
      </c>
      <c r="Q1047" t="s">
        <v>256</v>
      </c>
      <c r="R1047" s="258" t="s">
        <v>223</v>
      </c>
      <c r="S1047" s="1" t="s">
        <v>2239</v>
      </c>
      <c r="T1047" t="s">
        <v>2222</v>
      </c>
      <c r="U1047" t="s">
        <v>2240</v>
      </c>
      <c r="V1047" s="253">
        <v>0</v>
      </c>
      <c r="W1047" s="253">
        <v>0</v>
      </c>
      <c r="X1047">
        <v>0</v>
      </c>
      <c r="Y1047">
        <v>0</v>
      </c>
      <c r="Z1047">
        <v>0</v>
      </c>
      <c r="AA1047">
        <v>1</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s="141">
        <f>COUNTIF(X1047:AY1047,"&lt;&gt;0")</f>
        <v>1</v>
      </c>
      <c r="BA1047" s="141">
        <f>COUNTIF(X1047:AN1047,"&lt;&gt;0")</f>
        <v>1</v>
      </c>
      <c r="BB1047">
        <f>COUNTIF(X1047:AE1047,"&lt;&gt;0")</f>
        <v>1</v>
      </c>
      <c r="BC1047">
        <f>COUNTIF(AF1047:AK1047,"&lt;&gt;0")</f>
        <v>0</v>
      </c>
      <c r="BD1047">
        <f>COUNTIF(AL1047:AN1047,"&lt;&gt;0")</f>
        <v>0</v>
      </c>
      <c r="BE1047">
        <f>COUNTIF(AU1047:AY1047,"&lt;&gt;0")</f>
        <v>0</v>
      </c>
      <c r="BF1047">
        <f>COUNTIF(AO1047:AT1047,"&lt;&gt;0")</f>
        <v>0</v>
      </c>
      <c r="BG1047" t="str">
        <f t="array" ref="BG1047">IF(BA1047=1,INDEX($X$7:$AN$7,MATCH(TRUE,INDEX($X1047:$AY1047&lt;&gt;0,),0)),IF(BA1047=0,INDEX($AO$7:$AY$7,MATCH(1,$AO1047:$AY1047,0)),IF(BH1047="Multiple strategies","mixed drivers",IF(BH1047="Supply chain","multiple supply","multiple silviculture"))))</f>
        <v xml:space="preserve">cutting intensity </v>
      </c>
      <c r="BH1047" s="2" t="str" cm="1">
        <f t="array" ref="BH1047">IF(COUNTIF(BB1047:BD1047,"&lt;&gt;0")=1,INDEX($X$4:$AY$4,MATCH(TRUE,INDEX($X1047:$AY1047&lt;&gt;0,),0)),IF(COUNTIF(BB1047:BD1047,"&lt;&gt;0")=0,INDEX($AO$4:$AY$4,MATCH(1,$AO1047:$AY1047,0)),"Multiple strategies"))</f>
        <v>Silviculture for removals</v>
      </c>
      <c r="BI1047" s="1" t="s">
        <v>321</v>
      </c>
      <c r="BJ1047" t="s">
        <v>2212</v>
      </c>
      <c r="BK1047" s="260" t="s">
        <v>1919</v>
      </c>
      <c r="BL1047" t="s">
        <v>2213</v>
      </c>
      <c r="BM1047">
        <v>64.910485933503793</v>
      </c>
      <c r="BN1047">
        <v>77.586206896551701</v>
      </c>
      <c r="BO1047" s="143">
        <f>BN1047/BM1047</f>
        <v>1.1952800195646862</v>
      </c>
      <c r="BP1047">
        <f>BN1047-BM1047</f>
        <v>12.675720963047908</v>
      </c>
      <c r="BQ1047">
        <f>BP1047*1000*t_to_m3</f>
        <v>25868.818291934509</v>
      </c>
      <c r="BR1047" t="s">
        <v>232</v>
      </c>
      <c r="BS1047" s="143" t="s">
        <v>2931</v>
      </c>
      <c r="BT1047" t="s">
        <v>1070</v>
      </c>
      <c r="BU1047">
        <v>79079.294245810015</v>
      </c>
      <c r="BV1047">
        <v>84232.158770949667</v>
      </c>
      <c r="BW1047" s="144">
        <f>IFERROR(BV1047/BU1047,"")</f>
        <v>1.0651607298001737</v>
      </c>
      <c r="BX1047" s="144">
        <f>BV1047-BU1047</f>
        <v>5152.864525139652</v>
      </c>
      <c r="BY1047" s="144"/>
      <c r="BZ1047" s="144">
        <f>BX1047</f>
        <v>5152.864525139652</v>
      </c>
      <c r="CA1047">
        <f>IFERROR(BZ1047/BQ1047,"")</f>
        <v>0.19919211101908874</v>
      </c>
      <c r="CB1047">
        <v>0</v>
      </c>
      <c r="CC1047">
        <v>0</v>
      </c>
      <c r="CD1047">
        <v>0</v>
      </c>
      <c r="CE1047">
        <v>0</v>
      </c>
      <c r="CF1047">
        <v>0</v>
      </c>
      <c r="CG1047">
        <v>0</v>
      </c>
      <c r="CH1047">
        <v>0</v>
      </c>
      <c r="CI1047">
        <v>0</v>
      </c>
      <c r="CJ1047">
        <v>0</v>
      </c>
      <c r="CK1047">
        <v>0</v>
      </c>
      <c r="CL1047">
        <v>0</v>
      </c>
      <c r="CM1047">
        <v>0</v>
      </c>
      <c r="CN1047">
        <v>0</v>
      </c>
      <c r="CO1047">
        <v>1</v>
      </c>
      <c r="CP1047" t="str">
        <f>IF($BN1047&lt;$BM1047,"refNeedCorrection","refOK")</f>
        <v>refOK</v>
      </c>
      <c r="CQ1047">
        <f>IF($CP1047="refOK",$BM1047,$BN1047)</f>
        <v>64.910485933503793</v>
      </c>
      <c r="CR1047">
        <f>IF($CP1047="refOK",$BN1047,$BM1047)</f>
        <v>77.586206896551701</v>
      </c>
      <c r="CS1047">
        <f>IF($CP1047="refOK",$BQ1047,-$BQ1047)</f>
        <v>25868.818291934509</v>
      </c>
      <c r="CT1047">
        <f>IF(BI1047="Roundwood",$CS1047/2,$CS1047)</f>
        <v>12934.409145967255</v>
      </c>
      <c r="CU1047">
        <f>IF($CP1047="refOK",$BU1047,$BV1047)*IF($BR1047="Emissions positive",-1,1)</f>
        <v>79079.294245810015</v>
      </c>
      <c r="CV1047">
        <f>IF($CP1047="refOK",$BV1047,$BU1047)*IF($BR1047="Emissions positive",-1,1)</f>
        <v>84232.158770949667</v>
      </c>
      <c r="CW1047">
        <f>IF($CP1047="refNeedCorrection",-BZ1047,BZ1047)*IF($BR1047="Emissions positive",-1,1)</f>
        <v>5152.864525139652</v>
      </c>
      <c r="CX1047">
        <f>IFERROR($CW1047/$CS1047,"")</f>
        <v>0.19919211101908874</v>
      </c>
      <c r="CY1047">
        <f>IFERROR($CW1047/$CS1047,"")</f>
        <v>0.19919211101908874</v>
      </c>
      <c r="CZ1047">
        <f>IFERROR($CW1047/$CT1047,"")</f>
        <v>0.39838422203817747</v>
      </c>
      <c r="DA1047" s="2">
        <f>IFERROR((CV1047-CU1047)/ABS(CU1047),"")</f>
        <v>6.5160729800173636E-2</v>
      </c>
      <c r="DB1047" s="1" t="s">
        <v>1074</v>
      </c>
      <c r="DC1047" t="str">
        <f>IF(OR($DB1047="prd",$DB1047="std",$DB1047="cit"),"loc",IF(OR($DB1047="eur",$DB1047="reg",$DB1047="coy"),"reg",$DB1047))</f>
        <v>reg</v>
      </c>
      <c r="DD1047" t="s">
        <v>235</v>
      </c>
      <c r="DE1047">
        <v>2010</v>
      </c>
      <c r="DF1047">
        <v>2070</v>
      </c>
      <c r="DG1047">
        <f>DF1047-DE1047</f>
        <v>60</v>
      </c>
      <c r="DH1047" t="str">
        <f>IF(DG1047=0,"0",IF(AND(DG1047&gt;=1,DG1047&lt;=30),"1-30",IF(AND(DG1047&gt;30,DG1047&lt;=70),"31-70",IF(AND(DG1047&gt;70,DG1047&lt;=100),"71-100",IF(DG1047&gt;100,"+100")))))</f>
        <v>31-70</v>
      </c>
      <c r="DI1047">
        <v>1</v>
      </c>
      <c r="DJ1047">
        <v>1</v>
      </c>
      <c r="DK1047">
        <v>1</v>
      </c>
      <c r="DL1047">
        <v>1</v>
      </c>
      <c r="DM1047">
        <v>0</v>
      </c>
      <c r="DN1047">
        <f>SUM(DI1047:DL1047)</f>
        <v>4</v>
      </c>
      <c r="DO1047" t="str">
        <f>IF(DN1047=1,INDEX($DI$7:$DL$7,MATCH(1,$DI1047:$DL1047,0)),"mixedProduct")</f>
        <v>mixedProduct</v>
      </c>
      <c r="DP1047" t="str">
        <f>IF(DI1047=1,DP$7,0)</f>
        <v>Upstream</v>
      </c>
      <c r="DQ1047" t="str">
        <f>IF(DJ1047=1,DQ$7,0)</f>
        <v>Energy</v>
      </c>
      <c r="DR1047" t="str">
        <f>IF(DK1047=1,DR$7,0)</f>
        <v>Pulp/Paper</v>
      </c>
      <c r="DS1047" t="str">
        <f>IF(DL1047=1,DS$7,0)</f>
        <v>Timber</v>
      </c>
      <c r="DT1047">
        <v>0</v>
      </c>
      <c r="DU1047">
        <v>1</v>
      </c>
      <c r="DV1047" t="s">
        <v>2237</v>
      </c>
      <c r="DW1047" t="s">
        <v>2238</v>
      </c>
      <c r="DX1047">
        <v>0</v>
      </c>
      <c r="DY1047">
        <f>SUM(DT1047:DU1047)</f>
        <v>1</v>
      </c>
      <c r="DZ1047" s="143" t="str">
        <f>IF(DT1047=1,"self-calculated DF",IF(DU1047=1,"external DF used","explicit C balance"))</f>
        <v>external DF used</v>
      </c>
      <c r="EA1047">
        <v>1</v>
      </c>
      <c r="EB1047">
        <v>1</v>
      </c>
      <c r="EC1047">
        <v>1</v>
      </c>
      <c r="ED1047">
        <v>1</v>
      </c>
      <c r="EE1047">
        <v>0</v>
      </c>
      <c r="EF1047" s="143">
        <v>1</v>
      </c>
      <c r="EG1047">
        <v>1</v>
      </c>
      <c r="EH1047">
        <v>1</v>
      </c>
      <c r="EI1047">
        <v>0</v>
      </c>
      <c r="EJ1047">
        <v>0</v>
      </c>
      <c r="EK1047">
        <v>1</v>
      </c>
      <c r="EL1047">
        <v>0</v>
      </c>
      <c r="EM1047">
        <v>0</v>
      </c>
      <c r="EN1047" s="2">
        <v>0</v>
      </c>
      <c r="EP1047" t="str">
        <f>IF(AND(AND(AND(OR($EC1047=1,$EB1047=1),OR($EH1047=1,$EF1047=1)),SUM($EA1047:$EE1047,$EK1047)&gt;=3),SUM($EF1047:$EJ1047)&gt;=2),"Whole sector approach","")</f>
        <v>Whole sector approach</v>
      </c>
      <c r="EQ1047" t="str">
        <f>IF(AND(AND(OR($EC1047=1,$EB1047=1),AND($EH1047=0,$EF1047=0)),SUM($EA1047:$EE1047,$EK1047)&gt;=4),"Ecosystem approach","")</f>
        <v/>
      </c>
      <c r="ER1047" s="2" t="str">
        <f>IF(AND(AND(AND($EC1047=0,$EB1047=0),OR($EH1047=1,$EF1047=1)),SUM($EG1047:$EJ1047)&gt;=2),"Technology approach","")</f>
        <v/>
      </c>
      <c r="ES1047" t="str">
        <f>IF(AND($EC1047+$EB1047+$EE1047+$EA1047+$ED1047+$EG1047=0,$N1047="included"),"C neutral forest and HWP assumption","")</f>
        <v/>
      </c>
      <c r="ET1047" t="str">
        <f>IF(AND(AND(AND(AND($EC1047=1,$EB1047+$EA1047+$EG1047&gt;=1),$EF1047=1),$EH1047+$EI1047+$ED1047+$EE1047&gt;=2),$N1047="included"),"All C pools assumption","")</f>
        <v>All C pools assumption</v>
      </c>
      <c r="EU1047" t="str">
        <f>IF(AND($ED1047+$EE1047+$EI1047+$EH1047+$EF1047=0,$N1047="included"),"In-situ only assumption","")</f>
        <v/>
      </c>
      <c r="EY1047" t="str">
        <f>IF(ISNUMBER(BW1047),IF(ABS(BW1047-[2]QC_indicators!$B$2)&gt;3*[2]QC_indicators!$C$2,"C ratio",IF(ISNUMBER(CA1047),IF(ABS(CA1047-[2]QC_indicators!$B$1)&gt;3*[2]QC_indicators!$C$1,"DF","no"))),IF(ISNUMBER(CA1047),IF(ABS(CA1047-[2]QC_indicators!$B$1)&gt;3*[2]QC_indicators!$C$1,"DF","no")))</f>
        <v>no</v>
      </c>
      <c r="FA1047" t="str">
        <f>IF(LEN($CY1047)=0,"",IF(AND($CY1047&lt;(-0.05),$ES1047="C neutral forest and HWP assumption"),"Cneutral paradox",IF(AND($CY1047&gt;0.05,$EU1047="In-situ only assumption"),"In-situ only paradox","")))</f>
        <v/>
      </c>
      <c r="FD1047" s="260" t="s">
        <v>2934</v>
      </c>
    </row>
    <row r="1048" spans="1:160" ht="15" hidden="1" customHeight="1">
      <c r="A1048" s="1" t="s">
        <v>1295</v>
      </c>
      <c r="B1048" t="s">
        <v>2203</v>
      </c>
      <c r="C1048" t="s">
        <v>2204</v>
      </c>
      <c r="D1048" t="s">
        <v>2205</v>
      </c>
      <c r="E1048" t="s">
        <v>2206</v>
      </c>
      <c r="F1048" t="s">
        <v>2207</v>
      </c>
      <c r="G1048" t="s">
        <v>1301</v>
      </c>
      <c r="H1048" t="s">
        <v>254</v>
      </c>
      <c r="I1048">
        <v>2016</v>
      </c>
      <c r="J1048">
        <v>24</v>
      </c>
      <c r="K1048" t="s">
        <v>2208</v>
      </c>
      <c r="M1048" t="str">
        <f>LEFT($D1048,FIND(",",$D1048)-1)&amp;"_"&amp;I1048&amp;L1048</f>
        <v>Zubizarreta-Gerendiain_2016</v>
      </c>
      <c r="N1048" t="s">
        <v>222</v>
      </c>
      <c r="O1048" s="145" t="s">
        <v>1029</v>
      </c>
      <c r="Q1048" t="s">
        <v>256</v>
      </c>
      <c r="R1048" s="258" t="s">
        <v>223</v>
      </c>
      <c r="S1048" s="1" t="s">
        <v>2239</v>
      </c>
      <c r="T1048" t="s">
        <v>2220</v>
      </c>
      <c r="U1048" t="s">
        <v>2241</v>
      </c>
      <c r="V1048" s="253">
        <v>0</v>
      </c>
      <c r="W1048" s="253">
        <v>0</v>
      </c>
      <c r="X1048">
        <v>0</v>
      </c>
      <c r="Y1048">
        <v>0</v>
      </c>
      <c r="Z1048">
        <v>0</v>
      </c>
      <c r="AA1048">
        <v>1</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s="141">
        <f>COUNTIF(X1048:AY1048,"&lt;&gt;0")</f>
        <v>1</v>
      </c>
      <c r="BA1048" s="141">
        <f>COUNTIF(X1048:AN1048,"&lt;&gt;0")</f>
        <v>1</v>
      </c>
      <c r="BB1048">
        <f>COUNTIF(X1048:AE1048,"&lt;&gt;0")</f>
        <v>1</v>
      </c>
      <c r="BC1048">
        <f>COUNTIF(AF1048:AK1048,"&lt;&gt;0")</f>
        <v>0</v>
      </c>
      <c r="BD1048">
        <f>COUNTIF(AL1048:AN1048,"&lt;&gt;0")</f>
        <v>0</v>
      </c>
      <c r="BE1048">
        <f>COUNTIF(AU1048:AY1048,"&lt;&gt;0")</f>
        <v>0</v>
      </c>
      <c r="BF1048">
        <f>COUNTIF(AO1048:AT1048,"&lt;&gt;0")</f>
        <v>0</v>
      </c>
      <c r="BG1048" t="str">
        <f t="array" ref="BG1048">IF(BA1048=1,INDEX($X$7:$AN$7,MATCH(TRUE,INDEX($X1048:$AY1048&lt;&gt;0,),0)),IF(BA1048=0,INDEX($AO$7:$AY$7,MATCH(1,$AO1048:$AY1048,0)),IF(BH1048="Multiple strategies","mixed drivers",IF(BH1048="Supply chain","multiple supply","multiple silviculture"))))</f>
        <v xml:space="preserve">cutting intensity </v>
      </c>
      <c r="BH1048" s="2" t="str" cm="1">
        <f t="array" ref="BH1048">IF(COUNTIF(BB1048:BD1048,"&lt;&gt;0")=1,INDEX($X$4:$AY$4,MATCH(TRUE,INDEX($X1048:$AY1048&lt;&gt;0,),0)),IF(COUNTIF(BB1048:BD1048,"&lt;&gt;0")=0,INDEX($AO$4:$AY$4,MATCH(1,$AO1048:$AY1048,0)),"Multiple strategies"))</f>
        <v>Silviculture for removals</v>
      </c>
      <c r="BI1048" s="1" t="s">
        <v>321</v>
      </c>
      <c r="BJ1048" t="s">
        <v>2212</v>
      </c>
      <c r="BK1048" s="260" t="s">
        <v>1919</v>
      </c>
      <c r="BL1048" t="s">
        <v>2213</v>
      </c>
      <c r="BM1048">
        <v>64.910485933503793</v>
      </c>
      <c r="BN1048">
        <v>71.585677749360599</v>
      </c>
      <c r="BO1048" s="143">
        <f>BN1048/BM1048</f>
        <v>1.1028368794326247</v>
      </c>
      <c r="BP1048">
        <f>BN1048-BM1048</f>
        <v>6.675191815856806</v>
      </c>
      <c r="BQ1048">
        <f>BP1048*1000*t_to_m3</f>
        <v>13622.840440524094</v>
      </c>
      <c r="BR1048" t="s">
        <v>232</v>
      </c>
      <c r="BS1048" s="143" t="s">
        <v>2931</v>
      </c>
      <c r="BT1048" t="s">
        <v>1070</v>
      </c>
      <c r="BU1048">
        <v>10626.584664536607</v>
      </c>
      <c r="BV1048">
        <v>10626.584664536607</v>
      </c>
      <c r="BW1048" s="144">
        <f>IFERROR(BV1048/BU1048,"")</f>
        <v>1</v>
      </c>
      <c r="BX1048" s="144">
        <f>BV1048-BU1048</f>
        <v>0</v>
      </c>
      <c r="BY1048" s="144"/>
      <c r="BZ1048" s="144">
        <f>BX1048</f>
        <v>0</v>
      </c>
      <c r="CA1048">
        <f>IFERROR(BZ1048/BQ1048,"")</f>
        <v>0</v>
      </c>
      <c r="CB1048">
        <v>0</v>
      </c>
      <c r="CC1048">
        <v>0</v>
      </c>
      <c r="CD1048">
        <v>0</v>
      </c>
      <c r="CE1048">
        <v>0</v>
      </c>
      <c r="CF1048">
        <v>0</v>
      </c>
      <c r="CG1048">
        <v>0</v>
      </c>
      <c r="CH1048">
        <v>0</v>
      </c>
      <c r="CI1048">
        <v>0</v>
      </c>
      <c r="CJ1048">
        <v>0</v>
      </c>
      <c r="CK1048">
        <v>0</v>
      </c>
      <c r="CL1048">
        <v>0</v>
      </c>
      <c r="CM1048">
        <v>0</v>
      </c>
      <c r="CN1048">
        <v>0</v>
      </c>
      <c r="CO1048">
        <v>1</v>
      </c>
      <c r="CP1048" t="str">
        <f>IF($BN1048&lt;$BM1048,"refNeedCorrection","refOK")</f>
        <v>refOK</v>
      </c>
      <c r="CQ1048">
        <f>IF($CP1048="refOK",$BM1048,$BN1048)</f>
        <v>64.910485933503793</v>
      </c>
      <c r="CR1048">
        <f>IF($CP1048="refOK",$BN1048,$BM1048)</f>
        <v>71.585677749360599</v>
      </c>
      <c r="CS1048">
        <f>IF($CP1048="refOK",$BQ1048,-$BQ1048)</f>
        <v>13622.840440524094</v>
      </c>
      <c r="CT1048">
        <f>IF(BI1048="Roundwood",$CS1048/2,$CS1048)</f>
        <v>6811.4202202620472</v>
      </c>
      <c r="CU1048">
        <f>IF($CP1048="refOK",$BU1048,$BV1048)*IF($BR1048="Emissions positive",-1,1)</f>
        <v>10626.584664536607</v>
      </c>
      <c r="CV1048">
        <f>IF($CP1048="refOK",$BV1048,$BU1048)*IF($BR1048="Emissions positive",-1,1)</f>
        <v>10626.584664536607</v>
      </c>
      <c r="CW1048">
        <f>IF($CP1048="refNeedCorrection",-BZ1048,BZ1048)*IF($BR1048="Emissions positive",-1,1)</f>
        <v>0</v>
      </c>
      <c r="CX1048">
        <f>IFERROR($CW1048/$CS1048,"")</f>
        <v>0</v>
      </c>
      <c r="CY1048">
        <f>IFERROR($CW1048/$CS1048,"")</f>
        <v>0</v>
      </c>
      <c r="CZ1048">
        <f>IFERROR($CW1048/$CT1048,"")</f>
        <v>0</v>
      </c>
      <c r="DA1048" s="2">
        <f>IFERROR((CV1048-CU1048)/ABS(CU1048),"")</f>
        <v>0</v>
      </c>
      <c r="DB1048" s="1" t="s">
        <v>1074</v>
      </c>
      <c r="DC1048" t="str">
        <f>IF(OR($DB1048="prd",$DB1048="std",$DB1048="cit"),"loc",IF(OR($DB1048="eur",$DB1048="reg",$DB1048="coy"),"reg",$DB1048))</f>
        <v>reg</v>
      </c>
      <c r="DD1048" t="s">
        <v>235</v>
      </c>
      <c r="DE1048">
        <v>2010</v>
      </c>
      <c r="DF1048">
        <v>2070</v>
      </c>
      <c r="DG1048">
        <f>DF1048-DE1048</f>
        <v>60</v>
      </c>
      <c r="DH1048" t="str">
        <f>IF(DG1048=0,"0",IF(AND(DG1048&gt;=1,DG1048&lt;=30),"1-30",IF(AND(DG1048&gt;30,DG1048&lt;=70),"31-70",IF(AND(DG1048&gt;70,DG1048&lt;=100),"71-100",IF(DG1048&gt;100,"+100")))))</f>
        <v>31-70</v>
      </c>
      <c r="DI1048">
        <v>1</v>
      </c>
      <c r="DJ1048">
        <v>1</v>
      </c>
      <c r="DK1048">
        <v>1</v>
      </c>
      <c r="DL1048">
        <v>1</v>
      </c>
      <c r="DM1048">
        <v>0</v>
      </c>
      <c r="DN1048">
        <f>SUM(DI1048:DL1048)</f>
        <v>4</v>
      </c>
      <c r="DO1048" t="str">
        <f>IF(DN1048=1,INDEX($DI$7:$DL$7,MATCH(1,$DI1048:$DL1048,0)),"mixedProduct")</f>
        <v>mixedProduct</v>
      </c>
      <c r="DP1048" t="str">
        <f>IF(DI1048=1,DP$7,0)</f>
        <v>Upstream</v>
      </c>
      <c r="DQ1048" t="str">
        <f>IF(DJ1048=1,DQ$7,0)</f>
        <v>Energy</v>
      </c>
      <c r="DR1048" t="str">
        <f>IF(DK1048=1,DR$7,0)</f>
        <v>Pulp/Paper</v>
      </c>
      <c r="DS1048" t="str">
        <f>IF(DL1048=1,DS$7,0)</f>
        <v>Timber</v>
      </c>
      <c r="DT1048">
        <v>0</v>
      </c>
      <c r="DU1048">
        <v>0</v>
      </c>
      <c r="DV1048">
        <v>0</v>
      </c>
      <c r="DW1048">
        <v>0</v>
      </c>
      <c r="DX1048">
        <v>0</v>
      </c>
      <c r="DY1048">
        <f>SUM(DT1048:DU1048)</f>
        <v>0</v>
      </c>
      <c r="DZ1048" s="143" t="str">
        <f>IF(DT1048=1,"self-calculated DF",IF(DU1048=1,"external DF used","explicit C balance"))</f>
        <v>explicit C balance</v>
      </c>
      <c r="EA1048">
        <v>1</v>
      </c>
      <c r="EB1048">
        <v>1</v>
      </c>
      <c r="EC1048">
        <v>1</v>
      </c>
      <c r="ED1048">
        <v>0</v>
      </c>
      <c r="EE1048">
        <v>0</v>
      </c>
      <c r="EF1048" s="143">
        <v>0</v>
      </c>
      <c r="EG1048">
        <v>1</v>
      </c>
      <c r="EH1048">
        <v>1</v>
      </c>
      <c r="EI1048">
        <v>0</v>
      </c>
      <c r="EJ1048">
        <v>0</v>
      </c>
      <c r="EK1048">
        <v>1</v>
      </c>
      <c r="EL1048">
        <v>0</v>
      </c>
      <c r="EM1048">
        <v>0</v>
      </c>
      <c r="EN1048" s="2">
        <v>0</v>
      </c>
      <c r="EP1048" t="str">
        <f>IF(AND(AND(AND(OR($EC1048=1,$EB1048=1),OR($EH1048=1,$EF1048=1)),SUM($EA1048:$EE1048,$EK1048)&gt;=3),SUM($EF1048:$EJ1048)&gt;=2),"Whole sector approach","")</f>
        <v>Whole sector approach</v>
      </c>
      <c r="EQ1048" t="str">
        <f>IF(AND(AND(OR($EC1048=1,$EB1048=1),AND($EH1048=0,$EF1048=0)),SUM($EA1048:$EE1048,$EK1048)&gt;=4),"Ecosystem approach","")</f>
        <v/>
      </c>
      <c r="ER1048" s="2" t="str">
        <f>IF(AND(AND(AND($EC1048=0,$EB1048=0),OR($EH1048=1,$EF1048=1)),SUM($EG1048:$EJ1048)&gt;=2),"Technology approach","")</f>
        <v/>
      </c>
      <c r="ES1048" t="str">
        <f>IF(AND($EC1048+$EB1048+$EE1048+$EA1048+$ED1048+$EG1048=0,$N1048="included"),"C neutral forest and HWP assumption","")</f>
        <v/>
      </c>
      <c r="ET1048" t="str">
        <f>IF(AND(AND(AND(AND($EC1048=1,$EB1048+$EA1048+$EG1048&gt;=1),$EF1048=1),$EH1048+$EI1048+$ED1048+$EE1048&gt;=2),$N1048="included"),"All C pools assumption","")</f>
        <v/>
      </c>
      <c r="EU1048" t="str">
        <f>IF(AND($ED1048+$EE1048+$EI1048+$EH1048+$EF1048=0,$N1048="included"),"In-situ only assumption","")</f>
        <v/>
      </c>
      <c r="EY1048" t="str">
        <f>IF(ISNUMBER(BW1048),IF(ABS(BW1048-[2]QC_indicators!$B$2)&gt;3*[2]QC_indicators!$C$2,"C ratio",IF(ISNUMBER(CA1048),IF(ABS(CA1048-[2]QC_indicators!$B$1)&gt;3*[2]QC_indicators!$C$1,"DF","no"))),IF(ISNUMBER(CA1048),IF(ABS(CA1048-[2]QC_indicators!$B$1)&gt;3*[2]QC_indicators!$C$1,"DF","no")))</f>
        <v>no</v>
      </c>
      <c r="FA1048" t="str">
        <f>IF(LEN($CY1048)=0,"",IF(AND($CY1048&lt;(-0.05),$ES1048="C neutral forest and HWP assumption"),"Cneutral paradox",IF(AND($CY1048&gt;0.05,$EU1048="In-situ only assumption"),"In-situ only paradox","")))</f>
        <v/>
      </c>
      <c r="FD1048" s="260" t="s">
        <v>2933</v>
      </c>
    </row>
    <row r="1049" spans="1:160" ht="18" hidden="1" customHeight="1">
      <c r="A1049" s="1" t="s">
        <v>1295</v>
      </c>
      <c r="B1049" t="s">
        <v>2203</v>
      </c>
      <c r="C1049" t="s">
        <v>2204</v>
      </c>
      <c r="D1049" t="s">
        <v>2205</v>
      </c>
      <c r="E1049" t="s">
        <v>2206</v>
      </c>
      <c r="F1049" t="s">
        <v>2207</v>
      </c>
      <c r="G1049" t="s">
        <v>1301</v>
      </c>
      <c r="H1049" t="s">
        <v>254</v>
      </c>
      <c r="I1049">
        <v>2016</v>
      </c>
      <c r="J1049">
        <v>24</v>
      </c>
      <c r="K1049" t="s">
        <v>2208</v>
      </c>
      <c r="M1049" t="str">
        <f>LEFT($D1049,FIND(",",$D1049)-1)&amp;"_"&amp;I1049&amp;L1049</f>
        <v>Zubizarreta-Gerendiain_2016</v>
      </c>
      <c r="N1049" t="s">
        <v>222</v>
      </c>
      <c r="O1049" s="145" t="s">
        <v>1029</v>
      </c>
      <c r="Q1049" t="s">
        <v>256</v>
      </c>
      <c r="R1049" s="258" t="s">
        <v>223</v>
      </c>
      <c r="S1049" s="1" t="s">
        <v>2239</v>
      </c>
      <c r="T1049" t="s">
        <v>2222</v>
      </c>
      <c r="U1049" t="s">
        <v>2240</v>
      </c>
      <c r="V1049" s="253">
        <v>0</v>
      </c>
      <c r="W1049" s="253">
        <v>0</v>
      </c>
      <c r="X1049">
        <v>0</v>
      </c>
      <c r="Y1049">
        <v>0</v>
      </c>
      <c r="Z1049">
        <v>0</v>
      </c>
      <c r="AA1049">
        <v>1</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s="141">
        <f>COUNTIF(X1049:AY1049,"&lt;&gt;0")</f>
        <v>1</v>
      </c>
      <c r="BA1049" s="141">
        <f>COUNTIF(X1049:AN1049,"&lt;&gt;0")</f>
        <v>1</v>
      </c>
      <c r="BB1049">
        <f>COUNTIF(X1049:AE1049,"&lt;&gt;0")</f>
        <v>1</v>
      </c>
      <c r="BC1049">
        <f>COUNTIF(AF1049:AK1049,"&lt;&gt;0")</f>
        <v>0</v>
      </c>
      <c r="BD1049">
        <f>COUNTIF(AL1049:AN1049,"&lt;&gt;0")</f>
        <v>0</v>
      </c>
      <c r="BE1049">
        <f>COUNTIF(AU1049:AY1049,"&lt;&gt;0")</f>
        <v>0</v>
      </c>
      <c r="BF1049">
        <f>COUNTIF(AO1049:AT1049,"&lt;&gt;0")</f>
        <v>0</v>
      </c>
      <c r="BG1049" t="str">
        <f t="array" ref="BG1049">IF(BA1049=1,INDEX($X$7:$AN$7,MATCH(TRUE,INDEX($X1049:$AY1049&lt;&gt;0,),0)),IF(BA1049=0,INDEX($AO$7:$AY$7,MATCH(1,$AO1049:$AY1049,0)),IF(BH1049="Multiple strategies","mixed drivers",IF(BH1049="Supply chain","multiple supply","multiple silviculture"))))</f>
        <v xml:space="preserve">cutting intensity </v>
      </c>
      <c r="BH1049" s="2" t="str" cm="1">
        <f t="array" ref="BH1049">IF(COUNTIF(BB1049:BD1049,"&lt;&gt;0")=1,INDEX($X$4:$AY$4,MATCH(TRUE,INDEX($X1049:$AY1049&lt;&gt;0,),0)),IF(COUNTIF(BB1049:BD1049,"&lt;&gt;0")=0,INDEX($AO$4:$AY$4,MATCH(1,$AO1049:$AY1049,0)),"Multiple strategies"))</f>
        <v>Silviculture for removals</v>
      </c>
      <c r="BI1049" s="1" t="s">
        <v>321</v>
      </c>
      <c r="BJ1049" t="s">
        <v>2212</v>
      </c>
      <c r="BK1049" s="260" t="s">
        <v>1919</v>
      </c>
      <c r="BL1049" t="s">
        <v>2213</v>
      </c>
      <c r="BM1049">
        <v>64.910485933503793</v>
      </c>
      <c r="BN1049">
        <v>77.586206896551701</v>
      </c>
      <c r="BO1049" s="143">
        <f>BN1049/BM1049</f>
        <v>1.1952800195646862</v>
      </c>
      <c r="BP1049">
        <f>BN1049-BM1049</f>
        <v>12.675720963047908</v>
      </c>
      <c r="BQ1049">
        <f>BP1049*1000*t_to_m3</f>
        <v>25868.818291934509</v>
      </c>
      <c r="BR1049" t="s">
        <v>232</v>
      </c>
      <c r="BS1049" s="143" t="s">
        <v>2931</v>
      </c>
      <c r="BT1049" t="s">
        <v>1070</v>
      </c>
      <c r="BU1049">
        <v>-4328.4062011172464</v>
      </c>
      <c r="BV1049">
        <v>-5358.9791061452015</v>
      </c>
      <c r="BW1049" s="144">
        <f>IFERROR(BV1049/BU1049,"")</f>
        <v>1.2380952380952472</v>
      </c>
      <c r="BX1049" s="144">
        <f>BV1049-BU1049</f>
        <v>-1030.5729050279551</v>
      </c>
      <c r="BY1049" s="144"/>
      <c r="BZ1049" s="144">
        <f>BX1049</f>
        <v>-1030.5729050279551</v>
      </c>
      <c r="CA1049">
        <f>IFERROR(BZ1049/BQ1049,"")</f>
        <v>-3.9838422203818703E-2</v>
      </c>
      <c r="CB1049">
        <v>0</v>
      </c>
      <c r="CC1049">
        <v>0</v>
      </c>
      <c r="CD1049">
        <v>0</v>
      </c>
      <c r="CE1049">
        <v>0</v>
      </c>
      <c r="CF1049">
        <v>0</v>
      </c>
      <c r="CG1049">
        <v>0</v>
      </c>
      <c r="CH1049">
        <v>0</v>
      </c>
      <c r="CI1049">
        <v>0</v>
      </c>
      <c r="CJ1049">
        <v>0</v>
      </c>
      <c r="CK1049">
        <v>0</v>
      </c>
      <c r="CL1049">
        <v>0</v>
      </c>
      <c r="CM1049">
        <v>0</v>
      </c>
      <c r="CN1049">
        <v>0</v>
      </c>
      <c r="CO1049">
        <v>1</v>
      </c>
      <c r="CP1049" t="str">
        <f>IF($BN1049&lt;$BM1049,"refNeedCorrection","refOK")</f>
        <v>refOK</v>
      </c>
      <c r="CQ1049">
        <f>IF($CP1049="refOK",$BM1049,$BN1049)</f>
        <v>64.910485933503793</v>
      </c>
      <c r="CR1049">
        <f>IF($CP1049="refOK",$BN1049,$BM1049)</f>
        <v>77.586206896551701</v>
      </c>
      <c r="CS1049">
        <f>IF($CP1049="refOK",$BQ1049,-$BQ1049)</f>
        <v>25868.818291934509</v>
      </c>
      <c r="CT1049">
        <f>IF(BI1049="Roundwood",$CS1049/2,$CS1049)</f>
        <v>12934.409145967255</v>
      </c>
      <c r="CU1049">
        <f>IF($CP1049="refOK",$BU1049,$BV1049)*IF($BR1049="Emissions positive",-1,1)</f>
        <v>-4328.4062011172464</v>
      </c>
      <c r="CV1049">
        <f>IF($CP1049="refOK",$BV1049,$BU1049)*IF($BR1049="Emissions positive",-1,1)</f>
        <v>-5358.9791061452015</v>
      </c>
      <c r="CW1049">
        <f>IF($CP1049="refNeedCorrection",-BZ1049,BZ1049)*IF($BR1049="Emissions positive",-1,1)</f>
        <v>-1030.5729050279551</v>
      </c>
      <c r="CX1049">
        <f>IFERROR($CW1049/$CS1049,"")</f>
        <v>-3.9838422203818703E-2</v>
      </c>
      <c r="CY1049">
        <f>IFERROR($CW1049/$CS1049,"")</f>
        <v>-3.9838422203818703E-2</v>
      </c>
      <c r="CZ1049">
        <f>IFERROR($CW1049/$CT1049,"")</f>
        <v>-7.9676844407637407E-2</v>
      </c>
      <c r="DA1049" s="2">
        <f>IFERROR((CV1049-CU1049)/ABS(CU1049),"")</f>
        <v>-0.23809523809524719</v>
      </c>
      <c r="DB1049" s="1" t="s">
        <v>1074</v>
      </c>
      <c r="DC1049" t="str">
        <f>IF(OR($DB1049="prd",$DB1049="std",$DB1049="cit"),"loc",IF(OR($DB1049="eur",$DB1049="reg",$DB1049="coy"),"reg",$DB1049))</f>
        <v>reg</v>
      </c>
      <c r="DD1049" t="s">
        <v>235</v>
      </c>
      <c r="DE1049">
        <v>2010</v>
      </c>
      <c r="DF1049">
        <v>2070</v>
      </c>
      <c r="DG1049">
        <f>DF1049-DE1049</f>
        <v>60</v>
      </c>
      <c r="DH1049" t="str">
        <f>IF(DG1049=0,"0",IF(AND(DG1049&gt;=1,DG1049&lt;=30),"1-30",IF(AND(DG1049&gt;30,DG1049&lt;=70),"31-70",IF(AND(DG1049&gt;70,DG1049&lt;=100),"71-100",IF(DG1049&gt;100,"+100")))))</f>
        <v>31-70</v>
      </c>
      <c r="DI1049">
        <v>1</v>
      </c>
      <c r="DJ1049">
        <v>1</v>
      </c>
      <c r="DK1049">
        <v>1</v>
      </c>
      <c r="DL1049">
        <v>1</v>
      </c>
      <c r="DM1049">
        <v>0</v>
      </c>
      <c r="DN1049">
        <f>SUM(DI1049:DL1049)</f>
        <v>4</v>
      </c>
      <c r="DO1049" t="str">
        <f>IF(DN1049=1,INDEX($DI$7:$DL$7,MATCH(1,$DI1049:$DL1049,0)),"mixedProduct")</f>
        <v>mixedProduct</v>
      </c>
      <c r="DP1049" t="str">
        <f>IF(DI1049=1,DP$7,0)</f>
        <v>Upstream</v>
      </c>
      <c r="DQ1049" t="str">
        <f>IF(DJ1049=1,DQ$7,0)</f>
        <v>Energy</v>
      </c>
      <c r="DR1049" t="str">
        <f>IF(DK1049=1,DR$7,0)</f>
        <v>Pulp/Paper</v>
      </c>
      <c r="DS1049" t="str">
        <f>IF(DL1049=1,DS$7,0)</f>
        <v>Timber</v>
      </c>
      <c r="DT1049">
        <v>0</v>
      </c>
      <c r="DU1049">
        <v>0</v>
      </c>
      <c r="DV1049">
        <v>0</v>
      </c>
      <c r="DW1049">
        <v>0</v>
      </c>
      <c r="DX1049">
        <v>0</v>
      </c>
      <c r="DY1049">
        <f>SUM(DT1049:DU1049)</f>
        <v>0</v>
      </c>
      <c r="DZ1049" s="143" t="str">
        <f>IF(DT1049=1,"self-calculated DF",IF(DU1049=1,"external DF used","explicit C balance"))</f>
        <v>explicit C balance</v>
      </c>
      <c r="EA1049">
        <v>1</v>
      </c>
      <c r="EB1049">
        <v>1</v>
      </c>
      <c r="EC1049">
        <v>1</v>
      </c>
      <c r="ED1049">
        <v>0</v>
      </c>
      <c r="EE1049">
        <v>0</v>
      </c>
      <c r="EF1049" s="143">
        <v>0</v>
      </c>
      <c r="EG1049">
        <v>1</v>
      </c>
      <c r="EH1049">
        <v>1</v>
      </c>
      <c r="EI1049">
        <v>0</v>
      </c>
      <c r="EJ1049">
        <v>0</v>
      </c>
      <c r="EK1049">
        <v>1</v>
      </c>
      <c r="EL1049">
        <v>0</v>
      </c>
      <c r="EM1049">
        <v>0</v>
      </c>
      <c r="EN1049" s="2">
        <v>0</v>
      </c>
      <c r="EP1049" t="str">
        <f>IF(AND(AND(AND(OR($EC1049=1,$EB1049=1),OR($EH1049=1,$EF1049=1)),SUM($EA1049:$EE1049,$EK1049)&gt;=3),SUM($EF1049:$EJ1049)&gt;=2),"Whole sector approach","")</f>
        <v>Whole sector approach</v>
      </c>
      <c r="EQ1049" t="str">
        <f>IF(AND(AND(OR($EC1049=1,$EB1049=1),AND($EH1049=0,$EF1049=0)),SUM($EA1049:$EE1049,$EK1049)&gt;=4),"Ecosystem approach","")</f>
        <v/>
      </c>
      <c r="ER1049" s="2" t="str">
        <f>IF(AND(AND(AND($EC1049=0,$EB1049=0),OR($EH1049=1,$EF1049=1)),SUM($EG1049:$EJ1049)&gt;=2),"Technology approach","")</f>
        <v/>
      </c>
      <c r="ES1049" t="str">
        <f>IF(AND($EC1049+$EB1049+$EE1049+$EA1049+$ED1049+$EG1049=0,$N1049="included"),"C neutral forest and HWP assumption","")</f>
        <v/>
      </c>
      <c r="ET1049" t="str">
        <f>IF(AND(AND(AND(AND($EC1049=1,$EB1049+$EA1049+$EG1049&gt;=1),$EF1049=1),$EH1049+$EI1049+$ED1049+$EE1049&gt;=2),$N1049="included"),"All C pools assumption","")</f>
        <v/>
      </c>
      <c r="EU1049" t="str">
        <f>IF(AND($ED1049+$EE1049+$EI1049+$EH1049+$EF1049=0,$N1049="included"),"In-situ only assumption","")</f>
        <v/>
      </c>
      <c r="EY1049" t="str">
        <f>IF(ISNUMBER(BW1049),IF(ABS(BW1049-[2]QC_indicators!$B$2)&gt;3*[2]QC_indicators!$C$2,"C ratio",IF(ISNUMBER(CA1049),IF(ABS(CA1049-[2]QC_indicators!$B$1)&gt;3*[2]QC_indicators!$C$1,"DF","no"))),IF(ISNUMBER(CA1049),IF(ABS(CA1049-[2]QC_indicators!$B$1)&gt;3*[2]QC_indicators!$C$1,"DF","no")))</f>
        <v>no</v>
      </c>
      <c r="FA1049" t="str">
        <f>IF(LEN($CY1049)=0,"",IF(AND($CY1049&lt;(-0.05),$ES1049="C neutral forest and HWP assumption"),"Cneutral paradox",IF(AND($CY1049&gt;0.05,$EU1049="In-situ only assumption"),"In-situ only paradox","")))</f>
        <v/>
      </c>
      <c r="FD1049" s="260" t="s">
        <v>2933</v>
      </c>
    </row>
    <row r="1050" spans="1:160" ht="15" hidden="1" customHeight="1">
      <c r="A1050" s="1" t="s">
        <v>1295</v>
      </c>
      <c r="B1050" t="s">
        <v>2203</v>
      </c>
      <c r="C1050" t="s">
        <v>2204</v>
      </c>
      <c r="D1050" t="s">
        <v>2205</v>
      </c>
      <c r="E1050" t="s">
        <v>2206</v>
      </c>
      <c r="F1050" t="s">
        <v>2207</v>
      </c>
      <c r="G1050" t="s">
        <v>1301</v>
      </c>
      <c r="H1050" t="s">
        <v>254</v>
      </c>
      <c r="I1050">
        <v>2016</v>
      </c>
      <c r="J1050">
        <v>24</v>
      </c>
      <c r="K1050" t="s">
        <v>2208</v>
      </c>
      <c r="M1050" t="str">
        <f>LEFT($D1050,FIND(",",$D1050)-1)&amp;"_"&amp;I1050&amp;L1050</f>
        <v>Zubizarreta-Gerendiain_2016</v>
      </c>
      <c r="N1050" t="s">
        <v>222</v>
      </c>
      <c r="O1050" s="145" t="s">
        <v>1029</v>
      </c>
      <c r="Q1050" t="s">
        <v>256</v>
      </c>
      <c r="R1050" s="258" t="s">
        <v>223</v>
      </c>
      <c r="S1050" s="1" t="s">
        <v>2231</v>
      </c>
      <c r="T1050" t="s">
        <v>2211</v>
      </c>
      <c r="U1050" t="s">
        <v>2232</v>
      </c>
      <c r="V1050" s="253">
        <v>0</v>
      </c>
      <c r="W1050" s="253">
        <v>0</v>
      </c>
      <c r="X1050">
        <v>0</v>
      </c>
      <c r="Y1050">
        <v>0</v>
      </c>
      <c r="Z1050">
        <v>0</v>
      </c>
      <c r="AA1050">
        <v>0</v>
      </c>
      <c r="AB1050">
        <v>0</v>
      </c>
      <c r="AC1050">
        <v>0</v>
      </c>
      <c r="AD1050">
        <v>0</v>
      </c>
      <c r="AE1050">
        <v>0</v>
      </c>
      <c r="AF1050">
        <v>0</v>
      </c>
      <c r="AG1050">
        <v>0</v>
      </c>
      <c r="AH1050">
        <v>1</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s="141">
        <f>COUNTIF(X1050:AY1050,"&lt;&gt;0")</f>
        <v>1</v>
      </c>
      <c r="BA1050" s="141">
        <f>COUNTIF(X1050:AN1050,"&lt;&gt;0")</f>
        <v>1</v>
      </c>
      <c r="BB1050">
        <f>COUNTIF(X1050:AE1050,"&lt;&gt;0")</f>
        <v>0</v>
      </c>
      <c r="BC1050">
        <f>COUNTIF(AF1050:AK1050,"&lt;&gt;0")</f>
        <v>1</v>
      </c>
      <c r="BD1050">
        <f>COUNTIF(AL1050:AN1050,"&lt;&gt;0")</f>
        <v>0</v>
      </c>
      <c r="BE1050">
        <f>COUNTIF(AU1050:AY1050,"&lt;&gt;0")</f>
        <v>0</v>
      </c>
      <c r="BF1050">
        <f>COUNTIF(AO1050:AT1050,"&lt;&gt;0")</f>
        <v>0</v>
      </c>
      <c r="BG1050" t="str">
        <f t="array" ref="BG1050">IF(BA1050=1,INDEX($X$7:$AN$7,MATCH(TRUE,INDEX($X1050:$AY1050&lt;&gt;0,),0)),IF(BA1050=0,INDEX($AO$7:$AY$7,MATCH(1,$AO1050:$AY1050,0)),IF(BH1050="Multiple strategies","mixed drivers",IF(BH1050="Supply chain","multiple supply","multiple silviculture"))))</f>
        <v>supply chain organization</v>
      </c>
      <c r="BH1050" s="2" t="str" cm="1">
        <f t="array" ref="BH1050">IF(COUNTIF(BB1050:BD1050,"&lt;&gt;0")=1,INDEX($X$4:$AY$4,MATCH(TRUE,INDEX($X1050:$AY1050&lt;&gt;0,),0)),IF(COUNTIF(BB1050:BD1050,"&lt;&gt;0")=0,INDEX($AO$4:$AY$4,MATCH(1,$AO1050:$AY1050,0)),"Multiple strategies"))</f>
        <v>Supply chain</v>
      </c>
      <c r="BI1050" s="1" t="s">
        <v>321</v>
      </c>
      <c r="BJ1050" t="s">
        <v>2212</v>
      </c>
      <c r="BK1050" s="260" t="s">
        <v>1919</v>
      </c>
      <c r="BL1050" t="s">
        <v>2213</v>
      </c>
      <c r="BM1050">
        <v>82.946708463949804</v>
      </c>
      <c r="BN1050">
        <v>84.921630094043806</v>
      </c>
      <c r="BO1050" s="143">
        <f>BN1050/BM1050</f>
        <v>1.0238095238095233</v>
      </c>
      <c r="BP1050">
        <f>BN1050-BM1050</f>
        <v>1.974921630094002</v>
      </c>
      <c r="BQ1050">
        <f>BP1050*1000*t_to_m3</f>
        <v>4030.4523063142901</v>
      </c>
      <c r="BR1050" s="143" t="s">
        <v>232</v>
      </c>
      <c r="BS1050" s="143" t="s">
        <v>2931</v>
      </c>
      <c r="BT1050" t="s">
        <v>1070</v>
      </c>
      <c r="BU1050">
        <v>-27756.76357541895</v>
      </c>
      <c r="BV1050">
        <v>-15389.888715083767</v>
      </c>
      <c r="BW1050" s="144">
        <f>IFERROR(BV1050/BU1050,"")</f>
        <v>0.55445544554455417</v>
      </c>
      <c r="BX1050" s="144">
        <f>BV1050-BU1050</f>
        <v>12366.874860335183</v>
      </c>
      <c r="BY1050" s="144"/>
      <c r="BZ1050" s="144">
        <f>BX1050</f>
        <v>12366.874860335183</v>
      </c>
      <c r="CA1050">
        <f>IFERROR(BZ1050/BQ1050,"")</f>
        <v>3.0683590625698942</v>
      </c>
      <c r="CB1050">
        <v>0</v>
      </c>
      <c r="CC1050">
        <v>0</v>
      </c>
      <c r="CD1050">
        <v>0</v>
      </c>
      <c r="CE1050">
        <v>0</v>
      </c>
      <c r="CF1050">
        <v>0</v>
      </c>
      <c r="CG1050">
        <v>0</v>
      </c>
      <c r="CH1050">
        <v>0</v>
      </c>
      <c r="CI1050">
        <v>0</v>
      </c>
      <c r="CJ1050">
        <v>0</v>
      </c>
      <c r="CK1050">
        <v>0</v>
      </c>
      <c r="CL1050">
        <v>0</v>
      </c>
      <c r="CM1050">
        <v>0</v>
      </c>
      <c r="CN1050">
        <v>0</v>
      </c>
      <c r="CO1050">
        <v>1</v>
      </c>
      <c r="CP1050" t="str">
        <f>IF($BN1050&lt;$BM1050,"refNeedCorrection","refOK")</f>
        <v>refOK</v>
      </c>
      <c r="CQ1050">
        <f>IF($CP1050="refOK",$BM1050,$BN1050)</f>
        <v>82.946708463949804</v>
      </c>
      <c r="CR1050">
        <f>IF($CP1050="refOK",$BN1050,$BM1050)</f>
        <v>84.921630094043806</v>
      </c>
      <c r="CS1050">
        <f>IF($CP1050="refOK",$BQ1050,-$BQ1050)</f>
        <v>4030.4523063142901</v>
      </c>
      <c r="CT1050">
        <f>IF(BI1050="Roundwood",$CS1050/2,$CS1050)</f>
        <v>2015.2261531571451</v>
      </c>
      <c r="CU1050">
        <f>IF($CP1050="refOK",$BU1050,$BV1050)*IF($BR1050="Emissions positive",-1,1)</f>
        <v>-27756.76357541895</v>
      </c>
      <c r="CV1050">
        <f>IF($CP1050="refOK",$BV1050,$BU1050)*IF($BR1050="Emissions positive",-1,1)</f>
        <v>-15389.888715083767</v>
      </c>
      <c r="CW1050">
        <f>IF($CP1050="refNeedCorrection",-BZ1050,BZ1050)*IF($BR1050="Emissions positive",-1,1)</f>
        <v>12366.874860335183</v>
      </c>
      <c r="CX1050">
        <f>IFERROR($CW1050/$CS1050,"")</f>
        <v>3.0683590625698942</v>
      </c>
      <c r="CY1050">
        <f>IFERROR($CW1050/$CS1050,"")</f>
        <v>3.0683590625698942</v>
      </c>
      <c r="CZ1050">
        <f>IFERROR($CW1050/$CT1050,"")</f>
        <v>6.1367181251397884</v>
      </c>
      <c r="DA1050" s="2">
        <f>IFERROR((CV1050-CU1050)/ABS(CU1050),"")</f>
        <v>0.44554455445544583</v>
      </c>
      <c r="DB1050" s="1" t="s">
        <v>1074</v>
      </c>
      <c r="DC1050" t="str">
        <f>IF(OR($DB1050="prd",$DB1050="std",$DB1050="cit"),"loc",IF(OR($DB1050="eur",$DB1050="reg",$DB1050="coy"),"reg",$DB1050))</f>
        <v>reg</v>
      </c>
      <c r="DD1050" t="s">
        <v>235</v>
      </c>
      <c r="DE1050">
        <v>2010</v>
      </c>
      <c r="DF1050">
        <v>2070</v>
      </c>
      <c r="DG1050">
        <f>DF1050-DE1050</f>
        <v>60</v>
      </c>
      <c r="DH1050" t="str">
        <f>IF(DG1050=0,"0",IF(AND(DG1050&gt;=1,DG1050&lt;=30),"1-30",IF(AND(DG1050&gt;30,DG1050&lt;=70),"31-70",IF(AND(DG1050&gt;70,DG1050&lt;=100),"71-100",IF(DG1050&gt;100,"+100")))))</f>
        <v>31-70</v>
      </c>
      <c r="DI1050">
        <v>1</v>
      </c>
      <c r="DJ1050">
        <v>1</v>
      </c>
      <c r="DK1050">
        <v>1</v>
      </c>
      <c r="DL1050">
        <v>1</v>
      </c>
      <c r="DM1050">
        <v>0</v>
      </c>
      <c r="DN1050">
        <f>SUM(DI1050:DL1050)</f>
        <v>4</v>
      </c>
      <c r="DO1050" t="str">
        <f>IF(DN1050=1,INDEX($DI$7:$DL$7,MATCH(1,$DI1050:$DL1050,0)),"mixedProduct")</f>
        <v>mixedProduct</v>
      </c>
      <c r="DP1050" t="str">
        <f>IF(DI1050=1,DP$7,0)</f>
        <v>Upstream</v>
      </c>
      <c r="DQ1050" t="str">
        <f>IF(DJ1050=1,DQ$7,0)</f>
        <v>Energy</v>
      </c>
      <c r="DR1050" t="str">
        <f>IF(DK1050=1,DR$7,0)</f>
        <v>Pulp/Paper</v>
      </c>
      <c r="DS1050" t="str">
        <f>IF(DL1050=1,DS$7,0)</f>
        <v>Timber</v>
      </c>
      <c r="DT1050">
        <v>0</v>
      </c>
      <c r="DU1050">
        <v>1</v>
      </c>
      <c r="DV1050" t="s">
        <v>2237</v>
      </c>
      <c r="DW1050" t="s">
        <v>2238</v>
      </c>
      <c r="DX1050">
        <v>0</v>
      </c>
      <c r="DY1050">
        <f>SUM(DT1050:DU1050)</f>
        <v>1</v>
      </c>
      <c r="DZ1050" s="143" t="str">
        <f>IF(DT1050=1,"self-calculated DF",IF(DU1050=1,"external DF used","explicit C balance"))</f>
        <v>external DF used</v>
      </c>
      <c r="EA1050">
        <v>1</v>
      </c>
      <c r="EB1050">
        <v>1</v>
      </c>
      <c r="EC1050">
        <v>1</v>
      </c>
      <c r="ED1050">
        <v>1</v>
      </c>
      <c r="EE1050">
        <v>0</v>
      </c>
      <c r="EF1050" s="143">
        <v>1</v>
      </c>
      <c r="EG1050">
        <v>1</v>
      </c>
      <c r="EH1050">
        <v>1</v>
      </c>
      <c r="EI1050">
        <v>0</v>
      </c>
      <c r="EJ1050">
        <v>0</v>
      </c>
      <c r="EK1050">
        <v>1</v>
      </c>
      <c r="EL1050">
        <v>0</v>
      </c>
      <c r="EM1050">
        <v>0</v>
      </c>
      <c r="EN1050" s="2">
        <v>0</v>
      </c>
      <c r="EP1050" t="str">
        <f>IF(AND(AND(AND(OR($EC1050=1,$EB1050=1),OR($EH1050=1,$EF1050=1)),SUM($EA1050:$EE1050,$EK1050)&gt;=3),SUM($EF1050:$EJ1050)&gt;=2),"Whole sector approach","")</f>
        <v>Whole sector approach</v>
      </c>
      <c r="EQ1050" t="str">
        <f>IF(AND(AND(OR($EC1050=1,$EB1050=1),AND($EH1050=0,$EF1050=0)),SUM($EA1050:$EE1050,$EK1050)&gt;=4),"Ecosystem approach","")</f>
        <v/>
      </c>
      <c r="ER1050" s="2" t="str">
        <f>IF(AND(AND(AND($EC1050=0,$EB1050=0),OR($EH1050=1,$EF1050=1)),SUM($EG1050:$EJ1050)&gt;=2),"Technology approach","")</f>
        <v/>
      </c>
      <c r="ES1050" t="str">
        <f>IF(AND($EC1050+$EB1050+$EE1050+$EA1050+$ED1050+$EG1050=0,$N1050="included"),"C neutral forest and HWP assumption","")</f>
        <v/>
      </c>
      <c r="ET1050" t="str">
        <f>IF(AND(AND(AND(AND($EC1050=1,$EB1050+$EA1050+$EG1050&gt;=1),$EF1050=1),$EH1050+$EI1050+$ED1050+$EE1050&gt;=2),$N1050="included"),"All C pools assumption","")</f>
        <v>All C pools assumption</v>
      </c>
      <c r="EU1050" t="str">
        <f>IF(AND($ED1050+$EE1050+$EI1050+$EH1050+$EF1050=0,$N1050="included"),"In-situ only assumption","")</f>
        <v/>
      </c>
      <c r="EW1050" t="s">
        <v>2221</v>
      </c>
      <c r="EY1050" t="str">
        <f>IF(ISNUMBER(BW1050),IF(ABS(BW1050-[2]QC_indicators!$B$2)&gt;3*[2]QC_indicators!$C$2,"C ratio",IF(ISNUMBER(CA1050),IF(ABS(CA1050-[2]QC_indicators!$B$1)&gt;3*[2]QC_indicators!$C$1,"DF","no"))),IF(ISNUMBER(CA1050),IF(ABS(CA1050-[2]QC_indicators!$B$1)&gt;3*[2]QC_indicators!$C$1,"DF","no")))</f>
        <v>no</v>
      </c>
      <c r="FA1050" t="str">
        <f>IF(LEN($CY1050)=0,"",IF(AND($CY1050&lt;(-0.05),$ES1050="C neutral forest and HWP assumption"),"Cneutral paradox",IF(AND($CY1050&gt;0.05,$EU1050="In-situ only assumption"),"In-situ only paradox","")))</f>
        <v/>
      </c>
      <c r="FD1050" s="260" t="s">
        <v>2935</v>
      </c>
    </row>
    <row r="1051" spans="1:160" ht="15" hidden="1" customHeight="1">
      <c r="A1051" s="1" t="s">
        <v>1295</v>
      </c>
      <c r="B1051" t="s">
        <v>2203</v>
      </c>
      <c r="C1051" t="s">
        <v>2204</v>
      </c>
      <c r="D1051" t="s">
        <v>2205</v>
      </c>
      <c r="E1051" t="s">
        <v>2206</v>
      </c>
      <c r="F1051" t="s">
        <v>2207</v>
      </c>
      <c r="G1051" t="s">
        <v>1301</v>
      </c>
      <c r="H1051" t="s">
        <v>254</v>
      </c>
      <c r="I1051">
        <v>2016</v>
      </c>
      <c r="J1051">
        <v>24</v>
      </c>
      <c r="K1051" t="s">
        <v>2208</v>
      </c>
      <c r="M1051" t="str">
        <f>LEFT($D1051,FIND(",",$D1051)-1)&amp;"_"&amp;I1051&amp;L1051</f>
        <v>Zubizarreta-Gerendiain_2016</v>
      </c>
      <c r="N1051" t="s">
        <v>222</v>
      </c>
      <c r="O1051" s="145" t="s">
        <v>1029</v>
      </c>
      <c r="Q1051" t="s">
        <v>256</v>
      </c>
      <c r="R1051" s="258" t="s">
        <v>223</v>
      </c>
      <c r="S1051" s="1" t="s">
        <v>2231</v>
      </c>
      <c r="T1051" t="s">
        <v>2217</v>
      </c>
      <c r="U1051" t="s">
        <v>2233</v>
      </c>
      <c r="V1051" s="253">
        <v>0</v>
      </c>
      <c r="W1051" s="253">
        <v>0</v>
      </c>
      <c r="X1051">
        <v>0</v>
      </c>
      <c r="Y1051">
        <v>0</v>
      </c>
      <c r="Z1051">
        <v>0</v>
      </c>
      <c r="AA1051">
        <v>0</v>
      </c>
      <c r="AB1051">
        <v>0</v>
      </c>
      <c r="AC1051">
        <v>0</v>
      </c>
      <c r="AD1051">
        <v>0</v>
      </c>
      <c r="AE1051">
        <v>0</v>
      </c>
      <c r="AF1051">
        <v>0</v>
      </c>
      <c r="AG1051">
        <v>0</v>
      </c>
      <c r="AH1051">
        <v>1</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s="141">
        <f>COUNTIF(X1051:AY1051,"&lt;&gt;0")</f>
        <v>1</v>
      </c>
      <c r="BA1051" s="141">
        <f>COUNTIF(X1051:AN1051,"&lt;&gt;0")</f>
        <v>1</v>
      </c>
      <c r="BB1051">
        <f>COUNTIF(X1051:AE1051,"&lt;&gt;0")</f>
        <v>0</v>
      </c>
      <c r="BC1051">
        <f>COUNTIF(AF1051:AK1051,"&lt;&gt;0")</f>
        <v>1</v>
      </c>
      <c r="BD1051">
        <f>COUNTIF(AL1051:AN1051,"&lt;&gt;0")</f>
        <v>0</v>
      </c>
      <c r="BE1051">
        <f>COUNTIF(AU1051:AY1051,"&lt;&gt;0")</f>
        <v>0</v>
      </c>
      <c r="BF1051">
        <f>COUNTIF(AO1051:AT1051,"&lt;&gt;0")</f>
        <v>0</v>
      </c>
      <c r="BG1051" t="str">
        <f t="array" ref="BG1051">IF(BA1051=1,INDEX($X$7:$AN$7,MATCH(TRUE,INDEX($X1051:$AY1051&lt;&gt;0,),0)),IF(BA1051=0,INDEX($AO$7:$AY$7,MATCH(1,$AO1051:$AY1051,0)),IF(BH1051="Multiple strategies","mixed drivers",IF(BH1051="Supply chain","multiple supply","multiple silviculture"))))</f>
        <v>supply chain organization</v>
      </c>
      <c r="BH1051" s="2" t="str" cm="1">
        <f t="array" ref="BH1051">IF(COUNTIF(BB1051:BD1051,"&lt;&gt;0")=1,INDEX($X$4:$AY$4,MATCH(TRUE,INDEX($X1051:$AY1051&lt;&gt;0,),0)),IF(COUNTIF(BB1051:BD1051,"&lt;&gt;0")=0,INDEX($AO$4:$AY$4,MATCH(1,$AO1051:$AY1051,0)),"Multiple strategies"))</f>
        <v>Supply chain</v>
      </c>
      <c r="BI1051" s="1" t="s">
        <v>321</v>
      </c>
      <c r="BJ1051" t="s">
        <v>2212</v>
      </c>
      <c r="BK1051" s="260" t="s">
        <v>1919</v>
      </c>
      <c r="BL1051" t="s">
        <v>2213</v>
      </c>
      <c r="BM1051">
        <v>82.634271099744197</v>
      </c>
      <c r="BN1051">
        <v>84.015345268542205</v>
      </c>
      <c r="BO1051" s="143">
        <f>BN1051/BM1051</f>
        <v>1.0167130919220062</v>
      </c>
      <c r="BP1051">
        <f>BN1051-BM1051</f>
        <v>1.3810741687980084</v>
      </c>
      <c r="BQ1051">
        <f>BP1051*1000*t_to_m3</f>
        <v>2818.5187118326703</v>
      </c>
      <c r="BR1051" s="143" t="s">
        <v>232</v>
      </c>
      <c r="BS1051" s="143" t="s">
        <v>2931</v>
      </c>
      <c r="BT1051" t="s">
        <v>1070</v>
      </c>
      <c r="BU1051">
        <v>12625.588954781248</v>
      </c>
      <c r="BV1051">
        <v>20883.088954780931</v>
      </c>
      <c r="BW1051" s="144">
        <f>IFERROR(BV1051/BU1051,"")</f>
        <v>1.6540288955686784</v>
      </c>
      <c r="BX1051" s="144">
        <f>BV1051-BU1051</f>
        <v>8257.4999999996835</v>
      </c>
      <c r="BY1051" s="144"/>
      <c r="BZ1051" s="144">
        <f>BX1051</f>
        <v>8257.4999999996835</v>
      </c>
      <c r="CA1051">
        <f>IFERROR(BZ1051/BQ1051,"")</f>
        <v>2.9297304166664389</v>
      </c>
      <c r="CB1051">
        <v>0</v>
      </c>
      <c r="CC1051">
        <v>0</v>
      </c>
      <c r="CD1051">
        <v>0</v>
      </c>
      <c r="CE1051">
        <v>0</v>
      </c>
      <c r="CF1051">
        <v>0</v>
      </c>
      <c r="CG1051">
        <v>0</v>
      </c>
      <c r="CH1051">
        <v>0</v>
      </c>
      <c r="CI1051">
        <v>0</v>
      </c>
      <c r="CJ1051">
        <v>0</v>
      </c>
      <c r="CK1051">
        <v>0</v>
      </c>
      <c r="CL1051">
        <v>0</v>
      </c>
      <c r="CM1051">
        <v>0</v>
      </c>
      <c r="CN1051">
        <v>0</v>
      </c>
      <c r="CO1051">
        <v>1</v>
      </c>
      <c r="CP1051" t="str">
        <f>IF($BN1051&lt;$BM1051,"refNeedCorrection","refOK")</f>
        <v>refOK</v>
      </c>
      <c r="CQ1051">
        <f>IF($CP1051="refOK",$BM1051,$BN1051)</f>
        <v>82.634271099744197</v>
      </c>
      <c r="CR1051">
        <f>IF($CP1051="refOK",$BN1051,$BM1051)</f>
        <v>84.015345268542205</v>
      </c>
      <c r="CS1051">
        <f>IF($CP1051="refOK",$BQ1051,-$BQ1051)</f>
        <v>2818.5187118326703</v>
      </c>
      <c r="CT1051">
        <f>IF(BI1051="Roundwood",$CS1051/2,$CS1051)</f>
        <v>1409.2593559163352</v>
      </c>
      <c r="CU1051">
        <f>IF($CP1051="refOK",$BU1051,$BV1051)*IF($BR1051="Emissions positive",-1,1)</f>
        <v>12625.588954781248</v>
      </c>
      <c r="CV1051">
        <f>IF($CP1051="refOK",$BV1051,$BU1051)*IF($BR1051="Emissions positive",-1,1)</f>
        <v>20883.088954780931</v>
      </c>
      <c r="CW1051">
        <f>IF($CP1051="refNeedCorrection",-BZ1051,BZ1051)*IF($BR1051="Emissions positive",-1,1)</f>
        <v>8257.4999999996835</v>
      </c>
      <c r="CX1051">
        <f>IFERROR($CW1051/$CS1051,"")</f>
        <v>2.9297304166664389</v>
      </c>
      <c r="CY1051">
        <f>IFERROR($CW1051/$CS1051,"")</f>
        <v>2.9297304166664389</v>
      </c>
      <c r="CZ1051">
        <f>IFERROR($CW1051/$CT1051,"")</f>
        <v>5.8594608333328777</v>
      </c>
      <c r="DA1051" s="2">
        <f>IFERROR((CV1051-CU1051)/ABS(CU1051),"")</f>
        <v>0.65402889556867838</v>
      </c>
      <c r="DB1051" s="1" t="s">
        <v>1074</v>
      </c>
      <c r="DC1051" t="str">
        <f>IF(OR($DB1051="prd",$DB1051="std",$DB1051="cit"),"loc",IF(OR($DB1051="eur",$DB1051="reg",$DB1051="coy"),"reg",$DB1051))</f>
        <v>reg</v>
      </c>
      <c r="DD1051" t="s">
        <v>235</v>
      </c>
      <c r="DE1051">
        <v>2010</v>
      </c>
      <c r="DF1051">
        <v>2070</v>
      </c>
      <c r="DG1051">
        <f>DF1051-DE1051</f>
        <v>60</v>
      </c>
      <c r="DH1051" t="str">
        <f>IF(DG1051=0,"0",IF(AND(DG1051&gt;=1,DG1051&lt;=30),"1-30",IF(AND(DG1051&gt;30,DG1051&lt;=70),"31-70",IF(AND(DG1051&gt;70,DG1051&lt;=100),"71-100",IF(DG1051&gt;100,"+100")))))</f>
        <v>31-70</v>
      </c>
      <c r="DI1051">
        <v>1</v>
      </c>
      <c r="DJ1051">
        <v>1</v>
      </c>
      <c r="DK1051">
        <v>1</v>
      </c>
      <c r="DL1051">
        <v>1</v>
      </c>
      <c r="DM1051">
        <v>0</v>
      </c>
      <c r="DN1051">
        <f>SUM(DI1051:DL1051)</f>
        <v>4</v>
      </c>
      <c r="DO1051" t="str">
        <f>IF(DN1051=1,INDEX($DI$7:$DL$7,MATCH(1,$DI1051:$DL1051,0)),"mixedProduct")</f>
        <v>mixedProduct</v>
      </c>
      <c r="DP1051" t="str">
        <f>IF(DI1051=1,DP$7,0)</f>
        <v>Upstream</v>
      </c>
      <c r="DQ1051" t="str">
        <f>IF(DJ1051=1,DQ$7,0)</f>
        <v>Energy</v>
      </c>
      <c r="DR1051" t="str">
        <f>IF(DK1051=1,DR$7,0)</f>
        <v>Pulp/Paper</v>
      </c>
      <c r="DS1051" t="str">
        <f>IF(DL1051=1,DS$7,0)</f>
        <v>Timber</v>
      </c>
      <c r="DT1051">
        <v>0</v>
      </c>
      <c r="DU1051">
        <v>1</v>
      </c>
      <c r="DV1051" t="s">
        <v>2237</v>
      </c>
      <c r="DW1051" t="s">
        <v>2238</v>
      </c>
      <c r="DX1051">
        <v>0</v>
      </c>
      <c r="DY1051">
        <f>SUM(DT1051:DU1051)</f>
        <v>1</v>
      </c>
      <c r="DZ1051" s="143" t="str">
        <f>IF(DT1051=1,"self-calculated DF",IF(DU1051=1,"external DF used","explicit C balance"))</f>
        <v>external DF used</v>
      </c>
      <c r="EA1051">
        <v>1</v>
      </c>
      <c r="EB1051">
        <v>1</v>
      </c>
      <c r="EC1051">
        <v>1</v>
      </c>
      <c r="ED1051">
        <v>1</v>
      </c>
      <c r="EE1051">
        <v>0</v>
      </c>
      <c r="EF1051" s="143">
        <v>1</v>
      </c>
      <c r="EG1051">
        <v>1</v>
      </c>
      <c r="EH1051">
        <v>1</v>
      </c>
      <c r="EI1051">
        <v>0</v>
      </c>
      <c r="EJ1051">
        <v>0</v>
      </c>
      <c r="EK1051">
        <v>1</v>
      </c>
      <c r="EL1051">
        <v>0</v>
      </c>
      <c r="EM1051">
        <v>0</v>
      </c>
      <c r="EN1051" s="2">
        <v>0</v>
      </c>
      <c r="EP1051" t="str">
        <f>IF(AND(AND(AND(OR($EC1051=1,$EB1051=1),OR($EH1051=1,$EF1051=1)),SUM($EA1051:$EE1051,$EK1051)&gt;=3),SUM($EF1051:$EJ1051)&gt;=2),"Whole sector approach","")</f>
        <v>Whole sector approach</v>
      </c>
      <c r="EQ1051" t="str">
        <f>IF(AND(AND(OR($EC1051=1,$EB1051=1),AND($EH1051=0,$EF1051=0)),SUM($EA1051:$EE1051,$EK1051)&gt;=4),"Ecosystem approach","")</f>
        <v/>
      </c>
      <c r="ER1051" s="2" t="str">
        <f>IF(AND(AND(AND($EC1051=0,$EB1051=0),OR($EH1051=1,$EF1051=1)),SUM($EG1051:$EJ1051)&gt;=2),"Technology approach","")</f>
        <v/>
      </c>
      <c r="ES1051" t="str">
        <f>IF(AND($EC1051+$EB1051+$EE1051+$EA1051+$ED1051+$EG1051=0,$N1051="included"),"C neutral forest and HWP assumption","")</f>
        <v/>
      </c>
      <c r="ET1051" t="str">
        <f>IF(AND(AND(AND(AND($EC1051=1,$EB1051+$EA1051+$EG1051&gt;=1),$EF1051=1),$EH1051+$EI1051+$ED1051+$EE1051&gt;=2),$N1051="included"),"All C pools assumption","")</f>
        <v>All C pools assumption</v>
      </c>
      <c r="EU1051" t="str">
        <f>IF(AND($ED1051+$EE1051+$EI1051+$EH1051+$EF1051=0,$N1051="included"),"In-situ only assumption","")</f>
        <v/>
      </c>
      <c r="EW1051" t="s">
        <v>2221</v>
      </c>
      <c r="EY1051" t="str">
        <f>IF(ISNUMBER(BW1051),IF(ABS(BW1051-[2]QC_indicators!$B$2)&gt;3*[2]QC_indicators!$C$2,"C ratio",IF(ISNUMBER(CA1051),IF(ABS(CA1051-[2]QC_indicators!$B$1)&gt;3*[2]QC_indicators!$C$1,"DF","no"))),IF(ISNUMBER(CA1051),IF(ABS(CA1051-[2]QC_indicators!$B$1)&gt;3*[2]QC_indicators!$C$1,"DF","no")))</f>
        <v>no</v>
      </c>
      <c r="FA1051" t="str">
        <f>IF(LEN($CY1051)=0,"",IF(AND($CY1051&lt;(-0.05),$ES1051="C neutral forest and HWP assumption"),"Cneutral paradox",IF(AND($CY1051&gt;0.05,$EU1051="In-situ only assumption"),"In-situ only paradox","")))</f>
        <v/>
      </c>
      <c r="FD1051" s="260" t="s">
        <v>2935</v>
      </c>
    </row>
    <row r="1052" spans="1:160" ht="18" hidden="1" customHeight="1">
      <c r="A1052" s="1" t="s">
        <v>1295</v>
      </c>
      <c r="B1052" t="s">
        <v>2203</v>
      </c>
      <c r="C1052" t="s">
        <v>2204</v>
      </c>
      <c r="D1052" t="s">
        <v>2205</v>
      </c>
      <c r="E1052" t="s">
        <v>2206</v>
      </c>
      <c r="F1052" t="s">
        <v>2207</v>
      </c>
      <c r="G1052" t="s">
        <v>1301</v>
      </c>
      <c r="H1052" t="s">
        <v>254</v>
      </c>
      <c r="I1052">
        <v>2016</v>
      </c>
      <c r="J1052">
        <v>24</v>
      </c>
      <c r="K1052" t="s">
        <v>2208</v>
      </c>
      <c r="M1052" t="str">
        <f>LEFT($D1052,FIND(",",$D1052)-1)&amp;"_"&amp;I1052&amp;L1052</f>
        <v>Zubizarreta-Gerendiain_2016</v>
      </c>
      <c r="N1052" t="s">
        <v>222</v>
      </c>
      <c r="O1052" s="145" t="s">
        <v>1029</v>
      </c>
      <c r="Q1052" t="s">
        <v>256</v>
      </c>
      <c r="R1052" s="258" t="s">
        <v>223</v>
      </c>
      <c r="S1052" s="1" t="s">
        <v>2231</v>
      </c>
      <c r="T1052" t="s">
        <v>2217</v>
      </c>
      <c r="U1052" t="s">
        <v>2233</v>
      </c>
      <c r="V1052" s="253">
        <v>0</v>
      </c>
      <c r="W1052" s="253">
        <v>0</v>
      </c>
      <c r="X1052">
        <v>0</v>
      </c>
      <c r="Y1052">
        <v>0</v>
      </c>
      <c r="Z1052">
        <v>0</v>
      </c>
      <c r="AA1052">
        <v>0</v>
      </c>
      <c r="AB1052">
        <v>0</v>
      </c>
      <c r="AC1052">
        <v>0</v>
      </c>
      <c r="AD1052">
        <v>0</v>
      </c>
      <c r="AE1052">
        <v>0</v>
      </c>
      <c r="AF1052">
        <v>0</v>
      </c>
      <c r="AG1052">
        <v>0</v>
      </c>
      <c r="AH1052">
        <v>1</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s="141">
        <f>COUNTIF(X1052:AY1052,"&lt;&gt;0")</f>
        <v>1</v>
      </c>
      <c r="BA1052" s="141">
        <f>COUNTIF(X1052:AN1052,"&lt;&gt;0")</f>
        <v>1</v>
      </c>
      <c r="BB1052">
        <f>COUNTIF(X1052:AE1052,"&lt;&gt;0")</f>
        <v>0</v>
      </c>
      <c r="BC1052">
        <f>COUNTIF(AF1052:AK1052,"&lt;&gt;0")</f>
        <v>1</v>
      </c>
      <c r="BD1052">
        <f>COUNTIF(AL1052:AN1052,"&lt;&gt;0")</f>
        <v>0</v>
      </c>
      <c r="BE1052">
        <f>COUNTIF(AU1052:AY1052,"&lt;&gt;0")</f>
        <v>0</v>
      </c>
      <c r="BF1052">
        <f>COUNTIF(AO1052:AT1052,"&lt;&gt;0")</f>
        <v>0</v>
      </c>
      <c r="BG1052" t="str">
        <f t="array" ref="BG1052">IF(BA1052=1,INDEX($X$7:$AN$7,MATCH(TRUE,INDEX($X1052:$AY1052&lt;&gt;0,),0)),IF(BA1052=0,INDEX($AO$7:$AY$7,MATCH(1,$AO1052:$AY1052,0)),IF(BH1052="Multiple strategies","mixed drivers",IF(BH1052="Supply chain","multiple supply","multiple silviculture"))))</f>
        <v>supply chain organization</v>
      </c>
      <c r="BH1052" s="2" t="str" cm="1">
        <f t="array" ref="BH1052">IF(COUNTIF(BB1052:BD1052,"&lt;&gt;0")=1,INDEX($X$4:$AY$4,MATCH(TRUE,INDEX($X1052:$AY1052&lt;&gt;0,),0)),IF(COUNTIF(BB1052:BD1052,"&lt;&gt;0")=0,INDEX($AO$4:$AY$4,MATCH(1,$AO1052:$AY1052,0)),"Multiple strategies"))</f>
        <v>Supply chain</v>
      </c>
      <c r="BI1052" s="1" t="s">
        <v>321</v>
      </c>
      <c r="BJ1052" t="s">
        <v>2212</v>
      </c>
      <c r="BK1052" s="260" t="s">
        <v>1919</v>
      </c>
      <c r="BL1052" t="s">
        <v>2213</v>
      </c>
      <c r="BM1052">
        <v>82.634271099744197</v>
      </c>
      <c r="BN1052">
        <v>84.015345268542205</v>
      </c>
      <c r="BO1052" s="143">
        <f>BN1052/BM1052</f>
        <v>1.0167130919220062</v>
      </c>
      <c r="BP1052">
        <f>BN1052-BM1052</f>
        <v>1.3810741687980084</v>
      </c>
      <c r="BQ1052">
        <f>BP1052*1000*t_to_m3</f>
        <v>2818.5187118326703</v>
      </c>
      <c r="BR1052" s="143" t="s">
        <v>232</v>
      </c>
      <c r="BS1052" s="143" t="s">
        <v>2931</v>
      </c>
      <c r="BT1052" t="s">
        <v>1070</v>
      </c>
      <c r="BU1052">
        <v>-87418.696485623019</v>
      </c>
      <c r="BV1052">
        <v>-82406.156549520776</v>
      </c>
      <c r="BW1052" s="144">
        <f>IFERROR(BV1052/BU1052,"")</f>
        <v>0.94266055045871555</v>
      </c>
      <c r="BX1052" s="144">
        <f>BV1052-BU1052</f>
        <v>5012.5399361022428</v>
      </c>
      <c r="BY1052" s="144"/>
      <c r="BZ1052" s="144">
        <f>BX1052</f>
        <v>5012.5399361022428</v>
      </c>
      <c r="CA1052">
        <f>IFERROR(BZ1052/BQ1052,"")</f>
        <v>1.7784306043662792</v>
      </c>
      <c r="CB1052">
        <v>0</v>
      </c>
      <c r="CC1052">
        <v>0</v>
      </c>
      <c r="CD1052">
        <v>0</v>
      </c>
      <c r="CE1052">
        <v>0</v>
      </c>
      <c r="CF1052">
        <v>0</v>
      </c>
      <c r="CG1052">
        <v>0</v>
      </c>
      <c r="CH1052">
        <v>0</v>
      </c>
      <c r="CI1052">
        <v>0</v>
      </c>
      <c r="CJ1052">
        <v>0</v>
      </c>
      <c r="CK1052">
        <v>0</v>
      </c>
      <c r="CL1052">
        <v>0</v>
      </c>
      <c r="CM1052">
        <v>0</v>
      </c>
      <c r="CN1052">
        <v>0</v>
      </c>
      <c r="CO1052">
        <v>1</v>
      </c>
      <c r="CP1052" t="str">
        <f>IF($BN1052&lt;$BM1052,"refNeedCorrection","refOK")</f>
        <v>refOK</v>
      </c>
      <c r="CQ1052">
        <f>IF($CP1052="refOK",$BM1052,$BN1052)</f>
        <v>82.634271099744197</v>
      </c>
      <c r="CR1052">
        <f>IF($CP1052="refOK",$BN1052,$BM1052)</f>
        <v>84.015345268542205</v>
      </c>
      <c r="CS1052">
        <f>IF($CP1052="refOK",$BQ1052,-$BQ1052)</f>
        <v>2818.5187118326703</v>
      </c>
      <c r="CT1052">
        <f>IF(BI1052="Roundwood",$CS1052/2,$CS1052)</f>
        <v>1409.2593559163352</v>
      </c>
      <c r="CU1052">
        <f>IF($CP1052="refOK",$BU1052,$BV1052)*IF($BR1052="Emissions positive",-1,1)</f>
        <v>-87418.696485623019</v>
      </c>
      <c r="CV1052">
        <f>IF($CP1052="refOK",$BV1052,$BU1052)*IF($BR1052="Emissions positive",-1,1)</f>
        <v>-82406.156549520776</v>
      </c>
      <c r="CW1052">
        <f>IF($CP1052="refNeedCorrection",-BZ1052,BZ1052)*IF($BR1052="Emissions positive",-1,1)</f>
        <v>5012.5399361022428</v>
      </c>
      <c r="CX1052">
        <f>IFERROR($CW1052/$CS1052,"")</f>
        <v>1.7784306043662792</v>
      </c>
      <c r="CY1052">
        <f>IFERROR($CW1052/$CS1052,"")</f>
        <v>1.7784306043662792</v>
      </c>
      <c r="CZ1052">
        <f>IFERROR($CW1052/$CT1052,"")</f>
        <v>3.5568612087325584</v>
      </c>
      <c r="DA1052" s="2">
        <f>IFERROR((CV1052-CU1052)/ABS(CU1052),"")</f>
        <v>5.7339449541284469E-2</v>
      </c>
      <c r="DB1052" s="1" t="s">
        <v>1074</v>
      </c>
      <c r="DC1052" t="str">
        <f>IF(OR($DB1052="prd",$DB1052="std",$DB1052="cit"),"loc",IF(OR($DB1052="eur",$DB1052="reg",$DB1052="coy"),"reg",$DB1052))</f>
        <v>reg</v>
      </c>
      <c r="DD1052" t="s">
        <v>235</v>
      </c>
      <c r="DE1052">
        <v>2010</v>
      </c>
      <c r="DF1052">
        <v>2070</v>
      </c>
      <c r="DG1052">
        <f>DF1052-DE1052</f>
        <v>60</v>
      </c>
      <c r="DH1052" t="str">
        <f>IF(DG1052=0,"0",IF(AND(DG1052&gt;=1,DG1052&lt;=30),"1-30",IF(AND(DG1052&gt;30,DG1052&lt;=70),"31-70",IF(AND(DG1052&gt;70,DG1052&lt;=100),"71-100",IF(DG1052&gt;100,"+100")))))</f>
        <v>31-70</v>
      </c>
      <c r="DI1052">
        <v>1</v>
      </c>
      <c r="DJ1052">
        <v>1</v>
      </c>
      <c r="DK1052">
        <v>1</v>
      </c>
      <c r="DL1052">
        <v>1</v>
      </c>
      <c r="DM1052">
        <v>0</v>
      </c>
      <c r="DN1052">
        <f>SUM(DI1052:DL1052)</f>
        <v>4</v>
      </c>
      <c r="DO1052" t="str">
        <f>IF(DN1052=1,INDEX($DI$7:$DL$7,MATCH(1,$DI1052:$DL1052,0)),"mixedProduct")</f>
        <v>mixedProduct</v>
      </c>
      <c r="DP1052" t="str">
        <f>IF(DI1052=1,DP$7,0)</f>
        <v>Upstream</v>
      </c>
      <c r="DQ1052" t="str">
        <f>IF(DJ1052=1,DQ$7,0)</f>
        <v>Energy</v>
      </c>
      <c r="DR1052" t="str">
        <f>IF(DK1052=1,DR$7,0)</f>
        <v>Pulp/Paper</v>
      </c>
      <c r="DS1052" t="str">
        <f>IF(DL1052=1,DS$7,0)</f>
        <v>Timber</v>
      </c>
      <c r="DT1052">
        <v>0</v>
      </c>
      <c r="DU1052">
        <v>0</v>
      </c>
      <c r="DV1052">
        <v>0</v>
      </c>
      <c r="DW1052">
        <v>0</v>
      </c>
      <c r="DX1052">
        <v>0</v>
      </c>
      <c r="DY1052">
        <f>SUM(DT1052:DU1052)</f>
        <v>0</v>
      </c>
      <c r="DZ1052" s="143" t="str">
        <f>IF(DT1052=1,"self-calculated DF",IF(DU1052=1,"external DF used","explicit C balance"))</f>
        <v>explicit C balance</v>
      </c>
      <c r="EA1052">
        <v>1</v>
      </c>
      <c r="EB1052">
        <v>1</v>
      </c>
      <c r="EC1052">
        <v>1</v>
      </c>
      <c r="ED1052">
        <v>0</v>
      </c>
      <c r="EE1052">
        <v>0</v>
      </c>
      <c r="EF1052" s="143">
        <v>0</v>
      </c>
      <c r="EG1052">
        <v>1</v>
      </c>
      <c r="EH1052">
        <v>1</v>
      </c>
      <c r="EI1052">
        <v>0</v>
      </c>
      <c r="EJ1052">
        <v>0</v>
      </c>
      <c r="EK1052">
        <v>1</v>
      </c>
      <c r="EL1052">
        <v>0</v>
      </c>
      <c r="EM1052">
        <v>0</v>
      </c>
      <c r="EN1052" s="2">
        <v>0</v>
      </c>
      <c r="EP1052" t="str">
        <f>IF(AND(AND(AND(OR($EC1052=1,$EB1052=1),OR($EH1052=1,$EF1052=1)),SUM($EA1052:$EE1052,$EK1052)&gt;=3),SUM($EF1052:$EJ1052)&gt;=2),"Whole sector approach","")</f>
        <v>Whole sector approach</v>
      </c>
      <c r="EQ1052" t="str">
        <f>IF(AND(AND(OR($EC1052=1,$EB1052=1),AND($EH1052=0,$EF1052=0)),SUM($EA1052:$EE1052,$EK1052)&gt;=4),"Ecosystem approach","")</f>
        <v/>
      </c>
      <c r="ER1052" s="2" t="str">
        <f>IF(AND(AND(AND($EC1052=0,$EB1052=0),OR($EH1052=1,$EF1052=1)),SUM($EG1052:$EJ1052)&gt;=2),"Technology approach","")</f>
        <v/>
      </c>
      <c r="ES1052" t="str">
        <f>IF(AND($EC1052+$EB1052+$EE1052+$EA1052+$ED1052+$EG1052=0,$N1052="included"),"C neutral forest and HWP assumption","")</f>
        <v/>
      </c>
      <c r="ET1052" t="str">
        <f>IF(AND(AND(AND(AND($EC1052=1,$EB1052+$EA1052+$EG1052&gt;=1),$EF1052=1),$EH1052+$EI1052+$ED1052+$EE1052&gt;=2),$N1052="included"),"All C pools assumption","")</f>
        <v/>
      </c>
      <c r="EU1052" t="str">
        <f>IF(AND($ED1052+$EE1052+$EI1052+$EH1052+$EF1052=0,$N1052="included"),"In-situ only assumption","")</f>
        <v/>
      </c>
      <c r="EW1052" t="s">
        <v>2221</v>
      </c>
      <c r="EY1052" t="str">
        <f>IF(ISNUMBER(BW1052),IF(ABS(BW1052-[2]QC_indicators!$B$2)&gt;3*[2]QC_indicators!$C$2,"C ratio",IF(ISNUMBER(CA1052),IF(ABS(CA1052-[2]QC_indicators!$B$1)&gt;3*[2]QC_indicators!$C$1,"DF","no"))),IF(ISNUMBER(CA1052),IF(ABS(CA1052-[2]QC_indicators!$B$1)&gt;3*[2]QC_indicators!$C$1,"DF","no")))</f>
        <v>no</v>
      </c>
      <c r="FA1052" t="str">
        <f>IF(LEN($CY1052)=0,"",IF(AND($CY1052&lt;(-0.05),$ES1052="C neutral forest and HWP assumption"),"Cneutral paradox",IF(AND($CY1052&gt;0.05,$EU1052="In-situ only assumption"),"In-situ only paradox","")))</f>
        <v/>
      </c>
      <c r="FD1052" s="260" t="s">
        <v>2932</v>
      </c>
    </row>
    <row r="1053" spans="1:160" ht="15" hidden="1" customHeight="1">
      <c r="A1053" s="1" t="s">
        <v>1295</v>
      </c>
      <c r="B1053" t="s">
        <v>2203</v>
      </c>
      <c r="C1053" t="s">
        <v>2204</v>
      </c>
      <c r="D1053" t="s">
        <v>2205</v>
      </c>
      <c r="E1053" t="s">
        <v>2206</v>
      </c>
      <c r="F1053" t="s">
        <v>2207</v>
      </c>
      <c r="G1053" t="s">
        <v>1301</v>
      </c>
      <c r="H1053" t="s">
        <v>254</v>
      </c>
      <c r="I1053">
        <v>2016</v>
      </c>
      <c r="J1053">
        <v>24</v>
      </c>
      <c r="K1053" t="s">
        <v>2208</v>
      </c>
      <c r="M1053" t="str">
        <f>LEFT($D1053,FIND(",",$D1053)-1)&amp;"_"&amp;I1053&amp;L1053</f>
        <v>Zubizarreta-Gerendiain_2016</v>
      </c>
      <c r="N1053" t="s">
        <v>222</v>
      </c>
      <c r="O1053" s="145" t="s">
        <v>1029</v>
      </c>
      <c r="Q1053" t="s">
        <v>256</v>
      </c>
      <c r="R1053" s="258" t="s">
        <v>223</v>
      </c>
      <c r="S1053" s="1" t="s">
        <v>2231</v>
      </c>
      <c r="T1053" t="s">
        <v>2211</v>
      </c>
      <c r="U1053" t="s">
        <v>2232</v>
      </c>
      <c r="V1053" s="253">
        <v>0</v>
      </c>
      <c r="W1053" s="253">
        <v>0</v>
      </c>
      <c r="X1053">
        <v>0</v>
      </c>
      <c r="Y1053">
        <v>0</v>
      </c>
      <c r="Z1053">
        <v>0</v>
      </c>
      <c r="AA1053">
        <v>0</v>
      </c>
      <c r="AB1053">
        <v>0</v>
      </c>
      <c r="AC1053">
        <v>0</v>
      </c>
      <c r="AD1053">
        <v>0</v>
      </c>
      <c r="AE1053">
        <v>0</v>
      </c>
      <c r="AF1053">
        <v>0</v>
      </c>
      <c r="AG1053">
        <v>0</v>
      </c>
      <c r="AH1053">
        <v>1</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s="141">
        <f>COUNTIF(X1053:AY1053,"&lt;&gt;0")</f>
        <v>1</v>
      </c>
      <c r="BA1053" s="141">
        <f>COUNTIF(X1053:AN1053,"&lt;&gt;0")</f>
        <v>1</v>
      </c>
      <c r="BB1053">
        <f>COUNTIF(X1053:AE1053,"&lt;&gt;0")</f>
        <v>0</v>
      </c>
      <c r="BC1053">
        <f>COUNTIF(AF1053:AK1053,"&lt;&gt;0")</f>
        <v>1</v>
      </c>
      <c r="BD1053">
        <f>COUNTIF(AL1053:AN1053,"&lt;&gt;0")</f>
        <v>0</v>
      </c>
      <c r="BE1053">
        <f>COUNTIF(AU1053:AY1053,"&lt;&gt;0")</f>
        <v>0</v>
      </c>
      <c r="BF1053">
        <f>COUNTIF(AO1053:AT1053,"&lt;&gt;0")</f>
        <v>0</v>
      </c>
      <c r="BG1053" t="str">
        <f t="array" ref="BG1053">IF(BA1053=1,INDEX($X$7:$AN$7,MATCH(TRUE,INDEX($X1053:$AY1053&lt;&gt;0,),0)),IF(BA1053=0,INDEX($AO$7:$AY$7,MATCH(1,$AO1053:$AY1053,0)),IF(BH1053="Multiple strategies","mixed drivers",IF(BH1053="Supply chain","multiple supply","multiple silviculture"))))</f>
        <v>supply chain organization</v>
      </c>
      <c r="BH1053" s="2" t="str" cm="1">
        <f t="array" ref="BH1053">IF(COUNTIF(BB1053:BD1053,"&lt;&gt;0")=1,INDEX($X$4:$AY$4,MATCH(TRUE,INDEX($X1053:$AY1053&lt;&gt;0,),0)),IF(COUNTIF(BB1053:BD1053,"&lt;&gt;0")=0,INDEX($AO$4:$AY$4,MATCH(1,$AO1053:$AY1053,0)),"Multiple strategies"))</f>
        <v>Supply chain</v>
      </c>
      <c r="BI1053" s="1" t="s">
        <v>321</v>
      </c>
      <c r="BJ1053" t="s">
        <v>2212</v>
      </c>
      <c r="BK1053" s="260" t="s">
        <v>1919</v>
      </c>
      <c r="BL1053" t="s">
        <v>2213</v>
      </c>
      <c r="BM1053">
        <v>82.946708463949804</v>
      </c>
      <c r="BN1053">
        <v>84.921630094043806</v>
      </c>
      <c r="BO1053" s="143">
        <f>BN1053/BM1053</f>
        <v>1.0238095238095233</v>
      </c>
      <c r="BP1053">
        <f>BN1053-BM1053</f>
        <v>1.974921630094002</v>
      </c>
      <c r="BQ1053">
        <f>BP1053*1000*t_to_m3</f>
        <v>4030.4523063142901</v>
      </c>
      <c r="BR1053" s="143" t="s">
        <v>232</v>
      </c>
      <c r="BS1053" s="143" t="s">
        <v>2931</v>
      </c>
      <c r="BT1053" t="s">
        <v>1070</v>
      </c>
      <c r="BU1053">
        <v>-114599.70703910608</v>
      </c>
      <c r="BV1053">
        <v>-112538.56122905009</v>
      </c>
      <c r="BW1053" s="144">
        <f>IFERROR(BV1053/BU1053,"")</f>
        <v>0.98201438848920752</v>
      </c>
      <c r="BX1053" s="144">
        <f>BV1053-BU1053</f>
        <v>2061.1458100559976</v>
      </c>
      <c r="BY1053" s="144"/>
      <c r="BZ1053" s="144">
        <f>BX1053</f>
        <v>2061.1458100559976</v>
      </c>
      <c r="CA1053">
        <f>IFERROR(BZ1053/BQ1053,"")</f>
        <v>0.51139317709501553</v>
      </c>
      <c r="CB1053">
        <v>0</v>
      </c>
      <c r="CC1053">
        <v>0</v>
      </c>
      <c r="CD1053">
        <v>0</v>
      </c>
      <c r="CE1053">
        <v>0</v>
      </c>
      <c r="CF1053">
        <v>0</v>
      </c>
      <c r="CG1053">
        <v>0</v>
      </c>
      <c r="CH1053">
        <v>0</v>
      </c>
      <c r="CI1053">
        <v>0</v>
      </c>
      <c r="CJ1053">
        <v>0</v>
      </c>
      <c r="CK1053">
        <v>0</v>
      </c>
      <c r="CL1053">
        <v>0</v>
      </c>
      <c r="CM1053">
        <v>0</v>
      </c>
      <c r="CN1053">
        <v>0</v>
      </c>
      <c r="CO1053">
        <v>1</v>
      </c>
      <c r="CP1053" t="str">
        <f>IF($BN1053&lt;$BM1053,"refNeedCorrection","refOK")</f>
        <v>refOK</v>
      </c>
      <c r="CQ1053">
        <f>IF($CP1053="refOK",$BM1053,$BN1053)</f>
        <v>82.946708463949804</v>
      </c>
      <c r="CR1053">
        <f>IF($CP1053="refOK",$BN1053,$BM1053)</f>
        <v>84.921630094043806</v>
      </c>
      <c r="CS1053">
        <f>IF($CP1053="refOK",$BQ1053,-$BQ1053)</f>
        <v>4030.4523063142901</v>
      </c>
      <c r="CT1053">
        <f>IF(BI1053="Roundwood",$CS1053/2,$CS1053)</f>
        <v>2015.2261531571451</v>
      </c>
      <c r="CU1053">
        <f>IF($CP1053="refOK",$BU1053,$BV1053)*IF($BR1053="Emissions positive",-1,1)</f>
        <v>-114599.70703910608</v>
      </c>
      <c r="CV1053">
        <f>IF($CP1053="refOK",$BV1053,$BU1053)*IF($BR1053="Emissions positive",-1,1)</f>
        <v>-112538.56122905009</v>
      </c>
      <c r="CW1053">
        <f>IF($CP1053="refNeedCorrection",-BZ1053,BZ1053)*IF($BR1053="Emissions positive",-1,1)</f>
        <v>2061.1458100559976</v>
      </c>
      <c r="CX1053">
        <f>IFERROR($CW1053/$CS1053,"")</f>
        <v>0.51139317709501553</v>
      </c>
      <c r="CY1053">
        <f>IFERROR($CW1053/$CS1053,"")</f>
        <v>0.51139317709501553</v>
      </c>
      <c r="CZ1053">
        <f>IFERROR($CW1053/$CT1053,"")</f>
        <v>1.0227863541900311</v>
      </c>
      <c r="DA1053" s="2">
        <f>IFERROR((CV1053-CU1053)/ABS(CU1053),"")</f>
        <v>1.7985611510792525E-2</v>
      </c>
      <c r="DB1053" s="1" t="s">
        <v>1074</v>
      </c>
      <c r="DC1053" t="str">
        <f>IF(OR($DB1053="prd",$DB1053="std",$DB1053="cit"),"loc",IF(OR($DB1053="eur",$DB1053="reg",$DB1053="coy"),"reg",$DB1053))</f>
        <v>reg</v>
      </c>
      <c r="DD1053" t="s">
        <v>235</v>
      </c>
      <c r="DE1053">
        <v>2010</v>
      </c>
      <c r="DF1053">
        <v>2070</v>
      </c>
      <c r="DG1053">
        <f>DF1053-DE1053</f>
        <v>60</v>
      </c>
      <c r="DH1053" t="str">
        <f>IF(DG1053=0,"0",IF(AND(DG1053&gt;=1,DG1053&lt;=30),"1-30",IF(AND(DG1053&gt;30,DG1053&lt;=70),"31-70",IF(AND(DG1053&gt;70,DG1053&lt;=100),"71-100",IF(DG1053&gt;100,"+100")))))</f>
        <v>31-70</v>
      </c>
      <c r="DI1053">
        <v>1</v>
      </c>
      <c r="DJ1053">
        <v>1</v>
      </c>
      <c r="DK1053">
        <v>1</v>
      </c>
      <c r="DL1053">
        <v>1</v>
      </c>
      <c r="DM1053">
        <v>0</v>
      </c>
      <c r="DN1053">
        <f>SUM(DI1053:DL1053)</f>
        <v>4</v>
      </c>
      <c r="DO1053" t="str">
        <f>IF(DN1053=1,INDEX($DI$7:$DL$7,MATCH(1,$DI1053:$DL1053,0)),"mixedProduct")</f>
        <v>mixedProduct</v>
      </c>
      <c r="DP1053" t="str">
        <f>IF(DI1053=1,DP$7,0)</f>
        <v>Upstream</v>
      </c>
      <c r="DQ1053" t="str">
        <f>IF(DJ1053=1,DQ$7,0)</f>
        <v>Energy</v>
      </c>
      <c r="DR1053" t="str">
        <f>IF(DK1053=1,DR$7,0)</f>
        <v>Pulp/Paper</v>
      </c>
      <c r="DS1053" t="str">
        <f>IF(DL1053=1,DS$7,0)</f>
        <v>Timber</v>
      </c>
      <c r="DT1053">
        <v>0</v>
      </c>
      <c r="DU1053">
        <v>0</v>
      </c>
      <c r="DV1053">
        <v>0</v>
      </c>
      <c r="DW1053">
        <v>0</v>
      </c>
      <c r="DX1053">
        <v>0</v>
      </c>
      <c r="DY1053">
        <f>SUM(DT1053:DU1053)</f>
        <v>0</v>
      </c>
      <c r="DZ1053" s="143" t="str">
        <f>IF(DT1053=1,"self-calculated DF",IF(DU1053=1,"external DF used","explicit C balance"))</f>
        <v>explicit C balance</v>
      </c>
      <c r="EA1053">
        <v>1</v>
      </c>
      <c r="EB1053">
        <v>1</v>
      </c>
      <c r="EC1053">
        <v>1</v>
      </c>
      <c r="ED1053">
        <v>0</v>
      </c>
      <c r="EE1053">
        <v>0</v>
      </c>
      <c r="EF1053" s="143">
        <v>0</v>
      </c>
      <c r="EG1053">
        <v>1</v>
      </c>
      <c r="EH1053">
        <v>1</v>
      </c>
      <c r="EI1053">
        <v>0</v>
      </c>
      <c r="EJ1053">
        <v>0</v>
      </c>
      <c r="EK1053">
        <v>1</v>
      </c>
      <c r="EL1053">
        <v>0</v>
      </c>
      <c r="EM1053">
        <v>0</v>
      </c>
      <c r="EN1053" s="2">
        <v>0</v>
      </c>
      <c r="EP1053" t="str">
        <f>IF(AND(AND(AND(OR($EC1053=1,$EB1053=1),OR($EH1053=1,$EF1053=1)),SUM($EA1053:$EE1053,$EK1053)&gt;=3),SUM($EF1053:$EJ1053)&gt;=2),"Whole sector approach","")</f>
        <v>Whole sector approach</v>
      </c>
      <c r="EQ1053" t="str">
        <f>IF(AND(AND(OR($EC1053=1,$EB1053=1),AND($EH1053=0,$EF1053=0)),SUM($EA1053:$EE1053,$EK1053)&gt;=4),"Ecosystem approach","")</f>
        <v/>
      </c>
      <c r="ER1053" s="2" t="str">
        <f>IF(AND(AND(AND($EC1053=0,$EB1053=0),OR($EH1053=1,$EF1053=1)),SUM($EG1053:$EJ1053)&gt;=2),"Technology approach","")</f>
        <v/>
      </c>
      <c r="ES1053" t="str">
        <f>IF(AND($EC1053+$EB1053+$EE1053+$EA1053+$ED1053+$EG1053=0,$N1053="included"),"C neutral forest and HWP assumption","")</f>
        <v/>
      </c>
      <c r="ET1053" t="str">
        <f>IF(AND(AND(AND(AND($EC1053=1,$EB1053+$EA1053+$EG1053&gt;=1),$EF1053=1),$EH1053+$EI1053+$ED1053+$EE1053&gt;=2),$N1053="included"),"All C pools assumption","")</f>
        <v/>
      </c>
      <c r="EU1053" t="str">
        <f>IF(AND($ED1053+$EE1053+$EI1053+$EH1053+$EF1053=0,$N1053="included"),"In-situ only assumption","")</f>
        <v/>
      </c>
      <c r="EW1053" t="s">
        <v>2221</v>
      </c>
      <c r="EY1053" t="str">
        <f>IF(ISNUMBER(BW1053),IF(ABS(BW1053-[2]QC_indicators!$B$2)&gt;3*[2]QC_indicators!$C$2,"C ratio",IF(ISNUMBER(CA1053),IF(ABS(CA1053-[2]QC_indicators!$B$1)&gt;3*[2]QC_indicators!$C$1,"DF","no"))),IF(ISNUMBER(CA1053),IF(ABS(CA1053-[2]QC_indicators!$B$1)&gt;3*[2]QC_indicators!$C$1,"DF","no")))</f>
        <v>no</v>
      </c>
      <c r="FA1053" t="str">
        <f>IF(LEN($CY1053)=0,"",IF(AND($CY1053&lt;(-0.05),$ES1053="C neutral forest and HWP assumption"),"Cneutral paradox",IF(AND($CY1053&gt;0.05,$EU1053="In-situ only assumption"),"In-situ only paradox","")))</f>
        <v/>
      </c>
      <c r="FD1053" s="260" t="s">
        <v>2932</v>
      </c>
    </row>
    <row r="1054" spans="1:160" ht="15" hidden="1" customHeight="1">
      <c r="A1054" s="1" t="s">
        <v>1295</v>
      </c>
      <c r="B1054" t="s">
        <v>2203</v>
      </c>
      <c r="C1054" t="s">
        <v>2204</v>
      </c>
      <c r="D1054" t="s">
        <v>2205</v>
      </c>
      <c r="E1054" t="s">
        <v>2206</v>
      </c>
      <c r="F1054" t="s">
        <v>2207</v>
      </c>
      <c r="G1054" t="s">
        <v>1301</v>
      </c>
      <c r="H1054" t="s">
        <v>254</v>
      </c>
      <c r="I1054">
        <v>2016</v>
      </c>
      <c r="J1054">
        <v>24</v>
      </c>
      <c r="K1054" t="s">
        <v>2208</v>
      </c>
      <c r="M1054" t="str">
        <f>LEFT($D1054,FIND(",",$D1054)-1)&amp;"_"&amp;I1054&amp;L1054</f>
        <v>Zubizarreta-Gerendiain_2016</v>
      </c>
      <c r="N1054" t="s">
        <v>222</v>
      </c>
      <c r="O1054" s="145" t="s">
        <v>1029</v>
      </c>
      <c r="Q1054" t="s">
        <v>256</v>
      </c>
      <c r="R1054" s="258" t="s">
        <v>223</v>
      </c>
      <c r="S1054" s="1" t="s">
        <v>2219</v>
      </c>
      <c r="T1054" t="s">
        <v>2220</v>
      </c>
      <c r="U1054" t="s">
        <v>2217</v>
      </c>
      <c r="V1054" s="253">
        <v>0</v>
      </c>
      <c r="W1054" s="253">
        <v>0</v>
      </c>
      <c r="X1054">
        <v>0</v>
      </c>
      <c r="Y1054">
        <v>0</v>
      </c>
      <c r="Z1054">
        <v>0</v>
      </c>
      <c r="AA1054">
        <v>2</v>
      </c>
      <c r="AB1054">
        <v>0</v>
      </c>
      <c r="AC1054">
        <v>0</v>
      </c>
      <c r="AD1054">
        <v>0</v>
      </c>
      <c r="AE1054">
        <v>0</v>
      </c>
      <c r="AF1054">
        <v>0</v>
      </c>
      <c r="AG1054">
        <v>0</v>
      </c>
      <c r="AH1054">
        <v>1</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s="141">
        <f>COUNTIF(X1054:AY1054,"&lt;&gt;0")</f>
        <v>2</v>
      </c>
      <c r="BA1054" s="141">
        <f>COUNTIF(X1054:AN1054,"&lt;&gt;0")</f>
        <v>2</v>
      </c>
      <c r="BB1054">
        <f>COUNTIF(X1054:AE1054,"&lt;&gt;0")</f>
        <v>1</v>
      </c>
      <c r="BC1054">
        <f>COUNTIF(AF1054:AK1054,"&lt;&gt;0")</f>
        <v>1</v>
      </c>
      <c r="BD1054">
        <f>COUNTIF(AL1054:AN1054,"&lt;&gt;0")</f>
        <v>0</v>
      </c>
      <c r="BE1054">
        <f>COUNTIF(AU1054:AY1054,"&lt;&gt;0")</f>
        <v>0</v>
      </c>
      <c r="BF1054">
        <f>COUNTIF(AO1054:AT1054,"&lt;&gt;0")</f>
        <v>0</v>
      </c>
      <c r="BG1054" t="str">
        <f t="array" ref="BG1054">IF(BA1054=1,INDEX($X$7:$AN$7,MATCH(TRUE,INDEX($X1054:$AY1054&lt;&gt;0,),0)),IF(BA1054=0,INDEX($AO$7:$AY$7,MATCH(1,$AO1054:$AY1054,0)),IF(BH1054="Multiple strategies","mixed drivers",IF(BH1054="Supply chain","multiple supply","multiple silviculture"))))</f>
        <v>mixed drivers</v>
      </c>
      <c r="BH1054" s="2" t="str" cm="1">
        <f t="array" ref="BH1054">IF(COUNTIF(BB1054:BD1054,"&lt;&gt;0")=1,INDEX($X$4:$AY$4,MATCH(TRUE,INDEX($X1054:$AY1054&lt;&gt;0,),0)),IF(COUNTIF(BB1054:BD1054,"&lt;&gt;0")=0,INDEX($AO$4:$AY$4,MATCH(1,$AO1054:$AY1054,0)),"Multiple strategies"))</f>
        <v>Multiple strategies</v>
      </c>
      <c r="BI1054" s="1" t="s">
        <v>321</v>
      </c>
      <c r="BJ1054" t="s">
        <v>2212</v>
      </c>
      <c r="BK1054" s="260" t="s">
        <v>1919</v>
      </c>
      <c r="BL1054" t="s">
        <v>2213</v>
      </c>
      <c r="BM1054">
        <v>64.910485933503793</v>
      </c>
      <c r="BN1054">
        <v>82.634271099744197</v>
      </c>
      <c r="BO1054" s="143">
        <f>BN1054/BM1054</f>
        <v>1.273049645390071</v>
      </c>
      <c r="BP1054">
        <f>BN1054-BM1054</f>
        <v>17.723785166240404</v>
      </c>
      <c r="BQ1054">
        <f>BP1054*1000*t_to_m3</f>
        <v>36170.990135184496</v>
      </c>
      <c r="BR1054" s="143" t="s">
        <v>232</v>
      </c>
      <c r="BS1054" s="143" t="s">
        <v>2931</v>
      </c>
      <c r="BT1054" t="s">
        <v>1070</v>
      </c>
      <c r="BU1054">
        <v>10626.584664536607</v>
      </c>
      <c r="BV1054">
        <v>-87418.696485623019</v>
      </c>
      <c r="BW1054" s="144">
        <f>IFERROR(BV1054/BU1054,"")</f>
        <v>-8.2264150943397283</v>
      </c>
      <c r="BX1054" s="144">
        <f>BV1054-BU1054</f>
        <v>-98045.28115015963</v>
      </c>
      <c r="BY1054" s="144"/>
      <c r="BZ1054" s="144">
        <f>BX1054</f>
        <v>-98045.28115015963</v>
      </c>
      <c r="CA1054">
        <f>IFERROR(BZ1054/BQ1054,"")</f>
        <v>-2.7106053990705758</v>
      </c>
      <c r="CB1054">
        <v>0</v>
      </c>
      <c r="CC1054">
        <v>0</v>
      </c>
      <c r="CD1054">
        <v>0</v>
      </c>
      <c r="CE1054">
        <v>0</v>
      </c>
      <c r="CF1054">
        <v>0</v>
      </c>
      <c r="CG1054">
        <v>0</v>
      </c>
      <c r="CH1054">
        <v>0</v>
      </c>
      <c r="CI1054">
        <v>0</v>
      </c>
      <c r="CJ1054">
        <v>0</v>
      </c>
      <c r="CK1054">
        <v>0</v>
      </c>
      <c r="CL1054">
        <v>0</v>
      </c>
      <c r="CM1054">
        <v>0</v>
      </c>
      <c r="CN1054">
        <v>0</v>
      </c>
      <c r="CO1054">
        <v>1</v>
      </c>
      <c r="CP1054" t="str">
        <f>IF($BN1054&lt;$BM1054,"refNeedCorrection","refOK")</f>
        <v>refOK</v>
      </c>
      <c r="CQ1054">
        <f>IF($CP1054="refOK",$BM1054,$BN1054)</f>
        <v>64.910485933503793</v>
      </c>
      <c r="CR1054">
        <f>IF($CP1054="refOK",$BN1054,$BM1054)</f>
        <v>82.634271099744197</v>
      </c>
      <c r="CS1054">
        <f>IF($CP1054="refOK",$BQ1054,-$BQ1054)</f>
        <v>36170.990135184496</v>
      </c>
      <c r="CT1054">
        <f>IF(BI1054="Roundwood",$CS1054/2,$CS1054)</f>
        <v>18085.495067592248</v>
      </c>
      <c r="CU1054">
        <f>IF($CP1054="refOK",$BU1054,$BV1054)*IF($BR1054="Emissions positive",-1,1)</f>
        <v>10626.584664536607</v>
      </c>
      <c r="CV1054">
        <f>IF($CP1054="refOK",$BV1054,$BU1054)*IF($BR1054="Emissions positive",-1,1)</f>
        <v>-87418.696485623019</v>
      </c>
      <c r="CW1054">
        <f>IF($CP1054="refNeedCorrection",-BZ1054,BZ1054)*IF($BR1054="Emissions positive",-1,1)</f>
        <v>-98045.28115015963</v>
      </c>
      <c r="CX1054">
        <f>IFERROR($CW1054/$CS1054,"")</f>
        <v>-2.7106053990705758</v>
      </c>
      <c r="CY1054">
        <f>IFERROR($CW1054/$CS1054,"")</f>
        <v>-2.7106053990705758</v>
      </c>
      <c r="CZ1054">
        <f>IFERROR($CW1054/$CT1054,"")</f>
        <v>-5.4212107981411517</v>
      </c>
      <c r="DA1054" s="2">
        <f>IFERROR((CV1054-CU1054)/ABS(CU1054),"")</f>
        <v>-9.2264150943397283</v>
      </c>
      <c r="DB1054" s="1" t="s">
        <v>1074</v>
      </c>
      <c r="DC1054" t="str">
        <f>IF(OR($DB1054="prd",$DB1054="std",$DB1054="cit"),"loc",IF(OR($DB1054="eur",$DB1054="reg",$DB1054="coy"),"reg",$DB1054))</f>
        <v>reg</v>
      </c>
      <c r="DD1054" t="s">
        <v>235</v>
      </c>
      <c r="DE1054">
        <v>2010</v>
      </c>
      <c r="DF1054">
        <v>2070</v>
      </c>
      <c r="DG1054">
        <f>DF1054-DE1054</f>
        <v>60</v>
      </c>
      <c r="DH1054" t="str">
        <f>IF(DG1054=0,"0",IF(AND(DG1054&gt;=1,DG1054&lt;=30),"1-30",IF(AND(DG1054&gt;30,DG1054&lt;=70),"31-70",IF(AND(DG1054&gt;70,DG1054&lt;=100),"71-100",IF(DG1054&gt;100,"+100")))))</f>
        <v>31-70</v>
      </c>
      <c r="DI1054">
        <v>1</v>
      </c>
      <c r="DJ1054">
        <v>1</v>
      </c>
      <c r="DK1054">
        <v>1</v>
      </c>
      <c r="DL1054">
        <v>1</v>
      </c>
      <c r="DM1054">
        <v>0</v>
      </c>
      <c r="DN1054">
        <f>SUM(DI1054:DL1054)</f>
        <v>4</v>
      </c>
      <c r="DO1054" t="str">
        <f>IF(DN1054=1,INDEX($DI$7:$DL$7,MATCH(1,$DI1054:$DL1054,0)),"mixedProduct")</f>
        <v>mixedProduct</v>
      </c>
      <c r="DP1054" t="str">
        <f>IF(DI1054=1,DP$7,0)</f>
        <v>Upstream</v>
      </c>
      <c r="DQ1054" t="str">
        <f>IF(DJ1054=1,DQ$7,0)</f>
        <v>Energy</v>
      </c>
      <c r="DR1054" t="str">
        <f>IF(DK1054=1,DR$7,0)</f>
        <v>Pulp/Paper</v>
      </c>
      <c r="DS1054" t="str">
        <f>IF(DL1054=1,DS$7,0)</f>
        <v>Timber</v>
      </c>
      <c r="DT1054">
        <v>0</v>
      </c>
      <c r="DU1054">
        <v>0</v>
      </c>
      <c r="DV1054">
        <v>0</v>
      </c>
      <c r="DW1054">
        <v>0</v>
      </c>
      <c r="DX1054">
        <v>0</v>
      </c>
      <c r="DY1054">
        <f>SUM(DT1054:DU1054)</f>
        <v>0</v>
      </c>
      <c r="DZ1054" s="143" t="str">
        <f>IF(DT1054=1,"self-calculated DF",IF(DU1054=1,"external DF used","explicit C balance"))</f>
        <v>explicit C balance</v>
      </c>
      <c r="EA1054">
        <v>1</v>
      </c>
      <c r="EB1054">
        <v>1</v>
      </c>
      <c r="EC1054">
        <v>1</v>
      </c>
      <c r="ED1054">
        <v>0</v>
      </c>
      <c r="EE1054">
        <v>0</v>
      </c>
      <c r="EF1054" s="143">
        <v>0</v>
      </c>
      <c r="EG1054">
        <v>1</v>
      </c>
      <c r="EH1054">
        <v>1</v>
      </c>
      <c r="EI1054">
        <v>0</v>
      </c>
      <c r="EJ1054">
        <v>0</v>
      </c>
      <c r="EK1054">
        <v>1</v>
      </c>
      <c r="EL1054">
        <v>0</v>
      </c>
      <c r="EM1054">
        <v>0</v>
      </c>
      <c r="EN1054" s="2">
        <v>0</v>
      </c>
      <c r="EP1054" t="str">
        <f>IF(AND(AND(AND(OR($EC1054=1,$EB1054=1),OR($EH1054=1,$EF1054=1)),SUM($EA1054:$EE1054,$EK1054)&gt;=3),SUM($EF1054:$EJ1054)&gt;=2),"Whole sector approach","")</f>
        <v>Whole sector approach</v>
      </c>
      <c r="EQ1054" t="str">
        <f>IF(AND(AND(OR($EC1054=1,$EB1054=1),AND($EH1054=0,$EF1054=0)),SUM($EA1054:$EE1054,$EK1054)&gt;=4),"Ecosystem approach","")</f>
        <v/>
      </c>
      <c r="ER1054" s="2" t="str">
        <f>IF(AND(AND(AND($EC1054=0,$EB1054=0),OR($EH1054=1,$EF1054=1)),SUM($EG1054:$EJ1054)&gt;=2),"Technology approach","")</f>
        <v/>
      </c>
      <c r="ES1054" t="str">
        <f>IF(AND($EC1054+$EB1054+$EE1054+$EA1054+$ED1054+$EG1054=0,$N1054="included"),"C neutral forest and HWP assumption","")</f>
        <v/>
      </c>
      <c r="ET1054" t="str">
        <f>IF(AND(AND(AND(AND($EC1054=1,$EB1054+$EA1054+$EG1054&gt;=1),$EF1054=1),$EH1054+$EI1054+$ED1054+$EE1054&gt;=2),$N1054="included"),"All C pools assumption","")</f>
        <v/>
      </c>
      <c r="EU1054" t="str">
        <f>IF(AND($ED1054+$EE1054+$EI1054+$EH1054+$EF1054=0,$N1054="included"),"In-situ only assumption","")</f>
        <v/>
      </c>
      <c r="EW1054" t="s">
        <v>2221</v>
      </c>
      <c r="EY1054" t="str">
        <f>IF(ISNUMBER(BW1054),IF(ABS(BW1054-[2]QC_indicators!$B$2)&gt;3*[2]QC_indicators!$C$2,"C ratio",IF(ISNUMBER(CA1054),IF(ABS(CA1054-[2]QC_indicators!$B$1)&gt;3*[2]QC_indicators!$C$1,"DF","no"))),IF(ISNUMBER(CA1054),IF(ABS(CA1054-[2]QC_indicators!$B$1)&gt;3*[2]QC_indicators!$C$1,"DF","no")))</f>
        <v>no</v>
      </c>
      <c r="FA1054" t="str">
        <f>IF(LEN($CY1054)=0,"",IF(AND($CY1054&lt;(-0.05),$ES1054="C neutral forest and HWP assumption"),"Cneutral paradox",IF(AND($CY1054&gt;0.05,$EU1054="In-situ only assumption"),"In-situ only paradox","")))</f>
        <v/>
      </c>
      <c r="FD1054" s="260" t="s">
        <v>2932</v>
      </c>
    </row>
    <row r="1055" spans="1:160" ht="15" hidden="1" customHeight="1">
      <c r="A1055" s="1" t="s">
        <v>1295</v>
      </c>
      <c r="B1055" t="s">
        <v>2203</v>
      </c>
      <c r="C1055" t="s">
        <v>2204</v>
      </c>
      <c r="D1055" t="s">
        <v>2205</v>
      </c>
      <c r="E1055" t="s">
        <v>2206</v>
      </c>
      <c r="F1055" t="s">
        <v>2207</v>
      </c>
      <c r="G1055" t="s">
        <v>1301</v>
      </c>
      <c r="H1055" t="s">
        <v>254</v>
      </c>
      <c r="I1055">
        <v>2016</v>
      </c>
      <c r="J1055">
        <v>24</v>
      </c>
      <c r="K1055" t="s">
        <v>2208</v>
      </c>
      <c r="M1055" t="str">
        <f>LEFT($D1055,FIND(",",$D1055)-1)&amp;"_"&amp;I1055&amp;L1055</f>
        <v>Zubizarreta-Gerendiain_2016</v>
      </c>
      <c r="N1055" t="s">
        <v>222</v>
      </c>
      <c r="O1055" s="145" t="s">
        <v>1029</v>
      </c>
      <c r="Q1055" t="s">
        <v>256</v>
      </c>
      <c r="R1055" s="258" t="s">
        <v>223</v>
      </c>
      <c r="S1055" s="1" t="s">
        <v>2219</v>
      </c>
      <c r="T1055" t="s">
        <v>2222</v>
      </c>
      <c r="U1055" t="s">
        <v>2211</v>
      </c>
      <c r="V1055" s="253">
        <v>0</v>
      </c>
      <c r="W1055" s="253">
        <v>0</v>
      </c>
      <c r="X1055">
        <v>0</v>
      </c>
      <c r="Y1055">
        <v>0</v>
      </c>
      <c r="Z1055">
        <v>0</v>
      </c>
      <c r="AA1055">
        <v>2</v>
      </c>
      <c r="AB1055">
        <v>0</v>
      </c>
      <c r="AC1055">
        <v>0</v>
      </c>
      <c r="AD1055">
        <v>0</v>
      </c>
      <c r="AE1055">
        <v>0</v>
      </c>
      <c r="AF1055">
        <v>0</v>
      </c>
      <c r="AG1055">
        <v>0</v>
      </c>
      <c r="AH1055">
        <v>1</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s="141">
        <f>COUNTIF(X1055:AY1055,"&lt;&gt;0")</f>
        <v>2</v>
      </c>
      <c r="BA1055" s="141">
        <f>COUNTIF(X1055:AN1055,"&lt;&gt;0")</f>
        <v>2</v>
      </c>
      <c r="BB1055">
        <f>COUNTIF(X1055:AE1055,"&lt;&gt;0")</f>
        <v>1</v>
      </c>
      <c r="BC1055">
        <f>COUNTIF(AF1055:AK1055,"&lt;&gt;0")</f>
        <v>1</v>
      </c>
      <c r="BD1055">
        <f>COUNTIF(AL1055:AN1055,"&lt;&gt;0")</f>
        <v>0</v>
      </c>
      <c r="BE1055">
        <f>COUNTIF(AU1055:AY1055,"&lt;&gt;0")</f>
        <v>0</v>
      </c>
      <c r="BF1055">
        <f>COUNTIF(AO1055:AT1055,"&lt;&gt;0")</f>
        <v>0</v>
      </c>
      <c r="BG1055" t="str">
        <f t="array" ref="BG1055">IF(BA1055=1,INDEX($X$7:$AN$7,MATCH(TRUE,INDEX($X1055:$AY1055&lt;&gt;0,),0)),IF(BA1055=0,INDEX($AO$7:$AY$7,MATCH(1,$AO1055:$AY1055,0)),IF(BH1055="Multiple strategies","mixed drivers",IF(BH1055="Supply chain","multiple supply","multiple silviculture"))))</f>
        <v>mixed drivers</v>
      </c>
      <c r="BH1055" s="2" t="str" cm="1">
        <f t="array" ref="BH1055">IF(COUNTIF(BB1055:BD1055,"&lt;&gt;0")=1,INDEX($X$4:$AY$4,MATCH(TRUE,INDEX($X1055:$AY1055&lt;&gt;0,),0)),IF(COUNTIF(BB1055:BD1055,"&lt;&gt;0")=0,INDEX($AO$4:$AY$4,MATCH(1,$AO1055:$AY1055,0)),"Multiple strategies"))</f>
        <v>Multiple strategies</v>
      </c>
      <c r="BI1055" s="1" t="s">
        <v>321</v>
      </c>
      <c r="BJ1055" t="s">
        <v>2212</v>
      </c>
      <c r="BK1055" s="260" t="s">
        <v>1919</v>
      </c>
      <c r="BL1055" t="s">
        <v>2213</v>
      </c>
      <c r="BM1055">
        <v>64.910485933503793</v>
      </c>
      <c r="BN1055">
        <v>82.946708463949804</v>
      </c>
      <c r="BO1055" s="143">
        <f>BN1055/BM1055</f>
        <v>1.2778630027346098</v>
      </c>
      <c r="BP1055">
        <f>BN1055-BM1055</f>
        <v>18.036222530446011</v>
      </c>
      <c r="BQ1055">
        <f>BP1055*1000*t_to_m3</f>
        <v>36808.617409073493</v>
      </c>
      <c r="BR1055" s="143" t="s">
        <v>232</v>
      </c>
      <c r="BS1055" s="143" t="s">
        <v>2931</v>
      </c>
      <c r="BT1055" t="s">
        <v>1070</v>
      </c>
      <c r="BU1055">
        <v>79079.294245810015</v>
      </c>
      <c r="BV1055">
        <v>-27756.76357541895</v>
      </c>
      <c r="BW1055" s="144">
        <f>IFERROR(BV1055/BU1055,"")</f>
        <v>-0.35099913119026893</v>
      </c>
      <c r="BX1055" s="144">
        <f>BV1055-BU1055</f>
        <v>-106836.05782122897</v>
      </c>
      <c r="BY1055" s="144"/>
      <c r="BZ1055" s="144">
        <f>BX1055</f>
        <v>-106836.05782122897</v>
      </c>
      <c r="CA1055">
        <f>IFERROR(BZ1055/BQ1055,"")</f>
        <v>-2.902474076488768</v>
      </c>
      <c r="CB1055">
        <v>0</v>
      </c>
      <c r="CC1055">
        <v>0</v>
      </c>
      <c r="CD1055">
        <v>0</v>
      </c>
      <c r="CE1055">
        <v>0</v>
      </c>
      <c r="CF1055">
        <v>0</v>
      </c>
      <c r="CG1055">
        <v>0</v>
      </c>
      <c r="CH1055">
        <v>0</v>
      </c>
      <c r="CI1055">
        <v>0</v>
      </c>
      <c r="CJ1055">
        <v>0</v>
      </c>
      <c r="CK1055">
        <v>0</v>
      </c>
      <c r="CL1055">
        <v>0</v>
      </c>
      <c r="CM1055">
        <v>0</v>
      </c>
      <c r="CN1055">
        <v>0</v>
      </c>
      <c r="CO1055">
        <v>1</v>
      </c>
      <c r="CP1055" t="str">
        <f>IF($BN1055&lt;$BM1055,"refNeedCorrection","refOK")</f>
        <v>refOK</v>
      </c>
      <c r="CQ1055">
        <f>IF($CP1055="refOK",$BM1055,$BN1055)</f>
        <v>64.910485933503793</v>
      </c>
      <c r="CR1055">
        <f>IF($CP1055="refOK",$BN1055,$BM1055)</f>
        <v>82.946708463949804</v>
      </c>
      <c r="CS1055">
        <f>IF($CP1055="refOK",$BQ1055,-$BQ1055)</f>
        <v>36808.617409073493</v>
      </c>
      <c r="CT1055">
        <f>IF(BI1055="Roundwood",$CS1055/2,$CS1055)</f>
        <v>18404.308704536747</v>
      </c>
      <c r="CU1055">
        <f>IF($CP1055="refOK",$BU1055,$BV1055)*IF($BR1055="Emissions positive",-1,1)</f>
        <v>79079.294245810015</v>
      </c>
      <c r="CV1055">
        <f>IF($CP1055="refOK",$BV1055,$BU1055)*IF($BR1055="Emissions positive",-1,1)</f>
        <v>-27756.76357541895</v>
      </c>
      <c r="CW1055">
        <f>IF($CP1055="refNeedCorrection",-BZ1055,BZ1055)*IF($BR1055="Emissions positive",-1,1)</f>
        <v>-106836.05782122897</v>
      </c>
      <c r="CX1055">
        <f>IFERROR($CW1055/$CS1055,"")</f>
        <v>-2.902474076488768</v>
      </c>
      <c r="CY1055">
        <f>IFERROR($CW1055/$CS1055,"")</f>
        <v>-2.902474076488768</v>
      </c>
      <c r="CZ1055">
        <f>IFERROR($CW1055/$CT1055,"")</f>
        <v>-5.804948152977536</v>
      </c>
      <c r="DA1055" s="2">
        <f>IFERROR((CV1055-CU1055)/ABS(CU1055),"")</f>
        <v>-1.3509991311902689</v>
      </c>
      <c r="DB1055" s="1" t="s">
        <v>1074</v>
      </c>
      <c r="DC1055" t="str">
        <f>IF(OR($DB1055="prd",$DB1055="std",$DB1055="cit"),"loc",IF(OR($DB1055="eur",$DB1055="reg",$DB1055="coy"),"reg",$DB1055))</f>
        <v>reg</v>
      </c>
      <c r="DD1055" t="s">
        <v>235</v>
      </c>
      <c r="DE1055">
        <v>2010</v>
      </c>
      <c r="DF1055">
        <v>2070</v>
      </c>
      <c r="DG1055">
        <f>DF1055-DE1055</f>
        <v>60</v>
      </c>
      <c r="DH1055" t="str">
        <f>IF(DG1055=0,"0",IF(AND(DG1055&gt;=1,DG1055&lt;=30),"1-30",IF(AND(DG1055&gt;30,DG1055&lt;=70),"31-70",IF(AND(DG1055&gt;70,DG1055&lt;=100),"71-100",IF(DG1055&gt;100,"+100")))))</f>
        <v>31-70</v>
      </c>
      <c r="DI1055">
        <v>1</v>
      </c>
      <c r="DJ1055">
        <v>1</v>
      </c>
      <c r="DK1055">
        <v>1</v>
      </c>
      <c r="DL1055">
        <v>1</v>
      </c>
      <c r="DM1055">
        <v>0</v>
      </c>
      <c r="DN1055">
        <f>SUM(DI1055:DL1055)</f>
        <v>4</v>
      </c>
      <c r="DO1055" t="str">
        <f>IF(DN1055=1,INDEX($DI$7:$DL$7,MATCH(1,$DI1055:$DL1055,0)),"mixedProduct")</f>
        <v>mixedProduct</v>
      </c>
      <c r="DP1055" t="str">
        <f>IF(DI1055=1,DP$7,0)</f>
        <v>Upstream</v>
      </c>
      <c r="DQ1055" t="str">
        <f>IF(DJ1055=1,DQ$7,0)</f>
        <v>Energy</v>
      </c>
      <c r="DR1055" t="str">
        <f>IF(DK1055=1,DR$7,0)</f>
        <v>Pulp/Paper</v>
      </c>
      <c r="DS1055" t="str">
        <f>IF(DL1055=1,DS$7,0)</f>
        <v>Timber</v>
      </c>
      <c r="DT1055">
        <v>0</v>
      </c>
      <c r="DU1055">
        <v>1</v>
      </c>
      <c r="DV1055" t="s">
        <v>2237</v>
      </c>
      <c r="DW1055" t="s">
        <v>2238</v>
      </c>
      <c r="DX1055">
        <v>0</v>
      </c>
      <c r="DY1055">
        <f>SUM(DT1055:DU1055)</f>
        <v>1</v>
      </c>
      <c r="DZ1055" s="143" t="str">
        <f>IF(DT1055=1,"self-calculated DF",IF(DU1055=1,"external DF used","explicit C balance"))</f>
        <v>external DF used</v>
      </c>
      <c r="EA1055">
        <v>1</v>
      </c>
      <c r="EB1055">
        <v>1</v>
      </c>
      <c r="EC1055">
        <v>1</v>
      </c>
      <c r="ED1055">
        <v>1</v>
      </c>
      <c r="EE1055">
        <v>0</v>
      </c>
      <c r="EF1055" s="143">
        <v>1</v>
      </c>
      <c r="EG1055">
        <v>1</v>
      </c>
      <c r="EH1055">
        <v>1</v>
      </c>
      <c r="EI1055">
        <v>0</v>
      </c>
      <c r="EJ1055">
        <v>0</v>
      </c>
      <c r="EK1055">
        <v>1</v>
      </c>
      <c r="EL1055">
        <v>0</v>
      </c>
      <c r="EM1055">
        <v>0</v>
      </c>
      <c r="EN1055" s="2">
        <v>0</v>
      </c>
      <c r="EP1055" t="str">
        <f>IF(AND(AND(AND(OR($EC1055=1,$EB1055=1),OR($EH1055=1,$EF1055=1)),SUM($EA1055:$EE1055,$EK1055)&gt;=3),SUM($EF1055:$EJ1055)&gt;=2),"Whole sector approach","")</f>
        <v>Whole sector approach</v>
      </c>
      <c r="EQ1055" t="str">
        <f>IF(AND(AND(OR($EC1055=1,$EB1055=1),AND($EH1055=0,$EF1055=0)),SUM($EA1055:$EE1055,$EK1055)&gt;=4),"Ecosystem approach","")</f>
        <v/>
      </c>
      <c r="ER1055" s="2" t="str">
        <f>IF(AND(AND(AND($EC1055=0,$EB1055=0),OR($EH1055=1,$EF1055=1)),SUM($EG1055:$EJ1055)&gt;=2),"Technology approach","")</f>
        <v/>
      </c>
      <c r="ES1055" t="str">
        <f>IF(AND($EC1055+$EB1055+$EE1055+$EA1055+$ED1055+$EG1055=0,$N1055="included"),"C neutral forest and HWP assumption","")</f>
        <v/>
      </c>
      <c r="ET1055" t="str">
        <f>IF(AND(AND(AND(AND($EC1055=1,$EB1055+$EA1055+$EG1055&gt;=1),$EF1055=1),$EH1055+$EI1055+$ED1055+$EE1055&gt;=2),$N1055="included"),"All C pools assumption","")</f>
        <v>All C pools assumption</v>
      </c>
      <c r="EU1055" t="str">
        <f>IF(AND($ED1055+$EE1055+$EI1055+$EH1055+$EF1055=0,$N1055="included"),"In-situ only assumption","")</f>
        <v/>
      </c>
      <c r="EW1055" t="s">
        <v>2221</v>
      </c>
      <c r="EY1055" t="str">
        <f>IF(ISNUMBER(BW1055),IF(ABS(BW1055-[2]QC_indicators!$B$2)&gt;3*[2]QC_indicators!$C$2,"C ratio",IF(ISNUMBER(CA1055),IF(ABS(CA1055-[2]QC_indicators!$B$1)&gt;3*[2]QC_indicators!$C$1,"DF","no"))),IF(ISNUMBER(CA1055),IF(ABS(CA1055-[2]QC_indicators!$B$1)&gt;3*[2]QC_indicators!$C$1,"DF","no")))</f>
        <v>no</v>
      </c>
      <c r="FA1055" t="str">
        <f>IF(LEN($CY1055)=0,"",IF(AND($CY1055&lt;(-0.05),$ES1055="C neutral forest and HWP assumption"),"Cneutral paradox",IF(AND($CY1055&gt;0.05,$EU1055="In-situ only assumption"),"In-situ only paradox","")))</f>
        <v/>
      </c>
      <c r="FD1055" s="260" t="s">
        <v>2935</v>
      </c>
    </row>
    <row r="1056" spans="1:160" ht="15" hidden="1" customHeight="1">
      <c r="A1056" s="1" t="s">
        <v>1295</v>
      </c>
      <c r="B1056" t="s">
        <v>2203</v>
      </c>
      <c r="C1056" t="s">
        <v>2204</v>
      </c>
      <c r="D1056" t="s">
        <v>2205</v>
      </c>
      <c r="E1056" t="s">
        <v>2206</v>
      </c>
      <c r="F1056" t="s">
        <v>2207</v>
      </c>
      <c r="G1056" t="s">
        <v>1301</v>
      </c>
      <c r="H1056" t="s">
        <v>254</v>
      </c>
      <c r="I1056">
        <v>2016</v>
      </c>
      <c r="J1056">
        <v>24</v>
      </c>
      <c r="K1056" t="s">
        <v>2208</v>
      </c>
      <c r="M1056" t="str">
        <f>LEFT($D1056,FIND(",",$D1056)-1)&amp;"_"&amp;I1056&amp;L1056</f>
        <v>Zubizarreta-Gerendiain_2016</v>
      </c>
      <c r="N1056" t="s">
        <v>222</v>
      </c>
      <c r="O1056" s="145" t="s">
        <v>1029</v>
      </c>
      <c r="Q1056" t="s">
        <v>256</v>
      </c>
      <c r="R1056" s="258" t="s">
        <v>223</v>
      </c>
      <c r="S1056" s="1" t="s">
        <v>2219</v>
      </c>
      <c r="T1056" t="s">
        <v>2220</v>
      </c>
      <c r="U1056" t="s">
        <v>2217</v>
      </c>
      <c r="V1056" s="253">
        <v>0</v>
      </c>
      <c r="W1056" s="253">
        <v>0</v>
      </c>
      <c r="X1056">
        <v>0</v>
      </c>
      <c r="Y1056">
        <v>0</v>
      </c>
      <c r="Z1056">
        <v>0</v>
      </c>
      <c r="AA1056">
        <v>2</v>
      </c>
      <c r="AB1056">
        <v>0</v>
      </c>
      <c r="AC1056">
        <v>0</v>
      </c>
      <c r="AD1056">
        <v>0</v>
      </c>
      <c r="AE1056">
        <v>0</v>
      </c>
      <c r="AF1056">
        <v>0</v>
      </c>
      <c r="AG1056">
        <v>0</v>
      </c>
      <c r="AH1056">
        <v>1</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s="141">
        <f>COUNTIF(X1056:AY1056,"&lt;&gt;0")</f>
        <v>2</v>
      </c>
      <c r="BA1056" s="141">
        <f>COUNTIF(X1056:AN1056,"&lt;&gt;0")</f>
        <v>2</v>
      </c>
      <c r="BB1056">
        <f>COUNTIF(X1056:AE1056,"&lt;&gt;0")</f>
        <v>1</v>
      </c>
      <c r="BC1056">
        <f>COUNTIF(AF1056:AK1056,"&lt;&gt;0")</f>
        <v>1</v>
      </c>
      <c r="BD1056">
        <f>COUNTIF(AL1056:AN1056,"&lt;&gt;0")</f>
        <v>0</v>
      </c>
      <c r="BE1056">
        <f>COUNTIF(AU1056:AY1056,"&lt;&gt;0")</f>
        <v>0</v>
      </c>
      <c r="BF1056">
        <f>COUNTIF(AO1056:AT1056,"&lt;&gt;0")</f>
        <v>0</v>
      </c>
      <c r="BG1056" t="str">
        <f t="array" ref="BG1056">IF(BA1056=1,INDEX($X$7:$AN$7,MATCH(TRUE,INDEX($X1056:$AY1056&lt;&gt;0,),0)),IF(BA1056=0,INDEX($AO$7:$AY$7,MATCH(1,$AO1056:$AY1056,0)),IF(BH1056="Multiple strategies","mixed drivers",IF(BH1056="Supply chain","multiple supply","multiple silviculture"))))</f>
        <v>mixed drivers</v>
      </c>
      <c r="BH1056" s="2" t="str" cm="1">
        <f t="array" ref="BH1056">IF(COUNTIF(BB1056:BD1056,"&lt;&gt;0")=1,INDEX($X$4:$AY$4,MATCH(TRUE,INDEX($X1056:$AY1056&lt;&gt;0,),0)),IF(COUNTIF(BB1056:BD1056,"&lt;&gt;0")=0,INDEX($AO$4:$AY$4,MATCH(1,$AO1056:$AY1056,0)),"Multiple strategies"))</f>
        <v>Multiple strategies</v>
      </c>
      <c r="BI1056" s="1" t="s">
        <v>321</v>
      </c>
      <c r="BJ1056" t="s">
        <v>2212</v>
      </c>
      <c r="BK1056" s="260" t="s">
        <v>1919</v>
      </c>
      <c r="BL1056" t="s">
        <v>2213</v>
      </c>
      <c r="BM1056">
        <v>64.910485933503793</v>
      </c>
      <c r="BN1056">
        <v>82.634271099744197</v>
      </c>
      <c r="BO1056" s="143">
        <f>BN1056/BM1056</f>
        <v>1.273049645390071</v>
      </c>
      <c r="BP1056">
        <f>BN1056-BM1056</f>
        <v>17.723785166240404</v>
      </c>
      <c r="BQ1056">
        <f>BP1056*1000*t_to_m3</f>
        <v>36170.990135184496</v>
      </c>
      <c r="BR1056" s="143" t="s">
        <v>232</v>
      </c>
      <c r="BS1056" s="143" t="s">
        <v>2931</v>
      </c>
      <c r="BT1056" t="s">
        <v>1070</v>
      </c>
      <c r="BU1056">
        <v>120401.57301704831</v>
      </c>
      <c r="BV1056">
        <v>12625.588954781248</v>
      </c>
      <c r="BW1056" s="144">
        <f>IFERROR(BV1056/BU1056,"")</f>
        <v>0.10486232561923026</v>
      </c>
      <c r="BX1056" s="144">
        <f>BV1056-BU1056</f>
        <v>-107775.98406226706</v>
      </c>
      <c r="BY1056" s="144"/>
      <c r="BZ1056" s="144">
        <f>BX1056</f>
        <v>-107775.98406226706</v>
      </c>
      <c r="CA1056">
        <f>IFERROR(BZ1056/BQ1056,"")</f>
        <v>-2.9796249331154043</v>
      </c>
      <c r="CB1056">
        <v>0</v>
      </c>
      <c r="CC1056">
        <v>0</v>
      </c>
      <c r="CD1056">
        <v>0</v>
      </c>
      <c r="CE1056">
        <v>0</v>
      </c>
      <c r="CF1056">
        <v>0</v>
      </c>
      <c r="CG1056">
        <v>0</v>
      </c>
      <c r="CH1056">
        <v>0</v>
      </c>
      <c r="CI1056">
        <v>0</v>
      </c>
      <c r="CJ1056">
        <v>0</v>
      </c>
      <c r="CK1056">
        <v>0</v>
      </c>
      <c r="CL1056">
        <v>0</v>
      </c>
      <c r="CM1056">
        <v>0</v>
      </c>
      <c r="CN1056">
        <v>0</v>
      </c>
      <c r="CO1056">
        <v>1</v>
      </c>
      <c r="CP1056" t="str">
        <f>IF($BN1056&lt;$BM1056,"refNeedCorrection","refOK")</f>
        <v>refOK</v>
      </c>
      <c r="CQ1056">
        <f>IF($CP1056="refOK",$BM1056,$BN1056)</f>
        <v>64.910485933503793</v>
      </c>
      <c r="CR1056">
        <f>IF($CP1056="refOK",$BN1056,$BM1056)</f>
        <v>82.634271099744197</v>
      </c>
      <c r="CS1056">
        <f>IF($CP1056="refOK",$BQ1056,-$BQ1056)</f>
        <v>36170.990135184496</v>
      </c>
      <c r="CT1056">
        <f>IF(BI1056="Roundwood",$CS1056/2,$CS1056)</f>
        <v>18085.495067592248</v>
      </c>
      <c r="CU1056">
        <f>IF($CP1056="refOK",$BU1056,$BV1056)*IF($BR1056="Emissions positive",-1,1)</f>
        <v>120401.57301704831</v>
      </c>
      <c r="CV1056">
        <f>IF($CP1056="refOK",$BV1056,$BU1056)*IF($BR1056="Emissions positive",-1,1)</f>
        <v>12625.588954781248</v>
      </c>
      <c r="CW1056">
        <f>IF($CP1056="refNeedCorrection",-BZ1056,BZ1056)*IF($BR1056="Emissions positive",-1,1)</f>
        <v>-107775.98406226706</v>
      </c>
      <c r="CX1056">
        <f>IFERROR($CW1056/$CS1056,"")</f>
        <v>-2.9796249331154043</v>
      </c>
      <c r="CY1056">
        <f>IFERROR($CW1056/$CS1056,"")</f>
        <v>-2.9796249331154043</v>
      </c>
      <c r="CZ1056">
        <f>IFERROR($CW1056/$CT1056,"")</f>
        <v>-5.9592498662308087</v>
      </c>
      <c r="DA1056" s="2">
        <f>IFERROR((CV1056-CU1056)/ABS(CU1056),"")</f>
        <v>-0.89513767438076963</v>
      </c>
      <c r="DB1056" s="1" t="s">
        <v>1074</v>
      </c>
      <c r="DC1056" t="str">
        <f>IF(OR($DB1056="prd",$DB1056="std",$DB1056="cit"),"loc",IF(OR($DB1056="eur",$DB1056="reg",$DB1056="coy"),"reg",$DB1056))</f>
        <v>reg</v>
      </c>
      <c r="DD1056" t="s">
        <v>235</v>
      </c>
      <c r="DE1056">
        <v>2010</v>
      </c>
      <c r="DF1056">
        <v>2070</v>
      </c>
      <c r="DG1056">
        <f>DF1056-DE1056</f>
        <v>60</v>
      </c>
      <c r="DH1056" t="str">
        <f>IF(DG1056=0,"0",IF(AND(DG1056&gt;=1,DG1056&lt;=30),"1-30",IF(AND(DG1056&gt;30,DG1056&lt;=70),"31-70",IF(AND(DG1056&gt;70,DG1056&lt;=100),"71-100",IF(DG1056&gt;100,"+100")))))</f>
        <v>31-70</v>
      </c>
      <c r="DI1056">
        <v>1</v>
      </c>
      <c r="DJ1056">
        <v>1</v>
      </c>
      <c r="DK1056">
        <v>1</v>
      </c>
      <c r="DL1056">
        <v>1</v>
      </c>
      <c r="DM1056">
        <v>0</v>
      </c>
      <c r="DN1056">
        <f>SUM(DI1056:DL1056)</f>
        <v>4</v>
      </c>
      <c r="DO1056" t="str">
        <f>IF(DN1056=1,INDEX($DI$7:$DL$7,MATCH(1,$DI1056:$DL1056,0)),"mixedProduct")</f>
        <v>mixedProduct</v>
      </c>
      <c r="DP1056" t="str">
        <f>IF(DI1056=1,DP$7,0)</f>
        <v>Upstream</v>
      </c>
      <c r="DQ1056" t="str">
        <f>IF(DJ1056=1,DQ$7,0)</f>
        <v>Energy</v>
      </c>
      <c r="DR1056" t="str">
        <f>IF(DK1056=1,DR$7,0)</f>
        <v>Pulp/Paper</v>
      </c>
      <c r="DS1056" t="str">
        <f>IF(DL1056=1,DS$7,0)</f>
        <v>Timber</v>
      </c>
      <c r="DT1056">
        <v>0</v>
      </c>
      <c r="DU1056">
        <v>1</v>
      </c>
      <c r="DV1056" t="s">
        <v>2237</v>
      </c>
      <c r="DW1056" t="s">
        <v>2238</v>
      </c>
      <c r="DX1056">
        <v>0</v>
      </c>
      <c r="DY1056">
        <f>SUM(DT1056:DU1056)</f>
        <v>1</v>
      </c>
      <c r="DZ1056" s="143" t="str">
        <f>IF(DT1056=1,"self-calculated DF",IF(DU1056=1,"external DF used","explicit C balance"))</f>
        <v>external DF used</v>
      </c>
      <c r="EA1056">
        <v>1</v>
      </c>
      <c r="EB1056">
        <v>1</v>
      </c>
      <c r="EC1056">
        <v>1</v>
      </c>
      <c r="ED1056">
        <v>1</v>
      </c>
      <c r="EE1056">
        <v>0</v>
      </c>
      <c r="EF1056" s="143">
        <v>1</v>
      </c>
      <c r="EG1056">
        <v>1</v>
      </c>
      <c r="EH1056">
        <v>1</v>
      </c>
      <c r="EI1056">
        <v>0</v>
      </c>
      <c r="EJ1056">
        <v>0</v>
      </c>
      <c r="EK1056">
        <v>1</v>
      </c>
      <c r="EL1056">
        <v>0</v>
      </c>
      <c r="EM1056">
        <v>0</v>
      </c>
      <c r="EN1056" s="2">
        <v>0</v>
      </c>
      <c r="EP1056" t="str">
        <f>IF(AND(AND(AND(OR($EC1056=1,$EB1056=1),OR($EH1056=1,$EF1056=1)),SUM($EA1056:$EE1056,$EK1056)&gt;=3),SUM($EF1056:$EJ1056)&gt;=2),"Whole sector approach","")</f>
        <v>Whole sector approach</v>
      </c>
      <c r="EQ1056" t="str">
        <f>IF(AND(AND(OR($EC1056=1,$EB1056=1),AND($EH1056=0,$EF1056=0)),SUM($EA1056:$EE1056,$EK1056)&gt;=4),"Ecosystem approach","")</f>
        <v/>
      </c>
      <c r="ER1056" s="2" t="str">
        <f>IF(AND(AND(AND($EC1056=0,$EB1056=0),OR($EH1056=1,$EF1056=1)),SUM($EG1056:$EJ1056)&gt;=2),"Technology approach","")</f>
        <v/>
      </c>
      <c r="ES1056" t="str">
        <f>IF(AND($EC1056+$EB1056+$EE1056+$EA1056+$ED1056+$EG1056=0,$N1056="included"),"C neutral forest and HWP assumption","")</f>
        <v/>
      </c>
      <c r="ET1056" t="str">
        <f>IF(AND(AND(AND(AND($EC1056=1,$EB1056+$EA1056+$EG1056&gt;=1),$EF1056=1),$EH1056+$EI1056+$ED1056+$EE1056&gt;=2),$N1056="included"),"All C pools assumption","")</f>
        <v>All C pools assumption</v>
      </c>
      <c r="EU1056" t="str">
        <f>IF(AND($ED1056+$EE1056+$EI1056+$EH1056+$EF1056=0,$N1056="included"),"In-situ only assumption","")</f>
        <v/>
      </c>
      <c r="EW1056" t="s">
        <v>2221</v>
      </c>
      <c r="EY1056" t="str">
        <f>IF(ISNUMBER(BW1056),IF(ABS(BW1056-[2]QC_indicators!$B$2)&gt;3*[2]QC_indicators!$C$2,"C ratio",IF(ISNUMBER(CA1056),IF(ABS(CA1056-[2]QC_indicators!$B$1)&gt;3*[2]QC_indicators!$C$1,"DF","no"))),IF(ISNUMBER(CA1056),IF(ABS(CA1056-[2]QC_indicators!$B$1)&gt;3*[2]QC_indicators!$C$1,"DF","no")))</f>
        <v>no</v>
      </c>
      <c r="FA1056" t="str">
        <f>IF(LEN($CY1056)=0,"",IF(AND($CY1056&lt;(-0.05),$ES1056="C neutral forest and HWP assumption"),"Cneutral paradox",IF(AND($CY1056&gt;0.05,$EU1056="In-situ only assumption"),"In-situ only paradox","")))</f>
        <v/>
      </c>
      <c r="FD1056" s="260" t="s">
        <v>2935</v>
      </c>
    </row>
    <row r="1057" spans="1:160" ht="15" hidden="1" customHeight="1">
      <c r="A1057" s="1" t="s">
        <v>1295</v>
      </c>
      <c r="B1057" t="s">
        <v>2203</v>
      </c>
      <c r="C1057" t="s">
        <v>2204</v>
      </c>
      <c r="D1057" t="s">
        <v>2205</v>
      </c>
      <c r="E1057" t="s">
        <v>2206</v>
      </c>
      <c r="F1057" t="s">
        <v>2207</v>
      </c>
      <c r="G1057" t="s">
        <v>1301</v>
      </c>
      <c r="H1057" t="s">
        <v>254</v>
      </c>
      <c r="I1057">
        <v>2016</v>
      </c>
      <c r="J1057">
        <v>24</v>
      </c>
      <c r="K1057" t="s">
        <v>2208</v>
      </c>
      <c r="M1057" t="str">
        <f>LEFT($D1057,FIND(",",$D1057)-1)&amp;"_"&amp;I1057&amp;L1057</f>
        <v>Zubizarreta-Gerendiain_2016</v>
      </c>
      <c r="N1057" t="s">
        <v>222</v>
      </c>
      <c r="O1057" s="145" t="s">
        <v>1029</v>
      </c>
      <c r="Q1057" t="s">
        <v>256</v>
      </c>
      <c r="R1057" s="258" t="s">
        <v>223</v>
      </c>
      <c r="S1057" s="1" t="s">
        <v>2219</v>
      </c>
      <c r="T1057" t="s">
        <v>2222</v>
      </c>
      <c r="U1057" t="s">
        <v>2211</v>
      </c>
      <c r="V1057" s="253">
        <v>0</v>
      </c>
      <c r="W1057" s="253">
        <v>0</v>
      </c>
      <c r="X1057">
        <v>0</v>
      </c>
      <c r="Y1057">
        <v>0</v>
      </c>
      <c r="Z1057">
        <v>0</v>
      </c>
      <c r="AA1057">
        <v>2</v>
      </c>
      <c r="AB1057">
        <v>0</v>
      </c>
      <c r="AC1057">
        <v>0</v>
      </c>
      <c r="AD1057">
        <v>0</v>
      </c>
      <c r="AE1057">
        <v>0</v>
      </c>
      <c r="AF1057">
        <v>0</v>
      </c>
      <c r="AG1057">
        <v>0</v>
      </c>
      <c r="AH1057">
        <v>1</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s="141">
        <f>COUNTIF(X1057:AY1057,"&lt;&gt;0")</f>
        <v>2</v>
      </c>
      <c r="BA1057" s="141">
        <f>COUNTIF(X1057:AN1057,"&lt;&gt;0")</f>
        <v>2</v>
      </c>
      <c r="BB1057">
        <f>COUNTIF(X1057:AE1057,"&lt;&gt;0")</f>
        <v>1</v>
      </c>
      <c r="BC1057">
        <f>COUNTIF(AF1057:AK1057,"&lt;&gt;0")</f>
        <v>1</v>
      </c>
      <c r="BD1057">
        <f>COUNTIF(AL1057:AN1057,"&lt;&gt;0")</f>
        <v>0</v>
      </c>
      <c r="BE1057">
        <f>COUNTIF(AU1057:AY1057,"&lt;&gt;0")</f>
        <v>0</v>
      </c>
      <c r="BF1057">
        <f>COUNTIF(AO1057:AT1057,"&lt;&gt;0")</f>
        <v>0</v>
      </c>
      <c r="BG1057" t="str">
        <f t="array" ref="BG1057">IF(BA1057=1,INDEX($X$7:$AN$7,MATCH(TRUE,INDEX($X1057:$AY1057&lt;&gt;0,),0)),IF(BA1057=0,INDEX($AO$7:$AY$7,MATCH(1,$AO1057:$AY1057,0)),IF(BH1057="Multiple strategies","mixed drivers",IF(BH1057="Supply chain","multiple supply","multiple silviculture"))))</f>
        <v>mixed drivers</v>
      </c>
      <c r="BH1057" s="2" t="str" cm="1">
        <f t="array" ref="BH1057">IF(COUNTIF(BB1057:BD1057,"&lt;&gt;0")=1,INDEX($X$4:$AY$4,MATCH(TRUE,INDEX($X1057:$AY1057&lt;&gt;0,),0)),IF(COUNTIF(BB1057:BD1057,"&lt;&gt;0")=0,INDEX($AO$4:$AY$4,MATCH(1,$AO1057:$AY1057,0)),"Multiple strategies"))</f>
        <v>Multiple strategies</v>
      </c>
      <c r="BI1057" s="1" t="s">
        <v>321</v>
      </c>
      <c r="BJ1057" t="s">
        <v>2212</v>
      </c>
      <c r="BK1057" s="260" t="s">
        <v>1919</v>
      </c>
      <c r="BL1057" t="s">
        <v>2213</v>
      </c>
      <c r="BM1057">
        <v>64.910485933503793</v>
      </c>
      <c r="BN1057">
        <v>82.946708463949804</v>
      </c>
      <c r="BO1057" s="143">
        <f>BN1057/BM1057</f>
        <v>1.2778630027346098</v>
      </c>
      <c r="BP1057">
        <f>BN1057-BM1057</f>
        <v>18.036222530446011</v>
      </c>
      <c r="BQ1057">
        <f>BP1057*1000*t_to_m3</f>
        <v>36808.617409073493</v>
      </c>
      <c r="BR1057" s="143" t="s">
        <v>232</v>
      </c>
      <c r="BS1057" s="143" t="s">
        <v>2931</v>
      </c>
      <c r="BT1057" t="s">
        <v>1070</v>
      </c>
      <c r="BU1057">
        <v>-4328.4062011172464</v>
      </c>
      <c r="BV1057">
        <v>-114599.70703910608</v>
      </c>
      <c r="BW1057" s="144">
        <f>IFERROR(BV1057/BU1057,"")</f>
        <v>26.476190476190904</v>
      </c>
      <c r="BX1057" s="144">
        <f>BV1057-BU1057</f>
        <v>-110271.30083798883</v>
      </c>
      <c r="BY1057" s="144"/>
      <c r="BZ1057" s="144">
        <f>BX1057</f>
        <v>-110271.30083798883</v>
      </c>
      <c r="CA1057">
        <f>IFERROR(BZ1057/BQ1057,"")</f>
        <v>-2.995801217211882</v>
      </c>
      <c r="CB1057">
        <v>0</v>
      </c>
      <c r="CC1057">
        <v>0</v>
      </c>
      <c r="CD1057">
        <v>0</v>
      </c>
      <c r="CE1057">
        <v>0</v>
      </c>
      <c r="CF1057">
        <v>0</v>
      </c>
      <c r="CG1057">
        <v>0</v>
      </c>
      <c r="CH1057">
        <v>0</v>
      </c>
      <c r="CI1057">
        <v>0</v>
      </c>
      <c r="CJ1057">
        <v>0</v>
      </c>
      <c r="CK1057">
        <v>0</v>
      </c>
      <c r="CL1057">
        <v>0</v>
      </c>
      <c r="CM1057">
        <v>0</v>
      </c>
      <c r="CN1057">
        <v>0</v>
      </c>
      <c r="CO1057">
        <v>1</v>
      </c>
      <c r="CP1057" t="str">
        <f>IF($BN1057&lt;$BM1057,"refNeedCorrection","refOK")</f>
        <v>refOK</v>
      </c>
      <c r="CQ1057">
        <f>IF($CP1057="refOK",$BM1057,$BN1057)</f>
        <v>64.910485933503793</v>
      </c>
      <c r="CR1057">
        <f>IF($CP1057="refOK",$BN1057,$BM1057)</f>
        <v>82.946708463949804</v>
      </c>
      <c r="CS1057">
        <f>IF($CP1057="refOK",$BQ1057,-$BQ1057)</f>
        <v>36808.617409073493</v>
      </c>
      <c r="CT1057">
        <f>IF(BI1057="Roundwood",$CS1057/2,$CS1057)</f>
        <v>18404.308704536747</v>
      </c>
      <c r="CU1057">
        <f>IF($CP1057="refOK",$BU1057,$BV1057)*IF($BR1057="Emissions positive",-1,1)</f>
        <v>-4328.4062011172464</v>
      </c>
      <c r="CV1057">
        <f>IF($CP1057="refOK",$BV1057,$BU1057)*IF($BR1057="Emissions positive",-1,1)</f>
        <v>-114599.70703910608</v>
      </c>
      <c r="CW1057">
        <f>IF($CP1057="refNeedCorrection",-BZ1057,BZ1057)*IF($BR1057="Emissions positive",-1,1)</f>
        <v>-110271.30083798883</v>
      </c>
      <c r="CX1057">
        <f>IFERROR($CW1057/$CS1057,"")</f>
        <v>-2.995801217211882</v>
      </c>
      <c r="CY1057">
        <f>IFERROR($CW1057/$CS1057,"")</f>
        <v>-2.995801217211882</v>
      </c>
      <c r="CZ1057">
        <f>IFERROR($CW1057/$CT1057,"")</f>
        <v>-5.9916024344237639</v>
      </c>
      <c r="DA1057" s="2">
        <f>IFERROR((CV1057-CU1057)/ABS(CU1057),"")</f>
        <v>-25.476190476190901</v>
      </c>
      <c r="DB1057" s="1" t="s">
        <v>1074</v>
      </c>
      <c r="DC1057" t="str">
        <f>IF(OR($DB1057="prd",$DB1057="std",$DB1057="cit"),"loc",IF(OR($DB1057="eur",$DB1057="reg",$DB1057="coy"),"reg",$DB1057))</f>
        <v>reg</v>
      </c>
      <c r="DD1057" t="s">
        <v>235</v>
      </c>
      <c r="DE1057">
        <v>2010</v>
      </c>
      <c r="DF1057">
        <v>2070</v>
      </c>
      <c r="DG1057">
        <f>DF1057-DE1057</f>
        <v>60</v>
      </c>
      <c r="DH1057" t="str">
        <f>IF(DG1057=0,"0",IF(AND(DG1057&gt;=1,DG1057&lt;=30),"1-30",IF(AND(DG1057&gt;30,DG1057&lt;=70),"31-70",IF(AND(DG1057&gt;70,DG1057&lt;=100),"71-100",IF(DG1057&gt;100,"+100")))))</f>
        <v>31-70</v>
      </c>
      <c r="DI1057">
        <v>1</v>
      </c>
      <c r="DJ1057">
        <v>1</v>
      </c>
      <c r="DK1057">
        <v>1</v>
      </c>
      <c r="DL1057">
        <v>1</v>
      </c>
      <c r="DM1057">
        <v>0</v>
      </c>
      <c r="DN1057">
        <f>SUM(DI1057:DL1057)</f>
        <v>4</v>
      </c>
      <c r="DO1057" t="str">
        <f>IF(DN1057=1,INDEX($DI$7:$DL$7,MATCH(1,$DI1057:$DL1057,0)),"mixedProduct")</f>
        <v>mixedProduct</v>
      </c>
      <c r="DP1057" t="str">
        <f>IF(DI1057=1,DP$7,0)</f>
        <v>Upstream</v>
      </c>
      <c r="DQ1057" t="str">
        <f>IF(DJ1057=1,DQ$7,0)</f>
        <v>Energy</v>
      </c>
      <c r="DR1057" t="str">
        <f>IF(DK1057=1,DR$7,0)</f>
        <v>Pulp/Paper</v>
      </c>
      <c r="DS1057" t="str">
        <f>IF(DL1057=1,DS$7,0)</f>
        <v>Timber</v>
      </c>
      <c r="DT1057">
        <v>0</v>
      </c>
      <c r="DU1057">
        <v>0</v>
      </c>
      <c r="DV1057">
        <v>0</v>
      </c>
      <c r="DW1057">
        <v>0</v>
      </c>
      <c r="DX1057">
        <v>0</v>
      </c>
      <c r="DY1057">
        <f>SUM(DT1057:DU1057)</f>
        <v>0</v>
      </c>
      <c r="DZ1057" s="143" t="str">
        <f>IF(DT1057=1,"self-calculated DF",IF(DU1057=1,"external DF used","explicit C balance"))</f>
        <v>explicit C balance</v>
      </c>
      <c r="EA1057">
        <v>1</v>
      </c>
      <c r="EB1057">
        <v>1</v>
      </c>
      <c r="EC1057">
        <v>1</v>
      </c>
      <c r="ED1057">
        <v>0</v>
      </c>
      <c r="EE1057">
        <v>0</v>
      </c>
      <c r="EF1057" s="143">
        <v>0</v>
      </c>
      <c r="EG1057">
        <v>1</v>
      </c>
      <c r="EH1057">
        <v>1</v>
      </c>
      <c r="EI1057">
        <v>0</v>
      </c>
      <c r="EJ1057">
        <v>0</v>
      </c>
      <c r="EK1057">
        <v>1</v>
      </c>
      <c r="EL1057">
        <v>0</v>
      </c>
      <c r="EM1057">
        <v>0</v>
      </c>
      <c r="EN1057" s="2">
        <v>0</v>
      </c>
      <c r="EP1057" t="str">
        <f>IF(AND(AND(AND(OR($EC1057=1,$EB1057=1),OR($EH1057=1,$EF1057=1)),SUM($EA1057:$EE1057,$EK1057)&gt;=3),SUM($EF1057:$EJ1057)&gt;=2),"Whole sector approach","")</f>
        <v>Whole sector approach</v>
      </c>
      <c r="EQ1057" t="str">
        <f>IF(AND(AND(OR($EC1057=1,$EB1057=1),AND($EH1057=0,$EF1057=0)),SUM($EA1057:$EE1057,$EK1057)&gt;=4),"Ecosystem approach","")</f>
        <v/>
      </c>
      <c r="ER1057" s="2" t="str">
        <f>IF(AND(AND(AND($EC1057=0,$EB1057=0),OR($EH1057=1,$EF1057=1)),SUM($EG1057:$EJ1057)&gt;=2),"Technology approach","")</f>
        <v/>
      </c>
      <c r="ES1057" t="str">
        <f>IF(AND($EC1057+$EB1057+$EE1057+$EA1057+$ED1057+$EG1057=0,$N1057="included"),"C neutral forest and HWP assumption","")</f>
        <v/>
      </c>
      <c r="ET1057" t="str">
        <f>IF(AND(AND(AND(AND($EC1057=1,$EB1057+$EA1057+$EG1057&gt;=1),$EF1057=1),$EH1057+$EI1057+$ED1057+$EE1057&gt;=2),$N1057="included"),"All C pools assumption","")</f>
        <v/>
      </c>
      <c r="EU1057" t="str">
        <f>IF(AND($ED1057+$EE1057+$EI1057+$EH1057+$EF1057=0,$N1057="included"),"In-situ only assumption","")</f>
        <v/>
      </c>
      <c r="EW1057" t="s">
        <v>2221</v>
      </c>
      <c r="EY1057" t="str">
        <f>IF(ISNUMBER(BW1057),IF(ABS(BW1057-[2]QC_indicators!$B$2)&gt;3*[2]QC_indicators!$C$2,"C ratio",IF(ISNUMBER(CA1057),IF(ABS(CA1057-[2]QC_indicators!$B$1)&gt;3*[2]QC_indicators!$C$1,"DF","no"))),IF(ISNUMBER(CA1057),IF(ABS(CA1057-[2]QC_indicators!$B$1)&gt;3*[2]QC_indicators!$C$1,"DF","no")))</f>
        <v>C ratio</v>
      </c>
      <c r="EZ1057" t="s">
        <v>2214</v>
      </c>
      <c r="FA1057" t="str">
        <f>IF(LEN($CY1057)=0,"",IF(AND($CY1057&lt;(-0.05),$ES1057="C neutral forest and HWP assumption"),"Cneutral paradox",IF(AND($CY1057&gt;0.05,$EU1057="In-situ only assumption"),"In-situ only paradox","")))</f>
        <v/>
      </c>
      <c r="FD1057" s="260" t="s">
        <v>2932</v>
      </c>
    </row>
    <row r="1058" spans="1:160" ht="15" hidden="1" customHeight="1">
      <c r="A1058" s="1" t="s">
        <v>1295</v>
      </c>
      <c r="B1058" t="s">
        <v>2203</v>
      </c>
      <c r="C1058" t="s">
        <v>2204</v>
      </c>
      <c r="D1058" t="s">
        <v>2205</v>
      </c>
      <c r="E1058" t="s">
        <v>2206</v>
      </c>
      <c r="F1058" t="s">
        <v>2207</v>
      </c>
      <c r="G1058" t="s">
        <v>1301</v>
      </c>
      <c r="H1058" t="s">
        <v>254</v>
      </c>
      <c r="I1058">
        <v>2016</v>
      </c>
      <c r="J1058">
        <v>24</v>
      </c>
      <c r="K1058" t="s">
        <v>2208</v>
      </c>
      <c r="M1058" t="str">
        <f>LEFT($D1058,FIND(",",$D1058)-1)&amp;"_"&amp;I1058&amp;L1058</f>
        <v>Zubizarreta-Gerendiain_2016</v>
      </c>
      <c r="N1058" t="s">
        <v>222</v>
      </c>
      <c r="O1058" s="145" t="s">
        <v>1029</v>
      </c>
      <c r="Q1058" t="s">
        <v>256</v>
      </c>
      <c r="R1058" s="258" t="s">
        <v>223</v>
      </c>
      <c r="S1058" s="1" t="s">
        <v>2209</v>
      </c>
      <c r="T1058" t="s">
        <v>2216</v>
      </c>
      <c r="U1058" t="s">
        <v>2217</v>
      </c>
      <c r="V1058" s="253">
        <v>0</v>
      </c>
      <c r="W1058" s="253">
        <v>0</v>
      </c>
      <c r="X1058">
        <v>0</v>
      </c>
      <c r="Y1058">
        <v>0</v>
      </c>
      <c r="Z1058">
        <v>0</v>
      </c>
      <c r="AA1058">
        <v>2</v>
      </c>
      <c r="AB1058">
        <v>0</v>
      </c>
      <c r="AC1058">
        <v>0</v>
      </c>
      <c r="AD1058">
        <v>0</v>
      </c>
      <c r="AE1058">
        <v>0</v>
      </c>
      <c r="AF1058">
        <v>0</v>
      </c>
      <c r="AG1058">
        <v>0</v>
      </c>
      <c r="AH1058">
        <v>1</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s="141">
        <f>COUNTIF(X1058:AY1058,"&lt;&gt;0")</f>
        <v>2</v>
      </c>
      <c r="BA1058" s="141">
        <f>COUNTIF(X1058:AN1058,"&lt;&gt;0")</f>
        <v>2</v>
      </c>
      <c r="BB1058">
        <f>COUNTIF(X1058:AE1058,"&lt;&gt;0")</f>
        <v>1</v>
      </c>
      <c r="BC1058">
        <f>COUNTIF(AF1058:AK1058,"&lt;&gt;0")</f>
        <v>1</v>
      </c>
      <c r="BD1058">
        <f>COUNTIF(AL1058:AN1058,"&lt;&gt;0")</f>
        <v>0</v>
      </c>
      <c r="BE1058">
        <f>COUNTIF(AU1058:AY1058,"&lt;&gt;0")</f>
        <v>0</v>
      </c>
      <c r="BF1058">
        <f>COUNTIF(AO1058:AT1058,"&lt;&gt;0")</f>
        <v>0</v>
      </c>
      <c r="BG1058" t="str">
        <f t="array" ref="BG1058">IF(BA1058=1,INDEX($X$7:$AN$7,MATCH(TRUE,INDEX($X1058:$AY1058&lt;&gt;0,),0)),IF(BA1058=0,INDEX($AO$7:$AY$7,MATCH(1,$AO1058:$AY1058,0)),IF(BH1058="Multiple strategies","mixed drivers",IF(BH1058="Supply chain","multiple supply","multiple silviculture"))))</f>
        <v>mixed drivers</v>
      </c>
      <c r="BH1058" s="2" t="str" cm="1">
        <f t="array" ref="BH1058">IF(COUNTIF(BB1058:BD1058,"&lt;&gt;0")=1,INDEX($X$4:$AY$4,MATCH(TRUE,INDEX($X1058:$AY1058&lt;&gt;0,),0)),IF(COUNTIF(BB1058:BD1058,"&lt;&gt;0")=0,INDEX($AO$4:$AY$4,MATCH(1,$AO1058:$AY1058,0)),"Multiple strategies"))</f>
        <v>Multiple strategies</v>
      </c>
      <c r="BI1058" s="1" t="s">
        <v>321</v>
      </c>
      <c r="BJ1058" t="s">
        <v>2212</v>
      </c>
      <c r="BK1058" s="260" t="s">
        <v>1919</v>
      </c>
      <c r="BL1058" t="s">
        <v>2213</v>
      </c>
      <c r="BM1058">
        <v>74.117647058823493</v>
      </c>
      <c r="BN1058">
        <v>82.634271099744197</v>
      </c>
      <c r="BO1058" s="143">
        <f>BN1058/BM1058</f>
        <v>1.1149068322981366</v>
      </c>
      <c r="BP1058">
        <f>BN1058-BM1058</f>
        <v>8.5166240409207035</v>
      </c>
      <c r="BQ1058">
        <f>BP1058*1000*t_to_m3</f>
        <v>17380.865389634091</v>
      </c>
      <c r="BR1058" t="s">
        <v>232</v>
      </c>
      <c r="BS1058" s="143" t="s">
        <v>2931</v>
      </c>
      <c r="BT1058" t="s">
        <v>1070</v>
      </c>
      <c r="BU1058">
        <v>72024.702186804221</v>
      </c>
      <c r="BV1058">
        <v>12625.588954781248</v>
      </c>
      <c r="BW1058" s="144">
        <f>IFERROR(BV1058/BU1058,"")</f>
        <v>0.17529526081253835</v>
      </c>
      <c r="BX1058" s="144">
        <f>BV1058-BU1058</f>
        <v>-59399.113232022974</v>
      </c>
      <c r="BY1058" s="144"/>
      <c r="BZ1058" s="144">
        <f>BX1058</f>
        <v>-59399.113232022974</v>
      </c>
      <c r="CA1058">
        <f>IFERROR(BZ1058/BQ1058,"")</f>
        <v>-3.4175003315685575</v>
      </c>
      <c r="CB1058">
        <v>0</v>
      </c>
      <c r="CC1058">
        <v>0</v>
      </c>
      <c r="CD1058">
        <v>0</v>
      </c>
      <c r="CE1058">
        <v>0</v>
      </c>
      <c r="CF1058">
        <v>0</v>
      </c>
      <c r="CG1058">
        <v>0</v>
      </c>
      <c r="CH1058">
        <v>0</v>
      </c>
      <c r="CI1058">
        <v>0</v>
      </c>
      <c r="CJ1058">
        <v>0</v>
      </c>
      <c r="CK1058">
        <v>0</v>
      </c>
      <c r="CL1058">
        <v>0</v>
      </c>
      <c r="CM1058">
        <v>0</v>
      </c>
      <c r="CN1058">
        <v>0</v>
      </c>
      <c r="CO1058">
        <v>1</v>
      </c>
      <c r="CP1058" t="str">
        <f>IF($BN1058&lt;$BM1058,"refNeedCorrection","refOK")</f>
        <v>refOK</v>
      </c>
      <c r="CQ1058">
        <f>IF($CP1058="refOK",$BM1058,$BN1058)</f>
        <v>74.117647058823493</v>
      </c>
      <c r="CR1058">
        <f>IF($CP1058="refOK",$BN1058,$BM1058)</f>
        <v>82.634271099744197</v>
      </c>
      <c r="CS1058">
        <f>IF($CP1058="refOK",$BQ1058,-$BQ1058)</f>
        <v>17380.865389634091</v>
      </c>
      <c r="CT1058">
        <f>IF(BI1058="Roundwood",$CS1058/2,$CS1058)</f>
        <v>8690.4326948170456</v>
      </c>
      <c r="CU1058">
        <f>IF($CP1058="refOK",$BU1058,$BV1058)*IF($BR1058="Emissions positive",-1,1)</f>
        <v>72024.702186804221</v>
      </c>
      <c r="CV1058">
        <f>IF($CP1058="refOK",$BV1058,$BU1058)*IF($BR1058="Emissions positive",-1,1)</f>
        <v>12625.588954781248</v>
      </c>
      <c r="CW1058">
        <f>IF($CP1058="refNeedCorrection",-BZ1058,BZ1058)*IF($BR1058="Emissions positive",-1,1)</f>
        <v>-59399.113232022974</v>
      </c>
      <c r="CX1058">
        <f>IFERROR($CW1058/$CS1058,"")</f>
        <v>-3.4175003315685575</v>
      </c>
      <c r="CY1058">
        <f>IFERROR($CW1058/$CS1058,"")</f>
        <v>-3.4175003315685575</v>
      </c>
      <c r="CZ1058">
        <f>IFERROR($CW1058/$CT1058,"")</f>
        <v>-6.835000663137115</v>
      </c>
      <c r="DA1058" s="2">
        <f>IFERROR((CV1058-CU1058)/ABS(CU1058),"")</f>
        <v>-0.82470473918746168</v>
      </c>
      <c r="DB1058" s="1" t="s">
        <v>1074</v>
      </c>
      <c r="DC1058" t="str">
        <f>IF(OR($DB1058="prd",$DB1058="std",$DB1058="cit"),"loc",IF(OR($DB1058="eur",$DB1058="reg",$DB1058="coy"),"reg",$DB1058))</f>
        <v>reg</v>
      </c>
      <c r="DD1058" t="s">
        <v>235</v>
      </c>
      <c r="DE1058">
        <v>2010</v>
      </c>
      <c r="DF1058">
        <v>2070</v>
      </c>
      <c r="DG1058">
        <f>DF1058-DE1058</f>
        <v>60</v>
      </c>
      <c r="DH1058" t="str">
        <f>IF(DG1058=0,"0",IF(AND(DG1058&gt;=1,DG1058&lt;=30),"1-30",IF(AND(DG1058&gt;30,DG1058&lt;=70),"31-70",IF(AND(DG1058&gt;70,DG1058&lt;=100),"71-100",IF(DG1058&gt;100,"+100")))))</f>
        <v>31-70</v>
      </c>
      <c r="DI1058">
        <v>1</v>
      </c>
      <c r="DJ1058">
        <v>1</v>
      </c>
      <c r="DK1058">
        <v>1</v>
      </c>
      <c r="DL1058">
        <v>1</v>
      </c>
      <c r="DM1058">
        <v>0</v>
      </c>
      <c r="DN1058">
        <f>SUM(DI1058:DL1058)</f>
        <v>4</v>
      </c>
      <c r="DO1058" t="str">
        <f>IF(DN1058=1,INDEX($DI$7:$DL$7,MATCH(1,$DI1058:$DL1058,0)),"mixedProduct")</f>
        <v>mixedProduct</v>
      </c>
      <c r="DP1058" t="str">
        <f>IF(DI1058=1,DP$7,0)</f>
        <v>Upstream</v>
      </c>
      <c r="DQ1058" t="str">
        <f>IF(DJ1058=1,DQ$7,0)</f>
        <v>Energy</v>
      </c>
      <c r="DR1058" t="str">
        <f>IF(DK1058=1,DR$7,0)</f>
        <v>Pulp/Paper</v>
      </c>
      <c r="DS1058" t="str">
        <f>IF(DL1058=1,DS$7,0)</f>
        <v>Timber</v>
      </c>
      <c r="DT1058">
        <v>0</v>
      </c>
      <c r="DU1058">
        <v>1</v>
      </c>
      <c r="DV1058" t="s">
        <v>2237</v>
      </c>
      <c r="DW1058" t="s">
        <v>2238</v>
      </c>
      <c r="DX1058">
        <v>0</v>
      </c>
      <c r="DY1058">
        <f>SUM(DT1058:DU1058)</f>
        <v>1</v>
      </c>
      <c r="DZ1058" s="143" t="str">
        <f>IF(DT1058=1,"self-calculated DF",IF(DU1058=1,"external DF used","explicit C balance"))</f>
        <v>external DF used</v>
      </c>
      <c r="EA1058">
        <v>1</v>
      </c>
      <c r="EB1058">
        <v>1</v>
      </c>
      <c r="EC1058">
        <v>1</v>
      </c>
      <c r="ED1058">
        <v>1</v>
      </c>
      <c r="EE1058">
        <v>0</v>
      </c>
      <c r="EF1058" s="143">
        <v>1</v>
      </c>
      <c r="EG1058">
        <v>1</v>
      </c>
      <c r="EH1058">
        <v>1</v>
      </c>
      <c r="EI1058">
        <v>0</v>
      </c>
      <c r="EJ1058">
        <v>0</v>
      </c>
      <c r="EK1058">
        <v>1</v>
      </c>
      <c r="EL1058">
        <v>0</v>
      </c>
      <c r="EM1058">
        <v>0</v>
      </c>
      <c r="EN1058" s="2">
        <v>0</v>
      </c>
      <c r="EP1058" t="str">
        <f>IF(AND(AND(AND(OR($EC1058=1,$EB1058=1),OR($EH1058=1,$EF1058=1)),SUM($EA1058:$EE1058,$EK1058)&gt;=3),SUM($EF1058:$EJ1058)&gt;=2),"Whole sector approach","")</f>
        <v>Whole sector approach</v>
      </c>
      <c r="EQ1058" t="str">
        <f>IF(AND(AND(OR($EC1058=1,$EB1058=1),AND($EH1058=0,$EF1058=0)),SUM($EA1058:$EE1058,$EK1058)&gt;=4),"Ecosystem approach","")</f>
        <v/>
      </c>
      <c r="ER1058" s="2" t="str">
        <f>IF(AND(AND(AND($EC1058=0,$EB1058=0),OR($EH1058=1,$EF1058=1)),SUM($EG1058:$EJ1058)&gt;=2),"Technology approach","")</f>
        <v/>
      </c>
      <c r="ES1058" t="str">
        <f>IF(AND($EC1058+$EB1058+$EE1058+$EA1058+$ED1058+$EG1058=0,$N1058="included"),"C neutral forest and HWP assumption","")</f>
        <v/>
      </c>
      <c r="ET1058" t="str">
        <f>IF(AND(AND(AND(AND($EC1058=1,$EB1058+$EA1058+$EG1058&gt;=1),$EF1058=1),$EH1058+$EI1058+$ED1058+$EE1058&gt;=2),$N1058="included"),"All C pools assumption","")</f>
        <v>All C pools assumption</v>
      </c>
      <c r="EU1058" t="str">
        <f>IF(AND($ED1058+$EE1058+$EI1058+$EH1058+$EF1058=0,$N1058="included"),"In-situ only assumption","")</f>
        <v/>
      </c>
      <c r="EY1058" t="str">
        <f>IF(ISNUMBER(BW1058),IF(ABS(BW1058-[2]QC_indicators!$B$2)&gt;3*[2]QC_indicators!$C$2,"C ratio",IF(ISNUMBER(CA1058),IF(ABS(CA1058-[2]QC_indicators!$B$1)&gt;3*[2]QC_indicators!$C$1,"DF","no"))),IF(ISNUMBER(CA1058),IF(ABS(CA1058-[2]QC_indicators!$B$1)&gt;3*[2]QC_indicators!$C$1,"DF","no")))</f>
        <v>no</v>
      </c>
      <c r="FA1058" t="str">
        <f>IF(LEN($CY1058)=0,"",IF(AND($CY1058&lt;(-0.05),$ES1058="C neutral forest and HWP assumption"),"Cneutral paradox",IF(AND($CY1058&gt;0.05,$EU1058="In-situ only assumption"),"In-situ only paradox","")))</f>
        <v/>
      </c>
      <c r="FD1058" s="260" t="s">
        <v>2935</v>
      </c>
    </row>
    <row r="1059" spans="1:160" ht="18" hidden="1" customHeight="1">
      <c r="A1059" s="1" t="s">
        <v>1295</v>
      </c>
      <c r="B1059" t="s">
        <v>2203</v>
      </c>
      <c r="C1059" t="s">
        <v>2204</v>
      </c>
      <c r="D1059" t="s">
        <v>2205</v>
      </c>
      <c r="E1059" t="s">
        <v>2206</v>
      </c>
      <c r="F1059" t="s">
        <v>2207</v>
      </c>
      <c r="G1059" t="s">
        <v>1301</v>
      </c>
      <c r="H1059" t="s">
        <v>254</v>
      </c>
      <c r="I1059">
        <v>2016</v>
      </c>
      <c r="J1059">
        <v>24</v>
      </c>
      <c r="K1059" t="s">
        <v>2208</v>
      </c>
      <c r="M1059" t="str">
        <f>LEFT($D1059,FIND(",",$D1059)-1)&amp;"_"&amp;I1059&amp;L1059</f>
        <v>Zubizarreta-Gerendiain_2016</v>
      </c>
      <c r="N1059" t="s">
        <v>222</v>
      </c>
      <c r="O1059" s="145" t="s">
        <v>1029</v>
      </c>
      <c r="Q1059" t="s">
        <v>256</v>
      </c>
      <c r="R1059" s="258" t="s">
        <v>223</v>
      </c>
      <c r="S1059" s="1" t="s">
        <v>2209</v>
      </c>
      <c r="T1059" t="s">
        <v>2215</v>
      </c>
      <c r="U1059" t="s">
        <v>2211</v>
      </c>
      <c r="V1059" s="253">
        <v>0</v>
      </c>
      <c r="W1059" s="253">
        <v>0</v>
      </c>
      <c r="X1059">
        <v>0</v>
      </c>
      <c r="Y1059">
        <v>0</v>
      </c>
      <c r="Z1059">
        <v>0</v>
      </c>
      <c r="AA1059">
        <v>2</v>
      </c>
      <c r="AB1059">
        <v>0</v>
      </c>
      <c r="AC1059">
        <v>0</v>
      </c>
      <c r="AD1059">
        <v>0</v>
      </c>
      <c r="AE1059">
        <v>0</v>
      </c>
      <c r="AF1059">
        <v>0</v>
      </c>
      <c r="AG1059">
        <v>0</v>
      </c>
      <c r="AH1059">
        <v>1</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s="141">
        <f>COUNTIF(X1059:AY1059,"&lt;&gt;0")</f>
        <v>2</v>
      </c>
      <c r="BA1059" s="141">
        <f>COUNTIF(X1059:AN1059,"&lt;&gt;0")</f>
        <v>2</v>
      </c>
      <c r="BB1059">
        <f>COUNTIF(X1059:AE1059,"&lt;&gt;0")</f>
        <v>1</v>
      </c>
      <c r="BC1059">
        <f>COUNTIF(AF1059:AK1059,"&lt;&gt;0")</f>
        <v>1</v>
      </c>
      <c r="BD1059">
        <f>COUNTIF(AL1059:AN1059,"&lt;&gt;0")</f>
        <v>0</v>
      </c>
      <c r="BE1059">
        <f>COUNTIF(AU1059:AY1059,"&lt;&gt;0")</f>
        <v>0</v>
      </c>
      <c r="BF1059">
        <f>COUNTIF(AO1059:AT1059,"&lt;&gt;0")</f>
        <v>0</v>
      </c>
      <c r="BG1059" t="str">
        <f t="array" ref="BG1059">IF(BA1059=1,INDEX($X$7:$AN$7,MATCH(TRUE,INDEX($X1059:$AY1059&lt;&gt;0,),0)),IF(BA1059=0,INDEX($AO$7:$AY$7,MATCH(1,$AO1059:$AY1059,0)),IF(BH1059="Multiple strategies","mixed drivers",IF(BH1059="Supply chain","multiple supply","multiple silviculture"))))</f>
        <v>mixed drivers</v>
      </c>
      <c r="BH1059" s="2" t="str" cm="1">
        <f t="array" ref="BH1059">IF(COUNTIF(BB1059:BD1059,"&lt;&gt;0")=1,INDEX($X$4:$AY$4,MATCH(TRUE,INDEX($X1059:$AY1059&lt;&gt;0,),0)),IF(COUNTIF(BB1059:BD1059,"&lt;&gt;0")=0,INDEX($AO$4:$AY$4,MATCH(1,$AO1059:$AY1059,0)),"Multiple strategies"))</f>
        <v>Multiple strategies</v>
      </c>
      <c r="BI1059" s="1" t="s">
        <v>321</v>
      </c>
      <c r="BJ1059" t="s">
        <v>2212</v>
      </c>
      <c r="BK1059" s="260" t="s">
        <v>1919</v>
      </c>
      <c r="BL1059" t="s">
        <v>2213</v>
      </c>
      <c r="BM1059">
        <v>70.532915360501505</v>
      </c>
      <c r="BN1059">
        <v>82.946708463949804</v>
      </c>
      <c r="BO1059" s="143">
        <f>BN1059/BM1059</f>
        <v>1.1760000000000004</v>
      </c>
      <c r="BP1059">
        <f>BN1059-BM1059</f>
        <v>12.413793103448299</v>
      </c>
      <c r="BQ1059">
        <f>BP1059*1000*t_to_m3</f>
        <v>25334.271639690407</v>
      </c>
      <c r="BR1059" s="143" t="s">
        <v>232</v>
      </c>
      <c r="BS1059" s="143" t="s">
        <v>2931</v>
      </c>
      <c r="BT1059" t="s">
        <v>1070</v>
      </c>
      <c r="BU1059">
        <v>65681.846480446824</v>
      </c>
      <c r="BV1059">
        <v>-27756.76357541895</v>
      </c>
      <c r="BW1059" s="144">
        <f>IFERROR(BV1059/BU1059,"")</f>
        <v>-0.42259414225941422</v>
      </c>
      <c r="BX1059" s="144">
        <f>BV1059-BU1059</f>
        <v>-93438.610055865778</v>
      </c>
      <c r="BY1059" s="144"/>
      <c r="BZ1059" s="144">
        <f>BX1059</f>
        <v>-93438.610055865778</v>
      </c>
      <c r="CA1059">
        <f>IFERROR(BZ1059/BQ1059,"")</f>
        <v>-3.6882295802606948</v>
      </c>
      <c r="CB1059">
        <v>0</v>
      </c>
      <c r="CC1059">
        <v>0</v>
      </c>
      <c r="CD1059">
        <v>0</v>
      </c>
      <c r="CE1059">
        <v>0</v>
      </c>
      <c r="CF1059">
        <v>0</v>
      </c>
      <c r="CG1059">
        <v>0</v>
      </c>
      <c r="CH1059">
        <v>0</v>
      </c>
      <c r="CI1059">
        <v>0</v>
      </c>
      <c r="CJ1059">
        <v>0</v>
      </c>
      <c r="CK1059">
        <v>0</v>
      </c>
      <c r="CL1059">
        <v>0</v>
      </c>
      <c r="CM1059">
        <v>0</v>
      </c>
      <c r="CN1059">
        <v>0</v>
      </c>
      <c r="CO1059">
        <v>1</v>
      </c>
      <c r="CP1059" t="str">
        <f>IF($BN1059&lt;$BM1059,"refNeedCorrection","refOK")</f>
        <v>refOK</v>
      </c>
      <c r="CQ1059">
        <f>IF($CP1059="refOK",$BM1059,$BN1059)</f>
        <v>70.532915360501505</v>
      </c>
      <c r="CR1059">
        <f>IF($CP1059="refOK",$BN1059,$BM1059)</f>
        <v>82.946708463949804</v>
      </c>
      <c r="CS1059">
        <f>IF($CP1059="refOK",$BQ1059,-$BQ1059)</f>
        <v>25334.271639690407</v>
      </c>
      <c r="CT1059">
        <f>IF(BI1059="Roundwood",$CS1059/2,$CS1059)</f>
        <v>12667.135819845204</v>
      </c>
      <c r="CU1059">
        <f>IF($CP1059="refOK",$BU1059,$BV1059)*IF($BR1059="Emissions positive",-1,1)</f>
        <v>65681.846480446824</v>
      </c>
      <c r="CV1059">
        <f>IF($CP1059="refOK",$BV1059,$BU1059)*IF($BR1059="Emissions positive",-1,1)</f>
        <v>-27756.76357541895</v>
      </c>
      <c r="CW1059">
        <f>IF($CP1059="refNeedCorrection",-BZ1059,BZ1059)*IF($BR1059="Emissions positive",-1,1)</f>
        <v>-93438.610055865778</v>
      </c>
      <c r="CX1059">
        <f>IFERROR($CW1059/$CS1059,"")</f>
        <v>-3.6882295802606948</v>
      </c>
      <c r="CY1059">
        <f>IFERROR($CW1059/$CS1059,"")</f>
        <v>-3.6882295802606948</v>
      </c>
      <c r="CZ1059">
        <f>IFERROR($CW1059/$CT1059,"")</f>
        <v>-7.3764591605213896</v>
      </c>
      <c r="DA1059" s="2">
        <f>IFERROR((CV1059-CU1059)/ABS(CU1059),"")</f>
        <v>-1.4225941422594144</v>
      </c>
      <c r="DB1059" s="1" t="s">
        <v>1074</v>
      </c>
      <c r="DC1059" t="str">
        <f>IF(OR($DB1059="prd",$DB1059="std",$DB1059="cit"),"loc",IF(OR($DB1059="eur",$DB1059="reg",$DB1059="coy"),"reg",$DB1059))</f>
        <v>reg</v>
      </c>
      <c r="DD1059" t="s">
        <v>235</v>
      </c>
      <c r="DE1059">
        <v>2010</v>
      </c>
      <c r="DF1059">
        <v>2070</v>
      </c>
      <c r="DG1059">
        <f>DF1059-DE1059</f>
        <v>60</v>
      </c>
      <c r="DH1059" t="str">
        <f>IF(DG1059=0,"0",IF(AND(DG1059&gt;=1,DG1059&lt;=30),"1-30",IF(AND(DG1059&gt;30,DG1059&lt;=70),"31-70",IF(AND(DG1059&gt;70,DG1059&lt;=100),"71-100",IF(DG1059&gt;100,"+100")))))</f>
        <v>31-70</v>
      </c>
      <c r="DI1059">
        <v>1</v>
      </c>
      <c r="DJ1059">
        <v>1</v>
      </c>
      <c r="DK1059">
        <v>1</v>
      </c>
      <c r="DL1059">
        <v>1</v>
      </c>
      <c r="DM1059">
        <v>0</v>
      </c>
      <c r="DN1059">
        <f>SUM(DI1059:DL1059)</f>
        <v>4</v>
      </c>
      <c r="DO1059" t="str">
        <f>IF(DN1059=1,INDEX($DI$7:$DL$7,MATCH(1,$DI1059:$DL1059,0)),"mixedProduct")</f>
        <v>mixedProduct</v>
      </c>
      <c r="DP1059" t="str">
        <f>IF(DI1059=1,DP$7,0)</f>
        <v>Upstream</v>
      </c>
      <c r="DQ1059" t="str">
        <f>IF(DJ1059=1,DQ$7,0)</f>
        <v>Energy</v>
      </c>
      <c r="DR1059" t="str">
        <f>IF(DK1059=1,DR$7,0)</f>
        <v>Pulp/Paper</v>
      </c>
      <c r="DS1059" t="str">
        <f>IF(DL1059=1,DS$7,0)</f>
        <v>Timber</v>
      </c>
      <c r="DT1059">
        <v>0</v>
      </c>
      <c r="DU1059">
        <v>1</v>
      </c>
      <c r="DV1059" t="s">
        <v>2237</v>
      </c>
      <c r="DW1059" t="s">
        <v>2238</v>
      </c>
      <c r="DX1059">
        <v>0</v>
      </c>
      <c r="DY1059">
        <f>SUM(DT1059:DU1059)</f>
        <v>1</v>
      </c>
      <c r="DZ1059" s="143" t="str">
        <f>IF(DT1059=1,"self-calculated DF",IF(DU1059=1,"external DF used","explicit C balance"))</f>
        <v>external DF used</v>
      </c>
      <c r="EA1059">
        <v>1</v>
      </c>
      <c r="EB1059">
        <v>1</v>
      </c>
      <c r="EC1059">
        <v>1</v>
      </c>
      <c r="ED1059">
        <v>1</v>
      </c>
      <c r="EE1059">
        <v>0</v>
      </c>
      <c r="EF1059" s="143">
        <v>1</v>
      </c>
      <c r="EG1059">
        <v>1</v>
      </c>
      <c r="EH1059">
        <v>1</v>
      </c>
      <c r="EI1059">
        <v>0</v>
      </c>
      <c r="EJ1059">
        <v>0</v>
      </c>
      <c r="EK1059">
        <v>1</v>
      </c>
      <c r="EL1059">
        <v>0</v>
      </c>
      <c r="EM1059">
        <v>0</v>
      </c>
      <c r="EN1059" s="2">
        <v>0</v>
      </c>
      <c r="EP1059" t="str">
        <f>IF(AND(AND(AND(OR($EC1059=1,$EB1059=1),OR($EH1059=1,$EF1059=1)),SUM($EA1059:$EE1059,$EK1059)&gt;=3),SUM($EF1059:$EJ1059)&gt;=2),"Whole sector approach","")</f>
        <v>Whole sector approach</v>
      </c>
      <c r="EQ1059" t="str">
        <f>IF(AND(AND(OR($EC1059=1,$EB1059=1),AND($EH1059=0,$EF1059=0)),SUM($EA1059:$EE1059,$EK1059)&gt;=4),"Ecosystem approach","")</f>
        <v/>
      </c>
      <c r="ER1059" s="2" t="str">
        <f>IF(AND(AND(AND($EC1059=0,$EB1059=0),OR($EH1059=1,$EF1059=1)),SUM($EG1059:$EJ1059)&gt;=2),"Technology approach","")</f>
        <v/>
      </c>
      <c r="ES1059" t="str">
        <f>IF(AND($EC1059+$EB1059+$EE1059+$EA1059+$ED1059+$EG1059=0,$N1059="included"),"C neutral forest and HWP assumption","")</f>
        <v/>
      </c>
      <c r="ET1059" t="str">
        <f>IF(AND(AND(AND(AND($EC1059=1,$EB1059+$EA1059+$EG1059&gt;=1),$EF1059=1),$EH1059+$EI1059+$ED1059+$EE1059&gt;=2),$N1059="included"),"All C pools assumption","")</f>
        <v>All C pools assumption</v>
      </c>
      <c r="EU1059" t="str">
        <f>IF(AND($ED1059+$EE1059+$EI1059+$EH1059+$EF1059=0,$N1059="included"),"In-situ only assumption","")</f>
        <v/>
      </c>
      <c r="EY1059" t="str">
        <f>IF(ISNUMBER(BW1059),IF(ABS(BW1059-[2]QC_indicators!$B$2)&gt;3*[2]QC_indicators!$C$2,"C ratio",IF(ISNUMBER(CA1059),IF(ABS(CA1059-[2]QC_indicators!$B$1)&gt;3*[2]QC_indicators!$C$1,"DF","no"))),IF(ISNUMBER(CA1059),IF(ABS(CA1059-[2]QC_indicators!$B$1)&gt;3*[2]QC_indicators!$C$1,"DF","no")))</f>
        <v>no</v>
      </c>
      <c r="FA1059" t="str">
        <f>IF(LEN($CY1059)=0,"",IF(AND($CY1059&lt;(-0.05),$ES1059="C neutral forest and HWP assumption"),"Cneutral paradox",IF(AND($CY1059&gt;0.05,$EU1059="In-situ only assumption"),"In-situ only paradox","")))</f>
        <v/>
      </c>
      <c r="FD1059" s="260" t="s">
        <v>2935</v>
      </c>
    </row>
    <row r="1060" spans="1:160" ht="15" hidden="1" customHeight="1">
      <c r="A1060" s="1" t="s">
        <v>1295</v>
      </c>
      <c r="B1060" t="s">
        <v>2203</v>
      </c>
      <c r="C1060" t="s">
        <v>2204</v>
      </c>
      <c r="D1060" t="s">
        <v>2205</v>
      </c>
      <c r="E1060" t="s">
        <v>2206</v>
      </c>
      <c r="F1060" t="s">
        <v>2207</v>
      </c>
      <c r="G1060" t="s">
        <v>1301</v>
      </c>
      <c r="H1060" t="s">
        <v>254</v>
      </c>
      <c r="I1060">
        <v>2016</v>
      </c>
      <c r="J1060">
        <v>24</v>
      </c>
      <c r="K1060" t="s">
        <v>2208</v>
      </c>
      <c r="M1060" t="str">
        <f>LEFT($D1060,FIND(",",$D1060)-1)&amp;"_"&amp;I1060&amp;L1060</f>
        <v>Zubizarreta-Gerendiain_2016</v>
      </c>
      <c r="N1060" t="s">
        <v>222</v>
      </c>
      <c r="O1060" s="145" t="s">
        <v>1029</v>
      </c>
      <c r="Q1060" t="s">
        <v>256</v>
      </c>
      <c r="R1060" s="258" t="s">
        <v>223</v>
      </c>
      <c r="S1060" s="1" t="s">
        <v>2209</v>
      </c>
      <c r="T1060" t="s">
        <v>2218</v>
      </c>
      <c r="U1060" t="s">
        <v>2217</v>
      </c>
      <c r="V1060" s="253">
        <v>0</v>
      </c>
      <c r="W1060" s="253">
        <v>0</v>
      </c>
      <c r="X1060">
        <v>0</v>
      </c>
      <c r="Y1060">
        <v>0</v>
      </c>
      <c r="Z1060">
        <v>0</v>
      </c>
      <c r="AA1060">
        <v>2</v>
      </c>
      <c r="AB1060">
        <v>0</v>
      </c>
      <c r="AC1060">
        <v>0</v>
      </c>
      <c r="AD1060">
        <v>0</v>
      </c>
      <c r="AE1060">
        <v>0</v>
      </c>
      <c r="AF1060">
        <v>0</v>
      </c>
      <c r="AG1060">
        <v>0</v>
      </c>
      <c r="AH1060">
        <v>1</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s="141">
        <f>COUNTIF(X1060:AY1060,"&lt;&gt;0")</f>
        <v>2</v>
      </c>
      <c r="BA1060" s="141">
        <f>COUNTIF(X1060:AN1060,"&lt;&gt;0")</f>
        <v>2</v>
      </c>
      <c r="BB1060">
        <f>COUNTIF(X1060:AE1060,"&lt;&gt;0")</f>
        <v>1</v>
      </c>
      <c r="BC1060">
        <f>COUNTIF(AF1060:AK1060,"&lt;&gt;0")</f>
        <v>1</v>
      </c>
      <c r="BD1060">
        <f>COUNTIF(AL1060:AN1060,"&lt;&gt;0")</f>
        <v>0</v>
      </c>
      <c r="BE1060">
        <f>COUNTIF(AU1060:AY1060,"&lt;&gt;0")</f>
        <v>0</v>
      </c>
      <c r="BF1060">
        <f>COUNTIF(AO1060:AT1060,"&lt;&gt;0")</f>
        <v>0</v>
      </c>
      <c r="BG1060" t="str">
        <f t="array" ref="BG1060">IF(BA1060=1,INDEX($X$7:$AN$7,MATCH(TRUE,INDEX($X1060:$AY1060&lt;&gt;0,),0)),IF(BA1060=0,INDEX($AO$7:$AY$7,MATCH(1,$AO1060:$AY1060,0)),IF(BH1060="Multiple strategies","mixed drivers",IF(BH1060="Supply chain","multiple supply","multiple silviculture"))))</f>
        <v>mixed drivers</v>
      </c>
      <c r="BH1060" s="2" t="str" cm="1">
        <f t="array" ref="BH1060">IF(COUNTIF(BB1060:BD1060,"&lt;&gt;0")=1,INDEX($X$4:$AY$4,MATCH(TRUE,INDEX($X1060:$AY1060&lt;&gt;0,),0)),IF(COUNTIF(BB1060:BD1060,"&lt;&gt;0")=0,INDEX($AO$4:$AY$4,MATCH(1,$AO1060:$AY1060,0)),"Multiple strategies"))</f>
        <v>Multiple strategies</v>
      </c>
      <c r="BI1060" s="1" t="s">
        <v>321</v>
      </c>
      <c r="BJ1060" t="s">
        <v>2212</v>
      </c>
      <c r="BK1060" s="260" t="s">
        <v>1919</v>
      </c>
      <c r="BL1060" t="s">
        <v>2213</v>
      </c>
      <c r="BM1060">
        <v>70.434782608695599</v>
      </c>
      <c r="BN1060">
        <v>82.634271099744197</v>
      </c>
      <c r="BO1060" s="143">
        <f>BN1060/BM1060</f>
        <v>1.1732026143790852</v>
      </c>
      <c r="BP1060">
        <f>BN1060-BM1060</f>
        <v>12.199488491048598</v>
      </c>
      <c r="BQ1060">
        <f>BP1060*1000*t_to_m3</f>
        <v>24896.915287854281</v>
      </c>
      <c r="BR1060" s="143" t="s">
        <v>232</v>
      </c>
      <c r="BS1060" s="143" t="s">
        <v>2931</v>
      </c>
      <c r="BT1060" t="s">
        <v>1070</v>
      </c>
      <c r="BU1060">
        <v>105771.90289102923</v>
      </c>
      <c r="BV1060">
        <v>12625.588954781248</v>
      </c>
      <c r="BW1060" s="144">
        <f>IFERROR(BV1060/BU1060,"")</f>
        <v>0.11936618903215417</v>
      </c>
      <c r="BX1060" s="144">
        <f>BV1060-BU1060</f>
        <v>-93146.313936247985</v>
      </c>
      <c r="BY1060" s="144"/>
      <c r="BZ1060" s="144">
        <f>BX1060</f>
        <v>-93146.313936247985</v>
      </c>
      <c r="CA1060">
        <f>IFERROR(BZ1060/BQ1060,"")</f>
        <v>-3.7412793054603237</v>
      </c>
      <c r="CB1060">
        <v>0</v>
      </c>
      <c r="CC1060">
        <v>0</v>
      </c>
      <c r="CD1060">
        <v>0</v>
      </c>
      <c r="CE1060">
        <v>0</v>
      </c>
      <c r="CF1060">
        <v>0</v>
      </c>
      <c r="CG1060">
        <v>0</v>
      </c>
      <c r="CH1060">
        <v>0</v>
      </c>
      <c r="CI1060">
        <v>0</v>
      </c>
      <c r="CJ1060">
        <v>0</v>
      </c>
      <c r="CK1060">
        <v>0</v>
      </c>
      <c r="CL1060">
        <v>0</v>
      </c>
      <c r="CM1060">
        <v>0</v>
      </c>
      <c r="CN1060">
        <v>0</v>
      </c>
      <c r="CO1060">
        <v>1</v>
      </c>
      <c r="CP1060" t="str">
        <f>IF($BN1060&lt;$BM1060,"refNeedCorrection","refOK")</f>
        <v>refOK</v>
      </c>
      <c r="CQ1060">
        <f>IF($CP1060="refOK",$BM1060,$BN1060)</f>
        <v>70.434782608695599</v>
      </c>
      <c r="CR1060">
        <f>IF($CP1060="refOK",$BN1060,$BM1060)</f>
        <v>82.634271099744197</v>
      </c>
      <c r="CS1060">
        <f>IF($CP1060="refOK",$BQ1060,-$BQ1060)</f>
        <v>24896.915287854281</v>
      </c>
      <c r="CT1060">
        <f>IF(BI1060="Roundwood",$CS1060/2,$CS1060)</f>
        <v>12448.45764392714</v>
      </c>
      <c r="CU1060">
        <f>IF($CP1060="refOK",$BU1060,$BV1060)*IF($BR1060="Emissions positive",-1,1)</f>
        <v>105771.90289102923</v>
      </c>
      <c r="CV1060">
        <f>IF($CP1060="refOK",$BV1060,$BU1060)*IF($BR1060="Emissions positive",-1,1)</f>
        <v>12625.588954781248</v>
      </c>
      <c r="CW1060">
        <f>IF($CP1060="refNeedCorrection",-BZ1060,BZ1060)*IF($BR1060="Emissions positive",-1,1)</f>
        <v>-93146.313936247985</v>
      </c>
      <c r="CX1060">
        <f>IFERROR($CW1060/$CS1060,"")</f>
        <v>-3.7412793054603237</v>
      </c>
      <c r="CY1060">
        <f>IFERROR($CW1060/$CS1060,"")</f>
        <v>-3.7412793054603237</v>
      </c>
      <c r="CZ1060">
        <f>IFERROR($CW1060/$CT1060,"")</f>
        <v>-7.4825586109206474</v>
      </c>
      <c r="DA1060" s="2">
        <f>IFERROR((CV1060-CU1060)/ABS(CU1060),"")</f>
        <v>-0.88063381096784588</v>
      </c>
      <c r="DB1060" s="1" t="s">
        <v>1074</v>
      </c>
      <c r="DC1060" t="str">
        <f>IF(OR($DB1060="prd",$DB1060="std",$DB1060="cit"),"loc",IF(OR($DB1060="eur",$DB1060="reg",$DB1060="coy"),"reg",$DB1060))</f>
        <v>reg</v>
      </c>
      <c r="DD1060" t="s">
        <v>235</v>
      </c>
      <c r="DE1060">
        <v>2010</v>
      </c>
      <c r="DF1060">
        <v>2070</v>
      </c>
      <c r="DG1060">
        <f>DF1060-DE1060</f>
        <v>60</v>
      </c>
      <c r="DH1060" t="str">
        <f>IF(DG1060=0,"0",IF(AND(DG1060&gt;=1,DG1060&lt;=30),"1-30",IF(AND(DG1060&gt;30,DG1060&lt;=70),"31-70",IF(AND(DG1060&gt;70,DG1060&lt;=100),"71-100",IF(DG1060&gt;100,"+100")))))</f>
        <v>31-70</v>
      </c>
      <c r="DI1060">
        <v>1</v>
      </c>
      <c r="DJ1060">
        <v>1</v>
      </c>
      <c r="DK1060">
        <v>1</v>
      </c>
      <c r="DL1060">
        <v>1</v>
      </c>
      <c r="DM1060">
        <v>0</v>
      </c>
      <c r="DN1060">
        <f>SUM(DI1060:DL1060)</f>
        <v>4</v>
      </c>
      <c r="DO1060" t="str">
        <f>IF(DN1060=1,INDEX($DI$7:$DL$7,MATCH(1,$DI1060:$DL1060,0)),"mixedProduct")</f>
        <v>mixedProduct</v>
      </c>
      <c r="DP1060" t="str">
        <f>IF(DI1060=1,DP$7,0)</f>
        <v>Upstream</v>
      </c>
      <c r="DQ1060" t="str">
        <f>IF(DJ1060=1,DQ$7,0)</f>
        <v>Energy</v>
      </c>
      <c r="DR1060" t="str">
        <f>IF(DK1060=1,DR$7,0)</f>
        <v>Pulp/Paper</v>
      </c>
      <c r="DS1060" t="str">
        <f>IF(DL1060=1,DS$7,0)</f>
        <v>Timber</v>
      </c>
      <c r="DT1060">
        <v>0</v>
      </c>
      <c r="DU1060">
        <v>1</v>
      </c>
      <c r="DV1060" t="s">
        <v>2237</v>
      </c>
      <c r="DW1060" t="s">
        <v>2238</v>
      </c>
      <c r="DX1060">
        <v>0</v>
      </c>
      <c r="DY1060">
        <f>SUM(DT1060:DU1060)</f>
        <v>1</v>
      </c>
      <c r="DZ1060" s="143" t="str">
        <f>IF(DT1060=1,"self-calculated DF",IF(DU1060=1,"external DF used","explicit C balance"))</f>
        <v>external DF used</v>
      </c>
      <c r="EA1060">
        <v>1</v>
      </c>
      <c r="EB1060">
        <v>1</v>
      </c>
      <c r="EC1060">
        <v>1</v>
      </c>
      <c r="ED1060">
        <v>1</v>
      </c>
      <c r="EE1060">
        <v>0</v>
      </c>
      <c r="EF1060" s="143">
        <v>1</v>
      </c>
      <c r="EG1060">
        <v>1</v>
      </c>
      <c r="EH1060">
        <v>1</v>
      </c>
      <c r="EI1060">
        <v>0</v>
      </c>
      <c r="EJ1060">
        <v>0</v>
      </c>
      <c r="EK1060">
        <v>1</v>
      </c>
      <c r="EL1060">
        <v>0</v>
      </c>
      <c r="EM1060">
        <v>0</v>
      </c>
      <c r="EN1060" s="2">
        <v>0</v>
      </c>
      <c r="EP1060" t="str">
        <f>IF(AND(AND(AND(OR($EC1060=1,$EB1060=1),OR($EH1060=1,$EF1060=1)),SUM($EA1060:$EE1060,$EK1060)&gt;=3),SUM($EF1060:$EJ1060)&gt;=2),"Whole sector approach","")</f>
        <v>Whole sector approach</v>
      </c>
      <c r="EQ1060" t="str">
        <f>IF(AND(AND(OR($EC1060=1,$EB1060=1),AND($EH1060=0,$EF1060=0)),SUM($EA1060:$EE1060,$EK1060)&gt;=4),"Ecosystem approach","")</f>
        <v/>
      </c>
      <c r="ER1060" s="2" t="str">
        <f>IF(AND(AND(AND($EC1060=0,$EB1060=0),OR($EH1060=1,$EF1060=1)),SUM($EG1060:$EJ1060)&gt;=2),"Technology approach","")</f>
        <v/>
      </c>
      <c r="ES1060" t="str">
        <f>IF(AND($EC1060+$EB1060+$EE1060+$EA1060+$ED1060+$EG1060=0,$N1060="included"),"C neutral forest and HWP assumption","")</f>
        <v/>
      </c>
      <c r="ET1060" t="str">
        <f>IF(AND(AND(AND(AND($EC1060=1,$EB1060+$EA1060+$EG1060&gt;=1),$EF1060=1),$EH1060+$EI1060+$ED1060+$EE1060&gt;=2),$N1060="included"),"All C pools assumption","")</f>
        <v>All C pools assumption</v>
      </c>
      <c r="EU1060" t="str">
        <f>IF(AND($ED1060+$EE1060+$EI1060+$EH1060+$EF1060=0,$N1060="included"),"In-situ only assumption","")</f>
        <v/>
      </c>
      <c r="EY1060" t="str">
        <f>IF(ISNUMBER(BW1060),IF(ABS(BW1060-[2]QC_indicators!$B$2)&gt;3*[2]QC_indicators!$C$2,"C ratio",IF(ISNUMBER(CA1060),IF(ABS(CA1060-[2]QC_indicators!$B$1)&gt;3*[2]QC_indicators!$C$1,"DF","no"))),IF(ISNUMBER(CA1060),IF(ABS(CA1060-[2]QC_indicators!$B$1)&gt;3*[2]QC_indicators!$C$1,"DF","no")))</f>
        <v>no</v>
      </c>
      <c r="FA1060" t="str">
        <f>IF(LEN($CY1060)=0,"",IF(AND($CY1060&lt;(-0.05),$ES1060="C neutral forest and HWP assumption"),"Cneutral paradox",IF(AND($CY1060&gt;0.05,$EU1060="In-situ only assumption"),"In-situ only paradox","")))</f>
        <v/>
      </c>
      <c r="FD1060" s="260" t="s">
        <v>2935</v>
      </c>
    </row>
    <row r="1061" spans="1:160" ht="15" hidden="1" customHeight="1">
      <c r="A1061" s="1" t="s">
        <v>1295</v>
      </c>
      <c r="B1061" t="s">
        <v>2203</v>
      </c>
      <c r="C1061" t="s">
        <v>2204</v>
      </c>
      <c r="D1061" t="s">
        <v>2205</v>
      </c>
      <c r="E1061" t="s">
        <v>2206</v>
      </c>
      <c r="F1061" t="s">
        <v>2207</v>
      </c>
      <c r="G1061" t="s">
        <v>1301</v>
      </c>
      <c r="H1061" t="s">
        <v>254</v>
      </c>
      <c r="I1061">
        <v>2016</v>
      </c>
      <c r="J1061">
        <v>24</v>
      </c>
      <c r="K1061" t="s">
        <v>2208</v>
      </c>
      <c r="M1061" t="str">
        <f>LEFT($D1061,FIND(",",$D1061)-1)&amp;"_"&amp;I1061&amp;L1061</f>
        <v>Zubizarreta-Gerendiain_2016</v>
      </c>
      <c r="N1061" t="s">
        <v>222</v>
      </c>
      <c r="O1061" s="145" t="s">
        <v>1029</v>
      </c>
      <c r="Q1061" t="s">
        <v>256</v>
      </c>
      <c r="R1061" s="258" t="s">
        <v>223</v>
      </c>
      <c r="S1061" s="1" t="s">
        <v>2209</v>
      </c>
      <c r="T1061" t="s">
        <v>2218</v>
      </c>
      <c r="U1061" t="s">
        <v>2217</v>
      </c>
      <c r="V1061" s="253">
        <v>0</v>
      </c>
      <c r="W1061" s="253">
        <v>0</v>
      </c>
      <c r="X1061">
        <v>0</v>
      </c>
      <c r="Y1061">
        <v>0</v>
      </c>
      <c r="Z1061">
        <v>0</v>
      </c>
      <c r="AA1061">
        <v>2</v>
      </c>
      <c r="AB1061">
        <v>0</v>
      </c>
      <c r="AC1061">
        <v>0</v>
      </c>
      <c r="AD1061">
        <v>0</v>
      </c>
      <c r="AE1061">
        <v>0</v>
      </c>
      <c r="AF1061">
        <v>0</v>
      </c>
      <c r="AG1061">
        <v>0</v>
      </c>
      <c r="AH1061">
        <v>1</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s="141">
        <f>COUNTIF(X1061:AY1061,"&lt;&gt;0")</f>
        <v>2</v>
      </c>
      <c r="BA1061" s="141">
        <f>COUNTIF(X1061:AN1061,"&lt;&gt;0")</f>
        <v>2</v>
      </c>
      <c r="BB1061">
        <f>COUNTIF(X1061:AE1061,"&lt;&gt;0")</f>
        <v>1</v>
      </c>
      <c r="BC1061">
        <f>COUNTIF(AF1061:AK1061,"&lt;&gt;0")</f>
        <v>1</v>
      </c>
      <c r="BD1061">
        <f>COUNTIF(AL1061:AN1061,"&lt;&gt;0")</f>
        <v>0</v>
      </c>
      <c r="BE1061">
        <f>COUNTIF(AU1061:AY1061,"&lt;&gt;0")</f>
        <v>0</v>
      </c>
      <c r="BF1061">
        <f>COUNTIF(AO1061:AT1061,"&lt;&gt;0")</f>
        <v>0</v>
      </c>
      <c r="BG1061" t="str">
        <f t="array" ref="BG1061">IF(BA1061=1,INDEX($X$7:$AN$7,MATCH(TRUE,INDEX($X1061:$AY1061&lt;&gt;0,),0)),IF(BA1061=0,INDEX($AO$7:$AY$7,MATCH(1,$AO1061:$AY1061,0)),IF(BH1061="Multiple strategies","mixed drivers",IF(BH1061="Supply chain","multiple supply","multiple silviculture"))))</f>
        <v>mixed drivers</v>
      </c>
      <c r="BH1061" s="2" t="str" cm="1">
        <f t="array" ref="BH1061">IF(COUNTIF(BB1061:BD1061,"&lt;&gt;0")=1,INDEX($X$4:$AY$4,MATCH(TRUE,INDEX($X1061:$AY1061&lt;&gt;0,),0)),IF(COUNTIF(BB1061:BD1061,"&lt;&gt;0")=0,INDEX($AO$4:$AY$4,MATCH(1,$AO1061:$AY1061,0)),"Multiple strategies"))</f>
        <v>Multiple strategies</v>
      </c>
      <c r="BI1061" s="1" t="s">
        <v>321</v>
      </c>
      <c r="BJ1061" t="s">
        <v>2212</v>
      </c>
      <c r="BK1061" s="260" t="s">
        <v>1919</v>
      </c>
      <c r="BL1061" t="s">
        <v>2213</v>
      </c>
      <c r="BM1061">
        <v>70.434782608695599</v>
      </c>
      <c r="BN1061">
        <v>82.634271099744197</v>
      </c>
      <c r="BO1061" s="143">
        <f>BN1061/BM1061</f>
        <v>1.1732026143790852</v>
      </c>
      <c r="BP1061">
        <f>BN1061-BM1061</f>
        <v>12.199488491048598</v>
      </c>
      <c r="BQ1061">
        <f>BP1061*1000*t_to_m3</f>
        <v>24896.915287854281</v>
      </c>
      <c r="BR1061" t="s">
        <v>232</v>
      </c>
      <c r="BS1061" s="143" t="s">
        <v>2931</v>
      </c>
      <c r="BT1061" t="s">
        <v>1070</v>
      </c>
      <c r="BU1061">
        <v>15639.124600638877</v>
      </c>
      <c r="BV1061">
        <v>-87418.696485623019</v>
      </c>
      <c r="BW1061" s="144">
        <f>IFERROR(BV1061/BU1061,"")</f>
        <v>-5.5897435897436267</v>
      </c>
      <c r="BX1061" s="144">
        <f>BV1061-BU1061</f>
        <v>-103057.8210862619</v>
      </c>
      <c r="BY1061" s="144"/>
      <c r="BZ1061" s="144">
        <f>BX1061</f>
        <v>-103057.8210862619</v>
      </c>
      <c r="CA1061">
        <f>IFERROR(BZ1061/BQ1061,"")</f>
        <v>-4.1393811198987231</v>
      </c>
      <c r="CB1061">
        <v>0</v>
      </c>
      <c r="CC1061">
        <v>0</v>
      </c>
      <c r="CD1061">
        <v>0</v>
      </c>
      <c r="CE1061">
        <v>0</v>
      </c>
      <c r="CF1061">
        <v>0</v>
      </c>
      <c r="CG1061">
        <v>0</v>
      </c>
      <c r="CH1061">
        <v>0</v>
      </c>
      <c r="CI1061">
        <v>0</v>
      </c>
      <c r="CJ1061">
        <v>0</v>
      </c>
      <c r="CK1061">
        <v>0</v>
      </c>
      <c r="CL1061">
        <v>0</v>
      </c>
      <c r="CM1061">
        <v>0</v>
      </c>
      <c r="CN1061">
        <v>0</v>
      </c>
      <c r="CO1061">
        <v>1</v>
      </c>
      <c r="CP1061" t="str">
        <f>IF($BN1061&lt;$BM1061,"refNeedCorrection","refOK")</f>
        <v>refOK</v>
      </c>
      <c r="CQ1061">
        <f>IF($CP1061="refOK",$BM1061,$BN1061)</f>
        <v>70.434782608695599</v>
      </c>
      <c r="CR1061">
        <f>IF($CP1061="refOK",$BN1061,$BM1061)</f>
        <v>82.634271099744197</v>
      </c>
      <c r="CS1061">
        <f>IF($CP1061="refOK",$BQ1061,-$BQ1061)</f>
        <v>24896.915287854281</v>
      </c>
      <c r="CT1061">
        <f>IF(BI1061="Roundwood",$CS1061/2,$CS1061)</f>
        <v>12448.45764392714</v>
      </c>
      <c r="CU1061">
        <f>IF($CP1061="refOK",$BU1061,$BV1061)*IF($BR1061="Emissions positive",-1,1)</f>
        <v>15639.124600638877</v>
      </c>
      <c r="CV1061">
        <f>IF($CP1061="refOK",$BV1061,$BU1061)*IF($BR1061="Emissions positive",-1,1)</f>
        <v>-87418.696485623019</v>
      </c>
      <c r="CW1061">
        <f>IF($CP1061="refNeedCorrection",-BZ1061,BZ1061)*IF($BR1061="Emissions positive",-1,1)</f>
        <v>-103057.8210862619</v>
      </c>
      <c r="CX1061">
        <f>IFERROR($CW1061/$CS1061,"")</f>
        <v>-4.1393811198987231</v>
      </c>
      <c r="CY1061">
        <f>IFERROR($CW1061/$CS1061,"")</f>
        <v>-4.1393811198987231</v>
      </c>
      <c r="CZ1061">
        <f>IFERROR($CW1061/$CT1061,"")</f>
        <v>-8.2787622397974463</v>
      </c>
      <c r="DA1061" s="2">
        <f>IFERROR((CV1061-CU1061)/ABS(CU1061),"")</f>
        <v>-6.5897435897436267</v>
      </c>
      <c r="DB1061" s="1" t="s">
        <v>1074</v>
      </c>
      <c r="DC1061" t="str">
        <f>IF(OR($DB1061="prd",$DB1061="std",$DB1061="cit"),"loc",IF(OR($DB1061="eur",$DB1061="reg",$DB1061="coy"),"reg",$DB1061))</f>
        <v>reg</v>
      </c>
      <c r="DD1061" t="s">
        <v>235</v>
      </c>
      <c r="DE1061">
        <v>2010</v>
      </c>
      <c r="DF1061">
        <v>2070</v>
      </c>
      <c r="DG1061">
        <f>DF1061-DE1061</f>
        <v>60</v>
      </c>
      <c r="DH1061" t="str">
        <f>IF(DG1061=0,"0",IF(AND(DG1061&gt;=1,DG1061&lt;=30),"1-30",IF(AND(DG1061&gt;30,DG1061&lt;=70),"31-70",IF(AND(DG1061&gt;70,DG1061&lt;=100),"71-100",IF(DG1061&gt;100,"+100")))))</f>
        <v>31-70</v>
      </c>
      <c r="DI1061">
        <v>1</v>
      </c>
      <c r="DJ1061">
        <v>1</v>
      </c>
      <c r="DK1061">
        <v>1</v>
      </c>
      <c r="DL1061">
        <v>1</v>
      </c>
      <c r="DM1061">
        <v>0</v>
      </c>
      <c r="DN1061">
        <f>SUM(DI1061:DL1061)</f>
        <v>4</v>
      </c>
      <c r="DO1061" t="str">
        <f>IF(DN1061=1,INDEX($DI$7:$DL$7,MATCH(1,$DI1061:$DL1061,0)),"mixedProduct")</f>
        <v>mixedProduct</v>
      </c>
      <c r="DP1061" t="str">
        <f>IF(DI1061=1,DP$7,0)</f>
        <v>Upstream</v>
      </c>
      <c r="DQ1061" t="str">
        <f>IF(DJ1061=1,DQ$7,0)</f>
        <v>Energy</v>
      </c>
      <c r="DR1061" t="str">
        <f>IF(DK1061=1,DR$7,0)</f>
        <v>Pulp/Paper</v>
      </c>
      <c r="DS1061" t="str">
        <f>IF(DL1061=1,DS$7,0)</f>
        <v>Timber</v>
      </c>
      <c r="DT1061">
        <v>0</v>
      </c>
      <c r="DU1061">
        <v>0</v>
      </c>
      <c r="DV1061">
        <v>0</v>
      </c>
      <c r="DW1061">
        <v>0</v>
      </c>
      <c r="DX1061">
        <v>0</v>
      </c>
      <c r="DY1061">
        <f>SUM(DT1061:DU1061)</f>
        <v>0</v>
      </c>
      <c r="DZ1061" s="143" t="str">
        <f>IF(DT1061=1,"self-calculated DF",IF(DU1061=1,"external DF used","explicit C balance"))</f>
        <v>explicit C balance</v>
      </c>
      <c r="EA1061">
        <v>1</v>
      </c>
      <c r="EB1061">
        <v>1</v>
      </c>
      <c r="EC1061">
        <v>1</v>
      </c>
      <c r="ED1061">
        <v>0</v>
      </c>
      <c r="EE1061">
        <v>0</v>
      </c>
      <c r="EF1061" s="143">
        <v>0</v>
      </c>
      <c r="EG1061">
        <v>1</v>
      </c>
      <c r="EH1061">
        <v>1</v>
      </c>
      <c r="EI1061">
        <v>0</v>
      </c>
      <c r="EJ1061">
        <v>0</v>
      </c>
      <c r="EK1061">
        <v>1</v>
      </c>
      <c r="EL1061">
        <v>0</v>
      </c>
      <c r="EM1061">
        <v>0</v>
      </c>
      <c r="EN1061" s="2">
        <v>0</v>
      </c>
      <c r="EP1061" t="str">
        <f>IF(AND(AND(AND(OR($EC1061=1,$EB1061=1),OR($EH1061=1,$EF1061=1)),SUM($EA1061:$EE1061,$EK1061)&gt;=3),SUM($EF1061:$EJ1061)&gt;=2),"Whole sector approach","")</f>
        <v>Whole sector approach</v>
      </c>
      <c r="EQ1061" t="str">
        <f>IF(AND(AND(OR($EC1061=1,$EB1061=1),AND($EH1061=0,$EF1061=0)),SUM($EA1061:$EE1061,$EK1061)&gt;=4),"Ecosystem approach","")</f>
        <v/>
      </c>
      <c r="ER1061" s="2" t="str">
        <f>IF(AND(AND(AND($EC1061=0,$EB1061=0),OR($EH1061=1,$EF1061=1)),SUM($EG1061:$EJ1061)&gt;=2),"Technology approach","")</f>
        <v/>
      </c>
      <c r="ES1061" t="str">
        <f>IF(AND($EC1061+$EB1061+$EE1061+$EA1061+$ED1061+$EG1061=0,$N1061="included"),"C neutral forest and HWP assumption","")</f>
        <v/>
      </c>
      <c r="ET1061" t="str">
        <f>IF(AND(AND(AND(AND($EC1061=1,$EB1061+$EA1061+$EG1061&gt;=1),$EF1061=1),$EH1061+$EI1061+$ED1061+$EE1061&gt;=2),$N1061="included"),"All C pools assumption","")</f>
        <v/>
      </c>
      <c r="EU1061" t="str">
        <f>IF(AND($ED1061+$EE1061+$EI1061+$EH1061+$EF1061=0,$N1061="included"),"In-situ only assumption","")</f>
        <v/>
      </c>
      <c r="EY1061" t="str">
        <f>IF(ISNUMBER(BW1061),IF(ABS(BW1061-[2]QC_indicators!$B$2)&gt;3*[2]QC_indicators!$C$2,"C ratio",IF(ISNUMBER(CA1061),IF(ABS(CA1061-[2]QC_indicators!$B$1)&gt;3*[2]QC_indicators!$C$1,"DF","no"))),IF(ISNUMBER(CA1061),IF(ABS(CA1061-[2]QC_indicators!$B$1)&gt;3*[2]QC_indicators!$C$1,"DF","no")))</f>
        <v>no</v>
      </c>
      <c r="EZ1061" t="s">
        <v>2214</v>
      </c>
      <c r="FA1061" t="str">
        <f>IF(LEN($CY1061)=0,"",IF(AND($CY1061&lt;(-0.05),$ES1061="C neutral forest and HWP assumption"),"Cneutral paradox",IF(AND($CY1061&gt;0.05,$EU1061="In-situ only assumption"),"In-situ only paradox","")))</f>
        <v/>
      </c>
      <c r="FD1061" s="260" t="s">
        <v>2932</v>
      </c>
    </row>
    <row r="1062" spans="1:160" ht="15" hidden="1" customHeight="1">
      <c r="A1062" s="1" t="s">
        <v>1295</v>
      </c>
      <c r="B1062" t="s">
        <v>2203</v>
      </c>
      <c r="C1062" t="s">
        <v>2204</v>
      </c>
      <c r="D1062" t="s">
        <v>2205</v>
      </c>
      <c r="E1062" t="s">
        <v>2206</v>
      </c>
      <c r="F1062" t="s">
        <v>2207</v>
      </c>
      <c r="G1062" t="s">
        <v>1301</v>
      </c>
      <c r="H1062" t="s">
        <v>254</v>
      </c>
      <c r="I1062">
        <v>2016</v>
      </c>
      <c r="J1062">
        <v>24</v>
      </c>
      <c r="K1062" t="s">
        <v>2208</v>
      </c>
      <c r="M1062" t="str">
        <f>LEFT($D1062,FIND(",",$D1062)-1)&amp;"_"&amp;I1062&amp;L1062</f>
        <v>Zubizarreta-Gerendiain_2016</v>
      </c>
      <c r="N1062" t="s">
        <v>222</v>
      </c>
      <c r="O1062" s="145" t="s">
        <v>1029</v>
      </c>
      <c r="Q1062" t="s">
        <v>256</v>
      </c>
      <c r="R1062" s="258" t="s">
        <v>223</v>
      </c>
      <c r="S1062" s="1" t="s">
        <v>2209</v>
      </c>
      <c r="T1062" t="s">
        <v>2216</v>
      </c>
      <c r="U1062" t="s">
        <v>2217</v>
      </c>
      <c r="V1062" s="253">
        <v>0</v>
      </c>
      <c r="W1062" s="253">
        <v>0</v>
      </c>
      <c r="X1062">
        <v>0</v>
      </c>
      <c r="Y1062">
        <v>0</v>
      </c>
      <c r="Z1062">
        <v>0</v>
      </c>
      <c r="AA1062">
        <v>2</v>
      </c>
      <c r="AB1062">
        <v>0</v>
      </c>
      <c r="AC1062">
        <v>0</v>
      </c>
      <c r="AD1062">
        <v>0</v>
      </c>
      <c r="AE1062">
        <v>0</v>
      </c>
      <c r="AF1062">
        <v>0</v>
      </c>
      <c r="AG1062">
        <v>0</v>
      </c>
      <c r="AH1062">
        <v>1</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s="141">
        <f>COUNTIF(X1062:AY1062,"&lt;&gt;0")</f>
        <v>2</v>
      </c>
      <c r="BA1062" s="141">
        <f>COUNTIF(X1062:AN1062,"&lt;&gt;0")</f>
        <v>2</v>
      </c>
      <c r="BB1062">
        <f>COUNTIF(X1062:AE1062,"&lt;&gt;0")</f>
        <v>1</v>
      </c>
      <c r="BC1062">
        <f>COUNTIF(AF1062:AK1062,"&lt;&gt;0")</f>
        <v>1</v>
      </c>
      <c r="BD1062">
        <f>COUNTIF(AL1062:AN1062,"&lt;&gt;0")</f>
        <v>0</v>
      </c>
      <c r="BE1062">
        <f>COUNTIF(AU1062:AY1062,"&lt;&gt;0")</f>
        <v>0</v>
      </c>
      <c r="BF1062">
        <f>COUNTIF(AO1062:AT1062,"&lt;&gt;0")</f>
        <v>0</v>
      </c>
      <c r="BG1062" t="str">
        <f t="array" ref="BG1062">IF(BA1062=1,INDEX($X$7:$AN$7,MATCH(TRUE,INDEX($X1062:$AY1062&lt;&gt;0,),0)),IF(BA1062=0,INDEX($AO$7:$AY$7,MATCH(1,$AO1062:$AY1062,0)),IF(BH1062="Multiple strategies","mixed drivers",IF(BH1062="Supply chain","multiple supply","multiple silviculture"))))</f>
        <v>mixed drivers</v>
      </c>
      <c r="BH1062" s="2" t="str" cm="1">
        <f t="array" ref="BH1062">IF(COUNTIF(BB1062:BD1062,"&lt;&gt;0")=1,INDEX($X$4:$AY$4,MATCH(TRUE,INDEX($X1062:$AY1062&lt;&gt;0,),0)),IF(COUNTIF(BB1062:BD1062,"&lt;&gt;0")=0,INDEX($AO$4:$AY$4,MATCH(1,$AO1062:$AY1062,0)),"Multiple strategies"))</f>
        <v>Multiple strategies</v>
      </c>
      <c r="BI1062" s="1" t="s">
        <v>321</v>
      </c>
      <c r="BJ1062" t="s">
        <v>2212</v>
      </c>
      <c r="BK1062" s="260" t="s">
        <v>1919</v>
      </c>
      <c r="BL1062" t="s">
        <v>2213</v>
      </c>
      <c r="BM1062">
        <v>74.117647058823493</v>
      </c>
      <c r="BN1062">
        <v>82.634271099744197</v>
      </c>
      <c r="BO1062" s="143">
        <f>BN1062/BM1062</f>
        <v>1.1149068322981366</v>
      </c>
      <c r="BP1062">
        <f>BN1062-BM1062</f>
        <v>8.5166240409207035</v>
      </c>
      <c r="BQ1062">
        <f>BP1062*1000*t_to_m3</f>
        <v>17380.865389634091</v>
      </c>
      <c r="BR1062" t="s">
        <v>232</v>
      </c>
      <c r="BS1062" s="143" t="s">
        <v>2931</v>
      </c>
      <c r="BT1062" t="s">
        <v>1070</v>
      </c>
      <c r="BU1062">
        <v>-14436.115015974412</v>
      </c>
      <c r="BV1062">
        <v>-87418.696485623019</v>
      </c>
      <c r="BW1062" s="144">
        <f>IFERROR(BV1062/BU1062,"")</f>
        <v>6.0555555555555687</v>
      </c>
      <c r="BX1062" s="144">
        <f>BV1062-BU1062</f>
        <v>-72982.581469648605</v>
      </c>
      <c r="BY1062" s="144"/>
      <c r="BZ1062" s="144">
        <f>BX1062</f>
        <v>-72982.581469648605</v>
      </c>
      <c r="CA1062">
        <f>IFERROR(BZ1062/BQ1062,"")</f>
        <v>-4.1990188539849838</v>
      </c>
      <c r="CB1062">
        <v>0</v>
      </c>
      <c r="CC1062">
        <v>0</v>
      </c>
      <c r="CD1062">
        <v>0</v>
      </c>
      <c r="CE1062">
        <v>0</v>
      </c>
      <c r="CF1062">
        <v>0</v>
      </c>
      <c r="CG1062">
        <v>0</v>
      </c>
      <c r="CH1062">
        <v>0</v>
      </c>
      <c r="CI1062">
        <v>0</v>
      </c>
      <c r="CJ1062">
        <v>0</v>
      </c>
      <c r="CK1062">
        <v>0</v>
      </c>
      <c r="CL1062">
        <v>0</v>
      </c>
      <c r="CM1062">
        <v>0</v>
      </c>
      <c r="CN1062">
        <v>0</v>
      </c>
      <c r="CO1062">
        <v>1</v>
      </c>
      <c r="CP1062" t="str">
        <f>IF($BN1062&lt;$BM1062,"refNeedCorrection","refOK")</f>
        <v>refOK</v>
      </c>
      <c r="CQ1062">
        <f>IF($CP1062="refOK",$BM1062,$BN1062)</f>
        <v>74.117647058823493</v>
      </c>
      <c r="CR1062">
        <f>IF($CP1062="refOK",$BN1062,$BM1062)</f>
        <v>82.634271099744197</v>
      </c>
      <c r="CS1062">
        <f>IF($CP1062="refOK",$BQ1062,-$BQ1062)</f>
        <v>17380.865389634091</v>
      </c>
      <c r="CT1062">
        <f>IF(BI1062="Roundwood",$CS1062/2,$CS1062)</f>
        <v>8690.4326948170456</v>
      </c>
      <c r="CU1062">
        <f>IF($CP1062="refOK",$BU1062,$BV1062)*IF($BR1062="Emissions positive",-1,1)</f>
        <v>-14436.115015974412</v>
      </c>
      <c r="CV1062">
        <f>IF($CP1062="refOK",$BV1062,$BU1062)*IF($BR1062="Emissions positive",-1,1)</f>
        <v>-87418.696485623019</v>
      </c>
      <c r="CW1062">
        <f>IF($CP1062="refNeedCorrection",-BZ1062,BZ1062)*IF($BR1062="Emissions positive",-1,1)</f>
        <v>-72982.581469648605</v>
      </c>
      <c r="CX1062">
        <f>IFERROR($CW1062/$CS1062,"")</f>
        <v>-4.1990188539849838</v>
      </c>
      <c r="CY1062">
        <f>IFERROR($CW1062/$CS1062,"")</f>
        <v>-4.1990188539849838</v>
      </c>
      <c r="CZ1062">
        <f>IFERROR($CW1062/$CT1062,"")</f>
        <v>-8.3980377079699675</v>
      </c>
      <c r="DA1062" s="2">
        <f>IFERROR((CV1062-CU1062)/ABS(CU1062),"")</f>
        <v>-5.0555555555555687</v>
      </c>
      <c r="DB1062" s="1" t="s">
        <v>1074</v>
      </c>
      <c r="DC1062" t="str">
        <f>IF(OR($DB1062="prd",$DB1062="std",$DB1062="cit"),"loc",IF(OR($DB1062="eur",$DB1062="reg",$DB1062="coy"),"reg",$DB1062))</f>
        <v>reg</v>
      </c>
      <c r="DD1062" t="s">
        <v>235</v>
      </c>
      <c r="DE1062">
        <v>2010</v>
      </c>
      <c r="DF1062">
        <v>2070</v>
      </c>
      <c r="DG1062">
        <f>DF1062-DE1062</f>
        <v>60</v>
      </c>
      <c r="DH1062" t="str">
        <f>IF(DG1062=0,"0",IF(AND(DG1062&gt;=1,DG1062&lt;=30),"1-30",IF(AND(DG1062&gt;30,DG1062&lt;=70),"31-70",IF(AND(DG1062&gt;70,DG1062&lt;=100),"71-100",IF(DG1062&gt;100,"+100")))))</f>
        <v>31-70</v>
      </c>
      <c r="DI1062">
        <v>1</v>
      </c>
      <c r="DJ1062">
        <v>1</v>
      </c>
      <c r="DK1062">
        <v>1</v>
      </c>
      <c r="DL1062">
        <v>1</v>
      </c>
      <c r="DM1062">
        <v>0</v>
      </c>
      <c r="DN1062">
        <f>SUM(DI1062:DL1062)</f>
        <v>4</v>
      </c>
      <c r="DO1062" t="str">
        <f>IF(DN1062=1,INDEX($DI$7:$DL$7,MATCH(1,$DI1062:$DL1062,0)),"mixedProduct")</f>
        <v>mixedProduct</v>
      </c>
      <c r="DP1062" t="str">
        <f>IF(DI1062=1,DP$7,0)</f>
        <v>Upstream</v>
      </c>
      <c r="DQ1062" t="str">
        <f>IF(DJ1062=1,DQ$7,0)</f>
        <v>Energy</v>
      </c>
      <c r="DR1062" t="str">
        <f>IF(DK1062=1,DR$7,0)</f>
        <v>Pulp/Paper</v>
      </c>
      <c r="DS1062" t="str">
        <f>IF(DL1062=1,DS$7,0)</f>
        <v>Timber</v>
      </c>
      <c r="DT1062">
        <v>0</v>
      </c>
      <c r="DU1062">
        <v>0</v>
      </c>
      <c r="DV1062">
        <v>0</v>
      </c>
      <c r="DW1062">
        <v>0</v>
      </c>
      <c r="DX1062">
        <v>0</v>
      </c>
      <c r="DY1062">
        <f>SUM(DT1062:DU1062)</f>
        <v>0</v>
      </c>
      <c r="DZ1062" s="143" t="str">
        <f>IF(DT1062=1,"self-calculated DF",IF(DU1062=1,"external DF used","explicit C balance"))</f>
        <v>explicit C balance</v>
      </c>
      <c r="EA1062">
        <v>1</v>
      </c>
      <c r="EB1062">
        <v>1</v>
      </c>
      <c r="EC1062">
        <v>1</v>
      </c>
      <c r="ED1062">
        <v>0</v>
      </c>
      <c r="EE1062">
        <v>0</v>
      </c>
      <c r="EF1062" s="143">
        <v>0</v>
      </c>
      <c r="EG1062">
        <v>1</v>
      </c>
      <c r="EH1062">
        <v>1</v>
      </c>
      <c r="EI1062">
        <v>0</v>
      </c>
      <c r="EJ1062">
        <v>0</v>
      </c>
      <c r="EK1062">
        <v>1</v>
      </c>
      <c r="EL1062">
        <v>0</v>
      </c>
      <c r="EM1062">
        <v>0</v>
      </c>
      <c r="EN1062" s="2">
        <v>0</v>
      </c>
      <c r="EP1062" t="str">
        <f>IF(AND(AND(AND(OR($EC1062=1,$EB1062=1),OR($EH1062=1,$EF1062=1)),SUM($EA1062:$EE1062,$EK1062)&gt;=3),SUM($EF1062:$EJ1062)&gt;=2),"Whole sector approach","")</f>
        <v>Whole sector approach</v>
      </c>
      <c r="EQ1062" t="str">
        <f>IF(AND(AND(OR($EC1062=1,$EB1062=1),AND($EH1062=0,$EF1062=0)),SUM($EA1062:$EE1062,$EK1062)&gt;=4),"Ecosystem approach","")</f>
        <v/>
      </c>
      <c r="ER1062" s="2" t="str">
        <f>IF(AND(AND(AND($EC1062=0,$EB1062=0),OR($EH1062=1,$EF1062=1)),SUM($EG1062:$EJ1062)&gt;=2),"Technology approach","")</f>
        <v/>
      </c>
      <c r="ES1062" t="str">
        <f>IF(AND($EC1062+$EB1062+$EE1062+$EA1062+$ED1062+$EG1062=0,$N1062="included"),"C neutral forest and HWP assumption","")</f>
        <v/>
      </c>
      <c r="ET1062" t="str">
        <f>IF(AND(AND(AND(AND($EC1062=1,$EB1062+$EA1062+$EG1062&gt;=1),$EF1062=1),$EH1062+$EI1062+$ED1062+$EE1062&gt;=2),$N1062="included"),"All C pools assumption","")</f>
        <v/>
      </c>
      <c r="EU1062" t="str">
        <f>IF(AND($ED1062+$EE1062+$EI1062+$EH1062+$EF1062=0,$N1062="included"),"In-situ only assumption","")</f>
        <v/>
      </c>
      <c r="EY1062" t="str">
        <f>IF(ISNUMBER(BW1062),IF(ABS(BW1062-[2]QC_indicators!$B$2)&gt;3*[2]QC_indicators!$C$2,"C ratio",IF(ISNUMBER(CA1062),IF(ABS(CA1062-[2]QC_indicators!$B$1)&gt;3*[2]QC_indicators!$C$1,"DF","no"))),IF(ISNUMBER(CA1062),IF(ABS(CA1062-[2]QC_indicators!$B$1)&gt;3*[2]QC_indicators!$C$1,"DF","no")))</f>
        <v>no</v>
      </c>
      <c r="EZ1062" t="s">
        <v>2214</v>
      </c>
      <c r="FA1062" t="str">
        <f>IF(LEN($CY1062)=0,"",IF(AND($CY1062&lt;(-0.05),$ES1062="C neutral forest and HWP assumption"),"Cneutral paradox",IF(AND($CY1062&gt;0.05,$EU1062="In-situ only assumption"),"In-situ only paradox","")))</f>
        <v/>
      </c>
      <c r="FD1062" s="260" t="s">
        <v>2932</v>
      </c>
    </row>
    <row r="1063" spans="1:160" ht="15" hidden="1" customHeight="1">
      <c r="A1063" s="1" t="s">
        <v>1295</v>
      </c>
      <c r="B1063" t="s">
        <v>2203</v>
      </c>
      <c r="C1063" t="s">
        <v>2204</v>
      </c>
      <c r="D1063" t="s">
        <v>2205</v>
      </c>
      <c r="E1063" t="s">
        <v>2206</v>
      </c>
      <c r="F1063" t="s">
        <v>2207</v>
      </c>
      <c r="G1063" t="s">
        <v>1301</v>
      </c>
      <c r="H1063" t="s">
        <v>254</v>
      </c>
      <c r="I1063">
        <v>2016</v>
      </c>
      <c r="J1063">
        <v>24</v>
      </c>
      <c r="K1063" t="s">
        <v>2208</v>
      </c>
      <c r="M1063" t="str">
        <f>LEFT($D1063,FIND(",",$D1063)-1)&amp;"_"&amp;I1063&amp;L1063</f>
        <v>Zubizarreta-Gerendiain_2016</v>
      </c>
      <c r="N1063" t="s">
        <v>222</v>
      </c>
      <c r="O1063" s="145" t="s">
        <v>1029</v>
      </c>
      <c r="Q1063" t="s">
        <v>256</v>
      </c>
      <c r="R1063" s="258" t="s">
        <v>223</v>
      </c>
      <c r="S1063" s="1" t="s">
        <v>2209</v>
      </c>
      <c r="T1063" t="s">
        <v>2215</v>
      </c>
      <c r="U1063" t="s">
        <v>2211</v>
      </c>
      <c r="V1063" s="253">
        <v>0</v>
      </c>
      <c r="W1063" s="253">
        <v>0</v>
      </c>
      <c r="X1063">
        <v>0</v>
      </c>
      <c r="Y1063">
        <v>0</v>
      </c>
      <c r="Z1063">
        <v>0</v>
      </c>
      <c r="AA1063">
        <v>2</v>
      </c>
      <c r="AB1063">
        <v>0</v>
      </c>
      <c r="AC1063">
        <v>0</v>
      </c>
      <c r="AD1063">
        <v>0</v>
      </c>
      <c r="AE1063">
        <v>0</v>
      </c>
      <c r="AF1063">
        <v>0</v>
      </c>
      <c r="AG1063">
        <v>0</v>
      </c>
      <c r="AH1063">
        <v>1</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s="141">
        <f>COUNTIF(X1063:AY1063,"&lt;&gt;0")</f>
        <v>2</v>
      </c>
      <c r="BA1063" s="141">
        <f>COUNTIF(X1063:AN1063,"&lt;&gt;0")</f>
        <v>2</v>
      </c>
      <c r="BB1063">
        <f>COUNTIF(X1063:AE1063,"&lt;&gt;0")</f>
        <v>1</v>
      </c>
      <c r="BC1063">
        <f>COUNTIF(AF1063:AK1063,"&lt;&gt;0")</f>
        <v>1</v>
      </c>
      <c r="BD1063">
        <f>COUNTIF(AL1063:AN1063,"&lt;&gt;0")</f>
        <v>0</v>
      </c>
      <c r="BE1063">
        <f>COUNTIF(AU1063:AY1063,"&lt;&gt;0")</f>
        <v>0</v>
      </c>
      <c r="BF1063">
        <f>COUNTIF(AO1063:AT1063,"&lt;&gt;0")</f>
        <v>0</v>
      </c>
      <c r="BG1063" t="str">
        <f t="array" ref="BG1063">IF(BA1063=1,INDEX($X$7:$AN$7,MATCH(TRUE,INDEX($X1063:$AY1063&lt;&gt;0,),0)),IF(BA1063=0,INDEX($AO$7:$AY$7,MATCH(1,$AO1063:$AY1063,0)),IF(BH1063="Multiple strategies","mixed drivers",IF(BH1063="Supply chain","multiple supply","multiple silviculture"))))</f>
        <v>mixed drivers</v>
      </c>
      <c r="BH1063" s="2" t="str" cm="1">
        <f t="array" ref="BH1063">IF(COUNTIF(BB1063:BD1063,"&lt;&gt;0")=1,INDEX($X$4:$AY$4,MATCH(TRUE,INDEX($X1063:$AY1063&lt;&gt;0,),0)),IF(COUNTIF(BB1063:BD1063,"&lt;&gt;0")=0,INDEX($AO$4:$AY$4,MATCH(1,$AO1063:$AY1063,0)),"Multiple strategies"))</f>
        <v>Multiple strategies</v>
      </c>
      <c r="BI1063" s="1" t="s">
        <v>321</v>
      </c>
      <c r="BJ1063" t="s">
        <v>2212</v>
      </c>
      <c r="BK1063" s="260" t="s">
        <v>1919</v>
      </c>
      <c r="BL1063" t="s">
        <v>2213</v>
      </c>
      <c r="BM1063">
        <v>70.532915360501505</v>
      </c>
      <c r="BN1063">
        <v>82.946708463949804</v>
      </c>
      <c r="BO1063" s="143">
        <f>BN1063/BM1063</f>
        <v>1.1760000000000004</v>
      </c>
      <c r="BP1063">
        <f>BN1063-BM1063</f>
        <v>12.413793103448299</v>
      </c>
      <c r="BQ1063">
        <f>BP1063*1000*t_to_m3</f>
        <v>25334.271639690407</v>
      </c>
      <c r="BR1063" s="143" t="s">
        <v>232</v>
      </c>
      <c r="BS1063" s="143" t="s">
        <v>2931</v>
      </c>
      <c r="BT1063" t="s">
        <v>1070</v>
      </c>
      <c r="BU1063">
        <v>-7420.1249162010854</v>
      </c>
      <c r="BV1063">
        <v>-114599.70703910608</v>
      </c>
      <c r="BW1063" s="144">
        <f>IFERROR(BV1063/BU1063,"")</f>
        <v>15.444444444444503</v>
      </c>
      <c r="BX1063" s="144">
        <f>BV1063-BU1063</f>
        <v>-107179.58212290501</v>
      </c>
      <c r="BY1063" s="144"/>
      <c r="BZ1063" s="144">
        <f>BX1063</f>
        <v>-107179.58212290501</v>
      </c>
      <c r="CA1063">
        <f>IFERROR(BZ1063/BQ1063,"")</f>
        <v>-4.2306162832402148</v>
      </c>
      <c r="CB1063">
        <v>0</v>
      </c>
      <c r="CC1063">
        <v>0</v>
      </c>
      <c r="CD1063">
        <v>0</v>
      </c>
      <c r="CE1063">
        <v>0</v>
      </c>
      <c r="CF1063">
        <v>0</v>
      </c>
      <c r="CG1063">
        <v>0</v>
      </c>
      <c r="CH1063">
        <v>0</v>
      </c>
      <c r="CI1063">
        <v>0</v>
      </c>
      <c r="CJ1063">
        <v>0</v>
      </c>
      <c r="CK1063">
        <v>0</v>
      </c>
      <c r="CL1063">
        <v>0</v>
      </c>
      <c r="CM1063">
        <v>0</v>
      </c>
      <c r="CN1063">
        <v>0</v>
      </c>
      <c r="CO1063">
        <v>1</v>
      </c>
      <c r="CP1063" t="str">
        <f>IF($BN1063&lt;$BM1063,"refNeedCorrection","refOK")</f>
        <v>refOK</v>
      </c>
      <c r="CQ1063">
        <f>IF($CP1063="refOK",$BM1063,$BN1063)</f>
        <v>70.532915360501505</v>
      </c>
      <c r="CR1063">
        <f>IF($CP1063="refOK",$BN1063,$BM1063)</f>
        <v>82.946708463949804</v>
      </c>
      <c r="CS1063">
        <f>IF($CP1063="refOK",$BQ1063,-$BQ1063)</f>
        <v>25334.271639690407</v>
      </c>
      <c r="CT1063">
        <f>IF(BI1063="Roundwood",$CS1063/2,$CS1063)</f>
        <v>12667.135819845204</v>
      </c>
      <c r="CU1063">
        <f>IF($CP1063="refOK",$BU1063,$BV1063)*IF($BR1063="Emissions positive",-1,1)</f>
        <v>-7420.1249162010854</v>
      </c>
      <c r="CV1063">
        <f>IF($CP1063="refOK",$BV1063,$BU1063)*IF($BR1063="Emissions positive",-1,1)</f>
        <v>-114599.70703910608</v>
      </c>
      <c r="CW1063">
        <f>IF($CP1063="refNeedCorrection",-BZ1063,BZ1063)*IF($BR1063="Emissions positive",-1,1)</f>
        <v>-107179.58212290501</v>
      </c>
      <c r="CX1063">
        <f>IFERROR($CW1063/$CS1063,"")</f>
        <v>-4.2306162832402148</v>
      </c>
      <c r="CY1063">
        <f>IFERROR($CW1063/$CS1063,"")</f>
        <v>-4.2306162832402148</v>
      </c>
      <c r="CZ1063">
        <f>IFERROR($CW1063/$CT1063,"")</f>
        <v>-8.4612325664804295</v>
      </c>
      <c r="DA1063" s="2">
        <f>IFERROR((CV1063-CU1063)/ABS(CU1063),"")</f>
        <v>-14.444444444444503</v>
      </c>
      <c r="DB1063" s="1" t="s">
        <v>1074</v>
      </c>
      <c r="DC1063" t="str">
        <f>IF(OR($DB1063="prd",$DB1063="std",$DB1063="cit"),"loc",IF(OR($DB1063="eur",$DB1063="reg",$DB1063="coy"),"reg",$DB1063))</f>
        <v>reg</v>
      </c>
      <c r="DD1063" t="s">
        <v>235</v>
      </c>
      <c r="DE1063">
        <v>2010</v>
      </c>
      <c r="DF1063">
        <v>2070</v>
      </c>
      <c r="DG1063">
        <f>DF1063-DE1063</f>
        <v>60</v>
      </c>
      <c r="DH1063" t="str">
        <f>IF(DG1063=0,"0",IF(AND(DG1063&gt;=1,DG1063&lt;=30),"1-30",IF(AND(DG1063&gt;30,DG1063&lt;=70),"31-70",IF(AND(DG1063&gt;70,DG1063&lt;=100),"71-100",IF(DG1063&gt;100,"+100")))))</f>
        <v>31-70</v>
      </c>
      <c r="DI1063">
        <v>1</v>
      </c>
      <c r="DJ1063">
        <v>1</v>
      </c>
      <c r="DK1063">
        <v>1</v>
      </c>
      <c r="DL1063">
        <v>1</v>
      </c>
      <c r="DM1063">
        <v>0</v>
      </c>
      <c r="DN1063">
        <f>SUM(DI1063:DL1063)</f>
        <v>4</v>
      </c>
      <c r="DO1063" t="str">
        <f>IF(DN1063=1,INDEX($DI$7:$DL$7,MATCH(1,$DI1063:$DL1063,0)),"mixedProduct")</f>
        <v>mixedProduct</v>
      </c>
      <c r="DP1063" t="str">
        <f>IF(DI1063=1,DP$7,0)</f>
        <v>Upstream</v>
      </c>
      <c r="DQ1063" t="str">
        <f>IF(DJ1063=1,DQ$7,0)</f>
        <v>Energy</v>
      </c>
      <c r="DR1063" t="str">
        <f>IF(DK1063=1,DR$7,0)</f>
        <v>Pulp/Paper</v>
      </c>
      <c r="DS1063" t="str">
        <f>IF(DL1063=1,DS$7,0)</f>
        <v>Timber</v>
      </c>
      <c r="DT1063">
        <v>0</v>
      </c>
      <c r="DU1063">
        <v>0</v>
      </c>
      <c r="DV1063">
        <v>0</v>
      </c>
      <c r="DW1063">
        <v>0</v>
      </c>
      <c r="DX1063">
        <v>0</v>
      </c>
      <c r="DY1063">
        <f>SUM(DT1063:DU1063)</f>
        <v>0</v>
      </c>
      <c r="DZ1063" s="143" t="str">
        <f>IF(DT1063=1,"self-calculated DF",IF(DU1063=1,"external DF used","explicit C balance"))</f>
        <v>explicit C balance</v>
      </c>
      <c r="EA1063">
        <v>1</v>
      </c>
      <c r="EB1063">
        <v>1</v>
      </c>
      <c r="EC1063">
        <v>1</v>
      </c>
      <c r="ED1063">
        <v>0</v>
      </c>
      <c r="EE1063">
        <v>0</v>
      </c>
      <c r="EF1063" s="143">
        <v>0</v>
      </c>
      <c r="EG1063">
        <v>1</v>
      </c>
      <c r="EH1063">
        <v>1</v>
      </c>
      <c r="EI1063">
        <v>0</v>
      </c>
      <c r="EJ1063">
        <v>0</v>
      </c>
      <c r="EK1063">
        <v>1</v>
      </c>
      <c r="EL1063">
        <v>0</v>
      </c>
      <c r="EM1063">
        <v>0</v>
      </c>
      <c r="EN1063" s="2">
        <v>0</v>
      </c>
      <c r="EP1063" t="str">
        <f>IF(AND(AND(AND(OR($EC1063=1,$EB1063=1),OR($EH1063=1,$EF1063=1)),SUM($EA1063:$EE1063,$EK1063)&gt;=3),SUM($EF1063:$EJ1063)&gt;=2),"Whole sector approach","")</f>
        <v>Whole sector approach</v>
      </c>
      <c r="EQ1063" t="str">
        <f>IF(AND(AND(OR($EC1063=1,$EB1063=1),AND($EH1063=0,$EF1063=0)),SUM($EA1063:$EE1063,$EK1063)&gt;=4),"Ecosystem approach","")</f>
        <v/>
      </c>
      <c r="ER1063" s="2" t="str">
        <f>IF(AND(AND(AND($EC1063=0,$EB1063=0),OR($EH1063=1,$EF1063=1)),SUM($EG1063:$EJ1063)&gt;=2),"Technology approach","")</f>
        <v/>
      </c>
      <c r="ES1063" t="str">
        <f>IF(AND($EC1063+$EB1063+$EE1063+$EA1063+$ED1063+$EG1063=0,$N1063="included"),"C neutral forest and HWP assumption","")</f>
        <v/>
      </c>
      <c r="ET1063" t="str">
        <f>IF(AND(AND(AND(AND($EC1063=1,$EB1063+$EA1063+$EG1063&gt;=1),$EF1063=1),$EH1063+$EI1063+$ED1063+$EE1063&gt;=2),$N1063="included"),"All C pools assumption","")</f>
        <v/>
      </c>
      <c r="EU1063" t="str">
        <f>IF(AND($ED1063+$EE1063+$EI1063+$EH1063+$EF1063=0,$N1063="included"),"In-situ only assumption","")</f>
        <v/>
      </c>
      <c r="EY1063" t="str">
        <f>IF(ISNUMBER(BW1063),IF(ABS(BW1063-[2]QC_indicators!$B$2)&gt;3*[2]QC_indicators!$C$2,"C ratio",IF(ISNUMBER(CA1063),IF(ABS(CA1063-[2]QC_indicators!$B$1)&gt;3*[2]QC_indicators!$C$1,"DF","no"))),IF(ISNUMBER(CA1063),IF(ABS(CA1063-[2]QC_indicators!$B$1)&gt;3*[2]QC_indicators!$C$1,"DF","no")))</f>
        <v>C ratio</v>
      </c>
      <c r="EZ1063" t="s">
        <v>2214</v>
      </c>
      <c r="FA1063" t="str">
        <f>IF(LEN($CY1063)=0,"",IF(AND($CY1063&lt;(-0.05),$ES1063="C neutral forest and HWP assumption"),"Cneutral paradox",IF(AND($CY1063&gt;0.05,$EU1063="In-situ only assumption"),"In-situ only paradox","")))</f>
        <v/>
      </c>
      <c r="FD1063" s="260" t="s">
        <v>2932</v>
      </c>
    </row>
    <row r="1064" spans="1:160" ht="15" hidden="1" customHeight="1">
      <c r="A1064" s="1" t="s">
        <v>1295</v>
      </c>
      <c r="B1064" t="s">
        <v>2203</v>
      </c>
      <c r="C1064" t="s">
        <v>2204</v>
      </c>
      <c r="D1064" t="s">
        <v>2205</v>
      </c>
      <c r="E1064" t="s">
        <v>2206</v>
      </c>
      <c r="F1064" t="s">
        <v>2207</v>
      </c>
      <c r="G1064" t="s">
        <v>1301</v>
      </c>
      <c r="H1064" t="s">
        <v>254</v>
      </c>
      <c r="I1064">
        <v>2016</v>
      </c>
      <c r="J1064">
        <v>24</v>
      </c>
      <c r="K1064" t="s">
        <v>2208</v>
      </c>
      <c r="M1064" t="str">
        <f>LEFT($D1064,FIND(",",$D1064)-1)&amp;"_"&amp;I1064&amp;L1064</f>
        <v>Zubizarreta-Gerendiain_2016</v>
      </c>
      <c r="N1064" t="s">
        <v>222</v>
      </c>
      <c r="O1064" s="145" t="s">
        <v>1029</v>
      </c>
      <c r="Q1064" t="s">
        <v>256</v>
      </c>
      <c r="R1064" s="258" t="s">
        <v>223</v>
      </c>
      <c r="S1064" s="1" t="s">
        <v>2209</v>
      </c>
      <c r="T1064" t="s">
        <v>2210</v>
      </c>
      <c r="U1064" t="s">
        <v>2211</v>
      </c>
      <c r="V1064" s="253">
        <v>0</v>
      </c>
      <c r="W1064" s="253">
        <v>0</v>
      </c>
      <c r="X1064">
        <v>0</v>
      </c>
      <c r="Y1064">
        <v>0</v>
      </c>
      <c r="Z1064">
        <v>0</v>
      </c>
      <c r="AA1064">
        <v>2</v>
      </c>
      <c r="AB1064">
        <v>0</v>
      </c>
      <c r="AC1064">
        <v>0</v>
      </c>
      <c r="AD1064">
        <v>0</v>
      </c>
      <c r="AE1064">
        <v>0</v>
      </c>
      <c r="AF1064">
        <v>0</v>
      </c>
      <c r="AG1064">
        <v>0</v>
      </c>
      <c r="AH1064">
        <v>1</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s="141">
        <f>COUNTIF(X1064:AY1064,"&lt;&gt;0")</f>
        <v>2</v>
      </c>
      <c r="BA1064" s="141">
        <f>COUNTIF(X1064:AN1064,"&lt;&gt;0")</f>
        <v>2</v>
      </c>
      <c r="BB1064">
        <f>COUNTIF(X1064:AE1064,"&lt;&gt;0")</f>
        <v>1</v>
      </c>
      <c r="BC1064">
        <f>COUNTIF(AF1064:AK1064,"&lt;&gt;0")</f>
        <v>1</v>
      </c>
      <c r="BD1064">
        <f>COUNTIF(AL1064:AN1064,"&lt;&gt;0")</f>
        <v>0</v>
      </c>
      <c r="BE1064">
        <f>COUNTIF(AU1064:AY1064,"&lt;&gt;0")</f>
        <v>0</v>
      </c>
      <c r="BF1064">
        <f>COUNTIF(AO1064:AT1064,"&lt;&gt;0")</f>
        <v>0</v>
      </c>
      <c r="BG1064" t="str">
        <f t="array" ref="BG1064">IF(BA1064=1,INDEX($X$7:$AN$7,MATCH(TRUE,INDEX($X1064:$AY1064&lt;&gt;0,),0)),IF(BA1064=0,INDEX($AO$7:$AY$7,MATCH(1,$AO1064:$AY1064,0)),IF(BH1064="Multiple strategies","mixed drivers",IF(BH1064="Supply chain","multiple supply","multiple silviculture"))))</f>
        <v>mixed drivers</v>
      </c>
      <c r="BH1064" s="2" t="str" cm="1">
        <f t="array" ref="BH1064">IF(COUNTIF(BB1064:BD1064,"&lt;&gt;0")=1,INDEX($X$4:$AY$4,MATCH(TRUE,INDEX($X1064:$AY1064&lt;&gt;0,),0)),IF(COUNTIF(BB1064:BD1064,"&lt;&gt;0")=0,INDEX($AO$4:$AY$4,MATCH(1,$AO1064:$AY1064,0)),"Multiple strategies"))</f>
        <v>Multiple strategies</v>
      </c>
      <c r="BI1064" s="1" t="s">
        <v>321</v>
      </c>
      <c r="BJ1064" t="s">
        <v>2212</v>
      </c>
      <c r="BK1064" s="260" t="s">
        <v>1919</v>
      </c>
      <c r="BL1064" t="s">
        <v>2213</v>
      </c>
      <c r="BM1064">
        <v>77.868338557993695</v>
      </c>
      <c r="BN1064">
        <v>82.946708463949804</v>
      </c>
      <c r="BO1064" s="143">
        <f>BN1064/BM1064</f>
        <v>1.0652173913043479</v>
      </c>
      <c r="BP1064">
        <f>BN1064-BM1064</f>
        <v>5.0783699059561087</v>
      </c>
      <c r="BQ1064">
        <f>BP1064*1000*t_to_m3</f>
        <v>10364.020216236957</v>
      </c>
      <c r="BR1064" s="143" t="s">
        <v>232</v>
      </c>
      <c r="BS1064" s="143" t="s">
        <v>2931</v>
      </c>
      <c r="BT1064" t="s">
        <v>1070</v>
      </c>
      <c r="BU1064">
        <v>22397.784469273742</v>
      </c>
      <c r="BV1064">
        <v>-27756.76357541895</v>
      </c>
      <c r="BW1064" s="144">
        <f>IFERROR(BV1064/BU1064,"")</f>
        <v>-1.2392638036809798</v>
      </c>
      <c r="BX1064" s="144">
        <f>BV1064-BU1064</f>
        <v>-50154.548044692696</v>
      </c>
      <c r="BY1064" s="144"/>
      <c r="BZ1064" s="144">
        <f>BX1064</f>
        <v>-50154.548044692696</v>
      </c>
      <c r="CA1064">
        <f>IFERROR(BZ1064/BQ1064,"")</f>
        <v>-4.8392946943616799</v>
      </c>
      <c r="CB1064">
        <v>0</v>
      </c>
      <c r="CC1064">
        <v>0</v>
      </c>
      <c r="CD1064">
        <v>0</v>
      </c>
      <c r="CE1064">
        <v>0</v>
      </c>
      <c r="CF1064">
        <v>0</v>
      </c>
      <c r="CG1064">
        <v>0</v>
      </c>
      <c r="CH1064">
        <v>0</v>
      </c>
      <c r="CI1064">
        <v>0</v>
      </c>
      <c r="CJ1064">
        <v>0</v>
      </c>
      <c r="CK1064">
        <v>0</v>
      </c>
      <c r="CL1064">
        <v>0</v>
      </c>
      <c r="CM1064">
        <v>0</v>
      </c>
      <c r="CN1064">
        <v>0</v>
      </c>
      <c r="CO1064">
        <v>1</v>
      </c>
      <c r="CP1064" t="str">
        <f>IF($BN1064&lt;$BM1064,"refNeedCorrection","refOK")</f>
        <v>refOK</v>
      </c>
      <c r="CQ1064">
        <f>IF($CP1064="refOK",$BM1064,$BN1064)</f>
        <v>77.868338557993695</v>
      </c>
      <c r="CR1064">
        <f>IF($CP1064="refOK",$BN1064,$BM1064)</f>
        <v>82.946708463949804</v>
      </c>
      <c r="CS1064">
        <f>IF($CP1064="refOK",$BQ1064,-$BQ1064)</f>
        <v>10364.020216236957</v>
      </c>
      <c r="CT1064">
        <f>IF(BI1064="Roundwood",$CS1064/2,$CS1064)</f>
        <v>5182.0101081184785</v>
      </c>
      <c r="CU1064">
        <f>IF($CP1064="refOK",$BU1064,$BV1064)*IF($BR1064="Emissions positive",-1,1)</f>
        <v>22397.784469273742</v>
      </c>
      <c r="CV1064">
        <f>IF($CP1064="refOK",$BV1064,$BU1064)*IF($BR1064="Emissions positive",-1,1)</f>
        <v>-27756.76357541895</v>
      </c>
      <c r="CW1064">
        <f>IF($CP1064="refNeedCorrection",-BZ1064,BZ1064)*IF($BR1064="Emissions positive",-1,1)</f>
        <v>-50154.548044692696</v>
      </c>
      <c r="CX1064">
        <f>IFERROR($CW1064/$CS1064,"")</f>
        <v>-4.8392946943616799</v>
      </c>
      <c r="CY1064">
        <f>IFERROR($CW1064/$CS1064,"")</f>
        <v>-4.8392946943616799</v>
      </c>
      <c r="CZ1064">
        <f>IFERROR($CW1064/$CT1064,"")</f>
        <v>-9.6785893887233598</v>
      </c>
      <c r="DA1064" s="2">
        <f>IFERROR((CV1064-CU1064)/ABS(CU1064),"")</f>
        <v>-2.2392638036809798</v>
      </c>
      <c r="DB1064" s="1" t="s">
        <v>1074</v>
      </c>
      <c r="DC1064" t="str">
        <f>IF(OR($DB1064="prd",$DB1064="std",$DB1064="cit"),"loc",IF(OR($DB1064="eur",$DB1064="reg",$DB1064="coy"),"reg",$DB1064))</f>
        <v>reg</v>
      </c>
      <c r="DD1064" t="s">
        <v>235</v>
      </c>
      <c r="DE1064">
        <v>2010</v>
      </c>
      <c r="DF1064">
        <v>2070</v>
      </c>
      <c r="DG1064">
        <f>DF1064-DE1064</f>
        <v>60</v>
      </c>
      <c r="DH1064" t="str">
        <f>IF(DG1064=0,"0",IF(AND(DG1064&gt;=1,DG1064&lt;=30),"1-30",IF(AND(DG1064&gt;30,DG1064&lt;=70),"31-70",IF(AND(DG1064&gt;70,DG1064&lt;=100),"71-100",IF(DG1064&gt;100,"+100")))))</f>
        <v>31-70</v>
      </c>
      <c r="DI1064">
        <v>1</v>
      </c>
      <c r="DJ1064">
        <v>1</v>
      </c>
      <c r="DK1064">
        <v>1</v>
      </c>
      <c r="DL1064">
        <v>1</v>
      </c>
      <c r="DM1064">
        <v>0</v>
      </c>
      <c r="DN1064">
        <f>SUM(DI1064:DL1064)</f>
        <v>4</v>
      </c>
      <c r="DO1064" t="str">
        <f>IF(DN1064=1,INDEX($DI$7:$DL$7,MATCH(1,$DI1064:$DL1064,0)),"mixedProduct")</f>
        <v>mixedProduct</v>
      </c>
      <c r="DP1064" t="str">
        <f>IF(DI1064=1,DP$7,0)</f>
        <v>Upstream</v>
      </c>
      <c r="DQ1064" t="str">
        <f>IF(DJ1064=1,DQ$7,0)</f>
        <v>Energy</v>
      </c>
      <c r="DR1064" t="str">
        <f>IF(DK1064=1,DR$7,0)</f>
        <v>Pulp/Paper</v>
      </c>
      <c r="DS1064" t="str">
        <f>IF(DL1064=1,DS$7,0)</f>
        <v>Timber</v>
      </c>
      <c r="DT1064">
        <v>0</v>
      </c>
      <c r="DU1064">
        <v>1</v>
      </c>
      <c r="DV1064" t="s">
        <v>2237</v>
      </c>
      <c r="DW1064" t="s">
        <v>2238</v>
      </c>
      <c r="DX1064">
        <v>0</v>
      </c>
      <c r="DY1064">
        <f>SUM(DT1064:DU1064)</f>
        <v>1</v>
      </c>
      <c r="DZ1064" s="143" t="str">
        <f>IF(DT1064=1,"self-calculated DF",IF(DU1064=1,"external DF used","explicit C balance"))</f>
        <v>external DF used</v>
      </c>
      <c r="EA1064">
        <v>1</v>
      </c>
      <c r="EB1064">
        <v>1</v>
      </c>
      <c r="EC1064">
        <v>1</v>
      </c>
      <c r="ED1064">
        <v>1</v>
      </c>
      <c r="EE1064">
        <v>0</v>
      </c>
      <c r="EF1064" s="143">
        <v>1</v>
      </c>
      <c r="EG1064">
        <v>1</v>
      </c>
      <c r="EH1064">
        <v>1</v>
      </c>
      <c r="EI1064">
        <v>0</v>
      </c>
      <c r="EJ1064">
        <v>0</v>
      </c>
      <c r="EK1064">
        <v>1</v>
      </c>
      <c r="EL1064">
        <v>0</v>
      </c>
      <c r="EM1064">
        <v>0</v>
      </c>
      <c r="EN1064" s="2">
        <v>0</v>
      </c>
      <c r="EP1064" t="str">
        <f>IF(AND(AND(AND(OR($EC1064=1,$EB1064=1),OR($EH1064=1,$EF1064=1)),SUM($EA1064:$EE1064,$EK1064)&gt;=3),SUM($EF1064:$EJ1064)&gt;=2),"Whole sector approach","")</f>
        <v>Whole sector approach</v>
      </c>
      <c r="EQ1064" t="str">
        <f>IF(AND(AND(OR($EC1064=1,$EB1064=1),AND($EH1064=0,$EF1064=0)),SUM($EA1064:$EE1064,$EK1064)&gt;=4),"Ecosystem approach","")</f>
        <v/>
      </c>
      <c r="ER1064" s="2" t="str">
        <f>IF(AND(AND(AND($EC1064=0,$EB1064=0),OR($EH1064=1,$EF1064=1)),SUM($EG1064:$EJ1064)&gt;=2),"Technology approach","")</f>
        <v/>
      </c>
      <c r="ES1064" t="str">
        <f>IF(AND($EC1064+$EB1064+$EE1064+$EA1064+$ED1064+$EG1064=0,$N1064="included"),"C neutral forest and HWP assumption","")</f>
        <v/>
      </c>
      <c r="ET1064" t="str">
        <f>IF(AND(AND(AND(AND($EC1064=1,$EB1064+$EA1064+$EG1064&gt;=1),$EF1064=1),$EH1064+$EI1064+$ED1064+$EE1064&gt;=2),$N1064="included"),"All C pools assumption","")</f>
        <v>All C pools assumption</v>
      </c>
      <c r="EU1064" t="str">
        <f>IF(AND($ED1064+$EE1064+$EI1064+$EH1064+$EF1064=0,$N1064="included"),"In-situ only assumption","")</f>
        <v/>
      </c>
      <c r="EY1064" t="str">
        <f>IF(ISNUMBER(BW1064),IF(ABS(BW1064-[2]QC_indicators!$B$2)&gt;3*[2]QC_indicators!$C$2,"C ratio",IF(ISNUMBER(CA1064),IF(ABS(CA1064-[2]QC_indicators!$B$1)&gt;3*[2]QC_indicators!$C$1,"DF","no"))),IF(ISNUMBER(CA1064),IF(ABS(CA1064-[2]QC_indicators!$B$1)&gt;3*[2]QC_indicators!$C$1,"DF","no")))</f>
        <v>no</v>
      </c>
      <c r="EZ1064" t="s">
        <v>2214</v>
      </c>
      <c r="FA1064" t="str">
        <f>IF(LEN($CY1064)=0,"",IF(AND($CY1064&lt;(-0.05),$ES1064="C neutral forest and HWP assumption"),"Cneutral paradox",IF(AND($CY1064&gt;0.05,$EU1064="In-situ only assumption"),"In-situ only paradox","")))</f>
        <v/>
      </c>
      <c r="FD1064" s="260" t="s">
        <v>2932</v>
      </c>
    </row>
    <row r="1065" spans="1:160" ht="15" hidden="1" customHeight="1">
      <c r="A1065" s="1" t="s">
        <v>1295</v>
      </c>
      <c r="B1065" t="s">
        <v>2203</v>
      </c>
      <c r="C1065" t="s">
        <v>2204</v>
      </c>
      <c r="D1065" t="s">
        <v>2205</v>
      </c>
      <c r="E1065" t="s">
        <v>2206</v>
      </c>
      <c r="F1065" t="s">
        <v>2207</v>
      </c>
      <c r="G1065" t="s">
        <v>1301</v>
      </c>
      <c r="H1065" t="s">
        <v>254</v>
      </c>
      <c r="I1065">
        <v>2016</v>
      </c>
      <c r="J1065">
        <v>24</v>
      </c>
      <c r="K1065" t="s">
        <v>2208</v>
      </c>
      <c r="M1065" t="str">
        <f>LEFT($D1065,FIND(",",$D1065)-1)&amp;"_"&amp;I1065&amp;L1065</f>
        <v>Zubizarreta-Gerendiain_2016</v>
      </c>
      <c r="N1065" t="s">
        <v>222</v>
      </c>
      <c r="O1065" s="145" t="s">
        <v>1029</v>
      </c>
      <c r="Q1065" t="s">
        <v>256</v>
      </c>
      <c r="R1065" s="258" t="s">
        <v>223</v>
      </c>
      <c r="S1065" s="1" t="s">
        <v>2209</v>
      </c>
      <c r="T1065" t="s">
        <v>2210</v>
      </c>
      <c r="U1065" t="s">
        <v>2211</v>
      </c>
      <c r="V1065" s="253">
        <v>0</v>
      </c>
      <c r="W1065" s="253">
        <v>0</v>
      </c>
      <c r="X1065">
        <v>0</v>
      </c>
      <c r="Y1065">
        <v>0</v>
      </c>
      <c r="Z1065">
        <v>0</v>
      </c>
      <c r="AA1065">
        <v>2</v>
      </c>
      <c r="AB1065">
        <v>0</v>
      </c>
      <c r="AC1065">
        <v>0</v>
      </c>
      <c r="AD1065">
        <v>0</v>
      </c>
      <c r="AE1065">
        <v>0</v>
      </c>
      <c r="AF1065">
        <v>0</v>
      </c>
      <c r="AG1065">
        <v>0</v>
      </c>
      <c r="AH1065">
        <v>1</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s="141">
        <f>COUNTIF(X1065:AY1065,"&lt;&gt;0")</f>
        <v>2</v>
      </c>
      <c r="BA1065" s="141">
        <f>COUNTIF(X1065:AN1065,"&lt;&gt;0")</f>
        <v>2</v>
      </c>
      <c r="BB1065">
        <f>COUNTIF(X1065:AE1065,"&lt;&gt;0")</f>
        <v>1</v>
      </c>
      <c r="BC1065">
        <f>COUNTIF(AF1065:AK1065,"&lt;&gt;0")</f>
        <v>1</v>
      </c>
      <c r="BD1065">
        <f>COUNTIF(AL1065:AN1065,"&lt;&gt;0")</f>
        <v>0</v>
      </c>
      <c r="BE1065">
        <f>COUNTIF(AU1065:AY1065,"&lt;&gt;0")</f>
        <v>0</v>
      </c>
      <c r="BF1065">
        <f>COUNTIF(AO1065:AT1065,"&lt;&gt;0")</f>
        <v>0</v>
      </c>
      <c r="BG1065" t="str">
        <f t="array" ref="BG1065">IF(BA1065=1,INDEX($X$7:$AN$7,MATCH(TRUE,INDEX($X1065:$AY1065&lt;&gt;0,),0)),IF(BA1065=0,INDEX($AO$7:$AY$7,MATCH(1,$AO1065:$AY1065,0)),IF(BH1065="Multiple strategies","mixed drivers",IF(BH1065="Supply chain","multiple supply","multiple silviculture"))))</f>
        <v>mixed drivers</v>
      </c>
      <c r="BH1065" s="2" t="str" cm="1">
        <f t="array" ref="BH1065">IF(COUNTIF(BB1065:BD1065,"&lt;&gt;0")=1,INDEX($X$4:$AY$4,MATCH(TRUE,INDEX($X1065:$AY1065&lt;&gt;0,),0)),IF(COUNTIF(BB1065:BD1065,"&lt;&gt;0")=0,INDEX($AO$4:$AY$4,MATCH(1,$AO1065:$AY1065,0)),"Multiple strategies"))</f>
        <v>Multiple strategies</v>
      </c>
      <c r="BI1065" s="1" t="s">
        <v>321</v>
      </c>
      <c r="BJ1065" t="s">
        <v>2212</v>
      </c>
      <c r="BK1065" s="260" t="s">
        <v>1919</v>
      </c>
      <c r="BL1065" t="s">
        <v>2213</v>
      </c>
      <c r="BM1065">
        <v>77.868338557993695</v>
      </c>
      <c r="BN1065">
        <v>82.946708463949804</v>
      </c>
      <c r="BO1065" s="143">
        <f>BN1065/BM1065</f>
        <v>1.0652173913043479</v>
      </c>
      <c r="BP1065">
        <f>BN1065-BM1065</f>
        <v>5.0783699059561087</v>
      </c>
      <c r="BQ1065">
        <f>BP1065*1000*t_to_m3</f>
        <v>10364.020216236957</v>
      </c>
      <c r="BR1065" s="143" t="s">
        <v>232</v>
      </c>
      <c r="BS1065" s="143" t="s">
        <v>2931</v>
      </c>
      <c r="BT1065" t="s">
        <v>1070</v>
      </c>
      <c r="BU1065">
        <v>-52765.33273743005</v>
      </c>
      <c r="BV1065">
        <v>-114599.70703910608</v>
      </c>
      <c r="BW1065" s="144">
        <f>IFERROR(BV1065/BU1065,"")</f>
        <v>2.1718750000000036</v>
      </c>
      <c r="BX1065" s="144">
        <f>BV1065-BU1065</f>
        <v>-61834.374301676035</v>
      </c>
      <c r="BY1065" s="144"/>
      <c r="BZ1065" s="144">
        <f>BX1065</f>
        <v>-61834.374301676035</v>
      </c>
      <c r="CA1065">
        <f>IFERROR(BZ1065/BQ1065,"")</f>
        <v>-5.9662537327746845</v>
      </c>
      <c r="CB1065">
        <v>0</v>
      </c>
      <c r="CC1065">
        <v>0</v>
      </c>
      <c r="CD1065">
        <v>0</v>
      </c>
      <c r="CE1065">
        <v>0</v>
      </c>
      <c r="CF1065">
        <v>0</v>
      </c>
      <c r="CG1065">
        <v>0</v>
      </c>
      <c r="CH1065">
        <v>0</v>
      </c>
      <c r="CI1065">
        <v>0</v>
      </c>
      <c r="CJ1065">
        <v>0</v>
      </c>
      <c r="CK1065">
        <v>0</v>
      </c>
      <c r="CL1065">
        <v>0</v>
      </c>
      <c r="CM1065">
        <v>0</v>
      </c>
      <c r="CN1065">
        <v>0</v>
      </c>
      <c r="CO1065">
        <v>1</v>
      </c>
      <c r="CP1065" t="str">
        <f>IF($BN1065&lt;$BM1065,"refNeedCorrection","refOK")</f>
        <v>refOK</v>
      </c>
      <c r="CQ1065">
        <f>IF($CP1065="refOK",$BM1065,$BN1065)</f>
        <v>77.868338557993695</v>
      </c>
      <c r="CR1065">
        <f>IF($CP1065="refOK",$BN1065,$BM1065)</f>
        <v>82.946708463949804</v>
      </c>
      <c r="CS1065">
        <f>IF($CP1065="refOK",$BQ1065,-$BQ1065)</f>
        <v>10364.020216236957</v>
      </c>
      <c r="CT1065">
        <f>IF(BI1065="Roundwood",$CS1065/2,$CS1065)</f>
        <v>5182.0101081184785</v>
      </c>
      <c r="CU1065">
        <f>IF($CP1065="refOK",$BU1065,$BV1065)*IF($BR1065="Emissions positive",-1,1)</f>
        <v>-52765.33273743005</v>
      </c>
      <c r="CV1065">
        <f>IF($CP1065="refOK",$BV1065,$BU1065)*IF($BR1065="Emissions positive",-1,1)</f>
        <v>-114599.70703910608</v>
      </c>
      <c r="CW1065">
        <f>IF($CP1065="refNeedCorrection",-BZ1065,BZ1065)*IF($BR1065="Emissions positive",-1,1)</f>
        <v>-61834.374301676035</v>
      </c>
      <c r="CX1065">
        <f>IFERROR($CW1065/$CS1065,"")</f>
        <v>-5.9662537327746845</v>
      </c>
      <c r="CY1065">
        <f>IFERROR($CW1065/$CS1065,"")</f>
        <v>-5.9662537327746845</v>
      </c>
      <c r="CZ1065">
        <f>IFERROR($CW1065/$CT1065,"")</f>
        <v>-11.932507465549369</v>
      </c>
      <c r="DA1065" s="2">
        <f>IFERROR((CV1065-CU1065)/ABS(CU1065),"")</f>
        <v>-1.1718750000000038</v>
      </c>
      <c r="DB1065" s="1" t="s">
        <v>1074</v>
      </c>
      <c r="DC1065" t="str">
        <f>IF(OR($DB1065="prd",$DB1065="std",$DB1065="cit"),"loc",IF(OR($DB1065="eur",$DB1065="reg",$DB1065="coy"),"reg",$DB1065))</f>
        <v>reg</v>
      </c>
      <c r="DD1065" t="s">
        <v>235</v>
      </c>
      <c r="DE1065">
        <v>2010</v>
      </c>
      <c r="DF1065">
        <v>2070</v>
      </c>
      <c r="DG1065">
        <f>DF1065-DE1065</f>
        <v>60</v>
      </c>
      <c r="DH1065" t="str">
        <f>IF(DG1065=0,"0",IF(AND(DG1065&gt;=1,DG1065&lt;=30),"1-30",IF(AND(DG1065&gt;30,DG1065&lt;=70),"31-70",IF(AND(DG1065&gt;70,DG1065&lt;=100),"71-100",IF(DG1065&gt;100,"+100")))))</f>
        <v>31-70</v>
      </c>
      <c r="DI1065">
        <v>1</v>
      </c>
      <c r="DJ1065">
        <v>1</v>
      </c>
      <c r="DK1065">
        <v>1</v>
      </c>
      <c r="DL1065">
        <v>1</v>
      </c>
      <c r="DM1065">
        <v>0</v>
      </c>
      <c r="DN1065">
        <f>SUM(DI1065:DL1065)</f>
        <v>4</v>
      </c>
      <c r="DO1065" t="str">
        <f>IF(DN1065=1,INDEX($DI$7:$DL$7,MATCH(1,$DI1065:$DL1065,0)),"mixedProduct")</f>
        <v>mixedProduct</v>
      </c>
      <c r="DP1065" t="str">
        <f>IF(DI1065=1,DP$7,0)</f>
        <v>Upstream</v>
      </c>
      <c r="DQ1065" t="str">
        <f>IF(DJ1065=1,DQ$7,0)</f>
        <v>Energy</v>
      </c>
      <c r="DR1065" t="str">
        <f>IF(DK1065=1,DR$7,0)</f>
        <v>Pulp/Paper</v>
      </c>
      <c r="DS1065" t="str">
        <f>IF(DL1065=1,DS$7,0)</f>
        <v>Timber</v>
      </c>
      <c r="DT1065">
        <v>0</v>
      </c>
      <c r="DU1065">
        <v>0</v>
      </c>
      <c r="DV1065">
        <v>0</v>
      </c>
      <c r="DW1065">
        <v>0</v>
      </c>
      <c r="DX1065">
        <v>0</v>
      </c>
      <c r="DY1065">
        <f>SUM(DT1065:DU1065)</f>
        <v>0</v>
      </c>
      <c r="DZ1065" s="143" t="str">
        <f>IF(DT1065=1,"self-calculated DF",IF(DU1065=1,"external DF used","explicit C balance"))</f>
        <v>explicit C balance</v>
      </c>
      <c r="EA1065">
        <v>1</v>
      </c>
      <c r="EB1065">
        <v>1</v>
      </c>
      <c r="EC1065">
        <v>1</v>
      </c>
      <c r="ED1065">
        <v>0</v>
      </c>
      <c r="EE1065">
        <v>0</v>
      </c>
      <c r="EF1065" s="143">
        <v>0</v>
      </c>
      <c r="EG1065">
        <v>1</v>
      </c>
      <c r="EH1065">
        <v>1</v>
      </c>
      <c r="EI1065">
        <v>0</v>
      </c>
      <c r="EJ1065">
        <v>0</v>
      </c>
      <c r="EK1065">
        <v>1</v>
      </c>
      <c r="EL1065">
        <v>0</v>
      </c>
      <c r="EM1065">
        <v>0</v>
      </c>
      <c r="EN1065" s="2">
        <v>0</v>
      </c>
      <c r="EP1065" t="str">
        <f>IF(AND(AND(AND(OR($EC1065=1,$EB1065=1),OR($EH1065=1,$EF1065=1)),SUM($EA1065:$EE1065,$EK1065)&gt;=3),SUM($EF1065:$EJ1065)&gt;=2),"Whole sector approach","")</f>
        <v>Whole sector approach</v>
      </c>
      <c r="EQ1065" t="str">
        <f>IF(AND(AND(OR($EC1065=1,$EB1065=1),AND($EH1065=0,$EF1065=0)),SUM($EA1065:$EE1065,$EK1065)&gt;=4),"Ecosystem approach","")</f>
        <v/>
      </c>
      <c r="ER1065" s="2" t="str">
        <f>IF(AND(AND(AND($EC1065=0,$EB1065=0),OR($EH1065=1,$EF1065=1)),SUM($EG1065:$EJ1065)&gt;=2),"Technology approach","")</f>
        <v/>
      </c>
      <c r="ES1065" t="str">
        <f>IF(AND($EC1065+$EB1065+$EE1065+$EA1065+$ED1065+$EG1065=0,$N1065="included"),"C neutral forest and HWP assumption","")</f>
        <v/>
      </c>
      <c r="ET1065" t="str">
        <f>IF(AND(AND(AND(AND($EC1065=1,$EB1065+$EA1065+$EG1065&gt;=1),$EF1065=1),$EH1065+$EI1065+$ED1065+$EE1065&gt;=2),$N1065="included"),"All C pools assumption","")</f>
        <v/>
      </c>
      <c r="EU1065" t="str">
        <f>IF(AND($ED1065+$EE1065+$EI1065+$EH1065+$EF1065=0,$N1065="included"),"In-situ only assumption","")</f>
        <v/>
      </c>
      <c r="EY1065" t="str">
        <f>IF(ISNUMBER(BW1065),IF(ABS(BW1065-[2]QC_indicators!$B$2)&gt;3*[2]QC_indicators!$C$2,"C ratio",IF(ISNUMBER(CA1065),IF(ABS(CA1065-[2]QC_indicators!$B$1)&gt;3*[2]QC_indicators!$C$1,"DF","no"))),IF(ISNUMBER(CA1065),IF(ABS(CA1065-[2]QC_indicators!$B$1)&gt;3*[2]QC_indicators!$C$1,"DF","no")))</f>
        <v>no</v>
      </c>
      <c r="EZ1065" t="s">
        <v>2214</v>
      </c>
      <c r="FA1065" t="str">
        <f>IF(LEN($CY1065)=0,"",IF(AND($CY1065&lt;(-0.05),$ES1065="C neutral forest and HWP assumption"),"Cneutral paradox",IF(AND($CY1065&gt;0.05,$EU1065="In-situ only assumption"),"In-situ only paradox","")))</f>
        <v/>
      </c>
      <c r="FD1065" s="260" t="s">
        <v>2932</v>
      </c>
    </row>
    <row r="1066" spans="1:160" hidden="1">
      <c r="A1066" s="1" t="s">
        <v>333</v>
      </c>
      <c r="B1066" t="s">
        <v>334</v>
      </c>
      <c r="C1066" t="s">
        <v>335</v>
      </c>
      <c r="D1066" t="s">
        <v>336</v>
      </c>
      <c r="E1066" t="s">
        <v>337</v>
      </c>
      <c r="F1066" t="s">
        <v>338</v>
      </c>
      <c r="G1066" t="s">
        <v>339</v>
      </c>
      <c r="I1066">
        <v>2017</v>
      </c>
      <c r="K1066" t="s">
        <v>340</v>
      </c>
      <c r="M1066" t="str">
        <f>LEFT($D1066,FIND(",",$D1066)-1)&amp;"_"&amp;I1066&amp;L1066</f>
        <v>Balasbaneh_2017</v>
      </c>
      <c r="N1066" t="s">
        <v>222</v>
      </c>
      <c r="O1066" s="140" t="s">
        <v>341</v>
      </c>
      <c r="Q1066" t="s">
        <v>224</v>
      </c>
      <c r="R1066" s="258" t="s">
        <v>223</v>
      </c>
      <c r="S1066" s="1" t="s">
        <v>379</v>
      </c>
      <c r="T1066" t="s">
        <v>371</v>
      </c>
      <c r="U1066" t="s">
        <v>351</v>
      </c>
      <c r="V1066" s="253">
        <v>0</v>
      </c>
      <c r="W1066" s="253">
        <v>0</v>
      </c>
      <c r="X1066">
        <v>0</v>
      </c>
      <c r="Y1066">
        <v>0</v>
      </c>
      <c r="Z1066">
        <v>0</v>
      </c>
      <c r="AA1066">
        <v>0</v>
      </c>
      <c r="AB1066">
        <v>0</v>
      </c>
      <c r="AC1066">
        <v>0</v>
      </c>
      <c r="AD1066">
        <v>0</v>
      </c>
      <c r="AE1066">
        <v>0</v>
      </c>
      <c r="AF1066">
        <v>0</v>
      </c>
      <c r="AG1066">
        <v>0</v>
      </c>
      <c r="AH1066">
        <v>0</v>
      </c>
      <c r="AI1066">
        <v>0</v>
      </c>
      <c r="AJ1066">
        <v>0</v>
      </c>
      <c r="AK1066">
        <v>0</v>
      </c>
      <c r="AL1066">
        <v>0</v>
      </c>
      <c r="AM1066">
        <v>1</v>
      </c>
      <c r="AN1066">
        <v>0</v>
      </c>
      <c r="AO1066">
        <v>0</v>
      </c>
      <c r="AP1066">
        <v>0</v>
      </c>
      <c r="AQ1066">
        <v>0</v>
      </c>
      <c r="AR1066">
        <v>0</v>
      </c>
      <c r="AS1066">
        <v>0</v>
      </c>
      <c r="AT1066">
        <v>0</v>
      </c>
      <c r="AU1066">
        <v>0</v>
      </c>
      <c r="AV1066">
        <v>0</v>
      </c>
      <c r="AW1066">
        <v>0</v>
      </c>
      <c r="AX1066">
        <v>0</v>
      </c>
      <c r="AY1066">
        <v>0</v>
      </c>
      <c r="AZ1066" s="141">
        <f>COUNTIF(X1066:AY1066,"&lt;&gt;0")</f>
        <v>1</v>
      </c>
      <c r="BA1066" s="141">
        <f>COUNTIF(X1066:AN1066,"&lt;&gt;0")</f>
        <v>1</v>
      </c>
      <c r="BB1066">
        <f>COUNTIF(X1066:AE1066,"&lt;&gt;0")</f>
        <v>0</v>
      </c>
      <c r="BC1066">
        <f>COUNTIF(AF1066:AK1066,"&lt;&gt;0")</f>
        <v>0</v>
      </c>
      <c r="BD1066">
        <f>COUNTIF(AL1066:AN1066,"&lt;&gt;0")</f>
        <v>1</v>
      </c>
      <c r="BE1066">
        <f>COUNTIF(AU1066:AY1066,"&lt;&gt;0")</f>
        <v>0</v>
      </c>
      <c r="BF1066">
        <f>COUNTIF(AO1066:AT1066,"&lt;&gt;0")</f>
        <v>0</v>
      </c>
      <c r="BG1066" t="str">
        <f t="array" ref="BG1066">IF(BA1066=1,INDEX($X$7:$AN$7,MATCH(TRUE,INDEX($X1066:$AY1066&lt;&gt;0,),0)),IF(BA1066=0,INDEX($AO$7:$AY$7,MATCH(1,$AO1066:$AY1066,0)),IF(BH1066="Multiple strategies","mixed drivers",IF(BH1066="Supply chain","multiple supply","multiple silviculture"))))</f>
        <v>technologies/design switch</v>
      </c>
      <c r="BH1066" s="2" t="str" cm="1">
        <f t="array" ref="BH1066">IF(COUNTIF(BB1066:BD1066,"&lt;&gt;0")=1,INDEX($X$4:$AY$4,MATCH(TRUE,INDEX($X1066:$AY1066&lt;&gt;0,),0)),IF(COUNTIF(BB1066:BD1066,"&lt;&gt;0")=0,INDEX($AO$4:$AY$4,MATCH(1,$AO1066:$AY1066,0)),"Multiple strategies"))</f>
        <v>Technology</v>
      </c>
      <c r="BI1066" s="1" t="s">
        <v>229</v>
      </c>
      <c r="BJ1066" t="s">
        <v>229</v>
      </c>
      <c r="BK1066" s="260" t="s">
        <v>410</v>
      </c>
      <c r="BL1066" t="s">
        <v>345</v>
      </c>
      <c r="BM1066">
        <v>0</v>
      </c>
      <c r="BN1066">
        <v>23500</v>
      </c>
      <c r="BO1066" s="143"/>
      <c r="BP1066">
        <f>BN1066-BM1066</f>
        <v>23500</v>
      </c>
      <c r="BQ1066" s="143">
        <f>BP1066*kg_to_m3</f>
        <v>47.95918367346939</v>
      </c>
      <c r="BR1066" t="s">
        <v>232</v>
      </c>
      <c r="BS1066" s="260" t="s">
        <v>396</v>
      </c>
      <c r="BT1066" t="s">
        <v>346</v>
      </c>
      <c r="BU1066">
        <v>-32500</v>
      </c>
      <c r="BV1066">
        <v>-5830</v>
      </c>
      <c r="BW1066" s="144">
        <v>0.17938461538461539</v>
      </c>
      <c r="BX1066">
        <f>BV1066-BU1066</f>
        <v>26670</v>
      </c>
      <c r="BZ1066">
        <f>BX1066/1000</f>
        <v>26.67</v>
      </c>
      <c r="CA1066">
        <f>IFERROR(BZ1066/BQ1066,"")</f>
        <v>0.55609787234042551</v>
      </c>
      <c r="CB1066">
        <v>0</v>
      </c>
      <c r="CC1066">
        <v>0</v>
      </c>
      <c r="CD1066">
        <v>0</v>
      </c>
      <c r="CE1066">
        <v>0</v>
      </c>
      <c r="CF1066">
        <v>0</v>
      </c>
      <c r="CG1066">
        <v>0</v>
      </c>
      <c r="CH1066">
        <v>0</v>
      </c>
      <c r="CI1066">
        <v>0</v>
      </c>
      <c r="CJ1066">
        <v>0</v>
      </c>
      <c r="CK1066">
        <v>0</v>
      </c>
      <c r="CL1066">
        <v>0</v>
      </c>
      <c r="CM1066">
        <v>0</v>
      </c>
      <c r="CN1066">
        <v>0</v>
      </c>
      <c r="CO1066">
        <v>0</v>
      </c>
      <c r="CP1066" t="str">
        <f>IF($BN1066&lt;$BM1066,"refNeedCorrection","refOK")</f>
        <v>refOK</v>
      </c>
      <c r="CQ1066">
        <f>IF($CP1066="refNeedCorrection",BN1066,BM1066)</f>
        <v>0</v>
      </c>
      <c r="CR1066">
        <f>IF($CP1066="refNeedCorrection",BM1066,BN1066)</f>
        <v>23500</v>
      </c>
      <c r="CS1066">
        <f>IF($CP1066="refOK",$BQ1066,-$BQ1066)</f>
        <v>47.95918367346939</v>
      </c>
      <c r="CT1066">
        <f>IF(BI1066="Roundwood",$CS1066/2,$CS1066)</f>
        <v>47.95918367346939</v>
      </c>
      <c r="CU1066">
        <f>IF($CP1066="refOK",$BU1066,$BV1066)*IF($BR1066="Emissions positive",-1,1)</f>
        <v>-32500</v>
      </c>
      <c r="CV1066">
        <f>IF($CP1066="refOK",$BV1066,$BU1066)*IF($BR1066="Emissions positive",-1,1)</f>
        <v>-5830</v>
      </c>
      <c r="CW1066">
        <f>IF($CP1066="refNeedCorrection",-BZ1066,BZ1066)*IF($BR1066="Emissions positive",-1,1)</f>
        <v>26.67</v>
      </c>
      <c r="CX1066">
        <f>IFERROR($CW1066/$CS1066,"")</f>
        <v>0.55609787234042551</v>
      </c>
      <c r="CY1066">
        <f>IFERROR($CW1066/$CS1066,"")</f>
        <v>0.55609787234042551</v>
      </c>
      <c r="CZ1066">
        <f>IFERROR($CW1066/$CT1066,"")</f>
        <v>0.55609787234042551</v>
      </c>
      <c r="DA1066" s="2">
        <f>IFERROR((CV1066-CU1066)/ABS(CU1066),"")</f>
        <v>0.82061538461538464</v>
      </c>
      <c r="DB1066" s="1" t="s">
        <v>347</v>
      </c>
      <c r="DC1066" t="str">
        <f>IF(OR($DB1066="prd",$DB1066="std",$DB1066="cit"),"loc",IF(OR($DB1066="eur",$DB1066="reg",$DB1066="coy"),"reg",$DB1066))</f>
        <v>loc</v>
      </c>
      <c r="DD1066" t="s">
        <v>348</v>
      </c>
      <c r="DE1066">
        <v>2014</v>
      </c>
      <c r="DF1066">
        <v>2114</v>
      </c>
      <c r="DG1066">
        <v>100</v>
      </c>
      <c r="DH1066" t="str">
        <f>IF(DG1066=0,"0",IF(AND(DG1066&gt;=1,DG1066&lt;=30),"1-30",IF(AND(DG1066&gt;30,DG1066&lt;=70),"31-70",IF(AND(DG1066&gt;70,DG1066&lt;=100),"71-100",IF(DG1066&gt;100,"+100")))))</f>
        <v>71-100</v>
      </c>
      <c r="DI1066">
        <v>0</v>
      </c>
      <c r="DJ1066">
        <v>0</v>
      </c>
      <c r="DK1066">
        <v>0</v>
      </c>
      <c r="DL1066">
        <v>1</v>
      </c>
      <c r="DN1066">
        <f>SUM(DI1066:DL1066)</f>
        <v>1</v>
      </c>
      <c r="DO1066" t="str">
        <f>IF(DN1066=1,INDEX($DI$7:$DL$7,MATCH(1,$DI1066:$DL1066,0)),"mixedProduct")</f>
        <v>TimberInput</v>
      </c>
      <c r="DP1066">
        <f>IF(DI1066=1,DP$7,0)</f>
        <v>0</v>
      </c>
      <c r="DQ1066">
        <f>IF(DJ1066=1,DQ$7,0)</f>
        <v>0</v>
      </c>
      <c r="DR1066">
        <f>IF(DK1066=1,DR$7,0)</f>
        <v>0</v>
      </c>
      <c r="DS1066" t="str">
        <f>IF(DL1066=1,DS$7,0)</f>
        <v>Timber</v>
      </c>
      <c r="DT1066">
        <v>0</v>
      </c>
      <c r="DU1066">
        <v>0</v>
      </c>
      <c r="DV1066">
        <v>0</v>
      </c>
      <c r="DW1066">
        <v>0</v>
      </c>
      <c r="DX1066">
        <v>0</v>
      </c>
      <c r="DY1066">
        <f>SUM(DT1066:DU1066)</f>
        <v>0</v>
      </c>
      <c r="DZ1066" s="143" t="str">
        <f>IF(DT1066=1,"self-calculated DF",IF(DU1066=1,"external DF used","explicit C balance"))</f>
        <v>explicit C balance</v>
      </c>
      <c r="EA1066">
        <v>0</v>
      </c>
      <c r="EB1066">
        <v>0</v>
      </c>
      <c r="EC1066">
        <v>0</v>
      </c>
      <c r="ED1066">
        <v>1</v>
      </c>
      <c r="EE1066">
        <v>0</v>
      </c>
      <c r="EF1066" s="143">
        <v>1</v>
      </c>
      <c r="EG1066">
        <v>0</v>
      </c>
      <c r="EH1066">
        <v>1</v>
      </c>
      <c r="EI1066">
        <v>1</v>
      </c>
      <c r="EJ1066">
        <v>1</v>
      </c>
      <c r="EK1066">
        <v>0</v>
      </c>
      <c r="EL1066">
        <v>0</v>
      </c>
      <c r="EM1066">
        <v>0</v>
      </c>
      <c r="EN1066" s="2">
        <v>0</v>
      </c>
      <c r="EP1066" t="str">
        <f>IF(AND(AND(AND(OR($EC1066=1,$EB1066=1),OR($EH1066=1,$EF1066=1)),SUM($EA1066:$EE1066,$EK1066)&gt;=3),SUM($EF1066:$EJ1066)&gt;=2),"Whole sector approach","")</f>
        <v/>
      </c>
      <c r="EQ1066" t="str">
        <f>IF(AND(AND(OR($EC1066=1,$EB1066=1),AND($EH1066=0,$EF1066=0)),SUM($EA1066:$EE1066,$EK1066)&gt;=4),"Ecosystem approach","")</f>
        <v/>
      </c>
      <c r="ER1066" s="2" t="str">
        <f>IF(AND(AND(AND($EC1066=0,$EB1066=0),OR($EH1066=1,$EF1066=1)),SUM($EG1066:$EJ1066)&gt;=2),"Technology approach","")</f>
        <v>Technology approach</v>
      </c>
      <c r="ES1066" t="str">
        <f>IF(AND($EC1066+$EB1066+$EE1066+$EA1066+$ED1066+$EG1066=0,$N1066="included"),"C neutral forest and HWP assumption","")</f>
        <v/>
      </c>
      <c r="ET1066" t="str">
        <f>IF(AND(AND(AND(AND($EC1066=1,$EB1066+$EA1066+$EG1066&gt;=1),$EF1066=1),$EH1066+$EI1066+$ED1066+$EE1066&gt;=2),$N1066="included"),"All C pools assumption","")</f>
        <v/>
      </c>
      <c r="EU1066" t="str">
        <f>IF(AND($ED1066+$EE1066+$EI1066+$EH1066+$EF1066=0,$N1066="included"),"In-situ only assumption","")</f>
        <v/>
      </c>
      <c r="EY1066" t="str">
        <f>IF(ISNUMBER(BW1066),IF(ABS(BW1066-[2]QC_indicators!$B$2)&gt;3*[2]QC_indicators!$C$2,"C ratio",IF(ISNUMBER(CA1066),IF(ABS(CA1066-[2]QC_indicators!$B$1)&gt;3*[2]QC_indicators!$C$1,"DF","no"))),IF(ISNUMBER(CA1066),IF(ABS(CA1066-[2]QC_indicators!$B$1)&gt;3*[2]QC_indicators!$C$1,"DF","no")))</f>
        <v>no</v>
      </c>
      <c r="FA1066" t="str">
        <f>IF(LEN($CY1066)=0,"",IF(AND($CY1066&lt;(-0.05),$ES1066="C neutral forest and HWP assumption"),"Cneutral paradox",IF(AND($CY1066&gt;0.05,$EU1066="In-situ only assumption"),"In-situ only paradox","")))</f>
        <v/>
      </c>
      <c r="FB1066" s="149" t="s">
        <v>349</v>
      </c>
      <c r="FD1066" s="260" t="s">
        <v>2948</v>
      </c>
    </row>
    <row r="1067" spans="1:160" ht="18" hidden="1" customHeight="1">
      <c r="A1067" s="1" t="s">
        <v>333</v>
      </c>
      <c r="B1067" t="s">
        <v>334</v>
      </c>
      <c r="C1067" t="s">
        <v>335</v>
      </c>
      <c r="D1067" t="s">
        <v>336</v>
      </c>
      <c r="E1067" t="s">
        <v>337</v>
      </c>
      <c r="F1067" t="s">
        <v>338</v>
      </c>
      <c r="G1067" t="s">
        <v>339</v>
      </c>
      <c r="I1067">
        <v>2017</v>
      </c>
      <c r="K1067" t="s">
        <v>340</v>
      </c>
      <c r="M1067" t="str">
        <f>LEFT($D1067,FIND(",",$D1067)-1)&amp;"_"&amp;I1067&amp;L1067</f>
        <v>Balasbaneh_2017</v>
      </c>
      <c r="N1067" t="s">
        <v>222</v>
      </c>
      <c r="O1067" s="140" t="s">
        <v>341</v>
      </c>
      <c r="Q1067" t="s">
        <v>224</v>
      </c>
      <c r="R1067" s="258" t="s">
        <v>223</v>
      </c>
      <c r="S1067" s="1" t="s">
        <v>378</v>
      </c>
      <c r="T1067" t="s">
        <v>371</v>
      </c>
      <c r="U1067" t="s">
        <v>344</v>
      </c>
      <c r="V1067" s="253">
        <v>0</v>
      </c>
      <c r="W1067" s="253">
        <v>0</v>
      </c>
      <c r="X1067">
        <v>0</v>
      </c>
      <c r="Y1067">
        <v>0</v>
      </c>
      <c r="Z1067">
        <v>0</v>
      </c>
      <c r="AA1067">
        <v>0</v>
      </c>
      <c r="AB1067">
        <v>0</v>
      </c>
      <c r="AC1067">
        <v>0</v>
      </c>
      <c r="AD1067">
        <v>0</v>
      </c>
      <c r="AE1067">
        <v>0</v>
      </c>
      <c r="AF1067">
        <v>0</v>
      </c>
      <c r="AG1067">
        <v>0</v>
      </c>
      <c r="AH1067">
        <v>0</v>
      </c>
      <c r="AI1067">
        <v>0</v>
      </c>
      <c r="AJ1067">
        <v>0</v>
      </c>
      <c r="AK1067">
        <v>0</v>
      </c>
      <c r="AL1067">
        <v>0</v>
      </c>
      <c r="AM1067">
        <v>1</v>
      </c>
      <c r="AN1067">
        <v>0</v>
      </c>
      <c r="AO1067">
        <v>0</v>
      </c>
      <c r="AP1067">
        <v>0</v>
      </c>
      <c r="AQ1067">
        <v>0</v>
      </c>
      <c r="AR1067">
        <v>0</v>
      </c>
      <c r="AS1067">
        <v>0</v>
      </c>
      <c r="AT1067">
        <v>0</v>
      </c>
      <c r="AU1067">
        <v>0</v>
      </c>
      <c r="AV1067">
        <v>0</v>
      </c>
      <c r="AW1067">
        <v>0</v>
      </c>
      <c r="AX1067">
        <v>0</v>
      </c>
      <c r="AY1067">
        <v>0</v>
      </c>
      <c r="AZ1067" s="141">
        <f>COUNTIF(X1067:AY1067,"&lt;&gt;0")</f>
        <v>1</v>
      </c>
      <c r="BA1067" s="141">
        <f>COUNTIF(X1067:AN1067,"&lt;&gt;0")</f>
        <v>1</v>
      </c>
      <c r="BB1067">
        <f>COUNTIF(X1067:AE1067,"&lt;&gt;0")</f>
        <v>0</v>
      </c>
      <c r="BC1067">
        <f>COUNTIF(AF1067:AK1067,"&lt;&gt;0")</f>
        <v>0</v>
      </c>
      <c r="BD1067">
        <f>COUNTIF(AL1067:AN1067,"&lt;&gt;0")</f>
        <v>1</v>
      </c>
      <c r="BE1067">
        <f>COUNTIF(AU1067:AY1067,"&lt;&gt;0")</f>
        <v>0</v>
      </c>
      <c r="BF1067">
        <f>COUNTIF(AO1067:AT1067,"&lt;&gt;0")</f>
        <v>0</v>
      </c>
      <c r="BG1067" t="str">
        <f t="array" ref="BG1067">IF(BA1067=1,INDEX($X$7:$AN$7,MATCH(TRUE,INDEX($X1067:$AY1067&lt;&gt;0,),0)),IF(BA1067=0,INDEX($AO$7:$AY$7,MATCH(1,$AO1067:$AY1067,0)),IF(BH1067="Multiple strategies","mixed drivers",IF(BH1067="Supply chain","multiple supply","multiple silviculture"))))</f>
        <v>technologies/design switch</v>
      </c>
      <c r="BH1067" s="2" t="str" cm="1">
        <f t="array" ref="BH1067">IF(COUNTIF(BB1067:BD1067,"&lt;&gt;0")=1,INDEX($X$4:$AY$4,MATCH(TRUE,INDEX($X1067:$AY1067&lt;&gt;0,),0)),IF(COUNTIF(BB1067:BD1067,"&lt;&gt;0")=0,INDEX($AO$4:$AY$4,MATCH(1,$AO1067:$AY1067,0)),"Multiple strategies"))</f>
        <v>Technology</v>
      </c>
      <c r="BI1067" s="1" t="s">
        <v>229</v>
      </c>
      <c r="BJ1067" t="s">
        <v>229</v>
      </c>
      <c r="BK1067" s="260" t="s">
        <v>410</v>
      </c>
      <c r="BL1067" t="s">
        <v>345</v>
      </c>
      <c r="BM1067">
        <v>0</v>
      </c>
      <c r="BN1067">
        <v>23500</v>
      </c>
      <c r="BO1067" s="143"/>
      <c r="BP1067">
        <f>BN1067-BM1067</f>
        <v>23500</v>
      </c>
      <c r="BQ1067" s="143">
        <f>BP1067*kg_to_m3</f>
        <v>47.95918367346939</v>
      </c>
      <c r="BR1067" t="s">
        <v>232</v>
      </c>
      <c r="BS1067" s="260" t="s">
        <v>396</v>
      </c>
      <c r="BT1067" t="s">
        <v>346</v>
      </c>
      <c r="BU1067">
        <v>-32500</v>
      </c>
      <c r="BV1067">
        <v>-6250</v>
      </c>
      <c r="BW1067" s="144">
        <v>0.19230769230769232</v>
      </c>
      <c r="BX1067">
        <f>BV1067-BU1067</f>
        <v>26250</v>
      </c>
      <c r="BZ1067">
        <f>BX1067/1000</f>
        <v>26.25</v>
      </c>
      <c r="CA1067">
        <f>IFERROR(BZ1067/BQ1067,"")</f>
        <v>0.54734042553191486</v>
      </c>
      <c r="CB1067">
        <v>0</v>
      </c>
      <c r="CC1067">
        <v>0</v>
      </c>
      <c r="CD1067">
        <v>0</v>
      </c>
      <c r="CE1067">
        <v>0</v>
      </c>
      <c r="CF1067">
        <v>0</v>
      </c>
      <c r="CG1067">
        <v>0</v>
      </c>
      <c r="CH1067">
        <v>0</v>
      </c>
      <c r="CI1067">
        <v>0</v>
      </c>
      <c r="CJ1067">
        <v>0</v>
      </c>
      <c r="CK1067">
        <v>0</v>
      </c>
      <c r="CL1067">
        <v>0</v>
      </c>
      <c r="CM1067">
        <v>0</v>
      </c>
      <c r="CN1067">
        <v>0</v>
      </c>
      <c r="CO1067">
        <v>0</v>
      </c>
      <c r="CP1067" t="str">
        <f>IF($BN1067&lt;$BM1067,"refNeedCorrection","refOK")</f>
        <v>refOK</v>
      </c>
      <c r="CQ1067">
        <f>IF($CP1067="refNeedCorrection",BN1067,BM1067)</f>
        <v>0</v>
      </c>
      <c r="CR1067">
        <f>IF($CP1067="refNeedCorrection",BM1067,BN1067)</f>
        <v>23500</v>
      </c>
      <c r="CS1067">
        <f>IF($CP1067="refOK",$BQ1067,-$BQ1067)</f>
        <v>47.95918367346939</v>
      </c>
      <c r="CT1067">
        <f>IF(BI1067="Roundwood",$CS1067/2,$CS1067)</f>
        <v>47.95918367346939</v>
      </c>
      <c r="CU1067">
        <f>IF($CP1067="refOK",$BU1067,$BV1067)*IF($BR1067="Emissions positive",-1,1)</f>
        <v>-32500</v>
      </c>
      <c r="CV1067">
        <f>IF($CP1067="refOK",$BV1067,$BU1067)*IF($BR1067="Emissions positive",-1,1)</f>
        <v>-6250</v>
      </c>
      <c r="CW1067">
        <f>IF($CP1067="refNeedCorrection",-BZ1067,BZ1067)*IF($BR1067="Emissions positive",-1,1)</f>
        <v>26.25</v>
      </c>
      <c r="CX1067">
        <f>IFERROR($CW1067/$CS1067,"")</f>
        <v>0.54734042553191486</v>
      </c>
      <c r="CY1067">
        <f>IFERROR($CW1067/$CS1067,"")</f>
        <v>0.54734042553191486</v>
      </c>
      <c r="CZ1067">
        <f>IFERROR($CW1067/$CT1067,"")</f>
        <v>0.54734042553191486</v>
      </c>
      <c r="DA1067" s="2">
        <f>IFERROR((CV1067-CU1067)/ABS(CU1067),"")</f>
        <v>0.80769230769230771</v>
      </c>
      <c r="DB1067" s="1" t="s">
        <v>347</v>
      </c>
      <c r="DC1067" t="str">
        <f>IF(OR($DB1067="prd",$DB1067="std",$DB1067="cit"),"loc",IF(OR($DB1067="eur",$DB1067="reg",$DB1067="coy"),"reg",$DB1067))</f>
        <v>loc</v>
      </c>
      <c r="DD1067" t="s">
        <v>348</v>
      </c>
      <c r="DE1067">
        <v>2014</v>
      </c>
      <c r="DF1067">
        <v>2034</v>
      </c>
      <c r="DG1067">
        <v>20</v>
      </c>
      <c r="DH1067" t="str">
        <f>IF(DG1067=0,"0",IF(AND(DG1067&gt;=1,DG1067&lt;=30),"1-30",IF(AND(DG1067&gt;30,DG1067&lt;=70),"31-70",IF(AND(DG1067&gt;70,DG1067&lt;=100),"71-100",IF(DG1067&gt;100,"+100")))))</f>
        <v>1-30</v>
      </c>
      <c r="DI1067">
        <v>0</v>
      </c>
      <c r="DJ1067">
        <v>0</v>
      </c>
      <c r="DK1067">
        <v>0</v>
      </c>
      <c r="DL1067">
        <v>1</v>
      </c>
      <c r="DN1067">
        <f>SUM(DI1067:DL1067)</f>
        <v>1</v>
      </c>
      <c r="DO1067" t="str">
        <f>IF(DN1067=1,INDEX($DI$7:$DL$7,MATCH(1,$DI1067:$DL1067,0)),"mixedProduct")</f>
        <v>TimberInput</v>
      </c>
      <c r="DP1067">
        <f>IF(DI1067=1,DP$7,0)</f>
        <v>0</v>
      </c>
      <c r="DQ1067">
        <f>IF(DJ1067=1,DQ$7,0)</f>
        <v>0</v>
      </c>
      <c r="DR1067">
        <f>IF(DK1067=1,DR$7,0)</f>
        <v>0</v>
      </c>
      <c r="DS1067" t="str">
        <f>IF(DL1067=1,DS$7,0)</f>
        <v>Timber</v>
      </c>
      <c r="DT1067">
        <v>0</v>
      </c>
      <c r="DU1067">
        <v>0</v>
      </c>
      <c r="DV1067">
        <v>0</v>
      </c>
      <c r="DW1067">
        <v>0</v>
      </c>
      <c r="DX1067">
        <v>0</v>
      </c>
      <c r="DY1067">
        <f>SUM(DT1067:DU1067)</f>
        <v>0</v>
      </c>
      <c r="DZ1067" s="143" t="str">
        <f>IF(DT1067=1,"self-calculated DF",IF(DU1067=1,"external DF used","explicit C balance"))</f>
        <v>explicit C balance</v>
      </c>
      <c r="EA1067">
        <v>0</v>
      </c>
      <c r="EB1067">
        <v>0</v>
      </c>
      <c r="EC1067">
        <v>0</v>
      </c>
      <c r="ED1067">
        <v>1</v>
      </c>
      <c r="EE1067">
        <v>0</v>
      </c>
      <c r="EF1067" s="143">
        <v>1</v>
      </c>
      <c r="EG1067">
        <v>0</v>
      </c>
      <c r="EH1067">
        <v>1</v>
      </c>
      <c r="EI1067">
        <v>1</v>
      </c>
      <c r="EJ1067">
        <v>1</v>
      </c>
      <c r="EK1067">
        <v>0</v>
      </c>
      <c r="EL1067">
        <v>0</v>
      </c>
      <c r="EM1067">
        <v>0</v>
      </c>
      <c r="EN1067" s="2">
        <v>0</v>
      </c>
      <c r="EP1067" t="str">
        <f>IF(AND(AND(AND(OR($EC1067=1,$EB1067=1),OR($EH1067=1,$EF1067=1)),SUM($EA1067:$EE1067,$EK1067)&gt;=3),SUM($EF1067:$EJ1067)&gt;=2),"Whole sector approach","")</f>
        <v/>
      </c>
      <c r="EQ1067" t="str">
        <f>IF(AND(AND(OR($EC1067=1,$EB1067=1),AND($EH1067=0,$EF1067=0)),SUM($EA1067:$EE1067,$EK1067)&gt;=4),"Ecosystem approach","")</f>
        <v/>
      </c>
      <c r="ER1067" s="2" t="str">
        <f>IF(AND(AND(AND($EC1067=0,$EB1067=0),OR($EH1067=1,$EF1067=1)),SUM($EG1067:$EJ1067)&gt;=2),"Technology approach","")</f>
        <v>Technology approach</v>
      </c>
      <c r="ES1067" t="str">
        <f>IF(AND($EC1067+$EB1067+$EE1067+$EA1067+$ED1067+$EG1067=0,$N1067="included"),"C neutral forest and HWP assumption","")</f>
        <v/>
      </c>
      <c r="ET1067" t="str">
        <f>IF(AND(AND(AND(AND($EC1067=1,$EB1067+$EA1067+$EG1067&gt;=1),$EF1067=1),$EH1067+$EI1067+$ED1067+$EE1067&gt;=2),$N1067="included"),"All C pools assumption","")</f>
        <v/>
      </c>
      <c r="EU1067" t="str">
        <f>IF(AND($ED1067+$EE1067+$EI1067+$EH1067+$EF1067=0,$N1067="included"),"In-situ only assumption","")</f>
        <v/>
      </c>
      <c r="EY1067" t="str">
        <f>IF(ISNUMBER(BW1067),IF(ABS(BW1067-[2]QC_indicators!$B$2)&gt;3*[2]QC_indicators!$C$2,"C ratio",IF(ISNUMBER(CA1067),IF(ABS(CA1067-[2]QC_indicators!$B$1)&gt;3*[2]QC_indicators!$C$1,"DF","no"))),IF(ISNUMBER(CA1067),IF(ABS(CA1067-[2]QC_indicators!$B$1)&gt;3*[2]QC_indicators!$C$1,"DF","no")))</f>
        <v>no</v>
      </c>
      <c r="FA1067" t="str">
        <f>IF(LEN($CY1067)=0,"",IF(AND($CY1067&lt;(-0.05),$ES1067="C neutral forest and HWP assumption"),"Cneutral paradox",IF(AND($CY1067&gt;0.05,$EU1067="In-situ only assumption"),"In-situ only paradox","")))</f>
        <v/>
      </c>
      <c r="FB1067" s="149" t="s">
        <v>349</v>
      </c>
      <c r="FD1067" s="260" t="s">
        <v>2948</v>
      </c>
    </row>
    <row r="1068" spans="1:160" ht="15" hidden="1" customHeight="1">
      <c r="A1068" s="1" t="s">
        <v>333</v>
      </c>
      <c r="B1068" t="s">
        <v>334</v>
      </c>
      <c r="C1068" t="s">
        <v>335</v>
      </c>
      <c r="D1068" t="s">
        <v>336</v>
      </c>
      <c r="E1068" t="s">
        <v>337</v>
      </c>
      <c r="F1068" t="s">
        <v>338</v>
      </c>
      <c r="G1068" t="s">
        <v>339</v>
      </c>
      <c r="I1068">
        <v>2017</v>
      </c>
      <c r="K1068" t="s">
        <v>340</v>
      </c>
      <c r="M1068" t="str">
        <f>LEFT($D1068,FIND(",",$D1068)-1)&amp;"_"&amp;I1068&amp;L1068</f>
        <v>Balasbaneh_2017</v>
      </c>
      <c r="N1068" t="s">
        <v>222</v>
      </c>
      <c r="O1068" s="140" t="s">
        <v>341</v>
      </c>
      <c r="Q1068" t="s">
        <v>224</v>
      </c>
      <c r="R1068" s="258" t="s">
        <v>223</v>
      </c>
      <c r="S1068" s="1" t="s">
        <v>377</v>
      </c>
      <c r="T1068" t="s">
        <v>371</v>
      </c>
      <c r="U1068" t="s">
        <v>351</v>
      </c>
      <c r="V1068" s="253">
        <v>0</v>
      </c>
      <c r="W1068" s="253">
        <v>0</v>
      </c>
      <c r="X1068">
        <v>0</v>
      </c>
      <c r="Y1068">
        <v>0</v>
      </c>
      <c r="Z1068">
        <v>0</v>
      </c>
      <c r="AA1068">
        <v>0</v>
      </c>
      <c r="AB1068">
        <v>0</v>
      </c>
      <c r="AC1068">
        <v>0</v>
      </c>
      <c r="AD1068">
        <v>0</v>
      </c>
      <c r="AE1068">
        <v>0</v>
      </c>
      <c r="AF1068">
        <v>0</v>
      </c>
      <c r="AG1068">
        <v>0</v>
      </c>
      <c r="AH1068">
        <v>0</v>
      </c>
      <c r="AI1068">
        <v>0</v>
      </c>
      <c r="AJ1068">
        <v>0</v>
      </c>
      <c r="AK1068">
        <v>0</v>
      </c>
      <c r="AL1068">
        <v>0</v>
      </c>
      <c r="AM1068">
        <v>1</v>
      </c>
      <c r="AN1068">
        <v>0</v>
      </c>
      <c r="AO1068">
        <v>0</v>
      </c>
      <c r="AP1068">
        <v>0</v>
      </c>
      <c r="AQ1068">
        <v>0</v>
      </c>
      <c r="AR1068">
        <v>0</v>
      </c>
      <c r="AS1068">
        <v>0</v>
      </c>
      <c r="AT1068">
        <v>0</v>
      </c>
      <c r="AU1068">
        <v>0</v>
      </c>
      <c r="AV1068">
        <v>0</v>
      </c>
      <c r="AW1068">
        <v>0</v>
      </c>
      <c r="AX1068">
        <v>0</v>
      </c>
      <c r="AY1068">
        <v>0</v>
      </c>
      <c r="AZ1068" s="141">
        <f>COUNTIF(X1068:AY1068,"&lt;&gt;0")</f>
        <v>1</v>
      </c>
      <c r="BA1068" s="141">
        <f>COUNTIF(X1068:AN1068,"&lt;&gt;0")</f>
        <v>1</v>
      </c>
      <c r="BB1068">
        <f>COUNTIF(X1068:AE1068,"&lt;&gt;0")</f>
        <v>0</v>
      </c>
      <c r="BC1068">
        <f>COUNTIF(AF1068:AK1068,"&lt;&gt;0")</f>
        <v>0</v>
      </c>
      <c r="BD1068">
        <f>COUNTIF(AL1068:AN1068,"&lt;&gt;0")</f>
        <v>1</v>
      </c>
      <c r="BE1068">
        <f>COUNTIF(AU1068:AY1068,"&lt;&gt;0")</f>
        <v>0</v>
      </c>
      <c r="BF1068">
        <f>COUNTIF(AO1068:AT1068,"&lt;&gt;0")</f>
        <v>0</v>
      </c>
      <c r="BG1068" t="str">
        <f t="array" ref="BG1068">IF(BA1068=1,INDEX($X$7:$AN$7,MATCH(TRUE,INDEX($X1068:$AY1068&lt;&gt;0,),0)),IF(BA1068=0,INDEX($AO$7:$AY$7,MATCH(1,$AO1068:$AY1068,0)),IF(BH1068="Multiple strategies","mixed drivers",IF(BH1068="Supply chain","multiple supply","multiple silviculture"))))</f>
        <v>technologies/design switch</v>
      </c>
      <c r="BH1068" s="2" t="str" cm="1">
        <f t="array" ref="BH1068">IF(COUNTIF(BB1068:BD1068,"&lt;&gt;0")=1,INDEX($X$4:$AY$4,MATCH(TRUE,INDEX($X1068:$AY1068&lt;&gt;0,),0)),IF(COUNTIF(BB1068:BD1068,"&lt;&gt;0")=0,INDEX($AO$4:$AY$4,MATCH(1,$AO1068:$AY1068,0)),"Multiple strategies"))</f>
        <v>Technology</v>
      </c>
      <c r="BI1068" s="1" t="s">
        <v>229</v>
      </c>
      <c r="BJ1068" t="s">
        <v>229</v>
      </c>
      <c r="BK1068" s="260" t="s">
        <v>410</v>
      </c>
      <c r="BL1068" t="s">
        <v>345</v>
      </c>
      <c r="BM1068">
        <v>0</v>
      </c>
      <c r="BN1068">
        <v>23500</v>
      </c>
      <c r="BO1068" s="143"/>
      <c r="BP1068">
        <f>BN1068-BM1068</f>
        <v>23500</v>
      </c>
      <c r="BQ1068" s="143">
        <f>BP1068*kg_to_m3</f>
        <v>47.95918367346939</v>
      </c>
      <c r="BR1068" t="s">
        <v>232</v>
      </c>
      <c r="BS1068" s="260" t="s">
        <v>396</v>
      </c>
      <c r="BT1068" t="s">
        <v>346</v>
      </c>
      <c r="BU1068">
        <v>-30600</v>
      </c>
      <c r="BV1068">
        <v>-5800</v>
      </c>
      <c r="BW1068" s="144">
        <v>0.18954248366013071</v>
      </c>
      <c r="BX1068">
        <f>BV1068-BU1068</f>
        <v>24800</v>
      </c>
      <c r="BZ1068">
        <f>BX1068/1000</f>
        <v>24.8</v>
      </c>
      <c r="CA1068">
        <f>IFERROR(BZ1068/BQ1068,"")</f>
        <v>0.51710638297872336</v>
      </c>
      <c r="CB1068">
        <v>0</v>
      </c>
      <c r="CC1068">
        <v>0</v>
      </c>
      <c r="CD1068">
        <v>0</v>
      </c>
      <c r="CE1068">
        <v>0</v>
      </c>
      <c r="CF1068">
        <v>0</v>
      </c>
      <c r="CG1068">
        <v>0</v>
      </c>
      <c r="CH1068">
        <v>0</v>
      </c>
      <c r="CI1068">
        <v>0</v>
      </c>
      <c r="CJ1068">
        <v>0</v>
      </c>
      <c r="CK1068">
        <v>0</v>
      </c>
      <c r="CL1068">
        <v>0</v>
      </c>
      <c r="CM1068">
        <v>0</v>
      </c>
      <c r="CN1068">
        <v>0</v>
      </c>
      <c r="CO1068">
        <v>0</v>
      </c>
      <c r="CP1068" t="str">
        <f>IF($BN1068&lt;$BM1068,"refNeedCorrection","refOK")</f>
        <v>refOK</v>
      </c>
      <c r="CQ1068">
        <f>IF($CP1068="refNeedCorrection",BN1068,BM1068)</f>
        <v>0</v>
      </c>
      <c r="CR1068">
        <f>IF($CP1068="refNeedCorrection",BM1068,BN1068)</f>
        <v>23500</v>
      </c>
      <c r="CS1068">
        <f>IF($CP1068="refOK",$BQ1068,-$BQ1068)</f>
        <v>47.95918367346939</v>
      </c>
      <c r="CT1068">
        <f>IF(BI1068="Roundwood",$CS1068/2,$CS1068)</f>
        <v>47.95918367346939</v>
      </c>
      <c r="CU1068">
        <f>IF($CP1068="refOK",$BU1068,$BV1068)*IF($BR1068="Emissions positive",-1,1)</f>
        <v>-30600</v>
      </c>
      <c r="CV1068">
        <f>IF($CP1068="refOK",$BV1068,$BU1068)*IF($BR1068="Emissions positive",-1,1)</f>
        <v>-5800</v>
      </c>
      <c r="CW1068">
        <f>IF($CP1068="refNeedCorrection",-BZ1068,BZ1068)*IF($BR1068="Emissions positive",-1,1)</f>
        <v>24.8</v>
      </c>
      <c r="CX1068">
        <f>IFERROR($CW1068/$CS1068,"")</f>
        <v>0.51710638297872336</v>
      </c>
      <c r="CY1068">
        <f>IFERROR($CW1068/$CS1068,"")</f>
        <v>0.51710638297872336</v>
      </c>
      <c r="CZ1068">
        <f>IFERROR($CW1068/$CT1068,"")</f>
        <v>0.51710638297872336</v>
      </c>
      <c r="DA1068" s="2">
        <f>IFERROR((CV1068-CU1068)/ABS(CU1068),"")</f>
        <v>0.81045751633986929</v>
      </c>
      <c r="DB1068" s="1" t="s">
        <v>347</v>
      </c>
      <c r="DC1068" t="str">
        <f>IF(OR($DB1068="prd",$DB1068="std",$DB1068="cit"),"loc",IF(OR($DB1068="eur",$DB1068="reg",$DB1068="coy"),"reg",$DB1068))</f>
        <v>loc</v>
      </c>
      <c r="DD1068" t="s">
        <v>348</v>
      </c>
      <c r="DE1068">
        <v>2014</v>
      </c>
      <c r="DF1068">
        <v>2114</v>
      </c>
      <c r="DG1068">
        <v>100</v>
      </c>
      <c r="DH1068" t="str">
        <f>IF(DG1068=0,"0",IF(AND(DG1068&gt;=1,DG1068&lt;=30),"1-30",IF(AND(DG1068&gt;30,DG1068&lt;=70),"31-70",IF(AND(DG1068&gt;70,DG1068&lt;=100),"71-100",IF(DG1068&gt;100,"+100")))))</f>
        <v>71-100</v>
      </c>
      <c r="DI1068">
        <v>0</v>
      </c>
      <c r="DJ1068">
        <v>0</v>
      </c>
      <c r="DK1068">
        <v>0</v>
      </c>
      <c r="DL1068">
        <v>1</v>
      </c>
      <c r="DN1068">
        <f>SUM(DI1068:DL1068)</f>
        <v>1</v>
      </c>
      <c r="DO1068" t="str">
        <f>IF(DN1068=1,INDEX($DI$7:$DL$7,MATCH(1,$DI1068:$DL1068,0)),"mixedProduct")</f>
        <v>TimberInput</v>
      </c>
      <c r="DP1068">
        <f>IF(DI1068=1,DP$7,0)</f>
        <v>0</v>
      </c>
      <c r="DQ1068">
        <f>IF(DJ1068=1,DQ$7,0)</f>
        <v>0</v>
      </c>
      <c r="DR1068">
        <f>IF(DK1068=1,DR$7,0)</f>
        <v>0</v>
      </c>
      <c r="DS1068" t="str">
        <f>IF(DL1068=1,DS$7,0)</f>
        <v>Timber</v>
      </c>
      <c r="DT1068">
        <v>0</v>
      </c>
      <c r="DU1068">
        <v>0</v>
      </c>
      <c r="DV1068">
        <v>0</v>
      </c>
      <c r="DW1068">
        <v>0</v>
      </c>
      <c r="DX1068">
        <v>0</v>
      </c>
      <c r="DY1068">
        <f>SUM(DT1068:DU1068)</f>
        <v>0</v>
      </c>
      <c r="DZ1068" s="143" t="str">
        <f>IF(DT1068=1,"self-calculated DF",IF(DU1068=1,"external DF used","explicit C balance"))</f>
        <v>explicit C balance</v>
      </c>
      <c r="EA1068">
        <v>0</v>
      </c>
      <c r="EB1068">
        <v>0</v>
      </c>
      <c r="EC1068">
        <v>0</v>
      </c>
      <c r="ED1068">
        <v>1</v>
      </c>
      <c r="EE1068">
        <v>0</v>
      </c>
      <c r="EF1068" s="143">
        <v>1</v>
      </c>
      <c r="EG1068">
        <v>0</v>
      </c>
      <c r="EH1068">
        <v>1</v>
      </c>
      <c r="EI1068">
        <v>1</v>
      </c>
      <c r="EJ1068">
        <v>1</v>
      </c>
      <c r="EK1068">
        <v>0</v>
      </c>
      <c r="EL1068">
        <v>0</v>
      </c>
      <c r="EM1068">
        <v>0</v>
      </c>
      <c r="EN1068" s="2">
        <v>0</v>
      </c>
      <c r="EP1068" t="str">
        <f>IF(AND(AND(AND(OR($EC1068=1,$EB1068=1),OR($EH1068=1,$EF1068=1)),SUM($EA1068:$EE1068,$EK1068)&gt;=3),SUM($EF1068:$EJ1068)&gt;=2),"Whole sector approach","")</f>
        <v/>
      </c>
      <c r="EQ1068" t="str">
        <f>IF(AND(AND(OR($EC1068=1,$EB1068=1),AND($EH1068=0,$EF1068=0)),SUM($EA1068:$EE1068,$EK1068)&gt;=4),"Ecosystem approach","")</f>
        <v/>
      </c>
      <c r="ER1068" s="2" t="str">
        <f>IF(AND(AND(AND($EC1068=0,$EB1068=0),OR($EH1068=1,$EF1068=1)),SUM($EG1068:$EJ1068)&gt;=2),"Technology approach","")</f>
        <v>Technology approach</v>
      </c>
      <c r="ES1068" t="str">
        <f>IF(AND($EC1068+$EB1068+$EE1068+$EA1068+$ED1068+$EG1068=0,$N1068="included"),"C neutral forest and HWP assumption","")</f>
        <v/>
      </c>
      <c r="ET1068" t="str">
        <f>IF(AND(AND(AND(AND($EC1068=1,$EB1068+$EA1068+$EG1068&gt;=1),$EF1068=1),$EH1068+$EI1068+$ED1068+$EE1068&gt;=2),$N1068="included"),"All C pools assumption","")</f>
        <v/>
      </c>
      <c r="EU1068" t="str">
        <f>IF(AND($ED1068+$EE1068+$EI1068+$EH1068+$EF1068=0,$N1068="included"),"In-situ only assumption","")</f>
        <v/>
      </c>
      <c r="EY1068" t="str">
        <f>IF(ISNUMBER(BW1068),IF(ABS(BW1068-[2]QC_indicators!$B$2)&gt;3*[2]QC_indicators!$C$2,"C ratio",IF(ISNUMBER(CA1068),IF(ABS(CA1068-[2]QC_indicators!$B$1)&gt;3*[2]QC_indicators!$C$1,"DF","no"))),IF(ISNUMBER(CA1068),IF(ABS(CA1068-[2]QC_indicators!$B$1)&gt;3*[2]QC_indicators!$C$1,"DF","no")))</f>
        <v>no</v>
      </c>
      <c r="FA1068" t="str">
        <f>IF(LEN($CY1068)=0,"",IF(AND($CY1068&lt;(-0.05),$ES1068="C neutral forest and HWP assumption"),"Cneutral paradox",IF(AND($CY1068&gt;0.05,$EU1068="In-situ only assumption"),"In-situ only paradox","")))</f>
        <v/>
      </c>
      <c r="FB1068" s="149" t="s">
        <v>349</v>
      </c>
      <c r="FD1068" s="260" t="s">
        <v>2948</v>
      </c>
    </row>
    <row r="1069" spans="1:160" ht="15" hidden="1" customHeight="1">
      <c r="A1069" s="1" t="s">
        <v>333</v>
      </c>
      <c r="B1069" t="s">
        <v>334</v>
      </c>
      <c r="C1069" t="s">
        <v>335</v>
      </c>
      <c r="D1069" t="s">
        <v>336</v>
      </c>
      <c r="E1069" t="s">
        <v>337</v>
      </c>
      <c r="F1069" t="s">
        <v>338</v>
      </c>
      <c r="G1069" t="s">
        <v>339</v>
      </c>
      <c r="I1069">
        <v>2017</v>
      </c>
      <c r="K1069" t="s">
        <v>340</v>
      </c>
      <c r="M1069" t="str">
        <f>LEFT($D1069,FIND(",",$D1069)-1)&amp;"_"&amp;I1069&amp;L1069</f>
        <v>Balasbaneh_2017</v>
      </c>
      <c r="N1069" t="s">
        <v>222</v>
      </c>
      <c r="O1069" s="140" t="s">
        <v>341</v>
      </c>
      <c r="Q1069" t="s">
        <v>224</v>
      </c>
      <c r="R1069" s="258" t="s">
        <v>223</v>
      </c>
      <c r="S1069" s="1" t="s">
        <v>376</v>
      </c>
      <c r="T1069" t="s">
        <v>371</v>
      </c>
      <c r="U1069" t="s">
        <v>344</v>
      </c>
      <c r="V1069" s="253">
        <v>0</v>
      </c>
      <c r="W1069" s="253">
        <v>0</v>
      </c>
      <c r="X1069">
        <v>0</v>
      </c>
      <c r="Y1069">
        <v>0</v>
      </c>
      <c r="Z1069">
        <v>0</v>
      </c>
      <c r="AA1069">
        <v>0</v>
      </c>
      <c r="AB1069">
        <v>0</v>
      </c>
      <c r="AC1069">
        <v>0</v>
      </c>
      <c r="AD1069">
        <v>0</v>
      </c>
      <c r="AE1069">
        <v>0</v>
      </c>
      <c r="AF1069">
        <v>0</v>
      </c>
      <c r="AG1069">
        <v>0</v>
      </c>
      <c r="AH1069">
        <v>0</v>
      </c>
      <c r="AI1069">
        <v>0</v>
      </c>
      <c r="AJ1069">
        <v>0</v>
      </c>
      <c r="AK1069">
        <v>0</v>
      </c>
      <c r="AL1069">
        <v>0</v>
      </c>
      <c r="AM1069">
        <v>1</v>
      </c>
      <c r="AN1069">
        <v>0</v>
      </c>
      <c r="AO1069">
        <v>0</v>
      </c>
      <c r="AP1069">
        <v>0</v>
      </c>
      <c r="AQ1069">
        <v>0</v>
      </c>
      <c r="AR1069">
        <v>0</v>
      </c>
      <c r="AS1069">
        <v>0</v>
      </c>
      <c r="AT1069">
        <v>0</v>
      </c>
      <c r="AU1069">
        <v>0</v>
      </c>
      <c r="AV1069">
        <v>0</v>
      </c>
      <c r="AW1069">
        <v>0</v>
      </c>
      <c r="AX1069">
        <v>0</v>
      </c>
      <c r="AY1069">
        <v>0</v>
      </c>
      <c r="AZ1069" s="141">
        <f>COUNTIF(X1069:AY1069,"&lt;&gt;0")</f>
        <v>1</v>
      </c>
      <c r="BA1069" s="141">
        <f>COUNTIF(X1069:AN1069,"&lt;&gt;0")</f>
        <v>1</v>
      </c>
      <c r="BB1069">
        <f>COUNTIF(X1069:AE1069,"&lt;&gt;0")</f>
        <v>0</v>
      </c>
      <c r="BC1069">
        <f>COUNTIF(AF1069:AK1069,"&lt;&gt;0")</f>
        <v>0</v>
      </c>
      <c r="BD1069">
        <f>COUNTIF(AL1069:AN1069,"&lt;&gt;0")</f>
        <v>1</v>
      </c>
      <c r="BE1069">
        <f>COUNTIF(AU1069:AY1069,"&lt;&gt;0")</f>
        <v>0</v>
      </c>
      <c r="BF1069">
        <f>COUNTIF(AO1069:AT1069,"&lt;&gt;0")</f>
        <v>0</v>
      </c>
      <c r="BG1069" t="str">
        <f t="array" ref="BG1069">IF(BA1069=1,INDEX($X$7:$AN$7,MATCH(TRUE,INDEX($X1069:$AY1069&lt;&gt;0,),0)),IF(BA1069=0,INDEX($AO$7:$AY$7,MATCH(1,$AO1069:$AY1069,0)),IF(BH1069="Multiple strategies","mixed drivers",IF(BH1069="Supply chain","multiple supply","multiple silviculture"))))</f>
        <v>technologies/design switch</v>
      </c>
      <c r="BH1069" s="2" t="str" cm="1">
        <f t="array" ref="BH1069">IF(COUNTIF(BB1069:BD1069,"&lt;&gt;0")=1,INDEX($X$4:$AY$4,MATCH(TRUE,INDEX($X1069:$AY1069&lt;&gt;0,),0)),IF(COUNTIF(BB1069:BD1069,"&lt;&gt;0")=0,INDEX($AO$4:$AY$4,MATCH(1,$AO1069:$AY1069,0)),"Multiple strategies"))</f>
        <v>Technology</v>
      </c>
      <c r="BI1069" s="1" t="s">
        <v>229</v>
      </c>
      <c r="BJ1069" t="s">
        <v>229</v>
      </c>
      <c r="BK1069" s="260" t="s">
        <v>410</v>
      </c>
      <c r="BL1069" t="s">
        <v>345</v>
      </c>
      <c r="BM1069">
        <v>0</v>
      </c>
      <c r="BN1069">
        <v>23500</v>
      </c>
      <c r="BO1069" s="143"/>
      <c r="BP1069">
        <f>BN1069-BM1069</f>
        <v>23500</v>
      </c>
      <c r="BQ1069" s="143">
        <f>BP1069*kg_to_m3</f>
        <v>47.95918367346939</v>
      </c>
      <c r="BR1069" t="s">
        <v>232</v>
      </c>
      <c r="BS1069" s="260" t="s">
        <v>396</v>
      </c>
      <c r="BT1069" t="s">
        <v>346</v>
      </c>
      <c r="BU1069">
        <v>-30600</v>
      </c>
      <c r="BV1069">
        <v>-6020</v>
      </c>
      <c r="BW1069" s="144">
        <v>0.19673202614379084</v>
      </c>
      <c r="BX1069">
        <f>BV1069-BU1069</f>
        <v>24580</v>
      </c>
      <c r="BZ1069">
        <f>BX1069/1000</f>
        <v>24.58</v>
      </c>
      <c r="CA1069">
        <f>IFERROR(BZ1069/BQ1069,"")</f>
        <v>0.51251914893617012</v>
      </c>
      <c r="CB1069">
        <v>0</v>
      </c>
      <c r="CC1069">
        <v>0</v>
      </c>
      <c r="CD1069">
        <v>0</v>
      </c>
      <c r="CE1069">
        <v>0</v>
      </c>
      <c r="CF1069">
        <v>0</v>
      </c>
      <c r="CG1069">
        <v>0</v>
      </c>
      <c r="CH1069">
        <v>0</v>
      </c>
      <c r="CI1069">
        <v>0</v>
      </c>
      <c r="CJ1069">
        <v>0</v>
      </c>
      <c r="CK1069">
        <v>0</v>
      </c>
      <c r="CL1069">
        <v>0</v>
      </c>
      <c r="CM1069">
        <v>0</v>
      </c>
      <c r="CN1069">
        <v>0</v>
      </c>
      <c r="CO1069">
        <v>0</v>
      </c>
      <c r="CP1069" t="str">
        <f>IF($BN1069&lt;$BM1069,"refNeedCorrection","refOK")</f>
        <v>refOK</v>
      </c>
      <c r="CQ1069">
        <f>IF($CP1069="refNeedCorrection",BN1069,BM1069)</f>
        <v>0</v>
      </c>
      <c r="CR1069">
        <f>IF($CP1069="refNeedCorrection",BM1069,BN1069)</f>
        <v>23500</v>
      </c>
      <c r="CS1069">
        <f>IF($CP1069="refOK",$BQ1069,-$BQ1069)</f>
        <v>47.95918367346939</v>
      </c>
      <c r="CT1069">
        <f>IF(BI1069="Roundwood",$CS1069/2,$CS1069)</f>
        <v>47.95918367346939</v>
      </c>
      <c r="CU1069">
        <f>IF($CP1069="refOK",$BU1069,$BV1069)*IF($BR1069="Emissions positive",-1,1)</f>
        <v>-30600</v>
      </c>
      <c r="CV1069">
        <f>IF($CP1069="refOK",$BV1069,$BU1069)*IF($BR1069="Emissions positive",-1,1)</f>
        <v>-6020</v>
      </c>
      <c r="CW1069">
        <f>IF($CP1069="refNeedCorrection",-BZ1069,BZ1069)*IF($BR1069="Emissions positive",-1,1)</f>
        <v>24.58</v>
      </c>
      <c r="CX1069">
        <f>IFERROR($CW1069/$CS1069,"")</f>
        <v>0.51251914893617012</v>
      </c>
      <c r="CY1069">
        <f>IFERROR($CW1069/$CS1069,"")</f>
        <v>0.51251914893617012</v>
      </c>
      <c r="CZ1069">
        <f>IFERROR($CW1069/$CT1069,"")</f>
        <v>0.51251914893617012</v>
      </c>
      <c r="DA1069" s="2">
        <f>IFERROR((CV1069-CU1069)/ABS(CU1069),"")</f>
        <v>0.80326797385620918</v>
      </c>
      <c r="DB1069" s="1" t="s">
        <v>347</v>
      </c>
      <c r="DC1069" t="str">
        <f>IF(OR($DB1069="prd",$DB1069="std",$DB1069="cit"),"loc",IF(OR($DB1069="eur",$DB1069="reg",$DB1069="coy"),"reg",$DB1069))</f>
        <v>loc</v>
      </c>
      <c r="DD1069" t="s">
        <v>348</v>
      </c>
      <c r="DE1069">
        <v>2014</v>
      </c>
      <c r="DF1069">
        <v>2034</v>
      </c>
      <c r="DG1069">
        <v>20</v>
      </c>
      <c r="DH1069" t="str">
        <f>IF(DG1069=0,"0",IF(AND(DG1069&gt;=1,DG1069&lt;=30),"1-30",IF(AND(DG1069&gt;30,DG1069&lt;=70),"31-70",IF(AND(DG1069&gt;70,DG1069&lt;=100),"71-100",IF(DG1069&gt;100,"+100")))))</f>
        <v>1-30</v>
      </c>
      <c r="DI1069">
        <v>0</v>
      </c>
      <c r="DJ1069">
        <v>0</v>
      </c>
      <c r="DK1069">
        <v>0</v>
      </c>
      <c r="DL1069">
        <v>1</v>
      </c>
      <c r="DN1069">
        <f>SUM(DI1069:DL1069)</f>
        <v>1</v>
      </c>
      <c r="DO1069" t="str">
        <f>IF(DN1069=1,INDEX($DI$7:$DL$7,MATCH(1,$DI1069:$DL1069,0)),"mixedProduct")</f>
        <v>TimberInput</v>
      </c>
      <c r="DP1069">
        <f>IF(DI1069=1,DP$7,0)</f>
        <v>0</v>
      </c>
      <c r="DQ1069">
        <f>IF(DJ1069=1,DQ$7,0)</f>
        <v>0</v>
      </c>
      <c r="DR1069">
        <f>IF(DK1069=1,DR$7,0)</f>
        <v>0</v>
      </c>
      <c r="DS1069" t="str">
        <f>IF(DL1069=1,DS$7,0)</f>
        <v>Timber</v>
      </c>
      <c r="DT1069">
        <v>0</v>
      </c>
      <c r="DU1069">
        <v>0</v>
      </c>
      <c r="DV1069">
        <v>0</v>
      </c>
      <c r="DW1069">
        <v>0</v>
      </c>
      <c r="DX1069">
        <v>0</v>
      </c>
      <c r="DY1069">
        <f>SUM(DT1069:DU1069)</f>
        <v>0</v>
      </c>
      <c r="DZ1069" s="143" t="str">
        <f>IF(DT1069=1,"self-calculated DF",IF(DU1069=1,"external DF used","explicit C balance"))</f>
        <v>explicit C balance</v>
      </c>
      <c r="EA1069">
        <v>0</v>
      </c>
      <c r="EB1069">
        <v>0</v>
      </c>
      <c r="EC1069">
        <v>0</v>
      </c>
      <c r="ED1069">
        <v>1</v>
      </c>
      <c r="EE1069">
        <v>0</v>
      </c>
      <c r="EF1069" s="143">
        <v>1</v>
      </c>
      <c r="EG1069">
        <v>0</v>
      </c>
      <c r="EH1069">
        <v>1</v>
      </c>
      <c r="EI1069">
        <v>1</v>
      </c>
      <c r="EJ1069">
        <v>1</v>
      </c>
      <c r="EK1069">
        <v>0</v>
      </c>
      <c r="EL1069">
        <v>0</v>
      </c>
      <c r="EM1069">
        <v>0</v>
      </c>
      <c r="EN1069" s="2">
        <v>0</v>
      </c>
      <c r="EP1069" t="str">
        <f>IF(AND(AND(AND(OR($EC1069=1,$EB1069=1),OR($EH1069=1,$EF1069=1)),SUM($EA1069:$EE1069,$EK1069)&gt;=3),SUM($EF1069:$EJ1069)&gt;=2),"Whole sector approach","")</f>
        <v/>
      </c>
      <c r="EQ1069" t="str">
        <f>IF(AND(AND(OR($EC1069=1,$EB1069=1),AND($EH1069=0,$EF1069=0)),SUM($EA1069:$EE1069,$EK1069)&gt;=4),"Ecosystem approach","")</f>
        <v/>
      </c>
      <c r="ER1069" s="2" t="str">
        <f>IF(AND(AND(AND($EC1069=0,$EB1069=0),OR($EH1069=1,$EF1069=1)),SUM($EG1069:$EJ1069)&gt;=2),"Technology approach","")</f>
        <v>Technology approach</v>
      </c>
      <c r="ES1069" t="str">
        <f>IF(AND($EC1069+$EB1069+$EE1069+$EA1069+$ED1069+$EG1069=0,$N1069="included"),"C neutral forest and HWP assumption","")</f>
        <v/>
      </c>
      <c r="ET1069" t="str">
        <f>IF(AND(AND(AND(AND($EC1069=1,$EB1069+$EA1069+$EG1069&gt;=1),$EF1069=1),$EH1069+$EI1069+$ED1069+$EE1069&gt;=2),$N1069="included"),"All C pools assumption","")</f>
        <v/>
      </c>
      <c r="EU1069" t="str">
        <f>IF(AND($ED1069+$EE1069+$EI1069+$EH1069+$EF1069=0,$N1069="included"),"In-situ only assumption","")</f>
        <v/>
      </c>
      <c r="EY1069" t="str">
        <f>IF(ISNUMBER(BW1069),IF(ABS(BW1069-[2]QC_indicators!$B$2)&gt;3*[2]QC_indicators!$C$2,"C ratio",IF(ISNUMBER(CA1069),IF(ABS(CA1069-[2]QC_indicators!$B$1)&gt;3*[2]QC_indicators!$C$1,"DF","no"))),IF(ISNUMBER(CA1069),IF(ABS(CA1069-[2]QC_indicators!$B$1)&gt;3*[2]QC_indicators!$C$1,"DF","no")))</f>
        <v>no</v>
      </c>
      <c r="FA1069" t="str">
        <f>IF(LEN($CY1069)=0,"",IF(AND($CY1069&lt;(-0.05),$ES1069="C neutral forest and HWP assumption"),"Cneutral paradox",IF(AND($CY1069&gt;0.05,$EU1069="In-situ only assumption"),"In-situ only paradox","")))</f>
        <v/>
      </c>
      <c r="FB1069" s="149" t="s">
        <v>349</v>
      </c>
      <c r="FD1069" s="260" t="s">
        <v>2948</v>
      </c>
    </row>
    <row r="1070" spans="1:160" ht="34" hidden="1">
      <c r="A1070" s="1" t="s">
        <v>333</v>
      </c>
      <c r="B1070" t="s">
        <v>334</v>
      </c>
      <c r="C1070" t="s">
        <v>335</v>
      </c>
      <c r="D1070" t="s">
        <v>336</v>
      </c>
      <c r="E1070" t="s">
        <v>337</v>
      </c>
      <c r="F1070" t="s">
        <v>338</v>
      </c>
      <c r="G1070" t="s">
        <v>339</v>
      </c>
      <c r="I1070">
        <v>2017</v>
      </c>
      <c r="K1070" t="s">
        <v>340</v>
      </c>
      <c r="M1070" t="str">
        <f>LEFT($D1070,FIND(",",$D1070)-1)&amp;"_"&amp;I1070&amp;L1070</f>
        <v>Balasbaneh_2017</v>
      </c>
      <c r="N1070" t="s">
        <v>222</v>
      </c>
      <c r="O1070" s="140" t="s">
        <v>341</v>
      </c>
      <c r="Q1070" t="s">
        <v>224</v>
      </c>
      <c r="R1070" s="258" t="s">
        <v>223</v>
      </c>
      <c r="S1070" s="1" t="s">
        <v>375</v>
      </c>
      <c r="T1070" t="s">
        <v>371</v>
      </c>
      <c r="U1070" t="s">
        <v>357</v>
      </c>
      <c r="V1070" s="253">
        <v>0</v>
      </c>
      <c r="W1070" s="253">
        <v>0</v>
      </c>
      <c r="X1070">
        <v>0</v>
      </c>
      <c r="Y1070">
        <v>0</v>
      </c>
      <c r="Z1070">
        <v>0</v>
      </c>
      <c r="AA1070">
        <v>0</v>
      </c>
      <c r="AB1070">
        <v>0</v>
      </c>
      <c r="AC1070">
        <v>0</v>
      </c>
      <c r="AD1070">
        <v>0</v>
      </c>
      <c r="AE1070">
        <v>0</v>
      </c>
      <c r="AF1070">
        <v>0</v>
      </c>
      <c r="AG1070">
        <v>0</v>
      </c>
      <c r="AH1070">
        <v>0</v>
      </c>
      <c r="AI1070">
        <v>0</v>
      </c>
      <c r="AJ1070">
        <v>0</v>
      </c>
      <c r="AK1070">
        <v>0</v>
      </c>
      <c r="AL1070">
        <v>0</v>
      </c>
      <c r="AM1070">
        <v>1</v>
      </c>
      <c r="AN1070">
        <v>0</v>
      </c>
      <c r="AO1070">
        <v>0</v>
      </c>
      <c r="AP1070">
        <v>0</v>
      </c>
      <c r="AQ1070">
        <v>0</v>
      </c>
      <c r="AR1070">
        <v>0</v>
      </c>
      <c r="AS1070">
        <v>0</v>
      </c>
      <c r="AT1070">
        <v>0</v>
      </c>
      <c r="AU1070">
        <v>0</v>
      </c>
      <c r="AV1070">
        <v>0</v>
      </c>
      <c r="AW1070">
        <v>0</v>
      </c>
      <c r="AX1070">
        <v>0</v>
      </c>
      <c r="AY1070">
        <v>0</v>
      </c>
      <c r="AZ1070" s="141">
        <f>COUNTIF(X1070:AY1070,"&lt;&gt;0")</f>
        <v>1</v>
      </c>
      <c r="BA1070" s="141">
        <f>COUNTIF(X1070:AN1070,"&lt;&gt;0")</f>
        <v>1</v>
      </c>
      <c r="BB1070">
        <f>COUNTIF(X1070:AE1070,"&lt;&gt;0")</f>
        <v>0</v>
      </c>
      <c r="BC1070">
        <f>COUNTIF(AF1070:AK1070,"&lt;&gt;0")</f>
        <v>0</v>
      </c>
      <c r="BD1070">
        <f>COUNTIF(AL1070:AN1070,"&lt;&gt;0")</f>
        <v>1</v>
      </c>
      <c r="BE1070">
        <f>COUNTIF(AU1070:AY1070,"&lt;&gt;0")</f>
        <v>0</v>
      </c>
      <c r="BF1070">
        <f>COUNTIF(AO1070:AT1070,"&lt;&gt;0")</f>
        <v>0</v>
      </c>
      <c r="BG1070" t="str">
        <f t="array" ref="BG1070">IF(BA1070=1,INDEX($X$7:$AN$7,MATCH(TRUE,INDEX($X1070:$AY1070&lt;&gt;0,),0)),IF(BA1070=0,INDEX($AO$7:$AY$7,MATCH(1,$AO1070:$AY1070,0)),IF(BH1070="Multiple strategies","mixed drivers",IF(BH1070="Supply chain","multiple supply","multiple silviculture"))))</f>
        <v>technologies/design switch</v>
      </c>
      <c r="BH1070" s="2" t="str" cm="1">
        <f t="array" ref="BH1070">IF(COUNTIF(BB1070:BD1070,"&lt;&gt;0")=1,INDEX($X$4:$AY$4,MATCH(TRUE,INDEX($X1070:$AY1070&lt;&gt;0,),0)),IF(COUNTIF(BB1070:BD1070,"&lt;&gt;0")=0,INDEX($AO$4:$AY$4,MATCH(1,$AO1070:$AY1070,0)),"Multiple strategies"))</f>
        <v>Technology</v>
      </c>
      <c r="BI1070" s="1" t="s">
        <v>229</v>
      </c>
      <c r="BJ1070" t="s">
        <v>229</v>
      </c>
      <c r="BK1070" s="260" t="s">
        <v>410</v>
      </c>
      <c r="BL1070" t="s">
        <v>345</v>
      </c>
      <c r="BM1070">
        <v>0</v>
      </c>
      <c r="BN1070">
        <v>29276</v>
      </c>
      <c r="BO1070" s="143"/>
      <c r="BP1070">
        <f>BN1070-BM1070</f>
        <v>29276</v>
      </c>
      <c r="BQ1070" s="143">
        <f>BP1070*kg_to_m3</f>
        <v>59.746938775510209</v>
      </c>
      <c r="BR1070" t="s">
        <v>232</v>
      </c>
      <c r="BS1070" s="260" t="s">
        <v>396</v>
      </c>
      <c r="BT1070" t="s">
        <v>346</v>
      </c>
      <c r="BU1070">
        <v>-32500</v>
      </c>
      <c r="BV1070">
        <v>-2080</v>
      </c>
      <c r="BW1070" s="144">
        <v>6.4000000000000001E-2</v>
      </c>
      <c r="BX1070">
        <f>BV1070-BU1070</f>
        <v>30420</v>
      </c>
      <c r="BZ1070">
        <f>BX1070/1000</f>
        <v>30.42</v>
      </c>
      <c r="CA1070">
        <f>IFERROR(BZ1070/BQ1070,"")</f>
        <v>0.50914742451154527</v>
      </c>
      <c r="CB1070">
        <v>0</v>
      </c>
      <c r="CC1070">
        <v>0</v>
      </c>
      <c r="CD1070">
        <v>0</v>
      </c>
      <c r="CE1070">
        <v>0</v>
      </c>
      <c r="CF1070">
        <v>0</v>
      </c>
      <c r="CG1070">
        <v>0</v>
      </c>
      <c r="CH1070">
        <v>0</v>
      </c>
      <c r="CI1070">
        <v>0</v>
      </c>
      <c r="CJ1070">
        <v>0</v>
      </c>
      <c r="CK1070">
        <v>0</v>
      </c>
      <c r="CL1070">
        <v>0</v>
      </c>
      <c r="CM1070">
        <v>0</v>
      </c>
      <c r="CN1070">
        <v>0</v>
      </c>
      <c r="CO1070">
        <v>0</v>
      </c>
      <c r="CP1070" t="str">
        <f>IF($BN1070&lt;$BM1070,"refNeedCorrection","refOK")</f>
        <v>refOK</v>
      </c>
      <c r="CQ1070">
        <f>IF($CP1070="refNeedCorrection",BN1070,BM1070)</f>
        <v>0</v>
      </c>
      <c r="CR1070">
        <f>IF($CP1070="refNeedCorrection",BM1070,BN1070)</f>
        <v>29276</v>
      </c>
      <c r="CS1070">
        <f>IF($CP1070="refOK",$BQ1070,-$BQ1070)</f>
        <v>59.746938775510209</v>
      </c>
      <c r="CT1070">
        <f>IF(BI1070="Roundwood",$CS1070/2,$CS1070)</f>
        <v>59.746938775510209</v>
      </c>
      <c r="CU1070">
        <f>IF($CP1070="refOK",$BU1070,$BV1070)*IF($BR1070="Emissions positive",-1,1)</f>
        <v>-32500</v>
      </c>
      <c r="CV1070">
        <f>IF($CP1070="refOK",$BV1070,$BU1070)*IF($BR1070="Emissions positive",-1,1)</f>
        <v>-2080</v>
      </c>
      <c r="CW1070">
        <f>IF($CP1070="refNeedCorrection",-BZ1070,BZ1070)*IF($BR1070="Emissions positive",-1,1)</f>
        <v>30.42</v>
      </c>
      <c r="CX1070">
        <f>IFERROR($CW1070/$CS1070,"")</f>
        <v>0.50914742451154527</v>
      </c>
      <c r="CY1070">
        <f>IFERROR($CW1070/$CS1070,"")</f>
        <v>0.50914742451154527</v>
      </c>
      <c r="CZ1070">
        <f>IFERROR($CW1070/$CT1070,"")</f>
        <v>0.50914742451154527</v>
      </c>
      <c r="DA1070" s="2">
        <f>IFERROR((CV1070-CU1070)/ABS(CU1070),"")</f>
        <v>0.93600000000000005</v>
      </c>
      <c r="DB1070" s="1" t="s">
        <v>347</v>
      </c>
      <c r="DC1070" t="str">
        <f>IF(OR($DB1070="prd",$DB1070="std",$DB1070="cit"),"loc",IF(OR($DB1070="eur",$DB1070="reg",$DB1070="coy"),"reg",$DB1070))</f>
        <v>loc</v>
      </c>
      <c r="DD1070" t="s">
        <v>348</v>
      </c>
      <c r="DE1070">
        <v>2014</v>
      </c>
      <c r="DF1070">
        <v>2514</v>
      </c>
      <c r="DG1070">
        <v>500</v>
      </c>
      <c r="DH1070" t="str">
        <f>IF(DG1070=0,"0",IF(AND(DG1070&gt;=1,DG1070&lt;=30),"1-30",IF(AND(DG1070&gt;30,DG1070&lt;=70),"31-70",IF(AND(DG1070&gt;70,DG1070&lt;=100),"71-100",IF(DG1070&gt;100,"+100")))))</f>
        <v>+100</v>
      </c>
      <c r="DI1070">
        <v>0</v>
      </c>
      <c r="DJ1070">
        <v>0</v>
      </c>
      <c r="DK1070">
        <v>0</v>
      </c>
      <c r="DL1070">
        <v>1</v>
      </c>
      <c r="DN1070">
        <f>SUM(DI1070:DL1070)</f>
        <v>1</v>
      </c>
      <c r="DO1070" t="str">
        <f>IF(DN1070=1,INDEX($DI$7:$DL$7,MATCH(1,$DI1070:$DL1070,0)),"mixedProduct")</f>
        <v>TimberInput</v>
      </c>
      <c r="DP1070">
        <f>IF(DI1070=1,DP$7,0)</f>
        <v>0</v>
      </c>
      <c r="DQ1070">
        <f>IF(DJ1070=1,DQ$7,0)</f>
        <v>0</v>
      </c>
      <c r="DR1070">
        <f>IF(DK1070=1,DR$7,0)</f>
        <v>0</v>
      </c>
      <c r="DS1070" t="str">
        <f>IF(DL1070=1,DS$7,0)</f>
        <v>Timber</v>
      </c>
      <c r="DT1070">
        <v>0</v>
      </c>
      <c r="DU1070">
        <v>0</v>
      </c>
      <c r="DV1070">
        <v>0</v>
      </c>
      <c r="DW1070">
        <v>0</v>
      </c>
      <c r="DX1070">
        <v>0</v>
      </c>
      <c r="DY1070">
        <f>SUM(DT1070:DU1070)</f>
        <v>0</v>
      </c>
      <c r="DZ1070" s="143" t="str">
        <f>IF(DT1070=1,"self-calculated DF",IF(DU1070=1,"external DF used","explicit C balance"))</f>
        <v>explicit C balance</v>
      </c>
      <c r="EA1070">
        <v>0</v>
      </c>
      <c r="EB1070">
        <v>0</v>
      </c>
      <c r="EC1070">
        <v>0</v>
      </c>
      <c r="ED1070">
        <v>1</v>
      </c>
      <c r="EE1070">
        <v>0</v>
      </c>
      <c r="EF1070" s="143">
        <v>1</v>
      </c>
      <c r="EG1070">
        <v>0</v>
      </c>
      <c r="EH1070">
        <v>1</v>
      </c>
      <c r="EI1070">
        <v>1</v>
      </c>
      <c r="EJ1070">
        <v>1</v>
      </c>
      <c r="EK1070">
        <v>0</v>
      </c>
      <c r="EL1070">
        <v>0</v>
      </c>
      <c r="EM1070">
        <v>0</v>
      </c>
      <c r="EN1070" s="2">
        <v>0</v>
      </c>
      <c r="EP1070" t="str">
        <f>IF(AND(AND(AND(OR($EC1070=1,$EB1070=1),OR($EH1070=1,$EF1070=1)),SUM($EA1070:$EE1070,$EK1070)&gt;=3),SUM($EF1070:$EJ1070)&gt;=2),"Whole sector approach","")</f>
        <v/>
      </c>
      <c r="EQ1070" t="str">
        <f>IF(AND(AND(OR($EC1070=1,$EB1070=1),AND($EH1070=0,$EF1070=0)),SUM($EA1070:$EE1070,$EK1070)&gt;=4),"Ecosystem approach","")</f>
        <v/>
      </c>
      <c r="ER1070" s="2" t="str">
        <f>IF(AND(AND(AND($EC1070=0,$EB1070=0),OR($EH1070=1,$EF1070=1)),SUM($EG1070:$EJ1070)&gt;=2),"Technology approach","")</f>
        <v>Technology approach</v>
      </c>
      <c r="ES1070" t="str">
        <f>IF(AND($EC1070+$EB1070+$EE1070+$EA1070+$ED1070+$EG1070=0,$N1070="included"),"C neutral forest and HWP assumption","")</f>
        <v/>
      </c>
      <c r="ET1070" t="str">
        <f>IF(AND(AND(AND(AND($EC1070=1,$EB1070+$EA1070+$EG1070&gt;=1),$EF1070=1),$EH1070+$EI1070+$ED1070+$EE1070&gt;=2),$N1070="included"),"All C pools assumption","")</f>
        <v/>
      </c>
      <c r="EU1070" t="str">
        <f>IF(AND($ED1070+$EE1070+$EI1070+$EH1070+$EF1070=0,$N1070="included"),"In-situ only assumption","")</f>
        <v/>
      </c>
      <c r="EY1070" t="str">
        <f>IF(ISNUMBER(BW1070),IF(ABS(BW1070-[2]QC_indicators!$B$2)&gt;3*[2]QC_indicators!$C$2,"C ratio",IF(ISNUMBER(CA1070),IF(ABS(CA1070-[2]QC_indicators!$B$1)&gt;3*[2]QC_indicators!$C$1,"DF","no"))),IF(ISNUMBER(CA1070),IF(ABS(CA1070-[2]QC_indicators!$B$1)&gt;3*[2]QC_indicators!$C$1,"DF","no")))</f>
        <v>no</v>
      </c>
      <c r="FA1070" t="str">
        <f>IF(LEN($CY1070)=0,"",IF(AND($CY1070&lt;(-0.05),$ES1070="C neutral forest and HWP assumption"),"Cneutral paradox",IF(AND($CY1070&gt;0.05,$EU1070="In-situ only assumption"),"In-situ only paradox","")))</f>
        <v/>
      </c>
      <c r="FB1070" s="149" t="s">
        <v>349</v>
      </c>
      <c r="FD1070" s="260" t="s">
        <v>2948</v>
      </c>
    </row>
    <row r="1071" spans="1:160" ht="15" hidden="1" customHeight="1">
      <c r="A1071" s="1" t="s">
        <v>333</v>
      </c>
      <c r="B1071" t="s">
        <v>334</v>
      </c>
      <c r="C1071" t="s">
        <v>335</v>
      </c>
      <c r="D1071" t="s">
        <v>336</v>
      </c>
      <c r="E1071" t="s">
        <v>337</v>
      </c>
      <c r="F1071" t="s">
        <v>338</v>
      </c>
      <c r="G1071" t="s">
        <v>339</v>
      </c>
      <c r="I1071">
        <v>2017</v>
      </c>
      <c r="K1071" t="s">
        <v>340</v>
      </c>
      <c r="M1071" t="str">
        <f>LEFT($D1071,FIND(",",$D1071)-1)&amp;"_"&amp;I1071&amp;L1071</f>
        <v>Balasbaneh_2017</v>
      </c>
      <c r="N1071" t="s">
        <v>222</v>
      </c>
      <c r="O1071" s="140" t="s">
        <v>341</v>
      </c>
      <c r="Q1071" t="s">
        <v>224</v>
      </c>
      <c r="R1071" s="258" t="s">
        <v>223</v>
      </c>
      <c r="S1071" s="1" t="s">
        <v>374</v>
      </c>
      <c r="T1071" t="s">
        <v>371</v>
      </c>
      <c r="U1071" t="s">
        <v>357</v>
      </c>
      <c r="V1071" s="253">
        <v>0</v>
      </c>
      <c r="W1071" s="253">
        <v>0</v>
      </c>
      <c r="X1071">
        <v>0</v>
      </c>
      <c r="Y1071">
        <v>0</v>
      </c>
      <c r="Z1071">
        <v>0</v>
      </c>
      <c r="AA1071">
        <v>0</v>
      </c>
      <c r="AB1071">
        <v>0</v>
      </c>
      <c r="AC1071">
        <v>0</v>
      </c>
      <c r="AD1071">
        <v>0</v>
      </c>
      <c r="AE1071">
        <v>0</v>
      </c>
      <c r="AF1071">
        <v>0</v>
      </c>
      <c r="AG1071">
        <v>0</v>
      </c>
      <c r="AH1071">
        <v>0</v>
      </c>
      <c r="AI1071">
        <v>0</v>
      </c>
      <c r="AJ1071">
        <v>0</v>
      </c>
      <c r="AK1071">
        <v>0</v>
      </c>
      <c r="AL1071">
        <v>0</v>
      </c>
      <c r="AM1071">
        <v>1</v>
      </c>
      <c r="AN1071">
        <v>0</v>
      </c>
      <c r="AO1071">
        <v>0</v>
      </c>
      <c r="AP1071">
        <v>0</v>
      </c>
      <c r="AQ1071">
        <v>0</v>
      </c>
      <c r="AR1071">
        <v>0</v>
      </c>
      <c r="AS1071">
        <v>0</v>
      </c>
      <c r="AT1071">
        <v>0</v>
      </c>
      <c r="AU1071">
        <v>0</v>
      </c>
      <c r="AV1071">
        <v>0</v>
      </c>
      <c r="AW1071">
        <v>0</v>
      </c>
      <c r="AX1071">
        <v>0</v>
      </c>
      <c r="AY1071">
        <v>0</v>
      </c>
      <c r="AZ1071" s="141">
        <f>COUNTIF(X1071:AY1071,"&lt;&gt;0")</f>
        <v>1</v>
      </c>
      <c r="BA1071" s="141">
        <f>COUNTIF(X1071:AN1071,"&lt;&gt;0")</f>
        <v>1</v>
      </c>
      <c r="BB1071">
        <f>COUNTIF(X1071:AE1071,"&lt;&gt;0")</f>
        <v>0</v>
      </c>
      <c r="BC1071">
        <f>COUNTIF(AF1071:AK1071,"&lt;&gt;0")</f>
        <v>0</v>
      </c>
      <c r="BD1071">
        <f>COUNTIF(AL1071:AN1071,"&lt;&gt;0")</f>
        <v>1</v>
      </c>
      <c r="BE1071">
        <f>COUNTIF(AU1071:AY1071,"&lt;&gt;0")</f>
        <v>0</v>
      </c>
      <c r="BF1071">
        <f>COUNTIF(AO1071:AT1071,"&lt;&gt;0")</f>
        <v>0</v>
      </c>
      <c r="BG1071" t="str">
        <f t="array" ref="BG1071">IF(BA1071=1,INDEX($X$7:$AN$7,MATCH(TRUE,INDEX($X1071:$AY1071&lt;&gt;0,),0)),IF(BA1071=0,INDEX($AO$7:$AY$7,MATCH(1,$AO1071:$AY1071,0)),IF(BH1071="Multiple strategies","mixed drivers",IF(BH1071="Supply chain","multiple supply","multiple silviculture"))))</f>
        <v>technologies/design switch</v>
      </c>
      <c r="BH1071" s="2" t="str" cm="1">
        <f t="array" ref="BH1071">IF(COUNTIF(BB1071:BD1071,"&lt;&gt;0")=1,INDEX($X$4:$AY$4,MATCH(TRUE,INDEX($X1071:$AY1071&lt;&gt;0,),0)),IF(COUNTIF(BB1071:BD1071,"&lt;&gt;0")=0,INDEX($AO$4:$AY$4,MATCH(1,$AO1071:$AY1071,0)),"Multiple strategies"))</f>
        <v>Technology</v>
      </c>
      <c r="BI1071" s="1" t="s">
        <v>229</v>
      </c>
      <c r="BJ1071" t="s">
        <v>229</v>
      </c>
      <c r="BK1071" s="260" t="s">
        <v>410</v>
      </c>
      <c r="BL1071" t="s">
        <v>345</v>
      </c>
      <c r="BM1071">
        <v>0</v>
      </c>
      <c r="BN1071">
        <v>29276</v>
      </c>
      <c r="BO1071" s="143"/>
      <c r="BP1071">
        <f>BN1071-BM1071</f>
        <v>29276</v>
      </c>
      <c r="BQ1071" s="143">
        <f>BP1071*kg_to_m3</f>
        <v>59.746938775510209</v>
      </c>
      <c r="BR1071" t="s">
        <v>232</v>
      </c>
      <c r="BS1071" s="260" t="s">
        <v>396</v>
      </c>
      <c r="BT1071" t="s">
        <v>346</v>
      </c>
      <c r="BU1071">
        <v>-30600</v>
      </c>
      <c r="BV1071">
        <v>-2040</v>
      </c>
      <c r="BW1071" s="144">
        <v>6.6666666666666666E-2</v>
      </c>
      <c r="BX1071">
        <f>BV1071-BU1071</f>
        <v>28560</v>
      </c>
      <c r="BZ1071">
        <f>BX1071/1000</f>
        <v>28.56</v>
      </c>
      <c r="CA1071">
        <f>IFERROR(BZ1071/BQ1071,"")</f>
        <v>0.4780161224210957</v>
      </c>
      <c r="CB1071">
        <v>0</v>
      </c>
      <c r="CC1071">
        <v>0</v>
      </c>
      <c r="CD1071">
        <v>0</v>
      </c>
      <c r="CE1071">
        <v>0</v>
      </c>
      <c r="CF1071">
        <v>0</v>
      </c>
      <c r="CG1071">
        <v>0</v>
      </c>
      <c r="CH1071">
        <v>0</v>
      </c>
      <c r="CI1071">
        <v>0</v>
      </c>
      <c r="CJ1071">
        <v>0</v>
      </c>
      <c r="CK1071">
        <v>0</v>
      </c>
      <c r="CL1071">
        <v>0</v>
      </c>
      <c r="CM1071">
        <v>0</v>
      </c>
      <c r="CN1071">
        <v>0</v>
      </c>
      <c r="CO1071">
        <v>0</v>
      </c>
      <c r="CP1071" t="str">
        <f>IF($BN1071&lt;$BM1071,"refNeedCorrection","refOK")</f>
        <v>refOK</v>
      </c>
      <c r="CQ1071">
        <f>IF($CP1071="refNeedCorrection",BN1071,BM1071)</f>
        <v>0</v>
      </c>
      <c r="CR1071">
        <f>IF($CP1071="refNeedCorrection",BM1071,BN1071)</f>
        <v>29276</v>
      </c>
      <c r="CS1071">
        <f>IF($CP1071="refOK",$BQ1071,-$BQ1071)</f>
        <v>59.746938775510209</v>
      </c>
      <c r="CT1071">
        <f>IF(BI1071="Roundwood",$CS1071/2,$CS1071)</f>
        <v>59.746938775510209</v>
      </c>
      <c r="CU1071">
        <f>IF($CP1071="refOK",$BU1071,$BV1071)*IF($BR1071="Emissions positive",-1,1)</f>
        <v>-30600</v>
      </c>
      <c r="CV1071">
        <f>IF($CP1071="refOK",$BV1071,$BU1071)*IF($BR1071="Emissions positive",-1,1)</f>
        <v>-2040</v>
      </c>
      <c r="CW1071">
        <f>IF($CP1071="refNeedCorrection",-BZ1071,BZ1071)*IF($BR1071="Emissions positive",-1,1)</f>
        <v>28.56</v>
      </c>
      <c r="CX1071">
        <f>IFERROR($CW1071/$CS1071,"")</f>
        <v>0.4780161224210957</v>
      </c>
      <c r="CY1071">
        <f>IFERROR($CW1071/$CS1071,"")</f>
        <v>0.4780161224210957</v>
      </c>
      <c r="CZ1071">
        <f>IFERROR($CW1071/$CT1071,"")</f>
        <v>0.4780161224210957</v>
      </c>
      <c r="DA1071" s="2">
        <f>IFERROR((CV1071-CU1071)/ABS(CU1071),"")</f>
        <v>0.93333333333333335</v>
      </c>
      <c r="DB1071" s="1" t="s">
        <v>347</v>
      </c>
      <c r="DC1071" t="str">
        <f>IF(OR($DB1071="prd",$DB1071="std",$DB1071="cit"),"loc",IF(OR($DB1071="eur",$DB1071="reg",$DB1071="coy"),"reg",$DB1071))</f>
        <v>loc</v>
      </c>
      <c r="DD1071" t="s">
        <v>348</v>
      </c>
      <c r="DE1071">
        <v>2014</v>
      </c>
      <c r="DF1071">
        <v>2514</v>
      </c>
      <c r="DG1071">
        <v>500</v>
      </c>
      <c r="DH1071" t="str">
        <f>IF(DG1071=0,"0",IF(AND(DG1071&gt;=1,DG1071&lt;=30),"1-30",IF(AND(DG1071&gt;30,DG1071&lt;=70),"31-70",IF(AND(DG1071&gt;70,DG1071&lt;=100),"71-100",IF(DG1071&gt;100,"+100")))))</f>
        <v>+100</v>
      </c>
      <c r="DI1071">
        <v>0</v>
      </c>
      <c r="DJ1071">
        <v>0</v>
      </c>
      <c r="DK1071">
        <v>0</v>
      </c>
      <c r="DL1071">
        <v>1</v>
      </c>
      <c r="DN1071">
        <f>SUM(DI1071:DL1071)</f>
        <v>1</v>
      </c>
      <c r="DO1071" t="str">
        <f>IF(DN1071=1,INDEX($DI$7:$DL$7,MATCH(1,$DI1071:$DL1071,0)),"mixedProduct")</f>
        <v>TimberInput</v>
      </c>
      <c r="DP1071">
        <f>IF(DI1071=1,DP$7,0)</f>
        <v>0</v>
      </c>
      <c r="DQ1071">
        <f>IF(DJ1071=1,DQ$7,0)</f>
        <v>0</v>
      </c>
      <c r="DR1071">
        <f>IF(DK1071=1,DR$7,0)</f>
        <v>0</v>
      </c>
      <c r="DS1071" t="str">
        <f>IF(DL1071=1,DS$7,0)</f>
        <v>Timber</v>
      </c>
      <c r="DT1071">
        <v>0</v>
      </c>
      <c r="DU1071">
        <v>0</v>
      </c>
      <c r="DV1071">
        <v>0</v>
      </c>
      <c r="DW1071">
        <v>0</v>
      </c>
      <c r="DX1071">
        <v>0</v>
      </c>
      <c r="DY1071">
        <f>SUM(DT1071:DU1071)</f>
        <v>0</v>
      </c>
      <c r="DZ1071" s="143" t="str">
        <f>IF(DT1071=1,"self-calculated DF",IF(DU1071=1,"external DF used","explicit C balance"))</f>
        <v>explicit C balance</v>
      </c>
      <c r="EA1071">
        <v>0</v>
      </c>
      <c r="EB1071">
        <v>0</v>
      </c>
      <c r="EC1071">
        <v>0</v>
      </c>
      <c r="ED1071">
        <v>1</v>
      </c>
      <c r="EE1071">
        <v>0</v>
      </c>
      <c r="EF1071" s="143">
        <v>1</v>
      </c>
      <c r="EG1071">
        <v>0</v>
      </c>
      <c r="EH1071">
        <v>1</v>
      </c>
      <c r="EI1071">
        <v>1</v>
      </c>
      <c r="EJ1071">
        <v>1</v>
      </c>
      <c r="EK1071">
        <v>0</v>
      </c>
      <c r="EL1071">
        <v>0</v>
      </c>
      <c r="EM1071">
        <v>0</v>
      </c>
      <c r="EN1071" s="2">
        <v>0</v>
      </c>
      <c r="EP1071" t="str">
        <f>IF(AND(AND(AND(OR($EC1071=1,$EB1071=1),OR($EH1071=1,$EF1071=1)),SUM($EA1071:$EE1071,$EK1071)&gt;=3),SUM($EF1071:$EJ1071)&gt;=2),"Whole sector approach","")</f>
        <v/>
      </c>
      <c r="EQ1071" t="str">
        <f>IF(AND(AND(OR($EC1071=1,$EB1071=1),AND($EH1071=0,$EF1071=0)),SUM($EA1071:$EE1071,$EK1071)&gt;=4),"Ecosystem approach","")</f>
        <v/>
      </c>
      <c r="ER1071" s="2" t="str">
        <f>IF(AND(AND(AND($EC1071=0,$EB1071=0),OR($EH1071=1,$EF1071=1)),SUM($EG1071:$EJ1071)&gt;=2),"Technology approach","")</f>
        <v>Technology approach</v>
      </c>
      <c r="ES1071" t="str">
        <f>IF(AND($EC1071+$EB1071+$EE1071+$EA1071+$ED1071+$EG1071=0,$N1071="included"),"C neutral forest and HWP assumption","")</f>
        <v/>
      </c>
      <c r="ET1071" t="str">
        <f>IF(AND(AND(AND(AND($EC1071=1,$EB1071+$EA1071+$EG1071&gt;=1),$EF1071=1),$EH1071+$EI1071+$ED1071+$EE1071&gt;=2),$N1071="included"),"All C pools assumption","")</f>
        <v/>
      </c>
      <c r="EU1071" t="str">
        <f>IF(AND($ED1071+$EE1071+$EI1071+$EH1071+$EF1071=0,$N1071="included"),"In-situ only assumption","")</f>
        <v/>
      </c>
      <c r="EY1071" t="str">
        <f>IF(ISNUMBER(BW1071),IF(ABS(BW1071-[2]QC_indicators!$B$2)&gt;3*[2]QC_indicators!$C$2,"C ratio",IF(ISNUMBER(CA1071),IF(ABS(CA1071-[2]QC_indicators!$B$1)&gt;3*[2]QC_indicators!$C$1,"DF","no"))),IF(ISNUMBER(CA1071),IF(ABS(CA1071-[2]QC_indicators!$B$1)&gt;3*[2]QC_indicators!$C$1,"DF","no")))</f>
        <v>no</v>
      </c>
      <c r="FA1071" t="str">
        <f>IF(LEN($CY1071)=0,"",IF(AND($CY1071&lt;(-0.05),$ES1071="C neutral forest and HWP assumption"),"Cneutral paradox",IF(AND($CY1071&gt;0.05,$EU1071="In-situ only assumption"),"In-situ only paradox","")))</f>
        <v/>
      </c>
      <c r="FB1071" s="149" t="s">
        <v>349</v>
      </c>
      <c r="FD1071" s="260" t="s">
        <v>2948</v>
      </c>
    </row>
    <row r="1072" spans="1:160" ht="15" hidden="1" customHeight="1">
      <c r="A1072" s="1" t="s">
        <v>333</v>
      </c>
      <c r="B1072" t="s">
        <v>334</v>
      </c>
      <c r="C1072" t="s">
        <v>335</v>
      </c>
      <c r="D1072" t="s">
        <v>336</v>
      </c>
      <c r="E1072" t="s">
        <v>337</v>
      </c>
      <c r="F1072" t="s">
        <v>338</v>
      </c>
      <c r="G1072" t="s">
        <v>339</v>
      </c>
      <c r="I1072">
        <v>2017</v>
      </c>
      <c r="K1072" t="s">
        <v>340</v>
      </c>
      <c r="M1072" t="str">
        <f>LEFT($D1072,FIND(",",$D1072)-1)&amp;"_"&amp;I1072&amp;L1072</f>
        <v>Balasbaneh_2017</v>
      </c>
      <c r="N1072" t="s">
        <v>222</v>
      </c>
      <c r="O1072" s="140" t="s">
        <v>341</v>
      </c>
      <c r="Q1072" t="s">
        <v>224</v>
      </c>
      <c r="R1072" s="258" t="s">
        <v>223</v>
      </c>
      <c r="S1072" s="1" t="s">
        <v>373</v>
      </c>
      <c r="T1072" t="s">
        <v>371</v>
      </c>
      <c r="U1072" t="s">
        <v>351</v>
      </c>
      <c r="V1072" s="253">
        <v>0</v>
      </c>
      <c r="W1072" s="253">
        <v>0</v>
      </c>
      <c r="X1072">
        <v>0</v>
      </c>
      <c r="Y1072">
        <v>0</v>
      </c>
      <c r="Z1072">
        <v>0</v>
      </c>
      <c r="AA1072">
        <v>0</v>
      </c>
      <c r="AB1072">
        <v>0</v>
      </c>
      <c r="AC1072">
        <v>0</v>
      </c>
      <c r="AD1072">
        <v>0</v>
      </c>
      <c r="AE1072">
        <v>0</v>
      </c>
      <c r="AF1072">
        <v>0</v>
      </c>
      <c r="AG1072">
        <v>0</v>
      </c>
      <c r="AH1072">
        <v>0</v>
      </c>
      <c r="AI1072">
        <v>0</v>
      </c>
      <c r="AJ1072">
        <v>0</v>
      </c>
      <c r="AK1072">
        <v>0</v>
      </c>
      <c r="AL1072">
        <v>0</v>
      </c>
      <c r="AM1072">
        <v>1</v>
      </c>
      <c r="AN1072">
        <v>0</v>
      </c>
      <c r="AO1072">
        <v>0</v>
      </c>
      <c r="AP1072">
        <v>0</v>
      </c>
      <c r="AQ1072">
        <v>0</v>
      </c>
      <c r="AR1072">
        <v>0</v>
      </c>
      <c r="AS1072">
        <v>0</v>
      </c>
      <c r="AT1072">
        <v>0</v>
      </c>
      <c r="AU1072">
        <v>0</v>
      </c>
      <c r="AV1072">
        <v>0</v>
      </c>
      <c r="AW1072">
        <v>0</v>
      </c>
      <c r="AX1072">
        <v>0</v>
      </c>
      <c r="AY1072">
        <v>0</v>
      </c>
      <c r="AZ1072" s="141">
        <f>COUNTIF(X1072:AY1072,"&lt;&gt;0")</f>
        <v>1</v>
      </c>
      <c r="BA1072" s="141">
        <f>COUNTIF(X1072:AN1072,"&lt;&gt;0")</f>
        <v>1</v>
      </c>
      <c r="BB1072">
        <f>COUNTIF(X1072:AE1072,"&lt;&gt;0")</f>
        <v>0</v>
      </c>
      <c r="BC1072">
        <f>COUNTIF(AF1072:AK1072,"&lt;&gt;0")</f>
        <v>0</v>
      </c>
      <c r="BD1072">
        <f>COUNTIF(AL1072:AN1072,"&lt;&gt;0")</f>
        <v>1</v>
      </c>
      <c r="BE1072">
        <f>COUNTIF(AU1072:AY1072,"&lt;&gt;0")</f>
        <v>0</v>
      </c>
      <c r="BF1072">
        <f>COUNTIF(AO1072:AT1072,"&lt;&gt;0")</f>
        <v>0</v>
      </c>
      <c r="BG1072" t="str">
        <f t="array" ref="BG1072">IF(BA1072=1,INDEX($X$7:$AN$7,MATCH(TRUE,INDEX($X1072:$AY1072&lt;&gt;0,),0)),IF(BA1072=0,INDEX($AO$7:$AY$7,MATCH(1,$AO1072:$AY1072,0)),IF(BH1072="Multiple strategies","mixed drivers",IF(BH1072="Supply chain","multiple supply","multiple silviculture"))))</f>
        <v>technologies/design switch</v>
      </c>
      <c r="BH1072" s="2" t="str" cm="1">
        <f t="array" ref="BH1072">IF(COUNTIF(BB1072:BD1072,"&lt;&gt;0")=1,INDEX($X$4:$AY$4,MATCH(TRUE,INDEX($X1072:$AY1072&lt;&gt;0,),0)),IF(COUNTIF(BB1072:BD1072,"&lt;&gt;0")=0,INDEX($AO$4:$AY$4,MATCH(1,$AO1072:$AY1072,0)),"Multiple strategies"))</f>
        <v>Technology</v>
      </c>
      <c r="BI1072" s="1" t="s">
        <v>229</v>
      </c>
      <c r="BJ1072" t="s">
        <v>229</v>
      </c>
      <c r="BK1072" s="260" t="s">
        <v>410</v>
      </c>
      <c r="BL1072" t="s">
        <v>345</v>
      </c>
      <c r="BM1072">
        <v>0</v>
      </c>
      <c r="BN1072">
        <v>23500</v>
      </c>
      <c r="BO1072" s="143"/>
      <c r="BP1072">
        <f>BN1072-BM1072</f>
        <v>23500</v>
      </c>
      <c r="BQ1072" s="143">
        <f>BP1072*kg_to_m3</f>
        <v>47.95918367346939</v>
      </c>
      <c r="BR1072" t="s">
        <v>232</v>
      </c>
      <c r="BS1072" s="260" t="s">
        <v>396</v>
      </c>
      <c r="BT1072" t="s">
        <v>346</v>
      </c>
      <c r="BU1072">
        <v>-26000</v>
      </c>
      <c r="BV1072">
        <v>-5650</v>
      </c>
      <c r="BW1072" s="144">
        <v>0.21730769230769231</v>
      </c>
      <c r="BX1072">
        <f>BV1072-BU1072</f>
        <v>20350</v>
      </c>
      <c r="BZ1072">
        <f>BX1072/1000</f>
        <v>20.350000000000001</v>
      </c>
      <c r="CA1072">
        <f>IFERROR(BZ1072/BQ1072,"")</f>
        <v>0.42431914893617023</v>
      </c>
      <c r="CB1072">
        <v>0</v>
      </c>
      <c r="CC1072">
        <v>0</v>
      </c>
      <c r="CD1072">
        <v>0</v>
      </c>
      <c r="CE1072">
        <v>0</v>
      </c>
      <c r="CF1072">
        <v>0</v>
      </c>
      <c r="CG1072">
        <v>0</v>
      </c>
      <c r="CH1072">
        <v>0</v>
      </c>
      <c r="CI1072">
        <v>0</v>
      </c>
      <c r="CJ1072">
        <v>0</v>
      </c>
      <c r="CK1072">
        <v>0</v>
      </c>
      <c r="CL1072">
        <v>0</v>
      </c>
      <c r="CM1072">
        <v>0</v>
      </c>
      <c r="CN1072">
        <v>0</v>
      </c>
      <c r="CO1072">
        <v>0</v>
      </c>
      <c r="CP1072" t="str">
        <f>IF($BN1072&lt;$BM1072,"refNeedCorrection","refOK")</f>
        <v>refOK</v>
      </c>
      <c r="CQ1072">
        <f>IF($CP1072="refNeedCorrection",BN1072,BM1072)</f>
        <v>0</v>
      </c>
      <c r="CR1072">
        <f>IF($CP1072="refNeedCorrection",BM1072,BN1072)</f>
        <v>23500</v>
      </c>
      <c r="CS1072">
        <f>IF($CP1072="refOK",$BQ1072,-$BQ1072)</f>
        <v>47.95918367346939</v>
      </c>
      <c r="CT1072">
        <f>IF(BI1072="Roundwood",$CS1072/2,$CS1072)</f>
        <v>47.95918367346939</v>
      </c>
      <c r="CU1072">
        <f>IF($CP1072="refOK",$BU1072,$BV1072)*IF($BR1072="Emissions positive",-1,1)</f>
        <v>-26000</v>
      </c>
      <c r="CV1072">
        <f>IF($CP1072="refOK",$BV1072,$BU1072)*IF($BR1072="Emissions positive",-1,1)</f>
        <v>-5650</v>
      </c>
      <c r="CW1072">
        <f>IF($CP1072="refNeedCorrection",-BZ1072,BZ1072)*IF($BR1072="Emissions positive",-1,1)</f>
        <v>20.350000000000001</v>
      </c>
      <c r="CX1072">
        <f>IFERROR($CW1072/$CS1072,"")</f>
        <v>0.42431914893617023</v>
      </c>
      <c r="CY1072">
        <f>IFERROR($CW1072/$CS1072,"")</f>
        <v>0.42431914893617023</v>
      </c>
      <c r="CZ1072">
        <f>IFERROR($CW1072/$CT1072,"")</f>
        <v>0.42431914893617023</v>
      </c>
      <c r="DA1072" s="2">
        <f>IFERROR((CV1072-CU1072)/ABS(CU1072),"")</f>
        <v>0.78269230769230769</v>
      </c>
      <c r="DB1072" s="1" t="s">
        <v>347</v>
      </c>
      <c r="DC1072" t="str">
        <f>IF(OR($DB1072="prd",$DB1072="std",$DB1072="cit"),"loc",IF(OR($DB1072="eur",$DB1072="reg",$DB1072="coy"),"reg",$DB1072))</f>
        <v>loc</v>
      </c>
      <c r="DD1072" t="s">
        <v>348</v>
      </c>
      <c r="DE1072">
        <v>2014</v>
      </c>
      <c r="DF1072">
        <v>2114</v>
      </c>
      <c r="DG1072">
        <v>100</v>
      </c>
      <c r="DH1072" t="str">
        <f>IF(DG1072=0,"0",IF(AND(DG1072&gt;=1,DG1072&lt;=30),"1-30",IF(AND(DG1072&gt;30,DG1072&lt;=70),"31-70",IF(AND(DG1072&gt;70,DG1072&lt;=100),"71-100",IF(DG1072&gt;100,"+100")))))</f>
        <v>71-100</v>
      </c>
      <c r="DI1072">
        <v>0</v>
      </c>
      <c r="DJ1072">
        <v>0</v>
      </c>
      <c r="DK1072">
        <v>0</v>
      </c>
      <c r="DL1072">
        <v>1</v>
      </c>
      <c r="DN1072">
        <f>SUM(DI1072:DL1072)</f>
        <v>1</v>
      </c>
      <c r="DO1072" t="str">
        <f>IF(DN1072=1,INDEX($DI$7:$DL$7,MATCH(1,$DI1072:$DL1072,0)),"mixedProduct")</f>
        <v>TimberInput</v>
      </c>
      <c r="DP1072">
        <f>IF(DI1072=1,DP$7,0)</f>
        <v>0</v>
      </c>
      <c r="DQ1072">
        <f>IF(DJ1072=1,DQ$7,0)</f>
        <v>0</v>
      </c>
      <c r="DR1072">
        <f>IF(DK1072=1,DR$7,0)</f>
        <v>0</v>
      </c>
      <c r="DS1072" t="str">
        <f>IF(DL1072=1,DS$7,0)</f>
        <v>Timber</v>
      </c>
      <c r="DT1072">
        <v>0</v>
      </c>
      <c r="DU1072">
        <v>0</v>
      </c>
      <c r="DV1072">
        <v>0</v>
      </c>
      <c r="DW1072">
        <v>0</v>
      </c>
      <c r="DX1072">
        <v>0</v>
      </c>
      <c r="DY1072">
        <f>SUM(DT1072:DU1072)</f>
        <v>0</v>
      </c>
      <c r="DZ1072" s="143" t="str">
        <f>IF(DT1072=1,"self-calculated DF",IF(DU1072=1,"external DF used","explicit C balance"))</f>
        <v>explicit C balance</v>
      </c>
      <c r="EA1072">
        <v>0</v>
      </c>
      <c r="EB1072">
        <v>0</v>
      </c>
      <c r="EC1072">
        <v>0</v>
      </c>
      <c r="ED1072">
        <v>1</v>
      </c>
      <c r="EE1072">
        <v>0</v>
      </c>
      <c r="EF1072" s="143">
        <v>1</v>
      </c>
      <c r="EG1072">
        <v>0</v>
      </c>
      <c r="EH1072">
        <v>1</v>
      </c>
      <c r="EI1072">
        <v>1</v>
      </c>
      <c r="EJ1072">
        <v>1</v>
      </c>
      <c r="EK1072">
        <v>0</v>
      </c>
      <c r="EL1072">
        <v>0</v>
      </c>
      <c r="EM1072">
        <v>0</v>
      </c>
      <c r="EN1072" s="2">
        <v>0</v>
      </c>
      <c r="EP1072" t="str">
        <f>IF(AND(AND(AND(OR($EC1072=1,$EB1072=1),OR($EH1072=1,$EF1072=1)),SUM($EA1072:$EE1072,$EK1072)&gt;=3),SUM($EF1072:$EJ1072)&gt;=2),"Whole sector approach","")</f>
        <v/>
      </c>
      <c r="EQ1072" t="str">
        <f>IF(AND(AND(OR($EC1072=1,$EB1072=1),AND($EH1072=0,$EF1072=0)),SUM($EA1072:$EE1072,$EK1072)&gt;=4),"Ecosystem approach","")</f>
        <v/>
      </c>
      <c r="ER1072" s="2" t="str">
        <f>IF(AND(AND(AND($EC1072=0,$EB1072=0),OR($EH1072=1,$EF1072=1)),SUM($EG1072:$EJ1072)&gt;=2),"Technology approach","")</f>
        <v>Technology approach</v>
      </c>
      <c r="ES1072" t="str">
        <f>IF(AND($EC1072+$EB1072+$EE1072+$EA1072+$ED1072+$EG1072=0,$N1072="included"),"C neutral forest and HWP assumption","")</f>
        <v/>
      </c>
      <c r="ET1072" t="str">
        <f>IF(AND(AND(AND(AND($EC1072=1,$EB1072+$EA1072+$EG1072&gt;=1),$EF1072=1),$EH1072+$EI1072+$ED1072+$EE1072&gt;=2),$N1072="included"),"All C pools assumption","")</f>
        <v/>
      </c>
      <c r="EU1072" t="str">
        <f>IF(AND($ED1072+$EE1072+$EI1072+$EH1072+$EF1072=0,$N1072="included"),"In-situ only assumption","")</f>
        <v/>
      </c>
      <c r="EY1072" t="str">
        <f>IF(ISNUMBER(BW1072),IF(ABS(BW1072-[2]QC_indicators!$B$2)&gt;3*[2]QC_indicators!$C$2,"C ratio",IF(ISNUMBER(CA1072),IF(ABS(CA1072-[2]QC_indicators!$B$1)&gt;3*[2]QC_indicators!$C$1,"DF","no"))),IF(ISNUMBER(CA1072),IF(ABS(CA1072-[2]QC_indicators!$B$1)&gt;3*[2]QC_indicators!$C$1,"DF","no")))</f>
        <v>no</v>
      </c>
      <c r="FA1072" t="str">
        <f>IF(LEN($CY1072)=0,"",IF(AND($CY1072&lt;(-0.05),$ES1072="C neutral forest and HWP assumption"),"Cneutral paradox",IF(AND($CY1072&gt;0.05,$EU1072="In-situ only assumption"),"In-situ only paradox","")))</f>
        <v/>
      </c>
      <c r="FB1072" s="149" t="s">
        <v>349</v>
      </c>
      <c r="FD1072" s="260" t="s">
        <v>2948</v>
      </c>
    </row>
    <row r="1073" spans="1:160" ht="15" hidden="1" customHeight="1">
      <c r="A1073" s="1" t="s">
        <v>333</v>
      </c>
      <c r="B1073" t="s">
        <v>334</v>
      </c>
      <c r="C1073" t="s">
        <v>335</v>
      </c>
      <c r="D1073" t="s">
        <v>336</v>
      </c>
      <c r="E1073" t="s">
        <v>337</v>
      </c>
      <c r="F1073" t="s">
        <v>338</v>
      </c>
      <c r="G1073" t="s">
        <v>339</v>
      </c>
      <c r="I1073">
        <v>2017</v>
      </c>
      <c r="K1073" t="s">
        <v>340</v>
      </c>
      <c r="M1073" t="str">
        <f>LEFT($D1073,FIND(",",$D1073)-1)&amp;"_"&amp;I1073&amp;L1073</f>
        <v>Balasbaneh_2017</v>
      </c>
      <c r="N1073" t="s">
        <v>222</v>
      </c>
      <c r="O1073" s="140" t="s">
        <v>341</v>
      </c>
      <c r="Q1073" t="s">
        <v>224</v>
      </c>
      <c r="R1073" s="258" t="s">
        <v>223</v>
      </c>
      <c r="S1073" s="1" t="s">
        <v>372</v>
      </c>
      <c r="T1073" t="s">
        <v>371</v>
      </c>
      <c r="U1073" t="s">
        <v>344</v>
      </c>
      <c r="V1073" s="253">
        <v>0</v>
      </c>
      <c r="W1073" s="253">
        <v>0</v>
      </c>
      <c r="X1073">
        <v>0</v>
      </c>
      <c r="Y1073">
        <v>0</v>
      </c>
      <c r="Z1073">
        <v>0</v>
      </c>
      <c r="AA1073">
        <v>0</v>
      </c>
      <c r="AB1073">
        <v>0</v>
      </c>
      <c r="AC1073">
        <v>0</v>
      </c>
      <c r="AD1073">
        <v>0</v>
      </c>
      <c r="AE1073">
        <v>0</v>
      </c>
      <c r="AF1073">
        <v>0</v>
      </c>
      <c r="AG1073">
        <v>0</v>
      </c>
      <c r="AH1073">
        <v>0</v>
      </c>
      <c r="AI1073">
        <v>0</v>
      </c>
      <c r="AJ1073">
        <v>0</v>
      </c>
      <c r="AK1073">
        <v>0</v>
      </c>
      <c r="AL1073">
        <v>0</v>
      </c>
      <c r="AM1073">
        <v>1</v>
      </c>
      <c r="AN1073">
        <v>0</v>
      </c>
      <c r="AO1073">
        <v>0</v>
      </c>
      <c r="AP1073">
        <v>0</v>
      </c>
      <c r="AQ1073">
        <v>0</v>
      </c>
      <c r="AR1073">
        <v>0</v>
      </c>
      <c r="AS1073">
        <v>0</v>
      </c>
      <c r="AT1073">
        <v>0</v>
      </c>
      <c r="AU1073">
        <v>0</v>
      </c>
      <c r="AV1073">
        <v>0</v>
      </c>
      <c r="AW1073">
        <v>0</v>
      </c>
      <c r="AX1073">
        <v>0</v>
      </c>
      <c r="AY1073">
        <v>0</v>
      </c>
      <c r="AZ1073" s="141">
        <f>COUNTIF(X1073:AY1073,"&lt;&gt;0")</f>
        <v>1</v>
      </c>
      <c r="BA1073" s="141">
        <f>COUNTIF(X1073:AN1073,"&lt;&gt;0")</f>
        <v>1</v>
      </c>
      <c r="BB1073">
        <f>COUNTIF(X1073:AE1073,"&lt;&gt;0")</f>
        <v>0</v>
      </c>
      <c r="BC1073">
        <f>COUNTIF(AF1073:AK1073,"&lt;&gt;0")</f>
        <v>0</v>
      </c>
      <c r="BD1073">
        <f>COUNTIF(AL1073:AN1073,"&lt;&gt;0")</f>
        <v>1</v>
      </c>
      <c r="BE1073">
        <f>COUNTIF(AU1073:AY1073,"&lt;&gt;0")</f>
        <v>0</v>
      </c>
      <c r="BF1073">
        <f>COUNTIF(AO1073:AT1073,"&lt;&gt;0")</f>
        <v>0</v>
      </c>
      <c r="BG1073" t="str">
        <f t="array" ref="BG1073">IF(BA1073=1,INDEX($X$7:$AN$7,MATCH(TRUE,INDEX($X1073:$AY1073&lt;&gt;0,),0)),IF(BA1073=0,INDEX($AO$7:$AY$7,MATCH(1,$AO1073:$AY1073,0)),IF(BH1073="Multiple strategies","mixed drivers",IF(BH1073="Supply chain","multiple supply","multiple silviculture"))))</f>
        <v>technologies/design switch</v>
      </c>
      <c r="BH1073" s="2" t="str" cm="1">
        <f t="array" ref="BH1073">IF(COUNTIF(BB1073:BD1073,"&lt;&gt;0")=1,INDEX($X$4:$AY$4,MATCH(TRUE,INDEX($X1073:$AY1073&lt;&gt;0,),0)),IF(COUNTIF(BB1073:BD1073,"&lt;&gt;0")=0,INDEX($AO$4:$AY$4,MATCH(1,$AO1073:$AY1073,0)),"Multiple strategies"))</f>
        <v>Technology</v>
      </c>
      <c r="BI1073" s="1" t="s">
        <v>229</v>
      </c>
      <c r="BJ1073" t="s">
        <v>229</v>
      </c>
      <c r="BK1073" s="260" t="s">
        <v>410</v>
      </c>
      <c r="BL1073" t="s">
        <v>345</v>
      </c>
      <c r="BM1073">
        <v>0</v>
      </c>
      <c r="BN1073">
        <v>23500</v>
      </c>
      <c r="BO1073" s="143"/>
      <c r="BP1073">
        <f>BN1073-BM1073</f>
        <v>23500</v>
      </c>
      <c r="BQ1073" s="143">
        <f>BP1073*kg_to_m3</f>
        <v>47.95918367346939</v>
      </c>
      <c r="BR1073" t="s">
        <v>232</v>
      </c>
      <c r="BS1073" s="260" t="s">
        <v>396</v>
      </c>
      <c r="BT1073" t="s">
        <v>346</v>
      </c>
      <c r="BU1073">
        <v>-26000</v>
      </c>
      <c r="BV1073">
        <v>-5870</v>
      </c>
      <c r="BW1073" s="144">
        <v>0.22576923076923078</v>
      </c>
      <c r="BX1073">
        <f>BV1073-BU1073</f>
        <v>20130</v>
      </c>
      <c r="BZ1073">
        <f>BX1073/1000</f>
        <v>20.13</v>
      </c>
      <c r="CA1073">
        <f>IFERROR(BZ1073/BQ1073,"")</f>
        <v>0.419731914893617</v>
      </c>
      <c r="CB1073">
        <v>0</v>
      </c>
      <c r="CC1073">
        <v>0</v>
      </c>
      <c r="CD1073">
        <v>0</v>
      </c>
      <c r="CE1073">
        <v>0</v>
      </c>
      <c r="CF1073">
        <v>0</v>
      </c>
      <c r="CG1073">
        <v>0</v>
      </c>
      <c r="CH1073">
        <v>0</v>
      </c>
      <c r="CI1073">
        <v>0</v>
      </c>
      <c r="CJ1073">
        <v>0</v>
      </c>
      <c r="CK1073">
        <v>0</v>
      </c>
      <c r="CL1073">
        <v>0</v>
      </c>
      <c r="CM1073">
        <v>0</v>
      </c>
      <c r="CN1073">
        <v>0</v>
      </c>
      <c r="CO1073">
        <v>0</v>
      </c>
      <c r="CP1073" t="str">
        <f>IF($BN1073&lt;$BM1073,"refNeedCorrection","refOK")</f>
        <v>refOK</v>
      </c>
      <c r="CQ1073">
        <f>IF($CP1073="refNeedCorrection",BN1073,BM1073)</f>
        <v>0</v>
      </c>
      <c r="CR1073">
        <f>IF($CP1073="refNeedCorrection",BM1073,BN1073)</f>
        <v>23500</v>
      </c>
      <c r="CS1073">
        <f>IF($CP1073="refOK",$BQ1073,-$BQ1073)</f>
        <v>47.95918367346939</v>
      </c>
      <c r="CT1073">
        <f>IF(BI1073="Roundwood",$CS1073/2,$CS1073)</f>
        <v>47.95918367346939</v>
      </c>
      <c r="CU1073">
        <f>IF($CP1073="refOK",$BU1073,$BV1073)*IF($BR1073="Emissions positive",-1,1)</f>
        <v>-26000</v>
      </c>
      <c r="CV1073">
        <f>IF($CP1073="refOK",$BV1073,$BU1073)*IF($BR1073="Emissions positive",-1,1)</f>
        <v>-5870</v>
      </c>
      <c r="CW1073">
        <f>IF($CP1073="refNeedCorrection",-BZ1073,BZ1073)*IF($BR1073="Emissions positive",-1,1)</f>
        <v>20.13</v>
      </c>
      <c r="CX1073">
        <f>IFERROR($CW1073/$CS1073,"")</f>
        <v>0.419731914893617</v>
      </c>
      <c r="CY1073">
        <f>IFERROR($CW1073/$CS1073,"")</f>
        <v>0.419731914893617</v>
      </c>
      <c r="CZ1073">
        <f>IFERROR($CW1073/$CT1073,"")</f>
        <v>0.419731914893617</v>
      </c>
      <c r="DA1073" s="2">
        <f>IFERROR((CV1073-CU1073)/ABS(CU1073),"")</f>
        <v>0.77423076923076928</v>
      </c>
      <c r="DB1073" s="1" t="s">
        <v>347</v>
      </c>
      <c r="DC1073" t="str">
        <f>IF(OR($DB1073="prd",$DB1073="std",$DB1073="cit"),"loc",IF(OR($DB1073="eur",$DB1073="reg",$DB1073="coy"),"reg",$DB1073))</f>
        <v>loc</v>
      </c>
      <c r="DD1073" t="s">
        <v>348</v>
      </c>
      <c r="DE1073">
        <v>2014</v>
      </c>
      <c r="DF1073">
        <v>2034</v>
      </c>
      <c r="DG1073">
        <v>20</v>
      </c>
      <c r="DH1073" t="str">
        <f>IF(DG1073=0,"0",IF(AND(DG1073&gt;=1,DG1073&lt;=30),"1-30",IF(AND(DG1073&gt;30,DG1073&lt;=70),"31-70",IF(AND(DG1073&gt;70,DG1073&lt;=100),"71-100",IF(DG1073&gt;100,"+100")))))</f>
        <v>1-30</v>
      </c>
      <c r="DI1073">
        <v>0</v>
      </c>
      <c r="DJ1073">
        <v>0</v>
      </c>
      <c r="DK1073">
        <v>0</v>
      </c>
      <c r="DL1073">
        <v>1</v>
      </c>
      <c r="DN1073">
        <f>SUM(DI1073:DL1073)</f>
        <v>1</v>
      </c>
      <c r="DO1073" t="str">
        <f>IF(DN1073=1,INDEX($DI$7:$DL$7,MATCH(1,$DI1073:$DL1073,0)),"mixedProduct")</f>
        <v>TimberInput</v>
      </c>
      <c r="DP1073">
        <f>IF(DI1073=1,DP$7,0)</f>
        <v>0</v>
      </c>
      <c r="DQ1073">
        <f>IF(DJ1073=1,DQ$7,0)</f>
        <v>0</v>
      </c>
      <c r="DR1073">
        <f>IF(DK1073=1,DR$7,0)</f>
        <v>0</v>
      </c>
      <c r="DS1073" t="str">
        <f>IF(DL1073=1,DS$7,0)</f>
        <v>Timber</v>
      </c>
      <c r="DT1073">
        <v>0</v>
      </c>
      <c r="DU1073">
        <v>0</v>
      </c>
      <c r="DV1073">
        <v>0</v>
      </c>
      <c r="DW1073">
        <v>0</v>
      </c>
      <c r="DX1073">
        <v>0</v>
      </c>
      <c r="DY1073">
        <f>SUM(DT1073:DU1073)</f>
        <v>0</v>
      </c>
      <c r="DZ1073" s="143" t="str">
        <f>IF(DT1073=1,"self-calculated DF",IF(DU1073=1,"external DF used","explicit C balance"))</f>
        <v>explicit C balance</v>
      </c>
      <c r="EA1073">
        <v>0</v>
      </c>
      <c r="EB1073">
        <v>0</v>
      </c>
      <c r="EC1073">
        <v>0</v>
      </c>
      <c r="ED1073">
        <v>1</v>
      </c>
      <c r="EE1073">
        <v>0</v>
      </c>
      <c r="EF1073" s="143">
        <v>1</v>
      </c>
      <c r="EG1073">
        <v>0</v>
      </c>
      <c r="EH1073">
        <v>1</v>
      </c>
      <c r="EI1073">
        <v>1</v>
      </c>
      <c r="EJ1073">
        <v>1</v>
      </c>
      <c r="EK1073">
        <v>0</v>
      </c>
      <c r="EL1073">
        <v>0</v>
      </c>
      <c r="EM1073">
        <v>0</v>
      </c>
      <c r="EN1073" s="2">
        <v>0</v>
      </c>
      <c r="EP1073" t="str">
        <f>IF(AND(AND(AND(OR($EC1073=1,$EB1073=1),OR($EH1073=1,$EF1073=1)),SUM($EA1073:$EE1073,$EK1073)&gt;=3),SUM($EF1073:$EJ1073)&gt;=2),"Whole sector approach","")</f>
        <v/>
      </c>
      <c r="EQ1073" t="str">
        <f>IF(AND(AND(OR($EC1073=1,$EB1073=1),AND($EH1073=0,$EF1073=0)),SUM($EA1073:$EE1073,$EK1073)&gt;=4),"Ecosystem approach","")</f>
        <v/>
      </c>
      <c r="ER1073" s="2" t="str">
        <f>IF(AND(AND(AND($EC1073=0,$EB1073=0),OR($EH1073=1,$EF1073=1)),SUM($EG1073:$EJ1073)&gt;=2),"Technology approach","")</f>
        <v>Technology approach</v>
      </c>
      <c r="ES1073" t="str">
        <f>IF(AND($EC1073+$EB1073+$EE1073+$EA1073+$ED1073+$EG1073=0,$N1073="included"),"C neutral forest and HWP assumption","")</f>
        <v/>
      </c>
      <c r="ET1073" t="str">
        <f>IF(AND(AND(AND(AND($EC1073=1,$EB1073+$EA1073+$EG1073&gt;=1),$EF1073=1),$EH1073+$EI1073+$ED1073+$EE1073&gt;=2),$N1073="included"),"All C pools assumption","")</f>
        <v/>
      </c>
      <c r="EU1073" t="str">
        <f>IF(AND($ED1073+$EE1073+$EI1073+$EH1073+$EF1073=0,$N1073="included"),"In-situ only assumption","")</f>
        <v/>
      </c>
      <c r="EY1073" t="str">
        <f>IF(ISNUMBER(BW1073),IF(ABS(BW1073-[2]QC_indicators!$B$2)&gt;3*[2]QC_indicators!$C$2,"C ratio",IF(ISNUMBER(CA1073),IF(ABS(CA1073-[2]QC_indicators!$B$1)&gt;3*[2]QC_indicators!$C$1,"DF","no"))),IF(ISNUMBER(CA1073),IF(ABS(CA1073-[2]QC_indicators!$B$1)&gt;3*[2]QC_indicators!$C$1,"DF","no")))</f>
        <v>no</v>
      </c>
      <c r="FA1073" t="str">
        <f>IF(LEN($CY1073)=0,"",IF(AND($CY1073&lt;(-0.05),$ES1073="C neutral forest and HWP assumption"),"Cneutral paradox",IF(AND($CY1073&gt;0.05,$EU1073="In-situ only assumption"),"In-situ only paradox","")))</f>
        <v/>
      </c>
      <c r="FB1073" s="149" t="s">
        <v>349</v>
      </c>
      <c r="FD1073" s="260" t="s">
        <v>2948</v>
      </c>
    </row>
    <row r="1074" spans="1:160" hidden="1">
      <c r="A1074" s="1" t="s">
        <v>333</v>
      </c>
      <c r="B1074" t="s">
        <v>334</v>
      </c>
      <c r="C1074" t="s">
        <v>335</v>
      </c>
      <c r="D1074" t="s">
        <v>336</v>
      </c>
      <c r="E1074" t="s">
        <v>337</v>
      </c>
      <c r="F1074" t="s">
        <v>338</v>
      </c>
      <c r="G1074" t="s">
        <v>339</v>
      </c>
      <c r="I1074">
        <v>2017</v>
      </c>
      <c r="K1074" t="s">
        <v>340</v>
      </c>
      <c r="M1074" t="str">
        <f>LEFT($D1074,FIND(",",$D1074)-1)&amp;"_"&amp;I1074&amp;L1074</f>
        <v>Balasbaneh_2017</v>
      </c>
      <c r="N1074" t="s">
        <v>222</v>
      </c>
      <c r="O1074" s="140" t="s">
        <v>341</v>
      </c>
      <c r="Q1074" t="s">
        <v>224</v>
      </c>
      <c r="R1074" s="258" t="s">
        <v>223</v>
      </c>
      <c r="S1074" s="1" t="s">
        <v>370</v>
      </c>
      <c r="T1074" t="s">
        <v>371</v>
      </c>
      <c r="U1074" t="s">
        <v>357</v>
      </c>
      <c r="V1074" s="253">
        <v>0</v>
      </c>
      <c r="W1074" s="253">
        <v>0</v>
      </c>
      <c r="X1074">
        <v>0</v>
      </c>
      <c r="Y1074">
        <v>0</v>
      </c>
      <c r="Z1074">
        <v>0</v>
      </c>
      <c r="AA1074">
        <v>0</v>
      </c>
      <c r="AB1074">
        <v>0</v>
      </c>
      <c r="AC1074">
        <v>0</v>
      </c>
      <c r="AD1074">
        <v>0</v>
      </c>
      <c r="AE1074">
        <v>0</v>
      </c>
      <c r="AF1074">
        <v>0</v>
      </c>
      <c r="AG1074">
        <v>0</v>
      </c>
      <c r="AH1074">
        <v>0</v>
      </c>
      <c r="AI1074">
        <v>0</v>
      </c>
      <c r="AJ1074">
        <v>0</v>
      </c>
      <c r="AK1074">
        <v>0</v>
      </c>
      <c r="AL1074">
        <v>0</v>
      </c>
      <c r="AM1074">
        <v>1</v>
      </c>
      <c r="AN1074">
        <v>0</v>
      </c>
      <c r="AO1074">
        <v>0</v>
      </c>
      <c r="AP1074">
        <v>0</v>
      </c>
      <c r="AQ1074">
        <v>0</v>
      </c>
      <c r="AR1074">
        <v>0</v>
      </c>
      <c r="AS1074">
        <v>0</v>
      </c>
      <c r="AT1074">
        <v>0</v>
      </c>
      <c r="AU1074">
        <v>0</v>
      </c>
      <c r="AV1074">
        <v>0</v>
      </c>
      <c r="AW1074">
        <v>0</v>
      </c>
      <c r="AX1074">
        <v>0</v>
      </c>
      <c r="AY1074">
        <v>0</v>
      </c>
      <c r="AZ1074" s="141">
        <f>COUNTIF(X1074:AY1074,"&lt;&gt;0")</f>
        <v>1</v>
      </c>
      <c r="BA1074" s="141">
        <f>COUNTIF(X1074:AN1074,"&lt;&gt;0")</f>
        <v>1</v>
      </c>
      <c r="BB1074">
        <f>COUNTIF(X1074:AE1074,"&lt;&gt;0")</f>
        <v>0</v>
      </c>
      <c r="BC1074">
        <f>COUNTIF(AF1074:AK1074,"&lt;&gt;0")</f>
        <v>0</v>
      </c>
      <c r="BD1074">
        <f>COUNTIF(AL1074:AN1074,"&lt;&gt;0")</f>
        <v>1</v>
      </c>
      <c r="BE1074">
        <f>COUNTIF(AU1074:AY1074,"&lt;&gt;0")</f>
        <v>0</v>
      </c>
      <c r="BF1074">
        <f>COUNTIF(AO1074:AT1074,"&lt;&gt;0")</f>
        <v>0</v>
      </c>
      <c r="BG1074" t="str">
        <f t="array" ref="BG1074">IF(BA1074=1,INDEX($X$7:$AN$7,MATCH(TRUE,INDEX($X1074:$AY1074&lt;&gt;0,),0)),IF(BA1074=0,INDEX($AO$7:$AY$7,MATCH(1,$AO1074:$AY1074,0)),IF(BH1074="Multiple strategies","mixed drivers",IF(BH1074="Supply chain","multiple supply","multiple silviculture"))))</f>
        <v>technologies/design switch</v>
      </c>
      <c r="BH1074" s="2" t="str" cm="1">
        <f t="array" ref="BH1074">IF(COUNTIF(BB1074:BD1074,"&lt;&gt;0")=1,INDEX($X$4:$AY$4,MATCH(TRUE,INDEX($X1074:$AY1074&lt;&gt;0,),0)),IF(COUNTIF(BB1074:BD1074,"&lt;&gt;0")=0,INDEX($AO$4:$AY$4,MATCH(1,$AO1074:$AY1074,0)),"Multiple strategies"))</f>
        <v>Technology</v>
      </c>
      <c r="BI1074" s="1" t="s">
        <v>229</v>
      </c>
      <c r="BJ1074" t="s">
        <v>229</v>
      </c>
      <c r="BK1074" s="260" t="s">
        <v>410</v>
      </c>
      <c r="BL1074" t="s">
        <v>345</v>
      </c>
      <c r="BM1074">
        <v>0</v>
      </c>
      <c r="BN1074">
        <v>29276</v>
      </c>
      <c r="BO1074" s="143"/>
      <c r="BP1074">
        <f>BN1074-BM1074</f>
        <v>29276</v>
      </c>
      <c r="BQ1074" s="143">
        <f>BP1074*kg_to_m3</f>
        <v>59.746938775510209</v>
      </c>
      <c r="BR1074" t="s">
        <v>232</v>
      </c>
      <c r="BS1074" s="260" t="s">
        <v>396</v>
      </c>
      <c r="BT1074" t="s">
        <v>346</v>
      </c>
      <c r="BU1074">
        <v>-26000</v>
      </c>
      <c r="BV1074">
        <v>-2010</v>
      </c>
      <c r="BW1074" s="144">
        <v>7.7307692307692313E-2</v>
      </c>
      <c r="BX1074">
        <f>BV1074-BU1074</f>
        <v>23990</v>
      </c>
      <c r="BZ1074">
        <f>BX1074/1000</f>
        <v>23.99</v>
      </c>
      <c r="CA1074">
        <f>IFERROR(BZ1074/BQ1074,"")</f>
        <v>0.40152684793004501</v>
      </c>
      <c r="CB1074">
        <v>0</v>
      </c>
      <c r="CC1074">
        <v>0</v>
      </c>
      <c r="CD1074">
        <v>0</v>
      </c>
      <c r="CE1074">
        <v>0</v>
      </c>
      <c r="CF1074">
        <v>0</v>
      </c>
      <c r="CG1074">
        <v>0</v>
      </c>
      <c r="CH1074">
        <v>0</v>
      </c>
      <c r="CI1074">
        <v>0</v>
      </c>
      <c r="CJ1074">
        <v>0</v>
      </c>
      <c r="CK1074">
        <v>0</v>
      </c>
      <c r="CL1074">
        <v>0</v>
      </c>
      <c r="CM1074">
        <v>0</v>
      </c>
      <c r="CN1074">
        <v>0</v>
      </c>
      <c r="CO1074">
        <v>0</v>
      </c>
      <c r="CP1074" t="str">
        <f>IF($BN1074&lt;$BM1074,"refNeedCorrection","refOK")</f>
        <v>refOK</v>
      </c>
      <c r="CQ1074">
        <f>IF($CP1074="refNeedCorrection",BN1074,BM1074)</f>
        <v>0</v>
      </c>
      <c r="CR1074">
        <f>IF($CP1074="refNeedCorrection",BM1074,BN1074)</f>
        <v>29276</v>
      </c>
      <c r="CS1074">
        <f>IF($CP1074="refOK",$BQ1074,-$BQ1074)</f>
        <v>59.746938775510209</v>
      </c>
      <c r="CT1074">
        <f>IF(BI1074="Roundwood",$CS1074/2,$CS1074)</f>
        <v>59.746938775510209</v>
      </c>
      <c r="CU1074">
        <f>IF($CP1074="refOK",$BU1074,$BV1074)*IF($BR1074="Emissions positive",-1,1)</f>
        <v>-26000</v>
      </c>
      <c r="CV1074">
        <f>IF($CP1074="refOK",$BV1074,$BU1074)*IF($BR1074="Emissions positive",-1,1)</f>
        <v>-2010</v>
      </c>
      <c r="CW1074">
        <f>IF($CP1074="refNeedCorrection",-BZ1074,BZ1074)*IF($BR1074="Emissions positive",-1,1)</f>
        <v>23.99</v>
      </c>
      <c r="CX1074">
        <f>IFERROR($CW1074/$CS1074,"")</f>
        <v>0.40152684793004501</v>
      </c>
      <c r="CY1074">
        <f>IFERROR($CW1074/$CS1074,"")</f>
        <v>0.40152684793004501</v>
      </c>
      <c r="CZ1074">
        <f>IFERROR($CW1074/$CT1074,"")</f>
        <v>0.40152684793004501</v>
      </c>
      <c r="DA1074" s="2">
        <f>IFERROR((CV1074-CU1074)/ABS(CU1074),"")</f>
        <v>0.9226923076923077</v>
      </c>
      <c r="DB1074" s="1" t="s">
        <v>347</v>
      </c>
      <c r="DC1074" t="str">
        <f>IF(OR($DB1074="prd",$DB1074="std",$DB1074="cit"),"loc",IF(OR($DB1074="eur",$DB1074="reg",$DB1074="coy"),"reg",$DB1074))</f>
        <v>loc</v>
      </c>
      <c r="DD1074" t="s">
        <v>348</v>
      </c>
      <c r="DE1074">
        <v>2014</v>
      </c>
      <c r="DF1074">
        <v>2514</v>
      </c>
      <c r="DG1074">
        <v>500</v>
      </c>
      <c r="DH1074" t="str">
        <f>IF(DG1074=0,"0",IF(AND(DG1074&gt;=1,DG1074&lt;=30),"1-30",IF(AND(DG1074&gt;30,DG1074&lt;=70),"31-70",IF(AND(DG1074&gt;70,DG1074&lt;=100),"71-100",IF(DG1074&gt;100,"+100")))))</f>
        <v>+100</v>
      </c>
      <c r="DI1074">
        <v>0</v>
      </c>
      <c r="DJ1074">
        <v>0</v>
      </c>
      <c r="DK1074">
        <v>0</v>
      </c>
      <c r="DL1074">
        <v>1</v>
      </c>
      <c r="DN1074">
        <f>SUM(DI1074:DL1074)</f>
        <v>1</v>
      </c>
      <c r="DO1074" t="str">
        <f>IF(DN1074=1,INDEX($DI$7:$DL$7,MATCH(1,$DI1074:$DL1074,0)),"mixedProduct")</f>
        <v>TimberInput</v>
      </c>
      <c r="DP1074">
        <f>IF(DI1074=1,DP$7,0)</f>
        <v>0</v>
      </c>
      <c r="DQ1074">
        <f>IF(DJ1074=1,DQ$7,0)</f>
        <v>0</v>
      </c>
      <c r="DR1074">
        <f>IF(DK1074=1,DR$7,0)</f>
        <v>0</v>
      </c>
      <c r="DS1074" t="str">
        <f>IF(DL1074=1,DS$7,0)</f>
        <v>Timber</v>
      </c>
      <c r="DT1074">
        <v>0</v>
      </c>
      <c r="DU1074">
        <v>0</v>
      </c>
      <c r="DV1074">
        <v>0</v>
      </c>
      <c r="DW1074">
        <v>0</v>
      </c>
      <c r="DX1074">
        <v>0</v>
      </c>
      <c r="DY1074">
        <f>SUM(DT1074:DU1074)</f>
        <v>0</v>
      </c>
      <c r="DZ1074" s="143" t="str">
        <f>IF(DT1074=1,"self-calculated DF",IF(DU1074=1,"external DF used","explicit C balance"))</f>
        <v>explicit C balance</v>
      </c>
      <c r="EA1074">
        <v>0</v>
      </c>
      <c r="EB1074">
        <v>0</v>
      </c>
      <c r="EC1074">
        <v>0</v>
      </c>
      <c r="ED1074">
        <v>1</v>
      </c>
      <c r="EE1074">
        <v>0</v>
      </c>
      <c r="EF1074" s="143">
        <v>1</v>
      </c>
      <c r="EG1074">
        <v>0</v>
      </c>
      <c r="EH1074">
        <v>1</v>
      </c>
      <c r="EI1074">
        <v>1</v>
      </c>
      <c r="EJ1074">
        <v>1</v>
      </c>
      <c r="EK1074">
        <v>0</v>
      </c>
      <c r="EL1074">
        <v>0</v>
      </c>
      <c r="EM1074">
        <v>0</v>
      </c>
      <c r="EN1074" s="2">
        <v>0</v>
      </c>
      <c r="EP1074" t="str">
        <f>IF(AND(AND(AND(OR($EC1074=1,$EB1074=1),OR($EH1074=1,$EF1074=1)),SUM($EA1074:$EE1074,$EK1074)&gt;=3),SUM($EF1074:$EJ1074)&gt;=2),"Whole sector approach","")</f>
        <v/>
      </c>
      <c r="EQ1074" t="str">
        <f>IF(AND(AND(OR($EC1074=1,$EB1074=1),AND($EH1074=0,$EF1074=0)),SUM($EA1074:$EE1074,$EK1074)&gt;=4),"Ecosystem approach","")</f>
        <v/>
      </c>
      <c r="ER1074" s="2" t="str">
        <f>IF(AND(AND(AND($EC1074=0,$EB1074=0),OR($EH1074=1,$EF1074=1)),SUM($EG1074:$EJ1074)&gt;=2),"Technology approach","")</f>
        <v>Technology approach</v>
      </c>
      <c r="ES1074" t="str">
        <f>IF(AND($EC1074+$EB1074+$EE1074+$EA1074+$ED1074+$EG1074=0,$N1074="included"),"C neutral forest and HWP assumption","")</f>
        <v/>
      </c>
      <c r="ET1074" t="str">
        <f>IF(AND(AND(AND(AND($EC1074=1,$EB1074+$EA1074+$EG1074&gt;=1),$EF1074=1),$EH1074+$EI1074+$ED1074+$EE1074&gt;=2),$N1074="included"),"All C pools assumption","")</f>
        <v/>
      </c>
      <c r="EU1074" t="str">
        <f>IF(AND($ED1074+$EE1074+$EI1074+$EH1074+$EF1074=0,$N1074="included"),"In-situ only assumption","")</f>
        <v/>
      </c>
      <c r="EY1074" t="str">
        <f>IF(ISNUMBER(BW1074),IF(ABS(BW1074-[2]QC_indicators!$B$2)&gt;3*[2]QC_indicators!$C$2,"C ratio",IF(ISNUMBER(CA1074),IF(ABS(CA1074-[2]QC_indicators!$B$1)&gt;3*[2]QC_indicators!$C$1,"DF","no"))),IF(ISNUMBER(CA1074),IF(ABS(CA1074-[2]QC_indicators!$B$1)&gt;3*[2]QC_indicators!$C$1,"DF","no")))</f>
        <v>no</v>
      </c>
      <c r="FA1074" t="str">
        <f>IF(LEN($CY1074)=0,"",IF(AND($CY1074&lt;(-0.05),$ES1074="C neutral forest and HWP assumption"),"Cneutral paradox",IF(AND($CY1074&gt;0.05,$EU1074="In-situ only assumption"),"In-situ only paradox","")))</f>
        <v/>
      </c>
      <c r="FB1074" s="149" t="s">
        <v>349</v>
      </c>
      <c r="FD1074" s="260" t="s">
        <v>2948</v>
      </c>
    </row>
    <row r="1075" spans="1:160" hidden="1">
      <c r="A1075" s="1" t="s">
        <v>333</v>
      </c>
      <c r="B1075" t="s">
        <v>334</v>
      </c>
      <c r="C1075" t="s">
        <v>335</v>
      </c>
      <c r="D1075" t="s">
        <v>336</v>
      </c>
      <c r="E1075" t="s">
        <v>337</v>
      </c>
      <c r="F1075" t="s">
        <v>338</v>
      </c>
      <c r="G1075" t="s">
        <v>339</v>
      </c>
      <c r="I1075">
        <v>2017</v>
      </c>
      <c r="K1075" t="s">
        <v>340</v>
      </c>
      <c r="M1075" t="str">
        <f>LEFT($D1075,FIND(",",$D1075)-1)&amp;"_"&amp;I1075&amp;L1075</f>
        <v>Balasbaneh_2017</v>
      </c>
      <c r="N1075" t="s">
        <v>222</v>
      </c>
      <c r="O1075" s="140" t="s">
        <v>341</v>
      </c>
      <c r="Q1075" t="s">
        <v>224</v>
      </c>
      <c r="R1075" s="258" t="s">
        <v>223</v>
      </c>
      <c r="S1075" s="1" t="s">
        <v>369</v>
      </c>
      <c r="T1075" t="s">
        <v>361</v>
      </c>
      <c r="U1075" t="s">
        <v>351</v>
      </c>
      <c r="V1075" s="253">
        <v>0</v>
      </c>
      <c r="W1075" s="253">
        <v>0</v>
      </c>
      <c r="X1075">
        <v>0</v>
      </c>
      <c r="Y1075">
        <v>0</v>
      </c>
      <c r="Z1075">
        <v>0</v>
      </c>
      <c r="AA1075">
        <v>0</v>
      </c>
      <c r="AB1075">
        <v>0</v>
      </c>
      <c r="AC1075">
        <v>0</v>
      </c>
      <c r="AD1075">
        <v>0</v>
      </c>
      <c r="AE1075">
        <v>0</v>
      </c>
      <c r="AF1075">
        <v>0</v>
      </c>
      <c r="AG1075">
        <v>0</v>
      </c>
      <c r="AH1075">
        <v>0</v>
      </c>
      <c r="AI1075">
        <v>0</v>
      </c>
      <c r="AJ1075">
        <v>0</v>
      </c>
      <c r="AK1075">
        <v>0</v>
      </c>
      <c r="AL1075">
        <v>0</v>
      </c>
      <c r="AM1075">
        <v>1</v>
      </c>
      <c r="AN1075">
        <v>0</v>
      </c>
      <c r="AO1075">
        <v>0</v>
      </c>
      <c r="AP1075">
        <v>0</v>
      </c>
      <c r="AQ1075">
        <v>0</v>
      </c>
      <c r="AR1075">
        <v>0</v>
      </c>
      <c r="AS1075">
        <v>0</v>
      </c>
      <c r="AT1075">
        <v>0</v>
      </c>
      <c r="AU1075">
        <v>0</v>
      </c>
      <c r="AV1075">
        <v>0</v>
      </c>
      <c r="AW1075">
        <v>0</v>
      </c>
      <c r="AX1075">
        <v>0</v>
      </c>
      <c r="AY1075">
        <v>0</v>
      </c>
      <c r="AZ1075" s="141">
        <f>COUNTIF(X1075:AY1075,"&lt;&gt;0")</f>
        <v>1</v>
      </c>
      <c r="BA1075" s="141">
        <f>COUNTIF(X1075:AN1075,"&lt;&gt;0")</f>
        <v>1</v>
      </c>
      <c r="BB1075">
        <f>COUNTIF(X1075:AE1075,"&lt;&gt;0")</f>
        <v>0</v>
      </c>
      <c r="BC1075">
        <f>COUNTIF(AF1075:AK1075,"&lt;&gt;0")</f>
        <v>0</v>
      </c>
      <c r="BD1075">
        <f>COUNTIF(AL1075:AN1075,"&lt;&gt;0")</f>
        <v>1</v>
      </c>
      <c r="BE1075">
        <f>COUNTIF(AU1075:AY1075,"&lt;&gt;0")</f>
        <v>0</v>
      </c>
      <c r="BF1075">
        <f>COUNTIF(AO1075:AT1075,"&lt;&gt;0")</f>
        <v>0</v>
      </c>
      <c r="BG1075" t="str">
        <f t="array" ref="BG1075">IF(BA1075=1,INDEX($X$7:$AN$7,MATCH(TRUE,INDEX($X1075:$AY1075&lt;&gt;0,),0)),IF(BA1075=0,INDEX($AO$7:$AY$7,MATCH(1,$AO1075:$AY1075,0)),IF(BH1075="Multiple strategies","mixed drivers",IF(BH1075="Supply chain","multiple supply","multiple silviculture"))))</f>
        <v>technologies/design switch</v>
      </c>
      <c r="BH1075" s="2" t="str" cm="1">
        <f t="array" ref="BH1075">IF(COUNTIF(BB1075:BD1075,"&lt;&gt;0")=1,INDEX($X$4:$AY$4,MATCH(TRUE,INDEX($X1075:$AY1075&lt;&gt;0,),0)),IF(COUNTIF(BB1075:BD1075,"&lt;&gt;0")=0,INDEX($AO$4:$AY$4,MATCH(1,$AO1075:$AY1075,0)),"Multiple strategies"))</f>
        <v>Technology</v>
      </c>
      <c r="BI1075" s="1" t="s">
        <v>229</v>
      </c>
      <c r="BJ1075" t="s">
        <v>229</v>
      </c>
      <c r="BK1075" s="260" t="s">
        <v>410</v>
      </c>
      <c r="BL1075" t="s">
        <v>345</v>
      </c>
      <c r="BM1075">
        <v>0</v>
      </c>
      <c r="BN1075">
        <v>23500</v>
      </c>
      <c r="BO1075" s="143"/>
      <c r="BP1075">
        <f>BN1075-BM1075</f>
        <v>23500</v>
      </c>
      <c r="BQ1075" s="143">
        <f>BP1075*kg_to_m3</f>
        <v>47.95918367346939</v>
      </c>
      <c r="BR1075" t="s">
        <v>232</v>
      </c>
      <c r="BS1075" s="260" t="s">
        <v>396</v>
      </c>
      <c r="BT1075" t="s">
        <v>346</v>
      </c>
      <c r="BU1075">
        <v>-24200</v>
      </c>
      <c r="BV1075">
        <v>-5830</v>
      </c>
      <c r="BW1075" s="144">
        <v>0.24090909090909091</v>
      </c>
      <c r="BX1075">
        <f>BV1075-BU1075</f>
        <v>18370</v>
      </c>
      <c r="BZ1075">
        <f>BX1075/1000</f>
        <v>18.37</v>
      </c>
      <c r="CA1075">
        <f>IFERROR(BZ1075/BQ1075,"")</f>
        <v>0.38303404255319151</v>
      </c>
      <c r="CB1075">
        <v>0</v>
      </c>
      <c r="CC1075">
        <v>0</v>
      </c>
      <c r="CD1075">
        <v>0</v>
      </c>
      <c r="CE1075">
        <v>0</v>
      </c>
      <c r="CF1075">
        <v>0</v>
      </c>
      <c r="CG1075">
        <v>0</v>
      </c>
      <c r="CH1075">
        <v>0</v>
      </c>
      <c r="CI1075">
        <v>0</v>
      </c>
      <c r="CJ1075">
        <v>0</v>
      </c>
      <c r="CK1075">
        <v>0</v>
      </c>
      <c r="CL1075">
        <v>0</v>
      </c>
      <c r="CM1075">
        <v>0</v>
      </c>
      <c r="CN1075">
        <v>0</v>
      </c>
      <c r="CO1075">
        <v>0</v>
      </c>
      <c r="CP1075" t="str">
        <f>IF($BN1075&lt;$BM1075,"refNeedCorrection","refOK")</f>
        <v>refOK</v>
      </c>
      <c r="CQ1075">
        <f>IF($CP1075="refNeedCorrection",BN1075,BM1075)</f>
        <v>0</v>
      </c>
      <c r="CR1075">
        <f>IF($CP1075="refNeedCorrection",BM1075,BN1075)</f>
        <v>23500</v>
      </c>
      <c r="CS1075">
        <f>IF($CP1075="refOK",$BQ1075,-$BQ1075)</f>
        <v>47.95918367346939</v>
      </c>
      <c r="CT1075">
        <f>IF(BI1075="Roundwood",$CS1075/2,$CS1075)</f>
        <v>47.95918367346939</v>
      </c>
      <c r="CU1075">
        <f>IF($CP1075="refOK",$BU1075,$BV1075)*IF($BR1075="Emissions positive",-1,1)</f>
        <v>-24200</v>
      </c>
      <c r="CV1075">
        <f>IF($CP1075="refOK",$BV1075,$BU1075)*IF($BR1075="Emissions positive",-1,1)</f>
        <v>-5830</v>
      </c>
      <c r="CW1075">
        <f>IF($CP1075="refNeedCorrection",-BZ1075,BZ1075)*IF($BR1075="Emissions positive",-1,1)</f>
        <v>18.37</v>
      </c>
      <c r="CX1075">
        <f>IFERROR($CW1075/$CS1075,"")</f>
        <v>0.38303404255319151</v>
      </c>
      <c r="CY1075">
        <f>IFERROR($CW1075/$CS1075,"")</f>
        <v>0.38303404255319151</v>
      </c>
      <c r="CZ1075">
        <f>IFERROR($CW1075/$CT1075,"")</f>
        <v>0.38303404255319151</v>
      </c>
      <c r="DA1075" s="2">
        <f>IFERROR((CV1075-CU1075)/ABS(CU1075),"")</f>
        <v>0.75909090909090904</v>
      </c>
      <c r="DB1075" s="1" t="s">
        <v>347</v>
      </c>
      <c r="DC1075" t="str">
        <f>IF(OR($DB1075="prd",$DB1075="std",$DB1075="cit"),"loc",IF(OR($DB1075="eur",$DB1075="reg",$DB1075="coy"),"reg",$DB1075))</f>
        <v>loc</v>
      </c>
      <c r="DD1075" t="s">
        <v>348</v>
      </c>
      <c r="DE1075">
        <v>2014</v>
      </c>
      <c r="DF1075">
        <v>2114</v>
      </c>
      <c r="DG1075">
        <v>100</v>
      </c>
      <c r="DH1075" t="str">
        <f>IF(DG1075=0,"0",IF(AND(DG1075&gt;=1,DG1075&lt;=30),"1-30",IF(AND(DG1075&gt;30,DG1075&lt;=70),"31-70",IF(AND(DG1075&gt;70,DG1075&lt;=100),"71-100",IF(DG1075&gt;100,"+100")))))</f>
        <v>71-100</v>
      </c>
      <c r="DI1075">
        <v>0</v>
      </c>
      <c r="DJ1075">
        <v>0</v>
      </c>
      <c r="DK1075">
        <v>0</v>
      </c>
      <c r="DL1075">
        <v>1</v>
      </c>
      <c r="DN1075">
        <f>SUM(DI1075:DL1075)</f>
        <v>1</v>
      </c>
      <c r="DO1075" t="str">
        <f>IF(DN1075=1,INDEX($DI$7:$DL$7,MATCH(1,$DI1075:$DL1075,0)),"mixedProduct")</f>
        <v>TimberInput</v>
      </c>
      <c r="DP1075">
        <f>IF(DI1075=1,DP$7,0)</f>
        <v>0</v>
      </c>
      <c r="DQ1075">
        <f>IF(DJ1075=1,DQ$7,0)</f>
        <v>0</v>
      </c>
      <c r="DR1075">
        <f>IF(DK1075=1,DR$7,0)</f>
        <v>0</v>
      </c>
      <c r="DS1075" t="str">
        <f>IF(DL1075=1,DS$7,0)</f>
        <v>Timber</v>
      </c>
      <c r="DT1075">
        <v>0</v>
      </c>
      <c r="DU1075">
        <v>0</v>
      </c>
      <c r="DV1075">
        <v>0</v>
      </c>
      <c r="DW1075">
        <v>0</v>
      </c>
      <c r="DX1075">
        <v>0</v>
      </c>
      <c r="DY1075">
        <f>SUM(DT1075:DU1075)</f>
        <v>0</v>
      </c>
      <c r="DZ1075" s="143" t="str">
        <f>IF(DT1075=1,"self-calculated DF",IF(DU1075=1,"external DF used","explicit C balance"))</f>
        <v>explicit C balance</v>
      </c>
      <c r="EA1075">
        <v>0</v>
      </c>
      <c r="EB1075">
        <v>0</v>
      </c>
      <c r="EC1075">
        <v>0</v>
      </c>
      <c r="ED1075">
        <v>1</v>
      </c>
      <c r="EE1075">
        <v>0</v>
      </c>
      <c r="EF1075" s="143">
        <v>1</v>
      </c>
      <c r="EG1075">
        <v>0</v>
      </c>
      <c r="EH1075">
        <v>1</v>
      </c>
      <c r="EI1075">
        <v>1</v>
      </c>
      <c r="EJ1075">
        <v>1</v>
      </c>
      <c r="EK1075">
        <v>0</v>
      </c>
      <c r="EL1075">
        <v>0</v>
      </c>
      <c r="EM1075">
        <v>0</v>
      </c>
      <c r="EN1075" s="2">
        <v>0</v>
      </c>
      <c r="EP1075" t="str">
        <f>IF(AND(AND(AND(OR($EC1075=1,$EB1075=1),OR($EH1075=1,$EF1075=1)),SUM($EA1075:$EE1075,$EK1075)&gt;=3),SUM($EF1075:$EJ1075)&gt;=2),"Whole sector approach","")</f>
        <v/>
      </c>
      <c r="EQ1075" t="str">
        <f>IF(AND(AND(OR($EC1075=1,$EB1075=1),AND($EH1075=0,$EF1075=0)),SUM($EA1075:$EE1075,$EK1075)&gt;=4),"Ecosystem approach","")</f>
        <v/>
      </c>
      <c r="ER1075" s="2" t="str">
        <f>IF(AND(AND(AND($EC1075=0,$EB1075=0),OR($EH1075=1,$EF1075=1)),SUM($EG1075:$EJ1075)&gt;=2),"Technology approach","")</f>
        <v>Technology approach</v>
      </c>
      <c r="ES1075" t="str">
        <f>IF(AND($EC1075+$EB1075+$EE1075+$EA1075+$ED1075+$EG1075=0,$N1075="included"),"C neutral forest and HWP assumption","")</f>
        <v/>
      </c>
      <c r="ET1075" t="str">
        <f>IF(AND(AND(AND(AND($EC1075=1,$EB1075+$EA1075+$EG1075&gt;=1),$EF1075=1),$EH1075+$EI1075+$ED1075+$EE1075&gt;=2),$N1075="included"),"All C pools assumption","")</f>
        <v/>
      </c>
      <c r="EU1075" t="str">
        <f>IF(AND($ED1075+$EE1075+$EI1075+$EH1075+$EF1075=0,$N1075="included"),"In-situ only assumption","")</f>
        <v/>
      </c>
      <c r="EY1075" t="str">
        <f>IF(ISNUMBER(BW1075),IF(ABS(BW1075-[2]QC_indicators!$B$2)&gt;3*[2]QC_indicators!$C$2,"C ratio",IF(ISNUMBER(CA1075),IF(ABS(CA1075-[2]QC_indicators!$B$1)&gt;3*[2]QC_indicators!$C$1,"DF","no"))),IF(ISNUMBER(CA1075),IF(ABS(CA1075-[2]QC_indicators!$B$1)&gt;3*[2]QC_indicators!$C$1,"DF","no")))</f>
        <v>no</v>
      </c>
      <c r="FA1075" t="str">
        <f>IF(LEN($CY1075)=0,"",IF(AND($CY1075&lt;(-0.05),$ES1075="C neutral forest and HWP assumption"),"Cneutral paradox",IF(AND($CY1075&gt;0.05,$EU1075="In-situ only assumption"),"In-situ only paradox","")))</f>
        <v/>
      </c>
      <c r="FB1075" s="149" t="s">
        <v>349</v>
      </c>
      <c r="FD1075" s="260" t="s">
        <v>2948</v>
      </c>
    </row>
    <row r="1076" spans="1:160" ht="15" hidden="1" customHeight="1">
      <c r="A1076" s="1" t="s">
        <v>333</v>
      </c>
      <c r="B1076" t="s">
        <v>334</v>
      </c>
      <c r="C1076" t="s">
        <v>335</v>
      </c>
      <c r="D1076" t="s">
        <v>336</v>
      </c>
      <c r="E1076" t="s">
        <v>337</v>
      </c>
      <c r="F1076" t="s">
        <v>338</v>
      </c>
      <c r="G1076" t="s">
        <v>339</v>
      </c>
      <c r="I1076">
        <v>2017</v>
      </c>
      <c r="K1076" t="s">
        <v>340</v>
      </c>
      <c r="M1076" t="str">
        <f>LEFT($D1076,FIND(",",$D1076)-1)&amp;"_"&amp;I1076&amp;L1076</f>
        <v>Balasbaneh_2017</v>
      </c>
      <c r="N1076" t="s">
        <v>222</v>
      </c>
      <c r="O1076" s="140" t="s">
        <v>341</v>
      </c>
      <c r="Q1076" t="s">
        <v>224</v>
      </c>
      <c r="R1076" s="258" t="s">
        <v>223</v>
      </c>
      <c r="S1076" s="1" t="s">
        <v>368</v>
      </c>
      <c r="T1076" t="s">
        <v>361</v>
      </c>
      <c r="U1076" t="s">
        <v>351</v>
      </c>
      <c r="V1076" s="253">
        <v>0</v>
      </c>
      <c r="W1076" s="253">
        <v>0</v>
      </c>
      <c r="X1076">
        <v>0</v>
      </c>
      <c r="Y1076">
        <v>0</v>
      </c>
      <c r="Z1076">
        <v>0</v>
      </c>
      <c r="AA1076">
        <v>0</v>
      </c>
      <c r="AB1076">
        <v>0</v>
      </c>
      <c r="AC1076">
        <v>0</v>
      </c>
      <c r="AD1076">
        <v>0</v>
      </c>
      <c r="AE1076">
        <v>0</v>
      </c>
      <c r="AF1076">
        <v>0</v>
      </c>
      <c r="AG1076">
        <v>0</v>
      </c>
      <c r="AH1076">
        <v>0</v>
      </c>
      <c r="AI1076">
        <v>0</v>
      </c>
      <c r="AJ1076">
        <v>0</v>
      </c>
      <c r="AK1076">
        <v>0</v>
      </c>
      <c r="AL1076">
        <v>0</v>
      </c>
      <c r="AM1076">
        <v>1</v>
      </c>
      <c r="AN1076">
        <v>0</v>
      </c>
      <c r="AO1076">
        <v>0</v>
      </c>
      <c r="AP1076">
        <v>0</v>
      </c>
      <c r="AQ1076">
        <v>0</v>
      </c>
      <c r="AR1076">
        <v>0</v>
      </c>
      <c r="AS1076">
        <v>0</v>
      </c>
      <c r="AT1076">
        <v>0</v>
      </c>
      <c r="AU1076">
        <v>0</v>
      </c>
      <c r="AV1076">
        <v>0</v>
      </c>
      <c r="AW1076">
        <v>0</v>
      </c>
      <c r="AX1076">
        <v>0</v>
      </c>
      <c r="AY1076">
        <v>0</v>
      </c>
      <c r="AZ1076" s="141">
        <f>COUNTIF(X1076:AY1076,"&lt;&gt;0")</f>
        <v>1</v>
      </c>
      <c r="BA1076" s="141">
        <f>COUNTIF(X1076:AN1076,"&lt;&gt;0")</f>
        <v>1</v>
      </c>
      <c r="BB1076">
        <f>COUNTIF(X1076:AE1076,"&lt;&gt;0")</f>
        <v>0</v>
      </c>
      <c r="BC1076">
        <f>COUNTIF(AF1076:AK1076,"&lt;&gt;0")</f>
        <v>0</v>
      </c>
      <c r="BD1076">
        <f>COUNTIF(AL1076:AN1076,"&lt;&gt;0")</f>
        <v>1</v>
      </c>
      <c r="BE1076">
        <f>COUNTIF(AU1076:AY1076,"&lt;&gt;0")</f>
        <v>0</v>
      </c>
      <c r="BF1076">
        <f>COUNTIF(AO1076:AT1076,"&lt;&gt;0")</f>
        <v>0</v>
      </c>
      <c r="BG1076" t="str">
        <f t="array" ref="BG1076">IF(BA1076=1,INDEX($X$7:$AN$7,MATCH(TRUE,INDEX($X1076:$AY1076&lt;&gt;0,),0)),IF(BA1076=0,INDEX($AO$7:$AY$7,MATCH(1,$AO1076:$AY1076,0)),IF(BH1076="Multiple strategies","mixed drivers",IF(BH1076="Supply chain","multiple supply","multiple silviculture"))))</f>
        <v>technologies/design switch</v>
      </c>
      <c r="BH1076" s="2" t="str" cm="1">
        <f t="array" ref="BH1076">IF(COUNTIF(BB1076:BD1076,"&lt;&gt;0")=1,INDEX($X$4:$AY$4,MATCH(TRUE,INDEX($X1076:$AY1076&lt;&gt;0,),0)),IF(COUNTIF(BB1076:BD1076,"&lt;&gt;0")=0,INDEX($AO$4:$AY$4,MATCH(1,$AO1076:$AY1076,0)),"Multiple strategies"))</f>
        <v>Technology</v>
      </c>
      <c r="BI1076" s="1" t="s">
        <v>229</v>
      </c>
      <c r="BJ1076" t="s">
        <v>229</v>
      </c>
      <c r="BK1076" s="260" t="s">
        <v>410</v>
      </c>
      <c r="BL1076" t="s">
        <v>345</v>
      </c>
      <c r="BM1076">
        <v>0</v>
      </c>
      <c r="BN1076">
        <v>23500</v>
      </c>
      <c r="BO1076" s="143"/>
      <c r="BP1076">
        <f>BN1076-BM1076</f>
        <v>23500</v>
      </c>
      <c r="BQ1076" s="143">
        <f>BP1076*kg_to_m3</f>
        <v>47.95918367346939</v>
      </c>
      <c r="BR1076" t="s">
        <v>232</v>
      </c>
      <c r="BS1076" s="260" t="s">
        <v>396</v>
      </c>
      <c r="BT1076" t="s">
        <v>346</v>
      </c>
      <c r="BU1076">
        <v>-23800</v>
      </c>
      <c r="BV1076">
        <v>-5800</v>
      </c>
      <c r="BW1076" s="144">
        <v>0.24369747899159663</v>
      </c>
      <c r="BX1076">
        <f>BV1076-BU1076</f>
        <v>18000</v>
      </c>
      <c r="BZ1076">
        <f>BX1076/1000</f>
        <v>18</v>
      </c>
      <c r="CA1076">
        <f>IFERROR(BZ1076/BQ1076,"")</f>
        <v>0.37531914893617019</v>
      </c>
      <c r="CB1076">
        <v>0</v>
      </c>
      <c r="CC1076">
        <v>0</v>
      </c>
      <c r="CD1076">
        <v>0</v>
      </c>
      <c r="CE1076">
        <v>0</v>
      </c>
      <c r="CF1076">
        <v>0</v>
      </c>
      <c r="CG1076">
        <v>0</v>
      </c>
      <c r="CH1076">
        <v>0</v>
      </c>
      <c r="CI1076">
        <v>0</v>
      </c>
      <c r="CJ1076">
        <v>0</v>
      </c>
      <c r="CK1076">
        <v>0</v>
      </c>
      <c r="CL1076">
        <v>0</v>
      </c>
      <c r="CM1076">
        <v>0</v>
      </c>
      <c r="CN1076">
        <v>0</v>
      </c>
      <c r="CO1076">
        <v>0</v>
      </c>
      <c r="CP1076" t="str">
        <f>IF($BN1076&lt;$BM1076,"refNeedCorrection","refOK")</f>
        <v>refOK</v>
      </c>
      <c r="CQ1076">
        <f>IF($CP1076="refNeedCorrection",BN1076,BM1076)</f>
        <v>0</v>
      </c>
      <c r="CR1076">
        <f>IF($CP1076="refNeedCorrection",BM1076,BN1076)</f>
        <v>23500</v>
      </c>
      <c r="CS1076">
        <f>IF($CP1076="refOK",$BQ1076,-$BQ1076)</f>
        <v>47.95918367346939</v>
      </c>
      <c r="CT1076">
        <f>IF(BI1076="Roundwood",$CS1076/2,$CS1076)</f>
        <v>47.95918367346939</v>
      </c>
      <c r="CU1076">
        <f>IF($CP1076="refOK",$BU1076,$BV1076)*IF($BR1076="Emissions positive",-1,1)</f>
        <v>-23800</v>
      </c>
      <c r="CV1076">
        <f>IF($CP1076="refOK",$BV1076,$BU1076)*IF($BR1076="Emissions positive",-1,1)</f>
        <v>-5800</v>
      </c>
      <c r="CW1076">
        <f>IF($CP1076="refNeedCorrection",-BZ1076,BZ1076)*IF($BR1076="Emissions positive",-1,1)</f>
        <v>18</v>
      </c>
      <c r="CX1076">
        <f>IFERROR($CW1076/$CS1076,"")</f>
        <v>0.37531914893617019</v>
      </c>
      <c r="CY1076">
        <f>IFERROR($CW1076/$CS1076,"")</f>
        <v>0.37531914893617019</v>
      </c>
      <c r="CZ1076">
        <f>IFERROR($CW1076/$CT1076,"")</f>
        <v>0.37531914893617019</v>
      </c>
      <c r="DA1076" s="2">
        <f>IFERROR((CV1076-CU1076)/ABS(CU1076),"")</f>
        <v>0.75630252100840334</v>
      </c>
      <c r="DB1076" s="1" t="s">
        <v>347</v>
      </c>
      <c r="DC1076" t="str">
        <f>IF(OR($DB1076="prd",$DB1076="std",$DB1076="cit"),"loc",IF(OR($DB1076="eur",$DB1076="reg",$DB1076="coy"),"reg",$DB1076))</f>
        <v>loc</v>
      </c>
      <c r="DD1076" t="s">
        <v>348</v>
      </c>
      <c r="DE1076">
        <v>2014</v>
      </c>
      <c r="DF1076">
        <v>2114</v>
      </c>
      <c r="DG1076">
        <v>100</v>
      </c>
      <c r="DH1076" t="str">
        <f>IF(DG1076=0,"0",IF(AND(DG1076&gt;=1,DG1076&lt;=30),"1-30",IF(AND(DG1076&gt;30,DG1076&lt;=70),"31-70",IF(AND(DG1076&gt;70,DG1076&lt;=100),"71-100",IF(DG1076&gt;100,"+100")))))</f>
        <v>71-100</v>
      </c>
      <c r="DI1076">
        <v>0</v>
      </c>
      <c r="DJ1076">
        <v>0</v>
      </c>
      <c r="DK1076">
        <v>0</v>
      </c>
      <c r="DL1076">
        <v>1</v>
      </c>
      <c r="DN1076">
        <f>SUM(DI1076:DL1076)</f>
        <v>1</v>
      </c>
      <c r="DO1076" t="str">
        <f>IF(DN1076=1,INDEX($DI$7:$DL$7,MATCH(1,$DI1076:$DL1076,0)),"mixedProduct")</f>
        <v>TimberInput</v>
      </c>
      <c r="DP1076">
        <f>IF(DI1076=1,DP$7,0)</f>
        <v>0</v>
      </c>
      <c r="DQ1076">
        <f>IF(DJ1076=1,DQ$7,0)</f>
        <v>0</v>
      </c>
      <c r="DR1076">
        <f>IF(DK1076=1,DR$7,0)</f>
        <v>0</v>
      </c>
      <c r="DS1076" t="str">
        <f>IF(DL1076=1,DS$7,0)</f>
        <v>Timber</v>
      </c>
      <c r="DT1076">
        <v>0</v>
      </c>
      <c r="DU1076">
        <v>0</v>
      </c>
      <c r="DV1076">
        <v>0</v>
      </c>
      <c r="DW1076">
        <v>0</v>
      </c>
      <c r="DX1076">
        <v>0</v>
      </c>
      <c r="DY1076">
        <f>SUM(DT1076:DU1076)</f>
        <v>0</v>
      </c>
      <c r="DZ1076" s="143" t="str">
        <f>IF(DT1076=1,"self-calculated DF",IF(DU1076=1,"external DF used","explicit C balance"))</f>
        <v>explicit C balance</v>
      </c>
      <c r="EA1076">
        <v>0</v>
      </c>
      <c r="EB1076">
        <v>0</v>
      </c>
      <c r="EC1076">
        <v>0</v>
      </c>
      <c r="ED1076">
        <v>1</v>
      </c>
      <c r="EE1076">
        <v>0</v>
      </c>
      <c r="EF1076" s="143">
        <v>1</v>
      </c>
      <c r="EG1076">
        <v>0</v>
      </c>
      <c r="EH1076">
        <v>1</v>
      </c>
      <c r="EI1076">
        <v>1</v>
      </c>
      <c r="EJ1076">
        <v>1</v>
      </c>
      <c r="EK1076">
        <v>0</v>
      </c>
      <c r="EL1076">
        <v>0</v>
      </c>
      <c r="EM1076">
        <v>0</v>
      </c>
      <c r="EN1076" s="2">
        <v>0</v>
      </c>
      <c r="EP1076" t="str">
        <f>IF(AND(AND(AND(OR($EC1076=1,$EB1076=1),OR($EH1076=1,$EF1076=1)),SUM($EA1076:$EE1076,$EK1076)&gt;=3),SUM($EF1076:$EJ1076)&gt;=2),"Whole sector approach","")</f>
        <v/>
      </c>
      <c r="EQ1076" t="str">
        <f>IF(AND(AND(OR($EC1076=1,$EB1076=1),AND($EH1076=0,$EF1076=0)),SUM($EA1076:$EE1076,$EK1076)&gt;=4),"Ecosystem approach","")</f>
        <v/>
      </c>
      <c r="ER1076" s="2" t="str">
        <f>IF(AND(AND(AND($EC1076=0,$EB1076=0),OR($EH1076=1,$EF1076=1)),SUM($EG1076:$EJ1076)&gt;=2),"Technology approach","")</f>
        <v>Technology approach</v>
      </c>
      <c r="ES1076" t="str">
        <f>IF(AND($EC1076+$EB1076+$EE1076+$EA1076+$ED1076+$EG1076=0,$N1076="included"),"C neutral forest and HWP assumption","")</f>
        <v/>
      </c>
      <c r="ET1076" t="str">
        <f>IF(AND(AND(AND(AND($EC1076=1,$EB1076+$EA1076+$EG1076&gt;=1),$EF1076=1),$EH1076+$EI1076+$ED1076+$EE1076&gt;=2),$N1076="included"),"All C pools assumption","")</f>
        <v/>
      </c>
      <c r="EU1076" t="str">
        <f>IF(AND($ED1076+$EE1076+$EI1076+$EH1076+$EF1076=0,$N1076="included"),"In-situ only assumption","")</f>
        <v/>
      </c>
      <c r="EY1076" t="str">
        <f>IF(ISNUMBER(BW1076),IF(ABS(BW1076-[2]QC_indicators!$B$2)&gt;3*[2]QC_indicators!$C$2,"C ratio",IF(ISNUMBER(CA1076),IF(ABS(CA1076-[2]QC_indicators!$B$1)&gt;3*[2]QC_indicators!$C$1,"DF","no"))),IF(ISNUMBER(CA1076),IF(ABS(CA1076-[2]QC_indicators!$B$1)&gt;3*[2]QC_indicators!$C$1,"DF","no")))</f>
        <v>no</v>
      </c>
      <c r="FA1076" t="str">
        <f>IF(LEN($CY1076)=0,"",IF(AND($CY1076&lt;(-0.05),$ES1076="C neutral forest and HWP assumption"),"Cneutral paradox",IF(AND($CY1076&gt;0.05,$EU1076="In-situ only assumption"),"In-situ only paradox","")))</f>
        <v/>
      </c>
      <c r="FB1076" s="149" t="s">
        <v>349</v>
      </c>
      <c r="FD1076" s="260" t="s">
        <v>2948</v>
      </c>
    </row>
    <row r="1077" spans="1:160" hidden="1">
      <c r="A1077" s="1" t="s">
        <v>333</v>
      </c>
      <c r="B1077" t="s">
        <v>334</v>
      </c>
      <c r="C1077" t="s">
        <v>335</v>
      </c>
      <c r="D1077" t="s">
        <v>336</v>
      </c>
      <c r="E1077" t="s">
        <v>337</v>
      </c>
      <c r="F1077" t="s">
        <v>338</v>
      </c>
      <c r="G1077" t="s">
        <v>339</v>
      </c>
      <c r="I1077">
        <v>2017</v>
      </c>
      <c r="K1077" t="s">
        <v>340</v>
      </c>
      <c r="M1077" t="str">
        <f>LEFT($D1077,FIND(",",$D1077)-1)&amp;"_"&amp;I1077&amp;L1077</f>
        <v>Balasbaneh_2017</v>
      </c>
      <c r="N1077" t="s">
        <v>222</v>
      </c>
      <c r="O1077" s="140" t="s">
        <v>341</v>
      </c>
      <c r="Q1077" t="s">
        <v>224</v>
      </c>
      <c r="R1077" s="258" t="s">
        <v>223</v>
      </c>
      <c r="S1077" s="1" t="s">
        <v>367</v>
      </c>
      <c r="T1077" t="s">
        <v>361</v>
      </c>
      <c r="U1077" t="s">
        <v>344</v>
      </c>
      <c r="V1077" s="253">
        <v>0</v>
      </c>
      <c r="W1077" s="253">
        <v>0</v>
      </c>
      <c r="X1077">
        <v>0</v>
      </c>
      <c r="Y1077">
        <v>0</v>
      </c>
      <c r="Z1077">
        <v>0</v>
      </c>
      <c r="AA1077">
        <v>0</v>
      </c>
      <c r="AB1077">
        <v>0</v>
      </c>
      <c r="AC1077">
        <v>0</v>
      </c>
      <c r="AD1077">
        <v>0</v>
      </c>
      <c r="AE1077">
        <v>0</v>
      </c>
      <c r="AF1077">
        <v>0</v>
      </c>
      <c r="AG1077">
        <v>0</v>
      </c>
      <c r="AH1077">
        <v>0</v>
      </c>
      <c r="AI1077">
        <v>0</v>
      </c>
      <c r="AJ1077">
        <v>0</v>
      </c>
      <c r="AK1077">
        <v>0</v>
      </c>
      <c r="AL1077">
        <v>0</v>
      </c>
      <c r="AM1077">
        <v>1</v>
      </c>
      <c r="AN1077">
        <v>0</v>
      </c>
      <c r="AO1077">
        <v>0</v>
      </c>
      <c r="AP1077">
        <v>0</v>
      </c>
      <c r="AQ1077">
        <v>0</v>
      </c>
      <c r="AR1077">
        <v>0</v>
      </c>
      <c r="AS1077">
        <v>0</v>
      </c>
      <c r="AT1077">
        <v>0</v>
      </c>
      <c r="AU1077">
        <v>0</v>
      </c>
      <c r="AV1077">
        <v>0</v>
      </c>
      <c r="AW1077">
        <v>0</v>
      </c>
      <c r="AX1077">
        <v>0</v>
      </c>
      <c r="AY1077">
        <v>0</v>
      </c>
      <c r="AZ1077" s="141">
        <f>COUNTIF(X1077:AY1077,"&lt;&gt;0")</f>
        <v>1</v>
      </c>
      <c r="BA1077" s="141">
        <f>COUNTIF(X1077:AN1077,"&lt;&gt;0")</f>
        <v>1</v>
      </c>
      <c r="BB1077">
        <f>COUNTIF(X1077:AE1077,"&lt;&gt;0")</f>
        <v>0</v>
      </c>
      <c r="BC1077">
        <f>COUNTIF(AF1077:AK1077,"&lt;&gt;0")</f>
        <v>0</v>
      </c>
      <c r="BD1077">
        <f>COUNTIF(AL1077:AN1077,"&lt;&gt;0")</f>
        <v>1</v>
      </c>
      <c r="BE1077">
        <f>COUNTIF(AU1077:AY1077,"&lt;&gt;0")</f>
        <v>0</v>
      </c>
      <c r="BF1077">
        <f>COUNTIF(AO1077:AT1077,"&lt;&gt;0")</f>
        <v>0</v>
      </c>
      <c r="BG1077" t="str">
        <f t="array" ref="BG1077">IF(BA1077=1,INDEX($X$7:$AN$7,MATCH(TRUE,INDEX($X1077:$AY1077&lt;&gt;0,),0)),IF(BA1077=0,INDEX($AO$7:$AY$7,MATCH(1,$AO1077:$AY1077,0)),IF(BH1077="Multiple strategies","mixed drivers",IF(BH1077="Supply chain","multiple supply","multiple silviculture"))))</f>
        <v>technologies/design switch</v>
      </c>
      <c r="BH1077" s="2" t="str" cm="1">
        <f t="array" ref="BH1077">IF(COUNTIF(BB1077:BD1077,"&lt;&gt;0")=1,INDEX($X$4:$AY$4,MATCH(TRUE,INDEX($X1077:$AY1077&lt;&gt;0,),0)),IF(COUNTIF(BB1077:BD1077,"&lt;&gt;0")=0,INDEX($AO$4:$AY$4,MATCH(1,$AO1077:$AY1077,0)),"Multiple strategies"))</f>
        <v>Technology</v>
      </c>
      <c r="BI1077" s="1" t="s">
        <v>229</v>
      </c>
      <c r="BJ1077" t="s">
        <v>229</v>
      </c>
      <c r="BK1077" s="260" t="s">
        <v>410</v>
      </c>
      <c r="BL1077" t="s">
        <v>345</v>
      </c>
      <c r="BM1077">
        <v>0</v>
      </c>
      <c r="BN1077">
        <v>23500</v>
      </c>
      <c r="BO1077" s="143"/>
      <c r="BP1077">
        <f>BN1077-BM1077</f>
        <v>23500</v>
      </c>
      <c r="BQ1077" s="143">
        <f>BP1077*kg_to_m3</f>
        <v>47.95918367346939</v>
      </c>
      <c r="BR1077" t="s">
        <v>232</v>
      </c>
      <c r="BS1077" s="260" t="s">
        <v>396</v>
      </c>
      <c r="BT1077" t="s">
        <v>346</v>
      </c>
      <c r="BU1077">
        <v>-24200</v>
      </c>
      <c r="BV1077">
        <v>-6250</v>
      </c>
      <c r="BW1077" s="144">
        <v>0.25826446280991733</v>
      </c>
      <c r="BX1077">
        <f>BV1077-BU1077</f>
        <v>17950</v>
      </c>
      <c r="BZ1077">
        <f>BX1077/1000</f>
        <v>17.95</v>
      </c>
      <c r="CA1077">
        <f>IFERROR(BZ1077/BQ1077,"")</f>
        <v>0.37427659574468081</v>
      </c>
      <c r="CB1077">
        <v>0</v>
      </c>
      <c r="CC1077">
        <v>0</v>
      </c>
      <c r="CD1077">
        <v>0</v>
      </c>
      <c r="CE1077">
        <v>0</v>
      </c>
      <c r="CF1077">
        <v>0</v>
      </c>
      <c r="CG1077">
        <v>0</v>
      </c>
      <c r="CH1077">
        <v>0</v>
      </c>
      <c r="CI1077">
        <v>0</v>
      </c>
      <c r="CJ1077">
        <v>0</v>
      </c>
      <c r="CK1077">
        <v>0</v>
      </c>
      <c r="CL1077">
        <v>0</v>
      </c>
      <c r="CM1077">
        <v>0</v>
      </c>
      <c r="CN1077">
        <v>0</v>
      </c>
      <c r="CO1077">
        <v>0</v>
      </c>
      <c r="CP1077" t="str">
        <f>IF($BN1077&lt;$BM1077,"refNeedCorrection","refOK")</f>
        <v>refOK</v>
      </c>
      <c r="CQ1077">
        <f>IF($CP1077="refNeedCorrection",BN1077,BM1077)</f>
        <v>0</v>
      </c>
      <c r="CR1077">
        <f>IF($CP1077="refNeedCorrection",BM1077,BN1077)</f>
        <v>23500</v>
      </c>
      <c r="CS1077">
        <f>IF($CP1077="refOK",$BQ1077,-$BQ1077)</f>
        <v>47.95918367346939</v>
      </c>
      <c r="CT1077">
        <f>IF(BI1077="Roundwood",$CS1077/2,$CS1077)</f>
        <v>47.95918367346939</v>
      </c>
      <c r="CU1077">
        <f>IF($CP1077="refOK",$BU1077,$BV1077)*IF($BR1077="Emissions positive",-1,1)</f>
        <v>-24200</v>
      </c>
      <c r="CV1077">
        <f>IF($CP1077="refOK",$BV1077,$BU1077)*IF($BR1077="Emissions positive",-1,1)</f>
        <v>-6250</v>
      </c>
      <c r="CW1077">
        <f>IF($CP1077="refNeedCorrection",-BZ1077,BZ1077)*IF($BR1077="Emissions positive",-1,1)</f>
        <v>17.95</v>
      </c>
      <c r="CX1077">
        <f>IFERROR($CW1077/$CS1077,"")</f>
        <v>0.37427659574468081</v>
      </c>
      <c r="CY1077">
        <f>IFERROR($CW1077/$CS1077,"")</f>
        <v>0.37427659574468081</v>
      </c>
      <c r="CZ1077">
        <f>IFERROR($CW1077/$CT1077,"")</f>
        <v>0.37427659574468081</v>
      </c>
      <c r="DA1077" s="2">
        <f>IFERROR((CV1077-CU1077)/ABS(CU1077),"")</f>
        <v>0.74173553719008267</v>
      </c>
      <c r="DB1077" s="1" t="s">
        <v>347</v>
      </c>
      <c r="DC1077" t="str">
        <f>IF(OR($DB1077="prd",$DB1077="std",$DB1077="cit"),"loc",IF(OR($DB1077="eur",$DB1077="reg",$DB1077="coy"),"reg",$DB1077))</f>
        <v>loc</v>
      </c>
      <c r="DD1077" t="s">
        <v>348</v>
      </c>
      <c r="DE1077">
        <v>2014</v>
      </c>
      <c r="DF1077">
        <v>2034</v>
      </c>
      <c r="DG1077">
        <v>20</v>
      </c>
      <c r="DH1077" t="str">
        <f>IF(DG1077=0,"0",IF(AND(DG1077&gt;=1,DG1077&lt;=30),"1-30",IF(AND(DG1077&gt;30,DG1077&lt;=70),"31-70",IF(AND(DG1077&gt;70,DG1077&lt;=100),"71-100",IF(DG1077&gt;100,"+100")))))</f>
        <v>1-30</v>
      </c>
      <c r="DI1077">
        <v>0</v>
      </c>
      <c r="DJ1077">
        <v>0</v>
      </c>
      <c r="DK1077">
        <v>0</v>
      </c>
      <c r="DL1077">
        <v>1</v>
      </c>
      <c r="DN1077">
        <f>SUM(DI1077:DL1077)</f>
        <v>1</v>
      </c>
      <c r="DO1077" t="str">
        <f>IF(DN1077=1,INDEX($DI$7:$DL$7,MATCH(1,$DI1077:$DL1077,0)),"mixedProduct")</f>
        <v>TimberInput</v>
      </c>
      <c r="DP1077">
        <f>IF(DI1077=1,DP$7,0)</f>
        <v>0</v>
      </c>
      <c r="DQ1077">
        <f>IF(DJ1077=1,DQ$7,0)</f>
        <v>0</v>
      </c>
      <c r="DR1077">
        <f>IF(DK1077=1,DR$7,0)</f>
        <v>0</v>
      </c>
      <c r="DS1077" t="str">
        <f>IF(DL1077=1,DS$7,0)</f>
        <v>Timber</v>
      </c>
      <c r="DT1077">
        <v>0</v>
      </c>
      <c r="DU1077">
        <v>0</v>
      </c>
      <c r="DV1077">
        <v>0</v>
      </c>
      <c r="DW1077">
        <v>0</v>
      </c>
      <c r="DX1077">
        <v>0</v>
      </c>
      <c r="DY1077">
        <f>SUM(DT1077:DU1077)</f>
        <v>0</v>
      </c>
      <c r="DZ1077" s="143" t="str">
        <f>IF(DT1077=1,"self-calculated DF",IF(DU1077=1,"external DF used","explicit C balance"))</f>
        <v>explicit C balance</v>
      </c>
      <c r="EA1077">
        <v>0</v>
      </c>
      <c r="EB1077">
        <v>0</v>
      </c>
      <c r="EC1077">
        <v>0</v>
      </c>
      <c r="ED1077">
        <v>1</v>
      </c>
      <c r="EE1077">
        <v>0</v>
      </c>
      <c r="EF1077" s="143">
        <v>1</v>
      </c>
      <c r="EG1077">
        <v>0</v>
      </c>
      <c r="EH1077">
        <v>1</v>
      </c>
      <c r="EI1077">
        <v>1</v>
      </c>
      <c r="EJ1077">
        <v>1</v>
      </c>
      <c r="EK1077">
        <v>0</v>
      </c>
      <c r="EL1077">
        <v>0</v>
      </c>
      <c r="EM1077">
        <v>0</v>
      </c>
      <c r="EN1077" s="2">
        <v>0</v>
      </c>
      <c r="EP1077" t="str">
        <f>IF(AND(AND(AND(OR($EC1077=1,$EB1077=1),OR($EH1077=1,$EF1077=1)),SUM($EA1077:$EE1077,$EK1077)&gt;=3),SUM($EF1077:$EJ1077)&gt;=2),"Whole sector approach","")</f>
        <v/>
      </c>
      <c r="EQ1077" t="str">
        <f>IF(AND(AND(OR($EC1077=1,$EB1077=1),AND($EH1077=0,$EF1077=0)),SUM($EA1077:$EE1077,$EK1077)&gt;=4),"Ecosystem approach","")</f>
        <v/>
      </c>
      <c r="ER1077" s="2" t="str">
        <f>IF(AND(AND(AND($EC1077=0,$EB1077=0),OR($EH1077=1,$EF1077=1)),SUM($EG1077:$EJ1077)&gt;=2),"Technology approach","")</f>
        <v>Technology approach</v>
      </c>
      <c r="ES1077" t="str">
        <f>IF(AND($EC1077+$EB1077+$EE1077+$EA1077+$ED1077+$EG1077=0,$N1077="included"),"C neutral forest and HWP assumption","")</f>
        <v/>
      </c>
      <c r="ET1077" t="str">
        <f>IF(AND(AND(AND(AND($EC1077=1,$EB1077+$EA1077+$EG1077&gt;=1),$EF1077=1),$EH1077+$EI1077+$ED1077+$EE1077&gt;=2),$N1077="included"),"All C pools assumption","")</f>
        <v/>
      </c>
      <c r="EU1077" t="str">
        <f>IF(AND($ED1077+$EE1077+$EI1077+$EH1077+$EF1077=0,$N1077="included"),"In-situ only assumption","")</f>
        <v/>
      </c>
      <c r="EY1077" t="str">
        <f>IF(ISNUMBER(BW1077),IF(ABS(BW1077-[2]QC_indicators!$B$2)&gt;3*[2]QC_indicators!$C$2,"C ratio",IF(ISNUMBER(CA1077),IF(ABS(CA1077-[2]QC_indicators!$B$1)&gt;3*[2]QC_indicators!$C$1,"DF","no"))),IF(ISNUMBER(CA1077),IF(ABS(CA1077-[2]QC_indicators!$B$1)&gt;3*[2]QC_indicators!$C$1,"DF","no")))</f>
        <v>no</v>
      </c>
      <c r="FA1077" t="str">
        <f>IF(LEN($CY1077)=0,"",IF(AND($CY1077&lt;(-0.05),$ES1077="C neutral forest and HWP assumption"),"Cneutral paradox",IF(AND($CY1077&gt;0.05,$EU1077="In-situ only assumption"),"In-situ only paradox","")))</f>
        <v/>
      </c>
      <c r="FB1077" s="149" t="s">
        <v>349</v>
      </c>
      <c r="FD1077" s="260" t="s">
        <v>2948</v>
      </c>
    </row>
    <row r="1078" spans="1:160" ht="15" hidden="1" customHeight="1">
      <c r="A1078" s="1" t="s">
        <v>333</v>
      </c>
      <c r="B1078" t="s">
        <v>334</v>
      </c>
      <c r="C1078" t="s">
        <v>335</v>
      </c>
      <c r="D1078" t="s">
        <v>336</v>
      </c>
      <c r="E1078" t="s">
        <v>337</v>
      </c>
      <c r="F1078" t="s">
        <v>338</v>
      </c>
      <c r="G1078" t="s">
        <v>339</v>
      </c>
      <c r="I1078">
        <v>2017</v>
      </c>
      <c r="K1078" t="s">
        <v>340</v>
      </c>
      <c r="M1078" t="str">
        <f>LEFT($D1078,FIND(",",$D1078)-1)&amp;"_"&amp;I1078&amp;L1078</f>
        <v>Balasbaneh_2017</v>
      </c>
      <c r="N1078" t="s">
        <v>222</v>
      </c>
      <c r="O1078" s="140" t="s">
        <v>341</v>
      </c>
      <c r="Q1078" t="s">
        <v>224</v>
      </c>
      <c r="R1078" s="258" t="s">
        <v>223</v>
      </c>
      <c r="S1078" s="1" t="s">
        <v>366</v>
      </c>
      <c r="T1078" t="s">
        <v>361</v>
      </c>
      <c r="U1078" t="s">
        <v>344</v>
      </c>
      <c r="V1078" s="253">
        <v>0</v>
      </c>
      <c r="W1078" s="253">
        <v>0</v>
      </c>
      <c r="X1078">
        <v>0</v>
      </c>
      <c r="Y1078">
        <v>0</v>
      </c>
      <c r="Z1078">
        <v>0</v>
      </c>
      <c r="AA1078">
        <v>0</v>
      </c>
      <c r="AB1078">
        <v>0</v>
      </c>
      <c r="AC1078">
        <v>0</v>
      </c>
      <c r="AD1078">
        <v>0</v>
      </c>
      <c r="AE1078">
        <v>0</v>
      </c>
      <c r="AF1078">
        <v>0</v>
      </c>
      <c r="AG1078">
        <v>0</v>
      </c>
      <c r="AH1078">
        <v>0</v>
      </c>
      <c r="AI1078">
        <v>0</v>
      </c>
      <c r="AJ1078">
        <v>0</v>
      </c>
      <c r="AK1078">
        <v>0</v>
      </c>
      <c r="AL1078">
        <v>0</v>
      </c>
      <c r="AM1078">
        <v>1</v>
      </c>
      <c r="AN1078">
        <v>0</v>
      </c>
      <c r="AO1078">
        <v>0</v>
      </c>
      <c r="AP1078">
        <v>0</v>
      </c>
      <c r="AQ1078">
        <v>0</v>
      </c>
      <c r="AR1078">
        <v>0</v>
      </c>
      <c r="AS1078">
        <v>0</v>
      </c>
      <c r="AT1078">
        <v>0</v>
      </c>
      <c r="AU1078">
        <v>0</v>
      </c>
      <c r="AV1078">
        <v>0</v>
      </c>
      <c r="AW1078">
        <v>0</v>
      </c>
      <c r="AX1078">
        <v>0</v>
      </c>
      <c r="AY1078">
        <v>0</v>
      </c>
      <c r="AZ1078" s="141">
        <f>COUNTIF(X1078:AY1078,"&lt;&gt;0")</f>
        <v>1</v>
      </c>
      <c r="BA1078" s="141">
        <f>COUNTIF(X1078:AN1078,"&lt;&gt;0")</f>
        <v>1</v>
      </c>
      <c r="BB1078">
        <f>COUNTIF(X1078:AE1078,"&lt;&gt;0")</f>
        <v>0</v>
      </c>
      <c r="BC1078">
        <f>COUNTIF(AF1078:AK1078,"&lt;&gt;0")</f>
        <v>0</v>
      </c>
      <c r="BD1078">
        <f>COUNTIF(AL1078:AN1078,"&lt;&gt;0")</f>
        <v>1</v>
      </c>
      <c r="BE1078">
        <f>COUNTIF(AU1078:AY1078,"&lt;&gt;0")</f>
        <v>0</v>
      </c>
      <c r="BF1078">
        <f>COUNTIF(AO1078:AT1078,"&lt;&gt;0")</f>
        <v>0</v>
      </c>
      <c r="BG1078" t="str">
        <f t="array" ref="BG1078">IF(BA1078=1,INDEX($X$7:$AN$7,MATCH(TRUE,INDEX($X1078:$AY1078&lt;&gt;0,),0)),IF(BA1078=0,INDEX($AO$7:$AY$7,MATCH(1,$AO1078:$AY1078,0)),IF(BH1078="Multiple strategies","mixed drivers",IF(BH1078="Supply chain","multiple supply","multiple silviculture"))))</f>
        <v>technologies/design switch</v>
      </c>
      <c r="BH1078" s="2" t="str" cm="1">
        <f t="array" ref="BH1078">IF(COUNTIF(BB1078:BD1078,"&lt;&gt;0")=1,INDEX($X$4:$AY$4,MATCH(TRUE,INDEX($X1078:$AY1078&lt;&gt;0,),0)),IF(COUNTIF(BB1078:BD1078,"&lt;&gt;0")=0,INDEX($AO$4:$AY$4,MATCH(1,$AO1078:$AY1078,0)),"Multiple strategies"))</f>
        <v>Technology</v>
      </c>
      <c r="BI1078" s="1" t="s">
        <v>229</v>
      </c>
      <c r="BJ1078" t="s">
        <v>229</v>
      </c>
      <c r="BK1078" s="260" t="s">
        <v>410</v>
      </c>
      <c r="BL1078" t="s">
        <v>345</v>
      </c>
      <c r="BM1078">
        <v>0</v>
      </c>
      <c r="BN1078">
        <v>23500</v>
      </c>
      <c r="BO1078" s="143"/>
      <c r="BP1078">
        <f>BN1078-BM1078</f>
        <v>23500</v>
      </c>
      <c r="BQ1078" s="143">
        <f>BP1078*kg_to_m3</f>
        <v>47.95918367346939</v>
      </c>
      <c r="BR1078" t="s">
        <v>232</v>
      </c>
      <c r="BS1078" s="260" t="s">
        <v>396</v>
      </c>
      <c r="BT1078" t="s">
        <v>346</v>
      </c>
      <c r="BU1078">
        <v>-23800</v>
      </c>
      <c r="BV1078">
        <v>-6020</v>
      </c>
      <c r="BW1078" s="144">
        <v>0.25294117647058822</v>
      </c>
      <c r="BX1078">
        <f>BV1078-BU1078</f>
        <v>17780</v>
      </c>
      <c r="BZ1078">
        <f>BX1078/1000</f>
        <v>17.78</v>
      </c>
      <c r="CA1078">
        <f>IFERROR(BZ1078/BQ1078,"")</f>
        <v>0.37073191489361701</v>
      </c>
      <c r="CB1078">
        <v>0</v>
      </c>
      <c r="CC1078">
        <v>0</v>
      </c>
      <c r="CD1078">
        <v>0</v>
      </c>
      <c r="CE1078">
        <v>0</v>
      </c>
      <c r="CF1078">
        <v>0</v>
      </c>
      <c r="CG1078">
        <v>0</v>
      </c>
      <c r="CH1078">
        <v>0</v>
      </c>
      <c r="CI1078">
        <v>0</v>
      </c>
      <c r="CJ1078">
        <v>0</v>
      </c>
      <c r="CK1078">
        <v>0</v>
      </c>
      <c r="CL1078">
        <v>0</v>
      </c>
      <c r="CM1078">
        <v>0</v>
      </c>
      <c r="CN1078">
        <v>0</v>
      </c>
      <c r="CO1078">
        <v>0</v>
      </c>
      <c r="CP1078" t="str">
        <f>IF($BN1078&lt;$BM1078,"refNeedCorrection","refOK")</f>
        <v>refOK</v>
      </c>
      <c r="CQ1078">
        <f>IF($CP1078="refNeedCorrection",BN1078,BM1078)</f>
        <v>0</v>
      </c>
      <c r="CR1078">
        <f>IF($CP1078="refNeedCorrection",BM1078,BN1078)</f>
        <v>23500</v>
      </c>
      <c r="CS1078">
        <f>IF($CP1078="refOK",$BQ1078,-$BQ1078)</f>
        <v>47.95918367346939</v>
      </c>
      <c r="CT1078">
        <f>IF(BI1078="Roundwood",$CS1078/2,$CS1078)</f>
        <v>47.95918367346939</v>
      </c>
      <c r="CU1078">
        <f>IF($CP1078="refOK",$BU1078,$BV1078)*IF($BR1078="Emissions positive",-1,1)</f>
        <v>-23800</v>
      </c>
      <c r="CV1078">
        <f>IF($CP1078="refOK",$BV1078,$BU1078)*IF($BR1078="Emissions positive",-1,1)</f>
        <v>-6020</v>
      </c>
      <c r="CW1078">
        <f>IF($CP1078="refNeedCorrection",-BZ1078,BZ1078)*IF($BR1078="Emissions positive",-1,1)</f>
        <v>17.78</v>
      </c>
      <c r="CX1078">
        <f>IFERROR($CW1078/$CS1078,"")</f>
        <v>0.37073191489361701</v>
      </c>
      <c r="CY1078">
        <f>IFERROR($CW1078/$CS1078,"")</f>
        <v>0.37073191489361701</v>
      </c>
      <c r="CZ1078">
        <f>IFERROR($CW1078/$CT1078,"")</f>
        <v>0.37073191489361701</v>
      </c>
      <c r="DA1078" s="2">
        <f>IFERROR((CV1078-CU1078)/ABS(CU1078),"")</f>
        <v>0.74705882352941178</v>
      </c>
      <c r="DB1078" s="1" t="s">
        <v>347</v>
      </c>
      <c r="DC1078" t="str">
        <f>IF(OR($DB1078="prd",$DB1078="std",$DB1078="cit"),"loc",IF(OR($DB1078="eur",$DB1078="reg",$DB1078="coy"),"reg",$DB1078))</f>
        <v>loc</v>
      </c>
      <c r="DD1078" t="s">
        <v>348</v>
      </c>
      <c r="DE1078">
        <v>2014</v>
      </c>
      <c r="DF1078">
        <v>2034</v>
      </c>
      <c r="DG1078">
        <v>20</v>
      </c>
      <c r="DH1078" t="str">
        <f>IF(DG1078=0,"0",IF(AND(DG1078&gt;=1,DG1078&lt;=30),"1-30",IF(AND(DG1078&gt;30,DG1078&lt;=70),"31-70",IF(AND(DG1078&gt;70,DG1078&lt;=100),"71-100",IF(DG1078&gt;100,"+100")))))</f>
        <v>1-30</v>
      </c>
      <c r="DI1078">
        <v>0</v>
      </c>
      <c r="DJ1078">
        <v>0</v>
      </c>
      <c r="DK1078">
        <v>0</v>
      </c>
      <c r="DL1078">
        <v>1</v>
      </c>
      <c r="DN1078">
        <f>SUM(DI1078:DL1078)</f>
        <v>1</v>
      </c>
      <c r="DO1078" t="str">
        <f>IF(DN1078=1,INDEX($DI$7:$DL$7,MATCH(1,$DI1078:$DL1078,0)),"mixedProduct")</f>
        <v>TimberInput</v>
      </c>
      <c r="DP1078">
        <f>IF(DI1078=1,DP$7,0)</f>
        <v>0</v>
      </c>
      <c r="DQ1078">
        <f>IF(DJ1078=1,DQ$7,0)</f>
        <v>0</v>
      </c>
      <c r="DR1078">
        <f>IF(DK1078=1,DR$7,0)</f>
        <v>0</v>
      </c>
      <c r="DS1078" t="str">
        <f>IF(DL1078=1,DS$7,0)</f>
        <v>Timber</v>
      </c>
      <c r="DT1078">
        <v>0</v>
      </c>
      <c r="DU1078">
        <v>0</v>
      </c>
      <c r="DV1078">
        <v>0</v>
      </c>
      <c r="DW1078">
        <v>0</v>
      </c>
      <c r="DX1078">
        <v>0</v>
      </c>
      <c r="DY1078">
        <f>SUM(DT1078:DU1078)</f>
        <v>0</v>
      </c>
      <c r="DZ1078" s="143" t="str">
        <f>IF(DT1078=1,"self-calculated DF",IF(DU1078=1,"external DF used","explicit C balance"))</f>
        <v>explicit C balance</v>
      </c>
      <c r="EA1078">
        <v>0</v>
      </c>
      <c r="EB1078">
        <v>0</v>
      </c>
      <c r="EC1078">
        <v>0</v>
      </c>
      <c r="ED1078">
        <v>1</v>
      </c>
      <c r="EE1078">
        <v>0</v>
      </c>
      <c r="EF1078" s="143">
        <v>1</v>
      </c>
      <c r="EG1078">
        <v>0</v>
      </c>
      <c r="EH1078">
        <v>1</v>
      </c>
      <c r="EI1078">
        <v>1</v>
      </c>
      <c r="EJ1078">
        <v>1</v>
      </c>
      <c r="EK1078">
        <v>0</v>
      </c>
      <c r="EL1078">
        <v>0</v>
      </c>
      <c r="EM1078">
        <v>0</v>
      </c>
      <c r="EN1078" s="2">
        <v>0</v>
      </c>
      <c r="EP1078" t="str">
        <f>IF(AND(AND(AND(OR($EC1078=1,$EB1078=1),OR($EH1078=1,$EF1078=1)),SUM($EA1078:$EE1078,$EK1078)&gt;=3),SUM($EF1078:$EJ1078)&gt;=2),"Whole sector approach","")</f>
        <v/>
      </c>
      <c r="EQ1078" t="str">
        <f>IF(AND(AND(OR($EC1078=1,$EB1078=1),AND($EH1078=0,$EF1078=0)),SUM($EA1078:$EE1078,$EK1078)&gt;=4),"Ecosystem approach","")</f>
        <v/>
      </c>
      <c r="ER1078" s="2" t="str">
        <f>IF(AND(AND(AND($EC1078=0,$EB1078=0),OR($EH1078=1,$EF1078=1)),SUM($EG1078:$EJ1078)&gt;=2),"Technology approach","")</f>
        <v>Technology approach</v>
      </c>
      <c r="ES1078" t="str">
        <f>IF(AND($EC1078+$EB1078+$EE1078+$EA1078+$ED1078+$EG1078=0,$N1078="included"),"C neutral forest and HWP assumption","")</f>
        <v/>
      </c>
      <c r="ET1078" t="str">
        <f>IF(AND(AND(AND(AND($EC1078=1,$EB1078+$EA1078+$EG1078&gt;=1),$EF1078=1),$EH1078+$EI1078+$ED1078+$EE1078&gt;=2),$N1078="included"),"All C pools assumption","")</f>
        <v/>
      </c>
      <c r="EU1078" t="str">
        <f>IF(AND($ED1078+$EE1078+$EI1078+$EH1078+$EF1078=0,$N1078="included"),"In-situ only assumption","")</f>
        <v/>
      </c>
      <c r="EY1078" t="str">
        <f>IF(ISNUMBER(BW1078),IF(ABS(BW1078-[2]QC_indicators!$B$2)&gt;3*[2]QC_indicators!$C$2,"C ratio",IF(ISNUMBER(CA1078),IF(ABS(CA1078-[2]QC_indicators!$B$1)&gt;3*[2]QC_indicators!$C$1,"DF","no"))),IF(ISNUMBER(CA1078),IF(ABS(CA1078-[2]QC_indicators!$B$1)&gt;3*[2]QC_indicators!$C$1,"DF","no")))</f>
        <v>no</v>
      </c>
      <c r="FA1078" t="str">
        <f>IF(LEN($CY1078)=0,"",IF(AND($CY1078&lt;(-0.05),$ES1078="C neutral forest and HWP assumption"),"Cneutral paradox",IF(AND($CY1078&gt;0.05,$EU1078="In-situ only assumption"),"In-situ only paradox","")))</f>
        <v/>
      </c>
      <c r="FB1078" s="149" t="s">
        <v>349</v>
      </c>
      <c r="FD1078" s="260" t="s">
        <v>2948</v>
      </c>
    </row>
    <row r="1079" spans="1:160" ht="15" hidden="1" customHeight="1">
      <c r="A1079" s="1" t="s">
        <v>333</v>
      </c>
      <c r="B1079" t="s">
        <v>334</v>
      </c>
      <c r="C1079" t="s">
        <v>335</v>
      </c>
      <c r="D1079" t="s">
        <v>336</v>
      </c>
      <c r="E1079" t="s">
        <v>337</v>
      </c>
      <c r="F1079" t="s">
        <v>338</v>
      </c>
      <c r="G1079" t="s">
        <v>339</v>
      </c>
      <c r="I1079">
        <v>2017</v>
      </c>
      <c r="K1079" t="s">
        <v>340</v>
      </c>
      <c r="M1079" t="str">
        <f>LEFT($D1079,FIND(",",$D1079)-1)&amp;"_"&amp;I1079&amp;L1079</f>
        <v>Balasbaneh_2017</v>
      </c>
      <c r="N1079" t="s">
        <v>222</v>
      </c>
      <c r="O1079" s="140" t="s">
        <v>341</v>
      </c>
      <c r="Q1079" t="s">
        <v>224</v>
      </c>
      <c r="R1079" s="258" t="s">
        <v>223</v>
      </c>
      <c r="S1079" s="1" t="s">
        <v>365</v>
      </c>
      <c r="T1079" t="s">
        <v>361</v>
      </c>
      <c r="U1079" t="s">
        <v>357</v>
      </c>
      <c r="V1079" s="253">
        <v>0</v>
      </c>
      <c r="W1079" s="253">
        <v>0</v>
      </c>
      <c r="X1079">
        <v>0</v>
      </c>
      <c r="Y1079">
        <v>0</v>
      </c>
      <c r="Z1079">
        <v>0</v>
      </c>
      <c r="AA1079">
        <v>0</v>
      </c>
      <c r="AB1079">
        <v>0</v>
      </c>
      <c r="AC1079">
        <v>0</v>
      </c>
      <c r="AD1079">
        <v>0</v>
      </c>
      <c r="AE1079">
        <v>0</v>
      </c>
      <c r="AF1079">
        <v>0</v>
      </c>
      <c r="AG1079">
        <v>0</v>
      </c>
      <c r="AH1079">
        <v>0</v>
      </c>
      <c r="AI1079">
        <v>0</v>
      </c>
      <c r="AJ1079">
        <v>0</v>
      </c>
      <c r="AK1079">
        <v>0</v>
      </c>
      <c r="AL1079">
        <v>0</v>
      </c>
      <c r="AM1079">
        <v>1</v>
      </c>
      <c r="AN1079">
        <v>0</v>
      </c>
      <c r="AO1079">
        <v>0</v>
      </c>
      <c r="AP1079">
        <v>0</v>
      </c>
      <c r="AQ1079">
        <v>0</v>
      </c>
      <c r="AR1079">
        <v>0</v>
      </c>
      <c r="AS1079">
        <v>0</v>
      </c>
      <c r="AT1079">
        <v>0</v>
      </c>
      <c r="AU1079">
        <v>0</v>
      </c>
      <c r="AV1079">
        <v>0</v>
      </c>
      <c r="AW1079">
        <v>0</v>
      </c>
      <c r="AX1079">
        <v>0</v>
      </c>
      <c r="AY1079">
        <v>0</v>
      </c>
      <c r="AZ1079" s="141">
        <f>COUNTIF(X1079:AY1079,"&lt;&gt;0")</f>
        <v>1</v>
      </c>
      <c r="BA1079" s="141">
        <f>COUNTIF(X1079:AN1079,"&lt;&gt;0")</f>
        <v>1</v>
      </c>
      <c r="BB1079">
        <f>COUNTIF(X1079:AE1079,"&lt;&gt;0")</f>
        <v>0</v>
      </c>
      <c r="BC1079">
        <f>COUNTIF(AF1079:AK1079,"&lt;&gt;0")</f>
        <v>0</v>
      </c>
      <c r="BD1079">
        <f>COUNTIF(AL1079:AN1079,"&lt;&gt;0")</f>
        <v>1</v>
      </c>
      <c r="BE1079">
        <f>COUNTIF(AU1079:AY1079,"&lt;&gt;0")</f>
        <v>0</v>
      </c>
      <c r="BF1079">
        <f>COUNTIF(AO1079:AT1079,"&lt;&gt;0")</f>
        <v>0</v>
      </c>
      <c r="BG1079" t="str">
        <f t="array" ref="BG1079">IF(BA1079=1,INDEX($X$7:$AN$7,MATCH(TRUE,INDEX($X1079:$AY1079&lt;&gt;0,),0)),IF(BA1079=0,INDEX($AO$7:$AY$7,MATCH(1,$AO1079:$AY1079,0)),IF(BH1079="Multiple strategies","mixed drivers",IF(BH1079="Supply chain","multiple supply","multiple silviculture"))))</f>
        <v>technologies/design switch</v>
      </c>
      <c r="BH1079" s="2" t="str" cm="1">
        <f t="array" ref="BH1079">IF(COUNTIF(BB1079:BD1079,"&lt;&gt;0")=1,INDEX($X$4:$AY$4,MATCH(TRUE,INDEX($X1079:$AY1079&lt;&gt;0,),0)),IF(COUNTIF(BB1079:BD1079,"&lt;&gt;0")=0,INDEX($AO$4:$AY$4,MATCH(1,$AO1079:$AY1079,0)),"Multiple strategies"))</f>
        <v>Technology</v>
      </c>
      <c r="BI1079" s="1" t="s">
        <v>229</v>
      </c>
      <c r="BJ1079" t="s">
        <v>229</v>
      </c>
      <c r="BK1079" s="260" t="s">
        <v>410</v>
      </c>
      <c r="BL1079" t="s">
        <v>345</v>
      </c>
      <c r="BM1079">
        <v>0</v>
      </c>
      <c r="BN1079">
        <v>29276</v>
      </c>
      <c r="BO1079" s="143"/>
      <c r="BP1079">
        <f>BN1079-BM1079</f>
        <v>29276</v>
      </c>
      <c r="BQ1079" s="143">
        <f>BP1079*kg_to_m3</f>
        <v>59.746938775510209</v>
      </c>
      <c r="BR1079" t="s">
        <v>232</v>
      </c>
      <c r="BS1079" s="260" t="s">
        <v>396</v>
      </c>
      <c r="BT1079" t="s">
        <v>346</v>
      </c>
      <c r="BU1079">
        <v>-24200</v>
      </c>
      <c r="BV1079">
        <v>-2080</v>
      </c>
      <c r="BW1079" s="144">
        <v>8.5950413223140495E-2</v>
      </c>
      <c r="BX1079">
        <f>BV1079-BU1079</f>
        <v>22120</v>
      </c>
      <c r="BZ1079">
        <f>BX1079/1000</f>
        <v>22.12</v>
      </c>
      <c r="CA1079">
        <f>IFERROR(BZ1079/BQ1079,"")</f>
        <v>0.3702281732477114</v>
      </c>
      <c r="CB1079">
        <v>0</v>
      </c>
      <c r="CC1079">
        <v>0</v>
      </c>
      <c r="CD1079">
        <v>0</v>
      </c>
      <c r="CE1079">
        <v>0</v>
      </c>
      <c r="CF1079">
        <v>0</v>
      </c>
      <c r="CG1079">
        <v>0</v>
      </c>
      <c r="CH1079">
        <v>0</v>
      </c>
      <c r="CI1079">
        <v>0</v>
      </c>
      <c r="CJ1079">
        <v>0</v>
      </c>
      <c r="CK1079">
        <v>0</v>
      </c>
      <c r="CL1079">
        <v>0</v>
      </c>
      <c r="CM1079">
        <v>0</v>
      </c>
      <c r="CN1079">
        <v>0</v>
      </c>
      <c r="CO1079">
        <v>0</v>
      </c>
      <c r="CP1079" t="str">
        <f>IF($BN1079&lt;$BM1079,"refNeedCorrection","refOK")</f>
        <v>refOK</v>
      </c>
      <c r="CQ1079">
        <f>IF($CP1079="refNeedCorrection",BN1079,BM1079)</f>
        <v>0</v>
      </c>
      <c r="CR1079">
        <f>IF($CP1079="refNeedCorrection",BM1079,BN1079)</f>
        <v>29276</v>
      </c>
      <c r="CS1079">
        <f>IF($CP1079="refOK",$BQ1079,-$BQ1079)</f>
        <v>59.746938775510209</v>
      </c>
      <c r="CT1079">
        <f>IF(BI1079="Roundwood",$CS1079/2,$CS1079)</f>
        <v>59.746938775510209</v>
      </c>
      <c r="CU1079">
        <f>IF($CP1079="refOK",$BU1079,$BV1079)*IF($BR1079="Emissions positive",-1,1)</f>
        <v>-24200</v>
      </c>
      <c r="CV1079">
        <f>IF($CP1079="refOK",$BV1079,$BU1079)*IF($BR1079="Emissions positive",-1,1)</f>
        <v>-2080</v>
      </c>
      <c r="CW1079">
        <f>IF($CP1079="refNeedCorrection",-BZ1079,BZ1079)*IF($BR1079="Emissions positive",-1,1)</f>
        <v>22.12</v>
      </c>
      <c r="CX1079">
        <f>IFERROR($CW1079/$CS1079,"")</f>
        <v>0.3702281732477114</v>
      </c>
      <c r="CY1079">
        <f>IFERROR($CW1079/$CS1079,"")</f>
        <v>0.3702281732477114</v>
      </c>
      <c r="CZ1079">
        <f>IFERROR($CW1079/$CT1079,"")</f>
        <v>0.3702281732477114</v>
      </c>
      <c r="DA1079" s="2">
        <f>IFERROR((CV1079-CU1079)/ABS(CU1079),"")</f>
        <v>0.91404958677685955</v>
      </c>
      <c r="DB1079" s="1" t="s">
        <v>347</v>
      </c>
      <c r="DC1079" t="str">
        <f>IF(OR($DB1079="prd",$DB1079="std",$DB1079="cit"),"loc",IF(OR($DB1079="eur",$DB1079="reg",$DB1079="coy"),"reg",$DB1079))</f>
        <v>loc</v>
      </c>
      <c r="DD1079" t="s">
        <v>348</v>
      </c>
      <c r="DE1079">
        <v>2014</v>
      </c>
      <c r="DF1079">
        <v>2514</v>
      </c>
      <c r="DG1079">
        <v>500</v>
      </c>
      <c r="DH1079" t="str">
        <f>IF(DG1079=0,"0",IF(AND(DG1079&gt;=1,DG1079&lt;=30),"1-30",IF(AND(DG1079&gt;30,DG1079&lt;=70),"31-70",IF(AND(DG1079&gt;70,DG1079&lt;=100),"71-100",IF(DG1079&gt;100,"+100")))))</f>
        <v>+100</v>
      </c>
      <c r="DI1079">
        <v>0</v>
      </c>
      <c r="DJ1079">
        <v>0</v>
      </c>
      <c r="DK1079">
        <v>0</v>
      </c>
      <c r="DL1079">
        <v>1</v>
      </c>
      <c r="DN1079">
        <f>SUM(DI1079:DL1079)</f>
        <v>1</v>
      </c>
      <c r="DO1079" t="str">
        <f>IF(DN1079=1,INDEX($DI$7:$DL$7,MATCH(1,$DI1079:$DL1079,0)),"mixedProduct")</f>
        <v>TimberInput</v>
      </c>
      <c r="DP1079">
        <f>IF(DI1079=1,DP$7,0)</f>
        <v>0</v>
      </c>
      <c r="DQ1079">
        <f>IF(DJ1079=1,DQ$7,0)</f>
        <v>0</v>
      </c>
      <c r="DR1079">
        <f>IF(DK1079=1,DR$7,0)</f>
        <v>0</v>
      </c>
      <c r="DS1079" t="str">
        <f>IF(DL1079=1,DS$7,0)</f>
        <v>Timber</v>
      </c>
      <c r="DT1079">
        <v>0</v>
      </c>
      <c r="DU1079">
        <v>0</v>
      </c>
      <c r="DV1079">
        <v>0</v>
      </c>
      <c r="DW1079">
        <v>0</v>
      </c>
      <c r="DX1079">
        <v>0</v>
      </c>
      <c r="DY1079">
        <f>SUM(DT1079:DU1079)</f>
        <v>0</v>
      </c>
      <c r="DZ1079" s="143" t="str">
        <f>IF(DT1079=1,"self-calculated DF",IF(DU1079=1,"external DF used","explicit C balance"))</f>
        <v>explicit C balance</v>
      </c>
      <c r="EA1079">
        <v>0</v>
      </c>
      <c r="EB1079">
        <v>0</v>
      </c>
      <c r="EC1079">
        <v>0</v>
      </c>
      <c r="ED1079">
        <v>1</v>
      </c>
      <c r="EE1079">
        <v>0</v>
      </c>
      <c r="EF1079" s="143">
        <v>1</v>
      </c>
      <c r="EG1079">
        <v>0</v>
      </c>
      <c r="EH1079">
        <v>1</v>
      </c>
      <c r="EI1079">
        <v>1</v>
      </c>
      <c r="EJ1079">
        <v>1</v>
      </c>
      <c r="EK1079">
        <v>0</v>
      </c>
      <c r="EL1079">
        <v>0</v>
      </c>
      <c r="EM1079">
        <v>0</v>
      </c>
      <c r="EN1079" s="2">
        <v>0</v>
      </c>
      <c r="EP1079" t="str">
        <f>IF(AND(AND(AND(OR($EC1079=1,$EB1079=1),OR($EH1079=1,$EF1079=1)),SUM($EA1079:$EE1079,$EK1079)&gt;=3),SUM($EF1079:$EJ1079)&gt;=2),"Whole sector approach","")</f>
        <v/>
      </c>
      <c r="EQ1079" t="str">
        <f>IF(AND(AND(OR($EC1079=1,$EB1079=1),AND($EH1079=0,$EF1079=0)),SUM($EA1079:$EE1079,$EK1079)&gt;=4),"Ecosystem approach","")</f>
        <v/>
      </c>
      <c r="ER1079" s="2" t="str">
        <f>IF(AND(AND(AND($EC1079=0,$EB1079=0),OR($EH1079=1,$EF1079=1)),SUM($EG1079:$EJ1079)&gt;=2),"Technology approach","")</f>
        <v>Technology approach</v>
      </c>
      <c r="ES1079" t="str">
        <f>IF(AND($EC1079+$EB1079+$EE1079+$EA1079+$ED1079+$EG1079=0,$N1079="included"),"C neutral forest and HWP assumption","")</f>
        <v/>
      </c>
      <c r="ET1079" t="str">
        <f>IF(AND(AND(AND(AND($EC1079=1,$EB1079+$EA1079+$EG1079&gt;=1),$EF1079=1),$EH1079+$EI1079+$ED1079+$EE1079&gt;=2),$N1079="included"),"All C pools assumption","")</f>
        <v/>
      </c>
      <c r="EU1079" t="str">
        <f>IF(AND($ED1079+$EE1079+$EI1079+$EH1079+$EF1079=0,$N1079="included"),"In-situ only assumption","")</f>
        <v/>
      </c>
      <c r="EY1079" t="str">
        <f>IF(ISNUMBER(BW1079),IF(ABS(BW1079-[2]QC_indicators!$B$2)&gt;3*[2]QC_indicators!$C$2,"C ratio",IF(ISNUMBER(CA1079),IF(ABS(CA1079-[2]QC_indicators!$B$1)&gt;3*[2]QC_indicators!$C$1,"DF","no"))),IF(ISNUMBER(CA1079),IF(ABS(CA1079-[2]QC_indicators!$B$1)&gt;3*[2]QC_indicators!$C$1,"DF","no")))</f>
        <v>no</v>
      </c>
      <c r="FA1079" t="str">
        <f>IF(LEN($CY1079)=0,"",IF(AND($CY1079&lt;(-0.05),$ES1079="C neutral forest and HWP assumption"),"Cneutral paradox",IF(AND($CY1079&gt;0.05,$EU1079="In-situ only assumption"),"In-situ only paradox","")))</f>
        <v/>
      </c>
      <c r="FB1079" s="149" t="s">
        <v>349</v>
      </c>
      <c r="FD1079" s="260" t="s">
        <v>2948</v>
      </c>
    </row>
    <row r="1080" spans="1:160" ht="15" hidden="1" customHeight="1">
      <c r="A1080" s="1" t="s">
        <v>333</v>
      </c>
      <c r="B1080" t="s">
        <v>334</v>
      </c>
      <c r="C1080" t="s">
        <v>335</v>
      </c>
      <c r="D1080" t="s">
        <v>336</v>
      </c>
      <c r="E1080" t="s">
        <v>337</v>
      </c>
      <c r="F1080" t="s">
        <v>338</v>
      </c>
      <c r="G1080" t="s">
        <v>339</v>
      </c>
      <c r="I1080">
        <v>2017</v>
      </c>
      <c r="K1080" t="s">
        <v>340</v>
      </c>
      <c r="M1080" t="str">
        <f>LEFT($D1080,FIND(",",$D1080)-1)&amp;"_"&amp;I1080&amp;L1080</f>
        <v>Balasbaneh_2017</v>
      </c>
      <c r="N1080" t="s">
        <v>222</v>
      </c>
      <c r="O1080" s="140" t="s">
        <v>341</v>
      </c>
      <c r="Q1080" t="s">
        <v>224</v>
      </c>
      <c r="R1080" s="258" t="s">
        <v>223</v>
      </c>
      <c r="S1080" s="1" t="s">
        <v>364</v>
      </c>
      <c r="T1080" t="s">
        <v>361</v>
      </c>
      <c r="U1080" t="s">
        <v>357</v>
      </c>
      <c r="V1080" s="253">
        <v>0</v>
      </c>
      <c r="W1080" s="253">
        <v>0</v>
      </c>
      <c r="X1080">
        <v>0</v>
      </c>
      <c r="Y1080">
        <v>0</v>
      </c>
      <c r="Z1080">
        <v>0</v>
      </c>
      <c r="AA1080">
        <v>0</v>
      </c>
      <c r="AB1080">
        <v>0</v>
      </c>
      <c r="AC1080">
        <v>0</v>
      </c>
      <c r="AD1080">
        <v>0</v>
      </c>
      <c r="AE1080">
        <v>0</v>
      </c>
      <c r="AF1080">
        <v>0</v>
      </c>
      <c r="AG1080">
        <v>0</v>
      </c>
      <c r="AH1080">
        <v>0</v>
      </c>
      <c r="AI1080">
        <v>0</v>
      </c>
      <c r="AJ1080">
        <v>0</v>
      </c>
      <c r="AK1080">
        <v>0</v>
      </c>
      <c r="AL1080">
        <v>0</v>
      </c>
      <c r="AM1080">
        <v>1</v>
      </c>
      <c r="AN1080">
        <v>0</v>
      </c>
      <c r="AO1080">
        <v>0</v>
      </c>
      <c r="AP1080">
        <v>0</v>
      </c>
      <c r="AQ1080">
        <v>0</v>
      </c>
      <c r="AR1080">
        <v>0</v>
      </c>
      <c r="AS1080">
        <v>0</v>
      </c>
      <c r="AT1080">
        <v>0</v>
      </c>
      <c r="AU1080">
        <v>0</v>
      </c>
      <c r="AV1080">
        <v>0</v>
      </c>
      <c r="AW1080">
        <v>0</v>
      </c>
      <c r="AX1080">
        <v>0</v>
      </c>
      <c r="AY1080">
        <v>0</v>
      </c>
      <c r="AZ1080" s="141">
        <f>COUNTIF(X1080:AY1080,"&lt;&gt;0")</f>
        <v>1</v>
      </c>
      <c r="BA1080" s="141">
        <f>COUNTIF(X1080:AN1080,"&lt;&gt;0")</f>
        <v>1</v>
      </c>
      <c r="BB1080">
        <f>COUNTIF(X1080:AE1080,"&lt;&gt;0")</f>
        <v>0</v>
      </c>
      <c r="BC1080">
        <f>COUNTIF(AF1080:AK1080,"&lt;&gt;0")</f>
        <v>0</v>
      </c>
      <c r="BD1080">
        <f>COUNTIF(AL1080:AN1080,"&lt;&gt;0")</f>
        <v>1</v>
      </c>
      <c r="BE1080">
        <f>COUNTIF(AU1080:AY1080,"&lt;&gt;0")</f>
        <v>0</v>
      </c>
      <c r="BF1080">
        <f>COUNTIF(AO1080:AT1080,"&lt;&gt;0")</f>
        <v>0</v>
      </c>
      <c r="BG1080" t="str">
        <f t="array" ref="BG1080">IF(BA1080=1,INDEX($X$7:$AN$7,MATCH(TRUE,INDEX($X1080:$AY1080&lt;&gt;0,),0)),IF(BA1080=0,INDEX($AO$7:$AY$7,MATCH(1,$AO1080:$AY1080,0)),IF(BH1080="Multiple strategies","mixed drivers",IF(BH1080="Supply chain","multiple supply","multiple silviculture"))))</f>
        <v>technologies/design switch</v>
      </c>
      <c r="BH1080" s="2" t="str" cm="1">
        <f t="array" ref="BH1080">IF(COUNTIF(BB1080:BD1080,"&lt;&gt;0")=1,INDEX($X$4:$AY$4,MATCH(TRUE,INDEX($X1080:$AY1080&lt;&gt;0,),0)),IF(COUNTIF(BB1080:BD1080,"&lt;&gt;0")=0,INDEX($AO$4:$AY$4,MATCH(1,$AO1080:$AY1080,0)),"Multiple strategies"))</f>
        <v>Technology</v>
      </c>
      <c r="BI1080" s="1" t="s">
        <v>229</v>
      </c>
      <c r="BJ1080" t="s">
        <v>229</v>
      </c>
      <c r="BK1080" s="260" t="s">
        <v>410</v>
      </c>
      <c r="BL1080" t="s">
        <v>345</v>
      </c>
      <c r="BM1080">
        <v>0</v>
      </c>
      <c r="BN1080">
        <v>29276</v>
      </c>
      <c r="BO1080" s="143"/>
      <c r="BP1080">
        <f>BN1080-BM1080</f>
        <v>29276</v>
      </c>
      <c r="BQ1080" s="143">
        <f>BP1080*kg_to_m3</f>
        <v>59.746938775510209</v>
      </c>
      <c r="BR1080" t="s">
        <v>232</v>
      </c>
      <c r="BS1080" s="260" t="s">
        <v>396</v>
      </c>
      <c r="BT1080" t="s">
        <v>346</v>
      </c>
      <c r="BU1080">
        <v>-23800</v>
      </c>
      <c r="BV1080">
        <v>-2040</v>
      </c>
      <c r="BW1080" s="144">
        <v>8.5714285714285715E-2</v>
      </c>
      <c r="BX1080">
        <f>BV1080-BU1080</f>
        <v>21760</v>
      </c>
      <c r="BZ1080">
        <f>BX1080/1000</f>
        <v>21.76</v>
      </c>
      <c r="CA1080">
        <f>IFERROR(BZ1080/BQ1080,"")</f>
        <v>0.36420275993988249</v>
      </c>
      <c r="CB1080">
        <v>0</v>
      </c>
      <c r="CC1080">
        <v>0</v>
      </c>
      <c r="CD1080">
        <v>0</v>
      </c>
      <c r="CE1080">
        <v>0</v>
      </c>
      <c r="CF1080">
        <v>0</v>
      </c>
      <c r="CG1080">
        <v>0</v>
      </c>
      <c r="CH1080">
        <v>0</v>
      </c>
      <c r="CI1080">
        <v>0</v>
      </c>
      <c r="CJ1080">
        <v>0</v>
      </c>
      <c r="CK1080">
        <v>0</v>
      </c>
      <c r="CL1080">
        <v>0</v>
      </c>
      <c r="CM1080">
        <v>0</v>
      </c>
      <c r="CN1080">
        <v>0</v>
      </c>
      <c r="CO1080">
        <v>0</v>
      </c>
      <c r="CP1080" t="str">
        <f>IF($BN1080&lt;$BM1080,"refNeedCorrection","refOK")</f>
        <v>refOK</v>
      </c>
      <c r="CQ1080">
        <f>IF($CP1080="refNeedCorrection",BN1080,BM1080)</f>
        <v>0</v>
      </c>
      <c r="CR1080">
        <f>IF($CP1080="refNeedCorrection",BM1080,BN1080)</f>
        <v>29276</v>
      </c>
      <c r="CS1080">
        <f>IF($CP1080="refOK",$BQ1080,-$BQ1080)</f>
        <v>59.746938775510209</v>
      </c>
      <c r="CT1080">
        <f>IF(BI1080="Roundwood",$CS1080/2,$CS1080)</f>
        <v>59.746938775510209</v>
      </c>
      <c r="CU1080">
        <f>IF($CP1080="refOK",$BU1080,$BV1080)*IF($BR1080="Emissions positive",-1,1)</f>
        <v>-23800</v>
      </c>
      <c r="CV1080">
        <f>IF($CP1080="refOK",$BV1080,$BU1080)*IF($BR1080="Emissions positive",-1,1)</f>
        <v>-2040</v>
      </c>
      <c r="CW1080">
        <f>IF($CP1080="refNeedCorrection",-BZ1080,BZ1080)*IF($BR1080="Emissions positive",-1,1)</f>
        <v>21.76</v>
      </c>
      <c r="CX1080">
        <f>IFERROR($CW1080/$CS1080,"")</f>
        <v>0.36420275993988249</v>
      </c>
      <c r="CY1080">
        <f>IFERROR($CW1080/$CS1080,"")</f>
        <v>0.36420275993988249</v>
      </c>
      <c r="CZ1080">
        <f>IFERROR($CW1080/$CT1080,"")</f>
        <v>0.36420275993988249</v>
      </c>
      <c r="DA1080" s="2">
        <f>IFERROR((CV1080-CU1080)/ABS(CU1080),"")</f>
        <v>0.91428571428571426</v>
      </c>
      <c r="DB1080" s="1" t="s">
        <v>347</v>
      </c>
      <c r="DC1080" t="str">
        <f>IF(OR($DB1080="prd",$DB1080="std",$DB1080="cit"),"loc",IF(OR($DB1080="eur",$DB1080="reg",$DB1080="coy"),"reg",$DB1080))</f>
        <v>loc</v>
      </c>
      <c r="DD1080" t="s">
        <v>348</v>
      </c>
      <c r="DE1080">
        <v>2014</v>
      </c>
      <c r="DF1080">
        <v>2514</v>
      </c>
      <c r="DG1080">
        <v>500</v>
      </c>
      <c r="DH1080" t="str">
        <f>IF(DG1080=0,"0",IF(AND(DG1080&gt;=1,DG1080&lt;=30),"1-30",IF(AND(DG1080&gt;30,DG1080&lt;=70),"31-70",IF(AND(DG1080&gt;70,DG1080&lt;=100),"71-100",IF(DG1080&gt;100,"+100")))))</f>
        <v>+100</v>
      </c>
      <c r="DI1080">
        <v>0</v>
      </c>
      <c r="DJ1080">
        <v>0</v>
      </c>
      <c r="DK1080">
        <v>0</v>
      </c>
      <c r="DL1080">
        <v>1</v>
      </c>
      <c r="DN1080">
        <f>SUM(DI1080:DL1080)</f>
        <v>1</v>
      </c>
      <c r="DO1080" t="str">
        <f>IF(DN1080=1,INDEX($DI$7:$DL$7,MATCH(1,$DI1080:$DL1080,0)),"mixedProduct")</f>
        <v>TimberInput</v>
      </c>
      <c r="DP1080">
        <f>IF(DI1080=1,DP$7,0)</f>
        <v>0</v>
      </c>
      <c r="DQ1080">
        <f>IF(DJ1080=1,DQ$7,0)</f>
        <v>0</v>
      </c>
      <c r="DR1080">
        <f>IF(DK1080=1,DR$7,0)</f>
        <v>0</v>
      </c>
      <c r="DS1080" t="str">
        <f>IF(DL1080=1,DS$7,0)</f>
        <v>Timber</v>
      </c>
      <c r="DT1080">
        <v>0</v>
      </c>
      <c r="DU1080">
        <v>0</v>
      </c>
      <c r="DV1080">
        <v>0</v>
      </c>
      <c r="DW1080">
        <v>0</v>
      </c>
      <c r="DX1080">
        <v>0</v>
      </c>
      <c r="DY1080">
        <f>SUM(DT1080:DU1080)</f>
        <v>0</v>
      </c>
      <c r="DZ1080" s="143" t="str">
        <f>IF(DT1080=1,"self-calculated DF",IF(DU1080=1,"external DF used","explicit C balance"))</f>
        <v>explicit C balance</v>
      </c>
      <c r="EA1080">
        <v>0</v>
      </c>
      <c r="EB1080">
        <v>0</v>
      </c>
      <c r="EC1080">
        <v>0</v>
      </c>
      <c r="ED1080">
        <v>1</v>
      </c>
      <c r="EE1080">
        <v>0</v>
      </c>
      <c r="EF1080" s="143">
        <v>1</v>
      </c>
      <c r="EG1080">
        <v>0</v>
      </c>
      <c r="EH1080">
        <v>1</v>
      </c>
      <c r="EI1080">
        <v>1</v>
      </c>
      <c r="EJ1080">
        <v>1</v>
      </c>
      <c r="EK1080">
        <v>0</v>
      </c>
      <c r="EL1080">
        <v>0</v>
      </c>
      <c r="EM1080">
        <v>0</v>
      </c>
      <c r="EN1080" s="2">
        <v>0</v>
      </c>
      <c r="EP1080" t="str">
        <f>IF(AND(AND(AND(OR($EC1080=1,$EB1080=1),OR($EH1080=1,$EF1080=1)),SUM($EA1080:$EE1080,$EK1080)&gt;=3),SUM($EF1080:$EJ1080)&gt;=2),"Whole sector approach","")</f>
        <v/>
      </c>
      <c r="EQ1080" t="str">
        <f>IF(AND(AND(OR($EC1080=1,$EB1080=1),AND($EH1080=0,$EF1080=0)),SUM($EA1080:$EE1080,$EK1080)&gt;=4),"Ecosystem approach","")</f>
        <v/>
      </c>
      <c r="ER1080" s="2" t="str">
        <f>IF(AND(AND(AND($EC1080=0,$EB1080=0),OR($EH1080=1,$EF1080=1)),SUM($EG1080:$EJ1080)&gt;=2),"Technology approach","")</f>
        <v>Technology approach</v>
      </c>
      <c r="ES1080" t="str">
        <f>IF(AND($EC1080+$EB1080+$EE1080+$EA1080+$ED1080+$EG1080=0,$N1080="included"),"C neutral forest and HWP assumption","")</f>
        <v/>
      </c>
      <c r="ET1080" t="str">
        <f>IF(AND(AND(AND(AND($EC1080=1,$EB1080+$EA1080+$EG1080&gt;=1),$EF1080=1),$EH1080+$EI1080+$ED1080+$EE1080&gt;=2),$N1080="included"),"All C pools assumption","")</f>
        <v/>
      </c>
      <c r="EU1080" t="str">
        <f>IF(AND($ED1080+$EE1080+$EI1080+$EH1080+$EF1080=0,$N1080="included"),"In-situ only assumption","")</f>
        <v/>
      </c>
      <c r="EY1080" t="str">
        <f>IF(ISNUMBER(BW1080),IF(ABS(BW1080-[2]QC_indicators!$B$2)&gt;3*[2]QC_indicators!$C$2,"C ratio",IF(ISNUMBER(CA1080),IF(ABS(CA1080-[2]QC_indicators!$B$1)&gt;3*[2]QC_indicators!$C$1,"DF","no"))),IF(ISNUMBER(CA1080),IF(ABS(CA1080-[2]QC_indicators!$B$1)&gt;3*[2]QC_indicators!$C$1,"DF","no")))</f>
        <v>no</v>
      </c>
      <c r="FA1080" t="str">
        <f>IF(LEN($CY1080)=0,"",IF(AND($CY1080&lt;(-0.05),$ES1080="C neutral forest and HWP assumption"),"Cneutral paradox",IF(AND($CY1080&gt;0.05,$EU1080="In-situ only assumption"),"In-situ only paradox","")))</f>
        <v/>
      </c>
      <c r="FB1080" s="149" t="s">
        <v>349</v>
      </c>
      <c r="FD1080" s="260" t="s">
        <v>2948</v>
      </c>
    </row>
    <row r="1081" spans="1:160" ht="15" hidden="1" customHeight="1">
      <c r="A1081" s="1" t="s">
        <v>333</v>
      </c>
      <c r="B1081" t="s">
        <v>334</v>
      </c>
      <c r="C1081" t="s">
        <v>335</v>
      </c>
      <c r="D1081" t="s">
        <v>336</v>
      </c>
      <c r="E1081" t="s">
        <v>337</v>
      </c>
      <c r="F1081" t="s">
        <v>338</v>
      </c>
      <c r="G1081" t="s">
        <v>339</v>
      </c>
      <c r="I1081">
        <v>2017</v>
      </c>
      <c r="K1081" t="s">
        <v>340</v>
      </c>
      <c r="M1081" t="str">
        <f>LEFT($D1081,FIND(",",$D1081)-1)&amp;"_"&amp;I1081&amp;L1081</f>
        <v>Balasbaneh_2017</v>
      </c>
      <c r="N1081" t="s">
        <v>222</v>
      </c>
      <c r="O1081" s="140" t="s">
        <v>341</v>
      </c>
      <c r="Q1081" t="s">
        <v>224</v>
      </c>
      <c r="R1081" s="258" t="s">
        <v>223</v>
      </c>
      <c r="S1081" s="1" t="s">
        <v>363</v>
      </c>
      <c r="T1081" t="s">
        <v>361</v>
      </c>
      <c r="U1081" t="s">
        <v>351</v>
      </c>
      <c r="V1081" s="253">
        <v>0</v>
      </c>
      <c r="W1081" s="253">
        <v>0</v>
      </c>
      <c r="X1081">
        <v>0</v>
      </c>
      <c r="Y1081">
        <v>0</v>
      </c>
      <c r="Z1081">
        <v>0</v>
      </c>
      <c r="AA1081">
        <v>0</v>
      </c>
      <c r="AB1081">
        <v>0</v>
      </c>
      <c r="AC1081">
        <v>0</v>
      </c>
      <c r="AD1081">
        <v>0</v>
      </c>
      <c r="AE1081">
        <v>0</v>
      </c>
      <c r="AF1081">
        <v>0</v>
      </c>
      <c r="AG1081">
        <v>0</v>
      </c>
      <c r="AH1081">
        <v>0</v>
      </c>
      <c r="AI1081">
        <v>0</v>
      </c>
      <c r="AJ1081">
        <v>0</v>
      </c>
      <c r="AK1081">
        <v>0</v>
      </c>
      <c r="AL1081">
        <v>0</v>
      </c>
      <c r="AM1081">
        <v>1</v>
      </c>
      <c r="AN1081">
        <v>0</v>
      </c>
      <c r="AO1081">
        <v>0</v>
      </c>
      <c r="AP1081">
        <v>0</v>
      </c>
      <c r="AQ1081">
        <v>0</v>
      </c>
      <c r="AR1081">
        <v>0</v>
      </c>
      <c r="AS1081">
        <v>0</v>
      </c>
      <c r="AT1081">
        <v>0</v>
      </c>
      <c r="AU1081">
        <v>0</v>
      </c>
      <c r="AV1081">
        <v>0</v>
      </c>
      <c r="AW1081">
        <v>0</v>
      </c>
      <c r="AX1081">
        <v>0</v>
      </c>
      <c r="AY1081">
        <v>0</v>
      </c>
      <c r="AZ1081" s="141">
        <f>COUNTIF(X1081:AY1081,"&lt;&gt;0")</f>
        <v>1</v>
      </c>
      <c r="BA1081" s="141">
        <f>COUNTIF(X1081:AN1081,"&lt;&gt;0")</f>
        <v>1</v>
      </c>
      <c r="BB1081">
        <f>COUNTIF(X1081:AE1081,"&lt;&gt;0")</f>
        <v>0</v>
      </c>
      <c r="BC1081">
        <f>COUNTIF(AF1081:AK1081,"&lt;&gt;0")</f>
        <v>0</v>
      </c>
      <c r="BD1081">
        <f>COUNTIF(AL1081:AN1081,"&lt;&gt;0")</f>
        <v>1</v>
      </c>
      <c r="BE1081">
        <f>COUNTIF(AU1081:AY1081,"&lt;&gt;0")</f>
        <v>0</v>
      </c>
      <c r="BF1081">
        <f>COUNTIF(AO1081:AT1081,"&lt;&gt;0")</f>
        <v>0</v>
      </c>
      <c r="BG1081" t="str">
        <f t="array" ref="BG1081">IF(BA1081=1,INDEX($X$7:$AN$7,MATCH(TRUE,INDEX($X1081:$AY1081&lt;&gt;0,),0)),IF(BA1081=0,INDEX($AO$7:$AY$7,MATCH(1,$AO1081:$AY1081,0)),IF(BH1081="Multiple strategies","mixed drivers",IF(BH1081="Supply chain","multiple supply","multiple silviculture"))))</f>
        <v>technologies/design switch</v>
      </c>
      <c r="BH1081" s="2" t="str" cm="1">
        <f t="array" ref="BH1081">IF(COUNTIF(BB1081:BD1081,"&lt;&gt;0")=1,INDEX($X$4:$AY$4,MATCH(TRUE,INDEX($X1081:$AY1081&lt;&gt;0,),0)),IF(COUNTIF(BB1081:BD1081,"&lt;&gt;0")=0,INDEX($AO$4:$AY$4,MATCH(1,$AO1081:$AY1081,0)),"Multiple strategies"))</f>
        <v>Technology</v>
      </c>
      <c r="BI1081" s="1" t="s">
        <v>229</v>
      </c>
      <c r="BJ1081" t="s">
        <v>229</v>
      </c>
      <c r="BK1081" s="260" t="s">
        <v>410</v>
      </c>
      <c r="BL1081" t="s">
        <v>345</v>
      </c>
      <c r="BM1081">
        <v>0</v>
      </c>
      <c r="BN1081">
        <v>23500</v>
      </c>
      <c r="BO1081" s="143"/>
      <c r="BP1081">
        <f>BN1081-BM1081</f>
        <v>23500</v>
      </c>
      <c r="BQ1081" s="143">
        <f>BP1081*kg_to_m3</f>
        <v>47.95918367346939</v>
      </c>
      <c r="BR1081" t="s">
        <v>232</v>
      </c>
      <c r="BS1081" s="260" t="s">
        <v>396</v>
      </c>
      <c r="BT1081" t="s">
        <v>346</v>
      </c>
      <c r="BU1081">
        <v>-23000</v>
      </c>
      <c r="BV1081">
        <v>-5650</v>
      </c>
      <c r="BW1081" s="144">
        <v>0.24565217391304348</v>
      </c>
      <c r="BX1081">
        <f>BV1081-BU1081</f>
        <v>17350</v>
      </c>
      <c r="BZ1081">
        <f>BX1081/1000</f>
        <v>17.350000000000001</v>
      </c>
      <c r="CA1081">
        <f>IFERROR(BZ1081/BQ1081,"")</f>
        <v>0.36176595744680851</v>
      </c>
      <c r="CB1081">
        <v>0</v>
      </c>
      <c r="CC1081">
        <v>0</v>
      </c>
      <c r="CD1081">
        <v>0</v>
      </c>
      <c r="CE1081">
        <v>0</v>
      </c>
      <c r="CF1081">
        <v>0</v>
      </c>
      <c r="CG1081">
        <v>0</v>
      </c>
      <c r="CH1081">
        <v>0</v>
      </c>
      <c r="CI1081">
        <v>0</v>
      </c>
      <c r="CJ1081">
        <v>0</v>
      </c>
      <c r="CK1081">
        <v>0</v>
      </c>
      <c r="CL1081">
        <v>0</v>
      </c>
      <c r="CM1081">
        <v>0</v>
      </c>
      <c r="CN1081">
        <v>0</v>
      </c>
      <c r="CO1081">
        <v>0</v>
      </c>
      <c r="CP1081" t="str">
        <f>IF($BN1081&lt;$BM1081,"refNeedCorrection","refOK")</f>
        <v>refOK</v>
      </c>
      <c r="CQ1081">
        <f>IF($CP1081="refNeedCorrection",BN1081,BM1081)</f>
        <v>0</v>
      </c>
      <c r="CR1081">
        <f>IF($CP1081="refNeedCorrection",BM1081,BN1081)</f>
        <v>23500</v>
      </c>
      <c r="CS1081">
        <f>IF($CP1081="refOK",$BQ1081,-$BQ1081)</f>
        <v>47.95918367346939</v>
      </c>
      <c r="CT1081">
        <f>IF(BI1081="Roundwood",$CS1081/2,$CS1081)</f>
        <v>47.95918367346939</v>
      </c>
      <c r="CU1081">
        <f>IF($CP1081="refOK",$BU1081,$BV1081)*IF($BR1081="Emissions positive",-1,1)</f>
        <v>-23000</v>
      </c>
      <c r="CV1081">
        <f>IF($CP1081="refOK",$BV1081,$BU1081)*IF($BR1081="Emissions positive",-1,1)</f>
        <v>-5650</v>
      </c>
      <c r="CW1081">
        <f>IF($CP1081="refNeedCorrection",-BZ1081,BZ1081)*IF($BR1081="Emissions positive",-1,1)</f>
        <v>17.350000000000001</v>
      </c>
      <c r="CX1081">
        <f>IFERROR($CW1081/$CS1081,"")</f>
        <v>0.36176595744680851</v>
      </c>
      <c r="CY1081">
        <f>IFERROR($CW1081/$CS1081,"")</f>
        <v>0.36176595744680851</v>
      </c>
      <c r="CZ1081">
        <f>IFERROR($CW1081/$CT1081,"")</f>
        <v>0.36176595744680851</v>
      </c>
      <c r="DA1081" s="2">
        <f>IFERROR((CV1081-CU1081)/ABS(CU1081),"")</f>
        <v>0.7543478260869565</v>
      </c>
      <c r="DB1081" s="1" t="s">
        <v>347</v>
      </c>
      <c r="DC1081" t="str">
        <f>IF(OR($DB1081="prd",$DB1081="std",$DB1081="cit"),"loc",IF(OR($DB1081="eur",$DB1081="reg",$DB1081="coy"),"reg",$DB1081))</f>
        <v>loc</v>
      </c>
      <c r="DD1081" t="s">
        <v>348</v>
      </c>
      <c r="DE1081">
        <v>2014</v>
      </c>
      <c r="DF1081">
        <v>2114</v>
      </c>
      <c r="DG1081">
        <v>100</v>
      </c>
      <c r="DH1081" t="str">
        <f>IF(DG1081=0,"0",IF(AND(DG1081&gt;=1,DG1081&lt;=30),"1-30",IF(AND(DG1081&gt;30,DG1081&lt;=70),"31-70",IF(AND(DG1081&gt;70,DG1081&lt;=100),"71-100",IF(DG1081&gt;100,"+100")))))</f>
        <v>71-100</v>
      </c>
      <c r="DI1081">
        <v>0</v>
      </c>
      <c r="DJ1081">
        <v>0</v>
      </c>
      <c r="DK1081">
        <v>0</v>
      </c>
      <c r="DL1081">
        <v>1</v>
      </c>
      <c r="DN1081">
        <f>SUM(DI1081:DL1081)</f>
        <v>1</v>
      </c>
      <c r="DO1081" t="str">
        <f>IF(DN1081=1,INDEX($DI$7:$DL$7,MATCH(1,$DI1081:$DL1081,0)),"mixedProduct")</f>
        <v>TimberInput</v>
      </c>
      <c r="DP1081">
        <f>IF(DI1081=1,DP$7,0)</f>
        <v>0</v>
      </c>
      <c r="DQ1081">
        <f>IF(DJ1081=1,DQ$7,0)</f>
        <v>0</v>
      </c>
      <c r="DR1081">
        <f>IF(DK1081=1,DR$7,0)</f>
        <v>0</v>
      </c>
      <c r="DS1081" t="str">
        <f>IF(DL1081=1,DS$7,0)</f>
        <v>Timber</v>
      </c>
      <c r="DT1081">
        <v>0</v>
      </c>
      <c r="DU1081">
        <v>0</v>
      </c>
      <c r="DV1081">
        <v>0</v>
      </c>
      <c r="DW1081">
        <v>0</v>
      </c>
      <c r="DX1081">
        <v>0</v>
      </c>
      <c r="DY1081">
        <f>SUM(DT1081:DU1081)</f>
        <v>0</v>
      </c>
      <c r="DZ1081" s="143" t="str">
        <f>IF(DT1081=1,"self-calculated DF",IF(DU1081=1,"external DF used","explicit C balance"))</f>
        <v>explicit C balance</v>
      </c>
      <c r="EA1081">
        <v>0</v>
      </c>
      <c r="EB1081">
        <v>0</v>
      </c>
      <c r="EC1081">
        <v>0</v>
      </c>
      <c r="ED1081">
        <v>1</v>
      </c>
      <c r="EE1081">
        <v>0</v>
      </c>
      <c r="EF1081" s="143">
        <v>1</v>
      </c>
      <c r="EG1081">
        <v>0</v>
      </c>
      <c r="EH1081">
        <v>1</v>
      </c>
      <c r="EI1081">
        <v>1</v>
      </c>
      <c r="EJ1081">
        <v>1</v>
      </c>
      <c r="EK1081">
        <v>0</v>
      </c>
      <c r="EL1081">
        <v>0</v>
      </c>
      <c r="EM1081">
        <v>0</v>
      </c>
      <c r="EN1081" s="2">
        <v>0</v>
      </c>
      <c r="EP1081" t="str">
        <f>IF(AND(AND(AND(OR($EC1081=1,$EB1081=1),OR($EH1081=1,$EF1081=1)),SUM($EA1081:$EE1081,$EK1081)&gt;=3),SUM($EF1081:$EJ1081)&gt;=2),"Whole sector approach","")</f>
        <v/>
      </c>
      <c r="EQ1081" t="str">
        <f>IF(AND(AND(OR($EC1081=1,$EB1081=1),AND($EH1081=0,$EF1081=0)),SUM($EA1081:$EE1081,$EK1081)&gt;=4),"Ecosystem approach","")</f>
        <v/>
      </c>
      <c r="ER1081" s="2" t="str">
        <f>IF(AND(AND(AND($EC1081=0,$EB1081=0),OR($EH1081=1,$EF1081=1)),SUM($EG1081:$EJ1081)&gt;=2),"Technology approach","")</f>
        <v>Technology approach</v>
      </c>
      <c r="ES1081" t="str">
        <f>IF(AND($EC1081+$EB1081+$EE1081+$EA1081+$ED1081+$EG1081=0,$N1081="included"),"C neutral forest and HWP assumption","")</f>
        <v/>
      </c>
      <c r="ET1081" t="str">
        <f>IF(AND(AND(AND(AND($EC1081=1,$EB1081+$EA1081+$EG1081&gt;=1),$EF1081=1),$EH1081+$EI1081+$ED1081+$EE1081&gt;=2),$N1081="included"),"All C pools assumption","")</f>
        <v/>
      </c>
      <c r="EU1081" t="str">
        <f>IF(AND($ED1081+$EE1081+$EI1081+$EH1081+$EF1081=0,$N1081="included"),"In-situ only assumption","")</f>
        <v/>
      </c>
      <c r="EY1081" t="str">
        <f>IF(ISNUMBER(BW1081),IF(ABS(BW1081-[2]QC_indicators!$B$2)&gt;3*[2]QC_indicators!$C$2,"C ratio",IF(ISNUMBER(CA1081),IF(ABS(CA1081-[2]QC_indicators!$B$1)&gt;3*[2]QC_indicators!$C$1,"DF","no"))),IF(ISNUMBER(CA1081),IF(ABS(CA1081-[2]QC_indicators!$B$1)&gt;3*[2]QC_indicators!$C$1,"DF","no")))</f>
        <v>no</v>
      </c>
      <c r="FA1081" t="str">
        <f>IF(LEN($CY1081)=0,"",IF(AND($CY1081&lt;(-0.05),$ES1081="C neutral forest and HWP assumption"),"Cneutral paradox",IF(AND($CY1081&gt;0.05,$EU1081="In-situ only assumption"),"In-situ only paradox","")))</f>
        <v/>
      </c>
      <c r="FB1081" s="149" t="s">
        <v>349</v>
      </c>
      <c r="FD1081" s="260" t="s">
        <v>2948</v>
      </c>
    </row>
    <row r="1082" spans="1:160" ht="15" hidden="1" customHeight="1">
      <c r="A1082" s="1" t="s">
        <v>333</v>
      </c>
      <c r="B1082" t="s">
        <v>334</v>
      </c>
      <c r="C1082" t="s">
        <v>335</v>
      </c>
      <c r="D1082" t="s">
        <v>336</v>
      </c>
      <c r="E1082" t="s">
        <v>337</v>
      </c>
      <c r="F1082" t="s">
        <v>338</v>
      </c>
      <c r="G1082" t="s">
        <v>339</v>
      </c>
      <c r="I1082">
        <v>2017</v>
      </c>
      <c r="K1082" t="s">
        <v>340</v>
      </c>
      <c r="M1082" t="str">
        <f>LEFT($D1082,FIND(",",$D1082)-1)&amp;"_"&amp;I1082&amp;L1082</f>
        <v>Balasbaneh_2017</v>
      </c>
      <c r="N1082" t="s">
        <v>222</v>
      </c>
      <c r="O1082" s="140" t="s">
        <v>341</v>
      </c>
      <c r="Q1082" t="s">
        <v>224</v>
      </c>
      <c r="R1082" s="258" t="s">
        <v>223</v>
      </c>
      <c r="S1082" s="1" t="s">
        <v>362</v>
      </c>
      <c r="T1082" t="s">
        <v>361</v>
      </c>
      <c r="U1082" t="s">
        <v>344</v>
      </c>
      <c r="V1082" s="253">
        <v>0</v>
      </c>
      <c r="W1082" s="253">
        <v>0</v>
      </c>
      <c r="X1082">
        <v>0</v>
      </c>
      <c r="Y1082">
        <v>0</v>
      </c>
      <c r="Z1082">
        <v>0</v>
      </c>
      <c r="AA1082">
        <v>0</v>
      </c>
      <c r="AB1082">
        <v>0</v>
      </c>
      <c r="AC1082">
        <v>0</v>
      </c>
      <c r="AD1082">
        <v>0</v>
      </c>
      <c r="AE1082">
        <v>0</v>
      </c>
      <c r="AF1082">
        <v>0</v>
      </c>
      <c r="AG1082">
        <v>0</v>
      </c>
      <c r="AH1082">
        <v>0</v>
      </c>
      <c r="AI1082">
        <v>0</v>
      </c>
      <c r="AJ1082">
        <v>0</v>
      </c>
      <c r="AK1082">
        <v>0</v>
      </c>
      <c r="AL1082">
        <v>0</v>
      </c>
      <c r="AM1082">
        <v>1</v>
      </c>
      <c r="AN1082">
        <v>0</v>
      </c>
      <c r="AO1082">
        <v>0</v>
      </c>
      <c r="AP1082">
        <v>0</v>
      </c>
      <c r="AQ1082">
        <v>0</v>
      </c>
      <c r="AR1082">
        <v>0</v>
      </c>
      <c r="AS1082">
        <v>0</v>
      </c>
      <c r="AT1082">
        <v>0</v>
      </c>
      <c r="AU1082">
        <v>0</v>
      </c>
      <c r="AV1082">
        <v>0</v>
      </c>
      <c r="AW1082">
        <v>0</v>
      </c>
      <c r="AX1082">
        <v>0</v>
      </c>
      <c r="AY1082">
        <v>0</v>
      </c>
      <c r="AZ1082" s="141">
        <f>COUNTIF(X1082:AY1082,"&lt;&gt;0")</f>
        <v>1</v>
      </c>
      <c r="BA1082" s="141">
        <f>COUNTIF(X1082:AN1082,"&lt;&gt;0")</f>
        <v>1</v>
      </c>
      <c r="BB1082">
        <f>COUNTIF(X1082:AE1082,"&lt;&gt;0")</f>
        <v>0</v>
      </c>
      <c r="BC1082">
        <f>COUNTIF(AF1082:AK1082,"&lt;&gt;0")</f>
        <v>0</v>
      </c>
      <c r="BD1082">
        <f>COUNTIF(AL1082:AN1082,"&lt;&gt;0")</f>
        <v>1</v>
      </c>
      <c r="BE1082">
        <f>COUNTIF(AU1082:AY1082,"&lt;&gt;0")</f>
        <v>0</v>
      </c>
      <c r="BF1082">
        <f>COUNTIF(AO1082:AT1082,"&lt;&gt;0")</f>
        <v>0</v>
      </c>
      <c r="BG1082" t="str">
        <f t="array" ref="BG1082">IF(BA1082=1,INDEX($X$7:$AN$7,MATCH(TRUE,INDEX($X1082:$AY1082&lt;&gt;0,),0)),IF(BA1082=0,INDEX($AO$7:$AY$7,MATCH(1,$AO1082:$AY1082,0)),IF(BH1082="Multiple strategies","mixed drivers",IF(BH1082="Supply chain","multiple supply","multiple silviculture"))))</f>
        <v>technologies/design switch</v>
      </c>
      <c r="BH1082" s="2" t="str" cm="1">
        <f t="array" ref="BH1082">IF(COUNTIF(BB1082:BD1082,"&lt;&gt;0")=1,INDEX($X$4:$AY$4,MATCH(TRUE,INDEX($X1082:$AY1082&lt;&gt;0,),0)),IF(COUNTIF(BB1082:BD1082,"&lt;&gt;0")=0,INDEX($AO$4:$AY$4,MATCH(1,$AO1082:$AY1082,0)),"Multiple strategies"))</f>
        <v>Technology</v>
      </c>
      <c r="BI1082" s="1" t="s">
        <v>229</v>
      </c>
      <c r="BJ1082" t="s">
        <v>229</v>
      </c>
      <c r="BK1082" s="260" t="s">
        <v>410</v>
      </c>
      <c r="BL1082" t="s">
        <v>345</v>
      </c>
      <c r="BM1082">
        <v>0</v>
      </c>
      <c r="BN1082">
        <v>23500</v>
      </c>
      <c r="BO1082" s="143"/>
      <c r="BP1082">
        <f>BN1082-BM1082</f>
        <v>23500</v>
      </c>
      <c r="BQ1082" s="143">
        <f>BP1082*kg_to_m3</f>
        <v>47.95918367346939</v>
      </c>
      <c r="BR1082" t="s">
        <v>232</v>
      </c>
      <c r="BS1082" s="260" t="s">
        <v>396</v>
      </c>
      <c r="BT1082" t="s">
        <v>346</v>
      </c>
      <c r="BU1082">
        <v>-23000</v>
      </c>
      <c r="BV1082">
        <v>-5870</v>
      </c>
      <c r="BW1082" s="144">
        <v>0.25521739130434784</v>
      </c>
      <c r="BX1082">
        <f>BV1082-BU1082</f>
        <v>17130</v>
      </c>
      <c r="BZ1082">
        <f>BX1082/1000</f>
        <v>17.13</v>
      </c>
      <c r="CA1082">
        <f>IFERROR(BZ1082/BQ1082,"")</f>
        <v>0.35717872340425527</v>
      </c>
      <c r="CB1082">
        <v>0</v>
      </c>
      <c r="CC1082">
        <v>0</v>
      </c>
      <c r="CD1082">
        <v>0</v>
      </c>
      <c r="CE1082">
        <v>0</v>
      </c>
      <c r="CF1082">
        <v>0</v>
      </c>
      <c r="CG1082">
        <v>0</v>
      </c>
      <c r="CH1082">
        <v>0</v>
      </c>
      <c r="CI1082">
        <v>0</v>
      </c>
      <c r="CJ1082">
        <v>0</v>
      </c>
      <c r="CK1082">
        <v>0</v>
      </c>
      <c r="CL1082">
        <v>0</v>
      </c>
      <c r="CM1082">
        <v>0</v>
      </c>
      <c r="CN1082">
        <v>0</v>
      </c>
      <c r="CO1082">
        <v>0</v>
      </c>
      <c r="CP1082" t="str">
        <f>IF($BN1082&lt;$BM1082,"refNeedCorrection","refOK")</f>
        <v>refOK</v>
      </c>
      <c r="CQ1082">
        <f>IF($CP1082="refNeedCorrection",BN1082,BM1082)</f>
        <v>0</v>
      </c>
      <c r="CR1082">
        <f>IF($CP1082="refNeedCorrection",BM1082,BN1082)</f>
        <v>23500</v>
      </c>
      <c r="CS1082">
        <f>IF($CP1082="refOK",$BQ1082,-$BQ1082)</f>
        <v>47.95918367346939</v>
      </c>
      <c r="CT1082">
        <f>IF(BI1082="Roundwood",$CS1082/2,$CS1082)</f>
        <v>47.95918367346939</v>
      </c>
      <c r="CU1082">
        <f>IF($CP1082="refOK",$BU1082,$BV1082)*IF($BR1082="Emissions positive",-1,1)</f>
        <v>-23000</v>
      </c>
      <c r="CV1082">
        <f>IF($CP1082="refOK",$BV1082,$BU1082)*IF($BR1082="Emissions positive",-1,1)</f>
        <v>-5870</v>
      </c>
      <c r="CW1082">
        <f>IF($CP1082="refNeedCorrection",-BZ1082,BZ1082)*IF($BR1082="Emissions positive",-1,1)</f>
        <v>17.13</v>
      </c>
      <c r="CX1082">
        <f>IFERROR($CW1082/$CS1082,"")</f>
        <v>0.35717872340425527</v>
      </c>
      <c r="CY1082">
        <f>IFERROR($CW1082/$CS1082,"")</f>
        <v>0.35717872340425527</v>
      </c>
      <c r="CZ1082">
        <f>IFERROR($CW1082/$CT1082,"")</f>
        <v>0.35717872340425527</v>
      </c>
      <c r="DA1082" s="2">
        <f>IFERROR((CV1082-CU1082)/ABS(CU1082),"")</f>
        <v>0.74478260869565216</v>
      </c>
      <c r="DB1082" s="1" t="s">
        <v>347</v>
      </c>
      <c r="DC1082" t="str">
        <f>IF(OR($DB1082="prd",$DB1082="std",$DB1082="cit"),"loc",IF(OR($DB1082="eur",$DB1082="reg",$DB1082="coy"),"reg",$DB1082))</f>
        <v>loc</v>
      </c>
      <c r="DD1082" t="s">
        <v>348</v>
      </c>
      <c r="DE1082">
        <v>2014</v>
      </c>
      <c r="DF1082">
        <v>2034</v>
      </c>
      <c r="DG1082">
        <v>20</v>
      </c>
      <c r="DH1082" t="str">
        <f>IF(DG1082=0,"0",IF(AND(DG1082&gt;=1,DG1082&lt;=30),"1-30",IF(AND(DG1082&gt;30,DG1082&lt;=70),"31-70",IF(AND(DG1082&gt;70,DG1082&lt;=100),"71-100",IF(DG1082&gt;100,"+100")))))</f>
        <v>1-30</v>
      </c>
      <c r="DI1082">
        <v>0</v>
      </c>
      <c r="DJ1082">
        <v>0</v>
      </c>
      <c r="DK1082">
        <v>0</v>
      </c>
      <c r="DL1082">
        <v>1</v>
      </c>
      <c r="DN1082">
        <f>SUM(DI1082:DL1082)</f>
        <v>1</v>
      </c>
      <c r="DO1082" t="str">
        <f>IF(DN1082=1,INDEX($DI$7:$DL$7,MATCH(1,$DI1082:$DL1082,0)),"mixedProduct")</f>
        <v>TimberInput</v>
      </c>
      <c r="DP1082">
        <f>IF(DI1082=1,DP$7,0)</f>
        <v>0</v>
      </c>
      <c r="DQ1082">
        <f>IF(DJ1082=1,DQ$7,0)</f>
        <v>0</v>
      </c>
      <c r="DR1082">
        <f>IF(DK1082=1,DR$7,0)</f>
        <v>0</v>
      </c>
      <c r="DS1082" t="str">
        <f>IF(DL1082=1,DS$7,0)</f>
        <v>Timber</v>
      </c>
      <c r="DT1082">
        <v>0</v>
      </c>
      <c r="DU1082">
        <v>0</v>
      </c>
      <c r="DV1082">
        <v>0</v>
      </c>
      <c r="DW1082">
        <v>0</v>
      </c>
      <c r="DX1082">
        <v>0</v>
      </c>
      <c r="DY1082">
        <f>SUM(DT1082:DU1082)</f>
        <v>0</v>
      </c>
      <c r="DZ1082" s="143" t="str">
        <f>IF(DT1082=1,"self-calculated DF",IF(DU1082=1,"external DF used","explicit C balance"))</f>
        <v>explicit C balance</v>
      </c>
      <c r="EA1082">
        <v>0</v>
      </c>
      <c r="EB1082">
        <v>0</v>
      </c>
      <c r="EC1082">
        <v>0</v>
      </c>
      <c r="ED1082">
        <v>1</v>
      </c>
      <c r="EE1082">
        <v>0</v>
      </c>
      <c r="EF1082" s="143">
        <v>1</v>
      </c>
      <c r="EG1082">
        <v>0</v>
      </c>
      <c r="EH1082">
        <v>1</v>
      </c>
      <c r="EI1082">
        <v>1</v>
      </c>
      <c r="EJ1082">
        <v>1</v>
      </c>
      <c r="EK1082">
        <v>0</v>
      </c>
      <c r="EL1082">
        <v>0</v>
      </c>
      <c r="EM1082">
        <v>0</v>
      </c>
      <c r="EN1082" s="2">
        <v>0</v>
      </c>
      <c r="EP1082" t="str">
        <f>IF(AND(AND(AND(OR($EC1082=1,$EB1082=1),OR($EH1082=1,$EF1082=1)),SUM($EA1082:$EE1082,$EK1082)&gt;=3),SUM($EF1082:$EJ1082)&gt;=2),"Whole sector approach","")</f>
        <v/>
      </c>
      <c r="EQ1082" t="str">
        <f>IF(AND(AND(OR($EC1082=1,$EB1082=1),AND($EH1082=0,$EF1082=0)),SUM($EA1082:$EE1082,$EK1082)&gt;=4),"Ecosystem approach","")</f>
        <v/>
      </c>
      <c r="ER1082" s="2" t="str">
        <f>IF(AND(AND(AND($EC1082=0,$EB1082=0),OR($EH1082=1,$EF1082=1)),SUM($EG1082:$EJ1082)&gt;=2),"Technology approach","")</f>
        <v>Technology approach</v>
      </c>
      <c r="ES1082" t="str">
        <f>IF(AND($EC1082+$EB1082+$EE1082+$EA1082+$ED1082+$EG1082=0,$N1082="included"),"C neutral forest and HWP assumption","")</f>
        <v/>
      </c>
      <c r="ET1082" t="str">
        <f>IF(AND(AND(AND(AND($EC1082=1,$EB1082+$EA1082+$EG1082&gt;=1),$EF1082=1),$EH1082+$EI1082+$ED1082+$EE1082&gt;=2),$N1082="included"),"All C pools assumption","")</f>
        <v/>
      </c>
      <c r="EU1082" t="str">
        <f>IF(AND($ED1082+$EE1082+$EI1082+$EH1082+$EF1082=0,$N1082="included"),"In-situ only assumption","")</f>
        <v/>
      </c>
      <c r="EY1082" t="str">
        <f>IF(ISNUMBER(BW1082),IF(ABS(BW1082-[2]QC_indicators!$B$2)&gt;3*[2]QC_indicators!$C$2,"C ratio",IF(ISNUMBER(CA1082),IF(ABS(CA1082-[2]QC_indicators!$B$1)&gt;3*[2]QC_indicators!$C$1,"DF","no"))),IF(ISNUMBER(CA1082),IF(ABS(CA1082-[2]QC_indicators!$B$1)&gt;3*[2]QC_indicators!$C$1,"DF","no")))</f>
        <v>no</v>
      </c>
      <c r="FA1082" t="str">
        <f>IF(LEN($CY1082)=0,"",IF(AND($CY1082&lt;(-0.05),$ES1082="C neutral forest and HWP assumption"),"Cneutral paradox",IF(AND($CY1082&gt;0.05,$EU1082="In-situ only assumption"),"In-situ only paradox","")))</f>
        <v/>
      </c>
      <c r="FB1082" s="149" t="s">
        <v>349</v>
      </c>
      <c r="FD1082" s="260" t="s">
        <v>2948</v>
      </c>
    </row>
    <row r="1083" spans="1:160" hidden="1">
      <c r="A1083" s="1" t="s">
        <v>333</v>
      </c>
      <c r="B1083" t="s">
        <v>334</v>
      </c>
      <c r="C1083" t="s">
        <v>335</v>
      </c>
      <c r="D1083" t="s">
        <v>336</v>
      </c>
      <c r="E1083" t="s">
        <v>337</v>
      </c>
      <c r="F1083" t="s">
        <v>338</v>
      </c>
      <c r="G1083" t="s">
        <v>339</v>
      </c>
      <c r="I1083">
        <v>2017</v>
      </c>
      <c r="K1083" t="s">
        <v>340</v>
      </c>
      <c r="M1083" t="str">
        <f>LEFT($D1083,FIND(",",$D1083)-1)&amp;"_"&amp;I1083&amp;L1083</f>
        <v>Balasbaneh_2017</v>
      </c>
      <c r="N1083" t="s">
        <v>222</v>
      </c>
      <c r="O1083" s="140" t="s">
        <v>341</v>
      </c>
      <c r="Q1083" t="s">
        <v>224</v>
      </c>
      <c r="R1083" s="258" t="s">
        <v>223</v>
      </c>
      <c r="S1083" s="1" t="s">
        <v>360</v>
      </c>
      <c r="T1083" t="s">
        <v>361</v>
      </c>
      <c r="U1083" t="s">
        <v>357</v>
      </c>
      <c r="V1083" s="253">
        <v>0</v>
      </c>
      <c r="W1083" s="253">
        <v>0</v>
      </c>
      <c r="X1083">
        <v>0</v>
      </c>
      <c r="Y1083">
        <v>0</v>
      </c>
      <c r="Z1083">
        <v>0</v>
      </c>
      <c r="AA1083">
        <v>0</v>
      </c>
      <c r="AB1083">
        <v>0</v>
      </c>
      <c r="AC1083">
        <v>0</v>
      </c>
      <c r="AD1083">
        <v>0</v>
      </c>
      <c r="AE1083">
        <v>0</v>
      </c>
      <c r="AF1083">
        <v>0</v>
      </c>
      <c r="AG1083">
        <v>0</v>
      </c>
      <c r="AH1083">
        <v>0</v>
      </c>
      <c r="AI1083">
        <v>0</v>
      </c>
      <c r="AJ1083">
        <v>0</v>
      </c>
      <c r="AK1083">
        <v>0</v>
      </c>
      <c r="AL1083">
        <v>0</v>
      </c>
      <c r="AM1083">
        <v>1</v>
      </c>
      <c r="AN1083">
        <v>0</v>
      </c>
      <c r="AO1083">
        <v>0</v>
      </c>
      <c r="AP1083">
        <v>0</v>
      </c>
      <c r="AQ1083">
        <v>0</v>
      </c>
      <c r="AR1083">
        <v>0</v>
      </c>
      <c r="AS1083">
        <v>0</v>
      </c>
      <c r="AT1083">
        <v>0</v>
      </c>
      <c r="AU1083">
        <v>0</v>
      </c>
      <c r="AV1083">
        <v>0</v>
      </c>
      <c r="AW1083">
        <v>0</v>
      </c>
      <c r="AX1083">
        <v>0</v>
      </c>
      <c r="AY1083">
        <v>0</v>
      </c>
      <c r="AZ1083" s="141">
        <f>COUNTIF(X1083:AY1083,"&lt;&gt;0")</f>
        <v>1</v>
      </c>
      <c r="BA1083" s="141">
        <f>COUNTIF(X1083:AN1083,"&lt;&gt;0")</f>
        <v>1</v>
      </c>
      <c r="BB1083">
        <f>COUNTIF(X1083:AE1083,"&lt;&gt;0")</f>
        <v>0</v>
      </c>
      <c r="BC1083">
        <f>COUNTIF(AF1083:AK1083,"&lt;&gt;0")</f>
        <v>0</v>
      </c>
      <c r="BD1083">
        <f>COUNTIF(AL1083:AN1083,"&lt;&gt;0")</f>
        <v>1</v>
      </c>
      <c r="BE1083">
        <f>COUNTIF(AU1083:AY1083,"&lt;&gt;0")</f>
        <v>0</v>
      </c>
      <c r="BF1083">
        <f>COUNTIF(AO1083:AT1083,"&lt;&gt;0")</f>
        <v>0</v>
      </c>
      <c r="BG1083" t="str">
        <f t="array" ref="BG1083">IF(BA1083=1,INDEX($X$7:$AN$7,MATCH(TRUE,INDEX($X1083:$AY1083&lt;&gt;0,),0)),IF(BA1083=0,INDEX($AO$7:$AY$7,MATCH(1,$AO1083:$AY1083,0)),IF(BH1083="Multiple strategies","mixed drivers",IF(BH1083="Supply chain","multiple supply","multiple silviculture"))))</f>
        <v>technologies/design switch</v>
      </c>
      <c r="BH1083" s="2" t="str" cm="1">
        <f t="array" ref="BH1083">IF(COUNTIF(BB1083:BD1083,"&lt;&gt;0")=1,INDEX($X$4:$AY$4,MATCH(TRUE,INDEX($X1083:$AY1083&lt;&gt;0,),0)),IF(COUNTIF(BB1083:BD1083,"&lt;&gt;0")=0,INDEX($AO$4:$AY$4,MATCH(1,$AO1083:$AY1083,0)),"Multiple strategies"))</f>
        <v>Technology</v>
      </c>
      <c r="BI1083" s="1" t="s">
        <v>229</v>
      </c>
      <c r="BJ1083" t="s">
        <v>229</v>
      </c>
      <c r="BK1083" s="260" t="s">
        <v>410</v>
      </c>
      <c r="BL1083" t="s">
        <v>345</v>
      </c>
      <c r="BM1083">
        <v>0</v>
      </c>
      <c r="BN1083">
        <v>29276</v>
      </c>
      <c r="BO1083" s="143"/>
      <c r="BP1083">
        <f>BN1083-BM1083</f>
        <v>29276</v>
      </c>
      <c r="BQ1083" s="143">
        <f>BP1083*kg_to_m3</f>
        <v>59.746938775510209</v>
      </c>
      <c r="BR1083" t="s">
        <v>232</v>
      </c>
      <c r="BS1083" s="260" t="s">
        <v>396</v>
      </c>
      <c r="BT1083" t="s">
        <v>346</v>
      </c>
      <c r="BU1083">
        <v>-23000</v>
      </c>
      <c r="BV1083">
        <v>-2010</v>
      </c>
      <c r="BW1083" s="144">
        <v>8.739130434782609E-2</v>
      </c>
      <c r="BX1083">
        <f>BV1083-BU1083</f>
        <v>20990</v>
      </c>
      <c r="BZ1083">
        <f>BX1083/1000</f>
        <v>20.99</v>
      </c>
      <c r="CA1083">
        <f>IFERROR(BZ1083/BQ1083,"")</f>
        <v>0.35131507036480386</v>
      </c>
      <c r="CB1083">
        <v>0</v>
      </c>
      <c r="CC1083">
        <v>0</v>
      </c>
      <c r="CD1083">
        <v>0</v>
      </c>
      <c r="CE1083">
        <v>0</v>
      </c>
      <c r="CF1083">
        <v>0</v>
      </c>
      <c r="CG1083">
        <v>0</v>
      </c>
      <c r="CH1083">
        <v>0</v>
      </c>
      <c r="CI1083">
        <v>0</v>
      </c>
      <c r="CJ1083">
        <v>0</v>
      </c>
      <c r="CK1083">
        <v>0</v>
      </c>
      <c r="CL1083">
        <v>0</v>
      </c>
      <c r="CM1083">
        <v>0</v>
      </c>
      <c r="CN1083">
        <v>0</v>
      </c>
      <c r="CO1083">
        <v>0</v>
      </c>
      <c r="CP1083" t="str">
        <f>IF($BN1083&lt;$BM1083,"refNeedCorrection","refOK")</f>
        <v>refOK</v>
      </c>
      <c r="CQ1083">
        <f>IF($CP1083="refNeedCorrection",BN1083,BM1083)</f>
        <v>0</v>
      </c>
      <c r="CR1083">
        <f>IF($CP1083="refNeedCorrection",BM1083,BN1083)</f>
        <v>29276</v>
      </c>
      <c r="CS1083">
        <f>IF($CP1083="refOK",$BQ1083,-$BQ1083)</f>
        <v>59.746938775510209</v>
      </c>
      <c r="CT1083">
        <f>IF(BI1083="Roundwood",$CS1083/2,$CS1083)</f>
        <v>59.746938775510209</v>
      </c>
      <c r="CU1083">
        <f>IF($CP1083="refOK",$BU1083,$BV1083)*IF($BR1083="Emissions positive",-1,1)</f>
        <v>-23000</v>
      </c>
      <c r="CV1083">
        <f>IF($CP1083="refOK",$BV1083,$BU1083)*IF($BR1083="Emissions positive",-1,1)</f>
        <v>-2010</v>
      </c>
      <c r="CW1083">
        <f>IF($CP1083="refNeedCorrection",-BZ1083,BZ1083)*IF($BR1083="Emissions positive",-1,1)</f>
        <v>20.99</v>
      </c>
      <c r="CX1083">
        <f>IFERROR($CW1083/$CS1083,"")</f>
        <v>0.35131507036480386</v>
      </c>
      <c r="CY1083">
        <f>IFERROR($CW1083/$CS1083,"")</f>
        <v>0.35131507036480386</v>
      </c>
      <c r="CZ1083">
        <f>IFERROR($CW1083/$CT1083,"")</f>
        <v>0.35131507036480386</v>
      </c>
      <c r="DA1083" s="2">
        <f>IFERROR((CV1083-CU1083)/ABS(CU1083),"")</f>
        <v>0.91260869565217395</v>
      </c>
      <c r="DB1083" s="1" t="s">
        <v>347</v>
      </c>
      <c r="DC1083" t="str">
        <f>IF(OR($DB1083="prd",$DB1083="std",$DB1083="cit"),"loc",IF(OR($DB1083="eur",$DB1083="reg",$DB1083="coy"),"reg",$DB1083))</f>
        <v>loc</v>
      </c>
      <c r="DD1083" t="s">
        <v>348</v>
      </c>
      <c r="DE1083">
        <v>2014</v>
      </c>
      <c r="DF1083">
        <v>2514</v>
      </c>
      <c r="DG1083">
        <v>500</v>
      </c>
      <c r="DH1083" t="str">
        <f>IF(DG1083=0,"0",IF(AND(DG1083&gt;=1,DG1083&lt;=30),"1-30",IF(AND(DG1083&gt;30,DG1083&lt;=70),"31-70",IF(AND(DG1083&gt;70,DG1083&lt;=100),"71-100",IF(DG1083&gt;100,"+100")))))</f>
        <v>+100</v>
      </c>
      <c r="DI1083">
        <v>0</v>
      </c>
      <c r="DJ1083">
        <v>0</v>
      </c>
      <c r="DK1083">
        <v>0</v>
      </c>
      <c r="DL1083">
        <v>1</v>
      </c>
      <c r="DN1083">
        <f>SUM(DI1083:DL1083)</f>
        <v>1</v>
      </c>
      <c r="DO1083" t="str">
        <f>IF(DN1083=1,INDEX($DI$7:$DL$7,MATCH(1,$DI1083:$DL1083,0)),"mixedProduct")</f>
        <v>TimberInput</v>
      </c>
      <c r="DP1083">
        <f>IF(DI1083=1,DP$7,0)</f>
        <v>0</v>
      </c>
      <c r="DQ1083">
        <f>IF(DJ1083=1,DQ$7,0)</f>
        <v>0</v>
      </c>
      <c r="DR1083">
        <f>IF(DK1083=1,DR$7,0)</f>
        <v>0</v>
      </c>
      <c r="DS1083" t="str">
        <f>IF(DL1083=1,DS$7,0)</f>
        <v>Timber</v>
      </c>
      <c r="DT1083">
        <v>0</v>
      </c>
      <c r="DU1083">
        <v>0</v>
      </c>
      <c r="DV1083">
        <v>0</v>
      </c>
      <c r="DW1083">
        <v>0</v>
      </c>
      <c r="DX1083">
        <v>0</v>
      </c>
      <c r="DY1083">
        <f>SUM(DT1083:DU1083)</f>
        <v>0</v>
      </c>
      <c r="DZ1083" s="143" t="str">
        <f>IF(DT1083=1,"self-calculated DF",IF(DU1083=1,"external DF used","explicit C balance"))</f>
        <v>explicit C balance</v>
      </c>
      <c r="EA1083">
        <v>0</v>
      </c>
      <c r="EB1083">
        <v>0</v>
      </c>
      <c r="EC1083">
        <v>0</v>
      </c>
      <c r="ED1083">
        <v>1</v>
      </c>
      <c r="EE1083">
        <v>0</v>
      </c>
      <c r="EF1083" s="143">
        <v>1</v>
      </c>
      <c r="EG1083">
        <v>0</v>
      </c>
      <c r="EH1083">
        <v>1</v>
      </c>
      <c r="EI1083">
        <v>1</v>
      </c>
      <c r="EJ1083">
        <v>1</v>
      </c>
      <c r="EK1083">
        <v>0</v>
      </c>
      <c r="EL1083">
        <v>0</v>
      </c>
      <c r="EM1083">
        <v>0</v>
      </c>
      <c r="EN1083" s="2">
        <v>0</v>
      </c>
      <c r="EP1083" t="str">
        <f>IF(AND(AND(AND(OR($EC1083=1,$EB1083=1),OR($EH1083=1,$EF1083=1)),SUM($EA1083:$EE1083,$EK1083)&gt;=3),SUM($EF1083:$EJ1083)&gt;=2),"Whole sector approach","")</f>
        <v/>
      </c>
      <c r="EQ1083" t="str">
        <f>IF(AND(AND(OR($EC1083=1,$EB1083=1),AND($EH1083=0,$EF1083=0)),SUM($EA1083:$EE1083,$EK1083)&gt;=4),"Ecosystem approach","")</f>
        <v/>
      </c>
      <c r="ER1083" s="2" t="str">
        <f>IF(AND(AND(AND($EC1083=0,$EB1083=0),OR($EH1083=1,$EF1083=1)),SUM($EG1083:$EJ1083)&gt;=2),"Technology approach","")</f>
        <v>Technology approach</v>
      </c>
      <c r="ES1083" t="str">
        <f>IF(AND($EC1083+$EB1083+$EE1083+$EA1083+$ED1083+$EG1083=0,$N1083="included"),"C neutral forest and HWP assumption","")</f>
        <v/>
      </c>
      <c r="ET1083" t="str">
        <f>IF(AND(AND(AND(AND($EC1083=1,$EB1083+$EA1083+$EG1083&gt;=1),$EF1083=1),$EH1083+$EI1083+$ED1083+$EE1083&gt;=2),$N1083="included"),"All C pools assumption","")</f>
        <v/>
      </c>
      <c r="EU1083" t="str">
        <f>IF(AND($ED1083+$EE1083+$EI1083+$EH1083+$EF1083=0,$N1083="included"),"In-situ only assumption","")</f>
        <v/>
      </c>
      <c r="EY1083" t="str">
        <f>IF(ISNUMBER(BW1083),IF(ABS(BW1083-[2]QC_indicators!$B$2)&gt;3*[2]QC_indicators!$C$2,"C ratio",IF(ISNUMBER(CA1083),IF(ABS(CA1083-[2]QC_indicators!$B$1)&gt;3*[2]QC_indicators!$C$1,"DF","no"))),IF(ISNUMBER(CA1083),IF(ABS(CA1083-[2]QC_indicators!$B$1)&gt;3*[2]QC_indicators!$C$1,"DF","no")))</f>
        <v>no</v>
      </c>
      <c r="FA1083" t="str">
        <f>IF(LEN($CY1083)=0,"",IF(AND($CY1083&lt;(-0.05),$ES1083="C neutral forest and HWP assumption"),"Cneutral paradox",IF(AND($CY1083&gt;0.05,$EU1083="In-situ only assumption"),"In-situ only paradox","")))</f>
        <v/>
      </c>
      <c r="FB1083" s="149" t="s">
        <v>349</v>
      </c>
      <c r="FD1083" s="260" t="s">
        <v>2948</v>
      </c>
    </row>
    <row r="1084" spans="1:160" hidden="1">
      <c r="A1084" s="1" t="s">
        <v>333</v>
      </c>
      <c r="B1084" t="s">
        <v>334</v>
      </c>
      <c r="C1084" t="s">
        <v>335</v>
      </c>
      <c r="D1084" t="s">
        <v>336</v>
      </c>
      <c r="E1084" t="s">
        <v>337</v>
      </c>
      <c r="F1084" t="s">
        <v>338</v>
      </c>
      <c r="G1084" t="s">
        <v>339</v>
      </c>
      <c r="I1084">
        <v>2017</v>
      </c>
      <c r="K1084" t="s">
        <v>340</v>
      </c>
      <c r="M1084" t="str">
        <f>LEFT($D1084,FIND(",",$D1084)-1)&amp;"_"&amp;I1084&amp;L1084</f>
        <v>Balasbaneh_2017</v>
      </c>
      <c r="N1084" t="s">
        <v>222</v>
      </c>
      <c r="O1084" s="140" t="s">
        <v>341</v>
      </c>
      <c r="Q1084" t="s">
        <v>224</v>
      </c>
      <c r="R1084" s="258" t="s">
        <v>223</v>
      </c>
      <c r="S1084" s="1" t="s">
        <v>359</v>
      </c>
      <c r="T1084" t="s">
        <v>343</v>
      </c>
      <c r="U1084" t="s">
        <v>357</v>
      </c>
      <c r="V1084" s="253">
        <v>0</v>
      </c>
      <c r="W1084" s="253">
        <v>0</v>
      </c>
      <c r="X1084">
        <v>0</v>
      </c>
      <c r="Y1084">
        <v>0</v>
      </c>
      <c r="Z1084">
        <v>0</v>
      </c>
      <c r="AA1084">
        <v>0</v>
      </c>
      <c r="AB1084">
        <v>0</v>
      </c>
      <c r="AC1084">
        <v>0</v>
      </c>
      <c r="AD1084">
        <v>0</v>
      </c>
      <c r="AE1084">
        <v>0</v>
      </c>
      <c r="AF1084">
        <v>0</v>
      </c>
      <c r="AG1084">
        <v>0</v>
      </c>
      <c r="AH1084">
        <v>0</v>
      </c>
      <c r="AI1084">
        <v>0</v>
      </c>
      <c r="AJ1084">
        <v>0</v>
      </c>
      <c r="AK1084">
        <v>0</v>
      </c>
      <c r="AL1084">
        <v>0</v>
      </c>
      <c r="AM1084">
        <v>1</v>
      </c>
      <c r="AN1084">
        <v>0</v>
      </c>
      <c r="AO1084">
        <v>0</v>
      </c>
      <c r="AP1084">
        <v>0</v>
      </c>
      <c r="AQ1084">
        <v>0</v>
      </c>
      <c r="AR1084">
        <v>0</v>
      </c>
      <c r="AS1084">
        <v>0</v>
      </c>
      <c r="AT1084">
        <v>0</v>
      </c>
      <c r="AU1084">
        <v>0</v>
      </c>
      <c r="AV1084">
        <v>0</v>
      </c>
      <c r="AW1084">
        <v>0</v>
      </c>
      <c r="AX1084">
        <v>0</v>
      </c>
      <c r="AY1084">
        <v>0</v>
      </c>
      <c r="AZ1084" s="141">
        <f>COUNTIF(X1084:AY1084,"&lt;&gt;0")</f>
        <v>1</v>
      </c>
      <c r="BA1084" s="141">
        <f>COUNTIF(X1084:AN1084,"&lt;&gt;0")</f>
        <v>1</v>
      </c>
      <c r="BB1084">
        <f>COUNTIF(X1084:AE1084,"&lt;&gt;0")</f>
        <v>0</v>
      </c>
      <c r="BC1084">
        <f>COUNTIF(AF1084:AK1084,"&lt;&gt;0")</f>
        <v>0</v>
      </c>
      <c r="BD1084">
        <f>COUNTIF(AL1084:AN1084,"&lt;&gt;0")</f>
        <v>1</v>
      </c>
      <c r="BE1084">
        <f>COUNTIF(AU1084:AY1084,"&lt;&gt;0")</f>
        <v>0</v>
      </c>
      <c r="BF1084">
        <f>COUNTIF(AO1084:AT1084,"&lt;&gt;0")</f>
        <v>0</v>
      </c>
      <c r="BG1084" t="str">
        <f t="array" ref="BG1084">IF(BA1084=1,INDEX($X$7:$AN$7,MATCH(TRUE,INDEX($X1084:$AY1084&lt;&gt;0,),0)),IF(BA1084=0,INDEX($AO$7:$AY$7,MATCH(1,$AO1084:$AY1084,0)),IF(BH1084="Multiple strategies","mixed drivers",IF(BH1084="Supply chain","multiple supply","multiple silviculture"))))</f>
        <v>technologies/design switch</v>
      </c>
      <c r="BH1084" s="2" t="str" cm="1">
        <f t="array" ref="BH1084">IF(COUNTIF(BB1084:BD1084,"&lt;&gt;0")=1,INDEX($X$4:$AY$4,MATCH(TRUE,INDEX($X1084:$AY1084&lt;&gt;0,),0)),IF(COUNTIF(BB1084:BD1084,"&lt;&gt;0")=0,INDEX($AO$4:$AY$4,MATCH(1,$AO1084:$AY1084,0)),"Multiple strategies"))</f>
        <v>Technology</v>
      </c>
      <c r="BI1084" s="1" t="s">
        <v>229</v>
      </c>
      <c r="BJ1084" t="s">
        <v>229</v>
      </c>
      <c r="BK1084" s="260" t="s">
        <v>410</v>
      </c>
      <c r="BL1084" t="s">
        <v>345</v>
      </c>
      <c r="BM1084">
        <v>0</v>
      </c>
      <c r="BN1084">
        <v>29276</v>
      </c>
      <c r="BO1084" s="143"/>
      <c r="BP1084">
        <f>BN1084-BM1084</f>
        <v>29276</v>
      </c>
      <c r="BQ1084" s="143">
        <f>BP1084*kg_to_m3</f>
        <v>59.746938775510209</v>
      </c>
      <c r="BR1084" t="s">
        <v>232</v>
      </c>
      <c r="BS1084" s="260" t="s">
        <v>396</v>
      </c>
      <c r="BT1084" t="s">
        <v>346</v>
      </c>
      <c r="BU1084">
        <v>-12100</v>
      </c>
      <c r="BV1084">
        <v>-2080</v>
      </c>
      <c r="BW1084" s="144">
        <v>0.17190082644628099</v>
      </c>
      <c r="BX1084">
        <f>BV1084-BU1084</f>
        <v>10020</v>
      </c>
      <c r="BZ1084">
        <f>BX1084/1000</f>
        <v>10.02</v>
      </c>
      <c r="CA1084">
        <f>IFERROR(BZ1084/BQ1084,"")</f>
        <v>0.16770733706790544</v>
      </c>
      <c r="CB1084">
        <v>0</v>
      </c>
      <c r="CC1084">
        <v>0</v>
      </c>
      <c r="CD1084">
        <v>0</v>
      </c>
      <c r="CE1084">
        <v>0</v>
      </c>
      <c r="CF1084">
        <v>0</v>
      </c>
      <c r="CG1084">
        <v>0</v>
      </c>
      <c r="CH1084">
        <v>0</v>
      </c>
      <c r="CI1084">
        <v>0</v>
      </c>
      <c r="CJ1084">
        <v>0</v>
      </c>
      <c r="CK1084">
        <v>0</v>
      </c>
      <c r="CL1084">
        <v>0</v>
      </c>
      <c r="CM1084">
        <v>0</v>
      </c>
      <c r="CN1084">
        <v>0</v>
      </c>
      <c r="CO1084">
        <v>0</v>
      </c>
      <c r="CP1084" t="str">
        <f>IF($BN1084&lt;$BM1084,"refNeedCorrection","refOK")</f>
        <v>refOK</v>
      </c>
      <c r="CQ1084">
        <f>IF($CP1084="refNeedCorrection",BN1084,BM1084)</f>
        <v>0</v>
      </c>
      <c r="CR1084">
        <f>IF($CP1084="refNeedCorrection",BM1084,BN1084)</f>
        <v>29276</v>
      </c>
      <c r="CS1084">
        <f>IF($CP1084="refOK",$BQ1084,-$BQ1084)</f>
        <v>59.746938775510209</v>
      </c>
      <c r="CT1084">
        <f>IF(BI1084="Roundwood",$CS1084/2,$CS1084)</f>
        <v>59.746938775510209</v>
      </c>
      <c r="CU1084">
        <f>IF($CP1084="refOK",$BU1084,$BV1084)*IF($BR1084="Emissions positive",-1,1)</f>
        <v>-12100</v>
      </c>
      <c r="CV1084">
        <f>IF($CP1084="refOK",$BV1084,$BU1084)*IF($BR1084="Emissions positive",-1,1)</f>
        <v>-2080</v>
      </c>
      <c r="CW1084">
        <f>IF($CP1084="refNeedCorrection",-BZ1084,BZ1084)*IF($BR1084="Emissions positive",-1,1)</f>
        <v>10.02</v>
      </c>
      <c r="CX1084">
        <f>IFERROR($CW1084/$CS1084,"")</f>
        <v>0.16770733706790544</v>
      </c>
      <c r="CY1084">
        <f>IFERROR($CW1084/$CS1084,"")</f>
        <v>0.16770733706790544</v>
      </c>
      <c r="CZ1084">
        <f>IFERROR($CW1084/$CT1084,"")</f>
        <v>0.16770733706790544</v>
      </c>
      <c r="DA1084" s="2">
        <f>IFERROR((CV1084-CU1084)/ABS(CU1084),"")</f>
        <v>0.82809917355371898</v>
      </c>
      <c r="DB1084" s="1" t="s">
        <v>347</v>
      </c>
      <c r="DC1084" t="str">
        <f>IF(OR($DB1084="prd",$DB1084="std",$DB1084="cit"),"loc",IF(OR($DB1084="eur",$DB1084="reg",$DB1084="coy"),"reg",$DB1084))</f>
        <v>loc</v>
      </c>
      <c r="DD1084" t="s">
        <v>348</v>
      </c>
      <c r="DE1084">
        <v>2014</v>
      </c>
      <c r="DF1084">
        <v>2514</v>
      </c>
      <c r="DG1084">
        <v>500</v>
      </c>
      <c r="DH1084" t="str">
        <f>IF(DG1084=0,"0",IF(AND(DG1084&gt;=1,DG1084&lt;=30),"1-30",IF(AND(DG1084&gt;30,DG1084&lt;=70),"31-70",IF(AND(DG1084&gt;70,DG1084&lt;=100),"71-100",IF(DG1084&gt;100,"+100")))))</f>
        <v>+100</v>
      </c>
      <c r="DI1084">
        <v>0</v>
      </c>
      <c r="DJ1084">
        <v>0</v>
      </c>
      <c r="DK1084">
        <v>0</v>
      </c>
      <c r="DL1084">
        <v>1</v>
      </c>
      <c r="DN1084">
        <f>SUM(DI1084:DL1084)</f>
        <v>1</v>
      </c>
      <c r="DO1084" t="str">
        <f>IF(DN1084=1,INDEX($DI$7:$DL$7,MATCH(1,$DI1084:$DL1084,0)),"mixedProduct")</f>
        <v>TimberInput</v>
      </c>
      <c r="DP1084">
        <f>IF(DI1084=1,DP$7,0)</f>
        <v>0</v>
      </c>
      <c r="DQ1084">
        <f>IF(DJ1084=1,DQ$7,0)</f>
        <v>0</v>
      </c>
      <c r="DR1084">
        <f>IF(DK1084=1,DR$7,0)</f>
        <v>0</v>
      </c>
      <c r="DS1084" t="str">
        <f>IF(DL1084=1,DS$7,0)</f>
        <v>Timber</v>
      </c>
      <c r="DT1084">
        <v>0</v>
      </c>
      <c r="DU1084">
        <v>0</v>
      </c>
      <c r="DV1084">
        <v>0</v>
      </c>
      <c r="DW1084">
        <v>0</v>
      </c>
      <c r="DX1084">
        <v>0</v>
      </c>
      <c r="DY1084">
        <f>SUM(DT1084:DU1084)</f>
        <v>0</v>
      </c>
      <c r="DZ1084" s="143" t="str">
        <f>IF(DT1084=1,"self-calculated DF",IF(DU1084=1,"external DF used","explicit C balance"))</f>
        <v>explicit C balance</v>
      </c>
      <c r="EA1084">
        <v>0</v>
      </c>
      <c r="EB1084">
        <v>0</v>
      </c>
      <c r="EC1084">
        <v>0</v>
      </c>
      <c r="ED1084">
        <v>1</v>
      </c>
      <c r="EE1084">
        <v>0</v>
      </c>
      <c r="EF1084" s="143">
        <v>1</v>
      </c>
      <c r="EG1084">
        <v>0</v>
      </c>
      <c r="EH1084">
        <v>1</v>
      </c>
      <c r="EI1084">
        <v>1</v>
      </c>
      <c r="EJ1084">
        <v>1</v>
      </c>
      <c r="EK1084">
        <v>0</v>
      </c>
      <c r="EL1084">
        <v>0</v>
      </c>
      <c r="EM1084">
        <v>0</v>
      </c>
      <c r="EN1084" s="2">
        <v>0</v>
      </c>
      <c r="EP1084" t="str">
        <f>IF(AND(AND(AND(OR($EC1084=1,$EB1084=1),OR($EH1084=1,$EF1084=1)),SUM($EA1084:$EE1084,$EK1084)&gt;=3),SUM($EF1084:$EJ1084)&gt;=2),"Whole sector approach","")</f>
        <v/>
      </c>
      <c r="EQ1084" t="str">
        <f>IF(AND(AND(OR($EC1084=1,$EB1084=1),AND($EH1084=0,$EF1084=0)),SUM($EA1084:$EE1084,$EK1084)&gt;=4),"Ecosystem approach","")</f>
        <v/>
      </c>
      <c r="ER1084" s="2" t="str">
        <f>IF(AND(AND(AND($EC1084=0,$EB1084=0),OR($EH1084=1,$EF1084=1)),SUM($EG1084:$EJ1084)&gt;=2),"Technology approach","")</f>
        <v>Technology approach</v>
      </c>
      <c r="ES1084" t="str">
        <f>IF(AND($EC1084+$EB1084+$EE1084+$EA1084+$ED1084+$EG1084=0,$N1084="included"),"C neutral forest and HWP assumption","")</f>
        <v/>
      </c>
      <c r="ET1084" t="str">
        <f>IF(AND(AND(AND(AND($EC1084=1,$EB1084+$EA1084+$EG1084&gt;=1),$EF1084=1),$EH1084+$EI1084+$ED1084+$EE1084&gt;=2),$N1084="included"),"All C pools assumption","")</f>
        <v/>
      </c>
      <c r="EU1084" t="str">
        <f>IF(AND($ED1084+$EE1084+$EI1084+$EH1084+$EF1084=0,$N1084="included"),"In-situ only assumption","")</f>
        <v/>
      </c>
      <c r="EY1084" t="str">
        <f>IF(ISNUMBER(BW1084),IF(ABS(BW1084-[2]QC_indicators!$B$2)&gt;3*[2]QC_indicators!$C$2,"C ratio",IF(ISNUMBER(CA1084),IF(ABS(CA1084-[2]QC_indicators!$B$1)&gt;3*[2]QC_indicators!$C$1,"DF","no"))),IF(ISNUMBER(CA1084),IF(ABS(CA1084-[2]QC_indicators!$B$1)&gt;3*[2]QC_indicators!$C$1,"DF","no")))</f>
        <v>no</v>
      </c>
      <c r="FA1084" t="str">
        <f>IF(LEN($CY1084)=0,"",IF(AND($CY1084&lt;(-0.05),$ES1084="C neutral forest and HWP assumption"),"Cneutral paradox",IF(AND($CY1084&gt;0.05,$EU1084="In-situ only assumption"),"In-situ only paradox","")))</f>
        <v/>
      </c>
      <c r="FB1084" s="149" t="s">
        <v>349</v>
      </c>
      <c r="FD1084" s="260" t="s">
        <v>2948</v>
      </c>
    </row>
    <row r="1085" spans="1:160" ht="15" hidden="1" customHeight="1">
      <c r="A1085" s="1" t="s">
        <v>333</v>
      </c>
      <c r="B1085" t="s">
        <v>334</v>
      </c>
      <c r="C1085" t="s">
        <v>335</v>
      </c>
      <c r="D1085" t="s">
        <v>336</v>
      </c>
      <c r="E1085" t="s">
        <v>337</v>
      </c>
      <c r="F1085" t="s">
        <v>338</v>
      </c>
      <c r="G1085" t="s">
        <v>339</v>
      </c>
      <c r="I1085">
        <v>2017</v>
      </c>
      <c r="K1085" t="s">
        <v>340</v>
      </c>
      <c r="M1085" t="str">
        <f>LEFT($D1085,FIND(",",$D1085)-1)&amp;"_"&amp;I1085&amp;L1085</f>
        <v>Balasbaneh_2017</v>
      </c>
      <c r="N1085" t="s">
        <v>222</v>
      </c>
      <c r="O1085" s="140" t="s">
        <v>341</v>
      </c>
      <c r="Q1085" t="s">
        <v>224</v>
      </c>
      <c r="R1085" s="258" t="s">
        <v>223</v>
      </c>
      <c r="S1085" s="1" t="s">
        <v>358</v>
      </c>
      <c r="T1085" t="s">
        <v>343</v>
      </c>
      <c r="U1085" t="s">
        <v>357</v>
      </c>
      <c r="V1085" s="253">
        <v>0</v>
      </c>
      <c r="W1085" s="253">
        <v>0</v>
      </c>
      <c r="X1085">
        <v>0</v>
      </c>
      <c r="Y1085">
        <v>0</v>
      </c>
      <c r="Z1085">
        <v>0</v>
      </c>
      <c r="AA1085">
        <v>0</v>
      </c>
      <c r="AB1085">
        <v>0</v>
      </c>
      <c r="AC1085">
        <v>0</v>
      </c>
      <c r="AD1085">
        <v>0</v>
      </c>
      <c r="AE1085">
        <v>0</v>
      </c>
      <c r="AF1085">
        <v>0</v>
      </c>
      <c r="AG1085">
        <v>0</v>
      </c>
      <c r="AH1085">
        <v>0</v>
      </c>
      <c r="AI1085">
        <v>0</v>
      </c>
      <c r="AJ1085">
        <v>0</v>
      </c>
      <c r="AK1085">
        <v>0</v>
      </c>
      <c r="AL1085">
        <v>0</v>
      </c>
      <c r="AM1085">
        <v>1</v>
      </c>
      <c r="AN1085">
        <v>0</v>
      </c>
      <c r="AO1085">
        <v>0</v>
      </c>
      <c r="AP1085">
        <v>0</v>
      </c>
      <c r="AQ1085">
        <v>0</v>
      </c>
      <c r="AR1085">
        <v>0</v>
      </c>
      <c r="AS1085">
        <v>0</v>
      </c>
      <c r="AT1085">
        <v>0</v>
      </c>
      <c r="AU1085">
        <v>0</v>
      </c>
      <c r="AV1085">
        <v>0</v>
      </c>
      <c r="AW1085">
        <v>0</v>
      </c>
      <c r="AX1085">
        <v>0</v>
      </c>
      <c r="AY1085">
        <v>0</v>
      </c>
      <c r="AZ1085" s="141">
        <f>COUNTIF(X1085:AY1085,"&lt;&gt;0")</f>
        <v>1</v>
      </c>
      <c r="BA1085" s="141">
        <f>COUNTIF(X1085:AN1085,"&lt;&gt;0")</f>
        <v>1</v>
      </c>
      <c r="BB1085">
        <f>COUNTIF(X1085:AE1085,"&lt;&gt;0")</f>
        <v>0</v>
      </c>
      <c r="BC1085">
        <f>COUNTIF(AF1085:AK1085,"&lt;&gt;0")</f>
        <v>0</v>
      </c>
      <c r="BD1085">
        <f>COUNTIF(AL1085:AN1085,"&lt;&gt;0")</f>
        <v>1</v>
      </c>
      <c r="BE1085">
        <f>COUNTIF(AU1085:AY1085,"&lt;&gt;0")</f>
        <v>0</v>
      </c>
      <c r="BF1085">
        <f>COUNTIF(AO1085:AT1085,"&lt;&gt;0")</f>
        <v>0</v>
      </c>
      <c r="BG1085" t="str">
        <f t="array" ref="BG1085">IF(BA1085=1,INDEX($X$7:$AN$7,MATCH(TRUE,INDEX($X1085:$AY1085&lt;&gt;0,),0)),IF(BA1085=0,INDEX($AO$7:$AY$7,MATCH(1,$AO1085:$AY1085,0)),IF(BH1085="Multiple strategies","mixed drivers",IF(BH1085="Supply chain","multiple supply","multiple silviculture"))))</f>
        <v>technologies/design switch</v>
      </c>
      <c r="BH1085" s="2" t="str" cm="1">
        <f t="array" ref="BH1085">IF(COUNTIF(BB1085:BD1085,"&lt;&gt;0")=1,INDEX($X$4:$AY$4,MATCH(TRUE,INDEX($X1085:$AY1085&lt;&gt;0,),0)),IF(COUNTIF(BB1085:BD1085,"&lt;&gt;0")=0,INDEX($AO$4:$AY$4,MATCH(1,$AO1085:$AY1085,0)),"Multiple strategies"))</f>
        <v>Technology</v>
      </c>
      <c r="BI1085" s="1" t="s">
        <v>229</v>
      </c>
      <c r="BJ1085" t="s">
        <v>229</v>
      </c>
      <c r="BK1085" s="260" t="s">
        <v>410</v>
      </c>
      <c r="BL1085" t="s">
        <v>345</v>
      </c>
      <c r="BM1085">
        <v>0</v>
      </c>
      <c r="BN1085">
        <v>29276</v>
      </c>
      <c r="BO1085" s="143"/>
      <c r="BP1085">
        <f>BN1085-BM1085</f>
        <v>29276</v>
      </c>
      <c r="BQ1085" s="143">
        <f>BP1085*kg_to_m3</f>
        <v>59.746938775510209</v>
      </c>
      <c r="BR1085" t="s">
        <v>232</v>
      </c>
      <c r="BS1085" s="260" t="s">
        <v>396</v>
      </c>
      <c r="BT1085" t="s">
        <v>346</v>
      </c>
      <c r="BU1085">
        <v>-11900</v>
      </c>
      <c r="BV1085">
        <v>-2040</v>
      </c>
      <c r="BW1085" s="144">
        <v>0.17142857142857143</v>
      </c>
      <c r="BX1085">
        <f>BV1085-BU1085</f>
        <v>9860</v>
      </c>
      <c r="BZ1085">
        <f>BX1085/1000</f>
        <v>9.86</v>
      </c>
      <c r="CA1085">
        <f>IFERROR(BZ1085/BQ1085,"")</f>
        <v>0.16502937559775924</v>
      </c>
      <c r="CB1085">
        <v>0</v>
      </c>
      <c r="CC1085">
        <v>0</v>
      </c>
      <c r="CD1085">
        <v>0</v>
      </c>
      <c r="CE1085">
        <v>0</v>
      </c>
      <c r="CF1085">
        <v>0</v>
      </c>
      <c r="CG1085">
        <v>0</v>
      </c>
      <c r="CH1085">
        <v>0</v>
      </c>
      <c r="CI1085">
        <v>0</v>
      </c>
      <c r="CJ1085">
        <v>0</v>
      </c>
      <c r="CK1085">
        <v>0</v>
      </c>
      <c r="CL1085">
        <v>0</v>
      </c>
      <c r="CM1085">
        <v>0</v>
      </c>
      <c r="CN1085">
        <v>0</v>
      </c>
      <c r="CO1085">
        <v>0</v>
      </c>
      <c r="CP1085" t="str">
        <f>IF($BN1085&lt;$BM1085,"refNeedCorrection","refOK")</f>
        <v>refOK</v>
      </c>
      <c r="CQ1085">
        <f>IF($CP1085="refNeedCorrection",BN1085,BM1085)</f>
        <v>0</v>
      </c>
      <c r="CR1085">
        <f>IF($CP1085="refNeedCorrection",BM1085,BN1085)</f>
        <v>29276</v>
      </c>
      <c r="CS1085">
        <f>IF($CP1085="refOK",$BQ1085,-$BQ1085)</f>
        <v>59.746938775510209</v>
      </c>
      <c r="CT1085">
        <f>IF(BI1085="Roundwood",$CS1085/2,$CS1085)</f>
        <v>59.746938775510209</v>
      </c>
      <c r="CU1085">
        <f>IF($CP1085="refOK",$BU1085,$BV1085)*IF($BR1085="Emissions positive",-1,1)</f>
        <v>-11900</v>
      </c>
      <c r="CV1085">
        <f>IF($CP1085="refOK",$BV1085,$BU1085)*IF($BR1085="Emissions positive",-1,1)</f>
        <v>-2040</v>
      </c>
      <c r="CW1085">
        <f>IF($CP1085="refNeedCorrection",-BZ1085,BZ1085)*IF($BR1085="Emissions positive",-1,1)</f>
        <v>9.86</v>
      </c>
      <c r="CX1085">
        <f>IFERROR($CW1085/$CS1085,"")</f>
        <v>0.16502937559775924</v>
      </c>
      <c r="CY1085">
        <f>IFERROR($CW1085/$CS1085,"")</f>
        <v>0.16502937559775924</v>
      </c>
      <c r="CZ1085">
        <f>IFERROR($CW1085/$CT1085,"")</f>
        <v>0.16502937559775924</v>
      </c>
      <c r="DA1085" s="2">
        <f>IFERROR((CV1085-CU1085)/ABS(CU1085),"")</f>
        <v>0.82857142857142863</v>
      </c>
      <c r="DB1085" s="1" t="s">
        <v>347</v>
      </c>
      <c r="DC1085" t="str">
        <f>IF(OR($DB1085="prd",$DB1085="std",$DB1085="cit"),"loc",IF(OR($DB1085="eur",$DB1085="reg",$DB1085="coy"),"reg",$DB1085))</f>
        <v>loc</v>
      </c>
      <c r="DD1085" t="s">
        <v>348</v>
      </c>
      <c r="DE1085">
        <v>2014</v>
      </c>
      <c r="DF1085">
        <v>2514</v>
      </c>
      <c r="DG1085">
        <v>500</v>
      </c>
      <c r="DH1085" t="str">
        <f>IF(DG1085=0,"0",IF(AND(DG1085&gt;=1,DG1085&lt;=30),"1-30",IF(AND(DG1085&gt;30,DG1085&lt;=70),"31-70",IF(AND(DG1085&gt;70,DG1085&lt;=100),"71-100",IF(DG1085&gt;100,"+100")))))</f>
        <v>+100</v>
      </c>
      <c r="DI1085">
        <v>0</v>
      </c>
      <c r="DJ1085">
        <v>0</v>
      </c>
      <c r="DK1085">
        <v>0</v>
      </c>
      <c r="DL1085">
        <v>1</v>
      </c>
      <c r="DN1085">
        <f>SUM(DI1085:DL1085)</f>
        <v>1</v>
      </c>
      <c r="DO1085" t="str">
        <f>IF(DN1085=1,INDEX($DI$7:$DL$7,MATCH(1,$DI1085:$DL1085,0)),"mixedProduct")</f>
        <v>TimberInput</v>
      </c>
      <c r="DP1085">
        <f>IF(DI1085=1,DP$7,0)</f>
        <v>0</v>
      </c>
      <c r="DQ1085">
        <f>IF(DJ1085=1,DQ$7,0)</f>
        <v>0</v>
      </c>
      <c r="DR1085">
        <f>IF(DK1085=1,DR$7,0)</f>
        <v>0</v>
      </c>
      <c r="DS1085" t="str">
        <f>IF(DL1085=1,DS$7,0)</f>
        <v>Timber</v>
      </c>
      <c r="DT1085">
        <v>0</v>
      </c>
      <c r="DU1085">
        <v>0</v>
      </c>
      <c r="DV1085">
        <v>0</v>
      </c>
      <c r="DW1085">
        <v>0</v>
      </c>
      <c r="DX1085">
        <v>0</v>
      </c>
      <c r="DY1085">
        <f>SUM(DT1085:DU1085)</f>
        <v>0</v>
      </c>
      <c r="DZ1085" s="143" t="str">
        <f>IF(DT1085=1,"self-calculated DF",IF(DU1085=1,"external DF used","explicit C balance"))</f>
        <v>explicit C balance</v>
      </c>
      <c r="EA1085">
        <v>0</v>
      </c>
      <c r="EB1085">
        <v>0</v>
      </c>
      <c r="EC1085">
        <v>0</v>
      </c>
      <c r="ED1085">
        <v>1</v>
      </c>
      <c r="EE1085">
        <v>0</v>
      </c>
      <c r="EF1085" s="143">
        <v>1</v>
      </c>
      <c r="EG1085">
        <v>0</v>
      </c>
      <c r="EH1085">
        <v>1</v>
      </c>
      <c r="EI1085">
        <v>1</v>
      </c>
      <c r="EJ1085">
        <v>1</v>
      </c>
      <c r="EK1085">
        <v>0</v>
      </c>
      <c r="EL1085">
        <v>0</v>
      </c>
      <c r="EM1085">
        <v>0</v>
      </c>
      <c r="EN1085" s="2">
        <v>0</v>
      </c>
      <c r="EP1085" t="str">
        <f>IF(AND(AND(AND(OR($EC1085=1,$EB1085=1),OR($EH1085=1,$EF1085=1)),SUM($EA1085:$EE1085,$EK1085)&gt;=3),SUM($EF1085:$EJ1085)&gt;=2),"Whole sector approach","")</f>
        <v/>
      </c>
      <c r="EQ1085" t="str">
        <f>IF(AND(AND(OR($EC1085=1,$EB1085=1),AND($EH1085=0,$EF1085=0)),SUM($EA1085:$EE1085,$EK1085)&gt;=4),"Ecosystem approach","")</f>
        <v/>
      </c>
      <c r="ER1085" s="2" t="str">
        <f>IF(AND(AND(AND($EC1085=0,$EB1085=0),OR($EH1085=1,$EF1085=1)),SUM($EG1085:$EJ1085)&gt;=2),"Technology approach","")</f>
        <v>Technology approach</v>
      </c>
      <c r="ES1085" t="str">
        <f>IF(AND($EC1085+$EB1085+$EE1085+$EA1085+$ED1085+$EG1085=0,$N1085="included"),"C neutral forest and HWP assumption","")</f>
        <v/>
      </c>
      <c r="ET1085" t="str">
        <f>IF(AND(AND(AND(AND($EC1085=1,$EB1085+$EA1085+$EG1085&gt;=1),$EF1085=1),$EH1085+$EI1085+$ED1085+$EE1085&gt;=2),$N1085="included"),"All C pools assumption","")</f>
        <v/>
      </c>
      <c r="EU1085" t="str">
        <f>IF(AND($ED1085+$EE1085+$EI1085+$EH1085+$EF1085=0,$N1085="included"),"In-situ only assumption","")</f>
        <v/>
      </c>
      <c r="EY1085" t="str">
        <f>IF(ISNUMBER(BW1085),IF(ABS(BW1085-[2]QC_indicators!$B$2)&gt;3*[2]QC_indicators!$C$2,"C ratio",IF(ISNUMBER(CA1085),IF(ABS(CA1085-[2]QC_indicators!$B$1)&gt;3*[2]QC_indicators!$C$1,"DF","no"))),IF(ISNUMBER(CA1085),IF(ABS(CA1085-[2]QC_indicators!$B$1)&gt;3*[2]QC_indicators!$C$1,"DF","no")))</f>
        <v>no</v>
      </c>
      <c r="FA1085" t="str">
        <f>IF(LEN($CY1085)=0,"",IF(AND($CY1085&lt;(-0.05),$ES1085="C neutral forest and HWP assumption"),"Cneutral paradox",IF(AND($CY1085&gt;0.05,$EU1085="In-situ only assumption"),"In-situ only paradox","")))</f>
        <v/>
      </c>
      <c r="FB1085" s="149" t="s">
        <v>349</v>
      </c>
      <c r="FD1085" s="260" t="s">
        <v>2948</v>
      </c>
    </row>
    <row r="1086" spans="1:160" ht="15" hidden="1" customHeight="1">
      <c r="A1086" s="1" t="s">
        <v>333</v>
      </c>
      <c r="B1086" t="s">
        <v>334</v>
      </c>
      <c r="C1086" t="s">
        <v>335</v>
      </c>
      <c r="D1086" t="s">
        <v>336</v>
      </c>
      <c r="E1086" t="s">
        <v>337</v>
      </c>
      <c r="F1086" t="s">
        <v>338</v>
      </c>
      <c r="G1086" t="s">
        <v>339</v>
      </c>
      <c r="I1086">
        <v>2017</v>
      </c>
      <c r="K1086" t="s">
        <v>340</v>
      </c>
      <c r="M1086" t="str">
        <f>LEFT($D1086,FIND(",",$D1086)-1)&amp;"_"&amp;I1086&amp;L1086</f>
        <v>Balasbaneh_2017</v>
      </c>
      <c r="N1086" t="s">
        <v>222</v>
      </c>
      <c r="O1086" s="140" t="s">
        <v>341</v>
      </c>
      <c r="Q1086" t="s">
        <v>224</v>
      </c>
      <c r="R1086" s="258" t="s">
        <v>223</v>
      </c>
      <c r="S1086" s="1" t="s">
        <v>356</v>
      </c>
      <c r="T1086" t="s">
        <v>343</v>
      </c>
      <c r="U1086" t="s">
        <v>357</v>
      </c>
      <c r="V1086" s="253">
        <v>0</v>
      </c>
      <c r="W1086" s="253">
        <v>0</v>
      </c>
      <c r="X1086">
        <v>0</v>
      </c>
      <c r="Y1086">
        <v>0</v>
      </c>
      <c r="Z1086">
        <v>0</v>
      </c>
      <c r="AA1086">
        <v>0</v>
      </c>
      <c r="AB1086">
        <v>0</v>
      </c>
      <c r="AC1086">
        <v>0</v>
      </c>
      <c r="AD1086">
        <v>0</v>
      </c>
      <c r="AE1086">
        <v>0</v>
      </c>
      <c r="AF1086">
        <v>0</v>
      </c>
      <c r="AG1086">
        <v>0</v>
      </c>
      <c r="AH1086">
        <v>0</v>
      </c>
      <c r="AI1086">
        <v>0</v>
      </c>
      <c r="AJ1086">
        <v>0</v>
      </c>
      <c r="AK1086">
        <v>0</v>
      </c>
      <c r="AL1086">
        <v>0</v>
      </c>
      <c r="AM1086">
        <v>1</v>
      </c>
      <c r="AN1086">
        <v>0</v>
      </c>
      <c r="AO1086">
        <v>0</v>
      </c>
      <c r="AP1086">
        <v>0</v>
      </c>
      <c r="AQ1086">
        <v>0</v>
      </c>
      <c r="AR1086">
        <v>0</v>
      </c>
      <c r="AS1086">
        <v>0</v>
      </c>
      <c r="AT1086">
        <v>0</v>
      </c>
      <c r="AU1086">
        <v>0</v>
      </c>
      <c r="AV1086">
        <v>0</v>
      </c>
      <c r="AW1086">
        <v>0</v>
      </c>
      <c r="AX1086">
        <v>0</v>
      </c>
      <c r="AY1086">
        <v>0</v>
      </c>
      <c r="AZ1086" s="141">
        <f>COUNTIF(X1086:AY1086,"&lt;&gt;0")</f>
        <v>1</v>
      </c>
      <c r="BA1086" s="141">
        <f>COUNTIF(X1086:AN1086,"&lt;&gt;0")</f>
        <v>1</v>
      </c>
      <c r="BB1086">
        <f>COUNTIF(X1086:AE1086,"&lt;&gt;0")</f>
        <v>0</v>
      </c>
      <c r="BC1086">
        <f>COUNTIF(AF1086:AK1086,"&lt;&gt;0")</f>
        <v>0</v>
      </c>
      <c r="BD1086">
        <f>COUNTIF(AL1086:AN1086,"&lt;&gt;0")</f>
        <v>1</v>
      </c>
      <c r="BE1086">
        <f>COUNTIF(AU1086:AY1086,"&lt;&gt;0")</f>
        <v>0</v>
      </c>
      <c r="BF1086">
        <f>COUNTIF(AO1086:AT1086,"&lt;&gt;0")</f>
        <v>0</v>
      </c>
      <c r="BG1086" t="str">
        <f t="array" ref="BG1086">IF(BA1086=1,INDEX($X$7:$AN$7,MATCH(TRUE,INDEX($X1086:$AY1086&lt;&gt;0,),0)),IF(BA1086=0,INDEX($AO$7:$AY$7,MATCH(1,$AO1086:$AY1086,0)),IF(BH1086="Multiple strategies","mixed drivers",IF(BH1086="Supply chain","multiple supply","multiple silviculture"))))</f>
        <v>technologies/design switch</v>
      </c>
      <c r="BH1086" s="2" t="str" cm="1">
        <f t="array" ref="BH1086">IF(COUNTIF(BB1086:BD1086,"&lt;&gt;0")=1,INDEX($X$4:$AY$4,MATCH(TRUE,INDEX($X1086:$AY1086&lt;&gt;0,),0)),IF(COUNTIF(BB1086:BD1086,"&lt;&gt;0")=0,INDEX($AO$4:$AY$4,MATCH(1,$AO1086:$AY1086,0)),"Multiple strategies"))</f>
        <v>Technology</v>
      </c>
      <c r="BI1086" s="1" t="s">
        <v>229</v>
      </c>
      <c r="BJ1086" t="s">
        <v>229</v>
      </c>
      <c r="BK1086" s="260" t="s">
        <v>410</v>
      </c>
      <c r="BL1086" t="s">
        <v>345</v>
      </c>
      <c r="BM1086">
        <v>0</v>
      </c>
      <c r="BN1086">
        <v>29276</v>
      </c>
      <c r="BO1086" s="143"/>
      <c r="BP1086">
        <f>BN1086-BM1086</f>
        <v>29276</v>
      </c>
      <c r="BQ1086" s="143">
        <f>BP1086*kg_to_m3</f>
        <v>59.746938775510209</v>
      </c>
      <c r="BR1086" t="s">
        <v>232</v>
      </c>
      <c r="BS1086" s="260" t="s">
        <v>396</v>
      </c>
      <c r="BT1086" t="s">
        <v>346</v>
      </c>
      <c r="BU1086">
        <v>-11200</v>
      </c>
      <c r="BV1086">
        <v>-2010</v>
      </c>
      <c r="BW1086" s="144">
        <v>0.17946428571428572</v>
      </c>
      <c r="BX1086">
        <f>BV1086-BU1086</f>
        <v>9190</v>
      </c>
      <c r="BZ1086">
        <f>BX1086/1000</f>
        <v>9.19</v>
      </c>
      <c r="CA1086">
        <f>IFERROR(BZ1086/BQ1086,"")</f>
        <v>0.15381541194152204</v>
      </c>
      <c r="CB1086">
        <v>0</v>
      </c>
      <c r="CC1086">
        <v>0</v>
      </c>
      <c r="CD1086">
        <v>0</v>
      </c>
      <c r="CE1086">
        <v>0</v>
      </c>
      <c r="CF1086">
        <v>0</v>
      </c>
      <c r="CG1086">
        <v>0</v>
      </c>
      <c r="CH1086">
        <v>0</v>
      </c>
      <c r="CI1086">
        <v>0</v>
      </c>
      <c r="CJ1086">
        <v>0</v>
      </c>
      <c r="CK1086">
        <v>0</v>
      </c>
      <c r="CL1086">
        <v>0</v>
      </c>
      <c r="CM1086">
        <v>0</v>
      </c>
      <c r="CN1086">
        <v>0</v>
      </c>
      <c r="CO1086">
        <v>0</v>
      </c>
      <c r="CP1086" t="str">
        <f>IF($BN1086&lt;$BM1086,"refNeedCorrection","refOK")</f>
        <v>refOK</v>
      </c>
      <c r="CQ1086">
        <f>IF($CP1086="refNeedCorrection",BN1086,BM1086)</f>
        <v>0</v>
      </c>
      <c r="CR1086">
        <f>IF($CP1086="refNeedCorrection",BM1086,BN1086)</f>
        <v>29276</v>
      </c>
      <c r="CS1086">
        <f>IF($CP1086="refOK",$BQ1086,-$BQ1086)</f>
        <v>59.746938775510209</v>
      </c>
      <c r="CT1086">
        <f>IF(BI1086="Roundwood",$CS1086/2,$CS1086)</f>
        <v>59.746938775510209</v>
      </c>
      <c r="CU1086">
        <f>IF($CP1086="refOK",$BU1086,$BV1086)*IF($BR1086="Emissions positive",-1,1)</f>
        <v>-11200</v>
      </c>
      <c r="CV1086">
        <f>IF($CP1086="refOK",$BV1086,$BU1086)*IF($BR1086="Emissions positive",-1,1)</f>
        <v>-2010</v>
      </c>
      <c r="CW1086">
        <f>IF($CP1086="refNeedCorrection",-BZ1086,BZ1086)*IF($BR1086="Emissions positive",-1,1)</f>
        <v>9.19</v>
      </c>
      <c r="CX1086">
        <f>IFERROR($CW1086/$CS1086,"")</f>
        <v>0.15381541194152204</v>
      </c>
      <c r="CY1086">
        <f>IFERROR($CW1086/$CS1086,"")</f>
        <v>0.15381541194152204</v>
      </c>
      <c r="CZ1086">
        <f>IFERROR($CW1086/$CT1086,"")</f>
        <v>0.15381541194152204</v>
      </c>
      <c r="DA1086" s="2">
        <f>IFERROR((CV1086-CU1086)/ABS(CU1086),"")</f>
        <v>0.82053571428571426</v>
      </c>
      <c r="DB1086" s="1" t="s">
        <v>347</v>
      </c>
      <c r="DC1086" t="str">
        <f>IF(OR($DB1086="prd",$DB1086="std",$DB1086="cit"),"loc",IF(OR($DB1086="eur",$DB1086="reg",$DB1086="coy"),"reg",$DB1086))</f>
        <v>loc</v>
      </c>
      <c r="DD1086" t="s">
        <v>348</v>
      </c>
      <c r="DE1086">
        <v>2014</v>
      </c>
      <c r="DF1086">
        <v>2514</v>
      </c>
      <c r="DG1086">
        <v>500</v>
      </c>
      <c r="DH1086" t="str">
        <f>IF(DG1086=0,"0",IF(AND(DG1086&gt;=1,DG1086&lt;=30),"1-30",IF(AND(DG1086&gt;30,DG1086&lt;=70),"31-70",IF(AND(DG1086&gt;70,DG1086&lt;=100),"71-100",IF(DG1086&gt;100,"+100")))))</f>
        <v>+100</v>
      </c>
      <c r="DI1086">
        <v>0</v>
      </c>
      <c r="DJ1086">
        <v>0</v>
      </c>
      <c r="DK1086">
        <v>0</v>
      </c>
      <c r="DL1086">
        <v>1</v>
      </c>
      <c r="DN1086">
        <f>SUM(DI1086:DL1086)</f>
        <v>1</v>
      </c>
      <c r="DO1086" t="str">
        <f>IF(DN1086=1,INDEX($DI$7:$DL$7,MATCH(1,$DI1086:$DL1086,0)),"mixedProduct")</f>
        <v>TimberInput</v>
      </c>
      <c r="DP1086">
        <f>IF(DI1086=1,DP$7,0)</f>
        <v>0</v>
      </c>
      <c r="DQ1086">
        <f>IF(DJ1086=1,DQ$7,0)</f>
        <v>0</v>
      </c>
      <c r="DR1086">
        <f>IF(DK1086=1,DR$7,0)</f>
        <v>0</v>
      </c>
      <c r="DS1086" t="str">
        <f>IF(DL1086=1,DS$7,0)</f>
        <v>Timber</v>
      </c>
      <c r="DT1086">
        <v>0</v>
      </c>
      <c r="DU1086">
        <v>0</v>
      </c>
      <c r="DV1086">
        <v>0</v>
      </c>
      <c r="DW1086">
        <v>0</v>
      </c>
      <c r="DX1086">
        <v>0</v>
      </c>
      <c r="DY1086">
        <f>SUM(DT1086:DU1086)</f>
        <v>0</v>
      </c>
      <c r="DZ1086" s="143" t="str">
        <f>IF(DT1086=1,"self-calculated DF",IF(DU1086=1,"external DF used","explicit C balance"))</f>
        <v>explicit C balance</v>
      </c>
      <c r="EA1086">
        <v>0</v>
      </c>
      <c r="EB1086">
        <v>0</v>
      </c>
      <c r="EC1086">
        <v>0</v>
      </c>
      <c r="ED1086">
        <v>1</v>
      </c>
      <c r="EE1086">
        <v>0</v>
      </c>
      <c r="EF1086" s="143">
        <v>1</v>
      </c>
      <c r="EG1086">
        <v>0</v>
      </c>
      <c r="EH1086">
        <v>1</v>
      </c>
      <c r="EI1086">
        <v>1</v>
      </c>
      <c r="EJ1086">
        <v>1</v>
      </c>
      <c r="EK1086">
        <v>0</v>
      </c>
      <c r="EL1086">
        <v>0</v>
      </c>
      <c r="EM1086">
        <v>0</v>
      </c>
      <c r="EN1086" s="2">
        <v>0</v>
      </c>
      <c r="EP1086" t="str">
        <f>IF(AND(AND(AND(OR($EC1086=1,$EB1086=1),OR($EH1086=1,$EF1086=1)),SUM($EA1086:$EE1086,$EK1086)&gt;=3),SUM($EF1086:$EJ1086)&gt;=2),"Whole sector approach","")</f>
        <v/>
      </c>
      <c r="EQ1086" t="str">
        <f>IF(AND(AND(OR($EC1086=1,$EB1086=1),AND($EH1086=0,$EF1086=0)),SUM($EA1086:$EE1086,$EK1086)&gt;=4),"Ecosystem approach","")</f>
        <v/>
      </c>
      <c r="ER1086" s="2" t="str">
        <f>IF(AND(AND(AND($EC1086=0,$EB1086=0),OR($EH1086=1,$EF1086=1)),SUM($EG1086:$EJ1086)&gt;=2),"Technology approach","")</f>
        <v>Technology approach</v>
      </c>
      <c r="ES1086" t="str">
        <f>IF(AND($EC1086+$EB1086+$EE1086+$EA1086+$ED1086+$EG1086=0,$N1086="included"),"C neutral forest and HWP assumption","")</f>
        <v/>
      </c>
      <c r="ET1086" t="str">
        <f>IF(AND(AND(AND(AND($EC1086=1,$EB1086+$EA1086+$EG1086&gt;=1),$EF1086=1),$EH1086+$EI1086+$ED1086+$EE1086&gt;=2),$N1086="included"),"All C pools assumption","")</f>
        <v/>
      </c>
      <c r="EU1086" t="str">
        <f>IF(AND($ED1086+$EE1086+$EI1086+$EH1086+$EF1086=0,$N1086="included"),"In-situ only assumption","")</f>
        <v/>
      </c>
      <c r="EY1086" t="str">
        <f>IF(ISNUMBER(BW1086),IF(ABS(BW1086-[2]QC_indicators!$B$2)&gt;3*[2]QC_indicators!$C$2,"C ratio",IF(ISNUMBER(CA1086),IF(ABS(CA1086-[2]QC_indicators!$B$1)&gt;3*[2]QC_indicators!$C$1,"DF","no"))),IF(ISNUMBER(CA1086),IF(ABS(CA1086-[2]QC_indicators!$B$1)&gt;3*[2]QC_indicators!$C$1,"DF","no")))</f>
        <v>no</v>
      </c>
      <c r="FA1086" t="str">
        <f>IF(LEN($CY1086)=0,"",IF(AND($CY1086&lt;(-0.05),$ES1086="C neutral forest and HWP assumption"),"Cneutral paradox",IF(AND($CY1086&gt;0.05,$EU1086="In-situ only assumption"),"In-situ only paradox","")))</f>
        <v/>
      </c>
      <c r="FB1086" s="149" t="s">
        <v>349</v>
      </c>
      <c r="FD1086" s="260" t="s">
        <v>2948</v>
      </c>
    </row>
    <row r="1087" spans="1:160" ht="15" hidden="1" customHeight="1">
      <c r="A1087" s="1" t="s">
        <v>333</v>
      </c>
      <c r="B1087" t="s">
        <v>334</v>
      </c>
      <c r="C1087" t="s">
        <v>335</v>
      </c>
      <c r="D1087" t="s">
        <v>336</v>
      </c>
      <c r="E1087" t="s">
        <v>337</v>
      </c>
      <c r="F1087" t="s">
        <v>338</v>
      </c>
      <c r="G1087" t="s">
        <v>339</v>
      </c>
      <c r="I1087">
        <v>2017</v>
      </c>
      <c r="K1087" t="s">
        <v>340</v>
      </c>
      <c r="M1087" t="str">
        <f>LEFT($D1087,FIND(",",$D1087)-1)&amp;"_"&amp;I1087&amp;L1087</f>
        <v>Balasbaneh_2017</v>
      </c>
      <c r="N1087" t="s">
        <v>222</v>
      </c>
      <c r="O1087" s="140" t="s">
        <v>341</v>
      </c>
      <c r="Q1087" t="s">
        <v>224</v>
      </c>
      <c r="R1087" s="258" t="s">
        <v>223</v>
      </c>
      <c r="S1087" s="1" t="s">
        <v>355</v>
      </c>
      <c r="T1087" t="s">
        <v>343</v>
      </c>
      <c r="U1087" t="s">
        <v>351</v>
      </c>
      <c r="V1087" s="253">
        <v>0</v>
      </c>
      <c r="W1087" s="253">
        <v>0</v>
      </c>
      <c r="X1087">
        <v>0</v>
      </c>
      <c r="Y1087">
        <v>0</v>
      </c>
      <c r="Z1087">
        <v>0</v>
      </c>
      <c r="AA1087">
        <v>0</v>
      </c>
      <c r="AB1087">
        <v>0</v>
      </c>
      <c r="AC1087">
        <v>0</v>
      </c>
      <c r="AD1087">
        <v>0</v>
      </c>
      <c r="AE1087">
        <v>0</v>
      </c>
      <c r="AF1087">
        <v>0</v>
      </c>
      <c r="AG1087">
        <v>0</v>
      </c>
      <c r="AH1087">
        <v>0</v>
      </c>
      <c r="AI1087">
        <v>0</v>
      </c>
      <c r="AJ1087">
        <v>0</v>
      </c>
      <c r="AK1087">
        <v>0</v>
      </c>
      <c r="AL1087">
        <v>0</v>
      </c>
      <c r="AM1087">
        <v>1</v>
      </c>
      <c r="AN1087">
        <v>0</v>
      </c>
      <c r="AO1087">
        <v>0</v>
      </c>
      <c r="AP1087">
        <v>0</v>
      </c>
      <c r="AQ1087">
        <v>0</v>
      </c>
      <c r="AR1087">
        <v>0</v>
      </c>
      <c r="AS1087">
        <v>0</v>
      </c>
      <c r="AT1087">
        <v>0</v>
      </c>
      <c r="AU1087">
        <v>0</v>
      </c>
      <c r="AV1087">
        <v>0</v>
      </c>
      <c r="AW1087">
        <v>0</v>
      </c>
      <c r="AX1087">
        <v>0</v>
      </c>
      <c r="AY1087">
        <v>0</v>
      </c>
      <c r="AZ1087" s="141">
        <f>COUNTIF(X1087:AY1087,"&lt;&gt;0")</f>
        <v>1</v>
      </c>
      <c r="BA1087" s="141">
        <f>COUNTIF(X1087:AN1087,"&lt;&gt;0")</f>
        <v>1</v>
      </c>
      <c r="BB1087">
        <f>COUNTIF(X1087:AE1087,"&lt;&gt;0")</f>
        <v>0</v>
      </c>
      <c r="BC1087">
        <f>COUNTIF(AF1087:AK1087,"&lt;&gt;0")</f>
        <v>0</v>
      </c>
      <c r="BD1087">
        <f>COUNTIF(AL1087:AN1087,"&lt;&gt;0")</f>
        <v>1</v>
      </c>
      <c r="BE1087">
        <f>COUNTIF(AU1087:AY1087,"&lt;&gt;0")</f>
        <v>0</v>
      </c>
      <c r="BF1087">
        <f>COUNTIF(AO1087:AT1087,"&lt;&gt;0")</f>
        <v>0</v>
      </c>
      <c r="BG1087" t="str">
        <f t="array" ref="BG1087">IF(BA1087=1,INDEX($X$7:$AN$7,MATCH(TRUE,INDEX($X1087:$AY1087&lt;&gt;0,),0)),IF(BA1087=0,INDEX($AO$7:$AY$7,MATCH(1,$AO1087:$AY1087,0)),IF(BH1087="Multiple strategies","mixed drivers",IF(BH1087="Supply chain","multiple supply","multiple silviculture"))))</f>
        <v>technologies/design switch</v>
      </c>
      <c r="BH1087" s="2" t="str" cm="1">
        <f t="array" ref="BH1087">IF(COUNTIF(BB1087:BD1087,"&lt;&gt;0")=1,INDEX($X$4:$AY$4,MATCH(TRUE,INDEX($X1087:$AY1087&lt;&gt;0,),0)),IF(COUNTIF(BB1087:BD1087,"&lt;&gt;0")=0,INDEX($AO$4:$AY$4,MATCH(1,$AO1087:$AY1087,0)),"Multiple strategies"))</f>
        <v>Technology</v>
      </c>
      <c r="BI1087" s="1" t="s">
        <v>229</v>
      </c>
      <c r="BJ1087" t="s">
        <v>229</v>
      </c>
      <c r="BK1087" s="260" t="s">
        <v>410</v>
      </c>
      <c r="BL1087" t="s">
        <v>345</v>
      </c>
      <c r="BM1087">
        <v>0</v>
      </c>
      <c r="BN1087">
        <v>23500</v>
      </c>
      <c r="BO1087" s="143"/>
      <c r="BP1087">
        <f>BN1087-BM1087</f>
        <v>23500</v>
      </c>
      <c r="BQ1087" s="143">
        <f>BP1087*kg_to_m3</f>
        <v>47.95918367346939</v>
      </c>
      <c r="BR1087" t="s">
        <v>232</v>
      </c>
      <c r="BS1087" s="260" t="s">
        <v>396</v>
      </c>
      <c r="BT1087" t="s">
        <v>346</v>
      </c>
      <c r="BU1087">
        <v>-12100</v>
      </c>
      <c r="BV1087">
        <v>-5830</v>
      </c>
      <c r="BW1087" s="144">
        <v>0.48181818181818181</v>
      </c>
      <c r="BX1087">
        <f>BV1087-BU1087</f>
        <v>6270</v>
      </c>
      <c r="BZ1087">
        <f>BX1087/1000</f>
        <v>6.27</v>
      </c>
      <c r="CA1087">
        <f>IFERROR(BZ1087/BQ1087,"")</f>
        <v>0.13073617021276596</v>
      </c>
      <c r="CB1087">
        <v>0</v>
      </c>
      <c r="CC1087">
        <v>0</v>
      </c>
      <c r="CD1087">
        <v>0</v>
      </c>
      <c r="CE1087">
        <v>0</v>
      </c>
      <c r="CF1087">
        <v>0</v>
      </c>
      <c r="CG1087">
        <v>0</v>
      </c>
      <c r="CH1087">
        <v>0</v>
      </c>
      <c r="CI1087">
        <v>0</v>
      </c>
      <c r="CJ1087">
        <v>0</v>
      </c>
      <c r="CK1087">
        <v>0</v>
      </c>
      <c r="CL1087">
        <v>0</v>
      </c>
      <c r="CM1087">
        <v>0</v>
      </c>
      <c r="CN1087">
        <v>0</v>
      </c>
      <c r="CO1087">
        <v>0</v>
      </c>
      <c r="CP1087" t="str">
        <f>IF($BN1087&lt;$BM1087,"refNeedCorrection","refOK")</f>
        <v>refOK</v>
      </c>
      <c r="CQ1087">
        <f>IF($CP1087="refNeedCorrection",BN1087,BM1087)</f>
        <v>0</v>
      </c>
      <c r="CR1087">
        <f>IF($CP1087="refNeedCorrection",BM1087,BN1087)</f>
        <v>23500</v>
      </c>
      <c r="CS1087">
        <f>IF($CP1087="refOK",$BQ1087,-$BQ1087)</f>
        <v>47.95918367346939</v>
      </c>
      <c r="CT1087">
        <f>IF(BI1087="Roundwood",$CS1087/2,$CS1087)</f>
        <v>47.95918367346939</v>
      </c>
      <c r="CU1087">
        <f>IF($CP1087="refOK",$BU1087,$BV1087)*IF($BR1087="Emissions positive",-1,1)</f>
        <v>-12100</v>
      </c>
      <c r="CV1087">
        <f>IF($CP1087="refOK",$BV1087,$BU1087)*IF($BR1087="Emissions positive",-1,1)</f>
        <v>-5830</v>
      </c>
      <c r="CW1087">
        <f>IF($CP1087="refNeedCorrection",-BZ1087,BZ1087)*IF($BR1087="Emissions positive",-1,1)</f>
        <v>6.27</v>
      </c>
      <c r="CX1087">
        <f>IFERROR($CW1087/$CS1087,"")</f>
        <v>0.13073617021276596</v>
      </c>
      <c r="CY1087">
        <f>IFERROR($CW1087/$CS1087,"")</f>
        <v>0.13073617021276596</v>
      </c>
      <c r="CZ1087">
        <f>IFERROR($CW1087/$CT1087,"")</f>
        <v>0.13073617021276596</v>
      </c>
      <c r="DA1087" s="2">
        <f>IFERROR((CV1087-CU1087)/ABS(CU1087),"")</f>
        <v>0.51818181818181819</v>
      </c>
      <c r="DB1087" s="1" t="s">
        <v>347</v>
      </c>
      <c r="DC1087" t="str">
        <f>IF(OR($DB1087="prd",$DB1087="std",$DB1087="cit"),"loc",IF(OR($DB1087="eur",$DB1087="reg",$DB1087="coy"),"reg",$DB1087))</f>
        <v>loc</v>
      </c>
      <c r="DD1087" t="s">
        <v>348</v>
      </c>
      <c r="DE1087">
        <v>2014</v>
      </c>
      <c r="DF1087">
        <v>2114</v>
      </c>
      <c r="DG1087">
        <v>100</v>
      </c>
      <c r="DH1087" t="str">
        <f>IF(DG1087=0,"0",IF(AND(DG1087&gt;=1,DG1087&lt;=30),"1-30",IF(AND(DG1087&gt;30,DG1087&lt;=70),"31-70",IF(AND(DG1087&gt;70,DG1087&lt;=100),"71-100",IF(DG1087&gt;100,"+100")))))</f>
        <v>71-100</v>
      </c>
      <c r="DI1087">
        <v>0</v>
      </c>
      <c r="DJ1087">
        <v>0</v>
      </c>
      <c r="DK1087">
        <v>0</v>
      </c>
      <c r="DL1087">
        <v>1</v>
      </c>
      <c r="DN1087">
        <f>SUM(DI1087:DL1087)</f>
        <v>1</v>
      </c>
      <c r="DO1087" t="str">
        <f>IF(DN1087=1,INDEX($DI$7:$DL$7,MATCH(1,$DI1087:$DL1087,0)),"mixedProduct")</f>
        <v>TimberInput</v>
      </c>
      <c r="DP1087">
        <f>IF(DI1087=1,DP$7,0)</f>
        <v>0</v>
      </c>
      <c r="DQ1087">
        <f>IF(DJ1087=1,DQ$7,0)</f>
        <v>0</v>
      </c>
      <c r="DR1087">
        <f>IF(DK1087=1,DR$7,0)</f>
        <v>0</v>
      </c>
      <c r="DS1087" t="str">
        <f>IF(DL1087=1,DS$7,0)</f>
        <v>Timber</v>
      </c>
      <c r="DT1087">
        <v>0</v>
      </c>
      <c r="DU1087">
        <v>0</v>
      </c>
      <c r="DV1087">
        <v>0</v>
      </c>
      <c r="DW1087">
        <v>0</v>
      </c>
      <c r="DX1087">
        <v>0</v>
      </c>
      <c r="DY1087">
        <f>SUM(DT1087:DU1087)</f>
        <v>0</v>
      </c>
      <c r="DZ1087" s="143" t="str">
        <f>IF(DT1087=1,"self-calculated DF",IF(DU1087=1,"external DF used","explicit C balance"))</f>
        <v>explicit C balance</v>
      </c>
      <c r="EA1087">
        <v>0</v>
      </c>
      <c r="EB1087">
        <v>0</v>
      </c>
      <c r="EC1087">
        <v>0</v>
      </c>
      <c r="ED1087">
        <v>1</v>
      </c>
      <c r="EE1087">
        <v>0</v>
      </c>
      <c r="EF1087" s="143">
        <v>1</v>
      </c>
      <c r="EG1087">
        <v>0</v>
      </c>
      <c r="EH1087">
        <v>1</v>
      </c>
      <c r="EI1087">
        <v>1</v>
      </c>
      <c r="EJ1087">
        <v>1</v>
      </c>
      <c r="EK1087">
        <v>0</v>
      </c>
      <c r="EL1087">
        <v>0</v>
      </c>
      <c r="EM1087">
        <v>0</v>
      </c>
      <c r="EN1087" s="2">
        <v>0</v>
      </c>
      <c r="EP1087" t="str">
        <f>IF(AND(AND(AND(OR($EC1087=1,$EB1087=1),OR($EH1087=1,$EF1087=1)),SUM($EA1087:$EE1087,$EK1087)&gt;=3),SUM($EF1087:$EJ1087)&gt;=2),"Whole sector approach","")</f>
        <v/>
      </c>
      <c r="EQ1087" t="str">
        <f>IF(AND(AND(OR($EC1087=1,$EB1087=1),AND($EH1087=0,$EF1087=0)),SUM($EA1087:$EE1087,$EK1087)&gt;=4),"Ecosystem approach","")</f>
        <v/>
      </c>
      <c r="ER1087" s="2" t="str">
        <f>IF(AND(AND(AND($EC1087=0,$EB1087=0),OR($EH1087=1,$EF1087=1)),SUM($EG1087:$EJ1087)&gt;=2),"Technology approach","")</f>
        <v>Technology approach</v>
      </c>
      <c r="ES1087" t="str">
        <f>IF(AND($EC1087+$EB1087+$EE1087+$EA1087+$ED1087+$EG1087=0,$N1087="included"),"C neutral forest and HWP assumption","")</f>
        <v/>
      </c>
      <c r="ET1087" t="str">
        <f>IF(AND(AND(AND(AND($EC1087=1,$EB1087+$EA1087+$EG1087&gt;=1),$EF1087=1),$EH1087+$EI1087+$ED1087+$EE1087&gt;=2),$N1087="included"),"All C pools assumption","")</f>
        <v/>
      </c>
      <c r="EU1087" t="str">
        <f>IF(AND($ED1087+$EE1087+$EI1087+$EH1087+$EF1087=0,$N1087="included"),"In-situ only assumption","")</f>
        <v/>
      </c>
      <c r="EY1087" t="str">
        <f>IF(ISNUMBER(BW1087),IF(ABS(BW1087-[2]QC_indicators!$B$2)&gt;3*[2]QC_indicators!$C$2,"C ratio",IF(ISNUMBER(CA1087),IF(ABS(CA1087-[2]QC_indicators!$B$1)&gt;3*[2]QC_indicators!$C$1,"DF","no"))),IF(ISNUMBER(CA1087),IF(ABS(CA1087-[2]QC_indicators!$B$1)&gt;3*[2]QC_indicators!$C$1,"DF","no")))</f>
        <v>no</v>
      </c>
      <c r="FA1087" t="str">
        <f>IF(LEN($CY1087)=0,"",IF(AND($CY1087&lt;(-0.05),$ES1087="C neutral forest and HWP assumption"),"Cneutral paradox",IF(AND($CY1087&gt;0.05,$EU1087="In-situ only assumption"),"In-situ only paradox","")))</f>
        <v/>
      </c>
      <c r="FB1087" s="149" t="s">
        <v>349</v>
      </c>
      <c r="FD1087" s="260" t="s">
        <v>2948</v>
      </c>
    </row>
    <row r="1088" spans="1:160" ht="15" hidden="1" customHeight="1">
      <c r="A1088" s="1" t="s">
        <v>333</v>
      </c>
      <c r="B1088" t="s">
        <v>334</v>
      </c>
      <c r="C1088" t="s">
        <v>335</v>
      </c>
      <c r="D1088" t="s">
        <v>336</v>
      </c>
      <c r="E1088" t="s">
        <v>337</v>
      </c>
      <c r="F1088" t="s">
        <v>338</v>
      </c>
      <c r="G1088" t="s">
        <v>339</v>
      </c>
      <c r="I1088">
        <v>2017</v>
      </c>
      <c r="K1088" t="s">
        <v>340</v>
      </c>
      <c r="M1088" t="str">
        <f>LEFT($D1088,FIND(",",$D1088)-1)&amp;"_"&amp;I1088&amp;L1088</f>
        <v>Balasbaneh_2017</v>
      </c>
      <c r="N1088" t="s">
        <v>222</v>
      </c>
      <c r="O1088" s="140" t="s">
        <v>341</v>
      </c>
      <c r="Q1088" t="s">
        <v>224</v>
      </c>
      <c r="R1088" s="258" t="s">
        <v>223</v>
      </c>
      <c r="S1088" s="1" t="s">
        <v>354</v>
      </c>
      <c r="T1088" t="s">
        <v>343</v>
      </c>
      <c r="U1088" t="s">
        <v>351</v>
      </c>
      <c r="V1088" s="253">
        <v>0</v>
      </c>
      <c r="W1088" s="253">
        <v>0</v>
      </c>
      <c r="X1088">
        <v>0</v>
      </c>
      <c r="Y1088">
        <v>0</v>
      </c>
      <c r="Z1088">
        <v>0</v>
      </c>
      <c r="AA1088">
        <v>0</v>
      </c>
      <c r="AB1088">
        <v>0</v>
      </c>
      <c r="AC1088">
        <v>0</v>
      </c>
      <c r="AD1088">
        <v>0</v>
      </c>
      <c r="AE1088">
        <v>0</v>
      </c>
      <c r="AF1088">
        <v>0</v>
      </c>
      <c r="AG1088">
        <v>0</v>
      </c>
      <c r="AH1088">
        <v>0</v>
      </c>
      <c r="AI1088">
        <v>0</v>
      </c>
      <c r="AJ1088">
        <v>0</v>
      </c>
      <c r="AK1088">
        <v>0</v>
      </c>
      <c r="AL1088">
        <v>0</v>
      </c>
      <c r="AM1088">
        <v>1</v>
      </c>
      <c r="AN1088">
        <v>0</v>
      </c>
      <c r="AO1088">
        <v>0</v>
      </c>
      <c r="AP1088">
        <v>0</v>
      </c>
      <c r="AQ1088">
        <v>0</v>
      </c>
      <c r="AR1088">
        <v>0</v>
      </c>
      <c r="AS1088">
        <v>0</v>
      </c>
      <c r="AT1088">
        <v>0</v>
      </c>
      <c r="AU1088">
        <v>0</v>
      </c>
      <c r="AV1088">
        <v>0</v>
      </c>
      <c r="AW1088">
        <v>0</v>
      </c>
      <c r="AX1088">
        <v>0</v>
      </c>
      <c r="AY1088">
        <v>0</v>
      </c>
      <c r="AZ1088" s="141">
        <f>COUNTIF(X1088:AY1088,"&lt;&gt;0")</f>
        <v>1</v>
      </c>
      <c r="BA1088" s="141">
        <f>COUNTIF(X1088:AN1088,"&lt;&gt;0")</f>
        <v>1</v>
      </c>
      <c r="BB1088">
        <f>COUNTIF(X1088:AE1088,"&lt;&gt;0")</f>
        <v>0</v>
      </c>
      <c r="BC1088">
        <f>COUNTIF(AF1088:AK1088,"&lt;&gt;0")</f>
        <v>0</v>
      </c>
      <c r="BD1088">
        <f>COUNTIF(AL1088:AN1088,"&lt;&gt;0")</f>
        <v>1</v>
      </c>
      <c r="BE1088">
        <f>COUNTIF(AU1088:AY1088,"&lt;&gt;0")</f>
        <v>0</v>
      </c>
      <c r="BF1088">
        <f>COUNTIF(AO1088:AT1088,"&lt;&gt;0")</f>
        <v>0</v>
      </c>
      <c r="BG1088" t="str">
        <f t="array" ref="BG1088">IF(BA1088=1,INDEX($X$7:$AN$7,MATCH(TRUE,INDEX($X1088:$AY1088&lt;&gt;0,),0)),IF(BA1088=0,INDEX($AO$7:$AY$7,MATCH(1,$AO1088:$AY1088,0)),IF(BH1088="Multiple strategies","mixed drivers",IF(BH1088="Supply chain","multiple supply","multiple silviculture"))))</f>
        <v>technologies/design switch</v>
      </c>
      <c r="BH1088" s="2" t="str" cm="1">
        <f t="array" ref="BH1088">IF(COUNTIF(BB1088:BD1088,"&lt;&gt;0")=1,INDEX($X$4:$AY$4,MATCH(TRUE,INDEX($X1088:$AY1088&lt;&gt;0,),0)),IF(COUNTIF(BB1088:BD1088,"&lt;&gt;0")=0,INDEX($AO$4:$AY$4,MATCH(1,$AO1088:$AY1088,0)),"Multiple strategies"))</f>
        <v>Technology</v>
      </c>
      <c r="BI1088" s="1" t="s">
        <v>229</v>
      </c>
      <c r="BJ1088" t="s">
        <v>229</v>
      </c>
      <c r="BK1088" s="260" t="s">
        <v>410</v>
      </c>
      <c r="BL1088" t="s">
        <v>345</v>
      </c>
      <c r="BM1088">
        <v>0</v>
      </c>
      <c r="BN1088">
        <v>23500</v>
      </c>
      <c r="BO1088" s="143"/>
      <c r="BP1088">
        <f>BN1088-BM1088</f>
        <v>23500</v>
      </c>
      <c r="BQ1088" s="143">
        <f>BP1088*kg_to_m3</f>
        <v>47.95918367346939</v>
      </c>
      <c r="BR1088" t="s">
        <v>232</v>
      </c>
      <c r="BS1088" s="260" t="s">
        <v>396</v>
      </c>
      <c r="BT1088" t="s">
        <v>346</v>
      </c>
      <c r="BU1088">
        <v>-11900</v>
      </c>
      <c r="BV1088">
        <v>-5800</v>
      </c>
      <c r="BW1088" s="144">
        <v>0.48739495798319327</v>
      </c>
      <c r="BX1088">
        <f>BV1088-BU1088</f>
        <v>6100</v>
      </c>
      <c r="BZ1088">
        <f>BX1088/1000</f>
        <v>6.1</v>
      </c>
      <c r="CA1088">
        <f>IFERROR(BZ1088/BQ1088,"")</f>
        <v>0.1271914893617021</v>
      </c>
      <c r="CB1088">
        <v>0</v>
      </c>
      <c r="CC1088">
        <v>0</v>
      </c>
      <c r="CD1088">
        <v>0</v>
      </c>
      <c r="CE1088">
        <v>0</v>
      </c>
      <c r="CF1088">
        <v>0</v>
      </c>
      <c r="CG1088">
        <v>0</v>
      </c>
      <c r="CH1088">
        <v>0</v>
      </c>
      <c r="CI1088">
        <v>0</v>
      </c>
      <c r="CJ1088">
        <v>0</v>
      </c>
      <c r="CK1088">
        <v>0</v>
      </c>
      <c r="CL1088">
        <v>0</v>
      </c>
      <c r="CM1088">
        <v>0</v>
      </c>
      <c r="CN1088">
        <v>0</v>
      </c>
      <c r="CO1088">
        <v>0</v>
      </c>
      <c r="CP1088" t="str">
        <f>IF($BN1088&lt;$BM1088,"refNeedCorrection","refOK")</f>
        <v>refOK</v>
      </c>
      <c r="CQ1088">
        <f>IF($CP1088="refNeedCorrection",BN1088,BM1088)</f>
        <v>0</v>
      </c>
      <c r="CR1088">
        <f>IF($CP1088="refNeedCorrection",BM1088,BN1088)</f>
        <v>23500</v>
      </c>
      <c r="CS1088">
        <f>IF($CP1088="refOK",$BQ1088,-$BQ1088)</f>
        <v>47.95918367346939</v>
      </c>
      <c r="CT1088">
        <f>IF(BI1088="Roundwood",$CS1088/2,$CS1088)</f>
        <v>47.95918367346939</v>
      </c>
      <c r="CU1088">
        <f>IF($CP1088="refOK",$BU1088,$BV1088)*IF($BR1088="Emissions positive",-1,1)</f>
        <v>-11900</v>
      </c>
      <c r="CV1088">
        <f>IF($CP1088="refOK",$BV1088,$BU1088)*IF($BR1088="Emissions positive",-1,1)</f>
        <v>-5800</v>
      </c>
      <c r="CW1088">
        <f>IF($CP1088="refNeedCorrection",-BZ1088,BZ1088)*IF($BR1088="Emissions positive",-1,1)</f>
        <v>6.1</v>
      </c>
      <c r="CX1088">
        <f>IFERROR($CW1088/$CS1088,"")</f>
        <v>0.1271914893617021</v>
      </c>
      <c r="CY1088">
        <f>IFERROR($CW1088/$CS1088,"")</f>
        <v>0.1271914893617021</v>
      </c>
      <c r="CZ1088">
        <f>IFERROR($CW1088/$CT1088,"")</f>
        <v>0.1271914893617021</v>
      </c>
      <c r="DA1088" s="2">
        <f>IFERROR((CV1088-CU1088)/ABS(CU1088),"")</f>
        <v>0.51260504201680668</v>
      </c>
      <c r="DB1088" s="1" t="s">
        <v>347</v>
      </c>
      <c r="DC1088" t="str">
        <f>IF(OR($DB1088="prd",$DB1088="std",$DB1088="cit"),"loc",IF(OR($DB1088="eur",$DB1088="reg",$DB1088="coy"),"reg",$DB1088))</f>
        <v>loc</v>
      </c>
      <c r="DD1088" t="s">
        <v>348</v>
      </c>
      <c r="DE1088">
        <v>2014</v>
      </c>
      <c r="DF1088">
        <v>2114</v>
      </c>
      <c r="DG1088">
        <v>100</v>
      </c>
      <c r="DH1088" t="str">
        <f>IF(DG1088=0,"0",IF(AND(DG1088&gt;=1,DG1088&lt;=30),"1-30",IF(AND(DG1088&gt;30,DG1088&lt;=70),"31-70",IF(AND(DG1088&gt;70,DG1088&lt;=100),"71-100",IF(DG1088&gt;100,"+100")))))</f>
        <v>71-100</v>
      </c>
      <c r="DI1088">
        <v>0</v>
      </c>
      <c r="DJ1088">
        <v>0</v>
      </c>
      <c r="DK1088">
        <v>0</v>
      </c>
      <c r="DL1088">
        <v>1</v>
      </c>
      <c r="DN1088">
        <f>SUM(DI1088:DL1088)</f>
        <v>1</v>
      </c>
      <c r="DO1088" t="str">
        <f>IF(DN1088=1,INDEX($DI$7:$DL$7,MATCH(1,$DI1088:$DL1088,0)),"mixedProduct")</f>
        <v>TimberInput</v>
      </c>
      <c r="DP1088">
        <f>IF(DI1088=1,DP$7,0)</f>
        <v>0</v>
      </c>
      <c r="DQ1088">
        <f>IF(DJ1088=1,DQ$7,0)</f>
        <v>0</v>
      </c>
      <c r="DR1088">
        <f>IF(DK1088=1,DR$7,0)</f>
        <v>0</v>
      </c>
      <c r="DS1088" t="str">
        <f>IF(DL1088=1,DS$7,0)</f>
        <v>Timber</v>
      </c>
      <c r="DT1088">
        <v>0</v>
      </c>
      <c r="DU1088">
        <v>0</v>
      </c>
      <c r="DV1088">
        <v>0</v>
      </c>
      <c r="DW1088">
        <v>0</v>
      </c>
      <c r="DX1088">
        <v>0</v>
      </c>
      <c r="DY1088">
        <f>SUM(DT1088:DU1088)</f>
        <v>0</v>
      </c>
      <c r="DZ1088" s="143" t="str">
        <f>IF(DT1088=1,"self-calculated DF",IF(DU1088=1,"external DF used","explicit C balance"))</f>
        <v>explicit C balance</v>
      </c>
      <c r="EA1088">
        <v>0</v>
      </c>
      <c r="EB1088">
        <v>0</v>
      </c>
      <c r="EC1088">
        <v>0</v>
      </c>
      <c r="ED1088">
        <v>1</v>
      </c>
      <c r="EE1088">
        <v>0</v>
      </c>
      <c r="EF1088" s="143">
        <v>1</v>
      </c>
      <c r="EG1088">
        <v>0</v>
      </c>
      <c r="EH1088">
        <v>1</v>
      </c>
      <c r="EI1088">
        <v>1</v>
      </c>
      <c r="EJ1088">
        <v>1</v>
      </c>
      <c r="EK1088">
        <v>0</v>
      </c>
      <c r="EL1088">
        <v>0</v>
      </c>
      <c r="EM1088">
        <v>0</v>
      </c>
      <c r="EN1088" s="2">
        <v>0</v>
      </c>
      <c r="EP1088" t="str">
        <f>IF(AND(AND(AND(OR($EC1088=1,$EB1088=1),OR($EH1088=1,$EF1088=1)),SUM($EA1088:$EE1088,$EK1088)&gt;=3),SUM($EF1088:$EJ1088)&gt;=2),"Whole sector approach","")</f>
        <v/>
      </c>
      <c r="EQ1088" t="str">
        <f>IF(AND(AND(OR($EC1088=1,$EB1088=1),AND($EH1088=0,$EF1088=0)),SUM($EA1088:$EE1088,$EK1088)&gt;=4),"Ecosystem approach","")</f>
        <v/>
      </c>
      <c r="ER1088" s="2" t="str">
        <f>IF(AND(AND(AND($EC1088=0,$EB1088=0),OR($EH1088=1,$EF1088=1)),SUM($EG1088:$EJ1088)&gt;=2),"Technology approach","")</f>
        <v>Technology approach</v>
      </c>
      <c r="ES1088" t="str">
        <f>IF(AND($EC1088+$EB1088+$EE1088+$EA1088+$ED1088+$EG1088=0,$N1088="included"),"C neutral forest and HWP assumption","")</f>
        <v/>
      </c>
      <c r="ET1088" t="str">
        <f>IF(AND(AND(AND(AND($EC1088=1,$EB1088+$EA1088+$EG1088&gt;=1),$EF1088=1),$EH1088+$EI1088+$ED1088+$EE1088&gt;=2),$N1088="included"),"All C pools assumption","")</f>
        <v/>
      </c>
      <c r="EU1088" t="str">
        <f>IF(AND($ED1088+$EE1088+$EI1088+$EH1088+$EF1088=0,$N1088="included"),"In-situ only assumption","")</f>
        <v/>
      </c>
      <c r="EY1088" t="str">
        <f>IF(ISNUMBER(BW1088),IF(ABS(BW1088-[2]QC_indicators!$B$2)&gt;3*[2]QC_indicators!$C$2,"C ratio",IF(ISNUMBER(CA1088),IF(ABS(CA1088-[2]QC_indicators!$B$1)&gt;3*[2]QC_indicators!$C$1,"DF","no"))),IF(ISNUMBER(CA1088),IF(ABS(CA1088-[2]QC_indicators!$B$1)&gt;3*[2]QC_indicators!$C$1,"DF","no")))</f>
        <v>no</v>
      </c>
      <c r="FA1088" t="str">
        <f>IF(LEN($CY1088)=0,"",IF(AND($CY1088&lt;(-0.05),$ES1088="C neutral forest and HWP assumption"),"Cneutral paradox",IF(AND($CY1088&gt;0.05,$EU1088="In-situ only assumption"),"In-situ only paradox","")))</f>
        <v/>
      </c>
      <c r="FB1088" s="149" t="s">
        <v>349</v>
      </c>
      <c r="FD1088" s="260" t="s">
        <v>2948</v>
      </c>
    </row>
    <row r="1089" spans="1:160" ht="15" hidden="1" customHeight="1">
      <c r="A1089" s="1" t="s">
        <v>333</v>
      </c>
      <c r="B1089" t="s">
        <v>334</v>
      </c>
      <c r="C1089" t="s">
        <v>335</v>
      </c>
      <c r="D1089" t="s">
        <v>336</v>
      </c>
      <c r="E1089" t="s">
        <v>337</v>
      </c>
      <c r="F1089" t="s">
        <v>338</v>
      </c>
      <c r="G1089" t="s">
        <v>339</v>
      </c>
      <c r="I1089">
        <v>2017</v>
      </c>
      <c r="K1089" t="s">
        <v>340</v>
      </c>
      <c r="M1089" t="str">
        <f>LEFT($D1089,FIND(",",$D1089)-1)&amp;"_"&amp;I1089&amp;L1089</f>
        <v>Balasbaneh_2017</v>
      </c>
      <c r="N1089" t="s">
        <v>222</v>
      </c>
      <c r="O1089" s="140" t="s">
        <v>341</v>
      </c>
      <c r="Q1089" t="s">
        <v>224</v>
      </c>
      <c r="R1089" s="258" t="s">
        <v>223</v>
      </c>
      <c r="S1089" s="1" t="s">
        <v>353</v>
      </c>
      <c r="T1089" t="s">
        <v>343</v>
      </c>
      <c r="U1089" t="s">
        <v>344</v>
      </c>
      <c r="V1089" s="253">
        <v>0</v>
      </c>
      <c r="W1089" s="253">
        <v>0</v>
      </c>
      <c r="X1089">
        <v>0</v>
      </c>
      <c r="Y1089">
        <v>0</v>
      </c>
      <c r="Z1089">
        <v>0</v>
      </c>
      <c r="AA1089">
        <v>0</v>
      </c>
      <c r="AB1089">
        <v>0</v>
      </c>
      <c r="AC1089">
        <v>0</v>
      </c>
      <c r="AD1089">
        <v>0</v>
      </c>
      <c r="AE1089">
        <v>0</v>
      </c>
      <c r="AF1089">
        <v>0</v>
      </c>
      <c r="AG1089">
        <v>0</v>
      </c>
      <c r="AH1089">
        <v>0</v>
      </c>
      <c r="AI1089">
        <v>0</v>
      </c>
      <c r="AJ1089">
        <v>0</v>
      </c>
      <c r="AK1089">
        <v>0</v>
      </c>
      <c r="AL1089">
        <v>0</v>
      </c>
      <c r="AM1089">
        <v>1</v>
      </c>
      <c r="AN1089">
        <v>0</v>
      </c>
      <c r="AO1089">
        <v>0</v>
      </c>
      <c r="AP1089">
        <v>0</v>
      </c>
      <c r="AQ1089">
        <v>0</v>
      </c>
      <c r="AR1089">
        <v>0</v>
      </c>
      <c r="AS1089">
        <v>0</v>
      </c>
      <c r="AT1089">
        <v>0</v>
      </c>
      <c r="AU1089">
        <v>0</v>
      </c>
      <c r="AV1089">
        <v>0</v>
      </c>
      <c r="AW1089">
        <v>0</v>
      </c>
      <c r="AX1089">
        <v>0</v>
      </c>
      <c r="AY1089">
        <v>0</v>
      </c>
      <c r="AZ1089" s="141">
        <f>COUNTIF(X1089:AY1089,"&lt;&gt;0")</f>
        <v>1</v>
      </c>
      <c r="BA1089" s="141">
        <f>COUNTIF(X1089:AN1089,"&lt;&gt;0")</f>
        <v>1</v>
      </c>
      <c r="BB1089">
        <f>COUNTIF(X1089:AE1089,"&lt;&gt;0")</f>
        <v>0</v>
      </c>
      <c r="BC1089">
        <f>COUNTIF(AF1089:AK1089,"&lt;&gt;0")</f>
        <v>0</v>
      </c>
      <c r="BD1089">
        <f>COUNTIF(AL1089:AN1089,"&lt;&gt;0")</f>
        <v>1</v>
      </c>
      <c r="BE1089">
        <f>COUNTIF(AU1089:AY1089,"&lt;&gt;0")</f>
        <v>0</v>
      </c>
      <c r="BF1089">
        <f>COUNTIF(AO1089:AT1089,"&lt;&gt;0")</f>
        <v>0</v>
      </c>
      <c r="BG1089" t="str">
        <f t="array" ref="BG1089">IF(BA1089=1,INDEX($X$7:$AN$7,MATCH(TRUE,INDEX($X1089:$AY1089&lt;&gt;0,),0)),IF(BA1089=0,INDEX($AO$7:$AY$7,MATCH(1,$AO1089:$AY1089,0)),IF(BH1089="Multiple strategies","mixed drivers",IF(BH1089="Supply chain","multiple supply","multiple silviculture"))))</f>
        <v>technologies/design switch</v>
      </c>
      <c r="BH1089" s="2" t="str" cm="1">
        <f t="array" ref="BH1089">IF(COUNTIF(BB1089:BD1089,"&lt;&gt;0")=1,INDEX($X$4:$AY$4,MATCH(TRUE,INDEX($X1089:$AY1089&lt;&gt;0,),0)),IF(COUNTIF(BB1089:BD1089,"&lt;&gt;0")=0,INDEX($AO$4:$AY$4,MATCH(1,$AO1089:$AY1089,0)),"Multiple strategies"))</f>
        <v>Technology</v>
      </c>
      <c r="BI1089" s="1" t="s">
        <v>229</v>
      </c>
      <c r="BJ1089" t="s">
        <v>229</v>
      </c>
      <c r="BK1089" s="260" t="s">
        <v>410</v>
      </c>
      <c r="BL1089" t="s">
        <v>345</v>
      </c>
      <c r="BM1089">
        <v>0</v>
      </c>
      <c r="BN1089">
        <v>23500</v>
      </c>
      <c r="BO1089" s="143"/>
      <c r="BP1089">
        <f>BN1089-BM1089</f>
        <v>23500</v>
      </c>
      <c r="BQ1089" s="143">
        <f>BP1089*kg_to_m3</f>
        <v>47.95918367346939</v>
      </c>
      <c r="BR1089" t="s">
        <v>232</v>
      </c>
      <c r="BS1089" s="260" t="s">
        <v>396</v>
      </c>
      <c r="BT1089" t="s">
        <v>346</v>
      </c>
      <c r="BU1089">
        <v>-11900</v>
      </c>
      <c r="BV1089">
        <v>-6020</v>
      </c>
      <c r="BW1089" s="144">
        <v>0.50588235294117645</v>
      </c>
      <c r="BX1089">
        <f>BV1089-BU1089</f>
        <v>5880</v>
      </c>
      <c r="BZ1089">
        <f>BX1089/1000</f>
        <v>5.88</v>
      </c>
      <c r="CA1089">
        <f>IFERROR(BZ1089/BQ1089,"")</f>
        <v>0.12260425531914892</v>
      </c>
      <c r="CB1089">
        <v>0</v>
      </c>
      <c r="CC1089">
        <v>0</v>
      </c>
      <c r="CD1089">
        <v>0</v>
      </c>
      <c r="CE1089">
        <v>0</v>
      </c>
      <c r="CF1089">
        <v>0</v>
      </c>
      <c r="CG1089">
        <v>0</v>
      </c>
      <c r="CH1089">
        <v>0</v>
      </c>
      <c r="CI1089">
        <v>0</v>
      </c>
      <c r="CJ1089">
        <v>0</v>
      </c>
      <c r="CK1089">
        <v>0</v>
      </c>
      <c r="CL1089">
        <v>0</v>
      </c>
      <c r="CM1089">
        <v>0</v>
      </c>
      <c r="CN1089">
        <v>0</v>
      </c>
      <c r="CO1089">
        <v>0</v>
      </c>
      <c r="CP1089" t="str">
        <f>IF($BN1089&lt;$BM1089,"refNeedCorrection","refOK")</f>
        <v>refOK</v>
      </c>
      <c r="CQ1089">
        <f>IF($CP1089="refNeedCorrection",BN1089,BM1089)</f>
        <v>0</v>
      </c>
      <c r="CR1089">
        <f>IF($CP1089="refNeedCorrection",BM1089,BN1089)</f>
        <v>23500</v>
      </c>
      <c r="CS1089">
        <f>IF($CP1089="refOK",$BQ1089,-$BQ1089)</f>
        <v>47.95918367346939</v>
      </c>
      <c r="CT1089">
        <f>IF(BI1089="Roundwood",$CS1089/2,$CS1089)</f>
        <v>47.95918367346939</v>
      </c>
      <c r="CU1089">
        <f>IF($CP1089="refOK",$BU1089,$BV1089)*IF($BR1089="Emissions positive",-1,1)</f>
        <v>-11900</v>
      </c>
      <c r="CV1089">
        <f>IF($CP1089="refOK",$BV1089,$BU1089)*IF($BR1089="Emissions positive",-1,1)</f>
        <v>-6020</v>
      </c>
      <c r="CW1089">
        <f>IF($CP1089="refNeedCorrection",-BZ1089,BZ1089)*IF($BR1089="Emissions positive",-1,1)</f>
        <v>5.88</v>
      </c>
      <c r="CX1089">
        <f>IFERROR($CW1089/$CS1089,"")</f>
        <v>0.12260425531914892</v>
      </c>
      <c r="CY1089">
        <f>IFERROR($CW1089/$CS1089,"")</f>
        <v>0.12260425531914892</v>
      </c>
      <c r="CZ1089">
        <f>IFERROR($CW1089/$CT1089,"")</f>
        <v>0.12260425531914892</v>
      </c>
      <c r="DA1089" s="2">
        <f>IFERROR((CV1089-CU1089)/ABS(CU1089),"")</f>
        <v>0.49411764705882355</v>
      </c>
      <c r="DB1089" s="1" t="s">
        <v>347</v>
      </c>
      <c r="DC1089" t="str">
        <f>IF(OR($DB1089="prd",$DB1089="std",$DB1089="cit"),"loc",IF(OR($DB1089="eur",$DB1089="reg",$DB1089="coy"),"reg",$DB1089))</f>
        <v>loc</v>
      </c>
      <c r="DD1089" t="s">
        <v>348</v>
      </c>
      <c r="DE1089">
        <v>2014</v>
      </c>
      <c r="DF1089">
        <v>2034</v>
      </c>
      <c r="DG1089">
        <v>20</v>
      </c>
      <c r="DH1089" t="str">
        <f>IF(DG1089=0,"0",IF(AND(DG1089&gt;=1,DG1089&lt;=30),"1-30",IF(AND(DG1089&gt;30,DG1089&lt;=70),"31-70",IF(AND(DG1089&gt;70,DG1089&lt;=100),"71-100",IF(DG1089&gt;100,"+100")))))</f>
        <v>1-30</v>
      </c>
      <c r="DI1089">
        <v>0</v>
      </c>
      <c r="DJ1089">
        <v>0</v>
      </c>
      <c r="DK1089">
        <v>0</v>
      </c>
      <c r="DL1089">
        <v>1</v>
      </c>
      <c r="DN1089">
        <f>SUM(DI1089:DL1089)</f>
        <v>1</v>
      </c>
      <c r="DO1089" t="str">
        <f>IF(DN1089=1,INDEX($DI$7:$DL$7,MATCH(1,$DI1089:$DL1089,0)),"mixedProduct")</f>
        <v>TimberInput</v>
      </c>
      <c r="DP1089">
        <f>IF(DI1089=1,DP$7,0)</f>
        <v>0</v>
      </c>
      <c r="DQ1089">
        <f>IF(DJ1089=1,DQ$7,0)</f>
        <v>0</v>
      </c>
      <c r="DR1089">
        <f>IF(DK1089=1,DR$7,0)</f>
        <v>0</v>
      </c>
      <c r="DS1089" t="str">
        <f>IF(DL1089=1,DS$7,0)</f>
        <v>Timber</v>
      </c>
      <c r="DT1089">
        <v>0</v>
      </c>
      <c r="DU1089">
        <v>0</v>
      </c>
      <c r="DV1089">
        <v>0</v>
      </c>
      <c r="DW1089">
        <v>0</v>
      </c>
      <c r="DX1089">
        <v>0</v>
      </c>
      <c r="DY1089">
        <f>SUM(DT1089:DU1089)</f>
        <v>0</v>
      </c>
      <c r="DZ1089" s="143" t="str">
        <f>IF(DT1089=1,"self-calculated DF",IF(DU1089=1,"external DF used","explicit C balance"))</f>
        <v>explicit C balance</v>
      </c>
      <c r="EA1089">
        <v>0</v>
      </c>
      <c r="EB1089">
        <v>0</v>
      </c>
      <c r="EC1089">
        <v>0</v>
      </c>
      <c r="ED1089">
        <v>1</v>
      </c>
      <c r="EE1089">
        <v>0</v>
      </c>
      <c r="EF1089" s="143">
        <v>1</v>
      </c>
      <c r="EG1089">
        <v>0</v>
      </c>
      <c r="EH1089">
        <v>1</v>
      </c>
      <c r="EI1089">
        <v>1</v>
      </c>
      <c r="EJ1089">
        <v>1</v>
      </c>
      <c r="EK1089">
        <v>0</v>
      </c>
      <c r="EL1089">
        <v>0</v>
      </c>
      <c r="EM1089">
        <v>0</v>
      </c>
      <c r="EN1089" s="2">
        <v>0</v>
      </c>
      <c r="EP1089" t="str">
        <f>IF(AND(AND(AND(OR($EC1089=1,$EB1089=1),OR($EH1089=1,$EF1089=1)),SUM($EA1089:$EE1089,$EK1089)&gt;=3),SUM($EF1089:$EJ1089)&gt;=2),"Whole sector approach","")</f>
        <v/>
      </c>
      <c r="EQ1089" t="str">
        <f>IF(AND(AND(OR($EC1089=1,$EB1089=1),AND($EH1089=0,$EF1089=0)),SUM($EA1089:$EE1089,$EK1089)&gt;=4),"Ecosystem approach","")</f>
        <v/>
      </c>
      <c r="ER1089" s="2" t="str">
        <f>IF(AND(AND(AND($EC1089=0,$EB1089=0),OR($EH1089=1,$EF1089=1)),SUM($EG1089:$EJ1089)&gt;=2),"Technology approach","")</f>
        <v>Technology approach</v>
      </c>
      <c r="ES1089" t="str">
        <f>IF(AND($EC1089+$EB1089+$EE1089+$EA1089+$ED1089+$EG1089=0,$N1089="included"),"C neutral forest and HWP assumption","")</f>
        <v/>
      </c>
      <c r="ET1089" t="str">
        <f>IF(AND(AND(AND(AND($EC1089=1,$EB1089+$EA1089+$EG1089&gt;=1),$EF1089=1),$EH1089+$EI1089+$ED1089+$EE1089&gt;=2),$N1089="included"),"All C pools assumption","")</f>
        <v/>
      </c>
      <c r="EU1089" t="str">
        <f>IF(AND($ED1089+$EE1089+$EI1089+$EH1089+$EF1089=0,$N1089="included"),"In-situ only assumption","")</f>
        <v/>
      </c>
      <c r="EY1089" t="str">
        <f>IF(ISNUMBER(BW1089),IF(ABS(BW1089-[2]QC_indicators!$B$2)&gt;3*[2]QC_indicators!$C$2,"C ratio",IF(ISNUMBER(CA1089),IF(ABS(CA1089-[2]QC_indicators!$B$1)&gt;3*[2]QC_indicators!$C$1,"DF","no"))),IF(ISNUMBER(CA1089),IF(ABS(CA1089-[2]QC_indicators!$B$1)&gt;3*[2]QC_indicators!$C$1,"DF","no")))</f>
        <v>no</v>
      </c>
      <c r="FA1089" t="str">
        <f>IF(LEN($CY1089)=0,"",IF(AND($CY1089&lt;(-0.05),$ES1089="C neutral forest and HWP assumption"),"Cneutral paradox",IF(AND($CY1089&gt;0.05,$EU1089="In-situ only assumption"),"In-situ only paradox","")))</f>
        <v/>
      </c>
      <c r="FB1089" s="149" t="s">
        <v>349</v>
      </c>
      <c r="FD1089" s="260" t="s">
        <v>2948</v>
      </c>
    </row>
    <row r="1090" spans="1:160" ht="15" hidden="1" customHeight="1">
      <c r="A1090" s="1" t="s">
        <v>333</v>
      </c>
      <c r="B1090" t="s">
        <v>334</v>
      </c>
      <c r="C1090" t="s">
        <v>335</v>
      </c>
      <c r="D1090" t="s">
        <v>336</v>
      </c>
      <c r="E1090" t="s">
        <v>337</v>
      </c>
      <c r="F1090" t="s">
        <v>338</v>
      </c>
      <c r="G1090" t="s">
        <v>339</v>
      </c>
      <c r="I1090">
        <v>2017</v>
      </c>
      <c r="K1090" t="s">
        <v>340</v>
      </c>
      <c r="M1090" t="str">
        <f>LEFT($D1090,FIND(",",$D1090)-1)&amp;"_"&amp;I1090&amp;L1090</f>
        <v>Balasbaneh_2017</v>
      </c>
      <c r="N1090" t="s">
        <v>222</v>
      </c>
      <c r="O1090" s="140" t="s">
        <v>341</v>
      </c>
      <c r="Q1090" t="s">
        <v>224</v>
      </c>
      <c r="R1090" s="258" t="s">
        <v>223</v>
      </c>
      <c r="S1090" s="1" t="s">
        <v>352</v>
      </c>
      <c r="T1090" t="s">
        <v>343</v>
      </c>
      <c r="U1090" t="s">
        <v>344</v>
      </c>
      <c r="V1090" s="253">
        <v>0</v>
      </c>
      <c r="W1090" s="253">
        <v>0</v>
      </c>
      <c r="X1090">
        <v>0</v>
      </c>
      <c r="Y1090">
        <v>0</v>
      </c>
      <c r="Z1090">
        <v>0</v>
      </c>
      <c r="AA1090">
        <v>0</v>
      </c>
      <c r="AB1090">
        <v>0</v>
      </c>
      <c r="AC1090">
        <v>0</v>
      </c>
      <c r="AD1090">
        <v>0</v>
      </c>
      <c r="AE1090">
        <v>0</v>
      </c>
      <c r="AF1090">
        <v>0</v>
      </c>
      <c r="AG1090">
        <v>0</v>
      </c>
      <c r="AH1090">
        <v>0</v>
      </c>
      <c r="AI1090">
        <v>0</v>
      </c>
      <c r="AJ1090">
        <v>0</v>
      </c>
      <c r="AK1090">
        <v>0</v>
      </c>
      <c r="AL1090">
        <v>0</v>
      </c>
      <c r="AM1090">
        <v>1</v>
      </c>
      <c r="AN1090">
        <v>0</v>
      </c>
      <c r="AO1090">
        <v>0</v>
      </c>
      <c r="AP1090">
        <v>0</v>
      </c>
      <c r="AQ1090">
        <v>0</v>
      </c>
      <c r="AR1090">
        <v>0</v>
      </c>
      <c r="AS1090">
        <v>0</v>
      </c>
      <c r="AT1090">
        <v>0</v>
      </c>
      <c r="AU1090">
        <v>0</v>
      </c>
      <c r="AV1090">
        <v>0</v>
      </c>
      <c r="AW1090">
        <v>0</v>
      </c>
      <c r="AX1090">
        <v>0</v>
      </c>
      <c r="AY1090">
        <v>0</v>
      </c>
      <c r="AZ1090" s="141">
        <f>COUNTIF(X1090:AY1090,"&lt;&gt;0")</f>
        <v>1</v>
      </c>
      <c r="BA1090" s="141">
        <f>COUNTIF(X1090:AN1090,"&lt;&gt;0")</f>
        <v>1</v>
      </c>
      <c r="BB1090">
        <f>COUNTIF(X1090:AE1090,"&lt;&gt;0")</f>
        <v>0</v>
      </c>
      <c r="BC1090">
        <f>COUNTIF(AF1090:AK1090,"&lt;&gt;0")</f>
        <v>0</v>
      </c>
      <c r="BD1090">
        <f>COUNTIF(AL1090:AN1090,"&lt;&gt;0")</f>
        <v>1</v>
      </c>
      <c r="BE1090">
        <f>COUNTIF(AU1090:AY1090,"&lt;&gt;0")</f>
        <v>0</v>
      </c>
      <c r="BF1090">
        <f>COUNTIF(AO1090:AT1090,"&lt;&gt;0")</f>
        <v>0</v>
      </c>
      <c r="BG1090" t="str">
        <f t="array" ref="BG1090">IF(BA1090=1,INDEX($X$7:$AN$7,MATCH(TRUE,INDEX($X1090:$AY1090&lt;&gt;0,),0)),IF(BA1090=0,INDEX($AO$7:$AY$7,MATCH(1,$AO1090:$AY1090,0)),IF(BH1090="Multiple strategies","mixed drivers",IF(BH1090="Supply chain","multiple supply","multiple silviculture"))))</f>
        <v>technologies/design switch</v>
      </c>
      <c r="BH1090" s="2" t="str" cm="1">
        <f t="array" ref="BH1090">IF(COUNTIF(BB1090:BD1090,"&lt;&gt;0")=1,INDEX($X$4:$AY$4,MATCH(TRUE,INDEX($X1090:$AY1090&lt;&gt;0,),0)),IF(COUNTIF(BB1090:BD1090,"&lt;&gt;0")=0,INDEX($AO$4:$AY$4,MATCH(1,$AO1090:$AY1090,0)),"Multiple strategies"))</f>
        <v>Technology</v>
      </c>
      <c r="BI1090" s="1" t="s">
        <v>229</v>
      </c>
      <c r="BJ1090" t="s">
        <v>229</v>
      </c>
      <c r="BK1090" s="260" t="s">
        <v>410</v>
      </c>
      <c r="BL1090" t="s">
        <v>345</v>
      </c>
      <c r="BM1090">
        <v>0</v>
      </c>
      <c r="BN1090">
        <v>23500</v>
      </c>
      <c r="BO1090" s="143"/>
      <c r="BP1090">
        <f>BN1090-BM1090</f>
        <v>23500</v>
      </c>
      <c r="BQ1090" s="143">
        <f>BP1090*kg_to_m3</f>
        <v>47.95918367346939</v>
      </c>
      <c r="BR1090" t="s">
        <v>232</v>
      </c>
      <c r="BS1090" s="260" t="s">
        <v>396</v>
      </c>
      <c r="BT1090" t="s">
        <v>346</v>
      </c>
      <c r="BU1090">
        <v>-12100</v>
      </c>
      <c r="BV1090">
        <v>-6250</v>
      </c>
      <c r="BW1090" s="144">
        <v>0.51652892561983466</v>
      </c>
      <c r="BX1090">
        <f>BV1090-BU1090</f>
        <v>5850</v>
      </c>
      <c r="BZ1090">
        <f>BX1090/1000</f>
        <v>5.85</v>
      </c>
      <c r="CA1090">
        <f>IFERROR(BZ1090/BQ1090,"")</f>
        <v>0.12197872340425531</v>
      </c>
      <c r="CB1090">
        <v>0</v>
      </c>
      <c r="CC1090">
        <v>0</v>
      </c>
      <c r="CD1090">
        <v>0</v>
      </c>
      <c r="CE1090">
        <v>0</v>
      </c>
      <c r="CF1090">
        <v>0</v>
      </c>
      <c r="CG1090">
        <v>0</v>
      </c>
      <c r="CH1090">
        <v>0</v>
      </c>
      <c r="CI1090">
        <v>0</v>
      </c>
      <c r="CJ1090">
        <v>0</v>
      </c>
      <c r="CK1090">
        <v>0</v>
      </c>
      <c r="CL1090">
        <v>0</v>
      </c>
      <c r="CM1090">
        <v>0</v>
      </c>
      <c r="CN1090">
        <v>0</v>
      </c>
      <c r="CO1090">
        <v>0</v>
      </c>
      <c r="CP1090" t="str">
        <f>IF($BN1090&lt;$BM1090,"refNeedCorrection","refOK")</f>
        <v>refOK</v>
      </c>
      <c r="CQ1090">
        <f>IF($CP1090="refNeedCorrection",BN1090,BM1090)</f>
        <v>0</v>
      </c>
      <c r="CR1090">
        <f>IF($CP1090="refNeedCorrection",BM1090,BN1090)</f>
        <v>23500</v>
      </c>
      <c r="CS1090">
        <f>IF($CP1090="refOK",$BQ1090,-$BQ1090)</f>
        <v>47.95918367346939</v>
      </c>
      <c r="CT1090">
        <f>IF(BI1090="Roundwood",$CS1090/2,$CS1090)</f>
        <v>47.95918367346939</v>
      </c>
      <c r="CU1090">
        <f>IF($CP1090="refOK",$BU1090,$BV1090)*IF($BR1090="Emissions positive",-1,1)</f>
        <v>-12100</v>
      </c>
      <c r="CV1090">
        <f>IF($CP1090="refOK",$BV1090,$BU1090)*IF($BR1090="Emissions positive",-1,1)</f>
        <v>-6250</v>
      </c>
      <c r="CW1090">
        <f>IF($CP1090="refNeedCorrection",-BZ1090,BZ1090)*IF($BR1090="Emissions positive",-1,1)</f>
        <v>5.85</v>
      </c>
      <c r="CX1090">
        <f>IFERROR($CW1090/$CS1090,"")</f>
        <v>0.12197872340425531</v>
      </c>
      <c r="CY1090">
        <f>IFERROR($CW1090/$CS1090,"")</f>
        <v>0.12197872340425531</v>
      </c>
      <c r="CZ1090">
        <f>IFERROR($CW1090/$CT1090,"")</f>
        <v>0.12197872340425531</v>
      </c>
      <c r="DA1090" s="2">
        <f>IFERROR((CV1090-CU1090)/ABS(CU1090),"")</f>
        <v>0.48347107438016529</v>
      </c>
      <c r="DB1090" s="1" t="s">
        <v>347</v>
      </c>
      <c r="DC1090" t="str">
        <f>IF(OR($DB1090="prd",$DB1090="std",$DB1090="cit"),"loc",IF(OR($DB1090="eur",$DB1090="reg",$DB1090="coy"),"reg",$DB1090))</f>
        <v>loc</v>
      </c>
      <c r="DD1090" t="s">
        <v>348</v>
      </c>
      <c r="DE1090">
        <v>2014</v>
      </c>
      <c r="DF1090">
        <v>2034</v>
      </c>
      <c r="DG1090">
        <v>20</v>
      </c>
      <c r="DH1090" t="str">
        <f>IF(DG1090=0,"0",IF(AND(DG1090&gt;=1,DG1090&lt;=30),"1-30",IF(AND(DG1090&gt;30,DG1090&lt;=70),"31-70",IF(AND(DG1090&gt;70,DG1090&lt;=100),"71-100",IF(DG1090&gt;100,"+100")))))</f>
        <v>1-30</v>
      </c>
      <c r="DI1090">
        <v>0</v>
      </c>
      <c r="DJ1090">
        <v>0</v>
      </c>
      <c r="DK1090">
        <v>0</v>
      </c>
      <c r="DL1090">
        <v>1</v>
      </c>
      <c r="DN1090">
        <f>SUM(DI1090:DL1090)</f>
        <v>1</v>
      </c>
      <c r="DO1090" t="str">
        <f>IF(DN1090=1,INDEX($DI$7:$DL$7,MATCH(1,$DI1090:$DL1090,0)),"mixedProduct")</f>
        <v>TimberInput</v>
      </c>
      <c r="DP1090">
        <f>IF(DI1090=1,DP$7,0)</f>
        <v>0</v>
      </c>
      <c r="DQ1090">
        <f>IF(DJ1090=1,DQ$7,0)</f>
        <v>0</v>
      </c>
      <c r="DR1090">
        <f>IF(DK1090=1,DR$7,0)</f>
        <v>0</v>
      </c>
      <c r="DS1090" t="str">
        <f>IF(DL1090=1,DS$7,0)</f>
        <v>Timber</v>
      </c>
      <c r="DT1090">
        <v>0</v>
      </c>
      <c r="DU1090">
        <v>0</v>
      </c>
      <c r="DV1090">
        <v>0</v>
      </c>
      <c r="DW1090">
        <v>0</v>
      </c>
      <c r="DX1090">
        <v>0</v>
      </c>
      <c r="DY1090">
        <f>SUM(DT1090:DU1090)</f>
        <v>0</v>
      </c>
      <c r="DZ1090" s="143" t="str">
        <f>IF(DT1090=1,"self-calculated DF",IF(DU1090=1,"external DF used","explicit C balance"))</f>
        <v>explicit C balance</v>
      </c>
      <c r="EA1090">
        <v>0</v>
      </c>
      <c r="EB1090">
        <v>0</v>
      </c>
      <c r="EC1090">
        <v>0</v>
      </c>
      <c r="ED1090">
        <v>1</v>
      </c>
      <c r="EE1090">
        <v>0</v>
      </c>
      <c r="EF1090" s="143">
        <v>1</v>
      </c>
      <c r="EG1090">
        <v>0</v>
      </c>
      <c r="EH1090">
        <v>1</v>
      </c>
      <c r="EI1090">
        <v>1</v>
      </c>
      <c r="EJ1090">
        <v>1</v>
      </c>
      <c r="EK1090">
        <v>0</v>
      </c>
      <c r="EL1090">
        <v>0</v>
      </c>
      <c r="EM1090">
        <v>0</v>
      </c>
      <c r="EN1090" s="2">
        <v>0</v>
      </c>
      <c r="EP1090" t="str">
        <f>IF(AND(AND(AND(OR($EC1090=1,$EB1090=1),OR($EH1090=1,$EF1090=1)),SUM($EA1090:$EE1090,$EK1090)&gt;=3),SUM($EF1090:$EJ1090)&gt;=2),"Whole sector approach","")</f>
        <v/>
      </c>
      <c r="EQ1090" t="str">
        <f>IF(AND(AND(OR($EC1090=1,$EB1090=1),AND($EH1090=0,$EF1090=0)),SUM($EA1090:$EE1090,$EK1090)&gt;=4),"Ecosystem approach","")</f>
        <v/>
      </c>
      <c r="ER1090" s="2" t="str">
        <f>IF(AND(AND(AND($EC1090=0,$EB1090=0),OR($EH1090=1,$EF1090=1)),SUM($EG1090:$EJ1090)&gt;=2),"Technology approach","")</f>
        <v>Technology approach</v>
      </c>
      <c r="ES1090" t="str">
        <f>IF(AND($EC1090+$EB1090+$EE1090+$EA1090+$ED1090+$EG1090=0,$N1090="included"),"C neutral forest and HWP assumption","")</f>
        <v/>
      </c>
      <c r="ET1090" t="str">
        <f>IF(AND(AND(AND(AND($EC1090=1,$EB1090+$EA1090+$EG1090&gt;=1),$EF1090=1),$EH1090+$EI1090+$ED1090+$EE1090&gt;=2),$N1090="included"),"All C pools assumption","")</f>
        <v/>
      </c>
      <c r="EU1090" t="str">
        <f>IF(AND($ED1090+$EE1090+$EI1090+$EH1090+$EF1090=0,$N1090="included"),"In-situ only assumption","")</f>
        <v/>
      </c>
      <c r="EY1090" t="str">
        <f>IF(ISNUMBER(BW1090),IF(ABS(BW1090-[2]QC_indicators!$B$2)&gt;3*[2]QC_indicators!$C$2,"C ratio",IF(ISNUMBER(CA1090),IF(ABS(CA1090-[2]QC_indicators!$B$1)&gt;3*[2]QC_indicators!$C$1,"DF","no"))),IF(ISNUMBER(CA1090),IF(ABS(CA1090-[2]QC_indicators!$B$1)&gt;3*[2]QC_indicators!$C$1,"DF","no")))</f>
        <v>no</v>
      </c>
      <c r="FA1090" t="str">
        <f>IF(LEN($CY1090)=0,"",IF(AND($CY1090&lt;(-0.05),$ES1090="C neutral forest and HWP assumption"),"Cneutral paradox",IF(AND($CY1090&gt;0.05,$EU1090="In-situ only assumption"),"In-situ only paradox","")))</f>
        <v/>
      </c>
      <c r="FB1090" s="149" t="s">
        <v>349</v>
      </c>
      <c r="FD1090" s="260" t="s">
        <v>2948</v>
      </c>
    </row>
    <row r="1091" spans="1:160" ht="15" hidden="1" customHeight="1">
      <c r="A1091" s="1" t="s">
        <v>333</v>
      </c>
      <c r="B1091" t="s">
        <v>334</v>
      </c>
      <c r="C1091" t="s">
        <v>335</v>
      </c>
      <c r="D1091" t="s">
        <v>336</v>
      </c>
      <c r="E1091" t="s">
        <v>337</v>
      </c>
      <c r="F1091" t="s">
        <v>338</v>
      </c>
      <c r="G1091" t="s">
        <v>339</v>
      </c>
      <c r="I1091">
        <v>2017</v>
      </c>
      <c r="K1091" t="s">
        <v>340</v>
      </c>
      <c r="M1091" t="str">
        <f>LEFT($D1091,FIND(",",$D1091)-1)&amp;"_"&amp;I1091&amp;L1091</f>
        <v>Balasbaneh_2017</v>
      </c>
      <c r="N1091" t="s">
        <v>222</v>
      </c>
      <c r="O1091" s="140" t="s">
        <v>341</v>
      </c>
      <c r="Q1091" t="s">
        <v>224</v>
      </c>
      <c r="R1091" s="258" t="s">
        <v>223</v>
      </c>
      <c r="S1091" s="1" t="s">
        <v>350</v>
      </c>
      <c r="T1091" t="s">
        <v>343</v>
      </c>
      <c r="U1091" t="s">
        <v>351</v>
      </c>
      <c r="V1091" s="253">
        <v>0</v>
      </c>
      <c r="W1091" s="253">
        <v>0</v>
      </c>
      <c r="X1091">
        <v>0</v>
      </c>
      <c r="Y1091">
        <v>0</v>
      </c>
      <c r="Z1091">
        <v>0</v>
      </c>
      <c r="AA1091">
        <v>0</v>
      </c>
      <c r="AB1091">
        <v>0</v>
      </c>
      <c r="AC1091">
        <v>0</v>
      </c>
      <c r="AD1091">
        <v>0</v>
      </c>
      <c r="AE1091">
        <v>0</v>
      </c>
      <c r="AF1091">
        <v>0</v>
      </c>
      <c r="AG1091">
        <v>0</v>
      </c>
      <c r="AH1091">
        <v>0</v>
      </c>
      <c r="AI1091">
        <v>0</v>
      </c>
      <c r="AJ1091">
        <v>0</v>
      </c>
      <c r="AK1091">
        <v>0</v>
      </c>
      <c r="AL1091">
        <v>0</v>
      </c>
      <c r="AM1091">
        <v>1</v>
      </c>
      <c r="AN1091">
        <v>0</v>
      </c>
      <c r="AO1091">
        <v>0</v>
      </c>
      <c r="AP1091">
        <v>0</v>
      </c>
      <c r="AQ1091">
        <v>0</v>
      </c>
      <c r="AR1091">
        <v>0</v>
      </c>
      <c r="AS1091">
        <v>0</v>
      </c>
      <c r="AT1091">
        <v>0</v>
      </c>
      <c r="AU1091">
        <v>0</v>
      </c>
      <c r="AV1091">
        <v>0</v>
      </c>
      <c r="AW1091">
        <v>0</v>
      </c>
      <c r="AX1091">
        <v>0</v>
      </c>
      <c r="AY1091">
        <v>0</v>
      </c>
      <c r="AZ1091" s="141">
        <f>COUNTIF(X1091:AY1091,"&lt;&gt;0")</f>
        <v>1</v>
      </c>
      <c r="BA1091" s="141">
        <f>COUNTIF(X1091:AN1091,"&lt;&gt;0")</f>
        <v>1</v>
      </c>
      <c r="BB1091">
        <f>COUNTIF(X1091:AE1091,"&lt;&gt;0")</f>
        <v>0</v>
      </c>
      <c r="BC1091">
        <f>COUNTIF(AF1091:AK1091,"&lt;&gt;0")</f>
        <v>0</v>
      </c>
      <c r="BD1091">
        <f>COUNTIF(AL1091:AN1091,"&lt;&gt;0")</f>
        <v>1</v>
      </c>
      <c r="BE1091">
        <f>COUNTIF(AU1091:AY1091,"&lt;&gt;0")</f>
        <v>0</v>
      </c>
      <c r="BF1091">
        <f>COUNTIF(AO1091:AT1091,"&lt;&gt;0")</f>
        <v>0</v>
      </c>
      <c r="BG1091" t="str">
        <f t="array" ref="BG1091">IF(BA1091=1,INDEX($X$7:$AN$7,MATCH(TRUE,INDEX($X1091:$AY1091&lt;&gt;0,),0)),IF(BA1091=0,INDEX($AO$7:$AY$7,MATCH(1,$AO1091:$AY1091,0)),IF(BH1091="Multiple strategies","mixed drivers",IF(BH1091="Supply chain","multiple supply","multiple silviculture"))))</f>
        <v>technologies/design switch</v>
      </c>
      <c r="BH1091" s="2" t="str" cm="1">
        <f t="array" ref="BH1091">IF(COUNTIF(BB1091:BD1091,"&lt;&gt;0")=1,INDEX($X$4:$AY$4,MATCH(TRUE,INDEX($X1091:$AY1091&lt;&gt;0,),0)),IF(COUNTIF(BB1091:BD1091,"&lt;&gt;0")=0,INDEX($AO$4:$AY$4,MATCH(1,$AO1091:$AY1091,0)),"Multiple strategies"))</f>
        <v>Technology</v>
      </c>
      <c r="BI1091" s="1" t="s">
        <v>229</v>
      </c>
      <c r="BJ1091" t="s">
        <v>229</v>
      </c>
      <c r="BK1091" s="260" t="s">
        <v>410</v>
      </c>
      <c r="BL1091" t="s">
        <v>345</v>
      </c>
      <c r="BM1091">
        <v>0</v>
      </c>
      <c r="BN1091">
        <v>23500</v>
      </c>
      <c r="BO1091" s="143"/>
      <c r="BP1091">
        <f>BN1091-BM1091</f>
        <v>23500</v>
      </c>
      <c r="BQ1091" s="143">
        <f>BP1091*kg_to_m3</f>
        <v>47.95918367346939</v>
      </c>
      <c r="BR1091" t="s">
        <v>232</v>
      </c>
      <c r="BS1091" s="260" t="s">
        <v>396</v>
      </c>
      <c r="BT1091" t="s">
        <v>346</v>
      </c>
      <c r="BU1091">
        <v>-11200</v>
      </c>
      <c r="BV1091">
        <v>-5650</v>
      </c>
      <c r="BW1091" s="144">
        <v>0.5044642857142857</v>
      </c>
      <c r="BX1091">
        <f>BV1091-BU1091</f>
        <v>5550</v>
      </c>
      <c r="BZ1091">
        <f>BX1091/1000</f>
        <v>5.55</v>
      </c>
      <c r="CA1091">
        <f>IFERROR(BZ1091/BQ1091,"")</f>
        <v>0.11572340425531914</v>
      </c>
      <c r="CB1091">
        <v>0</v>
      </c>
      <c r="CC1091">
        <v>0</v>
      </c>
      <c r="CD1091">
        <v>0</v>
      </c>
      <c r="CE1091">
        <v>0</v>
      </c>
      <c r="CF1091">
        <v>0</v>
      </c>
      <c r="CG1091">
        <v>0</v>
      </c>
      <c r="CH1091">
        <v>0</v>
      </c>
      <c r="CI1091">
        <v>0</v>
      </c>
      <c r="CJ1091">
        <v>0</v>
      </c>
      <c r="CK1091">
        <v>0</v>
      </c>
      <c r="CL1091">
        <v>0</v>
      </c>
      <c r="CM1091">
        <v>0</v>
      </c>
      <c r="CN1091">
        <v>0</v>
      </c>
      <c r="CO1091">
        <v>0</v>
      </c>
      <c r="CP1091" t="str">
        <f>IF($BN1091&lt;$BM1091,"refNeedCorrection","refOK")</f>
        <v>refOK</v>
      </c>
      <c r="CQ1091">
        <f>IF($CP1091="refNeedCorrection",BN1091,BM1091)</f>
        <v>0</v>
      </c>
      <c r="CR1091">
        <f>IF($CP1091="refNeedCorrection",BM1091,BN1091)</f>
        <v>23500</v>
      </c>
      <c r="CS1091">
        <f>IF($CP1091="refOK",$BQ1091,-$BQ1091)</f>
        <v>47.95918367346939</v>
      </c>
      <c r="CT1091">
        <f>IF(BI1091="Roundwood",$CS1091/2,$CS1091)</f>
        <v>47.95918367346939</v>
      </c>
      <c r="CU1091">
        <f>IF($CP1091="refOK",$BU1091,$BV1091)*IF($BR1091="Emissions positive",-1,1)</f>
        <v>-11200</v>
      </c>
      <c r="CV1091">
        <f>IF($CP1091="refOK",$BV1091,$BU1091)*IF($BR1091="Emissions positive",-1,1)</f>
        <v>-5650</v>
      </c>
      <c r="CW1091">
        <f>IF($CP1091="refNeedCorrection",-BZ1091,BZ1091)*IF($BR1091="Emissions positive",-1,1)</f>
        <v>5.55</v>
      </c>
      <c r="CX1091">
        <f>IFERROR($CW1091/$CS1091,"")</f>
        <v>0.11572340425531914</v>
      </c>
      <c r="CY1091">
        <f>IFERROR($CW1091/$CS1091,"")</f>
        <v>0.11572340425531914</v>
      </c>
      <c r="CZ1091">
        <f>IFERROR($CW1091/$CT1091,"")</f>
        <v>0.11572340425531914</v>
      </c>
      <c r="DA1091" s="2">
        <f>IFERROR((CV1091-CU1091)/ABS(CU1091),"")</f>
        <v>0.4955357142857143</v>
      </c>
      <c r="DB1091" s="1" t="s">
        <v>347</v>
      </c>
      <c r="DC1091" t="str">
        <f>IF(OR($DB1091="prd",$DB1091="std",$DB1091="cit"),"loc",IF(OR($DB1091="eur",$DB1091="reg",$DB1091="coy"),"reg",$DB1091))</f>
        <v>loc</v>
      </c>
      <c r="DD1091" t="s">
        <v>348</v>
      </c>
      <c r="DE1091">
        <v>2014</v>
      </c>
      <c r="DF1091">
        <v>2114</v>
      </c>
      <c r="DG1091">
        <v>100</v>
      </c>
      <c r="DH1091" t="str">
        <f>IF(DG1091=0,"0",IF(AND(DG1091&gt;=1,DG1091&lt;=30),"1-30",IF(AND(DG1091&gt;30,DG1091&lt;=70),"31-70",IF(AND(DG1091&gt;70,DG1091&lt;=100),"71-100",IF(DG1091&gt;100,"+100")))))</f>
        <v>71-100</v>
      </c>
      <c r="DI1091">
        <v>0</v>
      </c>
      <c r="DJ1091">
        <v>0</v>
      </c>
      <c r="DK1091">
        <v>0</v>
      </c>
      <c r="DL1091">
        <v>1</v>
      </c>
      <c r="DN1091">
        <f>SUM(DI1091:DL1091)</f>
        <v>1</v>
      </c>
      <c r="DO1091" t="str">
        <f>IF(DN1091=1,INDEX($DI$7:$DL$7,MATCH(1,$DI1091:$DL1091,0)),"mixedProduct")</f>
        <v>TimberInput</v>
      </c>
      <c r="DP1091">
        <f>IF(DI1091=1,DP$7,0)</f>
        <v>0</v>
      </c>
      <c r="DQ1091">
        <f>IF(DJ1091=1,DQ$7,0)</f>
        <v>0</v>
      </c>
      <c r="DR1091">
        <f>IF(DK1091=1,DR$7,0)</f>
        <v>0</v>
      </c>
      <c r="DS1091" t="str">
        <f>IF(DL1091=1,DS$7,0)</f>
        <v>Timber</v>
      </c>
      <c r="DT1091">
        <v>0</v>
      </c>
      <c r="DU1091">
        <v>0</v>
      </c>
      <c r="DV1091">
        <v>0</v>
      </c>
      <c r="DW1091">
        <v>0</v>
      </c>
      <c r="DX1091">
        <v>0</v>
      </c>
      <c r="DY1091">
        <f>SUM(DT1091:DU1091)</f>
        <v>0</v>
      </c>
      <c r="DZ1091" s="143" t="str">
        <f>IF(DT1091=1,"self-calculated DF",IF(DU1091=1,"external DF used","explicit C balance"))</f>
        <v>explicit C balance</v>
      </c>
      <c r="EA1091">
        <v>0</v>
      </c>
      <c r="EB1091">
        <v>0</v>
      </c>
      <c r="EC1091">
        <v>0</v>
      </c>
      <c r="ED1091">
        <v>1</v>
      </c>
      <c r="EE1091">
        <v>0</v>
      </c>
      <c r="EF1091" s="143">
        <v>1</v>
      </c>
      <c r="EG1091">
        <v>0</v>
      </c>
      <c r="EH1091">
        <v>1</v>
      </c>
      <c r="EI1091">
        <v>1</v>
      </c>
      <c r="EJ1091">
        <v>1</v>
      </c>
      <c r="EK1091">
        <v>0</v>
      </c>
      <c r="EL1091">
        <v>0</v>
      </c>
      <c r="EM1091">
        <v>0</v>
      </c>
      <c r="EN1091" s="2">
        <v>0</v>
      </c>
      <c r="EP1091" t="str">
        <f>IF(AND(AND(AND(OR($EC1091=1,$EB1091=1),OR($EH1091=1,$EF1091=1)),SUM($EA1091:$EE1091,$EK1091)&gt;=3),SUM($EF1091:$EJ1091)&gt;=2),"Whole sector approach","")</f>
        <v/>
      </c>
      <c r="EQ1091" t="str">
        <f>IF(AND(AND(OR($EC1091=1,$EB1091=1),AND($EH1091=0,$EF1091=0)),SUM($EA1091:$EE1091,$EK1091)&gt;=4),"Ecosystem approach","")</f>
        <v/>
      </c>
      <c r="ER1091" s="2" t="str">
        <f>IF(AND(AND(AND($EC1091=0,$EB1091=0),OR($EH1091=1,$EF1091=1)),SUM($EG1091:$EJ1091)&gt;=2),"Technology approach","")</f>
        <v>Technology approach</v>
      </c>
      <c r="ES1091" t="str">
        <f>IF(AND($EC1091+$EB1091+$EE1091+$EA1091+$ED1091+$EG1091=0,$N1091="included"),"C neutral forest and HWP assumption","")</f>
        <v/>
      </c>
      <c r="ET1091" t="str">
        <f>IF(AND(AND(AND(AND($EC1091=1,$EB1091+$EA1091+$EG1091&gt;=1),$EF1091=1),$EH1091+$EI1091+$ED1091+$EE1091&gt;=2),$N1091="included"),"All C pools assumption","")</f>
        <v/>
      </c>
      <c r="EU1091" t="str">
        <f>IF(AND($ED1091+$EE1091+$EI1091+$EH1091+$EF1091=0,$N1091="included"),"In-situ only assumption","")</f>
        <v/>
      </c>
      <c r="EY1091" t="str">
        <f>IF(ISNUMBER(BW1091),IF(ABS(BW1091-[2]QC_indicators!$B$2)&gt;3*[2]QC_indicators!$C$2,"C ratio",IF(ISNUMBER(CA1091),IF(ABS(CA1091-[2]QC_indicators!$B$1)&gt;3*[2]QC_indicators!$C$1,"DF","no"))),IF(ISNUMBER(CA1091),IF(ABS(CA1091-[2]QC_indicators!$B$1)&gt;3*[2]QC_indicators!$C$1,"DF","no")))</f>
        <v>no</v>
      </c>
      <c r="FA1091" t="str">
        <f>IF(LEN($CY1091)=0,"",IF(AND($CY1091&lt;(-0.05),$ES1091="C neutral forest and HWP assumption"),"Cneutral paradox",IF(AND($CY1091&gt;0.05,$EU1091="In-situ only assumption"),"In-situ only paradox","")))</f>
        <v/>
      </c>
      <c r="FB1091" s="149" t="s">
        <v>349</v>
      </c>
      <c r="FD1091" s="260" t="s">
        <v>2948</v>
      </c>
    </row>
    <row r="1092" spans="1:160" ht="18" hidden="1" customHeight="1">
      <c r="A1092" s="1" t="s">
        <v>333</v>
      </c>
      <c r="B1092" t="s">
        <v>334</v>
      </c>
      <c r="C1092" t="s">
        <v>335</v>
      </c>
      <c r="D1092" t="s">
        <v>336</v>
      </c>
      <c r="E1092" t="s">
        <v>337</v>
      </c>
      <c r="F1092" t="s">
        <v>338</v>
      </c>
      <c r="G1092" t="s">
        <v>339</v>
      </c>
      <c r="I1092">
        <v>2017</v>
      </c>
      <c r="K1092" t="s">
        <v>340</v>
      </c>
      <c r="M1092" t="str">
        <f>LEFT($D1092,FIND(",",$D1092)-1)&amp;"_"&amp;I1092&amp;L1092</f>
        <v>Balasbaneh_2017</v>
      </c>
      <c r="N1092" t="s">
        <v>222</v>
      </c>
      <c r="O1092" s="140" t="s">
        <v>341</v>
      </c>
      <c r="Q1092" t="s">
        <v>224</v>
      </c>
      <c r="R1092" s="258" t="s">
        <v>223</v>
      </c>
      <c r="S1092" s="1" t="s">
        <v>342</v>
      </c>
      <c r="T1092" t="s">
        <v>343</v>
      </c>
      <c r="U1092" t="s">
        <v>344</v>
      </c>
      <c r="V1092" s="253">
        <v>0</v>
      </c>
      <c r="W1092" s="253">
        <v>0</v>
      </c>
      <c r="X1092">
        <v>0</v>
      </c>
      <c r="Y1092">
        <v>0</v>
      </c>
      <c r="Z1092">
        <v>0</v>
      </c>
      <c r="AA1092">
        <v>0</v>
      </c>
      <c r="AB1092">
        <v>0</v>
      </c>
      <c r="AC1092">
        <v>0</v>
      </c>
      <c r="AD1092">
        <v>0</v>
      </c>
      <c r="AE1092">
        <v>0</v>
      </c>
      <c r="AF1092">
        <v>0</v>
      </c>
      <c r="AG1092">
        <v>0</v>
      </c>
      <c r="AH1092">
        <v>0</v>
      </c>
      <c r="AI1092">
        <v>0</v>
      </c>
      <c r="AJ1092">
        <v>0</v>
      </c>
      <c r="AK1092">
        <v>0</v>
      </c>
      <c r="AL1092">
        <v>0</v>
      </c>
      <c r="AM1092">
        <v>1</v>
      </c>
      <c r="AN1092">
        <v>0</v>
      </c>
      <c r="AO1092">
        <v>0</v>
      </c>
      <c r="AP1092">
        <v>0</v>
      </c>
      <c r="AQ1092">
        <v>0</v>
      </c>
      <c r="AR1092">
        <v>0</v>
      </c>
      <c r="AS1092">
        <v>0</v>
      </c>
      <c r="AT1092">
        <v>0</v>
      </c>
      <c r="AU1092">
        <v>0</v>
      </c>
      <c r="AV1092">
        <v>0</v>
      </c>
      <c r="AW1092">
        <v>0</v>
      </c>
      <c r="AX1092">
        <v>0</v>
      </c>
      <c r="AY1092">
        <v>0</v>
      </c>
      <c r="AZ1092" s="141">
        <f>COUNTIF(X1092:AY1092,"&lt;&gt;0")</f>
        <v>1</v>
      </c>
      <c r="BA1092" s="141">
        <f>COUNTIF(X1092:AN1092,"&lt;&gt;0")</f>
        <v>1</v>
      </c>
      <c r="BB1092">
        <f>COUNTIF(X1092:AE1092,"&lt;&gt;0")</f>
        <v>0</v>
      </c>
      <c r="BC1092">
        <f>COUNTIF(AF1092:AK1092,"&lt;&gt;0")</f>
        <v>0</v>
      </c>
      <c r="BD1092">
        <f>COUNTIF(AL1092:AN1092,"&lt;&gt;0")</f>
        <v>1</v>
      </c>
      <c r="BE1092">
        <f>COUNTIF(AU1092:AY1092,"&lt;&gt;0")</f>
        <v>0</v>
      </c>
      <c r="BF1092">
        <f>COUNTIF(AO1092:AT1092,"&lt;&gt;0")</f>
        <v>0</v>
      </c>
      <c r="BG1092" t="str">
        <f t="array" ref="BG1092">IF(BA1092=1,INDEX($X$7:$AN$7,MATCH(TRUE,INDEX($X1092:$AY1092&lt;&gt;0,),0)),IF(BA1092=0,INDEX($AO$7:$AY$7,MATCH(1,$AO1092:$AY1092,0)),IF(BH1092="Multiple strategies","mixed drivers",IF(BH1092="Supply chain","multiple supply","multiple silviculture"))))</f>
        <v>technologies/design switch</v>
      </c>
      <c r="BH1092" s="2" t="str" cm="1">
        <f t="array" ref="BH1092">IF(COUNTIF(BB1092:BD1092,"&lt;&gt;0")=1,INDEX($X$4:$AY$4,MATCH(TRUE,INDEX($X1092:$AY1092&lt;&gt;0,),0)),IF(COUNTIF(BB1092:BD1092,"&lt;&gt;0")=0,INDEX($AO$4:$AY$4,MATCH(1,$AO1092:$AY1092,0)),"Multiple strategies"))</f>
        <v>Technology</v>
      </c>
      <c r="BI1092" s="1" t="s">
        <v>229</v>
      </c>
      <c r="BJ1092" t="s">
        <v>229</v>
      </c>
      <c r="BK1092" s="260" t="s">
        <v>410</v>
      </c>
      <c r="BL1092" t="s">
        <v>345</v>
      </c>
      <c r="BM1092">
        <v>0</v>
      </c>
      <c r="BN1092">
        <v>23500</v>
      </c>
      <c r="BO1092" s="143"/>
      <c r="BP1092">
        <f>BN1092-BM1092</f>
        <v>23500</v>
      </c>
      <c r="BQ1092" s="143">
        <f>BP1092*kg_to_m3</f>
        <v>47.95918367346939</v>
      </c>
      <c r="BR1092" t="s">
        <v>232</v>
      </c>
      <c r="BS1092" s="260" t="s">
        <v>396</v>
      </c>
      <c r="BT1092" t="s">
        <v>346</v>
      </c>
      <c r="BU1092">
        <v>-11200</v>
      </c>
      <c r="BV1092">
        <v>-5870</v>
      </c>
      <c r="BW1092" s="144">
        <v>0.52410714285714288</v>
      </c>
      <c r="BX1092">
        <f>BV1092-BU1092</f>
        <v>5330</v>
      </c>
      <c r="BZ1092">
        <f>BX1092/1000</f>
        <v>5.33</v>
      </c>
      <c r="CA1092">
        <f>IFERROR(BZ1092/BQ1092,"")</f>
        <v>0.11113617021276595</v>
      </c>
      <c r="CB1092">
        <v>0</v>
      </c>
      <c r="CC1092">
        <v>0</v>
      </c>
      <c r="CD1092">
        <v>0</v>
      </c>
      <c r="CE1092">
        <v>0</v>
      </c>
      <c r="CF1092">
        <v>0</v>
      </c>
      <c r="CG1092">
        <v>0</v>
      </c>
      <c r="CH1092">
        <v>0</v>
      </c>
      <c r="CI1092">
        <v>0</v>
      </c>
      <c r="CJ1092">
        <v>0</v>
      </c>
      <c r="CK1092">
        <v>0</v>
      </c>
      <c r="CL1092">
        <v>0</v>
      </c>
      <c r="CM1092">
        <v>0</v>
      </c>
      <c r="CN1092">
        <v>0</v>
      </c>
      <c r="CO1092">
        <v>0</v>
      </c>
      <c r="CP1092" t="str">
        <f>IF($BN1092&lt;$BM1092,"refNeedCorrection","refOK")</f>
        <v>refOK</v>
      </c>
      <c r="CQ1092">
        <f>IF($CP1092="refNeedCorrection",BN1092,BM1092)</f>
        <v>0</v>
      </c>
      <c r="CR1092">
        <f>IF($CP1092="refNeedCorrection",BM1092,BN1092)</f>
        <v>23500</v>
      </c>
      <c r="CS1092">
        <f>IF($CP1092="refOK",$BQ1092,-$BQ1092)</f>
        <v>47.95918367346939</v>
      </c>
      <c r="CT1092">
        <f>IF(BI1092="Roundwood",$CS1092/2,$CS1092)</f>
        <v>47.95918367346939</v>
      </c>
      <c r="CU1092">
        <f>IF($CP1092="refOK",$BU1092,$BV1092)*IF($BR1092="Emissions positive",-1,1)</f>
        <v>-11200</v>
      </c>
      <c r="CV1092">
        <f>IF($CP1092="refOK",$BV1092,$BU1092)*IF($BR1092="Emissions positive",-1,1)</f>
        <v>-5870</v>
      </c>
      <c r="CW1092">
        <f>IF($CP1092="refNeedCorrection",-BZ1092,BZ1092)*IF($BR1092="Emissions positive",-1,1)</f>
        <v>5.33</v>
      </c>
      <c r="CX1092">
        <f>IFERROR($CW1092/$CS1092,"")</f>
        <v>0.11113617021276595</v>
      </c>
      <c r="CY1092">
        <f>IFERROR($CW1092/$CS1092,"")</f>
        <v>0.11113617021276595</v>
      </c>
      <c r="CZ1092">
        <f>IFERROR($CW1092/$CT1092,"")</f>
        <v>0.11113617021276595</v>
      </c>
      <c r="DA1092" s="2">
        <f>IFERROR((CV1092-CU1092)/ABS(CU1092),"")</f>
        <v>0.47589285714285712</v>
      </c>
      <c r="DB1092" s="1" t="s">
        <v>347</v>
      </c>
      <c r="DC1092" t="str">
        <f>IF(OR($DB1092="prd",$DB1092="std",$DB1092="cit"),"loc",IF(OR($DB1092="eur",$DB1092="reg",$DB1092="coy"),"reg",$DB1092))</f>
        <v>loc</v>
      </c>
      <c r="DD1092" t="s">
        <v>348</v>
      </c>
      <c r="DE1092">
        <v>2014</v>
      </c>
      <c r="DF1092">
        <v>2034</v>
      </c>
      <c r="DG1092">
        <v>20</v>
      </c>
      <c r="DH1092" t="str">
        <f>IF(DG1092=0,"0",IF(AND(DG1092&gt;=1,DG1092&lt;=30),"1-30",IF(AND(DG1092&gt;30,DG1092&lt;=70),"31-70",IF(AND(DG1092&gt;70,DG1092&lt;=100),"71-100",IF(DG1092&gt;100,"+100")))))</f>
        <v>1-30</v>
      </c>
      <c r="DI1092">
        <v>0</v>
      </c>
      <c r="DJ1092">
        <v>0</v>
      </c>
      <c r="DK1092">
        <v>0</v>
      </c>
      <c r="DL1092">
        <v>1</v>
      </c>
      <c r="DN1092">
        <f>SUM(DI1092:DL1092)</f>
        <v>1</v>
      </c>
      <c r="DO1092" t="str">
        <f>IF(DN1092=1,INDEX($DI$7:$DL$7,MATCH(1,$DI1092:$DL1092,0)),"mixedProduct")</f>
        <v>TimberInput</v>
      </c>
      <c r="DP1092">
        <f>IF(DI1092=1,DP$7,0)</f>
        <v>0</v>
      </c>
      <c r="DQ1092">
        <f>IF(DJ1092=1,DQ$7,0)</f>
        <v>0</v>
      </c>
      <c r="DR1092">
        <f>IF(DK1092=1,DR$7,0)</f>
        <v>0</v>
      </c>
      <c r="DS1092" t="str">
        <f>IF(DL1092=1,DS$7,0)</f>
        <v>Timber</v>
      </c>
      <c r="DT1092">
        <v>0</v>
      </c>
      <c r="DU1092">
        <v>0</v>
      </c>
      <c r="DV1092">
        <v>0</v>
      </c>
      <c r="DW1092">
        <v>0</v>
      </c>
      <c r="DX1092">
        <v>0</v>
      </c>
      <c r="DY1092">
        <f>SUM(DT1092:DU1092)</f>
        <v>0</v>
      </c>
      <c r="DZ1092" s="143" t="str">
        <f>IF(DT1092=1,"self-calculated DF",IF(DU1092=1,"external DF used","explicit C balance"))</f>
        <v>explicit C balance</v>
      </c>
      <c r="EA1092">
        <v>0</v>
      </c>
      <c r="EB1092">
        <v>0</v>
      </c>
      <c r="EC1092">
        <v>0</v>
      </c>
      <c r="ED1092">
        <v>1</v>
      </c>
      <c r="EE1092">
        <v>0</v>
      </c>
      <c r="EF1092" s="143">
        <v>1</v>
      </c>
      <c r="EG1092">
        <v>0</v>
      </c>
      <c r="EH1092">
        <v>1</v>
      </c>
      <c r="EI1092">
        <v>1</v>
      </c>
      <c r="EJ1092">
        <v>1</v>
      </c>
      <c r="EK1092">
        <v>0</v>
      </c>
      <c r="EL1092">
        <v>0</v>
      </c>
      <c r="EM1092">
        <v>0</v>
      </c>
      <c r="EN1092" s="2">
        <v>0</v>
      </c>
      <c r="EP1092" t="str">
        <f>IF(AND(AND(AND(OR($EC1092=1,$EB1092=1),OR($EH1092=1,$EF1092=1)),SUM($EA1092:$EE1092,$EK1092)&gt;=3),SUM($EF1092:$EJ1092)&gt;=2),"Whole sector approach","")</f>
        <v/>
      </c>
      <c r="EQ1092" t="str">
        <f>IF(AND(AND(OR($EC1092=1,$EB1092=1),AND($EH1092=0,$EF1092=0)),SUM($EA1092:$EE1092,$EK1092)&gt;=4),"Ecosystem approach","")</f>
        <v/>
      </c>
      <c r="ER1092" s="2" t="str">
        <f>IF(AND(AND(AND($EC1092=0,$EB1092=0),OR($EH1092=1,$EF1092=1)),SUM($EG1092:$EJ1092)&gt;=2),"Technology approach","")</f>
        <v>Technology approach</v>
      </c>
      <c r="ES1092" t="str">
        <f>IF(AND($EC1092+$EB1092+$EE1092+$EA1092+$ED1092+$EG1092=0,$N1092="included"),"C neutral forest and HWP assumption","")</f>
        <v/>
      </c>
      <c r="ET1092" t="str">
        <f>IF(AND(AND(AND(AND($EC1092=1,$EB1092+$EA1092+$EG1092&gt;=1),$EF1092=1),$EH1092+$EI1092+$ED1092+$EE1092&gt;=2),$N1092="included"),"All C pools assumption","")</f>
        <v/>
      </c>
      <c r="EU1092" t="str">
        <f>IF(AND($ED1092+$EE1092+$EI1092+$EH1092+$EF1092=0,$N1092="included"),"In-situ only assumption","")</f>
        <v/>
      </c>
      <c r="EY1092" t="str">
        <f>IF(ISNUMBER(BW1092),IF(ABS(BW1092-[2]QC_indicators!$B$2)&gt;3*[2]QC_indicators!$C$2,"C ratio",IF(ISNUMBER(CA1092),IF(ABS(CA1092-[2]QC_indicators!$B$1)&gt;3*[2]QC_indicators!$C$1,"DF","no"))),IF(ISNUMBER(CA1092),IF(ABS(CA1092-[2]QC_indicators!$B$1)&gt;3*[2]QC_indicators!$C$1,"DF","no")))</f>
        <v>no</v>
      </c>
      <c r="FA1092" t="str">
        <f>IF(LEN($CY1092)=0,"",IF(AND($CY1092&lt;(-0.05),$ES1092="C neutral forest and HWP assumption"),"Cneutral paradox",IF(AND($CY1092&gt;0.05,$EU1092="In-situ only assumption"),"In-situ only paradox","")))</f>
        <v/>
      </c>
      <c r="FB1092" s="149" t="s">
        <v>349</v>
      </c>
      <c r="FD1092" s="260" t="s">
        <v>2948</v>
      </c>
    </row>
    <row r="1093" spans="1:160" ht="17" hidden="1">
      <c r="A1093" s="1" t="s">
        <v>532</v>
      </c>
      <c r="B1093" t="s">
        <v>533</v>
      </c>
      <c r="C1093" t="s">
        <v>534</v>
      </c>
      <c r="D1093" t="s">
        <v>535</v>
      </c>
      <c r="E1093" t="s">
        <v>536</v>
      </c>
      <c r="F1093" t="s">
        <v>537</v>
      </c>
      <c r="G1093" t="s">
        <v>538</v>
      </c>
      <c r="H1093" t="s">
        <v>254</v>
      </c>
      <c r="I1093">
        <v>2017</v>
      </c>
      <c r="J1093">
        <v>3</v>
      </c>
      <c r="K1093" t="s">
        <v>539</v>
      </c>
      <c r="M1093" t="str">
        <f>LEFT($D1093,FIND(",",$D1093)-1)&amp;"_"&amp;I1093&amp;L1093</f>
        <v>Crafford_2017</v>
      </c>
      <c r="N1093" t="s">
        <v>222</v>
      </c>
      <c r="O1093" s="145" t="s">
        <v>223</v>
      </c>
      <c r="Q1093" t="s">
        <v>256</v>
      </c>
      <c r="R1093" s="251" t="s">
        <v>225</v>
      </c>
      <c r="S1093" s="1" t="s">
        <v>545</v>
      </c>
      <c r="T1093" t="s">
        <v>541</v>
      </c>
      <c r="U1093" t="s">
        <v>542</v>
      </c>
      <c r="V1093" s="253">
        <v>0</v>
      </c>
      <c r="W1093" s="253">
        <v>0</v>
      </c>
      <c r="X1093">
        <v>0</v>
      </c>
      <c r="Y1093">
        <v>0</v>
      </c>
      <c r="Z1093">
        <v>0</v>
      </c>
      <c r="AA1093">
        <v>0</v>
      </c>
      <c r="AB1093">
        <v>1</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s="141">
        <f>COUNTIF(X1093:AY1093,"&lt;&gt;0")</f>
        <v>1</v>
      </c>
      <c r="BA1093" s="141">
        <f>COUNTIF(X1093:AN1093,"&lt;&gt;0")</f>
        <v>1</v>
      </c>
      <c r="BB1093">
        <f>COUNTIF(X1093:AE1093,"&lt;&gt;0")</f>
        <v>1</v>
      </c>
      <c r="BC1093">
        <f>COUNTIF(AF1093:AK1093,"&lt;&gt;0")</f>
        <v>0</v>
      </c>
      <c r="BD1093">
        <f>COUNTIF(AL1093:AN1093,"&lt;&gt;0")</f>
        <v>0</v>
      </c>
      <c r="BE1093">
        <f>COUNTIF(AU1093:AY1093,"&lt;&gt;0")</f>
        <v>0</v>
      </c>
      <c r="BF1093">
        <f>COUNTIF(AO1093:AT1093,"&lt;&gt;0")</f>
        <v>0</v>
      </c>
      <c r="BG1093" t="str">
        <f t="array" ref="BG1093">IF(BA1093=1,INDEX($X$7:$AN$7,MATCH(TRUE,INDEX($X1093:$AY1093&lt;&gt;0,),0)),IF(BA1093=0,INDEX($AO$7:$AY$7,MATCH(1,$AO1093:$AY1093,0)),IF(BH1093="Multiple strategies","mixed drivers",IF(BH1093="Supply chain","multiple supply","multiple silviculture"))))</f>
        <v>species</v>
      </c>
      <c r="BH1093" s="2" t="str" cm="1">
        <f t="array" ref="BH1093">IF(COUNTIF(BB1093:BD1093,"&lt;&gt;0")=1,INDEX($X$4:$AY$4,MATCH(TRUE,INDEX($X1093:$AY1093&lt;&gt;0,),0)),IF(COUNTIF(BB1093:BD1093,"&lt;&gt;0")=0,INDEX($AO$4:$AY$4,MATCH(1,$AO1093:$AY1093,0)),"Multiple strategies"))</f>
        <v>Silviculture for productivity</v>
      </c>
      <c r="BI1093" s="1" t="s">
        <v>229</v>
      </c>
      <c r="BJ1093" t="s">
        <v>543</v>
      </c>
      <c r="BK1093" t="s">
        <v>424</v>
      </c>
      <c r="BL1093" t="s">
        <v>498</v>
      </c>
      <c r="BM1093">
        <v>6.05</v>
      </c>
      <c r="BN1093">
        <v>6.05</v>
      </c>
      <c r="BP1093">
        <f>BN1093-BM1093</f>
        <v>0</v>
      </c>
      <c r="BQ1093">
        <f>BP1093</f>
        <v>0</v>
      </c>
      <c r="BR1093" t="s">
        <v>232</v>
      </c>
      <c r="BS1093" s="256" t="s">
        <v>2965</v>
      </c>
      <c r="BT1093" t="s">
        <v>397</v>
      </c>
      <c r="BU1093">
        <v>-1242</v>
      </c>
      <c r="BV1093">
        <v>-873</v>
      </c>
      <c r="BW1093" s="144">
        <v>0.70289855072463769</v>
      </c>
      <c r="BX1093">
        <v>369</v>
      </c>
      <c r="BZ1093">
        <f>BX1093/1000</f>
        <v>0.36899999999999999</v>
      </c>
      <c r="CA1093" t="str">
        <f>IFERROR(BZ1093/BQ1093,"")</f>
        <v/>
      </c>
      <c r="CB1093">
        <v>1</v>
      </c>
      <c r="CC1093">
        <v>0</v>
      </c>
      <c r="CD1093">
        <v>0</v>
      </c>
      <c r="CE1093">
        <v>0</v>
      </c>
      <c r="CF1093">
        <v>0</v>
      </c>
      <c r="CG1093">
        <v>0</v>
      </c>
      <c r="CH1093">
        <v>0</v>
      </c>
      <c r="CI1093">
        <v>0</v>
      </c>
      <c r="CJ1093">
        <v>0</v>
      </c>
      <c r="CK1093">
        <v>0</v>
      </c>
      <c r="CL1093">
        <v>0</v>
      </c>
      <c r="CM1093">
        <v>0</v>
      </c>
      <c r="CN1093">
        <v>0</v>
      </c>
      <c r="CO1093">
        <v>0</v>
      </c>
      <c r="CP1093" t="str">
        <f>IF($BN1093&lt;$BM1093,"refNeedCorrection","refOK")</f>
        <v>refOK</v>
      </c>
      <c r="CQ1093">
        <f>IF($CP1093="refOK",$BM1093,$BN1093)</f>
        <v>6.05</v>
      </c>
      <c r="CR1093">
        <f>IF($CP1093="refOK",$BN1093,$BM1093)</f>
        <v>6.05</v>
      </c>
      <c r="CS1093">
        <f>IF($CP1093="refOK",$BQ1093,-$BQ1093)</f>
        <v>0</v>
      </c>
      <c r="CT1093">
        <f>IF(BI1093="Roundwood",$CS1093/2,$CS1093)</f>
        <v>0</v>
      </c>
      <c r="CU1093">
        <f>IF($CP1093="refOK",$BU1093,$BV1093)*IF($BR1093="Emissions positive",-1,1)</f>
        <v>-1242</v>
      </c>
      <c r="CV1093">
        <f>IF($CP1093="refOK",$BV1093,$BU1093)*IF($BR1093="Emissions positive",-1,1)</f>
        <v>-873</v>
      </c>
      <c r="CW1093">
        <f>IF($CP1093="refNeedCorrection",-BZ1093,BZ1093)*IF($BR1093="Emissions positive",-1,1)</f>
        <v>0.36899999999999999</v>
      </c>
      <c r="CX1093" t="str">
        <f>IFERROR($CW1093/$CS1093,"")</f>
        <v/>
      </c>
      <c r="CY1093" t="str">
        <f>IFERROR($CW1093/$CS1093,"")</f>
        <v/>
      </c>
      <c r="CZ1093" t="str">
        <f>IFERROR($CW1093/$CT1093,"")</f>
        <v/>
      </c>
      <c r="DA1093" s="2">
        <f>IFERROR((CV1093-CU1093)/ABS(CU1093),"")</f>
        <v>0.29710144927536231</v>
      </c>
      <c r="DB1093" s="1" t="s">
        <v>263</v>
      </c>
      <c r="DC1093" t="str">
        <f>IF(OR($DB1093="prd",$DB1093="std",$DB1093="cit"),"loc",IF(OR($DB1093="eur",$DB1093="reg",$DB1093="coy"),"reg",$DB1093))</f>
        <v>loc</v>
      </c>
      <c r="DD1093" t="s">
        <v>544</v>
      </c>
      <c r="DG1093">
        <v>0</v>
      </c>
      <c r="DH1093" t="str">
        <f>IF(DG1093=0,"0",IF(AND(DG1093&gt;=1,DG1093&lt;=30),"1-30",IF(AND(DG1093&gt;30,DG1093&lt;=70),"31-70",IF(AND(DG1093&gt;70,DG1093&lt;=100),"71-100",IF(DG1093&gt;100,"+100")))))</f>
        <v>0</v>
      </c>
      <c r="DI1093">
        <v>0</v>
      </c>
      <c r="DJ1093">
        <v>0</v>
      </c>
      <c r="DK1093">
        <v>0</v>
      </c>
      <c r="DL1093">
        <v>1</v>
      </c>
      <c r="DN1093">
        <f>SUM(DI1093:DL1093)</f>
        <v>1</v>
      </c>
      <c r="DO1093" t="str">
        <f>IF(DN1093=1,INDEX($DI$7:$DL$7,MATCH(1,$DI1093:$DL1093,0)),"mixedProduct")</f>
        <v>TimberInput</v>
      </c>
      <c r="DP1093">
        <f>IF(DI1093=1,DP$7,0)</f>
        <v>0</v>
      </c>
      <c r="DQ1093">
        <f>IF(DJ1093=1,DQ$7,0)</f>
        <v>0</v>
      </c>
      <c r="DR1093">
        <f>IF(DK1093=1,DR$7,0)</f>
        <v>0</v>
      </c>
      <c r="DS1093" t="str">
        <f>IF(DL1093=1,DS$7,0)</f>
        <v>Timber</v>
      </c>
      <c r="DT1093">
        <v>0</v>
      </c>
      <c r="DU1093">
        <v>0</v>
      </c>
      <c r="DV1093">
        <v>0</v>
      </c>
      <c r="DW1093">
        <v>0</v>
      </c>
      <c r="DX1093">
        <v>0</v>
      </c>
      <c r="DY1093">
        <f>SUM(DT1093:DU1093)</f>
        <v>0</v>
      </c>
      <c r="DZ1093" s="143" t="str">
        <f>IF(DT1093=1,"self-calculated DF",IF(DU1093=1,"external DF used","explicit C balance"))</f>
        <v>explicit C balance</v>
      </c>
      <c r="EA1093">
        <v>0</v>
      </c>
      <c r="EB1093">
        <v>0</v>
      </c>
      <c r="EC1093">
        <v>0</v>
      </c>
      <c r="ED1093">
        <v>1</v>
      </c>
      <c r="EE1093">
        <v>1</v>
      </c>
      <c r="EF1093" s="143">
        <v>0</v>
      </c>
      <c r="EG1093">
        <v>0</v>
      </c>
      <c r="EH1093">
        <v>1</v>
      </c>
      <c r="EI1093">
        <v>0</v>
      </c>
      <c r="EJ1093">
        <v>1</v>
      </c>
      <c r="EK1093">
        <v>0</v>
      </c>
      <c r="EL1093">
        <v>0</v>
      </c>
      <c r="EM1093">
        <v>0</v>
      </c>
      <c r="EN1093" s="2">
        <v>0</v>
      </c>
      <c r="EP1093" t="str">
        <f>IF(AND(AND(AND(OR($EC1093=1,$EB1093=1),OR($EH1093=1,$EF1093=1)),SUM($EA1093:$EE1093,$EK1093)&gt;=3),SUM($EF1093:$EJ1093)&gt;=2),"Whole sector approach","")</f>
        <v/>
      </c>
      <c r="EQ1093" t="str">
        <f>IF(AND(AND(OR($EC1093=1,$EB1093=1),AND($EH1093=0,$EF1093=0)),SUM($EA1093:$EE1093,$EK1093)&gt;=4),"Ecosystem approach","")</f>
        <v/>
      </c>
      <c r="ER1093" s="2" t="str">
        <f>IF(AND(AND(AND($EC1093=0,$EB1093=0),OR($EH1093=1,$EF1093=1)),SUM($EG1093:$EJ1093)&gt;=2),"Technology approach","")</f>
        <v>Technology approach</v>
      </c>
      <c r="ES1093" t="str">
        <f>IF(AND($EC1093+$EB1093+$EE1093+$EA1093+$ED1093+$EG1093=0,$N1093="included"),"C neutral forest and HWP assumption","")</f>
        <v/>
      </c>
      <c r="ET1093" t="str">
        <f>IF(AND(AND(AND(AND($EC1093=1,$EB1093+$EA1093+$EG1093&gt;=1),$EF1093=1),$EH1093+$EI1093+$ED1093+$EE1093&gt;=2),$N1093="included"),"All C pools assumption","")</f>
        <v/>
      </c>
      <c r="EU1093" t="str">
        <f>IF(AND($ED1093+$EE1093+$EI1093+$EH1093+$EF1093=0,$N1093="included"),"In-situ only assumption","")</f>
        <v/>
      </c>
      <c r="EY1093" t="b">
        <f>IF(ISNUMBER(BW1093),IF(ABS(BW1093-[6]QC_indicators!$B$2)&gt;3*[6]QC_indicators!$C$2,"C ratio",IF(ISNUMBER(CA1093),IF(ABS(CA1093-[6]QC_indicators!$B$1)&gt;3*[6]QC_indicators!$C$1,"DF","no"))),IF(ISNUMBER(CA1093),IF(ABS(CA1093-[6]QC_indicators!$B$1)&gt;3*[6]QC_indicators!$C$1,"DF","no")))</f>
        <v>0</v>
      </c>
      <c r="FA1093" t="str">
        <f>IF(LEN($CY1093)=0,"",IF(AND($CY1093&lt;(-0.05),$ES1093="C neutral forest and HWP assumption"),"Cneutral paradox",IF(AND($CY1093&gt;0.05,$EU1093="In-situ only assumption"),"In-situ only paradox","")))</f>
        <v/>
      </c>
      <c r="FB1093" s="149" t="s">
        <v>349</v>
      </c>
      <c r="FD1093" s="260" t="s">
        <v>2948</v>
      </c>
    </row>
    <row r="1094" spans="1:160" ht="15" hidden="1" customHeight="1">
      <c r="A1094" s="1" t="s">
        <v>532</v>
      </c>
      <c r="B1094" t="s">
        <v>533</v>
      </c>
      <c r="C1094" t="s">
        <v>534</v>
      </c>
      <c r="D1094" t="s">
        <v>535</v>
      </c>
      <c r="E1094" t="s">
        <v>536</v>
      </c>
      <c r="F1094" t="s">
        <v>537</v>
      </c>
      <c r="G1094" t="s">
        <v>538</v>
      </c>
      <c r="H1094" t="s">
        <v>254</v>
      </c>
      <c r="I1094">
        <v>2017</v>
      </c>
      <c r="J1094">
        <v>3</v>
      </c>
      <c r="K1094" t="s">
        <v>539</v>
      </c>
      <c r="M1094" t="str">
        <f>LEFT($D1094,FIND(",",$D1094)-1)&amp;"_"&amp;I1094&amp;L1094</f>
        <v>Crafford_2017</v>
      </c>
      <c r="N1094" t="s">
        <v>222</v>
      </c>
      <c r="O1094" s="145" t="s">
        <v>223</v>
      </c>
      <c r="Q1094" t="s">
        <v>256</v>
      </c>
      <c r="R1094" s="251" t="s">
        <v>225</v>
      </c>
      <c r="S1094" s="1" t="s">
        <v>540</v>
      </c>
      <c r="T1094" t="s">
        <v>542</v>
      </c>
      <c r="U1094" t="s">
        <v>541</v>
      </c>
      <c r="V1094" s="253">
        <v>0</v>
      </c>
      <c r="W1094" s="253">
        <v>0</v>
      </c>
      <c r="X1094">
        <v>0</v>
      </c>
      <c r="Y1094">
        <v>0</v>
      </c>
      <c r="Z1094">
        <v>0</v>
      </c>
      <c r="AA1094">
        <v>0</v>
      </c>
      <c r="AB1094">
        <v>1</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s="141">
        <f>COUNTIF(X1094:AY1094,"&lt;&gt;0")</f>
        <v>1</v>
      </c>
      <c r="BA1094" s="141">
        <f>COUNTIF(X1094:AN1094,"&lt;&gt;0")</f>
        <v>1</v>
      </c>
      <c r="BB1094">
        <f>COUNTIF(X1094:AE1094,"&lt;&gt;0")</f>
        <v>1</v>
      </c>
      <c r="BC1094">
        <f>COUNTIF(AF1094:AK1094,"&lt;&gt;0")</f>
        <v>0</v>
      </c>
      <c r="BD1094">
        <f>COUNTIF(AL1094:AN1094,"&lt;&gt;0")</f>
        <v>0</v>
      </c>
      <c r="BE1094">
        <f>COUNTIF(AU1094:AY1094,"&lt;&gt;0")</f>
        <v>0</v>
      </c>
      <c r="BF1094">
        <f>COUNTIF(AO1094:AT1094,"&lt;&gt;0")</f>
        <v>0</v>
      </c>
      <c r="BG1094" t="str">
        <f t="array" ref="BG1094">IF(BA1094=1,INDEX($X$7:$AN$7,MATCH(TRUE,INDEX($X1094:$AY1094&lt;&gt;0,),0)),IF(BA1094=0,INDEX($AO$7:$AY$7,MATCH(1,$AO1094:$AY1094,0)),IF(BH1094="Multiple strategies","mixed drivers",IF(BH1094="Supply chain","multiple supply","multiple silviculture"))))</f>
        <v>species</v>
      </c>
      <c r="BH1094" s="2" t="str" cm="1">
        <f t="array" ref="BH1094">IF(COUNTIF(BB1094:BD1094,"&lt;&gt;0")=1,INDEX($X$4:$AY$4,MATCH(TRUE,INDEX($X1094:$AY1094&lt;&gt;0,),0)),IF(COUNTIF(BB1094:BD1094,"&lt;&gt;0")=0,INDEX($AO$4:$AY$4,MATCH(1,$AO1094:$AY1094,0)),"Multiple strategies"))</f>
        <v>Silviculture for productivity</v>
      </c>
      <c r="BI1094" s="1" t="s">
        <v>229</v>
      </c>
      <c r="BJ1094" t="s">
        <v>543</v>
      </c>
      <c r="BK1094" t="s">
        <v>424</v>
      </c>
      <c r="BL1094" t="s">
        <v>498</v>
      </c>
      <c r="BM1094">
        <v>1.33</v>
      </c>
      <c r="BN1094">
        <v>1.33</v>
      </c>
      <c r="BP1094">
        <f>BN1094-BM1094</f>
        <v>0</v>
      </c>
      <c r="BQ1094">
        <f>BP1094</f>
        <v>0</v>
      </c>
      <c r="BR1094" t="s">
        <v>232</v>
      </c>
      <c r="BS1094" s="256" t="s">
        <v>2964</v>
      </c>
      <c r="BT1094" t="s">
        <v>397</v>
      </c>
      <c r="BU1094" s="260">
        <v>919</v>
      </c>
      <c r="BV1094" s="260">
        <v>1224</v>
      </c>
      <c r="BW1094" s="144">
        <v>1.3318824809575627</v>
      </c>
      <c r="BX1094">
        <v>305</v>
      </c>
      <c r="BZ1094">
        <f>BX1094/1000</f>
        <v>0.30499999999999999</v>
      </c>
      <c r="CA1094" t="str">
        <f>IFERROR(BZ1094/BQ1094,"")</f>
        <v/>
      </c>
      <c r="CB1094">
        <v>1</v>
      </c>
      <c r="CC1094">
        <v>0</v>
      </c>
      <c r="CD1094">
        <v>0</v>
      </c>
      <c r="CE1094">
        <v>0</v>
      </c>
      <c r="CF1094">
        <v>0</v>
      </c>
      <c r="CG1094">
        <v>0</v>
      </c>
      <c r="CH1094">
        <v>0</v>
      </c>
      <c r="CI1094">
        <v>0</v>
      </c>
      <c r="CJ1094">
        <v>0</v>
      </c>
      <c r="CK1094">
        <v>0</v>
      </c>
      <c r="CL1094">
        <v>0</v>
      </c>
      <c r="CM1094">
        <v>0</v>
      </c>
      <c r="CN1094">
        <v>0</v>
      </c>
      <c r="CO1094">
        <v>0</v>
      </c>
      <c r="CP1094" t="str">
        <f>IF($BN1094&lt;$BM1094,"refNeedCorrection","refOK")</f>
        <v>refOK</v>
      </c>
      <c r="CQ1094">
        <f>IF($CP1094="refOK",$BM1094,$BN1094)</f>
        <v>1.33</v>
      </c>
      <c r="CR1094">
        <f>IF($CP1094="refOK",$BN1094,$BM1094)</f>
        <v>1.33</v>
      </c>
      <c r="CS1094">
        <f>IF($CP1094="refOK",$BQ1094,-$BQ1094)</f>
        <v>0</v>
      </c>
      <c r="CT1094">
        <f>IF(BI1094="Roundwood",$CS1094/2,$CS1094)</f>
        <v>0</v>
      </c>
      <c r="CU1094">
        <f>IF($CP1094="refOK",$BU1094,$BV1094)*IF($BR1094="Emissions positive",-1,1)</f>
        <v>919</v>
      </c>
      <c r="CV1094">
        <f>IF($CP1094="refOK",$BV1094,$BU1094)*IF($BR1094="Emissions positive",-1,1)</f>
        <v>1224</v>
      </c>
      <c r="CW1094">
        <f>IF($CP1094="refNeedCorrection",-BZ1094,BZ1094)*IF($BR1094="Emissions positive",-1,1)</f>
        <v>0.30499999999999999</v>
      </c>
      <c r="CX1094" t="str">
        <f>IFERROR($CW1094/$CS1094,"")</f>
        <v/>
      </c>
      <c r="CY1094" t="str">
        <f>IFERROR($CW1094/$CS1094,"")</f>
        <v/>
      </c>
      <c r="CZ1094" t="str">
        <f>IFERROR($CW1094/$CT1094,"")</f>
        <v/>
      </c>
      <c r="DA1094" s="2">
        <f>IFERROR((CV1094-CU1094)/ABS(CU1094),"")</f>
        <v>0.33188248095756256</v>
      </c>
      <c r="DB1094" s="1" t="s">
        <v>263</v>
      </c>
      <c r="DC1094" t="str">
        <f>IF(OR($DB1094="prd",$DB1094="std",$DB1094="cit"),"loc",IF(OR($DB1094="eur",$DB1094="reg",$DB1094="coy"),"reg",$DB1094))</f>
        <v>loc</v>
      </c>
      <c r="DD1094" t="s">
        <v>544</v>
      </c>
      <c r="DG1094">
        <v>0</v>
      </c>
      <c r="DH1094" t="str">
        <f>IF(DG1094=0,"0",IF(AND(DG1094&gt;=1,DG1094&lt;=30),"1-30",IF(AND(DG1094&gt;30,DG1094&lt;=70),"31-70",IF(AND(DG1094&gt;70,DG1094&lt;=100),"71-100",IF(DG1094&gt;100,"+100")))))</f>
        <v>0</v>
      </c>
      <c r="DI1094">
        <v>0</v>
      </c>
      <c r="DJ1094">
        <v>0</v>
      </c>
      <c r="DK1094">
        <v>0</v>
      </c>
      <c r="DL1094">
        <v>1</v>
      </c>
      <c r="DN1094">
        <f>SUM(DI1094:DL1094)</f>
        <v>1</v>
      </c>
      <c r="DO1094" t="str">
        <f>IF(DN1094=1,INDEX($DI$7:$DL$7,MATCH(1,$DI1094:$DL1094,0)),"mixedProduct")</f>
        <v>TimberInput</v>
      </c>
      <c r="DP1094">
        <f>IF(DI1094=1,DP$7,0)</f>
        <v>0</v>
      </c>
      <c r="DQ1094">
        <f>IF(DJ1094=1,DQ$7,0)</f>
        <v>0</v>
      </c>
      <c r="DR1094">
        <f>IF(DK1094=1,DR$7,0)</f>
        <v>0</v>
      </c>
      <c r="DS1094" t="str">
        <f>IF(DL1094=1,DS$7,0)</f>
        <v>Timber</v>
      </c>
      <c r="DT1094">
        <v>0</v>
      </c>
      <c r="DU1094">
        <v>0</v>
      </c>
      <c r="DV1094">
        <v>0</v>
      </c>
      <c r="DW1094">
        <v>0</v>
      </c>
      <c r="DX1094">
        <v>0</v>
      </c>
      <c r="DY1094">
        <f>SUM(DT1094:DU1094)</f>
        <v>0</v>
      </c>
      <c r="DZ1094" s="143" t="str">
        <f>IF(DT1094=1,"self-calculated DF",IF(DU1094=1,"external DF used","explicit C balance"))</f>
        <v>explicit C balance</v>
      </c>
      <c r="EA1094">
        <v>0</v>
      </c>
      <c r="EB1094">
        <v>0</v>
      </c>
      <c r="EC1094">
        <v>0</v>
      </c>
      <c r="ED1094">
        <v>1</v>
      </c>
      <c r="EE1094">
        <v>1</v>
      </c>
      <c r="EF1094" s="143">
        <v>0</v>
      </c>
      <c r="EG1094">
        <v>0</v>
      </c>
      <c r="EH1094">
        <v>1</v>
      </c>
      <c r="EI1094">
        <v>0</v>
      </c>
      <c r="EJ1094">
        <v>1</v>
      </c>
      <c r="EK1094">
        <v>0</v>
      </c>
      <c r="EL1094">
        <v>0</v>
      </c>
      <c r="EM1094">
        <v>0</v>
      </c>
      <c r="EN1094" s="2">
        <v>0</v>
      </c>
      <c r="EP1094" t="str">
        <f>IF(AND(AND(AND(OR($EC1094=1,$EB1094=1),OR($EH1094=1,$EF1094=1)),SUM($EA1094:$EE1094,$EK1094)&gt;=3),SUM($EF1094:$EJ1094)&gt;=2),"Whole sector approach","")</f>
        <v/>
      </c>
      <c r="EQ1094" t="str">
        <f>IF(AND(AND(OR($EC1094=1,$EB1094=1),AND($EH1094=0,$EF1094=0)),SUM($EA1094:$EE1094,$EK1094)&gt;=4),"Ecosystem approach","")</f>
        <v/>
      </c>
      <c r="ER1094" s="2" t="str">
        <f>IF(AND(AND(AND($EC1094=0,$EB1094=0),OR($EH1094=1,$EF1094=1)),SUM($EG1094:$EJ1094)&gt;=2),"Technology approach","")</f>
        <v>Technology approach</v>
      </c>
      <c r="ES1094" t="str">
        <f>IF(AND($EC1094+$EB1094+$EE1094+$EA1094+$ED1094+$EG1094=0,$N1094="included"),"C neutral forest and HWP assumption","")</f>
        <v/>
      </c>
      <c r="ET1094" t="str">
        <f>IF(AND(AND(AND(AND($EC1094=1,$EB1094+$EA1094+$EG1094&gt;=1),$EF1094=1),$EH1094+$EI1094+$ED1094+$EE1094&gt;=2),$N1094="included"),"All C pools assumption","")</f>
        <v/>
      </c>
      <c r="EU1094" t="str">
        <f>IF(AND($ED1094+$EE1094+$EI1094+$EH1094+$EF1094=0,$N1094="included"),"In-situ only assumption","")</f>
        <v/>
      </c>
      <c r="EY1094" t="b">
        <f>IF(ISNUMBER(BW1094),IF(ABS(BW1094-[6]QC_indicators!$B$2)&gt;3*[6]QC_indicators!$C$2,"C ratio",IF(ISNUMBER(CA1094),IF(ABS(CA1094-[6]QC_indicators!$B$1)&gt;3*[6]QC_indicators!$C$1,"DF","no"))),IF(ISNUMBER(CA1094),IF(ABS(CA1094-[6]QC_indicators!$B$1)&gt;3*[6]QC_indicators!$C$1,"DF","no")))</f>
        <v>0</v>
      </c>
      <c r="FA1094" t="str">
        <f>IF(LEN($CY1094)=0,"",IF(AND($CY1094&lt;(-0.05),$ES1094="C neutral forest and HWP assumption"),"Cneutral paradox",IF(AND($CY1094&gt;0.05,$EU1094="In-situ only assumption"),"In-situ only paradox","")))</f>
        <v/>
      </c>
      <c r="FB1094" s="149" t="s">
        <v>349</v>
      </c>
      <c r="FD1094" s="260" t="s">
        <v>2948</v>
      </c>
    </row>
    <row r="1095" spans="1:160" ht="15" hidden="1" customHeight="1">
      <c r="A1095" s="1" t="s">
        <v>532</v>
      </c>
      <c r="B1095" t="s">
        <v>533</v>
      </c>
      <c r="C1095" t="s">
        <v>534</v>
      </c>
      <c r="D1095" t="s">
        <v>535</v>
      </c>
      <c r="E1095" t="s">
        <v>536</v>
      </c>
      <c r="F1095" t="s">
        <v>537</v>
      </c>
      <c r="G1095" t="s">
        <v>538</v>
      </c>
      <c r="H1095" t="s">
        <v>254</v>
      </c>
      <c r="I1095">
        <v>2017</v>
      </c>
      <c r="J1095">
        <v>3</v>
      </c>
      <c r="K1095" t="s">
        <v>539</v>
      </c>
      <c r="M1095" t="str">
        <f>LEFT($D1095,FIND(",",$D1095)-1)&amp;"_"&amp;I1095&amp;L1095</f>
        <v>Crafford_2017</v>
      </c>
      <c r="N1095" t="s">
        <v>222</v>
      </c>
      <c r="O1095" s="145" t="s">
        <v>223</v>
      </c>
      <c r="Q1095" t="s">
        <v>256</v>
      </c>
      <c r="R1095" s="251" t="s">
        <v>225</v>
      </c>
      <c r="S1095" s="1" t="s">
        <v>545</v>
      </c>
      <c r="T1095" t="s">
        <v>542</v>
      </c>
      <c r="U1095" t="s">
        <v>541</v>
      </c>
      <c r="V1095" s="253">
        <v>0</v>
      </c>
      <c r="W1095" s="253">
        <v>0</v>
      </c>
      <c r="X1095">
        <v>0</v>
      </c>
      <c r="Y1095">
        <v>0</v>
      </c>
      <c r="Z1095">
        <v>0</v>
      </c>
      <c r="AA1095">
        <v>0</v>
      </c>
      <c r="AB1095">
        <v>1</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s="141">
        <f>COUNTIF(X1095:AY1095,"&lt;&gt;0")</f>
        <v>1</v>
      </c>
      <c r="BA1095" s="141">
        <f>COUNTIF(X1095:AN1095,"&lt;&gt;0")</f>
        <v>1</v>
      </c>
      <c r="BB1095">
        <f>COUNTIF(X1095:AE1095,"&lt;&gt;0")</f>
        <v>1</v>
      </c>
      <c r="BC1095">
        <f>COUNTIF(AF1095:AK1095,"&lt;&gt;0")</f>
        <v>0</v>
      </c>
      <c r="BD1095">
        <f>COUNTIF(AL1095:AN1095,"&lt;&gt;0")</f>
        <v>0</v>
      </c>
      <c r="BE1095">
        <f>COUNTIF(AU1095:AY1095,"&lt;&gt;0")</f>
        <v>0</v>
      </c>
      <c r="BF1095">
        <f>COUNTIF(AO1095:AT1095,"&lt;&gt;0")</f>
        <v>0</v>
      </c>
      <c r="BG1095" t="str">
        <f t="array" ref="BG1095">IF(BA1095=1,INDEX($X$7:$AN$7,MATCH(TRUE,INDEX($X1095:$AY1095&lt;&gt;0,),0)),IF(BA1095=0,INDEX($AO$7:$AY$7,MATCH(1,$AO1095:$AY1095,0)),IF(BH1095="Multiple strategies","mixed drivers",IF(BH1095="Supply chain","multiple supply","multiple silviculture"))))</f>
        <v>species</v>
      </c>
      <c r="BH1095" s="2" t="str" cm="1">
        <f t="array" ref="BH1095">IF(COUNTIF(BB1095:BD1095,"&lt;&gt;0")=1,INDEX($X$4:$AY$4,MATCH(TRUE,INDEX($X1095:$AY1095&lt;&gt;0,),0)),IF(COUNTIF(BB1095:BD1095,"&lt;&gt;0")=0,INDEX($AO$4:$AY$4,MATCH(1,$AO1095:$AY1095,0)),"Multiple strategies"))</f>
        <v>Silviculture for productivity</v>
      </c>
      <c r="BI1095" s="1" t="s">
        <v>229</v>
      </c>
      <c r="BJ1095" t="s">
        <v>543</v>
      </c>
      <c r="BK1095" t="s">
        <v>424</v>
      </c>
      <c r="BL1095" t="s">
        <v>498</v>
      </c>
      <c r="BM1095">
        <v>6.05</v>
      </c>
      <c r="BN1095">
        <v>6.05</v>
      </c>
      <c r="BP1095">
        <f>BN1095-BM1095</f>
        <v>0</v>
      </c>
      <c r="BQ1095">
        <f>BP1095</f>
        <v>0</v>
      </c>
      <c r="BR1095" t="s">
        <v>232</v>
      </c>
      <c r="BS1095" s="256" t="s">
        <v>2966</v>
      </c>
      <c r="BT1095" t="s">
        <v>397</v>
      </c>
      <c r="BU1095" s="141">
        <v>3721</v>
      </c>
      <c r="BV1095" s="141">
        <v>5100</v>
      </c>
      <c r="BW1095" s="144">
        <v>1.3705993012631013</v>
      </c>
      <c r="BX1095">
        <v>1379</v>
      </c>
      <c r="BZ1095">
        <f>BX1095/1000</f>
        <v>1.379</v>
      </c>
      <c r="CA1095" t="str">
        <f>IFERROR(BZ1095/BQ1095,"")</f>
        <v/>
      </c>
      <c r="CB1095">
        <v>1</v>
      </c>
      <c r="CC1095">
        <v>0</v>
      </c>
      <c r="CD1095">
        <v>0</v>
      </c>
      <c r="CE1095">
        <v>0</v>
      </c>
      <c r="CF1095">
        <v>0</v>
      </c>
      <c r="CG1095">
        <v>0</v>
      </c>
      <c r="CH1095">
        <v>0</v>
      </c>
      <c r="CI1095">
        <v>0</v>
      </c>
      <c r="CJ1095">
        <v>0</v>
      </c>
      <c r="CK1095">
        <v>0</v>
      </c>
      <c r="CL1095">
        <v>0</v>
      </c>
      <c r="CM1095">
        <v>0</v>
      </c>
      <c r="CN1095">
        <v>0</v>
      </c>
      <c r="CO1095">
        <v>0</v>
      </c>
      <c r="CP1095" t="str">
        <f>IF($BN1095&lt;$BM1095,"refNeedCorrection","refOK")</f>
        <v>refOK</v>
      </c>
      <c r="CQ1095">
        <f>IF($CP1095="refOK",$BM1095,$BN1095)</f>
        <v>6.05</v>
      </c>
      <c r="CR1095">
        <f>IF($CP1095="refOK",$BN1095,$BM1095)</f>
        <v>6.05</v>
      </c>
      <c r="CS1095">
        <f>IF($CP1095="refOK",$BQ1095,-$BQ1095)</f>
        <v>0</v>
      </c>
      <c r="CT1095">
        <f>IF(BI1095="Roundwood",$CS1095/2,$CS1095)</f>
        <v>0</v>
      </c>
      <c r="CU1095">
        <f>IF($CP1095="refOK",$BU1095,$BV1095)*IF($BR1095="Emissions positive",-1,1)</f>
        <v>3721</v>
      </c>
      <c r="CV1095">
        <f>IF($CP1095="refOK",$BV1095,$BU1095)*IF($BR1095="Emissions positive",-1,1)</f>
        <v>5100</v>
      </c>
      <c r="CW1095">
        <f>IF($CP1095="refNeedCorrection",-BZ1095,BZ1095)*IF($BR1095="Emissions positive",-1,1)</f>
        <v>1.379</v>
      </c>
      <c r="CX1095" t="str">
        <f>IFERROR($CW1095/$CS1095,"")</f>
        <v/>
      </c>
      <c r="CY1095" t="str">
        <f>IFERROR($CW1095/$CS1095,"")</f>
        <v/>
      </c>
      <c r="CZ1095" t="str">
        <f>IFERROR($CW1095/$CT1095,"")</f>
        <v/>
      </c>
      <c r="DA1095" s="2">
        <f>IFERROR((CV1095-CU1095)/ABS(CU1095),"")</f>
        <v>0.37059930126310131</v>
      </c>
      <c r="DB1095" s="1" t="s">
        <v>263</v>
      </c>
      <c r="DC1095" t="str">
        <f>IF(OR($DB1095="prd",$DB1095="std",$DB1095="cit"),"loc",IF(OR($DB1095="eur",$DB1095="reg",$DB1095="coy"),"reg",$DB1095))</f>
        <v>loc</v>
      </c>
      <c r="DD1095" t="s">
        <v>544</v>
      </c>
      <c r="DG1095">
        <v>0</v>
      </c>
      <c r="DH1095" t="str">
        <f>IF(DG1095=0,"0",IF(AND(DG1095&gt;=1,DG1095&lt;=30),"1-30",IF(AND(DG1095&gt;30,DG1095&lt;=70),"31-70",IF(AND(DG1095&gt;70,DG1095&lt;=100),"71-100",IF(DG1095&gt;100,"+100")))))</f>
        <v>0</v>
      </c>
      <c r="DI1095">
        <v>0</v>
      </c>
      <c r="DJ1095">
        <v>0</v>
      </c>
      <c r="DK1095">
        <v>0</v>
      </c>
      <c r="DL1095">
        <v>1</v>
      </c>
      <c r="DN1095">
        <f>SUM(DI1095:DL1095)</f>
        <v>1</v>
      </c>
      <c r="DO1095" t="str">
        <f>IF(DN1095=1,INDEX($DI$7:$DL$7,MATCH(1,$DI1095:$DL1095,0)),"mixedProduct")</f>
        <v>TimberInput</v>
      </c>
      <c r="DP1095">
        <f>IF(DI1095=1,DP$7,0)</f>
        <v>0</v>
      </c>
      <c r="DQ1095">
        <f>IF(DJ1095=1,DQ$7,0)</f>
        <v>0</v>
      </c>
      <c r="DR1095">
        <f>IF(DK1095=1,DR$7,0)</f>
        <v>0</v>
      </c>
      <c r="DS1095" t="str">
        <f>IF(DL1095=1,DS$7,0)</f>
        <v>Timber</v>
      </c>
      <c r="DT1095">
        <v>0</v>
      </c>
      <c r="DU1095">
        <v>0</v>
      </c>
      <c r="DV1095">
        <v>0</v>
      </c>
      <c r="DW1095">
        <v>0</v>
      </c>
      <c r="DX1095">
        <v>0</v>
      </c>
      <c r="DY1095">
        <f>SUM(DT1095:DU1095)</f>
        <v>0</v>
      </c>
      <c r="DZ1095" s="143" t="str">
        <f>IF(DT1095=1,"self-calculated DF",IF(DU1095=1,"external DF used","explicit C balance"))</f>
        <v>explicit C balance</v>
      </c>
      <c r="EA1095">
        <v>0</v>
      </c>
      <c r="EB1095">
        <v>0</v>
      </c>
      <c r="EC1095">
        <v>0</v>
      </c>
      <c r="ED1095">
        <v>1</v>
      </c>
      <c r="EE1095">
        <v>1</v>
      </c>
      <c r="EF1095" s="143">
        <v>0</v>
      </c>
      <c r="EG1095">
        <v>0</v>
      </c>
      <c r="EH1095">
        <v>1</v>
      </c>
      <c r="EI1095">
        <v>0</v>
      </c>
      <c r="EJ1095">
        <v>1</v>
      </c>
      <c r="EK1095">
        <v>0</v>
      </c>
      <c r="EL1095">
        <v>0</v>
      </c>
      <c r="EM1095">
        <v>0</v>
      </c>
      <c r="EN1095" s="2">
        <v>0</v>
      </c>
      <c r="EP1095" t="str">
        <f>IF(AND(AND(AND(OR($EC1095=1,$EB1095=1),OR($EH1095=1,$EF1095=1)),SUM($EA1095:$EE1095,$EK1095)&gt;=3),SUM($EF1095:$EJ1095)&gt;=2),"Whole sector approach","")</f>
        <v/>
      </c>
      <c r="EQ1095" t="str">
        <f>IF(AND(AND(OR($EC1095=1,$EB1095=1),AND($EH1095=0,$EF1095=0)),SUM($EA1095:$EE1095,$EK1095)&gt;=4),"Ecosystem approach","")</f>
        <v/>
      </c>
      <c r="ER1095" s="2" t="str">
        <f>IF(AND(AND(AND($EC1095=0,$EB1095=0),OR($EH1095=1,$EF1095=1)),SUM($EG1095:$EJ1095)&gt;=2),"Technology approach","")</f>
        <v>Technology approach</v>
      </c>
      <c r="ES1095" t="str">
        <f>IF(AND($EC1095+$EB1095+$EE1095+$EA1095+$ED1095+$EG1095=0,$N1095="included"),"C neutral forest and HWP assumption","")</f>
        <v/>
      </c>
      <c r="ET1095" t="str">
        <f>IF(AND(AND(AND(AND($EC1095=1,$EB1095+$EA1095+$EG1095&gt;=1),$EF1095=1),$EH1095+$EI1095+$ED1095+$EE1095&gt;=2),$N1095="included"),"All C pools assumption","")</f>
        <v/>
      </c>
      <c r="EU1095" t="str">
        <f>IF(AND($ED1095+$EE1095+$EI1095+$EH1095+$EF1095=0,$N1095="included"),"In-situ only assumption","")</f>
        <v/>
      </c>
      <c r="EY1095" t="b">
        <f>IF(ISNUMBER(BW1095),IF(ABS(BW1095-[6]QC_indicators!$B$2)&gt;3*[6]QC_indicators!$C$2,"C ratio",IF(ISNUMBER(CA1095),IF(ABS(CA1095-[6]QC_indicators!$B$1)&gt;3*[6]QC_indicators!$C$1,"DF","no"))),IF(ISNUMBER(CA1095),IF(ABS(CA1095-[6]QC_indicators!$B$1)&gt;3*[6]QC_indicators!$C$1,"DF","no")))</f>
        <v>0</v>
      </c>
      <c r="FA1095" t="str">
        <f>IF(LEN($CY1095)=0,"",IF(AND($CY1095&lt;(-0.05),$ES1095="C neutral forest and HWP assumption"),"Cneutral paradox",IF(AND($CY1095&gt;0.05,$EU1095="In-situ only assumption"),"In-situ only paradox","")))</f>
        <v/>
      </c>
      <c r="FB1095" s="149" t="s">
        <v>349</v>
      </c>
      <c r="FD1095" s="260" t="s">
        <v>2948</v>
      </c>
    </row>
    <row r="1096" spans="1:160" ht="68" hidden="1">
      <c r="A1096" s="1" t="s">
        <v>532</v>
      </c>
      <c r="B1096" t="s">
        <v>533</v>
      </c>
      <c r="C1096" t="s">
        <v>534</v>
      </c>
      <c r="D1096" t="s">
        <v>535</v>
      </c>
      <c r="E1096" t="s">
        <v>536</v>
      </c>
      <c r="F1096" t="s">
        <v>537</v>
      </c>
      <c r="G1096" t="s">
        <v>538</v>
      </c>
      <c r="H1096" t="s">
        <v>254</v>
      </c>
      <c r="I1096">
        <v>2017</v>
      </c>
      <c r="J1096">
        <v>3</v>
      </c>
      <c r="K1096" t="s">
        <v>539</v>
      </c>
      <c r="M1096" t="str">
        <f>LEFT($D1096,FIND(",",$D1096)-1)&amp;"_"&amp;I1096&amp;L1096</f>
        <v>Crafford_2017</v>
      </c>
      <c r="N1096" t="s">
        <v>222</v>
      </c>
      <c r="O1096" s="145" t="s">
        <v>223</v>
      </c>
      <c r="Q1096" t="s">
        <v>256</v>
      </c>
      <c r="R1096" s="251" t="s">
        <v>225</v>
      </c>
      <c r="S1096" s="1" t="s">
        <v>540</v>
      </c>
      <c r="T1096" t="s">
        <v>541</v>
      </c>
      <c r="U1096" t="s">
        <v>542</v>
      </c>
      <c r="V1096" s="253">
        <v>0</v>
      </c>
      <c r="W1096" s="253">
        <v>0</v>
      </c>
      <c r="X1096">
        <v>0</v>
      </c>
      <c r="Y1096">
        <v>0</v>
      </c>
      <c r="Z1096">
        <v>0</v>
      </c>
      <c r="AA1096">
        <v>0</v>
      </c>
      <c r="AB1096">
        <v>1</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s="141">
        <f>COUNTIF(X1096:AY1096,"&lt;&gt;0")</f>
        <v>1</v>
      </c>
      <c r="BA1096" s="141">
        <f>COUNTIF(X1096:AN1096,"&lt;&gt;0")</f>
        <v>1</v>
      </c>
      <c r="BB1096">
        <f>COUNTIF(X1096:AE1096,"&lt;&gt;0")</f>
        <v>1</v>
      </c>
      <c r="BC1096">
        <f>COUNTIF(AF1096:AK1096,"&lt;&gt;0")</f>
        <v>0</v>
      </c>
      <c r="BD1096">
        <f>COUNTIF(AL1096:AN1096,"&lt;&gt;0")</f>
        <v>0</v>
      </c>
      <c r="BE1096">
        <f>COUNTIF(AU1096:AY1096,"&lt;&gt;0")</f>
        <v>0</v>
      </c>
      <c r="BF1096">
        <f>COUNTIF(AO1096:AT1096,"&lt;&gt;0")</f>
        <v>0</v>
      </c>
      <c r="BG1096" t="str">
        <f t="array" ref="BG1096">IF(BA1096=1,INDEX($X$7:$AN$7,MATCH(TRUE,INDEX($X1096:$AY1096&lt;&gt;0,),0)),IF(BA1096=0,INDEX($AO$7:$AY$7,MATCH(1,$AO1096:$AY1096,0)),IF(BH1096="Multiple strategies","mixed drivers",IF(BH1096="Supply chain","multiple supply","multiple silviculture"))))</f>
        <v>species</v>
      </c>
      <c r="BH1096" s="2" t="str" cm="1">
        <f t="array" ref="BH1096">IF(COUNTIF(BB1096:BD1096,"&lt;&gt;0")=1,INDEX($X$4:$AY$4,MATCH(TRUE,INDEX($X1096:$AY1096&lt;&gt;0,),0)),IF(COUNTIF(BB1096:BD1096,"&lt;&gt;0")=0,INDEX($AO$4:$AY$4,MATCH(1,$AO1096:$AY1096,0)),"Multiple strategies"))</f>
        <v>Silviculture for productivity</v>
      </c>
      <c r="BI1096" s="1" t="s">
        <v>229</v>
      </c>
      <c r="BJ1096" t="s">
        <v>543</v>
      </c>
      <c r="BK1096" t="s">
        <v>424</v>
      </c>
      <c r="BL1096" t="s">
        <v>498</v>
      </c>
      <c r="BM1096">
        <v>1.33</v>
      </c>
      <c r="BN1096">
        <v>1.33</v>
      </c>
      <c r="BP1096">
        <f>BN1096-BM1096</f>
        <v>0</v>
      </c>
      <c r="BQ1096">
        <f>BP1096</f>
        <v>0</v>
      </c>
      <c r="BR1096" t="s">
        <v>232</v>
      </c>
      <c r="BS1096" s="256" t="s">
        <v>2963</v>
      </c>
      <c r="BT1096" t="s">
        <v>397</v>
      </c>
      <c r="BU1096">
        <v>-164</v>
      </c>
      <c r="BV1096">
        <v>-85</v>
      </c>
      <c r="BW1096" s="144">
        <v>0.51829268292682928</v>
      </c>
      <c r="BX1096">
        <v>79</v>
      </c>
      <c r="BZ1096">
        <f>BX1096/1000</f>
        <v>7.9000000000000001E-2</v>
      </c>
      <c r="CA1096" t="str">
        <f>IFERROR(BZ1096/BQ1096,"")</f>
        <v/>
      </c>
      <c r="CB1096">
        <v>1</v>
      </c>
      <c r="CC1096">
        <v>0</v>
      </c>
      <c r="CD1096">
        <v>0</v>
      </c>
      <c r="CE1096">
        <v>0</v>
      </c>
      <c r="CF1096">
        <v>0</v>
      </c>
      <c r="CG1096">
        <v>0</v>
      </c>
      <c r="CH1096">
        <v>0</v>
      </c>
      <c r="CI1096">
        <v>0</v>
      </c>
      <c r="CJ1096">
        <v>0</v>
      </c>
      <c r="CK1096">
        <v>0</v>
      </c>
      <c r="CL1096">
        <v>0</v>
      </c>
      <c r="CM1096">
        <v>0</v>
      </c>
      <c r="CN1096">
        <v>0</v>
      </c>
      <c r="CO1096">
        <v>0</v>
      </c>
      <c r="CP1096" t="str">
        <f>IF($BN1096&lt;$BM1096,"refNeedCorrection","refOK")</f>
        <v>refOK</v>
      </c>
      <c r="CQ1096">
        <f>IF($CP1096="refOK",$BM1096,$BN1096)</f>
        <v>1.33</v>
      </c>
      <c r="CR1096">
        <f>IF($CP1096="refOK",$BN1096,$BM1096)</f>
        <v>1.33</v>
      </c>
      <c r="CS1096">
        <f>IF($CP1096="refOK",$BQ1096,-$BQ1096)</f>
        <v>0</v>
      </c>
      <c r="CT1096">
        <f>IF(BI1096="Roundwood",$CS1096/2,$CS1096)</f>
        <v>0</v>
      </c>
      <c r="CU1096">
        <f>IF($CP1096="refOK",$BU1096,$BV1096)*IF($BR1096="Emissions positive",-1,1)</f>
        <v>-164</v>
      </c>
      <c r="CV1096">
        <f>IF($CP1096="refOK",$BV1096,$BU1096)*IF($BR1096="Emissions positive",-1,1)</f>
        <v>-85</v>
      </c>
      <c r="CW1096">
        <f>IF($CP1096="refNeedCorrection",-BZ1096,BZ1096)*IF($BR1096="Emissions positive",-1,1)</f>
        <v>7.9000000000000001E-2</v>
      </c>
      <c r="CX1096" t="str">
        <f>IFERROR($CW1096/$CS1096,"")</f>
        <v/>
      </c>
      <c r="CY1096" t="str">
        <f>IFERROR($CW1096/$CS1096,"")</f>
        <v/>
      </c>
      <c r="CZ1096" t="str">
        <f>IFERROR($CW1096/$CT1096,"")</f>
        <v/>
      </c>
      <c r="DA1096" s="2">
        <f>IFERROR((CV1096-CU1096)/ABS(CU1096),"")</f>
        <v>0.48170731707317072</v>
      </c>
      <c r="DB1096" s="1" t="s">
        <v>263</v>
      </c>
      <c r="DC1096" t="str">
        <f>IF(OR($DB1096="prd",$DB1096="std",$DB1096="cit"),"loc",IF(OR($DB1096="eur",$DB1096="reg",$DB1096="coy"),"reg",$DB1096))</f>
        <v>loc</v>
      </c>
      <c r="DD1096" t="s">
        <v>544</v>
      </c>
      <c r="DG1096">
        <v>0</v>
      </c>
      <c r="DH1096" t="str">
        <f>IF(DG1096=0,"0",IF(AND(DG1096&gt;=1,DG1096&lt;=30),"1-30",IF(AND(DG1096&gt;30,DG1096&lt;=70),"31-70",IF(AND(DG1096&gt;70,DG1096&lt;=100),"71-100",IF(DG1096&gt;100,"+100")))))</f>
        <v>0</v>
      </c>
      <c r="DI1096">
        <v>0</v>
      </c>
      <c r="DJ1096">
        <v>0</v>
      </c>
      <c r="DK1096">
        <v>0</v>
      </c>
      <c r="DL1096">
        <v>1</v>
      </c>
      <c r="DN1096">
        <f>SUM(DI1096:DL1096)</f>
        <v>1</v>
      </c>
      <c r="DO1096" t="str">
        <f>IF(DN1096=1,INDEX($DI$7:$DL$7,MATCH(1,$DI1096:$DL1096,0)),"mixedProduct")</f>
        <v>TimberInput</v>
      </c>
      <c r="DP1096">
        <f>IF(DI1096=1,DP$7,0)</f>
        <v>0</v>
      </c>
      <c r="DQ1096">
        <f>IF(DJ1096=1,DQ$7,0)</f>
        <v>0</v>
      </c>
      <c r="DR1096">
        <f>IF(DK1096=1,DR$7,0)</f>
        <v>0</v>
      </c>
      <c r="DS1096" t="str">
        <f>IF(DL1096=1,DS$7,0)</f>
        <v>Timber</v>
      </c>
      <c r="DT1096">
        <v>0</v>
      </c>
      <c r="DU1096">
        <v>0</v>
      </c>
      <c r="DV1096">
        <v>0</v>
      </c>
      <c r="DW1096">
        <v>0</v>
      </c>
      <c r="DX1096">
        <v>0</v>
      </c>
      <c r="DY1096">
        <f>SUM(DT1096:DU1096)</f>
        <v>0</v>
      </c>
      <c r="DZ1096" s="143" t="str">
        <f>IF(DT1096=1,"self-calculated DF",IF(DU1096=1,"external DF used","explicit C balance"))</f>
        <v>explicit C balance</v>
      </c>
      <c r="EA1096">
        <v>0</v>
      </c>
      <c r="EB1096">
        <v>0</v>
      </c>
      <c r="EC1096">
        <v>0</v>
      </c>
      <c r="ED1096">
        <v>1</v>
      </c>
      <c r="EE1096">
        <v>1</v>
      </c>
      <c r="EF1096" s="143">
        <v>0</v>
      </c>
      <c r="EG1096">
        <v>0</v>
      </c>
      <c r="EH1096">
        <v>1</v>
      </c>
      <c r="EI1096">
        <v>0</v>
      </c>
      <c r="EJ1096">
        <v>1</v>
      </c>
      <c r="EK1096">
        <v>0</v>
      </c>
      <c r="EL1096">
        <v>0</v>
      </c>
      <c r="EM1096">
        <v>0</v>
      </c>
      <c r="EN1096" s="2">
        <v>0</v>
      </c>
      <c r="EP1096" t="str">
        <f>IF(AND(AND(AND(OR($EC1096=1,$EB1096=1),OR($EH1096=1,$EF1096=1)),SUM($EA1096:$EE1096,$EK1096)&gt;=3),SUM($EF1096:$EJ1096)&gt;=2),"Whole sector approach","")</f>
        <v/>
      </c>
      <c r="EQ1096" t="str">
        <f>IF(AND(AND(OR($EC1096=1,$EB1096=1),AND($EH1096=0,$EF1096=0)),SUM($EA1096:$EE1096,$EK1096)&gt;=4),"Ecosystem approach","")</f>
        <v/>
      </c>
      <c r="ER1096" s="2" t="str">
        <f>IF(AND(AND(AND($EC1096=0,$EB1096=0),OR($EH1096=1,$EF1096=1)),SUM($EG1096:$EJ1096)&gt;=2),"Technology approach","")</f>
        <v>Technology approach</v>
      </c>
      <c r="ES1096" t="str">
        <f>IF(AND($EC1096+$EB1096+$EE1096+$EA1096+$ED1096+$EG1096=0,$N1096="included"),"C neutral forest and HWP assumption","")</f>
        <v/>
      </c>
      <c r="ET1096" t="str">
        <f>IF(AND(AND(AND(AND($EC1096=1,$EB1096+$EA1096+$EG1096&gt;=1),$EF1096=1),$EH1096+$EI1096+$ED1096+$EE1096&gt;=2),$N1096="included"),"All C pools assumption","")</f>
        <v/>
      </c>
      <c r="EU1096" t="str">
        <f>IF(AND($ED1096+$EE1096+$EI1096+$EH1096+$EF1096=0,$N1096="included"),"In-situ only assumption","")</f>
        <v/>
      </c>
      <c r="EY1096" t="b">
        <f>IF(ISNUMBER(BW1096),IF(ABS(BW1096-[6]QC_indicators!$B$2)&gt;3*[6]QC_indicators!$C$2,"C ratio",IF(ISNUMBER(CA1096),IF(ABS(CA1096-[6]QC_indicators!$B$1)&gt;3*[6]QC_indicators!$C$1,"DF","no"))),IF(ISNUMBER(CA1096),IF(ABS(CA1096-[6]QC_indicators!$B$1)&gt;3*[6]QC_indicators!$C$1,"DF","no")))</f>
        <v>0</v>
      </c>
      <c r="FA1096" t="str">
        <f>IF(LEN($CY1096)=0,"",IF(AND($CY1096&lt;(-0.05),$ES1096="C neutral forest and HWP assumption"),"Cneutral paradox",IF(AND($CY1096&gt;0.05,$EU1096="In-situ only assumption"),"In-situ only paradox","")))</f>
        <v/>
      </c>
      <c r="FB1096" s="149" t="s">
        <v>349</v>
      </c>
      <c r="FD1096" s="260" t="s">
        <v>2948</v>
      </c>
    </row>
    <row r="1097" spans="1:160" ht="15" hidden="1" customHeight="1">
      <c r="A1097" s="1" t="s">
        <v>532</v>
      </c>
      <c r="B1097" t="s">
        <v>533</v>
      </c>
      <c r="C1097" t="s">
        <v>534</v>
      </c>
      <c r="D1097" t="s">
        <v>535</v>
      </c>
      <c r="E1097" t="s">
        <v>536</v>
      </c>
      <c r="F1097" t="s">
        <v>537</v>
      </c>
      <c r="G1097" t="s">
        <v>538</v>
      </c>
      <c r="H1097" t="s">
        <v>254</v>
      </c>
      <c r="I1097">
        <v>2017</v>
      </c>
      <c r="J1097">
        <v>3</v>
      </c>
      <c r="K1097" t="s">
        <v>539</v>
      </c>
      <c r="M1097" t="str">
        <f>LEFT($D1097,FIND(",",$D1097)-1)&amp;"_"&amp;I1097&amp;L1097</f>
        <v>Crafford_2017</v>
      </c>
      <c r="N1097" t="s">
        <v>222</v>
      </c>
      <c r="O1097" s="145" t="s">
        <v>223</v>
      </c>
      <c r="Q1097" t="s">
        <v>256</v>
      </c>
      <c r="R1097" s="251" t="s">
        <v>225</v>
      </c>
      <c r="S1097" s="1" t="s">
        <v>548</v>
      </c>
      <c r="T1097" t="s">
        <v>547</v>
      </c>
      <c r="U1097" t="s">
        <v>541</v>
      </c>
      <c r="V1097" s="253">
        <v>0</v>
      </c>
      <c r="W1097" s="253">
        <v>0</v>
      </c>
      <c r="X1097">
        <v>0</v>
      </c>
      <c r="Y1097">
        <v>0</v>
      </c>
      <c r="Z1097">
        <v>0</v>
      </c>
      <c r="AA1097">
        <v>0</v>
      </c>
      <c r="AB1097">
        <v>0</v>
      </c>
      <c r="AC1097">
        <v>0</v>
      </c>
      <c r="AD1097">
        <v>0</v>
      </c>
      <c r="AE1097">
        <v>0</v>
      </c>
      <c r="AF1097">
        <v>0</v>
      </c>
      <c r="AG1097">
        <v>0</v>
      </c>
      <c r="AH1097">
        <v>0</v>
      </c>
      <c r="AI1097">
        <v>0</v>
      </c>
      <c r="AJ1097">
        <v>0</v>
      </c>
      <c r="AK1097">
        <v>0</v>
      </c>
      <c r="AL1097">
        <v>0</v>
      </c>
      <c r="AM1097">
        <v>1</v>
      </c>
      <c r="AN1097">
        <v>0</v>
      </c>
      <c r="AO1097">
        <v>0</v>
      </c>
      <c r="AP1097">
        <v>0</v>
      </c>
      <c r="AQ1097">
        <v>0</v>
      </c>
      <c r="AR1097">
        <v>0</v>
      </c>
      <c r="AS1097">
        <v>0</v>
      </c>
      <c r="AT1097">
        <v>0</v>
      </c>
      <c r="AU1097">
        <v>0</v>
      </c>
      <c r="AV1097">
        <v>0</v>
      </c>
      <c r="AW1097">
        <v>0</v>
      </c>
      <c r="AX1097">
        <v>0</v>
      </c>
      <c r="AY1097">
        <v>0</v>
      </c>
      <c r="AZ1097" s="141">
        <f>COUNTIF(X1097:AY1097,"&lt;&gt;0")</f>
        <v>1</v>
      </c>
      <c r="BA1097" s="141">
        <f>COUNTIF(X1097:AN1097,"&lt;&gt;0")</f>
        <v>1</v>
      </c>
      <c r="BB1097">
        <f>COUNTIF(X1097:AE1097,"&lt;&gt;0")</f>
        <v>0</v>
      </c>
      <c r="BC1097">
        <f>COUNTIF(AF1097:AK1097,"&lt;&gt;0")</f>
        <v>0</v>
      </c>
      <c r="BD1097">
        <f>COUNTIF(AL1097:AN1097,"&lt;&gt;0")</f>
        <v>1</v>
      </c>
      <c r="BE1097">
        <f>COUNTIF(AU1097:AY1097,"&lt;&gt;0")</f>
        <v>0</v>
      </c>
      <c r="BF1097">
        <f>COUNTIF(AO1097:AT1097,"&lt;&gt;0")</f>
        <v>0</v>
      </c>
      <c r="BG1097" t="str">
        <f t="array" ref="BG1097">IF(BA1097=1,INDEX($X$7:$AN$7,MATCH(TRUE,INDEX($X1097:$AY1097&lt;&gt;0,),0)),IF(BA1097=0,INDEX($AO$7:$AY$7,MATCH(1,$AO1097:$AY1097,0)),IF(BH1097="Multiple strategies","mixed drivers",IF(BH1097="Supply chain","multiple supply","multiple silviculture"))))</f>
        <v>technologies/design switch</v>
      </c>
      <c r="BH1097" s="2" t="str" cm="1">
        <f t="array" ref="BH1097">IF(COUNTIF(BB1097:BD1097,"&lt;&gt;0")=1,INDEX($X$4:$AY$4,MATCH(TRUE,INDEX($X1097:$AY1097&lt;&gt;0,),0)),IF(COUNTIF(BB1097:BD1097,"&lt;&gt;0")=0,INDEX($AO$4:$AY$4,MATCH(1,$AO1097:$AY1097,0)),"Multiple strategies"))</f>
        <v>Technology</v>
      </c>
      <c r="BI1097" s="1" t="s">
        <v>229</v>
      </c>
      <c r="BJ1097" t="s">
        <v>543</v>
      </c>
      <c r="BK1097" t="s">
        <v>424</v>
      </c>
      <c r="BL1097" t="s">
        <v>498</v>
      </c>
      <c r="BM1097">
        <v>0</v>
      </c>
      <c r="BN1097">
        <v>6.05</v>
      </c>
      <c r="BP1097">
        <f>BN1097-BM1097</f>
        <v>6.05</v>
      </c>
      <c r="BQ1097">
        <f>BP1097</f>
        <v>6.05</v>
      </c>
      <c r="BR1097" t="s">
        <v>232</v>
      </c>
      <c r="BS1097" s="256" t="s">
        <v>2974</v>
      </c>
      <c r="BT1097" t="s">
        <v>397</v>
      </c>
      <c r="BU1097">
        <v>-6445</v>
      </c>
      <c r="BV1097">
        <v>5100</v>
      </c>
      <c r="BW1097" s="144">
        <v>-0.79131109387121801</v>
      </c>
      <c r="BX1097">
        <v>11545</v>
      </c>
      <c r="BZ1097">
        <f>BX1097/1000</f>
        <v>11.545</v>
      </c>
      <c r="CA1097">
        <f>IFERROR(BZ1097/BQ1097,"")</f>
        <v>1.9082644628099175</v>
      </c>
      <c r="CB1097">
        <v>1</v>
      </c>
      <c r="CC1097">
        <v>0</v>
      </c>
      <c r="CD1097">
        <v>0</v>
      </c>
      <c r="CE1097">
        <v>0</v>
      </c>
      <c r="CF1097">
        <v>0</v>
      </c>
      <c r="CG1097">
        <v>0</v>
      </c>
      <c r="CH1097">
        <v>0</v>
      </c>
      <c r="CI1097">
        <v>0</v>
      </c>
      <c r="CJ1097">
        <v>0</v>
      </c>
      <c r="CK1097">
        <v>0</v>
      </c>
      <c r="CL1097">
        <v>0</v>
      </c>
      <c r="CM1097">
        <v>0</v>
      </c>
      <c r="CN1097">
        <v>0</v>
      </c>
      <c r="CO1097">
        <v>0</v>
      </c>
      <c r="CP1097" t="str">
        <f>IF($BN1097&lt;$BM1097,"refNeedCorrection","refOK")</f>
        <v>refOK</v>
      </c>
      <c r="CQ1097">
        <f>IF($CP1097="refOK",$BM1097,$BN1097)</f>
        <v>0</v>
      </c>
      <c r="CR1097">
        <f>IF($CP1097="refOK",$BN1097,$BM1097)</f>
        <v>6.05</v>
      </c>
      <c r="CS1097">
        <f>IF($CP1097="refOK",$BQ1097,-$BQ1097)</f>
        <v>6.05</v>
      </c>
      <c r="CT1097">
        <f>IF(BI1097="Roundwood",$CS1097/2,$CS1097)</f>
        <v>6.05</v>
      </c>
      <c r="CU1097">
        <f>IF($CP1097="refOK",$BU1097,$BV1097)*IF($BR1097="Emissions positive",-1,1)</f>
        <v>-6445</v>
      </c>
      <c r="CV1097">
        <f>IF($CP1097="refOK",$BV1097,$BU1097)*IF($BR1097="Emissions positive",-1,1)</f>
        <v>5100</v>
      </c>
      <c r="CW1097">
        <f>IF($CP1097="refNeedCorrection",-BZ1097,BZ1097)*IF($BR1097="Emissions positive",-1,1)</f>
        <v>11.545</v>
      </c>
      <c r="CX1097">
        <f>IFERROR($CW1097/$CS1097,"")</f>
        <v>1.9082644628099175</v>
      </c>
      <c r="CY1097">
        <f>IFERROR($CW1097/$CS1097,"")</f>
        <v>1.9082644628099175</v>
      </c>
      <c r="CZ1097">
        <f>IFERROR($CW1097/$CT1097,"")</f>
        <v>1.9082644628099175</v>
      </c>
      <c r="DA1097" s="2">
        <f>IFERROR((CV1097-CU1097)/ABS(CU1097),"")</f>
        <v>1.791311093871218</v>
      </c>
      <c r="DB1097" s="1" t="s">
        <v>263</v>
      </c>
      <c r="DC1097" t="str">
        <f>IF(OR($DB1097="prd",$DB1097="std",$DB1097="cit"),"loc",IF(OR($DB1097="eur",$DB1097="reg",$DB1097="coy"),"reg",$DB1097))</f>
        <v>loc</v>
      </c>
      <c r="DD1097" t="s">
        <v>544</v>
      </c>
      <c r="DG1097">
        <v>0</v>
      </c>
      <c r="DH1097" t="str">
        <f>IF(DG1097=0,"0",IF(AND(DG1097&gt;=1,DG1097&lt;=30),"1-30",IF(AND(DG1097&gt;30,DG1097&lt;=70),"31-70",IF(AND(DG1097&gt;70,DG1097&lt;=100),"71-100",IF(DG1097&gt;100,"+100")))))</f>
        <v>0</v>
      </c>
      <c r="DI1097">
        <v>0</v>
      </c>
      <c r="DJ1097">
        <v>0</v>
      </c>
      <c r="DK1097">
        <v>0</v>
      </c>
      <c r="DL1097">
        <v>1</v>
      </c>
      <c r="DN1097">
        <f>SUM(DI1097:DL1097)</f>
        <v>1</v>
      </c>
      <c r="DO1097" t="str">
        <f>IF(DN1097=1,INDEX($DI$7:$DL$7,MATCH(1,$DI1097:$DL1097,0)),"mixedProduct")</f>
        <v>TimberInput</v>
      </c>
      <c r="DP1097">
        <f>IF(DI1097=1,DP$7,0)</f>
        <v>0</v>
      </c>
      <c r="DQ1097">
        <f>IF(DJ1097=1,DQ$7,0)</f>
        <v>0</v>
      </c>
      <c r="DR1097">
        <f>IF(DK1097=1,DR$7,0)</f>
        <v>0</v>
      </c>
      <c r="DS1097" t="str">
        <f>IF(DL1097=1,DS$7,0)</f>
        <v>Timber</v>
      </c>
      <c r="DT1097">
        <v>0</v>
      </c>
      <c r="DU1097">
        <v>0</v>
      </c>
      <c r="DV1097">
        <v>0</v>
      </c>
      <c r="DW1097">
        <v>0</v>
      </c>
      <c r="DX1097">
        <v>0</v>
      </c>
      <c r="DY1097">
        <f>SUM(DT1097:DU1097)</f>
        <v>0</v>
      </c>
      <c r="DZ1097" s="143" t="str">
        <f>IF(DT1097=1,"self-calculated DF",IF(DU1097=1,"external DF used","explicit C balance"))</f>
        <v>explicit C balance</v>
      </c>
      <c r="EA1097">
        <v>0</v>
      </c>
      <c r="EB1097">
        <v>0</v>
      </c>
      <c r="EC1097">
        <v>0</v>
      </c>
      <c r="ED1097">
        <v>1</v>
      </c>
      <c r="EE1097">
        <v>0</v>
      </c>
      <c r="EF1097" s="143">
        <v>0</v>
      </c>
      <c r="EG1097">
        <v>0</v>
      </c>
      <c r="EH1097">
        <v>1</v>
      </c>
      <c r="EI1097">
        <v>0</v>
      </c>
      <c r="EJ1097">
        <v>1</v>
      </c>
      <c r="EK1097">
        <v>0</v>
      </c>
      <c r="EL1097">
        <v>0</v>
      </c>
      <c r="EM1097">
        <v>0</v>
      </c>
      <c r="EN1097" s="2">
        <v>0</v>
      </c>
      <c r="EP1097" t="str">
        <f>IF(AND(AND(AND(OR($EC1097=1,$EB1097=1),OR($EH1097=1,$EF1097=1)),SUM($EA1097:$EE1097,$EK1097)&gt;=3),SUM($EF1097:$EJ1097)&gt;=2),"Whole sector approach","")</f>
        <v/>
      </c>
      <c r="EQ1097" t="str">
        <f>IF(AND(AND(OR($EC1097=1,$EB1097=1),AND($EH1097=0,$EF1097=0)),SUM($EA1097:$EE1097,$EK1097)&gt;=4),"Ecosystem approach","")</f>
        <v/>
      </c>
      <c r="ER1097" s="2" t="str">
        <f>IF(AND(AND(AND($EC1097=0,$EB1097=0),OR($EH1097=1,$EF1097=1)),SUM($EG1097:$EJ1097)&gt;=2),"Technology approach","")</f>
        <v>Technology approach</v>
      </c>
      <c r="ES1097" t="str">
        <f>IF(AND($EC1097+$EB1097+$EE1097+$EA1097+$ED1097+$EG1097=0,$N1097="included"),"C neutral forest and HWP assumption","")</f>
        <v/>
      </c>
      <c r="ET1097" t="str">
        <f>IF(AND(AND(AND(AND($EC1097=1,$EB1097+$EA1097+$EG1097&gt;=1),$EF1097=1),$EH1097+$EI1097+$ED1097+$EE1097&gt;=2),$N1097="included"),"All C pools assumption","")</f>
        <v/>
      </c>
      <c r="EU1097" t="str">
        <f>IF(AND($ED1097+$EE1097+$EI1097+$EH1097+$EF1097=0,$N1097="included"),"In-situ only assumption","")</f>
        <v/>
      </c>
      <c r="EY1097" t="str">
        <f>IF(ISNUMBER(BW1097),IF(ABS(BW1097-[6]QC_indicators!$B$2)&gt;3*[6]QC_indicators!$C$2,"C ratio",IF(ISNUMBER(CA1097),IF(ABS(CA1097-[6]QC_indicators!$B$1)&gt;3*[6]QC_indicators!$C$1,"DF","no"))),IF(ISNUMBER(CA1097),IF(ABS(CA1097-[6]QC_indicators!$B$1)&gt;3*[6]QC_indicators!$C$1,"DF","no")))</f>
        <v>no</v>
      </c>
      <c r="FA1097" t="str">
        <f>IF(LEN($CY1097)=0,"",IF(AND($CY1097&lt;(-0.05),$ES1097="C neutral forest and HWP assumption"),"Cneutral paradox",IF(AND($CY1097&gt;0.05,$EU1097="In-situ only assumption"),"In-situ only paradox","")))</f>
        <v/>
      </c>
      <c r="FB1097" s="149" t="s">
        <v>349</v>
      </c>
      <c r="FD1097" s="260" t="s">
        <v>2948</v>
      </c>
    </row>
    <row r="1098" spans="1:160" ht="15" hidden="1" customHeight="1">
      <c r="A1098" s="1" t="s">
        <v>532</v>
      </c>
      <c r="B1098" t="s">
        <v>533</v>
      </c>
      <c r="C1098" t="s">
        <v>534</v>
      </c>
      <c r="D1098" t="s">
        <v>535</v>
      </c>
      <c r="E1098" t="s">
        <v>536</v>
      </c>
      <c r="F1098" t="s">
        <v>537</v>
      </c>
      <c r="G1098" t="s">
        <v>538</v>
      </c>
      <c r="H1098" t="s">
        <v>254</v>
      </c>
      <c r="I1098">
        <v>2017</v>
      </c>
      <c r="J1098">
        <v>3</v>
      </c>
      <c r="K1098" t="s">
        <v>539</v>
      </c>
      <c r="M1098" t="str">
        <f>LEFT($D1098,FIND(",",$D1098)-1)&amp;"_"&amp;I1098&amp;L1098</f>
        <v>Crafford_2017</v>
      </c>
      <c r="N1098" t="s">
        <v>222</v>
      </c>
      <c r="O1098" s="145" t="s">
        <v>223</v>
      </c>
      <c r="Q1098" t="s">
        <v>256</v>
      </c>
      <c r="R1098" s="251" t="s">
        <v>225</v>
      </c>
      <c r="S1098" s="1" t="s">
        <v>548</v>
      </c>
      <c r="T1098" t="s">
        <v>547</v>
      </c>
      <c r="U1098" t="s">
        <v>542</v>
      </c>
      <c r="V1098" s="253">
        <v>0</v>
      </c>
      <c r="W1098" s="253">
        <v>0</v>
      </c>
      <c r="X1098">
        <v>0</v>
      </c>
      <c r="Y1098">
        <v>0</v>
      </c>
      <c r="Z1098">
        <v>0</v>
      </c>
      <c r="AA1098">
        <v>0</v>
      </c>
      <c r="AB1098">
        <v>0</v>
      </c>
      <c r="AC1098">
        <v>0</v>
      </c>
      <c r="AD1098">
        <v>0</v>
      </c>
      <c r="AE1098">
        <v>0</v>
      </c>
      <c r="AF1098">
        <v>0</v>
      </c>
      <c r="AG1098">
        <v>0</v>
      </c>
      <c r="AH1098">
        <v>0</v>
      </c>
      <c r="AI1098">
        <v>0</v>
      </c>
      <c r="AJ1098">
        <v>0</v>
      </c>
      <c r="AK1098">
        <v>0</v>
      </c>
      <c r="AL1098">
        <v>0</v>
      </c>
      <c r="AM1098">
        <v>1</v>
      </c>
      <c r="AN1098">
        <v>0</v>
      </c>
      <c r="AO1098">
        <v>0</v>
      </c>
      <c r="AP1098">
        <v>0</v>
      </c>
      <c r="AQ1098">
        <v>0</v>
      </c>
      <c r="AR1098">
        <v>0</v>
      </c>
      <c r="AS1098">
        <v>0</v>
      </c>
      <c r="AT1098">
        <v>0</v>
      </c>
      <c r="AU1098">
        <v>0</v>
      </c>
      <c r="AV1098">
        <v>0</v>
      </c>
      <c r="AW1098">
        <v>0</v>
      </c>
      <c r="AX1098">
        <v>0</v>
      </c>
      <c r="AY1098">
        <v>0</v>
      </c>
      <c r="AZ1098" s="141">
        <f>COUNTIF(X1098:AY1098,"&lt;&gt;0")</f>
        <v>1</v>
      </c>
      <c r="BA1098" s="141">
        <f>COUNTIF(X1098:AN1098,"&lt;&gt;0")</f>
        <v>1</v>
      </c>
      <c r="BB1098">
        <f>COUNTIF(X1098:AE1098,"&lt;&gt;0")</f>
        <v>0</v>
      </c>
      <c r="BC1098">
        <f>COUNTIF(AF1098:AK1098,"&lt;&gt;0")</f>
        <v>0</v>
      </c>
      <c r="BD1098">
        <f>COUNTIF(AL1098:AN1098,"&lt;&gt;0")</f>
        <v>1</v>
      </c>
      <c r="BE1098">
        <f>COUNTIF(AU1098:AY1098,"&lt;&gt;0")</f>
        <v>0</v>
      </c>
      <c r="BF1098">
        <f>COUNTIF(AO1098:AT1098,"&lt;&gt;0")</f>
        <v>0</v>
      </c>
      <c r="BG1098" t="str">
        <f t="array" ref="BG1098">IF(BA1098=1,INDEX($X$7:$AN$7,MATCH(TRUE,INDEX($X1098:$AY1098&lt;&gt;0,),0)),IF(BA1098=0,INDEX($AO$7:$AY$7,MATCH(1,$AO1098:$AY1098,0)),IF(BH1098="Multiple strategies","mixed drivers",IF(BH1098="Supply chain","multiple supply","multiple silviculture"))))</f>
        <v>technologies/design switch</v>
      </c>
      <c r="BH1098" s="2" t="str" cm="1">
        <f t="array" ref="BH1098">IF(COUNTIF(BB1098:BD1098,"&lt;&gt;0")=1,INDEX($X$4:$AY$4,MATCH(TRUE,INDEX($X1098:$AY1098&lt;&gt;0,),0)),IF(COUNTIF(BB1098:BD1098,"&lt;&gt;0")=0,INDEX($AO$4:$AY$4,MATCH(1,$AO1098:$AY1098,0)),"Multiple strategies"))</f>
        <v>Technology</v>
      </c>
      <c r="BI1098" s="1" t="s">
        <v>229</v>
      </c>
      <c r="BJ1098" t="s">
        <v>543</v>
      </c>
      <c r="BK1098" t="s">
        <v>424</v>
      </c>
      <c r="BL1098" t="s">
        <v>498</v>
      </c>
      <c r="BM1098">
        <v>0</v>
      </c>
      <c r="BN1098">
        <v>6.05</v>
      </c>
      <c r="BP1098">
        <f>BN1098-BM1098</f>
        <v>6.05</v>
      </c>
      <c r="BQ1098">
        <f>BP1098</f>
        <v>6.05</v>
      </c>
      <c r="BR1098" t="s">
        <v>232</v>
      </c>
      <c r="BS1098" s="256" t="s">
        <v>2973</v>
      </c>
      <c r="BT1098" t="s">
        <v>397</v>
      </c>
      <c r="BU1098">
        <v>-6445</v>
      </c>
      <c r="BV1098">
        <v>3721</v>
      </c>
      <c r="BW1098" s="144">
        <v>-0.57734678044996124</v>
      </c>
      <c r="BX1098">
        <v>10166</v>
      </c>
      <c r="BZ1098">
        <f>BX1098/1000</f>
        <v>10.166</v>
      </c>
      <c r="CA1098">
        <f>IFERROR(BZ1098/BQ1098,"")</f>
        <v>1.6803305785123968</v>
      </c>
      <c r="CB1098">
        <v>1</v>
      </c>
      <c r="CC1098">
        <v>0</v>
      </c>
      <c r="CD1098">
        <v>0</v>
      </c>
      <c r="CE1098">
        <v>0</v>
      </c>
      <c r="CF1098">
        <v>0</v>
      </c>
      <c r="CG1098">
        <v>0</v>
      </c>
      <c r="CH1098">
        <v>0</v>
      </c>
      <c r="CI1098">
        <v>0</v>
      </c>
      <c r="CJ1098">
        <v>0</v>
      </c>
      <c r="CK1098">
        <v>0</v>
      </c>
      <c r="CL1098">
        <v>0</v>
      </c>
      <c r="CM1098">
        <v>0</v>
      </c>
      <c r="CN1098">
        <v>0</v>
      </c>
      <c r="CO1098">
        <v>0</v>
      </c>
      <c r="CP1098" t="str">
        <f>IF($BN1098&lt;$BM1098,"refNeedCorrection","refOK")</f>
        <v>refOK</v>
      </c>
      <c r="CQ1098">
        <f>IF($CP1098="refOK",$BM1098,$BN1098)</f>
        <v>0</v>
      </c>
      <c r="CR1098">
        <f>IF($CP1098="refOK",$BN1098,$BM1098)</f>
        <v>6.05</v>
      </c>
      <c r="CS1098">
        <f>IF($CP1098="refOK",$BQ1098,-$BQ1098)</f>
        <v>6.05</v>
      </c>
      <c r="CT1098">
        <f>IF(BI1098="Roundwood",$CS1098/2,$CS1098)</f>
        <v>6.05</v>
      </c>
      <c r="CU1098">
        <f>IF($CP1098="refOK",$BU1098,$BV1098)*IF($BR1098="Emissions positive",-1,1)</f>
        <v>-6445</v>
      </c>
      <c r="CV1098">
        <f>IF($CP1098="refOK",$BV1098,$BU1098)*IF($BR1098="Emissions positive",-1,1)</f>
        <v>3721</v>
      </c>
      <c r="CW1098">
        <f>IF($CP1098="refNeedCorrection",-BZ1098,BZ1098)*IF($BR1098="Emissions positive",-1,1)</f>
        <v>10.166</v>
      </c>
      <c r="CX1098">
        <f>IFERROR($CW1098/$CS1098,"")</f>
        <v>1.6803305785123968</v>
      </c>
      <c r="CY1098">
        <f>IFERROR($CW1098/$CS1098,"")</f>
        <v>1.6803305785123968</v>
      </c>
      <c r="CZ1098">
        <f>IFERROR($CW1098/$CT1098,"")</f>
        <v>1.6803305785123968</v>
      </c>
      <c r="DA1098" s="2">
        <f>IFERROR((CV1098-CU1098)/ABS(CU1098),"")</f>
        <v>1.5773467804499612</v>
      </c>
      <c r="DB1098" s="1" t="s">
        <v>263</v>
      </c>
      <c r="DC1098" t="str">
        <f>IF(OR($DB1098="prd",$DB1098="std",$DB1098="cit"),"loc",IF(OR($DB1098="eur",$DB1098="reg",$DB1098="coy"),"reg",$DB1098))</f>
        <v>loc</v>
      </c>
      <c r="DD1098" t="s">
        <v>544</v>
      </c>
      <c r="DG1098">
        <v>0</v>
      </c>
      <c r="DH1098" t="str">
        <f>IF(DG1098=0,"0",IF(AND(DG1098&gt;=1,DG1098&lt;=30),"1-30",IF(AND(DG1098&gt;30,DG1098&lt;=70),"31-70",IF(AND(DG1098&gt;70,DG1098&lt;=100),"71-100",IF(DG1098&gt;100,"+100")))))</f>
        <v>0</v>
      </c>
      <c r="DI1098">
        <v>0</v>
      </c>
      <c r="DJ1098">
        <v>0</v>
      </c>
      <c r="DK1098">
        <v>0</v>
      </c>
      <c r="DL1098">
        <v>1</v>
      </c>
      <c r="DN1098">
        <f>SUM(DI1098:DL1098)</f>
        <v>1</v>
      </c>
      <c r="DO1098" t="str">
        <f>IF(DN1098=1,INDEX($DI$7:$DL$7,MATCH(1,$DI1098:$DL1098,0)),"mixedProduct")</f>
        <v>TimberInput</v>
      </c>
      <c r="DP1098">
        <f>IF(DI1098=1,DP$7,0)</f>
        <v>0</v>
      </c>
      <c r="DQ1098">
        <f>IF(DJ1098=1,DQ$7,0)</f>
        <v>0</v>
      </c>
      <c r="DR1098">
        <f>IF(DK1098=1,DR$7,0)</f>
        <v>0</v>
      </c>
      <c r="DS1098" t="str">
        <f>IF(DL1098=1,DS$7,0)</f>
        <v>Timber</v>
      </c>
      <c r="DT1098">
        <v>0</v>
      </c>
      <c r="DU1098">
        <v>0</v>
      </c>
      <c r="DV1098">
        <v>0</v>
      </c>
      <c r="DW1098">
        <v>0</v>
      </c>
      <c r="DX1098">
        <v>0</v>
      </c>
      <c r="DY1098">
        <f>SUM(DT1098:DU1098)</f>
        <v>0</v>
      </c>
      <c r="DZ1098" s="143" t="str">
        <f>IF(DT1098=1,"self-calculated DF",IF(DU1098=1,"external DF used","explicit C balance"))</f>
        <v>explicit C balance</v>
      </c>
      <c r="EA1098">
        <v>0</v>
      </c>
      <c r="EB1098">
        <v>0</v>
      </c>
      <c r="EC1098">
        <v>0</v>
      </c>
      <c r="ED1098">
        <v>1</v>
      </c>
      <c r="EE1098">
        <v>0</v>
      </c>
      <c r="EF1098" s="143">
        <v>0</v>
      </c>
      <c r="EG1098">
        <v>0</v>
      </c>
      <c r="EH1098">
        <v>1</v>
      </c>
      <c r="EI1098">
        <v>0</v>
      </c>
      <c r="EJ1098">
        <v>1</v>
      </c>
      <c r="EK1098">
        <v>0</v>
      </c>
      <c r="EL1098">
        <v>0</v>
      </c>
      <c r="EM1098">
        <v>0</v>
      </c>
      <c r="EN1098" s="2">
        <v>0</v>
      </c>
      <c r="EP1098" t="str">
        <f>IF(AND(AND(AND(OR($EC1098=1,$EB1098=1),OR($EH1098=1,$EF1098=1)),SUM($EA1098:$EE1098,$EK1098)&gt;=3),SUM($EF1098:$EJ1098)&gt;=2),"Whole sector approach","")</f>
        <v/>
      </c>
      <c r="EQ1098" t="str">
        <f>IF(AND(AND(OR($EC1098=1,$EB1098=1),AND($EH1098=0,$EF1098=0)),SUM($EA1098:$EE1098,$EK1098)&gt;=4),"Ecosystem approach","")</f>
        <v/>
      </c>
      <c r="ER1098" s="2" t="str">
        <f>IF(AND(AND(AND($EC1098=0,$EB1098=0),OR($EH1098=1,$EF1098=1)),SUM($EG1098:$EJ1098)&gt;=2),"Technology approach","")</f>
        <v>Technology approach</v>
      </c>
      <c r="ES1098" t="str">
        <f>IF(AND($EC1098+$EB1098+$EE1098+$EA1098+$ED1098+$EG1098=0,$N1098="included"),"C neutral forest and HWP assumption","")</f>
        <v/>
      </c>
      <c r="ET1098" t="str">
        <f>IF(AND(AND(AND(AND($EC1098=1,$EB1098+$EA1098+$EG1098&gt;=1),$EF1098=1),$EH1098+$EI1098+$ED1098+$EE1098&gt;=2),$N1098="included"),"All C pools assumption","")</f>
        <v/>
      </c>
      <c r="EU1098" t="str">
        <f>IF(AND($ED1098+$EE1098+$EI1098+$EH1098+$EF1098=0,$N1098="included"),"In-situ only assumption","")</f>
        <v/>
      </c>
      <c r="EY1098" t="str">
        <f>IF(ISNUMBER(BW1098),IF(ABS(BW1098-[6]QC_indicators!$B$2)&gt;3*[6]QC_indicators!$C$2,"C ratio",IF(ISNUMBER(CA1098),IF(ABS(CA1098-[6]QC_indicators!$B$1)&gt;3*[6]QC_indicators!$C$1,"DF","no"))),IF(ISNUMBER(CA1098),IF(ABS(CA1098-[6]QC_indicators!$B$1)&gt;3*[6]QC_indicators!$C$1,"DF","no")))</f>
        <v>no</v>
      </c>
      <c r="FA1098" t="str">
        <f>IF(LEN($CY1098)=0,"",IF(AND($CY1098&lt;(-0.05),$ES1098="C neutral forest and HWP assumption"),"Cneutral paradox",IF(AND($CY1098&gt;0.05,$EU1098="In-situ only assumption"),"In-situ only paradox","")))</f>
        <v/>
      </c>
      <c r="FB1098" s="149" t="s">
        <v>349</v>
      </c>
      <c r="FD1098" s="260" t="s">
        <v>2948</v>
      </c>
    </row>
    <row r="1099" spans="1:160" ht="15" hidden="1" customHeight="1">
      <c r="A1099" s="1" t="s">
        <v>532</v>
      </c>
      <c r="B1099" t="s">
        <v>533</v>
      </c>
      <c r="C1099" t="s">
        <v>534</v>
      </c>
      <c r="D1099" t="s">
        <v>535</v>
      </c>
      <c r="E1099" t="s">
        <v>536</v>
      </c>
      <c r="F1099" t="s">
        <v>537</v>
      </c>
      <c r="G1099" t="s">
        <v>538</v>
      </c>
      <c r="H1099" t="s">
        <v>254</v>
      </c>
      <c r="I1099">
        <v>2017</v>
      </c>
      <c r="J1099">
        <v>3</v>
      </c>
      <c r="K1099" t="s">
        <v>539</v>
      </c>
      <c r="M1099" t="str">
        <f>LEFT($D1099,FIND(",",$D1099)-1)&amp;"_"&amp;I1099&amp;L1099</f>
        <v>Crafford_2017</v>
      </c>
      <c r="N1099" t="s">
        <v>222</v>
      </c>
      <c r="O1099" s="145" t="s">
        <v>223</v>
      </c>
      <c r="Q1099" t="s">
        <v>256</v>
      </c>
      <c r="R1099" s="251" t="s">
        <v>225</v>
      </c>
      <c r="S1099" s="1" t="s">
        <v>546</v>
      </c>
      <c r="T1099" t="s">
        <v>547</v>
      </c>
      <c r="U1099" t="s">
        <v>541</v>
      </c>
      <c r="V1099" s="253">
        <v>0</v>
      </c>
      <c r="W1099" s="253">
        <v>0</v>
      </c>
      <c r="X1099">
        <v>0</v>
      </c>
      <c r="Y1099">
        <v>0</v>
      </c>
      <c r="Z1099">
        <v>0</v>
      </c>
      <c r="AA1099">
        <v>0</v>
      </c>
      <c r="AB1099">
        <v>0</v>
      </c>
      <c r="AC1099">
        <v>0</v>
      </c>
      <c r="AD1099">
        <v>0</v>
      </c>
      <c r="AE1099">
        <v>0</v>
      </c>
      <c r="AF1099">
        <v>0</v>
      </c>
      <c r="AG1099">
        <v>0</v>
      </c>
      <c r="AH1099">
        <v>0</v>
      </c>
      <c r="AI1099">
        <v>0</v>
      </c>
      <c r="AJ1099">
        <v>0</v>
      </c>
      <c r="AK1099">
        <v>0</v>
      </c>
      <c r="AL1099">
        <v>0</v>
      </c>
      <c r="AM1099">
        <v>1</v>
      </c>
      <c r="AN1099">
        <v>0</v>
      </c>
      <c r="AO1099">
        <v>0</v>
      </c>
      <c r="AP1099">
        <v>0</v>
      </c>
      <c r="AQ1099">
        <v>0</v>
      </c>
      <c r="AR1099">
        <v>0</v>
      </c>
      <c r="AS1099">
        <v>0</v>
      </c>
      <c r="AT1099">
        <v>0</v>
      </c>
      <c r="AU1099">
        <v>0</v>
      </c>
      <c r="AV1099">
        <v>0</v>
      </c>
      <c r="AW1099">
        <v>0</v>
      </c>
      <c r="AX1099">
        <v>0</v>
      </c>
      <c r="AY1099">
        <v>0</v>
      </c>
      <c r="AZ1099" s="141">
        <f>COUNTIF(X1099:AY1099,"&lt;&gt;0")</f>
        <v>1</v>
      </c>
      <c r="BA1099" s="141">
        <f>COUNTIF(X1099:AN1099,"&lt;&gt;0")</f>
        <v>1</v>
      </c>
      <c r="BB1099">
        <f>COUNTIF(X1099:AE1099,"&lt;&gt;0")</f>
        <v>0</v>
      </c>
      <c r="BC1099">
        <f>COUNTIF(AF1099:AK1099,"&lt;&gt;0")</f>
        <v>0</v>
      </c>
      <c r="BD1099">
        <f>COUNTIF(AL1099:AN1099,"&lt;&gt;0")</f>
        <v>1</v>
      </c>
      <c r="BE1099">
        <f>COUNTIF(AU1099:AY1099,"&lt;&gt;0")</f>
        <v>0</v>
      </c>
      <c r="BF1099">
        <f>COUNTIF(AO1099:AT1099,"&lt;&gt;0")</f>
        <v>0</v>
      </c>
      <c r="BG1099" t="str">
        <f t="array" ref="BG1099">IF(BA1099=1,INDEX($X$7:$AN$7,MATCH(TRUE,INDEX($X1099:$AY1099&lt;&gt;0,),0)),IF(BA1099=0,INDEX($AO$7:$AY$7,MATCH(1,$AO1099:$AY1099,0)),IF(BH1099="Multiple strategies","mixed drivers",IF(BH1099="Supply chain","multiple supply","multiple silviculture"))))</f>
        <v>technologies/design switch</v>
      </c>
      <c r="BH1099" s="2" t="str" cm="1">
        <f t="array" ref="BH1099">IF(COUNTIF(BB1099:BD1099,"&lt;&gt;0")=1,INDEX($X$4:$AY$4,MATCH(TRUE,INDEX($X1099:$AY1099&lt;&gt;0,),0)),IF(COUNTIF(BB1099:BD1099,"&lt;&gt;0")=0,INDEX($AO$4:$AY$4,MATCH(1,$AO1099:$AY1099,0)),"Multiple strategies"))</f>
        <v>Technology</v>
      </c>
      <c r="BI1099" s="1" t="s">
        <v>229</v>
      </c>
      <c r="BJ1099" t="s">
        <v>543</v>
      </c>
      <c r="BK1099" t="s">
        <v>424</v>
      </c>
      <c r="BL1099" t="s">
        <v>498</v>
      </c>
      <c r="BM1099">
        <v>0</v>
      </c>
      <c r="BN1099">
        <v>1.33</v>
      </c>
      <c r="BP1099">
        <f>BN1099-BM1099</f>
        <v>1.33</v>
      </c>
      <c r="BQ1099">
        <f>BP1099</f>
        <v>1.33</v>
      </c>
      <c r="BR1099" t="s">
        <v>232</v>
      </c>
      <c r="BS1099" s="256" t="s">
        <v>2972</v>
      </c>
      <c r="BT1099" t="s">
        <v>397</v>
      </c>
      <c r="BU1099">
        <v>-988</v>
      </c>
      <c r="BV1099">
        <v>1224</v>
      </c>
      <c r="BW1099" s="144">
        <v>-1.2388663967611335</v>
      </c>
      <c r="BX1099">
        <v>2212</v>
      </c>
      <c r="BZ1099">
        <f>BX1099/1000</f>
        <v>2.2120000000000002</v>
      </c>
      <c r="CA1099">
        <f>IFERROR(BZ1099/BQ1099,"")</f>
        <v>1.6631578947368422</v>
      </c>
      <c r="CB1099">
        <v>1</v>
      </c>
      <c r="CC1099">
        <v>0</v>
      </c>
      <c r="CD1099">
        <v>0</v>
      </c>
      <c r="CE1099">
        <v>0</v>
      </c>
      <c r="CF1099">
        <v>0</v>
      </c>
      <c r="CG1099">
        <v>0</v>
      </c>
      <c r="CH1099">
        <v>0</v>
      </c>
      <c r="CI1099">
        <v>0</v>
      </c>
      <c r="CJ1099">
        <v>0</v>
      </c>
      <c r="CK1099">
        <v>0</v>
      </c>
      <c r="CL1099">
        <v>0</v>
      </c>
      <c r="CM1099">
        <v>0</v>
      </c>
      <c r="CN1099">
        <v>0</v>
      </c>
      <c r="CO1099">
        <v>0</v>
      </c>
      <c r="CP1099" t="str">
        <f>IF($BN1099&lt;$BM1099,"refNeedCorrection","refOK")</f>
        <v>refOK</v>
      </c>
      <c r="CQ1099">
        <f>IF($CP1099="refOK",$BM1099,$BN1099)</f>
        <v>0</v>
      </c>
      <c r="CR1099">
        <f>IF($CP1099="refOK",$BN1099,$BM1099)</f>
        <v>1.33</v>
      </c>
      <c r="CS1099">
        <f>IF($CP1099="refOK",$BQ1099,-$BQ1099)</f>
        <v>1.33</v>
      </c>
      <c r="CT1099">
        <f>IF(BI1099="Roundwood",$CS1099/2,$CS1099)</f>
        <v>1.33</v>
      </c>
      <c r="CU1099">
        <f>IF($CP1099="refOK",$BU1099,$BV1099)*IF($BR1099="Emissions positive",-1,1)</f>
        <v>-988</v>
      </c>
      <c r="CV1099">
        <f>IF($CP1099="refOK",$BV1099,$BU1099)*IF($BR1099="Emissions positive",-1,1)</f>
        <v>1224</v>
      </c>
      <c r="CW1099">
        <f>IF($CP1099="refNeedCorrection",-BZ1099,BZ1099)*IF($BR1099="Emissions positive",-1,1)</f>
        <v>2.2120000000000002</v>
      </c>
      <c r="CX1099">
        <f>IFERROR($CW1099/$CS1099,"")</f>
        <v>1.6631578947368422</v>
      </c>
      <c r="CY1099">
        <f>IFERROR($CW1099/$CS1099,"")</f>
        <v>1.6631578947368422</v>
      </c>
      <c r="CZ1099">
        <f>IFERROR($CW1099/$CT1099,"")</f>
        <v>1.6631578947368422</v>
      </c>
      <c r="DA1099" s="2">
        <f>IFERROR((CV1099-CU1099)/ABS(CU1099),"")</f>
        <v>2.2388663967611335</v>
      </c>
      <c r="DB1099" s="1" t="s">
        <v>263</v>
      </c>
      <c r="DC1099" t="str">
        <f>IF(OR($DB1099="prd",$DB1099="std",$DB1099="cit"),"loc",IF(OR($DB1099="eur",$DB1099="reg",$DB1099="coy"),"reg",$DB1099))</f>
        <v>loc</v>
      </c>
      <c r="DD1099" t="s">
        <v>544</v>
      </c>
      <c r="DG1099">
        <v>0</v>
      </c>
      <c r="DH1099" t="str">
        <f>IF(DG1099=0,"0",IF(AND(DG1099&gt;=1,DG1099&lt;=30),"1-30",IF(AND(DG1099&gt;30,DG1099&lt;=70),"31-70",IF(AND(DG1099&gt;70,DG1099&lt;=100),"71-100",IF(DG1099&gt;100,"+100")))))</f>
        <v>0</v>
      </c>
      <c r="DI1099">
        <v>0</v>
      </c>
      <c r="DJ1099">
        <v>0</v>
      </c>
      <c r="DK1099">
        <v>0</v>
      </c>
      <c r="DL1099">
        <v>1</v>
      </c>
      <c r="DN1099">
        <f>SUM(DI1099:DL1099)</f>
        <v>1</v>
      </c>
      <c r="DO1099" t="str">
        <f>IF(DN1099=1,INDEX($DI$7:$DL$7,MATCH(1,$DI1099:$DL1099,0)),"mixedProduct")</f>
        <v>TimberInput</v>
      </c>
      <c r="DP1099">
        <f>IF(DI1099=1,DP$7,0)</f>
        <v>0</v>
      </c>
      <c r="DQ1099">
        <f>IF(DJ1099=1,DQ$7,0)</f>
        <v>0</v>
      </c>
      <c r="DR1099">
        <f>IF(DK1099=1,DR$7,0)</f>
        <v>0</v>
      </c>
      <c r="DS1099" t="str">
        <f>IF(DL1099=1,DS$7,0)</f>
        <v>Timber</v>
      </c>
      <c r="DT1099">
        <v>0</v>
      </c>
      <c r="DU1099">
        <v>0</v>
      </c>
      <c r="DV1099">
        <v>0</v>
      </c>
      <c r="DW1099">
        <v>0</v>
      </c>
      <c r="DX1099">
        <v>0</v>
      </c>
      <c r="DY1099">
        <f>SUM(DT1099:DU1099)</f>
        <v>0</v>
      </c>
      <c r="DZ1099" s="143" t="str">
        <f>IF(DT1099=1,"self-calculated DF",IF(DU1099=1,"external DF used","explicit C balance"))</f>
        <v>explicit C balance</v>
      </c>
      <c r="EA1099">
        <v>0</v>
      </c>
      <c r="EB1099">
        <v>0</v>
      </c>
      <c r="EC1099">
        <v>0</v>
      </c>
      <c r="ED1099">
        <v>1</v>
      </c>
      <c r="EE1099">
        <v>0</v>
      </c>
      <c r="EF1099" s="143">
        <v>0</v>
      </c>
      <c r="EG1099">
        <v>0</v>
      </c>
      <c r="EH1099">
        <v>1</v>
      </c>
      <c r="EI1099">
        <v>0</v>
      </c>
      <c r="EJ1099">
        <v>1</v>
      </c>
      <c r="EK1099">
        <v>0</v>
      </c>
      <c r="EL1099">
        <v>0</v>
      </c>
      <c r="EM1099">
        <v>0</v>
      </c>
      <c r="EN1099" s="2">
        <v>0</v>
      </c>
      <c r="EP1099" t="str">
        <f>IF(AND(AND(AND(OR($EC1099=1,$EB1099=1),OR($EH1099=1,$EF1099=1)),SUM($EA1099:$EE1099,$EK1099)&gt;=3),SUM($EF1099:$EJ1099)&gt;=2),"Whole sector approach","")</f>
        <v/>
      </c>
      <c r="EQ1099" t="str">
        <f>IF(AND(AND(OR($EC1099=1,$EB1099=1),AND($EH1099=0,$EF1099=0)),SUM($EA1099:$EE1099,$EK1099)&gt;=4),"Ecosystem approach","")</f>
        <v/>
      </c>
      <c r="ER1099" s="2" t="str">
        <f>IF(AND(AND(AND($EC1099=0,$EB1099=0),OR($EH1099=1,$EF1099=1)),SUM($EG1099:$EJ1099)&gt;=2),"Technology approach","")</f>
        <v>Technology approach</v>
      </c>
      <c r="ES1099" t="str">
        <f>IF(AND($EC1099+$EB1099+$EE1099+$EA1099+$ED1099+$EG1099=0,$N1099="included"),"C neutral forest and HWP assumption","")</f>
        <v/>
      </c>
      <c r="ET1099" t="str">
        <f>IF(AND(AND(AND(AND($EC1099=1,$EB1099+$EA1099+$EG1099&gt;=1),$EF1099=1),$EH1099+$EI1099+$ED1099+$EE1099&gt;=2),$N1099="included"),"All C pools assumption","")</f>
        <v/>
      </c>
      <c r="EU1099" t="str">
        <f>IF(AND($ED1099+$EE1099+$EI1099+$EH1099+$EF1099=0,$N1099="included"),"In-situ only assumption","")</f>
        <v/>
      </c>
      <c r="EY1099" t="str">
        <f>IF(ISNUMBER(BW1099),IF(ABS(BW1099-[6]QC_indicators!$B$2)&gt;3*[6]QC_indicators!$C$2,"C ratio",IF(ISNUMBER(CA1099),IF(ABS(CA1099-[6]QC_indicators!$B$1)&gt;3*[6]QC_indicators!$C$1,"DF","no"))),IF(ISNUMBER(CA1099),IF(ABS(CA1099-[6]QC_indicators!$B$1)&gt;3*[6]QC_indicators!$C$1,"DF","no")))</f>
        <v>no</v>
      </c>
      <c r="FA1099" t="str">
        <f>IF(LEN($CY1099)=0,"",IF(AND($CY1099&lt;(-0.05),$ES1099="C neutral forest and HWP assumption"),"Cneutral paradox",IF(AND($CY1099&gt;0.05,$EU1099="In-situ only assumption"),"In-situ only paradox","")))</f>
        <v/>
      </c>
      <c r="FB1099" s="149" t="s">
        <v>349</v>
      </c>
      <c r="FD1099" s="260" t="s">
        <v>2948</v>
      </c>
    </row>
    <row r="1100" spans="1:160" ht="15" hidden="1" customHeight="1">
      <c r="A1100" s="1" t="s">
        <v>532</v>
      </c>
      <c r="B1100" t="s">
        <v>533</v>
      </c>
      <c r="C1100" t="s">
        <v>534</v>
      </c>
      <c r="D1100" t="s">
        <v>535</v>
      </c>
      <c r="E1100" t="s">
        <v>536</v>
      </c>
      <c r="F1100" t="s">
        <v>537</v>
      </c>
      <c r="G1100" t="s">
        <v>538</v>
      </c>
      <c r="H1100" t="s">
        <v>254</v>
      </c>
      <c r="I1100">
        <v>2017</v>
      </c>
      <c r="J1100">
        <v>3</v>
      </c>
      <c r="K1100" t="s">
        <v>539</v>
      </c>
      <c r="M1100" t="str">
        <f>LEFT($D1100,FIND(",",$D1100)-1)&amp;"_"&amp;I1100&amp;L1100</f>
        <v>Crafford_2017</v>
      </c>
      <c r="N1100" t="s">
        <v>222</v>
      </c>
      <c r="O1100" s="145" t="s">
        <v>223</v>
      </c>
      <c r="Q1100" t="s">
        <v>256</v>
      </c>
      <c r="R1100" s="251" t="s">
        <v>225</v>
      </c>
      <c r="S1100" s="1" t="s">
        <v>546</v>
      </c>
      <c r="T1100" t="s">
        <v>547</v>
      </c>
      <c r="U1100" t="s">
        <v>542</v>
      </c>
      <c r="V1100" s="253">
        <v>0</v>
      </c>
      <c r="W1100" s="253">
        <v>0</v>
      </c>
      <c r="X1100">
        <v>0</v>
      </c>
      <c r="Y1100">
        <v>0</v>
      </c>
      <c r="Z1100">
        <v>0</v>
      </c>
      <c r="AA1100">
        <v>0</v>
      </c>
      <c r="AB1100">
        <v>0</v>
      </c>
      <c r="AC1100">
        <v>0</v>
      </c>
      <c r="AD1100">
        <v>0</v>
      </c>
      <c r="AE1100">
        <v>0</v>
      </c>
      <c r="AF1100">
        <v>0</v>
      </c>
      <c r="AG1100">
        <v>0</v>
      </c>
      <c r="AH1100">
        <v>0</v>
      </c>
      <c r="AI1100">
        <v>0</v>
      </c>
      <c r="AJ1100">
        <v>0</v>
      </c>
      <c r="AK1100">
        <v>0</v>
      </c>
      <c r="AL1100">
        <v>0</v>
      </c>
      <c r="AM1100">
        <v>1</v>
      </c>
      <c r="AN1100">
        <v>0</v>
      </c>
      <c r="AO1100">
        <v>0</v>
      </c>
      <c r="AP1100">
        <v>0</v>
      </c>
      <c r="AQ1100">
        <v>0</v>
      </c>
      <c r="AR1100">
        <v>0</v>
      </c>
      <c r="AS1100">
        <v>0</v>
      </c>
      <c r="AT1100">
        <v>0</v>
      </c>
      <c r="AU1100">
        <v>0</v>
      </c>
      <c r="AV1100">
        <v>0</v>
      </c>
      <c r="AW1100">
        <v>0</v>
      </c>
      <c r="AX1100">
        <v>0</v>
      </c>
      <c r="AY1100">
        <v>0</v>
      </c>
      <c r="AZ1100" s="141">
        <f>COUNTIF(X1100:AY1100,"&lt;&gt;0")</f>
        <v>1</v>
      </c>
      <c r="BA1100" s="141">
        <f>COUNTIF(X1100:AN1100,"&lt;&gt;0")</f>
        <v>1</v>
      </c>
      <c r="BB1100">
        <f>COUNTIF(X1100:AE1100,"&lt;&gt;0")</f>
        <v>0</v>
      </c>
      <c r="BC1100">
        <f>COUNTIF(AF1100:AK1100,"&lt;&gt;0")</f>
        <v>0</v>
      </c>
      <c r="BD1100">
        <f>COUNTIF(AL1100:AN1100,"&lt;&gt;0")</f>
        <v>1</v>
      </c>
      <c r="BE1100">
        <f>COUNTIF(AU1100:AY1100,"&lt;&gt;0")</f>
        <v>0</v>
      </c>
      <c r="BF1100">
        <f>COUNTIF(AO1100:AT1100,"&lt;&gt;0")</f>
        <v>0</v>
      </c>
      <c r="BG1100" t="str">
        <f t="array" ref="BG1100">IF(BA1100=1,INDEX($X$7:$AN$7,MATCH(TRUE,INDEX($X1100:$AY1100&lt;&gt;0,),0)),IF(BA1100=0,INDEX($AO$7:$AY$7,MATCH(1,$AO1100:$AY1100,0)),IF(BH1100="Multiple strategies","mixed drivers",IF(BH1100="Supply chain","multiple supply","multiple silviculture"))))</f>
        <v>technologies/design switch</v>
      </c>
      <c r="BH1100" s="2" t="str" cm="1">
        <f t="array" ref="BH1100">IF(COUNTIF(BB1100:BD1100,"&lt;&gt;0")=1,INDEX($X$4:$AY$4,MATCH(TRUE,INDEX($X1100:$AY1100&lt;&gt;0,),0)),IF(COUNTIF(BB1100:BD1100,"&lt;&gt;0")=0,INDEX($AO$4:$AY$4,MATCH(1,$AO1100:$AY1100,0)),"Multiple strategies"))</f>
        <v>Technology</v>
      </c>
      <c r="BI1100" s="1" t="s">
        <v>229</v>
      </c>
      <c r="BJ1100" t="s">
        <v>543</v>
      </c>
      <c r="BK1100" t="s">
        <v>424</v>
      </c>
      <c r="BL1100" t="s">
        <v>498</v>
      </c>
      <c r="BM1100">
        <v>0</v>
      </c>
      <c r="BN1100">
        <v>1.33</v>
      </c>
      <c r="BP1100">
        <f>BN1100-BM1100</f>
        <v>1.33</v>
      </c>
      <c r="BQ1100">
        <f>BP1100</f>
        <v>1.33</v>
      </c>
      <c r="BR1100" t="s">
        <v>232</v>
      </c>
      <c r="BS1100" s="256" t="s">
        <v>2971</v>
      </c>
      <c r="BT1100" t="s">
        <v>397</v>
      </c>
      <c r="BU1100">
        <v>-988</v>
      </c>
      <c r="BV1100">
        <v>919</v>
      </c>
      <c r="BW1100" s="144">
        <v>-0.93016194331983804</v>
      </c>
      <c r="BX1100">
        <v>1907</v>
      </c>
      <c r="BZ1100">
        <f>BX1100/1000</f>
        <v>1.907</v>
      </c>
      <c r="CA1100">
        <f>IFERROR(BZ1100/BQ1100,"")</f>
        <v>1.4338345864661655</v>
      </c>
      <c r="CB1100">
        <v>1</v>
      </c>
      <c r="CC1100">
        <v>0</v>
      </c>
      <c r="CD1100">
        <v>0</v>
      </c>
      <c r="CE1100">
        <v>0</v>
      </c>
      <c r="CF1100">
        <v>0</v>
      </c>
      <c r="CG1100">
        <v>0</v>
      </c>
      <c r="CH1100">
        <v>0</v>
      </c>
      <c r="CI1100">
        <v>0</v>
      </c>
      <c r="CJ1100">
        <v>0</v>
      </c>
      <c r="CK1100">
        <v>0</v>
      </c>
      <c r="CL1100">
        <v>0</v>
      </c>
      <c r="CM1100">
        <v>0</v>
      </c>
      <c r="CN1100">
        <v>0</v>
      </c>
      <c r="CO1100">
        <v>0</v>
      </c>
      <c r="CP1100" t="str">
        <f>IF($BN1100&lt;$BM1100,"refNeedCorrection","refOK")</f>
        <v>refOK</v>
      </c>
      <c r="CQ1100">
        <f>IF($CP1100="refOK",$BM1100,$BN1100)</f>
        <v>0</v>
      </c>
      <c r="CR1100">
        <f>IF($CP1100="refOK",$BN1100,$BM1100)</f>
        <v>1.33</v>
      </c>
      <c r="CS1100">
        <f>IF($CP1100="refOK",$BQ1100,-$BQ1100)</f>
        <v>1.33</v>
      </c>
      <c r="CT1100">
        <f>IF(BI1100="Roundwood",$CS1100/2,$CS1100)</f>
        <v>1.33</v>
      </c>
      <c r="CU1100">
        <f>IF($CP1100="refOK",$BU1100,$BV1100)*IF($BR1100="Emissions positive",-1,1)</f>
        <v>-988</v>
      </c>
      <c r="CV1100">
        <f>IF($CP1100="refOK",$BV1100,$BU1100)*IF($BR1100="Emissions positive",-1,1)</f>
        <v>919</v>
      </c>
      <c r="CW1100">
        <f>IF($CP1100="refNeedCorrection",-BZ1100,BZ1100)*IF($BR1100="Emissions positive",-1,1)</f>
        <v>1.907</v>
      </c>
      <c r="CX1100">
        <f>IFERROR($CW1100/$CS1100,"")</f>
        <v>1.4338345864661655</v>
      </c>
      <c r="CY1100">
        <f>IFERROR($CW1100/$CS1100,"")</f>
        <v>1.4338345864661655</v>
      </c>
      <c r="CZ1100">
        <f>IFERROR($CW1100/$CT1100,"")</f>
        <v>1.4338345864661655</v>
      </c>
      <c r="DA1100" s="2">
        <f>IFERROR((CV1100-CU1100)/ABS(CU1100),"")</f>
        <v>1.930161943319838</v>
      </c>
      <c r="DB1100" s="1" t="s">
        <v>263</v>
      </c>
      <c r="DC1100" t="str">
        <f>IF(OR($DB1100="prd",$DB1100="std",$DB1100="cit"),"loc",IF(OR($DB1100="eur",$DB1100="reg",$DB1100="coy"),"reg",$DB1100))</f>
        <v>loc</v>
      </c>
      <c r="DD1100" t="s">
        <v>544</v>
      </c>
      <c r="DG1100">
        <v>0</v>
      </c>
      <c r="DH1100" t="str">
        <f>IF(DG1100=0,"0",IF(AND(DG1100&gt;=1,DG1100&lt;=30),"1-30",IF(AND(DG1100&gt;30,DG1100&lt;=70),"31-70",IF(AND(DG1100&gt;70,DG1100&lt;=100),"71-100",IF(DG1100&gt;100,"+100")))))</f>
        <v>0</v>
      </c>
      <c r="DI1100">
        <v>0</v>
      </c>
      <c r="DJ1100">
        <v>0</v>
      </c>
      <c r="DK1100">
        <v>0</v>
      </c>
      <c r="DL1100">
        <v>1</v>
      </c>
      <c r="DN1100">
        <f>SUM(DI1100:DL1100)</f>
        <v>1</v>
      </c>
      <c r="DO1100" t="str">
        <f>IF(DN1100=1,INDEX($DI$7:$DL$7,MATCH(1,$DI1100:$DL1100,0)),"mixedProduct")</f>
        <v>TimberInput</v>
      </c>
      <c r="DP1100">
        <f>IF(DI1100=1,DP$7,0)</f>
        <v>0</v>
      </c>
      <c r="DQ1100">
        <f>IF(DJ1100=1,DQ$7,0)</f>
        <v>0</v>
      </c>
      <c r="DR1100">
        <f>IF(DK1100=1,DR$7,0)</f>
        <v>0</v>
      </c>
      <c r="DS1100" t="str">
        <f>IF(DL1100=1,DS$7,0)</f>
        <v>Timber</v>
      </c>
      <c r="DT1100">
        <v>0</v>
      </c>
      <c r="DU1100">
        <v>0</v>
      </c>
      <c r="DV1100">
        <v>0</v>
      </c>
      <c r="DW1100">
        <v>0</v>
      </c>
      <c r="DX1100">
        <v>0</v>
      </c>
      <c r="DY1100">
        <f>SUM(DT1100:DU1100)</f>
        <v>0</v>
      </c>
      <c r="DZ1100" s="143" t="str">
        <f>IF(DT1100=1,"self-calculated DF",IF(DU1100=1,"external DF used","explicit C balance"))</f>
        <v>explicit C balance</v>
      </c>
      <c r="EA1100">
        <v>0</v>
      </c>
      <c r="EB1100">
        <v>0</v>
      </c>
      <c r="EC1100">
        <v>0</v>
      </c>
      <c r="ED1100">
        <v>1</v>
      </c>
      <c r="EE1100">
        <v>0</v>
      </c>
      <c r="EF1100" s="143">
        <v>0</v>
      </c>
      <c r="EG1100">
        <v>0</v>
      </c>
      <c r="EH1100">
        <v>1</v>
      </c>
      <c r="EI1100">
        <v>0</v>
      </c>
      <c r="EJ1100">
        <v>1</v>
      </c>
      <c r="EK1100">
        <v>0</v>
      </c>
      <c r="EL1100">
        <v>0</v>
      </c>
      <c r="EM1100">
        <v>0</v>
      </c>
      <c r="EN1100" s="2">
        <v>0</v>
      </c>
      <c r="EP1100" t="str">
        <f>IF(AND(AND(AND(OR($EC1100=1,$EB1100=1),OR($EH1100=1,$EF1100=1)),SUM($EA1100:$EE1100,$EK1100)&gt;=3),SUM($EF1100:$EJ1100)&gt;=2),"Whole sector approach","")</f>
        <v/>
      </c>
      <c r="EQ1100" t="str">
        <f>IF(AND(AND(OR($EC1100=1,$EB1100=1),AND($EH1100=0,$EF1100=0)),SUM($EA1100:$EE1100,$EK1100)&gt;=4),"Ecosystem approach","")</f>
        <v/>
      </c>
      <c r="ER1100" s="2" t="str">
        <f>IF(AND(AND(AND($EC1100=0,$EB1100=0),OR($EH1100=1,$EF1100=1)),SUM($EG1100:$EJ1100)&gt;=2),"Technology approach","")</f>
        <v>Technology approach</v>
      </c>
      <c r="ES1100" t="str">
        <f>IF(AND($EC1100+$EB1100+$EE1100+$EA1100+$ED1100+$EG1100=0,$N1100="included"),"C neutral forest and HWP assumption","")</f>
        <v/>
      </c>
      <c r="ET1100" t="str">
        <f>IF(AND(AND(AND(AND($EC1100=1,$EB1100+$EA1100+$EG1100&gt;=1),$EF1100=1),$EH1100+$EI1100+$ED1100+$EE1100&gt;=2),$N1100="included"),"All C pools assumption","")</f>
        <v/>
      </c>
      <c r="EU1100" t="str">
        <f>IF(AND($ED1100+$EE1100+$EI1100+$EH1100+$EF1100=0,$N1100="included"),"In-situ only assumption","")</f>
        <v/>
      </c>
      <c r="EY1100" t="str">
        <f>IF(ISNUMBER(BW1100),IF(ABS(BW1100-[6]QC_indicators!$B$2)&gt;3*[6]QC_indicators!$C$2,"C ratio",IF(ISNUMBER(CA1100),IF(ABS(CA1100-[6]QC_indicators!$B$1)&gt;3*[6]QC_indicators!$C$1,"DF","no"))),IF(ISNUMBER(CA1100),IF(ABS(CA1100-[6]QC_indicators!$B$1)&gt;3*[6]QC_indicators!$C$1,"DF","no")))</f>
        <v>no</v>
      </c>
      <c r="FA1100" t="str">
        <f>IF(LEN($CY1100)=0,"",IF(AND($CY1100&lt;(-0.05),$ES1100="C neutral forest and HWP assumption"),"Cneutral paradox",IF(AND($CY1100&gt;0.05,$EU1100="In-situ only assumption"),"In-situ only paradox","")))</f>
        <v/>
      </c>
      <c r="FB1100" s="149" t="s">
        <v>349</v>
      </c>
      <c r="FD1100" s="260" t="s">
        <v>2948</v>
      </c>
    </row>
    <row r="1101" spans="1:160" ht="15" hidden="1" customHeight="1">
      <c r="A1101" s="1" t="s">
        <v>532</v>
      </c>
      <c r="B1101" t="s">
        <v>533</v>
      </c>
      <c r="C1101" t="s">
        <v>534</v>
      </c>
      <c r="D1101" t="s">
        <v>535</v>
      </c>
      <c r="E1101" t="s">
        <v>536</v>
      </c>
      <c r="F1101" t="s">
        <v>537</v>
      </c>
      <c r="G1101" t="s">
        <v>538</v>
      </c>
      <c r="H1101" t="s">
        <v>254</v>
      </c>
      <c r="I1101">
        <v>2017</v>
      </c>
      <c r="J1101">
        <v>3</v>
      </c>
      <c r="K1101" t="s">
        <v>539</v>
      </c>
      <c r="M1101" t="str">
        <f>LEFT($D1101,FIND(",",$D1101)-1)&amp;"_"&amp;I1101&amp;L1101</f>
        <v>Crafford_2017</v>
      </c>
      <c r="N1101" t="s">
        <v>222</v>
      </c>
      <c r="O1101" s="145" t="s">
        <v>223</v>
      </c>
      <c r="Q1101" t="s">
        <v>256</v>
      </c>
      <c r="R1101" s="251" t="s">
        <v>225</v>
      </c>
      <c r="S1101" s="1" t="s">
        <v>548</v>
      </c>
      <c r="T1101" t="s">
        <v>547</v>
      </c>
      <c r="U1101" t="s">
        <v>542</v>
      </c>
      <c r="V1101" s="253">
        <v>0</v>
      </c>
      <c r="W1101" s="253">
        <v>0</v>
      </c>
      <c r="X1101">
        <v>0</v>
      </c>
      <c r="Y1101">
        <v>0</v>
      </c>
      <c r="Z1101">
        <v>0</v>
      </c>
      <c r="AA1101">
        <v>0</v>
      </c>
      <c r="AB1101">
        <v>0</v>
      </c>
      <c r="AC1101">
        <v>0</v>
      </c>
      <c r="AD1101">
        <v>0</v>
      </c>
      <c r="AE1101">
        <v>0</v>
      </c>
      <c r="AF1101">
        <v>0</v>
      </c>
      <c r="AG1101">
        <v>0</v>
      </c>
      <c r="AH1101">
        <v>0</v>
      </c>
      <c r="AI1101">
        <v>0</v>
      </c>
      <c r="AJ1101">
        <v>0</v>
      </c>
      <c r="AK1101">
        <v>0</v>
      </c>
      <c r="AL1101">
        <v>0</v>
      </c>
      <c r="AM1101">
        <v>1</v>
      </c>
      <c r="AN1101">
        <v>0</v>
      </c>
      <c r="AO1101">
        <v>0</v>
      </c>
      <c r="AP1101">
        <v>0</v>
      </c>
      <c r="AQ1101">
        <v>0</v>
      </c>
      <c r="AR1101">
        <v>0</v>
      </c>
      <c r="AS1101">
        <v>0</v>
      </c>
      <c r="AT1101">
        <v>0</v>
      </c>
      <c r="AU1101">
        <v>0</v>
      </c>
      <c r="AV1101">
        <v>0</v>
      </c>
      <c r="AW1101">
        <v>0</v>
      </c>
      <c r="AX1101">
        <v>0</v>
      </c>
      <c r="AY1101">
        <v>0</v>
      </c>
      <c r="AZ1101" s="141">
        <f>COUNTIF(X1101:AY1101,"&lt;&gt;0")</f>
        <v>1</v>
      </c>
      <c r="BA1101" s="141">
        <f>COUNTIF(X1101:AN1101,"&lt;&gt;0")</f>
        <v>1</v>
      </c>
      <c r="BB1101">
        <f>COUNTIF(X1101:AE1101,"&lt;&gt;0")</f>
        <v>0</v>
      </c>
      <c r="BC1101">
        <f>COUNTIF(AF1101:AK1101,"&lt;&gt;0")</f>
        <v>0</v>
      </c>
      <c r="BD1101">
        <f>COUNTIF(AL1101:AN1101,"&lt;&gt;0")</f>
        <v>1</v>
      </c>
      <c r="BE1101">
        <f>COUNTIF(AU1101:AY1101,"&lt;&gt;0")</f>
        <v>0</v>
      </c>
      <c r="BF1101">
        <f>COUNTIF(AO1101:AT1101,"&lt;&gt;0")</f>
        <v>0</v>
      </c>
      <c r="BG1101" t="str">
        <f t="array" ref="BG1101">IF(BA1101=1,INDEX($X$7:$AN$7,MATCH(TRUE,INDEX($X1101:$AY1101&lt;&gt;0,),0)),IF(BA1101=0,INDEX($AO$7:$AY$7,MATCH(1,$AO1101:$AY1101,0)),IF(BH1101="Multiple strategies","mixed drivers",IF(BH1101="Supply chain","multiple supply","multiple silviculture"))))</f>
        <v>technologies/design switch</v>
      </c>
      <c r="BH1101" s="2" t="str" cm="1">
        <f t="array" ref="BH1101">IF(COUNTIF(BB1101:BD1101,"&lt;&gt;0")=1,INDEX($X$4:$AY$4,MATCH(TRUE,INDEX($X1101:$AY1101&lt;&gt;0,),0)),IF(COUNTIF(BB1101:BD1101,"&lt;&gt;0")=0,INDEX($AO$4:$AY$4,MATCH(1,$AO1101:$AY1101,0)),"Multiple strategies"))</f>
        <v>Technology</v>
      </c>
      <c r="BI1101" s="1" t="s">
        <v>229</v>
      </c>
      <c r="BJ1101" t="s">
        <v>543</v>
      </c>
      <c r="BK1101" t="s">
        <v>424</v>
      </c>
      <c r="BL1101" t="s">
        <v>498</v>
      </c>
      <c r="BM1101">
        <v>0</v>
      </c>
      <c r="BN1101">
        <v>6.05</v>
      </c>
      <c r="BP1101">
        <f>BN1101-BM1101</f>
        <v>6.05</v>
      </c>
      <c r="BQ1101">
        <f>BP1101</f>
        <v>6.05</v>
      </c>
      <c r="BR1101" t="s">
        <v>232</v>
      </c>
      <c r="BS1101" s="256" t="s">
        <v>2970</v>
      </c>
      <c r="BT1101" t="s">
        <v>397</v>
      </c>
      <c r="BU1101">
        <v>-6769</v>
      </c>
      <c r="BV1101">
        <v>-873</v>
      </c>
      <c r="BW1101" s="144">
        <v>0.12897030580587976</v>
      </c>
      <c r="BX1101">
        <v>5896</v>
      </c>
      <c r="BZ1101">
        <f>BX1101/1000</f>
        <v>5.8959999999999999</v>
      </c>
      <c r="CA1101">
        <f>IFERROR(BZ1101/BQ1101,"")</f>
        <v>0.9745454545454546</v>
      </c>
      <c r="CB1101">
        <v>1</v>
      </c>
      <c r="CC1101">
        <v>0</v>
      </c>
      <c r="CD1101">
        <v>0</v>
      </c>
      <c r="CE1101">
        <v>0</v>
      </c>
      <c r="CF1101">
        <v>0</v>
      </c>
      <c r="CG1101">
        <v>0</v>
      </c>
      <c r="CH1101">
        <v>0</v>
      </c>
      <c r="CI1101">
        <v>0</v>
      </c>
      <c r="CJ1101">
        <v>0</v>
      </c>
      <c r="CK1101">
        <v>0</v>
      </c>
      <c r="CL1101">
        <v>0</v>
      </c>
      <c r="CM1101">
        <v>0</v>
      </c>
      <c r="CN1101">
        <v>0</v>
      </c>
      <c r="CO1101">
        <v>0</v>
      </c>
      <c r="CP1101" t="str">
        <f>IF($BN1101&lt;$BM1101,"refNeedCorrection","refOK")</f>
        <v>refOK</v>
      </c>
      <c r="CQ1101">
        <f>IF($CP1101="refOK",$BM1101,$BN1101)</f>
        <v>0</v>
      </c>
      <c r="CR1101">
        <f>IF($CP1101="refOK",$BN1101,$BM1101)</f>
        <v>6.05</v>
      </c>
      <c r="CS1101">
        <f>IF($CP1101="refOK",$BQ1101,-$BQ1101)</f>
        <v>6.05</v>
      </c>
      <c r="CT1101">
        <f>IF(BI1101="Roundwood",$CS1101/2,$CS1101)</f>
        <v>6.05</v>
      </c>
      <c r="CU1101">
        <f>IF($CP1101="refOK",$BU1101,$BV1101)*IF($BR1101="Emissions positive",-1,1)</f>
        <v>-6769</v>
      </c>
      <c r="CV1101">
        <f>IF($CP1101="refOK",$BV1101,$BU1101)*IF($BR1101="Emissions positive",-1,1)</f>
        <v>-873</v>
      </c>
      <c r="CW1101">
        <f>IF($CP1101="refNeedCorrection",-BZ1101,BZ1101)*IF($BR1101="Emissions positive",-1,1)</f>
        <v>5.8959999999999999</v>
      </c>
      <c r="CX1101">
        <f>IFERROR($CW1101/$CS1101,"")</f>
        <v>0.9745454545454546</v>
      </c>
      <c r="CY1101">
        <f>IFERROR($CW1101/$CS1101,"")</f>
        <v>0.9745454545454546</v>
      </c>
      <c r="CZ1101">
        <f>IFERROR($CW1101/$CT1101,"")</f>
        <v>0.9745454545454546</v>
      </c>
      <c r="DA1101" s="2">
        <f>IFERROR((CV1101-CU1101)/ABS(CU1101),"")</f>
        <v>0.87102969419412024</v>
      </c>
      <c r="DB1101" s="1" t="s">
        <v>263</v>
      </c>
      <c r="DC1101" t="str">
        <f>IF(OR($DB1101="prd",$DB1101="std",$DB1101="cit"),"loc",IF(OR($DB1101="eur",$DB1101="reg",$DB1101="coy"),"reg",$DB1101))</f>
        <v>loc</v>
      </c>
      <c r="DD1101" t="s">
        <v>544</v>
      </c>
      <c r="DG1101">
        <v>0</v>
      </c>
      <c r="DH1101" t="str">
        <f>IF(DG1101=0,"0",IF(AND(DG1101&gt;=1,DG1101&lt;=30),"1-30",IF(AND(DG1101&gt;30,DG1101&lt;=70),"31-70",IF(AND(DG1101&gt;70,DG1101&lt;=100),"71-100",IF(DG1101&gt;100,"+100")))))</f>
        <v>0</v>
      </c>
      <c r="DI1101">
        <v>0</v>
      </c>
      <c r="DJ1101">
        <v>0</v>
      </c>
      <c r="DK1101">
        <v>0</v>
      </c>
      <c r="DL1101">
        <v>1</v>
      </c>
      <c r="DN1101">
        <f>SUM(DI1101:DL1101)</f>
        <v>1</v>
      </c>
      <c r="DO1101" t="str">
        <f>IF(DN1101=1,INDEX($DI$7:$DL$7,MATCH(1,$DI1101:$DL1101,0)),"mixedProduct")</f>
        <v>TimberInput</v>
      </c>
      <c r="DP1101">
        <f>IF(DI1101=1,DP$7,0)</f>
        <v>0</v>
      </c>
      <c r="DQ1101">
        <f>IF(DJ1101=1,DQ$7,0)</f>
        <v>0</v>
      </c>
      <c r="DR1101">
        <f>IF(DK1101=1,DR$7,0)</f>
        <v>0</v>
      </c>
      <c r="DS1101" t="str">
        <f>IF(DL1101=1,DS$7,0)</f>
        <v>Timber</v>
      </c>
      <c r="DT1101">
        <v>0</v>
      </c>
      <c r="DU1101">
        <v>0</v>
      </c>
      <c r="DV1101">
        <v>0</v>
      </c>
      <c r="DW1101">
        <v>0</v>
      </c>
      <c r="DX1101">
        <v>0</v>
      </c>
      <c r="DY1101">
        <f>SUM(DT1101:DU1101)</f>
        <v>0</v>
      </c>
      <c r="DZ1101" s="143" t="str">
        <f>IF(DT1101=1,"self-calculated DF",IF(DU1101=1,"external DF used","explicit C balance"))</f>
        <v>explicit C balance</v>
      </c>
      <c r="EA1101">
        <v>0</v>
      </c>
      <c r="EB1101">
        <v>0</v>
      </c>
      <c r="EC1101">
        <v>0</v>
      </c>
      <c r="ED1101">
        <v>1</v>
      </c>
      <c r="EE1101">
        <v>1</v>
      </c>
      <c r="EF1101" s="143">
        <v>0</v>
      </c>
      <c r="EG1101">
        <v>0</v>
      </c>
      <c r="EH1101">
        <v>1</v>
      </c>
      <c r="EI1101">
        <v>0</v>
      </c>
      <c r="EJ1101">
        <v>1</v>
      </c>
      <c r="EK1101">
        <v>0</v>
      </c>
      <c r="EL1101">
        <v>0</v>
      </c>
      <c r="EM1101">
        <v>0</v>
      </c>
      <c r="EN1101" s="2">
        <v>0</v>
      </c>
      <c r="EP1101" t="str">
        <f>IF(AND(AND(AND(OR($EC1101=1,$EB1101=1),OR($EH1101=1,$EF1101=1)),SUM($EA1101:$EE1101,$EK1101)&gt;=3),SUM($EF1101:$EJ1101)&gt;=2),"Whole sector approach","")</f>
        <v/>
      </c>
      <c r="EQ1101" t="str">
        <f>IF(AND(AND(OR($EC1101=1,$EB1101=1),AND($EH1101=0,$EF1101=0)),SUM($EA1101:$EE1101,$EK1101)&gt;=4),"Ecosystem approach","")</f>
        <v/>
      </c>
      <c r="ER1101" s="2" t="str">
        <f>IF(AND(AND(AND($EC1101=0,$EB1101=0),OR($EH1101=1,$EF1101=1)),SUM($EG1101:$EJ1101)&gt;=2),"Technology approach","")</f>
        <v>Technology approach</v>
      </c>
      <c r="ES1101" t="str">
        <f>IF(AND($EC1101+$EB1101+$EE1101+$EA1101+$ED1101+$EG1101=0,$N1101="included"),"C neutral forest and HWP assumption","")</f>
        <v/>
      </c>
      <c r="ET1101" t="str">
        <f>IF(AND(AND(AND(AND($EC1101=1,$EB1101+$EA1101+$EG1101&gt;=1),$EF1101=1),$EH1101+$EI1101+$ED1101+$EE1101&gt;=2),$N1101="included"),"All C pools assumption","")</f>
        <v/>
      </c>
      <c r="EU1101" t="str">
        <f>IF(AND($ED1101+$EE1101+$EI1101+$EH1101+$EF1101=0,$N1101="included"),"In-situ only assumption","")</f>
        <v/>
      </c>
      <c r="EY1101" t="str">
        <f>IF(ISNUMBER(BW1101),IF(ABS(BW1101-[6]QC_indicators!$B$2)&gt;3*[6]QC_indicators!$C$2,"C ratio",IF(ISNUMBER(CA1101),IF(ABS(CA1101-[6]QC_indicators!$B$1)&gt;3*[6]QC_indicators!$C$1,"DF","no"))),IF(ISNUMBER(CA1101),IF(ABS(CA1101-[6]QC_indicators!$B$1)&gt;3*[6]QC_indicators!$C$1,"DF","no")))</f>
        <v>no</v>
      </c>
      <c r="FA1101" t="str">
        <f>IF(LEN($CY1101)=0,"",IF(AND($CY1101&lt;(-0.05),$ES1101="C neutral forest and HWP assumption"),"Cneutral paradox",IF(AND($CY1101&gt;0.05,$EU1101="In-situ only assumption"),"In-situ only paradox","")))</f>
        <v/>
      </c>
      <c r="FB1101" s="149" t="s">
        <v>349</v>
      </c>
      <c r="FD1101" s="260" t="s">
        <v>2948</v>
      </c>
    </row>
    <row r="1102" spans="1:160" ht="15" hidden="1" customHeight="1">
      <c r="A1102" s="1" t="s">
        <v>532</v>
      </c>
      <c r="B1102" t="s">
        <v>533</v>
      </c>
      <c r="C1102" t="s">
        <v>534</v>
      </c>
      <c r="D1102" t="s">
        <v>535</v>
      </c>
      <c r="E1102" t="s">
        <v>536</v>
      </c>
      <c r="F1102" t="s">
        <v>537</v>
      </c>
      <c r="G1102" t="s">
        <v>538</v>
      </c>
      <c r="H1102" t="s">
        <v>254</v>
      </c>
      <c r="I1102">
        <v>2017</v>
      </c>
      <c r="J1102">
        <v>3</v>
      </c>
      <c r="K1102" t="s">
        <v>539</v>
      </c>
      <c r="M1102" t="str">
        <f>LEFT($D1102,FIND(",",$D1102)-1)&amp;"_"&amp;I1102&amp;L1102</f>
        <v>Crafford_2017</v>
      </c>
      <c r="N1102" t="s">
        <v>222</v>
      </c>
      <c r="O1102" s="145" t="s">
        <v>223</v>
      </c>
      <c r="Q1102" t="s">
        <v>256</v>
      </c>
      <c r="R1102" s="251" t="s">
        <v>225</v>
      </c>
      <c r="S1102" s="1" t="s">
        <v>548</v>
      </c>
      <c r="T1102" t="s">
        <v>547</v>
      </c>
      <c r="U1102" t="s">
        <v>541</v>
      </c>
      <c r="V1102" s="253">
        <v>0</v>
      </c>
      <c r="W1102" s="253">
        <v>0</v>
      </c>
      <c r="X1102">
        <v>0</v>
      </c>
      <c r="Y1102">
        <v>0</v>
      </c>
      <c r="Z1102">
        <v>0</v>
      </c>
      <c r="AA1102">
        <v>0</v>
      </c>
      <c r="AB1102">
        <v>0</v>
      </c>
      <c r="AC1102">
        <v>0</v>
      </c>
      <c r="AD1102">
        <v>0</v>
      </c>
      <c r="AE1102">
        <v>0</v>
      </c>
      <c r="AF1102">
        <v>0</v>
      </c>
      <c r="AG1102">
        <v>0</v>
      </c>
      <c r="AH1102">
        <v>0</v>
      </c>
      <c r="AI1102">
        <v>0</v>
      </c>
      <c r="AJ1102">
        <v>0</v>
      </c>
      <c r="AK1102">
        <v>0</v>
      </c>
      <c r="AL1102">
        <v>0</v>
      </c>
      <c r="AM1102">
        <v>1</v>
      </c>
      <c r="AN1102">
        <v>0</v>
      </c>
      <c r="AO1102">
        <v>0</v>
      </c>
      <c r="AP1102">
        <v>0</v>
      </c>
      <c r="AQ1102">
        <v>0</v>
      </c>
      <c r="AR1102">
        <v>0</v>
      </c>
      <c r="AS1102">
        <v>0</v>
      </c>
      <c r="AT1102">
        <v>0</v>
      </c>
      <c r="AU1102">
        <v>0</v>
      </c>
      <c r="AV1102">
        <v>0</v>
      </c>
      <c r="AW1102">
        <v>0</v>
      </c>
      <c r="AX1102">
        <v>0</v>
      </c>
      <c r="AY1102">
        <v>0</v>
      </c>
      <c r="AZ1102" s="141">
        <f>COUNTIF(X1102:AY1102,"&lt;&gt;0")</f>
        <v>1</v>
      </c>
      <c r="BA1102" s="141">
        <f>COUNTIF(X1102:AN1102,"&lt;&gt;0")</f>
        <v>1</v>
      </c>
      <c r="BB1102">
        <f>COUNTIF(X1102:AE1102,"&lt;&gt;0")</f>
        <v>0</v>
      </c>
      <c r="BC1102">
        <f>COUNTIF(AF1102:AK1102,"&lt;&gt;0")</f>
        <v>0</v>
      </c>
      <c r="BD1102">
        <f>COUNTIF(AL1102:AN1102,"&lt;&gt;0")</f>
        <v>1</v>
      </c>
      <c r="BE1102">
        <f>COUNTIF(AU1102:AY1102,"&lt;&gt;0")</f>
        <v>0</v>
      </c>
      <c r="BF1102">
        <f>COUNTIF(AO1102:AT1102,"&lt;&gt;0")</f>
        <v>0</v>
      </c>
      <c r="BG1102" t="str">
        <f t="array" ref="BG1102">IF(BA1102=1,INDEX($X$7:$AN$7,MATCH(TRUE,INDEX($X1102:$AY1102&lt;&gt;0,),0)),IF(BA1102=0,INDEX($AO$7:$AY$7,MATCH(1,$AO1102:$AY1102,0)),IF(BH1102="Multiple strategies","mixed drivers",IF(BH1102="Supply chain","multiple supply","multiple silviculture"))))</f>
        <v>technologies/design switch</v>
      </c>
      <c r="BH1102" s="2" t="str" cm="1">
        <f t="array" ref="BH1102">IF(COUNTIF(BB1102:BD1102,"&lt;&gt;0")=1,INDEX($X$4:$AY$4,MATCH(TRUE,INDEX($X1102:$AY1102&lt;&gt;0,),0)),IF(COUNTIF(BB1102:BD1102,"&lt;&gt;0")=0,INDEX($AO$4:$AY$4,MATCH(1,$AO1102:$AY1102,0)),"Multiple strategies"))</f>
        <v>Technology</v>
      </c>
      <c r="BI1102" s="1" t="s">
        <v>229</v>
      </c>
      <c r="BJ1102" t="s">
        <v>543</v>
      </c>
      <c r="BK1102" t="s">
        <v>424</v>
      </c>
      <c r="BL1102" t="s">
        <v>498</v>
      </c>
      <c r="BM1102">
        <v>0</v>
      </c>
      <c r="BN1102">
        <v>6.05</v>
      </c>
      <c r="BP1102">
        <f>BN1102-BM1102</f>
        <v>6.05</v>
      </c>
      <c r="BQ1102">
        <f>BP1102</f>
        <v>6.05</v>
      </c>
      <c r="BR1102" t="s">
        <v>232</v>
      </c>
      <c r="BS1102" s="256" t="s">
        <v>2969</v>
      </c>
      <c r="BT1102" t="s">
        <v>397</v>
      </c>
      <c r="BU1102">
        <v>-6769</v>
      </c>
      <c r="BV1102">
        <v>-1242</v>
      </c>
      <c r="BW1102" s="144">
        <v>0.18348352784754027</v>
      </c>
      <c r="BX1102">
        <v>5527</v>
      </c>
      <c r="BZ1102">
        <f>BX1102/1000</f>
        <v>5.5270000000000001</v>
      </c>
      <c r="CA1102">
        <f>IFERROR(BZ1102/BQ1102,"")</f>
        <v>0.91355371900826454</v>
      </c>
      <c r="CB1102">
        <v>1</v>
      </c>
      <c r="CC1102">
        <v>0</v>
      </c>
      <c r="CD1102">
        <v>0</v>
      </c>
      <c r="CE1102">
        <v>0</v>
      </c>
      <c r="CF1102">
        <v>0</v>
      </c>
      <c r="CG1102">
        <v>0</v>
      </c>
      <c r="CH1102">
        <v>0</v>
      </c>
      <c r="CI1102">
        <v>0</v>
      </c>
      <c r="CJ1102">
        <v>0</v>
      </c>
      <c r="CK1102">
        <v>0</v>
      </c>
      <c r="CL1102">
        <v>0</v>
      </c>
      <c r="CM1102">
        <v>0</v>
      </c>
      <c r="CN1102">
        <v>0</v>
      </c>
      <c r="CO1102">
        <v>0</v>
      </c>
      <c r="CP1102" t="str">
        <f>IF($BN1102&lt;$BM1102,"refNeedCorrection","refOK")</f>
        <v>refOK</v>
      </c>
      <c r="CQ1102">
        <f>IF($CP1102="refOK",$BM1102,$BN1102)</f>
        <v>0</v>
      </c>
      <c r="CR1102">
        <f>IF($CP1102="refOK",$BN1102,$BM1102)</f>
        <v>6.05</v>
      </c>
      <c r="CS1102">
        <f>IF($CP1102="refOK",$BQ1102,-$BQ1102)</f>
        <v>6.05</v>
      </c>
      <c r="CT1102">
        <f>IF(BI1102="Roundwood",$CS1102/2,$CS1102)</f>
        <v>6.05</v>
      </c>
      <c r="CU1102">
        <f>IF($CP1102="refOK",$BU1102,$BV1102)*IF($BR1102="Emissions positive",-1,1)</f>
        <v>-6769</v>
      </c>
      <c r="CV1102">
        <f>IF($CP1102="refOK",$BV1102,$BU1102)*IF($BR1102="Emissions positive",-1,1)</f>
        <v>-1242</v>
      </c>
      <c r="CW1102">
        <f>IF($CP1102="refNeedCorrection",-BZ1102,BZ1102)*IF($BR1102="Emissions positive",-1,1)</f>
        <v>5.5270000000000001</v>
      </c>
      <c r="CX1102">
        <f>IFERROR($CW1102/$CS1102,"")</f>
        <v>0.91355371900826454</v>
      </c>
      <c r="CY1102">
        <f>IFERROR($CW1102/$CS1102,"")</f>
        <v>0.91355371900826454</v>
      </c>
      <c r="CZ1102">
        <f>IFERROR($CW1102/$CT1102,"")</f>
        <v>0.91355371900826454</v>
      </c>
      <c r="DA1102" s="2">
        <f>IFERROR((CV1102-CU1102)/ABS(CU1102),"")</f>
        <v>0.8165164721524597</v>
      </c>
      <c r="DB1102" s="1" t="s">
        <v>263</v>
      </c>
      <c r="DC1102" t="str">
        <f>IF(OR($DB1102="prd",$DB1102="std",$DB1102="cit"),"loc",IF(OR($DB1102="eur",$DB1102="reg",$DB1102="coy"),"reg",$DB1102))</f>
        <v>loc</v>
      </c>
      <c r="DD1102" t="s">
        <v>544</v>
      </c>
      <c r="DG1102">
        <v>0</v>
      </c>
      <c r="DH1102" t="str">
        <f>IF(DG1102=0,"0",IF(AND(DG1102&gt;=1,DG1102&lt;=30),"1-30",IF(AND(DG1102&gt;30,DG1102&lt;=70),"31-70",IF(AND(DG1102&gt;70,DG1102&lt;=100),"71-100",IF(DG1102&gt;100,"+100")))))</f>
        <v>0</v>
      </c>
      <c r="DI1102">
        <v>0</v>
      </c>
      <c r="DJ1102">
        <v>0</v>
      </c>
      <c r="DK1102">
        <v>0</v>
      </c>
      <c r="DL1102">
        <v>1</v>
      </c>
      <c r="DN1102">
        <f>SUM(DI1102:DL1102)</f>
        <v>1</v>
      </c>
      <c r="DO1102" t="str">
        <f>IF(DN1102=1,INDEX($DI$7:$DL$7,MATCH(1,$DI1102:$DL1102,0)),"mixedProduct")</f>
        <v>TimberInput</v>
      </c>
      <c r="DP1102">
        <f>IF(DI1102=1,DP$7,0)</f>
        <v>0</v>
      </c>
      <c r="DQ1102">
        <f>IF(DJ1102=1,DQ$7,0)</f>
        <v>0</v>
      </c>
      <c r="DR1102">
        <f>IF(DK1102=1,DR$7,0)</f>
        <v>0</v>
      </c>
      <c r="DS1102" t="str">
        <f>IF(DL1102=1,DS$7,0)</f>
        <v>Timber</v>
      </c>
      <c r="DT1102">
        <v>0</v>
      </c>
      <c r="DU1102">
        <v>0</v>
      </c>
      <c r="DV1102">
        <v>0</v>
      </c>
      <c r="DW1102">
        <v>0</v>
      </c>
      <c r="DX1102">
        <v>0</v>
      </c>
      <c r="DY1102">
        <f>SUM(DT1102:DU1102)</f>
        <v>0</v>
      </c>
      <c r="DZ1102" s="143" t="str">
        <f>IF(DT1102=1,"self-calculated DF",IF(DU1102=1,"external DF used","explicit C balance"))</f>
        <v>explicit C balance</v>
      </c>
      <c r="EA1102">
        <v>0</v>
      </c>
      <c r="EB1102">
        <v>0</v>
      </c>
      <c r="EC1102">
        <v>0</v>
      </c>
      <c r="ED1102">
        <v>1</v>
      </c>
      <c r="EE1102">
        <v>1</v>
      </c>
      <c r="EF1102" s="143">
        <v>0</v>
      </c>
      <c r="EG1102">
        <v>0</v>
      </c>
      <c r="EH1102">
        <v>1</v>
      </c>
      <c r="EI1102">
        <v>0</v>
      </c>
      <c r="EJ1102">
        <v>1</v>
      </c>
      <c r="EK1102">
        <v>0</v>
      </c>
      <c r="EL1102">
        <v>0</v>
      </c>
      <c r="EM1102">
        <v>0</v>
      </c>
      <c r="EN1102" s="2">
        <v>0</v>
      </c>
      <c r="EP1102" t="str">
        <f>IF(AND(AND(AND(OR($EC1102=1,$EB1102=1),OR($EH1102=1,$EF1102=1)),SUM($EA1102:$EE1102,$EK1102)&gt;=3),SUM($EF1102:$EJ1102)&gt;=2),"Whole sector approach","")</f>
        <v/>
      </c>
      <c r="EQ1102" t="str">
        <f>IF(AND(AND(OR($EC1102=1,$EB1102=1),AND($EH1102=0,$EF1102=0)),SUM($EA1102:$EE1102,$EK1102)&gt;=4),"Ecosystem approach","")</f>
        <v/>
      </c>
      <c r="ER1102" s="2" t="str">
        <f>IF(AND(AND(AND($EC1102=0,$EB1102=0),OR($EH1102=1,$EF1102=1)),SUM($EG1102:$EJ1102)&gt;=2),"Technology approach","")</f>
        <v>Technology approach</v>
      </c>
      <c r="ES1102" t="str">
        <f>IF(AND($EC1102+$EB1102+$EE1102+$EA1102+$ED1102+$EG1102=0,$N1102="included"),"C neutral forest and HWP assumption","")</f>
        <v/>
      </c>
      <c r="ET1102" t="str">
        <f>IF(AND(AND(AND(AND($EC1102=1,$EB1102+$EA1102+$EG1102&gt;=1),$EF1102=1),$EH1102+$EI1102+$ED1102+$EE1102&gt;=2),$N1102="included"),"All C pools assumption","")</f>
        <v/>
      </c>
      <c r="EU1102" t="str">
        <f>IF(AND($ED1102+$EE1102+$EI1102+$EH1102+$EF1102=0,$N1102="included"),"In-situ only assumption","")</f>
        <v/>
      </c>
      <c r="EY1102" t="str">
        <f>IF(ISNUMBER(BW1102),IF(ABS(BW1102-[6]QC_indicators!$B$2)&gt;3*[6]QC_indicators!$C$2,"C ratio",IF(ISNUMBER(CA1102),IF(ABS(CA1102-[6]QC_indicators!$B$1)&gt;3*[6]QC_indicators!$C$1,"DF","no"))),IF(ISNUMBER(CA1102),IF(ABS(CA1102-[6]QC_indicators!$B$1)&gt;3*[6]QC_indicators!$C$1,"DF","no")))</f>
        <v>no</v>
      </c>
      <c r="FA1102" t="str">
        <f>IF(LEN($CY1102)=0,"",IF(AND($CY1102&lt;(-0.05),$ES1102="C neutral forest and HWP assumption"),"Cneutral paradox",IF(AND($CY1102&gt;0.05,$EU1102="In-situ only assumption"),"In-situ only paradox","")))</f>
        <v/>
      </c>
      <c r="FB1102" s="149" t="s">
        <v>349</v>
      </c>
      <c r="FD1102" s="260" t="s">
        <v>2948</v>
      </c>
    </row>
    <row r="1103" spans="1:160" ht="15" hidden="1" customHeight="1">
      <c r="A1103" s="1" t="s">
        <v>532</v>
      </c>
      <c r="B1103" t="s">
        <v>533</v>
      </c>
      <c r="C1103" t="s">
        <v>534</v>
      </c>
      <c r="D1103" t="s">
        <v>535</v>
      </c>
      <c r="E1103" t="s">
        <v>536</v>
      </c>
      <c r="F1103" t="s">
        <v>537</v>
      </c>
      <c r="G1103" t="s">
        <v>538</v>
      </c>
      <c r="H1103" t="s">
        <v>254</v>
      </c>
      <c r="I1103">
        <v>2017</v>
      </c>
      <c r="J1103">
        <v>3</v>
      </c>
      <c r="K1103" t="s">
        <v>539</v>
      </c>
      <c r="M1103" t="str">
        <f>LEFT($D1103,FIND(",",$D1103)-1)&amp;"_"&amp;I1103&amp;L1103</f>
        <v>Crafford_2017</v>
      </c>
      <c r="N1103" t="s">
        <v>222</v>
      </c>
      <c r="O1103" s="145" t="s">
        <v>223</v>
      </c>
      <c r="Q1103" t="s">
        <v>256</v>
      </c>
      <c r="R1103" s="251" t="s">
        <v>225</v>
      </c>
      <c r="S1103" s="1" t="s">
        <v>546</v>
      </c>
      <c r="T1103" t="s">
        <v>547</v>
      </c>
      <c r="U1103" t="s">
        <v>542</v>
      </c>
      <c r="V1103" s="253">
        <v>0</v>
      </c>
      <c r="W1103" s="253">
        <v>0</v>
      </c>
      <c r="X1103">
        <v>0</v>
      </c>
      <c r="Y1103">
        <v>0</v>
      </c>
      <c r="Z1103">
        <v>0</v>
      </c>
      <c r="AA1103">
        <v>0</v>
      </c>
      <c r="AB1103">
        <v>0</v>
      </c>
      <c r="AC1103">
        <v>0</v>
      </c>
      <c r="AD1103">
        <v>0</v>
      </c>
      <c r="AE1103">
        <v>0</v>
      </c>
      <c r="AF1103">
        <v>0</v>
      </c>
      <c r="AG1103">
        <v>0</v>
      </c>
      <c r="AH1103">
        <v>0</v>
      </c>
      <c r="AI1103">
        <v>0</v>
      </c>
      <c r="AJ1103">
        <v>0</v>
      </c>
      <c r="AK1103">
        <v>0</v>
      </c>
      <c r="AL1103">
        <v>0</v>
      </c>
      <c r="AM1103">
        <v>1</v>
      </c>
      <c r="AN1103">
        <v>0</v>
      </c>
      <c r="AO1103">
        <v>0</v>
      </c>
      <c r="AP1103">
        <v>0</v>
      </c>
      <c r="AQ1103">
        <v>0</v>
      </c>
      <c r="AR1103">
        <v>0</v>
      </c>
      <c r="AS1103">
        <v>0</v>
      </c>
      <c r="AT1103">
        <v>0</v>
      </c>
      <c r="AU1103">
        <v>0</v>
      </c>
      <c r="AV1103">
        <v>0</v>
      </c>
      <c r="AW1103">
        <v>0</v>
      </c>
      <c r="AX1103">
        <v>0</v>
      </c>
      <c r="AY1103">
        <v>0</v>
      </c>
      <c r="AZ1103" s="141">
        <f>COUNTIF(X1103:AY1103,"&lt;&gt;0")</f>
        <v>1</v>
      </c>
      <c r="BA1103" s="141">
        <f>COUNTIF(X1103:AN1103,"&lt;&gt;0")</f>
        <v>1</v>
      </c>
      <c r="BB1103">
        <f>COUNTIF(X1103:AE1103,"&lt;&gt;0")</f>
        <v>0</v>
      </c>
      <c r="BC1103">
        <f>COUNTIF(AF1103:AK1103,"&lt;&gt;0")</f>
        <v>0</v>
      </c>
      <c r="BD1103">
        <f>COUNTIF(AL1103:AN1103,"&lt;&gt;0")</f>
        <v>1</v>
      </c>
      <c r="BE1103">
        <f>COUNTIF(AU1103:AY1103,"&lt;&gt;0")</f>
        <v>0</v>
      </c>
      <c r="BF1103">
        <f>COUNTIF(AO1103:AT1103,"&lt;&gt;0")</f>
        <v>0</v>
      </c>
      <c r="BG1103" t="str">
        <f t="array" ref="BG1103">IF(BA1103=1,INDEX($X$7:$AN$7,MATCH(TRUE,INDEX($X1103:$AY1103&lt;&gt;0,),0)),IF(BA1103=0,INDEX($AO$7:$AY$7,MATCH(1,$AO1103:$AY1103,0)),IF(BH1103="Multiple strategies","mixed drivers",IF(BH1103="Supply chain","multiple supply","multiple silviculture"))))</f>
        <v>technologies/design switch</v>
      </c>
      <c r="BH1103" s="2" t="str" cm="1">
        <f t="array" ref="BH1103">IF(COUNTIF(BB1103:BD1103,"&lt;&gt;0")=1,INDEX($X$4:$AY$4,MATCH(TRUE,INDEX($X1103:$AY1103&lt;&gt;0,),0)),IF(COUNTIF(BB1103:BD1103,"&lt;&gt;0")=0,INDEX($AO$4:$AY$4,MATCH(1,$AO1103:$AY1103,0)),"Multiple strategies"))</f>
        <v>Technology</v>
      </c>
      <c r="BI1103" s="1" t="s">
        <v>229</v>
      </c>
      <c r="BJ1103" t="s">
        <v>543</v>
      </c>
      <c r="BK1103" t="s">
        <v>424</v>
      </c>
      <c r="BL1103" t="s">
        <v>498</v>
      </c>
      <c r="BM1103">
        <v>0</v>
      </c>
      <c r="BN1103">
        <v>1.33</v>
      </c>
      <c r="BP1103">
        <f>BN1103-BM1103</f>
        <v>1.33</v>
      </c>
      <c r="BQ1103">
        <f>BP1103</f>
        <v>1.33</v>
      </c>
      <c r="BR1103" t="s">
        <v>232</v>
      </c>
      <c r="BS1103" s="256" t="s">
        <v>2968</v>
      </c>
      <c r="BT1103" t="s">
        <v>397</v>
      </c>
      <c r="BU1103">
        <v>-1038</v>
      </c>
      <c r="BV1103">
        <v>-85</v>
      </c>
      <c r="BW1103" s="144">
        <v>8.1888246628131017E-2</v>
      </c>
      <c r="BX1103">
        <v>953</v>
      </c>
      <c r="BZ1103">
        <f>BX1103/1000</f>
        <v>0.95299999999999996</v>
      </c>
      <c r="CA1103">
        <f>IFERROR(BZ1103/BQ1103,"")</f>
        <v>0.71654135338345859</v>
      </c>
      <c r="CB1103">
        <v>1</v>
      </c>
      <c r="CC1103">
        <v>0</v>
      </c>
      <c r="CD1103">
        <v>0</v>
      </c>
      <c r="CE1103">
        <v>0</v>
      </c>
      <c r="CF1103">
        <v>0</v>
      </c>
      <c r="CG1103">
        <v>0</v>
      </c>
      <c r="CH1103">
        <v>0</v>
      </c>
      <c r="CI1103">
        <v>0</v>
      </c>
      <c r="CJ1103">
        <v>0</v>
      </c>
      <c r="CK1103">
        <v>0</v>
      </c>
      <c r="CL1103">
        <v>0</v>
      </c>
      <c r="CM1103">
        <v>0</v>
      </c>
      <c r="CN1103">
        <v>0</v>
      </c>
      <c r="CO1103">
        <v>0</v>
      </c>
      <c r="CP1103" t="str">
        <f>IF($BN1103&lt;$BM1103,"refNeedCorrection","refOK")</f>
        <v>refOK</v>
      </c>
      <c r="CQ1103">
        <f>IF($CP1103="refOK",$BM1103,$BN1103)</f>
        <v>0</v>
      </c>
      <c r="CR1103">
        <f>IF($CP1103="refOK",$BN1103,$BM1103)</f>
        <v>1.33</v>
      </c>
      <c r="CS1103">
        <f>IF($CP1103="refOK",$BQ1103,-$BQ1103)</f>
        <v>1.33</v>
      </c>
      <c r="CT1103">
        <f>IF(BI1103="Roundwood",$CS1103/2,$CS1103)</f>
        <v>1.33</v>
      </c>
      <c r="CU1103">
        <f>IF($CP1103="refOK",$BU1103,$BV1103)*IF($BR1103="Emissions positive",-1,1)</f>
        <v>-1038</v>
      </c>
      <c r="CV1103">
        <f>IF($CP1103="refOK",$BV1103,$BU1103)*IF($BR1103="Emissions positive",-1,1)</f>
        <v>-85</v>
      </c>
      <c r="CW1103">
        <f>IF($CP1103="refNeedCorrection",-BZ1103,BZ1103)*IF($BR1103="Emissions positive",-1,1)</f>
        <v>0.95299999999999996</v>
      </c>
      <c r="CX1103">
        <f>IFERROR($CW1103/$CS1103,"")</f>
        <v>0.71654135338345859</v>
      </c>
      <c r="CY1103">
        <f>IFERROR($CW1103/$CS1103,"")</f>
        <v>0.71654135338345859</v>
      </c>
      <c r="CZ1103">
        <f>IFERROR($CW1103/$CT1103,"")</f>
        <v>0.71654135338345859</v>
      </c>
      <c r="DA1103" s="2">
        <f>IFERROR((CV1103-CU1103)/ABS(CU1103),"")</f>
        <v>0.91811175337186901</v>
      </c>
      <c r="DB1103" s="1" t="s">
        <v>263</v>
      </c>
      <c r="DC1103" t="str">
        <f>IF(OR($DB1103="prd",$DB1103="std",$DB1103="cit"),"loc",IF(OR($DB1103="eur",$DB1103="reg",$DB1103="coy"),"reg",$DB1103))</f>
        <v>loc</v>
      </c>
      <c r="DD1103" t="s">
        <v>544</v>
      </c>
      <c r="DG1103">
        <v>0</v>
      </c>
      <c r="DH1103" t="str">
        <f>IF(DG1103=0,"0",IF(AND(DG1103&gt;=1,DG1103&lt;=30),"1-30",IF(AND(DG1103&gt;30,DG1103&lt;=70),"31-70",IF(AND(DG1103&gt;70,DG1103&lt;=100),"71-100",IF(DG1103&gt;100,"+100")))))</f>
        <v>0</v>
      </c>
      <c r="DI1103">
        <v>0</v>
      </c>
      <c r="DJ1103">
        <v>0</v>
      </c>
      <c r="DK1103">
        <v>0</v>
      </c>
      <c r="DL1103">
        <v>1</v>
      </c>
      <c r="DN1103">
        <f>SUM(DI1103:DL1103)</f>
        <v>1</v>
      </c>
      <c r="DO1103" t="str">
        <f>IF(DN1103=1,INDEX($DI$7:$DL$7,MATCH(1,$DI1103:$DL1103,0)),"mixedProduct")</f>
        <v>TimberInput</v>
      </c>
      <c r="DP1103">
        <f>IF(DI1103=1,DP$7,0)</f>
        <v>0</v>
      </c>
      <c r="DQ1103">
        <f>IF(DJ1103=1,DQ$7,0)</f>
        <v>0</v>
      </c>
      <c r="DR1103">
        <f>IF(DK1103=1,DR$7,0)</f>
        <v>0</v>
      </c>
      <c r="DS1103" t="str">
        <f>IF(DL1103=1,DS$7,0)</f>
        <v>Timber</v>
      </c>
      <c r="DT1103">
        <v>0</v>
      </c>
      <c r="DU1103">
        <v>0</v>
      </c>
      <c r="DV1103">
        <v>0</v>
      </c>
      <c r="DW1103">
        <v>0</v>
      </c>
      <c r="DX1103">
        <v>0</v>
      </c>
      <c r="DY1103">
        <f>SUM(DT1103:DU1103)</f>
        <v>0</v>
      </c>
      <c r="DZ1103" s="143" t="str">
        <f>IF(DT1103=1,"self-calculated DF",IF(DU1103=1,"external DF used","explicit C balance"))</f>
        <v>explicit C balance</v>
      </c>
      <c r="EA1103">
        <v>0</v>
      </c>
      <c r="EB1103">
        <v>0</v>
      </c>
      <c r="EC1103">
        <v>0</v>
      </c>
      <c r="ED1103">
        <v>1</v>
      </c>
      <c r="EE1103">
        <v>1</v>
      </c>
      <c r="EF1103" s="143">
        <v>0</v>
      </c>
      <c r="EG1103">
        <v>0</v>
      </c>
      <c r="EH1103">
        <v>1</v>
      </c>
      <c r="EI1103">
        <v>0</v>
      </c>
      <c r="EJ1103">
        <v>1</v>
      </c>
      <c r="EK1103">
        <v>0</v>
      </c>
      <c r="EL1103">
        <v>0</v>
      </c>
      <c r="EM1103">
        <v>0</v>
      </c>
      <c r="EN1103" s="2">
        <v>0</v>
      </c>
      <c r="EP1103" t="str">
        <f>IF(AND(AND(AND(OR($EC1103=1,$EB1103=1),OR($EH1103=1,$EF1103=1)),SUM($EA1103:$EE1103,$EK1103)&gt;=3),SUM($EF1103:$EJ1103)&gt;=2),"Whole sector approach","")</f>
        <v/>
      </c>
      <c r="EQ1103" t="str">
        <f>IF(AND(AND(OR($EC1103=1,$EB1103=1),AND($EH1103=0,$EF1103=0)),SUM($EA1103:$EE1103,$EK1103)&gt;=4),"Ecosystem approach","")</f>
        <v/>
      </c>
      <c r="ER1103" s="2" t="str">
        <f>IF(AND(AND(AND($EC1103=0,$EB1103=0),OR($EH1103=1,$EF1103=1)),SUM($EG1103:$EJ1103)&gt;=2),"Technology approach","")</f>
        <v>Technology approach</v>
      </c>
      <c r="ES1103" t="str">
        <f>IF(AND($EC1103+$EB1103+$EE1103+$EA1103+$ED1103+$EG1103=0,$N1103="included"),"C neutral forest and HWP assumption","")</f>
        <v/>
      </c>
      <c r="ET1103" t="str">
        <f>IF(AND(AND(AND(AND($EC1103=1,$EB1103+$EA1103+$EG1103&gt;=1),$EF1103=1),$EH1103+$EI1103+$ED1103+$EE1103&gt;=2),$N1103="included"),"All C pools assumption","")</f>
        <v/>
      </c>
      <c r="EU1103" t="str">
        <f>IF(AND($ED1103+$EE1103+$EI1103+$EH1103+$EF1103=0,$N1103="included"),"In-situ only assumption","")</f>
        <v/>
      </c>
      <c r="EY1103" t="str">
        <f>IF(ISNUMBER(BW1103),IF(ABS(BW1103-[6]QC_indicators!$B$2)&gt;3*[6]QC_indicators!$C$2,"C ratio",IF(ISNUMBER(CA1103),IF(ABS(CA1103-[6]QC_indicators!$B$1)&gt;3*[6]QC_indicators!$C$1,"DF","no"))),IF(ISNUMBER(CA1103),IF(ABS(CA1103-[6]QC_indicators!$B$1)&gt;3*[6]QC_indicators!$C$1,"DF","no")))</f>
        <v>no</v>
      </c>
      <c r="FA1103" t="str">
        <f>IF(LEN($CY1103)=0,"",IF(AND($CY1103&lt;(-0.05),$ES1103="C neutral forest and HWP assumption"),"Cneutral paradox",IF(AND($CY1103&gt;0.05,$EU1103="In-situ only assumption"),"In-situ only paradox","")))</f>
        <v/>
      </c>
      <c r="FB1103" s="149" t="s">
        <v>349</v>
      </c>
      <c r="FD1103" s="260" t="s">
        <v>2948</v>
      </c>
    </row>
    <row r="1104" spans="1:160" ht="18" hidden="1" customHeight="1">
      <c r="A1104" s="1" t="s">
        <v>532</v>
      </c>
      <c r="B1104" t="s">
        <v>533</v>
      </c>
      <c r="C1104" t="s">
        <v>534</v>
      </c>
      <c r="D1104" t="s">
        <v>535</v>
      </c>
      <c r="E1104" t="s">
        <v>536</v>
      </c>
      <c r="F1104" t="s">
        <v>537</v>
      </c>
      <c r="G1104" t="s">
        <v>538</v>
      </c>
      <c r="H1104" t="s">
        <v>254</v>
      </c>
      <c r="I1104">
        <v>2017</v>
      </c>
      <c r="J1104">
        <v>3</v>
      </c>
      <c r="K1104" t="s">
        <v>539</v>
      </c>
      <c r="M1104" t="str">
        <f>LEFT($D1104,FIND(",",$D1104)-1)&amp;"_"&amp;I1104&amp;L1104</f>
        <v>Crafford_2017</v>
      </c>
      <c r="N1104" t="s">
        <v>222</v>
      </c>
      <c r="O1104" s="145" t="s">
        <v>223</v>
      </c>
      <c r="Q1104" t="s">
        <v>256</v>
      </c>
      <c r="R1104" s="251" t="s">
        <v>225</v>
      </c>
      <c r="S1104" s="1" t="s">
        <v>546</v>
      </c>
      <c r="T1104" t="s">
        <v>547</v>
      </c>
      <c r="U1104" t="s">
        <v>541</v>
      </c>
      <c r="V1104" s="253">
        <v>0</v>
      </c>
      <c r="W1104" s="253">
        <v>0</v>
      </c>
      <c r="X1104">
        <v>0</v>
      </c>
      <c r="Y1104">
        <v>0</v>
      </c>
      <c r="Z1104">
        <v>0</v>
      </c>
      <c r="AA1104">
        <v>0</v>
      </c>
      <c r="AB1104">
        <v>0</v>
      </c>
      <c r="AC1104">
        <v>0</v>
      </c>
      <c r="AD1104">
        <v>0</v>
      </c>
      <c r="AE1104">
        <v>0</v>
      </c>
      <c r="AF1104">
        <v>0</v>
      </c>
      <c r="AG1104">
        <v>0</v>
      </c>
      <c r="AH1104">
        <v>0</v>
      </c>
      <c r="AI1104">
        <v>0</v>
      </c>
      <c r="AJ1104">
        <v>0</v>
      </c>
      <c r="AK1104">
        <v>0</v>
      </c>
      <c r="AL1104">
        <v>0</v>
      </c>
      <c r="AM1104">
        <v>1</v>
      </c>
      <c r="AN1104">
        <v>0</v>
      </c>
      <c r="AO1104">
        <v>0</v>
      </c>
      <c r="AP1104">
        <v>0</v>
      </c>
      <c r="AQ1104">
        <v>0</v>
      </c>
      <c r="AR1104">
        <v>0</v>
      </c>
      <c r="AS1104">
        <v>0</v>
      </c>
      <c r="AT1104">
        <v>0</v>
      </c>
      <c r="AU1104">
        <v>0</v>
      </c>
      <c r="AV1104">
        <v>0</v>
      </c>
      <c r="AW1104">
        <v>0</v>
      </c>
      <c r="AX1104">
        <v>0</v>
      </c>
      <c r="AY1104">
        <v>0</v>
      </c>
      <c r="AZ1104" s="141">
        <f>COUNTIF(X1104:AY1104,"&lt;&gt;0")</f>
        <v>1</v>
      </c>
      <c r="BA1104" s="141">
        <f>COUNTIF(X1104:AN1104,"&lt;&gt;0")</f>
        <v>1</v>
      </c>
      <c r="BB1104">
        <f>COUNTIF(X1104:AE1104,"&lt;&gt;0")</f>
        <v>0</v>
      </c>
      <c r="BC1104">
        <f>COUNTIF(AF1104:AK1104,"&lt;&gt;0")</f>
        <v>0</v>
      </c>
      <c r="BD1104">
        <f>COUNTIF(AL1104:AN1104,"&lt;&gt;0")</f>
        <v>1</v>
      </c>
      <c r="BE1104">
        <f>COUNTIF(AU1104:AY1104,"&lt;&gt;0")</f>
        <v>0</v>
      </c>
      <c r="BF1104">
        <f>COUNTIF(AO1104:AT1104,"&lt;&gt;0")</f>
        <v>0</v>
      </c>
      <c r="BG1104" t="str">
        <f t="array" ref="BG1104">IF(BA1104=1,INDEX($X$7:$AN$7,MATCH(TRUE,INDEX($X1104:$AY1104&lt;&gt;0,),0)),IF(BA1104=0,INDEX($AO$7:$AY$7,MATCH(1,$AO1104:$AY1104,0)),IF(BH1104="Multiple strategies","mixed drivers",IF(BH1104="Supply chain","multiple supply","multiple silviculture"))))</f>
        <v>technologies/design switch</v>
      </c>
      <c r="BH1104" s="2" t="str" cm="1">
        <f t="array" ref="BH1104">IF(COUNTIF(BB1104:BD1104,"&lt;&gt;0")=1,INDEX($X$4:$AY$4,MATCH(TRUE,INDEX($X1104:$AY1104&lt;&gt;0,),0)),IF(COUNTIF(BB1104:BD1104,"&lt;&gt;0")=0,INDEX($AO$4:$AY$4,MATCH(1,$AO1104:$AY1104,0)),"Multiple strategies"))</f>
        <v>Technology</v>
      </c>
      <c r="BI1104" s="1" t="s">
        <v>229</v>
      </c>
      <c r="BJ1104" t="s">
        <v>543</v>
      </c>
      <c r="BK1104" t="s">
        <v>424</v>
      </c>
      <c r="BL1104" t="s">
        <v>498</v>
      </c>
      <c r="BM1104">
        <v>0</v>
      </c>
      <c r="BN1104">
        <v>1.33</v>
      </c>
      <c r="BP1104">
        <f>BN1104-BM1104</f>
        <v>1.33</v>
      </c>
      <c r="BQ1104">
        <f>BP1104</f>
        <v>1.33</v>
      </c>
      <c r="BR1104" t="s">
        <v>232</v>
      </c>
      <c r="BS1104" s="256" t="s">
        <v>2967</v>
      </c>
      <c r="BT1104" t="s">
        <v>397</v>
      </c>
      <c r="BU1104">
        <v>-1038</v>
      </c>
      <c r="BV1104">
        <v>-164</v>
      </c>
      <c r="BW1104" s="144">
        <v>0.15799614643545279</v>
      </c>
      <c r="BX1104">
        <v>874</v>
      </c>
      <c r="BZ1104">
        <f>BX1104/1000</f>
        <v>0.874</v>
      </c>
      <c r="CA1104">
        <f>IFERROR(BZ1104/BQ1104,"")</f>
        <v>0.65714285714285714</v>
      </c>
      <c r="CB1104">
        <v>1</v>
      </c>
      <c r="CC1104">
        <v>0</v>
      </c>
      <c r="CD1104">
        <v>0</v>
      </c>
      <c r="CE1104">
        <v>0</v>
      </c>
      <c r="CF1104">
        <v>0</v>
      </c>
      <c r="CG1104">
        <v>0</v>
      </c>
      <c r="CH1104">
        <v>0</v>
      </c>
      <c r="CI1104">
        <v>0</v>
      </c>
      <c r="CJ1104">
        <v>0</v>
      </c>
      <c r="CK1104">
        <v>0</v>
      </c>
      <c r="CL1104">
        <v>0</v>
      </c>
      <c r="CM1104">
        <v>0</v>
      </c>
      <c r="CN1104">
        <v>0</v>
      </c>
      <c r="CO1104">
        <v>0</v>
      </c>
      <c r="CP1104" t="str">
        <f>IF($BN1104&lt;$BM1104,"refNeedCorrection","refOK")</f>
        <v>refOK</v>
      </c>
      <c r="CQ1104">
        <f>IF($CP1104="refOK",$BM1104,$BN1104)</f>
        <v>0</v>
      </c>
      <c r="CR1104">
        <f>IF($CP1104="refOK",$BN1104,$BM1104)</f>
        <v>1.33</v>
      </c>
      <c r="CS1104">
        <f>IF($CP1104="refOK",$BQ1104,-$BQ1104)</f>
        <v>1.33</v>
      </c>
      <c r="CT1104">
        <f>IF(BI1104="Roundwood",$CS1104/2,$CS1104)</f>
        <v>1.33</v>
      </c>
      <c r="CU1104">
        <f>IF($CP1104="refOK",$BU1104,$BV1104)*IF($BR1104="Emissions positive",-1,1)</f>
        <v>-1038</v>
      </c>
      <c r="CV1104">
        <f>IF($CP1104="refOK",$BV1104,$BU1104)*IF($BR1104="Emissions positive",-1,1)</f>
        <v>-164</v>
      </c>
      <c r="CW1104">
        <f>IF($CP1104="refNeedCorrection",-BZ1104,BZ1104)*IF($BR1104="Emissions positive",-1,1)</f>
        <v>0.874</v>
      </c>
      <c r="CX1104">
        <f>IFERROR($CW1104/$CS1104,"")</f>
        <v>0.65714285714285714</v>
      </c>
      <c r="CY1104">
        <f>IFERROR($CW1104/$CS1104,"")</f>
        <v>0.65714285714285714</v>
      </c>
      <c r="CZ1104">
        <f>IFERROR($CW1104/$CT1104,"")</f>
        <v>0.65714285714285714</v>
      </c>
      <c r="DA1104" s="2">
        <f>IFERROR((CV1104-CU1104)/ABS(CU1104),"")</f>
        <v>0.84200385356454721</v>
      </c>
      <c r="DB1104" s="1" t="s">
        <v>263</v>
      </c>
      <c r="DC1104" t="str">
        <f>IF(OR($DB1104="prd",$DB1104="std",$DB1104="cit"),"loc",IF(OR($DB1104="eur",$DB1104="reg",$DB1104="coy"),"reg",$DB1104))</f>
        <v>loc</v>
      </c>
      <c r="DD1104" t="s">
        <v>544</v>
      </c>
      <c r="DG1104">
        <v>0</v>
      </c>
      <c r="DH1104" t="str">
        <f>IF(DG1104=0,"0",IF(AND(DG1104&gt;=1,DG1104&lt;=30),"1-30",IF(AND(DG1104&gt;30,DG1104&lt;=70),"31-70",IF(AND(DG1104&gt;70,DG1104&lt;=100),"71-100",IF(DG1104&gt;100,"+100")))))</f>
        <v>0</v>
      </c>
      <c r="DI1104">
        <v>0</v>
      </c>
      <c r="DJ1104">
        <v>0</v>
      </c>
      <c r="DK1104">
        <v>0</v>
      </c>
      <c r="DL1104">
        <v>1</v>
      </c>
      <c r="DN1104">
        <f>SUM(DI1104:DL1104)</f>
        <v>1</v>
      </c>
      <c r="DO1104" t="str">
        <f>IF(DN1104=1,INDEX($DI$7:$DL$7,MATCH(1,$DI1104:$DL1104,0)),"mixedProduct")</f>
        <v>TimberInput</v>
      </c>
      <c r="DP1104">
        <f>IF(DI1104=1,DP$7,0)</f>
        <v>0</v>
      </c>
      <c r="DQ1104">
        <f>IF(DJ1104=1,DQ$7,0)</f>
        <v>0</v>
      </c>
      <c r="DR1104">
        <f>IF(DK1104=1,DR$7,0)</f>
        <v>0</v>
      </c>
      <c r="DS1104" t="str">
        <f>IF(DL1104=1,DS$7,0)</f>
        <v>Timber</v>
      </c>
      <c r="DT1104">
        <v>0</v>
      </c>
      <c r="DU1104">
        <v>0</v>
      </c>
      <c r="DV1104">
        <v>0</v>
      </c>
      <c r="DW1104">
        <v>0</v>
      </c>
      <c r="DX1104">
        <v>0</v>
      </c>
      <c r="DY1104">
        <f>SUM(DT1104:DU1104)</f>
        <v>0</v>
      </c>
      <c r="DZ1104" s="143" t="str">
        <f>IF(DT1104=1,"self-calculated DF",IF(DU1104=1,"external DF used","explicit C balance"))</f>
        <v>explicit C balance</v>
      </c>
      <c r="EA1104">
        <v>0</v>
      </c>
      <c r="EB1104">
        <v>0</v>
      </c>
      <c r="EC1104">
        <v>0</v>
      </c>
      <c r="ED1104">
        <v>1</v>
      </c>
      <c r="EE1104">
        <v>1</v>
      </c>
      <c r="EF1104" s="143">
        <v>0</v>
      </c>
      <c r="EG1104">
        <v>0</v>
      </c>
      <c r="EH1104">
        <v>1</v>
      </c>
      <c r="EI1104">
        <v>0</v>
      </c>
      <c r="EJ1104">
        <v>1</v>
      </c>
      <c r="EK1104">
        <v>0</v>
      </c>
      <c r="EL1104">
        <v>0</v>
      </c>
      <c r="EM1104">
        <v>0</v>
      </c>
      <c r="EN1104" s="2">
        <v>0</v>
      </c>
      <c r="EP1104" t="str">
        <f>IF(AND(AND(AND(OR($EC1104=1,$EB1104=1),OR($EH1104=1,$EF1104=1)),SUM($EA1104:$EE1104,$EK1104)&gt;=3),SUM($EF1104:$EJ1104)&gt;=2),"Whole sector approach","")</f>
        <v/>
      </c>
      <c r="EQ1104" t="str">
        <f>IF(AND(AND(OR($EC1104=1,$EB1104=1),AND($EH1104=0,$EF1104=0)),SUM($EA1104:$EE1104,$EK1104)&gt;=4),"Ecosystem approach","")</f>
        <v/>
      </c>
      <c r="ER1104" s="2" t="str">
        <f>IF(AND(AND(AND($EC1104=0,$EB1104=0),OR($EH1104=1,$EF1104=1)),SUM($EG1104:$EJ1104)&gt;=2),"Technology approach","")</f>
        <v>Technology approach</v>
      </c>
      <c r="ES1104" t="str">
        <f>IF(AND($EC1104+$EB1104+$EE1104+$EA1104+$ED1104+$EG1104=0,$N1104="included"),"C neutral forest and HWP assumption","")</f>
        <v/>
      </c>
      <c r="ET1104" t="str">
        <f>IF(AND(AND(AND(AND($EC1104=1,$EB1104+$EA1104+$EG1104&gt;=1),$EF1104=1),$EH1104+$EI1104+$ED1104+$EE1104&gt;=2),$N1104="included"),"All C pools assumption","")</f>
        <v/>
      </c>
      <c r="EU1104" t="str">
        <f>IF(AND($ED1104+$EE1104+$EI1104+$EH1104+$EF1104=0,$N1104="included"),"In-situ only assumption","")</f>
        <v/>
      </c>
      <c r="EY1104" t="str">
        <f>IF(ISNUMBER(BW1104),IF(ABS(BW1104-[6]QC_indicators!$B$2)&gt;3*[6]QC_indicators!$C$2,"C ratio",IF(ISNUMBER(CA1104),IF(ABS(CA1104-[6]QC_indicators!$B$1)&gt;3*[6]QC_indicators!$C$1,"DF","no"))),IF(ISNUMBER(CA1104),IF(ABS(CA1104-[6]QC_indicators!$B$1)&gt;3*[6]QC_indicators!$C$1,"DF","no")))</f>
        <v>no</v>
      </c>
      <c r="FA1104" t="str">
        <f>IF(LEN($CY1104)=0,"",IF(AND($CY1104&lt;(-0.05),$ES1104="C neutral forest and HWP assumption"),"Cneutral paradox",IF(AND($CY1104&gt;0.05,$EU1104="In-situ only assumption"),"In-situ only paradox","")))</f>
        <v/>
      </c>
      <c r="FB1104" s="149" t="s">
        <v>349</v>
      </c>
      <c r="FD1104" s="260" t="s">
        <v>2948</v>
      </c>
    </row>
    <row r="1105" spans="1:160" ht="15" hidden="1" customHeight="1">
      <c r="A1105" s="1" t="s">
        <v>500</v>
      </c>
      <c r="B1105" t="s">
        <v>1836</v>
      </c>
      <c r="C1105" t="s">
        <v>1837</v>
      </c>
      <c r="D1105" t="s">
        <v>1838</v>
      </c>
      <c r="E1105" s="317" t="s">
        <v>1839</v>
      </c>
      <c r="F1105" t="s">
        <v>1840</v>
      </c>
      <c r="G1105" t="s">
        <v>506</v>
      </c>
      <c r="H1105" t="s">
        <v>254</v>
      </c>
      <c r="I1105">
        <v>2017</v>
      </c>
      <c r="J1105">
        <v>17</v>
      </c>
      <c r="K1105" t="s">
        <v>1841</v>
      </c>
      <c r="M1105" t="str">
        <f>LEFT($D1105,FIND(",",$D1105)-1)&amp;"_"&amp;I1105&amp;L1105</f>
        <v>Numazawa_2017</v>
      </c>
      <c r="N1105" t="s">
        <v>222</v>
      </c>
      <c r="O1105" s="157" t="s">
        <v>274</v>
      </c>
      <c r="P1105" t="s">
        <v>508</v>
      </c>
      <c r="Q1105" s="317" t="s">
        <v>389</v>
      </c>
      <c r="R1105" s="318" t="s">
        <v>1029</v>
      </c>
      <c r="S1105" s="1" t="s">
        <v>1587</v>
      </c>
      <c r="T1105" t="s">
        <v>4987</v>
      </c>
      <c r="U1105" t="s">
        <v>4988</v>
      </c>
      <c r="V1105" s="253">
        <v>0</v>
      </c>
      <c r="W1105" s="253">
        <v>0</v>
      </c>
      <c r="X1105">
        <v>0</v>
      </c>
      <c r="Y1105">
        <v>0</v>
      </c>
      <c r="Z1105">
        <v>0</v>
      </c>
      <c r="AA1105">
        <v>1</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s="141">
        <f>COUNTIF(X1105:AY1105,"&lt;&gt;0")</f>
        <v>1</v>
      </c>
      <c r="BA1105" s="141">
        <f>COUNTIF(X1105:AN1105,"&lt;&gt;0")</f>
        <v>1</v>
      </c>
      <c r="BB1105">
        <f>COUNTIF(X1105:AE1105,"&lt;&gt;0")</f>
        <v>1</v>
      </c>
      <c r="BC1105">
        <f>COUNTIF(AF1105:AK1105,"&lt;&gt;0")</f>
        <v>0</v>
      </c>
      <c r="BD1105">
        <f>COUNTIF(AL1105:AN1105,"&lt;&gt;0")</f>
        <v>0</v>
      </c>
      <c r="BE1105">
        <f>COUNTIF(AU1105:AY1105,"&lt;&gt;0")</f>
        <v>0</v>
      </c>
      <c r="BF1105">
        <f>COUNTIF(AO1105:AT1105,"&lt;&gt;0")</f>
        <v>0</v>
      </c>
      <c r="BG1105" t="str" cm="1">
        <f t="array" ref="BG1105">IF(BA1105=1,INDEX($X$7:$AN$7,MATCH(TRUE,INDEX($X1105:$AY1105&lt;&gt;0,),0)),IF(BA1105=0,INDEX($AO$7:$AY$7,MATCH(1,$AO1105:$AY1105,0)),IF(BH1105="Multiple strategies","mixed drivers",IF(BH1105="Supply chain","multiple supply","multiple silviculture"))))</f>
        <v xml:space="preserve">cutting intensity </v>
      </c>
      <c r="BH1105" s="2" t="str" cm="1">
        <f t="array" ref="BH1105">IF(COUNTIF(BB1105:BD1105,"&lt;&gt;0")=1,INDEX($X$4:$AY$4,MATCH(TRUE,INDEX($X1105:$AY1105&lt;&gt;0,),0)),IF(COUNTIF(BB1105:BD1105,"&lt;&gt;0")=0,INDEX($AO$4:$AY$4,MATCH(1,$AO1105:$AY1105,0)),"Multiple strategies"))</f>
        <v>Silviculture for removals</v>
      </c>
      <c r="BI1105" s="1" t="s">
        <v>321</v>
      </c>
      <c r="BK1105" s="321" t="s">
        <v>4989</v>
      </c>
      <c r="BL1105" t="s">
        <v>1884</v>
      </c>
      <c r="BM1105">
        <v>15</v>
      </c>
      <c r="BN1105">
        <v>30</v>
      </c>
      <c r="BO1105">
        <f>IFERROR(BN1105/BM1105,"")</f>
        <v>2</v>
      </c>
      <c r="BP1105">
        <f>BN1105-BM1105</f>
        <v>15</v>
      </c>
      <c r="BQ1105">
        <f>BP1105</f>
        <v>15</v>
      </c>
      <c r="BR1105" s="317" t="s">
        <v>232</v>
      </c>
      <c r="BS1105" s="155" t="s">
        <v>426</v>
      </c>
      <c r="BT1105" t="s">
        <v>1842</v>
      </c>
      <c r="BU1105">
        <v>15.226055600022903</v>
      </c>
      <c r="BV1105">
        <v>13.8339920948615</v>
      </c>
      <c r="BW1105" s="144">
        <f>BV1105/BU1105</f>
        <v>0.90857359635811985</v>
      </c>
      <c r="BX1105">
        <f>BV1105-BU1105</f>
        <v>-1.3920635051614028</v>
      </c>
      <c r="BZ1105">
        <f>BX1105</f>
        <v>-1.3920635051614028</v>
      </c>
      <c r="CA1105">
        <f>IFERROR(BZ1105/BQ1105,"")</f>
        <v>-9.2804233677426851E-2</v>
      </c>
      <c r="CB1105">
        <v>0</v>
      </c>
      <c r="CC1105">
        <v>0</v>
      </c>
      <c r="CD1105">
        <v>0</v>
      </c>
      <c r="CE1105">
        <v>0</v>
      </c>
      <c r="CF1105">
        <v>0</v>
      </c>
      <c r="CG1105">
        <v>0</v>
      </c>
      <c r="CH1105">
        <v>0</v>
      </c>
      <c r="CI1105">
        <v>0</v>
      </c>
      <c r="CJ1105">
        <v>0</v>
      </c>
      <c r="CK1105">
        <v>0</v>
      </c>
      <c r="CL1105">
        <v>0</v>
      </c>
      <c r="CM1105">
        <v>0</v>
      </c>
      <c r="CN1105">
        <v>0</v>
      </c>
      <c r="CO1105">
        <v>0</v>
      </c>
      <c r="CP1105" t="str">
        <f>IF($BN1105&lt;$BM1105,"refNeedCorrection","refOK")</f>
        <v>refOK</v>
      </c>
      <c r="CQ1105">
        <f>IF($CP1105="refOK",$BM1105,$BN1105)</f>
        <v>15</v>
      </c>
      <c r="CR1105">
        <f>IF($CP1105="refOK",$BN1105,$BM1105)</f>
        <v>30</v>
      </c>
      <c r="CS1105">
        <f>IF($CP1105="refOK",$BQ1105,-$BQ1105)</f>
        <v>15</v>
      </c>
      <c r="CT1105">
        <f>IF(BI1105="Roundwood",$CS1105/2,$CS1105)</f>
        <v>7.5</v>
      </c>
      <c r="CU1105">
        <f>IF($CP1105="refOK",$BU1105,$BV1105)*IF($BR1105="Emissions positive",-1,1)</f>
        <v>15.226055600022903</v>
      </c>
      <c r="CV1105">
        <f>IF($CP1105="refOK",$BV1105,$BU1105)*IF($BR1105="Emissions positive",-1,1)</f>
        <v>13.8339920948615</v>
      </c>
      <c r="CW1105">
        <f>IF($CP1105="refNeedCorrection",-BZ1105,BZ1105)*IF($BR1105="Emissions positive",-1,1)</f>
        <v>-1.3920635051614028</v>
      </c>
      <c r="CX1105">
        <f>IFERROR($CW1105/$CS1105,"")</f>
        <v>-9.2804233677426851E-2</v>
      </c>
      <c r="CY1105">
        <f>IFERROR($CW1105/$CS1105,"")</f>
        <v>-9.2804233677426851E-2</v>
      </c>
      <c r="CZ1105">
        <f>IFERROR($CW1105/$CT1105,"")</f>
        <v>-0.1856084673548537</v>
      </c>
      <c r="DA1105" s="2">
        <f>IFERROR((CV1105-CU1105)/ABS(CU1105),"")</f>
        <v>-9.1426403641880094E-2</v>
      </c>
      <c r="DB1105" s="1" t="s">
        <v>1843</v>
      </c>
      <c r="DC1105" s="317" t="str">
        <f>IF(OR($DB1105="prd",$DB1105="std",$DB1105="cit"),"loc",IF(OR($DB1105="eur",$DB1105="reg",$DB1105="coy"),"reg",$DB1105))</f>
        <v>reg</v>
      </c>
      <c r="DD1105" t="s">
        <v>513</v>
      </c>
      <c r="DG1105">
        <v>30</v>
      </c>
      <c r="DH1105" t="str">
        <f>IF(DG1105=0,"0",IF(AND(DG1105&gt;=1,DG1105&lt;=30),"1-30",IF(AND(DG1105&gt;30,DG1105&lt;=70),"31-70",IF(AND(DG1105&gt;70,DG1105&lt;=100),"71-100",IF(DG1105&gt;100,"+100")))))</f>
        <v>1-30</v>
      </c>
      <c r="DI1105">
        <v>1</v>
      </c>
      <c r="DJ1105">
        <v>0</v>
      </c>
      <c r="DK1105">
        <v>0</v>
      </c>
      <c r="DL1105">
        <v>0</v>
      </c>
      <c r="DM1105">
        <v>0</v>
      </c>
      <c r="DN1105">
        <f>SUM(DI1105:DM1105)</f>
        <v>1</v>
      </c>
      <c r="DO1105" t="str">
        <f>IF(DN1105=1,INDEX($DI$7:$DL$7,MATCH(1,$DI1105:$DL1105,0)),"mixedProduct")</f>
        <v>UpstreamInput</v>
      </c>
      <c r="DP1105" t="str">
        <f>IF(DI1105=1,DP$7,0)</f>
        <v>Upstream</v>
      </c>
      <c r="DQ1105">
        <f>IF(DJ1105=1,DQ$7,0)</f>
        <v>0</v>
      </c>
      <c r="DR1105">
        <f>IF(DK1105=1,DR$7,0)</f>
        <v>0</v>
      </c>
      <c r="DS1105">
        <f>IF(DL1105=1,DS$7,0)</f>
        <v>0</v>
      </c>
      <c r="DT1105">
        <v>0</v>
      </c>
      <c r="DU1105">
        <v>0</v>
      </c>
      <c r="DV1105">
        <v>0</v>
      </c>
      <c r="DW1105">
        <v>0</v>
      </c>
      <c r="DX1105">
        <v>0</v>
      </c>
      <c r="DY1105"/>
      <c r="DZ1105" s="143" t="str">
        <f>IF(DT1105=1,"self-calculated DF",IF(DU1105=1,"external DF used","explicit C balance"))</f>
        <v>explicit C balance</v>
      </c>
      <c r="EA1105">
        <v>0</v>
      </c>
      <c r="EB1105">
        <v>1</v>
      </c>
      <c r="EC1105">
        <v>1</v>
      </c>
      <c r="ED1105">
        <v>1</v>
      </c>
      <c r="EE1105">
        <v>0</v>
      </c>
      <c r="EF1105" s="143">
        <v>0</v>
      </c>
      <c r="EG1105" s="143">
        <v>0</v>
      </c>
      <c r="EH1105">
        <v>0</v>
      </c>
      <c r="EI1105">
        <v>0</v>
      </c>
      <c r="EJ1105">
        <v>0</v>
      </c>
      <c r="EK1105">
        <v>1</v>
      </c>
      <c r="EL1105">
        <v>0</v>
      </c>
      <c r="EM1105">
        <v>0</v>
      </c>
      <c r="EN1105" s="2">
        <v>0</v>
      </c>
      <c r="EP1105" t="str">
        <f>IF(AND(AND(AND(OR($EC1105=1,$EB1105=1),OR($EH1105=1,$EF1105=1)),SUM($EA1105:$EE1105,$EK1105)&gt;=3),SUM($EF1105:$EJ1105)&gt;=2),"Whole sector approach","")</f>
        <v/>
      </c>
      <c r="EQ1105" t="str">
        <f>IF(AND(AND(OR($EC1105=1,$EB1105=1),AND($EH1105=0,$EF1105=0)),SUM($EA1105:$EE1105,$EK1105)&gt;=3),"Ecosystem approach","")</f>
        <v>Ecosystem approach</v>
      </c>
      <c r="ER1105" s="2" t="str">
        <f>IF(AND(AND(AND($EC1105=0,$EB1105=0),OR($EH1105=1,$EF1105=1)),SUM($EG1105:$EJ1105)&gt;=2),"Technology approach","")</f>
        <v/>
      </c>
      <c r="ES1105" t="str">
        <f>IF(AND($EC1105+$EB1105+$EE1105+$EA1105+$ED1105+$EG1105=0,$N1105="included"),"C neutral forest and HWP assumption","")</f>
        <v/>
      </c>
      <c r="ET1105" t="str">
        <f>IF(AND(AND(AND(AND($EC1105=1,$EB1105+$EA1105+$EG1105&gt;=1),$EF1105=1),$EH1105+$EI1105+$ED1105+$EE1105&gt;=2),$N1105="included"),"All C pools assumption","")</f>
        <v/>
      </c>
      <c r="EU1105" t="str">
        <f>IF(AND($ED1105+$EE1105+$EI1105+$EH1105+$EF1105=0,$N1105="included"),"In-situ only assumption","")</f>
        <v/>
      </c>
      <c r="EY1105" t="str">
        <f>IF(ISNUMBER(BW1105),IF(ABS(BW1105-[4]QC_indicators!$B$2)&gt;3*[4]QC_indicators!$C$2,"C ratio",IF(ISNUMBER(CA1105),IF(ABS(CA1105-[4]QC_indicators!$B$1)&gt;3*[4]QC_indicators!$C$1,"DF","no"))),IF(ISNUMBER(CA1105),IF(ABS(CA1105-[4]QC_indicators!$B$1)&gt;3*[4]QC_indicators!$C$1,"DF","no")))</f>
        <v>no</v>
      </c>
      <c r="FA1105" t="str">
        <f>IF(LEN($CY1105)=0,"",IF(AND($CY1105&lt;(-0.05),$ES1105="C neutral forest and HWP assumption"),"Cneutral paradox",IF(AND($CY1105&gt;0.05,$EU1105="In-situ only assumption"),"In-situ only paradox","")))</f>
        <v/>
      </c>
      <c r="FD1105" t="s">
        <v>4990</v>
      </c>
    </row>
    <row r="1106" spans="1:160" ht="15" hidden="1" customHeight="1">
      <c r="A1106" s="1" t="s">
        <v>500</v>
      </c>
      <c r="B1106" t="s">
        <v>1836</v>
      </c>
      <c r="C1106" t="s">
        <v>1837</v>
      </c>
      <c r="D1106" t="s">
        <v>1838</v>
      </c>
      <c r="E1106" s="317" t="s">
        <v>1839</v>
      </c>
      <c r="F1106" t="s">
        <v>1840</v>
      </c>
      <c r="G1106" t="s">
        <v>506</v>
      </c>
      <c r="H1106" t="s">
        <v>254</v>
      </c>
      <c r="I1106">
        <v>2017</v>
      </c>
      <c r="J1106">
        <v>17</v>
      </c>
      <c r="K1106" t="s">
        <v>1841</v>
      </c>
      <c r="M1106" t="str">
        <f>LEFT($D1106,FIND(",",$D1106)-1)&amp;"_"&amp;I1106&amp;L1106</f>
        <v>Numazawa_2017</v>
      </c>
      <c r="N1106" t="s">
        <v>222</v>
      </c>
      <c r="O1106" s="157" t="s">
        <v>274</v>
      </c>
      <c r="P1106" t="s">
        <v>508</v>
      </c>
      <c r="Q1106" s="317" t="s">
        <v>389</v>
      </c>
      <c r="R1106" s="318" t="s">
        <v>1029</v>
      </c>
      <c r="S1106" s="1" t="s">
        <v>1587</v>
      </c>
      <c r="T1106" t="s">
        <v>4991</v>
      </c>
      <c r="U1106" t="s">
        <v>4992</v>
      </c>
      <c r="V1106" s="253">
        <v>0</v>
      </c>
      <c r="W1106" s="253">
        <v>0</v>
      </c>
      <c r="X1106">
        <v>0</v>
      </c>
      <c r="Y1106">
        <v>0</v>
      </c>
      <c r="Z1106">
        <v>0</v>
      </c>
      <c r="AA1106">
        <v>1</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s="141">
        <f>COUNTIF(X1106:AY1106,"&lt;&gt;0")</f>
        <v>1</v>
      </c>
      <c r="BA1106" s="141">
        <f>COUNTIF(X1106:AN1106,"&lt;&gt;0")</f>
        <v>1</v>
      </c>
      <c r="BB1106">
        <f>COUNTIF(X1106:AE1106,"&lt;&gt;0")</f>
        <v>1</v>
      </c>
      <c r="BC1106">
        <f>COUNTIF(AF1106:AK1106,"&lt;&gt;0")</f>
        <v>0</v>
      </c>
      <c r="BD1106">
        <f>COUNTIF(AL1106:AN1106,"&lt;&gt;0")</f>
        <v>0</v>
      </c>
      <c r="BE1106">
        <f>COUNTIF(AU1106:AY1106,"&lt;&gt;0")</f>
        <v>0</v>
      </c>
      <c r="BF1106">
        <f>COUNTIF(AO1106:AT1106,"&lt;&gt;0")</f>
        <v>0</v>
      </c>
      <c r="BG1106" t="str" cm="1">
        <f t="array" ref="BG1106">IF(BA1106=1,INDEX($X$7:$AN$7,MATCH(TRUE,INDEX($X1106:$AY1106&lt;&gt;0,),0)),IF(BA1106=0,INDEX($AO$7:$AY$7,MATCH(1,$AO1106:$AY1106,0)),IF(BH1106="Multiple strategies","mixed drivers",IF(BH1106="Supply chain","multiple supply","multiple silviculture"))))</f>
        <v xml:space="preserve">cutting intensity </v>
      </c>
      <c r="BH1106" s="2" t="str" cm="1">
        <f t="array" ref="BH1106">IF(COUNTIF(BB1106:BD1106,"&lt;&gt;0")=1,INDEX($X$4:$AY$4,MATCH(TRUE,INDEX($X1106:$AY1106&lt;&gt;0,),0)),IF(COUNTIF(BB1106:BD1106,"&lt;&gt;0")=0,INDEX($AO$4:$AY$4,MATCH(1,$AO1106:$AY1106,0)),"Multiple strategies"))</f>
        <v>Silviculture for removals</v>
      </c>
      <c r="BI1106" s="1" t="s">
        <v>321</v>
      </c>
      <c r="BK1106" s="321" t="s">
        <v>4989</v>
      </c>
      <c r="BL1106" t="s">
        <v>1884</v>
      </c>
      <c r="BM1106">
        <v>30</v>
      </c>
      <c r="BN1106">
        <v>60</v>
      </c>
      <c r="BO1106">
        <f>IFERROR(BN1106/BM1106,"")</f>
        <v>2</v>
      </c>
      <c r="BP1106">
        <f>BN1106-BM1106</f>
        <v>30</v>
      </c>
      <c r="BQ1106">
        <f>BP1106</f>
        <v>30</v>
      </c>
      <c r="BR1106" s="317" t="s">
        <v>232</v>
      </c>
      <c r="BS1106" s="155" t="s">
        <v>426</v>
      </c>
      <c r="BT1106" t="s">
        <v>1842</v>
      </c>
      <c r="BU1106">
        <v>35.985708037990406</v>
      </c>
      <c r="BV1106">
        <v>19.367588932806001</v>
      </c>
      <c r="BW1106" s="144">
        <f>BV1106/BU1106</f>
        <v>0.53820224719100929</v>
      </c>
      <c r="BX1106">
        <f>BV1106-BU1106</f>
        <v>-16.618119105184405</v>
      </c>
      <c r="BZ1106">
        <f>BX1106</f>
        <v>-16.618119105184405</v>
      </c>
      <c r="CA1106">
        <f>IFERROR(BZ1106/BQ1106,"")</f>
        <v>-0.55393730350614689</v>
      </c>
      <c r="CB1106">
        <v>0</v>
      </c>
      <c r="CC1106">
        <v>0</v>
      </c>
      <c r="CD1106">
        <v>0</v>
      </c>
      <c r="CE1106">
        <v>0</v>
      </c>
      <c r="CF1106">
        <v>0</v>
      </c>
      <c r="CG1106">
        <v>0</v>
      </c>
      <c r="CH1106">
        <v>0</v>
      </c>
      <c r="CI1106">
        <v>0</v>
      </c>
      <c r="CJ1106">
        <v>0</v>
      </c>
      <c r="CK1106">
        <v>0</v>
      </c>
      <c r="CL1106">
        <v>0</v>
      </c>
      <c r="CM1106">
        <v>0</v>
      </c>
      <c r="CN1106">
        <v>0</v>
      </c>
      <c r="CO1106">
        <v>0</v>
      </c>
      <c r="CP1106" t="str">
        <f>IF($BN1106&lt;$BM1106,"refNeedCorrection","refOK")</f>
        <v>refOK</v>
      </c>
      <c r="CQ1106">
        <f>IF($CP1106="refOK",$BM1106,$BN1106)</f>
        <v>30</v>
      </c>
      <c r="CR1106">
        <f>IF($CP1106="refOK",$BN1106,$BM1106)</f>
        <v>60</v>
      </c>
      <c r="CS1106">
        <f>IF($CP1106="refOK",$BQ1106,-$BQ1106)</f>
        <v>30</v>
      </c>
      <c r="CT1106">
        <f>IF(BI1106="Roundwood",$CS1106/2,$CS1106)</f>
        <v>15</v>
      </c>
      <c r="CU1106">
        <f>IF($CP1106="refOK",$BU1106,$BV1106)*IF($BR1106="Emissions positive",-1,1)</f>
        <v>35.985708037990406</v>
      </c>
      <c r="CV1106">
        <f>IF($CP1106="refOK",$BV1106,$BU1106)*IF($BR1106="Emissions positive",-1,1)</f>
        <v>19.367588932806001</v>
      </c>
      <c r="CW1106">
        <f>IF($CP1106="refNeedCorrection",-BZ1106,BZ1106)*IF($BR1106="Emissions positive",-1,1)</f>
        <v>-16.618119105184405</v>
      </c>
      <c r="CX1106">
        <f>IFERROR($CW1106/$CS1106,"")</f>
        <v>-0.55393730350614689</v>
      </c>
      <c r="CY1106">
        <f>IFERROR($CW1106/$CS1106,"")</f>
        <v>-0.55393730350614689</v>
      </c>
      <c r="CZ1106">
        <f>IFERROR($CW1106/$CT1106,"")</f>
        <v>-1.1078746070122938</v>
      </c>
      <c r="DA1106" s="2">
        <f>IFERROR((CV1106-CU1106)/ABS(CU1106),"")</f>
        <v>-0.46179775280899077</v>
      </c>
      <c r="DB1106" s="1" t="s">
        <v>1843</v>
      </c>
      <c r="DC1106" s="317" t="str">
        <f>IF(OR($DB1106="prd",$DB1106="std",$DB1106="cit"),"loc",IF(OR($DB1106="eur",$DB1106="reg",$DB1106="coy"),"reg",$DB1106))</f>
        <v>reg</v>
      </c>
      <c r="DD1106" t="s">
        <v>513</v>
      </c>
      <c r="DG1106">
        <v>60</v>
      </c>
      <c r="DH1106" t="str">
        <f>IF(DG1106=0,"0",IF(AND(DG1106&gt;=1,DG1106&lt;=30),"1-30",IF(AND(DG1106&gt;30,DG1106&lt;=70),"31-70",IF(AND(DG1106&gt;70,DG1106&lt;=100),"71-100",IF(DG1106&gt;100,"+100")))))</f>
        <v>31-70</v>
      </c>
      <c r="DI1106">
        <v>1</v>
      </c>
      <c r="DJ1106">
        <v>0</v>
      </c>
      <c r="DK1106">
        <v>0</v>
      </c>
      <c r="DL1106">
        <v>0</v>
      </c>
      <c r="DM1106">
        <v>0</v>
      </c>
      <c r="DN1106">
        <f>SUM(DI1106:DM1106)</f>
        <v>1</v>
      </c>
      <c r="DO1106" t="str">
        <f>IF(DN1106=1,INDEX($DI$7:$DL$7,MATCH(1,$DI1106:$DL1106,0)),"mixedProduct")</f>
        <v>UpstreamInput</v>
      </c>
      <c r="DP1106" t="str">
        <f>IF(DI1106=1,DP$7,0)</f>
        <v>Upstream</v>
      </c>
      <c r="DQ1106">
        <f>IF(DJ1106=1,DQ$7,0)</f>
        <v>0</v>
      </c>
      <c r="DR1106">
        <f>IF(DK1106=1,DR$7,0)</f>
        <v>0</v>
      </c>
      <c r="DS1106">
        <f>IF(DL1106=1,DS$7,0)</f>
        <v>0</v>
      </c>
      <c r="DT1106">
        <v>0</v>
      </c>
      <c r="DU1106">
        <v>0</v>
      </c>
      <c r="DV1106">
        <v>0</v>
      </c>
      <c r="DW1106">
        <v>0</v>
      </c>
      <c r="DX1106">
        <v>0</v>
      </c>
      <c r="DY1106"/>
      <c r="DZ1106" s="143" t="str">
        <f>IF(DT1106=1,"self-calculated DF",IF(DU1106=1,"external DF used","explicit C balance"))</f>
        <v>explicit C balance</v>
      </c>
      <c r="EA1106">
        <v>0</v>
      </c>
      <c r="EB1106">
        <v>1</v>
      </c>
      <c r="EC1106">
        <v>1</v>
      </c>
      <c r="ED1106">
        <v>1</v>
      </c>
      <c r="EE1106">
        <v>0</v>
      </c>
      <c r="EF1106" s="143">
        <v>0</v>
      </c>
      <c r="EG1106" s="143">
        <v>0</v>
      </c>
      <c r="EH1106">
        <v>0</v>
      </c>
      <c r="EI1106">
        <v>0</v>
      </c>
      <c r="EJ1106">
        <v>0</v>
      </c>
      <c r="EK1106">
        <v>1</v>
      </c>
      <c r="EL1106">
        <v>0</v>
      </c>
      <c r="EM1106">
        <v>0</v>
      </c>
      <c r="EN1106" s="2">
        <v>0</v>
      </c>
      <c r="EP1106" t="str">
        <f>IF(AND(AND(AND(OR($EC1106=1,$EB1106=1),OR($EH1106=1,$EF1106=1)),SUM($EA1106:$EE1106,$EK1106)&gt;=3),SUM($EF1106:$EJ1106)&gt;=2),"Whole sector approach","")</f>
        <v/>
      </c>
      <c r="EQ1106" t="str">
        <f>IF(AND(AND(OR($EC1106=1,$EB1106=1),AND($EH1106=0,$EF1106=0)),SUM($EA1106:$EE1106,$EK1106)&gt;=3),"Ecosystem approach","")</f>
        <v>Ecosystem approach</v>
      </c>
      <c r="ER1106" s="2" t="str">
        <f>IF(AND(AND(AND($EC1106=0,$EB1106=0),OR($EH1106=1,$EF1106=1)),SUM($EG1106:$EJ1106)&gt;=2),"Technology approach","")</f>
        <v/>
      </c>
      <c r="ES1106" t="str">
        <f>IF(AND($EC1106+$EB1106+$EE1106+$EA1106+$ED1106+$EG1106=0,$N1106="included"),"C neutral forest and HWP assumption","")</f>
        <v/>
      </c>
      <c r="ET1106" t="str">
        <f>IF(AND(AND(AND(AND($EC1106=1,$EB1106+$EA1106+$EG1106&gt;=1),$EF1106=1),$EH1106+$EI1106+$ED1106+$EE1106&gt;=2),$N1106="included"),"All C pools assumption","")</f>
        <v/>
      </c>
      <c r="EU1106" t="str">
        <f>IF(AND($ED1106+$EE1106+$EI1106+$EH1106+$EF1106=0,$N1106="included"),"In-situ only assumption","")</f>
        <v/>
      </c>
      <c r="EY1106" t="str">
        <f>IF(ISNUMBER(BW1106),IF(ABS(BW1106-[4]QC_indicators!$B$2)&gt;3*[4]QC_indicators!$C$2,"C ratio",IF(ISNUMBER(CA1106),IF(ABS(CA1106-[4]QC_indicators!$B$1)&gt;3*[4]QC_indicators!$C$1,"DF","no"))),IF(ISNUMBER(CA1106),IF(ABS(CA1106-[4]QC_indicators!$B$1)&gt;3*[4]QC_indicators!$C$1,"DF","no")))</f>
        <v>no</v>
      </c>
      <c r="FA1106" t="str">
        <f>IF(LEN($CY1106)=0,"",IF(AND($CY1106&lt;(-0.05),$ES1106="C neutral forest and HWP assumption"),"Cneutral paradox",IF(AND($CY1106&gt;0.05,$EU1106="In-situ only assumption"),"In-situ only paradox","")))</f>
        <v/>
      </c>
      <c r="FD1106" t="s">
        <v>4990</v>
      </c>
    </row>
    <row r="1107" spans="1:160" ht="15" hidden="1" customHeight="1">
      <c r="A1107" s="1" t="s">
        <v>500</v>
      </c>
      <c r="B1107" t="s">
        <v>1836</v>
      </c>
      <c r="C1107" t="s">
        <v>1837</v>
      </c>
      <c r="D1107" t="s">
        <v>1838</v>
      </c>
      <c r="E1107" s="317" t="s">
        <v>1839</v>
      </c>
      <c r="F1107" t="s">
        <v>1840</v>
      </c>
      <c r="G1107" t="s">
        <v>506</v>
      </c>
      <c r="H1107" t="s">
        <v>254</v>
      </c>
      <c r="I1107">
        <v>2017</v>
      </c>
      <c r="J1107">
        <v>17</v>
      </c>
      <c r="K1107" t="s">
        <v>1841</v>
      </c>
      <c r="M1107" t="str">
        <f>LEFT($D1107,FIND(",",$D1107)-1)&amp;"_"&amp;I1107&amp;L1107</f>
        <v>Numazawa_2017</v>
      </c>
      <c r="N1107" t="s">
        <v>222</v>
      </c>
      <c r="O1107" s="157" t="s">
        <v>274</v>
      </c>
      <c r="P1107" t="s">
        <v>508</v>
      </c>
      <c r="Q1107" s="317" t="s">
        <v>389</v>
      </c>
      <c r="R1107" s="318" t="s">
        <v>1029</v>
      </c>
      <c r="S1107" s="1" t="s">
        <v>1587</v>
      </c>
      <c r="T1107" t="s">
        <v>4993</v>
      </c>
      <c r="U1107" t="s">
        <v>4994</v>
      </c>
      <c r="V1107" s="253">
        <v>0</v>
      </c>
      <c r="W1107" s="253">
        <v>0</v>
      </c>
      <c r="X1107">
        <v>0</v>
      </c>
      <c r="Y1107">
        <v>0</v>
      </c>
      <c r="Z1107">
        <v>0</v>
      </c>
      <c r="AA1107">
        <v>1</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s="141">
        <f>COUNTIF(X1107:AY1107,"&lt;&gt;0")</f>
        <v>1</v>
      </c>
      <c r="BA1107" s="141">
        <f>COUNTIF(X1107:AN1107,"&lt;&gt;0")</f>
        <v>1</v>
      </c>
      <c r="BB1107">
        <f>COUNTIF(X1107:AE1107,"&lt;&gt;0")</f>
        <v>1</v>
      </c>
      <c r="BC1107">
        <f>COUNTIF(AF1107:AK1107,"&lt;&gt;0")</f>
        <v>0</v>
      </c>
      <c r="BD1107">
        <f>COUNTIF(AL1107:AN1107,"&lt;&gt;0")</f>
        <v>0</v>
      </c>
      <c r="BE1107">
        <f>COUNTIF(AU1107:AY1107,"&lt;&gt;0")</f>
        <v>0</v>
      </c>
      <c r="BF1107">
        <f>COUNTIF(AO1107:AT1107,"&lt;&gt;0")</f>
        <v>0</v>
      </c>
      <c r="BG1107" t="str" cm="1">
        <f t="array" ref="BG1107">IF(BA1107=1,INDEX($X$7:$AN$7,MATCH(TRUE,INDEX($X1107:$AY1107&lt;&gt;0,),0)),IF(BA1107=0,INDEX($AO$7:$AY$7,MATCH(1,$AO1107:$AY1107,0)),IF(BH1107="Multiple strategies","mixed drivers",IF(BH1107="Supply chain","multiple supply","multiple silviculture"))))</f>
        <v xml:space="preserve">cutting intensity </v>
      </c>
      <c r="BH1107" s="2" t="str" cm="1">
        <f t="array" ref="BH1107">IF(COUNTIF(BB1107:BD1107,"&lt;&gt;0")=1,INDEX($X$4:$AY$4,MATCH(TRUE,INDEX($X1107:$AY1107&lt;&gt;0,),0)),IF(COUNTIF(BB1107:BD1107,"&lt;&gt;0")=0,INDEX($AO$4:$AY$4,MATCH(1,$AO1107:$AY1107,0)),"Multiple strategies"))</f>
        <v>Silviculture for removals</v>
      </c>
      <c r="BI1107" s="1" t="s">
        <v>321</v>
      </c>
      <c r="BK1107" s="321" t="s">
        <v>4989</v>
      </c>
      <c r="BL1107" t="s">
        <v>1884</v>
      </c>
      <c r="BM1107">
        <v>45</v>
      </c>
      <c r="BN1107">
        <v>90</v>
      </c>
      <c r="BO1107">
        <f>IFERROR(BN1107/BM1107,"")</f>
        <v>2</v>
      </c>
      <c r="BP1107">
        <f>BN1107-BM1107</f>
        <v>45</v>
      </c>
      <c r="BQ1107">
        <f>BP1107</f>
        <v>45</v>
      </c>
      <c r="BR1107" s="317" t="s">
        <v>232</v>
      </c>
      <c r="BS1107" s="155" t="s">
        <v>426</v>
      </c>
      <c r="BT1107" t="s">
        <v>1842</v>
      </c>
      <c r="BU1107">
        <v>53.967009662751991</v>
      </c>
      <c r="BV1107">
        <v>16.600790513833999</v>
      </c>
      <c r="BW1107" s="144">
        <f>BV1107/BU1107</f>
        <v>0.30760997538264306</v>
      </c>
      <c r="BX1107">
        <f>BV1107-BU1107</f>
        <v>-37.366219148917992</v>
      </c>
      <c r="BZ1107">
        <f>BX1107</f>
        <v>-37.366219148917992</v>
      </c>
      <c r="CA1107">
        <f>IFERROR(BZ1107/BQ1107,"")</f>
        <v>-0.8303604255315109</v>
      </c>
      <c r="CB1107">
        <v>0</v>
      </c>
      <c r="CC1107">
        <v>0</v>
      </c>
      <c r="CD1107">
        <v>0</v>
      </c>
      <c r="CE1107">
        <v>0</v>
      </c>
      <c r="CF1107">
        <v>0</v>
      </c>
      <c r="CG1107">
        <v>0</v>
      </c>
      <c r="CH1107">
        <v>0</v>
      </c>
      <c r="CI1107">
        <v>0</v>
      </c>
      <c r="CJ1107">
        <v>0</v>
      </c>
      <c r="CK1107">
        <v>0</v>
      </c>
      <c r="CL1107">
        <v>0</v>
      </c>
      <c r="CM1107">
        <v>0</v>
      </c>
      <c r="CN1107">
        <v>0</v>
      </c>
      <c r="CO1107">
        <v>0</v>
      </c>
      <c r="CP1107" t="str">
        <f>IF($BN1107&lt;$BM1107,"refNeedCorrection","refOK")</f>
        <v>refOK</v>
      </c>
      <c r="CQ1107">
        <f>IF($CP1107="refOK",$BM1107,$BN1107)</f>
        <v>45</v>
      </c>
      <c r="CR1107">
        <f>IF($CP1107="refOK",$BN1107,$BM1107)</f>
        <v>90</v>
      </c>
      <c r="CS1107">
        <f>IF($CP1107="refOK",$BQ1107,-$BQ1107)</f>
        <v>45</v>
      </c>
      <c r="CT1107">
        <f>IF(BI1107="Roundwood",$CS1107/2,$CS1107)</f>
        <v>22.5</v>
      </c>
      <c r="CU1107">
        <f>IF($CP1107="refOK",$BU1107,$BV1107)*IF($BR1107="Emissions positive",-1,1)</f>
        <v>53.967009662751991</v>
      </c>
      <c r="CV1107">
        <f>IF($CP1107="refOK",$BV1107,$BU1107)*IF($BR1107="Emissions positive",-1,1)</f>
        <v>16.600790513833999</v>
      </c>
      <c r="CW1107">
        <f>IF($CP1107="refNeedCorrection",-BZ1107,BZ1107)*IF($BR1107="Emissions positive",-1,1)</f>
        <v>-37.366219148917992</v>
      </c>
      <c r="CX1107">
        <f>IFERROR($CW1107/$CS1107,"")</f>
        <v>-0.8303604255315109</v>
      </c>
      <c r="CY1107">
        <f>IFERROR($CW1107/$CS1107,"")</f>
        <v>-0.8303604255315109</v>
      </c>
      <c r="CZ1107">
        <f>IFERROR($CW1107/$CT1107,"")</f>
        <v>-1.6607208510630218</v>
      </c>
      <c r="DA1107" s="2">
        <f>IFERROR((CV1107-CU1107)/ABS(CU1107),"")</f>
        <v>-0.69239002461735699</v>
      </c>
      <c r="DB1107" s="1" t="s">
        <v>1843</v>
      </c>
      <c r="DC1107" s="317" t="str">
        <f>IF(OR($DB1107="prd",$DB1107="std",$DB1107="cit"),"loc",IF(OR($DB1107="eur",$DB1107="reg",$DB1107="coy"),"reg",$DB1107))</f>
        <v>reg</v>
      </c>
      <c r="DD1107" t="s">
        <v>513</v>
      </c>
      <c r="DG1107">
        <v>90</v>
      </c>
      <c r="DH1107" t="str">
        <f>IF(DG1107=0,"0",IF(AND(DG1107&gt;=1,DG1107&lt;=30),"1-30",IF(AND(DG1107&gt;30,DG1107&lt;=70),"31-70",IF(AND(DG1107&gt;70,DG1107&lt;=100),"71-100",IF(DG1107&gt;100,"+100")))))</f>
        <v>71-100</v>
      </c>
      <c r="DI1107">
        <v>1</v>
      </c>
      <c r="DJ1107">
        <v>0</v>
      </c>
      <c r="DK1107">
        <v>0</v>
      </c>
      <c r="DL1107">
        <v>0</v>
      </c>
      <c r="DM1107">
        <v>0</v>
      </c>
      <c r="DN1107">
        <f>SUM(DI1107:DM1107)</f>
        <v>1</v>
      </c>
      <c r="DO1107" t="str">
        <f>IF(DN1107=1,INDEX($DI$7:$DL$7,MATCH(1,$DI1107:$DL1107,0)),"mixedProduct")</f>
        <v>UpstreamInput</v>
      </c>
      <c r="DP1107" t="str">
        <f>IF(DI1107=1,DP$7,0)</f>
        <v>Upstream</v>
      </c>
      <c r="DQ1107">
        <f>IF(DJ1107=1,DQ$7,0)</f>
        <v>0</v>
      </c>
      <c r="DR1107">
        <f>IF(DK1107=1,DR$7,0)</f>
        <v>0</v>
      </c>
      <c r="DS1107">
        <f>IF(DL1107=1,DS$7,0)</f>
        <v>0</v>
      </c>
      <c r="DT1107">
        <v>0</v>
      </c>
      <c r="DU1107">
        <v>0</v>
      </c>
      <c r="DV1107">
        <v>0</v>
      </c>
      <c r="DW1107">
        <v>0</v>
      </c>
      <c r="DX1107">
        <v>0</v>
      </c>
      <c r="DY1107"/>
      <c r="DZ1107" s="143" t="str">
        <f>IF(DT1107=1,"self-calculated DF",IF(DU1107=1,"external DF used","explicit C balance"))</f>
        <v>explicit C balance</v>
      </c>
      <c r="EA1107">
        <v>0</v>
      </c>
      <c r="EB1107">
        <v>1</v>
      </c>
      <c r="EC1107">
        <v>1</v>
      </c>
      <c r="ED1107">
        <v>1</v>
      </c>
      <c r="EE1107">
        <v>0</v>
      </c>
      <c r="EF1107" s="143">
        <v>0</v>
      </c>
      <c r="EG1107" s="143">
        <v>0</v>
      </c>
      <c r="EH1107">
        <v>0</v>
      </c>
      <c r="EI1107">
        <v>0</v>
      </c>
      <c r="EJ1107">
        <v>0</v>
      </c>
      <c r="EK1107">
        <v>1</v>
      </c>
      <c r="EL1107">
        <v>0</v>
      </c>
      <c r="EM1107">
        <v>0</v>
      </c>
      <c r="EN1107" s="2">
        <v>0</v>
      </c>
      <c r="EP1107" t="str">
        <f>IF(AND(AND(AND(OR($EC1107=1,$EB1107=1),OR($EH1107=1,$EF1107=1)),SUM($EA1107:$EE1107,$EK1107)&gt;=3),SUM($EF1107:$EJ1107)&gt;=2),"Whole sector approach","")</f>
        <v/>
      </c>
      <c r="EQ1107" t="str">
        <f>IF(AND(AND(OR($EC1107=1,$EB1107=1),AND($EH1107=0,$EF1107=0)),SUM($EA1107:$EE1107,$EK1107)&gt;=3),"Ecosystem approach","")</f>
        <v>Ecosystem approach</v>
      </c>
      <c r="ER1107" s="2" t="str">
        <f>IF(AND(AND(AND($EC1107=0,$EB1107=0),OR($EH1107=1,$EF1107=1)),SUM($EG1107:$EJ1107)&gt;=2),"Technology approach","")</f>
        <v/>
      </c>
      <c r="ES1107" t="str">
        <f>IF(AND($EC1107+$EB1107+$EE1107+$EA1107+$ED1107+$EG1107=0,$N1107="included"),"C neutral forest and HWP assumption","")</f>
        <v/>
      </c>
      <c r="ET1107" t="str">
        <f>IF(AND(AND(AND(AND($EC1107=1,$EB1107+$EA1107+$EG1107&gt;=1),$EF1107=1),$EH1107+$EI1107+$ED1107+$EE1107&gt;=2),$N1107="included"),"All C pools assumption","")</f>
        <v/>
      </c>
      <c r="EU1107" t="str">
        <f>IF(AND($ED1107+$EE1107+$EI1107+$EH1107+$EF1107=0,$N1107="included"),"In-situ only assumption","")</f>
        <v/>
      </c>
      <c r="EY1107" t="str">
        <f>IF(ISNUMBER(BW1107),IF(ABS(BW1107-[4]QC_indicators!$B$2)&gt;3*[4]QC_indicators!$C$2,"C ratio",IF(ISNUMBER(CA1107),IF(ABS(CA1107-[4]QC_indicators!$B$1)&gt;3*[4]QC_indicators!$C$1,"DF","no"))),IF(ISNUMBER(CA1107),IF(ABS(CA1107-[4]QC_indicators!$B$1)&gt;3*[4]QC_indicators!$C$1,"DF","no")))</f>
        <v>no</v>
      </c>
      <c r="FA1107" t="str">
        <f>IF(LEN($CY1107)=0,"",IF(AND($CY1107&lt;(-0.05),$ES1107="C neutral forest and HWP assumption"),"Cneutral paradox",IF(AND($CY1107&gt;0.05,$EU1107="In-situ only assumption"),"In-situ only paradox","")))</f>
        <v/>
      </c>
      <c r="FD1107" t="s">
        <v>4990</v>
      </c>
    </row>
    <row r="1108" spans="1:160" ht="15" hidden="1" customHeight="1">
      <c r="A1108" s="1" t="s">
        <v>500</v>
      </c>
      <c r="B1108" t="s">
        <v>1836</v>
      </c>
      <c r="C1108" t="s">
        <v>1837</v>
      </c>
      <c r="D1108" t="s">
        <v>1838</v>
      </c>
      <c r="E1108" s="317" t="s">
        <v>1839</v>
      </c>
      <c r="F1108" t="s">
        <v>1840</v>
      </c>
      <c r="G1108" t="s">
        <v>506</v>
      </c>
      <c r="H1108" t="s">
        <v>254</v>
      </c>
      <c r="I1108">
        <v>2017</v>
      </c>
      <c r="J1108">
        <v>17</v>
      </c>
      <c r="K1108" t="s">
        <v>1841</v>
      </c>
      <c r="M1108" t="str">
        <f>LEFT($D1108,FIND(",",$D1108)-1)&amp;"_"&amp;I1108&amp;L1108</f>
        <v>Numazawa_2017</v>
      </c>
      <c r="N1108" t="s">
        <v>222</v>
      </c>
      <c r="O1108" s="157" t="s">
        <v>274</v>
      </c>
      <c r="P1108" t="s">
        <v>508</v>
      </c>
      <c r="Q1108" s="317" t="s">
        <v>389</v>
      </c>
      <c r="R1108" s="318" t="s">
        <v>1029</v>
      </c>
      <c r="S1108" s="1" t="s">
        <v>1587</v>
      </c>
      <c r="T1108" t="s">
        <v>4995</v>
      </c>
      <c r="U1108" t="s">
        <v>4996</v>
      </c>
      <c r="V1108" s="253">
        <v>0</v>
      </c>
      <c r="W1108" s="253">
        <v>0</v>
      </c>
      <c r="X1108">
        <v>0</v>
      </c>
      <c r="Y1108">
        <v>0</v>
      </c>
      <c r="Z1108">
        <v>0</v>
      </c>
      <c r="AA1108">
        <v>1</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0</v>
      </c>
      <c r="AV1108">
        <v>0</v>
      </c>
      <c r="AW1108">
        <v>0</v>
      </c>
      <c r="AX1108">
        <v>0</v>
      </c>
      <c r="AY1108">
        <v>0</v>
      </c>
      <c r="AZ1108" s="141">
        <f>COUNTIF(X1108:AY1108,"&lt;&gt;0")</f>
        <v>1</v>
      </c>
      <c r="BA1108" s="141">
        <f>COUNTIF(X1108:AN1108,"&lt;&gt;0")</f>
        <v>1</v>
      </c>
      <c r="BB1108">
        <f>COUNTIF(X1108:AE1108,"&lt;&gt;0")</f>
        <v>1</v>
      </c>
      <c r="BC1108">
        <f>COUNTIF(AF1108:AK1108,"&lt;&gt;0")</f>
        <v>0</v>
      </c>
      <c r="BD1108">
        <f>COUNTIF(AL1108:AN1108,"&lt;&gt;0")</f>
        <v>0</v>
      </c>
      <c r="BE1108">
        <f>COUNTIF(AU1108:AY1108,"&lt;&gt;0")</f>
        <v>0</v>
      </c>
      <c r="BF1108">
        <f>COUNTIF(AO1108:AT1108,"&lt;&gt;0")</f>
        <v>0</v>
      </c>
      <c r="BG1108" t="str" cm="1">
        <f t="array" ref="BG1108">IF(BA1108=1,INDEX($X$7:$AN$7,MATCH(TRUE,INDEX($X1108:$AY1108&lt;&gt;0,),0)),IF(BA1108=0,INDEX($AO$7:$AY$7,MATCH(1,$AO1108:$AY1108,0)),IF(BH1108="Multiple strategies","mixed drivers",IF(BH1108="Supply chain","multiple supply","multiple silviculture"))))</f>
        <v xml:space="preserve">cutting intensity </v>
      </c>
      <c r="BH1108" s="2" t="str" cm="1">
        <f t="array" ref="BH1108">IF(COUNTIF(BB1108:BD1108,"&lt;&gt;0")=1,INDEX($X$4:$AY$4,MATCH(TRUE,INDEX($X1108:$AY1108&lt;&gt;0,),0)),IF(COUNTIF(BB1108:BD1108,"&lt;&gt;0")=0,INDEX($AO$4:$AY$4,MATCH(1,$AO1108:$AY1108,0)),"Multiple strategies"))</f>
        <v>Silviculture for removals</v>
      </c>
      <c r="BI1108" s="1" t="s">
        <v>321</v>
      </c>
      <c r="BK1108" s="321" t="s">
        <v>4989</v>
      </c>
      <c r="BL1108" t="s">
        <v>1884</v>
      </c>
      <c r="BM1108">
        <v>60</v>
      </c>
      <c r="BN1108">
        <v>120</v>
      </c>
      <c r="BO1108">
        <f>IFERROR(BN1108/BM1108,"")</f>
        <v>2</v>
      </c>
      <c r="BP1108">
        <f>BN1108-BM1108</f>
        <v>60</v>
      </c>
      <c r="BQ1108">
        <f>BP1108</f>
        <v>60</v>
      </c>
      <c r="BR1108" s="317" t="s">
        <v>232</v>
      </c>
      <c r="BS1108" s="155" t="s">
        <v>426</v>
      </c>
      <c r="BT1108" t="s">
        <v>1842</v>
      </c>
      <c r="BU1108">
        <v>66.432043040920007</v>
      </c>
      <c r="BV1108">
        <v>8.3003952569169996</v>
      </c>
      <c r="BW1108" s="144">
        <f>BV1108/BU1108</f>
        <v>0.12494565689940053</v>
      </c>
      <c r="BX1108">
        <f>BV1108-BU1108</f>
        <v>-58.131647784003007</v>
      </c>
      <c r="BZ1108">
        <f>BX1108</f>
        <v>-58.131647784003007</v>
      </c>
      <c r="CA1108">
        <f>IFERROR(BZ1108/BQ1108,"")</f>
        <v>-0.96886079640005007</v>
      </c>
      <c r="CB1108">
        <v>0</v>
      </c>
      <c r="CC1108">
        <v>0</v>
      </c>
      <c r="CD1108">
        <v>0</v>
      </c>
      <c r="CE1108">
        <v>0</v>
      </c>
      <c r="CF1108">
        <v>0</v>
      </c>
      <c r="CG1108">
        <v>0</v>
      </c>
      <c r="CH1108">
        <v>0</v>
      </c>
      <c r="CI1108">
        <v>0</v>
      </c>
      <c r="CJ1108">
        <v>0</v>
      </c>
      <c r="CK1108">
        <v>0</v>
      </c>
      <c r="CL1108">
        <v>0</v>
      </c>
      <c r="CM1108">
        <v>0</v>
      </c>
      <c r="CN1108">
        <v>0</v>
      </c>
      <c r="CO1108">
        <v>0</v>
      </c>
      <c r="CP1108" t="str">
        <f>IF($BN1108&lt;$BM1108,"refNeedCorrection","refOK")</f>
        <v>refOK</v>
      </c>
      <c r="CQ1108">
        <f>IF($CP1108="refOK",$BM1108,$BN1108)</f>
        <v>60</v>
      </c>
      <c r="CR1108">
        <f>IF($CP1108="refOK",$BN1108,$BM1108)</f>
        <v>120</v>
      </c>
      <c r="CS1108">
        <f>IF($CP1108="refOK",$BQ1108,-$BQ1108)</f>
        <v>60</v>
      </c>
      <c r="CT1108">
        <f>IF(BI1108="Roundwood",$CS1108/2,$CS1108)</f>
        <v>30</v>
      </c>
      <c r="CU1108">
        <f>IF($CP1108="refOK",$BU1108,$BV1108)*IF($BR1108="Emissions positive",-1,1)</f>
        <v>66.432043040920007</v>
      </c>
      <c r="CV1108">
        <f>IF($CP1108="refOK",$BV1108,$BU1108)*IF($BR1108="Emissions positive",-1,1)</f>
        <v>8.3003952569169996</v>
      </c>
      <c r="CW1108">
        <f>IF($CP1108="refNeedCorrection",-BZ1108,BZ1108)*IF($BR1108="Emissions positive",-1,1)</f>
        <v>-58.131647784003007</v>
      </c>
      <c r="CX1108">
        <f>IFERROR($CW1108/$CS1108,"")</f>
        <v>-0.96886079640005007</v>
      </c>
      <c r="CY1108">
        <f>IFERROR($CW1108/$CS1108,"")</f>
        <v>-0.96886079640005007</v>
      </c>
      <c r="CZ1108">
        <f>IFERROR($CW1108/$CT1108,"")</f>
        <v>-1.9377215928001001</v>
      </c>
      <c r="DA1108" s="2">
        <f>IFERROR((CV1108-CU1108)/ABS(CU1108),"")</f>
        <v>-0.87505434310059949</v>
      </c>
      <c r="DB1108" s="1" t="s">
        <v>1843</v>
      </c>
      <c r="DC1108" s="317" t="str">
        <f>IF(OR($DB1108="prd",$DB1108="std",$DB1108="cit"),"loc",IF(OR($DB1108="eur",$DB1108="reg",$DB1108="coy"),"reg",$DB1108))</f>
        <v>reg</v>
      </c>
      <c r="DD1108" t="s">
        <v>513</v>
      </c>
      <c r="DG1108">
        <v>120</v>
      </c>
      <c r="DH1108" t="str">
        <f>IF(DG1108=0,"0",IF(AND(DG1108&gt;=1,DG1108&lt;=30),"1-30",IF(AND(DG1108&gt;30,DG1108&lt;=70),"31-70",IF(AND(DG1108&gt;70,DG1108&lt;=100),"71-100",IF(DG1108&gt;100,"+100")))))</f>
        <v>+100</v>
      </c>
      <c r="DI1108">
        <v>1</v>
      </c>
      <c r="DJ1108">
        <v>0</v>
      </c>
      <c r="DK1108">
        <v>0</v>
      </c>
      <c r="DL1108">
        <v>0</v>
      </c>
      <c r="DM1108">
        <v>0</v>
      </c>
      <c r="DN1108">
        <f>SUM(DI1108:DM1108)</f>
        <v>1</v>
      </c>
      <c r="DO1108" t="str">
        <f>IF(DN1108=1,INDEX($DI$7:$DL$7,MATCH(1,$DI1108:$DL1108,0)),"mixedProduct")</f>
        <v>UpstreamInput</v>
      </c>
      <c r="DP1108" t="str">
        <f>IF(DI1108=1,DP$7,0)</f>
        <v>Upstream</v>
      </c>
      <c r="DQ1108">
        <f>IF(DJ1108=1,DQ$7,0)</f>
        <v>0</v>
      </c>
      <c r="DR1108">
        <f>IF(DK1108=1,DR$7,0)</f>
        <v>0</v>
      </c>
      <c r="DS1108">
        <f>IF(DL1108=1,DS$7,0)</f>
        <v>0</v>
      </c>
      <c r="DT1108">
        <v>0</v>
      </c>
      <c r="DU1108">
        <v>0</v>
      </c>
      <c r="DV1108">
        <v>0</v>
      </c>
      <c r="DW1108">
        <v>0</v>
      </c>
      <c r="DX1108">
        <v>0</v>
      </c>
      <c r="DY1108"/>
      <c r="DZ1108" s="143" t="str">
        <f>IF(DT1108=1,"self-calculated DF",IF(DU1108=1,"external DF used","explicit C balance"))</f>
        <v>explicit C balance</v>
      </c>
      <c r="EA1108">
        <v>0</v>
      </c>
      <c r="EB1108">
        <v>1</v>
      </c>
      <c r="EC1108">
        <v>1</v>
      </c>
      <c r="ED1108">
        <v>1</v>
      </c>
      <c r="EE1108">
        <v>0</v>
      </c>
      <c r="EF1108" s="143">
        <v>0</v>
      </c>
      <c r="EG1108" s="143">
        <v>0</v>
      </c>
      <c r="EH1108">
        <v>0</v>
      </c>
      <c r="EI1108">
        <v>0</v>
      </c>
      <c r="EJ1108">
        <v>0</v>
      </c>
      <c r="EK1108">
        <v>1</v>
      </c>
      <c r="EL1108">
        <v>0</v>
      </c>
      <c r="EM1108">
        <v>0</v>
      </c>
      <c r="EN1108" s="2">
        <v>0</v>
      </c>
      <c r="EP1108" t="str">
        <f>IF(AND(AND(AND(OR($EC1108=1,$EB1108=1),OR($EH1108=1,$EF1108=1)),SUM($EA1108:$EE1108,$EK1108)&gt;=3),SUM($EF1108:$EJ1108)&gt;=2),"Whole sector approach","")</f>
        <v/>
      </c>
      <c r="EQ1108" t="str">
        <f>IF(AND(AND(OR($EC1108=1,$EB1108=1),AND($EH1108=0,$EF1108=0)),SUM($EA1108:$EE1108,$EK1108)&gt;=3),"Ecosystem approach","")</f>
        <v>Ecosystem approach</v>
      </c>
      <c r="ER1108" s="2" t="str">
        <f>IF(AND(AND(AND($EC1108=0,$EB1108=0),OR($EH1108=1,$EF1108=1)),SUM($EG1108:$EJ1108)&gt;=2),"Technology approach","")</f>
        <v/>
      </c>
      <c r="ES1108" t="str">
        <f>IF(AND($EC1108+$EB1108+$EE1108+$EA1108+$ED1108+$EG1108=0,$N1108="included"),"C neutral forest and HWP assumption","")</f>
        <v/>
      </c>
      <c r="ET1108" t="str">
        <f>IF(AND(AND(AND(AND($EC1108=1,$EB1108+$EA1108+$EG1108&gt;=1),$EF1108=1),$EH1108+$EI1108+$ED1108+$EE1108&gt;=2),$N1108="included"),"All C pools assumption","")</f>
        <v/>
      </c>
      <c r="EU1108" t="str">
        <f>IF(AND($ED1108+$EE1108+$EI1108+$EH1108+$EF1108=0,$N1108="included"),"In-situ only assumption","")</f>
        <v/>
      </c>
      <c r="EY1108" t="str">
        <f>IF(ISNUMBER(BW1108),IF(ABS(BW1108-[4]QC_indicators!$B$2)&gt;3*[4]QC_indicators!$C$2,"C ratio",IF(ISNUMBER(CA1108),IF(ABS(CA1108-[4]QC_indicators!$B$1)&gt;3*[4]QC_indicators!$C$1,"DF","no"))),IF(ISNUMBER(CA1108),IF(ABS(CA1108-[4]QC_indicators!$B$1)&gt;3*[4]QC_indicators!$C$1,"DF","no")))</f>
        <v>no</v>
      </c>
      <c r="FA1108" t="str">
        <f>IF(LEN($CY1108)=0,"",IF(AND($CY1108&lt;(-0.05),$ES1108="C neutral forest and HWP assumption"),"Cneutral paradox",IF(AND($CY1108&gt;0.05,$EU1108="In-situ only assumption"),"In-situ only paradox","")))</f>
        <v/>
      </c>
      <c r="FD1108" t="s">
        <v>4990</v>
      </c>
    </row>
    <row r="1109" spans="1:160" ht="15" customHeight="1">
      <c r="A1109" s="1" t="s">
        <v>1016</v>
      </c>
      <c r="B1109" t="s">
        <v>1954</v>
      </c>
      <c r="C1109" t="s">
        <v>1955</v>
      </c>
      <c r="D1109" t="s">
        <v>1956</v>
      </c>
      <c r="E1109" t="s">
        <v>1957</v>
      </c>
      <c r="F1109" t="s">
        <v>1958</v>
      </c>
      <c r="G1109" t="s">
        <v>1017</v>
      </c>
      <c r="H1109" t="s">
        <v>254</v>
      </c>
      <c r="I1109">
        <v>2017</v>
      </c>
      <c r="J1109">
        <v>12</v>
      </c>
      <c r="K1109" t="s">
        <v>1959</v>
      </c>
      <c r="M1109" t="str">
        <f>LEFT($D1109,FIND(",",$D1109)-1)&amp;"_"&amp;I1109&amp;L1109</f>
        <v>Qin_2017</v>
      </c>
      <c r="N1109" t="s">
        <v>222</v>
      </c>
      <c r="O1109" s="145" t="s">
        <v>341</v>
      </c>
      <c r="Q1109" t="s">
        <v>256</v>
      </c>
      <c r="R1109" s="258" t="s">
        <v>223</v>
      </c>
      <c r="S1109" s="1" t="s">
        <v>1964</v>
      </c>
      <c r="T1109" s="260" t="s">
        <v>2908</v>
      </c>
      <c r="U1109" t="s">
        <v>1961</v>
      </c>
      <c r="V1109" s="253">
        <v>0</v>
      </c>
      <c r="W1109" s="253">
        <v>0</v>
      </c>
      <c r="X1109">
        <v>0</v>
      </c>
      <c r="Y1109">
        <v>0</v>
      </c>
      <c r="Z1109">
        <v>0</v>
      </c>
      <c r="AA1109">
        <v>1</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0</v>
      </c>
      <c r="AU1109">
        <v>0</v>
      </c>
      <c r="AV1109">
        <v>0</v>
      </c>
      <c r="AW1109">
        <v>0</v>
      </c>
      <c r="AX1109">
        <v>1</v>
      </c>
      <c r="AY1109">
        <v>0</v>
      </c>
      <c r="AZ1109" s="141">
        <f>COUNTIF(X1109:AY1109,"&lt;&gt;0")</f>
        <v>2</v>
      </c>
      <c r="BA1109" s="141">
        <f>COUNTIF(X1109:AN1109,"&lt;&gt;0")</f>
        <v>1</v>
      </c>
      <c r="BB1109">
        <f>COUNTIF(X1109:AE1109,"&lt;&gt;0")</f>
        <v>1</v>
      </c>
      <c r="BC1109">
        <f>COUNTIF(AF1109:AK1109,"&lt;&gt;0")</f>
        <v>0</v>
      </c>
      <c r="BD1109">
        <f>COUNTIF(AL1109:AN1109,"&lt;&gt;0")</f>
        <v>0</v>
      </c>
      <c r="BE1109">
        <f>COUNTIF(AU1109:AY1109,"&lt;&gt;0")</f>
        <v>1</v>
      </c>
      <c r="BF1109">
        <f>COUNTIF(AO1109:AT1109,"&lt;&gt;0")</f>
        <v>0</v>
      </c>
      <c r="BG1109" t="str">
        <f t="array" ref="BG1109">IF(BA1109=1,INDEX($X$7:$AN$7,MATCH(TRUE,INDEX($X1109:$AY1109&lt;&gt;0,),0)),IF(BA1109=0,INDEX($AO$7:$AY$7,MATCH(1,$AO1109:$AY1109,0)),IF(BH1109="Multiple strategies","mixed drivers",IF(BH1109="Supply chain","multiple supply","multiple silviculture"))))</f>
        <v xml:space="preserve">cutting intensity </v>
      </c>
      <c r="BH1109" s="2" t="str" cm="1">
        <f t="array" ref="BH1109">IF(COUNTIF(BB1109:BD1109,"&lt;&gt;0")=1,INDEX($X$4:$AY$4,MATCH(TRUE,INDEX($X1109:$AY1109&lt;&gt;0,),0)),IF(COUNTIF(BB1109:BD1109,"&lt;&gt;0")=0,INDEX($AO$4:$AY$4,MATCH(1,$AO1109:$AY1109,0)),"Multiple strategies"))</f>
        <v>Silviculture for removals</v>
      </c>
      <c r="BI1109" s="1" t="s">
        <v>321</v>
      </c>
      <c r="BJ1109" s="260" t="s">
        <v>2900</v>
      </c>
      <c r="BK1109" s="260" t="s">
        <v>2901</v>
      </c>
      <c r="BL1109" s="260" t="s">
        <v>1197</v>
      </c>
      <c r="BM1109">
        <v>3.67</v>
      </c>
      <c r="BN1109">
        <v>3.7</v>
      </c>
      <c r="BP1109">
        <f>BN1109-BM1109</f>
        <v>3.0000000000000249E-2</v>
      </c>
      <c r="BQ1109" s="143">
        <f>BP1109*10^6</f>
        <v>30000.000000000247</v>
      </c>
      <c r="BR1109" t="s">
        <v>232</v>
      </c>
      <c r="BS1109" s="153" t="s">
        <v>2902</v>
      </c>
      <c r="BT1109" s="260" t="s">
        <v>2903</v>
      </c>
      <c r="BU1109">
        <v>-0.57999999999999996</v>
      </c>
      <c r="BV1109">
        <v>-0.57999999999999996</v>
      </c>
      <c r="BW1109" s="144">
        <f>IFERROR(BV1109/BU1109,"")</f>
        <v>1</v>
      </c>
      <c r="BX1109">
        <f>BV1109-BU1109</f>
        <v>0</v>
      </c>
      <c r="BZ1109">
        <f>BX1109*C_to_CO2</f>
        <v>0</v>
      </c>
      <c r="CA1109">
        <f>IFERROR(BZ1109/BQ1109,"")</f>
        <v>0</v>
      </c>
      <c r="CB1109">
        <v>0</v>
      </c>
      <c r="CC1109">
        <v>0</v>
      </c>
      <c r="CD1109">
        <v>0</v>
      </c>
      <c r="CE1109">
        <v>0</v>
      </c>
      <c r="CF1109">
        <v>0</v>
      </c>
      <c r="CG1109">
        <v>0</v>
      </c>
      <c r="CH1109">
        <v>0</v>
      </c>
      <c r="CI1109">
        <v>0</v>
      </c>
      <c r="CJ1109">
        <v>0</v>
      </c>
      <c r="CK1109">
        <v>0</v>
      </c>
      <c r="CL1109">
        <v>0</v>
      </c>
      <c r="CM1109">
        <v>0</v>
      </c>
      <c r="CN1109">
        <v>0</v>
      </c>
      <c r="CO1109">
        <v>0</v>
      </c>
      <c r="CP1109" t="str">
        <f>IF($BN1109&lt;$BM1109,"refNeedCorrection","refOK")</f>
        <v>refOK</v>
      </c>
      <c r="CQ1109">
        <f>IF($CP1109="refOK",$BM1109,$BN1109)</f>
        <v>3.67</v>
      </c>
      <c r="CR1109">
        <f>IF($CP1109="refOK",$BN1109,$BM1109)</f>
        <v>3.7</v>
      </c>
      <c r="CS1109">
        <f>IF($CP1109="refOK",$BQ1109,-$BQ1109)</f>
        <v>30000.000000000247</v>
      </c>
      <c r="CT1109">
        <f>IF(BI1109="Roundwood",$CS1109/2,$CS1109)</f>
        <v>15000.000000000124</v>
      </c>
      <c r="CU1109">
        <f>IF($CP1109="refOK",$BU1109,$BV1109)*IF($BR1109="Emissions positive",-1,1)</f>
        <v>-0.57999999999999996</v>
      </c>
      <c r="CV1109">
        <f>IF($CP1109="refOK",$BV1109,$BU1109)*IF($BR1109="Emissions positive",-1,1)</f>
        <v>-0.57999999999999996</v>
      </c>
      <c r="CW1109">
        <f>IF($CP1109="refNeedCorrection",-BZ1109,BZ1109)*IF($BR1109="Emissions positive",-1,1)</f>
        <v>0</v>
      </c>
      <c r="CX1109">
        <f>IFERROR($CW1109/$CS1109,"")</f>
        <v>0</v>
      </c>
      <c r="CY1109">
        <f>IFERROR($CW1109/$CS1109,"")</f>
        <v>0</v>
      </c>
      <c r="CZ1109">
        <f>IFERROR($CW1109/$CT1109,"")</f>
        <v>0</v>
      </c>
      <c r="DA1109" s="2">
        <f>IFERROR((CV1109-CU1109)/ABS(CU1109),"")</f>
        <v>0</v>
      </c>
      <c r="DB1109" s="1" t="s">
        <v>1074</v>
      </c>
      <c r="DC1109" t="str">
        <f>IF(OR($DB1109="prd",$DB1109="std",$DB1109="cit"),"loc",IF(OR($DB1109="eur",$DB1109="reg",$DB1109="coy"),"reg",$DB1109))</f>
        <v>reg</v>
      </c>
      <c r="DD1109" t="s">
        <v>677</v>
      </c>
      <c r="DG1109">
        <v>30</v>
      </c>
      <c r="DH1109" t="str">
        <f>IF(DG1109=0,"0",IF(AND(DG1109&gt;=1,DG1109&lt;=30),"1-30",IF(AND(DG1109&gt;30,DG1109&lt;=70),"31-70",IF(AND(DG1109&gt;70,DG1109&lt;=100),"71-100",IF(DG1109&gt;100,"+100")))))</f>
        <v>1-30</v>
      </c>
      <c r="DI1109">
        <v>1</v>
      </c>
      <c r="DJ1109">
        <v>0</v>
      </c>
      <c r="DK1109">
        <v>0</v>
      </c>
      <c r="DL1109">
        <v>0</v>
      </c>
      <c r="DN1109">
        <f>SUM(DI1109:DL1109)</f>
        <v>1</v>
      </c>
      <c r="DO1109" t="str">
        <f>IF(DN1109=1,INDEX($DI$7:$DL$7,MATCH(1,$DI1109:$DL1109,0)),"mixedProduct")</f>
        <v>UpstreamInput</v>
      </c>
      <c r="DP1109" t="str">
        <f>IF(DI1109=1,DP$7,0)</f>
        <v>Upstream</v>
      </c>
      <c r="DQ1109">
        <f>IF(DJ1109=1,DQ$7,0)</f>
        <v>0</v>
      </c>
      <c r="DR1109">
        <f>IF(DK1109=1,DR$7,0)</f>
        <v>0</v>
      </c>
      <c r="DS1109">
        <f>IF(DL1109=1,DS$7,0)</f>
        <v>0</v>
      </c>
      <c r="DT1109">
        <v>1</v>
      </c>
      <c r="DU1109">
        <v>0</v>
      </c>
      <c r="DV1109">
        <v>0</v>
      </c>
      <c r="DW1109">
        <v>0</v>
      </c>
      <c r="DX1109">
        <v>0</v>
      </c>
      <c r="DY1109">
        <f>SUM(DT1109:DU1109)</f>
        <v>1</v>
      </c>
      <c r="DZ1109" s="143" t="str">
        <f>IF(DT1109=1,"self-calculated DF",IF(DU1109=1,"external DF used","explicit C balance"))</f>
        <v>self-calculated DF</v>
      </c>
      <c r="EA1109">
        <v>0</v>
      </c>
      <c r="EB1109">
        <v>0</v>
      </c>
      <c r="EC1109">
        <v>1</v>
      </c>
      <c r="ED1109">
        <v>0</v>
      </c>
      <c r="EE1109">
        <v>0</v>
      </c>
      <c r="EF1109" s="143">
        <v>0</v>
      </c>
      <c r="EG1109">
        <v>0</v>
      </c>
      <c r="EH1109">
        <v>0</v>
      </c>
      <c r="EI1109">
        <v>0</v>
      </c>
      <c r="EJ1109">
        <v>0</v>
      </c>
      <c r="EK1109">
        <v>1</v>
      </c>
      <c r="EL1109">
        <v>0</v>
      </c>
      <c r="EM1109">
        <v>0</v>
      </c>
      <c r="EN1109" s="2">
        <v>0</v>
      </c>
      <c r="EP1109" t="str">
        <f>IF(AND(AND(AND(OR($EC1109=1,$EB1109=1),OR($EH1109=1,$EF1109=1)),SUM($EA1109:$EE1109,$EK1109)&gt;=3),SUM($EF1109:$EJ1109)&gt;=2),"Whole sector approach","")</f>
        <v/>
      </c>
      <c r="EQ1109" t="str">
        <f>IF(AND(AND(OR($EC1109=1,$EB1109=1),AND($EH1109=0,$EF1109=0)),SUM($EA1109:$EE1109,$EK1109)&gt;=4),"Ecosystem approach","")</f>
        <v/>
      </c>
      <c r="ER1109" s="2" t="str">
        <f>IF(AND(AND(AND($EC1109=0,$EB1109=0),OR($EH1109=1,$EF1109=1)),SUM($EG1109:$EJ1109)&gt;=2),"Technology approach","")</f>
        <v/>
      </c>
      <c r="ES1109" t="str">
        <f>IF(AND($EC1109+$EB1109+$EE1109+$EA1109+$ED1109+$EG1109=0,$N1109="included"),"C neutral forest and HWP assumption","")</f>
        <v/>
      </c>
      <c r="ET1109" t="str">
        <f>IF(AND(AND(AND(AND($EC1109=1,$EB1109+$EA1109+$EG1109&gt;=1),$EF1109=1),$EH1109+$EI1109+$ED1109+$EE1109&gt;=2),$N1109="included"),"All C pools assumption","")</f>
        <v/>
      </c>
      <c r="EU1109" t="str">
        <f>IF(AND($ED1109+$EE1109+$EI1109+$EH1109+$EF1109=0,$N1109="included"),"In-situ only assumption","")</f>
        <v>In-situ only assumption</v>
      </c>
      <c r="EY1109" t="str">
        <f>IF(ISNUMBER(BW1109),IF(ABS(BW1109-[2]QC_indicators!$B$2)&gt;3*[2]QC_indicators!$C$2,"C ratio",IF(ISNUMBER(CA1109),IF(ABS(CA1109-[2]QC_indicators!$B$1)&gt;3*[2]QC_indicators!$C$1,"DF","no"))),IF(ISNUMBER(CA1109),IF(ABS(CA1109-[2]QC_indicators!$B$1)&gt;3*[2]QC_indicators!$C$1,"DF","no")))</f>
        <v>no</v>
      </c>
      <c r="FA1109" t="str">
        <f>IF(LEN($CY1109)=0,"",IF(AND($CY1109&lt;(-0.05),$ES1109="C neutral forest and HWP assumption"),"Cneutral paradox",IF(AND($CY1109&gt;0.05,$EU1109="In-situ only assumption"),"In-situ only paradox","")))</f>
        <v/>
      </c>
      <c r="FD1109" s="260" t="s">
        <v>2904</v>
      </c>
    </row>
    <row r="1110" spans="1:160" ht="15" customHeight="1">
      <c r="A1110" s="1" t="s">
        <v>1016</v>
      </c>
      <c r="B1110" t="s">
        <v>1954</v>
      </c>
      <c r="C1110" t="s">
        <v>1955</v>
      </c>
      <c r="D1110" t="s">
        <v>1956</v>
      </c>
      <c r="E1110" t="s">
        <v>1957</v>
      </c>
      <c r="F1110" t="s">
        <v>1958</v>
      </c>
      <c r="G1110" t="s">
        <v>1017</v>
      </c>
      <c r="H1110" t="s">
        <v>254</v>
      </c>
      <c r="I1110">
        <v>2017</v>
      </c>
      <c r="J1110">
        <v>12</v>
      </c>
      <c r="K1110" t="s">
        <v>1959</v>
      </c>
      <c r="M1110" t="str">
        <f>LEFT($D1110,FIND(",",$D1110)-1)&amp;"_"&amp;I1110&amp;L1110</f>
        <v>Qin_2017</v>
      </c>
      <c r="N1110" t="s">
        <v>222</v>
      </c>
      <c r="O1110" s="145" t="s">
        <v>341</v>
      </c>
      <c r="Q1110" t="s">
        <v>256</v>
      </c>
      <c r="R1110" s="258" t="s">
        <v>223</v>
      </c>
      <c r="S1110" s="1" t="s">
        <v>1960</v>
      </c>
      <c r="T1110" s="260" t="s">
        <v>2899</v>
      </c>
      <c r="U1110" t="s">
        <v>1961</v>
      </c>
      <c r="V1110" s="253">
        <v>0</v>
      </c>
      <c r="W1110" s="253">
        <v>0</v>
      </c>
      <c r="X1110">
        <v>0</v>
      </c>
      <c r="Y1110">
        <v>0</v>
      </c>
      <c r="Z1110">
        <v>0</v>
      </c>
      <c r="AA1110">
        <v>1</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1</v>
      </c>
      <c r="AY1110">
        <v>0</v>
      </c>
      <c r="AZ1110" s="141">
        <f>COUNTIF(X1110:AY1110,"&lt;&gt;0")</f>
        <v>2</v>
      </c>
      <c r="BA1110" s="141">
        <f>COUNTIF(X1110:AN1110,"&lt;&gt;0")</f>
        <v>1</v>
      </c>
      <c r="BB1110">
        <f>COUNTIF(X1110:AE1110,"&lt;&gt;0")</f>
        <v>1</v>
      </c>
      <c r="BC1110">
        <f>COUNTIF(AF1110:AK1110,"&lt;&gt;0")</f>
        <v>0</v>
      </c>
      <c r="BD1110">
        <f>COUNTIF(AL1110:AN1110,"&lt;&gt;0")</f>
        <v>0</v>
      </c>
      <c r="BE1110">
        <f>COUNTIF(AU1110:AY1110,"&lt;&gt;0")</f>
        <v>1</v>
      </c>
      <c r="BF1110">
        <f>COUNTIF(AO1110:AT1110,"&lt;&gt;0")</f>
        <v>0</v>
      </c>
      <c r="BG1110" t="str">
        <f t="array" ref="BG1110">IF(BA1110=1,INDEX($X$7:$AN$7,MATCH(TRUE,INDEX($X1110:$AY1110&lt;&gt;0,),0)),IF(BA1110=0,INDEX($AO$7:$AY$7,MATCH(1,$AO1110:$AY1110,0)),IF(BH1110="Multiple strategies","mixed drivers",IF(BH1110="Supply chain","multiple supply","multiple silviculture"))))</f>
        <v xml:space="preserve">cutting intensity </v>
      </c>
      <c r="BH1110" s="2" t="str" cm="1">
        <f t="array" ref="BH1110">IF(COUNTIF(BB1110:BD1110,"&lt;&gt;0")=1,INDEX($X$4:$AY$4,MATCH(TRUE,INDEX($X1110:$AY1110&lt;&gt;0,),0)),IF(COUNTIF(BB1110:BD1110,"&lt;&gt;0")=0,INDEX($AO$4:$AY$4,MATCH(1,$AO1110:$AY1110,0)),"Multiple strategies"))</f>
        <v>Silviculture for removals</v>
      </c>
      <c r="BI1110" s="1" t="s">
        <v>321</v>
      </c>
      <c r="BJ1110" s="260" t="s">
        <v>2900</v>
      </c>
      <c r="BK1110" s="260" t="s">
        <v>2901</v>
      </c>
      <c r="BL1110" s="260" t="s">
        <v>1197</v>
      </c>
      <c r="BM1110">
        <v>0.14000000000000001</v>
      </c>
      <c r="BN1110">
        <v>3.7</v>
      </c>
      <c r="BP1110">
        <f>BN1110-BM1110</f>
        <v>3.56</v>
      </c>
      <c r="BQ1110" s="143">
        <f>BP1110*10^6</f>
        <v>3560000</v>
      </c>
      <c r="BR1110" t="s">
        <v>232</v>
      </c>
      <c r="BS1110" s="153" t="s">
        <v>2902</v>
      </c>
      <c r="BT1110" s="260" t="s">
        <v>2903</v>
      </c>
      <c r="BU1110">
        <v>1.9</v>
      </c>
      <c r="BV1110">
        <v>-0.57999999999999996</v>
      </c>
      <c r="BW1110" s="144">
        <f>IFERROR(BV1110/BU1110,"")</f>
        <v>-0.30526315789473685</v>
      </c>
      <c r="BX1110">
        <f>BV1110-BU1110</f>
        <v>-2.48</v>
      </c>
      <c r="BZ1110">
        <f>BX1110*C_to_CO2</f>
        <v>-9.1015999999999995</v>
      </c>
      <c r="CA1110">
        <f>IFERROR(BZ1110/BQ1110,"")</f>
        <v>-2.5566292134831461E-6</v>
      </c>
      <c r="CB1110">
        <v>0</v>
      </c>
      <c r="CC1110">
        <v>0</v>
      </c>
      <c r="CD1110">
        <v>0</v>
      </c>
      <c r="CE1110">
        <v>0</v>
      </c>
      <c r="CF1110">
        <v>0</v>
      </c>
      <c r="CG1110">
        <v>0</v>
      </c>
      <c r="CH1110">
        <v>0</v>
      </c>
      <c r="CI1110">
        <v>0</v>
      </c>
      <c r="CJ1110">
        <v>0</v>
      </c>
      <c r="CK1110">
        <v>0</v>
      </c>
      <c r="CL1110">
        <v>0</v>
      </c>
      <c r="CM1110">
        <v>0</v>
      </c>
      <c r="CN1110">
        <v>0</v>
      </c>
      <c r="CO1110">
        <v>0</v>
      </c>
      <c r="CP1110" t="str">
        <f>IF($BN1110&lt;$BM1110,"refNeedCorrection","refOK")</f>
        <v>refOK</v>
      </c>
      <c r="CQ1110">
        <f>IF($CP1110="refOK",$BM1110,$BN1110)</f>
        <v>0.14000000000000001</v>
      </c>
      <c r="CR1110">
        <f>IF($CP1110="refOK",$BN1110,$BM1110)</f>
        <v>3.7</v>
      </c>
      <c r="CS1110">
        <f>IF($CP1110="refOK",$BQ1110,-$BQ1110)</f>
        <v>3560000</v>
      </c>
      <c r="CT1110">
        <f>IF(BI1110="Roundwood",$CS1110/2,$CS1110)</f>
        <v>1780000</v>
      </c>
      <c r="CU1110">
        <f>IF($CP1110="refOK",$BU1110,$BV1110)*IF($BR1110="Emissions positive",-1,1)</f>
        <v>1.9</v>
      </c>
      <c r="CV1110">
        <f>IF($CP1110="refOK",$BV1110,$BU1110)*IF($BR1110="Emissions positive",-1,1)</f>
        <v>-0.57999999999999996</v>
      </c>
      <c r="CW1110">
        <f>IF($CP1110="refNeedCorrection",-BZ1110,BZ1110)*IF($BR1110="Emissions positive",-1,1)</f>
        <v>-9.1015999999999995</v>
      </c>
      <c r="CX1110">
        <f>IFERROR($CW1110/$CS1110,"")</f>
        <v>-2.5566292134831461E-6</v>
      </c>
      <c r="CY1110">
        <f>IFERROR($CW1110/$CS1110,"")</f>
        <v>-2.5566292134831461E-6</v>
      </c>
      <c r="CZ1110">
        <f>IFERROR($CW1110/$CT1110,"")</f>
        <v>-5.1132584269662922E-6</v>
      </c>
      <c r="DA1110" s="2">
        <f>IFERROR((CV1110-CU1110)/ABS(CU1110),"")</f>
        <v>-1.3052631578947369</v>
      </c>
      <c r="DB1110" s="1" t="s">
        <v>1074</v>
      </c>
      <c r="DC1110" t="str">
        <f>IF(OR($DB1110="prd",$DB1110="std",$DB1110="cit"),"loc",IF(OR($DB1110="eur",$DB1110="reg",$DB1110="coy"),"reg",$DB1110))</f>
        <v>reg</v>
      </c>
      <c r="DD1110" t="s">
        <v>677</v>
      </c>
      <c r="DG1110">
        <v>30</v>
      </c>
      <c r="DH1110" t="str">
        <f>IF(DG1110=0,"0",IF(AND(DG1110&gt;=1,DG1110&lt;=30),"1-30",IF(AND(DG1110&gt;30,DG1110&lt;=70),"31-70",IF(AND(DG1110&gt;70,DG1110&lt;=100),"71-100",IF(DG1110&gt;100,"+100")))))</f>
        <v>1-30</v>
      </c>
      <c r="DI1110">
        <v>1</v>
      </c>
      <c r="DJ1110">
        <v>0</v>
      </c>
      <c r="DK1110">
        <v>0</v>
      </c>
      <c r="DL1110">
        <v>0</v>
      </c>
      <c r="DN1110">
        <f>SUM(DI1110:DL1110)</f>
        <v>1</v>
      </c>
      <c r="DO1110" t="str">
        <f>IF(DN1110=1,INDEX($DI$7:$DL$7,MATCH(1,$DI1110:$DL1110,0)),"mixedProduct")</f>
        <v>UpstreamInput</v>
      </c>
      <c r="DP1110" t="str">
        <f>IF(DI1110=1,DP$7,0)</f>
        <v>Upstream</v>
      </c>
      <c r="DQ1110">
        <f>IF(DJ1110=1,DQ$7,0)</f>
        <v>0</v>
      </c>
      <c r="DR1110">
        <f>IF(DK1110=1,DR$7,0)</f>
        <v>0</v>
      </c>
      <c r="DS1110">
        <f>IF(DL1110=1,DS$7,0)</f>
        <v>0</v>
      </c>
      <c r="DT1110">
        <v>1</v>
      </c>
      <c r="DU1110">
        <v>0</v>
      </c>
      <c r="DV1110">
        <v>0</v>
      </c>
      <c r="DW1110">
        <v>0</v>
      </c>
      <c r="DX1110">
        <v>0</v>
      </c>
      <c r="DY1110">
        <f>SUM(DT1110:DU1110)</f>
        <v>1</v>
      </c>
      <c r="DZ1110" s="143" t="str">
        <f>IF(DT1110=1,"self-calculated DF",IF(DU1110=1,"external DF used","explicit C balance"))</f>
        <v>self-calculated DF</v>
      </c>
      <c r="EA1110">
        <v>0</v>
      </c>
      <c r="EB1110">
        <v>0</v>
      </c>
      <c r="EC1110">
        <v>1</v>
      </c>
      <c r="ED1110">
        <v>0</v>
      </c>
      <c r="EE1110">
        <v>0</v>
      </c>
      <c r="EF1110" s="143">
        <v>0</v>
      </c>
      <c r="EG1110">
        <v>0</v>
      </c>
      <c r="EH1110">
        <v>0</v>
      </c>
      <c r="EI1110">
        <v>0</v>
      </c>
      <c r="EJ1110">
        <v>0</v>
      </c>
      <c r="EK1110">
        <v>1</v>
      </c>
      <c r="EL1110">
        <v>0</v>
      </c>
      <c r="EM1110">
        <v>0</v>
      </c>
      <c r="EN1110" s="2">
        <v>0</v>
      </c>
      <c r="EP1110" t="str">
        <f>IF(AND(AND(AND(OR($EC1110=1,$EB1110=1),OR($EH1110=1,$EF1110=1)),SUM($EA1110:$EE1110,$EK1110)&gt;=3),SUM($EF1110:$EJ1110)&gt;=2),"Whole sector approach","")</f>
        <v/>
      </c>
      <c r="EQ1110" t="str">
        <f>IF(AND(AND(OR($EC1110=1,$EB1110=1),AND($EH1110=0,$EF1110=0)),SUM($EA1110:$EE1110,$EK1110)&gt;=4),"Ecosystem approach","")</f>
        <v/>
      </c>
      <c r="ER1110" s="2" t="str">
        <f>IF(AND(AND(AND($EC1110=0,$EB1110=0),OR($EH1110=1,$EF1110=1)),SUM($EG1110:$EJ1110)&gt;=2),"Technology approach","")</f>
        <v/>
      </c>
      <c r="ES1110" t="str">
        <f>IF(AND($EC1110+$EB1110+$EE1110+$EA1110+$ED1110+$EG1110=0,$N1110="included"),"C neutral forest and HWP assumption","")</f>
        <v/>
      </c>
      <c r="ET1110" t="str">
        <f>IF(AND(AND(AND(AND($EC1110=1,$EB1110+$EA1110+$EG1110&gt;=1),$EF1110=1),$EH1110+$EI1110+$ED1110+$EE1110&gt;=2),$N1110="included"),"All C pools assumption","")</f>
        <v/>
      </c>
      <c r="EU1110" t="str">
        <f>IF(AND($ED1110+$EE1110+$EI1110+$EH1110+$EF1110=0,$N1110="included"),"In-situ only assumption","")</f>
        <v>In-situ only assumption</v>
      </c>
      <c r="EY1110" t="str">
        <f>IF(ISNUMBER(BW1110),IF(ABS(BW1110-[2]QC_indicators!$B$2)&gt;3*[2]QC_indicators!$C$2,"C ratio",IF(ISNUMBER(CA1110),IF(ABS(CA1110-[2]QC_indicators!$B$1)&gt;3*[2]QC_indicators!$C$1,"DF","no"))),IF(ISNUMBER(CA1110),IF(ABS(CA1110-[2]QC_indicators!$B$1)&gt;3*[2]QC_indicators!$C$1,"DF","no")))</f>
        <v>no</v>
      </c>
      <c r="FA1110" t="str">
        <f>IF(LEN($CY1110)=0,"",IF(AND($CY1110&lt;(-0.05),$ES1110="C neutral forest and HWP assumption"),"Cneutral paradox",IF(AND($CY1110&gt;0.05,$EU1110="In-situ only assumption"),"In-situ only paradox","")))</f>
        <v/>
      </c>
      <c r="FD1110" s="293" t="s">
        <v>3085</v>
      </c>
    </row>
    <row r="1111" spans="1:160" ht="18" customHeight="1">
      <c r="A1111" s="1" t="s">
        <v>1016</v>
      </c>
      <c r="B1111" t="s">
        <v>1954</v>
      </c>
      <c r="C1111" t="s">
        <v>1955</v>
      </c>
      <c r="D1111" t="s">
        <v>1956</v>
      </c>
      <c r="E1111" t="s">
        <v>1957</v>
      </c>
      <c r="F1111" t="s">
        <v>1958</v>
      </c>
      <c r="G1111" t="s">
        <v>1017</v>
      </c>
      <c r="H1111" t="s">
        <v>254</v>
      </c>
      <c r="I1111">
        <v>2017</v>
      </c>
      <c r="J1111">
        <v>12</v>
      </c>
      <c r="K1111" t="s">
        <v>1959</v>
      </c>
      <c r="M1111" t="str">
        <f>LEFT($D1111,FIND(",",$D1111)-1)&amp;"_"&amp;I1111&amp;L1111</f>
        <v>Qin_2017</v>
      </c>
      <c r="N1111" t="s">
        <v>222</v>
      </c>
      <c r="O1111" s="145" t="s">
        <v>341</v>
      </c>
      <c r="Q1111" t="s">
        <v>256</v>
      </c>
      <c r="R1111" s="258" t="s">
        <v>223</v>
      </c>
      <c r="S1111" s="1" t="s">
        <v>1962</v>
      </c>
      <c r="T1111" s="260" t="s">
        <v>2905</v>
      </c>
      <c r="U1111" t="s">
        <v>1961</v>
      </c>
      <c r="V1111" s="253">
        <v>0</v>
      </c>
      <c r="W1111" s="253">
        <v>0</v>
      </c>
      <c r="X1111">
        <v>0</v>
      </c>
      <c r="Y1111">
        <v>0</v>
      </c>
      <c r="Z1111">
        <v>0</v>
      </c>
      <c r="AA1111">
        <v>1</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1</v>
      </c>
      <c r="AY1111">
        <v>0</v>
      </c>
      <c r="AZ1111" s="141">
        <f>COUNTIF(X1111:AY1111,"&lt;&gt;0")</f>
        <v>2</v>
      </c>
      <c r="BA1111" s="141">
        <f>COUNTIF(X1111:AN1111,"&lt;&gt;0")</f>
        <v>1</v>
      </c>
      <c r="BB1111">
        <f>COUNTIF(X1111:AE1111,"&lt;&gt;0")</f>
        <v>1</v>
      </c>
      <c r="BC1111">
        <f>COUNTIF(AF1111:AK1111,"&lt;&gt;0")</f>
        <v>0</v>
      </c>
      <c r="BD1111">
        <f>COUNTIF(AL1111:AN1111,"&lt;&gt;0")</f>
        <v>0</v>
      </c>
      <c r="BE1111">
        <f>COUNTIF(AU1111:AY1111,"&lt;&gt;0")</f>
        <v>1</v>
      </c>
      <c r="BF1111">
        <f>COUNTIF(AO1111:AT1111,"&lt;&gt;0")</f>
        <v>0</v>
      </c>
      <c r="BG1111" t="str">
        <f t="array" ref="BG1111">IF(BA1111=1,INDEX($X$7:$AN$7,MATCH(TRUE,INDEX($X1111:$AY1111&lt;&gt;0,),0)),IF(BA1111=0,INDEX($AO$7:$AY$7,MATCH(1,$AO1111:$AY1111,0)),IF(BH1111="Multiple strategies","mixed drivers",IF(BH1111="Supply chain","multiple supply","multiple silviculture"))))</f>
        <v xml:space="preserve">cutting intensity </v>
      </c>
      <c r="BH1111" s="2" t="str" cm="1">
        <f t="array" ref="BH1111">IF(COUNTIF(BB1111:BD1111,"&lt;&gt;0")=1,INDEX($X$4:$AY$4,MATCH(TRUE,INDEX($X1111:$AY1111&lt;&gt;0,),0)),IF(COUNTIF(BB1111:BD1111,"&lt;&gt;0")=0,INDEX($AO$4:$AY$4,MATCH(1,$AO1111:$AY1111,0)),"Multiple strategies"))</f>
        <v>Silviculture for removals</v>
      </c>
      <c r="BI1111" s="1" t="s">
        <v>321</v>
      </c>
      <c r="BJ1111" s="260" t="s">
        <v>2900</v>
      </c>
      <c r="BK1111" s="260" t="s">
        <v>2901</v>
      </c>
      <c r="BL1111" s="260" t="s">
        <v>1197</v>
      </c>
      <c r="BM1111">
        <v>0.65</v>
      </c>
      <c r="BN1111">
        <v>3.7</v>
      </c>
      <c r="BP1111">
        <f>BN1111-BM1111</f>
        <v>3.0500000000000003</v>
      </c>
      <c r="BQ1111" s="143">
        <f>BP1111*10^6</f>
        <v>3050000.0000000005</v>
      </c>
      <c r="BR1111" t="s">
        <v>232</v>
      </c>
      <c r="BS1111" s="153" t="s">
        <v>2902</v>
      </c>
      <c r="BT1111" s="260" t="s">
        <v>2906</v>
      </c>
      <c r="BU1111">
        <v>1.76</v>
      </c>
      <c r="BV1111">
        <v>-0.57999999999999996</v>
      </c>
      <c r="BW1111" s="144">
        <f>IFERROR(BV1111/BU1111,"")</f>
        <v>-0.32954545454545453</v>
      </c>
      <c r="BX1111">
        <f>BV1111-BU1111</f>
        <v>-2.34</v>
      </c>
      <c r="BZ1111">
        <f>BX1111*C_to_CO2</f>
        <v>-8.5877999999999997</v>
      </c>
      <c r="CA1111">
        <f>IFERROR(BZ1111/BQ1111,"")</f>
        <v>-2.8156721311475402E-6</v>
      </c>
      <c r="CB1111">
        <v>0</v>
      </c>
      <c r="CC1111">
        <v>0</v>
      </c>
      <c r="CD1111">
        <v>0</v>
      </c>
      <c r="CE1111">
        <v>0</v>
      </c>
      <c r="CF1111">
        <v>0</v>
      </c>
      <c r="CG1111">
        <v>0</v>
      </c>
      <c r="CH1111">
        <v>0</v>
      </c>
      <c r="CI1111">
        <v>0</v>
      </c>
      <c r="CJ1111">
        <v>0</v>
      </c>
      <c r="CK1111">
        <v>0</v>
      </c>
      <c r="CL1111">
        <v>0</v>
      </c>
      <c r="CM1111">
        <v>0</v>
      </c>
      <c r="CN1111">
        <v>0</v>
      </c>
      <c r="CO1111">
        <v>0</v>
      </c>
      <c r="CP1111" t="str">
        <f>IF($BN1111&lt;$BM1111,"refNeedCorrection","refOK")</f>
        <v>refOK</v>
      </c>
      <c r="CQ1111">
        <f>IF($CP1111="refOK",$BM1111,$BN1111)</f>
        <v>0.65</v>
      </c>
      <c r="CR1111">
        <f>IF($CP1111="refOK",$BN1111,$BM1111)</f>
        <v>3.7</v>
      </c>
      <c r="CS1111">
        <f>IF($CP1111="refOK",$BQ1111,-$BQ1111)</f>
        <v>3050000.0000000005</v>
      </c>
      <c r="CT1111">
        <f>IF(BI1111="Roundwood",$CS1111/2,$CS1111)</f>
        <v>1525000.0000000002</v>
      </c>
      <c r="CU1111">
        <f>IF($CP1111="refOK",$BU1111,$BV1111)*IF($BR1111="Emissions positive",-1,1)</f>
        <v>1.76</v>
      </c>
      <c r="CV1111">
        <f>IF($CP1111="refOK",$BV1111,$BU1111)*IF($BR1111="Emissions positive",-1,1)</f>
        <v>-0.57999999999999996</v>
      </c>
      <c r="CW1111">
        <f>IF($CP1111="refNeedCorrection",-BZ1111,BZ1111)*IF($BR1111="Emissions positive",-1,1)</f>
        <v>-8.5877999999999997</v>
      </c>
      <c r="CX1111">
        <f>IFERROR($CW1111/$CS1111,"")</f>
        <v>-2.8156721311475402E-6</v>
      </c>
      <c r="CY1111">
        <f>IFERROR($CW1111/$CS1111,"")</f>
        <v>-2.8156721311475402E-6</v>
      </c>
      <c r="CZ1111">
        <f>IFERROR($CW1111/$CT1111,"")</f>
        <v>-5.6313442622950805E-6</v>
      </c>
      <c r="DA1111" s="2">
        <f>IFERROR((CV1111-CU1111)/ABS(CU1111),"")</f>
        <v>-1.3295454545454544</v>
      </c>
      <c r="DB1111" s="1" t="s">
        <v>1074</v>
      </c>
      <c r="DC1111" t="str">
        <f>IF(OR($DB1111="prd",$DB1111="std",$DB1111="cit"),"loc",IF(OR($DB1111="eur",$DB1111="reg",$DB1111="coy"),"reg",$DB1111))</f>
        <v>reg</v>
      </c>
      <c r="DD1111" t="s">
        <v>677</v>
      </c>
      <c r="DG1111">
        <v>30</v>
      </c>
      <c r="DH1111" t="str">
        <f>IF(DG1111=0,"0",IF(AND(DG1111&gt;=1,DG1111&lt;=30),"1-30",IF(AND(DG1111&gt;30,DG1111&lt;=70),"31-70",IF(AND(DG1111&gt;70,DG1111&lt;=100),"71-100",IF(DG1111&gt;100,"+100")))))</f>
        <v>1-30</v>
      </c>
      <c r="DI1111">
        <v>1</v>
      </c>
      <c r="DJ1111">
        <v>0</v>
      </c>
      <c r="DK1111">
        <v>0</v>
      </c>
      <c r="DL1111">
        <v>0</v>
      </c>
      <c r="DN1111">
        <f>SUM(DI1111:DL1111)</f>
        <v>1</v>
      </c>
      <c r="DO1111" t="str">
        <f>IF(DN1111=1,INDEX($DI$7:$DL$7,MATCH(1,$DI1111:$DL1111,0)),"mixedProduct")</f>
        <v>UpstreamInput</v>
      </c>
      <c r="DP1111" t="str">
        <f>IF(DI1111=1,DP$7,0)</f>
        <v>Upstream</v>
      </c>
      <c r="DQ1111">
        <f>IF(DJ1111=1,DQ$7,0)</f>
        <v>0</v>
      </c>
      <c r="DR1111">
        <f>IF(DK1111=1,DR$7,0)</f>
        <v>0</v>
      </c>
      <c r="DS1111">
        <f>IF(DL1111=1,DS$7,0)</f>
        <v>0</v>
      </c>
      <c r="DT1111">
        <v>1</v>
      </c>
      <c r="DU1111">
        <v>0</v>
      </c>
      <c r="DV1111">
        <v>0</v>
      </c>
      <c r="DW1111">
        <v>0</v>
      </c>
      <c r="DX1111">
        <v>0</v>
      </c>
      <c r="DY1111">
        <f>SUM(DT1111:DU1111)</f>
        <v>1</v>
      </c>
      <c r="DZ1111" s="143" t="str">
        <f>IF(DT1111=1,"self-calculated DF",IF(DU1111=1,"external DF used","explicit C balance"))</f>
        <v>self-calculated DF</v>
      </c>
      <c r="EA1111">
        <v>0</v>
      </c>
      <c r="EB1111">
        <v>0</v>
      </c>
      <c r="EC1111">
        <v>1</v>
      </c>
      <c r="ED1111">
        <v>0</v>
      </c>
      <c r="EE1111">
        <v>0</v>
      </c>
      <c r="EF1111" s="143">
        <v>0</v>
      </c>
      <c r="EG1111">
        <v>0</v>
      </c>
      <c r="EH1111">
        <v>0</v>
      </c>
      <c r="EI1111">
        <v>0</v>
      </c>
      <c r="EJ1111">
        <v>0</v>
      </c>
      <c r="EK1111">
        <v>1</v>
      </c>
      <c r="EL1111">
        <v>0</v>
      </c>
      <c r="EM1111">
        <v>0</v>
      </c>
      <c r="EN1111" s="2">
        <v>0</v>
      </c>
      <c r="EP1111" t="str">
        <f>IF(AND(AND(AND(OR($EC1111=1,$EB1111=1),OR($EH1111=1,$EF1111=1)),SUM($EA1111:$EE1111,$EK1111)&gt;=3),SUM($EF1111:$EJ1111)&gt;=2),"Whole sector approach","")</f>
        <v/>
      </c>
      <c r="EQ1111" t="str">
        <f>IF(AND(AND(OR($EC1111=1,$EB1111=1),AND($EH1111=0,$EF1111=0)),SUM($EA1111:$EE1111,$EK1111)&gt;=4),"Ecosystem approach","")</f>
        <v/>
      </c>
      <c r="ER1111" s="2" t="str">
        <f>IF(AND(AND(AND($EC1111=0,$EB1111=0),OR($EH1111=1,$EF1111=1)),SUM($EG1111:$EJ1111)&gt;=2),"Technology approach","")</f>
        <v/>
      </c>
      <c r="ES1111" t="str">
        <f>IF(AND($EC1111+$EB1111+$EE1111+$EA1111+$ED1111+$EG1111=0,$N1111="included"),"C neutral forest and HWP assumption","")</f>
        <v/>
      </c>
      <c r="ET1111" t="str">
        <f>IF(AND(AND(AND(AND($EC1111=1,$EB1111+$EA1111+$EG1111&gt;=1),$EF1111=1),$EH1111+$EI1111+$ED1111+$EE1111&gt;=2),$N1111="included"),"All C pools assumption","")</f>
        <v/>
      </c>
      <c r="EU1111" t="str">
        <f>IF(AND($ED1111+$EE1111+$EI1111+$EH1111+$EF1111=0,$N1111="included"),"In-situ only assumption","")</f>
        <v>In-situ only assumption</v>
      </c>
      <c r="EY1111" t="str">
        <f>IF(ISNUMBER(BW1111),IF(ABS(BW1111-[2]QC_indicators!$B$2)&gt;3*[2]QC_indicators!$C$2,"C ratio",IF(ISNUMBER(CA1111),IF(ABS(CA1111-[2]QC_indicators!$B$1)&gt;3*[2]QC_indicators!$C$1,"DF","no"))),IF(ISNUMBER(CA1111),IF(ABS(CA1111-[2]QC_indicators!$B$1)&gt;3*[2]QC_indicators!$C$1,"DF","no")))</f>
        <v>no</v>
      </c>
      <c r="FA1111" t="str">
        <f>IF(LEN($CY1111)=0,"",IF(AND($CY1111&lt;(-0.05),$ES1111="C neutral forest and HWP assumption"),"Cneutral paradox",IF(AND($CY1111&gt;0.05,$EU1111="In-situ only assumption"),"In-situ only paradox","")))</f>
        <v/>
      </c>
      <c r="FD1111" s="260" t="s">
        <v>2904</v>
      </c>
    </row>
    <row r="1112" spans="1:160" ht="17">
      <c r="A1112" s="1" t="s">
        <v>1016</v>
      </c>
      <c r="B1112" t="s">
        <v>1954</v>
      </c>
      <c r="C1112" t="s">
        <v>1955</v>
      </c>
      <c r="D1112" t="s">
        <v>1956</v>
      </c>
      <c r="E1112" t="s">
        <v>1957</v>
      </c>
      <c r="F1112" t="s">
        <v>1958</v>
      </c>
      <c r="G1112" t="s">
        <v>1017</v>
      </c>
      <c r="H1112" t="s">
        <v>254</v>
      </c>
      <c r="I1112">
        <v>2017</v>
      </c>
      <c r="J1112">
        <v>12</v>
      </c>
      <c r="K1112" t="s">
        <v>1959</v>
      </c>
      <c r="M1112" t="str">
        <f>LEFT($D1112,FIND(",",$D1112)-1)&amp;"_"&amp;I1112&amp;L1112</f>
        <v>Qin_2017</v>
      </c>
      <c r="N1112" t="s">
        <v>222</v>
      </c>
      <c r="O1112" s="145" t="s">
        <v>341</v>
      </c>
      <c r="Q1112" t="s">
        <v>256</v>
      </c>
      <c r="R1112" s="258" t="s">
        <v>223</v>
      </c>
      <c r="S1112" s="1" t="s">
        <v>1963</v>
      </c>
      <c r="T1112" s="260" t="s">
        <v>2907</v>
      </c>
      <c r="U1112" t="s">
        <v>1961</v>
      </c>
      <c r="V1112" s="253">
        <v>0</v>
      </c>
      <c r="W1112" s="253">
        <v>0</v>
      </c>
      <c r="X1112">
        <v>0</v>
      </c>
      <c r="Y1112">
        <v>0</v>
      </c>
      <c r="Z1112">
        <v>0</v>
      </c>
      <c r="AA1112">
        <v>1</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1</v>
      </c>
      <c r="AY1112">
        <v>0</v>
      </c>
      <c r="AZ1112" s="141">
        <f>COUNTIF(X1112:AY1112,"&lt;&gt;0")</f>
        <v>2</v>
      </c>
      <c r="BA1112" s="141">
        <f>COUNTIF(X1112:AN1112,"&lt;&gt;0")</f>
        <v>1</v>
      </c>
      <c r="BB1112">
        <f>COUNTIF(X1112:AE1112,"&lt;&gt;0")</f>
        <v>1</v>
      </c>
      <c r="BC1112">
        <f>COUNTIF(AF1112:AK1112,"&lt;&gt;0")</f>
        <v>0</v>
      </c>
      <c r="BD1112">
        <f>COUNTIF(AL1112:AN1112,"&lt;&gt;0")</f>
        <v>0</v>
      </c>
      <c r="BE1112">
        <f>COUNTIF(AU1112:AY1112,"&lt;&gt;0")</f>
        <v>1</v>
      </c>
      <c r="BF1112">
        <f>COUNTIF(AO1112:AT1112,"&lt;&gt;0")</f>
        <v>0</v>
      </c>
      <c r="BG1112" t="str">
        <f t="array" ref="BG1112">IF(BA1112=1,INDEX($X$7:$AN$7,MATCH(TRUE,INDEX($X1112:$AY1112&lt;&gt;0,),0)),IF(BA1112=0,INDEX($AO$7:$AY$7,MATCH(1,$AO1112:$AY1112,0)),IF(BH1112="Multiple strategies","mixed drivers",IF(BH1112="Supply chain","multiple supply","multiple silviculture"))))</f>
        <v xml:space="preserve">cutting intensity </v>
      </c>
      <c r="BH1112" s="2" t="str" cm="1">
        <f t="array" ref="BH1112">IF(COUNTIF(BB1112:BD1112,"&lt;&gt;0")=1,INDEX($X$4:$AY$4,MATCH(TRUE,INDEX($X1112:$AY1112&lt;&gt;0,),0)),IF(COUNTIF(BB1112:BD1112,"&lt;&gt;0")=0,INDEX($AO$4:$AY$4,MATCH(1,$AO1112:$AY1112,0)),"Multiple strategies"))</f>
        <v>Silviculture for removals</v>
      </c>
      <c r="BI1112" s="1" t="s">
        <v>321</v>
      </c>
      <c r="BJ1112" s="260" t="s">
        <v>2900</v>
      </c>
      <c r="BK1112" s="260" t="s">
        <v>2901</v>
      </c>
      <c r="BL1112" s="260" t="s">
        <v>1197</v>
      </c>
      <c r="BM1112">
        <v>1.95</v>
      </c>
      <c r="BN1112">
        <v>3.7</v>
      </c>
      <c r="BP1112">
        <f>BN1112-BM1112</f>
        <v>1.7500000000000002</v>
      </c>
      <c r="BQ1112" s="143">
        <f>BP1112*10^6</f>
        <v>1750000.0000000002</v>
      </c>
      <c r="BR1112" t="s">
        <v>232</v>
      </c>
      <c r="BS1112" s="153" t="s">
        <v>2902</v>
      </c>
      <c r="BT1112" s="260" t="s">
        <v>2903</v>
      </c>
      <c r="BU1112">
        <v>1.18</v>
      </c>
      <c r="BV1112">
        <v>-0.57999999999999996</v>
      </c>
      <c r="BW1112" s="144">
        <f>IFERROR(BV1112/BU1112,"")</f>
        <v>-0.49152542372881353</v>
      </c>
      <c r="BX1112">
        <f>BV1112-BU1112</f>
        <v>-1.7599999999999998</v>
      </c>
      <c r="BZ1112">
        <f>BX1112*C_to_CO2</f>
        <v>-6.4591999999999992</v>
      </c>
      <c r="CA1112">
        <f>IFERROR(BZ1112/BQ1112,"")</f>
        <v>-3.6909714285714275E-6</v>
      </c>
      <c r="CB1112">
        <v>0</v>
      </c>
      <c r="CC1112">
        <v>0</v>
      </c>
      <c r="CD1112">
        <v>0</v>
      </c>
      <c r="CE1112">
        <v>0</v>
      </c>
      <c r="CF1112">
        <v>0</v>
      </c>
      <c r="CG1112">
        <v>0</v>
      </c>
      <c r="CH1112">
        <v>0</v>
      </c>
      <c r="CI1112">
        <v>0</v>
      </c>
      <c r="CJ1112">
        <v>0</v>
      </c>
      <c r="CK1112">
        <v>0</v>
      </c>
      <c r="CL1112">
        <v>0</v>
      </c>
      <c r="CM1112">
        <v>0</v>
      </c>
      <c r="CN1112">
        <v>0</v>
      </c>
      <c r="CO1112">
        <v>0</v>
      </c>
      <c r="CP1112" t="str">
        <f>IF($BN1112&lt;$BM1112,"refNeedCorrection","refOK")</f>
        <v>refOK</v>
      </c>
      <c r="CQ1112">
        <f>IF($CP1112="refOK",$BM1112,$BN1112)</f>
        <v>1.95</v>
      </c>
      <c r="CR1112">
        <f>IF($CP1112="refOK",$BN1112,$BM1112)</f>
        <v>3.7</v>
      </c>
      <c r="CS1112">
        <f>IF($CP1112="refOK",$BQ1112,-$BQ1112)</f>
        <v>1750000.0000000002</v>
      </c>
      <c r="CT1112">
        <f>IF(BI1112="Roundwood",$CS1112/2,$CS1112)</f>
        <v>875000.00000000012</v>
      </c>
      <c r="CU1112">
        <f>IF($CP1112="refOK",$BU1112,$BV1112)*IF($BR1112="Emissions positive",-1,1)</f>
        <v>1.18</v>
      </c>
      <c r="CV1112">
        <f>IF($CP1112="refOK",$BV1112,$BU1112)*IF($BR1112="Emissions positive",-1,1)</f>
        <v>-0.57999999999999996</v>
      </c>
      <c r="CW1112">
        <f>IF($CP1112="refNeedCorrection",-BZ1112,BZ1112)*IF($BR1112="Emissions positive",-1,1)</f>
        <v>-6.4591999999999992</v>
      </c>
      <c r="CX1112">
        <f>IFERROR($CW1112/$CS1112,"")</f>
        <v>-3.6909714285714275E-6</v>
      </c>
      <c r="CY1112">
        <f>IFERROR($CW1112/$CS1112,"")</f>
        <v>-3.6909714285714275E-6</v>
      </c>
      <c r="CZ1112">
        <f>IFERROR($CW1112/$CT1112,"")</f>
        <v>-7.381942857142855E-6</v>
      </c>
      <c r="DA1112" s="2">
        <f>IFERROR((CV1112-CU1112)/ABS(CU1112),"")</f>
        <v>-1.4915254237288134</v>
      </c>
      <c r="DB1112" s="1" t="s">
        <v>1074</v>
      </c>
      <c r="DC1112" t="str">
        <f>IF(OR($DB1112="prd",$DB1112="std",$DB1112="cit"),"loc",IF(OR($DB1112="eur",$DB1112="reg",$DB1112="coy"),"reg",$DB1112))</f>
        <v>reg</v>
      </c>
      <c r="DD1112" t="s">
        <v>677</v>
      </c>
      <c r="DG1112">
        <v>30</v>
      </c>
      <c r="DH1112" t="str">
        <f>IF(DG1112=0,"0",IF(AND(DG1112&gt;=1,DG1112&lt;=30),"1-30",IF(AND(DG1112&gt;30,DG1112&lt;=70),"31-70",IF(AND(DG1112&gt;70,DG1112&lt;=100),"71-100",IF(DG1112&gt;100,"+100")))))</f>
        <v>1-30</v>
      </c>
      <c r="DI1112">
        <v>1</v>
      </c>
      <c r="DJ1112">
        <v>0</v>
      </c>
      <c r="DK1112">
        <v>0</v>
      </c>
      <c r="DL1112">
        <v>0</v>
      </c>
      <c r="DN1112">
        <f>SUM(DI1112:DL1112)</f>
        <v>1</v>
      </c>
      <c r="DO1112" t="str">
        <f>IF(DN1112=1,INDEX($DI$7:$DL$7,MATCH(1,$DI1112:$DL1112,0)),"mixedProduct")</f>
        <v>UpstreamInput</v>
      </c>
      <c r="DP1112" t="str">
        <f>IF(DI1112=1,DP$7,0)</f>
        <v>Upstream</v>
      </c>
      <c r="DQ1112">
        <f>IF(DJ1112=1,DQ$7,0)</f>
        <v>0</v>
      </c>
      <c r="DR1112">
        <f>IF(DK1112=1,DR$7,0)</f>
        <v>0</v>
      </c>
      <c r="DS1112">
        <f>IF(DL1112=1,DS$7,0)</f>
        <v>0</v>
      </c>
      <c r="DT1112">
        <v>1</v>
      </c>
      <c r="DU1112">
        <v>0</v>
      </c>
      <c r="DV1112">
        <v>0</v>
      </c>
      <c r="DW1112">
        <v>0</v>
      </c>
      <c r="DX1112">
        <v>0</v>
      </c>
      <c r="DY1112">
        <f>SUM(DT1112:DU1112)</f>
        <v>1</v>
      </c>
      <c r="DZ1112" s="143" t="str">
        <f>IF(DT1112=1,"self-calculated DF",IF(DU1112=1,"external DF used","explicit C balance"))</f>
        <v>self-calculated DF</v>
      </c>
      <c r="EA1112">
        <v>0</v>
      </c>
      <c r="EB1112">
        <v>0</v>
      </c>
      <c r="EC1112">
        <v>1</v>
      </c>
      <c r="ED1112">
        <v>0</v>
      </c>
      <c r="EE1112">
        <v>0</v>
      </c>
      <c r="EF1112" s="143">
        <v>0</v>
      </c>
      <c r="EG1112">
        <v>0</v>
      </c>
      <c r="EH1112">
        <v>0</v>
      </c>
      <c r="EI1112">
        <v>0</v>
      </c>
      <c r="EJ1112">
        <v>0</v>
      </c>
      <c r="EK1112">
        <v>1</v>
      </c>
      <c r="EL1112">
        <v>0</v>
      </c>
      <c r="EM1112">
        <v>0</v>
      </c>
      <c r="EN1112" s="2">
        <v>0</v>
      </c>
      <c r="EP1112" t="str">
        <f>IF(AND(AND(AND(OR($EC1112=1,$EB1112=1),OR($EH1112=1,$EF1112=1)),SUM($EA1112:$EE1112,$EK1112)&gt;=3),SUM($EF1112:$EJ1112)&gt;=2),"Whole sector approach","")</f>
        <v/>
      </c>
      <c r="EQ1112" t="str">
        <f>IF(AND(AND(OR($EC1112=1,$EB1112=1),AND($EH1112=0,$EF1112=0)),SUM($EA1112:$EE1112,$EK1112)&gt;=4),"Ecosystem approach","")</f>
        <v/>
      </c>
      <c r="ER1112" s="2" t="str">
        <f>IF(AND(AND(AND($EC1112=0,$EB1112=0),OR($EH1112=1,$EF1112=1)),SUM($EG1112:$EJ1112)&gt;=2),"Technology approach","")</f>
        <v/>
      </c>
      <c r="ES1112" t="str">
        <f>IF(AND($EC1112+$EB1112+$EE1112+$EA1112+$ED1112+$EG1112=0,$N1112="included"),"C neutral forest and HWP assumption","")</f>
        <v/>
      </c>
      <c r="ET1112" t="str">
        <f>IF(AND(AND(AND(AND($EC1112=1,$EB1112+$EA1112+$EG1112&gt;=1),$EF1112=1),$EH1112+$EI1112+$ED1112+$EE1112&gt;=2),$N1112="included"),"All C pools assumption","")</f>
        <v/>
      </c>
      <c r="EU1112" t="str">
        <f>IF(AND($ED1112+$EE1112+$EI1112+$EH1112+$EF1112=0,$N1112="included"),"In-situ only assumption","")</f>
        <v>In-situ only assumption</v>
      </c>
      <c r="EY1112" t="str">
        <f>IF(ISNUMBER(BW1112),IF(ABS(BW1112-[2]QC_indicators!$B$2)&gt;3*[2]QC_indicators!$C$2,"C ratio",IF(ISNUMBER(CA1112),IF(ABS(CA1112-[2]QC_indicators!$B$1)&gt;3*[2]QC_indicators!$C$1,"DF","no"))),IF(ISNUMBER(CA1112),IF(ABS(CA1112-[2]QC_indicators!$B$1)&gt;3*[2]QC_indicators!$C$1,"DF","no")))</f>
        <v>no</v>
      </c>
      <c r="FA1112" t="str">
        <f>IF(LEN($CY1112)=0,"",IF(AND($CY1112&lt;(-0.05),$ES1112="C neutral forest and HWP assumption"),"Cneutral paradox",IF(AND($CY1112&gt;0.05,$EU1112="In-situ only assumption"),"In-situ only paradox","")))</f>
        <v/>
      </c>
      <c r="FD1112" s="260" t="s">
        <v>2904</v>
      </c>
    </row>
    <row r="1113" spans="1:160" ht="17" hidden="1">
      <c r="A1113" s="1" t="s">
        <v>1001</v>
      </c>
      <c r="B1113" t="s">
        <v>2051</v>
      </c>
      <c r="C1113" t="s">
        <v>2052</v>
      </c>
      <c r="D1113" t="s">
        <v>2053</v>
      </c>
      <c r="E1113" s="260" t="s">
        <v>2054</v>
      </c>
      <c r="F1113" t="s">
        <v>2055</v>
      </c>
      <c r="G1113" t="s">
        <v>1002</v>
      </c>
      <c r="H1113" t="s">
        <v>254</v>
      </c>
      <c r="I1113">
        <v>2017</v>
      </c>
      <c r="J1113">
        <v>28</v>
      </c>
      <c r="K1113" t="s">
        <v>2056</v>
      </c>
      <c r="M1113" t="str">
        <f>LEFT($D1113,FIND(",",$D1113)-1)&amp;"_"&amp;I1113&amp;L1113</f>
        <v>Smyth_2017</v>
      </c>
      <c r="N1113" t="s">
        <v>222</v>
      </c>
      <c r="O1113" s="145" t="s">
        <v>341</v>
      </c>
      <c r="Q1113" t="s">
        <v>256</v>
      </c>
      <c r="R1113" s="258" t="s">
        <v>223</v>
      </c>
      <c r="S1113" s="1" t="s">
        <v>2057</v>
      </c>
      <c r="T1113" t="s">
        <v>1030</v>
      </c>
      <c r="U1113" t="s">
        <v>1952</v>
      </c>
      <c r="V1113" s="253">
        <v>0</v>
      </c>
      <c r="W1113" s="253">
        <v>0</v>
      </c>
      <c r="X1113">
        <v>0</v>
      </c>
      <c r="Y1113">
        <v>0</v>
      </c>
      <c r="Z1113">
        <v>0</v>
      </c>
      <c r="AA1113">
        <v>1</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s="141">
        <f>COUNTIF(X1113:AY1113,"&lt;&gt;0")</f>
        <v>1</v>
      </c>
      <c r="BA1113" s="141">
        <f>COUNTIF(X1113:AN1113,"&lt;&gt;0")</f>
        <v>1</v>
      </c>
      <c r="BB1113">
        <f>COUNTIF(X1113:AE1113,"&lt;&gt;0")</f>
        <v>1</v>
      </c>
      <c r="BC1113">
        <f>COUNTIF(AF1113:AK1113,"&lt;&gt;0")</f>
        <v>0</v>
      </c>
      <c r="BD1113">
        <f>COUNTIF(AL1113:AN1113,"&lt;&gt;0")</f>
        <v>0</v>
      </c>
      <c r="BE1113">
        <f>COUNTIF(AU1113:AY1113,"&lt;&gt;0")</f>
        <v>0</v>
      </c>
      <c r="BF1113">
        <f>COUNTIF(AO1113:AT1113,"&lt;&gt;0")</f>
        <v>0</v>
      </c>
      <c r="BG1113" t="str">
        <f t="array" ref="BG1113">IF(BA1113=1,INDEX($X$7:$AN$7,MATCH(TRUE,INDEX($X1113:$AY1113&lt;&gt;0,),0)),IF(BA1113=0,INDEX($AO$7:$AY$7,MATCH(1,$AO1113:$AY1113,0)),IF(BH1113="Multiple strategies","mixed drivers",IF(BH1113="Supply chain","multiple supply","multiple silviculture"))))</f>
        <v xml:space="preserve">cutting intensity </v>
      </c>
      <c r="BH1113" s="2" t="str" cm="1">
        <f t="array" ref="BH1113">IF(COUNTIF(BB1113:BD1113,"&lt;&gt;0")=1,INDEX($X$4:$AY$4,MATCH(TRUE,INDEX($X1113:$AY1113&lt;&gt;0,),0)),IF(COUNTIF(BB1113:BD1113,"&lt;&gt;0")=0,INDEX($AO$4:$AY$4,MATCH(1,$AO1113:$AY1113,0)),"Multiple strategies"))</f>
        <v>Silviculture for removals</v>
      </c>
      <c r="BI1113" s="173" t="s">
        <v>321</v>
      </c>
      <c r="BJ1113" t="s">
        <v>2058</v>
      </c>
      <c r="BK1113" s="260" t="s">
        <v>2920</v>
      </c>
      <c r="BL1113" t="s">
        <v>2032</v>
      </c>
      <c r="BM1113">
        <f>1*33</f>
        <v>33</v>
      </c>
      <c r="BN1113">
        <f>11.9*33</f>
        <v>392.7</v>
      </c>
      <c r="BP1113">
        <f>BN1113-BM1113</f>
        <v>359.7</v>
      </c>
      <c r="BQ1113">
        <f>BP1113*10^6*tC_to_m3</f>
        <v>1561875814.1554496</v>
      </c>
      <c r="BR1113" t="s">
        <v>232</v>
      </c>
      <c r="BS1113" s="153" t="s">
        <v>2921</v>
      </c>
      <c r="BT1113" t="s">
        <v>1018</v>
      </c>
      <c r="BU1113">
        <f>-11.5*33</f>
        <v>-379.5</v>
      </c>
      <c r="BV1113">
        <f>-3.4*33</f>
        <v>-112.2</v>
      </c>
      <c r="BW1113" s="144">
        <f>IFERROR(BV1113/BU1113,"")</f>
        <v>0.29565217391304349</v>
      </c>
      <c r="BX1113">
        <f>BV1113-BU1113</f>
        <v>267.3</v>
      </c>
      <c r="BZ1113">
        <f>BX1113*10^6</f>
        <v>267300000</v>
      </c>
      <c r="CA1113">
        <f>IFERROR(BZ1113/BQ1113,"")</f>
        <v>0.17114036697247703</v>
      </c>
      <c r="CB1113">
        <v>0</v>
      </c>
      <c r="CC1113">
        <v>1</v>
      </c>
      <c r="CD1113">
        <v>1</v>
      </c>
      <c r="CE1113">
        <v>1</v>
      </c>
      <c r="CF1113">
        <v>0</v>
      </c>
      <c r="CG1113">
        <v>0</v>
      </c>
      <c r="CH1113">
        <v>0</v>
      </c>
      <c r="CI1113">
        <v>0</v>
      </c>
      <c r="CJ1113">
        <v>0</v>
      </c>
      <c r="CK1113">
        <v>0</v>
      </c>
      <c r="CL1113">
        <v>0</v>
      </c>
      <c r="CM1113">
        <v>0</v>
      </c>
      <c r="CN1113">
        <v>0</v>
      </c>
      <c r="CO1113">
        <v>0</v>
      </c>
      <c r="CP1113" t="str">
        <f>IF($BN1113&lt;$BM1113,"refNeedCorrection","refOK")</f>
        <v>refOK</v>
      </c>
      <c r="CQ1113">
        <f>IF($CP1113="refOK",$BM1113,$BN1113)</f>
        <v>33</v>
      </c>
      <c r="CR1113">
        <f>IF($CP1113="refOK",$BN1113,$BM1113)</f>
        <v>392.7</v>
      </c>
      <c r="CS1113">
        <f>IF($CP1113="refOK",$BQ1113,-$BQ1113)</f>
        <v>1561875814.1554496</v>
      </c>
      <c r="CT1113">
        <f>IF(BI1113="Roundwood",$CS1113/2,$CS1113)</f>
        <v>780937907.07772481</v>
      </c>
      <c r="CU1113">
        <f>IF($CP1113="refOK",$BU1113,$BV1113)*IF($BR1113="Emissions positive",-1,1)</f>
        <v>-379.5</v>
      </c>
      <c r="CV1113">
        <f>IF($CP1113="refOK",$BV1113,$BU1113)*IF($BR1113="Emissions positive",-1,1)</f>
        <v>-112.2</v>
      </c>
      <c r="CW1113">
        <f>IF($CP1113="refNeedCorrection",-BZ1113,BZ1113)*IF($BR1113="Emissions positive",-1,1)</f>
        <v>267300000</v>
      </c>
      <c r="CX1113">
        <f>IFERROR($CW1113/$CS1113,"")</f>
        <v>0.17114036697247703</v>
      </c>
      <c r="CY1113">
        <f>IFERROR($CW1113/$CS1113,"")</f>
        <v>0.17114036697247703</v>
      </c>
      <c r="CZ1113">
        <f>IFERROR($CW1113/$CT1113,"")</f>
        <v>0.34228073394495406</v>
      </c>
      <c r="DA1113" s="2">
        <f>IFERROR((CV1113-CU1113)/ABS(CU1113),"")</f>
        <v>0.70434782608695656</v>
      </c>
      <c r="DB1113" s="1" t="s">
        <v>1078</v>
      </c>
      <c r="DC1113" t="str">
        <f>IF(OR($DB1113="prd",$DB1113="std",$DB1113="cit"),"loc",IF(OR($DB1113="eur",$DB1113="reg",$DB1113="coy"),"reg",$DB1113))</f>
        <v>reg</v>
      </c>
      <c r="DD1113" t="s">
        <v>527</v>
      </c>
      <c r="DE1113">
        <v>2017</v>
      </c>
      <c r="DF1113">
        <v>2050</v>
      </c>
      <c r="DG1113">
        <v>33</v>
      </c>
      <c r="DH1113" t="str">
        <f>IF(DG1113=0,"0",IF(AND(DG1113&gt;=1,DG1113&lt;=30),"1-30",IF(AND(DG1113&gt;30,DG1113&lt;=70),"31-70",IF(AND(DG1113&gt;70,DG1113&lt;=100),"71-100",IF(DG1113&gt;100,"+100")))))</f>
        <v>31-70</v>
      </c>
      <c r="DI1113">
        <v>0</v>
      </c>
      <c r="DJ1113">
        <v>1</v>
      </c>
      <c r="DK1113">
        <v>1</v>
      </c>
      <c r="DL1113">
        <v>1</v>
      </c>
      <c r="DN1113">
        <f>SUM(DI1113:DL1113)</f>
        <v>3</v>
      </c>
      <c r="DO1113" t="str">
        <f>IF(DN1113=1,INDEX($DI$7:$DL$7,MATCH(1,$DI1113:$DL1113,0)),"mixedProduct")</f>
        <v>mixedProduct</v>
      </c>
      <c r="DP1113">
        <f>IF(DI1113=1,DP$7,0)</f>
        <v>0</v>
      </c>
      <c r="DQ1113" t="str">
        <f>IF(DJ1113=1,DQ$7,0)</f>
        <v>Energy</v>
      </c>
      <c r="DR1113" t="str">
        <f>IF(DK1113=1,DR$7,0)</f>
        <v>Pulp/Paper</v>
      </c>
      <c r="DS1113" t="str">
        <f>IF(DL1113=1,DS$7,0)</f>
        <v>Timber</v>
      </c>
      <c r="DT1113">
        <v>1</v>
      </c>
      <c r="DU1113">
        <v>1</v>
      </c>
      <c r="DV1113" t="s">
        <v>2059</v>
      </c>
      <c r="DW1113">
        <v>0</v>
      </c>
      <c r="DX1113">
        <v>0</v>
      </c>
      <c r="DY1113">
        <f>SUM(DT1113:DU1113)</f>
        <v>2</v>
      </c>
      <c r="DZ1113" s="143" t="str">
        <f>IF(DT1113=1,"self-calculated DF",IF(DU1113=1,"external DF used","explicit C balance"))</f>
        <v>self-calculated DF</v>
      </c>
      <c r="EA1113">
        <v>1</v>
      </c>
      <c r="EB1113">
        <v>1</v>
      </c>
      <c r="EC1113">
        <v>1</v>
      </c>
      <c r="ED1113">
        <v>1</v>
      </c>
      <c r="EE1113">
        <v>1</v>
      </c>
      <c r="EF1113">
        <v>1</v>
      </c>
      <c r="EG1113">
        <v>0</v>
      </c>
      <c r="EH1113">
        <v>0</v>
      </c>
      <c r="EI1113">
        <v>0</v>
      </c>
      <c r="EJ1113">
        <v>0</v>
      </c>
      <c r="EK1113">
        <v>1</v>
      </c>
      <c r="EL1113">
        <v>0</v>
      </c>
      <c r="EM1113">
        <v>0</v>
      </c>
      <c r="EN1113" s="2">
        <v>0</v>
      </c>
      <c r="EP1113" t="str">
        <f>IF(AND(AND(AND(OR($EC1113=1,$EB1113=1),OR($EH1113=1,$EF1113=1)),SUM($EA1113:$EE1113,$EK1113)&gt;=3),SUM($EF1113:$EJ1113)&gt;=2),"Whole sector approach","")</f>
        <v/>
      </c>
      <c r="EQ1113" t="str">
        <f>IF(AND(AND(OR($EC1113=1,$EB1113=1),AND($EH1113=0,$EF1113=0)),SUM($EA1113:$EE1113,$EK1113)&gt;=4),"Ecosystem approach","")</f>
        <v/>
      </c>
      <c r="ER1113" s="2" t="str">
        <f>IF(AND(AND(AND($EC1113=0,$EB1113=0),OR($EH1113=1,$EF1113=1)),SUM($EG1113:$EJ1113)&gt;=2),"Technology approach","")</f>
        <v/>
      </c>
      <c r="ES1113" t="str">
        <f>IF(AND($EC1113+$EB1113+$EE1113+$EA1113+$ED1113+$EG1113=0,$N1113="included"),"C neutral forest and HWP assumption","")</f>
        <v/>
      </c>
      <c r="ET1113" t="str">
        <f>IF(AND(AND(AND(AND($EC1113=1,$EB1113+$EA1113+$EG1113&gt;=1),$EF1113=1),$EH1113+$EI1113+$ED1113+$EE1113&gt;=2),$N1113="included"),"All C pools assumption","")</f>
        <v>All C pools assumption</v>
      </c>
      <c r="EU1113" t="str">
        <f>IF(AND($ED1113+$EE1113+$EI1113+$EH1113+$EF1113=0,$N1113="included"),"In-situ only assumption","")</f>
        <v/>
      </c>
      <c r="EV1113" s="328" t="s">
        <v>5065</v>
      </c>
      <c r="EY1113" t="str">
        <f>IF(ISNUMBER(BW1113),IF(ABS(BW1113-[2]QC_indicators!$B$2)&gt;3*[2]QC_indicators!$C$2,"C ratio",IF(ISNUMBER(CA1113),IF(ABS(CA1113-[2]QC_indicators!$B$1)&gt;3*[2]QC_indicators!$C$1,"DF","no"))),IF(ISNUMBER(CA1113),IF(ABS(CA1113-[2]QC_indicators!$B$1)&gt;3*[2]QC_indicators!$C$1,"DF","no")))</f>
        <v>no</v>
      </c>
      <c r="FA1113" t="str">
        <f>IF(LEN($CY1113)=0,"",IF(AND($CY1113&lt;(-0.05),$ES1113="C neutral forest and HWP assumption"),"Cneutral paradox",IF(AND($CY1113&gt;0.05,$EU1113="In-situ only assumption"),"In-situ only paradox","")))</f>
        <v/>
      </c>
      <c r="FD1113" s="260" t="s">
        <v>2922</v>
      </c>
    </row>
    <row r="1114" spans="1:160" ht="15" hidden="1" customHeight="1">
      <c r="A1114" s="1" t="s">
        <v>574</v>
      </c>
      <c r="B1114" t="s">
        <v>1095</v>
      </c>
      <c r="C1114" t="s">
        <v>1096</v>
      </c>
      <c r="D1114" t="s">
        <v>1097</v>
      </c>
      <c r="E1114" t="s">
        <v>1098</v>
      </c>
      <c r="F1114" t="s">
        <v>1099</v>
      </c>
      <c r="G1114" t="s">
        <v>580</v>
      </c>
      <c r="I1114">
        <v>2018</v>
      </c>
      <c r="K1114" t="s">
        <v>1100</v>
      </c>
      <c r="M1114" t="str">
        <f>LEFT($D1114,FIND(",",$D1114)-1)&amp;"_"&amp;I1114&amp;L1114</f>
        <v>Bais-Moleman_2018</v>
      </c>
      <c r="N1114" t="s">
        <v>222</v>
      </c>
      <c r="O1114" s="140" t="s">
        <v>341</v>
      </c>
      <c r="Q1114" t="s">
        <v>224</v>
      </c>
      <c r="R1114" s="264" t="s">
        <v>274</v>
      </c>
      <c r="S1114" s="1" t="s">
        <v>1101</v>
      </c>
      <c r="T1114" t="s">
        <v>1076</v>
      </c>
      <c r="U1114" t="s">
        <v>1107</v>
      </c>
      <c r="V1114" s="253">
        <v>0</v>
      </c>
      <c r="W1114" s="253">
        <v>0</v>
      </c>
      <c r="X1114">
        <v>0</v>
      </c>
      <c r="Y1114">
        <v>0</v>
      </c>
      <c r="Z1114">
        <v>0</v>
      </c>
      <c r="AA1114">
        <v>0</v>
      </c>
      <c r="AB1114">
        <v>0</v>
      </c>
      <c r="AC1114">
        <v>0</v>
      </c>
      <c r="AD1114">
        <v>0</v>
      </c>
      <c r="AE1114">
        <v>0</v>
      </c>
      <c r="AF1114">
        <v>0</v>
      </c>
      <c r="AG1114">
        <v>0</v>
      </c>
      <c r="AH1114">
        <v>0</v>
      </c>
      <c r="AI1114">
        <v>1</v>
      </c>
      <c r="AJ1114">
        <v>0</v>
      </c>
      <c r="AK1114">
        <v>0</v>
      </c>
      <c r="AL1114">
        <v>0</v>
      </c>
      <c r="AM1114">
        <v>0</v>
      </c>
      <c r="AN1114">
        <v>0</v>
      </c>
      <c r="AO1114">
        <v>0</v>
      </c>
      <c r="AP1114">
        <v>0</v>
      </c>
      <c r="AQ1114">
        <v>0</v>
      </c>
      <c r="AR1114">
        <v>0</v>
      </c>
      <c r="AS1114">
        <v>0</v>
      </c>
      <c r="AT1114">
        <v>0</v>
      </c>
      <c r="AU1114">
        <v>0</v>
      </c>
      <c r="AV1114">
        <v>0</v>
      </c>
      <c r="AW1114">
        <v>0</v>
      </c>
      <c r="AX1114">
        <v>0</v>
      </c>
      <c r="AY1114">
        <v>0</v>
      </c>
      <c r="AZ1114" s="141">
        <f>COUNTIF(X1114:AY1114,"&lt;&gt;0")</f>
        <v>1</v>
      </c>
      <c r="BA1114" s="141">
        <f>COUNTIF(X1114:AN1114,"&lt;&gt;0")</f>
        <v>1</v>
      </c>
      <c r="BB1114">
        <f>COUNTIF(X1114:AE1114,"&lt;&gt;0")</f>
        <v>0</v>
      </c>
      <c r="BC1114">
        <f>COUNTIF(AF1114:AK1114,"&lt;&gt;0")</f>
        <v>1</v>
      </c>
      <c r="BD1114">
        <f>COUNTIF(AL1114:AN1114,"&lt;&gt;0")</f>
        <v>0</v>
      </c>
      <c r="BE1114">
        <f>COUNTIF(AU1114:AY1114,"&lt;&gt;0")</f>
        <v>0</v>
      </c>
      <c r="BF1114">
        <f>COUNTIF(AO1114:AT1114,"&lt;&gt;0")</f>
        <v>0</v>
      </c>
      <c r="BG1114" t="str">
        <f t="array" ref="BG1114">IF(BA1114=1,INDEX($X$7:$AN$7,MATCH(TRUE,INDEX($X1114:$AY1114&lt;&gt;0,),0)),IF(BA1114=0,INDEX($AO$7:$AY$7,MATCH(1,$AO1114:$AY1114,0)),IF(BH1114="Multiple strategies","mixed drivers",IF(BH1114="Supply chain","multiple supply","multiple silviculture"))))</f>
        <v>recycling</v>
      </c>
      <c r="BH1114" s="2" t="str" cm="1">
        <f t="array" ref="BH1114">IF(COUNTIF(BB1114:BD1114,"&lt;&gt;0")=1,INDEX($X$4:$AY$4,MATCH(TRUE,INDEX($X1114:$AY1114&lt;&gt;0,),0)),IF(COUNTIF(BB1114:BD1114,"&lt;&gt;0")=0,INDEX($AO$4:$AY$4,MATCH(1,$AO1114:$AY1114,0)),"Multiple strategies"))</f>
        <v>Supply chain</v>
      </c>
      <c r="BI1114" s="1" t="s">
        <v>229</v>
      </c>
      <c r="BJ1114" t="s">
        <v>1103</v>
      </c>
      <c r="BK1114" t="s">
        <v>396</v>
      </c>
      <c r="BL1114" t="s">
        <v>1090</v>
      </c>
      <c r="BM1114">
        <v>12</v>
      </c>
      <c r="BN1114">
        <v>56</v>
      </c>
      <c r="BO1114">
        <f>BN1114/BM1114</f>
        <v>4.666666666666667</v>
      </c>
      <c r="BP1114">
        <f>BN1114-BM1114</f>
        <v>44</v>
      </c>
      <c r="BQ1114" s="143">
        <f>+BP1114*10^6*tC_to_m3</f>
        <v>191055145.46244031</v>
      </c>
      <c r="BR1114" t="s">
        <v>232</v>
      </c>
      <c r="BS1114" t="s">
        <v>1104</v>
      </c>
      <c r="BT1114" t="s">
        <v>1105</v>
      </c>
      <c r="BU1114" s="152"/>
      <c r="BW1114" s="144" t="str">
        <f>IFERROR(BV1114/BU1114,"")</f>
        <v/>
      </c>
      <c r="BX1114">
        <f>35-42+13</f>
        <v>6</v>
      </c>
      <c r="BZ1114">
        <f>BX1114*10^6</f>
        <v>6000000</v>
      </c>
      <c r="CA1114">
        <f>IFERROR(BZ1114/BQ1114,"")</f>
        <v>3.1404545454545449E-2</v>
      </c>
      <c r="CB1114">
        <v>0</v>
      </c>
      <c r="CC1114">
        <v>0</v>
      </c>
      <c r="CD1114">
        <v>0</v>
      </c>
      <c r="CE1114">
        <v>0</v>
      </c>
      <c r="CF1114">
        <v>0</v>
      </c>
      <c r="CG1114">
        <v>0</v>
      </c>
      <c r="CH1114">
        <v>0</v>
      </c>
      <c r="CI1114">
        <v>0</v>
      </c>
      <c r="CJ1114">
        <v>0</v>
      </c>
      <c r="CK1114">
        <v>0</v>
      </c>
      <c r="CL1114">
        <v>0</v>
      </c>
      <c r="CM1114">
        <v>0</v>
      </c>
      <c r="CN1114">
        <v>0</v>
      </c>
      <c r="CO1114">
        <v>0</v>
      </c>
      <c r="CP1114" t="str">
        <f>IF(BN1114&lt;BM1114,"refNeedCorrection","refOK")</f>
        <v>refOK</v>
      </c>
      <c r="CQ1114">
        <f>IF($CP1114="refOK",$BM1114,$BN1114)</f>
        <v>12</v>
      </c>
      <c r="CR1114">
        <f>IF($CP1114="refOK",$BN1114,$BM1114)</f>
        <v>56</v>
      </c>
      <c r="CS1114">
        <f>IF($CP1114="refOK",$BQ1114,-$BQ1114)</f>
        <v>191055145.46244031</v>
      </c>
      <c r="CT1114">
        <f>IF(BI1114="Roundwood",$CS1114/2,$CS1114)</f>
        <v>191055145.46244031</v>
      </c>
      <c r="CU1114">
        <f>IF($CP1114="refOK",$BU1114,$BV1114)*IF($BR1114="Emissions positive",-1,1)</f>
        <v>0</v>
      </c>
      <c r="CV1114">
        <f>IF($CP1114="refOK",$BV1114,$BU1114)*IF($BR1114="Emissions positive",-1,1)</f>
        <v>0</v>
      </c>
      <c r="CW1114">
        <f>IF($CP1114="refNeedCorrection",-BZ1114,BZ1114)*IF($BR1114="Emissions positive",-1,1)</f>
        <v>6000000</v>
      </c>
      <c r="CX1114">
        <f>IFERROR($CW1114/$CS1114,"")</f>
        <v>3.1404545454545449E-2</v>
      </c>
      <c r="CY1114">
        <f>IFERROR($CW1114/$CS1114,"")</f>
        <v>3.1404545454545449E-2</v>
      </c>
      <c r="CZ1114">
        <f>IFERROR($CW1114/$CT1114,"")</f>
        <v>3.1404545454545449E-2</v>
      </c>
      <c r="DA1114" s="2" t="str">
        <f>IFERROR((CV1114-CU1114)/ABS(CU1114),"")</f>
        <v/>
      </c>
      <c r="DB1114" s="1" t="s">
        <v>1106</v>
      </c>
      <c r="DC1114" t="str">
        <f>IF(OR($DB1114="prd",$DB1114="std",$DB1114="cit"),"loc",IF(OR($DB1114="eur",$DB1114="reg",$DB1114="coy"),"reg",$DB1114))</f>
        <v>reg</v>
      </c>
      <c r="DD1114" t="s">
        <v>729</v>
      </c>
      <c r="DG1114">
        <v>100</v>
      </c>
      <c r="DH1114" t="str">
        <f>IF(DG1114=0,"0",IF(AND(DG1114&gt;=1,DG1114&lt;=30),"1-30",IF(AND(DG1114&gt;30,DG1114&lt;=70),"31-70",IF(AND(DG1114&gt;70,DG1114&lt;=100),"71-100",IF(DG1114&gt;100,"+100")))))</f>
        <v>71-100</v>
      </c>
      <c r="DI1114">
        <v>0</v>
      </c>
      <c r="DJ1114">
        <v>1</v>
      </c>
      <c r="DK1114">
        <v>1</v>
      </c>
      <c r="DL1114">
        <v>1</v>
      </c>
      <c r="DN1114">
        <f>SUM(DI1114:DL1114)</f>
        <v>3</v>
      </c>
      <c r="DO1114" t="str">
        <f>IF(DN1114=1,INDEX($DI$7:$DL$7,MATCH(1,$DI1114:$DL1114,0)),"mixedProduct")</f>
        <v>mixedProduct</v>
      </c>
      <c r="DP1114">
        <f>IF(DI1114=1,DP$7,0)</f>
        <v>0</v>
      </c>
      <c r="DQ1114" t="str">
        <f>IF(DJ1114=1,DQ$7,0)</f>
        <v>Energy</v>
      </c>
      <c r="DR1114" t="str">
        <f>IF(DK1114=1,DR$7,0)</f>
        <v>Pulp/Paper</v>
      </c>
      <c r="DS1114" t="str">
        <f>IF(DL1114=1,DS$7,0)</f>
        <v>Timber</v>
      </c>
      <c r="DT1114">
        <v>1</v>
      </c>
      <c r="DU1114">
        <v>0</v>
      </c>
      <c r="DV1114">
        <v>0</v>
      </c>
      <c r="DW1114">
        <v>0</v>
      </c>
      <c r="DX1114">
        <v>0</v>
      </c>
      <c r="DY1114">
        <f>SUM(DT1114:DU1114)</f>
        <v>1</v>
      </c>
      <c r="DZ1114" s="143" t="str">
        <f>IF(DT1114=1,"self-calculated DF",IF(DU1114=1,"external DF used","explicit C balance"))</f>
        <v>self-calculated DF</v>
      </c>
      <c r="EA1114">
        <v>0</v>
      </c>
      <c r="EB1114">
        <v>1</v>
      </c>
      <c r="EC1114">
        <v>0</v>
      </c>
      <c r="ED1114">
        <v>1</v>
      </c>
      <c r="EE1114">
        <v>1</v>
      </c>
      <c r="EF1114" s="143">
        <v>1</v>
      </c>
      <c r="EG1114">
        <v>1</v>
      </c>
      <c r="EH1114">
        <v>1</v>
      </c>
      <c r="EI1114">
        <v>1</v>
      </c>
      <c r="EJ1114">
        <v>1</v>
      </c>
      <c r="EK1114">
        <v>0</v>
      </c>
      <c r="EL1114">
        <v>1</v>
      </c>
      <c r="EM1114">
        <v>0</v>
      </c>
      <c r="EN1114" s="2">
        <v>0</v>
      </c>
      <c r="EP1114" t="str">
        <f>IF(AND(AND(AND(OR($EC1114=1,$EB1114=1),OR($EH1114=1,$EF1114=1)),SUM($EA1114:$EE1114,$EK1114)&gt;=3),SUM($EF1114:$EJ1114)&gt;=2),"Whole sector approach","")</f>
        <v>Whole sector approach</v>
      </c>
      <c r="EQ1114" t="str">
        <f>IF(AND(AND(OR($EC1114=1,$EB1114=1),AND($EH1114=0,$EF1114=0)),SUM($EA1114:$EE1114,$EK1114)&gt;=4),"Ecosystem approach","")</f>
        <v/>
      </c>
      <c r="ER1114" s="2" t="str">
        <f>IF(AND(AND(AND($EC1114=0,$EB1114=0),OR($EH1114=1,$EF1114=1)),SUM($EG1114:$EJ1114)&gt;=2),"Technology approach","")</f>
        <v/>
      </c>
      <c r="ES1114" t="str">
        <f>IF(AND($EC1114+$EB1114+$EE1114+$EA1114+$ED1114+$EG1114=0,$N1114="included"),"C neutral forest and HWP assumption","")</f>
        <v/>
      </c>
      <c r="ET1114" t="str">
        <f>IF(AND(AND(AND(AND($EC1114=1,$EB1114+$EA1114+$EG1114&gt;=1),$EF1114=1),$EH1114+$EI1114+$ED1114+$EE1114&gt;=2),$N1114="included"),"All C pools assumption","")</f>
        <v/>
      </c>
      <c r="EU1114" t="str">
        <f>IF(AND($ED1114+$EE1114+$EI1114+$EH1114+$EF1114=0,$N1114="included"),"In-situ only assumption","")</f>
        <v/>
      </c>
      <c r="EY1114" t="str">
        <f>IF(ISNUMBER(BW1114),IF(ABS(BW1114-[3]QC_indicators!$B$2)&gt;3*[3]QC_indicators!$C$2,"C ratio",IF(ISNUMBER(CA1114),IF(ABS(CA1114-[3]QC_indicators!$B$1)&gt;3*[3]QC_indicators!$C$1,"DF","no"))),IF(ISNUMBER(CA1114),IF(ABS(CA1114-[3]QC_indicators!$B$1)&gt;3*[3]QC_indicators!$C$1,"DF","no")))</f>
        <v>no</v>
      </c>
      <c r="FA1114" t="str">
        <f>IF(LEN($CY1114)=0,"",IF(AND($CY1114&lt;(-0.05),$ES1114="C neutral forest and HWP assumption"),"Cneutral paradox",IF(AND($CY1114&gt;0.05,$EU1114="In-situ only assumption"),"In-situ only paradox","")))</f>
        <v/>
      </c>
      <c r="FB1114" s="149" t="s">
        <v>349</v>
      </c>
      <c r="FD1114" s="260" t="s">
        <v>2827</v>
      </c>
    </row>
    <row r="1115" spans="1:160" ht="17" hidden="1">
      <c r="A1115" s="1" t="s">
        <v>574</v>
      </c>
      <c r="B1115" t="s">
        <v>1095</v>
      </c>
      <c r="C1115" t="s">
        <v>1096</v>
      </c>
      <c r="D1115" t="s">
        <v>1097</v>
      </c>
      <c r="E1115" t="s">
        <v>1098</v>
      </c>
      <c r="F1115" t="s">
        <v>1099</v>
      </c>
      <c r="G1115" t="s">
        <v>580</v>
      </c>
      <c r="I1115">
        <v>2018</v>
      </c>
      <c r="K1115" t="s">
        <v>1100</v>
      </c>
      <c r="M1115" t="str">
        <f>LEFT($D1115,FIND(",",$D1115)-1)&amp;"_"&amp;I1115&amp;L1115</f>
        <v>Bais-Moleman_2018</v>
      </c>
      <c r="N1115" t="s">
        <v>222</v>
      </c>
      <c r="O1115" s="140" t="s">
        <v>341</v>
      </c>
      <c r="Q1115" t="s">
        <v>224</v>
      </c>
      <c r="R1115" s="264" t="s">
        <v>274</v>
      </c>
      <c r="S1115" s="1" t="s">
        <v>1101</v>
      </c>
      <c r="T1115" t="s">
        <v>1076</v>
      </c>
      <c r="U1115" t="s">
        <v>1102</v>
      </c>
      <c r="V1115" s="253">
        <v>0</v>
      </c>
      <c r="W1115" s="253">
        <v>0</v>
      </c>
      <c r="X1115">
        <v>0</v>
      </c>
      <c r="Y1115">
        <v>0</v>
      </c>
      <c r="Z1115">
        <v>0</v>
      </c>
      <c r="AA1115">
        <v>0</v>
      </c>
      <c r="AB1115">
        <v>0</v>
      </c>
      <c r="AC1115">
        <v>0</v>
      </c>
      <c r="AD1115">
        <v>0</v>
      </c>
      <c r="AE1115">
        <v>0</v>
      </c>
      <c r="AF1115">
        <v>0</v>
      </c>
      <c r="AG1115">
        <v>0</v>
      </c>
      <c r="AH1115">
        <v>0</v>
      </c>
      <c r="AI1115">
        <v>1</v>
      </c>
      <c r="AJ1115">
        <v>0</v>
      </c>
      <c r="AK1115">
        <v>0</v>
      </c>
      <c r="AL1115">
        <v>0</v>
      </c>
      <c r="AM1115">
        <v>0</v>
      </c>
      <c r="AN1115">
        <v>0</v>
      </c>
      <c r="AO1115">
        <v>0</v>
      </c>
      <c r="AP1115">
        <v>0</v>
      </c>
      <c r="AQ1115">
        <v>0</v>
      </c>
      <c r="AR1115">
        <v>0</v>
      </c>
      <c r="AS1115">
        <v>0</v>
      </c>
      <c r="AT1115">
        <v>0</v>
      </c>
      <c r="AU1115">
        <v>0</v>
      </c>
      <c r="AV1115">
        <v>0</v>
      </c>
      <c r="AW1115">
        <v>0</v>
      </c>
      <c r="AX1115">
        <v>0</v>
      </c>
      <c r="AY1115">
        <v>0</v>
      </c>
      <c r="AZ1115" s="141">
        <f>COUNTIF(X1115:AY1115,"&lt;&gt;0")</f>
        <v>1</v>
      </c>
      <c r="BA1115" s="141">
        <f>COUNTIF(X1115:AN1115,"&lt;&gt;0")</f>
        <v>1</v>
      </c>
      <c r="BB1115">
        <f>COUNTIF(X1115:AE1115,"&lt;&gt;0")</f>
        <v>0</v>
      </c>
      <c r="BC1115">
        <f>COUNTIF(AF1115:AK1115,"&lt;&gt;0")</f>
        <v>1</v>
      </c>
      <c r="BD1115">
        <f>COUNTIF(AL1115:AN1115,"&lt;&gt;0")</f>
        <v>0</v>
      </c>
      <c r="BE1115">
        <f>COUNTIF(AU1115:AY1115,"&lt;&gt;0")</f>
        <v>0</v>
      </c>
      <c r="BF1115">
        <f>COUNTIF(AO1115:AT1115,"&lt;&gt;0")</f>
        <v>0</v>
      </c>
      <c r="BG1115" t="str">
        <f t="array" ref="BG1115">IF(BA1115=1,INDEX($X$7:$AN$7,MATCH(TRUE,INDEX($X1115:$AY1115&lt;&gt;0,),0)),IF(BA1115=0,INDEX($AO$7:$AY$7,MATCH(1,$AO1115:$AY1115,0)),IF(BH1115="Multiple strategies","mixed drivers",IF(BH1115="Supply chain","multiple supply","multiple silviculture"))))</f>
        <v>recycling</v>
      </c>
      <c r="BH1115" s="2" t="str" cm="1">
        <f t="array" ref="BH1115">IF(COUNTIF(BB1115:BD1115,"&lt;&gt;0")=1,INDEX($X$4:$AY$4,MATCH(TRUE,INDEX($X1115:$AY1115&lt;&gt;0,),0)),IF(COUNTIF(BB1115:BD1115,"&lt;&gt;0")=0,INDEX($AO$4:$AY$4,MATCH(1,$AO1115:$AY1115,0)),"Multiple strategies"))</f>
        <v>Supply chain</v>
      </c>
      <c r="BI1115" s="1" t="s">
        <v>229</v>
      </c>
      <c r="BJ1115" t="s">
        <v>1103</v>
      </c>
      <c r="BK1115" t="s">
        <v>396</v>
      </c>
      <c r="BL1115" t="s">
        <v>1090</v>
      </c>
      <c r="BM1115">
        <v>12</v>
      </c>
      <c r="BN1115">
        <v>48</v>
      </c>
      <c r="BO1115">
        <f>BN1115/BM1115</f>
        <v>4</v>
      </c>
      <c r="BP1115">
        <f>BN1115-BM1115</f>
        <v>36</v>
      </c>
      <c r="BQ1115" s="143">
        <f>+BP1115*10^6*tC_to_m3</f>
        <v>156317846.28745115</v>
      </c>
      <c r="BR1115" t="s">
        <v>232</v>
      </c>
      <c r="BS1115" t="s">
        <v>1104</v>
      </c>
      <c r="BT1115" t="s">
        <v>1105</v>
      </c>
      <c r="BU1115" s="152"/>
      <c r="BW1115" s="144" t="str">
        <f>IFERROR(BV1115/BU1115,"")</f>
        <v/>
      </c>
      <c r="BX1115">
        <f>28-43+7</f>
        <v>-8</v>
      </c>
      <c r="BZ1115">
        <f>BX1115*10^6</f>
        <v>-8000000</v>
      </c>
      <c r="CA1115">
        <f>IFERROR(BZ1115/BQ1115,"")</f>
        <v>-5.117777777777778E-2</v>
      </c>
      <c r="CB1115">
        <v>0</v>
      </c>
      <c r="CC1115">
        <v>0</v>
      </c>
      <c r="CD1115">
        <v>0</v>
      </c>
      <c r="CE1115">
        <v>0</v>
      </c>
      <c r="CF1115">
        <v>0</v>
      </c>
      <c r="CG1115">
        <v>0</v>
      </c>
      <c r="CH1115">
        <v>0</v>
      </c>
      <c r="CI1115">
        <v>0</v>
      </c>
      <c r="CJ1115">
        <v>0</v>
      </c>
      <c r="CK1115">
        <v>0</v>
      </c>
      <c r="CL1115">
        <v>0</v>
      </c>
      <c r="CM1115">
        <v>0</v>
      </c>
      <c r="CN1115">
        <v>0</v>
      </c>
      <c r="CO1115">
        <v>0</v>
      </c>
      <c r="CP1115" t="str">
        <f>IF(BN1115&lt;BM1115,"refNeedCorrection","refOK")</f>
        <v>refOK</v>
      </c>
      <c r="CQ1115">
        <f>IF($CP1115="refOK",$BM1115,$BN1115)</f>
        <v>12</v>
      </c>
      <c r="CR1115">
        <f>IF($CP1115="refOK",$BN1115,$BM1115)</f>
        <v>48</v>
      </c>
      <c r="CS1115">
        <f>IF($CP1115="refOK",$BQ1115,-$BQ1115)</f>
        <v>156317846.28745115</v>
      </c>
      <c r="CT1115">
        <f>IF(BI1115="Roundwood",$CS1115/2,$CS1115)</f>
        <v>156317846.28745115</v>
      </c>
      <c r="CU1115">
        <f>IF($CP1115="refOK",$BU1115,$BV1115)*IF($BR1115="Emissions positive",-1,1)</f>
        <v>0</v>
      </c>
      <c r="CV1115">
        <f>IF($CP1115="refOK",$BV1115,$BU1115)*IF($BR1115="Emissions positive",-1,1)</f>
        <v>0</v>
      </c>
      <c r="CW1115">
        <f>IF($CP1115="refNeedCorrection",-BZ1115,BZ1115)*IF($BR1115="Emissions positive",-1,1)</f>
        <v>-8000000</v>
      </c>
      <c r="CX1115">
        <f>IFERROR($CW1115/$CS1115,"")</f>
        <v>-5.117777777777778E-2</v>
      </c>
      <c r="CY1115">
        <f>IFERROR($CW1115/$CS1115,"")</f>
        <v>-5.117777777777778E-2</v>
      </c>
      <c r="CZ1115">
        <f>IFERROR($CW1115/$CT1115,"")</f>
        <v>-5.117777777777778E-2</v>
      </c>
      <c r="DA1115" s="2" t="str">
        <f>IFERROR((CV1115-CU1115)/ABS(CU1115),"")</f>
        <v/>
      </c>
      <c r="DB1115" s="1" t="s">
        <v>1106</v>
      </c>
      <c r="DC1115" t="str">
        <f>IF(OR($DB1115="prd",$DB1115="std",$DB1115="cit"),"loc",IF(OR($DB1115="eur",$DB1115="reg",$DB1115="coy"),"reg",$DB1115))</f>
        <v>reg</v>
      </c>
      <c r="DD1115" t="s">
        <v>729</v>
      </c>
      <c r="DG1115">
        <v>100</v>
      </c>
      <c r="DH1115" t="str">
        <f>IF(DG1115=0,"0",IF(AND(DG1115&gt;=1,DG1115&lt;=30),"1-30",IF(AND(DG1115&gt;30,DG1115&lt;=70),"31-70",IF(AND(DG1115&gt;70,DG1115&lt;=100),"71-100",IF(DG1115&gt;100,"+100")))))</f>
        <v>71-100</v>
      </c>
      <c r="DI1115">
        <v>0</v>
      </c>
      <c r="DJ1115">
        <v>1</v>
      </c>
      <c r="DK1115">
        <v>1</v>
      </c>
      <c r="DL1115">
        <v>1</v>
      </c>
      <c r="DN1115">
        <f>SUM(DI1115:DL1115)</f>
        <v>3</v>
      </c>
      <c r="DO1115" t="str">
        <f>IF(DN1115=1,INDEX($DI$7:$DL$7,MATCH(1,$DI1115:$DL1115,0)),"mixedProduct")</f>
        <v>mixedProduct</v>
      </c>
      <c r="DP1115">
        <f>IF(DI1115=1,DP$7,0)</f>
        <v>0</v>
      </c>
      <c r="DQ1115" t="str">
        <f>IF(DJ1115=1,DQ$7,0)</f>
        <v>Energy</v>
      </c>
      <c r="DR1115" t="str">
        <f>IF(DK1115=1,DR$7,0)</f>
        <v>Pulp/Paper</v>
      </c>
      <c r="DS1115" t="str">
        <f>IF(DL1115=1,DS$7,0)</f>
        <v>Timber</v>
      </c>
      <c r="DT1115">
        <v>1</v>
      </c>
      <c r="DU1115">
        <v>0</v>
      </c>
      <c r="DV1115">
        <v>0</v>
      </c>
      <c r="DW1115">
        <v>0</v>
      </c>
      <c r="DX1115">
        <v>0</v>
      </c>
      <c r="DY1115">
        <f>SUM(DT1115:DU1115)</f>
        <v>1</v>
      </c>
      <c r="DZ1115" s="143" t="str">
        <f>IF(DT1115=1,"self-calculated DF",IF(DU1115=1,"external DF used","explicit C balance"))</f>
        <v>self-calculated DF</v>
      </c>
      <c r="EA1115">
        <v>0</v>
      </c>
      <c r="EB1115">
        <v>1</v>
      </c>
      <c r="EC1115">
        <v>0</v>
      </c>
      <c r="ED1115">
        <v>1</v>
      </c>
      <c r="EE1115">
        <v>1</v>
      </c>
      <c r="EF1115" s="143">
        <v>1</v>
      </c>
      <c r="EG1115">
        <v>1</v>
      </c>
      <c r="EH1115">
        <v>1</v>
      </c>
      <c r="EI1115">
        <v>1</v>
      </c>
      <c r="EJ1115">
        <v>1</v>
      </c>
      <c r="EK1115">
        <v>0</v>
      </c>
      <c r="EL1115">
        <v>1</v>
      </c>
      <c r="EM1115">
        <v>0</v>
      </c>
      <c r="EN1115" s="2">
        <v>0</v>
      </c>
      <c r="EP1115" t="str">
        <f>IF(AND(AND(AND(OR($EC1115=1,$EB1115=1),OR($EH1115=1,$EF1115=1)),SUM($EA1115:$EE1115,$EK1115)&gt;=3),SUM($EF1115:$EJ1115)&gt;=2),"Whole sector approach","")</f>
        <v>Whole sector approach</v>
      </c>
      <c r="EQ1115" t="str">
        <f>IF(AND(AND(OR($EC1115=1,$EB1115=1),AND($EH1115=0,$EF1115=0)),SUM($EA1115:$EE1115,$EK1115)&gt;=4),"Ecosystem approach","")</f>
        <v/>
      </c>
      <c r="ER1115" s="2" t="str">
        <f>IF(AND(AND(AND($EC1115=0,$EB1115=0),OR($EH1115=1,$EF1115=1)),SUM($EG1115:$EJ1115)&gt;=2),"Technology approach","")</f>
        <v/>
      </c>
      <c r="ES1115" t="str">
        <f>IF(AND($EC1115+$EB1115+$EE1115+$EA1115+$ED1115+$EG1115=0,$N1115="included"),"C neutral forest and HWP assumption","")</f>
        <v/>
      </c>
      <c r="ET1115" t="str">
        <f>IF(AND(AND(AND(AND($EC1115=1,$EB1115+$EA1115+$EG1115&gt;=1),$EF1115=1),$EH1115+$EI1115+$ED1115+$EE1115&gt;=2),$N1115="included"),"All C pools assumption","")</f>
        <v/>
      </c>
      <c r="EU1115" t="str">
        <f>IF(AND($ED1115+$EE1115+$EI1115+$EH1115+$EF1115=0,$N1115="included"),"In-situ only assumption","")</f>
        <v/>
      </c>
      <c r="EY1115" t="str">
        <f>IF(ISNUMBER(BW1115),IF(ABS(BW1115-[3]QC_indicators!$B$2)&gt;3*[3]QC_indicators!$C$2,"C ratio",IF(ISNUMBER(CA1115),IF(ABS(CA1115-[3]QC_indicators!$B$1)&gt;3*[3]QC_indicators!$C$1,"DF","no"))),IF(ISNUMBER(CA1115),IF(ABS(CA1115-[3]QC_indicators!$B$1)&gt;3*[3]QC_indicators!$C$1,"DF","no")))</f>
        <v>no</v>
      </c>
      <c r="FA1115" t="str">
        <f>IF(LEN($CY1115)=0,"",IF(AND($CY1115&lt;(-0.05),$ES1115="C neutral forest and HWP assumption"),"Cneutral paradox",IF(AND($CY1115&gt;0.05,$EU1115="In-situ only assumption"),"In-situ only paradox","")))</f>
        <v/>
      </c>
      <c r="FB1115" s="149" t="s">
        <v>349</v>
      </c>
      <c r="FD1115" s="260" t="s">
        <v>2827</v>
      </c>
    </row>
    <row r="1116" spans="1:160" ht="15" hidden="1" customHeight="1">
      <c r="A1116" s="1" t="s">
        <v>1108</v>
      </c>
      <c r="B1116" t="s">
        <v>1109</v>
      </c>
      <c r="C1116" t="s">
        <v>1110</v>
      </c>
      <c r="D1116" t="s">
        <v>336</v>
      </c>
      <c r="E1116" t="s">
        <v>1111</v>
      </c>
      <c r="F1116" t="s">
        <v>1112</v>
      </c>
      <c r="G1116" t="s">
        <v>1113</v>
      </c>
      <c r="I1116">
        <v>2018</v>
      </c>
      <c r="K1116" t="s">
        <v>1114</v>
      </c>
      <c r="M1116" t="str">
        <f>LEFT($D1116,FIND(",",$D1116)-1)&amp;"_"&amp;I1116&amp;L1116</f>
        <v>Balasbaneh_2018</v>
      </c>
      <c r="N1116" t="s">
        <v>222</v>
      </c>
      <c r="O1116" s="140" t="s">
        <v>508</v>
      </c>
      <c r="Q1116" t="s">
        <v>224</v>
      </c>
      <c r="R1116" s="258" t="s">
        <v>223</v>
      </c>
      <c r="S1116" s="1" t="s">
        <v>1123</v>
      </c>
      <c r="T1116" s="260" t="s">
        <v>2793</v>
      </c>
      <c r="U1116" s="260" t="s">
        <v>2795</v>
      </c>
      <c r="V1116" s="253">
        <v>0</v>
      </c>
      <c r="W1116" s="253">
        <v>0</v>
      </c>
      <c r="X1116">
        <v>0</v>
      </c>
      <c r="Y1116">
        <v>0</v>
      </c>
      <c r="Z1116">
        <v>0</v>
      </c>
      <c r="AA1116">
        <v>0</v>
      </c>
      <c r="AB1116">
        <v>0</v>
      </c>
      <c r="AC1116">
        <v>0</v>
      </c>
      <c r="AD1116">
        <v>0</v>
      </c>
      <c r="AE1116">
        <v>0</v>
      </c>
      <c r="AF1116">
        <v>0</v>
      </c>
      <c r="AG1116">
        <v>0</v>
      </c>
      <c r="AH1116">
        <v>0</v>
      </c>
      <c r="AI1116">
        <v>0</v>
      </c>
      <c r="AJ1116">
        <v>0</v>
      </c>
      <c r="AK1116">
        <v>0</v>
      </c>
      <c r="AL1116">
        <v>0</v>
      </c>
      <c r="AM1116">
        <v>1</v>
      </c>
      <c r="AN1116">
        <v>0</v>
      </c>
      <c r="AO1116">
        <v>0</v>
      </c>
      <c r="AP1116">
        <v>0</v>
      </c>
      <c r="AQ1116">
        <v>0</v>
      </c>
      <c r="AR1116">
        <v>0</v>
      </c>
      <c r="AS1116">
        <v>0</v>
      </c>
      <c r="AT1116">
        <v>0</v>
      </c>
      <c r="AU1116">
        <v>0</v>
      </c>
      <c r="AV1116">
        <v>0</v>
      </c>
      <c r="AW1116">
        <v>0</v>
      </c>
      <c r="AX1116">
        <v>0</v>
      </c>
      <c r="AY1116">
        <v>0</v>
      </c>
      <c r="AZ1116" s="141">
        <f>COUNTIF(X1116:AY1116,"&lt;&gt;0")</f>
        <v>1</v>
      </c>
      <c r="BA1116" s="141">
        <f>COUNTIF(X1116:AN1116,"&lt;&gt;0")</f>
        <v>1</v>
      </c>
      <c r="BB1116">
        <f>COUNTIF(X1116:AE1116,"&lt;&gt;0")</f>
        <v>0</v>
      </c>
      <c r="BC1116">
        <f>COUNTIF(AF1116:AK1116,"&lt;&gt;0")</f>
        <v>0</v>
      </c>
      <c r="BD1116">
        <f>COUNTIF(AL1116:AN1116,"&lt;&gt;0")</f>
        <v>1</v>
      </c>
      <c r="BE1116">
        <f>COUNTIF(AU1116:AY1116,"&lt;&gt;0")</f>
        <v>0</v>
      </c>
      <c r="BF1116">
        <f>COUNTIF(AO1116:AT1116,"&lt;&gt;0")</f>
        <v>0</v>
      </c>
      <c r="BG1116" t="str">
        <f t="array" ref="BG1116">IF(BA1116=1,INDEX($X$7:$AN$7,MATCH(TRUE,INDEX($X1116:$AY1116&lt;&gt;0,),0)),IF(BA1116=0,INDEX($AO$7:$AY$7,MATCH(1,$AO1116:$AY1116,0)),IF(BH1116="Multiple strategies","mixed drivers",IF(BH1116="Supply chain","multiple supply","multiple silviculture"))))</f>
        <v>technologies/design switch</v>
      </c>
      <c r="BH1116" s="2" t="str" cm="1">
        <f t="array" ref="BH1116">IF(COUNTIF(BB1116:BD1116,"&lt;&gt;0")=1,INDEX($X$4:$AY$4,MATCH(TRUE,INDEX($X1116:$AY1116&lt;&gt;0,),0)),IF(COUNTIF(BB1116:BD1116,"&lt;&gt;0")=0,INDEX($AO$4:$AY$4,MATCH(1,$AO1116:$AY1116,0)),"Multiple strategies"))</f>
        <v>Technology</v>
      </c>
      <c r="BI1116" s="1" t="s">
        <v>229</v>
      </c>
      <c r="BJ1116" t="s">
        <v>229</v>
      </c>
      <c r="BL1116" t="s">
        <v>345</v>
      </c>
      <c r="BM1116">
        <v>0</v>
      </c>
      <c r="BN1116">
        <v>23436</v>
      </c>
      <c r="BO1116" s="143"/>
      <c r="BP1116">
        <f>BN1116-BM1116</f>
        <v>23436</v>
      </c>
      <c r="BQ1116" s="143">
        <f>BP1116*kg_to_m3</f>
        <v>47.828571428571436</v>
      </c>
      <c r="BR1116" t="s">
        <v>232</v>
      </c>
      <c r="BS1116" s="153" t="s">
        <v>987</v>
      </c>
      <c r="BT1116" t="s">
        <v>397</v>
      </c>
      <c r="BU1116">
        <v>-8660</v>
      </c>
      <c r="BV1116">
        <v>-693</v>
      </c>
      <c r="BW1116" s="144">
        <v>8.0023094688221705E-2</v>
      </c>
      <c r="BX1116">
        <v>7967</v>
      </c>
      <c r="BZ1116">
        <f>BX1116/1000</f>
        <v>7.9669999999999996</v>
      </c>
      <c r="CA1116">
        <f>IFERROR(BZ1116/BQ1116,"")</f>
        <v>0.16657407407407404</v>
      </c>
      <c r="CB1116">
        <v>0</v>
      </c>
      <c r="CC1116">
        <v>0</v>
      </c>
      <c r="CD1116">
        <v>0</v>
      </c>
      <c r="CE1116">
        <v>0</v>
      </c>
      <c r="CF1116">
        <v>0</v>
      </c>
      <c r="CG1116">
        <v>0</v>
      </c>
      <c r="CH1116">
        <v>0</v>
      </c>
      <c r="CI1116">
        <v>0</v>
      </c>
      <c r="CJ1116">
        <v>0</v>
      </c>
      <c r="CK1116">
        <v>0</v>
      </c>
      <c r="CL1116">
        <v>0</v>
      </c>
      <c r="CM1116">
        <v>0</v>
      </c>
      <c r="CN1116">
        <v>0</v>
      </c>
      <c r="CO1116">
        <v>0</v>
      </c>
      <c r="CP1116" t="str">
        <f>IF($BN1116&lt;$BM1116,"refNeedCorrection","refOK")</f>
        <v>refOK</v>
      </c>
      <c r="CQ1116">
        <f>IF($CP1116="refNeedCorrection",BN1116,BM1116)</f>
        <v>0</v>
      </c>
      <c r="CR1116">
        <f>IF($CP1116="refNeedCorrection",BM1116,BN1116)</f>
        <v>23436</v>
      </c>
      <c r="CS1116">
        <f>IF($CP1116="refOK",$BQ1116,-$BQ1116)</f>
        <v>47.828571428571436</v>
      </c>
      <c r="CT1116">
        <f>IF(BI1116="Roundwood",$CS1116/2,$CS1116)</f>
        <v>47.828571428571436</v>
      </c>
      <c r="CU1116">
        <f>IF($CP1116="refOK",$BU1116,$BV1116)*IF($BR1116="Emissions positive",-1,1)</f>
        <v>-8660</v>
      </c>
      <c r="CV1116">
        <f>IF($CP1116="refOK",$BV1116,$BU1116)*IF($BR1116="Emissions positive",-1,1)</f>
        <v>-693</v>
      </c>
      <c r="CW1116">
        <f>IF($CP1116="refNeedCorrection",-BZ1116,BZ1116)*IF($BR1116="Emissions positive",-1,1)</f>
        <v>7.9669999999999996</v>
      </c>
      <c r="CX1116">
        <f>IFERROR($CW1116/$CS1116,"")</f>
        <v>0.16657407407407404</v>
      </c>
      <c r="CY1116">
        <f>IFERROR($CW1116/$CS1116,"")</f>
        <v>0.16657407407407404</v>
      </c>
      <c r="CZ1116">
        <f>IFERROR($CW1116/$CT1116,"")</f>
        <v>0.16657407407407404</v>
      </c>
      <c r="DA1116" s="2">
        <f>IFERROR((CV1116-CU1116)/ABS(CU1116),"")</f>
        <v>0.91997690531177834</v>
      </c>
      <c r="DB1116" s="1" t="s">
        <v>1078</v>
      </c>
      <c r="DC1116" t="str">
        <f>IF(OR($DB1116="prd",$DB1116="std",$DB1116="cit"),"loc",IF(OR($DB1116="eur",$DB1116="reg",$DB1116="coy"),"reg",$DB1116))</f>
        <v>reg</v>
      </c>
      <c r="DD1116" t="s">
        <v>348</v>
      </c>
      <c r="DE1116">
        <v>2014</v>
      </c>
      <c r="DF1116">
        <v>2514</v>
      </c>
      <c r="DG1116">
        <v>500</v>
      </c>
      <c r="DH1116" t="str">
        <f>IF(DG1116=0,"0",IF(AND(DG1116&gt;=1,DG1116&lt;=30),"1-30",IF(AND(DG1116&gt;30,DG1116&lt;=70),"31-70",IF(AND(DG1116&gt;70,DG1116&lt;=100),"71-100",IF(DG1116&gt;100,"+100")))))</f>
        <v>+100</v>
      </c>
      <c r="DI1116">
        <v>0</v>
      </c>
      <c r="DJ1116">
        <v>0</v>
      </c>
      <c r="DK1116">
        <v>0</v>
      </c>
      <c r="DL1116">
        <v>1</v>
      </c>
      <c r="DN1116">
        <f>SUM(DI1116:DL1116)</f>
        <v>1</v>
      </c>
      <c r="DO1116" t="str">
        <f>IF(DN1116=1,INDEX($DI$7:$DL$7,MATCH(1,$DI1116:$DL1116,0)),"mixedProduct")</f>
        <v>TimberInput</v>
      </c>
      <c r="DP1116">
        <f>IF(DI1116=1,DP$7,0)</f>
        <v>0</v>
      </c>
      <c r="DQ1116">
        <f>IF(DJ1116=1,DQ$7,0)</f>
        <v>0</v>
      </c>
      <c r="DR1116">
        <f>IF(DK1116=1,DR$7,0)</f>
        <v>0</v>
      </c>
      <c r="DS1116" t="str">
        <f>IF(DL1116=1,DS$7,0)</f>
        <v>Timber</v>
      </c>
      <c r="DT1116">
        <v>0</v>
      </c>
      <c r="DU1116">
        <v>0</v>
      </c>
      <c r="DV1116">
        <v>0</v>
      </c>
      <c r="DW1116">
        <v>0</v>
      </c>
      <c r="DX1116">
        <v>0</v>
      </c>
      <c r="DY1116">
        <f>SUM(DT1116:DU1116)</f>
        <v>0</v>
      </c>
      <c r="DZ1116" s="143" t="str">
        <f>IF(DT1116=1,"self-calculated DF",IF(DU1116=1,"external DF used","explicit C balance"))</f>
        <v>explicit C balance</v>
      </c>
      <c r="EA1116">
        <v>0</v>
      </c>
      <c r="EB1116">
        <v>0</v>
      </c>
      <c r="EC1116">
        <v>0</v>
      </c>
      <c r="ED1116">
        <v>0</v>
      </c>
      <c r="EE1116">
        <v>0</v>
      </c>
      <c r="EF1116" s="143">
        <v>1</v>
      </c>
      <c r="EG1116">
        <v>0</v>
      </c>
      <c r="EH1116">
        <v>1</v>
      </c>
      <c r="EI1116">
        <v>1</v>
      </c>
      <c r="EJ1116">
        <v>1</v>
      </c>
      <c r="EK1116">
        <v>0</v>
      </c>
      <c r="EL1116">
        <v>0</v>
      </c>
      <c r="EM1116">
        <v>0</v>
      </c>
      <c r="EN1116" s="2">
        <v>0</v>
      </c>
      <c r="EP1116" t="str">
        <f>IF(AND(AND(AND(OR($EC1116=1,$EB1116=1),OR($EH1116=1,$EF1116=1)),SUM($EA1116:$EE1116,$EK1116)&gt;=3),SUM($EF1116:$EJ1116)&gt;=2),"Whole sector approach","")</f>
        <v/>
      </c>
      <c r="EQ1116" t="str">
        <f>IF(AND(AND(OR($EC1116=1,$EB1116=1),AND($EH1116=0,$EF1116=0)),SUM($EA1116:$EE1116,$EK1116)&gt;=4),"Ecosystem approach","")</f>
        <v/>
      </c>
      <c r="ER1116" s="2" t="str">
        <f>IF(AND(AND(AND($EC1116=0,$EB1116=0),OR($EH1116=1,$EF1116=1)),SUM($EG1116:$EJ1116)&gt;=2),"Technology approach","")</f>
        <v>Technology approach</v>
      </c>
      <c r="ES1116" t="str">
        <f>IF(AND($EC1116+$EB1116+$EE1116+$EA1116+$ED1116+$EG1116=0,$N1116="included"),"C neutral forest and HWP assumption","")</f>
        <v>C neutral forest and HWP assumption</v>
      </c>
      <c r="ET1116" t="str">
        <f>IF(AND(AND(AND(AND($EC1116=1,$EB1116+$EA1116+$EG1116&gt;=1),$EF1116=1),$EH1116+$EI1116+$ED1116+$EE1116&gt;=2),$N1116="included"),"All C pools assumption","")</f>
        <v/>
      </c>
      <c r="EU1116" t="str">
        <f>IF(AND($ED1116+$EE1116+$EI1116+$EH1116+$EF1116=0,$N1116="included"),"In-situ only assumption","")</f>
        <v/>
      </c>
      <c r="EY1116" t="str">
        <f>IF(ISNUMBER(BW1116),IF(ABS(BW1116-[2]QC_indicators!$B$2)&gt;3*[2]QC_indicators!$C$2,"C ratio",IF(ISNUMBER(CA1116),IF(ABS(CA1116-[2]QC_indicators!$B$1)&gt;3*[2]QC_indicators!$C$1,"DF","no"))),IF(ISNUMBER(CA1116),IF(ABS(CA1116-[2]QC_indicators!$B$1)&gt;3*[2]QC_indicators!$C$1,"DF","no")))</f>
        <v>no</v>
      </c>
      <c r="FA1116" t="str">
        <f>IF(LEN($CY1116)=0,"",IF(AND($CY1116&lt;(-0.05),$ES1116="C neutral forest and HWP assumption"),"Cneutral paradox",IF(AND($CY1116&gt;0.05,$EU1116="In-situ only assumption"),"In-situ only paradox","")))</f>
        <v/>
      </c>
      <c r="FB1116" s="149" t="s">
        <v>349</v>
      </c>
      <c r="FD1116" s="260" t="s">
        <v>2948</v>
      </c>
    </row>
    <row r="1117" spans="1:160" ht="15" hidden="1" customHeight="1">
      <c r="A1117" s="1" t="s">
        <v>1108</v>
      </c>
      <c r="B1117" t="s">
        <v>1109</v>
      </c>
      <c r="C1117" t="s">
        <v>1110</v>
      </c>
      <c r="D1117" t="s">
        <v>336</v>
      </c>
      <c r="E1117" t="s">
        <v>1111</v>
      </c>
      <c r="F1117" t="s">
        <v>1112</v>
      </c>
      <c r="G1117" t="s">
        <v>1113</v>
      </c>
      <c r="I1117">
        <v>2018</v>
      </c>
      <c r="K1117" t="s">
        <v>1114</v>
      </c>
      <c r="M1117" t="str">
        <f>LEFT($D1117,FIND(",",$D1117)-1)&amp;"_"&amp;I1117&amp;L1117</f>
        <v>Balasbaneh_2018</v>
      </c>
      <c r="N1117" t="s">
        <v>222</v>
      </c>
      <c r="O1117" s="140" t="s">
        <v>508</v>
      </c>
      <c r="Q1117" t="s">
        <v>224</v>
      </c>
      <c r="R1117" s="258" t="s">
        <v>223</v>
      </c>
      <c r="S1117" s="1" t="s">
        <v>1124</v>
      </c>
      <c r="T1117" s="260" t="s">
        <v>2792</v>
      </c>
      <c r="U1117" s="260" t="s">
        <v>2795</v>
      </c>
      <c r="V1117" s="253">
        <v>0</v>
      </c>
      <c r="W1117" s="253">
        <v>0</v>
      </c>
      <c r="X1117">
        <v>0</v>
      </c>
      <c r="Y1117">
        <v>0</v>
      </c>
      <c r="Z1117">
        <v>0</v>
      </c>
      <c r="AA1117">
        <v>0</v>
      </c>
      <c r="AB1117">
        <v>0</v>
      </c>
      <c r="AC1117">
        <v>0</v>
      </c>
      <c r="AD1117">
        <v>0</v>
      </c>
      <c r="AE1117">
        <v>0</v>
      </c>
      <c r="AF1117">
        <v>0</v>
      </c>
      <c r="AG1117">
        <v>0</v>
      </c>
      <c r="AH1117">
        <v>0</v>
      </c>
      <c r="AI1117">
        <v>0</v>
      </c>
      <c r="AJ1117">
        <v>0</v>
      </c>
      <c r="AK1117">
        <v>0</v>
      </c>
      <c r="AL1117">
        <v>0</v>
      </c>
      <c r="AM1117">
        <v>1</v>
      </c>
      <c r="AN1117">
        <v>0</v>
      </c>
      <c r="AO1117">
        <v>0</v>
      </c>
      <c r="AP1117">
        <v>0</v>
      </c>
      <c r="AQ1117">
        <v>0</v>
      </c>
      <c r="AR1117">
        <v>0</v>
      </c>
      <c r="AS1117">
        <v>0</v>
      </c>
      <c r="AT1117">
        <v>0</v>
      </c>
      <c r="AU1117">
        <v>0</v>
      </c>
      <c r="AV1117">
        <v>0</v>
      </c>
      <c r="AW1117">
        <v>0</v>
      </c>
      <c r="AX1117">
        <v>0</v>
      </c>
      <c r="AY1117">
        <v>0</v>
      </c>
      <c r="AZ1117" s="141">
        <f>COUNTIF(X1117:AY1117,"&lt;&gt;0")</f>
        <v>1</v>
      </c>
      <c r="BA1117" s="141">
        <f>COUNTIF(X1117:AN1117,"&lt;&gt;0")</f>
        <v>1</v>
      </c>
      <c r="BB1117">
        <f>COUNTIF(X1117:AE1117,"&lt;&gt;0")</f>
        <v>0</v>
      </c>
      <c r="BC1117">
        <f>COUNTIF(AF1117:AK1117,"&lt;&gt;0")</f>
        <v>0</v>
      </c>
      <c r="BD1117">
        <f>COUNTIF(AL1117:AN1117,"&lt;&gt;0")</f>
        <v>1</v>
      </c>
      <c r="BE1117">
        <f>COUNTIF(AU1117:AY1117,"&lt;&gt;0")</f>
        <v>0</v>
      </c>
      <c r="BF1117">
        <f>COUNTIF(AO1117:AT1117,"&lt;&gt;0")</f>
        <v>0</v>
      </c>
      <c r="BG1117" t="str">
        <f t="array" ref="BG1117">IF(BA1117=1,INDEX($X$7:$AN$7,MATCH(TRUE,INDEX($X1117:$AY1117&lt;&gt;0,),0)),IF(BA1117=0,INDEX($AO$7:$AY$7,MATCH(1,$AO1117:$AY1117,0)),IF(BH1117="Multiple strategies","mixed drivers",IF(BH1117="Supply chain","multiple supply","multiple silviculture"))))</f>
        <v>technologies/design switch</v>
      </c>
      <c r="BH1117" s="2" t="str" cm="1">
        <f t="array" ref="BH1117">IF(COUNTIF(BB1117:BD1117,"&lt;&gt;0")=1,INDEX($X$4:$AY$4,MATCH(TRUE,INDEX($X1117:$AY1117&lt;&gt;0,),0)),IF(COUNTIF(BB1117:BD1117,"&lt;&gt;0")=0,INDEX($AO$4:$AY$4,MATCH(1,$AO1117:$AY1117,0)),"Multiple strategies"))</f>
        <v>Technology</v>
      </c>
      <c r="BI1117" s="1" t="s">
        <v>229</v>
      </c>
      <c r="BJ1117" t="s">
        <v>229</v>
      </c>
      <c r="BL1117" t="s">
        <v>345</v>
      </c>
      <c r="BM1117">
        <v>0</v>
      </c>
      <c r="BN1117">
        <v>23436</v>
      </c>
      <c r="BO1117" s="143"/>
      <c r="BP1117">
        <f>BN1117-BM1117</f>
        <v>23436</v>
      </c>
      <c r="BQ1117" s="143">
        <f>BP1117*kg_to_m3</f>
        <v>47.828571428571436</v>
      </c>
      <c r="BR1117" t="s">
        <v>232</v>
      </c>
      <c r="BS1117" s="153" t="s">
        <v>987</v>
      </c>
      <c r="BT1117" t="s">
        <v>397</v>
      </c>
      <c r="BU1117">
        <v>-8790</v>
      </c>
      <c r="BV1117">
        <v>-711</v>
      </c>
      <c r="BW1117" s="144">
        <v>8.088737201365187E-2</v>
      </c>
      <c r="BX1117">
        <v>8079</v>
      </c>
      <c r="BZ1117">
        <f>BX1117/1000</f>
        <v>8.0790000000000006</v>
      </c>
      <c r="CA1117">
        <f>IFERROR(BZ1117/BQ1117,"")</f>
        <v>0.16891577060931898</v>
      </c>
      <c r="CB1117">
        <v>0</v>
      </c>
      <c r="CC1117">
        <v>0</v>
      </c>
      <c r="CD1117">
        <v>0</v>
      </c>
      <c r="CE1117">
        <v>0</v>
      </c>
      <c r="CF1117">
        <v>0</v>
      </c>
      <c r="CG1117">
        <v>0</v>
      </c>
      <c r="CH1117">
        <v>0</v>
      </c>
      <c r="CI1117">
        <v>0</v>
      </c>
      <c r="CJ1117">
        <v>0</v>
      </c>
      <c r="CK1117">
        <v>0</v>
      </c>
      <c r="CL1117">
        <v>0</v>
      </c>
      <c r="CM1117">
        <v>0</v>
      </c>
      <c r="CN1117">
        <v>0</v>
      </c>
      <c r="CO1117">
        <v>0</v>
      </c>
      <c r="CP1117" t="str">
        <f>IF($BN1117&lt;$BM1117,"refNeedCorrection","refOK")</f>
        <v>refOK</v>
      </c>
      <c r="CQ1117">
        <f>IF($CP1117="refNeedCorrection",BN1117,BM1117)</f>
        <v>0</v>
      </c>
      <c r="CR1117">
        <f>IF($CP1117="refNeedCorrection",BM1117,BN1117)</f>
        <v>23436</v>
      </c>
      <c r="CS1117">
        <f>IF($CP1117="refOK",$BQ1117,-$BQ1117)</f>
        <v>47.828571428571436</v>
      </c>
      <c r="CT1117">
        <f>IF(BI1117="Roundwood",$CS1117/2,$CS1117)</f>
        <v>47.828571428571436</v>
      </c>
      <c r="CU1117">
        <f>IF($CP1117="refOK",$BU1117,$BV1117)*IF($BR1117="Emissions positive",-1,1)</f>
        <v>-8790</v>
      </c>
      <c r="CV1117">
        <f>IF($CP1117="refOK",$BV1117,$BU1117)*IF($BR1117="Emissions positive",-1,1)</f>
        <v>-711</v>
      </c>
      <c r="CW1117">
        <f>IF($CP1117="refNeedCorrection",-BZ1117,BZ1117)*IF($BR1117="Emissions positive",-1,1)</f>
        <v>8.0790000000000006</v>
      </c>
      <c r="CX1117">
        <f>IFERROR($CW1117/$CS1117,"")</f>
        <v>0.16891577060931898</v>
      </c>
      <c r="CY1117">
        <f>IFERROR($CW1117/$CS1117,"")</f>
        <v>0.16891577060931898</v>
      </c>
      <c r="CZ1117">
        <f>IFERROR($CW1117/$CT1117,"")</f>
        <v>0.16891577060931898</v>
      </c>
      <c r="DA1117" s="2">
        <f>IFERROR((CV1117-CU1117)/ABS(CU1117),"")</f>
        <v>0.91911262798634807</v>
      </c>
      <c r="DB1117" s="1" t="s">
        <v>1078</v>
      </c>
      <c r="DC1117" t="str">
        <f>IF(OR($DB1117="prd",$DB1117="std",$DB1117="cit"),"loc",IF(OR($DB1117="eur",$DB1117="reg",$DB1117="coy"),"reg",$DB1117))</f>
        <v>reg</v>
      </c>
      <c r="DD1117" t="s">
        <v>348</v>
      </c>
      <c r="DE1117">
        <v>2014</v>
      </c>
      <c r="DF1117">
        <v>2034</v>
      </c>
      <c r="DG1117">
        <v>20</v>
      </c>
      <c r="DH1117" t="str">
        <f>IF(DG1117=0,"0",IF(AND(DG1117&gt;=1,DG1117&lt;=30),"1-30",IF(AND(DG1117&gt;30,DG1117&lt;=70),"31-70",IF(AND(DG1117&gt;70,DG1117&lt;=100),"71-100",IF(DG1117&gt;100,"+100")))))</f>
        <v>1-30</v>
      </c>
      <c r="DI1117">
        <v>0</v>
      </c>
      <c r="DJ1117">
        <v>0</v>
      </c>
      <c r="DK1117">
        <v>0</v>
      </c>
      <c r="DL1117">
        <v>1</v>
      </c>
      <c r="DN1117">
        <f>SUM(DI1117:DL1117)</f>
        <v>1</v>
      </c>
      <c r="DO1117" t="str">
        <f>IF(DN1117=1,INDEX($DI$7:$DL$7,MATCH(1,$DI1117:$DL1117,0)),"mixedProduct")</f>
        <v>TimberInput</v>
      </c>
      <c r="DP1117">
        <f>IF(DI1117=1,DP$7,0)</f>
        <v>0</v>
      </c>
      <c r="DQ1117">
        <f>IF(DJ1117=1,DQ$7,0)</f>
        <v>0</v>
      </c>
      <c r="DR1117">
        <f>IF(DK1117=1,DR$7,0)</f>
        <v>0</v>
      </c>
      <c r="DS1117" t="str">
        <f>IF(DL1117=1,DS$7,0)</f>
        <v>Timber</v>
      </c>
      <c r="DT1117">
        <v>0</v>
      </c>
      <c r="DU1117">
        <v>0</v>
      </c>
      <c r="DV1117">
        <v>0</v>
      </c>
      <c r="DW1117">
        <v>0</v>
      </c>
      <c r="DX1117">
        <v>0</v>
      </c>
      <c r="DY1117">
        <f>SUM(DT1117:DU1117)</f>
        <v>0</v>
      </c>
      <c r="DZ1117" s="143" t="str">
        <f>IF(DT1117=1,"self-calculated DF",IF(DU1117=1,"external DF used","explicit C balance"))</f>
        <v>explicit C balance</v>
      </c>
      <c r="EA1117">
        <v>0</v>
      </c>
      <c r="EB1117">
        <v>0</v>
      </c>
      <c r="EC1117">
        <v>0</v>
      </c>
      <c r="ED1117">
        <v>0</v>
      </c>
      <c r="EE1117">
        <v>0</v>
      </c>
      <c r="EF1117" s="143">
        <v>1</v>
      </c>
      <c r="EG1117">
        <v>0</v>
      </c>
      <c r="EH1117">
        <v>1</v>
      </c>
      <c r="EI1117">
        <v>1</v>
      </c>
      <c r="EJ1117">
        <v>1</v>
      </c>
      <c r="EK1117">
        <v>0</v>
      </c>
      <c r="EL1117">
        <v>0</v>
      </c>
      <c r="EM1117">
        <v>0</v>
      </c>
      <c r="EN1117" s="2">
        <v>0</v>
      </c>
      <c r="EP1117" t="str">
        <f>IF(AND(AND(AND(OR($EC1117=1,$EB1117=1),OR($EH1117=1,$EF1117=1)),SUM($EA1117:$EE1117,$EK1117)&gt;=3),SUM($EF1117:$EJ1117)&gt;=2),"Whole sector approach","")</f>
        <v/>
      </c>
      <c r="EQ1117" t="str">
        <f>IF(AND(AND(OR($EC1117=1,$EB1117=1),AND($EH1117=0,$EF1117=0)),SUM($EA1117:$EE1117,$EK1117)&gt;=4),"Ecosystem approach","")</f>
        <v/>
      </c>
      <c r="ER1117" s="2" t="str">
        <f>IF(AND(AND(AND($EC1117=0,$EB1117=0),OR($EH1117=1,$EF1117=1)),SUM($EG1117:$EJ1117)&gt;=2),"Technology approach","")</f>
        <v>Technology approach</v>
      </c>
      <c r="ES1117" t="str">
        <f>IF(AND($EC1117+$EB1117+$EE1117+$EA1117+$ED1117+$EG1117=0,$N1117="included"),"C neutral forest and HWP assumption","")</f>
        <v>C neutral forest and HWP assumption</v>
      </c>
      <c r="ET1117" t="str">
        <f>IF(AND(AND(AND(AND($EC1117=1,$EB1117+$EA1117+$EG1117&gt;=1),$EF1117=1),$EH1117+$EI1117+$ED1117+$EE1117&gt;=2),$N1117="included"),"All C pools assumption","")</f>
        <v/>
      </c>
      <c r="EU1117" t="str">
        <f>IF(AND($ED1117+$EE1117+$EI1117+$EH1117+$EF1117=0,$N1117="included"),"In-situ only assumption","")</f>
        <v/>
      </c>
      <c r="EY1117" t="str">
        <f>IF(ISNUMBER(BW1117),IF(ABS(BW1117-[2]QC_indicators!$B$2)&gt;3*[2]QC_indicators!$C$2,"C ratio",IF(ISNUMBER(CA1117),IF(ABS(CA1117-[2]QC_indicators!$B$1)&gt;3*[2]QC_indicators!$C$1,"DF","no"))),IF(ISNUMBER(CA1117),IF(ABS(CA1117-[2]QC_indicators!$B$1)&gt;3*[2]QC_indicators!$C$1,"DF","no")))</f>
        <v>no</v>
      </c>
      <c r="FA1117" t="str">
        <f>IF(LEN($CY1117)=0,"",IF(AND($CY1117&lt;(-0.05),$ES1117="C neutral forest and HWP assumption"),"Cneutral paradox",IF(AND($CY1117&gt;0.05,$EU1117="In-situ only assumption"),"In-situ only paradox","")))</f>
        <v/>
      </c>
      <c r="FB1117" s="149" t="s">
        <v>349</v>
      </c>
      <c r="FD1117" s="260" t="s">
        <v>2948</v>
      </c>
    </row>
    <row r="1118" spans="1:160" ht="15" hidden="1" customHeight="1">
      <c r="A1118" s="1" t="s">
        <v>1108</v>
      </c>
      <c r="B1118" t="s">
        <v>1109</v>
      </c>
      <c r="C1118" t="s">
        <v>1110</v>
      </c>
      <c r="D1118" t="s">
        <v>336</v>
      </c>
      <c r="E1118" t="s">
        <v>1111</v>
      </c>
      <c r="F1118" t="s">
        <v>1112</v>
      </c>
      <c r="G1118" t="s">
        <v>1113</v>
      </c>
      <c r="I1118">
        <v>2018</v>
      </c>
      <c r="K1118" t="s">
        <v>1114</v>
      </c>
      <c r="M1118" t="str">
        <f>LEFT($D1118,FIND(",",$D1118)-1)&amp;"_"&amp;I1118&amp;L1118</f>
        <v>Balasbaneh_2018</v>
      </c>
      <c r="N1118" t="s">
        <v>222</v>
      </c>
      <c r="O1118" s="140" t="s">
        <v>508</v>
      </c>
      <c r="Q1118" t="s">
        <v>224</v>
      </c>
      <c r="R1118" s="258" t="s">
        <v>223</v>
      </c>
      <c r="S1118" s="1" t="s">
        <v>1125</v>
      </c>
      <c r="T1118" s="260" t="s">
        <v>2793</v>
      </c>
      <c r="U1118" s="260" t="s">
        <v>2795</v>
      </c>
      <c r="V1118" s="253">
        <v>0</v>
      </c>
      <c r="W1118" s="253">
        <v>0</v>
      </c>
      <c r="X1118">
        <v>0</v>
      </c>
      <c r="Y1118">
        <v>0</v>
      </c>
      <c r="Z1118">
        <v>0</v>
      </c>
      <c r="AA1118">
        <v>0</v>
      </c>
      <c r="AB1118">
        <v>0</v>
      </c>
      <c r="AC1118">
        <v>0</v>
      </c>
      <c r="AD1118">
        <v>0</v>
      </c>
      <c r="AE1118">
        <v>0</v>
      </c>
      <c r="AF1118">
        <v>0</v>
      </c>
      <c r="AG1118">
        <v>0</v>
      </c>
      <c r="AH1118">
        <v>0</v>
      </c>
      <c r="AI1118">
        <v>0</v>
      </c>
      <c r="AJ1118">
        <v>0</v>
      </c>
      <c r="AK1118">
        <v>0</v>
      </c>
      <c r="AL1118">
        <v>0</v>
      </c>
      <c r="AM1118">
        <v>1</v>
      </c>
      <c r="AN1118">
        <v>0</v>
      </c>
      <c r="AO1118">
        <v>0</v>
      </c>
      <c r="AP1118">
        <v>0</v>
      </c>
      <c r="AQ1118">
        <v>0</v>
      </c>
      <c r="AR1118">
        <v>0</v>
      </c>
      <c r="AS1118">
        <v>0</v>
      </c>
      <c r="AT1118">
        <v>0</v>
      </c>
      <c r="AU1118">
        <v>0</v>
      </c>
      <c r="AV1118">
        <v>0</v>
      </c>
      <c r="AW1118">
        <v>0</v>
      </c>
      <c r="AX1118">
        <v>0</v>
      </c>
      <c r="AY1118">
        <v>0</v>
      </c>
      <c r="AZ1118" s="141">
        <f>COUNTIF(X1118:AY1118,"&lt;&gt;0")</f>
        <v>1</v>
      </c>
      <c r="BA1118" s="141">
        <f>COUNTIF(X1118:AN1118,"&lt;&gt;0")</f>
        <v>1</v>
      </c>
      <c r="BB1118">
        <f>COUNTIF(X1118:AE1118,"&lt;&gt;0")</f>
        <v>0</v>
      </c>
      <c r="BC1118">
        <f>COUNTIF(AF1118:AK1118,"&lt;&gt;0")</f>
        <v>0</v>
      </c>
      <c r="BD1118">
        <f>COUNTIF(AL1118:AN1118,"&lt;&gt;0")</f>
        <v>1</v>
      </c>
      <c r="BE1118">
        <f>COUNTIF(AU1118:AY1118,"&lt;&gt;0")</f>
        <v>0</v>
      </c>
      <c r="BF1118">
        <f>COUNTIF(AO1118:AT1118,"&lt;&gt;0")</f>
        <v>0</v>
      </c>
      <c r="BG1118" t="str">
        <f t="array" ref="BG1118">IF(BA1118=1,INDEX($X$7:$AN$7,MATCH(TRUE,INDEX($X1118:$AY1118&lt;&gt;0,),0)),IF(BA1118=0,INDEX($AO$7:$AY$7,MATCH(1,$AO1118:$AY1118,0)),IF(BH1118="Multiple strategies","mixed drivers",IF(BH1118="Supply chain","multiple supply","multiple silviculture"))))</f>
        <v>technologies/design switch</v>
      </c>
      <c r="BH1118" s="2" t="str" cm="1">
        <f t="array" ref="BH1118">IF(COUNTIF(BB1118:BD1118,"&lt;&gt;0")=1,INDEX($X$4:$AY$4,MATCH(TRUE,INDEX($X1118:$AY1118&lt;&gt;0,),0)),IF(COUNTIF(BB1118:BD1118,"&lt;&gt;0")=0,INDEX($AO$4:$AY$4,MATCH(1,$AO1118:$AY1118,0)),"Multiple strategies"))</f>
        <v>Technology</v>
      </c>
      <c r="BI1118" s="1" t="s">
        <v>229</v>
      </c>
      <c r="BJ1118" t="s">
        <v>229</v>
      </c>
      <c r="BL1118" t="s">
        <v>345</v>
      </c>
      <c r="BM1118">
        <v>0</v>
      </c>
      <c r="BN1118">
        <v>23436</v>
      </c>
      <c r="BO1118" s="143"/>
      <c r="BP1118">
        <f>BN1118-BM1118</f>
        <v>23436</v>
      </c>
      <c r="BQ1118" s="143">
        <f>BP1118*kg_to_m3</f>
        <v>47.828571428571436</v>
      </c>
      <c r="BR1118" t="s">
        <v>232</v>
      </c>
      <c r="BS1118" s="153" t="s">
        <v>987</v>
      </c>
      <c r="BT1118" t="s">
        <v>397</v>
      </c>
      <c r="BU1118">
        <v>-9120</v>
      </c>
      <c r="BV1118">
        <v>-702</v>
      </c>
      <c r="BW1118" s="144">
        <v>7.6973684210526319E-2</v>
      </c>
      <c r="BX1118">
        <v>8418</v>
      </c>
      <c r="BZ1118">
        <f>BX1118/1000</f>
        <v>8.4179999999999993</v>
      </c>
      <c r="CA1118">
        <f>IFERROR(BZ1118/BQ1118,"")</f>
        <v>0.17600358422939064</v>
      </c>
      <c r="CB1118">
        <v>0</v>
      </c>
      <c r="CC1118">
        <v>0</v>
      </c>
      <c r="CD1118">
        <v>0</v>
      </c>
      <c r="CE1118">
        <v>0</v>
      </c>
      <c r="CF1118">
        <v>0</v>
      </c>
      <c r="CG1118">
        <v>0</v>
      </c>
      <c r="CH1118">
        <v>0</v>
      </c>
      <c r="CI1118">
        <v>0</v>
      </c>
      <c r="CJ1118">
        <v>0</v>
      </c>
      <c r="CK1118">
        <v>0</v>
      </c>
      <c r="CL1118">
        <v>0</v>
      </c>
      <c r="CM1118">
        <v>0</v>
      </c>
      <c r="CN1118">
        <v>0</v>
      </c>
      <c r="CO1118">
        <v>0</v>
      </c>
      <c r="CP1118" t="str">
        <f>IF($BN1118&lt;$BM1118,"refNeedCorrection","refOK")</f>
        <v>refOK</v>
      </c>
      <c r="CQ1118">
        <f>IF($CP1118="refNeedCorrection",BN1118,BM1118)</f>
        <v>0</v>
      </c>
      <c r="CR1118">
        <f>IF($CP1118="refNeedCorrection",BM1118,BN1118)</f>
        <v>23436</v>
      </c>
      <c r="CS1118">
        <f>IF($CP1118="refOK",$BQ1118,-$BQ1118)</f>
        <v>47.828571428571436</v>
      </c>
      <c r="CT1118">
        <f>IF(BI1118="Roundwood",$CS1118/2,$CS1118)</f>
        <v>47.828571428571436</v>
      </c>
      <c r="CU1118">
        <f>IF($CP1118="refOK",$BU1118,$BV1118)*IF($BR1118="Emissions positive",-1,1)</f>
        <v>-9120</v>
      </c>
      <c r="CV1118">
        <f>IF($CP1118="refOK",$BV1118,$BU1118)*IF($BR1118="Emissions positive",-1,1)</f>
        <v>-702</v>
      </c>
      <c r="CW1118">
        <f>IF($CP1118="refNeedCorrection",-BZ1118,BZ1118)*IF($BR1118="Emissions positive",-1,1)</f>
        <v>8.4179999999999993</v>
      </c>
      <c r="CX1118">
        <f>IFERROR($CW1118/$CS1118,"")</f>
        <v>0.17600358422939064</v>
      </c>
      <c r="CY1118">
        <f>IFERROR($CW1118/$CS1118,"")</f>
        <v>0.17600358422939064</v>
      </c>
      <c r="CZ1118">
        <f>IFERROR($CW1118/$CT1118,"")</f>
        <v>0.17600358422939064</v>
      </c>
      <c r="DA1118" s="2">
        <f>IFERROR((CV1118-CU1118)/ABS(CU1118),"")</f>
        <v>0.92302631578947369</v>
      </c>
      <c r="DB1118" s="1" t="s">
        <v>1078</v>
      </c>
      <c r="DC1118" t="str">
        <f>IF(OR($DB1118="prd",$DB1118="std",$DB1118="cit"),"loc",IF(OR($DB1118="eur",$DB1118="reg",$DB1118="coy"),"reg",$DB1118))</f>
        <v>reg</v>
      </c>
      <c r="DD1118" t="s">
        <v>348</v>
      </c>
      <c r="DE1118">
        <v>2014</v>
      </c>
      <c r="DF1118">
        <v>2114</v>
      </c>
      <c r="DG1118">
        <v>100</v>
      </c>
      <c r="DH1118" t="str">
        <f>IF(DG1118=0,"0",IF(AND(DG1118&gt;=1,DG1118&lt;=30),"1-30",IF(AND(DG1118&gt;30,DG1118&lt;=70),"31-70",IF(AND(DG1118&gt;70,DG1118&lt;=100),"71-100",IF(DG1118&gt;100,"+100")))))</f>
        <v>71-100</v>
      </c>
      <c r="DI1118">
        <v>0</v>
      </c>
      <c r="DJ1118">
        <v>0</v>
      </c>
      <c r="DK1118">
        <v>0</v>
      </c>
      <c r="DL1118">
        <v>1</v>
      </c>
      <c r="DN1118">
        <f>SUM(DI1118:DL1118)</f>
        <v>1</v>
      </c>
      <c r="DO1118" t="str">
        <f>IF(DN1118=1,INDEX($DI$7:$DL$7,MATCH(1,$DI1118:$DL1118,0)),"mixedProduct")</f>
        <v>TimberInput</v>
      </c>
      <c r="DP1118">
        <f>IF(DI1118=1,DP$7,0)</f>
        <v>0</v>
      </c>
      <c r="DQ1118">
        <f>IF(DJ1118=1,DQ$7,0)</f>
        <v>0</v>
      </c>
      <c r="DR1118">
        <f>IF(DK1118=1,DR$7,0)</f>
        <v>0</v>
      </c>
      <c r="DS1118" t="str">
        <f>IF(DL1118=1,DS$7,0)</f>
        <v>Timber</v>
      </c>
      <c r="DT1118">
        <v>0</v>
      </c>
      <c r="DU1118">
        <v>0</v>
      </c>
      <c r="DV1118">
        <v>0</v>
      </c>
      <c r="DW1118">
        <v>0</v>
      </c>
      <c r="DX1118">
        <v>0</v>
      </c>
      <c r="DY1118">
        <f>SUM(DT1118:DU1118)</f>
        <v>0</v>
      </c>
      <c r="DZ1118" s="143" t="str">
        <f>IF(DT1118=1,"self-calculated DF",IF(DU1118=1,"external DF used","explicit C balance"))</f>
        <v>explicit C balance</v>
      </c>
      <c r="EA1118">
        <v>0</v>
      </c>
      <c r="EB1118">
        <v>0</v>
      </c>
      <c r="EC1118">
        <v>0</v>
      </c>
      <c r="ED1118">
        <v>0</v>
      </c>
      <c r="EE1118">
        <v>0</v>
      </c>
      <c r="EF1118" s="143">
        <v>1</v>
      </c>
      <c r="EG1118">
        <v>0</v>
      </c>
      <c r="EH1118">
        <v>1</v>
      </c>
      <c r="EI1118">
        <v>1</v>
      </c>
      <c r="EJ1118">
        <v>1</v>
      </c>
      <c r="EK1118">
        <v>0</v>
      </c>
      <c r="EL1118">
        <v>0</v>
      </c>
      <c r="EM1118">
        <v>0</v>
      </c>
      <c r="EN1118" s="2">
        <v>0</v>
      </c>
      <c r="EP1118" t="str">
        <f>IF(AND(AND(AND(OR($EC1118=1,$EB1118=1),OR($EH1118=1,$EF1118=1)),SUM($EA1118:$EE1118,$EK1118)&gt;=3),SUM($EF1118:$EJ1118)&gt;=2),"Whole sector approach","")</f>
        <v/>
      </c>
      <c r="EQ1118" t="str">
        <f>IF(AND(AND(OR($EC1118=1,$EB1118=1),AND($EH1118=0,$EF1118=0)),SUM($EA1118:$EE1118,$EK1118)&gt;=4),"Ecosystem approach","")</f>
        <v/>
      </c>
      <c r="ER1118" s="2" t="str">
        <f>IF(AND(AND(AND($EC1118=0,$EB1118=0),OR($EH1118=1,$EF1118=1)),SUM($EG1118:$EJ1118)&gt;=2),"Technology approach","")</f>
        <v>Technology approach</v>
      </c>
      <c r="ES1118" t="str">
        <f>IF(AND($EC1118+$EB1118+$EE1118+$EA1118+$ED1118+$EG1118=0,$N1118="included"),"C neutral forest and HWP assumption","")</f>
        <v>C neutral forest and HWP assumption</v>
      </c>
      <c r="ET1118" t="str">
        <f>IF(AND(AND(AND(AND($EC1118=1,$EB1118+$EA1118+$EG1118&gt;=1),$EF1118=1),$EH1118+$EI1118+$ED1118+$EE1118&gt;=2),$N1118="included"),"All C pools assumption","")</f>
        <v/>
      </c>
      <c r="EU1118" t="str">
        <f>IF(AND($ED1118+$EE1118+$EI1118+$EH1118+$EF1118=0,$N1118="included"),"In-situ only assumption","")</f>
        <v/>
      </c>
      <c r="EY1118" t="str">
        <f>IF(ISNUMBER(BW1118),IF(ABS(BW1118-[2]QC_indicators!$B$2)&gt;3*[2]QC_indicators!$C$2,"C ratio",IF(ISNUMBER(CA1118),IF(ABS(CA1118-[2]QC_indicators!$B$1)&gt;3*[2]QC_indicators!$C$1,"DF","no"))),IF(ISNUMBER(CA1118),IF(ABS(CA1118-[2]QC_indicators!$B$1)&gt;3*[2]QC_indicators!$C$1,"DF","no")))</f>
        <v>no</v>
      </c>
      <c r="FA1118" t="str">
        <f>IF(LEN($CY1118)=0,"",IF(AND($CY1118&lt;(-0.05),$ES1118="C neutral forest and HWP assumption"),"Cneutral paradox",IF(AND($CY1118&gt;0.05,$EU1118="In-situ only assumption"),"In-situ only paradox","")))</f>
        <v/>
      </c>
      <c r="FB1118" s="149" t="s">
        <v>349</v>
      </c>
      <c r="FD1118" s="260" t="s">
        <v>2948</v>
      </c>
    </row>
    <row r="1119" spans="1:160" ht="15" hidden="1" customHeight="1">
      <c r="A1119" s="1" t="s">
        <v>1108</v>
      </c>
      <c r="B1119" t="s">
        <v>1109</v>
      </c>
      <c r="C1119" t="s">
        <v>1110</v>
      </c>
      <c r="D1119" t="s">
        <v>336</v>
      </c>
      <c r="E1119" t="s">
        <v>1111</v>
      </c>
      <c r="F1119" t="s">
        <v>1112</v>
      </c>
      <c r="G1119" t="s">
        <v>1113</v>
      </c>
      <c r="I1119">
        <v>2018</v>
      </c>
      <c r="K1119" t="s">
        <v>1114</v>
      </c>
      <c r="M1119" t="str">
        <f>LEFT($D1119,FIND(",",$D1119)-1)&amp;"_"&amp;I1119&amp;L1119</f>
        <v>Balasbaneh_2018</v>
      </c>
      <c r="N1119" t="s">
        <v>222</v>
      </c>
      <c r="O1119" s="140" t="s">
        <v>508</v>
      </c>
      <c r="Q1119" t="s">
        <v>224</v>
      </c>
      <c r="R1119" s="258" t="s">
        <v>223</v>
      </c>
      <c r="S1119" s="1" t="s">
        <v>1126</v>
      </c>
      <c r="T1119" s="260" t="s">
        <v>2793</v>
      </c>
      <c r="U1119" s="260" t="s">
        <v>2795</v>
      </c>
      <c r="V1119" s="253">
        <v>0</v>
      </c>
      <c r="W1119" s="253">
        <v>0</v>
      </c>
      <c r="X1119">
        <v>0</v>
      </c>
      <c r="Y1119">
        <v>0</v>
      </c>
      <c r="Z1119">
        <v>0</v>
      </c>
      <c r="AA1119">
        <v>0</v>
      </c>
      <c r="AB1119">
        <v>0</v>
      </c>
      <c r="AC1119">
        <v>0</v>
      </c>
      <c r="AD1119">
        <v>0</v>
      </c>
      <c r="AE1119">
        <v>0</v>
      </c>
      <c r="AF1119">
        <v>0</v>
      </c>
      <c r="AG1119">
        <v>0</v>
      </c>
      <c r="AH1119">
        <v>0</v>
      </c>
      <c r="AI1119">
        <v>0</v>
      </c>
      <c r="AJ1119">
        <v>0</v>
      </c>
      <c r="AK1119">
        <v>0</v>
      </c>
      <c r="AL1119">
        <v>0</v>
      </c>
      <c r="AM1119">
        <v>1</v>
      </c>
      <c r="AN1119">
        <v>0</v>
      </c>
      <c r="AO1119">
        <v>0</v>
      </c>
      <c r="AP1119">
        <v>0</v>
      </c>
      <c r="AQ1119">
        <v>0</v>
      </c>
      <c r="AR1119">
        <v>0</v>
      </c>
      <c r="AS1119">
        <v>0</v>
      </c>
      <c r="AT1119">
        <v>0</v>
      </c>
      <c r="AU1119">
        <v>0</v>
      </c>
      <c r="AV1119">
        <v>0</v>
      </c>
      <c r="AW1119">
        <v>0</v>
      </c>
      <c r="AX1119">
        <v>0</v>
      </c>
      <c r="AY1119">
        <v>0</v>
      </c>
      <c r="AZ1119" s="141">
        <f>COUNTIF(X1119:AY1119,"&lt;&gt;0")</f>
        <v>1</v>
      </c>
      <c r="BA1119" s="141">
        <f>COUNTIF(X1119:AN1119,"&lt;&gt;0")</f>
        <v>1</v>
      </c>
      <c r="BB1119">
        <f>COUNTIF(X1119:AE1119,"&lt;&gt;0")</f>
        <v>0</v>
      </c>
      <c r="BC1119">
        <f>COUNTIF(AF1119:AK1119,"&lt;&gt;0")</f>
        <v>0</v>
      </c>
      <c r="BD1119">
        <f>COUNTIF(AL1119:AN1119,"&lt;&gt;0")</f>
        <v>1</v>
      </c>
      <c r="BE1119">
        <f>COUNTIF(AU1119:AY1119,"&lt;&gt;0")</f>
        <v>0</v>
      </c>
      <c r="BF1119">
        <f>COUNTIF(AO1119:AT1119,"&lt;&gt;0")</f>
        <v>0</v>
      </c>
      <c r="BG1119" t="str">
        <f t="array" ref="BG1119">IF(BA1119=1,INDEX($X$7:$AN$7,MATCH(TRUE,INDEX($X1119:$AY1119&lt;&gt;0,),0)),IF(BA1119=0,INDEX($AO$7:$AY$7,MATCH(1,$AO1119:$AY1119,0)),IF(BH1119="Multiple strategies","mixed drivers",IF(BH1119="Supply chain","multiple supply","multiple silviculture"))))</f>
        <v>technologies/design switch</v>
      </c>
      <c r="BH1119" s="2" t="str" cm="1">
        <f t="array" ref="BH1119">IF(COUNTIF(BB1119:BD1119,"&lt;&gt;0")=1,INDEX($X$4:$AY$4,MATCH(TRUE,INDEX($X1119:$AY1119&lt;&gt;0,),0)),IF(COUNTIF(BB1119:BD1119,"&lt;&gt;0")=0,INDEX($AO$4:$AY$4,MATCH(1,$AO1119:$AY1119,0)),"Multiple strategies"))</f>
        <v>Technology</v>
      </c>
      <c r="BI1119" s="1" t="s">
        <v>229</v>
      </c>
      <c r="BJ1119" t="s">
        <v>229</v>
      </c>
      <c r="BL1119" t="s">
        <v>345</v>
      </c>
      <c r="BM1119">
        <v>0</v>
      </c>
      <c r="BN1119">
        <v>23436</v>
      </c>
      <c r="BO1119" s="143"/>
      <c r="BP1119">
        <f>BN1119-BM1119</f>
        <v>23436</v>
      </c>
      <c r="BQ1119" s="143">
        <f>BP1119*kg_to_m3</f>
        <v>47.828571428571436</v>
      </c>
      <c r="BR1119" t="s">
        <v>232</v>
      </c>
      <c r="BS1119" s="153" t="s">
        <v>987</v>
      </c>
      <c r="BT1119" t="s">
        <v>397</v>
      </c>
      <c r="BU1119">
        <v>-9840</v>
      </c>
      <c r="BV1119">
        <v>-711</v>
      </c>
      <c r="BW1119" s="144">
        <v>7.2256097560975605E-2</v>
      </c>
      <c r="BX1119">
        <v>9129</v>
      </c>
      <c r="BZ1119">
        <f>BX1119/1000</f>
        <v>9.1289999999999996</v>
      </c>
      <c r="CA1119">
        <f>IFERROR(BZ1119/BQ1119,"")</f>
        <v>0.1908691756272401</v>
      </c>
      <c r="CB1119">
        <v>0</v>
      </c>
      <c r="CC1119">
        <v>0</v>
      </c>
      <c r="CD1119">
        <v>0</v>
      </c>
      <c r="CE1119">
        <v>0</v>
      </c>
      <c r="CF1119">
        <v>0</v>
      </c>
      <c r="CG1119">
        <v>0</v>
      </c>
      <c r="CH1119">
        <v>0</v>
      </c>
      <c r="CI1119">
        <v>0</v>
      </c>
      <c r="CJ1119">
        <v>0</v>
      </c>
      <c r="CK1119">
        <v>0</v>
      </c>
      <c r="CL1119">
        <v>0</v>
      </c>
      <c r="CM1119">
        <v>0</v>
      </c>
      <c r="CN1119">
        <v>0</v>
      </c>
      <c r="CO1119">
        <v>0</v>
      </c>
      <c r="CP1119" t="str">
        <f>IF($BN1119&lt;$BM1119,"refNeedCorrection","refOK")</f>
        <v>refOK</v>
      </c>
      <c r="CQ1119">
        <f>IF($CP1119="refNeedCorrection",BN1119,BM1119)</f>
        <v>0</v>
      </c>
      <c r="CR1119">
        <f>IF($CP1119="refNeedCorrection",BM1119,BN1119)</f>
        <v>23436</v>
      </c>
      <c r="CS1119">
        <f>IF($CP1119="refOK",$BQ1119,-$BQ1119)</f>
        <v>47.828571428571436</v>
      </c>
      <c r="CT1119">
        <f>IF(BI1119="Roundwood",$CS1119/2,$CS1119)</f>
        <v>47.828571428571436</v>
      </c>
      <c r="CU1119">
        <f>IF($CP1119="refOK",$BU1119,$BV1119)*IF($BR1119="Emissions positive",-1,1)</f>
        <v>-9840</v>
      </c>
      <c r="CV1119">
        <f>IF($CP1119="refOK",$BV1119,$BU1119)*IF($BR1119="Emissions positive",-1,1)</f>
        <v>-711</v>
      </c>
      <c r="CW1119">
        <f>IF($CP1119="refNeedCorrection",-BZ1119,BZ1119)*IF($BR1119="Emissions positive",-1,1)</f>
        <v>9.1289999999999996</v>
      </c>
      <c r="CX1119">
        <f>IFERROR($CW1119/$CS1119,"")</f>
        <v>0.1908691756272401</v>
      </c>
      <c r="CY1119">
        <f>IFERROR($CW1119/$CS1119,"")</f>
        <v>0.1908691756272401</v>
      </c>
      <c r="CZ1119">
        <f>IFERROR($CW1119/$CT1119,"")</f>
        <v>0.1908691756272401</v>
      </c>
      <c r="DA1119" s="2">
        <f>IFERROR((CV1119-CU1119)/ABS(CU1119),"")</f>
        <v>0.92774390243902438</v>
      </c>
      <c r="DB1119" s="1" t="s">
        <v>1078</v>
      </c>
      <c r="DC1119" t="str">
        <f>IF(OR($DB1119="prd",$DB1119="std",$DB1119="cit"),"loc",IF(OR($DB1119="eur",$DB1119="reg",$DB1119="coy"),"reg",$DB1119))</f>
        <v>reg</v>
      </c>
      <c r="DD1119" t="s">
        <v>348</v>
      </c>
      <c r="DE1119">
        <v>2014</v>
      </c>
      <c r="DF1119">
        <v>2034</v>
      </c>
      <c r="DG1119">
        <v>20</v>
      </c>
      <c r="DH1119" t="str">
        <f>IF(DG1119=0,"0",IF(AND(DG1119&gt;=1,DG1119&lt;=30),"1-30",IF(AND(DG1119&gt;30,DG1119&lt;=70),"31-70",IF(AND(DG1119&gt;70,DG1119&lt;=100),"71-100",IF(DG1119&gt;100,"+100")))))</f>
        <v>1-30</v>
      </c>
      <c r="DI1119">
        <v>0</v>
      </c>
      <c r="DJ1119">
        <v>0</v>
      </c>
      <c r="DK1119">
        <v>0</v>
      </c>
      <c r="DL1119">
        <v>1</v>
      </c>
      <c r="DN1119">
        <f>SUM(DI1119:DL1119)</f>
        <v>1</v>
      </c>
      <c r="DO1119" t="str">
        <f>IF(DN1119=1,INDEX($DI$7:$DL$7,MATCH(1,$DI1119:$DL1119,0)),"mixedProduct")</f>
        <v>TimberInput</v>
      </c>
      <c r="DP1119">
        <f>IF(DI1119=1,DP$7,0)</f>
        <v>0</v>
      </c>
      <c r="DQ1119">
        <f>IF(DJ1119=1,DQ$7,0)</f>
        <v>0</v>
      </c>
      <c r="DR1119">
        <f>IF(DK1119=1,DR$7,0)</f>
        <v>0</v>
      </c>
      <c r="DS1119" t="str">
        <f>IF(DL1119=1,DS$7,0)</f>
        <v>Timber</v>
      </c>
      <c r="DT1119">
        <v>0</v>
      </c>
      <c r="DU1119">
        <v>0</v>
      </c>
      <c r="DV1119">
        <v>0</v>
      </c>
      <c r="DW1119">
        <v>0</v>
      </c>
      <c r="DX1119">
        <v>0</v>
      </c>
      <c r="DY1119">
        <f>SUM(DT1119:DU1119)</f>
        <v>0</v>
      </c>
      <c r="DZ1119" s="143" t="str">
        <f>IF(DT1119=1,"self-calculated DF",IF(DU1119=1,"external DF used","explicit C balance"))</f>
        <v>explicit C balance</v>
      </c>
      <c r="EA1119">
        <v>0</v>
      </c>
      <c r="EB1119">
        <v>0</v>
      </c>
      <c r="EC1119">
        <v>0</v>
      </c>
      <c r="ED1119">
        <v>0</v>
      </c>
      <c r="EE1119">
        <v>0</v>
      </c>
      <c r="EF1119" s="143">
        <v>1</v>
      </c>
      <c r="EG1119">
        <v>0</v>
      </c>
      <c r="EH1119">
        <v>1</v>
      </c>
      <c r="EI1119">
        <v>1</v>
      </c>
      <c r="EJ1119">
        <v>1</v>
      </c>
      <c r="EK1119">
        <v>0</v>
      </c>
      <c r="EL1119">
        <v>0</v>
      </c>
      <c r="EM1119">
        <v>0</v>
      </c>
      <c r="EN1119" s="2">
        <v>0</v>
      </c>
      <c r="EP1119" t="str">
        <f>IF(AND(AND(AND(OR($EC1119=1,$EB1119=1),OR($EH1119=1,$EF1119=1)),SUM($EA1119:$EE1119,$EK1119)&gt;=3),SUM($EF1119:$EJ1119)&gt;=2),"Whole sector approach","")</f>
        <v/>
      </c>
      <c r="EQ1119" t="str">
        <f>IF(AND(AND(OR($EC1119=1,$EB1119=1),AND($EH1119=0,$EF1119=0)),SUM($EA1119:$EE1119,$EK1119)&gt;=4),"Ecosystem approach","")</f>
        <v/>
      </c>
      <c r="ER1119" s="2" t="str">
        <f>IF(AND(AND(AND($EC1119=0,$EB1119=0),OR($EH1119=1,$EF1119=1)),SUM($EG1119:$EJ1119)&gt;=2),"Technology approach","")</f>
        <v>Technology approach</v>
      </c>
      <c r="ES1119" t="str">
        <f>IF(AND($EC1119+$EB1119+$EE1119+$EA1119+$ED1119+$EG1119=0,$N1119="included"),"C neutral forest and HWP assumption","")</f>
        <v>C neutral forest and HWP assumption</v>
      </c>
      <c r="ET1119" t="str">
        <f>IF(AND(AND(AND(AND($EC1119=1,$EB1119+$EA1119+$EG1119&gt;=1),$EF1119=1),$EH1119+$EI1119+$ED1119+$EE1119&gt;=2),$N1119="included"),"All C pools assumption","")</f>
        <v/>
      </c>
      <c r="EU1119" t="str">
        <f>IF(AND($ED1119+$EE1119+$EI1119+$EH1119+$EF1119=0,$N1119="included"),"In-situ only assumption","")</f>
        <v/>
      </c>
      <c r="EY1119" t="str">
        <f>IF(ISNUMBER(BW1119),IF(ABS(BW1119-[2]QC_indicators!$B$2)&gt;3*[2]QC_indicators!$C$2,"C ratio",IF(ISNUMBER(CA1119),IF(ABS(CA1119-[2]QC_indicators!$B$1)&gt;3*[2]QC_indicators!$C$1,"DF","no"))),IF(ISNUMBER(CA1119),IF(ABS(CA1119-[2]QC_indicators!$B$1)&gt;3*[2]QC_indicators!$C$1,"DF","no")))</f>
        <v>no</v>
      </c>
      <c r="FA1119" t="str">
        <f>IF(LEN($CY1119)=0,"",IF(AND($CY1119&lt;(-0.05),$ES1119="C neutral forest and HWP assumption"),"Cneutral paradox",IF(AND($CY1119&gt;0.05,$EU1119="In-situ only assumption"),"In-situ only paradox","")))</f>
        <v/>
      </c>
      <c r="FB1119" s="149" t="s">
        <v>349</v>
      </c>
      <c r="FD1119" s="260" t="s">
        <v>2948</v>
      </c>
    </row>
    <row r="1120" spans="1:160" ht="17" hidden="1">
      <c r="A1120" s="1" t="s">
        <v>1043</v>
      </c>
      <c r="B1120" t="s">
        <v>1044</v>
      </c>
      <c r="C1120" t="s">
        <v>1045</v>
      </c>
      <c r="D1120" t="s">
        <v>1046</v>
      </c>
      <c r="E1120" t="s">
        <v>1047</v>
      </c>
      <c r="F1120" t="s">
        <v>1048</v>
      </c>
      <c r="G1120" t="s">
        <v>1049</v>
      </c>
      <c r="H1120" t="s">
        <v>254</v>
      </c>
      <c r="I1120">
        <v>2010</v>
      </c>
      <c r="J1120">
        <v>51</v>
      </c>
      <c r="K1120" t="s">
        <v>1050</v>
      </c>
      <c r="M1120" t="str">
        <f>LEFT($D1120,FIND(",",$D1120)-1)&amp;"_"&amp;I1120&amp;L1120</f>
        <v>Vukotic_2010</v>
      </c>
      <c r="N1120" t="s">
        <v>222</v>
      </c>
      <c r="O1120" s="145" t="s">
        <v>1029</v>
      </c>
      <c r="Q1120" t="s">
        <v>256</v>
      </c>
      <c r="R1120" s="264" t="s">
        <v>274</v>
      </c>
      <c r="S1120" s="1" t="s">
        <v>1051</v>
      </c>
      <c r="T1120" t="s">
        <v>1052</v>
      </c>
      <c r="U1120" t="s">
        <v>1053</v>
      </c>
      <c r="V1120" s="253">
        <v>0</v>
      </c>
      <c r="W1120" s="253">
        <v>0</v>
      </c>
      <c r="X1120">
        <v>0</v>
      </c>
      <c r="Y1120">
        <v>0</v>
      </c>
      <c r="Z1120">
        <v>0</v>
      </c>
      <c r="AA1120">
        <v>0</v>
      </c>
      <c r="AB1120">
        <v>0</v>
      </c>
      <c r="AC1120">
        <v>0</v>
      </c>
      <c r="AD1120">
        <v>0</v>
      </c>
      <c r="AE1120">
        <v>0</v>
      </c>
      <c r="AF1120">
        <v>0</v>
      </c>
      <c r="AG1120">
        <v>2</v>
      </c>
      <c r="AH1120">
        <v>0</v>
      </c>
      <c r="AI1120">
        <v>0</v>
      </c>
      <c r="AJ1120">
        <v>0</v>
      </c>
      <c r="AK1120">
        <v>0</v>
      </c>
      <c r="AL1120">
        <v>0</v>
      </c>
      <c r="AM1120">
        <v>1</v>
      </c>
      <c r="AN1120">
        <v>0</v>
      </c>
      <c r="AO1120">
        <v>0</v>
      </c>
      <c r="AP1120">
        <v>0</v>
      </c>
      <c r="AQ1120">
        <v>0</v>
      </c>
      <c r="AR1120">
        <v>0</v>
      </c>
      <c r="AS1120">
        <v>0</v>
      </c>
      <c r="AT1120">
        <v>0</v>
      </c>
      <c r="AU1120">
        <v>0</v>
      </c>
      <c r="AV1120">
        <v>0</v>
      </c>
      <c r="AW1120">
        <v>0</v>
      </c>
      <c r="AX1120">
        <v>0</v>
      </c>
      <c r="AY1120">
        <v>0</v>
      </c>
      <c r="AZ1120" s="141">
        <f>COUNTIF(X1120:AY1120,"&lt;&gt;0")</f>
        <v>2</v>
      </c>
      <c r="BA1120" s="141">
        <f>COUNTIF(X1120:AN1120,"&lt;&gt;0")</f>
        <v>2</v>
      </c>
      <c r="BB1120">
        <f>COUNTIF(X1120:AE1120,"&lt;&gt;0")</f>
        <v>0</v>
      </c>
      <c r="BC1120">
        <f>COUNTIF(AF1120:AK1120,"&lt;&gt;0")</f>
        <v>1</v>
      </c>
      <c r="BD1120">
        <f>COUNTIF(AL1120:AN1120,"&lt;&gt;0")</f>
        <v>1</v>
      </c>
      <c r="BE1120">
        <f>COUNTIF(AU1120:AY1120,"&lt;&gt;0")</f>
        <v>0</v>
      </c>
      <c r="BF1120">
        <f>COUNTIF(AO1120:AT1120,"&lt;&gt;0")</f>
        <v>0</v>
      </c>
      <c r="BG1120" t="str">
        <f t="array" ref="BG1120">IF(BA1120=1,INDEX($X$7:$AN$7,MATCH(TRUE,INDEX($X1120:$AY1120&lt;&gt;0,),0)),IF(BA1120=0,INDEX($AO$7:$AY$7,MATCH(1,$AO1120:$AY1120,0)),IF(BH1120="Multiple strategies","mixed drivers",IF(BH1120="Supply chain","multiple supply","multiple silviculture"))))</f>
        <v>mixed drivers</v>
      </c>
      <c r="BH1120" s="2" t="str" cm="1">
        <f t="array" ref="BH1120">IF(COUNTIF(BB1120:BD1120,"&lt;&gt;0")=1,INDEX($X$4:$AY$4,MATCH(TRUE,INDEX($X1120:$AY1120&lt;&gt;0,),0)),IF(COUNTIF(BB1120:BD1120,"&lt;&gt;0")=0,INDEX($AO$4:$AY$4,MATCH(1,$AO1120:$AY1120,0)),"Multiple strategies"))</f>
        <v>Multiple strategies</v>
      </c>
      <c r="BI1120" s="1" t="s">
        <v>229</v>
      </c>
      <c r="BJ1120" t="s">
        <v>1054</v>
      </c>
      <c r="BL1120" t="s">
        <v>1055</v>
      </c>
      <c r="BM1120">
        <v>0</v>
      </c>
      <c r="BN1120">
        <v>0.27407407407407408</v>
      </c>
      <c r="BO1120" s="143" t="e">
        <f>BN1120/BM1120</f>
        <v>#DIV/0!</v>
      </c>
      <c r="BP1120">
        <f>BN1120-BM1120</f>
        <v>0.27407407407407408</v>
      </c>
      <c r="BQ1120">
        <f>BP1120*t_to_m3</f>
        <v>0.55933484504913078</v>
      </c>
      <c r="BR1120" t="s">
        <v>232</v>
      </c>
      <c r="BT1120" t="s">
        <v>1056</v>
      </c>
      <c r="BU1120">
        <v>-218.80999999999995</v>
      </c>
      <c r="BV1120">
        <v>-106.82999999999998</v>
      </c>
      <c r="BW1120" s="144">
        <f>IFERROR(BV1120/BU1120,"")</f>
        <v>0.48823179927791238</v>
      </c>
      <c r="BX1120" s="144">
        <f>BV1120-BU1120</f>
        <v>111.97999999999996</v>
      </c>
      <c r="BY1120" s="144"/>
      <c r="BZ1120" s="144">
        <f>BX1120*0.001</f>
        <v>0.11197999999999997</v>
      </c>
      <c r="CA1120">
        <f>IFERROR(BZ1120/BQ1120,"")</f>
        <v>0.20020208108108101</v>
      </c>
      <c r="CB1120">
        <v>0</v>
      </c>
      <c r="CC1120">
        <v>0</v>
      </c>
      <c r="CD1120">
        <v>0</v>
      </c>
      <c r="CE1120">
        <v>0</v>
      </c>
      <c r="CF1120">
        <v>0</v>
      </c>
      <c r="CG1120">
        <v>0</v>
      </c>
      <c r="CH1120">
        <v>0</v>
      </c>
      <c r="CI1120">
        <v>0</v>
      </c>
      <c r="CJ1120">
        <v>0</v>
      </c>
      <c r="CK1120">
        <v>0</v>
      </c>
      <c r="CL1120">
        <v>0</v>
      </c>
      <c r="CM1120">
        <v>0</v>
      </c>
      <c r="CN1120">
        <v>0</v>
      </c>
      <c r="CO1120">
        <v>0</v>
      </c>
      <c r="CP1120" t="str">
        <f>IF($BN1120&lt;$BM1120,"refNeedCorrection","refOK")</f>
        <v>refOK</v>
      </c>
      <c r="CQ1120">
        <f>IF($CP1120="refOK",$BM1120,$BN1120)</f>
        <v>0</v>
      </c>
      <c r="CR1120">
        <f>IF($CP1120="refOK",$BN1120,$BM1120)</f>
        <v>0.27407407407407408</v>
      </c>
      <c r="CS1120">
        <f>IF($CP1120="refOK",$BQ1120,-$BQ1120)</f>
        <v>0.55933484504913078</v>
      </c>
      <c r="CT1120">
        <f>IF(BI1120="Roundwood",$CS1120/2,$CS1120)</f>
        <v>0.55933484504913078</v>
      </c>
      <c r="CU1120">
        <f>IF($CP1120="refOK",$BU1120,$BV1120)*IF($BR1120="Emissions positive",-1,1)</f>
        <v>-218.80999999999995</v>
      </c>
      <c r="CV1120">
        <f>IF($CP1120="refOK",$BV1120,$BU1120)*IF($BR1120="Emissions positive",-1,1)</f>
        <v>-106.82999999999998</v>
      </c>
      <c r="CW1120">
        <f>IF($CP1120="refNeedCorrection",-BZ1120,BZ1120)*IF($BR1120="Emissions positive",-1,1)</f>
        <v>0.11197999999999997</v>
      </c>
      <c r="CX1120">
        <f>IFERROR($CW1120/$CS1120,"")</f>
        <v>0.20020208108108101</v>
      </c>
      <c r="CY1120">
        <f>IFERROR($CW1120/$CS1120,"")</f>
        <v>0.20020208108108101</v>
      </c>
      <c r="CZ1120">
        <f>IFERROR($CW1120/$CT1120,"")</f>
        <v>0.20020208108108101</v>
      </c>
      <c r="DA1120" s="2">
        <f>IFERROR((CV1120-CU1120)/ABS(CU1120),"")</f>
        <v>0.51176820072208762</v>
      </c>
      <c r="DB1120" s="1" t="s">
        <v>263</v>
      </c>
      <c r="DC1120" t="str">
        <f>IF(OR($DB1120="prd",$DB1120="std",$DB1120="cit"),"loc",IF(OR($DB1120="eur",$DB1120="reg",$DB1120="coy"),"reg",$DB1120))</f>
        <v>loc</v>
      </c>
      <c r="DD1120" s="296" t="s">
        <v>3098</v>
      </c>
      <c r="DG1120">
        <v>60</v>
      </c>
      <c r="DH1120" t="str">
        <f>IF(DG1120=0,"0",IF(AND(DG1120&gt;=1,DG1120&lt;=30),"1-30",IF(AND(DG1120&gt;30,DG1120&lt;=70),"31-70",IF(AND(DG1120&gt;70,DG1120&lt;=100),"71-100",IF(DG1120&gt;100,"+100")))))</f>
        <v>31-70</v>
      </c>
      <c r="DI1120">
        <v>0</v>
      </c>
      <c r="DJ1120">
        <v>0</v>
      </c>
      <c r="DK1120">
        <v>0</v>
      </c>
      <c r="DL1120">
        <v>1</v>
      </c>
      <c r="DN1120">
        <f>SUM(DI1120:DL1120)</f>
        <v>1</v>
      </c>
      <c r="DO1120" t="str">
        <f>IF(DN1120=1,INDEX($DI$7:$DL$7,MATCH(1,$DI1120:$DL1120,0)),"mixedProduct")</f>
        <v>TimberInput</v>
      </c>
      <c r="DP1120">
        <f>IF(DI1120=1,DP$7,0)</f>
        <v>0</v>
      </c>
      <c r="DQ1120">
        <f>IF(DJ1120=1,DQ$7,0)</f>
        <v>0</v>
      </c>
      <c r="DR1120">
        <f>IF(DK1120=1,DR$7,0)</f>
        <v>0</v>
      </c>
      <c r="DS1120" t="str">
        <f>IF(DL1120=1,DS$7,0)</f>
        <v>Timber</v>
      </c>
      <c r="DT1120">
        <v>1</v>
      </c>
      <c r="DU1120">
        <v>0</v>
      </c>
      <c r="DV1120">
        <v>0</v>
      </c>
      <c r="DW1120">
        <v>0</v>
      </c>
      <c r="DX1120">
        <v>0</v>
      </c>
      <c r="DY1120">
        <f>SUM(DT1120:DU1120)</f>
        <v>1</v>
      </c>
      <c r="DZ1120" s="143" t="str">
        <f>IF(DT1120=1,"self-calculated DF",IF(DU1120=1,"external DF used","explicit C balance"))</f>
        <v>self-calculated DF</v>
      </c>
      <c r="EA1120">
        <v>0</v>
      </c>
      <c r="EB1120">
        <v>0</v>
      </c>
      <c r="EC1120">
        <v>0</v>
      </c>
      <c r="ED1120">
        <v>0</v>
      </c>
      <c r="EE1120">
        <v>0</v>
      </c>
      <c r="EF1120" s="143">
        <v>1</v>
      </c>
      <c r="EG1120">
        <v>0</v>
      </c>
      <c r="EH1120">
        <v>1</v>
      </c>
      <c r="EI1120">
        <v>1</v>
      </c>
      <c r="EJ1120">
        <v>1</v>
      </c>
      <c r="EK1120">
        <v>0</v>
      </c>
      <c r="EL1120">
        <v>0</v>
      </c>
      <c r="EM1120">
        <v>0</v>
      </c>
      <c r="EN1120" s="2">
        <v>0</v>
      </c>
      <c r="EP1120" t="str">
        <f>IF(AND(AND(AND(OR($EC1120=1,$EB1120=1),OR($EH1120=1,$EF1120=1)),SUM($EA1120:$EE1120,$EK1120)&gt;=3),SUM($EF1120:$EJ1120)&gt;=2),"Whole sector approach","")</f>
        <v/>
      </c>
      <c r="EQ1120" t="str">
        <f>IF(AND(AND(OR($EC1120=1,$EB1120=1),AND($EH1120=0,$EF1120=0)),SUM($EA1120:$EE1120,$EK1120)&gt;=4),"Ecosystem approach","")</f>
        <v/>
      </c>
      <c r="ER1120" s="2" t="str">
        <f>IF(AND(AND(AND($EC1120=0,$EB1120=0),OR($EH1120=1,$EF1120=1)),SUM($EG1120:$EJ1120)&gt;=2),"Technology approach","")</f>
        <v>Technology approach</v>
      </c>
      <c r="ES1120" t="str">
        <f>IF(AND($EC1120+$EB1120+$EE1120+$EA1120+$ED1120+$EG1120=0,$N1120="included"),"C neutral forest and HWP assumption","")</f>
        <v>C neutral forest and HWP assumption</v>
      </c>
      <c r="ET1120" t="str">
        <f>IF(AND(AND(AND(AND($EC1120=1,$EB1120+$EA1120+$EG1120&gt;=1),$EF1120=1),$EH1120+$EI1120+$ED1120+$EE1120&gt;=2),$N1120="included"),"All C pools assumption","")</f>
        <v/>
      </c>
      <c r="EU1120" t="str">
        <f>IF(AND($ED1120+$EE1120+$EI1120+$EH1120+$EF1120=0,$N1120="included"),"In-situ only assumption","")</f>
        <v/>
      </c>
      <c r="EY1120" t="str">
        <f>IF(ISNUMBER(BW1120),IF(ABS(BW1120-[3]QC_indicators!$B$2)&gt;3*[3]QC_indicators!$C$2,"C ratio",IF(ISNUMBER(CA1120),IF(ABS(CA1120-[3]QC_indicators!$B$1)&gt;3*[3]QC_indicators!$C$1,"DF","no"))),IF(ISNUMBER(CA1120),IF(ABS(CA1120-[3]QC_indicators!$B$1)&gt;3*[3]QC_indicators!$C$1,"DF","no")))</f>
        <v>no</v>
      </c>
      <c r="FA1120" t="str">
        <f>IF(LEN($CY1120)=0,"",IF(AND($CY1120&lt;(-0.05),$ES1120="C neutral forest and HWP assumption"),"Cneutral paradox",IF(AND($CY1120&gt;0.05,$EU1120="In-situ only assumption"),"In-situ only paradox","")))</f>
        <v/>
      </c>
      <c r="FD1120" s="260" t="s">
        <v>2938</v>
      </c>
    </row>
    <row r="1121" spans="1:160" ht="15" hidden="1" customHeight="1">
      <c r="D1121" t="s">
        <v>1508</v>
      </c>
      <c r="E1121" t="s">
        <v>1509</v>
      </c>
      <c r="G1121" t="s">
        <v>1510</v>
      </c>
      <c r="I1121">
        <v>2007</v>
      </c>
      <c r="K1121" t="s">
        <v>1511</v>
      </c>
      <c r="M1121" t="str">
        <f>LEFT($D1121,FIND(",",$D1121)-1)&amp;"_"&amp;I1121&amp;L1121</f>
        <v>Gustavsson_2007</v>
      </c>
      <c r="N1121" t="s">
        <v>222</v>
      </c>
      <c r="O1121" t="s">
        <v>223</v>
      </c>
      <c r="Q1121" t="s">
        <v>256</v>
      </c>
      <c r="R1121" s="264" t="s">
        <v>274</v>
      </c>
      <c r="S1121" s="1" t="s">
        <v>1512</v>
      </c>
      <c r="T1121" t="s">
        <v>1517</v>
      </c>
      <c r="U1121" s="143" t="s">
        <v>1519</v>
      </c>
      <c r="V1121" s="253">
        <v>0</v>
      </c>
      <c r="W1121" s="253">
        <v>0</v>
      </c>
      <c r="X1121">
        <v>0</v>
      </c>
      <c r="Y1121">
        <v>0</v>
      </c>
      <c r="Z1121">
        <v>0</v>
      </c>
      <c r="AA1121">
        <v>0</v>
      </c>
      <c r="AB1121">
        <v>0</v>
      </c>
      <c r="AC1121">
        <v>0</v>
      </c>
      <c r="AD1121">
        <v>0</v>
      </c>
      <c r="AE1121">
        <v>0</v>
      </c>
      <c r="AF1121">
        <v>0</v>
      </c>
      <c r="AG1121">
        <v>0</v>
      </c>
      <c r="AH1121">
        <v>0</v>
      </c>
      <c r="AI1121">
        <v>0</v>
      </c>
      <c r="AJ1121">
        <v>0</v>
      </c>
      <c r="AK1121">
        <v>0</v>
      </c>
      <c r="AL1121">
        <v>0</v>
      </c>
      <c r="AM1121">
        <v>1</v>
      </c>
      <c r="AN1121">
        <v>0</v>
      </c>
      <c r="AO1121">
        <v>0</v>
      </c>
      <c r="AP1121">
        <v>0</v>
      </c>
      <c r="AQ1121">
        <v>0</v>
      </c>
      <c r="AR1121">
        <v>0</v>
      </c>
      <c r="AS1121">
        <v>0</v>
      </c>
      <c r="AT1121">
        <v>0</v>
      </c>
      <c r="AU1121">
        <v>0</v>
      </c>
      <c r="AV1121">
        <v>0</v>
      </c>
      <c r="AW1121">
        <v>0</v>
      </c>
      <c r="AX1121">
        <v>0</v>
      </c>
      <c r="AY1121">
        <v>0</v>
      </c>
      <c r="AZ1121" s="141">
        <f>COUNTIF(X1121:AY1121,"&lt;&gt;0")</f>
        <v>1</v>
      </c>
      <c r="BA1121" s="141">
        <f>COUNTIF(X1121:AN1121,"&lt;&gt;0")</f>
        <v>1</v>
      </c>
      <c r="BB1121">
        <f>COUNTIF(X1121:AE1121,"&lt;&gt;0")</f>
        <v>0</v>
      </c>
      <c r="BC1121">
        <f>COUNTIF(AF1121:AK1121,"&lt;&gt;0")</f>
        <v>0</v>
      </c>
      <c r="BD1121">
        <f>COUNTIF(AL1121:AN1121,"&lt;&gt;0")</f>
        <v>1</v>
      </c>
      <c r="BE1121">
        <f>COUNTIF(AU1121:AY1121,"&lt;&gt;0")</f>
        <v>0</v>
      </c>
      <c r="BF1121">
        <f>COUNTIF(AO1121:AT1121,"&lt;&gt;0")</f>
        <v>0</v>
      </c>
      <c r="BG1121" t="str">
        <f t="array" ref="BG1121">IF(BA1121=1,INDEX($X$7:$AN$7,MATCH(TRUE,INDEX($X1121:$AY1121&lt;&gt;0,),0)),IF(BA1121=0,INDEX($AO$7:$AY$7,MATCH(1,$AO1121:$AY1121,0)),IF(BH1121="Multiple strategies","mixed drivers",IF(BH1121="Supply chain","multiple supply","multiple silviculture"))))</f>
        <v>technologies/design switch</v>
      </c>
      <c r="BH1121" s="2" t="str" cm="1">
        <f t="array" ref="BH1121">IF(COUNTIF(BB1121:BD1121,"&lt;&gt;0")=1,INDEX($X$4:$AY$4,MATCH(TRUE,INDEX($X1121:$AY1121&lt;&gt;0,),0)),IF(COUNTIF(BB1121:BD1121,"&lt;&gt;0")=0,INDEX($AO$4:$AY$4,MATCH(1,$AO1121:$AY1121,0)),"Multiple strategies"))</f>
        <v>Technology</v>
      </c>
      <c r="BI1121" s="142" t="s">
        <v>229</v>
      </c>
      <c r="BJ1121" t="s">
        <v>1514</v>
      </c>
      <c r="BK1121" s="260" t="s">
        <v>987</v>
      </c>
      <c r="BL1121" s="143" t="s">
        <v>2940</v>
      </c>
      <c r="BM1121">
        <v>0</v>
      </c>
      <c r="BN1121" s="143">
        <v>102.4</v>
      </c>
      <c r="BO1121" s="143"/>
      <c r="BP1121">
        <f>BN1121-BM1121</f>
        <v>102.4</v>
      </c>
      <c r="BQ1121" s="143">
        <f>1000*BN1121/15.3/400</f>
        <v>16.732026143790851</v>
      </c>
      <c r="BR1121" t="s">
        <v>232</v>
      </c>
      <c r="BT1121" t="s">
        <v>907</v>
      </c>
      <c r="BU1121" s="143">
        <v>-1</v>
      </c>
      <c r="BV1121" s="151">
        <v>0</v>
      </c>
      <c r="BW1121">
        <v>0</v>
      </c>
      <c r="BX1121">
        <v>1</v>
      </c>
      <c r="BZ1121">
        <f>BX1121*C_to_CO2</f>
        <v>3.67</v>
      </c>
      <c r="CA1121">
        <f>IFERROR(BZ1121/BQ1121,"")</f>
        <v>0.21933984374999999</v>
      </c>
      <c r="CB1121" s="143">
        <v>0</v>
      </c>
      <c r="CC1121" s="143">
        <v>0</v>
      </c>
      <c r="CD1121" s="143">
        <v>0</v>
      </c>
      <c r="CE1121" s="143">
        <v>0</v>
      </c>
      <c r="CF1121" s="143">
        <v>0</v>
      </c>
      <c r="CG1121" s="143">
        <v>0</v>
      </c>
      <c r="CH1121" s="143">
        <v>0</v>
      </c>
      <c r="CI1121" s="143">
        <v>0</v>
      </c>
      <c r="CJ1121" s="143">
        <v>0</v>
      </c>
      <c r="CK1121" s="143">
        <v>0</v>
      </c>
      <c r="CL1121" s="143">
        <v>0</v>
      </c>
      <c r="CM1121" s="143">
        <v>0</v>
      </c>
      <c r="CN1121" s="143">
        <v>0</v>
      </c>
      <c r="CO1121">
        <v>1</v>
      </c>
      <c r="CP1121" t="str">
        <f>IF($BN1121&lt;$BM1121,"refNeedCorrection","refOK")</f>
        <v>refOK</v>
      </c>
      <c r="CQ1121">
        <f>IF($CP1121="refOK",$BM1121,$BN1121)</f>
        <v>0</v>
      </c>
      <c r="CR1121">
        <f>IF($CP1121="refOK",$BN1121,$BM1121)</f>
        <v>102.4</v>
      </c>
      <c r="CS1121">
        <f>IF($CP1121="refOK",$BQ1121,-$BQ1121)</f>
        <v>16.732026143790851</v>
      </c>
      <c r="CT1121">
        <f>IF(BI1121="Roundwood",$CS1121/2,$CS1121)</f>
        <v>16.732026143790851</v>
      </c>
      <c r="CU1121">
        <f>IF($CP1121="refOK",$BU1121,$BV1121)*IF($BR1121="Emissions positive",-1,1)</f>
        <v>-1</v>
      </c>
      <c r="CV1121">
        <f>IF($CP1121="refOK",$BV1121,$BU1121)*IF($BR1121="Emissions positive",-1,1)</f>
        <v>0</v>
      </c>
      <c r="CW1121">
        <f>IF($CP1121="refNeedCorrection",-BZ1121,BZ1121)*IF($BR1121="Emissions positive",-1,1)</f>
        <v>3.67</v>
      </c>
      <c r="CX1121">
        <f>IFERROR($CW1121/$CS1121,"")</f>
        <v>0.21933984374999999</v>
      </c>
      <c r="CY1121">
        <f>IFERROR($CW1121/$CS1121,"")</f>
        <v>0.21933984374999999</v>
      </c>
      <c r="CZ1121">
        <f>IFERROR($CW1121/$CT1121,"")</f>
        <v>0.21933984374999999</v>
      </c>
      <c r="DA1121" s="2">
        <f>IFERROR((CV1121-CU1121)/ABS(CU1121),"")</f>
        <v>1</v>
      </c>
      <c r="DB1121" s="1" t="s">
        <v>1078</v>
      </c>
      <c r="DC1121" t="str">
        <f>IF(OR($DB1121="prd",$DB1121="std",$DB1121="cit"),"loc",IF(OR($DB1121="eur",$DB1121="reg",$DB1121="coy"),"reg",$DB1121))</f>
        <v>reg</v>
      </c>
      <c r="DD1121" t="s">
        <v>444</v>
      </c>
      <c r="DF1121" s="143"/>
      <c r="DG1121" s="143">
        <v>0</v>
      </c>
      <c r="DH1121" t="str">
        <f>IF(DG1121=0,"0",IF(AND(DG1121&gt;=1,DG1121&lt;=30),"1-30",IF(AND(DG1121&gt;30,DG1121&lt;=70),"31-70",IF(AND(DG1121&gt;70,DG1121&lt;=100),"71-100",IF(DG1121&gt;100,"+100")))))</f>
        <v>0</v>
      </c>
      <c r="DI1121">
        <v>0</v>
      </c>
      <c r="DJ1121">
        <v>1</v>
      </c>
      <c r="DK1121">
        <v>0</v>
      </c>
      <c r="DL1121">
        <v>0</v>
      </c>
      <c r="DN1121">
        <f>SUM(DI1121:DL1121)</f>
        <v>1</v>
      </c>
      <c r="DO1121" t="str">
        <f>IF(DN1121=1,INDEX($DI$7:$DL$7,MATCH(1,$DI1121:$DL1121,0)),"mixedProduct")</f>
        <v>EnergyInput</v>
      </c>
      <c r="DP1121">
        <f>IF(DI1121=1,DP$7,0)</f>
        <v>0</v>
      </c>
      <c r="DQ1121" t="str">
        <f>IF(DJ1121=1,DQ$7,0)</f>
        <v>Energy</v>
      </c>
      <c r="DR1121">
        <f>IF(DK1121=1,DR$7,0)</f>
        <v>0</v>
      </c>
      <c r="DS1121">
        <f>IF(DL1121=1,DS$7,0)</f>
        <v>0</v>
      </c>
      <c r="DT1121">
        <v>0</v>
      </c>
      <c r="DU1121" s="143">
        <v>0</v>
      </c>
      <c r="DV1121" s="143">
        <v>0</v>
      </c>
      <c r="DW1121">
        <v>0</v>
      </c>
      <c r="DX1121" s="143">
        <v>0</v>
      </c>
      <c r="DY1121">
        <f>SUM(DT1121:DU1121)</f>
        <v>0</v>
      </c>
      <c r="DZ1121" s="143" t="str">
        <f>IF(DT1121=1,"self-calculated DF",IF(DU1121=1,"external DF used","explicit C balance"))</f>
        <v>explicit C balance</v>
      </c>
      <c r="EA1121" s="143">
        <v>0</v>
      </c>
      <c r="EB1121" s="143">
        <v>0</v>
      </c>
      <c r="EC1121" s="143">
        <v>0</v>
      </c>
      <c r="ED1121" s="143">
        <v>0</v>
      </c>
      <c r="EE1121">
        <v>0</v>
      </c>
      <c r="EF1121" s="143">
        <v>0</v>
      </c>
      <c r="EG1121" s="143">
        <v>0</v>
      </c>
      <c r="EH1121" s="143">
        <v>1</v>
      </c>
      <c r="EI1121" s="143">
        <v>0</v>
      </c>
      <c r="EJ1121">
        <v>0</v>
      </c>
      <c r="EK1121">
        <v>0</v>
      </c>
      <c r="EL1121" s="143">
        <v>0</v>
      </c>
      <c r="EM1121" s="143">
        <v>0</v>
      </c>
      <c r="EN1121" s="2">
        <v>0</v>
      </c>
      <c r="EP1121" t="str">
        <f>IF(AND(AND(AND(OR($EC1121=1,$EB1121=1),OR($EH1121=1,$EF1121=1)),SUM($EA1121:$EE1121,$EK1121)&gt;=3),SUM($EF1121:$EJ1121)&gt;=2),"Whole sector approach","")</f>
        <v/>
      </c>
      <c r="EQ1121" t="str">
        <f>IF(AND(AND(OR($EC1121=1,$EB1121=1),AND($EH1121=0,$EF1121=0)),SUM($EA1121:$EE1121,$EK1121)&gt;=4),"Ecosystem approach","")</f>
        <v/>
      </c>
      <c r="ER1121" s="2" t="str">
        <f>IF(AND(AND(AND($EC1121=0,$EB1121=0),OR($EH1121=1,$EF1121=1)),SUM($EG1121:$EJ1121)&gt;=2),"Technology approach","")</f>
        <v/>
      </c>
      <c r="ES1121" t="str">
        <f>IF(AND($EC1121+$EB1121+$EE1121+$EA1121+$ED1121+$EG1121=0,$N1121="included"),"C neutral forest and HWP assumption","")</f>
        <v>C neutral forest and HWP assumption</v>
      </c>
      <c r="ET1121" t="str">
        <f>IF(AND(AND(AND(AND($EC1121=1,$EB1121+$EA1121+$EG1121&gt;=1),$EF1121=1),$EH1121+$EI1121+$ED1121+$EE1121&gt;=2),$N1121="included"),"All C pools assumption","")</f>
        <v/>
      </c>
      <c r="EU1121" t="str">
        <f>IF(AND($ED1121+$EE1121+$EI1121+$EH1121+$EF1121=0,$N1121="included"),"In-situ only assumption","")</f>
        <v/>
      </c>
      <c r="EY1121" t="str">
        <f>IF(ISNUMBER(BW1121),IF(ABS(BW1121-[3]QC_indicators!$B$2)&gt;3*[3]QC_indicators!$C$2,"C ratio",IF(ISNUMBER(CA1121),IF(ABS(CA1121-[3]QC_indicators!$B$1)&gt;3*[3]QC_indicators!$C$1,"DF","no"))),IF(ISNUMBER(CA1121),IF(ABS(CA1121-[3]QC_indicators!$B$1)&gt;3*[3]QC_indicators!$C$1,"DF","no")))</f>
        <v>no</v>
      </c>
      <c r="FA1121" t="str">
        <f>IF(LEN($CY1121)=0,"",IF(AND($CY1121&lt;(-0.05),$ES1121="C neutral forest and HWP assumption"),"Cneutral paradox",IF(AND($CY1121&gt;0.05,$EU1121="In-situ only assumption"),"In-situ only paradox","")))</f>
        <v/>
      </c>
      <c r="FB1121" s="149" t="s">
        <v>349</v>
      </c>
      <c r="FD1121" s="260" t="s">
        <v>2941</v>
      </c>
    </row>
    <row r="1122" spans="1:160" ht="15" hidden="1" customHeight="1">
      <c r="A1122" s="1" t="s">
        <v>549</v>
      </c>
      <c r="B1122" t="s">
        <v>531</v>
      </c>
      <c r="C1122" t="s">
        <v>1465</v>
      </c>
      <c r="D1122" t="s">
        <v>1466</v>
      </c>
      <c r="E1122" t="s">
        <v>1467</v>
      </c>
      <c r="F1122" t="s">
        <v>1468</v>
      </c>
      <c r="G1122" t="s">
        <v>554</v>
      </c>
      <c r="H1122" t="s">
        <v>254</v>
      </c>
      <c r="I1122">
        <v>2019</v>
      </c>
      <c r="J1122">
        <v>15</v>
      </c>
      <c r="K1122" t="s">
        <v>1469</v>
      </c>
      <c r="M1122" t="str">
        <f>LEFT($D1122,FIND(",",$D1122)-1)&amp;"_"&amp;I1122&amp;L1122</f>
        <v>Geng_2019</v>
      </c>
      <c r="N1122" t="s">
        <v>222</v>
      </c>
      <c r="O1122" s="180" t="s">
        <v>225</v>
      </c>
      <c r="Q1122" s="317" t="s">
        <v>256</v>
      </c>
      <c r="R1122" s="318" t="s">
        <v>1029</v>
      </c>
      <c r="S1122" s="1" t="s">
        <v>1470</v>
      </c>
      <c r="T1122" t="s">
        <v>4937</v>
      </c>
      <c r="U1122" t="s">
        <v>4938</v>
      </c>
      <c r="V1122" s="253">
        <v>0</v>
      </c>
      <c r="W1122" s="253">
        <v>0</v>
      </c>
      <c r="X1122">
        <v>0</v>
      </c>
      <c r="Y1122">
        <v>0</v>
      </c>
      <c r="Z1122">
        <v>0</v>
      </c>
      <c r="AA1122">
        <v>0</v>
      </c>
      <c r="AB1122">
        <v>0</v>
      </c>
      <c r="AC1122">
        <v>0</v>
      </c>
      <c r="AD1122">
        <v>0</v>
      </c>
      <c r="AE1122">
        <v>0</v>
      </c>
      <c r="AF1122">
        <v>0</v>
      </c>
      <c r="AG1122">
        <v>0</v>
      </c>
      <c r="AH1122">
        <v>0</v>
      </c>
      <c r="AI1122">
        <v>0</v>
      </c>
      <c r="AJ1122">
        <v>0</v>
      </c>
      <c r="AK1122">
        <v>0</v>
      </c>
      <c r="AL1122">
        <v>0</v>
      </c>
      <c r="AM1122">
        <v>1</v>
      </c>
      <c r="AN1122">
        <v>0</v>
      </c>
      <c r="AO1122">
        <v>0</v>
      </c>
      <c r="AP1122">
        <v>0</v>
      </c>
      <c r="AQ1122">
        <v>0</v>
      </c>
      <c r="AR1122">
        <v>0</v>
      </c>
      <c r="AS1122">
        <v>0</v>
      </c>
      <c r="AT1122">
        <v>0</v>
      </c>
      <c r="AU1122">
        <v>0</v>
      </c>
      <c r="AV1122">
        <v>0</v>
      </c>
      <c r="AW1122">
        <v>0</v>
      </c>
      <c r="AX1122">
        <v>0</v>
      </c>
      <c r="AY1122">
        <v>0</v>
      </c>
      <c r="AZ1122" s="141">
        <f>COUNTIF(X1122:AY1122,"&lt;&gt;0")</f>
        <v>1</v>
      </c>
      <c r="BA1122" s="141">
        <f>COUNTIF(X1122:AN1122,"&lt;&gt;0")</f>
        <v>1</v>
      </c>
      <c r="BB1122">
        <f>COUNTIF(X1122:AE1122,"&lt;&gt;0")</f>
        <v>0</v>
      </c>
      <c r="BC1122">
        <f>COUNTIF(AF1122:AK1122,"&lt;&gt;0")</f>
        <v>0</v>
      </c>
      <c r="BD1122">
        <f>COUNTIF(AL1122:AN1122,"&lt;&gt;0")</f>
        <v>1</v>
      </c>
      <c r="BE1122">
        <f>COUNTIF(AU1122:AY1122,"&lt;&gt;0")</f>
        <v>0</v>
      </c>
      <c r="BF1122">
        <f>COUNTIF(AO1122:AT1122,"&lt;&gt;0")</f>
        <v>0</v>
      </c>
      <c r="BG1122" t="str" cm="1">
        <f t="array" ref="BG1122">IF(BA1122=1,INDEX($X$7:$AN$7,MATCH(TRUE,INDEX($X1122:$AY1122&lt;&gt;0,),0)),IF(BA1122=0,INDEX($AO$7:$AY$7,MATCH(1,$AO1122:$AY1122,0)),IF(BH1122="Multiple strategies","mixed drivers",IF(BH1122="Supply chain","multiple supply","multiple silviculture"))))</f>
        <v>technologies/design switch</v>
      </c>
      <c r="BH1122" s="2" t="str" cm="1">
        <f t="array" ref="BH1122">IF(COUNTIF(BB1122:BD1122,"&lt;&gt;0")=1,INDEX($X$4:$AY$4,MATCH(TRUE,INDEX($X1122:$AY1122&lt;&gt;0,),0)),IF(COUNTIF(BB1122:BD1122,"&lt;&gt;0")=0,INDEX($AO$4:$AY$4,MATCH(1,$AO1122:$AY1122,0)),"Multiple strategies"))</f>
        <v>Technology</v>
      </c>
      <c r="BI1122" s="1" t="s">
        <v>229</v>
      </c>
      <c r="BJ1122" t="s">
        <v>1471</v>
      </c>
      <c r="BK1122" t="s">
        <v>424</v>
      </c>
      <c r="BL1122" t="s">
        <v>1472</v>
      </c>
      <c r="BM1122">
        <v>259.45</v>
      </c>
      <c r="BN1122">
        <v>286.64999999999998</v>
      </c>
      <c r="BO1122">
        <f>BN1122/BM1122</f>
        <v>1.104837155521295</v>
      </c>
      <c r="BP1122">
        <f>BN1122-BM1122</f>
        <v>27.199999999999989</v>
      </c>
      <c r="BQ1122">
        <f>BP1122*kg_to_m3</f>
        <v>5.5510204081632632E-2</v>
      </c>
      <c r="BR1122" t="s">
        <v>232</v>
      </c>
      <c r="BS1122" t="s">
        <v>424</v>
      </c>
      <c r="BT1122" t="s">
        <v>1473</v>
      </c>
      <c r="BW1122" s="144" t="str">
        <f>IFERROR(BV1122/BU1122,"")</f>
        <v/>
      </c>
      <c r="BX1122">
        <v>12.97</v>
      </c>
      <c r="BZ1122">
        <f>BX1122/1000</f>
        <v>1.2970000000000001E-2</v>
      </c>
      <c r="CA1122">
        <f>IFERROR(BZ1122/BQ1122,"")</f>
        <v>0.23365073529411776</v>
      </c>
      <c r="CB1122">
        <v>0</v>
      </c>
      <c r="CC1122">
        <v>0</v>
      </c>
      <c r="CD1122">
        <v>0</v>
      </c>
      <c r="CE1122">
        <v>0</v>
      </c>
      <c r="CF1122">
        <v>0</v>
      </c>
      <c r="CG1122">
        <v>0</v>
      </c>
      <c r="CH1122">
        <v>0</v>
      </c>
      <c r="CI1122">
        <v>0</v>
      </c>
      <c r="CJ1122">
        <v>0</v>
      </c>
      <c r="CK1122">
        <v>0</v>
      </c>
      <c r="CL1122">
        <v>0</v>
      </c>
      <c r="CM1122">
        <v>0</v>
      </c>
      <c r="CN1122">
        <v>0</v>
      </c>
      <c r="CO1122">
        <v>0</v>
      </c>
      <c r="CP1122" t="str">
        <f>IF(BN1122&lt;BM1122,"refNeedCorrection","refOK")</f>
        <v>refOK</v>
      </c>
      <c r="CQ1122">
        <f>IF($CP1122="refOK",$BM1122,$BN1122)</f>
        <v>259.45</v>
      </c>
      <c r="CR1122">
        <f>IF($CP1122="refOK",$BN1122,$BM1122)</f>
        <v>286.64999999999998</v>
      </c>
      <c r="CS1122">
        <f>IF($CP1122="refOK",$BQ1122,-$BQ1122)</f>
        <v>5.5510204081632632E-2</v>
      </c>
      <c r="CT1122">
        <f>IF(BI1122="Roundwood",$CS1122/2,$CS1122)</f>
        <v>5.5510204081632632E-2</v>
      </c>
      <c r="CU1122">
        <f>IF($CP1122="refOK",$BU1122,$BV1122)*IF($BR1122="Emissions positive",-1,1)</f>
        <v>0</v>
      </c>
      <c r="CV1122">
        <f>IF($CP1122="refOK",$BV1122,$BU1122)*IF($BR1122="Emissions positive",-1,1)</f>
        <v>0</v>
      </c>
      <c r="CW1122">
        <f>IF($CP1122="refNeedCorrection",-BZ1122,BZ1122)*IF($BR1122="Emissions positive",-1,1)</f>
        <v>1.2970000000000001E-2</v>
      </c>
      <c r="CX1122">
        <f>IFERROR($CW1122/$CS1122,"")</f>
        <v>0.23365073529411776</v>
      </c>
      <c r="CY1122">
        <f>IFERROR($CW1122/$CS1122,"")</f>
        <v>0.23365073529411776</v>
      </c>
      <c r="CZ1122">
        <f>IFERROR($CW1122/$CT1122,"")</f>
        <v>0.23365073529411776</v>
      </c>
      <c r="DA1122" s="2" t="str">
        <f>IFERROR((CV1122-CU1122)/ABS(CU1122),"")</f>
        <v/>
      </c>
      <c r="DB1122" s="1" t="s">
        <v>1078</v>
      </c>
      <c r="DC1122" s="317" t="str">
        <f>IF(OR($DB1122="prd",$DB1122="std",$DB1122="cit"),"loc",IF(OR($DB1122="eur",$DB1122="reg",$DB1122="coy"),"reg",$DB1122))</f>
        <v>reg</v>
      </c>
      <c r="DD1122" t="s">
        <v>677</v>
      </c>
      <c r="DE1122">
        <v>2019</v>
      </c>
      <c r="DG1122">
        <v>0</v>
      </c>
      <c r="DH1122" t="str">
        <f>IF(DG1122=0,"0",IF(AND(DG1122&gt;=1,DG1122&lt;=30),"1-30",IF(AND(DG1122&gt;30,DG1122&lt;=70),"31-70",IF(AND(DG1122&gt;70,DG1122&lt;=100),"71-100",IF(DG1122&gt;100,"+100")))))</f>
        <v>0</v>
      </c>
      <c r="DI1122">
        <v>0</v>
      </c>
      <c r="DJ1122">
        <v>0</v>
      </c>
      <c r="DK1122">
        <v>0</v>
      </c>
      <c r="DL1122">
        <v>1</v>
      </c>
      <c r="DN1122">
        <f>SUM(DI1122:DL1122)</f>
        <v>1</v>
      </c>
      <c r="DO1122" t="str">
        <f>IF(DN1122=1,INDEX($DI$7:$DL$7,MATCH(1,$DI1122:$DL1122,0)),"mixedProduct")</f>
        <v>TimberInput</v>
      </c>
      <c r="DP1122">
        <f>IF(DI1122=1,DP$7,0)</f>
        <v>0</v>
      </c>
      <c r="DQ1122">
        <f>IF(DJ1122=1,DQ$7,0)</f>
        <v>0</v>
      </c>
      <c r="DR1122">
        <f>IF(DK1122=1,DR$7,0)</f>
        <v>0</v>
      </c>
      <c r="DS1122" t="str">
        <f>IF(DL1122=1,DS$7,0)</f>
        <v>Timber</v>
      </c>
      <c r="DT1122">
        <v>1</v>
      </c>
      <c r="DU1122">
        <v>0</v>
      </c>
      <c r="DV1122">
        <v>0</v>
      </c>
      <c r="DW1122">
        <v>0</v>
      </c>
      <c r="DX1122">
        <v>0</v>
      </c>
      <c r="DY1122">
        <f>SUM(DT1122:DU1122)</f>
        <v>1</v>
      </c>
      <c r="DZ1122" s="143" t="str">
        <f>IF(DT1122=1,"self-calculated DF",IF(DU1122=1,"external DF used","explicit C balance"))</f>
        <v>self-calculated DF</v>
      </c>
      <c r="EA1122">
        <v>0</v>
      </c>
      <c r="EB1122">
        <v>0</v>
      </c>
      <c r="EC1122">
        <v>0</v>
      </c>
      <c r="ED1122">
        <v>0</v>
      </c>
      <c r="EE1122">
        <v>0</v>
      </c>
      <c r="EF1122" s="143">
        <v>1</v>
      </c>
      <c r="EG1122">
        <v>0</v>
      </c>
      <c r="EH1122">
        <v>1</v>
      </c>
      <c r="EI1122">
        <v>0</v>
      </c>
      <c r="EJ1122">
        <v>0</v>
      </c>
      <c r="EK1122">
        <v>0</v>
      </c>
      <c r="EL1122">
        <v>0</v>
      </c>
      <c r="EM1122">
        <v>0</v>
      </c>
      <c r="EN1122" s="2">
        <v>0</v>
      </c>
      <c r="EP1122" t="str">
        <f>IF(AND(AND(AND(OR($EC1122=1,$EB1122=1),OR($EH1122=1,$EF1122=1)),SUM($EA1122:$EE1122,$EK1122)&gt;=3),SUM($EF1122:$EJ1122)&gt;=2),"Whole sector approach","")</f>
        <v/>
      </c>
      <c r="EQ1122" t="str">
        <f>IF(AND(AND(OR($EC1122=1,$EB1122=1),AND($EH1122=0,$EF1122=0)),SUM($EA1122:$EE1122,$EK1122)&gt;=3),"Ecosystem approach","")</f>
        <v/>
      </c>
      <c r="ER1122" s="2" t="str">
        <f>IF(AND(AND(AND($EC1122=0,$EB1122=0),OR($EH1122=1,$EF1122=1)),SUM($EG1122:$EJ1122)&gt;=2),"Technology approach","")</f>
        <v/>
      </c>
      <c r="ES1122" t="str">
        <f>IF(AND($EC1122+$EB1122+$EE1122+$EA1122+$ED1122+$EG1122=0,$N1122="included"),"C neutral forest and HWP assumption","")</f>
        <v>C neutral forest and HWP assumption</v>
      </c>
      <c r="ET1122" t="str">
        <f>IF(AND(AND(AND(AND($EC1122=1,$EB1122+$EA1122+$EG1122&gt;=1),$EF1122=1),$EH1122+$EI1122+$ED1122+$EE1122&gt;=2),$N1122="included"),"All C pools assumption","")</f>
        <v/>
      </c>
      <c r="EU1122" t="str">
        <f>IF(AND($ED1122+$EE1122+$EI1122+$EH1122+$EF1122=0,$N1122="included"),"In-situ only assumption","")</f>
        <v/>
      </c>
      <c r="EW1122" t="s">
        <v>1474</v>
      </c>
      <c r="EY1122" t="str">
        <f>IF(ISNUMBER(BW1122),IF(ABS(BW1122-[4]QC_indicators!$B$2)&gt;3*[4]QC_indicators!$C$2,"C ratio",IF(ISNUMBER(CA1122),IF(ABS(CA1122-[4]QC_indicators!$B$1)&gt;3*[4]QC_indicators!$C$1,"DF","no"))),IF(ISNUMBER(CA1122),IF(ABS(CA1122-[4]QC_indicators!$B$1)&gt;3*[4]QC_indicators!$C$1,"DF","no")))</f>
        <v>no</v>
      </c>
      <c r="FA1122" t="str">
        <f>IF(LEN($CY1122)=0,"",IF(AND($CY1122&lt;(-0.05),$ES1122="C neutral forest and HWP assumption"),"Cneutral paradox",IF(AND($CY1122&gt;0.05,$EU1122="In-situ only assumption"),"In-situ only paradox","")))</f>
        <v/>
      </c>
      <c r="FB1122" t="s">
        <v>1475</v>
      </c>
    </row>
    <row r="1123" spans="1:160" ht="15" hidden="1" customHeight="1">
      <c r="A1123" s="1" t="s">
        <v>1108</v>
      </c>
      <c r="B1123" t="s">
        <v>1109</v>
      </c>
      <c r="C1123" t="s">
        <v>1110</v>
      </c>
      <c r="D1123" t="s">
        <v>336</v>
      </c>
      <c r="E1123" t="s">
        <v>1111</v>
      </c>
      <c r="F1123" t="s">
        <v>1112</v>
      </c>
      <c r="G1123" t="s">
        <v>1113</v>
      </c>
      <c r="I1123">
        <v>2018</v>
      </c>
      <c r="K1123" t="s">
        <v>1114</v>
      </c>
      <c r="M1123" t="str">
        <f>LEFT($D1123,FIND(",",$D1123)-1)&amp;"_"&amp;I1123&amp;L1123</f>
        <v>Balasbaneh_2018</v>
      </c>
      <c r="N1123" t="s">
        <v>222</v>
      </c>
      <c r="O1123" s="140" t="s">
        <v>508</v>
      </c>
      <c r="Q1123" t="s">
        <v>224</v>
      </c>
      <c r="R1123" s="258" t="s">
        <v>223</v>
      </c>
      <c r="S1123" s="1" t="s">
        <v>1127</v>
      </c>
      <c r="T1123" s="260" t="s">
        <v>2791</v>
      </c>
      <c r="U1123" s="260" t="s">
        <v>2795</v>
      </c>
      <c r="V1123" s="253">
        <v>0</v>
      </c>
      <c r="W1123" s="253">
        <v>0</v>
      </c>
      <c r="X1123">
        <v>0</v>
      </c>
      <c r="Y1123">
        <v>0</v>
      </c>
      <c r="Z1123">
        <v>0</v>
      </c>
      <c r="AA1123">
        <v>0</v>
      </c>
      <c r="AB1123">
        <v>0</v>
      </c>
      <c r="AC1123">
        <v>0</v>
      </c>
      <c r="AD1123">
        <v>0</v>
      </c>
      <c r="AE1123">
        <v>0</v>
      </c>
      <c r="AF1123">
        <v>0</v>
      </c>
      <c r="AG1123">
        <v>0</v>
      </c>
      <c r="AH1123">
        <v>0</v>
      </c>
      <c r="AI1123">
        <v>0</v>
      </c>
      <c r="AJ1123">
        <v>0</v>
      </c>
      <c r="AK1123">
        <v>0</v>
      </c>
      <c r="AL1123">
        <v>0</v>
      </c>
      <c r="AM1123">
        <v>1</v>
      </c>
      <c r="AN1123">
        <v>0</v>
      </c>
      <c r="AO1123">
        <v>0</v>
      </c>
      <c r="AP1123">
        <v>0</v>
      </c>
      <c r="AQ1123">
        <v>0</v>
      </c>
      <c r="AR1123">
        <v>0</v>
      </c>
      <c r="AS1123">
        <v>0</v>
      </c>
      <c r="AT1123">
        <v>0</v>
      </c>
      <c r="AU1123">
        <v>0</v>
      </c>
      <c r="AV1123">
        <v>0</v>
      </c>
      <c r="AW1123">
        <v>0</v>
      </c>
      <c r="AX1123">
        <v>0</v>
      </c>
      <c r="AY1123">
        <v>0</v>
      </c>
      <c r="AZ1123" s="141">
        <f>COUNTIF(X1123:AY1123,"&lt;&gt;0")</f>
        <v>1</v>
      </c>
      <c r="BA1123" s="141">
        <f>COUNTIF(X1123:AN1123,"&lt;&gt;0")</f>
        <v>1</v>
      </c>
      <c r="BB1123">
        <f>COUNTIF(X1123:AE1123,"&lt;&gt;0")</f>
        <v>0</v>
      </c>
      <c r="BC1123">
        <f>COUNTIF(AF1123:AK1123,"&lt;&gt;0")</f>
        <v>0</v>
      </c>
      <c r="BD1123">
        <f>COUNTIF(AL1123:AN1123,"&lt;&gt;0")</f>
        <v>1</v>
      </c>
      <c r="BE1123">
        <f>COUNTIF(AU1123:AY1123,"&lt;&gt;0")</f>
        <v>0</v>
      </c>
      <c r="BF1123">
        <f>COUNTIF(AO1123:AT1123,"&lt;&gt;0")</f>
        <v>0</v>
      </c>
      <c r="BG1123" t="str">
        <f t="array" ref="BG1123">IF(BA1123=1,INDEX($X$7:$AN$7,MATCH(TRUE,INDEX($X1123:$AY1123&lt;&gt;0,),0)),IF(BA1123=0,INDEX($AO$7:$AY$7,MATCH(1,$AO1123:$AY1123,0)),IF(BH1123="Multiple strategies","mixed drivers",IF(BH1123="Supply chain","multiple supply","multiple silviculture"))))</f>
        <v>technologies/design switch</v>
      </c>
      <c r="BH1123" s="2" t="str" cm="1">
        <f t="array" ref="BH1123">IF(COUNTIF(BB1123:BD1123,"&lt;&gt;0")=1,INDEX($X$4:$AY$4,MATCH(TRUE,INDEX($X1123:$AY1123&lt;&gt;0,),0)),IF(COUNTIF(BB1123:BD1123,"&lt;&gt;0")=0,INDEX($AO$4:$AY$4,MATCH(1,$AO1123:$AY1123,0)),"Multiple strategies"))</f>
        <v>Technology</v>
      </c>
      <c r="BI1123" s="1" t="s">
        <v>229</v>
      </c>
      <c r="BJ1123" t="s">
        <v>229</v>
      </c>
      <c r="BL1123" t="s">
        <v>345</v>
      </c>
      <c r="BM1123">
        <v>0</v>
      </c>
      <c r="BN1123">
        <v>23436</v>
      </c>
      <c r="BO1123" s="143"/>
      <c r="BP1123">
        <f>BN1123-BM1123</f>
        <v>23436</v>
      </c>
      <c r="BQ1123" s="143">
        <f>BP1123*kg_to_m3</f>
        <v>47.828571428571436</v>
      </c>
      <c r="BR1123" t="s">
        <v>232</v>
      </c>
      <c r="BS1123" s="153" t="s">
        <v>987</v>
      </c>
      <c r="BT1123" t="s">
        <v>397</v>
      </c>
      <c r="BU1123">
        <v>-13900</v>
      </c>
      <c r="BV1123">
        <v>-693</v>
      </c>
      <c r="BW1123" s="144">
        <v>4.9856115107913671E-2</v>
      </c>
      <c r="BX1123">
        <v>13207</v>
      </c>
      <c r="BZ1123">
        <f>BX1123/1000</f>
        <v>13.207000000000001</v>
      </c>
      <c r="CA1123">
        <f>IFERROR(BZ1123/BQ1123,"")</f>
        <v>0.27613201911589008</v>
      </c>
      <c r="CB1123">
        <v>0</v>
      </c>
      <c r="CC1123">
        <v>0</v>
      </c>
      <c r="CD1123">
        <v>0</v>
      </c>
      <c r="CE1123">
        <v>0</v>
      </c>
      <c r="CF1123">
        <v>0</v>
      </c>
      <c r="CG1123">
        <v>0</v>
      </c>
      <c r="CH1123">
        <v>0</v>
      </c>
      <c r="CI1123">
        <v>0</v>
      </c>
      <c r="CJ1123">
        <v>0</v>
      </c>
      <c r="CK1123">
        <v>0</v>
      </c>
      <c r="CL1123">
        <v>0</v>
      </c>
      <c r="CM1123">
        <v>0</v>
      </c>
      <c r="CN1123">
        <v>0</v>
      </c>
      <c r="CO1123">
        <v>0</v>
      </c>
      <c r="CP1123" t="str">
        <f>IF($BN1123&lt;$BM1123,"refNeedCorrection","refOK")</f>
        <v>refOK</v>
      </c>
      <c r="CQ1123">
        <f>IF($CP1123="refNeedCorrection",BN1123,BM1123)</f>
        <v>0</v>
      </c>
      <c r="CR1123">
        <f>IF($CP1123="refNeedCorrection",BM1123,BN1123)</f>
        <v>23436</v>
      </c>
      <c r="CS1123">
        <f>IF($CP1123="refOK",$BQ1123,-$BQ1123)</f>
        <v>47.828571428571436</v>
      </c>
      <c r="CT1123">
        <f>IF(BI1123="Roundwood",$CS1123/2,$CS1123)</f>
        <v>47.828571428571436</v>
      </c>
      <c r="CU1123">
        <f>IF($CP1123="refOK",$BU1123,$BV1123)*IF($BR1123="Emissions positive",-1,1)</f>
        <v>-13900</v>
      </c>
      <c r="CV1123">
        <f>IF($CP1123="refOK",$BV1123,$BU1123)*IF($BR1123="Emissions positive",-1,1)</f>
        <v>-693</v>
      </c>
      <c r="CW1123">
        <f>IF($CP1123="refNeedCorrection",-BZ1123,BZ1123)*IF($BR1123="Emissions positive",-1,1)</f>
        <v>13.207000000000001</v>
      </c>
      <c r="CX1123">
        <f>IFERROR($CW1123/$CS1123,"")</f>
        <v>0.27613201911589008</v>
      </c>
      <c r="CY1123">
        <f>IFERROR($CW1123/$CS1123,"")</f>
        <v>0.27613201911589008</v>
      </c>
      <c r="CZ1123">
        <f>IFERROR($CW1123/$CT1123,"")</f>
        <v>0.27613201911589008</v>
      </c>
      <c r="DA1123" s="2">
        <f>IFERROR((CV1123-CU1123)/ABS(CU1123),"")</f>
        <v>0.95014388489208634</v>
      </c>
      <c r="DB1123" s="1" t="s">
        <v>1078</v>
      </c>
      <c r="DC1123" t="str">
        <f>IF(OR($DB1123="prd",$DB1123="std",$DB1123="cit"),"loc",IF(OR($DB1123="eur",$DB1123="reg",$DB1123="coy"),"reg",$DB1123))</f>
        <v>reg</v>
      </c>
      <c r="DD1123" t="s">
        <v>348</v>
      </c>
      <c r="DE1123">
        <v>2014</v>
      </c>
      <c r="DF1123">
        <v>2514</v>
      </c>
      <c r="DG1123">
        <v>500</v>
      </c>
      <c r="DH1123" t="str">
        <f>IF(DG1123=0,"0",IF(AND(DG1123&gt;=1,DG1123&lt;=30),"1-30",IF(AND(DG1123&gt;30,DG1123&lt;=70),"31-70",IF(AND(DG1123&gt;70,DG1123&lt;=100),"71-100",IF(DG1123&gt;100,"+100")))))</f>
        <v>+100</v>
      </c>
      <c r="DI1123">
        <v>0</v>
      </c>
      <c r="DJ1123">
        <v>0</v>
      </c>
      <c r="DK1123">
        <v>0</v>
      </c>
      <c r="DL1123">
        <v>1</v>
      </c>
      <c r="DN1123">
        <f>SUM(DI1123:DL1123)</f>
        <v>1</v>
      </c>
      <c r="DO1123" t="str">
        <f>IF(DN1123=1,INDEX($DI$7:$DL$7,MATCH(1,$DI1123:$DL1123,0)),"mixedProduct")</f>
        <v>TimberInput</v>
      </c>
      <c r="DP1123">
        <f>IF(DI1123=1,DP$7,0)</f>
        <v>0</v>
      </c>
      <c r="DQ1123">
        <f>IF(DJ1123=1,DQ$7,0)</f>
        <v>0</v>
      </c>
      <c r="DR1123">
        <f>IF(DK1123=1,DR$7,0)</f>
        <v>0</v>
      </c>
      <c r="DS1123" t="str">
        <f>IF(DL1123=1,DS$7,0)</f>
        <v>Timber</v>
      </c>
      <c r="DT1123">
        <v>0</v>
      </c>
      <c r="DU1123">
        <v>0</v>
      </c>
      <c r="DV1123">
        <v>0</v>
      </c>
      <c r="DW1123">
        <v>0</v>
      </c>
      <c r="DX1123">
        <v>0</v>
      </c>
      <c r="DY1123">
        <f>SUM(DT1123:DU1123)</f>
        <v>0</v>
      </c>
      <c r="DZ1123" s="143" t="str">
        <f>IF(DT1123=1,"self-calculated DF",IF(DU1123=1,"external DF used","explicit C balance"))</f>
        <v>explicit C balance</v>
      </c>
      <c r="EA1123">
        <v>0</v>
      </c>
      <c r="EB1123">
        <v>0</v>
      </c>
      <c r="EC1123">
        <v>0</v>
      </c>
      <c r="ED1123">
        <v>0</v>
      </c>
      <c r="EE1123">
        <v>0</v>
      </c>
      <c r="EF1123" s="143">
        <v>1</v>
      </c>
      <c r="EG1123">
        <v>0</v>
      </c>
      <c r="EH1123">
        <v>1</v>
      </c>
      <c r="EI1123">
        <v>1</v>
      </c>
      <c r="EJ1123">
        <v>1</v>
      </c>
      <c r="EK1123">
        <v>0</v>
      </c>
      <c r="EL1123">
        <v>0</v>
      </c>
      <c r="EM1123">
        <v>0</v>
      </c>
      <c r="EN1123" s="2">
        <v>0</v>
      </c>
      <c r="EP1123" t="str">
        <f>IF(AND(AND(AND(OR($EC1123=1,$EB1123=1),OR($EH1123=1,$EF1123=1)),SUM($EA1123:$EE1123,$EK1123)&gt;=3),SUM($EF1123:$EJ1123)&gt;=2),"Whole sector approach","")</f>
        <v/>
      </c>
      <c r="EQ1123" t="str">
        <f>IF(AND(AND(OR($EC1123=1,$EB1123=1),AND($EH1123=0,$EF1123=0)),SUM($EA1123:$EE1123,$EK1123)&gt;=4),"Ecosystem approach","")</f>
        <v/>
      </c>
      <c r="ER1123" s="2" t="str">
        <f>IF(AND(AND(AND($EC1123=0,$EB1123=0),OR($EH1123=1,$EF1123=1)),SUM($EG1123:$EJ1123)&gt;=2),"Technology approach","")</f>
        <v>Technology approach</v>
      </c>
      <c r="ES1123" t="str">
        <f>IF(AND($EC1123+$EB1123+$EE1123+$EA1123+$ED1123+$EG1123=0,$N1123="included"),"C neutral forest and HWP assumption","")</f>
        <v>C neutral forest and HWP assumption</v>
      </c>
      <c r="ET1123" t="str">
        <f>IF(AND(AND(AND(AND($EC1123=1,$EB1123+$EA1123+$EG1123&gt;=1),$EF1123=1),$EH1123+$EI1123+$ED1123+$EE1123&gt;=2),$N1123="included"),"All C pools assumption","")</f>
        <v/>
      </c>
      <c r="EU1123" t="str">
        <f>IF(AND($ED1123+$EE1123+$EI1123+$EH1123+$EF1123=0,$N1123="included"),"In-situ only assumption","")</f>
        <v/>
      </c>
      <c r="EY1123" t="str">
        <f>IF(ISNUMBER(BW1123),IF(ABS(BW1123-[2]QC_indicators!$B$2)&gt;3*[2]QC_indicators!$C$2,"C ratio",IF(ISNUMBER(CA1123),IF(ABS(CA1123-[2]QC_indicators!$B$1)&gt;3*[2]QC_indicators!$C$1,"DF","no"))),IF(ISNUMBER(CA1123),IF(ABS(CA1123-[2]QC_indicators!$B$1)&gt;3*[2]QC_indicators!$C$1,"DF","no")))</f>
        <v>no</v>
      </c>
      <c r="FA1123" t="str">
        <f>IF(LEN($CY1123)=0,"",IF(AND($CY1123&lt;(-0.05),$ES1123="C neutral forest and HWP assumption"),"Cneutral paradox",IF(AND($CY1123&gt;0.05,$EU1123="In-situ only assumption"),"In-situ only paradox","")))</f>
        <v/>
      </c>
      <c r="FB1123" s="149" t="s">
        <v>349</v>
      </c>
      <c r="FD1123" s="260" t="s">
        <v>2948</v>
      </c>
    </row>
    <row r="1124" spans="1:160" ht="17" hidden="1">
      <c r="A1124" s="1" t="s">
        <v>1108</v>
      </c>
      <c r="B1124" t="s">
        <v>1109</v>
      </c>
      <c r="C1124" t="s">
        <v>1110</v>
      </c>
      <c r="D1124" t="s">
        <v>336</v>
      </c>
      <c r="E1124" t="s">
        <v>1111</v>
      </c>
      <c r="F1124" t="s">
        <v>1112</v>
      </c>
      <c r="G1124" t="s">
        <v>1113</v>
      </c>
      <c r="I1124">
        <v>2018</v>
      </c>
      <c r="K1124" t="s">
        <v>1114</v>
      </c>
      <c r="M1124" t="str">
        <f>LEFT($D1124,FIND(",",$D1124)-1)&amp;"_"&amp;I1124&amp;L1124</f>
        <v>Balasbaneh_2018</v>
      </c>
      <c r="N1124" t="s">
        <v>222</v>
      </c>
      <c r="O1124" s="140" t="s">
        <v>508</v>
      </c>
      <c r="Q1124" t="s">
        <v>224</v>
      </c>
      <c r="R1124" s="258" t="s">
        <v>223</v>
      </c>
      <c r="S1124" s="1" t="s">
        <v>1128</v>
      </c>
      <c r="T1124" s="260" t="s">
        <v>2791</v>
      </c>
      <c r="U1124" s="260" t="s">
        <v>2790</v>
      </c>
      <c r="V1124" s="253">
        <v>0</v>
      </c>
      <c r="W1124" s="253">
        <v>0</v>
      </c>
      <c r="X1124">
        <v>0</v>
      </c>
      <c r="Y1124">
        <v>0</v>
      </c>
      <c r="Z1124">
        <v>0</v>
      </c>
      <c r="AA1124">
        <v>0</v>
      </c>
      <c r="AB1124">
        <v>0</v>
      </c>
      <c r="AC1124">
        <v>0</v>
      </c>
      <c r="AD1124">
        <v>0</v>
      </c>
      <c r="AE1124">
        <v>0</v>
      </c>
      <c r="AF1124">
        <v>0</v>
      </c>
      <c r="AG1124">
        <v>0</v>
      </c>
      <c r="AH1124">
        <v>0</v>
      </c>
      <c r="AI1124">
        <v>0</v>
      </c>
      <c r="AJ1124">
        <v>0</v>
      </c>
      <c r="AK1124">
        <v>0</v>
      </c>
      <c r="AL1124">
        <v>0</v>
      </c>
      <c r="AM1124">
        <v>1</v>
      </c>
      <c r="AN1124">
        <v>0</v>
      </c>
      <c r="AO1124">
        <v>0</v>
      </c>
      <c r="AP1124">
        <v>0</v>
      </c>
      <c r="AQ1124">
        <v>0</v>
      </c>
      <c r="AR1124">
        <v>0</v>
      </c>
      <c r="AS1124">
        <v>0</v>
      </c>
      <c r="AT1124">
        <v>0</v>
      </c>
      <c r="AU1124">
        <v>0</v>
      </c>
      <c r="AV1124">
        <v>0</v>
      </c>
      <c r="AW1124">
        <v>0</v>
      </c>
      <c r="AX1124">
        <v>0</v>
      </c>
      <c r="AY1124">
        <v>0</v>
      </c>
      <c r="AZ1124" s="141">
        <f>COUNTIF(X1124:AY1124,"&lt;&gt;0")</f>
        <v>1</v>
      </c>
      <c r="BA1124" s="141">
        <f>COUNTIF(X1124:AN1124,"&lt;&gt;0")</f>
        <v>1</v>
      </c>
      <c r="BB1124">
        <f>COUNTIF(X1124:AE1124,"&lt;&gt;0")</f>
        <v>0</v>
      </c>
      <c r="BC1124">
        <f>COUNTIF(AF1124:AK1124,"&lt;&gt;0")</f>
        <v>0</v>
      </c>
      <c r="BD1124">
        <f>COUNTIF(AL1124:AN1124,"&lt;&gt;0")</f>
        <v>1</v>
      </c>
      <c r="BE1124">
        <f>COUNTIF(AU1124:AY1124,"&lt;&gt;0")</f>
        <v>0</v>
      </c>
      <c r="BF1124">
        <f>COUNTIF(AO1124:AT1124,"&lt;&gt;0")</f>
        <v>0</v>
      </c>
      <c r="BG1124" t="str">
        <f t="array" ref="BG1124">IF(BA1124=1,INDEX($X$7:$AN$7,MATCH(TRUE,INDEX($X1124:$AY1124&lt;&gt;0,),0)),IF(BA1124=0,INDEX($AO$7:$AY$7,MATCH(1,$AO1124:$AY1124,0)),IF(BH1124="Multiple strategies","mixed drivers",IF(BH1124="Supply chain","multiple supply","multiple silviculture"))))</f>
        <v>technologies/design switch</v>
      </c>
      <c r="BH1124" s="2" t="str" cm="1">
        <f t="array" ref="BH1124">IF(COUNTIF(BB1124:BD1124,"&lt;&gt;0")=1,INDEX($X$4:$AY$4,MATCH(TRUE,INDEX($X1124:$AY1124&lt;&gt;0,),0)),IF(COUNTIF(BB1124:BD1124,"&lt;&gt;0")=0,INDEX($AO$4:$AY$4,MATCH(1,$AO1124:$AY1124,0)),"Multiple strategies"))</f>
        <v>Technology</v>
      </c>
      <c r="BI1124" s="1" t="s">
        <v>229</v>
      </c>
      <c r="BJ1124" t="s">
        <v>229</v>
      </c>
      <c r="BL1124" t="s">
        <v>345</v>
      </c>
      <c r="BM1124">
        <v>0</v>
      </c>
      <c r="BN1124">
        <v>15468</v>
      </c>
      <c r="BO1124" s="143"/>
      <c r="BP1124">
        <f>BN1124-BM1124</f>
        <v>15468</v>
      </c>
      <c r="BQ1124" s="143">
        <f>BP1124*kg_to_m3</f>
        <v>31.567346938775515</v>
      </c>
      <c r="BR1124" t="s">
        <v>232</v>
      </c>
      <c r="BS1124" s="153" t="s">
        <v>987</v>
      </c>
      <c r="BT1124" t="s">
        <v>397</v>
      </c>
      <c r="BU1124">
        <v>-13900</v>
      </c>
      <c r="BV1124">
        <v>-5130</v>
      </c>
      <c r="BW1124" s="144">
        <v>0.36906474820143886</v>
      </c>
      <c r="BX1124">
        <v>8770</v>
      </c>
      <c r="BZ1124">
        <f>BX1124/1000</f>
        <v>8.77</v>
      </c>
      <c r="CA1124">
        <f>IFERROR(BZ1124/BQ1124,"")</f>
        <v>0.27781872252392031</v>
      </c>
      <c r="CB1124">
        <v>0</v>
      </c>
      <c r="CC1124">
        <v>0</v>
      </c>
      <c r="CD1124">
        <v>0</v>
      </c>
      <c r="CE1124">
        <v>0</v>
      </c>
      <c r="CF1124">
        <v>0</v>
      </c>
      <c r="CG1124">
        <v>0</v>
      </c>
      <c r="CH1124">
        <v>0</v>
      </c>
      <c r="CI1124">
        <v>0</v>
      </c>
      <c r="CJ1124">
        <v>0</v>
      </c>
      <c r="CK1124">
        <v>0</v>
      </c>
      <c r="CL1124">
        <v>0</v>
      </c>
      <c r="CM1124">
        <v>0</v>
      </c>
      <c r="CN1124">
        <v>0</v>
      </c>
      <c r="CO1124">
        <v>0</v>
      </c>
      <c r="CP1124" t="str">
        <f>IF($BN1124&lt;$BM1124,"refNeedCorrection","refOK")</f>
        <v>refOK</v>
      </c>
      <c r="CQ1124">
        <f>IF($CP1124="refNeedCorrection",BN1124,BM1124)</f>
        <v>0</v>
      </c>
      <c r="CR1124">
        <f>IF($CP1124="refNeedCorrection",BM1124,BN1124)</f>
        <v>15468</v>
      </c>
      <c r="CS1124">
        <f>IF($CP1124="refOK",$BQ1124,-$BQ1124)</f>
        <v>31.567346938775515</v>
      </c>
      <c r="CT1124">
        <f>IF(BI1124="Roundwood",$CS1124/2,$CS1124)</f>
        <v>31.567346938775515</v>
      </c>
      <c r="CU1124">
        <f>IF($CP1124="refOK",$BU1124,$BV1124)*IF($BR1124="Emissions positive",-1,1)</f>
        <v>-13900</v>
      </c>
      <c r="CV1124">
        <f>IF($CP1124="refOK",$BV1124,$BU1124)*IF($BR1124="Emissions positive",-1,1)</f>
        <v>-5130</v>
      </c>
      <c r="CW1124">
        <f>IF($CP1124="refNeedCorrection",-BZ1124,BZ1124)*IF($BR1124="Emissions positive",-1,1)</f>
        <v>8.77</v>
      </c>
      <c r="CX1124">
        <f>IFERROR($CW1124/$CS1124,"")</f>
        <v>0.27781872252392031</v>
      </c>
      <c r="CY1124">
        <f>IFERROR($CW1124/$CS1124,"")</f>
        <v>0.27781872252392031</v>
      </c>
      <c r="CZ1124">
        <f>IFERROR($CW1124/$CT1124,"")</f>
        <v>0.27781872252392031</v>
      </c>
      <c r="DA1124" s="2">
        <f>IFERROR((CV1124-CU1124)/ABS(CU1124),"")</f>
        <v>0.63093525179856114</v>
      </c>
      <c r="DB1124" s="1" t="s">
        <v>1078</v>
      </c>
      <c r="DC1124" t="str">
        <f>IF(OR($DB1124="prd",$DB1124="std",$DB1124="cit"),"loc",IF(OR($DB1124="eur",$DB1124="reg",$DB1124="coy"),"reg",$DB1124))</f>
        <v>reg</v>
      </c>
      <c r="DD1124" t="s">
        <v>348</v>
      </c>
      <c r="DE1124">
        <v>2014</v>
      </c>
      <c r="DF1124">
        <v>2514</v>
      </c>
      <c r="DG1124">
        <v>500</v>
      </c>
      <c r="DH1124" t="str">
        <f>IF(DG1124=0,"0",IF(AND(DG1124&gt;=1,DG1124&lt;=30),"1-30",IF(AND(DG1124&gt;30,DG1124&lt;=70),"31-70",IF(AND(DG1124&gt;70,DG1124&lt;=100),"71-100",IF(DG1124&gt;100,"+100")))))</f>
        <v>+100</v>
      </c>
      <c r="DI1124">
        <v>0</v>
      </c>
      <c r="DJ1124">
        <v>0</v>
      </c>
      <c r="DK1124">
        <v>0</v>
      </c>
      <c r="DL1124">
        <v>1</v>
      </c>
      <c r="DN1124">
        <f>SUM(DI1124:DL1124)</f>
        <v>1</v>
      </c>
      <c r="DO1124" t="str">
        <f>IF(DN1124=1,INDEX($DI$7:$DL$7,MATCH(1,$DI1124:$DL1124,0)),"mixedProduct")</f>
        <v>TimberInput</v>
      </c>
      <c r="DP1124">
        <f>IF(DI1124=1,DP$7,0)</f>
        <v>0</v>
      </c>
      <c r="DQ1124">
        <f>IF(DJ1124=1,DQ$7,0)</f>
        <v>0</v>
      </c>
      <c r="DR1124">
        <f>IF(DK1124=1,DR$7,0)</f>
        <v>0</v>
      </c>
      <c r="DS1124" t="str">
        <f>IF(DL1124=1,DS$7,0)</f>
        <v>Timber</v>
      </c>
      <c r="DT1124">
        <v>0</v>
      </c>
      <c r="DU1124">
        <v>0</v>
      </c>
      <c r="DV1124">
        <v>0</v>
      </c>
      <c r="DW1124">
        <v>0</v>
      </c>
      <c r="DX1124">
        <v>0</v>
      </c>
      <c r="DY1124">
        <f>SUM(DT1124:DU1124)</f>
        <v>0</v>
      </c>
      <c r="DZ1124" s="143" t="str">
        <f>IF(DT1124=1,"self-calculated DF",IF(DU1124=1,"external DF used","explicit C balance"))</f>
        <v>explicit C balance</v>
      </c>
      <c r="EA1124">
        <v>0</v>
      </c>
      <c r="EB1124">
        <v>0</v>
      </c>
      <c r="EC1124">
        <v>0</v>
      </c>
      <c r="ED1124">
        <v>0</v>
      </c>
      <c r="EE1124">
        <v>0</v>
      </c>
      <c r="EF1124" s="143">
        <v>1</v>
      </c>
      <c r="EG1124">
        <v>0</v>
      </c>
      <c r="EH1124">
        <v>1</v>
      </c>
      <c r="EI1124">
        <v>1</v>
      </c>
      <c r="EJ1124">
        <v>1</v>
      </c>
      <c r="EK1124">
        <v>0</v>
      </c>
      <c r="EL1124">
        <v>0</v>
      </c>
      <c r="EM1124">
        <v>0</v>
      </c>
      <c r="EN1124" s="2">
        <v>0</v>
      </c>
      <c r="EP1124" t="str">
        <f>IF(AND(AND(AND(OR($EC1124=1,$EB1124=1),OR($EH1124=1,$EF1124=1)),SUM($EA1124:$EE1124,$EK1124)&gt;=3),SUM($EF1124:$EJ1124)&gt;=2),"Whole sector approach","")</f>
        <v/>
      </c>
      <c r="EQ1124" t="str">
        <f>IF(AND(AND(OR($EC1124=1,$EB1124=1),AND($EH1124=0,$EF1124=0)),SUM($EA1124:$EE1124,$EK1124)&gt;=4),"Ecosystem approach","")</f>
        <v/>
      </c>
      <c r="ER1124" s="2" t="str">
        <f>IF(AND(AND(AND($EC1124=0,$EB1124=0),OR($EH1124=1,$EF1124=1)),SUM($EG1124:$EJ1124)&gt;=2),"Technology approach","")</f>
        <v>Technology approach</v>
      </c>
      <c r="ES1124" t="str">
        <f>IF(AND($EC1124+$EB1124+$EE1124+$EA1124+$ED1124+$EG1124=0,$N1124="included"),"C neutral forest and HWP assumption","")</f>
        <v>C neutral forest and HWP assumption</v>
      </c>
      <c r="ET1124" t="str">
        <f>IF(AND(AND(AND(AND($EC1124=1,$EB1124+$EA1124+$EG1124&gt;=1),$EF1124=1),$EH1124+$EI1124+$ED1124+$EE1124&gt;=2),$N1124="included"),"All C pools assumption","")</f>
        <v/>
      </c>
      <c r="EU1124" t="str">
        <f>IF(AND($ED1124+$EE1124+$EI1124+$EH1124+$EF1124=0,$N1124="included"),"In-situ only assumption","")</f>
        <v/>
      </c>
      <c r="EY1124" t="str">
        <f>IF(ISNUMBER(BW1124),IF(ABS(BW1124-[2]QC_indicators!$B$2)&gt;3*[2]QC_indicators!$C$2,"C ratio",IF(ISNUMBER(CA1124),IF(ABS(CA1124-[2]QC_indicators!$B$1)&gt;3*[2]QC_indicators!$C$1,"DF","no"))),IF(ISNUMBER(CA1124),IF(ABS(CA1124-[2]QC_indicators!$B$1)&gt;3*[2]QC_indicators!$C$1,"DF","no")))</f>
        <v>no</v>
      </c>
      <c r="FA1124" t="str">
        <f>IF(LEN($CY1124)=0,"",IF(AND($CY1124&lt;(-0.05),$ES1124="C neutral forest and HWP assumption"),"Cneutral paradox",IF(AND($CY1124&gt;0.05,$EU1124="In-situ only assumption"),"In-situ only paradox","")))</f>
        <v/>
      </c>
      <c r="FB1124" s="149" t="s">
        <v>349</v>
      </c>
      <c r="FD1124" s="260" t="s">
        <v>2948</v>
      </c>
    </row>
    <row r="1125" spans="1:160" ht="17" hidden="1">
      <c r="D1125" t="s">
        <v>1508</v>
      </c>
      <c r="E1125" t="s">
        <v>1509</v>
      </c>
      <c r="G1125" t="s">
        <v>1510</v>
      </c>
      <c r="I1125">
        <v>2007</v>
      </c>
      <c r="K1125" t="s">
        <v>1511</v>
      </c>
      <c r="M1125" t="str">
        <f>LEFT($D1125,FIND(",",$D1125)-1)&amp;"_"&amp;I1125&amp;L1125</f>
        <v>Gustavsson_2007</v>
      </c>
      <c r="N1125" t="s">
        <v>222</v>
      </c>
      <c r="O1125" t="s">
        <v>223</v>
      </c>
      <c r="Q1125" t="s">
        <v>256</v>
      </c>
      <c r="R1125" s="264" t="s">
        <v>274</v>
      </c>
      <c r="S1125" s="1" t="s">
        <v>1512</v>
      </c>
      <c r="T1125" t="s">
        <v>1520</v>
      </c>
      <c r="U1125" s="143" t="s">
        <v>1521</v>
      </c>
      <c r="V1125" s="253">
        <v>0</v>
      </c>
      <c r="W1125" s="253">
        <v>0</v>
      </c>
      <c r="X1125">
        <v>0</v>
      </c>
      <c r="Y1125">
        <v>0</v>
      </c>
      <c r="Z1125">
        <v>0</v>
      </c>
      <c r="AA1125">
        <v>0</v>
      </c>
      <c r="AB1125">
        <v>0</v>
      </c>
      <c r="AC1125">
        <v>0</v>
      </c>
      <c r="AD1125">
        <v>0</v>
      </c>
      <c r="AE1125">
        <v>0</v>
      </c>
      <c r="AF1125">
        <v>0</v>
      </c>
      <c r="AG1125">
        <v>0</v>
      </c>
      <c r="AH1125">
        <v>0</v>
      </c>
      <c r="AI1125">
        <v>0</v>
      </c>
      <c r="AJ1125">
        <v>0</v>
      </c>
      <c r="AK1125">
        <v>0</v>
      </c>
      <c r="AL1125">
        <v>0</v>
      </c>
      <c r="AM1125">
        <v>1</v>
      </c>
      <c r="AN1125">
        <v>0</v>
      </c>
      <c r="AO1125">
        <v>0</v>
      </c>
      <c r="AP1125">
        <v>0</v>
      </c>
      <c r="AQ1125">
        <v>0</v>
      </c>
      <c r="AR1125">
        <v>0</v>
      </c>
      <c r="AS1125">
        <v>0</v>
      </c>
      <c r="AT1125">
        <v>0</v>
      </c>
      <c r="AU1125">
        <v>0</v>
      </c>
      <c r="AV1125">
        <v>0</v>
      </c>
      <c r="AW1125">
        <v>0</v>
      </c>
      <c r="AX1125">
        <v>0</v>
      </c>
      <c r="AY1125">
        <v>0</v>
      </c>
      <c r="AZ1125" s="141">
        <f>COUNTIF(X1125:AY1125,"&lt;&gt;0")</f>
        <v>1</v>
      </c>
      <c r="BA1125" s="141">
        <f>COUNTIF(X1125:AN1125,"&lt;&gt;0")</f>
        <v>1</v>
      </c>
      <c r="BB1125">
        <f>COUNTIF(X1125:AE1125,"&lt;&gt;0")</f>
        <v>0</v>
      </c>
      <c r="BC1125">
        <f>COUNTIF(AF1125:AK1125,"&lt;&gt;0")</f>
        <v>0</v>
      </c>
      <c r="BD1125">
        <f>COUNTIF(AL1125:AN1125,"&lt;&gt;0")</f>
        <v>1</v>
      </c>
      <c r="BE1125">
        <f>COUNTIF(AU1125:AY1125,"&lt;&gt;0")</f>
        <v>0</v>
      </c>
      <c r="BF1125">
        <f>COUNTIF(AO1125:AT1125,"&lt;&gt;0")</f>
        <v>0</v>
      </c>
      <c r="BG1125" t="str">
        <f t="array" ref="BG1125">IF(BA1125=1,INDEX($X$7:$AN$7,MATCH(TRUE,INDEX($X1125:$AY1125&lt;&gt;0,),0)),IF(BA1125=0,INDEX($AO$7:$AY$7,MATCH(1,$AO1125:$AY1125,0)),IF(BH1125="Multiple strategies","mixed drivers",IF(BH1125="Supply chain","multiple supply","multiple silviculture"))))</f>
        <v>technologies/design switch</v>
      </c>
      <c r="BH1125" s="2" t="str" cm="1">
        <f t="array" ref="BH1125">IF(COUNTIF(BB1125:BD1125,"&lt;&gt;0")=1,INDEX($X$4:$AY$4,MATCH(TRUE,INDEX($X1125:$AY1125&lt;&gt;0,),0)),IF(COUNTIF(BB1125:BD1125,"&lt;&gt;0")=0,INDEX($AO$4:$AY$4,MATCH(1,$AO1125:$AY1125,0)),"Multiple strategies"))</f>
        <v>Technology</v>
      </c>
      <c r="BI1125" s="142" t="s">
        <v>229</v>
      </c>
      <c r="BJ1125" t="s">
        <v>1514</v>
      </c>
      <c r="BK1125" s="260" t="s">
        <v>987</v>
      </c>
      <c r="BL1125" s="143" t="s">
        <v>2940</v>
      </c>
      <c r="BM1125">
        <v>0</v>
      </c>
      <c r="BN1125" s="143">
        <v>79.599999999999994</v>
      </c>
      <c r="BO1125" s="143"/>
      <c r="BP1125">
        <f>BN1125-BM1125</f>
        <v>79.599999999999994</v>
      </c>
      <c r="BQ1125" s="143">
        <f>1000*BN1125/15.3/400</f>
        <v>13.006535947712418</v>
      </c>
      <c r="BR1125" t="s">
        <v>232</v>
      </c>
      <c r="BT1125" t="s">
        <v>907</v>
      </c>
      <c r="BU1125" s="143">
        <v>-1</v>
      </c>
      <c r="BV1125" s="151">
        <v>0</v>
      </c>
      <c r="BW1125">
        <v>0</v>
      </c>
      <c r="BX1125">
        <v>1</v>
      </c>
      <c r="BZ1125">
        <f>BX1125*C_to_CO2</f>
        <v>3.67</v>
      </c>
      <c r="CA1125">
        <f>IFERROR(BZ1125/BQ1125,"")</f>
        <v>0.28216582914572863</v>
      </c>
      <c r="CB1125" s="143">
        <v>0</v>
      </c>
      <c r="CC1125" s="143">
        <v>0</v>
      </c>
      <c r="CD1125" s="143">
        <v>0</v>
      </c>
      <c r="CE1125" s="143">
        <v>0</v>
      </c>
      <c r="CF1125" s="143">
        <v>0</v>
      </c>
      <c r="CG1125" s="143">
        <v>0</v>
      </c>
      <c r="CH1125" s="143">
        <v>0</v>
      </c>
      <c r="CI1125" s="143">
        <v>0</v>
      </c>
      <c r="CJ1125" s="143">
        <v>0</v>
      </c>
      <c r="CK1125" s="143">
        <v>0</v>
      </c>
      <c r="CL1125" s="143">
        <v>0</v>
      </c>
      <c r="CM1125" s="143">
        <v>0</v>
      </c>
      <c r="CN1125" s="143">
        <v>0</v>
      </c>
      <c r="CO1125">
        <v>1</v>
      </c>
      <c r="CP1125" t="str">
        <f>IF($BN1125&lt;$BM1125,"refNeedCorrection","refOK")</f>
        <v>refOK</v>
      </c>
      <c r="CQ1125">
        <f>IF($CP1125="refOK",$BM1125,$BN1125)</f>
        <v>0</v>
      </c>
      <c r="CR1125">
        <f>IF($CP1125="refOK",$BN1125,$BM1125)</f>
        <v>79.599999999999994</v>
      </c>
      <c r="CS1125">
        <f>IF($CP1125="refOK",$BQ1125,-$BQ1125)</f>
        <v>13.006535947712418</v>
      </c>
      <c r="CT1125">
        <f>IF(BI1125="Roundwood",$CS1125/2,$CS1125)</f>
        <v>13.006535947712418</v>
      </c>
      <c r="CU1125">
        <f>IF($CP1125="refOK",$BU1125,$BV1125)*IF($BR1125="Emissions positive",-1,1)</f>
        <v>-1</v>
      </c>
      <c r="CV1125">
        <f>IF($CP1125="refOK",$BV1125,$BU1125)*IF($BR1125="Emissions positive",-1,1)</f>
        <v>0</v>
      </c>
      <c r="CW1125">
        <f>IF($CP1125="refNeedCorrection",-BZ1125,BZ1125)*IF($BR1125="Emissions positive",-1,1)</f>
        <v>3.67</v>
      </c>
      <c r="CX1125">
        <f>IFERROR($CW1125/$CS1125,"")</f>
        <v>0.28216582914572863</v>
      </c>
      <c r="CY1125">
        <f>IFERROR($CW1125/$CS1125,"")</f>
        <v>0.28216582914572863</v>
      </c>
      <c r="CZ1125">
        <f>IFERROR($CW1125/$CT1125,"")</f>
        <v>0.28216582914572863</v>
      </c>
      <c r="DA1125" s="2">
        <f>IFERROR((CV1125-CU1125)/ABS(CU1125),"")</f>
        <v>1</v>
      </c>
      <c r="DB1125" s="1" t="s">
        <v>1078</v>
      </c>
      <c r="DC1125" t="str">
        <f>IF(OR($DB1125="prd",$DB1125="std",$DB1125="cit"),"loc",IF(OR($DB1125="eur",$DB1125="reg",$DB1125="coy"),"reg",$DB1125))</f>
        <v>reg</v>
      </c>
      <c r="DD1125" t="s">
        <v>444</v>
      </c>
      <c r="DF1125" s="143"/>
      <c r="DG1125" s="143">
        <v>0</v>
      </c>
      <c r="DH1125" t="str">
        <f>IF(DG1125=0,"0",IF(AND(DG1125&gt;=1,DG1125&lt;=30),"1-30",IF(AND(DG1125&gt;30,DG1125&lt;=70),"31-70",IF(AND(DG1125&gt;70,DG1125&lt;=100),"71-100",IF(DG1125&gt;100,"+100")))))</f>
        <v>0</v>
      </c>
      <c r="DI1125">
        <v>0</v>
      </c>
      <c r="DJ1125">
        <v>1</v>
      </c>
      <c r="DK1125">
        <v>0</v>
      </c>
      <c r="DL1125">
        <v>0</v>
      </c>
      <c r="DN1125">
        <f>SUM(DI1125:DL1125)</f>
        <v>1</v>
      </c>
      <c r="DO1125" t="str">
        <f>IF(DN1125=1,INDEX($DI$7:$DL$7,MATCH(1,$DI1125:$DL1125,0)),"mixedProduct")</f>
        <v>EnergyInput</v>
      </c>
      <c r="DP1125">
        <f>IF(DI1125=1,DP$7,0)</f>
        <v>0</v>
      </c>
      <c r="DQ1125" t="str">
        <f>IF(DJ1125=1,DQ$7,0)</f>
        <v>Energy</v>
      </c>
      <c r="DR1125">
        <f>IF(DK1125=1,DR$7,0)</f>
        <v>0</v>
      </c>
      <c r="DS1125">
        <f>IF(DL1125=1,DS$7,0)</f>
        <v>0</v>
      </c>
      <c r="DT1125">
        <v>0</v>
      </c>
      <c r="DU1125" s="143">
        <v>0</v>
      </c>
      <c r="DV1125" s="143">
        <v>0</v>
      </c>
      <c r="DW1125">
        <v>0</v>
      </c>
      <c r="DX1125" s="143">
        <v>0</v>
      </c>
      <c r="DY1125">
        <f>SUM(DT1125:DU1125)</f>
        <v>0</v>
      </c>
      <c r="DZ1125" s="143" t="str">
        <f>IF(DT1125=1,"self-calculated DF",IF(DU1125=1,"external DF used","explicit C balance"))</f>
        <v>explicit C balance</v>
      </c>
      <c r="EA1125" s="143">
        <v>0</v>
      </c>
      <c r="EB1125" s="143">
        <v>0</v>
      </c>
      <c r="EC1125" s="143">
        <v>0</v>
      </c>
      <c r="ED1125" s="143">
        <v>0</v>
      </c>
      <c r="EE1125">
        <v>0</v>
      </c>
      <c r="EF1125" s="143">
        <v>0</v>
      </c>
      <c r="EG1125" s="143">
        <v>0</v>
      </c>
      <c r="EH1125" s="143">
        <v>1</v>
      </c>
      <c r="EI1125" s="143">
        <v>0</v>
      </c>
      <c r="EJ1125">
        <v>0</v>
      </c>
      <c r="EK1125">
        <v>0</v>
      </c>
      <c r="EL1125" s="143">
        <v>0</v>
      </c>
      <c r="EM1125" s="143">
        <v>0</v>
      </c>
      <c r="EN1125" s="2">
        <v>0</v>
      </c>
      <c r="EP1125" t="str">
        <f>IF(AND(AND(AND(OR($EC1125=1,$EB1125=1),OR($EH1125=1,$EF1125=1)),SUM($EA1125:$EE1125,$EK1125)&gt;=3),SUM($EF1125:$EJ1125)&gt;=2),"Whole sector approach","")</f>
        <v/>
      </c>
      <c r="EQ1125" t="str">
        <f>IF(AND(AND(OR($EC1125=1,$EB1125=1),AND($EH1125=0,$EF1125=0)),SUM($EA1125:$EE1125,$EK1125)&gt;=4),"Ecosystem approach","")</f>
        <v/>
      </c>
      <c r="ER1125" s="2" t="str">
        <f>IF(AND(AND(AND($EC1125=0,$EB1125=0),OR($EH1125=1,$EF1125=1)),SUM($EG1125:$EJ1125)&gt;=2),"Technology approach","")</f>
        <v/>
      </c>
      <c r="ES1125" t="str">
        <f>IF(AND($EC1125+$EB1125+$EE1125+$EA1125+$ED1125+$EG1125=0,$N1125="included"),"C neutral forest and HWP assumption","")</f>
        <v>C neutral forest and HWP assumption</v>
      </c>
      <c r="ET1125" t="str">
        <f>IF(AND(AND(AND(AND($EC1125=1,$EB1125+$EA1125+$EG1125&gt;=1),$EF1125=1),$EH1125+$EI1125+$ED1125+$EE1125&gt;=2),$N1125="included"),"All C pools assumption","")</f>
        <v/>
      </c>
      <c r="EU1125" t="str">
        <f>IF(AND($ED1125+$EE1125+$EI1125+$EH1125+$EF1125=0,$N1125="included"),"In-situ only assumption","")</f>
        <v/>
      </c>
      <c r="EY1125" t="str">
        <f>IF(ISNUMBER(BW1125),IF(ABS(BW1125-[3]QC_indicators!$B$2)&gt;3*[3]QC_indicators!$C$2,"C ratio",IF(ISNUMBER(CA1125),IF(ABS(CA1125-[3]QC_indicators!$B$1)&gt;3*[3]QC_indicators!$C$1,"DF","no"))),IF(ISNUMBER(CA1125),IF(ABS(CA1125-[3]QC_indicators!$B$1)&gt;3*[3]QC_indicators!$C$1,"DF","no")))</f>
        <v>no</v>
      </c>
      <c r="FA1125" t="str">
        <f>IF(LEN($CY1125)=0,"",IF(AND($CY1125&lt;(-0.05),$ES1125="C neutral forest and HWP assumption"),"Cneutral paradox",IF(AND($CY1125&gt;0.05,$EU1125="In-situ only assumption"),"In-situ only paradox","")))</f>
        <v/>
      </c>
      <c r="FB1125" s="149" t="s">
        <v>349</v>
      </c>
      <c r="FD1125" s="260" t="s">
        <v>2941</v>
      </c>
    </row>
    <row r="1126" spans="1:160" ht="15" hidden="1" customHeight="1">
      <c r="A1126" s="1" t="s">
        <v>1108</v>
      </c>
      <c r="B1126" t="s">
        <v>1109</v>
      </c>
      <c r="C1126" t="s">
        <v>1110</v>
      </c>
      <c r="D1126" t="s">
        <v>336</v>
      </c>
      <c r="E1126" t="s">
        <v>1111</v>
      </c>
      <c r="F1126" t="s">
        <v>1112</v>
      </c>
      <c r="G1126" t="s">
        <v>1113</v>
      </c>
      <c r="I1126">
        <v>2018</v>
      </c>
      <c r="K1126" t="s">
        <v>1114</v>
      </c>
      <c r="M1126" t="str">
        <f>LEFT($D1126,FIND(",",$D1126)-1)&amp;"_"&amp;I1126&amp;L1126</f>
        <v>Balasbaneh_2018</v>
      </c>
      <c r="N1126" t="s">
        <v>222</v>
      </c>
      <c r="O1126" s="140" t="s">
        <v>508</v>
      </c>
      <c r="Q1126" t="s">
        <v>224</v>
      </c>
      <c r="R1126" s="258" t="s">
        <v>223</v>
      </c>
      <c r="S1126" s="1" t="s">
        <v>1129</v>
      </c>
      <c r="T1126" s="260" t="s">
        <v>2791</v>
      </c>
      <c r="U1126" s="260" t="s">
        <v>2795</v>
      </c>
      <c r="V1126" s="253">
        <v>0</v>
      </c>
      <c r="W1126" s="253">
        <v>0</v>
      </c>
      <c r="X1126">
        <v>0</v>
      </c>
      <c r="Y1126">
        <v>0</v>
      </c>
      <c r="Z1126">
        <v>0</v>
      </c>
      <c r="AA1126">
        <v>0</v>
      </c>
      <c r="AB1126">
        <v>0</v>
      </c>
      <c r="AC1126">
        <v>0</v>
      </c>
      <c r="AD1126">
        <v>0</v>
      </c>
      <c r="AE1126">
        <v>0</v>
      </c>
      <c r="AF1126">
        <v>0</v>
      </c>
      <c r="AG1126">
        <v>0</v>
      </c>
      <c r="AH1126">
        <v>0</v>
      </c>
      <c r="AI1126">
        <v>0</v>
      </c>
      <c r="AJ1126">
        <v>0</v>
      </c>
      <c r="AK1126">
        <v>0</v>
      </c>
      <c r="AL1126">
        <v>0</v>
      </c>
      <c r="AM1126">
        <v>1</v>
      </c>
      <c r="AN1126">
        <v>0</v>
      </c>
      <c r="AO1126">
        <v>0</v>
      </c>
      <c r="AP1126">
        <v>0</v>
      </c>
      <c r="AQ1126">
        <v>0</v>
      </c>
      <c r="AR1126">
        <v>0</v>
      </c>
      <c r="AS1126">
        <v>0</v>
      </c>
      <c r="AT1126">
        <v>0</v>
      </c>
      <c r="AU1126">
        <v>0</v>
      </c>
      <c r="AV1126">
        <v>0</v>
      </c>
      <c r="AW1126">
        <v>0</v>
      </c>
      <c r="AX1126">
        <v>0</v>
      </c>
      <c r="AY1126">
        <v>0</v>
      </c>
      <c r="AZ1126" s="141">
        <f>COUNTIF(X1126:AY1126,"&lt;&gt;0")</f>
        <v>1</v>
      </c>
      <c r="BA1126" s="141">
        <f>COUNTIF(X1126:AN1126,"&lt;&gt;0")</f>
        <v>1</v>
      </c>
      <c r="BB1126">
        <f>COUNTIF(X1126:AE1126,"&lt;&gt;0")</f>
        <v>0</v>
      </c>
      <c r="BC1126">
        <f>COUNTIF(AF1126:AK1126,"&lt;&gt;0")</f>
        <v>0</v>
      </c>
      <c r="BD1126">
        <f>COUNTIF(AL1126:AN1126,"&lt;&gt;0")</f>
        <v>1</v>
      </c>
      <c r="BE1126">
        <f>COUNTIF(AU1126:AY1126,"&lt;&gt;0")</f>
        <v>0</v>
      </c>
      <c r="BF1126">
        <f>COUNTIF(AO1126:AT1126,"&lt;&gt;0")</f>
        <v>0</v>
      </c>
      <c r="BG1126" t="str">
        <f t="array" ref="BG1126">IF(BA1126=1,INDEX($X$7:$AN$7,MATCH(TRUE,INDEX($X1126:$AY1126&lt;&gt;0,),0)),IF(BA1126=0,INDEX($AO$7:$AY$7,MATCH(1,$AO1126:$AY1126,0)),IF(BH1126="Multiple strategies","mixed drivers",IF(BH1126="Supply chain","multiple supply","multiple silviculture"))))</f>
        <v>technologies/design switch</v>
      </c>
      <c r="BH1126" s="2" t="str" cm="1">
        <f t="array" ref="BH1126">IF(COUNTIF(BB1126:BD1126,"&lt;&gt;0")=1,INDEX($X$4:$AY$4,MATCH(TRUE,INDEX($X1126:$AY1126&lt;&gt;0,),0)),IF(COUNTIF(BB1126:BD1126,"&lt;&gt;0")=0,INDEX($AO$4:$AY$4,MATCH(1,$AO1126:$AY1126,0)),"Multiple strategies"))</f>
        <v>Technology</v>
      </c>
      <c r="BI1126" s="1" t="s">
        <v>229</v>
      </c>
      <c r="BJ1126" t="s">
        <v>229</v>
      </c>
      <c r="BL1126" t="s">
        <v>345</v>
      </c>
      <c r="BM1126">
        <v>0</v>
      </c>
      <c r="BN1126">
        <v>23436</v>
      </c>
      <c r="BO1126" s="143"/>
      <c r="BP1126">
        <f>BN1126-BM1126</f>
        <v>23436</v>
      </c>
      <c r="BQ1126" s="143">
        <f>BP1126*kg_to_m3</f>
        <v>47.828571428571436</v>
      </c>
      <c r="BR1126" t="s">
        <v>232</v>
      </c>
      <c r="BS1126" s="153" t="s">
        <v>987</v>
      </c>
      <c r="BT1126" t="s">
        <v>397</v>
      </c>
      <c r="BU1126">
        <v>-14600</v>
      </c>
      <c r="BV1126">
        <v>-702</v>
      </c>
      <c r="BW1126" s="144">
        <v>4.8082191780821917E-2</v>
      </c>
      <c r="BX1126">
        <v>13898</v>
      </c>
      <c r="BZ1126">
        <f>BX1126/1000</f>
        <v>13.898</v>
      </c>
      <c r="CA1126">
        <f>IFERROR(BZ1126/BQ1126,"")</f>
        <v>0.29057945041816002</v>
      </c>
      <c r="CB1126">
        <v>0</v>
      </c>
      <c r="CC1126">
        <v>0</v>
      </c>
      <c r="CD1126">
        <v>0</v>
      </c>
      <c r="CE1126">
        <v>0</v>
      </c>
      <c r="CF1126">
        <v>0</v>
      </c>
      <c r="CG1126">
        <v>0</v>
      </c>
      <c r="CH1126">
        <v>0</v>
      </c>
      <c r="CI1126">
        <v>0</v>
      </c>
      <c r="CJ1126">
        <v>0</v>
      </c>
      <c r="CK1126">
        <v>0</v>
      </c>
      <c r="CL1126">
        <v>0</v>
      </c>
      <c r="CM1126">
        <v>0</v>
      </c>
      <c r="CN1126">
        <v>0</v>
      </c>
      <c r="CO1126">
        <v>0</v>
      </c>
      <c r="CP1126" t="str">
        <f>IF($BN1126&lt;$BM1126,"refNeedCorrection","refOK")</f>
        <v>refOK</v>
      </c>
      <c r="CQ1126">
        <f>IF($CP1126="refNeedCorrection",BN1126,BM1126)</f>
        <v>0</v>
      </c>
      <c r="CR1126">
        <f>IF($CP1126="refNeedCorrection",BM1126,BN1126)</f>
        <v>23436</v>
      </c>
      <c r="CS1126">
        <f>IF($CP1126="refOK",$BQ1126,-$BQ1126)</f>
        <v>47.828571428571436</v>
      </c>
      <c r="CT1126">
        <f>IF(BI1126="Roundwood",$CS1126/2,$CS1126)</f>
        <v>47.828571428571436</v>
      </c>
      <c r="CU1126">
        <f>IF($CP1126="refOK",$BU1126,$BV1126)*IF($BR1126="Emissions positive",-1,1)</f>
        <v>-14600</v>
      </c>
      <c r="CV1126">
        <f>IF($CP1126="refOK",$BV1126,$BU1126)*IF($BR1126="Emissions positive",-1,1)</f>
        <v>-702</v>
      </c>
      <c r="CW1126">
        <f>IF($CP1126="refNeedCorrection",-BZ1126,BZ1126)*IF($BR1126="Emissions positive",-1,1)</f>
        <v>13.898</v>
      </c>
      <c r="CX1126">
        <f>IFERROR($CW1126/$CS1126,"")</f>
        <v>0.29057945041816002</v>
      </c>
      <c r="CY1126">
        <f>IFERROR($CW1126/$CS1126,"")</f>
        <v>0.29057945041816002</v>
      </c>
      <c r="CZ1126">
        <f>IFERROR($CW1126/$CT1126,"")</f>
        <v>0.29057945041816002</v>
      </c>
      <c r="DA1126" s="2">
        <f>IFERROR((CV1126-CU1126)/ABS(CU1126),"")</f>
        <v>0.95191780821917804</v>
      </c>
      <c r="DB1126" s="1" t="s">
        <v>1078</v>
      </c>
      <c r="DC1126" t="str">
        <f>IF(OR($DB1126="prd",$DB1126="std",$DB1126="cit"),"loc",IF(OR($DB1126="eur",$DB1126="reg",$DB1126="coy"),"reg",$DB1126))</f>
        <v>reg</v>
      </c>
      <c r="DD1126" t="s">
        <v>348</v>
      </c>
      <c r="DE1126">
        <v>2014</v>
      </c>
      <c r="DF1126">
        <v>2114</v>
      </c>
      <c r="DG1126">
        <v>100</v>
      </c>
      <c r="DH1126" t="str">
        <f>IF(DG1126=0,"0",IF(AND(DG1126&gt;=1,DG1126&lt;=30),"1-30",IF(AND(DG1126&gt;30,DG1126&lt;=70),"31-70",IF(AND(DG1126&gt;70,DG1126&lt;=100),"71-100",IF(DG1126&gt;100,"+100")))))</f>
        <v>71-100</v>
      </c>
      <c r="DI1126">
        <v>0</v>
      </c>
      <c r="DJ1126">
        <v>0</v>
      </c>
      <c r="DK1126">
        <v>0</v>
      </c>
      <c r="DL1126">
        <v>1</v>
      </c>
      <c r="DN1126">
        <f>SUM(DI1126:DL1126)</f>
        <v>1</v>
      </c>
      <c r="DO1126" t="str">
        <f>IF(DN1126=1,INDEX($DI$7:$DL$7,MATCH(1,$DI1126:$DL1126,0)),"mixedProduct")</f>
        <v>TimberInput</v>
      </c>
      <c r="DP1126">
        <f>IF(DI1126=1,DP$7,0)</f>
        <v>0</v>
      </c>
      <c r="DQ1126">
        <f>IF(DJ1126=1,DQ$7,0)</f>
        <v>0</v>
      </c>
      <c r="DR1126">
        <f>IF(DK1126=1,DR$7,0)</f>
        <v>0</v>
      </c>
      <c r="DS1126" t="str">
        <f>IF(DL1126=1,DS$7,0)</f>
        <v>Timber</v>
      </c>
      <c r="DT1126">
        <v>0</v>
      </c>
      <c r="DU1126">
        <v>0</v>
      </c>
      <c r="DV1126">
        <v>0</v>
      </c>
      <c r="DW1126">
        <v>0</v>
      </c>
      <c r="DX1126">
        <v>0</v>
      </c>
      <c r="DY1126">
        <f>SUM(DT1126:DU1126)</f>
        <v>0</v>
      </c>
      <c r="DZ1126" s="143" t="str">
        <f>IF(DT1126=1,"self-calculated DF",IF(DU1126=1,"external DF used","explicit C balance"))</f>
        <v>explicit C balance</v>
      </c>
      <c r="EA1126">
        <v>0</v>
      </c>
      <c r="EB1126">
        <v>0</v>
      </c>
      <c r="EC1126">
        <v>0</v>
      </c>
      <c r="ED1126">
        <v>0</v>
      </c>
      <c r="EE1126">
        <v>0</v>
      </c>
      <c r="EF1126" s="143">
        <v>1</v>
      </c>
      <c r="EG1126">
        <v>0</v>
      </c>
      <c r="EH1126">
        <v>1</v>
      </c>
      <c r="EI1126">
        <v>1</v>
      </c>
      <c r="EJ1126">
        <v>1</v>
      </c>
      <c r="EK1126">
        <v>0</v>
      </c>
      <c r="EL1126">
        <v>0</v>
      </c>
      <c r="EM1126">
        <v>0</v>
      </c>
      <c r="EN1126" s="2">
        <v>0</v>
      </c>
      <c r="EP1126" t="str">
        <f>IF(AND(AND(AND(OR($EC1126=1,$EB1126=1),OR($EH1126=1,$EF1126=1)),SUM($EA1126:$EE1126,$EK1126)&gt;=3),SUM($EF1126:$EJ1126)&gt;=2),"Whole sector approach","")</f>
        <v/>
      </c>
      <c r="EQ1126" t="str">
        <f>IF(AND(AND(OR($EC1126=1,$EB1126=1),AND($EH1126=0,$EF1126=0)),SUM($EA1126:$EE1126,$EK1126)&gt;=4),"Ecosystem approach","")</f>
        <v/>
      </c>
      <c r="ER1126" s="2" t="str">
        <f>IF(AND(AND(AND($EC1126=0,$EB1126=0),OR($EH1126=1,$EF1126=1)),SUM($EG1126:$EJ1126)&gt;=2),"Technology approach","")</f>
        <v>Technology approach</v>
      </c>
      <c r="ES1126" t="str">
        <f>IF(AND($EC1126+$EB1126+$EE1126+$EA1126+$ED1126+$EG1126=0,$N1126="included"),"C neutral forest and HWP assumption","")</f>
        <v>C neutral forest and HWP assumption</v>
      </c>
      <c r="ET1126" t="str">
        <f>IF(AND(AND(AND(AND($EC1126=1,$EB1126+$EA1126+$EG1126&gt;=1),$EF1126=1),$EH1126+$EI1126+$ED1126+$EE1126&gt;=2),$N1126="included"),"All C pools assumption","")</f>
        <v/>
      </c>
      <c r="EU1126" t="str">
        <f>IF(AND($ED1126+$EE1126+$EI1126+$EH1126+$EF1126=0,$N1126="included"),"In-situ only assumption","")</f>
        <v/>
      </c>
      <c r="EY1126" t="str">
        <f>IF(ISNUMBER(BW1126),IF(ABS(BW1126-[2]QC_indicators!$B$2)&gt;3*[2]QC_indicators!$C$2,"C ratio",IF(ISNUMBER(CA1126),IF(ABS(CA1126-[2]QC_indicators!$B$1)&gt;3*[2]QC_indicators!$C$1,"DF","no"))),IF(ISNUMBER(CA1126),IF(ABS(CA1126-[2]QC_indicators!$B$1)&gt;3*[2]QC_indicators!$C$1,"DF","no")))</f>
        <v>no</v>
      </c>
      <c r="FA1126" t="str">
        <f>IF(LEN($CY1126)=0,"",IF(AND($CY1126&lt;(-0.05),$ES1126="C neutral forest and HWP assumption"),"Cneutral paradox",IF(AND($CY1126&gt;0.05,$EU1126="In-situ only assumption"),"In-situ only paradox","")))</f>
        <v/>
      </c>
      <c r="FB1126" s="149" t="s">
        <v>349</v>
      </c>
      <c r="FD1126" s="260" t="s">
        <v>2948</v>
      </c>
    </row>
    <row r="1127" spans="1:160" ht="15" hidden="1" customHeight="1">
      <c r="A1127" s="1" t="s">
        <v>574</v>
      </c>
      <c r="B1127" t="s">
        <v>2244</v>
      </c>
      <c r="C1127" t="s">
        <v>2245</v>
      </c>
      <c r="D1127" t="s">
        <v>2246</v>
      </c>
      <c r="E1127" t="s">
        <v>2247</v>
      </c>
      <c r="F1127" t="s">
        <v>2248</v>
      </c>
      <c r="G1127" t="s">
        <v>580</v>
      </c>
      <c r="H1127" t="s">
        <v>254</v>
      </c>
      <c r="I1127">
        <v>2015</v>
      </c>
      <c r="J1127">
        <v>46</v>
      </c>
      <c r="K1127" t="s">
        <v>2249</v>
      </c>
      <c r="M1127" t="str">
        <f>LEFT($D1127,FIND(",",$D1127)-1)&amp;"_"&amp;I1127&amp;L1127</f>
        <v>Iritani_2015</v>
      </c>
      <c r="N1127" t="s">
        <v>222</v>
      </c>
      <c r="O1127" s="145" t="s">
        <v>508</v>
      </c>
      <c r="Q1127" t="s">
        <v>256</v>
      </c>
      <c r="R1127" s="251" t="s">
        <v>223</v>
      </c>
      <c r="S1127" s="1" t="s">
        <v>2250</v>
      </c>
      <c r="T1127" s="260" t="s">
        <v>2769</v>
      </c>
      <c r="U1127" s="260" t="s">
        <v>2770</v>
      </c>
      <c r="V1127" s="253">
        <v>0</v>
      </c>
      <c r="W1127" s="253">
        <v>0</v>
      </c>
      <c r="X1127">
        <v>0</v>
      </c>
      <c r="Y1127">
        <v>0</v>
      </c>
      <c r="Z1127">
        <v>0</v>
      </c>
      <c r="AA1127">
        <v>0</v>
      </c>
      <c r="AB1127">
        <v>0</v>
      </c>
      <c r="AC1127">
        <v>0</v>
      </c>
      <c r="AD1127">
        <v>0</v>
      </c>
      <c r="AE1127">
        <v>0</v>
      </c>
      <c r="AF1127">
        <v>0</v>
      </c>
      <c r="AG1127">
        <v>0</v>
      </c>
      <c r="AH1127">
        <v>0</v>
      </c>
      <c r="AI1127">
        <v>1</v>
      </c>
      <c r="AJ1127">
        <v>0</v>
      </c>
      <c r="AK1127">
        <v>0</v>
      </c>
      <c r="AL1127">
        <v>0</v>
      </c>
      <c r="AM1127">
        <v>0</v>
      </c>
      <c r="AN1127">
        <v>0</v>
      </c>
      <c r="AO1127">
        <v>0</v>
      </c>
      <c r="AP1127">
        <v>0</v>
      </c>
      <c r="AQ1127">
        <v>0</v>
      </c>
      <c r="AR1127">
        <v>0</v>
      </c>
      <c r="AS1127">
        <v>0</v>
      </c>
      <c r="AT1127">
        <v>0</v>
      </c>
      <c r="AU1127">
        <v>0</v>
      </c>
      <c r="AV1127">
        <v>0</v>
      </c>
      <c r="AW1127">
        <v>0</v>
      </c>
      <c r="AX1127">
        <v>0</v>
      </c>
      <c r="AY1127">
        <v>0</v>
      </c>
      <c r="AZ1127" s="141">
        <f>COUNTIF(X1127:AY1127,"&lt;&gt;0")</f>
        <v>1</v>
      </c>
      <c r="BA1127" s="141">
        <f>COUNTIF(X1127:AN1127,"&lt;&gt;0")</f>
        <v>1</v>
      </c>
      <c r="BB1127">
        <f>COUNTIF(X1127:AE1127,"&lt;&gt;0")</f>
        <v>0</v>
      </c>
      <c r="BC1127">
        <f>COUNTIF(AF1127:AK1127,"&lt;&gt;0")</f>
        <v>1</v>
      </c>
      <c r="BD1127">
        <f>COUNTIF(AL1127:AN1127,"&lt;&gt;0")</f>
        <v>0</v>
      </c>
      <c r="BE1127">
        <f>COUNTIF(AU1127:AY1127,"&lt;&gt;0")</f>
        <v>0</v>
      </c>
      <c r="BF1127">
        <f>COUNTIF(AO1127:AT1127,"&lt;&gt;0")</f>
        <v>0</v>
      </c>
      <c r="BG1127" t="str">
        <f t="array" ref="BG1127">IF(BA1127=1,INDEX($X$7:$AN$7,MATCH(TRUE,INDEX($X1127:$AY1127&lt;&gt;0,),0)),IF(BA1127=0,INDEX($AO$7:$AY$7,MATCH(1,$AO1127:$AY1127,0)),IF(BH1127="Multiple strategies","mixed drivers",IF(BH1127="Supply chain","multiple supply","multiple silviculture"))))</f>
        <v>recycling</v>
      </c>
      <c r="BH1127" s="2" t="str" cm="1">
        <f t="array" ref="BH1127">IF(COUNTIF(BB1127:BD1127,"&lt;&gt;0")=1,INDEX($X$4:$AY$4,MATCH(TRUE,INDEX($X1127:$AY1127&lt;&gt;0,),0)),IF(COUNTIF(BB1127:BD1127,"&lt;&gt;0")=0,INDEX($AO$4:$AY$4,MATCH(1,$AO1127:$AY1127,0)),"Multiple strategies"))</f>
        <v>Supply chain</v>
      </c>
      <c r="BI1127" s="1" t="s">
        <v>229</v>
      </c>
      <c r="BJ1127" t="s">
        <v>2251</v>
      </c>
      <c r="BK1127" s="260" t="s">
        <v>675</v>
      </c>
      <c r="BL1127" t="s">
        <v>345</v>
      </c>
      <c r="BM1127">
        <v>0</v>
      </c>
      <c r="BN1127">
        <v>235</v>
      </c>
      <c r="BP1127">
        <f>BN1127-BM1127</f>
        <v>235</v>
      </c>
      <c r="BQ1127">
        <f>BP1127*kg_to_m3</f>
        <v>0.47959183673469391</v>
      </c>
      <c r="BR1127" t="s">
        <v>232</v>
      </c>
      <c r="BS1127" s="153" t="s">
        <v>2771</v>
      </c>
      <c r="BT1127" t="s">
        <v>714</v>
      </c>
      <c r="BU1127">
        <v>-290.75</v>
      </c>
      <c r="BV1127">
        <f>-0.52*290.75</f>
        <v>-151.19</v>
      </c>
      <c r="BW1127" s="144">
        <f>IFERROR(BV1127/BU1127,"")</f>
        <v>0.52</v>
      </c>
      <c r="BX1127">
        <f>BV1127-BU1127</f>
        <v>139.56</v>
      </c>
      <c r="BZ1127">
        <f>BX1127/1000</f>
        <v>0.13955999999999999</v>
      </c>
      <c r="CA1127">
        <f>IFERROR(BZ1127/BQ1127,"")</f>
        <v>0.29099744680851058</v>
      </c>
      <c r="CB1127">
        <v>1</v>
      </c>
      <c r="CC1127">
        <v>0</v>
      </c>
      <c r="CD1127">
        <v>0</v>
      </c>
      <c r="CE1127">
        <v>0</v>
      </c>
      <c r="CF1127">
        <v>0</v>
      </c>
      <c r="CG1127">
        <v>0</v>
      </c>
      <c r="CH1127">
        <v>0</v>
      </c>
      <c r="CI1127">
        <v>0</v>
      </c>
      <c r="CJ1127">
        <v>0</v>
      </c>
      <c r="CK1127">
        <v>0</v>
      </c>
      <c r="CL1127">
        <v>0</v>
      </c>
      <c r="CM1127">
        <v>0</v>
      </c>
      <c r="CN1127">
        <v>0</v>
      </c>
      <c r="CO1127">
        <v>0</v>
      </c>
      <c r="CP1127" t="str">
        <f>IF($BN1127&lt;$BM1127,"refNeedCorrection","refOK")</f>
        <v>refOK</v>
      </c>
      <c r="CQ1127">
        <f>IF($CP1127="refOK",$BM1127,$BN1127)</f>
        <v>0</v>
      </c>
      <c r="CR1127">
        <f>IF($CP1127="refOK",$BN1127,$BM1127)</f>
        <v>235</v>
      </c>
      <c r="CS1127">
        <f>IF($CP1127="refOK",$BQ1127,-$BQ1127)</f>
        <v>0.47959183673469391</v>
      </c>
      <c r="CT1127">
        <f>IF(BI1127="Roundwood",$CS1127/2,$CS1127)</f>
        <v>0.47959183673469391</v>
      </c>
      <c r="CU1127">
        <f>IF($CP1127="refOK",$BU1127,$BV1127)*IF($BR1127="Emissions positive",-1,1)</f>
        <v>-290.75</v>
      </c>
      <c r="CV1127">
        <f>IF($CP1127="refOK",$BV1127,$BU1127)*IF($BR1127="Emissions positive",-1,1)</f>
        <v>-151.19</v>
      </c>
      <c r="CW1127">
        <f>IF($CP1127="refNeedCorrection",-BZ1127,BZ1127)*IF($BR1127="Emissions positive",-1,1)</f>
        <v>0.13955999999999999</v>
      </c>
      <c r="CX1127">
        <f>IFERROR($CW1127/$CS1127,"")</f>
        <v>0.29099744680851058</v>
      </c>
      <c r="CY1127">
        <f>IFERROR($CW1127/$CS1127,"")</f>
        <v>0.29099744680851058</v>
      </c>
      <c r="CZ1127">
        <f>IFERROR($CW1127/$CT1127,"")</f>
        <v>0.29099744680851058</v>
      </c>
      <c r="DA1127" s="2">
        <f>IFERROR((CV1127-CU1127)/ABS(CU1127),"")</f>
        <v>0.48</v>
      </c>
      <c r="DB1127" s="259" t="s">
        <v>263</v>
      </c>
      <c r="DC1127" t="str">
        <f>IF(OR($DB1127="prd",$DB1127="std",$DB1127="cit"),"loc",IF(OR($DB1127="eur",$DB1127="reg",$DB1127="coy"),"reg",$DB1127))</f>
        <v>loc</v>
      </c>
      <c r="DD1127" s="260" t="s">
        <v>513</v>
      </c>
      <c r="DG1127">
        <v>0</v>
      </c>
      <c r="DH1127" t="str">
        <f>IF(DG1127=0,"0",IF(AND(DG1127&gt;=1,DG1127&lt;=30),"1-30",IF(AND(DG1127&gt;30,DG1127&lt;=70),"31-70",IF(AND(DG1127&gt;70,DG1127&lt;=100),"71-100",IF(DG1127&gt;100,"+100")))))</f>
        <v>0</v>
      </c>
      <c r="DI1127">
        <v>0</v>
      </c>
      <c r="DJ1127">
        <v>0</v>
      </c>
      <c r="DK1127">
        <v>0</v>
      </c>
      <c r="DL1127">
        <v>1</v>
      </c>
      <c r="DN1127">
        <f>SUM(DI1127:DL1127)</f>
        <v>1</v>
      </c>
      <c r="DO1127" t="str">
        <f>IF(DN1127=1,INDEX($DI$7:$DL$7,MATCH(1,$DI1127:$DL1127,0)),"mixedProduct")</f>
        <v>TimberInput</v>
      </c>
      <c r="DP1127">
        <f>IF(DI1127=1,DP$7,0)</f>
        <v>0</v>
      </c>
      <c r="DQ1127">
        <f>IF(DJ1127=1,DQ$7,0)</f>
        <v>0</v>
      </c>
      <c r="DR1127">
        <f>IF(DK1127=1,DR$7,0)</f>
        <v>0</v>
      </c>
      <c r="DS1127" t="str">
        <f>IF(DL1127=1,DS$7,0)</f>
        <v>Timber</v>
      </c>
      <c r="DT1127">
        <v>0</v>
      </c>
      <c r="DU1127">
        <v>0</v>
      </c>
      <c r="DV1127">
        <v>0</v>
      </c>
      <c r="DW1127">
        <v>0</v>
      </c>
      <c r="DX1127">
        <v>0</v>
      </c>
      <c r="DY1127">
        <f>SUM(DT1127:DU1127)</f>
        <v>0</v>
      </c>
      <c r="DZ1127" s="143" t="str">
        <f>IF(DT1127=1,"self-calculated DF",IF(DU1127=1,"external DF used","explicit C balance"))</f>
        <v>explicit C balance</v>
      </c>
      <c r="EA1127">
        <v>0</v>
      </c>
      <c r="EB1127">
        <v>0</v>
      </c>
      <c r="EC1127">
        <v>0</v>
      </c>
      <c r="ED1127">
        <v>0</v>
      </c>
      <c r="EE1127">
        <v>0</v>
      </c>
      <c r="EF1127" s="143">
        <v>1</v>
      </c>
      <c r="EG1127">
        <v>0</v>
      </c>
      <c r="EH1127">
        <v>1</v>
      </c>
      <c r="EI1127">
        <v>0</v>
      </c>
      <c r="EJ1127">
        <v>0</v>
      </c>
      <c r="EK1127">
        <v>0</v>
      </c>
      <c r="EL1127">
        <v>0</v>
      </c>
      <c r="EM1127">
        <v>0</v>
      </c>
      <c r="EN1127" s="2">
        <v>0</v>
      </c>
      <c r="EP1127" t="str">
        <f>IF(AND(AND(AND(OR($EC1127=1,$EB1127=1),OR($EH1127=1,$EF1127=1)),SUM($EA1127:$EE1127,$EK1127)&gt;=3),SUM($EF1127:$EJ1127)&gt;=2),"Whole sector approach","")</f>
        <v/>
      </c>
      <c r="EQ1127" t="str">
        <f>IF(AND(AND(OR($EC1127=1,$EB1127=1),AND($EH1127=0,$EF1127=0)),SUM($EA1127:$EE1127,$EK1127)&gt;=4),"Ecosystem approach","")</f>
        <v/>
      </c>
      <c r="ER1127" s="2" t="str">
        <f>IF(AND(AND(AND($EC1127=0,$EB1127=0),OR($EH1127=1,$EF1127=1)),SUM($EG1127:$EJ1127)&gt;=2),"Technology approach","")</f>
        <v/>
      </c>
      <c r="ES1127" t="str">
        <f>IF(AND($EC1127+$EB1127+$EE1127+$EA1127+$ED1127+$EG1127=0,$N1127="included"),"C neutral forest and HWP assumption","")</f>
        <v>C neutral forest and HWP assumption</v>
      </c>
      <c r="ET1127" t="str">
        <f>IF(AND(AND(AND(AND($EC1127=1,$EB1127+$EA1127+$EG1127&gt;=1),$EF1127=1),$EH1127+$EI1127+$ED1127+$EE1127&gt;=2),$N1127="included"),"All C pools assumption","")</f>
        <v/>
      </c>
      <c r="EU1127" t="str">
        <f>IF(AND($ED1127+$EE1127+$EI1127+$EH1127+$EF1127=0,$N1127="included"),"In-situ only assumption","")</f>
        <v/>
      </c>
      <c r="EY1127" t="str">
        <f>IF(ISNUMBER(BW1127),IF(ABS(BW1127-[2]QC_indicators!$B$2)&gt;3*[2]QC_indicators!$C$2,"C ratio",IF(ISNUMBER(CA1127),IF(ABS(CA1127-[2]QC_indicators!$B$1)&gt;3*[2]QC_indicators!$C$1,"DF","no"))),IF(ISNUMBER(CA1127),IF(ABS(CA1127-[2]QC_indicators!$B$1)&gt;3*[2]QC_indicators!$C$1,"DF","no")))</f>
        <v>no</v>
      </c>
      <c r="FA1127" t="str">
        <f>IF(LEN($CY1127)=0,"",IF(AND($CY1127&lt;(-0.05),$ES1127="C neutral forest and HWP assumption"),"Cneutral paradox",IF(AND($CY1127&gt;0.05,$EU1127="In-situ only assumption"),"In-situ only paradox","")))</f>
        <v/>
      </c>
      <c r="FD1127" s="260" t="s">
        <v>2772</v>
      </c>
    </row>
    <row r="1128" spans="1:160" ht="15" hidden="1" customHeight="1">
      <c r="A1128" s="1" t="s">
        <v>1108</v>
      </c>
      <c r="B1128" t="s">
        <v>1109</v>
      </c>
      <c r="C1128" t="s">
        <v>1110</v>
      </c>
      <c r="D1128" t="s">
        <v>336</v>
      </c>
      <c r="E1128" t="s">
        <v>1111</v>
      </c>
      <c r="F1128" t="s">
        <v>1112</v>
      </c>
      <c r="G1128" t="s">
        <v>1113</v>
      </c>
      <c r="I1128">
        <v>2018</v>
      </c>
      <c r="K1128" t="s">
        <v>1114</v>
      </c>
      <c r="M1128" t="str">
        <f>LEFT($D1128,FIND(",",$D1128)-1)&amp;"_"&amp;I1128&amp;L1128</f>
        <v>Balasbaneh_2018</v>
      </c>
      <c r="N1128" t="s">
        <v>222</v>
      </c>
      <c r="O1128" s="140" t="s">
        <v>508</v>
      </c>
      <c r="Q1128" t="s">
        <v>224</v>
      </c>
      <c r="R1128" s="258" t="s">
        <v>223</v>
      </c>
      <c r="S1128" s="1" t="s">
        <v>1130</v>
      </c>
      <c r="T1128" s="260" t="s">
        <v>2791</v>
      </c>
      <c r="U1128" s="260" t="s">
        <v>2790</v>
      </c>
      <c r="V1128" s="253">
        <v>0</v>
      </c>
      <c r="W1128" s="253">
        <v>0</v>
      </c>
      <c r="X1128">
        <v>0</v>
      </c>
      <c r="Y1128">
        <v>0</v>
      </c>
      <c r="Z1128">
        <v>0</v>
      </c>
      <c r="AA1128">
        <v>0</v>
      </c>
      <c r="AB1128">
        <v>0</v>
      </c>
      <c r="AC1128">
        <v>0</v>
      </c>
      <c r="AD1128">
        <v>0</v>
      </c>
      <c r="AE1128">
        <v>0</v>
      </c>
      <c r="AF1128">
        <v>0</v>
      </c>
      <c r="AG1128">
        <v>0</v>
      </c>
      <c r="AH1128">
        <v>0</v>
      </c>
      <c r="AI1128">
        <v>0</v>
      </c>
      <c r="AJ1128">
        <v>0</v>
      </c>
      <c r="AK1128">
        <v>0</v>
      </c>
      <c r="AL1128">
        <v>0</v>
      </c>
      <c r="AM1128">
        <v>1</v>
      </c>
      <c r="AN1128">
        <v>0</v>
      </c>
      <c r="AO1128">
        <v>0</v>
      </c>
      <c r="AP1128">
        <v>0</v>
      </c>
      <c r="AQ1128">
        <v>0</v>
      </c>
      <c r="AR1128">
        <v>0</v>
      </c>
      <c r="AS1128">
        <v>0</v>
      </c>
      <c r="AT1128">
        <v>0</v>
      </c>
      <c r="AU1128">
        <v>0</v>
      </c>
      <c r="AV1128">
        <v>0</v>
      </c>
      <c r="AW1128">
        <v>0</v>
      </c>
      <c r="AX1128">
        <v>0</v>
      </c>
      <c r="AY1128">
        <v>0</v>
      </c>
      <c r="AZ1128" s="141">
        <f>COUNTIF(X1128:AY1128,"&lt;&gt;0")</f>
        <v>1</v>
      </c>
      <c r="BA1128" s="141">
        <f>COUNTIF(X1128:AN1128,"&lt;&gt;0")</f>
        <v>1</v>
      </c>
      <c r="BB1128">
        <f>COUNTIF(X1128:AE1128,"&lt;&gt;0")</f>
        <v>0</v>
      </c>
      <c r="BC1128">
        <f>COUNTIF(AF1128:AK1128,"&lt;&gt;0")</f>
        <v>0</v>
      </c>
      <c r="BD1128">
        <f>COUNTIF(AL1128:AN1128,"&lt;&gt;0")</f>
        <v>1</v>
      </c>
      <c r="BE1128">
        <f>COUNTIF(AU1128:AY1128,"&lt;&gt;0")</f>
        <v>0</v>
      </c>
      <c r="BF1128">
        <f>COUNTIF(AO1128:AT1128,"&lt;&gt;0")</f>
        <v>0</v>
      </c>
      <c r="BG1128" t="str">
        <f t="array" ref="BG1128">IF(BA1128=1,INDEX($X$7:$AN$7,MATCH(TRUE,INDEX($X1128:$AY1128&lt;&gt;0,),0)),IF(BA1128=0,INDEX($AO$7:$AY$7,MATCH(1,$AO1128:$AY1128,0)),IF(BH1128="Multiple strategies","mixed drivers",IF(BH1128="Supply chain","multiple supply","multiple silviculture"))))</f>
        <v>technologies/design switch</v>
      </c>
      <c r="BH1128" s="2" t="str" cm="1">
        <f t="array" ref="BH1128">IF(COUNTIF(BB1128:BD1128,"&lt;&gt;0")=1,INDEX($X$4:$AY$4,MATCH(TRUE,INDEX($X1128:$AY1128&lt;&gt;0,),0)),IF(COUNTIF(BB1128:BD1128,"&lt;&gt;0")=0,INDEX($AO$4:$AY$4,MATCH(1,$AO1128:$AY1128,0)),"Multiple strategies"))</f>
        <v>Technology</v>
      </c>
      <c r="BI1128" s="1" t="s">
        <v>229</v>
      </c>
      <c r="BJ1128" t="s">
        <v>229</v>
      </c>
      <c r="BL1128" t="s">
        <v>345</v>
      </c>
      <c r="BM1128">
        <v>0</v>
      </c>
      <c r="BN1128">
        <v>15468</v>
      </c>
      <c r="BO1128" s="143"/>
      <c r="BP1128">
        <f>BN1128-BM1128</f>
        <v>15468</v>
      </c>
      <c r="BQ1128" s="143">
        <f>BP1128*kg_to_m3</f>
        <v>31.567346938775515</v>
      </c>
      <c r="BR1128" t="s">
        <v>232</v>
      </c>
      <c r="BS1128" s="153" t="s">
        <v>987</v>
      </c>
      <c r="BT1128" t="s">
        <v>397</v>
      </c>
      <c r="BU1128">
        <v>-14600</v>
      </c>
      <c r="BV1128">
        <v>-5370</v>
      </c>
      <c r="BW1128" s="144">
        <v>0.36780821917808221</v>
      </c>
      <c r="BX1128">
        <v>9230</v>
      </c>
      <c r="BZ1128">
        <f>BX1128/1000</f>
        <v>9.23</v>
      </c>
      <c r="CA1128">
        <f>IFERROR(BZ1128/BQ1128,"")</f>
        <v>0.29239074217739847</v>
      </c>
      <c r="CB1128">
        <v>0</v>
      </c>
      <c r="CC1128">
        <v>0</v>
      </c>
      <c r="CD1128">
        <v>0</v>
      </c>
      <c r="CE1128">
        <v>0</v>
      </c>
      <c r="CF1128">
        <v>0</v>
      </c>
      <c r="CG1128">
        <v>0</v>
      </c>
      <c r="CH1128">
        <v>0</v>
      </c>
      <c r="CI1128">
        <v>0</v>
      </c>
      <c r="CJ1128">
        <v>0</v>
      </c>
      <c r="CK1128">
        <v>0</v>
      </c>
      <c r="CL1128">
        <v>0</v>
      </c>
      <c r="CM1128">
        <v>0</v>
      </c>
      <c r="CN1128">
        <v>0</v>
      </c>
      <c r="CO1128">
        <v>0</v>
      </c>
      <c r="CP1128" t="str">
        <f>IF($BN1128&lt;$BM1128,"refNeedCorrection","refOK")</f>
        <v>refOK</v>
      </c>
      <c r="CQ1128">
        <f>IF($CP1128="refNeedCorrection",BN1128,BM1128)</f>
        <v>0</v>
      </c>
      <c r="CR1128">
        <f>IF($CP1128="refNeedCorrection",BM1128,BN1128)</f>
        <v>15468</v>
      </c>
      <c r="CS1128">
        <f>IF($CP1128="refOK",$BQ1128,-$BQ1128)</f>
        <v>31.567346938775515</v>
      </c>
      <c r="CT1128">
        <f>IF(BI1128="Roundwood",$CS1128/2,$CS1128)</f>
        <v>31.567346938775515</v>
      </c>
      <c r="CU1128">
        <f>IF($CP1128="refOK",$BU1128,$BV1128)*IF($BR1128="Emissions positive",-1,1)</f>
        <v>-14600</v>
      </c>
      <c r="CV1128">
        <f>IF($CP1128="refOK",$BV1128,$BU1128)*IF($BR1128="Emissions positive",-1,1)</f>
        <v>-5370</v>
      </c>
      <c r="CW1128">
        <f>IF($CP1128="refNeedCorrection",-BZ1128,BZ1128)*IF($BR1128="Emissions positive",-1,1)</f>
        <v>9.23</v>
      </c>
      <c r="CX1128">
        <f>IFERROR($CW1128/$CS1128,"")</f>
        <v>0.29239074217739847</v>
      </c>
      <c r="CY1128">
        <f>IFERROR($CW1128/$CS1128,"")</f>
        <v>0.29239074217739847</v>
      </c>
      <c r="CZ1128">
        <f>IFERROR($CW1128/$CT1128,"")</f>
        <v>0.29239074217739847</v>
      </c>
      <c r="DA1128" s="2">
        <f>IFERROR((CV1128-CU1128)/ABS(CU1128),"")</f>
        <v>0.63219178082191785</v>
      </c>
      <c r="DB1128" s="1" t="s">
        <v>1078</v>
      </c>
      <c r="DC1128" t="str">
        <f>IF(OR($DB1128="prd",$DB1128="std",$DB1128="cit"),"loc",IF(OR($DB1128="eur",$DB1128="reg",$DB1128="coy"),"reg",$DB1128))</f>
        <v>reg</v>
      </c>
      <c r="DD1128" t="s">
        <v>348</v>
      </c>
      <c r="DE1128">
        <v>2014</v>
      </c>
      <c r="DF1128">
        <v>2114</v>
      </c>
      <c r="DG1128">
        <v>100</v>
      </c>
      <c r="DH1128" t="str">
        <f>IF(DG1128=0,"0",IF(AND(DG1128&gt;=1,DG1128&lt;=30),"1-30",IF(AND(DG1128&gt;30,DG1128&lt;=70),"31-70",IF(AND(DG1128&gt;70,DG1128&lt;=100),"71-100",IF(DG1128&gt;100,"+100")))))</f>
        <v>71-100</v>
      </c>
      <c r="DI1128">
        <v>0</v>
      </c>
      <c r="DJ1128">
        <v>0</v>
      </c>
      <c r="DK1128">
        <v>0</v>
      </c>
      <c r="DL1128">
        <v>1</v>
      </c>
      <c r="DN1128">
        <f>SUM(DI1128:DL1128)</f>
        <v>1</v>
      </c>
      <c r="DO1128" t="str">
        <f>IF(DN1128=1,INDEX($DI$7:$DL$7,MATCH(1,$DI1128:$DL1128,0)),"mixedProduct")</f>
        <v>TimberInput</v>
      </c>
      <c r="DP1128">
        <f>IF(DI1128=1,DP$7,0)</f>
        <v>0</v>
      </c>
      <c r="DQ1128">
        <f>IF(DJ1128=1,DQ$7,0)</f>
        <v>0</v>
      </c>
      <c r="DR1128">
        <f>IF(DK1128=1,DR$7,0)</f>
        <v>0</v>
      </c>
      <c r="DS1128" t="str">
        <f>IF(DL1128=1,DS$7,0)</f>
        <v>Timber</v>
      </c>
      <c r="DT1128">
        <v>0</v>
      </c>
      <c r="DU1128">
        <v>0</v>
      </c>
      <c r="DV1128">
        <v>0</v>
      </c>
      <c r="DW1128">
        <v>0</v>
      </c>
      <c r="DX1128">
        <v>0</v>
      </c>
      <c r="DY1128">
        <f>SUM(DT1128:DU1128)</f>
        <v>0</v>
      </c>
      <c r="DZ1128" s="143" t="str">
        <f>IF(DT1128=1,"self-calculated DF",IF(DU1128=1,"external DF used","explicit C balance"))</f>
        <v>explicit C balance</v>
      </c>
      <c r="EA1128">
        <v>0</v>
      </c>
      <c r="EB1128">
        <v>0</v>
      </c>
      <c r="EC1128">
        <v>0</v>
      </c>
      <c r="ED1128">
        <v>0</v>
      </c>
      <c r="EE1128">
        <v>0</v>
      </c>
      <c r="EF1128" s="143">
        <v>1</v>
      </c>
      <c r="EG1128">
        <v>0</v>
      </c>
      <c r="EH1128">
        <v>1</v>
      </c>
      <c r="EI1128">
        <v>1</v>
      </c>
      <c r="EJ1128">
        <v>1</v>
      </c>
      <c r="EK1128">
        <v>0</v>
      </c>
      <c r="EL1128">
        <v>0</v>
      </c>
      <c r="EM1128">
        <v>0</v>
      </c>
      <c r="EN1128" s="2">
        <v>0</v>
      </c>
      <c r="EP1128" t="str">
        <f>IF(AND(AND(AND(OR($EC1128=1,$EB1128=1),OR($EH1128=1,$EF1128=1)),SUM($EA1128:$EE1128,$EK1128)&gt;=3),SUM($EF1128:$EJ1128)&gt;=2),"Whole sector approach","")</f>
        <v/>
      </c>
      <c r="EQ1128" t="str">
        <f>IF(AND(AND(OR($EC1128=1,$EB1128=1),AND($EH1128=0,$EF1128=0)),SUM($EA1128:$EE1128,$EK1128)&gt;=4),"Ecosystem approach","")</f>
        <v/>
      </c>
      <c r="ER1128" s="2" t="str">
        <f>IF(AND(AND(AND($EC1128=0,$EB1128=0),OR($EH1128=1,$EF1128=1)),SUM($EG1128:$EJ1128)&gt;=2),"Technology approach","")</f>
        <v>Technology approach</v>
      </c>
      <c r="ES1128" t="str">
        <f>IF(AND($EC1128+$EB1128+$EE1128+$EA1128+$ED1128+$EG1128=0,$N1128="included"),"C neutral forest and HWP assumption","")</f>
        <v>C neutral forest and HWP assumption</v>
      </c>
      <c r="ET1128" t="str">
        <f>IF(AND(AND(AND(AND($EC1128=1,$EB1128+$EA1128+$EG1128&gt;=1),$EF1128=1),$EH1128+$EI1128+$ED1128+$EE1128&gt;=2),$N1128="included"),"All C pools assumption","")</f>
        <v/>
      </c>
      <c r="EU1128" t="str">
        <f>IF(AND($ED1128+$EE1128+$EI1128+$EH1128+$EF1128=0,$N1128="included"),"In-situ only assumption","")</f>
        <v/>
      </c>
      <c r="EY1128" t="str">
        <f>IF(ISNUMBER(BW1128),IF(ABS(BW1128-[2]QC_indicators!$B$2)&gt;3*[2]QC_indicators!$C$2,"C ratio",IF(ISNUMBER(CA1128),IF(ABS(CA1128-[2]QC_indicators!$B$1)&gt;3*[2]QC_indicators!$C$1,"DF","no"))),IF(ISNUMBER(CA1128),IF(ABS(CA1128-[2]QC_indicators!$B$1)&gt;3*[2]QC_indicators!$C$1,"DF","no")))</f>
        <v>no</v>
      </c>
      <c r="FA1128" t="str">
        <f>IF(LEN($CY1128)=0,"",IF(AND($CY1128&lt;(-0.05),$ES1128="C neutral forest and HWP assumption"),"Cneutral paradox",IF(AND($CY1128&gt;0.05,$EU1128="In-situ only assumption"),"In-situ only paradox","")))</f>
        <v/>
      </c>
      <c r="FB1128" s="149" t="s">
        <v>349</v>
      </c>
      <c r="FD1128" s="260" t="s">
        <v>2948</v>
      </c>
    </row>
    <row r="1129" spans="1:160" ht="15" hidden="1" customHeight="1">
      <c r="D1129" t="s">
        <v>1508</v>
      </c>
      <c r="E1129" t="s">
        <v>1509</v>
      </c>
      <c r="G1129" t="s">
        <v>1510</v>
      </c>
      <c r="I1129">
        <v>2007</v>
      </c>
      <c r="K1129" t="s">
        <v>1511</v>
      </c>
      <c r="M1129" t="str">
        <f>LEFT($D1129,FIND(",",$D1129)-1)&amp;"_"&amp;I1129&amp;L1129</f>
        <v>Gustavsson_2007</v>
      </c>
      <c r="N1129" t="s">
        <v>222</v>
      </c>
      <c r="O1129" t="s">
        <v>223</v>
      </c>
      <c r="Q1129" t="s">
        <v>256</v>
      </c>
      <c r="R1129" s="264" t="s">
        <v>274</v>
      </c>
      <c r="S1129" s="1" t="s">
        <v>1512</v>
      </c>
      <c r="T1129" t="s">
        <v>1522</v>
      </c>
      <c r="U1129" s="143" t="s">
        <v>1523</v>
      </c>
      <c r="V1129" s="253">
        <v>0</v>
      </c>
      <c r="W1129" s="253">
        <v>0</v>
      </c>
      <c r="X1129">
        <v>0</v>
      </c>
      <c r="Y1129">
        <v>0</v>
      </c>
      <c r="Z1129">
        <v>0</v>
      </c>
      <c r="AA1129">
        <v>0</v>
      </c>
      <c r="AB1129">
        <v>0</v>
      </c>
      <c r="AC1129">
        <v>0</v>
      </c>
      <c r="AD1129">
        <v>0</v>
      </c>
      <c r="AE1129">
        <v>0</v>
      </c>
      <c r="AF1129">
        <v>0</v>
      </c>
      <c r="AG1129">
        <v>0</v>
      </c>
      <c r="AH1129">
        <v>0</v>
      </c>
      <c r="AI1129">
        <v>0</v>
      </c>
      <c r="AJ1129">
        <v>0</v>
      </c>
      <c r="AK1129">
        <v>0</v>
      </c>
      <c r="AL1129">
        <v>0</v>
      </c>
      <c r="AM1129">
        <v>1</v>
      </c>
      <c r="AN1129">
        <v>0</v>
      </c>
      <c r="AO1129">
        <v>0</v>
      </c>
      <c r="AP1129">
        <v>0</v>
      </c>
      <c r="AQ1129">
        <v>0</v>
      </c>
      <c r="AR1129">
        <v>0</v>
      </c>
      <c r="AS1129">
        <v>0</v>
      </c>
      <c r="AT1129">
        <v>0</v>
      </c>
      <c r="AU1129">
        <v>0</v>
      </c>
      <c r="AV1129">
        <v>0</v>
      </c>
      <c r="AW1129">
        <v>0</v>
      </c>
      <c r="AX1129">
        <v>0</v>
      </c>
      <c r="AY1129">
        <v>0</v>
      </c>
      <c r="AZ1129" s="141">
        <f>COUNTIF(X1129:AY1129,"&lt;&gt;0")</f>
        <v>1</v>
      </c>
      <c r="BA1129" s="141">
        <f>COUNTIF(X1129:AN1129,"&lt;&gt;0")</f>
        <v>1</v>
      </c>
      <c r="BB1129">
        <f>COUNTIF(X1129:AE1129,"&lt;&gt;0")</f>
        <v>0</v>
      </c>
      <c r="BC1129">
        <f>COUNTIF(AF1129:AK1129,"&lt;&gt;0")</f>
        <v>0</v>
      </c>
      <c r="BD1129">
        <f>COUNTIF(AL1129:AN1129,"&lt;&gt;0")</f>
        <v>1</v>
      </c>
      <c r="BE1129">
        <f>COUNTIF(AU1129:AY1129,"&lt;&gt;0")</f>
        <v>0</v>
      </c>
      <c r="BF1129">
        <f>COUNTIF(AO1129:AT1129,"&lt;&gt;0")</f>
        <v>0</v>
      </c>
      <c r="BG1129" t="str">
        <f t="array" ref="BG1129">IF(BA1129=1,INDEX($X$7:$AN$7,MATCH(TRUE,INDEX($X1129:$AY1129&lt;&gt;0,),0)),IF(BA1129=0,INDEX($AO$7:$AY$7,MATCH(1,$AO1129:$AY1129,0)),IF(BH1129="Multiple strategies","mixed drivers",IF(BH1129="Supply chain","multiple supply","multiple silviculture"))))</f>
        <v>technologies/design switch</v>
      </c>
      <c r="BH1129" s="2" t="str" cm="1">
        <f t="array" ref="BH1129">IF(COUNTIF(BB1129:BD1129,"&lt;&gt;0")=1,INDEX($X$4:$AY$4,MATCH(TRUE,INDEX($X1129:$AY1129&lt;&gt;0,),0)),IF(COUNTIF(BB1129:BD1129,"&lt;&gt;0")=0,INDEX($AO$4:$AY$4,MATCH(1,$AO1129:$AY1129,0)),"Multiple strategies"))</f>
        <v>Technology</v>
      </c>
      <c r="BI1129" s="142" t="s">
        <v>229</v>
      </c>
      <c r="BJ1129" t="s">
        <v>1514</v>
      </c>
      <c r="BK1129" s="260" t="s">
        <v>987</v>
      </c>
      <c r="BL1129" s="143" t="s">
        <v>2940</v>
      </c>
      <c r="BM1129">
        <v>0</v>
      </c>
      <c r="BN1129" s="143">
        <v>74.7</v>
      </c>
      <c r="BO1129" s="143"/>
      <c r="BP1129">
        <f>BN1129-BM1129</f>
        <v>74.7</v>
      </c>
      <c r="BQ1129" s="143">
        <f>1000*BN1129/15.3/400</f>
        <v>12.205882352941176</v>
      </c>
      <c r="BR1129" t="s">
        <v>232</v>
      </c>
      <c r="BT1129" t="s">
        <v>907</v>
      </c>
      <c r="BU1129" s="143">
        <v>-1</v>
      </c>
      <c r="BV1129" s="151">
        <v>0</v>
      </c>
      <c r="BW1129">
        <v>0</v>
      </c>
      <c r="BX1129">
        <v>1</v>
      </c>
      <c r="BZ1129">
        <f>BX1129*C_to_CO2</f>
        <v>3.67</v>
      </c>
      <c r="CA1129">
        <f>IFERROR(BZ1129/BQ1129,"")</f>
        <v>0.30067469879518072</v>
      </c>
      <c r="CB1129" s="143">
        <v>0</v>
      </c>
      <c r="CC1129" s="143">
        <v>0</v>
      </c>
      <c r="CD1129" s="143">
        <v>0</v>
      </c>
      <c r="CE1129" s="143">
        <v>0</v>
      </c>
      <c r="CF1129" s="143">
        <v>0</v>
      </c>
      <c r="CG1129" s="143">
        <v>0</v>
      </c>
      <c r="CH1129" s="143">
        <v>0</v>
      </c>
      <c r="CI1129" s="143">
        <v>0</v>
      </c>
      <c r="CJ1129" s="143">
        <v>0</v>
      </c>
      <c r="CK1129" s="143">
        <v>0</v>
      </c>
      <c r="CL1129" s="143">
        <v>0</v>
      </c>
      <c r="CM1129" s="143">
        <v>0</v>
      </c>
      <c r="CN1129" s="143">
        <v>0</v>
      </c>
      <c r="CO1129">
        <v>1</v>
      </c>
      <c r="CP1129" t="str">
        <f>IF($BN1129&lt;$BM1129,"refNeedCorrection","refOK")</f>
        <v>refOK</v>
      </c>
      <c r="CQ1129">
        <f>IF($CP1129="refOK",$BM1129,$BN1129)</f>
        <v>0</v>
      </c>
      <c r="CR1129">
        <f>IF($CP1129="refOK",$BN1129,$BM1129)</f>
        <v>74.7</v>
      </c>
      <c r="CS1129">
        <f>IF($CP1129="refOK",$BQ1129,-$BQ1129)</f>
        <v>12.205882352941176</v>
      </c>
      <c r="CT1129">
        <f>IF(BI1129="Roundwood",$CS1129/2,$CS1129)</f>
        <v>12.205882352941176</v>
      </c>
      <c r="CU1129">
        <f>IF($CP1129="refOK",$BU1129,$BV1129)*IF($BR1129="Emissions positive",-1,1)</f>
        <v>-1</v>
      </c>
      <c r="CV1129">
        <f>IF($CP1129="refOK",$BV1129,$BU1129)*IF($BR1129="Emissions positive",-1,1)</f>
        <v>0</v>
      </c>
      <c r="CW1129">
        <f>IF($CP1129="refNeedCorrection",-BZ1129,BZ1129)*IF($BR1129="Emissions positive",-1,1)</f>
        <v>3.67</v>
      </c>
      <c r="CX1129">
        <f>IFERROR($CW1129/$CS1129,"")</f>
        <v>0.30067469879518072</v>
      </c>
      <c r="CY1129">
        <f>IFERROR($CW1129/$CS1129,"")</f>
        <v>0.30067469879518072</v>
      </c>
      <c r="CZ1129">
        <f>IFERROR($CW1129/$CT1129,"")</f>
        <v>0.30067469879518072</v>
      </c>
      <c r="DA1129" s="2">
        <f>IFERROR((CV1129-CU1129)/ABS(CU1129),"")</f>
        <v>1</v>
      </c>
      <c r="DB1129" s="1" t="s">
        <v>1078</v>
      </c>
      <c r="DC1129" t="str">
        <f>IF(OR($DB1129="prd",$DB1129="std",$DB1129="cit"),"loc",IF(OR($DB1129="eur",$DB1129="reg",$DB1129="coy"),"reg",$DB1129))</f>
        <v>reg</v>
      </c>
      <c r="DD1129" t="s">
        <v>444</v>
      </c>
      <c r="DF1129" s="143"/>
      <c r="DG1129" s="143">
        <v>0</v>
      </c>
      <c r="DH1129" t="str">
        <f>IF(DG1129=0,"0",IF(AND(DG1129&gt;=1,DG1129&lt;=30),"1-30",IF(AND(DG1129&gt;30,DG1129&lt;=70),"31-70",IF(AND(DG1129&gt;70,DG1129&lt;=100),"71-100",IF(DG1129&gt;100,"+100")))))</f>
        <v>0</v>
      </c>
      <c r="DI1129">
        <v>0</v>
      </c>
      <c r="DJ1129">
        <v>1</v>
      </c>
      <c r="DK1129">
        <v>0</v>
      </c>
      <c r="DL1129">
        <v>0</v>
      </c>
      <c r="DN1129">
        <f>SUM(DI1129:DL1129)</f>
        <v>1</v>
      </c>
      <c r="DO1129" t="str">
        <f>IF(DN1129=1,INDEX($DI$7:$DL$7,MATCH(1,$DI1129:$DL1129,0)),"mixedProduct")</f>
        <v>EnergyInput</v>
      </c>
      <c r="DP1129">
        <f>IF(DI1129=1,DP$7,0)</f>
        <v>0</v>
      </c>
      <c r="DQ1129" t="str">
        <f>IF(DJ1129=1,DQ$7,0)</f>
        <v>Energy</v>
      </c>
      <c r="DR1129">
        <f>IF(DK1129=1,DR$7,0)</f>
        <v>0</v>
      </c>
      <c r="DS1129">
        <f>IF(DL1129=1,DS$7,0)</f>
        <v>0</v>
      </c>
      <c r="DT1129">
        <v>0</v>
      </c>
      <c r="DU1129" s="143">
        <v>0</v>
      </c>
      <c r="DV1129" s="143">
        <v>0</v>
      </c>
      <c r="DW1129">
        <v>0</v>
      </c>
      <c r="DX1129" s="143">
        <v>0</v>
      </c>
      <c r="DY1129">
        <f>SUM(DT1129:DU1129)</f>
        <v>0</v>
      </c>
      <c r="DZ1129" s="143" t="str">
        <f>IF(DT1129=1,"self-calculated DF",IF(DU1129=1,"external DF used","explicit C balance"))</f>
        <v>explicit C balance</v>
      </c>
      <c r="EA1129" s="143">
        <v>0</v>
      </c>
      <c r="EB1129" s="143">
        <v>0</v>
      </c>
      <c r="EC1129" s="143">
        <v>0</v>
      </c>
      <c r="ED1129" s="143">
        <v>0</v>
      </c>
      <c r="EE1129">
        <v>0</v>
      </c>
      <c r="EF1129" s="143">
        <v>0</v>
      </c>
      <c r="EG1129" s="143">
        <v>0</v>
      </c>
      <c r="EH1129" s="143">
        <v>1</v>
      </c>
      <c r="EI1129" s="143">
        <v>0</v>
      </c>
      <c r="EJ1129">
        <v>0</v>
      </c>
      <c r="EK1129">
        <v>0</v>
      </c>
      <c r="EL1129" s="143">
        <v>0</v>
      </c>
      <c r="EM1129" s="143">
        <v>0</v>
      </c>
      <c r="EN1129" s="2">
        <v>0</v>
      </c>
      <c r="EP1129" t="str">
        <f>IF(AND(AND(AND(OR($EC1129=1,$EB1129=1),OR($EH1129=1,$EF1129=1)),SUM($EA1129:$EE1129,$EK1129)&gt;=3),SUM($EF1129:$EJ1129)&gt;=2),"Whole sector approach","")</f>
        <v/>
      </c>
      <c r="EQ1129" t="str">
        <f>IF(AND(AND(OR($EC1129=1,$EB1129=1),AND($EH1129=0,$EF1129=0)),SUM($EA1129:$EE1129,$EK1129)&gt;=4),"Ecosystem approach","")</f>
        <v/>
      </c>
      <c r="ER1129" s="2" t="str">
        <f>IF(AND(AND(AND($EC1129=0,$EB1129=0),OR($EH1129=1,$EF1129=1)),SUM($EG1129:$EJ1129)&gt;=2),"Technology approach","")</f>
        <v/>
      </c>
      <c r="ES1129" t="str">
        <f>IF(AND($EC1129+$EB1129+$EE1129+$EA1129+$ED1129+$EG1129=0,$N1129="included"),"C neutral forest and HWP assumption","")</f>
        <v>C neutral forest and HWP assumption</v>
      </c>
      <c r="ET1129" t="str">
        <f>IF(AND(AND(AND(AND($EC1129=1,$EB1129+$EA1129+$EG1129&gt;=1),$EF1129=1),$EH1129+$EI1129+$ED1129+$EE1129&gt;=2),$N1129="included"),"All C pools assumption","")</f>
        <v/>
      </c>
      <c r="EU1129" t="str">
        <f>IF(AND($ED1129+$EE1129+$EI1129+$EH1129+$EF1129=0,$N1129="included"),"In-situ only assumption","")</f>
        <v/>
      </c>
      <c r="EY1129" t="str">
        <f>IF(ISNUMBER(BW1129),IF(ABS(BW1129-[3]QC_indicators!$B$2)&gt;3*[3]QC_indicators!$C$2,"C ratio",IF(ISNUMBER(CA1129),IF(ABS(CA1129-[3]QC_indicators!$B$1)&gt;3*[3]QC_indicators!$C$1,"DF","no"))),IF(ISNUMBER(CA1129),IF(ABS(CA1129-[3]QC_indicators!$B$1)&gt;3*[3]QC_indicators!$C$1,"DF","no")))</f>
        <v>no</v>
      </c>
      <c r="FA1129" t="str">
        <f>IF(LEN($CY1129)=0,"",IF(AND($CY1129&lt;(-0.05),$ES1129="C neutral forest and HWP assumption"),"Cneutral paradox",IF(AND($CY1129&gt;0.05,$EU1129="In-situ only assumption"),"In-situ only paradox","")))</f>
        <v/>
      </c>
      <c r="FB1129" s="149" t="s">
        <v>349</v>
      </c>
      <c r="FD1129" s="260" t="s">
        <v>2941</v>
      </c>
    </row>
    <row r="1130" spans="1:160" ht="15" hidden="1" customHeight="1">
      <c r="D1130" t="s">
        <v>1508</v>
      </c>
      <c r="E1130" t="s">
        <v>1509</v>
      </c>
      <c r="G1130" t="s">
        <v>1510</v>
      </c>
      <c r="I1130">
        <v>2007</v>
      </c>
      <c r="K1130" t="s">
        <v>1511</v>
      </c>
      <c r="M1130" t="str">
        <f>LEFT($D1130,FIND(",",$D1130)-1)&amp;"_"&amp;I1130&amp;L1130</f>
        <v>Gustavsson_2007</v>
      </c>
      <c r="N1130" t="s">
        <v>222</v>
      </c>
      <c r="O1130" t="s">
        <v>223</v>
      </c>
      <c r="Q1130" t="s">
        <v>256</v>
      </c>
      <c r="R1130" s="264" t="s">
        <v>274</v>
      </c>
      <c r="S1130" s="1" t="s">
        <v>1512</v>
      </c>
      <c r="T1130" t="s">
        <v>1524</v>
      </c>
      <c r="U1130" s="143" t="s">
        <v>1525</v>
      </c>
      <c r="V1130" s="253">
        <v>0</v>
      </c>
      <c r="W1130" s="253">
        <v>0</v>
      </c>
      <c r="X1130">
        <v>0</v>
      </c>
      <c r="Y1130">
        <v>0</v>
      </c>
      <c r="Z1130">
        <v>0</v>
      </c>
      <c r="AA1130">
        <v>0</v>
      </c>
      <c r="AB1130">
        <v>0</v>
      </c>
      <c r="AC1130">
        <v>0</v>
      </c>
      <c r="AD1130">
        <v>0</v>
      </c>
      <c r="AE1130">
        <v>0</v>
      </c>
      <c r="AF1130">
        <v>0</v>
      </c>
      <c r="AG1130">
        <v>0</v>
      </c>
      <c r="AH1130">
        <v>0</v>
      </c>
      <c r="AI1130">
        <v>0</v>
      </c>
      <c r="AJ1130">
        <v>0</v>
      </c>
      <c r="AK1130">
        <v>0</v>
      </c>
      <c r="AL1130">
        <v>0</v>
      </c>
      <c r="AM1130">
        <v>1</v>
      </c>
      <c r="AN1130">
        <v>0</v>
      </c>
      <c r="AO1130">
        <v>0</v>
      </c>
      <c r="AP1130">
        <v>0</v>
      </c>
      <c r="AQ1130">
        <v>0</v>
      </c>
      <c r="AR1130">
        <v>0</v>
      </c>
      <c r="AS1130">
        <v>0</v>
      </c>
      <c r="AT1130">
        <v>0</v>
      </c>
      <c r="AU1130">
        <v>0</v>
      </c>
      <c r="AV1130">
        <v>0</v>
      </c>
      <c r="AW1130">
        <v>0</v>
      </c>
      <c r="AX1130">
        <v>0</v>
      </c>
      <c r="AY1130">
        <v>0</v>
      </c>
      <c r="AZ1130" s="141">
        <f>COUNTIF(X1130:AY1130,"&lt;&gt;0")</f>
        <v>1</v>
      </c>
      <c r="BA1130" s="141">
        <f>COUNTIF(X1130:AN1130,"&lt;&gt;0")</f>
        <v>1</v>
      </c>
      <c r="BB1130">
        <f>COUNTIF(X1130:AE1130,"&lt;&gt;0")</f>
        <v>0</v>
      </c>
      <c r="BC1130">
        <f>COUNTIF(AF1130:AK1130,"&lt;&gt;0")</f>
        <v>0</v>
      </c>
      <c r="BD1130">
        <f>COUNTIF(AL1130:AN1130,"&lt;&gt;0")</f>
        <v>1</v>
      </c>
      <c r="BE1130">
        <f>COUNTIF(AU1130:AY1130,"&lt;&gt;0")</f>
        <v>0</v>
      </c>
      <c r="BF1130">
        <f>COUNTIF(AO1130:AT1130,"&lt;&gt;0")</f>
        <v>0</v>
      </c>
      <c r="BG1130" t="str">
        <f t="array" ref="BG1130">IF(BA1130=1,INDEX($X$7:$AN$7,MATCH(TRUE,INDEX($X1130:$AY1130&lt;&gt;0,),0)),IF(BA1130=0,INDEX($AO$7:$AY$7,MATCH(1,$AO1130:$AY1130,0)),IF(BH1130="Multiple strategies","mixed drivers",IF(BH1130="Supply chain","multiple supply","multiple silviculture"))))</f>
        <v>technologies/design switch</v>
      </c>
      <c r="BH1130" s="2" t="str" cm="1">
        <f t="array" ref="BH1130">IF(COUNTIF(BB1130:BD1130,"&lt;&gt;0")=1,INDEX($X$4:$AY$4,MATCH(TRUE,INDEX($X1130:$AY1130&lt;&gt;0,),0)),IF(COUNTIF(BB1130:BD1130,"&lt;&gt;0")=0,INDEX($AO$4:$AY$4,MATCH(1,$AO1130:$AY1130,0)),"Multiple strategies"))</f>
        <v>Technology</v>
      </c>
      <c r="BI1130" s="142" t="s">
        <v>229</v>
      </c>
      <c r="BJ1130" t="s">
        <v>1514</v>
      </c>
      <c r="BK1130" s="260" t="s">
        <v>987</v>
      </c>
      <c r="BL1130" s="143" t="s">
        <v>2940</v>
      </c>
      <c r="BM1130">
        <v>0</v>
      </c>
      <c r="BN1130" s="143">
        <v>74</v>
      </c>
      <c r="BO1130" s="143"/>
      <c r="BP1130">
        <f>BN1130-BM1130</f>
        <v>74</v>
      </c>
      <c r="BQ1130" s="143">
        <f>1000*BN1130/15.3/400</f>
        <v>12.091503267973856</v>
      </c>
      <c r="BR1130" t="s">
        <v>232</v>
      </c>
      <c r="BT1130" t="s">
        <v>907</v>
      </c>
      <c r="BU1130" s="143">
        <v>-1</v>
      </c>
      <c r="BV1130" s="151">
        <v>0</v>
      </c>
      <c r="BW1130">
        <v>0</v>
      </c>
      <c r="BX1130">
        <v>1</v>
      </c>
      <c r="BZ1130">
        <f>BX1130*C_to_CO2</f>
        <v>3.67</v>
      </c>
      <c r="CA1130">
        <f>IFERROR(BZ1130/BQ1130,"")</f>
        <v>0.30351891891891891</v>
      </c>
      <c r="CB1130" s="143">
        <v>0</v>
      </c>
      <c r="CC1130" s="143">
        <v>0</v>
      </c>
      <c r="CD1130" s="143">
        <v>0</v>
      </c>
      <c r="CE1130" s="143">
        <v>0</v>
      </c>
      <c r="CF1130" s="143">
        <v>0</v>
      </c>
      <c r="CG1130" s="143">
        <v>0</v>
      </c>
      <c r="CH1130" s="143">
        <v>0</v>
      </c>
      <c r="CI1130" s="143">
        <v>0</v>
      </c>
      <c r="CJ1130" s="143">
        <v>0</v>
      </c>
      <c r="CK1130" s="143">
        <v>0</v>
      </c>
      <c r="CL1130" s="143">
        <v>0</v>
      </c>
      <c r="CM1130" s="143">
        <v>0</v>
      </c>
      <c r="CN1130" s="143">
        <v>0</v>
      </c>
      <c r="CO1130">
        <v>1</v>
      </c>
      <c r="CP1130" t="str">
        <f>IF($BN1130&lt;$BM1130,"refNeedCorrection","refOK")</f>
        <v>refOK</v>
      </c>
      <c r="CQ1130">
        <f>IF($CP1130="refOK",$BM1130,$BN1130)</f>
        <v>0</v>
      </c>
      <c r="CR1130">
        <f>IF($CP1130="refOK",$BN1130,$BM1130)</f>
        <v>74</v>
      </c>
      <c r="CS1130">
        <f>IF($CP1130="refOK",$BQ1130,-$BQ1130)</f>
        <v>12.091503267973856</v>
      </c>
      <c r="CT1130">
        <f>IF(BI1130="Roundwood",$CS1130/2,$CS1130)</f>
        <v>12.091503267973856</v>
      </c>
      <c r="CU1130">
        <f>IF($CP1130="refOK",$BU1130,$BV1130)*IF($BR1130="Emissions positive",-1,1)</f>
        <v>-1</v>
      </c>
      <c r="CV1130">
        <f>IF($CP1130="refOK",$BV1130,$BU1130)*IF($BR1130="Emissions positive",-1,1)</f>
        <v>0</v>
      </c>
      <c r="CW1130">
        <f>IF($CP1130="refNeedCorrection",-BZ1130,BZ1130)*IF($BR1130="Emissions positive",-1,1)</f>
        <v>3.67</v>
      </c>
      <c r="CX1130">
        <f>IFERROR($CW1130/$CS1130,"")</f>
        <v>0.30351891891891891</v>
      </c>
      <c r="CY1130">
        <f>IFERROR($CW1130/$CS1130,"")</f>
        <v>0.30351891891891891</v>
      </c>
      <c r="CZ1130">
        <f>IFERROR($CW1130/$CT1130,"")</f>
        <v>0.30351891891891891</v>
      </c>
      <c r="DA1130" s="2">
        <f>IFERROR((CV1130-CU1130)/ABS(CU1130),"")</f>
        <v>1</v>
      </c>
      <c r="DB1130" s="1" t="s">
        <v>1078</v>
      </c>
      <c r="DC1130" t="str">
        <f>IF(OR($DB1130="prd",$DB1130="std",$DB1130="cit"),"loc",IF(OR($DB1130="eur",$DB1130="reg",$DB1130="coy"),"reg",$DB1130))</f>
        <v>reg</v>
      </c>
      <c r="DD1130" t="s">
        <v>444</v>
      </c>
      <c r="DF1130" s="143"/>
      <c r="DG1130" s="143">
        <v>0</v>
      </c>
      <c r="DH1130" t="str">
        <f>IF(DG1130=0,"0",IF(AND(DG1130&gt;=1,DG1130&lt;=30),"1-30",IF(AND(DG1130&gt;30,DG1130&lt;=70),"31-70",IF(AND(DG1130&gt;70,DG1130&lt;=100),"71-100",IF(DG1130&gt;100,"+100")))))</f>
        <v>0</v>
      </c>
      <c r="DI1130">
        <v>0</v>
      </c>
      <c r="DJ1130">
        <v>1</v>
      </c>
      <c r="DK1130">
        <v>0</v>
      </c>
      <c r="DL1130">
        <v>0</v>
      </c>
      <c r="DN1130">
        <f>SUM(DI1130:DL1130)</f>
        <v>1</v>
      </c>
      <c r="DO1130" t="str">
        <f>IF(DN1130=1,INDEX($DI$7:$DL$7,MATCH(1,$DI1130:$DL1130,0)),"mixedProduct")</f>
        <v>EnergyInput</v>
      </c>
      <c r="DP1130">
        <f>IF(DI1130=1,DP$7,0)</f>
        <v>0</v>
      </c>
      <c r="DQ1130" t="str">
        <f>IF(DJ1130=1,DQ$7,0)</f>
        <v>Energy</v>
      </c>
      <c r="DR1130">
        <f>IF(DK1130=1,DR$7,0)</f>
        <v>0</v>
      </c>
      <c r="DS1130">
        <f>IF(DL1130=1,DS$7,0)</f>
        <v>0</v>
      </c>
      <c r="DT1130">
        <v>0</v>
      </c>
      <c r="DU1130" s="143">
        <v>0</v>
      </c>
      <c r="DV1130" s="143">
        <v>0</v>
      </c>
      <c r="DW1130">
        <v>0</v>
      </c>
      <c r="DX1130" s="143">
        <v>0</v>
      </c>
      <c r="DY1130">
        <f>SUM(DT1130:DU1130)</f>
        <v>0</v>
      </c>
      <c r="DZ1130" s="143" t="str">
        <f>IF(DT1130=1,"self-calculated DF",IF(DU1130=1,"external DF used","explicit C balance"))</f>
        <v>explicit C balance</v>
      </c>
      <c r="EA1130" s="143">
        <v>0</v>
      </c>
      <c r="EB1130" s="143">
        <v>0</v>
      </c>
      <c r="EC1130" s="143">
        <v>0</v>
      </c>
      <c r="ED1130" s="143">
        <v>0</v>
      </c>
      <c r="EE1130">
        <v>0</v>
      </c>
      <c r="EF1130" s="143">
        <v>0</v>
      </c>
      <c r="EG1130" s="143">
        <v>0</v>
      </c>
      <c r="EH1130" s="143">
        <v>1</v>
      </c>
      <c r="EI1130" s="143">
        <v>0</v>
      </c>
      <c r="EJ1130">
        <v>0</v>
      </c>
      <c r="EK1130">
        <v>0</v>
      </c>
      <c r="EL1130" s="143">
        <v>0</v>
      </c>
      <c r="EM1130" s="143">
        <v>0</v>
      </c>
      <c r="EN1130" s="2">
        <v>0</v>
      </c>
      <c r="EP1130" t="str">
        <f>IF(AND(AND(AND(OR($EC1130=1,$EB1130=1),OR($EH1130=1,$EF1130=1)),SUM($EA1130:$EE1130,$EK1130)&gt;=3),SUM($EF1130:$EJ1130)&gt;=2),"Whole sector approach","")</f>
        <v/>
      </c>
      <c r="EQ1130" t="str">
        <f>IF(AND(AND(OR($EC1130=1,$EB1130=1),AND($EH1130=0,$EF1130=0)),SUM($EA1130:$EE1130,$EK1130)&gt;=4),"Ecosystem approach","")</f>
        <v/>
      </c>
      <c r="ER1130" s="2" t="str">
        <f>IF(AND(AND(AND($EC1130=0,$EB1130=0),OR($EH1130=1,$EF1130=1)),SUM($EG1130:$EJ1130)&gt;=2),"Technology approach","")</f>
        <v/>
      </c>
      <c r="ES1130" t="str">
        <f>IF(AND($EC1130+$EB1130+$EE1130+$EA1130+$ED1130+$EG1130=0,$N1130="included"),"C neutral forest and HWP assumption","")</f>
        <v>C neutral forest and HWP assumption</v>
      </c>
      <c r="ET1130" t="str">
        <f>IF(AND(AND(AND(AND($EC1130=1,$EB1130+$EA1130+$EG1130&gt;=1),$EF1130=1),$EH1130+$EI1130+$ED1130+$EE1130&gt;=2),$N1130="included"),"All C pools assumption","")</f>
        <v/>
      </c>
      <c r="EU1130" t="str">
        <f>IF(AND($ED1130+$EE1130+$EI1130+$EH1130+$EF1130=0,$N1130="included"),"In-situ only assumption","")</f>
        <v/>
      </c>
      <c r="EY1130" t="str">
        <f>IF(ISNUMBER(BW1130),IF(ABS(BW1130-[3]QC_indicators!$B$2)&gt;3*[3]QC_indicators!$C$2,"C ratio",IF(ISNUMBER(CA1130),IF(ABS(CA1130-[3]QC_indicators!$B$1)&gt;3*[3]QC_indicators!$C$1,"DF","no"))),IF(ISNUMBER(CA1130),IF(ABS(CA1130-[3]QC_indicators!$B$1)&gt;3*[3]QC_indicators!$C$1,"DF","no")))</f>
        <v>no</v>
      </c>
      <c r="FA1130" t="str">
        <f>IF(LEN($CY1130)=0,"",IF(AND($CY1130&lt;(-0.05),$ES1130="C neutral forest and HWP assumption"),"Cneutral paradox",IF(AND($CY1130&gt;0.05,$EU1130="In-situ only assumption"),"In-situ only paradox","")))</f>
        <v/>
      </c>
      <c r="FB1130" s="149" t="s">
        <v>349</v>
      </c>
      <c r="FD1130" s="260" t="s">
        <v>2941</v>
      </c>
    </row>
    <row r="1131" spans="1:160" ht="15" hidden="1" customHeight="1">
      <c r="A1131" s="1" t="s">
        <v>574</v>
      </c>
      <c r="B1131" t="s">
        <v>2244</v>
      </c>
      <c r="C1131" t="s">
        <v>2245</v>
      </c>
      <c r="D1131" t="s">
        <v>2246</v>
      </c>
      <c r="E1131" t="s">
        <v>2247</v>
      </c>
      <c r="F1131" t="s">
        <v>2248</v>
      </c>
      <c r="G1131" t="s">
        <v>580</v>
      </c>
      <c r="H1131" t="s">
        <v>254</v>
      </c>
      <c r="I1131">
        <v>2015</v>
      </c>
      <c r="J1131">
        <v>46</v>
      </c>
      <c r="K1131" t="s">
        <v>2249</v>
      </c>
      <c r="M1131" t="str">
        <f>LEFT($D1131,FIND(",",$D1131)-1)&amp;"_"&amp;I1131&amp;L1131</f>
        <v>Iritani_2015</v>
      </c>
      <c r="N1131" t="s">
        <v>222</v>
      </c>
      <c r="O1131" s="145" t="s">
        <v>508</v>
      </c>
      <c r="Q1131" t="s">
        <v>256</v>
      </c>
      <c r="R1131" s="251" t="s">
        <v>223</v>
      </c>
      <c r="S1131" s="1" t="s">
        <v>2250</v>
      </c>
      <c r="T1131" s="260" t="s">
        <v>2769</v>
      </c>
      <c r="U1131" s="260" t="s">
        <v>2773</v>
      </c>
      <c r="V1131" s="253">
        <v>0</v>
      </c>
      <c r="W1131" s="253">
        <v>0</v>
      </c>
      <c r="X1131">
        <v>0</v>
      </c>
      <c r="Y1131">
        <v>0</v>
      </c>
      <c r="Z1131">
        <v>0</v>
      </c>
      <c r="AA1131">
        <v>0</v>
      </c>
      <c r="AB1131">
        <v>0</v>
      </c>
      <c r="AC1131">
        <v>0</v>
      </c>
      <c r="AD1131">
        <v>0</v>
      </c>
      <c r="AE1131">
        <v>0</v>
      </c>
      <c r="AF1131">
        <v>0</v>
      </c>
      <c r="AG1131">
        <v>0</v>
      </c>
      <c r="AH1131">
        <v>0</v>
      </c>
      <c r="AI1131">
        <v>1</v>
      </c>
      <c r="AJ1131">
        <v>0</v>
      </c>
      <c r="AK1131">
        <v>0</v>
      </c>
      <c r="AL1131">
        <v>0</v>
      </c>
      <c r="AM1131">
        <v>0</v>
      </c>
      <c r="AN1131">
        <v>0</v>
      </c>
      <c r="AO1131">
        <v>0</v>
      </c>
      <c r="AP1131">
        <v>0</v>
      </c>
      <c r="AQ1131">
        <v>0</v>
      </c>
      <c r="AR1131">
        <v>0</v>
      </c>
      <c r="AS1131">
        <v>0</v>
      </c>
      <c r="AT1131">
        <v>0</v>
      </c>
      <c r="AU1131">
        <v>0</v>
      </c>
      <c r="AV1131">
        <v>0</v>
      </c>
      <c r="AW1131">
        <v>0</v>
      </c>
      <c r="AX1131">
        <v>0</v>
      </c>
      <c r="AY1131">
        <v>0</v>
      </c>
      <c r="AZ1131" s="141">
        <f>COUNTIF(X1131:AY1131,"&lt;&gt;0")</f>
        <v>1</v>
      </c>
      <c r="BA1131" s="141">
        <f>COUNTIF(X1131:AN1131,"&lt;&gt;0")</f>
        <v>1</v>
      </c>
      <c r="BB1131">
        <f>COUNTIF(X1131:AE1131,"&lt;&gt;0")</f>
        <v>0</v>
      </c>
      <c r="BC1131">
        <f>COUNTIF(AF1131:AK1131,"&lt;&gt;0")</f>
        <v>1</v>
      </c>
      <c r="BD1131">
        <f>COUNTIF(AL1131:AN1131,"&lt;&gt;0")</f>
        <v>0</v>
      </c>
      <c r="BE1131">
        <f>COUNTIF(AU1131:AY1131,"&lt;&gt;0")</f>
        <v>0</v>
      </c>
      <c r="BF1131">
        <f>COUNTIF(AO1131:AT1131,"&lt;&gt;0")</f>
        <v>0</v>
      </c>
      <c r="BG1131" t="str">
        <f t="array" ref="BG1131">IF(BA1131=1,INDEX($X$7:$AN$7,MATCH(TRUE,INDEX($X1131:$AY1131&lt;&gt;0,),0)),IF(BA1131=0,INDEX($AO$7:$AY$7,MATCH(1,$AO1131:$AY1131,0)),IF(BH1131="Multiple strategies","mixed drivers",IF(BH1131="Supply chain","multiple supply","multiple silviculture"))))</f>
        <v>recycling</v>
      </c>
      <c r="BH1131" s="2" t="str" cm="1">
        <f t="array" ref="BH1131">IF(COUNTIF(BB1131:BD1131,"&lt;&gt;0")=1,INDEX($X$4:$AY$4,MATCH(TRUE,INDEX($X1131:$AY1131&lt;&gt;0,),0)),IF(COUNTIF(BB1131:BD1131,"&lt;&gt;0")=0,INDEX($AO$4:$AY$4,MATCH(1,$AO1131:$AY1131,0)),"Multiple strategies"))</f>
        <v>Supply chain</v>
      </c>
      <c r="BI1131" s="1" t="s">
        <v>229</v>
      </c>
      <c r="BJ1131" t="s">
        <v>2251</v>
      </c>
      <c r="BK1131" s="260" t="s">
        <v>675</v>
      </c>
      <c r="BL1131" t="s">
        <v>345</v>
      </c>
      <c r="BM1131">
        <v>0</v>
      </c>
      <c r="BN1131">
        <v>117.5</v>
      </c>
      <c r="BP1131">
        <f>BN1131-BM1131</f>
        <v>117.5</v>
      </c>
      <c r="BQ1131">
        <f>BP1131*kg_to_m3</f>
        <v>0.23979591836734696</v>
      </c>
      <c r="BR1131" t="s">
        <v>232</v>
      </c>
      <c r="BS1131" s="153" t="s">
        <v>2771</v>
      </c>
      <c r="BT1131" t="s">
        <v>714</v>
      </c>
      <c r="BU1131">
        <v>-290.75</v>
      </c>
      <c r="BV1131">
        <f>-0.73*290.75</f>
        <v>-212.2475</v>
      </c>
      <c r="BW1131" s="144">
        <f>IFERROR(BV1131/BU1131,"")</f>
        <v>0.73</v>
      </c>
      <c r="BX1131">
        <f>BV1131-BU1131</f>
        <v>78.502499999999998</v>
      </c>
      <c r="BZ1131">
        <f>BX1131/1000</f>
        <v>7.8502500000000003E-2</v>
      </c>
      <c r="CA1131">
        <f>IFERROR(BZ1131/BQ1131,"")</f>
        <v>0.32737212765957446</v>
      </c>
      <c r="CB1131">
        <v>1</v>
      </c>
      <c r="CC1131">
        <v>0</v>
      </c>
      <c r="CD1131">
        <v>0</v>
      </c>
      <c r="CE1131">
        <v>0</v>
      </c>
      <c r="CF1131">
        <v>0</v>
      </c>
      <c r="CG1131">
        <v>0</v>
      </c>
      <c r="CH1131">
        <v>0</v>
      </c>
      <c r="CI1131">
        <v>0</v>
      </c>
      <c r="CJ1131">
        <v>0</v>
      </c>
      <c r="CK1131">
        <v>0</v>
      </c>
      <c r="CL1131">
        <v>0</v>
      </c>
      <c r="CM1131">
        <v>0</v>
      </c>
      <c r="CN1131">
        <v>0</v>
      </c>
      <c r="CO1131">
        <v>0</v>
      </c>
      <c r="CP1131" t="str">
        <f>IF($BN1131&lt;$BM1131,"refNeedCorrection","refOK")</f>
        <v>refOK</v>
      </c>
      <c r="CQ1131">
        <f>IF($CP1131="refOK",$BM1131,$BN1131)</f>
        <v>0</v>
      </c>
      <c r="CR1131">
        <f>IF($CP1131="refOK",$BN1131,$BM1131)</f>
        <v>117.5</v>
      </c>
      <c r="CS1131">
        <f>IF($CP1131="refOK",$BQ1131,-$BQ1131)</f>
        <v>0.23979591836734696</v>
      </c>
      <c r="CT1131">
        <f>IF(BI1131="Roundwood",$CS1131/2,$CS1131)</f>
        <v>0.23979591836734696</v>
      </c>
      <c r="CU1131">
        <f>IF($CP1131="refOK",$BU1131,$BV1131)*IF($BR1131="Emissions positive",-1,1)</f>
        <v>-290.75</v>
      </c>
      <c r="CV1131">
        <f>IF($CP1131="refOK",$BV1131,$BU1131)*IF($BR1131="Emissions positive",-1,1)</f>
        <v>-212.2475</v>
      </c>
      <c r="CW1131">
        <f>IF($CP1131="refNeedCorrection",-BZ1131,BZ1131)*IF($BR1131="Emissions positive",-1,1)</f>
        <v>7.8502500000000003E-2</v>
      </c>
      <c r="CX1131">
        <f>IFERROR($CW1131/$CS1131,"")</f>
        <v>0.32737212765957446</v>
      </c>
      <c r="CY1131">
        <f>IFERROR($CW1131/$CS1131,"")</f>
        <v>0.32737212765957446</v>
      </c>
      <c r="CZ1131">
        <f>IFERROR($CW1131/$CT1131,"")</f>
        <v>0.32737212765957446</v>
      </c>
      <c r="DA1131" s="2">
        <f>IFERROR((CV1131-CU1131)/ABS(CU1131),"")</f>
        <v>0.27</v>
      </c>
      <c r="DB1131" s="259" t="s">
        <v>263</v>
      </c>
      <c r="DC1131" t="str">
        <f>IF(OR($DB1131="prd",$DB1131="std",$DB1131="cit"),"loc",IF(OR($DB1131="eur",$DB1131="reg",$DB1131="coy"),"reg",$DB1131))</f>
        <v>loc</v>
      </c>
      <c r="DD1131" s="260" t="s">
        <v>513</v>
      </c>
      <c r="DG1131">
        <v>0</v>
      </c>
      <c r="DH1131" t="str">
        <f>IF(DG1131=0,"0",IF(AND(DG1131&gt;=1,DG1131&lt;=30),"1-30",IF(AND(DG1131&gt;30,DG1131&lt;=70),"31-70",IF(AND(DG1131&gt;70,DG1131&lt;=100),"71-100",IF(DG1131&gt;100,"+100")))))</f>
        <v>0</v>
      </c>
      <c r="DI1131">
        <v>0</v>
      </c>
      <c r="DJ1131">
        <v>0</v>
      </c>
      <c r="DK1131">
        <v>0</v>
      </c>
      <c r="DL1131">
        <v>1</v>
      </c>
      <c r="DN1131">
        <f>SUM(DI1131:DL1131)</f>
        <v>1</v>
      </c>
      <c r="DO1131" t="str">
        <f>IF(DN1131=1,INDEX($DI$7:$DL$7,MATCH(1,$DI1131:$DL1131,0)),"mixedProduct")</f>
        <v>TimberInput</v>
      </c>
      <c r="DP1131">
        <f>IF(DI1131=1,DP$7,0)</f>
        <v>0</v>
      </c>
      <c r="DQ1131">
        <f>IF(DJ1131=1,DQ$7,0)</f>
        <v>0</v>
      </c>
      <c r="DR1131">
        <f>IF(DK1131=1,DR$7,0)</f>
        <v>0</v>
      </c>
      <c r="DS1131" t="str">
        <f>IF(DL1131=1,DS$7,0)</f>
        <v>Timber</v>
      </c>
      <c r="DT1131">
        <v>0</v>
      </c>
      <c r="DU1131">
        <v>0</v>
      </c>
      <c r="DV1131">
        <v>0</v>
      </c>
      <c r="DW1131">
        <v>0</v>
      </c>
      <c r="DX1131">
        <v>0</v>
      </c>
      <c r="DY1131">
        <f>SUM(DT1131:DU1131)</f>
        <v>0</v>
      </c>
      <c r="DZ1131" s="143" t="str">
        <f>IF(DT1131=1,"self-calculated DF",IF(DU1131=1,"external DF used","explicit C balance"))</f>
        <v>explicit C balance</v>
      </c>
      <c r="EA1131">
        <v>0</v>
      </c>
      <c r="EB1131">
        <v>0</v>
      </c>
      <c r="EC1131">
        <v>0</v>
      </c>
      <c r="ED1131">
        <v>0</v>
      </c>
      <c r="EE1131">
        <v>0</v>
      </c>
      <c r="EF1131" s="143">
        <v>1</v>
      </c>
      <c r="EG1131">
        <v>0</v>
      </c>
      <c r="EH1131">
        <v>1</v>
      </c>
      <c r="EI1131">
        <v>0</v>
      </c>
      <c r="EJ1131">
        <v>0</v>
      </c>
      <c r="EK1131">
        <v>0</v>
      </c>
      <c r="EL1131">
        <v>0</v>
      </c>
      <c r="EM1131">
        <v>0</v>
      </c>
      <c r="EN1131" s="2">
        <v>0</v>
      </c>
      <c r="EP1131" t="str">
        <f>IF(AND(AND(AND(OR($EC1131=1,$EB1131=1),OR($EH1131=1,$EF1131=1)),SUM($EA1131:$EE1131,$EK1131)&gt;=3),SUM($EF1131:$EJ1131)&gt;=2),"Whole sector approach","")</f>
        <v/>
      </c>
      <c r="EQ1131" t="str">
        <f>IF(AND(AND(OR($EC1131=1,$EB1131=1),AND($EH1131=0,$EF1131=0)),SUM($EA1131:$EE1131,$EK1131)&gt;=4),"Ecosystem approach","")</f>
        <v/>
      </c>
      <c r="ER1131" s="2" t="str">
        <f>IF(AND(AND(AND($EC1131=0,$EB1131=0),OR($EH1131=1,$EF1131=1)),SUM($EG1131:$EJ1131)&gt;=2),"Technology approach","")</f>
        <v/>
      </c>
      <c r="ES1131" t="str">
        <f>IF(AND($EC1131+$EB1131+$EE1131+$EA1131+$ED1131+$EG1131=0,$N1131="included"),"C neutral forest and HWP assumption","")</f>
        <v>C neutral forest and HWP assumption</v>
      </c>
      <c r="ET1131" t="str">
        <f>IF(AND(AND(AND(AND($EC1131=1,$EB1131+$EA1131+$EG1131&gt;=1),$EF1131=1),$EH1131+$EI1131+$ED1131+$EE1131&gt;=2),$N1131="included"),"All C pools assumption","")</f>
        <v/>
      </c>
      <c r="EU1131" t="str">
        <f>IF(AND($ED1131+$EE1131+$EI1131+$EH1131+$EF1131=0,$N1131="included"),"In-situ only assumption","")</f>
        <v/>
      </c>
      <c r="EY1131" t="str">
        <f>IF(ISNUMBER(BW1131),IF(ABS(BW1131-[2]QC_indicators!$B$2)&gt;3*[2]QC_indicators!$C$2,"C ratio",IF(ISNUMBER(CA1131),IF(ABS(CA1131-[2]QC_indicators!$B$1)&gt;3*[2]QC_indicators!$C$1,"DF","no"))),IF(ISNUMBER(CA1131),IF(ABS(CA1131-[2]QC_indicators!$B$1)&gt;3*[2]QC_indicators!$C$1,"DF","no")))</f>
        <v>no</v>
      </c>
      <c r="FA1131" t="str">
        <f>IF(LEN($CY1131)=0,"",IF(AND($CY1131&lt;(-0.05),$ES1131="C neutral forest and HWP assumption"),"Cneutral paradox",IF(AND($CY1131&gt;0.05,$EU1131="In-situ only assumption"),"In-situ only paradox","")))</f>
        <v/>
      </c>
      <c r="FD1131" s="260" t="s">
        <v>2772</v>
      </c>
    </row>
    <row r="1132" spans="1:160" ht="18" hidden="1" customHeight="1">
      <c r="D1132" t="s">
        <v>1508</v>
      </c>
      <c r="E1132" t="s">
        <v>1509</v>
      </c>
      <c r="G1132" t="s">
        <v>1510</v>
      </c>
      <c r="I1132">
        <v>2007</v>
      </c>
      <c r="K1132" t="s">
        <v>1511</v>
      </c>
      <c r="M1132" t="str">
        <f>LEFT($D1132,FIND(",",$D1132)-1)&amp;"_"&amp;I1132&amp;L1132</f>
        <v>Gustavsson_2007</v>
      </c>
      <c r="N1132" t="s">
        <v>222</v>
      </c>
      <c r="O1132" t="s">
        <v>223</v>
      </c>
      <c r="Q1132" t="s">
        <v>256</v>
      </c>
      <c r="R1132" s="264" t="s">
        <v>274</v>
      </c>
      <c r="S1132" s="1" t="s">
        <v>1512</v>
      </c>
      <c r="T1132" t="s">
        <v>1526</v>
      </c>
      <c r="U1132" s="143" t="s">
        <v>1527</v>
      </c>
      <c r="V1132" s="253">
        <v>0</v>
      </c>
      <c r="W1132" s="253">
        <v>0</v>
      </c>
      <c r="X1132">
        <v>0</v>
      </c>
      <c r="Y1132">
        <v>0</v>
      </c>
      <c r="Z1132">
        <v>0</v>
      </c>
      <c r="AA1132">
        <v>0</v>
      </c>
      <c r="AB1132">
        <v>0</v>
      </c>
      <c r="AC1132">
        <v>0</v>
      </c>
      <c r="AD1132">
        <v>0</v>
      </c>
      <c r="AE1132">
        <v>0</v>
      </c>
      <c r="AF1132">
        <v>0</v>
      </c>
      <c r="AG1132">
        <v>0</v>
      </c>
      <c r="AH1132">
        <v>0</v>
      </c>
      <c r="AI1132">
        <v>0</v>
      </c>
      <c r="AJ1132">
        <v>0</v>
      </c>
      <c r="AK1132">
        <v>0</v>
      </c>
      <c r="AL1132">
        <v>0</v>
      </c>
      <c r="AM1132">
        <v>1</v>
      </c>
      <c r="AN1132">
        <v>0</v>
      </c>
      <c r="AO1132">
        <v>0</v>
      </c>
      <c r="AP1132">
        <v>0</v>
      </c>
      <c r="AQ1132">
        <v>0</v>
      </c>
      <c r="AR1132">
        <v>0</v>
      </c>
      <c r="AS1132">
        <v>0</v>
      </c>
      <c r="AT1132">
        <v>0</v>
      </c>
      <c r="AU1132">
        <v>0</v>
      </c>
      <c r="AV1132">
        <v>0</v>
      </c>
      <c r="AW1132">
        <v>0</v>
      </c>
      <c r="AX1132">
        <v>0</v>
      </c>
      <c r="AY1132">
        <v>0</v>
      </c>
      <c r="AZ1132" s="141">
        <f>COUNTIF(X1132:AY1132,"&lt;&gt;0")</f>
        <v>1</v>
      </c>
      <c r="BA1132" s="141">
        <f>COUNTIF(X1132:AN1132,"&lt;&gt;0")</f>
        <v>1</v>
      </c>
      <c r="BB1132">
        <f>COUNTIF(X1132:AE1132,"&lt;&gt;0")</f>
        <v>0</v>
      </c>
      <c r="BC1132">
        <f>COUNTIF(AF1132:AK1132,"&lt;&gt;0")</f>
        <v>0</v>
      </c>
      <c r="BD1132">
        <f>COUNTIF(AL1132:AN1132,"&lt;&gt;0")</f>
        <v>1</v>
      </c>
      <c r="BE1132">
        <f>COUNTIF(AU1132:AY1132,"&lt;&gt;0")</f>
        <v>0</v>
      </c>
      <c r="BF1132">
        <f>COUNTIF(AO1132:AT1132,"&lt;&gt;0")</f>
        <v>0</v>
      </c>
      <c r="BG1132" t="str">
        <f t="array" ref="BG1132">IF(BA1132=1,INDEX($X$7:$AN$7,MATCH(TRUE,INDEX($X1132:$AY1132&lt;&gt;0,),0)),IF(BA1132=0,INDEX($AO$7:$AY$7,MATCH(1,$AO1132:$AY1132,0)),IF(BH1132="Multiple strategies","mixed drivers",IF(BH1132="Supply chain","multiple supply","multiple silviculture"))))</f>
        <v>technologies/design switch</v>
      </c>
      <c r="BH1132" s="2" t="str" cm="1">
        <f t="array" ref="BH1132">IF(COUNTIF(BB1132:BD1132,"&lt;&gt;0")=1,INDEX($X$4:$AY$4,MATCH(TRUE,INDEX($X1132:$AY1132&lt;&gt;0,),0)),IF(COUNTIF(BB1132:BD1132,"&lt;&gt;0")=0,INDEX($AO$4:$AY$4,MATCH(1,$AO1132:$AY1132,0)),"Multiple strategies"))</f>
        <v>Technology</v>
      </c>
      <c r="BI1132" s="142" t="s">
        <v>229</v>
      </c>
      <c r="BJ1132" t="s">
        <v>1514</v>
      </c>
      <c r="BK1132" s="260" t="s">
        <v>987</v>
      </c>
      <c r="BL1132" s="143" t="s">
        <v>2940</v>
      </c>
      <c r="BM1132">
        <v>0</v>
      </c>
      <c r="BN1132" s="143">
        <v>68</v>
      </c>
      <c r="BO1132" s="143" t="e">
        <f>BN1132/BM1132</f>
        <v>#DIV/0!</v>
      </c>
      <c r="BP1132">
        <f>BN1132-BM1132</f>
        <v>68</v>
      </c>
      <c r="BQ1132" s="143">
        <f>1000*BN1132/15.3/400</f>
        <v>11.111111111111111</v>
      </c>
      <c r="BR1132" t="s">
        <v>232</v>
      </c>
      <c r="BT1132" t="s">
        <v>907</v>
      </c>
      <c r="BU1132" s="143">
        <v>-1</v>
      </c>
      <c r="BV1132" s="151">
        <v>0</v>
      </c>
      <c r="BW1132">
        <v>0</v>
      </c>
      <c r="BX1132">
        <v>1</v>
      </c>
      <c r="BZ1132">
        <f>BX1132*C_to_CO2</f>
        <v>3.67</v>
      </c>
      <c r="CA1132">
        <f>IFERROR(BZ1132/BQ1132,"")</f>
        <v>0.33029999999999998</v>
      </c>
      <c r="CB1132" s="143">
        <v>0</v>
      </c>
      <c r="CC1132" s="143">
        <v>0</v>
      </c>
      <c r="CD1132" s="143">
        <v>0</v>
      </c>
      <c r="CE1132" s="143">
        <v>0</v>
      </c>
      <c r="CF1132" s="143">
        <v>0</v>
      </c>
      <c r="CG1132" s="143">
        <v>0</v>
      </c>
      <c r="CH1132" s="143">
        <v>0</v>
      </c>
      <c r="CI1132" s="143">
        <v>0</v>
      </c>
      <c r="CJ1132" s="143">
        <v>0</v>
      </c>
      <c r="CK1132" s="143">
        <v>0</v>
      </c>
      <c r="CL1132" s="143">
        <v>0</v>
      </c>
      <c r="CM1132" s="143">
        <v>0</v>
      </c>
      <c r="CN1132" s="143">
        <v>0</v>
      </c>
      <c r="CO1132">
        <v>1</v>
      </c>
      <c r="CP1132" t="str">
        <f>IF($BN1132&lt;$BM1132,"refNeedCorrection","refOK")</f>
        <v>refOK</v>
      </c>
      <c r="CQ1132">
        <f>IF($CP1132="refOK",$BM1132,$BN1132)</f>
        <v>0</v>
      </c>
      <c r="CR1132">
        <f>IF($CP1132="refOK",$BN1132,$BM1132)</f>
        <v>68</v>
      </c>
      <c r="CS1132">
        <f>IF($CP1132="refOK",$BQ1132,-$BQ1132)</f>
        <v>11.111111111111111</v>
      </c>
      <c r="CT1132">
        <f>IF(BI1132="Roundwood",$CS1132/2,$CS1132)</f>
        <v>11.111111111111111</v>
      </c>
      <c r="CU1132">
        <f>IF($CP1132="refOK",$BU1132,$BV1132)*IF($BR1132="Emissions positive",-1,1)</f>
        <v>-1</v>
      </c>
      <c r="CV1132">
        <f>IF($CP1132="refOK",$BV1132,$BU1132)*IF($BR1132="Emissions positive",-1,1)</f>
        <v>0</v>
      </c>
      <c r="CW1132">
        <f>IF($CP1132="refNeedCorrection",-BZ1132,BZ1132)*IF($BR1132="Emissions positive",-1,1)</f>
        <v>3.67</v>
      </c>
      <c r="CX1132">
        <f>IFERROR($CW1132/$CS1132,"")</f>
        <v>0.33029999999999998</v>
      </c>
      <c r="CY1132">
        <f>IFERROR($CW1132/$CS1132,"")</f>
        <v>0.33029999999999998</v>
      </c>
      <c r="CZ1132">
        <f>IFERROR($CW1132/$CT1132,"")</f>
        <v>0.33029999999999998</v>
      </c>
      <c r="DA1132" s="2">
        <f>IFERROR((CV1132-CU1132)/ABS(CU1132),"")</f>
        <v>1</v>
      </c>
      <c r="DB1132" s="1" t="s">
        <v>1078</v>
      </c>
      <c r="DC1132" t="str">
        <f>IF(OR($DB1132="prd",$DB1132="std",$DB1132="cit"),"loc",IF(OR($DB1132="eur",$DB1132="reg",$DB1132="coy"),"reg",$DB1132))</f>
        <v>reg</v>
      </c>
      <c r="DD1132" t="s">
        <v>444</v>
      </c>
      <c r="DF1132" s="143"/>
      <c r="DG1132" s="143">
        <v>0</v>
      </c>
      <c r="DH1132" t="str">
        <f>IF(DG1132=0,"0",IF(AND(DG1132&gt;=1,DG1132&lt;=30),"1-30",IF(AND(DG1132&gt;30,DG1132&lt;=70),"31-70",IF(AND(DG1132&gt;70,DG1132&lt;=100),"71-100",IF(DG1132&gt;100,"+100")))))</f>
        <v>0</v>
      </c>
      <c r="DI1132">
        <v>0</v>
      </c>
      <c r="DJ1132">
        <v>1</v>
      </c>
      <c r="DK1132">
        <v>0</v>
      </c>
      <c r="DL1132">
        <v>0</v>
      </c>
      <c r="DN1132">
        <f>SUM(DI1132:DL1132)</f>
        <v>1</v>
      </c>
      <c r="DO1132" t="str">
        <f>IF(DN1132=1,INDEX($DI$7:$DL$7,MATCH(1,$DI1132:$DL1132,0)),"mixedProduct")</f>
        <v>EnergyInput</v>
      </c>
      <c r="DP1132">
        <f>IF(DI1132=1,DP$7,0)</f>
        <v>0</v>
      </c>
      <c r="DQ1132" t="str">
        <f>IF(DJ1132=1,DQ$7,0)</f>
        <v>Energy</v>
      </c>
      <c r="DR1132">
        <f>IF(DK1132=1,DR$7,0)</f>
        <v>0</v>
      </c>
      <c r="DS1132">
        <f>IF(DL1132=1,DS$7,0)</f>
        <v>0</v>
      </c>
      <c r="DT1132">
        <v>0</v>
      </c>
      <c r="DU1132" s="143">
        <v>0</v>
      </c>
      <c r="DV1132" s="143">
        <v>0</v>
      </c>
      <c r="DW1132">
        <v>0</v>
      </c>
      <c r="DX1132" s="143">
        <v>0</v>
      </c>
      <c r="DY1132">
        <f>SUM(DT1132:DU1132)</f>
        <v>0</v>
      </c>
      <c r="DZ1132" s="143" t="str">
        <f>IF(DT1132=1,"self-calculated DF",IF(DU1132=1,"external DF used","explicit C balance"))</f>
        <v>explicit C balance</v>
      </c>
      <c r="EA1132" s="143">
        <v>0</v>
      </c>
      <c r="EB1132" s="143">
        <v>0</v>
      </c>
      <c r="EC1132" s="143">
        <v>0</v>
      </c>
      <c r="ED1132" s="143">
        <v>0</v>
      </c>
      <c r="EE1132">
        <v>0</v>
      </c>
      <c r="EF1132" s="143">
        <v>0</v>
      </c>
      <c r="EG1132" s="143">
        <v>0</v>
      </c>
      <c r="EH1132" s="143">
        <v>1</v>
      </c>
      <c r="EI1132" s="143">
        <v>0</v>
      </c>
      <c r="EJ1132">
        <v>0</v>
      </c>
      <c r="EK1132">
        <v>0</v>
      </c>
      <c r="EL1132" s="143">
        <v>0</v>
      </c>
      <c r="EM1132" s="143">
        <v>0</v>
      </c>
      <c r="EN1132" s="2">
        <v>0</v>
      </c>
      <c r="EP1132" t="str">
        <f>IF(AND(AND(AND(OR($EC1132=1,$EB1132=1),OR($EH1132=1,$EF1132=1)),SUM($EA1132:$EE1132,$EK1132)&gt;=3),SUM($EF1132:$EJ1132)&gt;=2),"Whole sector approach","")</f>
        <v/>
      </c>
      <c r="EQ1132" t="str">
        <f>IF(AND(AND(OR($EC1132=1,$EB1132=1),AND($EH1132=0,$EF1132=0)),SUM($EA1132:$EE1132,$EK1132)&gt;=4),"Ecosystem approach","")</f>
        <v/>
      </c>
      <c r="ER1132" s="2" t="str">
        <f>IF(AND(AND(AND($EC1132=0,$EB1132=0),OR($EH1132=1,$EF1132=1)),SUM($EG1132:$EJ1132)&gt;=2),"Technology approach","")</f>
        <v/>
      </c>
      <c r="ES1132" t="str">
        <f>IF(AND($EC1132+$EB1132+$EE1132+$EA1132+$ED1132+$EG1132=0,$N1132="included"),"C neutral forest and HWP assumption","")</f>
        <v>C neutral forest and HWP assumption</v>
      </c>
      <c r="ET1132" t="str">
        <f>IF(AND(AND(AND(AND($EC1132=1,$EB1132+$EA1132+$EG1132&gt;=1),$EF1132=1),$EH1132+$EI1132+$ED1132+$EE1132&gt;=2),$N1132="included"),"All C pools assumption","")</f>
        <v/>
      </c>
      <c r="EU1132" t="str">
        <f>IF(AND($ED1132+$EE1132+$EI1132+$EH1132+$EF1132=0,$N1132="included"),"In-situ only assumption","")</f>
        <v/>
      </c>
      <c r="EW1132" t="s">
        <v>1528</v>
      </c>
      <c r="EY1132" t="str">
        <f>IF(ISNUMBER(BW1132),IF(ABS(BW1132-[3]QC_indicators!$B$2)&gt;3*[3]QC_indicators!$C$2,"C ratio",IF(ISNUMBER(CA1132),IF(ABS(CA1132-[3]QC_indicators!$B$1)&gt;3*[3]QC_indicators!$C$1,"DF","no"))),IF(ISNUMBER(CA1132),IF(ABS(CA1132-[3]QC_indicators!$B$1)&gt;3*[3]QC_indicators!$C$1,"DF","no")))</f>
        <v>no</v>
      </c>
      <c r="FA1132" t="str">
        <f>IF(LEN($CY1132)=0,"",IF(AND($CY1132&lt;(-0.05),$ES1132="C neutral forest and HWP assumption"),"Cneutral paradox",IF(AND($CY1132&gt;0.05,$EU1132="In-situ only assumption"),"In-situ only paradox","")))</f>
        <v/>
      </c>
      <c r="FB1132" s="149" t="s">
        <v>349</v>
      </c>
      <c r="FD1132" s="260" t="s">
        <v>2941</v>
      </c>
    </row>
    <row r="1133" spans="1:160" ht="18" hidden="1" customHeight="1">
      <c r="A1133" s="1" t="s">
        <v>1108</v>
      </c>
      <c r="B1133" t="s">
        <v>1109</v>
      </c>
      <c r="C1133" t="s">
        <v>1110</v>
      </c>
      <c r="D1133" t="s">
        <v>336</v>
      </c>
      <c r="E1133" t="s">
        <v>1111</v>
      </c>
      <c r="F1133" t="s">
        <v>1112</v>
      </c>
      <c r="G1133" t="s">
        <v>1113</v>
      </c>
      <c r="I1133">
        <v>2018</v>
      </c>
      <c r="K1133" t="s">
        <v>1114</v>
      </c>
      <c r="M1133" t="str">
        <f>LEFT($D1133,FIND(",",$D1133)-1)&amp;"_"&amp;I1133&amp;L1133</f>
        <v>Balasbaneh_2018</v>
      </c>
      <c r="N1133" t="s">
        <v>222</v>
      </c>
      <c r="O1133" s="140" t="s">
        <v>508</v>
      </c>
      <c r="Q1133" t="s">
        <v>224</v>
      </c>
      <c r="R1133" s="258" t="s">
        <v>223</v>
      </c>
      <c r="S1133" s="1" t="s">
        <v>1131</v>
      </c>
      <c r="T1133" s="260" t="s">
        <v>2791</v>
      </c>
      <c r="U1133" s="260" t="s">
        <v>2795</v>
      </c>
      <c r="V1133" s="253">
        <v>0</v>
      </c>
      <c r="W1133" s="253">
        <v>0</v>
      </c>
      <c r="X1133">
        <v>0</v>
      </c>
      <c r="Y1133">
        <v>0</v>
      </c>
      <c r="Z1133">
        <v>0</v>
      </c>
      <c r="AA1133">
        <v>0</v>
      </c>
      <c r="AB1133">
        <v>0</v>
      </c>
      <c r="AC1133">
        <v>0</v>
      </c>
      <c r="AD1133">
        <v>0</v>
      </c>
      <c r="AE1133">
        <v>0</v>
      </c>
      <c r="AF1133">
        <v>0</v>
      </c>
      <c r="AG1133">
        <v>0</v>
      </c>
      <c r="AH1133">
        <v>0</v>
      </c>
      <c r="AI1133">
        <v>0</v>
      </c>
      <c r="AJ1133">
        <v>0</v>
      </c>
      <c r="AK1133">
        <v>0</v>
      </c>
      <c r="AL1133">
        <v>0</v>
      </c>
      <c r="AM1133">
        <v>1</v>
      </c>
      <c r="AN1133">
        <v>0</v>
      </c>
      <c r="AO1133">
        <v>0</v>
      </c>
      <c r="AP1133">
        <v>0</v>
      </c>
      <c r="AQ1133">
        <v>0</v>
      </c>
      <c r="AR1133">
        <v>0</v>
      </c>
      <c r="AS1133">
        <v>0</v>
      </c>
      <c r="AT1133">
        <v>0</v>
      </c>
      <c r="AU1133">
        <v>0</v>
      </c>
      <c r="AV1133">
        <v>0</v>
      </c>
      <c r="AW1133">
        <v>0</v>
      </c>
      <c r="AX1133">
        <v>0</v>
      </c>
      <c r="AY1133">
        <v>0</v>
      </c>
      <c r="AZ1133" s="141">
        <f>COUNTIF(X1133:AY1133,"&lt;&gt;0")</f>
        <v>1</v>
      </c>
      <c r="BA1133" s="141">
        <f>COUNTIF(X1133:AN1133,"&lt;&gt;0")</f>
        <v>1</v>
      </c>
      <c r="BB1133">
        <f>COUNTIF(X1133:AE1133,"&lt;&gt;0")</f>
        <v>0</v>
      </c>
      <c r="BC1133">
        <f>COUNTIF(AF1133:AK1133,"&lt;&gt;0")</f>
        <v>0</v>
      </c>
      <c r="BD1133">
        <f>COUNTIF(AL1133:AN1133,"&lt;&gt;0")</f>
        <v>1</v>
      </c>
      <c r="BE1133">
        <f>COUNTIF(AU1133:AY1133,"&lt;&gt;0")</f>
        <v>0</v>
      </c>
      <c r="BF1133">
        <f>COUNTIF(AO1133:AT1133,"&lt;&gt;0")</f>
        <v>0</v>
      </c>
      <c r="BG1133" t="str">
        <f t="array" ref="BG1133">IF(BA1133=1,INDEX($X$7:$AN$7,MATCH(TRUE,INDEX($X1133:$AY1133&lt;&gt;0,),0)),IF(BA1133=0,INDEX($AO$7:$AY$7,MATCH(1,$AO1133:$AY1133,0)),IF(BH1133="Multiple strategies","mixed drivers",IF(BH1133="Supply chain","multiple supply","multiple silviculture"))))</f>
        <v>technologies/design switch</v>
      </c>
      <c r="BH1133" s="2" t="str" cm="1">
        <f t="array" ref="BH1133">IF(COUNTIF(BB1133:BD1133,"&lt;&gt;0")=1,INDEX($X$4:$AY$4,MATCH(TRUE,INDEX($X1133:$AY1133&lt;&gt;0,),0)),IF(COUNTIF(BB1133:BD1133,"&lt;&gt;0")=0,INDEX($AO$4:$AY$4,MATCH(1,$AO1133:$AY1133,0)),"Multiple strategies"))</f>
        <v>Technology</v>
      </c>
      <c r="BI1133" s="1" t="s">
        <v>229</v>
      </c>
      <c r="BJ1133" t="s">
        <v>229</v>
      </c>
      <c r="BL1133" t="s">
        <v>345</v>
      </c>
      <c r="BM1133">
        <v>0</v>
      </c>
      <c r="BN1133">
        <v>23436</v>
      </c>
      <c r="BO1133" s="143"/>
      <c r="BP1133">
        <f>BN1133-BM1133</f>
        <v>23436</v>
      </c>
      <c r="BQ1133" s="143">
        <f>BP1133*kg_to_m3</f>
        <v>47.828571428571436</v>
      </c>
      <c r="BR1133" t="s">
        <v>232</v>
      </c>
      <c r="BS1133" s="153" t="s">
        <v>987</v>
      </c>
      <c r="BT1133" t="s">
        <v>397</v>
      </c>
      <c r="BU1133">
        <v>-16700</v>
      </c>
      <c r="BV1133">
        <v>-711</v>
      </c>
      <c r="BW1133" s="144">
        <v>4.2574850299401196E-2</v>
      </c>
      <c r="BX1133">
        <v>15989</v>
      </c>
      <c r="BZ1133">
        <f>BX1133/1000</f>
        <v>15.989000000000001</v>
      </c>
      <c r="CA1133">
        <f>IFERROR(BZ1133/BQ1133,"")</f>
        <v>0.33429808841099162</v>
      </c>
      <c r="CB1133">
        <v>0</v>
      </c>
      <c r="CC1133">
        <v>0</v>
      </c>
      <c r="CD1133">
        <v>0</v>
      </c>
      <c r="CE1133">
        <v>0</v>
      </c>
      <c r="CF1133">
        <v>0</v>
      </c>
      <c r="CG1133">
        <v>0</v>
      </c>
      <c r="CH1133">
        <v>0</v>
      </c>
      <c r="CI1133">
        <v>0</v>
      </c>
      <c r="CJ1133">
        <v>0</v>
      </c>
      <c r="CK1133">
        <v>0</v>
      </c>
      <c r="CL1133">
        <v>0</v>
      </c>
      <c r="CM1133">
        <v>0</v>
      </c>
      <c r="CN1133">
        <v>0</v>
      </c>
      <c r="CO1133">
        <v>0</v>
      </c>
      <c r="CP1133" t="str">
        <f>IF($BN1133&lt;$BM1133,"refNeedCorrection","refOK")</f>
        <v>refOK</v>
      </c>
      <c r="CQ1133">
        <f>IF($CP1133="refNeedCorrection",BN1133,BM1133)</f>
        <v>0</v>
      </c>
      <c r="CR1133">
        <f>IF($CP1133="refNeedCorrection",BM1133,BN1133)</f>
        <v>23436</v>
      </c>
      <c r="CS1133">
        <f>IF($CP1133="refOK",$BQ1133,-$BQ1133)</f>
        <v>47.828571428571436</v>
      </c>
      <c r="CT1133">
        <f>IF(BI1133="Roundwood",$CS1133/2,$CS1133)</f>
        <v>47.828571428571436</v>
      </c>
      <c r="CU1133">
        <f>IF($CP1133="refOK",$BU1133,$BV1133)*IF($BR1133="Emissions positive",-1,1)</f>
        <v>-16700</v>
      </c>
      <c r="CV1133">
        <f>IF($CP1133="refOK",$BV1133,$BU1133)*IF($BR1133="Emissions positive",-1,1)</f>
        <v>-711</v>
      </c>
      <c r="CW1133">
        <f>IF($CP1133="refNeedCorrection",-BZ1133,BZ1133)*IF($BR1133="Emissions positive",-1,1)</f>
        <v>15.989000000000001</v>
      </c>
      <c r="CX1133">
        <f>IFERROR($CW1133/$CS1133,"")</f>
        <v>0.33429808841099162</v>
      </c>
      <c r="CY1133">
        <f>IFERROR($CW1133/$CS1133,"")</f>
        <v>0.33429808841099162</v>
      </c>
      <c r="CZ1133">
        <f>IFERROR($CW1133/$CT1133,"")</f>
        <v>0.33429808841099162</v>
      </c>
      <c r="DA1133" s="2">
        <f>IFERROR((CV1133-CU1133)/ABS(CU1133),"")</f>
        <v>0.95742514970059878</v>
      </c>
      <c r="DB1133" s="1" t="s">
        <v>1078</v>
      </c>
      <c r="DC1133" t="str">
        <f>IF(OR($DB1133="prd",$DB1133="std",$DB1133="cit"),"loc",IF(OR($DB1133="eur",$DB1133="reg",$DB1133="coy"),"reg",$DB1133))</f>
        <v>reg</v>
      </c>
      <c r="DD1133" t="s">
        <v>348</v>
      </c>
      <c r="DE1133">
        <v>2014</v>
      </c>
      <c r="DF1133">
        <v>2034</v>
      </c>
      <c r="DG1133">
        <v>20</v>
      </c>
      <c r="DH1133" t="str">
        <f>IF(DG1133=0,"0",IF(AND(DG1133&gt;=1,DG1133&lt;=30),"1-30",IF(AND(DG1133&gt;30,DG1133&lt;=70),"31-70",IF(AND(DG1133&gt;70,DG1133&lt;=100),"71-100",IF(DG1133&gt;100,"+100")))))</f>
        <v>1-30</v>
      </c>
      <c r="DI1133">
        <v>0</v>
      </c>
      <c r="DJ1133">
        <v>0</v>
      </c>
      <c r="DK1133">
        <v>0</v>
      </c>
      <c r="DL1133">
        <v>1</v>
      </c>
      <c r="DN1133">
        <f>SUM(DI1133:DL1133)</f>
        <v>1</v>
      </c>
      <c r="DO1133" t="str">
        <f>IF(DN1133=1,INDEX($DI$7:$DL$7,MATCH(1,$DI1133:$DL1133,0)),"mixedProduct")</f>
        <v>TimberInput</v>
      </c>
      <c r="DP1133">
        <f>IF(DI1133=1,DP$7,0)</f>
        <v>0</v>
      </c>
      <c r="DQ1133">
        <f>IF(DJ1133=1,DQ$7,0)</f>
        <v>0</v>
      </c>
      <c r="DR1133">
        <f>IF(DK1133=1,DR$7,0)</f>
        <v>0</v>
      </c>
      <c r="DS1133" t="str">
        <f>IF(DL1133=1,DS$7,0)</f>
        <v>Timber</v>
      </c>
      <c r="DT1133">
        <v>0</v>
      </c>
      <c r="DU1133">
        <v>0</v>
      </c>
      <c r="DV1133">
        <v>0</v>
      </c>
      <c r="DW1133">
        <v>0</v>
      </c>
      <c r="DX1133">
        <v>0</v>
      </c>
      <c r="DY1133">
        <f>SUM(DT1133:DU1133)</f>
        <v>0</v>
      </c>
      <c r="DZ1133" s="143" t="str">
        <f>IF(DT1133=1,"self-calculated DF",IF(DU1133=1,"external DF used","explicit C balance"))</f>
        <v>explicit C balance</v>
      </c>
      <c r="EA1133">
        <v>0</v>
      </c>
      <c r="EB1133">
        <v>0</v>
      </c>
      <c r="EC1133">
        <v>0</v>
      </c>
      <c r="ED1133">
        <v>0</v>
      </c>
      <c r="EE1133">
        <v>0</v>
      </c>
      <c r="EF1133" s="143">
        <v>1</v>
      </c>
      <c r="EG1133">
        <v>0</v>
      </c>
      <c r="EH1133">
        <v>1</v>
      </c>
      <c r="EI1133">
        <v>1</v>
      </c>
      <c r="EJ1133">
        <v>1</v>
      </c>
      <c r="EK1133">
        <v>0</v>
      </c>
      <c r="EL1133">
        <v>0</v>
      </c>
      <c r="EM1133">
        <v>0</v>
      </c>
      <c r="EN1133" s="2">
        <v>0</v>
      </c>
      <c r="EP1133" t="str">
        <f>IF(AND(AND(AND(OR($EC1133=1,$EB1133=1),OR($EH1133=1,$EF1133=1)),SUM($EA1133:$EE1133,$EK1133)&gt;=3),SUM($EF1133:$EJ1133)&gt;=2),"Whole sector approach","")</f>
        <v/>
      </c>
      <c r="EQ1133" t="str">
        <f>IF(AND(AND(OR($EC1133=1,$EB1133=1),AND($EH1133=0,$EF1133=0)),SUM($EA1133:$EE1133,$EK1133)&gt;=4),"Ecosystem approach","")</f>
        <v/>
      </c>
      <c r="ER1133" s="2" t="str">
        <f>IF(AND(AND(AND($EC1133=0,$EB1133=0),OR($EH1133=1,$EF1133=1)),SUM($EG1133:$EJ1133)&gt;=2),"Technology approach","")</f>
        <v>Technology approach</v>
      </c>
      <c r="ES1133" t="str">
        <f>IF(AND($EC1133+$EB1133+$EE1133+$EA1133+$ED1133+$EG1133=0,$N1133="included"),"C neutral forest and HWP assumption","")</f>
        <v>C neutral forest and HWP assumption</v>
      </c>
      <c r="ET1133" t="str">
        <f>IF(AND(AND(AND(AND($EC1133=1,$EB1133+$EA1133+$EG1133&gt;=1),$EF1133=1),$EH1133+$EI1133+$ED1133+$EE1133&gt;=2),$N1133="included"),"All C pools assumption","")</f>
        <v/>
      </c>
      <c r="EU1133" t="str">
        <f>IF(AND($ED1133+$EE1133+$EI1133+$EH1133+$EF1133=0,$N1133="included"),"In-situ only assumption","")</f>
        <v/>
      </c>
      <c r="EY1133" t="str">
        <f>IF(ISNUMBER(BW1133),IF(ABS(BW1133-[2]QC_indicators!$B$2)&gt;3*[2]QC_indicators!$C$2,"C ratio",IF(ISNUMBER(CA1133),IF(ABS(CA1133-[2]QC_indicators!$B$1)&gt;3*[2]QC_indicators!$C$1,"DF","no"))),IF(ISNUMBER(CA1133),IF(ABS(CA1133-[2]QC_indicators!$B$1)&gt;3*[2]QC_indicators!$C$1,"DF","no")))</f>
        <v>no</v>
      </c>
      <c r="FA1133" t="str">
        <f>IF(LEN($CY1133)=0,"",IF(AND($CY1133&lt;(-0.05),$ES1133="C neutral forest and HWP assumption"),"Cneutral paradox",IF(AND($CY1133&gt;0.05,$EU1133="In-situ only assumption"),"In-situ only paradox","")))</f>
        <v/>
      </c>
      <c r="FB1133" s="149" t="s">
        <v>349</v>
      </c>
      <c r="FD1133" s="260" t="s">
        <v>2948</v>
      </c>
    </row>
    <row r="1134" spans="1:160" ht="15" hidden="1" customHeight="1">
      <c r="A1134" s="1" t="s">
        <v>1108</v>
      </c>
      <c r="B1134" t="s">
        <v>1109</v>
      </c>
      <c r="C1134" t="s">
        <v>1110</v>
      </c>
      <c r="D1134" t="s">
        <v>336</v>
      </c>
      <c r="E1134" t="s">
        <v>1111</v>
      </c>
      <c r="F1134" t="s">
        <v>1112</v>
      </c>
      <c r="G1134" t="s">
        <v>1113</v>
      </c>
      <c r="I1134">
        <v>2018</v>
      </c>
      <c r="K1134" t="s">
        <v>1114</v>
      </c>
      <c r="M1134" t="str">
        <f>LEFT($D1134,FIND(",",$D1134)-1)&amp;"_"&amp;I1134&amp;L1134</f>
        <v>Balasbaneh_2018</v>
      </c>
      <c r="N1134" t="s">
        <v>222</v>
      </c>
      <c r="O1134" s="140" t="s">
        <v>508</v>
      </c>
      <c r="Q1134" t="s">
        <v>224</v>
      </c>
      <c r="R1134" s="258" t="s">
        <v>223</v>
      </c>
      <c r="S1134" s="1" t="s">
        <v>1132</v>
      </c>
      <c r="T1134" s="260" t="s">
        <v>2791</v>
      </c>
      <c r="U1134" s="260" t="s">
        <v>2790</v>
      </c>
      <c r="V1134" s="253">
        <v>0</v>
      </c>
      <c r="W1134" s="253">
        <v>0</v>
      </c>
      <c r="X1134">
        <v>0</v>
      </c>
      <c r="Y1134">
        <v>0</v>
      </c>
      <c r="Z1134">
        <v>0</v>
      </c>
      <c r="AA1134">
        <v>0</v>
      </c>
      <c r="AB1134">
        <v>0</v>
      </c>
      <c r="AC1134">
        <v>0</v>
      </c>
      <c r="AD1134">
        <v>0</v>
      </c>
      <c r="AE1134">
        <v>0</v>
      </c>
      <c r="AF1134">
        <v>0</v>
      </c>
      <c r="AG1134">
        <v>0</v>
      </c>
      <c r="AH1134">
        <v>0</v>
      </c>
      <c r="AI1134">
        <v>0</v>
      </c>
      <c r="AJ1134">
        <v>0</v>
      </c>
      <c r="AK1134">
        <v>0</v>
      </c>
      <c r="AL1134">
        <v>0</v>
      </c>
      <c r="AM1134">
        <v>1</v>
      </c>
      <c r="AN1134">
        <v>0</v>
      </c>
      <c r="AO1134">
        <v>0</v>
      </c>
      <c r="AP1134">
        <v>0</v>
      </c>
      <c r="AQ1134">
        <v>0</v>
      </c>
      <c r="AR1134">
        <v>0</v>
      </c>
      <c r="AS1134">
        <v>0</v>
      </c>
      <c r="AT1134">
        <v>0</v>
      </c>
      <c r="AU1134">
        <v>0</v>
      </c>
      <c r="AV1134">
        <v>0</v>
      </c>
      <c r="AW1134">
        <v>0</v>
      </c>
      <c r="AX1134">
        <v>0</v>
      </c>
      <c r="AY1134">
        <v>0</v>
      </c>
      <c r="AZ1134" s="141">
        <f>COUNTIF(X1134:AY1134,"&lt;&gt;0")</f>
        <v>1</v>
      </c>
      <c r="BA1134" s="141">
        <f>COUNTIF(X1134:AN1134,"&lt;&gt;0")</f>
        <v>1</v>
      </c>
      <c r="BB1134">
        <f>COUNTIF(X1134:AE1134,"&lt;&gt;0")</f>
        <v>0</v>
      </c>
      <c r="BC1134">
        <f>COUNTIF(AF1134:AK1134,"&lt;&gt;0")</f>
        <v>0</v>
      </c>
      <c r="BD1134">
        <f>COUNTIF(AL1134:AN1134,"&lt;&gt;0")</f>
        <v>1</v>
      </c>
      <c r="BE1134">
        <f>COUNTIF(AU1134:AY1134,"&lt;&gt;0")</f>
        <v>0</v>
      </c>
      <c r="BF1134">
        <f>COUNTIF(AO1134:AT1134,"&lt;&gt;0")</f>
        <v>0</v>
      </c>
      <c r="BG1134" t="str">
        <f t="array" ref="BG1134">IF(BA1134=1,INDEX($X$7:$AN$7,MATCH(TRUE,INDEX($X1134:$AY1134&lt;&gt;0,),0)),IF(BA1134=0,INDEX($AO$7:$AY$7,MATCH(1,$AO1134:$AY1134,0)),IF(BH1134="Multiple strategies","mixed drivers",IF(BH1134="Supply chain","multiple supply","multiple silviculture"))))</f>
        <v>technologies/design switch</v>
      </c>
      <c r="BH1134" s="2" t="str" cm="1">
        <f t="array" ref="BH1134">IF(COUNTIF(BB1134:BD1134,"&lt;&gt;0")=1,INDEX($X$4:$AY$4,MATCH(TRUE,INDEX($X1134:$AY1134&lt;&gt;0,),0)),IF(COUNTIF(BB1134:BD1134,"&lt;&gt;0")=0,INDEX($AO$4:$AY$4,MATCH(1,$AO1134:$AY1134,0)),"Multiple strategies"))</f>
        <v>Technology</v>
      </c>
      <c r="BI1134" s="1" t="s">
        <v>229</v>
      </c>
      <c r="BJ1134" t="s">
        <v>229</v>
      </c>
      <c r="BL1134" t="s">
        <v>345</v>
      </c>
      <c r="BM1134">
        <v>0</v>
      </c>
      <c r="BN1134">
        <v>15468</v>
      </c>
      <c r="BO1134" s="143"/>
      <c r="BP1134">
        <f>BN1134-BM1134</f>
        <v>15468</v>
      </c>
      <c r="BQ1134" s="143">
        <f>BP1134*kg_to_m3</f>
        <v>31.567346938775515</v>
      </c>
      <c r="BR1134" t="s">
        <v>232</v>
      </c>
      <c r="BS1134" s="153" t="s">
        <v>987</v>
      </c>
      <c r="BT1134" t="s">
        <v>397</v>
      </c>
      <c r="BU1134">
        <v>-16700</v>
      </c>
      <c r="BV1134">
        <v>-5840</v>
      </c>
      <c r="BW1134" s="144">
        <v>0.34970059880239523</v>
      </c>
      <c r="BX1134">
        <v>10860</v>
      </c>
      <c r="BZ1134">
        <f>BX1134/1000</f>
        <v>10.86</v>
      </c>
      <c r="CA1134">
        <f>IFERROR(BZ1134/BQ1134,"")</f>
        <v>0.34402637703646233</v>
      </c>
      <c r="CB1134">
        <v>0</v>
      </c>
      <c r="CC1134">
        <v>0</v>
      </c>
      <c r="CD1134">
        <v>0</v>
      </c>
      <c r="CE1134">
        <v>0</v>
      </c>
      <c r="CF1134">
        <v>0</v>
      </c>
      <c r="CG1134">
        <v>0</v>
      </c>
      <c r="CH1134">
        <v>0</v>
      </c>
      <c r="CI1134">
        <v>0</v>
      </c>
      <c r="CJ1134">
        <v>0</v>
      </c>
      <c r="CK1134">
        <v>0</v>
      </c>
      <c r="CL1134">
        <v>0</v>
      </c>
      <c r="CM1134">
        <v>0</v>
      </c>
      <c r="CN1134">
        <v>0</v>
      </c>
      <c r="CO1134">
        <v>0</v>
      </c>
      <c r="CP1134" t="str">
        <f>IF($BN1134&lt;$BM1134,"refNeedCorrection","refOK")</f>
        <v>refOK</v>
      </c>
      <c r="CQ1134">
        <f>IF($CP1134="refNeedCorrection",BN1134,BM1134)</f>
        <v>0</v>
      </c>
      <c r="CR1134">
        <f>IF($CP1134="refNeedCorrection",BM1134,BN1134)</f>
        <v>15468</v>
      </c>
      <c r="CS1134">
        <f>IF($CP1134="refOK",$BQ1134,-$BQ1134)</f>
        <v>31.567346938775515</v>
      </c>
      <c r="CT1134">
        <f>IF(BI1134="Roundwood",$CS1134/2,$CS1134)</f>
        <v>31.567346938775515</v>
      </c>
      <c r="CU1134">
        <f>IF($CP1134="refOK",$BU1134,$BV1134)*IF($BR1134="Emissions positive",-1,1)</f>
        <v>-16700</v>
      </c>
      <c r="CV1134">
        <f>IF($CP1134="refOK",$BV1134,$BU1134)*IF($BR1134="Emissions positive",-1,1)</f>
        <v>-5840</v>
      </c>
      <c r="CW1134">
        <f>IF($CP1134="refNeedCorrection",-BZ1134,BZ1134)*IF($BR1134="Emissions positive",-1,1)</f>
        <v>10.86</v>
      </c>
      <c r="CX1134">
        <f>IFERROR($CW1134/$CS1134,"")</f>
        <v>0.34402637703646233</v>
      </c>
      <c r="CY1134">
        <f>IFERROR($CW1134/$CS1134,"")</f>
        <v>0.34402637703646233</v>
      </c>
      <c r="CZ1134">
        <f>IFERROR($CW1134/$CT1134,"")</f>
        <v>0.34402637703646233</v>
      </c>
      <c r="DA1134" s="2">
        <f>IFERROR((CV1134-CU1134)/ABS(CU1134),"")</f>
        <v>0.65029940119760477</v>
      </c>
      <c r="DB1134" s="1" t="s">
        <v>1078</v>
      </c>
      <c r="DC1134" t="str">
        <f>IF(OR($DB1134="prd",$DB1134="std",$DB1134="cit"),"loc",IF(OR($DB1134="eur",$DB1134="reg",$DB1134="coy"),"reg",$DB1134))</f>
        <v>reg</v>
      </c>
      <c r="DD1134" t="s">
        <v>348</v>
      </c>
      <c r="DE1134">
        <v>2014</v>
      </c>
      <c r="DF1134">
        <v>2034</v>
      </c>
      <c r="DG1134">
        <v>20</v>
      </c>
      <c r="DH1134" t="str">
        <f>IF(DG1134=0,"0",IF(AND(DG1134&gt;=1,DG1134&lt;=30),"1-30",IF(AND(DG1134&gt;30,DG1134&lt;=70),"31-70",IF(AND(DG1134&gt;70,DG1134&lt;=100),"71-100",IF(DG1134&gt;100,"+100")))))</f>
        <v>1-30</v>
      </c>
      <c r="DI1134">
        <v>0</v>
      </c>
      <c r="DJ1134">
        <v>0</v>
      </c>
      <c r="DK1134">
        <v>0</v>
      </c>
      <c r="DL1134">
        <v>1</v>
      </c>
      <c r="DN1134">
        <f>SUM(DI1134:DL1134)</f>
        <v>1</v>
      </c>
      <c r="DO1134" t="str">
        <f>IF(DN1134=1,INDEX($DI$7:$DL$7,MATCH(1,$DI1134:$DL1134,0)),"mixedProduct")</f>
        <v>TimberInput</v>
      </c>
      <c r="DP1134">
        <f>IF(DI1134=1,DP$7,0)</f>
        <v>0</v>
      </c>
      <c r="DQ1134">
        <f>IF(DJ1134=1,DQ$7,0)</f>
        <v>0</v>
      </c>
      <c r="DR1134">
        <f>IF(DK1134=1,DR$7,0)</f>
        <v>0</v>
      </c>
      <c r="DS1134" t="str">
        <f>IF(DL1134=1,DS$7,0)</f>
        <v>Timber</v>
      </c>
      <c r="DT1134">
        <v>0</v>
      </c>
      <c r="DU1134">
        <v>0</v>
      </c>
      <c r="DV1134">
        <v>0</v>
      </c>
      <c r="DW1134">
        <v>0</v>
      </c>
      <c r="DX1134">
        <v>0</v>
      </c>
      <c r="DY1134">
        <f>SUM(DT1134:DU1134)</f>
        <v>0</v>
      </c>
      <c r="DZ1134" s="143" t="str">
        <f>IF(DT1134=1,"self-calculated DF",IF(DU1134=1,"external DF used","explicit C balance"))</f>
        <v>explicit C balance</v>
      </c>
      <c r="EA1134">
        <v>0</v>
      </c>
      <c r="EB1134">
        <v>0</v>
      </c>
      <c r="EC1134">
        <v>0</v>
      </c>
      <c r="ED1134">
        <v>0</v>
      </c>
      <c r="EE1134">
        <v>0</v>
      </c>
      <c r="EF1134" s="143">
        <v>1</v>
      </c>
      <c r="EG1134">
        <v>0</v>
      </c>
      <c r="EH1134">
        <v>1</v>
      </c>
      <c r="EI1134">
        <v>1</v>
      </c>
      <c r="EJ1134">
        <v>1</v>
      </c>
      <c r="EK1134">
        <v>0</v>
      </c>
      <c r="EL1134">
        <v>0</v>
      </c>
      <c r="EM1134">
        <v>0</v>
      </c>
      <c r="EN1134" s="2">
        <v>0</v>
      </c>
      <c r="EP1134" t="str">
        <f>IF(AND(AND(AND(OR($EC1134=1,$EB1134=1),OR($EH1134=1,$EF1134=1)),SUM($EA1134:$EE1134,$EK1134)&gt;=3),SUM($EF1134:$EJ1134)&gt;=2),"Whole sector approach","")</f>
        <v/>
      </c>
      <c r="EQ1134" t="str">
        <f>IF(AND(AND(OR($EC1134=1,$EB1134=1),AND($EH1134=0,$EF1134=0)),SUM($EA1134:$EE1134,$EK1134)&gt;=4),"Ecosystem approach","")</f>
        <v/>
      </c>
      <c r="ER1134" s="2" t="str">
        <f>IF(AND(AND(AND($EC1134=0,$EB1134=0),OR($EH1134=1,$EF1134=1)),SUM($EG1134:$EJ1134)&gt;=2),"Technology approach","")</f>
        <v>Technology approach</v>
      </c>
      <c r="ES1134" t="str">
        <f>IF(AND($EC1134+$EB1134+$EE1134+$EA1134+$ED1134+$EG1134=0,$N1134="included"),"C neutral forest and HWP assumption","")</f>
        <v>C neutral forest and HWP assumption</v>
      </c>
      <c r="ET1134" t="str">
        <f>IF(AND(AND(AND(AND($EC1134=1,$EB1134+$EA1134+$EG1134&gt;=1),$EF1134=1),$EH1134+$EI1134+$ED1134+$EE1134&gt;=2),$N1134="included"),"All C pools assumption","")</f>
        <v/>
      </c>
      <c r="EU1134" t="str">
        <f>IF(AND($ED1134+$EE1134+$EI1134+$EH1134+$EF1134=0,$N1134="included"),"In-situ only assumption","")</f>
        <v/>
      </c>
      <c r="EY1134" t="str">
        <f>IF(ISNUMBER(BW1134),IF(ABS(BW1134-[2]QC_indicators!$B$2)&gt;3*[2]QC_indicators!$C$2,"C ratio",IF(ISNUMBER(CA1134),IF(ABS(CA1134-[2]QC_indicators!$B$1)&gt;3*[2]QC_indicators!$C$1,"DF","no"))),IF(ISNUMBER(CA1134),IF(ABS(CA1134-[2]QC_indicators!$B$1)&gt;3*[2]QC_indicators!$C$1,"DF","no")))</f>
        <v>no</v>
      </c>
      <c r="FA1134" t="str">
        <f>IF(LEN($CY1134)=0,"",IF(AND($CY1134&lt;(-0.05),$ES1134="C neutral forest and HWP assumption"),"Cneutral paradox",IF(AND($CY1134&gt;0.05,$EU1134="In-situ only assumption"),"In-situ only paradox","")))</f>
        <v/>
      </c>
      <c r="FB1134" s="149" t="s">
        <v>349</v>
      </c>
      <c r="FD1134" s="260" t="s">
        <v>2948</v>
      </c>
    </row>
    <row r="1135" spans="1:160" ht="15" hidden="1" customHeight="1">
      <c r="A1135" s="1" t="s">
        <v>574</v>
      </c>
      <c r="B1135" t="s">
        <v>2104</v>
      </c>
      <c r="C1135" t="s">
        <v>2105</v>
      </c>
      <c r="D1135" t="s">
        <v>2106</v>
      </c>
      <c r="E1135" t="s">
        <v>2107</v>
      </c>
      <c r="F1135" t="s">
        <v>2108</v>
      </c>
      <c r="G1135" t="s">
        <v>580</v>
      </c>
      <c r="H1135" t="s">
        <v>254</v>
      </c>
      <c r="I1135">
        <v>2016</v>
      </c>
      <c r="J1135">
        <v>32</v>
      </c>
      <c r="K1135" t="s">
        <v>2109</v>
      </c>
      <c r="M1135" t="str">
        <f>LEFT($D1135,FIND(",",$D1135)-1)&amp;"_"&amp;I1135&amp;L1135</f>
        <v>Taskhiri_2016</v>
      </c>
      <c r="N1135" t="s">
        <v>222</v>
      </c>
      <c r="O1135" s="145" t="s">
        <v>1029</v>
      </c>
      <c r="Q1135" t="s">
        <v>256</v>
      </c>
      <c r="R1135" s="251" t="s">
        <v>223</v>
      </c>
      <c r="S1135" s="1" t="s">
        <v>2110</v>
      </c>
      <c r="T1135" t="s">
        <v>1182</v>
      </c>
      <c r="U1135" s="260" t="s">
        <v>2781</v>
      </c>
      <c r="V1135" s="253">
        <v>0</v>
      </c>
      <c r="W1135" s="253">
        <v>0</v>
      </c>
      <c r="X1135">
        <v>0</v>
      </c>
      <c r="Y1135">
        <v>0</v>
      </c>
      <c r="Z1135">
        <v>0</v>
      </c>
      <c r="AA1135">
        <v>0</v>
      </c>
      <c r="AB1135">
        <v>0</v>
      </c>
      <c r="AC1135">
        <v>0</v>
      </c>
      <c r="AD1135">
        <v>0</v>
      </c>
      <c r="AE1135">
        <v>0</v>
      </c>
      <c r="AF1135">
        <v>0</v>
      </c>
      <c r="AG1135">
        <v>0</v>
      </c>
      <c r="AH1135">
        <v>0</v>
      </c>
      <c r="AI1135">
        <v>1</v>
      </c>
      <c r="AJ1135">
        <v>0</v>
      </c>
      <c r="AK1135">
        <v>0</v>
      </c>
      <c r="AL1135">
        <v>0</v>
      </c>
      <c r="AM1135">
        <v>0</v>
      </c>
      <c r="AN1135">
        <v>0</v>
      </c>
      <c r="AO1135">
        <v>0</v>
      </c>
      <c r="AP1135">
        <v>0</v>
      </c>
      <c r="AQ1135">
        <v>0</v>
      </c>
      <c r="AR1135">
        <v>0</v>
      </c>
      <c r="AS1135">
        <v>0</v>
      </c>
      <c r="AT1135">
        <v>0</v>
      </c>
      <c r="AU1135">
        <v>0</v>
      </c>
      <c r="AV1135">
        <v>0</v>
      </c>
      <c r="AW1135">
        <v>0</v>
      </c>
      <c r="AX1135">
        <v>0</v>
      </c>
      <c r="AY1135">
        <v>0</v>
      </c>
      <c r="AZ1135" s="141">
        <f>COUNTIF(X1135:AY1135,"&lt;&gt;0")</f>
        <v>1</v>
      </c>
      <c r="BA1135" s="141">
        <f>COUNTIF(X1135:AN1135,"&lt;&gt;0")</f>
        <v>1</v>
      </c>
      <c r="BB1135">
        <f>COUNTIF(X1135:AE1135,"&lt;&gt;0")</f>
        <v>0</v>
      </c>
      <c r="BC1135">
        <f>COUNTIF(AF1135:AK1135,"&lt;&gt;0")</f>
        <v>1</v>
      </c>
      <c r="BD1135">
        <f>COUNTIF(AL1135:AN1135,"&lt;&gt;0")</f>
        <v>0</v>
      </c>
      <c r="BE1135">
        <f>COUNTIF(AU1135:AY1135,"&lt;&gt;0")</f>
        <v>0</v>
      </c>
      <c r="BF1135">
        <f>COUNTIF(AO1135:AT1135,"&lt;&gt;0")</f>
        <v>0</v>
      </c>
      <c r="BG1135" t="str">
        <f t="array" ref="BG1135">IF(BA1135=1,INDEX($X$7:$AN$7,MATCH(TRUE,INDEX($X1135:$AY1135&lt;&gt;0,),0)),IF(BA1135=0,INDEX($AO$7:$AY$7,MATCH(1,$AO1135:$AY1135,0)),IF(BH1135="Multiple strategies","mixed drivers",IF(BH1135="Supply chain","multiple supply","multiple silviculture"))))</f>
        <v>recycling</v>
      </c>
      <c r="BH1135" s="2" t="str" cm="1">
        <f t="array" ref="BH1135">IF(COUNTIF(BB1135:BD1135,"&lt;&gt;0")=1,INDEX($X$4:$AY$4,MATCH(TRUE,INDEX($X1135:$AY1135&lt;&gt;0,),0)),IF(COUNTIF(BB1135:BD1135,"&lt;&gt;0")=0,INDEX($AO$4:$AY$4,MATCH(1,$AO1135:$AY1135,0)),"Multiple strategies"))</f>
        <v>Supply chain</v>
      </c>
      <c r="BI1135" s="1" t="s">
        <v>229</v>
      </c>
      <c r="BJ1135" t="s">
        <v>2111</v>
      </c>
      <c r="BK1135" s="260" t="s">
        <v>2778</v>
      </c>
      <c r="BL1135" t="s">
        <v>1197</v>
      </c>
      <c r="BM1135">
        <v>0</v>
      </c>
      <c r="BN1135">
        <v>5.0000000000000001E-3</v>
      </c>
      <c r="BO1135" s="143" t="e">
        <f>BN1135/BM1135</f>
        <v>#DIV/0!</v>
      </c>
      <c r="BP1135">
        <f>BN1135-BM1135</f>
        <v>5.0000000000000001E-3</v>
      </c>
      <c r="BQ1135">
        <f>BP1135*10^6</f>
        <v>5000</v>
      </c>
      <c r="BR1135" t="s">
        <v>232</v>
      </c>
      <c r="BS1135" s="336" t="s">
        <v>763</v>
      </c>
      <c r="BT1135" t="s">
        <v>1070</v>
      </c>
      <c r="BU1135" s="194">
        <v>-27686.567164179</v>
      </c>
      <c r="BV1135" s="194">
        <v>-25746.268656716398</v>
      </c>
      <c r="BW1135" s="144">
        <f>IFERROR(BV1135/BU1135,"")</f>
        <v>0.92991913746631005</v>
      </c>
      <c r="BX1135" s="144">
        <f>BV1135-BU1135</f>
        <v>1940.2985074626013</v>
      </c>
      <c r="BY1135" s="144"/>
      <c r="BZ1135" s="144">
        <f>BX1135</f>
        <v>1940.2985074626013</v>
      </c>
      <c r="CA1135">
        <f>IFERROR(BZ1135/BQ1135,"")</f>
        <v>0.38805970149252023</v>
      </c>
      <c r="CB1135">
        <v>0</v>
      </c>
      <c r="CC1135">
        <v>0</v>
      </c>
      <c r="CD1135">
        <v>0</v>
      </c>
      <c r="CE1135">
        <v>0</v>
      </c>
      <c r="CF1135">
        <v>0</v>
      </c>
      <c r="CG1135">
        <v>0</v>
      </c>
      <c r="CH1135">
        <v>0</v>
      </c>
      <c r="CI1135">
        <v>0</v>
      </c>
      <c r="CJ1135">
        <v>0</v>
      </c>
      <c r="CK1135">
        <v>0</v>
      </c>
      <c r="CL1135">
        <v>0</v>
      </c>
      <c r="CM1135">
        <v>0</v>
      </c>
      <c r="CN1135">
        <v>0</v>
      </c>
      <c r="CO1135">
        <v>1</v>
      </c>
      <c r="CP1135" t="str">
        <f>IF($BN1135&lt;$BM1135,"refNeedCorrection","refOK")</f>
        <v>refOK</v>
      </c>
      <c r="CQ1135">
        <f>IF($CP1135="refOK",$BM1135,$BN1135)</f>
        <v>0</v>
      </c>
      <c r="CR1135">
        <f>IF($CP1135="refOK",$BN1135,$BM1135)</f>
        <v>5.0000000000000001E-3</v>
      </c>
      <c r="CS1135">
        <f>IF($CP1135="refOK",$BQ1135,-$BQ1135)</f>
        <v>5000</v>
      </c>
      <c r="CT1135">
        <f>IF(BI1135="Roundwood",$CS1135/2,$CS1135)</f>
        <v>5000</v>
      </c>
      <c r="CU1135">
        <f>IF($CP1135="refOK",$BU1135,$BV1135)*IF($BR1135="Emissions positive",-1,1)</f>
        <v>-27686.567164179</v>
      </c>
      <c r="CV1135">
        <f>IF($CP1135="refOK",$BV1135,$BU1135)*IF($BR1135="Emissions positive",-1,1)</f>
        <v>-25746.268656716398</v>
      </c>
      <c r="CW1135">
        <f>IF($CP1135="refNeedCorrection",-BZ1135,BZ1135)*IF($BR1135="Emissions positive",-1,1)</f>
        <v>1940.2985074626013</v>
      </c>
      <c r="CX1135">
        <f>IFERROR($CW1135/$CS1135,"")</f>
        <v>0.38805970149252023</v>
      </c>
      <c r="CY1135">
        <f>IFERROR($CW1135/$CS1135,"")</f>
        <v>0.38805970149252023</v>
      </c>
      <c r="CZ1135">
        <f>IFERROR($CW1135/$CT1135,"")</f>
        <v>0.38805970149252023</v>
      </c>
      <c r="DA1135" s="2">
        <f>IFERROR((CV1135-CU1135)/ABS(CU1135),"")</f>
        <v>7.0080862533689905E-2</v>
      </c>
      <c r="DB1135" s="1" t="s">
        <v>1074</v>
      </c>
      <c r="DC1135" t="str">
        <f>IF(OR($DB1135="prd",$DB1135="std",$DB1135="cit"),"loc",IF(OR($DB1135="eur",$DB1135="reg",$DB1135="coy"),"reg",$DB1135))</f>
        <v>reg</v>
      </c>
      <c r="DD1135" t="s">
        <v>1176</v>
      </c>
      <c r="DG1135">
        <v>0</v>
      </c>
      <c r="DH1135" t="str">
        <f>IF(DG1135=0,"0",IF(AND(DG1135&gt;=1,DG1135&lt;=30),"1-30",IF(AND(DG1135&gt;30,DG1135&lt;=70),"31-70",IF(AND(DG1135&gt;70,DG1135&lt;=100),"71-100",IF(DG1135&gt;100,"+100")))))</f>
        <v>0</v>
      </c>
      <c r="DI1135">
        <v>0</v>
      </c>
      <c r="DJ1135">
        <v>0</v>
      </c>
      <c r="DK1135">
        <v>1</v>
      </c>
      <c r="DL1135">
        <v>0</v>
      </c>
      <c r="DN1135">
        <f>SUM(DI1135:DL1135)</f>
        <v>1</v>
      </c>
      <c r="DO1135" t="str">
        <f>IF(DN1135=1,INDEX($DI$7:$DL$7,MATCH(1,$DI1135:$DL1135,0)),"mixedProduct")</f>
        <v>PulpPaperInput</v>
      </c>
      <c r="DP1135">
        <f>IF(DI1135=1,DP$7,0)</f>
        <v>0</v>
      </c>
      <c r="DQ1135">
        <f>IF(DJ1135=1,DQ$7,0)</f>
        <v>0</v>
      </c>
      <c r="DR1135" t="str">
        <f>IF(DK1135=1,DR$7,0)</f>
        <v>Pulp/Paper</v>
      </c>
      <c r="DS1135">
        <f>IF(DL1135=1,DS$7,0)</f>
        <v>0</v>
      </c>
      <c r="DT1135">
        <v>0</v>
      </c>
      <c r="DU1135">
        <v>0</v>
      </c>
      <c r="DV1135">
        <v>0</v>
      </c>
      <c r="DW1135">
        <v>0</v>
      </c>
      <c r="DX1135">
        <v>0</v>
      </c>
      <c r="DY1135">
        <f>SUM(DT1135:DU1135)</f>
        <v>0</v>
      </c>
      <c r="DZ1135" s="143" t="str">
        <f>IF(DT1135=1,"self-calculated DF",IF(DU1135=1,"external DF used","explicit C balance"))</f>
        <v>explicit C balance</v>
      </c>
      <c r="EA1135">
        <v>0</v>
      </c>
      <c r="EB1135">
        <v>0</v>
      </c>
      <c r="EC1135">
        <v>0</v>
      </c>
      <c r="ED1135">
        <v>0</v>
      </c>
      <c r="EE1135">
        <v>0</v>
      </c>
      <c r="EF1135" s="143">
        <v>0</v>
      </c>
      <c r="EG1135">
        <v>0</v>
      </c>
      <c r="EH1135">
        <v>1</v>
      </c>
      <c r="EI1135">
        <v>0</v>
      </c>
      <c r="EJ1135">
        <v>0</v>
      </c>
      <c r="EK1135">
        <v>0</v>
      </c>
      <c r="EL1135">
        <v>0</v>
      </c>
      <c r="EM1135">
        <v>0</v>
      </c>
      <c r="EN1135" s="2">
        <v>0</v>
      </c>
      <c r="EP1135" t="str">
        <f>IF(AND(AND(AND(OR($EC1135=1,$EB1135=1),OR($EH1135=1,$EF1135=1)),SUM($EA1135:$EE1135,$EK1135)&gt;=3),SUM($EF1135:$EJ1135)&gt;=2),"Whole sector approach","")</f>
        <v/>
      </c>
      <c r="EQ1135" t="str">
        <f>IF(AND(AND(OR($EC1135=1,$EB1135=1),AND($EH1135=0,$EF1135=0)),SUM($EA1135:$EE1135,$EK1135)&gt;=4),"Ecosystem approach","")</f>
        <v/>
      </c>
      <c r="ER1135" s="2" t="str">
        <f>IF(AND(AND(AND($EC1135=0,$EB1135=0),OR($EH1135=1,$EF1135=1)),SUM($EG1135:$EJ1135)&gt;=2),"Technology approach","")</f>
        <v/>
      </c>
      <c r="ES1135" t="str">
        <f>IF(AND($EC1135+$EB1135+$EE1135+$EA1135+$ED1135+$EG1135=0,$N1135="included"),"C neutral forest and HWP assumption","")</f>
        <v>C neutral forest and HWP assumption</v>
      </c>
      <c r="ET1135" t="str">
        <f>IF(AND(AND(AND(AND($EC1135=1,$EB1135+$EA1135+$EG1135&gt;=1),$EF1135=1),$EH1135+$EI1135+$ED1135+$EE1135&gt;=2),$N1135="included"),"All C pools assumption","")</f>
        <v/>
      </c>
      <c r="EU1135" t="str">
        <f>IF(AND($ED1135+$EE1135+$EI1135+$EH1135+$EF1135=0,$N1135="included"),"In-situ only assumption","")</f>
        <v/>
      </c>
      <c r="EY1135" t="str">
        <f>IF(ISNUMBER(BW1135),IF(ABS(BW1135-[2]QC_indicators!$B$2)&gt;3*[2]QC_indicators!$C$2,"C ratio",IF(ISNUMBER(CA1135),IF(ABS(CA1135-[2]QC_indicators!$B$1)&gt;3*[2]QC_indicators!$C$1,"DF","no"))),IF(ISNUMBER(CA1135),IF(ABS(CA1135-[2]QC_indicators!$B$1)&gt;3*[2]QC_indicators!$C$1,"DF","no")))</f>
        <v>no</v>
      </c>
      <c r="FA1135" t="str">
        <f>IF(LEN($CY1135)=0,"",IF(AND($CY1135&lt;(-0.05),$ES1135="C neutral forest and HWP assumption"),"Cneutral paradox",IF(AND($CY1135&gt;0.05,$EU1135="In-situ only assumption"),"In-situ only paradox","")))</f>
        <v/>
      </c>
      <c r="FD1135" s="260" t="s">
        <v>2782</v>
      </c>
    </row>
    <row r="1136" spans="1:160" ht="18" hidden="1" customHeight="1">
      <c r="A1136" s="1" t="s">
        <v>1108</v>
      </c>
      <c r="B1136" t="s">
        <v>1109</v>
      </c>
      <c r="C1136" t="s">
        <v>1110</v>
      </c>
      <c r="D1136" t="s">
        <v>336</v>
      </c>
      <c r="E1136" t="s">
        <v>1111</v>
      </c>
      <c r="F1136" t="s">
        <v>1112</v>
      </c>
      <c r="G1136" t="s">
        <v>1113</v>
      </c>
      <c r="I1136">
        <v>2018</v>
      </c>
      <c r="K1136" t="s">
        <v>1114</v>
      </c>
      <c r="M1136" t="str">
        <f>LEFT($D1136,FIND(",",$D1136)-1)&amp;"_"&amp;I1136&amp;L1136</f>
        <v>Balasbaneh_2018</v>
      </c>
      <c r="N1136" t="s">
        <v>222</v>
      </c>
      <c r="O1136" s="140" t="s">
        <v>508</v>
      </c>
      <c r="Q1136" t="s">
        <v>224</v>
      </c>
      <c r="R1136" s="258" t="s">
        <v>223</v>
      </c>
      <c r="S1136" s="1" t="s">
        <v>1133</v>
      </c>
      <c r="T1136" s="260" t="s">
        <v>2789</v>
      </c>
      <c r="U1136" s="260" t="s">
        <v>2795</v>
      </c>
      <c r="V1136" s="253">
        <v>0</v>
      </c>
      <c r="W1136" s="253">
        <v>0</v>
      </c>
      <c r="X1136">
        <v>0</v>
      </c>
      <c r="Y1136">
        <v>0</v>
      </c>
      <c r="Z1136">
        <v>0</v>
      </c>
      <c r="AA1136">
        <v>0</v>
      </c>
      <c r="AB1136">
        <v>0</v>
      </c>
      <c r="AC1136">
        <v>0</v>
      </c>
      <c r="AD1136">
        <v>0</v>
      </c>
      <c r="AE1136">
        <v>0</v>
      </c>
      <c r="AF1136">
        <v>0</v>
      </c>
      <c r="AG1136">
        <v>0</v>
      </c>
      <c r="AH1136">
        <v>0</v>
      </c>
      <c r="AI1136">
        <v>0</v>
      </c>
      <c r="AJ1136">
        <v>0</v>
      </c>
      <c r="AK1136">
        <v>0</v>
      </c>
      <c r="AL1136">
        <v>0</v>
      </c>
      <c r="AM1136">
        <v>1</v>
      </c>
      <c r="AN1136">
        <v>0</v>
      </c>
      <c r="AO1136">
        <v>0</v>
      </c>
      <c r="AP1136">
        <v>0</v>
      </c>
      <c r="AQ1136">
        <v>0</v>
      </c>
      <c r="AR1136">
        <v>0</v>
      </c>
      <c r="AS1136">
        <v>0</v>
      </c>
      <c r="AT1136">
        <v>0</v>
      </c>
      <c r="AU1136">
        <v>0</v>
      </c>
      <c r="AV1136">
        <v>0</v>
      </c>
      <c r="AW1136">
        <v>0</v>
      </c>
      <c r="AX1136">
        <v>0</v>
      </c>
      <c r="AY1136">
        <v>0</v>
      </c>
      <c r="AZ1136" s="141">
        <f>COUNTIF(X1136:AY1136,"&lt;&gt;0")</f>
        <v>1</v>
      </c>
      <c r="BA1136" s="141">
        <f>COUNTIF(X1136:AN1136,"&lt;&gt;0")</f>
        <v>1</v>
      </c>
      <c r="BB1136">
        <f>COUNTIF(X1136:AE1136,"&lt;&gt;0")</f>
        <v>0</v>
      </c>
      <c r="BC1136">
        <f>COUNTIF(AF1136:AK1136,"&lt;&gt;0")</f>
        <v>0</v>
      </c>
      <c r="BD1136">
        <f>COUNTIF(AL1136:AN1136,"&lt;&gt;0")</f>
        <v>1</v>
      </c>
      <c r="BE1136">
        <f>COUNTIF(AU1136:AY1136,"&lt;&gt;0")</f>
        <v>0</v>
      </c>
      <c r="BF1136">
        <f>COUNTIF(AO1136:AT1136,"&lt;&gt;0")</f>
        <v>0</v>
      </c>
      <c r="BG1136" t="str">
        <f t="array" ref="BG1136">IF(BA1136=1,INDEX($X$7:$AN$7,MATCH(TRUE,INDEX($X1136:$AY1136&lt;&gt;0,),0)),IF(BA1136=0,INDEX($AO$7:$AY$7,MATCH(1,$AO1136:$AY1136,0)),IF(BH1136="Multiple strategies","mixed drivers",IF(BH1136="Supply chain","multiple supply","multiple silviculture"))))</f>
        <v>technologies/design switch</v>
      </c>
      <c r="BH1136" s="2" t="str" cm="1">
        <f t="array" ref="BH1136">IF(COUNTIF(BB1136:BD1136,"&lt;&gt;0")=1,INDEX($X$4:$AY$4,MATCH(TRUE,INDEX($X1136:$AY1136&lt;&gt;0,),0)),IF(COUNTIF(BB1136:BD1136,"&lt;&gt;0")=0,INDEX($AO$4:$AY$4,MATCH(1,$AO1136:$AY1136,0)),"Multiple strategies"))</f>
        <v>Technology</v>
      </c>
      <c r="BI1136" s="1" t="s">
        <v>229</v>
      </c>
      <c r="BJ1136" t="s">
        <v>229</v>
      </c>
      <c r="BL1136" t="s">
        <v>345</v>
      </c>
      <c r="BM1136">
        <v>0</v>
      </c>
      <c r="BN1136">
        <v>23436</v>
      </c>
      <c r="BO1136" s="143"/>
      <c r="BP1136">
        <f>BN1136-BM1136</f>
        <v>23436</v>
      </c>
      <c r="BQ1136" s="143">
        <f>BP1136*kg_to_m3</f>
        <v>47.828571428571436</v>
      </c>
      <c r="BR1136" t="s">
        <v>232</v>
      </c>
      <c r="BS1136" s="153" t="s">
        <v>987</v>
      </c>
      <c r="BT1136" t="s">
        <v>397</v>
      </c>
      <c r="BU1136">
        <v>-19800</v>
      </c>
      <c r="BV1136">
        <v>-693</v>
      </c>
      <c r="BW1136" s="144">
        <v>3.5000000000000003E-2</v>
      </c>
      <c r="BX1136">
        <v>19107</v>
      </c>
      <c r="BZ1136">
        <f>BX1136/1000</f>
        <v>19.106999999999999</v>
      </c>
      <c r="CA1136">
        <f>IFERROR(BZ1136/BQ1136,"")</f>
        <v>0.39948924731182789</v>
      </c>
      <c r="CB1136">
        <v>0</v>
      </c>
      <c r="CC1136">
        <v>0</v>
      </c>
      <c r="CD1136">
        <v>0</v>
      </c>
      <c r="CE1136">
        <v>0</v>
      </c>
      <c r="CF1136">
        <v>0</v>
      </c>
      <c r="CG1136">
        <v>0</v>
      </c>
      <c r="CH1136">
        <v>0</v>
      </c>
      <c r="CI1136">
        <v>0</v>
      </c>
      <c r="CJ1136">
        <v>0</v>
      </c>
      <c r="CK1136">
        <v>0</v>
      </c>
      <c r="CL1136">
        <v>0</v>
      </c>
      <c r="CM1136">
        <v>0</v>
      </c>
      <c r="CN1136">
        <v>0</v>
      </c>
      <c r="CO1136">
        <v>0</v>
      </c>
      <c r="CP1136" t="str">
        <f>IF($BN1136&lt;$BM1136,"refNeedCorrection","refOK")</f>
        <v>refOK</v>
      </c>
      <c r="CQ1136">
        <f>IF($CP1136="refNeedCorrection",BN1136,BM1136)</f>
        <v>0</v>
      </c>
      <c r="CR1136">
        <f>IF($CP1136="refNeedCorrection",BM1136,BN1136)</f>
        <v>23436</v>
      </c>
      <c r="CS1136">
        <f>IF($CP1136="refOK",$BQ1136,-$BQ1136)</f>
        <v>47.828571428571436</v>
      </c>
      <c r="CT1136">
        <f>IF(BI1136="Roundwood",$CS1136/2,$CS1136)</f>
        <v>47.828571428571436</v>
      </c>
      <c r="CU1136">
        <f>IF($CP1136="refOK",$BU1136,$BV1136)*IF($BR1136="Emissions positive",-1,1)</f>
        <v>-19800</v>
      </c>
      <c r="CV1136">
        <f>IF($CP1136="refOK",$BV1136,$BU1136)*IF($BR1136="Emissions positive",-1,1)</f>
        <v>-693</v>
      </c>
      <c r="CW1136">
        <f>IF($CP1136="refNeedCorrection",-BZ1136,BZ1136)*IF($BR1136="Emissions positive",-1,1)</f>
        <v>19.106999999999999</v>
      </c>
      <c r="CX1136">
        <f>IFERROR($CW1136/$CS1136,"")</f>
        <v>0.39948924731182789</v>
      </c>
      <c r="CY1136">
        <f>IFERROR($CW1136/$CS1136,"")</f>
        <v>0.39948924731182789</v>
      </c>
      <c r="CZ1136">
        <f>IFERROR($CW1136/$CT1136,"")</f>
        <v>0.39948924731182789</v>
      </c>
      <c r="DA1136" s="2">
        <f>IFERROR((CV1136-CU1136)/ABS(CU1136),"")</f>
        <v>0.96499999999999997</v>
      </c>
      <c r="DB1136" s="1" t="s">
        <v>1078</v>
      </c>
      <c r="DC1136" t="str">
        <f>IF(OR($DB1136="prd",$DB1136="std",$DB1136="cit"),"loc",IF(OR($DB1136="eur",$DB1136="reg",$DB1136="coy"),"reg",$DB1136))</f>
        <v>reg</v>
      </c>
      <c r="DD1136" t="s">
        <v>348</v>
      </c>
      <c r="DE1136">
        <v>2014</v>
      </c>
      <c r="DF1136">
        <v>2514</v>
      </c>
      <c r="DG1136">
        <v>500</v>
      </c>
      <c r="DH1136" t="str">
        <f>IF(DG1136=0,"0",IF(AND(DG1136&gt;=1,DG1136&lt;=30),"1-30",IF(AND(DG1136&gt;30,DG1136&lt;=70),"31-70",IF(AND(DG1136&gt;70,DG1136&lt;=100),"71-100",IF(DG1136&gt;100,"+100")))))</f>
        <v>+100</v>
      </c>
      <c r="DI1136">
        <v>0</v>
      </c>
      <c r="DJ1136">
        <v>0</v>
      </c>
      <c r="DK1136">
        <v>0</v>
      </c>
      <c r="DL1136">
        <v>1</v>
      </c>
      <c r="DN1136">
        <f>SUM(DI1136:DL1136)</f>
        <v>1</v>
      </c>
      <c r="DO1136" t="str">
        <f>IF(DN1136=1,INDEX($DI$7:$DL$7,MATCH(1,$DI1136:$DL1136,0)),"mixedProduct")</f>
        <v>TimberInput</v>
      </c>
      <c r="DP1136">
        <f>IF(DI1136=1,DP$7,0)</f>
        <v>0</v>
      </c>
      <c r="DQ1136">
        <f>IF(DJ1136=1,DQ$7,0)</f>
        <v>0</v>
      </c>
      <c r="DR1136">
        <f>IF(DK1136=1,DR$7,0)</f>
        <v>0</v>
      </c>
      <c r="DS1136" t="str">
        <f>IF(DL1136=1,DS$7,0)</f>
        <v>Timber</v>
      </c>
      <c r="DT1136">
        <v>0</v>
      </c>
      <c r="DU1136">
        <v>0</v>
      </c>
      <c r="DV1136">
        <v>0</v>
      </c>
      <c r="DW1136">
        <v>0</v>
      </c>
      <c r="DX1136">
        <v>0</v>
      </c>
      <c r="DY1136">
        <f>SUM(DT1136:DU1136)</f>
        <v>0</v>
      </c>
      <c r="DZ1136" s="143" t="str">
        <f>IF(DT1136=1,"self-calculated DF",IF(DU1136=1,"external DF used","explicit C balance"))</f>
        <v>explicit C balance</v>
      </c>
      <c r="EA1136">
        <v>0</v>
      </c>
      <c r="EB1136">
        <v>0</v>
      </c>
      <c r="EC1136">
        <v>0</v>
      </c>
      <c r="ED1136">
        <v>0</v>
      </c>
      <c r="EE1136">
        <v>0</v>
      </c>
      <c r="EF1136" s="143">
        <v>1</v>
      </c>
      <c r="EG1136">
        <v>0</v>
      </c>
      <c r="EH1136">
        <v>1</v>
      </c>
      <c r="EI1136">
        <v>1</v>
      </c>
      <c r="EJ1136">
        <v>1</v>
      </c>
      <c r="EK1136">
        <v>0</v>
      </c>
      <c r="EL1136">
        <v>0</v>
      </c>
      <c r="EM1136">
        <v>0</v>
      </c>
      <c r="EN1136" s="2">
        <v>0</v>
      </c>
      <c r="EP1136" t="str">
        <f>IF(AND(AND(AND(OR($EC1136=1,$EB1136=1),OR($EH1136=1,$EF1136=1)),SUM($EA1136:$EE1136,$EK1136)&gt;=3),SUM($EF1136:$EJ1136)&gt;=2),"Whole sector approach","")</f>
        <v/>
      </c>
      <c r="EQ1136" t="str">
        <f>IF(AND(AND(OR($EC1136=1,$EB1136=1),AND($EH1136=0,$EF1136=0)),SUM($EA1136:$EE1136,$EK1136)&gt;=4),"Ecosystem approach","")</f>
        <v/>
      </c>
      <c r="ER1136" s="2" t="str">
        <f>IF(AND(AND(AND($EC1136=0,$EB1136=0),OR($EH1136=1,$EF1136=1)),SUM($EG1136:$EJ1136)&gt;=2),"Technology approach","")</f>
        <v>Technology approach</v>
      </c>
      <c r="ES1136" t="str">
        <f>IF(AND($EC1136+$EB1136+$EE1136+$EA1136+$ED1136+$EG1136=0,$N1136="included"),"C neutral forest and HWP assumption","")</f>
        <v>C neutral forest and HWP assumption</v>
      </c>
      <c r="ET1136" t="str">
        <f>IF(AND(AND(AND(AND($EC1136=1,$EB1136+$EA1136+$EG1136&gt;=1),$EF1136=1),$EH1136+$EI1136+$ED1136+$EE1136&gt;=2),$N1136="included"),"All C pools assumption","")</f>
        <v/>
      </c>
      <c r="EU1136" t="str">
        <f>IF(AND($ED1136+$EE1136+$EI1136+$EH1136+$EF1136=0,$N1136="included"),"In-situ only assumption","")</f>
        <v/>
      </c>
      <c r="EY1136" t="str">
        <f>IF(ISNUMBER(BW1136),IF(ABS(BW1136-[2]QC_indicators!$B$2)&gt;3*[2]QC_indicators!$C$2,"C ratio",IF(ISNUMBER(CA1136),IF(ABS(CA1136-[2]QC_indicators!$B$1)&gt;3*[2]QC_indicators!$C$1,"DF","no"))),IF(ISNUMBER(CA1136),IF(ABS(CA1136-[2]QC_indicators!$B$1)&gt;3*[2]QC_indicators!$C$1,"DF","no")))</f>
        <v>no</v>
      </c>
      <c r="FA1136" t="str">
        <f>IF(LEN($CY1136)=0,"",IF(AND($CY1136&lt;(-0.05),$ES1136="C neutral forest and HWP assumption"),"Cneutral paradox",IF(AND($CY1136&gt;0.05,$EU1136="In-situ only assumption"),"In-situ only paradox","")))</f>
        <v/>
      </c>
      <c r="FB1136" s="149" t="s">
        <v>349</v>
      </c>
      <c r="FD1136" s="260" t="s">
        <v>2948</v>
      </c>
    </row>
    <row r="1137" spans="1:160" ht="15" hidden="1" customHeight="1">
      <c r="D1137" t="s">
        <v>927</v>
      </c>
      <c r="E1137" t="s">
        <v>949</v>
      </c>
      <c r="G1137" t="s">
        <v>950</v>
      </c>
      <c r="I1137">
        <v>2004</v>
      </c>
      <c r="K1137" t="s">
        <v>951</v>
      </c>
      <c r="M1137" t="str">
        <f>LEFT($D1137,FIND(",",$D1137)-1)&amp;"_"&amp;I1137&amp;L1137</f>
        <v>Petersen_2004</v>
      </c>
      <c r="N1137" t="s">
        <v>222</v>
      </c>
      <c r="O1137" s="171" t="s">
        <v>508</v>
      </c>
      <c r="P1137" s="141" t="s">
        <v>225</v>
      </c>
      <c r="Q1137" t="s">
        <v>389</v>
      </c>
      <c r="R1137" s="258" t="s">
        <v>223</v>
      </c>
      <c r="S1137" s="1" t="s">
        <v>956</v>
      </c>
      <c r="T1137" t="s">
        <v>959</v>
      </c>
      <c r="U1137" t="s">
        <v>958</v>
      </c>
      <c r="V1137" s="253">
        <v>0</v>
      </c>
      <c r="W1137" s="253">
        <v>0</v>
      </c>
      <c r="X1137">
        <v>0</v>
      </c>
      <c r="Y1137">
        <v>0</v>
      </c>
      <c r="Z1137">
        <v>0</v>
      </c>
      <c r="AA1137">
        <v>0</v>
      </c>
      <c r="AB1137">
        <v>0</v>
      </c>
      <c r="AC1137">
        <v>0</v>
      </c>
      <c r="AD1137">
        <v>0</v>
      </c>
      <c r="AE1137">
        <v>0</v>
      </c>
      <c r="AF1137">
        <v>0</v>
      </c>
      <c r="AG1137">
        <v>0</v>
      </c>
      <c r="AH1137">
        <v>0</v>
      </c>
      <c r="AI1137">
        <v>0</v>
      </c>
      <c r="AJ1137">
        <v>0</v>
      </c>
      <c r="AK1137">
        <v>0</v>
      </c>
      <c r="AL1137">
        <v>0</v>
      </c>
      <c r="AM1137">
        <v>1</v>
      </c>
      <c r="AN1137">
        <v>0</v>
      </c>
      <c r="AO1137">
        <v>0</v>
      </c>
      <c r="AP1137">
        <v>0</v>
      </c>
      <c r="AQ1137">
        <v>0</v>
      </c>
      <c r="AR1137">
        <v>0</v>
      </c>
      <c r="AS1137">
        <v>0</v>
      </c>
      <c r="AT1137">
        <v>0</v>
      </c>
      <c r="AU1137">
        <v>0</v>
      </c>
      <c r="AV1137">
        <v>0</v>
      </c>
      <c r="AW1137">
        <v>0</v>
      </c>
      <c r="AX1137">
        <v>0</v>
      </c>
      <c r="AY1137">
        <v>0</v>
      </c>
      <c r="AZ1137" s="141">
        <f>COUNTIF(X1137:AY1137,"&lt;&gt;0")</f>
        <v>1</v>
      </c>
      <c r="BA1137" s="141">
        <f>COUNTIF(X1137:AN1137,"&lt;&gt;0")</f>
        <v>1</v>
      </c>
      <c r="BB1137">
        <f>COUNTIF(X1137:AE1137,"&lt;&gt;0")</f>
        <v>0</v>
      </c>
      <c r="BC1137">
        <f>COUNTIF(AF1137:AK1137,"&lt;&gt;0")</f>
        <v>0</v>
      </c>
      <c r="BD1137">
        <f>COUNTIF(AL1137:AN1137,"&lt;&gt;0")</f>
        <v>1</v>
      </c>
      <c r="BE1137">
        <f>COUNTIF(AU1137:AY1137,"&lt;&gt;0")</f>
        <v>0</v>
      </c>
      <c r="BF1137">
        <f>COUNTIF(AO1137:AT1137,"&lt;&gt;0")</f>
        <v>0</v>
      </c>
      <c r="BG1137" t="str">
        <f t="array" ref="BG1137">IF(BA1137=1,INDEX($X$7:$AN$7,MATCH(TRUE,INDEX($X1137:$AY1137&lt;&gt;0,),0)),IF(BA1137=0,INDEX($AO$7:$AY$7,MATCH(1,$AO1137:$AY1137,0)),IF(BH1137="Multiple strategies","mixed drivers",IF(BH1137="Supply chain","multiple supply","multiple silviculture"))))</f>
        <v>technologies/design switch</v>
      </c>
      <c r="BH1137" s="2" t="str" cm="1">
        <f t="array" ref="BH1137">IF(COUNTIF(BB1137:BD1137,"&lt;&gt;0")=1,INDEX($X$4:$AY$4,MATCH(TRUE,INDEX($X1137:$AY1137&lt;&gt;0,),0)),IF(COUNTIF(BB1137:BD1137,"&lt;&gt;0")=0,INDEX($AO$4:$AY$4,MATCH(1,$AO1137:$AY1137,0)),"Multiple strategies"))</f>
        <v>Technology</v>
      </c>
      <c r="BI1137" s="142" t="s">
        <v>229</v>
      </c>
      <c r="BJ1137" t="s">
        <v>933</v>
      </c>
      <c r="BK1137" t="s">
        <v>954</v>
      </c>
      <c r="BL1137" t="s">
        <v>498</v>
      </c>
      <c r="BM1137">
        <v>0</v>
      </c>
      <c r="BN1137" s="143">
        <v>1</v>
      </c>
      <c r="BO1137" t="str">
        <f>IFERROR(BN1137/BM1137,"")</f>
        <v/>
      </c>
      <c r="BP1137">
        <f>BN1137-BM1137</f>
        <v>1</v>
      </c>
      <c r="BQ1137" s="159">
        <v>1</v>
      </c>
      <c r="BR1137" t="s">
        <v>232</v>
      </c>
      <c r="BS1137" t="s">
        <v>955</v>
      </c>
      <c r="BT1137" t="s">
        <v>946</v>
      </c>
      <c r="BW1137" s="144"/>
      <c r="BX1137">
        <v>0.4</v>
      </c>
      <c r="BZ1137">
        <f>BX1137</f>
        <v>0.4</v>
      </c>
      <c r="CA1137">
        <f>IFERROR(BZ1137/BQ1137,"")</f>
        <v>0.4</v>
      </c>
      <c r="CB1137">
        <v>0</v>
      </c>
      <c r="CC1137">
        <v>0</v>
      </c>
      <c r="CD1137">
        <v>0</v>
      </c>
      <c r="CE1137">
        <v>0</v>
      </c>
      <c r="CF1137">
        <v>0</v>
      </c>
      <c r="CG1137">
        <v>0</v>
      </c>
      <c r="CH1137">
        <v>0</v>
      </c>
      <c r="CI1137">
        <v>0</v>
      </c>
      <c r="CJ1137">
        <v>0</v>
      </c>
      <c r="CK1137">
        <v>0</v>
      </c>
      <c r="CL1137">
        <v>0</v>
      </c>
      <c r="CM1137">
        <v>0</v>
      </c>
      <c r="CN1137">
        <v>0</v>
      </c>
      <c r="CO1137">
        <v>0</v>
      </c>
      <c r="CP1137" t="str">
        <f>IF($BN1137&lt;$BM1137,"refNeedCorrection","refOK")</f>
        <v>refOK</v>
      </c>
      <c r="CQ1137">
        <f>IF($CP1137="refOK",$BM1137,$BN1137)</f>
        <v>0</v>
      </c>
      <c r="CR1137">
        <f>IF($CP1137="refOK",$BN1137,$BM1137)</f>
        <v>1</v>
      </c>
      <c r="CS1137">
        <f>IF($CP1137="refOK",$BQ1137,-$BQ1137)</f>
        <v>1</v>
      </c>
      <c r="CT1137">
        <f>IF(BI1137="Roundwood",$CS1137/2,$CS1137)</f>
        <v>1</v>
      </c>
      <c r="CU1137">
        <f>IF($CP1137="refOK",$BU1137,$BV1137)*IF($BR1137="Emissions positive",-1,1)</f>
        <v>0</v>
      </c>
      <c r="CV1137">
        <f>IF($CP1137="refOK",$BV1137,$BU1137)*IF($BR1137="Emissions positive",-1,1)</f>
        <v>0</v>
      </c>
      <c r="CW1137">
        <f>IF($CP1137="refNeedCorrection",-BZ1137,BZ1137)*IF($BR1137="Emissions positive",-1,1)</f>
        <v>0.4</v>
      </c>
      <c r="CX1137">
        <f>IFERROR($CW1137/$CS1137,"")</f>
        <v>0.4</v>
      </c>
      <c r="CY1137">
        <f>IFERROR($CW1137/$CS1137,"")</f>
        <v>0.4</v>
      </c>
      <c r="CZ1137">
        <f>IFERROR($CW1137/$CT1137,"")</f>
        <v>0.4</v>
      </c>
      <c r="DA1137" s="2" t="str">
        <f>IFERROR((CV1137-CU1137)/ABS(CU1137),"")</f>
        <v/>
      </c>
      <c r="DB1137" s="1" t="s">
        <v>263</v>
      </c>
      <c r="DC1137" t="str">
        <f>IF(OR($DB1137="prd",$DB1137="std",$DB1137="cit"),"loc",IF(OR($DB1137="eur",$DB1137="reg",$DB1137="coy"),"reg",$DB1137))</f>
        <v>loc</v>
      </c>
      <c r="DD1137" t="s">
        <v>264</v>
      </c>
      <c r="DF1137" s="143"/>
      <c r="DG1137" s="143">
        <v>45</v>
      </c>
      <c r="DH1137" t="str">
        <f>IF(DG1137=0,"0",IF(AND(DG1137&gt;=1,DG1137&lt;=30),"1-30",IF(AND(DG1137&gt;30,DG1137&lt;=70),"31-70",IF(AND(DG1137&gt;70,DG1137&lt;=100),"71-100",IF(DG1137&gt;100,"+100")))))</f>
        <v>31-70</v>
      </c>
      <c r="DI1137">
        <v>0</v>
      </c>
      <c r="DJ1137">
        <v>0</v>
      </c>
      <c r="DK1137">
        <v>0</v>
      </c>
      <c r="DL1137">
        <v>1</v>
      </c>
      <c r="DM1137">
        <v>0</v>
      </c>
      <c r="DN1137">
        <f>SUM(DI1137:DL1137)</f>
        <v>1</v>
      </c>
      <c r="DO1137" t="str">
        <f>IF(DN1137=1,INDEX($DI$7:$DL$7,MATCH(1,$DI1137:$DL1137,0)),"mixedProduct")</f>
        <v>TimberInput</v>
      </c>
      <c r="DP1137">
        <f>IF(DI1137=1,DP$7,0)</f>
        <v>0</v>
      </c>
      <c r="DQ1137">
        <f>IF(DJ1137=1,DQ$7,0)</f>
        <v>0</v>
      </c>
      <c r="DR1137">
        <f>IF(DK1137=1,DR$7,0)</f>
        <v>0</v>
      </c>
      <c r="DS1137" t="str">
        <f>IF(DL1137=1,DS$7,0)</f>
        <v>Timber</v>
      </c>
      <c r="DT1137">
        <v>1</v>
      </c>
      <c r="DU1137">
        <v>0</v>
      </c>
      <c r="DV1137">
        <v>0</v>
      </c>
      <c r="DW1137">
        <v>0</v>
      </c>
      <c r="DX1137">
        <v>0</v>
      </c>
      <c r="DY1137">
        <f>SUM(DT1137:DU1137)</f>
        <v>1</v>
      </c>
      <c r="DZ1137" s="143" t="str">
        <f>IF(DT1137=1,"self-calculated DF",IF(DU1137=1,"external DF used","explicit C balance"))</f>
        <v>self-calculated DF</v>
      </c>
      <c r="EA1137" s="143">
        <v>0</v>
      </c>
      <c r="EB1137" s="143">
        <v>0</v>
      </c>
      <c r="EC1137" s="143">
        <v>0</v>
      </c>
      <c r="ED1137" s="143">
        <v>0</v>
      </c>
      <c r="EE1137">
        <v>0</v>
      </c>
      <c r="EF1137" s="143">
        <v>0</v>
      </c>
      <c r="EG1137" s="143">
        <v>0</v>
      </c>
      <c r="EH1137" s="143">
        <v>1</v>
      </c>
      <c r="EI1137" s="143">
        <v>0</v>
      </c>
      <c r="EJ1137">
        <v>0</v>
      </c>
      <c r="EK1137">
        <v>0</v>
      </c>
      <c r="EL1137" s="143">
        <v>0</v>
      </c>
      <c r="EM1137" s="143">
        <v>0</v>
      </c>
      <c r="EN1137" s="2">
        <v>0</v>
      </c>
      <c r="EP1137" t="str">
        <f>IF(AND(AND(AND(OR($EC1137=1,$EB1137=1),OR($EH1137=1,$EF1137=1)),SUM($EA1137:$EE1137,$EK1137)&gt;=3),SUM($EF1137:$EJ1137)&gt;=2),"Whole sector approach","")</f>
        <v/>
      </c>
      <c r="EQ1137" t="str">
        <f>IF(AND(AND(OR($EC1137=1,$EB1137=1),AND($EH1137=0,$EF1137=0)),SUM($EA1137:$EE1137,$EK1137)&gt;=4),"Ecosystem approach","")</f>
        <v/>
      </c>
      <c r="ER1137" s="2" t="str">
        <f>IF(AND(AND(AND($EC1137=0,$EB1137=0),OR($EH1137=1,$EF1137=1)),SUM($EG1137:$EJ1137)&gt;=2),"Technology approach","")</f>
        <v/>
      </c>
      <c r="ES1137" t="str">
        <f>IF(AND($EC1137+$EB1137+$EE1137+$EA1137+$ED1137+$EG1137=0,$N1137="included"),"C neutral forest and HWP assumption","")</f>
        <v>C neutral forest and HWP assumption</v>
      </c>
      <c r="ET1137" t="str">
        <f>IF(AND(AND(AND(AND($EC1137=1,$EB1137+$EA1137+$EG1137&gt;=1),$EF1137=1),$EH1137+$EI1137+$ED1137+$EE1137&gt;=2),$N1137="included"),"All C pools assumption","")</f>
        <v/>
      </c>
      <c r="EU1137" t="str">
        <f>IF(AND($ED1137+$EE1137+$EI1137+$EH1137+$EF1137=0,$N1137="included"),"In-situ only assumption","")</f>
        <v/>
      </c>
      <c r="EY1137" t="str">
        <f>IF(ISNUMBER(BW1137),IF(ABS(BW1137-[2]QC_indicators!$B$2)&gt;3*[2]QC_indicators!$C$2,"C ratio",IF(ISNUMBER(CA1137),IF(ABS(CA1137-[2]QC_indicators!$B$1)&gt;3*[2]QC_indicators!$C$1,"DF","no"))),IF(ISNUMBER(CA1137),IF(ABS(CA1137-[2]QC_indicators!$B$1)&gt;3*[2]QC_indicators!$C$1,"DF","no")))</f>
        <v>no</v>
      </c>
      <c r="FA1137" t="str">
        <f>IF(LEN($CY1137)=0,"",IF(AND($CY1137&lt;(-0.05),$ES1137="C neutral forest and HWP assumption"),"Cneutral paradox",IF(AND($CY1137&gt;0.05,$EU1137="In-situ only assumption"),"In-situ only paradox","")))</f>
        <v/>
      </c>
      <c r="FB1137" t="s">
        <v>944</v>
      </c>
      <c r="FD1137" s="260" t="s">
        <v>2887</v>
      </c>
    </row>
    <row r="1138" spans="1:160" hidden="1">
      <c r="D1138" t="s">
        <v>927</v>
      </c>
      <c r="E1138" t="s">
        <v>949</v>
      </c>
      <c r="G1138" t="s">
        <v>950</v>
      </c>
      <c r="I1138">
        <v>2004</v>
      </c>
      <c r="K1138" t="s">
        <v>951</v>
      </c>
      <c r="M1138" t="str">
        <f>LEFT($D1138,FIND(",",$D1138)-1)&amp;"_"&amp;I1138&amp;L1138</f>
        <v>Petersen_2004</v>
      </c>
      <c r="N1138" t="s">
        <v>222</v>
      </c>
      <c r="O1138" s="171" t="s">
        <v>508</v>
      </c>
      <c r="P1138" s="141" t="s">
        <v>225</v>
      </c>
      <c r="Q1138" t="s">
        <v>389</v>
      </c>
      <c r="R1138" s="258" t="s">
        <v>223</v>
      </c>
      <c r="S1138" s="1" t="s">
        <v>956</v>
      </c>
      <c r="T1138" t="s">
        <v>960</v>
      </c>
      <c r="U1138" t="s">
        <v>958</v>
      </c>
      <c r="V1138" s="253">
        <v>0</v>
      </c>
      <c r="W1138" s="253">
        <v>0</v>
      </c>
      <c r="X1138">
        <v>0</v>
      </c>
      <c r="Y1138">
        <v>0</v>
      </c>
      <c r="Z1138">
        <v>0</v>
      </c>
      <c r="AA1138">
        <v>0</v>
      </c>
      <c r="AB1138">
        <v>0</v>
      </c>
      <c r="AC1138">
        <v>0</v>
      </c>
      <c r="AD1138">
        <v>0</v>
      </c>
      <c r="AE1138">
        <v>0</v>
      </c>
      <c r="AF1138">
        <v>0</v>
      </c>
      <c r="AG1138">
        <v>0</v>
      </c>
      <c r="AH1138">
        <v>0</v>
      </c>
      <c r="AI1138">
        <v>0</v>
      </c>
      <c r="AJ1138">
        <v>0</v>
      </c>
      <c r="AK1138">
        <v>0</v>
      </c>
      <c r="AL1138">
        <v>0</v>
      </c>
      <c r="AM1138">
        <v>1</v>
      </c>
      <c r="AN1138">
        <v>0</v>
      </c>
      <c r="AO1138">
        <v>0</v>
      </c>
      <c r="AP1138">
        <v>0</v>
      </c>
      <c r="AQ1138">
        <v>0</v>
      </c>
      <c r="AR1138">
        <v>0</v>
      </c>
      <c r="AS1138">
        <v>0</v>
      </c>
      <c r="AT1138">
        <v>0</v>
      </c>
      <c r="AU1138">
        <v>0</v>
      </c>
      <c r="AV1138">
        <v>0</v>
      </c>
      <c r="AW1138">
        <v>0</v>
      </c>
      <c r="AX1138">
        <v>0</v>
      </c>
      <c r="AY1138">
        <v>0</v>
      </c>
      <c r="AZ1138" s="141">
        <f>COUNTIF(X1138:AY1138,"&lt;&gt;0")</f>
        <v>1</v>
      </c>
      <c r="BA1138" s="141">
        <f>COUNTIF(X1138:AN1138,"&lt;&gt;0")</f>
        <v>1</v>
      </c>
      <c r="BB1138">
        <f>COUNTIF(X1138:AE1138,"&lt;&gt;0")</f>
        <v>0</v>
      </c>
      <c r="BC1138">
        <f>COUNTIF(AF1138:AK1138,"&lt;&gt;0")</f>
        <v>0</v>
      </c>
      <c r="BD1138">
        <f>COUNTIF(AL1138:AN1138,"&lt;&gt;0")</f>
        <v>1</v>
      </c>
      <c r="BE1138">
        <f>COUNTIF(AU1138:AY1138,"&lt;&gt;0")</f>
        <v>0</v>
      </c>
      <c r="BF1138">
        <f>COUNTIF(AO1138:AT1138,"&lt;&gt;0")</f>
        <v>0</v>
      </c>
      <c r="BG1138" t="str">
        <f t="array" ref="BG1138">IF(BA1138=1,INDEX($X$7:$AN$7,MATCH(TRUE,INDEX($X1138:$AY1138&lt;&gt;0,),0)),IF(BA1138=0,INDEX($AO$7:$AY$7,MATCH(1,$AO1138:$AY1138,0)),IF(BH1138="Multiple strategies","mixed drivers",IF(BH1138="Supply chain","multiple supply","multiple silviculture"))))</f>
        <v>technologies/design switch</v>
      </c>
      <c r="BH1138" s="2" t="str" cm="1">
        <f t="array" ref="BH1138">IF(COUNTIF(BB1138:BD1138,"&lt;&gt;0")=1,INDEX($X$4:$AY$4,MATCH(TRUE,INDEX($X1138:$AY1138&lt;&gt;0,),0)),IF(COUNTIF(BB1138:BD1138,"&lt;&gt;0")=0,INDEX($AO$4:$AY$4,MATCH(1,$AO1138:$AY1138,0)),"Multiple strategies"))</f>
        <v>Technology</v>
      </c>
      <c r="BI1138" s="142" t="s">
        <v>229</v>
      </c>
      <c r="BJ1138" t="s">
        <v>933</v>
      </c>
      <c r="BK1138" t="s">
        <v>954</v>
      </c>
      <c r="BL1138" t="s">
        <v>498</v>
      </c>
      <c r="BM1138">
        <v>0</v>
      </c>
      <c r="BN1138" s="143">
        <v>1</v>
      </c>
      <c r="BO1138" t="str">
        <f>IFERROR(BN1138/BM1138,"")</f>
        <v/>
      </c>
      <c r="BP1138">
        <f>BN1138-BM1138</f>
        <v>1</v>
      </c>
      <c r="BQ1138" s="159">
        <v>1</v>
      </c>
      <c r="BR1138" t="s">
        <v>232</v>
      </c>
      <c r="BS1138" t="s">
        <v>955</v>
      </c>
      <c r="BT1138" t="s">
        <v>946</v>
      </c>
      <c r="BW1138" s="144"/>
      <c r="BX1138">
        <v>0.4</v>
      </c>
      <c r="BZ1138">
        <f>BX1138</f>
        <v>0.4</v>
      </c>
      <c r="CA1138">
        <f>IFERROR(BZ1138/BQ1138,"")</f>
        <v>0.4</v>
      </c>
      <c r="CB1138">
        <v>0</v>
      </c>
      <c r="CC1138">
        <v>0</v>
      </c>
      <c r="CD1138">
        <v>0</v>
      </c>
      <c r="CE1138">
        <v>0</v>
      </c>
      <c r="CF1138">
        <v>0</v>
      </c>
      <c r="CG1138">
        <v>0</v>
      </c>
      <c r="CH1138">
        <v>0</v>
      </c>
      <c r="CI1138">
        <v>0</v>
      </c>
      <c r="CJ1138">
        <v>0</v>
      </c>
      <c r="CK1138">
        <v>0</v>
      </c>
      <c r="CL1138">
        <v>0</v>
      </c>
      <c r="CM1138">
        <v>0</v>
      </c>
      <c r="CN1138">
        <v>0</v>
      </c>
      <c r="CO1138">
        <v>0</v>
      </c>
      <c r="CP1138" t="str">
        <f>IF($BN1138&lt;$BM1138,"refNeedCorrection","refOK")</f>
        <v>refOK</v>
      </c>
      <c r="CQ1138">
        <f>IF($CP1138="refOK",$BM1138,$BN1138)</f>
        <v>0</v>
      </c>
      <c r="CR1138">
        <f>IF($CP1138="refOK",$BN1138,$BM1138)</f>
        <v>1</v>
      </c>
      <c r="CS1138">
        <f>IF($CP1138="refOK",$BQ1138,-$BQ1138)</f>
        <v>1</v>
      </c>
      <c r="CT1138">
        <f>IF(BI1138="Roundwood",$CS1138/2,$CS1138)</f>
        <v>1</v>
      </c>
      <c r="CU1138">
        <f>IF($CP1138="refOK",$BU1138,$BV1138)*IF($BR1138="Emissions positive",-1,1)</f>
        <v>0</v>
      </c>
      <c r="CV1138">
        <f>IF($CP1138="refOK",$BV1138,$BU1138)*IF($BR1138="Emissions positive",-1,1)</f>
        <v>0</v>
      </c>
      <c r="CW1138">
        <f>IF($CP1138="refNeedCorrection",-BZ1138,BZ1138)*IF($BR1138="Emissions positive",-1,1)</f>
        <v>0.4</v>
      </c>
      <c r="CX1138">
        <f>IFERROR($CW1138/$CS1138,"")</f>
        <v>0.4</v>
      </c>
      <c r="CY1138">
        <f>IFERROR($CW1138/$CS1138,"")</f>
        <v>0.4</v>
      </c>
      <c r="CZ1138">
        <f>IFERROR($CW1138/$CT1138,"")</f>
        <v>0.4</v>
      </c>
      <c r="DA1138" s="2" t="str">
        <f>IFERROR((CV1138-CU1138)/ABS(CU1138),"")</f>
        <v/>
      </c>
      <c r="DB1138" s="1" t="s">
        <v>263</v>
      </c>
      <c r="DC1138" t="str">
        <f>IF(OR($DB1138="prd",$DB1138="std",$DB1138="cit"),"loc",IF(OR($DB1138="eur",$DB1138="reg",$DB1138="coy"),"reg",$DB1138))</f>
        <v>loc</v>
      </c>
      <c r="DD1138" t="s">
        <v>264</v>
      </c>
      <c r="DF1138" s="143"/>
      <c r="DG1138" s="143">
        <v>45</v>
      </c>
      <c r="DH1138" t="str">
        <f>IF(DG1138=0,"0",IF(AND(DG1138&gt;=1,DG1138&lt;=30),"1-30",IF(AND(DG1138&gt;30,DG1138&lt;=70),"31-70",IF(AND(DG1138&gt;70,DG1138&lt;=100),"71-100",IF(DG1138&gt;100,"+100")))))</f>
        <v>31-70</v>
      </c>
      <c r="DI1138">
        <v>0</v>
      </c>
      <c r="DJ1138">
        <v>0</v>
      </c>
      <c r="DK1138">
        <v>0</v>
      </c>
      <c r="DL1138">
        <v>1</v>
      </c>
      <c r="DM1138">
        <v>0</v>
      </c>
      <c r="DN1138">
        <f>SUM(DI1138:DL1138)</f>
        <v>1</v>
      </c>
      <c r="DO1138" t="str">
        <f>IF(DN1138=1,INDEX($DI$7:$DL$7,MATCH(1,$DI1138:$DL1138,0)),"mixedProduct")</f>
        <v>TimberInput</v>
      </c>
      <c r="DP1138">
        <f>IF(DI1138=1,DP$7,0)</f>
        <v>0</v>
      </c>
      <c r="DQ1138">
        <f>IF(DJ1138=1,DQ$7,0)</f>
        <v>0</v>
      </c>
      <c r="DR1138">
        <f>IF(DK1138=1,DR$7,0)</f>
        <v>0</v>
      </c>
      <c r="DS1138" t="str">
        <f>IF(DL1138=1,DS$7,0)</f>
        <v>Timber</v>
      </c>
      <c r="DT1138">
        <v>1</v>
      </c>
      <c r="DU1138">
        <v>0</v>
      </c>
      <c r="DV1138">
        <v>0</v>
      </c>
      <c r="DW1138">
        <v>0</v>
      </c>
      <c r="DX1138">
        <v>0</v>
      </c>
      <c r="DY1138">
        <f>SUM(DT1138:DU1138)</f>
        <v>1</v>
      </c>
      <c r="DZ1138" s="143" t="str">
        <f>IF(DT1138=1,"self-calculated DF",IF(DU1138=1,"external DF used","explicit C balance"))</f>
        <v>self-calculated DF</v>
      </c>
      <c r="EA1138" s="143">
        <v>0</v>
      </c>
      <c r="EB1138" s="143">
        <v>0</v>
      </c>
      <c r="EC1138" s="143">
        <v>0</v>
      </c>
      <c r="ED1138" s="143">
        <v>0</v>
      </c>
      <c r="EE1138">
        <v>0</v>
      </c>
      <c r="EF1138" s="143">
        <v>0</v>
      </c>
      <c r="EG1138" s="143">
        <v>0</v>
      </c>
      <c r="EH1138" s="143">
        <v>1</v>
      </c>
      <c r="EI1138" s="143">
        <v>0</v>
      </c>
      <c r="EJ1138">
        <v>0</v>
      </c>
      <c r="EK1138">
        <v>0</v>
      </c>
      <c r="EL1138" s="143">
        <v>0</v>
      </c>
      <c r="EM1138" s="143">
        <v>0</v>
      </c>
      <c r="EN1138" s="2">
        <v>0</v>
      </c>
      <c r="EP1138" t="str">
        <f>IF(AND(AND(AND(OR($EC1138=1,$EB1138=1),OR($EH1138=1,$EF1138=1)),SUM($EA1138:$EE1138,$EK1138)&gt;=3),SUM($EF1138:$EJ1138)&gt;=2),"Whole sector approach","")</f>
        <v/>
      </c>
      <c r="EQ1138" t="str">
        <f>IF(AND(AND(OR($EC1138=1,$EB1138=1),AND($EH1138=0,$EF1138=0)),SUM($EA1138:$EE1138,$EK1138)&gt;=4),"Ecosystem approach","")</f>
        <v/>
      </c>
      <c r="ER1138" s="2" t="str">
        <f>IF(AND(AND(AND($EC1138=0,$EB1138=0),OR($EH1138=1,$EF1138=1)),SUM($EG1138:$EJ1138)&gt;=2),"Technology approach","")</f>
        <v/>
      </c>
      <c r="ES1138" t="str">
        <f>IF(AND($EC1138+$EB1138+$EE1138+$EA1138+$ED1138+$EG1138=0,$N1138="included"),"C neutral forest and HWP assumption","")</f>
        <v>C neutral forest and HWP assumption</v>
      </c>
      <c r="ET1138" t="str">
        <f>IF(AND(AND(AND(AND($EC1138=1,$EB1138+$EA1138+$EG1138&gt;=1),$EF1138=1),$EH1138+$EI1138+$ED1138+$EE1138&gt;=2),$N1138="included"),"All C pools assumption","")</f>
        <v/>
      </c>
      <c r="EU1138" t="str">
        <f>IF(AND($ED1138+$EE1138+$EI1138+$EH1138+$EF1138=0,$N1138="included"),"In-situ only assumption","")</f>
        <v/>
      </c>
      <c r="EY1138" t="str">
        <f>IF(ISNUMBER(BW1138),IF(ABS(BW1138-[2]QC_indicators!$B$2)&gt;3*[2]QC_indicators!$C$2,"C ratio",IF(ISNUMBER(CA1138),IF(ABS(CA1138-[2]QC_indicators!$B$1)&gt;3*[2]QC_indicators!$C$1,"DF","no"))),IF(ISNUMBER(CA1138),IF(ABS(CA1138-[2]QC_indicators!$B$1)&gt;3*[2]QC_indicators!$C$1,"DF","no")))</f>
        <v>no</v>
      </c>
      <c r="FA1138" t="str">
        <f>IF(LEN($CY1138)=0,"",IF(AND($CY1138&lt;(-0.05),$ES1138="C neutral forest and HWP assumption"),"Cneutral paradox",IF(AND($CY1138&gt;0.05,$EU1138="In-situ only assumption"),"In-situ only paradox","")))</f>
        <v/>
      </c>
      <c r="FB1138" t="s">
        <v>944</v>
      </c>
      <c r="FD1138" s="260" t="s">
        <v>2887</v>
      </c>
    </row>
    <row r="1139" spans="1:160" ht="15" hidden="1" customHeight="1">
      <c r="A1139" s="1" t="s">
        <v>1108</v>
      </c>
      <c r="B1139" t="s">
        <v>1109</v>
      </c>
      <c r="C1139" t="s">
        <v>1110</v>
      </c>
      <c r="D1139" t="s">
        <v>336</v>
      </c>
      <c r="E1139" t="s">
        <v>1111</v>
      </c>
      <c r="F1139" t="s">
        <v>1112</v>
      </c>
      <c r="G1139" t="s">
        <v>1113</v>
      </c>
      <c r="I1139">
        <v>2018</v>
      </c>
      <c r="K1139" t="s">
        <v>1114</v>
      </c>
      <c r="M1139" t="str">
        <f>LEFT($D1139,FIND(",",$D1139)-1)&amp;"_"&amp;I1139&amp;L1139</f>
        <v>Balasbaneh_2018</v>
      </c>
      <c r="N1139" t="s">
        <v>222</v>
      </c>
      <c r="O1139" s="140" t="s">
        <v>508</v>
      </c>
      <c r="Q1139" t="s">
        <v>224</v>
      </c>
      <c r="R1139" s="258" t="s">
        <v>223</v>
      </c>
      <c r="S1139" s="1" t="s">
        <v>1134</v>
      </c>
      <c r="T1139" s="260" t="s">
        <v>2794</v>
      </c>
      <c r="U1139" s="260" t="s">
        <v>2795</v>
      </c>
      <c r="V1139" s="253">
        <v>0</v>
      </c>
      <c r="W1139" s="253">
        <v>0</v>
      </c>
      <c r="X1139">
        <v>0</v>
      </c>
      <c r="Y1139">
        <v>0</v>
      </c>
      <c r="Z1139">
        <v>0</v>
      </c>
      <c r="AA1139">
        <v>0</v>
      </c>
      <c r="AB1139">
        <v>0</v>
      </c>
      <c r="AC1139">
        <v>0</v>
      </c>
      <c r="AD1139">
        <v>0</v>
      </c>
      <c r="AE1139">
        <v>0</v>
      </c>
      <c r="AF1139">
        <v>0</v>
      </c>
      <c r="AG1139">
        <v>0</v>
      </c>
      <c r="AH1139">
        <v>0</v>
      </c>
      <c r="AI1139">
        <v>0</v>
      </c>
      <c r="AJ1139">
        <v>0</v>
      </c>
      <c r="AK1139">
        <v>0</v>
      </c>
      <c r="AL1139">
        <v>0</v>
      </c>
      <c r="AM1139">
        <v>1</v>
      </c>
      <c r="AN1139">
        <v>0</v>
      </c>
      <c r="AO1139">
        <v>0</v>
      </c>
      <c r="AP1139">
        <v>0</v>
      </c>
      <c r="AQ1139">
        <v>0</v>
      </c>
      <c r="AR1139">
        <v>0</v>
      </c>
      <c r="AS1139">
        <v>0</v>
      </c>
      <c r="AT1139">
        <v>0</v>
      </c>
      <c r="AU1139">
        <v>0</v>
      </c>
      <c r="AV1139">
        <v>0</v>
      </c>
      <c r="AW1139">
        <v>0</v>
      </c>
      <c r="AX1139">
        <v>0</v>
      </c>
      <c r="AY1139">
        <v>0</v>
      </c>
      <c r="AZ1139" s="141">
        <f>COUNTIF(X1139:AY1139,"&lt;&gt;0")</f>
        <v>1</v>
      </c>
      <c r="BA1139" s="141">
        <f>COUNTIF(X1139:AN1139,"&lt;&gt;0")</f>
        <v>1</v>
      </c>
      <c r="BB1139">
        <f>COUNTIF(X1139:AE1139,"&lt;&gt;0")</f>
        <v>0</v>
      </c>
      <c r="BC1139">
        <f>COUNTIF(AF1139:AK1139,"&lt;&gt;0")</f>
        <v>0</v>
      </c>
      <c r="BD1139">
        <f>COUNTIF(AL1139:AN1139,"&lt;&gt;0")</f>
        <v>1</v>
      </c>
      <c r="BE1139">
        <f>COUNTIF(AU1139:AY1139,"&lt;&gt;0")</f>
        <v>0</v>
      </c>
      <c r="BF1139">
        <f>COUNTIF(AO1139:AT1139,"&lt;&gt;0")</f>
        <v>0</v>
      </c>
      <c r="BG1139" t="str">
        <f t="array" ref="BG1139">IF(BA1139=1,INDEX($X$7:$AN$7,MATCH(TRUE,INDEX($X1139:$AY1139&lt;&gt;0,),0)),IF(BA1139=0,INDEX($AO$7:$AY$7,MATCH(1,$AO1139:$AY1139,0)),IF(BH1139="Multiple strategies","mixed drivers",IF(BH1139="Supply chain","multiple supply","multiple silviculture"))))</f>
        <v>technologies/design switch</v>
      </c>
      <c r="BH1139" s="2" t="str" cm="1">
        <f t="array" ref="BH1139">IF(COUNTIF(BB1139:BD1139,"&lt;&gt;0")=1,INDEX($X$4:$AY$4,MATCH(TRUE,INDEX($X1139:$AY1139&lt;&gt;0,),0)),IF(COUNTIF(BB1139:BD1139,"&lt;&gt;0")=0,INDEX($AO$4:$AY$4,MATCH(1,$AO1139:$AY1139,0)),"Multiple strategies"))</f>
        <v>Technology</v>
      </c>
      <c r="BI1139" s="1" t="s">
        <v>229</v>
      </c>
      <c r="BJ1139" t="s">
        <v>229</v>
      </c>
      <c r="BL1139" t="s">
        <v>345</v>
      </c>
      <c r="BM1139">
        <v>0</v>
      </c>
      <c r="BN1139">
        <v>23436</v>
      </c>
      <c r="BO1139" s="143"/>
      <c r="BP1139">
        <f>BN1139-BM1139</f>
        <v>23436</v>
      </c>
      <c r="BQ1139" s="143">
        <f>BP1139*kg_to_m3</f>
        <v>47.828571428571436</v>
      </c>
      <c r="BR1139" t="s">
        <v>232</v>
      </c>
      <c r="BS1139" s="153" t="s">
        <v>987</v>
      </c>
      <c r="BT1139" t="s">
        <v>397</v>
      </c>
      <c r="BU1139">
        <v>-20300</v>
      </c>
      <c r="BV1139">
        <v>-693</v>
      </c>
      <c r="BW1139" s="144">
        <v>3.413793103448276E-2</v>
      </c>
      <c r="BX1139">
        <v>19607</v>
      </c>
      <c r="BZ1139">
        <f>BX1139/1000</f>
        <v>19.606999999999999</v>
      </c>
      <c r="CA1139">
        <f>IFERROR(BZ1139/BQ1139,"")</f>
        <v>0.40994324970131413</v>
      </c>
      <c r="CB1139">
        <v>0</v>
      </c>
      <c r="CC1139">
        <v>0</v>
      </c>
      <c r="CD1139">
        <v>0</v>
      </c>
      <c r="CE1139">
        <v>0</v>
      </c>
      <c r="CF1139">
        <v>0</v>
      </c>
      <c r="CG1139">
        <v>0</v>
      </c>
      <c r="CH1139">
        <v>0</v>
      </c>
      <c r="CI1139">
        <v>0</v>
      </c>
      <c r="CJ1139">
        <v>0</v>
      </c>
      <c r="CK1139">
        <v>0</v>
      </c>
      <c r="CL1139">
        <v>0</v>
      </c>
      <c r="CM1139">
        <v>0</v>
      </c>
      <c r="CN1139">
        <v>0</v>
      </c>
      <c r="CO1139">
        <v>0</v>
      </c>
      <c r="CP1139" t="str">
        <f>IF($BN1139&lt;$BM1139,"refNeedCorrection","refOK")</f>
        <v>refOK</v>
      </c>
      <c r="CQ1139">
        <f>IF($CP1139="refNeedCorrection",BN1139,BM1139)</f>
        <v>0</v>
      </c>
      <c r="CR1139">
        <f>IF($CP1139="refNeedCorrection",BM1139,BN1139)</f>
        <v>23436</v>
      </c>
      <c r="CS1139">
        <f>IF($CP1139="refOK",$BQ1139,-$BQ1139)</f>
        <v>47.828571428571436</v>
      </c>
      <c r="CT1139">
        <f>IF(BI1139="Roundwood",$CS1139/2,$CS1139)</f>
        <v>47.828571428571436</v>
      </c>
      <c r="CU1139">
        <f>IF($CP1139="refOK",$BU1139,$BV1139)*IF($BR1139="Emissions positive",-1,1)</f>
        <v>-20300</v>
      </c>
      <c r="CV1139">
        <f>IF($CP1139="refOK",$BV1139,$BU1139)*IF($BR1139="Emissions positive",-1,1)</f>
        <v>-693</v>
      </c>
      <c r="CW1139">
        <f>IF($CP1139="refNeedCorrection",-BZ1139,BZ1139)*IF($BR1139="Emissions positive",-1,1)</f>
        <v>19.606999999999999</v>
      </c>
      <c r="CX1139">
        <f>IFERROR($CW1139/$CS1139,"")</f>
        <v>0.40994324970131413</v>
      </c>
      <c r="CY1139">
        <f>IFERROR($CW1139/$CS1139,"")</f>
        <v>0.40994324970131413</v>
      </c>
      <c r="CZ1139">
        <f>IFERROR($CW1139/$CT1139,"")</f>
        <v>0.40994324970131413</v>
      </c>
      <c r="DA1139" s="2">
        <f>IFERROR((CV1139-CU1139)/ABS(CU1139),"")</f>
        <v>0.9658620689655173</v>
      </c>
      <c r="DB1139" s="1" t="s">
        <v>1078</v>
      </c>
      <c r="DC1139" t="str">
        <f>IF(OR($DB1139="prd",$DB1139="std",$DB1139="cit"),"loc",IF(OR($DB1139="eur",$DB1139="reg",$DB1139="coy"),"reg",$DB1139))</f>
        <v>reg</v>
      </c>
      <c r="DD1139" t="s">
        <v>348</v>
      </c>
      <c r="DE1139">
        <v>2014</v>
      </c>
      <c r="DF1139">
        <v>2514</v>
      </c>
      <c r="DG1139">
        <v>500</v>
      </c>
      <c r="DH1139" t="str">
        <f>IF(DG1139=0,"0",IF(AND(DG1139&gt;=1,DG1139&lt;=30),"1-30",IF(AND(DG1139&gt;30,DG1139&lt;=70),"31-70",IF(AND(DG1139&gt;70,DG1139&lt;=100),"71-100",IF(DG1139&gt;100,"+100")))))</f>
        <v>+100</v>
      </c>
      <c r="DI1139">
        <v>0</v>
      </c>
      <c r="DJ1139">
        <v>0</v>
      </c>
      <c r="DK1139">
        <v>0</v>
      </c>
      <c r="DL1139">
        <v>1</v>
      </c>
      <c r="DN1139">
        <f>SUM(DI1139:DL1139)</f>
        <v>1</v>
      </c>
      <c r="DO1139" t="str">
        <f>IF(DN1139=1,INDEX($DI$7:$DL$7,MATCH(1,$DI1139:$DL1139,0)),"mixedProduct")</f>
        <v>TimberInput</v>
      </c>
      <c r="DP1139">
        <f>IF(DI1139=1,DP$7,0)</f>
        <v>0</v>
      </c>
      <c r="DQ1139">
        <f>IF(DJ1139=1,DQ$7,0)</f>
        <v>0</v>
      </c>
      <c r="DR1139">
        <f>IF(DK1139=1,DR$7,0)</f>
        <v>0</v>
      </c>
      <c r="DS1139" t="str">
        <f>IF(DL1139=1,DS$7,0)</f>
        <v>Timber</v>
      </c>
      <c r="DT1139">
        <v>0</v>
      </c>
      <c r="DU1139">
        <v>0</v>
      </c>
      <c r="DV1139">
        <v>0</v>
      </c>
      <c r="DW1139">
        <v>0</v>
      </c>
      <c r="DX1139">
        <v>0</v>
      </c>
      <c r="DY1139">
        <f>SUM(DT1139:DU1139)</f>
        <v>0</v>
      </c>
      <c r="DZ1139" s="143" t="str">
        <f>IF(DT1139=1,"self-calculated DF",IF(DU1139=1,"external DF used","explicit C balance"))</f>
        <v>explicit C balance</v>
      </c>
      <c r="EA1139">
        <v>0</v>
      </c>
      <c r="EB1139">
        <v>0</v>
      </c>
      <c r="EC1139">
        <v>0</v>
      </c>
      <c r="ED1139">
        <v>0</v>
      </c>
      <c r="EE1139">
        <v>0</v>
      </c>
      <c r="EF1139" s="143">
        <v>1</v>
      </c>
      <c r="EG1139">
        <v>0</v>
      </c>
      <c r="EH1139">
        <v>1</v>
      </c>
      <c r="EI1139">
        <v>1</v>
      </c>
      <c r="EJ1139">
        <v>1</v>
      </c>
      <c r="EK1139">
        <v>0</v>
      </c>
      <c r="EL1139">
        <v>0</v>
      </c>
      <c r="EM1139">
        <v>0</v>
      </c>
      <c r="EN1139" s="2">
        <v>0</v>
      </c>
      <c r="EP1139" t="str">
        <f>IF(AND(AND(AND(OR($EC1139=1,$EB1139=1),OR($EH1139=1,$EF1139=1)),SUM($EA1139:$EE1139,$EK1139)&gt;=3),SUM($EF1139:$EJ1139)&gt;=2),"Whole sector approach","")</f>
        <v/>
      </c>
      <c r="EQ1139" t="str">
        <f>IF(AND(AND(OR($EC1139=1,$EB1139=1),AND($EH1139=0,$EF1139=0)),SUM($EA1139:$EE1139,$EK1139)&gt;=4),"Ecosystem approach","")</f>
        <v/>
      </c>
      <c r="ER1139" s="2" t="str">
        <f>IF(AND(AND(AND($EC1139=0,$EB1139=0),OR($EH1139=1,$EF1139=1)),SUM($EG1139:$EJ1139)&gt;=2),"Technology approach","")</f>
        <v>Technology approach</v>
      </c>
      <c r="ES1139" t="str">
        <f>IF(AND($EC1139+$EB1139+$EE1139+$EA1139+$ED1139+$EG1139=0,$N1139="included"),"C neutral forest and HWP assumption","")</f>
        <v>C neutral forest and HWP assumption</v>
      </c>
      <c r="ET1139" t="str">
        <f>IF(AND(AND(AND(AND($EC1139=1,$EB1139+$EA1139+$EG1139&gt;=1),$EF1139=1),$EH1139+$EI1139+$ED1139+$EE1139&gt;=2),$N1139="included"),"All C pools assumption","")</f>
        <v/>
      </c>
      <c r="EU1139" t="str">
        <f>IF(AND($ED1139+$EE1139+$EI1139+$EH1139+$EF1139=0,$N1139="included"),"In-situ only assumption","")</f>
        <v/>
      </c>
      <c r="EY1139" t="str">
        <f>IF(ISNUMBER(BW1139),IF(ABS(BW1139-[2]QC_indicators!$B$2)&gt;3*[2]QC_indicators!$C$2,"C ratio",IF(ISNUMBER(CA1139),IF(ABS(CA1139-[2]QC_indicators!$B$1)&gt;3*[2]QC_indicators!$C$1,"DF","no"))),IF(ISNUMBER(CA1139),IF(ABS(CA1139-[2]QC_indicators!$B$1)&gt;3*[2]QC_indicators!$C$1,"DF","no")))</f>
        <v>no</v>
      </c>
      <c r="FA1139" t="str">
        <f>IF(LEN($CY1139)=0,"",IF(AND($CY1139&lt;(-0.05),$ES1139="C neutral forest and HWP assumption"),"Cneutral paradox",IF(AND($CY1139&gt;0.05,$EU1139="In-situ only assumption"),"In-situ only paradox","")))</f>
        <v/>
      </c>
      <c r="FB1139" s="149" t="s">
        <v>349</v>
      </c>
      <c r="FD1139" s="260" t="s">
        <v>2948</v>
      </c>
    </row>
    <row r="1140" spans="1:160" hidden="1">
      <c r="D1140" t="s">
        <v>1508</v>
      </c>
      <c r="E1140" t="s">
        <v>1509</v>
      </c>
      <c r="G1140" t="s">
        <v>1510</v>
      </c>
      <c r="I1140">
        <v>2007</v>
      </c>
      <c r="K1140" t="s">
        <v>1511</v>
      </c>
      <c r="M1140" t="str">
        <f>LEFT($D1140,FIND(",",$D1140)-1)&amp;"_"&amp;I1140&amp;L1140</f>
        <v>Gustavsson_2007</v>
      </c>
      <c r="N1140" t="s">
        <v>222</v>
      </c>
      <c r="O1140" t="s">
        <v>223</v>
      </c>
      <c r="Q1140" t="s">
        <v>256</v>
      </c>
      <c r="R1140" s="264" t="s">
        <v>274</v>
      </c>
      <c r="S1140" s="1" t="s">
        <v>1512</v>
      </c>
      <c r="T1140" t="s">
        <v>1529</v>
      </c>
      <c r="U1140" s="143" t="s">
        <v>1530</v>
      </c>
      <c r="V1140" s="253">
        <v>0</v>
      </c>
      <c r="W1140" s="253">
        <v>0</v>
      </c>
      <c r="X1140">
        <v>0</v>
      </c>
      <c r="Y1140">
        <v>0</v>
      </c>
      <c r="Z1140">
        <v>0</v>
      </c>
      <c r="AA1140">
        <v>0</v>
      </c>
      <c r="AB1140">
        <v>0</v>
      </c>
      <c r="AC1140">
        <v>0</v>
      </c>
      <c r="AD1140">
        <v>0</v>
      </c>
      <c r="AE1140">
        <v>0</v>
      </c>
      <c r="AF1140">
        <v>0</v>
      </c>
      <c r="AG1140">
        <v>0</v>
      </c>
      <c r="AH1140">
        <v>0</v>
      </c>
      <c r="AI1140">
        <v>0</v>
      </c>
      <c r="AJ1140">
        <v>0</v>
      </c>
      <c r="AK1140">
        <v>0</v>
      </c>
      <c r="AL1140">
        <v>0</v>
      </c>
      <c r="AM1140">
        <v>1</v>
      </c>
      <c r="AN1140">
        <v>0</v>
      </c>
      <c r="AO1140">
        <v>0</v>
      </c>
      <c r="AP1140">
        <v>0</v>
      </c>
      <c r="AQ1140">
        <v>0</v>
      </c>
      <c r="AR1140">
        <v>0</v>
      </c>
      <c r="AS1140">
        <v>0</v>
      </c>
      <c r="AT1140">
        <v>0</v>
      </c>
      <c r="AU1140">
        <v>0</v>
      </c>
      <c r="AV1140">
        <v>0</v>
      </c>
      <c r="AW1140">
        <v>0</v>
      </c>
      <c r="AX1140">
        <v>0</v>
      </c>
      <c r="AY1140">
        <v>0</v>
      </c>
      <c r="AZ1140" s="141">
        <f>COUNTIF(X1140:AY1140,"&lt;&gt;0")</f>
        <v>1</v>
      </c>
      <c r="BA1140" s="141">
        <f>COUNTIF(X1140:AN1140,"&lt;&gt;0")</f>
        <v>1</v>
      </c>
      <c r="BB1140">
        <f>COUNTIF(X1140:AE1140,"&lt;&gt;0")</f>
        <v>0</v>
      </c>
      <c r="BC1140">
        <f>COUNTIF(AF1140:AK1140,"&lt;&gt;0")</f>
        <v>0</v>
      </c>
      <c r="BD1140">
        <f>COUNTIF(AL1140:AN1140,"&lt;&gt;0")</f>
        <v>1</v>
      </c>
      <c r="BE1140">
        <f>COUNTIF(AU1140:AY1140,"&lt;&gt;0")</f>
        <v>0</v>
      </c>
      <c r="BF1140">
        <f>COUNTIF(AO1140:AT1140,"&lt;&gt;0")</f>
        <v>0</v>
      </c>
      <c r="BG1140" t="str">
        <f t="array" ref="BG1140">IF(BA1140=1,INDEX($X$7:$AN$7,MATCH(TRUE,INDEX($X1140:$AY1140&lt;&gt;0,),0)),IF(BA1140=0,INDEX($AO$7:$AY$7,MATCH(1,$AO1140:$AY1140,0)),IF(BH1140="Multiple strategies","mixed drivers",IF(BH1140="Supply chain","multiple supply","multiple silviculture"))))</f>
        <v>technologies/design switch</v>
      </c>
      <c r="BH1140" s="2" t="str" cm="1">
        <f t="array" ref="BH1140">IF(COUNTIF(BB1140:BD1140,"&lt;&gt;0")=1,INDEX($X$4:$AY$4,MATCH(TRUE,INDEX($X1140:$AY1140&lt;&gt;0,),0)),IF(COUNTIF(BB1140:BD1140,"&lt;&gt;0")=0,INDEX($AO$4:$AY$4,MATCH(1,$AO1140:$AY1140,0)),"Multiple strategies"))</f>
        <v>Technology</v>
      </c>
      <c r="BI1140" s="142" t="s">
        <v>229</v>
      </c>
      <c r="BJ1140" t="s">
        <v>1514</v>
      </c>
      <c r="BK1140" s="260" t="s">
        <v>987</v>
      </c>
      <c r="BL1140" s="143" t="s">
        <v>2940</v>
      </c>
      <c r="BM1140">
        <v>0</v>
      </c>
      <c r="BN1140" s="143">
        <v>53.9</v>
      </c>
      <c r="BO1140" s="143"/>
      <c r="BP1140">
        <f>BN1140-BM1140</f>
        <v>53.9</v>
      </c>
      <c r="BQ1140" s="143">
        <f>1000*BN1140/15.3/400</f>
        <v>8.8071895424836608</v>
      </c>
      <c r="BR1140" t="s">
        <v>232</v>
      </c>
      <c r="BT1140" t="s">
        <v>907</v>
      </c>
      <c r="BU1140" s="143">
        <v>-1</v>
      </c>
      <c r="BV1140" s="151">
        <v>0</v>
      </c>
      <c r="BW1140">
        <v>0</v>
      </c>
      <c r="BX1140">
        <v>1</v>
      </c>
      <c r="BZ1140">
        <f>BX1140*C_to_CO2</f>
        <v>3.67</v>
      </c>
      <c r="CA1140">
        <f>IFERROR(BZ1140/BQ1140,"")</f>
        <v>0.41670500927643783</v>
      </c>
      <c r="CB1140" s="143">
        <v>0</v>
      </c>
      <c r="CC1140" s="143">
        <v>0</v>
      </c>
      <c r="CD1140" s="143">
        <v>0</v>
      </c>
      <c r="CE1140" s="143">
        <v>0</v>
      </c>
      <c r="CF1140" s="143">
        <v>0</v>
      </c>
      <c r="CG1140" s="143">
        <v>0</v>
      </c>
      <c r="CH1140" s="143">
        <v>0</v>
      </c>
      <c r="CI1140" s="143">
        <v>0</v>
      </c>
      <c r="CJ1140" s="143">
        <v>0</v>
      </c>
      <c r="CK1140" s="143">
        <v>0</v>
      </c>
      <c r="CL1140" s="143">
        <v>0</v>
      </c>
      <c r="CM1140" s="143">
        <v>0</v>
      </c>
      <c r="CN1140" s="143">
        <v>0</v>
      </c>
      <c r="CO1140">
        <v>1</v>
      </c>
      <c r="CP1140" t="str">
        <f>IF($BN1140&lt;$BM1140,"refNeedCorrection","refOK")</f>
        <v>refOK</v>
      </c>
      <c r="CQ1140">
        <f>IF($CP1140="refOK",$BM1140,$BN1140)</f>
        <v>0</v>
      </c>
      <c r="CR1140">
        <f>IF($CP1140="refOK",$BN1140,$BM1140)</f>
        <v>53.9</v>
      </c>
      <c r="CS1140">
        <f>IF($CP1140="refOK",$BQ1140,-$BQ1140)</f>
        <v>8.8071895424836608</v>
      </c>
      <c r="CT1140">
        <f>IF(BI1140="Roundwood",$CS1140/2,$CS1140)</f>
        <v>8.8071895424836608</v>
      </c>
      <c r="CU1140">
        <f>IF($CP1140="refOK",$BU1140,$BV1140)*IF($BR1140="Emissions positive",-1,1)</f>
        <v>-1</v>
      </c>
      <c r="CV1140">
        <f>IF($CP1140="refOK",$BV1140,$BU1140)*IF($BR1140="Emissions positive",-1,1)</f>
        <v>0</v>
      </c>
      <c r="CW1140">
        <f>IF($CP1140="refNeedCorrection",-BZ1140,BZ1140)*IF($BR1140="Emissions positive",-1,1)</f>
        <v>3.67</v>
      </c>
      <c r="CX1140">
        <f>IFERROR($CW1140/$CS1140,"")</f>
        <v>0.41670500927643783</v>
      </c>
      <c r="CY1140">
        <f>IFERROR($CW1140/$CS1140,"")</f>
        <v>0.41670500927643783</v>
      </c>
      <c r="CZ1140">
        <f>IFERROR($CW1140/$CT1140,"")</f>
        <v>0.41670500927643783</v>
      </c>
      <c r="DA1140" s="2">
        <f>IFERROR((CV1140-CU1140)/ABS(CU1140),"")</f>
        <v>1</v>
      </c>
      <c r="DB1140" s="1" t="s">
        <v>1078</v>
      </c>
      <c r="DC1140" t="str">
        <f>IF(OR($DB1140="prd",$DB1140="std",$DB1140="cit"),"loc",IF(OR($DB1140="eur",$DB1140="reg",$DB1140="coy"),"reg",$DB1140))</f>
        <v>reg</v>
      </c>
      <c r="DD1140" t="s">
        <v>444</v>
      </c>
      <c r="DF1140" s="143"/>
      <c r="DG1140" s="143">
        <v>0</v>
      </c>
      <c r="DH1140" t="str">
        <f>IF(DG1140=0,"0",IF(AND(DG1140&gt;=1,DG1140&lt;=30),"1-30",IF(AND(DG1140&gt;30,DG1140&lt;=70),"31-70",IF(AND(DG1140&gt;70,DG1140&lt;=100),"71-100",IF(DG1140&gt;100,"+100")))))</f>
        <v>0</v>
      </c>
      <c r="DI1140">
        <v>0</v>
      </c>
      <c r="DJ1140">
        <v>1</v>
      </c>
      <c r="DK1140">
        <v>0</v>
      </c>
      <c r="DL1140">
        <v>0</v>
      </c>
      <c r="DN1140">
        <f>SUM(DI1140:DL1140)</f>
        <v>1</v>
      </c>
      <c r="DO1140" t="str">
        <f>IF(DN1140=1,INDEX($DI$7:$DL$7,MATCH(1,$DI1140:$DL1140,0)),"mixedProduct")</f>
        <v>EnergyInput</v>
      </c>
      <c r="DP1140">
        <f>IF(DI1140=1,DP$7,0)</f>
        <v>0</v>
      </c>
      <c r="DQ1140" t="str">
        <f>IF(DJ1140=1,DQ$7,0)</f>
        <v>Energy</v>
      </c>
      <c r="DR1140">
        <f>IF(DK1140=1,DR$7,0)</f>
        <v>0</v>
      </c>
      <c r="DS1140">
        <f>IF(DL1140=1,DS$7,0)</f>
        <v>0</v>
      </c>
      <c r="DT1140">
        <v>0</v>
      </c>
      <c r="DU1140" s="143">
        <v>0</v>
      </c>
      <c r="DV1140" s="143">
        <v>0</v>
      </c>
      <c r="DW1140">
        <v>0</v>
      </c>
      <c r="DX1140" s="143">
        <v>0</v>
      </c>
      <c r="DY1140">
        <f>SUM(DT1140:DU1140)</f>
        <v>0</v>
      </c>
      <c r="DZ1140" s="143" t="str">
        <f>IF(DT1140=1,"self-calculated DF",IF(DU1140=1,"external DF used","explicit C balance"))</f>
        <v>explicit C balance</v>
      </c>
      <c r="EA1140" s="143">
        <v>0</v>
      </c>
      <c r="EB1140" s="143">
        <v>0</v>
      </c>
      <c r="EC1140" s="143">
        <v>0</v>
      </c>
      <c r="ED1140" s="143">
        <v>0</v>
      </c>
      <c r="EE1140">
        <v>0</v>
      </c>
      <c r="EF1140" s="143">
        <v>0</v>
      </c>
      <c r="EG1140" s="143">
        <v>0</v>
      </c>
      <c r="EH1140" s="143">
        <v>1</v>
      </c>
      <c r="EI1140" s="143">
        <v>0</v>
      </c>
      <c r="EJ1140">
        <v>0</v>
      </c>
      <c r="EK1140">
        <v>0</v>
      </c>
      <c r="EL1140" s="143">
        <v>0</v>
      </c>
      <c r="EM1140" s="143">
        <v>0</v>
      </c>
      <c r="EN1140" s="2">
        <v>0</v>
      </c>
      <c r="EP1140" t="str">
        <f>IF(AND(AND(AND(OR($EC1140=1,$EB1140=1),OR($EH1140=1,$EF1140=1)),SUM($EA1140:$EE1140,$EK1140)&gt;=3),SUM($EF1140:$EJ1140)&gt;=2),"Whole sector approach","")</f>
        <v/>
      </c>
      <c r="EQ1140" t="str">
        <f>IF(AND(AND(OR($EC1140=1,$EB1140=1),AND($EH1140=0,$EF1140=0)),SUM($EA1140:$EE1140,$EK1140)&gt;=4),"Ecosystem approach","")</f>
        <v/>
      </c>
      <c r="ER1140" s="2" t="str">
        <f>IF(AND(AND(AND($EC1140=0,$EB1140=0),OR($EH1140=1,$EF1140=1)),SUM($EG1140:$EJ1140)&gt;=2),"Technology approach","")</f>
        <v/>
      </c>
      <c r="ES1140" t="str">
        <f>IF(AND($EC1140+$EB1140+$EE1140+$EA1140+$ED1140+$EG1140=0,$N1140="included"),"C neutral forest and HWP assumption","")</f>
        <v>C neutral forest and HWP assumption</v>
      </c>
      <c r="ET1140" t="str">
        <f>IF(AND(AND(AND(AND($EC1140=1,$EB1140+$EA1140+$EG1140&gt;=1),$EF1140=1),$EH1140+$EI1140+$ED1140+$EE1140&gt;=2),$N1140="included"),"All C pools assumption","")</f>
        <v/>
      </c>
      <c r="EU1140" t="str">
        <f>IF(AND($ED1140+$EE1140+$EI1140+$EH1140+$EF1140=0,$N1140="included"),"In-situ only assumption","")</f>
        <v/>
      </c>
      <c r="EY1140" t="str">
        <f>IF(ISNUMBER(BW1140),IF(ABS(BW1140-[3]QC_indicators!$B$2)&gt;3*[3]QC_indicators!$C$2,"C ratio",IF(ISNUMBER(CA1140),IF(ABS(CA1140-[3]QC_indicators!$B$1)&gt;3*[3]QC_indicators!$C$1,"DF","no"))),IF(ISNUMBER(CA1140),IF(ABS(CA1140-[3]QC_indicators!$B$1)&gt;3*[3]QC_indicators!$C$1,"DF","no")))</f>
        <v>no</v>
      </c>
      <c r="FA1140" t="str">
        <f>IF(LEN($CY1140)=0,"",IF(AND($CY1140&lt;(-0.05),$ES1140="C neutral forest and HWP assumption"),"Cneutral paradox",IF(AND($CY1140&gt;0.05,$EU1140="In-situ only assumption"),"In-situ only paradox","")))</f>
        <v/>
      </c>
      <c r="FB1140" s="149" t="s">
        <v>349</v>
      </c>
      <c r="FD1140" s="260" t="s">
        <v>2941</v>
      </c>
    </row>
    <row r="1141" spans="1:160" ht="15" hidden="1" customHeight="1">
      <c r="A1141" s="1" t="s">
        <v>1108</v>
      </c>
      <c r="B1141" t="s">
        <v>1109</v>
      </c>
      <c r="C1141" t="s">
        <v>1110</v>
      </c>
      <c r="D1141" t="s">
        <v>336</v>
      </c>
      <c r="E1141" t="s">
        <v>1111</v>
      </c>
      <c r="F1141" t="s">
        <v>1112</v>
      </c>
      <c r="G1141" t="s">
        <v>1113</v>
      </c>
      <c r="I1141">
        <v>2018</v>
      </c>
      <c r="K1141" t="s">
        <v>1114</v>
      </c>
      <c r="M1141" t="str">
        <f>LEFT($D1141,FIND(",",$D1141)-1)&amp;"_"&amp;I1141&amp;L1141</f>
        <v>Balasbaneh_2018</v>
      </c>
      <c r="N1141" t="s">
        <v>222</v>
      </c>
      <c r="O1141" s="140" t="s">
        <v>508</v>
      </c>
      <c r="Q1141" t="s">
        <v>224</v>
      </c>
      <c r="R1141" s="258" t="s">
        <v>223</v>
      </c>
      <c r="S1141" s="1" t="s">
        <v>1135</v>
      </c>
      <c r="T1141" s="260" t="s">
        <v>2794</v>
      </c>
      <c r="U1141" s="260" t="s">
        <v>2795</v>
      </c>
      <c r="V1141" s="253">
        <v>0</v>
      </c>
      <c r="W1141" s="253">
        <v>0</v>
      </c>
      <c r="X1141">
        <v>0</v>
      </c>
      <c r="Y1141">
        <v>0</v>
      </c>
      <c r="Z1141">
        <v>0</v>
      </c>
      <c r="AA1141">
        <v>0</v>
      </c>
      <c r="AB1141">
        <v>0</v>
      </c>
      <c r="AC1141">
        <v>0</v>
      </c>
      <c r="AD1141">
        <v>0</v>
      </c>
      <c r="AE1141">
        <v>0</v>
      </c>
      <c r="AF1141">
        <v>0</v>
      </c>
      <c r="AG1141">
        <v>0</v>
      </c>
      <c r="AH1141">
        <v>0</v>
      </c>
      <c r="AI1141">
        <v>0</v>
      </c>
      <c r="AJ1141">
        <v>0</v>
      </c>
      <c r="AK1141">
        <v>0</v>
      </c>
      <c r="AL1141">
        <v>0</v>
      </c>
      <c r="AM1141">
        <v>1</v>
      </c>
      <c r="AN1141">
        <v>0</v>
      </c>
      <c r="AO1141">
        <v>0</v>
      </c>
      <c r="AP1141">
        <v>0</v>
      </c>
      <c r="AQ1141">
        <v>0</v>
      </c>
      <c r="AR1141">
        <v>0</v>
      </c>
      <c r="AS1141">
        <v>0</v>
      </c>
      <c r="AT1141">
        <v>0</v>
      </c>
      <c r="AU1141">
        <v>0</v>
      </c>
      <c r="AV1141">
        <v>0</v>
      </c>
      <c r="AW1141">
        <v>0</v>
      </c>
      <c r="AX1141">
        <v>0</v>
      </c>
      <c r="AY1141">
        <v>0</v>
      </c>
      <c r="AZ1141" s="141">
        <f>COUNTIF(X1141:AY1141,"&lt;&gt;0")</f>
        <v>1</v>
      </c>
      <c r="BA1141" s="141">
        <f>COUNTIF(X1141:AN1141,"&lt;&gt;0")</f>
        <v>1</v>
      </c>
      <c r="BB1141">
        <f>COUNTIF(X1141:AE1141,"&lt;&gt;0")</f>
        <v>0</v>
      </c>
      <c r="BC1141">
        <f>COUNTIF(AF1141:AK1141,"&lt;&gt;0")</f>
        <v>0</v>
      </c>
      <c r="BD1141">
        <f>COUNTIF(AL1141:AN1141,"&lt;&gt;0")</f>
        <v>1</v>
      </c>
      <c r="BE1141">
        <f>COUNTIF(AU1141:AY1141,"&lt;&gt;0")</f>
        <v>0</v>
      </c>
      <c r="BF1141">
        <f>COUNTIF(AO1141:AT1141,"&lt;&gt;0")</f>
        <v>0</v>
      </c>
      <c r="BG1141" t="str">
        <f t="array" ref="BG1141">IF(BA1141=1,INDEX($X$7:$AN$7,MATCH(TRUE,INDEX($X1141:$AY1141&lt;&gt;0,),0)),IF(BA1141=0,INDEX($AO$7:$AY$7,MATCH(1,$AO1141:$AY1141,0)),IF(BH1141="Multiple strategies","mixed drivers",IF(BH1141="Supply chain","multiple supply","multiple silviculture"))))</f>
        <v>technologies/design switch</v>
      </c>
      <c r="BH1141" s="2" t="str" cm="1">
        <f t="array" ref="BH1141">IF(COUNTIF(BB1141:BD1141,"&lt;&gt;0")=1,INDEX($X$4:$AY$4,MATCH(TRUE,INDEX($X1141:$AY1141&lt;&gt;0,),0)),IF(COUNTIF(BB1141:BD1141,"&lt;&gt;0")=0,INDEX($AO$4:$AY$4,MATCH(1,$AO1141:$AY1141,0)),"Multiple strategies"))</f>
        <v>Technology</v>
      </c>
      <c r="BI1141" s="1" t="s">
        <v>229</v>
      </c>
      <c r="BJ1141" t="s">
        <v>229</v>
      </c>
      <c r="BL1141" t="s">
        <v>345</v>
      </c>
      <c r="BM1141">
        <v>0</v>
      </c>
      <c r="BN1141">
        <v>23436</v>
      </c>
      <c r="BO1141" s="143"/>
      <c r="BP1141">
        <f>BN1141-BM1141</f>
        <v>23436</v>
      </c>
      <c r="BQ1141" s="143">
        <f>BP1141*kg_to_m3</f>
        <v>47.828571428571436</v>
      </c>
      <c r="BR1141" t="s">
        <v>232</v>
      </c>
      <c r="BS1141" s="153" t="s">
        <v>987</v>
      </c>
      <c r="BT1141" t="s">
        <v>397</v>
      </c>
      <c r="BU1141">
        <v>-21200</v>
      </c>
      <c r="BV1141">
        <v>-702</v>
      </c>
      <c r="BW1141" s="144">
        <v>3.3113207547169808E-2</v>
      </c>
      <c r="BX1141">
        <v>20498</v>
      </c>
      <c r="BZ1141">
        <f>BX1141/1000</f>
        <v>20.498000000000001</v>
      </c>
      <c r="CA1141">
        <f>IFERROR(BZ1141/BQ1141,"")</f>
        <v>0.42857228195937869</v>
      </c>
      <c r="CB1141">
        <v>0</v>
      </c>
      <c r="CC1141">
        <v>0</v>
      </c>
      <c r="CD1141">
        <v>0</v>
      </c>
      <c r="CE1141">
        <v>0</v>
      </c>
      <c r="CF1141">
        <v>0</v>
      </c>
      <c r="CG1141">
        <v>0</v>
      </c>
      <c r="CH1141">
        <v>0</v>
      </c>
      <c r="CI1141">
        <v>0</v>
      </c>
      <c r="CJ1141">
        <v>0</v>
      </c>
      <c r="CK1141">
        <v>0</v>
      </c>
      <c r="CL1141">
        <v>0</v>
      </c>
      <c r="CM1141">
        <v>0</v>
      </c>
      <c r="CN1141">
        <v>0</v>
      </c>
      <c r="CO1141">
        <v>0</v>
      </c>
      <c r="CP1141" t="str">
        <f>IF($BN1141&lt;$BM1141,"refNeedCorrection","refOK")</f>
        <v>refOK</v>
      </c>
      <c r="CQ1141">
        <f>IF($CP1141="refNeedCorrection",BN1141,BM1141)</f>
        <v>0</v>
      </c>
      <c r="CR1141">
        <f>IF($CP1141="refNeedCorrection",BM1141,BN1141)</f>
        <v>23436</v>
      </c>
      <c r="CS1141">
        <f>IF($CP1141="refOK",$BQ1141,-$BQ1141)</f>
        <v>47.828571428571436</v>
      </c>
      <c r="CT1141">
        <f>IF(BI1141="Roundwood",$CS1141/2,$CS1141)</f>
        <v>47.828571428571436</v>
      </c>
      <c r="CU1141">
        <f>IF($CP1141="refOK",$BU1141,$BV1141)*IF($BR1141="Emissions positive",-1,1)</f>
        <v>-21200</v>
      </c>
      <c r="CV1141">
        <f>IF($CP1141="refOK",$BV1141,$BU1141)*IF($BR1141="Emissions positive",-1,1)</f>
        <v>-702</v>
      </c>
      <c r="CW1141">
        <f>IF($CP1141="refNeedCorrection",-BZ1141,BZ1141)*IF($BR1141="Emissions positive",-1,1)</f>
        <v>20.498000000000001</v>
      </c>
      <c r="CX1141">
        <f>IFERROR($CW1141/$CS1141,"")</f>
        <v>0.42857228195937869</v>
      </c>
      <c r="CY1141">
        <f>IFERROR($CW1141/$CS1141,"")</f>
        <v>0.42857228195937869</v>
      </c>
      <c r="CZ1141">
        <f>IFERROR($CW1141/$CT1141,"")</f>
        <v>0.42857228195937869</v>
      </c>
      <c r="DA1141" s="2">
        <f>IFERROR((CV1141-CU1141)/ABS(CU1141),"")</f>
        <v>0.96688679245283016</v>
      </c>
      <c r="DB1141" s="1" t="s">
        <v>1078</v>
      </c>
      <c r="DC1141" t="str">
        <f>IF(OR($DB1141="prd",$DB1141="std",$DB1141="cit"),"loc",IF(OR($DB1141="eur",$DB1141="reg",$DB1141="coy"),"reg",$DB1141))</f>
        <v>reg</v>
      </c>
      <c r="DD1141" t="s">
        <v>348</v>
      </c>
      <c r="DE1141">
        <v>2014</v>
      </c>
      <c r="DF1141">
        <v>2114</v>
      </c>
      <c r="DG1141">
        <v>100</v>
      </c>
      <c r="DH1141" t="str">
        <f>IF(DG1141=0,"0",IF(AND(DG1141&gt;=1,DG1141&lt;=30),"1-30",IF(AND(DG1141&gt;30,DG1141&lt;=70),"31-70",IF(AND(DG1141&gt;70,DG1141&lt;=100),"71-100",IF(DG1141&gt;100,"+100")))))</f>
        <v>71-100</v>
      </c>
      <c r="DI1141">
        <v>0</v>
      </c>
      <c r="DJ1141">
        <v>0</v>
      </c>
      <c r="DK1141">
        <v>0</v>
      </c>
      <c r="DL1141">
        <v>1</v>
      </c>
      <c r="DN1141">
        <f>SUM(DI1141:DL1141)</f>
        <v>1</v>
      </c>
      <c r="DO1141" t="str">
        <f>IF(DN1141=1,INDEX($DI$7:$DL$7,MATCH(1,$DI1141:$DL1141,0)),"mixedProduct")</f>
        <v>TimberInput</v>
      </c>
      <c r="DP1141">
        <f>IF(DI1141=1,DP$7,0)</f>
        <v>0</v>
      </c>
      <c r="DQ1141">
        <f>IF(DJ1141=1,DQ$7,0)</f>
        <v>0</v>
      </c>
      <c r="DR1141">
        <f>IF(DK1141=1,DR$7,0)</f>
        <v>0</v>
      </c>
      <c r="DS1141" t="str">
        <f>IF(DL1141=1,DS$7,0)</f>
        <v>Timber</v>
      </c>
      <c r="DT1141">
        <v>0</v>
      </c>
      <c r="DU1141">
        <v>0</v>
      </c>
      <c r="DV1141">
        <v>0</v>
      </c>
      <c r="DW1141">
        <v>0</v>
      </c>
      <c r="DX1141">
        <v>0</v>
      </c>
      <c r="DY1141">
        <f>SUM(DT1141:DU1141)</f>
        <v>0</v>
      </c>
      <c r="DZ1141" s="143" t="str">
        <f>IF(DT1141=1,"self-calculated DF",IF(DU1141=1,"external DF used","explicit C balance"))</f>
        <v>explicit C balance</v>
      </c>
      <c r="EA1141">
        <v>0</v>
      </c>
      <c r="EB1141">
        <v>0</v>
      </c>
      <c r="EC1141">
        <v>0</v>
      </c>
      <c r="ED1141">
        <v>0</v>
      </c>
      <c r="EE1141">
        <v>0</v>
      </c>
      <c r="EF1141" s="143">
        <v>1</v>
      </c>
      <c r="EG1141">
        <v>0</v>
      </c>
      <c r="EH1141">
        <v>1</v>
      </c>
      <c r="EI1141">
        <v>1</v>
      </c>
      <c r="EJ1141">
        <v>1</v>
      </c>
      <c r="EK1141">
        <v>0</v>
      </c>
      <c r="EL1141">
        <v>0</v>
      </c>
      <c r="EM1141">
        <v>0</v>
      </c>
      <c r="EN1141" s="2">
        <v>0</v>
      </c>
      <c r="EP1141" t="str">
        <f>IF(AND(AND(AND(OR($EC1141=1,$EB1141=1),OR($EH1141=1,$EF1141=1)),SUM($EA1141:$EE1141,$EK1141)&gt;=3),SUM($EF1141:$EJ1141)&gt;=2),"Whole sector approach","")</f>
        <v/>
      </c>
      <c r="EQ1141" t="str">
        <f>IF(AND(AND(OR($EC1141=1,$EB1141=1),AND($EH1141=0,$EF1141=0)),SUM($EA1141:$EE1141,$EK1141)&gt;=4),"Ecosystem approach","")</f>
        <v/>
      </c>
      <c r="ER1141" s="2" t="str">
        <f>IF(AND(AND(AND($EC1141=0,$EB1141=0),OR($EH1141=1,$EF1141=1)),SUM($EG1141:$EJ1141)&gt;=2),"Technology approach","")</f>
        <v>Technology approach</v>
      </c>
      <c r="ES1141" t="str">
        <f>IF(AND($EC1141+$EB1141+$EE1141+$EA1141+$ED1141+$EG1141=0,$N1141="included"),"C neutral forest and HWP assumption","")</f>
        <v>C neutral forest and HWP assumption</v>
      </c>
      <c r="ET1141" t="str">
        <f>IF(AND(AND(AND(AND($EC1141=1,$EB1141+$EA1141+$EG1141&gt;=1),$EF1141=1),$EH1141+$EI1141+$ED1141+$EE1141&gt;=2),$N1141="included"),"All C pools assumption","")</f>
        <v/>
      </c>
      <c r="EU1141" t="str">
        <f>IF(AND($ED1141+$EE1141+$EI1141+$EH1141+$EF1141=0,$N1141="included"),"In-situ only assumption","")</f>
        <v/>
      </c>
      <c r="EY1141" t="str">
        <f>IF(ISNUMBER(BW1141),IF(ABS(BW1141-[2]QC_indicators!$B$2)&gt;3*[2]QC_indicators!$C$2,"C ratio",IF(ISNUMBER(CA1141),IF(ABS(CA1141-[2]QC_indicators!$B$1)&gt;3*[2]QC_indicators!$C$1,"DF","no"))),IF(ISNUMBER(CA1141),IF(ABS(CA1141-[2]QC_indicators!$B$1)&gt;3*[2]QC_indicators!$C$1,"DF","no")))</f>
        <v>no</v>
      </c>
      <c r="FA1141" t="str">
        <f>IF(LEN($CY1141)=0,"",IF(AND($CY1141&lt;(-0.05),$ES1141="C neutral forest and HWP assumption"),"Cneutral paradox",IF(AND($CY1141&gt;0.05,$EU1141="In-situ only assumption"),"In-situ only paradox","")))</f>
        <v/>
      </c>
      <c r="FB1141" s="149" t="s">
        <v>349</v>
      </c>
      <c r="FD1141" s="260" t="s">
        <v>2948</v>
      </c>
    </row>
    <row r="1142" spans="1:160" ht="18" hidden="1" customHeight="1">
      <c r="D1142" t="s">
        <v>1508</v>
      </c>
      <c r="E1142" t="s">
        <v>1509</v>
      </c>
      <c r="G1142" t="s">
        <v>1510</v>
      </c>
      <c r="I1142">
        <v>2007</v>
      </c>
      <c r="K1142" t="s">
        <v>1511</v>
      </c>
      <c r="M1142" t="str">
        <f>LEFT($D1142,FIND(",",$D1142)-1)&amp;"_"&amp;I1142&amp;L1142</f>
        <v>Gustavsson_2007</v>
      </c>
      <c r="N1142" t="s">
        <v>222</v>
      </c>
      <c r="O1142" t="s">
        <v>223</v>
      </c>
      <c r="Q1142" t="s">
        <v>256</v>
      </c>
      <c r="R1142" s="264" t="s">
        <v>274</v>
      </c>
      <c r="S1142" s="1" t="s">
        <v>1512</v>
      </c>
      <c r="T1142" t="s">
        <v>1531</v>
      </c>
      <c r="U1142" s="143" t="s">
        <v>1525</v>
      </c>
      <c r="V1142" s="253">
        <v>0</v>
      </c>
      <c r="W1142" s="253">
        <v>0</v>
      </c>
      <c r="X1142">
        <v>0</v>
      </c>
      <c r="Y1142">
        <v>0</v>
      </c>
      <c r="Z1142">
        <v>0</v>
      </c>
      <c r="AA1142">
        <v>0</v>
      </c>
      <c r="AB1142">
        <v>0</v>
      </c>
      <c r="AC1142">
        <v>0</v>
      </c>
      <c r="AD1142">
        <v>0</v>
      </c>
      <c r="AE1142">
        <v>0</v>
      </c>
      <c r="AF1142">
        <v>0</v>
      </c>
      <c r="AG1142">
        <v>0</v>
      </c>
      <c r="AH1142">
        <v>0</v>
      </c>
      <c r="AI1142">
        <v>0</v>
      </c>
      <c r="AJ1142">
        <v>0</v>
      </c>
      <c r="AK1142">
        <v>0</v>
      </c>
      <c r="AL1142">
        <v>0</v>
      </c>
      <c r="AM1142">
        <v>1</v>
      </c>
      <c r="AN1142">
        <v>0</v>
      </c>
      <c r="AO1142">
        <v>0</v>
      </c>
      <c r="AP1142">
        <v>0</v>
      </c>
      <c r="AQ1142">
        <v>0</v>
      </c>
      <c r="AR1142">
        <v>0</v>
      </c>
      <c r="AS1142">
        <v>0</v>
      </c>
      <c r="AT1142">
        <v>0</v>
      </c>
      <c r="AU1142">
        <v>0</v>
      </c>
      <c r="AV1142">
        <v>0</v>
      </c>
      <c r="AW1142">
        <v>0</v>
      </c>
      <c r="AX1142">
        <v>0</v>
      </c>
      <c r="AY1142">
        <v>0</v>
      </c>
      <c r="AZ1142" s="141">
        <f>COUNTIF(X1142:AY1142,"&lt;&gt;0")</f>
        <v>1</v>
      </c>
      <c r="BA1142" s="141">
        <f>COUNTIF(X1142:AN1142,"&lt;&gt;0")</f>
        <v>1</v>
      </c>
      <c r="BB1142">
        <f>COUNTIF(X1142:AE1142,"&lt;&gt;0")</f>
        <v>0</v>
      </c>
      <c r="BC1142">
        <f>COUNTIF(AF1142:AK1142,"&lt;&gt;0")</f>
        <v>0</v>
      </c>
      <c r="BD1142">
        <f>COUNTIF(AL1142:AN1142,"&lt;&gt;0")</f>
        <v>1</v>
      </c>
      <c r="BE1142">
        <f>COUNTIF(AU1142:AY1142,"&lt;&gt;0")</f>
        <v>0</v>
      </c>
      <c r="BF1142">
        <f>COUNTIF(AO1142:AT1142,"&lt;&gt;0")</f>
        <v>0</v>
      </c>
      <c r="BG1142" t="str">
        <f t="array" ref="BG1142">IF(BA1142=1,INDEX($X$7:$AN$7,MATCH(TRUE,INDEX($X1142:$AY1142&lt;&gt;0,),0)),IF(BA1142=0,INDEX($AO$7:$AY$7,MATCH(1,$AO1142:$AY1142,0)),IF(BH1142="Multiple strategies","mixed drivers",IF(BH1142="Supply chain","multiple supply","multiple silviculture"))))</f>
        <v>technologies/design switch</v>
      </c>
      <c r="BH1142" s="2" t="str" cm="1">
        <f t="array" ref="BH1142">IF(COUNTIF(BB1142:BD1142,"&lt;&gt;0")=1,INDEX($X$4:$AY$4,MATCH(TRUE,INDEX($X1142:$AY1142&lt;&gt;0,),0)),IF(COUNTIF(BB1142:BD1142,"&lt;&gt;0")=0,INDEX($AO$4:$AY$4,MATCH(1,$AO1142:$AY1142,0)),"Multiple strategies"))</f>
        <v>Technology</v>
      </c>
      <c r="BI1142" s="142" t="s">
        <v>229</v>
      </c>
      <c r="BJ1142" t="s">
        <v>1514</v>
      </c>
      <c r="BK1142" s="260" t="s">
        <v>987</v>
      </c>
      <c r="BL1142" s="143" t="s">
        <v>2940</v>
      </c>
      <c r="BM1142">
        <v>0</v>
      </c>
      <c r="BN1142" s="143">
        <v>50.7</v>
      </c>
      <c r="BO1142" s="143"/>
      <c r="BP1142">
        <f>BN1142-BM1142</f>
        <v>50.7</v>
      </c>
      <c r="BQ1142" s="143">
        <f>1000*BN1142/15.3/400</f>
        <v>8.2843137254901951</v>
      </c>
      <c r="BR1142" t="s">
        <v>232</v>
      </c>
      <c r="BT1142" t="s">
        <v>907</v>
      </c>
      <c r="BU1142" s="143">
        <v>-1</v>
      </c>
      <c r="BV1142" s="151">
        <v>0</v>
      </c>
      <c r="BW1142">
        <v>0</v>
      </c>
      <c r="BX1142">
        <v>1</v>
      </c>
      <c r="BZ1142">
        <f>BX1142*C_to_CO2</f>
        <v>3.67</v>
      </c>
      <c r="CA1142">
        <f>IFERROR(BZ1142/BQ1142,"")</f>
        <v>0.44300591715976334</v>
      </c>
      <c r="CB1142" s="143">
        <v>0</v>
      </c>
      <c r="CC1142" s="143">
        <v>0</v>
      </c>
      <c r="CD1142" s="143">
        <v>0</v>
      </c>
      <c r="CE1142" s="143">
        <v>0</v>
      </c>
      <c r="CF1142" s="143">
        <v>0</v>
      </c>
      <c r="CG1142" s="143">
        <v>0</v>
      </c>
      <c r="CH1142" s="143">
        <v>0</v>
      </c>
      <c r="CI1142" s="143">
        <v>0</v>
      </c>
      <c r="CJ1142" s="143">
        <v>0</v>
      </c>
      <c r="CK1142" s="143">
        <v>0</v>
      </c>
      <c r="CL1142" s="143">
        <v>0</v>
      </c>
      <c r="CM1142" s="143">
        <v>0</v>
      </c>
      <c r="CN1142" s="143">
        <v>0</v>
      </c>
      <c r="CO1142">
        <v>1</v>
      </c>
      <c r="CP1142" t="str">
        <f>IF($BN1142&lt;$BM1142,"refNeedCorrection","refOK")</f>
        <v>refOK</v>
      </c>
      <c r="CQ1142">
        <f>IF($CP1142="refOK",$BM1142,$BN1142)</f>
        <v>0</v>
      </c>
      <c r="CR1142">
        <f>IF($CP1142="refOK",$BN1142,$BM1142)</f>
        <v>50.7</v>
      </c>
      <c r="CS1142">
        <f>IF($CP1142="refOK",$BQ1142,-$BQ1142)</f>
        <v>8.2843137254901951</v>
      </c>
      <c r="CT1142">
        <f>IF(BI1142="Roundwood",$CS1142/2,$CS1142)</f>
        <v>8.2843137254901951</v>
      </c>
      <c r="CU1142">
        <f>IF($CP1142="refOK",$BU1142,$BV1142)*IF($BR1142="Emissions positive",-1,1)</f>
        <v>-1</v>
      </c>
      <c r="CV1142">
        <f>IF($CP1142="refOK",$BV1142,$BU1142)*IF($BR1142="Emissions positive",-1,1)</f>
        <v>0</v>
      </c>
      <c r="CW1142">
        <f>IF($CP1142="refNeedCorrection",-BZ1142,BZ1142)*IF($BR1142="Emissions positive",-1,1)</f>
        <v>3.67</v>
      </c>
      <c r="CX1142">
        <f>IFERROR($CW1142/$CS1142,"")</f>
        <v>0.44300591715976334</v>
      </c>
      <c r="CY1142">
        <f>IFERROR($CW1142/$CS1142,"")</f>
        <v>0.44300591715976334</v>
      </c>
      <c r="CZ1142">
        <f>IFERROR($CW1142/$CT1142,"")</f>
        <v>0.44300591715976334</v>
      </c>
      <c r="DA1142" s="2">
        <f>IFERROR((CV1142-CU1142)/ABS(CU1142),"")</f>
        <v>1</v>
      </c>
      <c r="DB1142" s="1" t="s">
        <v>1078</v>
      </c>
      <c r="DC1142" t="str">
        <f>IF(OR($DB1142="prd",$DB1142="std",$DB1142="cit"),"loc",IF(OR($DB1142="eur",$DB1142="reg",$DB1142="coy"),"reg",$DB1142))</f>
        <v>reg</v>
      </c>
      <c r="DD1142" t="s">
        <v>444</v>
      </c>
      <c r="DF1142" s="143"/>
      <c r="DG1142" s="143">
        <v>0</v>
      </c>
      <c r="DH1142" t="str">
        <f>IF(DG1142=0,"0",IF(AND(DG1142&gt;=1,DG1142&lt;=30),"1-30",IF(AND(DG1142&gt;30,DG1142&lt;=70),"31-70",IF(AND(DG1142&gt;70,DG1142&lt;=100),"71-100",IF(DG1142&gt;100,"+100")))))</f>
        <v>0</v>
      </c>
      <c r="DI1142">
        <v>0</v>
      </c>
      <c r="DJ1142">
        <v>1</v>
      </c>
      <c r="DK1142">
        <v>0</v>
      </c>
      <c r="DL1142">
        <v>0</v>
      </c>
      <c r="DN1142">
        <f>SUM(DI1142:DL1142)</f>
        <v>1</v>
      </c>
      <c r="DO1142" t="str">
        <f>IF(DN1142=1,INDEX($DI$7:$DL$7,MATCH(1,$DI1142:$DL1142,0)),"mixedProduct")</f>
        <v>EnergyInput</v>
      </c>
      <c r="DP1142">
        <f>IF(DI1142=1,DP$7,0)</f>
        <v>0</v>
      </c>
      <c r="DQ1142" t="str">
        <f>IF(DJ1142=1,DQ$7,0)</f>
        <v>Energy</v>
      </c>
      <c r="DR1142">
        <f>IF(DK1142=1,DR$7,0)</f>
        <v>0</v>
      </c>
      <c r="DS1142">
        <f>IF(DL1142=1,DS$7,0)</f>
        <v>0</v>
      </c>
      <c r="DT1142">
        <v>0</v>
      </c>
      <c r="DU1142" s="143">
        <v>0</v>
      </c>
      <c r="DV1142" s="143">
        <v>0</v>
      </c>
      <c r="DW1142">
        <v>0</v>
      </c>
      <c r="DX1142" s="143">
        <v>0</v>
      </c>
      <c r="DY1142">
        <f>SUM(DT1142:DU1142)</f>
        <v>0</v>
      </c>
      <c r="DZ1142" s="143" t="str">
        <f>IF(DT1142=1,"self-calculated DF",IF(DU1142=1,"external DF used","explicit C balance"))</f>
        <v>explicit C balance</v>
      </c>
      <c r="EA1142" s="143">
        <v>0</v>
      </c>
      <c r="EB1142" s="143">
        <v>0</v>
      </c>
      <c r="EC1142" s="143">
        <v>0</v>
      </c>
      <c r="ED1142" s="143">
        <v>0</v>
      </c>
      <c r="EE1142">
        <v>0</v>
      </c>
      <c r="EF1142" s="143">
        <v>0</v>
      </c>
      <c r="EG1142" s="143">
        <v>0</v>
      </c>
      <c r="EH1142" s="143">
        <v>1</v>
      </c>
      <c r="EI1142" s="143">
        <v>0</v>
      </c>
      <c r="EJ1142">
        <v>0</v>
      </c>
      <c r="EK1142">
        <v>0</v>
      </c>
      <c r="EL1142" s="143">
        <v>0</v>
      </c>
      <c r="EM1142" s="143">
        <v>0</v>
      </c>
      <c r="EN1142" s="2">
        <v>0</v>
      </c>
      <c r="EP1142" t="str">
        <f>IF(AND(AND(AND(OR($EC1142=1,$EB1142=1),OR($EH1142=1,$EF1142=1)),SUM($EA1142:$EE1142,$EK1142)&gt;=3),SUM($EF1142:$EJ1142)&gt;=2),"Whole sector approach","")</f>
        <v/>
      </c>
      <c r="EQ1142" t="str">
        <f>IF(AND(AND(OR($EC1142=1,$EB1142=1),AND($EH1142=0,$EF1142=0)),SUM($EA1142:$EE1142,$EK1142)&gt;=4),"Ecosystem approach","")</f>
        <v/>
      </c>
      <c r="ER1142" s="2" t="str">
        <f>IF(AND(AND(AND($EC1142=0,$EB1142=0),OR($EH1142=1,$EF1142=1)),SUM($EG1142:$EJ1142)&gt;=2),"Technology approach","")</f>
        <v/>
      </c>
      <c r="ES1142" t="str">
        <f>IF(AND($EC1142+$EB1142+$EE1142+$EA1142+$ED1142+$EG1142=0,$N1142="included"),"C neutral forest and HWP assumption","")</f>
        <v>C neutral forest and HWP assumption</v>
      </c>
      <c r="ET1142" t="str">
        <f>IF(AND(AND(AND(AND($EC1142=1,$EB1142+$EA1142+$EG1142&gt;=1),$EF1142=1),$EH1142+$EI1142+$ED1142+$EE1142&gt;=2),$N1142="included"),"All C pools assumption","")</f>
        <v/>
      </c>
      <c r="EU1142" t="str">
        <f>IF(AND($ED1142+$EE1142+$EI1142+$EH1142+$EF1142=0,$N1142="included"),"In-situ only assumption","")</f>
        <v/>
      </c>
      <c r="EY1142" t="str">
        <f>IF(ISNUMBER(BW1142),IF(ABS(BW1142-[3]QC_indicators!$B$2)&gt;3*[3]QC_indicators!$C$2,"C ratio",IF(ISNUMBER(CA1142),IF(ABS(CA1142-[3]QC_indicators!$B$1)&gt;3*[3]QC_indicators!$C$1,"DF","no"))),IF(ISNUMBER(CA1142),IF(ABS(CA1142-[3]QC_indicators!$B$1)&gt;3*[3]QC_indicators!$C$1,"DF","no")))</f>
        <v>no</v>
      </c>
      <c r="FA1142" t="str">
        <f>IF(LEN($CY1142)=0,"",IF(AND($CY1142&lt;(-0.05),$ES1142="C neutral forest and HWP assumption"),"Cneutral paradox",IF(AND($CY1142&gt;0.05,$EU1142="In-situ only assumption"),"In-situ only paradox","")))</f>
        <v/>
      </c>
      <c r="FB1142" s="149" t="s">
        <v>349</v>
      </c>
      <c r="FD1142" s="260" t="s">
        <v>2941</v>
      </c>
    </row>
    <row r="1143" spans="1:160" ht="15" hidden="1" customHeight="1">
      <c r="A1143" s="1" t="s">
        <v>849</v>
      </c>
      <c r="B1143" t="s">
        <v>1552</v>
      </c>
      <c r="C1143" t="s">
        <v>531</v>
      </c>
      <c r="D1143" t="s">
        <v>1553</v>
      </c>
      <c r="E1143" t="s">
        <v>1554</v>
      </c>
      <c r="F1143" t="s">
        <v>1555</v>
      </c>
      <c r="G1143" t="s">
        <v>1059</v>
      </c>
      <c r="H1143" t="s">
        <v>254</v>
      </c>
      <c r="I1143">
        <v>2021</v>
      </c>
      <c r="J1143">
        <v>8</v>
      </c>
      <c r="K1143" t="s">
        <v>1556</v>
      </c>
      <c r="M1143" t="str">
        <f>LEFT($D1143,FIND(",",$D1143)-1)&amp;"_"&amp;I1143&amp;L1143</f>
        <v>Hart_2021</v>
      </c>
      <c r="N1143" s="317" t="s">
        <v>222</v>
      </c>
      <c r="O1143" s="171" t="s">
        <v>225</v>
      </c>
      <c r="P1143" t="s">
        <v>924</v>
      </c>
      <c r="Q1143" s="317" t="s">
        <v>389</v>
      </c>
      <c r="R1143" s="318" t="s">
        <v>1029</v>
      </c>
      <c r="S1143" s="322" t="s">
        <v>1557</v>
      </c>
      <c r="T1143" s="317" t="s">
        <v>1564</v>
      </c>
      <c r="U1143" t="s">
        <v>1559</v>
      </c>
      <c r="V1143" s="253">
        <v>0</v>
      </c>
      <c r="W1143" s="253">
        <v>0</v>
      </c>
      <c r="X1143">
        <v>0</v>
      </c>
      <c r="Y1143">
        <v>0</v>
      </c>
      <c r="Z1143">
        <v>0</v>
      </c>
      <c r="AA1143">
        <v>0</v>
      </c>
      <c r="AB1143">
        <v>0</v>
      </c>
      <c r="AC1143">
        <v>0</v>
      </c>
      <c r="AD1143">
        <v>0</v>
      </c>
      <c r="AE1143">
        <v>0</v>
      </c>
      <c r="AF1143">
        <v>0</v>
      </c>
      <c r="AG1143">
        <v>0</v>
      </c>
      <c r="AH1143">
        <v>0</v>
      </c>
      <c r="AI1143">
        <v>0</v>
      </c>
      <c r="AJ1143">
        <v>0</v>
      </c>
      <c r="AK1143">
        <v>0</v>
      </c>
      <c r="AL1143">
        <v>0</v>
      </c>
      <c r="AM1143">
        <v>1</v>
      </c>
      <c r="AN1143">
        <v>0</v>
      </c>
      <c r="AO1143">
        <v>0</v>
      </c>
      <c r="AP1143">
        <v>0</v>
      </c>
      <c r="AQ1143">
        <v>0</v>
      </c>
      <c r="AR1143">
        <v>0</v>
      </c>
      <c r="AS1143">
        <v>0</v>
      </c>
      <c r="AT1143">
        <v>0</v>
      </c>
      <c r="AU1143">
        <v>0</v>
      </c>
      <c r="AV1143">
        <v>0</v>
      </c>
      <c r="AW1143">
        <v>0</v>
      </c>
      <c r="AX1143">
        <v>0</v>
      </c>
      <c r="AY1143">
        <v>0</v>
      </c>
      <c r="AZ1143" s="141">
        <f>COUNTIF(X1143:AY1143,"&lt;&gt;0")</f>
        <v>1</v>
      </c>
      <c r="BA1143" s="141">
        <f>COUNTIF(X1143:AN1143,"&lt;&gt;0")</f>
        <v>1</v>
      </c>
      <c r="BB1143">
        <f>COUNTIF(X1143:AE1143,"&lt;&gt;0")</f>
        <v>0</v>
      </c>
      <c r="BC1143">
        <f>COUNTIF(AF1143:AK1143,"&lt;&gt;0")</f>
        <v>0</v>
      </c>
      <c r="BD1143">
        <f>COUNTIF(AL1143:AN1143,"&lt;&gt;0")</f>
        <v>1</v>
      </c>
      <c r="BE1143">
        <f>COUNTIF(AU1143:AY1143,"&lt;&gt;0")</f>
        <v>0</v>
      </c>
      <c r="BF1143">
        <f>COUNTIF(AO1143:AT1143,"&lt;&gt;0")</f>
        <v>0</v>
      </c>
      <c r="BG1143" t="str" cm="1">
        <f t="array" ref="BG1143">IF(BA1143=1,INDEX($X$7:$AN$7,MATCH(TRUE,INDEX($X1143:$AY1143&lt;&gt;0,),0)),IF(BA1143=0,INDEX($AO$7:$AY$7,MATCH(1,$AO1143:$AY1143,0)),IF(BH1143="Multiple strategies","mixed drivers",IF(BH1143="Supply chain","multiple supply","multiple silviculture"))))</f>
        <v>technologies/design switch</v>
      </c>
      <c r="BH1143" s="2" t="str" cm="1">
        <f t="array" ref="BH1143">IF(COUNTIF(BB1143:BD1143,"&lt;&gt;0")=1,INDEX($X$4:$AY$4,MATCH(TRUE,INDEX($X1143:$AY1143&lt;&gt;0,),0)),IF(COUNTIF(BB1143:BD1143,"&lt;&gt;0")=0,INDEX($AO$4:$AY$4,MATCH(1,$AO1143:$AY1143,0)),"Multiple strategies"))</f>
        <v>Technology</v>
      </c>
      <c r="BI1143" s="323" t="s">
        <v>229</v>
      </c>
      <c r="BJ1143" s="321" t="s">
        <v>1560</v>
      </c>
      <c r="BK1143" s="321" t="s">
        <v>4979</v>
      </c>
      <c r="BL1143" s="321" t="s">
        <v>1561</v>
      </c>
      <c r="BM1143">
        <v>0</v>
      </c>
      <c r="BN1143">
        <v>7.314381831917062E-2</v>
      </c>
      <c r="BO1143" t="s">
        <v>531</v>
      </c>
      <c r="BP1143">
        <f>BN1143-BM1143</f>
        <v>7.314381831917062E-2</v>
      </c>
      <c r="BQ1143" s="317">
        <f>BP1143*t_to_m3</f>
        <v>0.1492730986105523</v>
      </c>
      <c r="BR1143" s="317" t="s">
        <v>232</v>
      </c>
      <c r="BS1143" s="155" t="s">
        <v>1562</v>
      </c>
      <c r="BT1143" s="317" t="s">
        <v>1563</v>
      </c>
      <c r="BU1143">
        <v>-187.41169182586319</v>
      </c>
      <c r="BV1143">
        <v>-119.35798727672741</v>
      </c>
      <c r="BW1143" s="144">
        <f>IFERROR(BV1143/BU1143,"")</f>
        <v>0.6368758859913124</v>
      </c>
      <c r="BX1143">
        <f>BV1143-BU1143</f>
        <v>68.053704549135773</v>
      </c>
      <c r="BZ1143">
        <f>BX1143/1000</f>
        <v>6.8053704549135771E-2</v>
      </c>
      <c r="CA1143">
        <f>IFERROR(BZ1143/BQ1143,"")</f>
        <v>0.45590066249435363</v>
      </c>
      <c r="CB1143">
        <v>0</v>
      </c>
      <c r="CC1143">
        <v>0</v>
      </c>
      <c r="CD1143">
        <v>0</v>
      </c>
      <c r="CE1143">
        <v>0</v>
      </c>
      <c r="CF1143">
        <v>0</v>
      </c>
      <c r="CG1143">
        <v>0</v>
      </c>
      <c r="CH1143">
        <v>0</v>
      </c>
      <c r="CI1143">
        <v>0</v>
      </c>
      <c r="CJ1143">
        <v>0</v>
      </c>
      <c r="CK1143">
        <v>0</v>
      </c>
      <c r="CL1143">
        <v>0</v>
      </c>
      <c r="CM1143">
        <v>0</v>
      </c>
      <c r="CN1143">
        <v>0</v>
      </c>
      <c r="CO1143">
        <v>0</v>
      </c>
      <c r="CP1143" t="str">
        <f>IF($BN1143&lt;$BM1143,"refNeedCorrection","refOK")</f>
        <v>refOK</v>
      </c>
      <c r="CQ1143">
        <f>IF($CP1143="refOK",$BM1143,$BN1143)</f>
        <v>0</v>
      </c>
      <c r="CR1143">
        <f>IF($CP1143="refOK",$BN1143,$BM1143)</f>
        <v>7.314381831917062E-2</v>
      </c>
      <c r="CS1143">
        <f>IF($CP1143="refOK",$BQ1143,-$BQ1143)</f>
        <v>0.1492730986105523</v>
      </c>
      <c r="CT1143">
        <f>IF(BI1143="Roundwood",$CS1143/2,$CS1143)</f>
        <v>0.1492730986105523</v>
      </c>
      <c r="CU1143">
        <f>IF($CP1143="refOK",$BU1143,$BV1143)*IF($BR1143="Emissions positive",-1,1)</f>
        <v>-187.41169182586319</v>
      </c>
      <c r="CV1143">
        <f>IF($CP1143="refOK",$BV1143,$BU1143)*IF($BR1143="Emissions positive",-1,1)</f>
        <v>-119.35798727672741</v>
      </c>
      <c r="CW1143">
        <f>IF($CP1143="refNeedCorrection",-BZ1143,BZ1143)*IF($BR1143="Emissions positive",-1,1)</f>
        <v>6.8053704549135771E-2</v>
      </c>
      <c r="CX1143">
        <f>IFERROR($CW1143/$CS1143,"")</f>
        <v>0.45590066249435363</v>
      </c>
      <c r="CY1143">
        <f>IFERROR($CW1143/$CS1143,"")</f>
        <v>0.45590066249435363</v>
      </c>
      <c r="CZ1143">
        <f>IFERROR($CW1143/$CT1143,"")</f>
        <v>0.45590066249435363</v>
      </c>
      <c r="DA1143" s="2">
        <f>IFERROR((CV1143-CU1143)/ABS(CU1143),"")</f>
        <v>0.3631241140086876</v>
      </c>
      <c r="DB1143" s="320" t="s">
        <v>1078</v>
      </c>
      <c r="DC1143" s="317" t="str">
        <f>IF(OR($DB1143="prd",$DB1143="std",$DB1143="cit"),"loc",IF(OR($DB1143="eur",$DB1143="reg",$DB1143="coy"),"reg",$DB1143))</f>
        <v>reg</v>
      </c>
      <c r="DD1143" s="155" t="s">
        <v>3169</v>
      </c>
      <c r="DE1143">
        <v>0</v>
      </c>
      <c r="DF1143">
        <v>0</v>
      </c>
      <c r="DG1143">
        <v>0</v>
      </c>
      <c r="DH1143" t="str">
        <f>IF(DG1143=0,"0",IF(AND(DG1143&gt;=1,DG1143&lt;=30),"1-30",IF(AND(DG1143&gt;30,DG1143&lt;=70),"31-70",IF(AND(DG1143&gt;70,DG1143&lt;=100),"71-100",IF(DG1143&gt;100,"+100")))))</f>
        <v>0</v>
      </c>
      <c r="DI1143">
        <v>0</v>
      </c>
      <c r="DJ1143">
        <v>0</v>
      </c>
      <c r="DK1143">
        <v>0</v>
      </c>
      <c r="DL1143">
        <v>1</v>
      </c>
      <c r="DM1143">
        <v>0</v>
      </c>
      <c r="DN1143">
        <v>1</v>
      </c>
      <c r="DO1143" t="str">
        <f>IF(DN1143=1,INDEX($DI$7:$DL$7,MATCH(1,$DI1143:$DL1143,0)),"mixedProduct")</f>
        <v>TimberInput</v>
      </c>
      <c r="DP1143">
        <f>IF(DI1143=1,DP$7,0)</f>
        <v>0</v>
      </c>
      <c r="DQ1143">
        <f>IF(DJ1143=1,DQ$7,0)</f>
        <v>0</v>
      </c>
      <c r="DR1143">
        <f>IF(DK1143=1,DR$7,0)</f>
        <v>0</v>
      </c>
      <c r="DS1143" t="str">
        <f>IF(DL1143=1,DS$7,0)</f>
        <v>Timber</v>
      </c>
      <c r="DT1143">
        <v>0</v>
      </c>
      <c r="DU1143">
        <v>0</v>
      </c>
      <c r="DV1143">
        <v>0</v>
      </c>
      <c r="DW1143">
        <v>0</v>
      </c>
      <c r="DX1143">
        <v>0</v>
      </c>
      <c r="DY1143">
        <f>SUM(DT1143:DU1143)</f>
        <v>0</v>
      </c>
      <c r="DZ1143" s="143" t="s">
        <v>926</v>
      </c>
      <c r="EA1143">
        <v>0</v>
      </c>
      <c r="EB1143">
        <v>0</v>
      </c>
      <c r="EC1143">
        <v>0</v>
      </c>
      <c r="ED1143">
        <v>0</v>
      </c>
      <c r="EE1143">
        <v>0</v>
      </c>
      <c r="EF1143" s="143">
        <v>1</v>
      </c>
      <c r="EG1143">
        <v>0</v>
      </c>
      <c r="EH1143">
        <v>1</v>
      </c>
      <c r="EI1143">
        <v>1</v>
      </c>
      <c r="EJ1143">
        <v>1</v>
      </c>
      <c r="EK1143">
        <v>0</v>
      </c>
      <c r="EL1143">
        <v>0</v>
      </c>
      <c r="EM1143">
        <v>0</v>
      </c>
      <c r="EN1143" s="2">
        <v>0</v>
      </c>
      <c r="EP1143" t="str">
        <f>IF(AND(AND(AND(OR($EC1143=1,$EB1143=1),OR($EH1143=1,$EF1143=1)),SUM($EA1143:$EE1143,$EK1143)&gt;=3),SUM($EF1143:$EJ1143)&gt;=2),"Whole sector approach","")</f>
        <v/>
      </c>
      <c r="EQ1143" t="str">
        <f>IF(AND(AND(OR($EC1143=1,$EB1143=1),AND($EH1143=0,$EF1143=0)),SUM($EA1143:$EE1143,$EK1143)&gt;=3),"Ecosystem approach","")</f>
        <v/>
      </c>
      <c r="ER1143" s="2" t="str">
        <f>IF(AND(AND(AND($EC1143=0,$EB1143=0),OR($EH1143=1,$EF1143=1)),SUM($EG1143:$EJ1143)&gt;=2),"Technology approach","")</f>
        <v>Technology approach</v>
      </c>
      <c r="ES1143" t="str">
        <f>IF(AND($EC1143+$EB1143+$EE1143+$EA1143+$ED1143+$EG1143=0,$N1143="included"),"C neutral forest and HWP assumption","")</f>
        <v>C neutral forest and HWP assumption</v>
      </c>
      <c r="ET1143" t="str">
        <f>IF(AND(AND(AND(AND($EC1143=1,$EB1143+$EA1143+$EG1143&gt;=1),$EF1143=1),$EH1143+$EI1143+$ED1143+$EE1143&gt;=2),$N1143="included"),"All C pools assumption","")</f>
        <v/>
      </c>
      <c r="EU1143" t="str">
        <f>IF(AND($ED1143+$EE1143+$EI1143+$EH1143+$EF1143=0,$N1143="included"),"In-situ only assumption","")</f>
        <v/>
      </c>
      <c r="EY1143" t="str">
        <f>IF(ISNUMBER(BW1143),IF(ABS(BW1143-[4]QC_indicators!$B$2)&gt;3*[4]QC_indicators!$C$2,"C ratio",IF(ISNUMBER(CA1143),IF(ABS(CA1143-[4]QC_indicators!$B$1)&gt;3*[4]QC_indicators!$C$1,"DF","no"))),IF(ISNUMBER(CA1143),IF(ABS(CA1143-[4]QC_indicators!$B$1)&gt;3*[4]QC_indicators!$C$1,"DF","no")))</f>
        <v>no</v>
      </c>
      <c r="FA1143" t="str">
        <f>IF(LEN($CY1143)=0,"",IF(AND($CY1143&lt;(-0.05),$ES1143="C neutral forest and HWP assumption"),"Cneutral paradox",IF(AND($CY1143&gt;0.05,$EU1143="In-situ only assumption"),"In-situ only paradox","")))</f>
        <v/>
      </c>
      <c r="FD1143" t="s">
        <v>4980</v>
      </c>
    </row>
    <row r="1144" spans="1:160" ht="15" hidden="1" customHeight="1">
      <c r="A1144" s="1" t="s">
        <v>1108</v>
      </c>
      <c r="B1144" t="s">
        <v>1109</v>
      </c>
      <c r="C1144" t="s">
        <v>1110</v>
      </c>
      <c r="D1144" t="s">
        <v>336</v>
      </c>
      <c r="E1144" t="s">
        <v>1111</v>
      </c>
      <c r="F1144" t="s">
        <v>1112</v>
      </c>
      <c r="G1144" t="s">
        <v>1113</v>
      </c>
      <c r="I1144">
        <v>2018</v>
      </c>
      <c r="K1144" t="s">
        <v>1114</v>
      </c>
      <c r="M1144" t="str">
        <f>LEFT($D1144,FIND(",",$D1144)-1)&amp;"_"&amp;I1144&amp;L1144</f>
        <v>Balasbaneh_2018</v>
      </c>
      <c r="N1144" t="s">
        <v>222</v>
      </c>
      <c r="O1144" s="140" t="s">
        <v>508</v>
      </c>
      <c r="Q1144" t="s">
        <v>224</v>
      </c>
      <c r="R1144" s="258" t="s">
        <v>223</v>
      </c>
      <c r="S1144" s="1" t="s">
        <v>1136</v>
      </c>
      <c r="T1144" s="260" t="s">
        <v>2789</v>
      </c>
      <c r="U1144" s="260" t="s">
        <v>2790</v>
      </c>
      <c r="V1144" s="253">
        <v>0</v>
      </c>
      <c r="W1144" s="253">
        <v>0</v>
      </c>
      <c r="X1144">
        <v>0</v>
      </c>
      <c r="Y1144">
        <v>0</v>
      </c>
      <c r="Z1144">
        <v>0</v>
      </c>
      <c r="AA1144">
        <v>0</v>
      </c>
      <c r="AB1144">
        <v>0</v>
      </c>
      <c r="AC1144">
        <v>0</v>
      </c>
      <c r="AD1144">
        <v>0</v>
      </c>
      <c r="AE1144">
        <v>0</v>
      </c>
      <c r="AF1144">
        <v>0</v>
      </c>
      <c r="AG1144">
        <v>0</v>
      </c>
      <c r="AH1144">
        <v>0</v>
      </c>
      <c r="AI1144">
        <v>0</v>
      </c>
      <c r="AJ1144">
        <v>0</v>
      </c>
      <c r="AK1144">
        <v>0</v>
      </c>
      <c r="AL1144">
        <v>0</v>
      </c>
      <c r="AM1144">
        <v>1</v>
      </c>
      <c r="AN1144">
        <v>0</v>
      </c>
      <c r="AO1144">
        <v>0</v>
      </c>
      <c r="AP1144">
        <v>0</v>
      </c>
      <c r="AQ1144">
        <v>0</v>
      </c>
      <c r="AR1144">
        <v>0</v>
      </c>
      <c r="AS1144">
        <v>0</v>
      </c>
      <c r="AT1144">
        <v>0</v>
      </c>
      <c r="AU1144">
        <v>0</v>
      </c>
      <c r="AV1144">
        <v>0</v>
      </c>
      <c r="AW1144">
        <v>0</v>
      </c>
      <c r="AX1144">
        <v>0</v>
      </c>
      <c r="AY1144">
        <v>0</v>
      </c>
      <c r="AZ1144" s="141">
        <f>COUNTIF(X1144:AY1144,"&lt;&gt;0")</f>
        <v>1</v>
      </c>
      <c r="BA1144" s="141">
        <f>COUNTIF(X1144:AN1144,"&lt;&gt;0")</f>
        <v>1</v>
      </c>
      <c r="BB1144">
        <f>COUNTIF(X1144:AE1144,"&lt;&gt;0")</f>
        <v>0</v>
      </c>
      <c r="BC1144">
        <f>COUNTIF(AF1144:AK1144,"&lt;&gt;0")</f>
        <v>0</v>
      </c>
      <c r="BD1144">
        <f>COUNTIF(AL1144:AN1144,"&lt;&gt;0")</f>
        <v>1</v>
      </c>
      <c r="BE1144">
        <f>COUNTIF(AU1144:AY1144,"&lt;&gt;0")</f>
        <v>0</v>
      </c>
      <c r="BF1144">
        <f>COUNTIF(AO1144:AT1144,"&lt;&gt;0")</f>
        <v>0</v>
      </c>
      <c r="BG1144" t="str">
        <f t="array" ref="BG1144">IF(BA1144=1,INDEX($X$7:$AN$7,MATCH(TRUE,INDEX($X1144:$AY1144&lt;&gt;0,),0)),IF(BA1144=0,INDEX($AO$7:$AY$7,MATCH(1,$AO1144:$AY1144,0)),IF(BH1144="Multiple strategies","mixed drivers",IF(BH1144="Supply chain","multiple supply","multiple silviculture"))))</f>
        <v>technologies/design switch</v>
      </c>
      <c r="BH1144" s="2" t="str" cm="1">
        <f t="array" ref="BH1144">IF(COUNTIF(BB1144:BD1144,"&lt;&gt;0")=1,INDEX($X$4:$AY$4,MATCH(TRUE,INDEX($X1144:$AY1144&lt;&gt;0,),0)),IF(COUNTIF(BB1144:BD1144,"&lt;&gt;0")=0,INDEX($AO$4:$AY$4,MATCH(1,$AO1144:$AY1144,0)),"Multiple strategies"))</f>
        <v>Technology</v>
      </c>
      <c r="BI1144" s="1" t="s">
        <v>229</v>
      </c>
      <c r="BJ1144" t="s">
        <v>229</v>
      </c>
      <c r="BL1144" t="s">
        <v>345</v>
      </c>
      <c r="BM1144">
        <v>0</v>
      </c>
      <c r="BN1144">
        <v>15468</v>
      </c>
      <c r="BO1144" s="143"/>
      <c r="BP1144">
        <f>BN1144-BM1144</f>
        <v>15468</v>
      </c>
      <c r="BQ1144" s="143">
        <f>BP1144*kg_to_m3</f>
        <v>31.567346938775515</v>
      </c>
      <c r="BR1144" t="s">
        <v>232</v>
      </c>
      <c r="BS1144" s="153" t="s">
        <v>987</v>
      </c>
      <c r="BT1144" t="s">
        <v>397</v>
      </c>
      <c r="BU1144">
        <v>-19800</v>
      </c>
      <c r="BV1144">
        <v>-5130</v>
      </c>
      <c r="BW1144" s="144">
        <v>0.25909090909090909</v>
      </c>
      <c r="BX1144">
        <v>14670</v>
      </c>
      <c r="BZ1144">
        <f>BX1144/1000</f>
        <v>14.67</v>
      </c>
      <c r="CA1144">
        <f>IFERROR(BZ1144/BQ1144,"")</f>
        <v>0.46472071373157481</v>
      </c>
      <c r="CB1144">
        <v>0</v>
      </c>
      <c r="CC1144">
        <v>0</v>
      </c>
      <c r="CD1144">
        <v>0</v>
      </c>
      <c r="CE1144">
        <v>0</v>
      </c>
      <c r="CF1144">
        <v>0</v>
      </c>
      <c r="CG1144">
        <v>0</v>
      </c>
      <c r="CH1144">
        <v>0</v>
      </c>
      <c r="CI1144">
        <v>0</v>
      </c>
      <c r="CJ1144">
        <v>0</v>
      </c>
      <c r="CK1144">
        <v>0</v>
      </c>
      <c r="CL1144">
        <v>0</v>
      </c>
      <c r="CM1144">
        <v>0</v>
      </c>
      <c r="CN1144">
        <v>0</v>
      </c>
      <c r="CO1144">
        <v>0</v>
      </c>
      <c r="CP1144" t="str">
        <f>IF($BN1144&lt;$BM1144,"refNeedCorrection","refOK")</f>
        <v>refOK</v>
      </c>
      <c r="CQ1144">
        <f>IF($CP1144="refNeedCorrection",BN1144,BM1144)</f>
        <v>0</v>
      </c>
      <c r="CR1144">
        <f>IF($CP1144="refNeedCorrection",BM1144,BN1144)</f>
        <v>15468</v>
      </c>
      <c r="CS1144">
        <f>IF($CP1144="refOK",$BQ1144,-$BQ1144)</f>
        <v>31.567346938775515</v>
      </c>
      <c r="CT1144">
        <f>IF(BI1144="Roundwood",$CS1144/2,$CS1144)</f>
        <v>31.567346938775515</v>
      </c>
      <c r="CU1144">
        <f>IF($CP1144="refOK",$BU1144,$BV1144)*IF($BR1144="Emissions positive",-1,1)</f>
        <v>-19800</v>
      </c>
      <c r="CV1144">
        <f>IF($CP1144="refOK",$BV1144,$BU1144)*IF($BR1144="Emissions positive",-1,1)</f>
        <v>-5130</v>
      </c>
      <c r="CW1144">
        <f>IF($CP1144="refNeedCorrection",-BZ1144,BZ1144)*IF($BR1144="Emissions positive",-1,1)</f>
        <v>14.67</v>
      </c>
      <c r="CX1144">
        <f>IFERROR($CW1144/$CS1144,"")</f>
        <v>0.46472071373157481</v>
      </c>
      <c r="CY1144">
        <f>IFERROR($CW1144/$CS1144,"")</f>
        <v>0.46472071373157481</v>
      </c>
      <c r="CZ1144">
        <f>IFERROR($CW1144/$CT1144,"")</f>
        <v>0.46472071373157481</v>
      </c>
      <c r="DA1144" s="2">
        <f>IFERROR((CV1144-CU1144)/ABS(CU1144),"")</f>
        <v>0.74090909090909096</v>
      </c>
      <c r="DB1144" s="1" t="s">
        <v>1078</v>
      </c>
      <c r="DC1144" t="str">
        <f>IF(OR($DB1144="prd",$DB1144="std",$DB1144="cit"),"loc",IF(OR($DB1144="eur",$DB1144="reg",$DB1144="coy"),"reg",$DB1144))</f>
        <v>reg</v>
      </c>
      <c r="DD1144" t="s">
        <v>348</v>
      </c>
      <c r="DE1144">
        <v>2014</v>
      </c>
      <c r="DF1144">
        <v>2514</v>
      </c>
      <c r="DG1144">
        <v>500</v>
      </c>
      <c r="DH1144" t="str">
        <f>IF(DG1144=0,"0",IF(AND(DG1144&gt;=1,DG1144&lt;=30),"1-30",IF(AND(DG1144&gt;30,DG1144&lt;=70),"31-70",IF(AND(DG1144&gt;70,DG1144&lt;=100),"71-100",IF(DG1144&gt;100,"+100")))))</f>
        <v>+100</v>
      </c>
      <c r="DI1144">
        <v>0</v>
      </c>
      <c r="DJ1144">
        <v>0</v>
      </c>
      <c r="DK1144">
        <v>0</v>
      </c>
      <c r="DL1144">
        <v>1</v>
      </c>
      <c r="DN1144">
        <f>SUM(DI1144:DL1144)</f>
        <v>1</v>
      </c>
      <c r="DO1144" t="str">
        <f>IF(DN1144=1,INDEX($DI$7:$DL$7,MATCH(1,$DI1144:$DL1144,0)),"mixedProduct")</f>
        <v>TimberInput</v>
      </c>
      <c r="DP1144">
        <f>IF(DI1144=1,DP$7,0)</f>
        <v>0</v>
      </c>
      <c r="DQ1144">
        <f>IF(DJ1144=1,DQ$7,0)</f>
        <v>0</v>
      </c>
      <c r="DR1144">
        <f>IF(DK1144=1,DR$7,0)</f>
        <v>0</v>
      </c>
      <c r="DS1144" t="str">
        <f>IF(DL1144=1,DS$7,0)</f>
        <v>Timber</v>
      </c>
      <c r="DT1144">
        <v>0</v>
      </c>
      <c r="DU1144">
        <v>0</v>
      </c>
      <c r="DV1144">
        <v>0</v>
      </c>
      <c r="DW1144">
        <v>0</v>
      </c>
      <c r="DX1144">
        <v>0</v>
      </c>
      <c r="DY1144">
        <f>SUM(DT1144:DU1144)</f>
        <v>0</v>
      </c>
      <c r="DZ1144" s="143" t="str">
        <f>IF(DT1144=1,"self-calculated DF",IF(DU1144=1,"external DF used","explicit C balance"))</f>
        <v>explicit C balance</v>
      </c>
      <c r="EA1144">
        <v>0</v>
      </c>
      <c r="EB1144">
        <v>0</v>
      </c>
      <c r="EC1144">
        <v>0</v>
      </c>
      <c r="ED1144">
        <v>0</v>
      </c>
      <c r="EE1144">
        <v>0</v>
      </c>
      <c r="EF1144" s="143">
        <v>1</v>
      </c>
      <c r="EG1144">
        <v>0</v>
      </c>
      <c r="EH1144">
        <v>1</v>
      </c>
      <c r="EI1144">
        <v>1</v>
      </c>
      <c r="EJ1144">
        <v>1</v>
      </c>
      <c r="EK1144">
        <v>0</v>
      </c>
      <c r="EL1144">
        <v>0</v>
      </c>
      <c r="EM1144">
        <v>0</v>
      </c>
      <c r="EN1144" s="2">
        <v>0</v>
      </c>
      <c r="EP1144" t="str">
        <f>IF(AND(AND(AND(OR($EC1144=1,$EB1144=1),OR($EH1144=1,$EF1144=1)),SUM($EA1144:$EE1144,$EK1144)&gt;=3),SUM($EF1144:$EJ1144)&gt;=2),"Whole sector approach","")</f>
        <v/>
      </c>
      <c r="EQ1144" t="str">
        <f>IF(AND(AND(OR($EC1144=1,$EB1144=1),AND($EH1144=0,$EF1144=0)),SUM($EA1144:$EE1144,$EK1144)&gt;=4),"Ecosystem approach","")</f>
        <v/>
      </c>
      <c r="ER1144" s="2" t="str">
        <f>IF(AND(AND(AND($EC1144=0,$EB1144=0),OR($EH1144=1,$EF1144=1)),SUM($EG1144:$EJ1144)&gt;=2),"Technology approach","")</f>
        <v>Technology approach</v>
      </c>
      <c r="ES1144" t="str">
        <f>IF(AND($EC1144+$EB1144+$EE1144+$EA1144+$ED1144+$EG1144=0,$N1144="included"),"C neutral forest and HWP assumption","")</f>
        <v>C neutral forest and HWP assumption</v>
      </c>
      <c r="ET1144" t="str">
        <f>IF(AND(AND(AND(AND($EC1144=1,$EB1144+$EA1144+$EG1144&gt;=1),$EF1144=1),$EH1144+$EI1144+$ED1144+$EE1144&gt;=2),$N1144="included"),"All C pools assumption","")</f>
        <v/>
      </c>
      <c r="EU1144" t="str">
        <f>IF(AND($ED1144+$EE1144+$EI1144+$EH1144+$EF1144=0,$N1144="included"),"In-situ only assumption","")</f>
        <v/>
      </c>
      <c r="EY1144" t="str">
        <f>IF(ISNUMBER(BW1144),IF(ABS(BW1144-[2]QC_indicators!$B$2)&gt;3*[2]QC_indicators!$C$2,"C ratio",IF(ISNUMBER(CA1144),IF(ABS(CA1144-[2]QC_indicators!$B$1)&gt;3*[2]QC_indicators!$C$1,"DF","no"))),IF(ISNUMBER(CA1144),IF(ABS(CA1144-[2]QC_indicators!$B$1)&gt;3*[2]QC_indicators!$C$1,"DF","no")))</f>
        <v>no</v>
      </c>
      <c r="FA1144" t="str">
        <f>IF(LEN($CY1144)=0,"",IF(AND($CY1144&lt;(-0.05),$ES1144="C neutral forest and HWP assumption"),"Cneutral paradox",IF(AND($CY1144&gt;0.05,$EU1144="In-situ only assumption"),"In-situ only paradox","")))</f>
        <v/>
      </c>
      <c r="FB1144" s="149" t="s">
        <v>349</v>
      </c>
      <c r="FD1144" s="260" t="s">
        <v>2948</v>
      </c>
    </row>
    <row r="1145" spans="1:160" ht="15" hidden="1" customHeight="1">
      <c r="A1145" s="1" t="s">
        <v>1108</v>
      </c>
      <c r="B1145" t="s">
        <v>1109</v>
      </c>
      <c r="C1145" t="s">
        <v>1110</v>
      </c>
      <c r="D1145" t="s">
        <v>336</v>
      </c>
      <c r="E1145" t="s">
        <v>1111</v>
      </c>
      <c r="F1145" t="s">
        <v>1112</v>
      </c>
      <c r="G1145" t="s">
        <v>1113</v>
      </c>
      <c r="I1145">
        <v>2018</v>
      </c>
      <c r="K1145" t="s">
        <v>1114</v>
      </c>
      <c r="M1145" t="str">
        <f>LEFT($D1145,FIND(",",$D1145)-1)&amp;"_"&amp;I1145&amp;L1145</f>
        <v>Balasbaneh_2018</v>
      </c>
      <c r="N1145" t="s">
        <v>222</v>
      </c>
      <c r="O1145" s="140" t="s">
        <v>508</v>
      </c>
      <c r="Q1145" t="s">
        <v>224</v>
      </c>
      <c r="R1145" s="258" t="s">
        <v>223</v>
      </c>
      <c r="S1145" s="1" t="s">
        <v>1137</v>
      </c>
      <c r="T1145" s="260" t="s">
        <v>2794</v>
      </c>
      <c r="U1145" s="260" t="s">
        <v>2795</v>
      </c>
      <c r="V1145" s="253">
        <v>0</v>
      </c>
      <c r="W1145" s="253">
        <v>0</v>
      </c>
      <c r="X1145">
        <v>0</v>
      </c>
      <c r="Y1145">
        <v>0</v>
      </c>
      <c r="Z1145">
        <v>0</v>
      </c>
      <c r="AA1145">
        <v>0</v>
      </c>
      <c r="AB1145">
        <v>0</v>
      </c>
      <c r="AC1145">
        <v>0</v>
      </c>
      <c r="AD1145">
        <v>0</v>
      </c>
      <c r="AE1145">
        <v>0</v>
      </c>
      <c r="AF1145">
        <v>0</v>
      </c>
      <c r="AG1145">
        <v>0</v>
      </c>
      <c r="AH1145">
        <v>0</v>
      </c>
      <c r="AI1145">
        <v>0</v>
      </c>
      <c r="AJ1145">
        <v>0</v>
      </c>
      <c r="AK1145">
        <v>0</v>
      </c>
      <c r="AL1145">
        <v>0</v>
      </c>
      <c r="AM1145">
        <v>1</v>
      </c>
      <c r="AN1145">
        <v>0</v>
      </c>
      <c r="AO1145">
        <v>0</v>
      </c>
      <c r="AP1145">
        <v>0</v>
      </c>
      <c r="AQ1145">
        <v>0</v>
      </c>
      <c r="AR1145">
        <v>0</v>
      </c>
      <c r="AS1145">
        <v>0</v>
      </c>
      <c r="AT1145">
        <v>0</v>
      </c>
      <c r="AU1145">
        <v>0</v>
      </c>
      <c r="AV1145">
        <v>0</v>
      </c>
      <c r="AW1145">
        <v>0</v>
      </c>
      <c r="AX1145">
        <v>0</v>
      </c>
      <c r="AY1145">
        <v>0</v>
      </c>
      <c r="AZ1145" s="141">
        <f>COUNTIF(X1145:AY1145,"&lt;&gt;0")</f>
        <v>1</v>
      </c>
      <c r="BA1145" s="141">
        <f>COUNTIF(X1145:AN1145,"&lt;&gt;0")</f>
        <v>1</v>
      </c>
      <c r="BB1145">
        <f>COUNTIF(X1145:AE1145,"&lt;&gt;0")</f>
        <v>0</v>
      </c>
      <c r="BC1145">
        <f>COUNTIF(AF1145:AK1145,"&lt;&gt;0")</f>
        <v>0</v>
      </c>
      <c r="BD1145">
        <f>COUNTIF(AL1145:AN1145,"&lt;&gt;0")</f>
        <v>1</v>
      </c>
      <c r="BE1145">
        <f>COUNTIF(AU1145:AY1145,"&lt;&gt;0")</f>
        <v>0</v>
      </c>
      <c r="BF1145">
        <f>COUNTIF(AO1145:AT1145,"&lt;&gt;0")</f>
        <v>0</v>
      </c>
      <c r="BG1145" t="str">
        <f t="array" ref="BG1145">IF(BA1145=1,INDEX($X$7:$AN$7,MATCH(TRUE,INDEX($X1145:$AY1145&lt;&gt;0,),0)),IF(BA1145=0,INDEX($AO$7:$AY$7,MATCH(1,$AO1145:$AY1145,0)),IF(BH1145="Multiple strategies","mixed drivers",IF(BH1145="Supply chain","multiple supply","multiple silviculture"))))</f>
        <v>technologies/design switch</v>
      </c>
      <c r="BH1145" s="2" t="str" cm="1">
        <f t="array" ref="BH1145">IF(COUNTIF(BB1145:BD1145,"&lt;&gt;0")=1,INDEX($X$4:$AY$4,MATCH(TRUE,INDEX($X1145:$AY1145&lt;&gt;0,),0)),IF(COUNTIF(BB1145:BD1145,"&lt;&gt;0")=0,INDEX($AO$4:$AY$4,MATCH(1,$AO1145:$AY1145,0)),"Multiple strategies"))</f>
        <v>Technology</v>
      </c>
      <c r="BI1145" s="1" t="s">
        <v>229</v>
      </c>
      <c r="BJ1145" t="s">
        <v>229</v>
      </c>
      <c r="BL1145" t="s">
        <v>345</v>
      </c>
      <c r="BM1145">
        <v>0</v>
      </c>
      <c r="BN1145">
        <v>23436</v>
      </c>
      <c r="BO1145" s="143"/>
      <c r="BP1145">
        <f>BN1145-BM1145</f>
        <v>23436</v>
      </c>
      <c r="BQ1145" s="143">
        <f>BP1145*kg_to_m3</f>
        <v>47.828571428571436</v>
      </c>
      <c r="BR1145" t="s">
        <v>232</v>
      </c>
      <c r="BS1145" s="153" t="s">
        <v>987</v>
      </c>
      <c r="BT1145" t="s">
        <v>397</v>
      </c>
      <c r="BU1145">
        <v>-23200</v>
      </c>
      <c r="BV1145">
        <v>-711</v>
      </c>
      <c r="BW1145" s="144">
        <v>3.0646551724137931E-2</v>
      </c>
      <c r="BX1145">
        <v>22489</v>
      </c>
      <c r="BZ1145">
        <f>BX1145/1000</f>
        <v>22.489000000000001</v>
      </c>
      <c r="CA1145">
        <f>IFERROR(BZ1145/BQ1145,"")</f>
        <v>0.47020011947431295</v>
      </c>
      <c r="CB1145">
        <v>0</v>
      </c>
      <c r="CC1145">
        <v>0</v>
      </c>
      <c r="CD1145">
        <v>0</v>
      </c>
      <c r="CE1145">
        <v>0</v>
      </c>
      <c r="CF1145">
        <v>0</v>
      </c>
      <c r="CG1145">
        <v>0</v>
      </c>
      <c r="CH1145">
        <v>0</v>
      </c>
      <c r="CI1145">
        <v>0</v>
      </c>
      <c r="CJ1145">
        <v>0</v>
      </c>
      <c r="CK1145">
        <v>0</v>
      </c>
      <c r="CL1145">
        <v>0</v>
      </c>
      <c r="CM1145">
        <v>0</v>
      </c>
      <c r="CN1145">
        <v>0</v>
      </c>
      <c r="CO1145">
        <v>0</v>
      </c>
      <c r="CP1145" t="str">
        <f>IF($BN1145&lt;$BM1145,"refNeedCorrection","refOK")</f>
        <v>refOK</v>
      </c>
      <c r="CQ1145">
        <f>IF($CP1145="refNeedCorrection",BN1145,BM1145)</f>
        <v>0</v>
      </c>
      <c r="CR1145">
        <f>IF($CP1145="refNeedCorrection",BM1145,BN1145)</f>
        <v>23436</v>
      </c>
      <c r="CS1145">
        <f>IF($CP1145="refOK",$BQ1145,-$BQ1145)</f>
        <v>47.828571428571436</v>
      </c>
      <c r="CT1145">
        <f>IF(BI1145="Roundwood",$CS1145/2,$CS1145)</f>
        <v>47.828571428571436</v>
      </c>
      <c r="CU1145">
        <f>IF($CP1145="refOK",$BU1145,$BV1145)*IF($BR1145="Emissions positive",-1,1)</f>
        <v>-23200</v>
      </c>
      <c r="CV1145">
        <f>IF($CP1145="refOK",$BV1145,$BU1145)*IF($BR1145="Emissions positive",-1,1)</f>
        <v>-711</v>
      </c>
      <c r="CW1145">
        <f>IF($CP1145="refNeedCorrection",-BZ1145,BZ1145)*IF($BR1145="Emissions positive",-1,1)</f>
        <v>22.489000000000001</v>
      </c>
      <c r="CX1145">
        <f>IFERROR($CW1145/$CS1145,"")</f>
        <v>0.47020011947431295</v>
      </c>
      <c r="CY1145">
        <f>IFERROR($CW1145/$CS1145,"")</f>
        <v>0.47020011947431295</v>
      </c>
      <c r="CZ1145">
        <f>IFERROR($CW1145/$CT1145,"")</f>
        <v>0.47020011947431295</v>
      </c>
      <c r="DA1145" s="2">
        <f>IFERROR((CV1145-CU1145)/ABS(CU1145),"")</f>
        <v>0.96935344827586212</v>
      </c>
      <c r="DB1145" s="1" t="s">
        <v>1078</v>
      </c>
      <c r="DC1145" t="str">
        <f>IF(OR($DB1145="prd",$DB1145="std",$DB1145="cit"),"loc",IF(OR($DB1145="eur",$DB1145="reg",$DB1145="coy"),"reg",$DB1145))</f>
        <v>reg</v>
      </c>
      <c r="DD1145" t="s">
        <v>348</v>
      </c>
      <c r="DE1145">
        <v>2014</v>
      </c>
      <c r="DF1145">
        <v>2034</v>
      </c>
      <c r="DG1145">
        <v>20</v>
      </c>
      <c r="DH1145" t="str">
        <f>IF(DG1145=0,"0",IF(AND(DG1145&gt;=1,DG1145&lt;=30),"1-30",IF(AND(DG1145&gt;30,DG1145&lt;=70),"31-70",IF(AND(DG1145&gt;70,DG1145&lt;=100),"71-100",IF(DG1145&gt;100,"+100")))))</f>
        <v>1-30</v>
      </c>
      <c r="DI1145">
        <v>0</v>
      </c>
      <c r="DJ1145">
        <v>0</v>
      </c>
      <c r="DK1145">
        <v>0</v>
      </c>
      <c r="DL1145">
        <v>1</v>
      </c>
      <c r="DN1145">
        <f>SUM(DI1145:DL1145)</f>
        <v>1</v>
      </c>
      <c r="DO1145" t="str">
        <f>IF(DN1145=1,INDEX($DI$7:$DL$7,MATCH(1,$DI1145:$DL1145,0)),"mixedProduct")</f>
        <v>TimberInput</v>
      </c>
      <c r="DP1145">
        <f>IF(DI1145=1,DP$7,0)</f>
        <v>0</v>
      </c>
      <c r="DQ1145">
        <f>IF(DJ1145=1,DQ$7,0)</f>
        <v>0</v>
      </c>
      <c r="DR1145">
        <f>IF(DK1145=1,DR$7,0)</f>
        <v>0</v>
      </c>
      <c r="DS1145" t="str">
        <f>IF(DL1145=1,DS$7,0)</f>
        <v>Timber</v>
      </c>
      <c r="DT1145">
        <v>0</v>
      </c>
      <c r="DU1145">
        <v>0</v>
      </c>
      <c r="DV1145">
        <v>0</v>
      </c>
      <c r="DW1145">
        <v>0</v>
      </c>
      <c r="DX1145">
        <v>0</v>
      </c>
      <c r="DY1145">
        <f>SUM(DT1145:DU1145)</f>
        <v>0</v>
      </c>
      <c r="DZ1145" s="143" t="str">
        <f>IF(DT1145=1,"self-calculated DF",IF(DU1145=1,"external DF used","explicit C balance"))</f>
        <v>explicit C balance</v>
      </c>
      <c r="EA1145">
        <v>0</v>
      </c>
      <c r="EB1145">
        <v>0</v>
      </c>
      <c r="EC1145">
        <v>0</v>
      </c>
      <c r="ED1145">
        <v>0</v>
      </c>
      <c r="EE1145">
        <v>0</v>
      </c>
      <c r="EF1145" s="143">
        <v>1</v>
      </c>
      <c r="EG1145">
        <v>0</v>
      </c>
      <c r="EH1145">
        <v>1</v>
      </c>
      <c r="EI1145">
        <v>1</v>
      </c>
      <c r="EJ1145">
        <v>1</v>
      </c>
      <c r="EK1145">
        <v>0</v>
      </c>
      <c r="EL1145">
        <v>0</v>
      </c>
      <c r="EM1145">
        <v>0</v>
      </c>
      <c r="EN1145" s="2">
        <v>0</v>
      </c>
      <c r="EP1145" t="str">
        <f>IF(AND(AND(AND(OR($EC1145=1,$EB1145=1),OR($EH1145=1,$EF1145=1)),SUM($EA1145:$EE1145,$EK1145)&gt;=3),SUM($EF1145:$EJ1145)&gt;=2),"Whole sector approach","")</f>
        <v/>
      </c>
      <c r="EQ1145" t="str">
        <f>IF(AND(AND(OR($EC1145=1,$EB1145=1),AND($EH1145=0,$EF1145=0)),SUM($EA1145:$EE1145,$EK1145)&gt;=4),"Ecosystem approach","")</f>
        <v/>
      </c>
      <c r="ER1145" s="2" t="str">
        <f>IF(AND(AND(AND($EC1145=0,$EB1145=0),OR($EH1145=1,$EF1145=1)),SUM($EG1145:$EJ1145)&gt;=2),"Technology approach","")</f>
        <v>Technology approach</v>
      </c>
      <c r="ES1145" t="str">
        <f>IF(AND($EC1145+$EB1145+$EE1145+$EA1145+$ED1145+$EG1145=0,$N1145="included"),"C neutral forest and HWP assumption","")</f>
        <v>C neutral forest and HWP assumption</v>
      </c>
      <c r="ET1145" t="str">
        <f>IF(AND(AND(AND(AND($EC1145=1,$EB1145+$EA1145+$EG1145&gt;=1),$EF1145=1),$EH1145+$EI1145+$ED1145+$EE1145&gt;=2),$N1145="included"),"All C pools assumption","")</f>
        <v/>
      </c>
      <c r="EU1145" t="str">
        <f>IF(AND($ED1145+$EE1145+$EI1145+$EH1145+$EF1145=0,$N1145="included"),"In-situ only assumption","")</f>
        <v/>
      </c>
      <c r="EY1145" t="str">
        <f>IF(ISNUMBER(BW1145),IF(ABS(BW1145-[2]QC_indicators!$B$2)&gt;3*[2]QC_indicators!$C$2,"C ratio",IF(ISNUMBER(CA1145),IF(ABS(CA1145-[2]QC_indicators!$B$1)&gt;3*[2]QC_indicators!$C$1,"DF","no"))),IF(ISNUMBER(CA1145),IF(ABS(CA1145-[2]QC_indicators!$B$1)&gt;3*[2]QC_indicators!$C$1,"DF","no")))</f>
        <v>no</v>
      </c>
      <c r="FA1145" t="str">
        <f>IF(LEN($CY1145)=0,"",IF(AND($CY1145&lt;(-0.05),$ES1145="C neutral forest and HWP assumption"),"Cneutral paradox",IF(AND($CY1145&gt;0.05,$EU1145="In-situ only assumption"),"In-situ only paradox","")))</f>
        <v/>
      </c>
      <c r="FB1145" s="149" t="s">
        <v>349</v>
      </c>
      <c r="FD1145" s="260" t="s">
        <v>2948</v>
      </c>
    </row>
    <row r="1146" spans="1:160" ht="15" hidden="1" customHeight="1">
      <c r="A1146" s="1" t="s">
        <v>1161</v>
      </c>
      <c r="B1146" t="s">
        <v>1626</v>
      </c>
      <c r="C1146" t="s">
        <v>1627</v>
      </c>
      <c r="D1146" t="s">
        <v>1628</v>
      </c>
      <c r="E1146" t="s">
        <v>1629</v>
      </c>
      <c r="F1146" t="s">
        <v>1630</v>
      </c>
      <c r="G1146" t="s">
        <v>1167</v>
      </c>
      <c r="H1146" t="s">
        <v>254</v>
      </c>
      <c r="I1146">
        <v>2018</v>
      </c>
      <c r="J1146">
        <v>10</v>
      </c>
      <c r="K1146" t="s">
        <v>1631</v>
      </c>
      <c r="M1146" t="str">
        <f>LEFT($D1146,FIND(",",$D1146)-1)&amp;"_"&amp;I1146&amp;L1146</f>
        <v>Kalt_2018</v>
      </c>
      <c r="N1146" t="s">
        <v>222</v>
      </c>
      <c r="O1146" s="145" t="s">
        <v>508</v>
      </c>
      <c r="Q1146" t="s">
        <v>256</v>
      </c>
      <c r="R1146" s="276" t="s">
        <v>225</v>
      </c>
      <c r="S1146" s="1" t="s">
        <v>1632</v>
      </c>
      <c r="T1146" t="s">
        <v>1633</v>
      </c>
      <c r="U1146" t="s">
        <v>1636</v>
      </c>
      <c r="V1146" s="253">
        <v>0</v>
      </c>
      <c r="W1146" s="253">
        <v>0</v>
      </c>
      <c r="X1146">
        <v>0</v>
      </c>
      <c r="Y1146">
        <v>0</v>
      </c>
      <c r="Z1146">
        <v>0</v>
      </c>
      <c r="AA1146">
        <v>0</v>
      </c>
      <c r="AB1146">
        <v>0</v>
      </c>
      <c r="AC1146">
        <v>0</v>
      </c>
      <c r="AD1146">
        <v>0</v>
      </c>
      <c r="AE1146">
        <v>0</v>
      </c>
      <c r="AF1146">
        <v>0</v>
      </c>
      <c r="AG1146">
        <v>0</v>
      </c>
      <c r="AH1146">
        <v>0</v>
      </c>
      <c r="AI1146">
        <v>0</v>
      </c>
      <c r="AJ1146">
        <v>0</v>
      </c>
      <c r="AK1146">
        <v>0</v>
      </c>
      <c r="AL1146">
        <v>0</v>
      </c>
      <c r="AM1146">
        <v>1</v>
      </c>
      <c r="AN1146">
        <v>0</v>
      </c>
      <c r="AO1146">
        <v>0</v>
      </c>
      <c r="AP1146">
        <v>0</v>
      </c>
      <c r="AQ1146">
        <v>0</v>
      </c>
      <c r="AR1146">
        <v>0</v>
      </c>
      <c r="AS1146">
        <v>0</v>
      </c>
      <c r="AT1146">
        <v>0</v>
      </c>
      <c r="AU1146">
        <v>0</v>
      </c>
      <c r="AV1146">
        <v>0</v>
      </c>
      <c r="AW1146">
        <v>0</v>
      </c>
      <c r="AX1146">
        <v>0</v>
      </c>
      <c r="AY1146">
        <v>0</v>
      </c>
      <c r="AZ1146" s="141">
        <f>COUNTIF(X1146:AY1146,"&lt;&gt;0")</f>
        <v>1</v>
      </c>
      <c r="BA1146" s="141">
        <f>COUNTIF(X1146:AN1146,"&lt;&gt;0")</f>
        <v>1</v>
      </c>
      <c r="BB1146">
        <f>COUNTIF(X1146:AE1146,"&lt;&gt;0")</f>
        <v>0</v>
      </c>
      <c r="BC1146">
        <f>COUNTIF(AF1146:AK1146,"&lt;&gt;0")</f>
        <v>0</v>
      </c>
      <c r="BD1146">
        <f>COUNTIF(AL1146:AN1146,"&lt;&gt;0")</f>
        <v>1</v>
      </c>
      <c r="BE1146">
        <f>COUNTIF(AU1146:AY1146,"&lt;&gt;0")</f>
        <v>0</v>
      </c>
      <c r="BF1146">
        <f>COUNTIF(AO1146:AT1146,"&lt;&gt;0")</f>
        <v>0</v>
      </c>
      <c r="BG1146" t="str">
        <f t="array" ref="BG1146">IF(BA1146=1,INDEX($X$7:$AN$7,MATCH(TRUE,INDEX($X1146:$AY1146&lt;&gt;0,),0)),IF(BA1146=0,INDEX($AO$7:$AY$7,MATCH(1,$AO1146:$AY1146,0)),IF(BH1146="Multiple strategies","mixed drivers",IF(BH1146="Supply chain","multiple supply","multiple silviculture"))))</f>
        <v>technologies/design switch</v>
      </c>
      <c r="BH1146" s="2" t="str" cm="1">
        <f t="array" ref="BH1146">IF(COUNTIF(BB1146:BD1146,"&lt;&gt;0")=1,INDEX($X$4:$AY$4,MATCH(TRUE,INDEX($X1146:$AY1146&lt;&gt;0,),0)),IF(COUNTIF(BB1146:BD1146,"&lt;&gt;0")=0,INDEX($AO$4:$AY$4,MATCH(1,$AO1146:$AY1146,0)),"Multiple strategies"))</f>
        <v>Technology</v>
      </c>
      <c r="BI1146" s="1" t="s">
        <v>229</v>
      </c>
      <c r="BJ1146" t="s">
        <v>229</v>
      </c>
      <c r="BK1146" s="151" t="s">
        <v>2762</v>
      </c>
      <c r="BL1146" t="s">
        <v>1545</v>
      </c>
      <c r="BM1146">
        <f>BN1146-1811</f>
        <v>528334</v>
      </c>
      <c r="BN1146">
        <v>530145</v>
      </c>
      <c r="BO1146">
        <f>BN1146/BM1146</f>
        <v>1.0034277559271219</v>
      </c>
      <c r="BP1146">
        <f>BN1146-BM1146</f>
        <v>1811</v>
      </c>
      <c r="BQ1146">
        <f>BP1146*1000</f>
        <v>1811000</v>
      </c>
      <c r="BR1146" t="s">
        <v>232</v>
      </c>
      <c r="BS1146" t="s">
        <v>2763</v>
      </c>
      <c r="BT1146" t="s">
        <v>1175</v>
      </c>
      <c r="BU1146">
        <v>0</v>
      </c>
      <c r="BV1146">
        <v>10.55</v>
      </c>
      <c r="BW1146" s="144" t="str">
        <f>IFERROR(BV1146/BU1146,"")</f>
        <v/>
      </c>
      <c r="BX1146">
        <f>BV1146-BU1146</f>
        <v>10.55</v>
      </c>
      <c r="BZ1146">
        <f>BX1146*10^6</f>
        <v>10550000</v>
      </c>
      <c r="CA1146">
        <f>IFERROR(BZ1146/BQ1146,"")</f>
        <v>5.8255107675317506</v>
      </c>
      <c r="CB1146">
        <v>0</v>
      </c>
      <c r="CC1146">
        <v>0</v>
      </c>
      <c r="CD1146">
        <v>0</v>
      </c>
      <c r="CE1146">
        <v>0</v>
      </c>
      <c r="CF1146">
        <v>0</v>
      </c>
      <c r="CG1146">
        <v>0</v>
      </c>
      <c r="CH1146">
        <v>0</v>
      </c>
      <c r="CI1146">
        <v>0</v>
      </c>
      <c r="CJ1146">
        <v>0</v>
      </c>
      <c r="CK1146">
        <v>0</v>
      </c>
      <c r="CL1146">
        <v>0</v>
      </c>
      <c r="CM1146">
        <v>0</v>
      </c>
      <c r="CN1146">
        <v>0</v>
      </c>
      <c r="CO1146">
        <v>0</v>
      </c>
      <c r="CP1146" t="str">
        <f>IF(BN1146&lt;BM1146,"refNeedCorrection","refOK")</f>
        <v>refOK</v>
      </c>
      <c r="CQ1146">
        <f>IF($CP1146="refOK",$BM1146,$BN1146)</f>
        <v>528334</v>
      </c>
      <c r="CR1146">
        <f>IF($CP1146="refOK",$BN1146,$BM1146)</f>
        <v>530145</v>
      </c>
      <c r="CS1146">
        <f>IF($CP1146="refOK",$BQ1146,-$BQ1146)</f>
        <v>1811000</v>
      </c>
      <c r="CT1146">
        <f>IF(BI1146="Roundwood",$CS1146/2,$CS1146)</f>
        <v>1811000</v>
      </c>
      <c r="CU1146">
        <f>IF($CP1146="refOK",$BU1146,$BV1146)*IF($BR1146="Emissions positive",-1,1)</f>
        <v>0</v>
      </c>
      <c r="CV1146">
        <f>IF($CP1146="refOK",$BV1146,$BU1146)*IF($BR1146="Emissions positive",-1,1)</f>
        <v>10.55</v>
      </c>
      <c r="CW1146">
        <f>IF($CP1146="refNeedCorrection",-BZ1146,BZ1146)*IF($BR1146="Emissions positive",-1,1)</f>
        <v>10550000</v>
      </c>
      <c r="CX1146">
        <f>IFERROR($CW1146/$CS1146,"")</f>
        <v>5.8255107675317506</v>
      </c>
      <c r="CY1146">
        <f>IFERROR($CW1146/$CS1146,"")</f>
        <v>5.8255107675317506</v>
      </c>
      <c r="CZ1146">
        <f>IFERROR($CW1146/$CT1146,"")</f>
        <v>5.8255107675317506</v>
      </c>
      <c r="DA1146" s="2" t="str">
        <f>IFERROR((CV1146-CU1146)/ABS(CU1146),"")</f>
        <v/>
      </c>
      <c r="DB1146" s="1" t="s">
        <v>1078</v>
      </c>
      <c r="DC1146" t="str">
        <f>IF(OR($DB1146="prd",$DB1146="std",$DB1146="cit"),"loc",IF(OR($DB1146="eur",$DB1146="reg",$DB1146="coy"),"reg",$DB1146))</f>
        <v>reg</v>
      </c>
      <c r="DD1146" t="s">
        <v>653</v>
      </c>
      <c r="DE1146">
        <v>2015</v>
      </c>
      <c r="DF1146">
        <v>2050</v>
      </c>
      <c r="DG1146">
        <v>35</v>
      </c>
      <c r="DH1146" t="str">
        <f>IF(DG1146=0,"0",IF(AND(DG1146&gt;=1,DG1146&lt;=30),"1-30",IF(AND(DG1146&gt;30,DG1146&lt;=70),"31-70",IF(AND(DG1146&gt;70,DG1146&lt;=100),"71-100",IF(DG1146&gt;100,"+100")))))</f>
        <v>31-70</v>
      </c>
      <c r="DI1146">
        <v>0</v>
      </c>
      <c r="DJ1146">
        <v>0</v>
      </c>
      <c r="DK1146">
        <v>0</v>
      </c>
      <c r="DL1146">
        <v>1</v>
      </c>
      <c r="DM1146">
        <v>0</v>
      </c>
      <c r="DN1146">
        <f>SUM(DI1146:DL1146)</f>
        <v>1</v>
      </c>
      <c r="DO1146" t="str">
        <f>IF(DN1146=1,INDEX($DI$7:$DL$7,MATCH(1,$DI1146:$DL1146,0)),"mixedProduct")</f>
        <v>TimberInput</v>
      </c>
      <c r="DP1146">
        <f>IF(DI1146=1,DP$7,0)</f>
        <v>0</v>
      </c>
      <c r="DQ1146">
        <f>IF(DJ1146=1,DQ$7,0)</f>
        <v>0</v>
      </c>
      <c r="DR1146">
        <f>IF(DK1146=1,DR$7,0)</f>
        <v>0</v>
      </c>
      <c r="DS1146" t="str">
        <f>IF(DL1146=1,DS$7,0)</f>
        <v>Timber</v>
      </c>
      <c r="DT1146">
        <v>0</v>
      </c>
      <c r="DU1146">
        <v>1</v>
      </c>
      <c r="DV1146">
        <v>0</v>
      </c>
      <c r="DW1146" t="s">
        <v>1635</v>
      </c>
      <c r="DX1146">
        <v>0</v>
      </c>
      <c r="DY1146">
        <f>SUM(DT1146:DU1146)</f>
        <v>1</v>
      </c>
      <c r="DZ1146" s="143" t="str">
        <f>IF(DT1146=1,"self-calculated DF",IF(DU1146=1,"external DF used","explicit C balance"))</f>
        <v>external DF used</v>
      </c>
      <c r="EA1146">
        <v>0</v>
      </c>
      <c r="EB1146">
        <v>0</v>
      </c>
      <c r="EC1146">
        <v>0</v>
      </c>
      <c r="ED1146">
        <v>1</v>
      </c>
      <c r="EE1146">
        <v>0</v>
      </c>
      <c r="EF1146" s="143">
        <v>1</v>
      </c>
      <c r="EG1146">
        <v>0</v>
      </c>
      <c r="EH1146">
        <v>1</v>
      </c>
      <c r="EI1146">
        <v>0</v>
      </c>
      <c r="EJ1146">
        <v>0</v>
      </c>
      <c r="EK1146">
        <v>0</v>
      </c>
      <c r="EL1146">
        <v>0</v>
      </c>
      <c r="EM1146">
        <v>0</v>
      </c>
      <c r="EN1146" s="2">
        <v>0</v>
      </c>
      <c r="EP1146" t="str">
        <f>IF(AND(AND(AND(OR($EC1146=1,$EB1146=1),OR($EH1146=1,$EF1146=1)),SUM($EA1146:$EE1146,$EK1146)&gt;=3),SUM($EF1146:$EJ1146)&gt;=2),"Whole sector approach","")</f>
        <v/>
      </c>
      <c r="EQ1146" t="str">
        <f>IF(AND(AND(OR($EC1146=1,$EB1146=1),AND($EH1146=0,$EF1146=0)),SUM($EA1146:$EE1146,$EK1146)&gt;=4),"Ecosystem approach","")</f>
        <v/>
      </c>
      <c r="ER1146" s="2" t="str">
        <f>IF(AND(AND(AND($EC1146=0,$EB1146=0),OR($EH1146=1,$EF1146=1)),SUM($EG1146:$EJ1146)&gt;=2),"Technology approach","")</f>
        <v/>
      </c>
      <c r="ES1146" t="str">
        <f>IF(AND($EC1146+$EB1146+$EE1146+$EA1146+$ED1146+$EG1146=0,$N1146="included"),"C neutral forest and HWP assumption","")</f>
        <v/>
      </c>
      <c r="ET1146" t="str">
        <f>IF(AND(AND(AND(AND($EC1146=1,$EB1146+$EA1146+$EG1146&gt;=1),$EF1146=1),$EH1146+$EI1146+$ED1146+$EE1146&gt;=2),$N1146="included"),"All C pools assumption","")</f>
        <v/>
      </c>
      <c r="EU1146" t="str">
        <f>IF(AND($ED1146+$EE1146+$EI1146+$EH1146+$EF1146=0,$N1146="included"),"In-situ only assumption","")</f>
        <v/>
      </c>
      <c r="EY1146" t="str">
        <f>IF(ISNUMBER(BW1146),IF(ABS(BW1146-[6]QC_indicators!$B$2)&gt;3*[6]QC_indicators!$C$2,"C ratio",IF(ISNUMBER(CA1146),IF(ABS(CA1146-[6]QC_indicators!$B$1)&gt;3*[6]QC_indicators!$C$1,"DF","no"))),IF(ISNUMBER(CA1146),IF(ABS(CA1146-[6]QC_indicators!$B$1)&gt;3*[6]QC_indicators!$C$1,"DF","no")))</f>
        <v>DF</v>
      </c>
      <c r="FA1146" t="str">
        <f>IF(LEN($CY1146)=0,"",IF(AND($CY1146&lt;(-0.05),$ES1146="C neutral forest and HWP assumption"),"Cneutral paradox",IF(AND($CY1146&gt;0.05,$EU1146="In-situ only assumption"),"In-situ only paradox","")))</f>
        <v/>
      </c>
      <c r="FD1146" s="260" t="s">
        <v>2948</v>
      </c>
    </row>
    <row r="1147" spans="1:160" ht="15" hidden="1" customHeight="1">
      <c r="A1147" s="1" t="s">
        <v>1161</v>
      </c>
      <c r="B1147" t="s">
        <v>1626</v>
      </c>
      <c r="C1147" t="s">
        <v>1627</v>
      </c>
      <c r="D1147" t="s">
        <v>1628</v>
      </c>
      <c r="E1147" t="s">
        <v>1629</v>
      </c>
      <c r="F1147" t="s">
        <v>1630</v>
      </c>
      <c r="G1147" t="s">
        <v>1167</v>
      </c>
      <c r="H1147" t="s">
        <v>254</v>
      </c>
      <c r="I1147">
        <v>2018</v>
      </c>
      <c r="J1147">
        <v>10</v>
      </c>
      <c r="K1147" t="s">
        <v>1631</v>
      </c>
      <c r="M1147" t="str">
        <f>LEFT($D1147,FIND(",",$D1147)-1)&amp;"_"&amp;I1147&amp;L1147</f>
        <v>Kalt_2018</v>
      </c>
      <c r="N1147" t="s">
        <v>222</v>
      </c>
      <c r="O1147" s="145" t="s">
        <v>508</v>
      </c>
      <c r="Q1147" t="s">
        <v>256</v>
      </c>
      <c r="R1147" s="276" t="s">
        <v>225</v>
      </c>
      <c r="S1147" s="1" t="s">
        <v>1632</v>
      </c>
      <c r="T1147" t="s">
        <v>1633</v>
      </c>
      <c r="U1147" t="s">
        <v>1634</v>
      </c>
      <c r="V1147" s="253">
        <v>0</v>
      </c>
      <c r="W1147" s="253">
        <v>0</v>
      </c>
      <c r="X1147">
        <v>0</v>
      </c>
      <c r="Y1147">
        <v>0</v>
      </c>
      <c r="Z1147">
        <v>0</v>
      </c>
      <c r="AA1147">
        <v>0</v>
      </c>
      <c r="AB1147">
        <v>0</v>
      </c>
      <c r="AC1147">
        <v>0</v>
      </c>
      <c r="AD1147">
        <v>0</v>
      </c>
      <c r="AE1147">
        <v>0</v>
      </c>
      <c r="AF1147">
        <v>0</v>
      </c>
      <c r="AG1147">
        <v>0</v>
      </c>
      <c r="AH1147">
        <v>0</v>
      </c>
      <c r="AI1147">
        <v>0</v>
      </c>
      <c r="AJ1147">
        <v>0</v>
      </c>
      <c r="AK1147">
        <v>0</v>
      </c>
      <c r="AL1147">
        <v>0</v>
      </c>
      <c r="AM1147">
        <v>1</v>
      </c>
      <c r="AN1147">
        <v>0</v>
      </c>
      <c r="AO1147">
        <v>0</v>
      </c>
      <c r="AP1147">
        <v>0</v>
      </c>
      <c r="AQ1147">
        <v>0</v>
      </c>
      <c r="AR1147">
        <v>0</v>
      </c>
      <c r="AS1147">
        <v>0</v>
      </c>
      <c r="AT1147">
        <v>0</v>
      </c>
      <c r="AU1147">
        <v>0</v>
      </c>
      <c r="AV1147">
        <v>0</v>
      </c>
      <c r="AW1147">
        <v>0</v>
      </c>
      <c r="AX1147">
        <v>0</v>
      </c>
      <c r="AY1147">
        <v>0</v>
      </c>
      <c r="AZ1147" s="141">
        <f>COUNTIF(X1147:AY1147,"&lt;&gt;0")</f>
        <v>1</v>
      </c>
      <c r="BA1147" s="141">
        <f>COUNTIF(X1147:AN1147,"&lt;&gt;0")</f>
        <v>1</v>
      </c>
      <c r="BB1147">
        <f>COUNTIF(X1147:AE1147,"&lt;&gt;0")</f>
        <v>0</v>
      </c>
      <c r="BC1147">
        <f>COUNTIF(AF1147:AK1147,"&lt;&gt;0")</f>
        <v>0</v>
      </c>
      <c r="BD1147">
        <f>COUNTIF(AL1147:AN1147,"&lt;&gt;0")</f>
        <v>1</v>
      </c>
      <c r="BE1147">
        <f>COUNTIF(AU1147:AY1147,"&lt;&gt;0")</f>
        <v>0</v>
      </c>
      <c r="BF1147">
        <f>COUNTIF(AO1147:AT1147,"&lt;&gt;0")</f>
        <v>0</v>
      </c>
      <c r="BG1147" t="str">
        <f t="array" ref="BG1147">IF(BA1147=1,INDEX($X$7:$AN$7,MATCH(TRUE,INDEX($X1147:$AY1147&lt;&gt;0,),0)),IF(BA1147=0,INDEX($AO$7:$AY$7,MATCH(1,$AO1147:$AY1147,0)),IF(BH1147="Multiple strategies","mixed drivers",IF(BH1147="Supply chain","multiple supply","multiple silviculture"))))</f>
        <v>technologies/design switch</v>
      </c>
      <c r="BH1147" s="2" t="str" cm="1">
        <f t="array" ref="BH1147">IF(COUNTIF(BB1147:BD1147,"&lt;&gt;0")=1,INDEX($X$4:$AY$4,MATCH(TRUE,INDEX($X1147:$AY1147&lt;&gt;0,),0)),IF(COUNTIF(BB1147:BD1147,"&lt;&gt;0")=0,INDEX($AO$4:$AY$4,MATCH(1,$AO1147:$AY1147,0)),"Multiple strategies"))</f>
        <v>Technology</v>
      </c>
      <c r="BI1147" s="1" t="s">
        <v>229</v>
      </c>
      <c r="BJ1147" t="s">
        <v>229</v>
      </c>
      <c r="BK1147" s="151" t="s">
        <v>2762</v>
      </c>
      <c r="BL1147" t="s">
        <v>1545</v>
      </c>
      <c r="BM1147">
        <f>BN1147-4870</f>
        <v>525275</v>
      </c>
      <c r="BN1147">
        <v>530145</v>
      </c>
      <c r="BO1147">
        <f>BN1147/BM1147</f>
        <v>1.0092713340631099</v>
      </c>
      <c r="BP1147">
        <f>BN1147-BM1147</f>
        <v>4870</v>
      </c>
      <c r="BQ1147">
        <f>BP1147*1000</f>
        <v>4870000</v>
      </c>
      <c r="BR1147" t="s">
        <v>232</v>
      </c>
      <c r="BS1147" t="s">
        <v>2763</v>
      </c>
      <c r="BT1147" t="s">
        <v>1175</v>
      </c>
      <c r="BU1147">
        <v>0</v>
      </c>
      <c r="BV1147">
        <v>21.5</v>
      </c>
      <c r="BW1147" s="144" t="str">
        <f>IFERROR(BV1147/BU1147,"")</f>
        <v/>
      </c>
      <c r="BX1147">
        <f>BV1147-BU1147</f>
        <v>21.5</v>
      </c>
      <c r="BZ1147">
        <f>BX1147*10^6</f>
        <v>21500000</v>
      </c>
      <c r="CA1147">
        <f>IFERROR(BZ1147/BQ1147,"")</f>
        <v>4.4147843942505132</v>
      </c>
      <c r="CB1147">
        <v>0</v>
      </c>
      <c r="CC1147">
        <v>0</v>
      </c>
      <c r="CD1147">
        <v>0</v>
      </c>
      <c r="CE1147">
        <v>0</v>
      </c>
      <c r="CF1147">
        <v>0</v>
      </c>
      <c r="CG1147">
        <v>0</v>
      </c>
      <c r="CH1147">
        <v>0</v>
      </c>
      <c r="CI1147">
        <v>0</v>
      </c>
      <c r="CJ1147">
        <v>0</v>
      </c>
      <c r="CK1147">
        <v>0</v>
      </c>
      <c r="CL1147">
        <v>0</v>
      </c>
      <c r="CM1147">
        <v>0</v>
      </c>
      <c r="CN1147">
        <v>0</v>
      </c>
      <c r="CO1147">
        <v>0</v>
      </c>
      <c r="CP1147" t="str">
        <f>IF(BN1147&lt;BM1147,"refNeedCorrection","refOK")</f>
        <v>refOK</v>
      </c>
      <c r="CQ1147">
        <f>IF($CP1147="refOK",$BM1147,$BN1147)</f>
        <v>525275</v>
      </c>
      <c r="CR1147">
        <f>IF($CP1147="refOK",$BN1147,$BM1147)</f>
        <v>530145</v>
      </c>
      <c r="CS1147">
        <f>IF($CP1147="refOK",$BQ1147,-$BQ1147)</f>
        <v>4870000</v>
      </c>
      <c r="CT1147">
        <f>IF(BI1147="Roundwood",$CS1147/2,$CS1147)</f>
        <v>4870000</v>
      </c>
      <c r="CU1147">
        <f>IF($CP1147="refOK",$BU1147,$BV1147)*IF($BR1147="Emissions positive",-1,1)</f>
        <v>0</v>
      </c>
      <c r="CV1147">
        <f>IF($CP1147="refOK",$BV1147,$BU1147)*IF($BR1147="Emissions positive",-1,1)</f>
        <v>21.5</v>
      </c>
      <c r="CW1147">
        <f>IF($CP1147="refNeedCorrection",-BZ1147,BZ1147)*IF($BR1147="Emissions positive",-1,1)</f>
        <v>21500000</v>
      </c>
      <c r="CX1147">
        <f>IFERROR($CW1147/$CS1147,"")</f>
        <v>4.4147843942505132</v>
      </c>
      <c r="CY1147">
        <f>IFERROR($CW1147/$CS1147,"")</f>
        <v>4.4147843942505132</v>
      </c>
      <c r="CZ1147">
        <f>IFERROR($CW1147/$CT1147,"")</f>
        <v>4.4147843942505132</v>
      </c>
      <c r="DA1147" s="2" t="str">
        <f>IFERROR((CV1147-CU1147)/ABS(CU1147),"")</f>
        <v/>
      </c>
      <c r="DB1147" s="1" t="s">
        <v>1078</v>
      </c>
      <c r="DC1147" t="str">
        <f>IF(OR($DB1147="prd",$DB1147="std",$DB1147="cit"),"loc",IF(OR($DB1147="eur",$DB1147="reg",$DB1147="coy"),"reg",$DB1147))</f>
        <v>reg</v>
      </c>
      <c r="DD1147" t="s">
        <v>653</v>
      </c>
      <c r="DE1147">
        <v>2015</v>
      </c>
      <c r="DF1147">
        <v>2050</v>
      </c>
      <c r="DG1147">
        <v>35</v>
      </c>
      <c r="DH1147" t="str">
        <f>IF(DG1147=0,"0",IF(AND(DG1147&gt;=1,DG1147&lt;=30),"1-30",IF(AND(DG1147&gt;30,DG1147&lt;=70),"31-70",IF(AND(DG1147&gt;70,DG1147&lt;=100),"71-100",IF(DG1147&gt;100,"+100")))))</f>
        <v>31-70</v>
      </c>
      <c r="DI1147">
        <v>0</v>
      </c>
      <c r="DJ1147">
        <v>0</v>
      </c>
      <c r="DK1147">
        <v>0</v>
      </c>
      <c r="DL1147">
        <v>1</v>
      </c>
      <c r="DM1147">
        <v>0</v>
      </c>
      <c r="DN1147">
        <f>SUM(DI1147:DL1147)</f>
        <v>1</v>
      </c>
      <c r="DO1147" t="str">
        <f>IF(DN1147=1,INDEX($DI$7:$DL$7,MATCH(1,$DI1147:$DL1147,0)),"mixedProduct")</f>
        <v>TimberInput</v>
      </c>
      <c r="DP1147">
        <f>IF(DI1147=1,DP$7,0)</f>
        <v>0</v>
      </c>
      <c r="DQ1147">
        <f>IF(DJ1147=1,DQ$7,0)</f>
        <v>0</v>
      </c>
      <c r="DR1147">
        <f>IF(DK1147=1,DR$7,0)</f>
        <v>0</v>
      </c>
      <c r="DS1147" t="str">
        <f>IF(DL1147=1,DS$7,0)</f>
        <v>Timber</v>
      </c>
      <c r="DT1147">
        <v>0</v>
      </c>
      <c r="DU1147">
        <v>1</v>
      </c>
      <c r="DV1147">
        <v>0</v>
      </c>
      <c r="DW1147" t="s">
        <v>1635</v>
      </c>
      <c r="DX1147">
        <v>1</v>
      </c>
      <c r="DY1147">
        <f>SUM(DT1147:DU1147)</f>
        <v>1</v>
      </c>
      <c r="DZ1147" s="143" t="str">
        <f>IF(DT1147=1,"self-calculated DF",IF(DU1147=1,"external DF used","explicit C balance"))</f>
        <v>external DF used</v>
      </c>
      <c r="EA1147">
        <v>0</v>
      </c>
      <c r="EB1147">
        <v>0</v>
      </c>
      <c r="EC1147">
        <v>0</v>
      </c>
      <c r="ED1147">
        <v>1</v>
      </c>
      <c r="EE1147">
        <v>0</v>
      </c>
      <c r="EF1147" s="143">
        <v>1</v>
      </c>
      <c r="EG1147">
        <v>0</v>
      </c>
      <c r="EH1147">
        <v>1</v>
      </c>
      <c r="EI1147">
        <v>0</v>
      </c>
      <c r="EJ1147">
        <v>0</v>
      </c>
      <c r="EK1147">
        <v>0</v>
      </c>
      <c r="EL1147">
        <v>0</v>
      </c>
      <c r="EM1147">
        <v>0</v>
      </c>
      <c r="EN1147" s="2">
        <v>0</v>
      </c>
      <c r="EP1147" t="str">
        <f>IF(AND(AND(AND(OR($EC1147=1,$EB1147=1),OR($EH1147=1,$EF1147=1)),SUM($EA1147:$EE1147,$EK1147)&gt;=3),SUM($EF1147:$EJ1147)&gt;=2),"Whole sector approach","")</f>
        <v/>
      </c>
      <c r="EQ1147" t="str">
        <f>IF(AND(AND(OR($EC1147=1,$EB1147=1),AND($EH1147=0,$EF1147=0)),SUM($EA1147:$EE1147,$EK1147)&gt;=4),"Ecosystem approach","")</f>
        <v/>
      </c>
      <c r="ER1147" s="2" t="str">
        <f>IF(AND(AND(AND($EC1147=0,$EB1147=0),OR($EH1147=1,$EF1147=1)),SUM($EG1147:$EJ1147)&gt;=2),"Technology approach","")</f>
        <v/>
      </c>
      <c r="ES1147" t="str">
        <f>IF(AND($EC1147+$EB1147+$EE1147+$EA1147+$ED1147+$EG1147=0,$N1147="included"),"C neutral forest and HWP assumption","")</f>
        <v/>
      </c>
      <c r="ET1147" t="str">
        <f>IF(AND(AND(AND(AND($EC1147=1,$EB1147+$EA1147+$EG1147&gt;=1),$EF1147=1),$EH1147+$EI1147+$ED1147+$EE1147&gt;=2),$N1147="included"),"All C pools assumption","")</f>
        <v/>
      </c>
      <c r="EU1147" t="str">
        <f>IF(AND($ED1147+$EE1147+$EI1147+$EH1147+$EF1147=0,$N1147="included"),"In-situ only assumption","")</f>
        <v/>
      </c>
      <c r="EY1147" t="str">
        <f>IF(ISNUMBER(BW1147),IF(ABS(BW1147-[6]QC_indicators!$B$2)&gt;3*[6]QC_indicators!$C$2,"C ratio",IF(ISNUMBER(CA1147),IF(ABS(CA1147-[6]QC_indicators!$B$1)&gt;3*[6]QC_indicators!$C$1,"DF","no"))),IF(ISNUMBER(CA1147),IF(ABS(CA1147-[6]QC_indicators!$B$1)&gt;3*[6]QC_indicators!$C$1,"DF","no")))</f>
        <v>no</v>
      </c>
      <c r="FA1147" t="str">
        <f>IF(LEN($CY1147)=0,"",IF(AND($CY1147&lt;(-0.05),$ES1147="C neutral forest and HWP assumption"),"Cneutral paradox",IF(AND($CY1147&gt;0.05,$EU1147="In-situ only assumption"),"In-situ only paradox","")))</f>
        <v/>
      </c>
      <c r="FD1147" s="260" t="s">
        <v>2948</v>
      </c>
    </row>
    <row r="1148" spans="1:160" ht="15" hidden="1" customHeight="1">
      <c r="A1148" s="1" t="s">
        <v>1108</v>
      </c>
      <c r="B1148" t="s">
        <v>1109</v>
      </c>
      <c r="C1148" t="s">
        <v>1110</v>
      </c>
      <c r="D1148" t="s">
        <v>336</v>
      </c>
      <c r="E1148" t="s">
        <v>1111</v>
      </c>
      <c r="F1148" t="s">
        <v>1112</v>
      </c>
      <c r="G1148" t="s">
        <v>1113</v>
      </c>
      <c r="I1148">
        <v>2018</v>
      </c>
      <c r="K1148" t="s">
        <v>1114</v>
      </c>
      <c r="M1148" t="str">
        <f>LEFT($D1148,FIND(",",$D1148)-1)&amp;"_"&amp;I1148&amp;L1148</f>
        <v>Balasbaneh_2018</v>
      </c>
      <c r="N1148" t="s">
        <v>222</v>
      </c>
      <c r="O1148" s="140" t="s">
        <v>508</v>
      </c>
      <c r="Q1148" t="s">
        <v>224</v>
      </c>
      <c r="R1148" s="258" t="s">
        <v>223</v>
      </c>
      <c r="S1148" s="1" t="s">
        <v>1138</v>
      </c>
      <c r="T1148" s="260" t="s">
        <v>2794</v>
      </c>
      <c r="U1148" s="260" t="s">
        <v>2790</v>
      </c>
      <c r="V1148" s="253">
        <v>0</v>
      </c>
      <c r="W1148" s="253">
        <v>0</v>
      </c>
      <c r="X1148">
        <v>0</v>
      </c>
      <c r="Y1148">
        <v>0</v>
      </c>
      <c r="Z1148">
        <v>0</v>
      </c>
      <c r="AA1148">
        <v>0</v>
      </c>
      <c r="AB1148">
        <v>0</v>
      </c>
      <c r="AC1148">
        <v>0</v>
      </c>
      <c r="AD1148">
        <v>0</v>
      </c>
      <c r="AE1148">
        <v>0</v>
      </c>
      <c r="AF1148">
        <v>0</v>
      </c>
      <c r="AG1148">
        <v>0</v>
      </c>
      <c r="AH1148">
        <v>0</v>
      </c>
      <c r="AI1148">
        <v>0</v>
      </c>
      <c r="AJ1148">
        <v>0</v>
      </c>
      <c r="AK1148">
        <v>0</v>
      </c>
      <c r="AL1148">
        <v>0</v>
      </c>
      <c r="AM1148">
        <v>1</v>
      </c>
      <c r="AN1148">
        <v>0</v>
      </c>
      <c r="AO1148">
        <v>0</v>
      </c>
      <c r="AP1148">
        <v>0</v>
      </c>
      <c r="AQ1148">
        <v>0</v>
      </c>
      <c r="AR1148">
        <v>0</v>
      </c>
      <c r="AS1148">
        <v>0</v>
      </c>
      <c r="AT1148">
        <v>0</v>
      </c>
      <c r="AU1148">
        <v>0</v>
      </c>
      <c r="AV1148">
        <v>0</v>
      </c>
      <c r="AW1148">
        <v>0</v>
      </c>
      <c r="AX1148">
        <v>0</v>
      </c>
      <c r="AY1148">
        <v>0</v>
      </c>
      <c r="AZ1148" s="141">
        <f>COUNTIF(X1148:AY1148,"&lt;&gt;0")</f>
        <v>1</v>
      </c>
      <c r="BA1148" s="141">
        <f>COUNTIF(X1148:AN1148,"&lt;&gt;0")</f>
        <v>1</v>
      </c>
      <c r="BB1148">
        <f>COUNTIF(X1148:AE1148,"&lt;&gt;0")</f>
        <v>0</v>
      </c>
      <c r="BC1148">
        <f>COUNTIF(AF1148:AK1148,"&lt;&gt;0")</f>
        <v>0</v>
      </c>
      <c r="BD1148">
        <f>COUNTIF(AL1148:AN1148,"&lt;&gt;0")</f>
        <v>1</v>
      </c>
      <c r="BE1148">
        <f>COUNTIF(AU1148:AY1148,"&lt;&gt;0")</f>
        <v>0</v>
      </c>
      <c r="BF1148">
        <f>COUNTIF(AO1148:AT1148,"&lt;&gt;0")</f>
        <v>0</v>
      </c>
      <c r="BG1148" t="str">
        <f t="array" ref="BG1148">IF(BA1148=1,INDEX($X$7:$AN$7,MATCH(TRUE,INDEX($X1148:$AY1148&lt;&gt;0,),0)),IF(BA1148=0,INDEX($AO$7:$AY$7,MATCH(1,$AO1148:$AY1148,0)),IF(BH1148="Multiple strategies","mixed drivers",IF(BH1148="Supply chain","multiple supply","multiple silviculture"))))</f>
        <v>technologies/design switch</v>
      </c>
      <c r="BH1148" s="2" t="str" cm="1">
        <f t="array" ref="BH1148">IF(COUNTIF(BB1148:BD1148,"&lt;&gt;0")=1,INDEX($X$4:$AY$4,MATCH(TRUE,INDEX($X1148:$AY1148&lt;&gt;0,),0)),IF(COUNTIF(BB1148:BD1148,"&lt;&gt;0")=0,INDEX($AO$4:$AY$4,MATCH(1,$AO1148:$AY1148,0)),"Multiple strategies"))</f>
        <v>Technology</v>
      </c>
      <c r="BI1148" s="1" t="s">
        <v>229</v>
      </c>
      <c r="BJ1148" t="s">
        <v>229</v>
      </c>
      <c r="BL1148" t="s">
        <v>345</v>
      </c>
      <c r="BM1148">
        <v>0</v>
      </c>
      <c r="BN1148">
        <v>15468</v>
      </c>
      <c r="BO1148" s="143"/>
      <c r="BP1148">
        <f>BN1148-BM1148</f>
        <v>15468</v>
      </c>
      <c r="BQ1148" s="143">
        <f>BP1148*kg_to_m3</f>
        <v>31.567346938775515</v>
      </c>
      <c r="BR1148" t="s">
        <v>232</v>
      </c>
      <c r="BS1148" s="153" t="s">
        <v>987</v>
      </c>
      <c r="BT1148" t="s">
        <v>397</v>
      </c>
      <c r="BU1148">
        <v>-20300</v>
      </c>
      <c r="BV1148">
        <v>-5130</v>
      </c>
      <c r="BW1148" s="144">
        <v>0.25270935960591134</v>
      </c>
      <c r="BX1148">
        <v>15170</v>
      </c>
      <c r="BZ1148">
        <f>BX1148/1000</f>
        <v>15.17</v>
      </c>
      <c r="CA1148">
        <f>IFERROR(BZ1148/BQ1148,"")</f>
        <v>0.48055986552883367</v>
      </c>
      <c r="CB1148">
        <v>0</v>
      </c>
      <c r="CC1148">
        <v>0</v>
      </c>
      <c r="CD1148">
        <v>0</v>
      </c>
      <c r="CE1148">
        <v>0</v>
      </c>
      <c r="CF1148">
        <v>0</v>
      </c>
      <c r="CG1148">
        <v>0</v>
      </c>
      <c r="CH1148">
        <v>0</v>
      </c>
      <c r="CI1148">
        <v>0</v>
      </c>
      <c r="CJ1148">
        <v>0</v>
      </c>
      <c r="CK1148">
        <v>0</v>
      </c>
      <c r="CL1148">
        <v>0</v>
      </c>
      <c r="CM1148">
        <v>0</v>
      </c>
      <c r="CN1148">
        <v>0</v>
      </c>
      <c r="CO1148">
        <v>0</v>
      </c>
      <c r="CP1148" t="str">
        <f>IF($BN1148&lt;$BM1148,"refNeedCorrection","refOK")</f>
        <v>refOK</v>
      </c>
      <c r="CQ1148">
        <f>IF($CP1148="refNeedCorrection",BN1148,BM1148)</f>
        <v>0</v>
      </c>
      <c r="CR1148">
        <f>IF($CP1148="refNeedCorrection",BM1148,BN1148)</f>
        <v>15468</v>
      </c>
      <c r="CS1148">
        <f>IF($CP1148="refOK",$BQ1148,-$BQ1148)</f>
        <v>31.567346938775515</v>
      </c>
      <c r="CT1148">
        <f>IF(BI1148="Roundwood",$CS1148/2,$CS1148)</f>
        <v>31.567346938775515</v>
      </c>
      <c r="CU1148">
        <f>IF($CP1148="refOK",$BU1148,$BV1148)*IF($BR1148="Emissions positive",-1,1)</f>
        <v>-20300</v>
      </c>
      <c r="CV1148">
        <f>IF($CP1148="refOK",$BV1148,$BU1148)*IF($BR1148="Emissions positive",-1,1)</f>
        <v>-5130</v>
      </c>
      <c r="CW1148">
        <f>IF($CP1148="refNeedCorrection",-BZ1148,BZ1148)*IF($BR1148="Emissions positive",-1,1)</f>
        <v>15.17</v>
      </c>
      <c r="CX1148">
        <f>IFERROR($CW1148/$CS1148,"")</f>
        <v>0.48055986552883367</v>
      </c>
      <c r="CY1148">
        <f>IFERROR($CW1148/$CS1148,"")</f>
        <v>0.48055986552883367</v>
      </c>
      <c r="CZ1148">
        <f>IFERROR($CW1148/$CT1148,"")</f>
        <v>0.48055986552883367</v>
      </c>
      <c r="DA1148" s="2">
        <f>IFERROR((CV1148-CU1148)/ABS(CU1148),"")</f>
        <v>0.74729064039408866</v>
      </c>
      <c r="DB1148" s="1" t="s">
        <v>1078</v>
      </c>
      <c r="DC1148" t="str">
        <f>IF(OR($DB1148="prd",$DB1148="std",$DB1148="cit"),"loc",IF(OR($DB1148="eur",$DB1148="reg",$DB1148="coy"),"reg",$DB1148))</f>
        <v>reg</v>
      </c>
      <c r="DD1148" t="s">
        <v>348</v>
      </c>
      <c r="DE1148">
        <v>2014</v>
      </c>
      <c r="DF1148">
        <v>2514</v>
      </c>
      <c r="DG1148">
        <v>500</v>
      </c>
      <c r="DH1148" t="str">
        <f>IF(DG1148=0,"0",IF(AND(DG1148&gt;=1,DG1148&lt;=30),"1-30",IF(AND(DG1148&gt;30,DG1148&lt;=70),"31-70",IF(AND(DG1148&gt;70,DG1148&lt;=100),"71-100",IF(DG1148&gt;100,"+100")))))</f>
        <v>+100</v>
      </c>
      <c r="DI1148">
        <v>0</v>
      </c>
      <c r="DJ1148">
        <v>0</v>
      </c>
      <c r="DK1148">
        <v>0</v>
      </c>
      <c r="DL1148">
        <v>1</v>
      </c>
      <c r="DN1148">
        <f>SUM(DI1148:DL1148)</f>
        <v>1</v>
      </c>
      <c r="DO1148" t="str">
        <f>IF(DN1148=1,INDEX($DI$7:$DL$7,MATCH(1,$DI1148:$DL1148,0)),"mixedProduct")</f>
        <v>TimberInput</v>
      </c>
      <c r="DP1148">
        <f>IF(DI1148=1,DP$7,0)</f>
        <v>0</v>
      </c>
      <c r="DQ1148">
        <f>IF(DJ1148=1,DQ$7,0)</f>
        <v>0</v>
      </c>
      <c r="DR1148">
        <f>IF(DK1148=1,DR$7,0)</f>
        <v>0</v>
      </c>
      <c r="DS1148" t="str">
        <f>IF(DL1148=1,DS$7,0)</f>
        <v>Timber</v>
      </c>
      <c r="DT1148">
        <v>0</v>
      </c>
      <c r="DU1148">
        <v>0</v>
      </c>
      <c r="DV1148">
        <v>0</v>
      </c>
      <c r="DW1148">
        <v>0</v>
      </c>
      <c r="DX1148">
        <v>0</v>
      </c>
      <c r="DY1148">
        <f>SUM(DT1148:DU1148)</f>
        <v>0</v>
      </c>
      <c r="DZ1148" s="143" t="str">
        <f>IF(DT1148=1,"self-calculated DF",IF(DU1148=1,"external DF used","explicit C balance"))</f>
        <v>explicit C balance</v>
      </c>
      <c r="EA1148">
        <v>0</v>
      </c>
      <c r="EB1148">
        <v>0</v>
      </c>
      <c r="EC1148">
        <v>0</v>
      </c>
      <c r="ED1148">
        <v>0</v>
      </c>
      <c r="EE1148">
        <v>0</v>
      </c>
      <c r="EF1148" s="143">
        <v>1</v>
      </c>
      <c r="EG1148">
        <v>0</v>
      </c>
      <c r="EH1148">
        <v>1</v>
      </c>
      <c r="EI1148">
        <v>1</v>
      </c>
      <c r="EJ1148">
        <v>1</v>
      </c>
      <c r="EK1148">
        <v>0</v>
      </c>
      <c r="EL1148">
        <v>0</v>
      </c>
      <c r="EM1148">
        <v>0</v>
      </c>
      <c r="EN1148" s="2">
        <v>0</v>
      </c>
      <c r="EP1148" t="str">
        <f>IF(AND(AND(AND(OR($EC1148=1,$EB1148=1),OR($EH1148=1,$EF1148=1)),SUM($EA1148:$EE1148,$EK1148)&gt;=3),SUM($EF1148:$EJ1148)&gt;=2),"Whole sector approach","")</f>
        <v/>
      </c>
      <c r="EQ1148" t="str">
        <f>IF(AND(AND(OR($EC1148=1,$EB1148=1),AND($EH1148=0,$EF1148=0)),SUM($EA1148:$EE1148,$EK1148)&gt;=4),"Ecosystem approach","")</f>
        <v/>
      </c>
      <c r="ER1148" s="2" t="str">
        <f>IF(AND(AND(AND($EC1148=0,$EB1148=0),OR($EH1148=1,$EF1148=1)),SUM($EG1148:$EJ1148)&gt;=2),"Technology approach","")</f>
        <v>Technology approach</v>
      </c>
      <c r="ES1148" t="str">
        <f>IF(AND($EC1148+$EB1148+$EE1148+$EA1148+$ED1148+$EG1148=0,$N1148="included"),"C neutral forest and HWP assumption","")</f>
        <v>C neutral forest and HWP assumption</v>
      </c>
      <c r="ET1148" t="str">
        <f>IF(AND(AND(AND(AND($EC1148=1,$EB1148+$EA1148+$EG1148&gt;=1),$EF1148=1),$EH1148+$EI1148+$ED1148+$EE1148&gt;=2),$N1148="included"),"All C pools assumption","")</f>
        <v/>
      </c>
      <c r="EU1148" t="str">
        <f>IF(AND($ED1148+$EE1148+$EI1148+$EH1148+$EF1148=0,$N1148="included"),"In-situ only assumption","")</f>
        <v/>
      </c>
      <c r="EY1148" t="str">
        <f>IF(ISNUMBER(BW1148),IF(ABS(BW1148-[2]QC_indicators!$B$2)&gt;3*[2]QC_indicators!$C$2,"C ratio",IF(ISNUMBER(CA1148),IF(ABS(CA1148-[2]QC_indicators!$B$1)&gt;3*[2]QC_indicators!$C$1,"DF","no"))),IF(ISNUMBER(CA1148),IF(ABS(CA1148-[2]QC_indicators!$B$1)&gt;3*[2]QC_indicators!$C$1,"DF","no")))</f>
        <v>no</v>
      </c>
      <c r="FA1148" t="str">
        <f>IF(LEN($CY1148)=0,"",IF(AND($CY1148&lt;(-0.05),$ES1148="C neutral forest and HWP assumption"),"Cneutral paradox",IF(AND($CY1148&gt;0.05,$EU1148="In-situ only assumption"),"In-situ only paradox","")))</f>
        <v/>
      </c>
      <c r="FB1148" s="149" t="s">
        <v>349</v>
      </c>
      <c r="FD1148" s="260" t="s">
        <v>2948</v>
      </c>
    </row>
    <row r="1149" spans="1:160" ht="15" hidden="1" customHeight="1">
      <c r="D1149" t="s">
        <v>927</v>
      </c>
      <c r="E1149" t="s">
        <v>949</v>
      </c>
      <c r="G1149" t="s">
        <v>950</v>
      </c>
      <c r="I1149">
        <v>2004</v>
      </c>
      <c r="K1149" t="s">
        <v>951</v>
      </c>
      <c r="M1149" t="str">
        <f>LEFT($D1149,FIND(",",$D1149)-1)&amp;"_"&amp;I1149&amp;L1149</f>
        <v>Petersen_2004</v>
      </c>
      <c r="N1149" t="s">
        <v>222</v>
      </c>
      <c r="O1149" s="171" t="s">
        <v>508</v>
      </c>
      <c r="P1149" s="141" t="s">
        <v>225</v>
      </c>
      <c r="Q1149" t="s">
        <v>389</v>
      </c>
      <c r="R1149" s="258" t="s">
        <v>223</v>
      </c>
      <c r="S1149" s="1" t="s">
        <v>938</v>
      </c>
      <c r="T1149" t="s">
        <v>961</v>
      </c>
      <c r="U1149" t="s">
        <v>962</v>
      </c>
      <c r="V1149" s="253">
        <v>0</v>
      </c>
      <c r="W1149" s="253">
        <v>0</v>
      </c>
      <c r="X1149">
        <v>0</v>
      </c>
      <c r="Y1149">
        <v>0</v>
      </c>
      <c r="Z1149">
        <v>0</v>
      </c>
      <c r="AA1149">
        <v>0</v>
      </c>
      <c r="AB1149">
        <v>0</v>
      </c>
      <c r="AC1149">
        <v>0</v>
      </c>
      <c r="AD1149">
        <v>0</v>
      </c>
      <c r="AE1149">
        <v>0</v>
      </c>
      <c r="AF1149">
        <v>0</v>
      </c>
      <c r="AG1149">
        <v>0</v>
      </c>
      <c r="AH1149">
        <v>0</v>
      </c>
      <c r="AI1149">
        <v>0</v>
      </c>
      <c r="AJ1149">
        <v>0</v>
      </c>
      <c r="AK1149">
        <v>0</v>
      </c>
      <c r="AL1149">
        <v>0</v>
      </c>
      <c r="AM1149">
        <v>1</v>
      </c>
      <c r="AN1149">
        <v>0</v>
      </c>
      <c r="AO1149">
        <v>0</v>
      </c>
      <c r="AP1149">
        <v>0</v>
      </c>
      <c r="AQ1149">
        <v>0</v>
      </c>
      <c r="AR1149">
        <v>0</v>
      </c>
      <c r="AS1149">
        <v>0</v>
      </c>
      <c r="AT1149">
        <v>0</v>
      </c>
      <c r="AU1149">
        <v>0</v>
      </c>
      <c r="AV1149">
        <v>0</v>
      </c>
      <c r="AW1149">
        <v>0</v>
      </c>
      <c r="AX1149">
        <v>0</v>
      </c>
      <c r="AY1149">
        <v>0</v>
      </c>
      <c r="AZ1149" s="141">
        <f>COUNTIF(X1149:AY1149,"&lt;&gt;0")</f>
        <v>1</v>
      </c>
      <c r="BA1149" s="141">
        <f>COUNTIF(X1149:AN1149,"&lt;&gt;0")</f>
        <v>1</v>
      </c>
      <c r="BB1149">
        <f>COUNTIF(X1149:AE1149,"&lt;&gt;0")</f>
        <v>0</v>
      </c>
      <c r="BC1149">
        <f>COUNTIF(AF1149:AK1149,"&lt;&gt;0")</f>
        <v>0</v>
      </c>
      <c r="BD1149">
        <f>COUNTIF(AL1149:AN1149,"&lt;&gt;0")</f>
        <v>1</v>
      </c>
      <c r="BE1149">
        <f>COUNTIF(AU1149:AY1149,"&lt;&gt;0")</f>
        <v>0</v>
      </c>
      <c r="BF1149">
        <f>COUNTIF(AO1149:AT1149,"&lt;&gt;0")</f>
        <v>0</v>
      </c>
      <c r="BG1149" t="str">
        <f t="array" ref="BG1149">IF(BA1149=1,INDEX($X$7:$AN$7,MATCH(TRUE,INDEX($X1149:$AY1149&lt;&gt;0,),0)),IF(BA1149=0,INDEX($AO$7:$AY$7,MATCH(1,$AO1149:$AY1149,0)),IF(BH1149="Multiple strategies","mixed drivers",IF(BH1149="Supply chain","multiple supply","multiple silviculture"))))</f>
        <v>technologies/design switch</v>
      </c>
      <c r="BH1149" s="2" t="str" cm="1">
        <f t="array" ref="BH1149">IF(COUNTIF(BB1149:BD1149,"&lt;&gt;0")=1,INDEX($X$4:$AY$4,MATCH(TRUE,INDEX($X1149:$AY1149&lt;&gt;0,),0)),IF(COUNTIF(BB1149:BD1149,"&lt;&gt;0")=0,INDEX($AO$4:$AY$4,MATCH(1,$AO1149:$AY1149,0)),"Multiple strategies"))</f>
        <v>Technology</v>
      </c>
      <c r="BI1149" s="142" t="s">
        <v>229</v>
      </c>
      <c r="BJ1149" t="s">
        <v>933</v>
      </c>
      <c r="BK1149" t="s">
        <v>954</v>
      </c>
      <c r="BL1149" t="s">
        <v>498</v>
      </c>
      <c r="BM1149">
        <v>0</v>
      </c>
      <c r="BN1149" s="143">
        <v>1</v>
      </c>
      <c r="BO1149" t="str">
        <f>IFERROR(BN1149/BM1149,"")</f>
        <v/>
      </c>
      <c r="BP1149">
        <f>BN1149-BM1149</f>
        <v>1</v>
      </c>
      <c r="BQ1149" s="159">
        <v>1</v>
      </c>
      <c r="BR1149" t="s">
        <v>232</v>
      </c>
      <c r="BS1149" t="s">
        <v>955</v>
      </c>
      <c r="BT1149" t="s">
        <v>935</v>
      </c>
      <c r="BW1149" s="144"/>
      <c r="BX1149">
        <v>0.5</v>
      </c>
      <c r="BZ1149">
        <f>BX1149</f>
        <v>0.5</v>
      </c>
      <c r="CA1149">
        <f>IFERROR(BZ1149/BQ1149,"")</f>
        <v>0.5</v>
      </c>
      <c r="CB1149">
        <v>0</v>
      </c>
      <c r="CC1149">
        <v>0</v>
      </c>
      <c r="CD1149">
        <v>0</v>
      </c>
      <c r="CE1149">
        <v>0</v>
      </c>
      <c r="CF1149">
        <v>0</v>
      </c>
      <c r="CG1149">
        <v>0</v>
      </c>
      <c r="CH1149">
        <v>0</v>
      </c>
      <c r="CI1149">
        <v>0</v>
      </c>
      <c r="CJ1149">
        <v>0</v>
      </c>
      <c r="CK1149">
        <v>0</v>
      </c>
      <c r="CL1149">
        <v>0</v>
      </c>
      <c r="CM1149">
        <v>0</v>
      </c>
      <c r="CN1149">
        <v>0</v>
      </c>
      <c r="CO1149">
        <v>0</v>
      </c>
      <c r="CP1149" t="str">
        <f>IF($BN1149&lt;$BM1149,"refNeedCorrection","refOK")</f>
        <v>refOK</v>
      </c>
      <c r="CQ1149">
        <f>IF($CP1149="refOK",$BM1149,$BN1149)</f>
        <v>0</v>
      </c>
      <c r="CR1149">
        <f>IF($CP1149="refOK",$BN1149,$BM1149)</f>
        <v>1</v>
      </c>
      <c r="CS1149">
        <f>IF($CP1149="refOK",$BQ1149,-$BQ1149)</f>
        <v>1</v>
      </c>
      <c r="CT1149">
        <f>IF(BI1149="Roundwood",$CS1149/2,$CS1149)</f>
        <v>1</v>
      </c>
      <c r="CU1149">
        <f>IF($CP1149="refOK",$BU1149,$BV1149)*IF($BR1149="Emissions positive",-1,1)</f>
        <v>0</v>
      </c>
      <c r="CV1149">
        <f>IF($CP1149="refOK",$BV1149,$BU1149)*IF($BR1149="Emissions positive",-1,1)</f>
        <v>0</v>
      </c>
      <c r="CW1149">
        <f>IF($CP1149="refNeedCorrection",-BZ1149,BZ1149)*IF($BR1149="Emissions positive",-1,1)</f>
        <v>0.5</v>
      </c>
      <c r="CX1149">
        <f>IFERROR($CW1149/$CS1149,"")</f>
        <v>0.5</v>
      </c>
      <c r="CY1149">
        <f>IFERROR($CW1149/$CS1149,"")</f>
        <v>0.5</v>
      </c>
      <c r="CZ1149">
        <f>IFERROR($CW1149/$CT1149,"")</f>
        <v>0.5</v>
      </c>
      <c r="DA1149" s="2" t="str">
        <f>IFERROR((CV1149-CU1149)/ABS(CU1149),"")</f>
        <v/>
      </c>
      <c r="DB1149" s="1" t="s">
        <v>263</v>
      </c>
      <c r="DC1149" t="str">
        <f>IF(OR($DB1149="prd",$DB1149="std",$DB1149="cit"),"loc",IF(OR($DB1149="eur",$DB1149="reg",$DB1149="coy"),"reg",$DB1149))</f>
        <v>loc</v>
      </c>
      <c r="DD1149" t="s">
        <v>264</v>
      </c>
      <c r="DF1149" s="143"/>
      <c r="DG1149" s="143">
        <v>45</v>
      </c>
      <c r="DH1149" t="str">
        <f>IF(DG1149=0,"0",IF(AND(DG1149&gt;=1,DG1149&lt;=30),"1-30",IF(AND(DG1149&gt;30,DG1149&lt;=70),"31-70",IF(AND(DG1149&gt;70,DG1149&lt;=100),"71-100",IF(DG1149&gt;100,"+100")))))</f>
        <v>31-70</v>
      </c>
      <c r="DI1149">
        <v>0</v>
      </c>
      <c r="DJ1149">
        <v>0</v>
      </c>
      <c r="DK1149">
        <v>0</v>
      </c>
      <c r="DL1149">
        <v>1</v>
      </c>
      <c r="DM1149">
        <v>0</v>
      </c>
      <c r="DN1149">
        <f>SUM(DI1149:DL1149)</f>
        <v>1</v>
      </c>
      <c r="DO1149" t="str">
        <f>IF(DN1149=1,INDEX($DI$7:$DL$7,MATCH(1,$DI1149:$DL1149,0)),"mixedProduct")</f>
        <v>TimberInput</v>
      </c>
      <c r="DP1149">
        <f>IF(DI1149=1,DP$7,0)</f>
        <v>0</v>
      </c>
      <c r="DQ1149">
        <f>IF(DJ1149=1,DQ$7,0)</f>
        <v>0</v>
      </c>
      <c r="DR1149">
        <f>IF(DK1149=1,DR$7,0)</f>
        <v>0</v>
      </c>
      <c r="DS1149" t="str">
        <f>IF(DL1149=1,DS$7,0)</f>
        <v>Timber</v>
      </c>
      <c r="DT1149">
        <v>1</v>
      </c>
      <c r="DU1149">
        <v>0</v>
      </c>
      <c r="DV1149">
        <v>0</v>
      </c>
      <c r="DW1149">
        <v>0</v>
      </c>
      <c r="DX1149">
        <v>0</v>
      </c>
      <c r="DY1149">
        <f>SUM(DT1149:DU1149)</f>
        <v>1</v>
      </c>
      <c r="DZ1149" s="143" t="str">
        <f>IF(DT1149=1,"self-calculated DF",IF(DU1149=1,"external DF used","explicit C balance"))</f>
        <v>self-calculated DF</v>
      </c>
      <c r="EA1149" s="143">
        <v>0</v>
      </c>
      <c r="EB1149" s="143">
        <v>0</v>
      </c>
      <c r="EC1149" s="143">
        <v>0</v>
      </c>
      <c r="ED1149" s="143">
        <v>0</v>
      </c>
      <c r="EE1149">
        <v>0</v>
      </c>
      <c r="EF1149" s="143">
        <v>1</v>
      </c>
      <c r="EG1149" s="143">
        <v>0</v>
      </c>
      <c r="EH1149" s="143">
        <v>1</v>
      </c>
      <c r="EI1149" s="143">
        <v>0</v>
      </c>
      <c r="EJ1149">
        <v>0</v>
      </c>
      <c r="EK1149">
        <v>0</v>
      </c>
      <c r="EL1149" s="143">
        <v>0</v>
      </c>
      <c r="EM1149" s="143">
        <v>0</v>
      </c>
      <c r="EN1149" s="2">
        <v>0</v>
      </c>
      <c r="EP1149" t="str">
        <f>IF(AND(AND(AND(OR($EC1149=1,$EB1149=1),OR($EH1149=1,$EF1149=1)),SUM($EA1149:$EE1149,$EK1149)&gt;=3),SUM($EF1149:$EJ1149)&gt;=2),"Whole sector approach","")</f>
        <v/>
      </c>
      <c r="EQ1149" t="str">
        <f>IF(AND(AND(OR($EC1149=1,$EB1149=1),AND($EH1149=0,$EF1149=0)),SUM($EA1149:$EE1149,$EK1149)&gt;=4),"Ecosystem approach","")</f>
        <v/>
      </c>
      <c r="ER1149" s="2" t="str">
        <f>IF(AND(AND(AND($EC1149=0,$EB1149=0),OR($EH1149=1,$EF1149=1)),SUM($EG1149:$EJ1149)&gt;=2),"Technology approach","")</f>
        <v/>
      </c>
      <c r="ES1149" t="str">
        <f>IF(AND($EC1149+$EB1149+$EE1149+$EA1149+$ED1149+$EG1149=0,$N1149="included"),"C neutral forest and HWP assumption","")</f>
        <v>C neutral forest and HWP assumption</v>
      </c>
      <c r="ET1149" t="str">
        <f>IF(AND(AND(AND(AND($EC1149=1,$EB1149+$EA1149+$EG1149&gt;=1),$EF1149=1),$EH1149+$EI1149+$ED1149+$EE1149&gt;=2),$N1149="included"),"All C pools assumption","")</f>
        <v/>
      </c>
      <c r="EU1149" t="str">
        <f>IF(AND($ED1149+$EE1149+$EI1149+$EH1149+$EF1149=0,$N1149="included"),"In-situ only assumption","")</f>
        <v/>
      </c>
      <c r="EY1149" t="str">
        <f>IF(ISNUMBER(BW1149),IF(ABS(BW1149-[2]QC_indicators!$B$2)&gt;3*[2]QC_indicators!$C$2,"C ratio",IF(ISNUMBER(CA1149),IF(ABS(CA1149-[2]QC_indicators!$B$1)&gt;3*[2]QC_indicators!$C$1,"DF","no"))),IF(ISNUMBER(CA1149),IF(ABS(CA1149-[2]QC_indicators!$B$1)&gt;3*[2]QC_indicators!$C$1,"DF","no")))</f>
        <v>no</v>
      </c>
      <c r="FA1149" t="str">
        <f>IF(LEN($CY1149)=0,"",IF(AND($CY1149&lt;(-0.05),$ES1149="C neutral forest and HWP assumption"),"Cneutral paradox",IF(AND($CY1149&gt;0.05,$EU1149="In-situ only assumption"),"In-situ only paradox","")))</f>
        <v/>
      </c>
      <c r="FB1149" t="s">
        <v>944</v>
      </c>
      <c r="FD1149" s="260" t="s">
        <v>2887</v>
      </c>
    </row>
    <row r="1150" spans="1:160" ht="15" customHeight="1">
      <c r="A1150" s="1" t="s">
        <v>1781</v>
      </c>
      <c r="B1150" t="s">
        <v>1782</v>
      </c>
      <c r="C1150" t="s">
        <v>1783</v>
      </c>
      <c r="D1150" t="s">
        <v>1784</v>
      </c>
      <c r="E1150" s="260" t="s">
        <v>1785</v>
      </c>
      <c r="F1150" t="s">
        <v>1786</v>
      </c>
      <c r="G1150" t="s">
        <v>1787</v>
      </c>
      <c r="H1150" t="s">
        <v>254</v>
      </c>
      <c r="I1150">
        <v>2018</v>
      </c>
      <c r="J1150">
        <v>21</v>
      </c>
      <c r="K1150" t="s">
        <v>1788</v>
      </c>
      <c r="M1150" t="str">
        <f>LEFT($D1150,FIND(",",$D1150)-1)&amp;"_"&amp;I1150&amp;L1150</f>
        <v>Nabuurs_2018</v>
      </c>
      <c r="N1150" t="s">
        <v>222</v>
      </c>
      <c r="O1150" s="157" t="s">
        <v>274</v>
      </c>
      <c r="P1150" t="s">
        <v>924</v>
      </c>
      <c r="Q1150" t="s">
        <v>389</v>
      </c>
      <c r="R1150" s="251" t="s">
        <v>225</v>
      </c>
      <c r="S1150" s="1" t="s">
        <v>1789</v>
      </c>
      <c r="T1150" s="152" t="s">
        <v>1790</v>
      </c>
      <c r="U1150" s="183" t="s">
        <v>1791</v>
      </c>
      <c r="V1150" s="253">
        <v>0</v>
      </c>
      <c r="W1150" s="253">
        <v>0</v>
      </c>
      <c r="X1150">
        <v>0</v>
      </c>
      <c r="Y1150">
        <v>0</v>
      </c>
      <c r="Z1150">
        <v>0</v>
      </c>
      <c r="AA1150">
        <v>1</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s="141">
        <f>COUNTIF(X1150:AY1150,"&lt;&gt;0")</f>
        <v>1</v>
      </c>
      <c r="BA1150" s="141">
        <f>COUNTIF(X1150:AN1150,"&lt;&gt;0")</f>
        <v>1</v>
      </c>
      <c r="BB1150">
        <f>COUNTIF(X1150:AE1150,"&lt;&gt;0")</f>
        <v>1</v>
      </c>
      <c r="BC1150">
        <f>COUNTIF(AF1150:AK1150,"&lt;&gt;0")</f>
        <v>0</v>
      </c>
      <c r="BD1150">
        <f>COUNTIF(AL1150:AN1150,"&lt;&gt;0")</f>
        <v>0</v>
      </c>
      <c r="BE1150">
        <f>COUNTIF(AU1150:AY1150,"&lt;&gt;0")</f>
        <v>0</v>
      </c>
      <c r="BF1150">
        <f>COUNTIF(AO1150:AT1150,"&lt;&gt;0")</f>
        <v>0</v>
      </c>
      <c r="BG1150" t="str">
        <f t="array" ref="BG1150">IF(BA1150=1,INDEX($X$7:$AN$7,MATCH(TRUE,INDEX($X1150:$AY1150&lt;&gt;0,),0)),IF(BA1150=0,INDEX($AO$7:$AY$7,MATCH(1,$AO1150:$AY1150,0)),IF(BH1150="Multiple strategies","mixed drivers",IF(BH1150="Supply chain","multiple supply","multiple silviculture"))))</f>
        <v xml:space="preserve">cutting intensity </v>
      </c>
      <c r="BH1150" s="2" t="str" cm="1">
        <f t="array" ref="BH1150">IF(COUNTIF(BB1150:BD1150,"&lt;&gt;0")=1,INDEX($X$4:$AY$4,MATCH(TRUE,INDEX($X1150:$AY1150&lt;&gt;0,),0)),IF(COUNTIF(BB1150:BD1150,"&lt;&gt;0")=0,INDEX($AO$4:$AY$4,MATCH(1,$AO1150:$AY1150,0)),"Multiple strategies"))</f>
        <v>Silviculture for removals</v>
      </c>
      <c r="BI1150" s="1" t="s">
        <v>321</v>
      </c>
      <c r="BJ1150" t="s">
        <v>1792</v>
      </c>
      <c r="BK1150" s="256" t="s">
        <v>3056</v>
      </c>
      <c r="BL1150" t="s">
        <v>1793</v>
      </c>
      <c r="BM1150" s="152">
        <v>4190644782.1222701</v>
      </c>
      <c r="BN1150" s="152">
        <v>4538767649.01647</v>
      </c>
      <c r="BO1150">
        <v>1.0830714329163207</v>
      </c>
      <c r="BP1150">
        <f>BN1150-BM1150</f>
        <v>348122866.89419985</v>
      </c>
      <c r="BQ1150">
        <f>BP1150</f>
        <v>348122866.89419985</v>
      </c>
      <c r="BR1150" t="s">
        <v>395</v>
      </c>
      <c r="BS1150" s="256" t="s">
        <v>3057</v>
      </c>
      <c r="BT1150" t="s">
        <v>1794</v>
      </c>
      <c r="BU1150" s="282">
        <f>-373.8*1000000</f>
        <v>-373800000</v>
      </c>
      <c r="BV1150" s="282">
        <f>-335.71*1000000</f>
        <v>-335710000</v>
      </c>
      <c r="BW1150" s="144">
        <v>0.9672089812091007</v>
      </c>
      <c r="BX1150" s="152">
        <v>13455706.042723</v>
      </c>
      <c r="BZ1150" s="152">
        <f>BX1150</f>
        <v>13455706.042723</v>
      </c>
      <c r="CA1150">
        <f>IFERROR(BZ1150/BQ1150,"")</f>
        <v>3.8652175201155076E-2</v>
      </c>
      <c r="CB1150">
        <v>0</v>
      </c>
      <c r="CC1150">
        <v>0</v>
      </c>
      <c r="CD1150">
        <v>0</v>
      </c>
      <c r="CE1150">
        <v>0</v>
      </c>
      <c r="CF1150">
        <v>0</v>
      </c>
      <c r="CG1150">
        <v>0</v>
      </c>
      <c r="CH1150">
        <v>0</v>
      </c>
      <c r="CI1150">
        <v>0</v>
      </c>
      <c r="CJ1150">
        <v>0</v>
      </c>
      <c r="CK1150">
        <v>0</v>
      </c>
      <c r="CL1150">
        <v>0</v>
      </c>
      <c r="CM1150">
        <v>0</v>
      </c>
      <c r="CN1150">
        <v>0</v>
      </c>
      <c r="CO1150">
        <v>0</v>
      </c>
      <c r="CP1150" t="str">
        <f>IF($BN1150&lt;$BM1150,"refNeedCorrection","refOK")</f>
        <v>refOK</v>
      </c>
      <c r="CQ1150">
        <f>IF($CP1150="refOK",$BM1150,$BN1150)</f>
        <v>4190644782.1222701</v>
      </c>
      <c r="CR1150">
        <f>IF($CP1150="refOK",$BN1150,$BM1150)</f>
        <v>4538767649.01647</v>
      </c>
      <c r="CS1150">
        <f>IF($CP1150="refOK",$BQ1150,-$BQ1150)</f>
        <v>348122866.89419985</v>
      </c>
      <c r="CT1150">
        <f>IF(BI1150="Roundwood",$CS1150/2,$CS1150)</f>
        <v>174061433.44709992</v>
      </c>
      <c r="CU1150">
        <f>IF($CP1150="refOK",$BU1150,$BV1150)*IF($BR1150="Emissions positive",-1,1)</f>
        <v>373800000</v>
      </c>
      <c r="CV1150">
        <f>IF($CP1150="refOK",$BV1150,$BU1150)*IF($BR1150="Emissions positive",-1,1)</f>
        <v>335710000</v>
      </c>
      <c r="CW1150">
        <f>IF($CP1150="refNeedCorrection",-BZ1150,BZ1150)*IF($BR1150="Emissions positive",-1,1)</f>
        <v>-13455706.042723</v>
      </c>
      <c r="CX1150">
        <f>IFERROR($CW1150/$CS1150,"")</f>
        <v>-3.8652175201155076E-2</v>
      </c>
      <c r="CY1150">
        <f>IFERROR($CW1150/$CS1150,"")</f>
        <v>-3.8652175201155076E-2</v>
      </c>
      <c r="CZ1150">
        <f>IFERROR($CW1150/$CT1150,"")</f>
        <v>-7.7304350402310151E-2</v>
      </c>
      <c r="DA1150" s="2">
        <f>IFERROR((CV1150-CU1150)/ABS(CU1150),"")</f>
        <v>-0.10189941144997325</v>
      </c>
      <c r="DB1150" s="1" t="s">
        <v>1106</v>
      </c>
      <c r="DC1150" t="str">
        <f>IF(OR($DB1150="prd",$DB1150="std",$DB1150="cit"),"loc",IF(OR($DB1150="eur",$DB1150="reg",$DB1150="coy"),"reg",$DB1150))</f>
        <v>reg</v>
      </c>
      <c r="DD1150" t="s">
        <v>729</v>
      </c>
      <c r="DE1150">
        <v>2015</v>
      </c>
      <c r="DF1150">
        <v>2025</v>
      </c>
      <c r="DG1150">
        <v>0</v>
      </c>
      <c r="DH1150" t="str">
        <f>IF(DG1150=0,"0",IF(AND(DG1150&gt;=1,DG1150&lt;=30),"1-30",IF(AND(DG1150&gt;30,DG1150&lt;=70),"31-70",IF(AND(DG1150&gt;70,DG1150&lt;=100),"71-100",IF(DG1150&gt;100,"+100")))))</f>
        <v>0</v>
      </c>
      <c r="DI1150">
        <v>1</v>
      </c>
      <c r="DJ1150">
        <v>0</v>
      </c>
      <c r="DK1150">
        <v>0</v>
      </c>
      <c r="DL1150">
        <v>0</v>
      </c>
      <c r="DN1150">
        <v>1</v>
      </c>
      <c r="DO1150" t="str">
        <f>IF(DN1150=1,INDEX($DI$7:$DL$7,MATCH(1,$DI1150:$DL1150,0)),"mixedProduct")</f>
        <v>UpstreamInput</v>
      </c>
      <c r="DP1150" t="str">
        <f>IF(DI1150=1,DP$7,0)</f>
        <v>Upstream</v>
      </c>
      <c r="DQ1150">
        <f>IF(DJ1150=1,DQ$7,0)</f>
        <v>0</v>
      </c>
      <c r="DR1150">
        <f>IF(DK1150=1,DR$7,0)</f>
        <v>0</v>
      </c>
      <c r="DS1150">
        <f>IF(DL1150=1,DS$7,0)</f>
        <v>0</v>
      </c>
      <c r="DT1150">
        <v>0</v>
      </c>
      <c r="DU1150">
        <v>0</v>
      </c>
      <c r="DV1150">
        <v>0</v>
      </c>
      <c r="DW1150">
        <v>0</v>
      </c>
      <c r="DX1150">
        <v>0</v>
      </c>
      <c r="DY1150">
        <f>SUM(DT1150:DU1150)</f>
        <v>0</v>
      </c>
      <c r="DZ1150" s="143" t="s">
        <v>926</v>
      </c>
      <c r="EA1150">
        <v>0</v>
      </c>
      <c r="EB1150">
        <v>0</v>
      </c>
      <c r="EC1150">
        <v>0</v>
      </c>
      <c r="ED1150">
        <v>0</v>
      </c>
      <c r="EE1150">
        <v>0</v>
      </c>
      <c r="EF1150" s="143">
        <v>0</v>
      </c>
      <c r="EG1150">
        <v>1</v>
      </c>
      <c r="EH1150">
        <v>0</v>
      </c>
      <c r="EI1150">
        <v>0</v>
      </c>
      <c r="EJ1150">
        <v>0</v>
      </c>
      <c r="EK1150">
        <v>0</v>
      </c>
      <c r="EL1150">
        <v>0</v>
      </c>
      <c r="EM1150">
        <v>0</v>
      </c>
      <c r="EN1150" s="2">
        <v>0</v>
      </c>
      <c r="EP1150" t="str">
        <f>IF(AND(AND(AND(OR($EC1150=1,$EB1150=1),OR($EH1150=1,$EF1150=1)),SUM($EA1150:$EE1150,$EK1150)&gt;=3),SUM($EF1150:$EJ1150)&gt;=2),"Whole sector approach","")</f>
        <v/>
      </c>
      <c r="EQ1150" t="str">
        <f>IF(AND(AND(OR($EC1150=1,$EB1150=1),AND($EH1150=0,$EF1150=0)),SUM($EA1150:$EE1150,$EK1150)&gt;=4),"Ecosystem approach","")</f>
        <v/>
      </c>
      <c r="ER1150" s="2" t="str">
        <f>IF(AND(AND(AND($EC1150=0,$EB1150=0),OR($EH1150=1,$EF1150=1)),SUM($EG1150:$EJ1150)&gt;=2),"Technology approach","")</f>
        <v/>
      </c>
      <c r="ES1150" t="str">
        <f>IF(AND($EC1150+$EB1150+$EE1150+$EA1150+$ED1150+$EG1150=0,$N1150="included"),"C neutral forest and HWP assumption","")</f>
        <v/>
      </c>
      <c r="ET1150" t="str">
        <f>IF(AND(AND(AND(AND($EC1150=1,$EB1150+$EA1150+$EG1150&gt;=1),$EF1150=1),$EH1150+$EI1150+$ED1150+$EE1150&gt;=2),$N1150="included"),"All C pools assumption","")</f>
        <v/>
      </c>
      <c r="EU1150" t="str">
        <f>IF(AND($ED1150+$EE1150+$EI1150+$EH1150+$EF1150=0,$N1150="included"),"In-situ only assumption","")</f>
        <v>In-situ only assumption</v>
      </c>
      <c r="EY1150" t="str">
        <f>IF(ISNUMBER(BW1150),IF(ABS(BW1150-[6]QC_indicators!$B$2)&gt;3*[6]QC_indicators!$C$2,"C ratio",IF(ISNUMBER(CA1150),IF(ABS(CA1150-[6]QC_indicators!$B$1)&gt;3*[6]QC_indicators!$C$1,"DF","no"))),IF(ISNUMBER(CA1150),IF(ABS(CA1150-[6]QC_indicators!$B$1)&gt;3*[6]QC_indicators!$C$1,"DF","no")))</f>
        <v>no</v>
      </c>
      <c r="FA1150" t="str">
        <f>IF(LEN($CY1150)=0,"",IF(AND($CY1150&lt;(-0.05),$ES1150="C neutral forest and HWP assumption"),"Cneutral paradox",IF(AND($CY1150&gt;0.05,$EU1150="In-situ only assumption"),"In-situ only paradox","")))</f>
        <v/>
      </c>
      <c r="FD1150" s="260" t="s">
        <v>2948</v>
      </c>
    </row>
    <row r="1151" spans="1:160" ht="15" customHeight="1">
      <c r="A1151" s="1" t="s">
        <v>1781</v>
      </c>
      <c r="B1151" t="s">
        <v>1782</v>
      </c>
      <c r="C1151" t="s">
        <v>1783</v>
      </c>
      <c r="D1151" t="s">
        <v>1784</v>
      </c>
      <c r="E1151" t="s">
        <v>1785</v>
      </c>
      <c r="F1151" t="s">
        <v>1786</v>
      </c>
      <c r="G1151" t="s">
        <v>1787</v>
      </c>
      <c r="H1151" t="s">
        <v>254</v>
      </c>
      <c r="I1151">
        <v>2018</v>
      </c>
      <c r="J1151">
        <v>21</v>
      </c>
      <c r="K1151" t="s">
        <v>1788</v>
      </c>
      <c r="M1151" t="str">
        <f>LEFT($D1151,FIND(",",$D1151)-1)&amp;"_"&amp;I1151&amp;L1151</f>
        <v>Nabuurs_2018</v>
      </c>
      <c r="N1151" t="s">
        <v>222</v>
      </c>
      <c r="O1151" s="157" t="s">
        <v>274</v>
      </c>
      <c r="P1151" t="s">
        <v>924</v>
      </c>
      <c r="Q1151" t="s">
        <v>389</v>
      </c>
      <c r="R1151" s="251" t="s">
        <v>225</v>
      </c>
      <c r="S1151" s="1" t="s">
        <v>1789</v>
      </c>
      <c r="T1151" s="152" t="s">
        <v>1790</v>
      </c>
      <c r="U1151" s="183" t="s">
        <v>1791</v>
      </c>
      <c r="V1151" s="253">
        <v>0</v>
      </c>
      <c r="W1151" s="253">
        <v>0</v>
      </c>
      <c r="X1151">
        <v>0</v>
      </c>
      <c r="Y1151">
        <v>0</v>
      </c>
      <c r="Z1151">
        <v>0</v>
      </c>
      <c r="AA1151">
        <v>1</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s="141">
        <f>COUNTIF(X1151:AY1151,"&lt;&gt;0")</f>
        <v>1</v>
      </c>
      <c r="BA1151" s="141">
        <f>COUNTIF(X1151:AN1151,"&lt;&gt;0")</f>
        <v>1</v>
      </c>
      <c r="BB1151">
        <f>COUNTIF(X1151:AE1151,"&lt;&gt;0")</f>
        <v>1</v>
      </c>
      <c r="BC1151">
        <f>COUNTIF(AF1151:AK1151,"&lt;&gt;0")</f>
        <v>0</v>
      </c>
      <c r="BD1151">
        <f>COUNTIF(AL1151:AN1151,"&lt;&gt;0")</f>
        <v>0</v>
      </c>
      <c r="BE1151">
        <f>COUNTIF(AU1151:AY1151,"&lt;&gt;0")</f>
        <v>0</v>
      </c>
      <c r="BF1151">
        <f>COUNTIF(AO1151:AT1151,"&lt;&gt;0")</f>
        <v>0</v>
      </c>
      <c r="BG1151" t="str">
        <f t="array" ref="BG1151">IF(BA1151=1,INDEX($X$7:$AN$7,MATCH(TRUE,INDEX($X1151:$AY1151&lt;&gt;0,),0)),IF(BA1151=0,INDEX($AO$7:$AY$7,MATCH(1,$AO1151:$AY1151,0)),IF(BH1151="Multiple strategies","mixed drivers",IF(BH1151="Supply chain","multiple supply","multiple silviculture"))))</f>
        <v xml:space="preserve">cutting intensity </v>
      </c>
      <c r="BH1151" s="2" t="str" cm="1">
        <f t="array" ref="BH1151">IF(COUNTIF(BB1151:BD1151,"&lt;&gt;0")=1,INDEX($X$4:$AY$4,MATCH(TRUE,INDEX($X1151:$AY1151&lt;&gt;0,),0)),IF(COUNTIF(BB1151:BD1151,"&lt;&gt;0")=0,INDEX($AO$4:$AY$4,MATCH(1,$AO1151:$AY1151,0)),"Multiple strategies"))</f>
        <v>Silviculture for removals</v>
      </c>
      <c r="BI1151" s="1" t="s">
        <v>321</v>
      </c>
      <c r="BJ1151" t="s">
        <v>1792</v>
      </c>
      <c r="BK1151" s="256" t="s">
        <v>3058</v>
      </c>
      <c r="BL1151" t="s">
        <v>1793</v>
      </c>
      <c r="BM1151" s="152">
        <v>4176029909.5067401</v>
      </c>
      <c r="BN1151" s="152">
        <v>5588977950.2357893</v>
      </c>
      <c r="BO1151">
        <v>1.3383472032880968</v>
      </c>
      <c r="BP1151">
        <f>BN1151-BM1151</f>
        <v>1412948040.7290492</v>
      </c>
      <c r="BQ1151">
        <f>BP1151</f>
        <v>1412948040.7290492</v>
      </c>
      <c r="BR1151" t="s">
        <v>395</v>
      </c>
      <c r="BS1151" s="256" t="s">
        <v>3059</v>
      </c>
      <c r="BT1151" t="s">
        <v>1794</v>
      </c>
      <c r="BU1151" s="282">
        <f>-273.8*1000000</f>
        <v>-273800000</v>
      </c>
      <c r="BV1151" s="282">
        <f>-148.41*1000000</f>
        <v>-148410000</v>
      </c>
      <c r="BW1151" s="144">
        <v>0.50707458802531458</v>
      </c>
      <c r="BX1151" s="152">
        <v>178254847.64542899</v>
      </c>
      <c r="BZ1151" s="152">
        <f>BX1151</f>
        <v>178254847.64542899</v>
      </c>
      <c r="CA1151">
        <f>IFERROR(BZ1151/BQ1151,"")</f>
        <v>0.12615810525732674</v>
      </c>
      <c r="CB1151">
        <v>0</v>
      </c>
      <c r="CC1151">
        <v>0</v>
      </c>
      <c r="CD1151">
        <v>0</v>
      </c>
      <c r="CE1151">
        <v>0</v>
      </c>
      <c r="CF1151">
        <v>0</v>
      </c>
      <c r="CG1151">
        <v>0</v>
      </c>
      <c r="CH1151">
        <v>0</v>
      </c>
      <c r="CI1151">
        <v>0</v>
      </c>
      <c r="CJ1151">
        <v>0</v>
      </c>
      <c r="CK1151">
        <v>0</v>
      </c>
      <c r="CL1151">
        <v>0</v>
      </c>
      <c r="CM1151">
        <v>0</v>
      </c>
      <c r="CN1151">
        <v>0</v>
      </c>
      <c r="CO1151">
        <v>0</v>
      </c>
      <c r="CP1151" t="str">
        <f>IF($BN1151&lt;$BM1151,"refNeedCorrection","refOK")</f>
        <v>refOK</v>
      </c>
      <c r="CQ1151">
        <f>IF($CP1151="refOK",$BM1151,$BN1151)</f>
        <v>4176029909.5067401</v>
      </c>
      <c r="CR1151">
        <f>IF($CP1151="refOK",$BN1151,$BM1151)</f>
        <v>5588977950.2357893</v>
      </c>
      <c r="CS1151">
        <f>IF($CP1151="refOK",$BQ1151,-$BQ1151)</f>
        <v>1412948040.7290492</v>
      </c>
      <c r="CT1151">
        <f>IF(BI1151="Roundwood",$CS1151/2,$CS1151)</f>
        <v>706474020.3645246</v>
      </c>
      <c r="CU1151">
        <f>IF($CP1151="refOK",$BU1151,$BV1151)*IF($BR1151="Emissions positive",-1,1)</f>
        <v>273800000</v>
      </c>
      <c r="CV1151">
        <f>IF($CP1151="refOK",$BV1151,$BU1151)*IF($BR1151="Emissions positive",-1,1)</f>
        <v>148410000</v>
      </c>
      <c r="CW1151">
        <f>IF($CP1151="refNeedCorrection",-BZ1151,BZ1151)*IF($BR1151="Emissions positive",-1,1)</f>
        <v>-178254847.64542899</v>
      </c>
      <c r="CX1151">
        <f>IFERROR($CW1151/$CS1151,"")</f>
        <v>-0.12615810525732674</v>
      </c>
      <c r="CY1151">
        <f>IFERROR($CW1151/$CS1151,"")</f>
        <v>-0.12615810525732674</v>
      </c>
      <c r="CZ1151">
        <f>IFERROR($CW1151/$CT1151,"")</f>
        <v>-0.25231621051465347</v>
      </c>
      <c r="DA1151" s="2">
        <f>IFERROR((CV1151-CU1151)/ABS(CU1151),"")</f>
        <v>-0.45796201607012416</v>
      </c>
      <c r="DB1151" s="1" t="s">
        <v>1106</v>
      </c>
      <c r="DC1151" t="str">
        <f>IF(OR($DB1151="prd",$DB1151="std",$DB1151="cit"),"loc",IF(OR($DB1151="eur",$DB1151="reg",$DB1151="coy"),"reg",$DB1151))</f>
        <v>reg</v>
      </c>
      <c r="DD1151" t="s">
        <v>729</v>
      </c>
      <c r="DE1151">
        <v>2015</v>
      </c>
      <c r="DF1151">
        <v>2050</v>
      </c>
      <c r="DG1151">
        <v>0</v>
      </c>
      <c r="DH1151" t="str">
        <f>IF(DG1151=0,"0",IF(AND(DG1151&gt;=1,DG1151&lt;=30),"1-30",IF(AND(DG1151&gt;30,DG1151&lt;=70),"31-70",IF(AND(DG1151&gt;70,DG1151&lt;=100),"71-100",IF(DG1151&gt;100,"+100")))))</f>
        <v>0</v>
      </c>
      <c r="DI1151">
        <v>1</v>
      </c>
      <c r="DJ1151">
        <v>0</v>
      </c>
      <c r="DK1151">
        <v>0</v>
      </c>
      <c r="DL1151">
        <v>0</v>
      </c>
      <c r="DN1151">
        <v>1</v>
      </c>
      <c r="DO1151" t="str">
        <f>IF(DN1151=1,INDEX($DI$7:$DL$7,MATCH(1,$DI1151:$DL1151,0)),"mixedProduct")</f>
        <v>UpstreamInput</v>
      </c>
      <c r="DP1151" t="str">
        <f>IF(DI1151=1,DP$7,0)</f>
        <v>Upstream</v>
      </c>
      <c r="DQ1151">
        <f>IF(DJ1151=1,DQ$7,0)</f>
        <v>0</v>
      </c>
      <c r="DR1151">
        <f>IF(DK1151=1,DR$7,0)</f>
        <v>0</v>
      </c>
      <c r="DS1151">
        <f>IF(DL1151=1,DS$7,0)</f>
        <v>0</v>
      </c>
      <c r="DT1151">
        <v>0</v>
      </c>
      <c r="DU1151">
        <v>0</v>
      </c>
      <c r="DV1151">
        <v>0</v>
      </c>
      <c r="DW1151">
        <v>0</v>
      </c>
      <c r="DX1151">
        <v>0</v>
      </c>
      <c r="DY1151">
        <f>SUM(DT1151:DU1151)</f>
        <v>0</v>
      </c>
      <c r="DZ1151" s="143" t="s">
        <v>926</v>
      </c>
      <c r="EA1151">
        <v>0</v>
      </c>
      <c r="EB1151">
        <v>0</v>
      </c>
      <c r="EC1151">
        <v>0</v>
      </c>
      <c r="ED1151">
        <v>0</v>
      </c>
      <c r="EE1151">
        <v>0</v>
      </c>
      <c r="EF1151" s="143">
        <v>0</v>
      </c>
      <c r="EG1151">
        <v>1</v>
      </c>
      <c r="EH1151">
        <v>0</v>
      </c>
      <c r="EI1151">
        <v>0</v>
      </c>
      <c r="EJ1151">
        <v>0</v>
      </c>
      <c r="EK1151">
        <v>0</v>
      </c>
      <c r="EL1151">
        <v>0</v>
      </c>
      <c r="EM1151">
        <v>0</v>
      </c>
      <c r="EN1151" s="2">
        <v>0</v>
      </c>
      <c r="EP1151" t="str">
        <f>IF(AND(AND(AND(OR($EC1151=1,$EB1151=1),OR($EH1151=1,$EF1151=1)),SUM($EA1151:$EE1151,$EK1151)&gt;=3),SUM($EF1151:$EJ1151)&gt;=2),"Whole sector approach","")</f>
        <v/>
      </c>
      <c r="EQ1151" t="str">
        <f>IF(AND(AND(OR($EC1151=1,$EB1151=1),AND($EH1151=0,$EF1151=0)),SUM($EA1151:$EE1151,$EK1151)&gt;=4),"Ecosystem approach","")</f>
        <v/>
      </c>
      <c r="ER1151" s="2" t="str">
        <f>IF(AND(AND(AND($EC1151=0,$EB1151=0),OR($EH1151=1,$EF1151=1)),SUM($EG1151:$EJ1151)&gt;=2),"Technology approach","")</f>
        <v/>
      </c>
      <c r="ES1151" t="str">
        <f>IF(AND($EC1151+$EB1151+$EE1151+$EA1151+$ED1151+$EG1151=0,$N1151="included"),"C neutral forest and HWP assumption","")</f>
        <v/>
      </c>
      <c r="ET1151" t="str">
        <f>IF(AND(AND(AND(AND($EC1151=1,$EB1151+$EA1151+$EG1151&gt;=1),$EF1151=1),$EH1151+$EI1151+$ED1151+$EE1151&gt;=2),$N1151="included"),"All C pools assumption","")</f>
        <v/>
      </c>
      <c r="EU1151" t="str">
        <f>IF(AND($ED1151+$EE1151+$EI1151+$EH1151+$EF1151=0,$N1151="included"),"In-situ only assumption","")</f>
        <v>In-situ only assumption</v>
      </c>
      <c r="EY1151" t="str">
        <f>IF(ISNUMBER(BW1151),IF(ABS(BW1151-[6]QC_indicators!$B$2)&gt;3*[6]QC_indicators!$C$2,"C ratio",IF(ISNUMBER(CA1151),IF(ABS(CA1151-[6]QC_indicators!$B$1)&gt;3*[6]QC_indicators!$C$1,"DF","no"))),IF(ISNUMBER(CA1151),IF(ABS(CA1151-[6]QC_indicators!$B$1)&gt;3*[6]QC_indicators!$C$1,"DF","no")))</f>
        <v>no</v>
      </c>
      <c r="FA1151" t="str">
        <f>IF(LEN($CY1151)=0,"",IF(AND($CY1151&lt;(-0.05),$ES1151="C neutral forest and HWP assumption"),"Cneutral paradox",IF(AND($CY1151&gt;0.05,$EU1151="In-situ only assumption"),"In-situ only paradox","")))</f>
        <v/>
      </c>
      <c r="FD1151" s="260" t="s">
        <v>2948</v>
      </c>
    </row>
    <row r="1152" spans="1:160" ht="15" customHeight="1">
      <c r="A1152" s="1" t="s">
        <v>1781</v>
      </c>
      <c r="B1152" t="s">
        <v>1782</v>
      </c>
      <c r="C1152" t="s">
        <v>1783</v>
      </c>
      <c r="D1152" t="s">
        <v>1784</v>
      </c>
      <c r="E1152" t="s">
        <v>1785</v>
      </c>
      <c r="F1152" t="s">
        <v>1786</v>
      </c>
      <c r="G1152" t="s">
        <v>1787</v>
      </c>
      <c r="H1152" t="s">
        <v>254</v>
      </c>
      <c r="I1152">
        <v>2018</v>
      </c>
      <c r="J1152">
        <v>21</v>
      </c>
      <c r="K1152" t="s">
        <v>1788</v>
      </c>
      <c r="M1152" t="str">
        <f>LEFT($D1152,FIND(",",$D1152)-1)&amp;"_"&amp;I1152&amp;L1152</f>
        <v>Nabuurs_2018</v>
      </c>
      <c r="N1152" t="s">
        <v>222</v>
      </c>
      <c r="O1152" s="157" t="s">
        <v>274</v>
      </c>
      <c r="P1152" t="s">
        <v>924</v>
      </c>
      <c r="Q1152" t="s">
        <v>389</v>
      </c>
      <c r="R1152" s="251" t="s">
        <v>225</v>
      </c>
      <c r="S1152" s="1" t="s">
        <v>1789</v>
      </c>
      <c r="T1152" s="152" t="s">
        <v>1790</v>
      </c>
      <c r="U1152" t="s">
        <v>1795</v>
      </c>
      <c r="V1152" s="253">
        <v>0</v>
      </c>
      <c r="W1152" s="253">
        <v>0</v>
      </c>
      <c r="X1152">
        <v>0</v>
      </c>
      <c r="Y1152">
        <v>0</v>
      </c>
      <c r="Z1152">
        <v>0</v>
      </c>
      <c r="AA1152">
        <v>1</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s="141">
        <f>COUNTIF(X1152:AY1152,"&lt;&gt;0")</f>
        <v>1</v>
      </c>
      <c r="BA1152" s="141">
        <f>COUNTIF(X1152:AN1152,"&lt;&gt;0")</f>
        <v>1</v>
      </c>
      <c r="BB1152">
        <f>COUNTIF(X1152:AE1152,"&lt;&gt;0")</f>
        <v>1</v>
      </c>
      <c r="BC1152">
        <f>COUNTIF(AF1152:AK1152,"&lt;&gt;0")</f>
        <v>0</v>
      </c>
      <c r="BD1152">
        <f>COUNTIF(AL1152:AN1152,"&lt;&gt;0")</f>
        <v>0</v>
      </c>
      <c r="BE1152">
        <f>COUNTIF(AU1152:AY1152,"&lt;&gt;0")</f>
        <v>0</v>
      </c>
      <c r="BF1152">
        <f>COUNTIF(AO1152:AT1152,"&lt;&gt;0")</f>
        <v>0</v>
      </c>
      <c r="BG1152" t="str">
        <f t="array" ref="BG1152">IF(BA1152=1,INDEX($X$7:$AN$7,MATCH(TRUE,INDEX($X1152:$AY1152&lt;&gt;0,),0)),IF(BA1152=0,INDEX($AO$7:$AY$7,MATCH(1,$AO1152:$AY1152,0)),IF(BH1152="Multiple strategies","mixed drivers",IF(BH1152="Supply chain","multiple supply","multiple silviculture"))))</f>
        <v xml:space="preserve">cutting intensity </v>
      </c>
      <c r="BH1152" s="2" t="str" cm="1">
        <f t="array" ref="BH1152">IF(COUNTIF(BB1152:BD1152,"&lt;&gt;0")=1,INDEX($X$4:$AY$4,MATCH(TRUE,INDEX($X1152:$AY1152&lt;&gt;0,),0)),IF(COUNTIF(BB1152:BD1152,"&lt;&gt;0")=0,INDEX($AO$4:$AY$4,MATCH(1,$AO1152:$AY1152,0)),"Multiple strategies"))</f>
        <v>Silviculture for removals</v>
      </c>
      <c r="BI1152" s="1" t="s">
        <v>321</v>
      </c>
      <c r="BJ1152" t="s">
        <v>1792</v>
      </c>
      <c r="BK1152" s="256" t="s">
        <v>3060</v>
      </c>
      <c r="BL1152" t="s">
        <v>1793</v>
      </c>
      <c r="BM1152" s="152">
        <v>4190644782.1222701</v>
      </c>
      <c r="BN1152" s="152">
        <v>4426139662.6683397</v>
      </c>
      <c r="BO1152">
        <v>1.0561953810904507</v>
      </c>
      <c r="BP1152">
        <f>BN1152-BM1152</f>
        <v>235494880.54606962</v>
      </c>
      <c r="BQ1152">
        <f>BP1152</f>
        <v>235494880.54606962</v>
      </c>
      <c r="BR1152" t="s">
        <v>395</v>
      </c>
      <c r="BS1152" s="256" t="s">
        <v>3061</v>
      </c>
      <c r="BT1152" t="s">
        <v>1794</v>
      </c>
      <c r="BU1152" s="282">
        <f>-373.8*1000000</f>
        <v>-373800000</v>
      </c>
      <c r="BV1152" s="282">
        <f>-361.11*1000000</f>
        <v>-361110000</v>
      </c>
      <c r="BW1152" s="144">
        <v>0.90757039082667901</v>
      </c>
      <c r="BX1152" s="152">
        <v>37928240.61401701</v>
      </c>
      <c r="BZ1152" s="152">
        <f>BX1152</f>
        <v>37928240.61401701</v>
      </c>
      <c r="CA1152">
        <f>IFERROR(BZ1152/BQ1152,"")</f>
        <v>0.16105760144793105</v>
      </c>
      <c r="CB1152">
        <v>0</v>
      </c>
      <c r="CC1152">
        <v>0</v>
      </c>
      <c r="CD1152">
        <v>0</v>
      </c>
      <c r="CE1152">
        <v>0</v>
      </c>
      <c r="CF1152">
        <v>0</v>
      </c>
      <c r="CG1152">
        <v>0</v>
      </c>
      <c r="CH1152">
        <v>0</v>
      </c>
      <c r="CI1152">
        <v>0</v>
      </c>
      <c r="CJ1152">
        <v>0</v>
      </c>
      <c r="CK1152">
        <v>0</v>
      </c>
      <c r="CL1152">
        <v>0</v>
      </c>
      <c r="CM1152">
        <v>0</v>
      </c>
      <c r="CN1152">
        <v>0</v>
      </c>
      <c r="CO1152">
        <v>0</v>
      </c>
      <c r="CP1152" t="str">
        <f>IF($BN1152&lt;$BM1152,"refNeedCorrection","refOK")</f>
        <v>refOK</v>
      </c>
      <c r="CQ1152">
        <f>IF($CP1152="refOK",$BM1152,$BN1152)</f>
        <v>4190644782.1222701</v>
      </c>
      <c r="CR1152">
        <f>IF($CP1152="refOK",$BN1152,$BM1152)</f>
        <v>4426139662.6683397</v>
      </c>
      <c r="CS1152">
        <f>IF($CP1152="refOK",$BQ1152,-$BQ1152)</f>
        <v>235494880.54606962</v>
      </c>
      <c r="CT1152">
        <f>IF(BI1152="Roundwood",$CS1152/2,$CS1152)</f>
        <v>117747440.27303481</v>
      </c>
      <c r="CU1152">
        <f>IF($CP1152="refOK",$BU1152,$BV1152)*IF($BR1152="Emissions positive",-1,1)</f>
        <v>373800000</v>
      </c>
      <c r="CV1152">
        <f>IF($CP1152="refOK",$BV1152,$BU1152)*IF($BR1152="Emissions positive",-1,1)</f>
        <v>361110000</v>
      </c>
      <c r="CW1152">
        <f>IF($CP1152="refNeedCorrection",-BZ1152,BZ1152)*IF($BR1152="Emissions positive",-1,1)</f>
        <v>-37928240.61401701</v>
      </c>
      <c r="CX1152">
        <f>IFERROR($CW1152/$CS1152,"")</f>
        <v>-0.16105760144793105</v>
      </c>
      <c r="CY1152">
        <f>IFERROR($CW1152/$CS1152,"")</f>
        <v>-0.16105760144793105</v>
      </c>
      <c r="CZ1152">
        <f>IFERROR($CW1152/$CT1152,"")</f>
        <v>-0.3221152028958621</v>
      </c>
      <c r="DA1152" s="2">
        <f>IFERROR((CV1152-CU1152)/ABS(CU1152),"")</f>
        <v>-3.394863563402889E-2</v>
      </c>
      <c r="DB1152" s="1" t="s">
        <v>1106</v>
      </c>
      <c r="DC1152" t="str">
        <f>IF(OR($DB1152="prd",$DB1152="std",$DB1152="cit"),"loc",IF(OR($DB1152="eur",$DB1152="reg",$DB1152="coy"),"reg",$DB1152))</f>
        <v>reg</v>
      </c>
      <c r="DD1152" t="s">
        <v>729</v>
      </c>
      <c r="DE1152">
        <v>2015</v>
      </c>
      <c r="DF1152">
        <v>2025</v>
      </c>
      <c r="DG1152">
        <v>0</v>
      </c>
      <c r="DH1152" t="str">
        <f>IF(DG1152=0,"0",IF(AND(DG1152&gt;=1,DG1152&lt;=30),"1-30",IF(AND(DG1152&gt;30,DG1152&lt;=70),"31-70",IF(AND(DG1152&gt;70,DG1152&lt;=100),"71-100",IF(DG1152&gt;100,"+100")))))</f>
        <v>0</v>
      </c>
      <c r="DI1152">
        <v>1</v>
      </c>
      <c r="DJ1152">
        <v>0</v>
      </c>
      <c r="DK1152">
        <v>0</v>
      </c>
      <c r="DL1152">
        <v>0</v>
      </c>
      <c r="DN1152">
        <v>1</v>
      </c>
      <c r="DO1152" t="str">
        <f>IF(DN1152=1,INDEX($DI$7:$DL$7,MATCH(1,$DI1152:$DL1152,0)),"mixedProduct")</f>
        <v>UpstreamInput</v>
      </c>
      <c r="DP1152" t="str">
        <f>IF(DI1152=1,DP$7,0)</f>
        <v>Upstream</v>
      </c>
      <c r="DQ1152">
        <f>IF(DJ1152=1,DQ$7,0)</f>
        <v>0</v>
      </c>
      <c r="DR1152">
        <f>IF(DK1152=1,DR$7,0)</f>
        <v>0</v>
      </c>
      <c r="DS1152">
        <f>IF(DL1152=1,DS$7,0)</f>
        <v>0</v>
      </c>
      <c r="DT1152">
        <v>0</v>
      </c>
      <c r="DU1152">
        <v>0</v>
      </c>
      <c r="DV1152">
        <v>0</v>
      </c>
      <c r="DW1152">
        <v>0</v>
      </c>
      <c r="DX1152">
        <v>0</v>
      </c>
      <c r="DY1152">
        <f>SUM(DT1152:DU1152)</f>
        <v>0</v>
      </c>
      <c r="DZ1152" s="143" t="s">
        <v>926</v>
      </c>
      <c r="EA1152">
        <v>0</v>
      </c>
      <c r="EB1152">
        <v>0</v>
      </c>
      <c r="EC1152">
        <v>0</v>
      </c>
      <c r="ED1152">
        <v>0</v>
      </c>
      <c r="EE1152">
        <v>0</v>
      </c>
      <c r="EF1152" s="143">
        <v>0</v>
      </c>
      <c r="EG1152">
        <v>1</v>
      </c>
      <c r="EH1152">
        <v>0</v>
      </c>
      <c r="EI1152">
        <v>0</v>
      </c>
      <c r="EJ1152">
        <v>0</v>
      </c>
      <c r="EK1152">
        <v>0</v>
      </c>
      <c r="EL1152">
        <v>0</v>
      </c>
      <c r="EM1152">
        <v>0</v>
      </c>
      <c r="EN1152" s="2">
        <v>0</v>
      </c>
      <c r="EP1152" t="str">
        <f>IF(AND(AND(AND(OR($EC1152=1,$EB1152=1),OR($EH1152=1,$EF1152=1)),SUM($EA1152:$EE1152,$EK1152)&gt;=3),SUM($EF1152:$EJ1152)&gt;=2),"Whole sector approach","")</f>
        <v/>
      </c>
      <c r="EQ1152" t="str">
        <f>IF(AND(AND(OR($EC1152=1,$EB1152=1),AND($EH1152=0,$EF1152=0)),SUM($EA1152:$EE1152,$EK1152)&gt;=4),"Ecosystem approach","")</f>
        <v/>
      </c>
      <c r="ER1152" s="2" t="str">
        <f>IF(AND(AND(AND($EC1152=0,$EB1152=0),OR($EH1152=1,$EF1152=1)),SUM($EG1152:$EJ1152)&gt;=2),"Technology approach","")</f>
        <v/>
      </c>
      <c r="ES1152" t="str">
        <f>IF(AND($EC1152+$EB1152+$EE1152+$EA1152+$ED1152+$EG1152=0,$N1152="included"),"C neutral forest and HWP assumption","")</f>
        <v/>
      </c>
      <c r="ET1152" t="str">
        <f>IF(AND(AND(AND(AND($EC1152=1,$EB1152+$EA1152+$EG1152&gt;=1),$EF1152=1),$EH1152+$EI1152+$ED1152+$EE1152&gt;=2),$N1152="included"),"All C pools assumption","")</f>
        <v/>
      </c>
      <c r="EU1152" t="str">
        <f>IF(AND($ED1152+$EE1152+$EI1152+$EH1152+$EF1152=0,$N1152="included"),"In-situ only assumption","")</f>
        <v>In-situ only assumption</v>
      </c>
      <c r="EY1152" t="str">
        <f>IF(ISNUMBER(BW1152),IF(ABS(BW1152-[6]QC_indicators!$B$2)&gt;3*[6]QC_indicators!$C$2,"C ratio",IF(ISNUMBER(CA1152),IF(ABS(CA1152-[6]QC_indicators!$B$1)&gt;3*[6]QC_indicators!$C$1,"DF","no"))),IF(ISNUMBER(CA1152),IF(ABS(CA1152-[6]QC_indicators!$B$1)&gt;3*[6]QC_indicators!$C$1,"DF","no")))</f>
        <v>no</v>
      </c>
      <c r="FA1152" t="str">
        <f>IF(LEN($CY1152)=0,"",IF(AND($CY1152&lt;(-0.05),$ES1152="C neutral forest and HWP assumption"),"Cneutral paradox",IF(AND($CY1152&gt;0.05,$EU1152="In-situ only assumption"),"In-situ only paradox","")))</f>
        <v/>
      </c>
      <c r="FD1152" s="260" t="s">
        <v>2948</v>
      </c>
    </row>
    <row r="1153" spans="1:160" ht="153">
      <c r="A1153" s="1" t="s">
        <v>1781</v>
      </c>
      <c r="B1153" t="s">
        <v>1782</v>
      </c>
      <c r="C1153" t="s">
        <v>1783</v>
      </c>
      <c r="D1153" t="s">
        <v>1784</v>
      </c>
      <c r="E1153" t="s">
        <v>1785</v>
      </c>
      <c r="F1153" t="s">
        <v>1786</v>
      </c>
      <c r="G1153" t="s">
        <v>1787</v>
      </c>
      <c r="H1153" t="s">
        <v>254</v>
      </c>
      <c r="I1153">
        <v>2018</v>
      </c>
      <c r="J1153">
        <v>21</v>
      </c>
      <c r="K1153" t="s">
        <v>1788</v>
      </c>
      <c r="M1153" t="str">
        <f>LEFT($D1153,FIND(",",$D1153)-1)&amp;"_"&amp;I1153&amp;L1153</f>
        <v>Nabuurs_2018</v>
      </c>
      <c r="N1153" t="s">
        <v>222</v>
      </c>
      <c r="O1153" s="157" t="s">
        <v>274</v>
      </c>
      <c r="P1153" t="s">
        <v>924</v>
      </c>
      <c r="Q1153" t="s">
        <v>389</v>
      </c>
      <c r="R1153" s="251" t="s">
        <v>225</v>
      </c>
      <c r="S1153" s="1" t="s">
        <v>1789</v>
      </c>
      <c r="T1153" s="152" t="s">
        <v>1790</v>
      </c>
      <c r="U1153" t="s">
        <v>1795</v>
      </c>
      <c r="V1153" s="253">
        <v>0</v>
      </c>
      <c r="W1153" s="253">
        <v>0</v>
      </c>
      <c r="X1153">
        <v>0</v>
      </c>
      <c r="Y1153">
        <v>0</v>
      </c>
      <c r="Z1153">
        <v>0</v>
      </c>
      <c r="AA1153">
        <v>1</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s="141">
        <f>COUNTIF(X1153:AY1153,"&lt;&gt;0")</f>
        <v>1</v>
      </c>
      <c r="BA1153" s="141">
        <f>COUNTIF(X1153:AN1153,"&lt;&gt;0")</f>
        <v>1</v>
      </c>
      <c r="BB1153">
        <f>COUNTIF(X1153:AE1153,"&lt;&gt;0")</f>
        <v>1</v>
      </c>
      <c r="BC1153">
        <f>COUNTIF(AF1153:AK1153,"&lt;&gt;0")</f>
        <v>0</v>
      </c>
      <c r="BD1153">
        <f>COUNTIF(AL1153:AN1153,"&lt;&gt;0")</f>
        <v>0</v>
      </c>
      <c r="BE1153">
        <f>COUNTIF(AU1153:AY1153,"&lt;&gt;0")</f>
        <v>0</v>
      </c>
      <c r="BF1153">
        <f>COUNTIF(AO1153:AT1153,"&lt;&gt;0")</f>
        <v>0</v>
      </c>
      <c r="BG1153" t="str">
        <f t="array" ref="BG1153">IF(BA1153=1,INDEX($X$7:$AN$7,MATCH(TRUE,INDEX($X1153:$AY1153&lt;&gt;0,),0)),IF(BA1153=0,INDEX($AO$7:$AY$7,MATCH(1,$AO1153:$AY1153,0)),IF(BH1153="Multiple strategies","mixed drivers",IF(BH1153="Supply chain","multiple supply","multiple silviculture"))))</f>
        <v xml:space="preserve">cutting intensity </v>
      </c>
      <c r="BH1153" s="2" t="str" cm="1">
        <f t="array" ref="BH1153">IF(COUNTIF(BB1153:BD1153,"&lt;&gt;0")=1,INDEX($X$4:$AY$4,MATCH(TRUE,INDEX($X1153:$AY1153&lt;&gt;0,),0)),IF(COUNTIF(BB1153:BD1153,"&lt;&gt;0")=0,INDEX($AO$4:$AY$4,MATCH(1,$AO1153:$AY1153,0)),"Multiple strategies"))</f>
        <v>Silviculture for removals</v>
      </c>
      <c r="BI1153" s="1" t="s">
        <v>321</v>
      </c>
      <c r="BJ1153" t="s">
        <v>1792</v>
      </c>
      <c r="BK1153" s="256" t="s">
        <v>3062</v>
      </c>
      <c r="BL1153" t="s">
        <v>1793</v>
      </c>
      <c r="BM1153" s="152">
        <v>4176029909.5067401</v>
      </c>
      <c r="BN1153" s="152">
        <v>4913231274.6944609</v>
      </c>
      <c r="BO1153">
        <v>1.1765316296009951</v>
      </c>
      <c r="BP1153">
        <f>BN1153-BM1153</f>
        <v>737201365.18772078</v>
      </c>
      <c r="BQ1153">
        <f>BP1153</f>
        <v>737201365.18772078</v>
      </c>
      <c r="BR1153" t="s">
        <v>395</v>
      </c>
      <c r="BS1153" s="256" t="s">
        <v>3063</v>
      </c>
      <c r="BT1153" t="s">
        <v>1794</v>
      </c>
      <c r="BU1153" s="282">
        <f>-273.8*1000000</f>
        <v>-273800000</v>
      </c>
      <c r="BV1153" s="282">
        <f>-93.69*1000000</f>
        <v>-93690000</v>
      </c>
      <c r="BW1153" s="144">
        <v>0.65184988385004727</v>
      </c>
      <c r="BX1153" s="152">
        <v>125900277.00830999</v>
      </c>
      <c r="BZ1153" s="152">
        <f>BX1153</f>
        <v>125900277.00830999</v>
      </c>
      <c r="CA1153">
        <f>IFERROR(BZ1153/BQ1153,"")</f>
        <v>0.17078139427515951</v>
      </c>
      <c r="CB1153">
        <v>0</v>
      </c>
      <c r="CC1153">
        <v>0</v>
      </c>
      <c r="CD1153">
        <v>0</v>
      </c>
      <c r="CE1153">
        <v>0</v>
      </c>
      <c r="CF1153">
        <v>0</v>
      </c>
      <c r="CG1153">
        <v>0</v>
      </c>
      <c r="CH1153">
        <v>0</v>
      </c>
      <c r="CI1153">
        <v>0</v>
      </c>
      <c r="CJ1153">
        <v>0</v>
      </c>
      <c r="CK1153">
        <v>0</v>
      </c>
      <c r="CL1153">
        <v>0</v>
      </c>
      <c r="CM1153">
        <v>0</v>
      </c>
      <c r="CN1153">
        <v>0</v>
      </c>
      <c r="CO1153">
        <v>0</v>
      </c>
      <c r="CP1153" t="str">
        <f>IF($BN1153&lt;$BM1153,"refNeedCorrection","refOK")</f>
        <v>refOK</v>
      </c>
      <c r="CQ1153">
        <f>IF($CP1153="refOK",$BM1153,$BN1153)</f>
        <v>4176029909.5067401</v>
      </c>
      <c r="CR1153">
        <f>IF($CP1153="refOK",$BN1153,$BM1153)</f>
        <v>4913231274.6944609</v>
      </c>
      <c r="CS1153">
        <f>IF($CP1153="refOK",$BQ1153,-$BQ1153)</f>
        <v>737201365.18772078</v>
      </c>
      <c r="CT1153">
        <f>IF(BI1153="Roundwood",$CS1153/2,$CS1153)</f>
        <v>368600682.59386039</v>
      </c>
      <c r="CU1153">
        <f>IF($CP1153="refOK",$BU1153,$BV1153)*IF($BR1153="Emissions positive",-1,1)</f>
        <v>273800000</v>
      </c>
      <c r="CV1153">
        <f>IF($CP1153="refOK",$BV1153,$BU1153)*IF($BR1153="Emissions positive",-1,1)</f>
        <v>93690000</v>
      </c>
      <c r="CW1153">
        <f>IF($CP1153="refNeedCorrection",-BZ1153,BZ1153)*IF($BR1153="Emissions positive",-1,1)</f>
        <v>-125900277.00830999</v>
      </c>
      <c r="CX1153">
        <f>IFERROR($CW1153/$CS1153,"")</f>
        <v>-0.17078139427515951</v>
      </c>
      <c r="CY1153">
        <f>IFERROR($CW1153/$CS1153,"")</f>
        <v>-0.17078139427515951</v>
      </c>
      <c r="CZ1153">
        <f>IFERROR($CW1153/$CT1153,"")</f>
        <v>-0.34156278855031902</v>
      </c>
      <c r="DA1153" s="2">
        <f>IFERROR((CV1153-CU1153)/ABS(CU1153),"")</f>
        <v>-0.65781592403214029</v>
      </c>
      <c r="DB1153" s="1" t="s">
        <v>1106</v>
      </c>
      <c r="DC1153" t="str">
        <f>IF(OR($DB1153="prd",$DB1153="std",$DB1153="cit"),"loc",IF(OR($DB1153="eur",$DB1153="reg",$DB1153="coy"),"reg",$DB1153))</f>
        <v>reg</v>
      </c>
      <c r="DD1153" t="s">
        <v>729</v>
      </c>
      <c r="DE1153">
        <v>2015</v>
      </c>
      <c r="DF1153">
        <v>2050</v>
      </c>
      <c r="DG1153">
        <v>0</v>
      </c>
      <c r="DH1153" t="str">
        <f>IF(DG1153=0,"0",IF(AND(DG1153&gt;=1,DG1153&lt;=30),"1-30",IF(AND(DG1153&gt;30,DG1153&lt;=70),"31-70",IF(AND(DG1153&gt;70,DG1153&lt;=100),"71-100",IF(DG1153&gt;100,"+100")))))</f>
        <v>0</v>
      </c>
      <c r="DI1153">
        <v>1</v>
      </c>
      <c r="DJ1153">
        <v>0</v>
      </c>
      <c r="DK1153">
        <v>0</v>
      </c>
      <c r="DL1153">
        <v>0</v>
      </c>
      <c r="DN1153">
        <v>1</v>
      </c>
      <c r="DO1153" t="str">
        <f>IF(DN1153=1,INDEX($DI$7:$DL$7,MATCH(1,$DI1153:$DL1153,0)),"mixedProduct")</f>
        <v>UpstreamInput</v>
      </c>
      <c r="DP1153" t="str">
        <f>IF(DI1153=1,DP$7,0)</f>
        <v>Upstream</v>
      </c>
      <c r="DQ1153">
        <f>IF(DJ1153=1,DQ$7,0)</f>
        <v>0</v>
      </c>
      <c r="DR1153">
        <f>IF(DK1153=1,DR$7,0)</f>
        <v>0</v>
      </c>
      <c r="DS1153">
        <f>IF(DL1153=1,DS$7,0)</f>
        <v>0</v>
      </c>
      <c r="DT1153">
        <v>0</v>
      </c>
      <c r="DU1153">
        <v>0</v>
      </c>
      <c r="DV1153">
        <v>0</v>
      </c>
      <c r="DW1153">
        <v>0</v>
      </c>
      <c r="DX1153">
        <v>0</v>
      </c>
      <c r="DY1153">
        <f>SUM(DT1153:DU1153)</f>
        <v>0</v>
      </c>
      <c r="DZ1153" s="143" t="s">
        <v>926</v>
      </c>
      <c r="EA1153">
        <v>0</v>
      </c>
      <c r="EB1153">
        <v>0</v>
      </c>
      <c r="EC1153">
        <v>0</v>
      </c>
      <c r="ED1153">
        <v>0</v>
      </c>
      <c r="EE1153">
        <v>0</v>
      </c>
      <c r="EF1153" s="143">
        <v>0</v>
      </c>
      <c r="EG1153">
        <v>1</v>
      </c>
      <c r="EH1153">
        <v>0</v>
      </c>
      <c r="EI1153">
        <v>0</v>
      </c>
      <c r="EJ1153">
        <v>0</v>
      </c>
      <c r="EK1153">
        <v>0</v>
      </c>
      <c r="EL1153">
        <v>0</v>
      </c>
      <c r="EM1153">
        <v>0</v>
      </c>
      <c r="EN1153" s="2">
        <v>0</v>
      </c>
      <c r="EP1153" t="str">
        <f>IF(AND(AND(AND(OR($EC1153=1,$EB1153=1),OR($EH1153=1,$EF1153=1)),SUM($EA1153:$EE1153,$EK1153)&gt;=3),SUM($EF1153:$EJ1153)&gt;=2),"Whole sector approach","")</f>
        <v/>
      </c>
      <c r="EQ1153" t="str">
        <f>IF(AND(AND(OR($EC1153=1,$EB1153=1),AND($EH1153=0,$EF1153=0)),SUM($EA1153:$EE1153,$EK1153)&gt;=4),"Ecosystem approach","")</f>
        <v/>
      </c>
      <c r="ER1153" s="2" t="str">
        <f>IF(AND(AND(AND($EC1153=0,$EB1153=0),OR($EH1153=1,$EF1153=1)),SUM($EG1153:$EJ1153)&gt;=2),"Technology approach","")</f>
        <v/>
      </c>
      <c r="ES1153" t="str">
        <f>IF(AND($EC1153+$EB1153+$EE1153+$EA1153+$ED1153+$EG1153=0,$N1153="included"),"C neutral forest and HWP assumption","")</f>
        <v/>
      </c>
      <c r="ET1153" t="str">
        <f>IF(AND(AND(AND(AND($EC1153=1,$EB1153+$EA1153+$EG1153&gt;=1),$EF1153=1),$EH1153+$EI1153+$ED1153+$EE1153&gt;=2),$N1153="included"),"All C pools assumption","")</f>
        <v/>
      </c>
      <c r="EU1153" t="str">
        <f>IF(AND($ED1153+$EE1153+$EI1153+$EH1153+$EF1153=0,$N1153="included"),"In-situ only assumption","")</f>
        <v>In-situ only assumption</v>
      </c>
      <c r="EY1153" t="str">
        <f>IF(ISNUMBER(BW1153),IF(ABS(BW1153-[6]QC_indicators!$B$2)&gt;3*[6]QC_indicators!$C$2,"C ratio",IF(ISNUMBER(CA1153),IF(ABS(CA1153-[6]QC_indicators!$B$1)&gt;3*[6]QC_indicators!$C$1,"DF","no"))),IF(ISNUMBER(CA1153),IF(ABS(CA1153-[6]QC_indicators!$B$1)&gt;3*[6]QC_indicators!$C$1,"DF","no")))</f>
        <v>no</v>
      </c>
      <c r="FA1153" t="str">
        <f>IF(LEN($CY1153)=0,"",IF(AND($CY1153&lt;(-0.05),$ES1153="C neutral forest and HWP assumption"),"Cneutral paradox",IF(AND($CY1153&gt;0.05,$EU1153="In-situ only assumption"),"In-situ only paradox","")))</f>
        <v/>
      </c>
      <c r="FD1153" s="260" t="s">
        <v>2948</v>
      </c>
    </row>
    <row r="1154" spans="1:160" ht="153">
      <c r="A1154" s="1" t="s">
        <v>574</v>
      </c>
      <c r="B1154" t="s">
        <v>1796</v>
      </c>
      <c r="C1154" t="s">
        <v>1797</v>
      </c>
      <c r="D1154" t="s">
        <v>1798</v>
      </c>
      <c r="E1154" t="s">
        <v>1799</v>
      </c>
      <c r="F1154" t="s">
        <v>1800</v>
      </c>
      <c r="G1154" t="s">
        <v>580</v>
      </c>
      <c r="H1154" t="s">
        <v>254</v>
      </c>
      <c r="I1154">
        <v>2018</v>
      </c>
      <c r="J1154">
        <v>7</v>
      </c>
      <c r="K1154" t="s">
        <v>1801</v>
      </c>
      <c r="M1154" t="str">
        <f>LEFT($D1154,FIND(",",$D1154)-1)&amp;"_"&amp;I1154&amp;L1154</f>
        <v>Nakano_2018</v>
      </c>
      <c r="N1154" t="s">
        <v>222</v>
      </c>
      <c r="O1154" s="157" t="s">
        <v>274</v>
      </c>
      <c r="P1154" t="s">
        <v>924</v>
      </c>
      <c r="Q1154" t="s">
        <v>389</v>
      </c>
      <c r="R1154" s="258" t="s">
        <v>223</v>
      </c>
      <c r="S1154" s="1" t="s">
        <v>1815</v>
      </c>
      <c r="T1154" t="s">
        <v>1816</v>
      </c>
      <c r="U1154" t="s">
        <v>1817</v>
      </c>
      <c r="V1154" s="253">
        <v>0</v>
      </c>
      <c r="W1154" s="253">
        <v>0</v>
      </c>
      <c r="X1154">
        <v>0</v>
      </c>
      <c r="Y1154">
        <v>0</v>
      </c>
      <c r="Z1154">
        <v>0</v>
      </c>
      <c r="AA1154">
        <v>1</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s="141">
        <f>COUNTIF(X1154:AY1154,"&lt;&gt;0")</f>
        <v>1</v>
      </c>
      <c r="BA1154" s="141">
        <f>COUNTIF(X1154:AN1154,"&lt;&gt;0")</f>
        <v>1</v>
      </c>
      <c r="BB1154">
        <f>COUNTIF(X1154:AE1154,"&lt;&gt;0")</f>
        <v>1</v>
      </c>
      <c r="BC1154">
        <f>COUNTIF(AF1154:AK1154,"&lt;&gt;0")</f>
        <v>0</v>
      </c>
      <c r="BD1154">
        <f>COUNTIF(AL1154:AN1154,"&lt;&gt;0")</f>
        <v>0</v>
      </c>
      <c r="BE1154">
        <f>COUNTIF(AU1154:AY1154,"&lt;&gt;0")</f>
        <v>0</v>
      </c>
      <c r="BF1154">
        <f>COUNTIF(AO1154:AT1154,"&lt;&gt;0")</f>
        <v>0</v>
      </c>
      <c r="BG1154" t="str">
        <f t="array" ref="BG1154">IF(BA1154=1,INDEX($X$7:$AN$7,MATCH(TRUE,INDEX($X1154:$AY1154&lt;&gt;0,),0)),IF(BA1154=0,INDEX($AO$7:$AY$7,MATCH(1,$AO1154:$AY1154,0)),IF(BH1154="Multiple strategies","mixed drivers",IF(BH1154="Supply chain","multiple supply","multiple silviculture"))))</f>
        <v xml:space="preserve">cutting intensity </v>
      </c>
      <c r="BH1154" s="2" t="str" cm="1">
        <f t="array" ref="BH1154">IF(COUNTIF(BB1154:BD1154,"&lt;&gt;0")=1,INDEX($X$4:$AY$4,MATCH(TRUE,INDEX($X1154:$AY1154&lt;&gt;0,),0)),IF(COUNTIF(BB1154:BD1154,"&lt;&gt;0")=0,INDEX($AO$4:$AY$4,MATCH(1,$AO1154:$AY1154,0)),"Multiple strategies"))</f>
        <v>Silviculture for removals</v>
      </c>
      <c r="BI1154" s="1" t="s">
        <v>321</v>
      </c>
      <c r="BJ1154" t="s">
        <v>1805</v>
      </c>
      <c r="BK1154" t="s">
        <v>1806</v>
      </c>
      <c r="BL1154" t="s">
        <v>1807</v>
      </c>
      <c r="BM1154">
        <v>1</v>
      </c>
      <c r="BN1154">
        <v>1</v>
      </c>
      <c r="BO1154">
        <v>1</v>
      </c>
      <c r="BP1154">
        <f>BN1154-BM1154</f>
        <v>0</v>
      </c>
      <c r="BQ1154">
        <f>BP1154</f>
        <v>0</v>
      </c>
      <c r="BR1154" t="s">
        <v>395</v>
      </c>
      <c r="BS1154" s="260" t="s">
        <v>2858</v>
      </c>
      <c r="BT1154" t="s">
        <v>1814</v>
      </c>
      <c r="BU1154">
        <v>2.1208053691275101E-2</v>
      </c>
      <c r="BV1154">
        <v>2.2080536912751601E-2</v>
      </c>
      <c r="BW1154" s="144">
        <v>1.0411392405063289</v>
      </c>
      <c r="BX1154">
        <f>BV1154-BU1154</f>
        <v>8.7248322147650062E-4</v>
      </c>
      <c r="BZ1154">
        <v>8.7248322147650062E-4</v>
      </c>
      <c r="CA1154" t="str">
        <f>IFERROR(BZ1154/BQ1154,"")</f>
        <v/>
      </c>
      <c r="CB1154">
        <v>0</v>
      </c>
      <c r="CC1154">
        <v>0</v>
      </c>
      <c r="CD1154">
        <v>0</v>
      </c>
      <c r="CE1154">
        <v>0</v>
      </c>
      <c r="CF1154">
        <v>0</v>
      </c>
      <c r="CG1154">
        <v>0</v>
      </c>
      <c r="CH1154">
        <v>0</v>
      </c>
      <c r="CI1154">
        <v>0</v>
      </c>
      <c r="CJ1154">
        <v>0</v>
      </c>
      <c r="CK1154">
        <v>0</v>
      </c>
      <c r="CL1154">
        <v>0</v>
      </c>
      <c r="CM1154">
        <v>0</v>
      </c>
      <c r="CN1154">
        <v>0</v>
      </c>
      <c r="CO1154">
        <v>0</v>
      </c>
      <c r="CP1154" t="str">
        <f>IF($BN1154&lt;$BM1154,"refNeedCorrection","refOK")</f>
        <v>refOK</v>
      </c>
      <c r="CQ1154">
        <f>IF($CP1154="refOK",$BM1154,$BN1154)</f>
        <v>1</v>
      </c>
      <c r="CR1154">
        <f>IF($CP1154="refOK",$BN1154,$BM1154)</f>
        <v>1</v>
      </c>
      <c r="CS1154">
        <f>IF($CP1154="refOK",$BQ1154,-$BQ1154)</f>
        <v>0</v>
      </c>
      <c r="CT1154">
        <f>IF(BI1154="Roundwood",$CS1154/2,$CS1154)</f>
        <v>0</v>
      </c>
      <c r="CU1154">
        <f>IF($CP1154="refOK",$BU1154,$BV1154)*IF($BR1154="Emissions positive",-1,1)</f>
        <v>-2.1208053691275101E-2</v>
      </c>
      <c r="CV1154">
        <f>IF($CP1154="refOK",$BV1154,$BU1154)*IF($BR1154="Emissions positive",-1,1)</f>
        <v>-2.2080536912751601E-2</v>
      </c>
      <c r="CW1154">
        <f>IF($CP1154="refNeedCorrection",-BZ1154,BZ1154)*IF($BR1154="Emissions positive",-1,1)</f>
        <v>-8.7248322147650062E-4</v>
      </c>
      <c r="CX1154" t="str">
        <f>IFERROR($CW1154/$CS1154,"")</f>
        <v/>
      </c>
      <c r="CY1154" t="str">
        <f>IFERROR($CW1154/$CS1154,"")</f>
        <v/>
      </c>
      <c r="CZ1154" t="str">
        <f>IFERROR($CW1154/$CT1154,"")</f>
        <v/>
      </c>
      <c r="DA1154" s="2">
        <f>IFERROR((CV1154-CU1154)/ABS(CU1154),"")</f>
        <v>-4.1139240506328799E-2</v>
      </c>
      <c r="DB1154" s="1" t="s">
        <v>1078</v>
      </c>
      <c r="DC1154" t="str">
        <f>IF(OR($DB1154="prd",$DB1154="std",$DB1154="cit"),"loc",IF(OR($DB1154="eur",$DB1154="reg",$DB1154="coy"),"reg",$DB1154))</f>
        <v>reg</v>
      </c>
      <c r="DD1154" t="s">
        <v>925</v>
      </c>
      <c r="DE1154">
        <v>0</v>
      </c>
      <c r="DF1154">
        <v>0</v>
      </c>
      <c r="DG1154">
        <v>0</v>
      </c>
      <c r="DH1154" t="str">
        <f>IF(DG1154=0,"0",IF(AND(DG1154&gt;=1,DG1154&lt;=30),"1-30",IF(AND(DG1154&gt;30,DG1154&lt;=70),"31-70",IF(AND(DG1154&gt;70,DG1154&lt;=100),"71-100",IF(DG1154&gt;100,"+100")))))</f>
        <v>0</v>
      </c>
      <c r="DI1154">
        <v>1</v>
      </c>
      <c r="DJ1154">
        <v>0</v>
      </c>
      <c r="DK1154">
        <v>0</v>
      </c>
      <c r="DL1154">
        <v>0</v>
      </c>
      <c r="DN1154">
        <v>1</v>
      </c>
      <c r="DO1154" t="str">
        <f>IF(DN1154=1,INDEX($DI$7:$DL$7,MATCH(1,$DI1154:$DL1154,0)),"mixedProduct")</f>
        <v>UpstreamInput</v>
      </c>
      <c r="DP1154" t="str">
        <f>IF(DI1154=1,DP$7,0)</f>
        <v>Upstream</v>
      </c>
      <c r="DQ1154">
        <f>IF(DJ1154=1,DQ$7,0)</f>
        <v>0</v>
      </c>
      <c r="DR1154">
        <f>IF(DK1154=1,DR$7,0)</f>
        <v>0</v>
      </c>
      <c r="DS1154">
        <f>IF(DL1154=1,DS$7,0)</f>
        <v>0</v>
      </c>
      <c r="DT1154">
        <v>0</v>
      </c>
      <c r="DU1154">
        <v>0</v>
      </c>
      <c r="DV1154">
        <v>0</v>
      </c>
      <c r="DW1154">
        <v>0</v>
      </c>
      <c r="DX1154">
        <v>0</v>
      </c>
      <c r="DY1154">
        <f>SUM(DT1154:DU1154)</f>
        <v>0</v>
      </c>
      <c r="DZ1154" s="143" t="s">
        <v>926</v>
      </c>
      <c r="EA1154">
        <v>0</v>
      </c>
      <c r="EB1154">
        <v>0</v>
      </c>
      <c r="EC1154">
        <v>0</v>
      </c>
      <c r="ED1154">
        <v>0</v>
      </c>
      <c r="EE1154">
        <v>0</v>
      </c>
      <c r="EF1154" s="143">
        <v>0</v>
      </c>
      <c r="EG1154">
        <v>1</v>
      </c>
      <c r="EH1154">
        <v>0</v>
      </c>
      <c r="EI1154">
        <v>0</v>
      </c>
      <c r="EJ1154">
        <v>0</v>
      </c>
      <c r="EK1154">
        <v>0</v>
      </c>
      <c r="EL1154">
        <v>0</v>
      </c>
      <c r="EM1154">
        <v>0</v>
      </c>
      <c r="EN1154" s="2">
        <v>0</v>
      </c>
      <c r="EP1154" t="str">
        <f>IF(AND(AND(AND(OR($EC1154=1,$EB1154=1),OR($EH1154=1,$EF1154=1)),SUM($EA1154:$EE1154,$EK1154)&gt;=3),SUM($EF1154:$EJ1154)&gt;=2),"Whole sector approach","")</f>
        <v/>
      </c>
      <c r="EQ1154" t="str">
        <f>IF(AND(AND(OR($EC1154=1,$EB1154=1),AND($EH1154=0,$EF1154=0)),SUM($EA1154:$EE1154,$EK1154)&gt;=4),"Ecosystem approach","")</f>
        <v/>
      </c>
      <c r="ER1154" s="2" t="str">
        <f>IF(AND(AND(AND($EC1154=0,$EB1154=0),OR($EH1154=1,$EF1154=1)),SUM($EG1154:$EJ1154)&gt;=2),"Technology approach","")</f>
        <v/>
      </c>
      <c r="ES1154" t="str">
        <f>IF(AND($EC1154+$EB1154+$EE1154+$EA1154+$ED1154+$EG1154=0,$N1154="included"),"C neutral forest and HWP assumption","")</f>
        <v/>
      </c>
      <c r="ET1154" t="str">
        <f>IF(AND(AND(AND(AND($EC1154=1,$EB1154+$EA1154+$EG1154&gt;=1),$EF1154=1),$EH1154+$EI1154+$ED1154+$EE1154&gt;=2),$N1154="included"),"All C pools assumption","")</f>
        <v/>
      </c>
      <c r="EU1154" t="str">
        <f>IF(AND($ED1154+$EE1154+$EI1154+$EH1154+$EF1154=0,$N1154="included"),"In-situ only assumption","")</f>
        <v>In-situ only assumption</v>
      </c>
      <c r="EY1154" t="b">
        <f>IF(ISNUMBER(BW1154),IF(ABS(BW1154-[2]QC_indicators!$B$2)&gt;3*[2]QC_indicators!$C$2,"C ratio",IF(ISNUMBER(CA1154),IF(ABS(CA1154-[2]QC_indicators!$B$1)&gt;3*[2]QC_indicators!$C$1,"DF","no"))),IF(ISNUMBER(CA1154),IF(ABS(CA1154-[2]QC_indicators!$B$1)&gt;3*[2]QC_indicators!$C$1,"DF","no")))</f>
        <v>0</v>
      </c>
      <c r="FA1154" t="str">
        <f>IF(LEN($CY1154)=0,"",IF(AND($CY1154&lt;(-0.05),$ES1154="C neutral forest and HWP assumption"),"Cneutral paradox",IF(AND($CY1154&gt;0.05,$EU1154="In-situ only assumption"),"In-situ only paradox","")))</f>
        <v/>
      </c>
      <c r="FD1154" s="260" t="s">
        <v>2857</v>
      </c>
    </row>
    <row r="1155" spans="1:160" ht="15" customHeight="1">
      <c r="A1155" s="1" t="s">
        <v>574</v>
      </c>
      <c r="B1155" t="s">
        <v>1796</v>
      </c>
      <c r="C1155" t="s">
        <v>1797</v>
      </c>
      <c r="D1155" t="s">
        <v>1798</v>
      </c>
      <c r="E1155" t="s">
        <v>1799</v>
      </c>
      <c r="F1155" t="s">
        <v>1800</v>
      </c>
      <c r="G1155" t="s">
        <v>580</v>
      </c>
      <c r="H1155" t="s">
        <v>254</v>
      </c>
      <c r="I1155">
        <v>2018</v>
      </c>
      <c r="J1155">
        <v>7</v>
      </c>
      <c r="K1155" t="s">
        <v>1801</v>
      </c>
      <c r="M1155" t="str">
        <f>LEFT($D1155,FIND(",",$D1155)-1)&amp;"_"&amp;I1155&amp;L1155</f>
        <v>Nakano_2018</v>
      </c>
      <c r="N1155" t="s">
        <v>222</v>
      </c>
      <c r="O1155" s="157" t="s">
        <v>274</v>
      </c>
      <c r="P1155" t="s">
        <v>924</v>
      </c>
      <c r="Q1155" t="s">
        <v>389</v>
      </c>
      <c r="R1155" s="258" t="s">
        <v>223</v>
      </c>
      <c r="S1155" s="1" t="s">
        <v>1811</v>
      </c>
      <c r="T1155" t="s">
        <v>1818</v>
      </c>
      <c r="U1155" t="s">
        <v>1819</v>
      </c>
      <c r="V1155" s="253">
        <v>0</v>
      </c>
      <c r="W1155" s="253">
        <v>0</v>
      </c>
      <c r="X1155">
        <v>0</v>
      </c>
      <c r="Y1155">
        <v>0</v>
      </c>
      <c r="Z1155">
        <v>0</v>
      </c>
      <c r="AA1155">
        <v>1</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s="141">
        <f>COUNTIF(X1155:AY1155,"&lt;&gt;0")</f>
        <v>1</v>
      </c>
      <c r="BA1155" s="141">
        <f>COUNTIF(X1155:AN1155,"&lt;&gt;0")</f>
        <v>1</v>
      </c>
      <c r="BB1155">
        <f>COUNTIF(X1155:AE1155,"&lt;&gt;0")</f>
        <v>1</v>
      </c>
      <c r="BC1155">
        <f>COUNTIF(AF1155:AK1155,"&lt;&gt;0")</f>
        <v>0</v>
      </c>
      <c r="BD1155">
        <f>COUNTIF(AL1155:AN1155,"&lt;&gt;0")</f>
        <v>0</v>
      </c>
      <c r="BE1155">
        <f>COUNTIF(AU1155:AY1155,"&lt;&gt;0")</f>
        <v>0</v>
      </c>
      <c r="BF1155">
        <f>COUNTIF(AO1155:AT1155,"&lt;&gt;0")</f>
        <v>0</v>
      </c>
      <c r="BG1155" t="str">
        <f t="array" ref="BG1155">IF(BA1155=1,INDEX($X$7:$AN$7,MATCH(TRUE,INDEX($X1155:$AY1155&lt;&gt;0,),0)),IF(BA1155=0,INDEX($AO$7:$AY$7,MATCH(1,$AO1155:$AY1155,0)),IF(BH1155="Multiple strategies","mixed drivers",IF(BH1155="Supply chain","multiple supply","multiple silviculture"))))</f>
        <v xml:space="preserve">cutting intensity </v>
      </c>
      <c r="BH1155" s="2" t="str" cm="1">
        <f t="array" ref="BH1155">IF(COUNTIF(BB1155:BD1155,"&lt;&gt;0")=1,INDEX($X$4:$AY$4,MATCH(TRUE,INDEX($X1155:$AY1155&lt;&gt;0,),0)),IF(COUNTIF(BB1155:BD1155,"&lt;&gt;0")=0,INDEX($AO$4:$AY$4,MATCH(1,$AO1155:$AY1155,0)),"Multiple strategies"))</f>
        <v>Silviculture for removals</v>
      </c>
      <c r="BI1155" s="1" t="s">
        <v>321</v>
      </c>
      <c r="BJ1155" t="s">
        <v>1805</v>
      </c>
      <c r="BK1155" t="s">
        <v>1806</v>
      </c>
      <c r="BL1155" t="s">
        <v>1807</v>
      </c>
      <c r="BM1155">
        <v>1</v>
      </c>
      <c r="BN1155">
        <v>1</v>
      </c>
      <c r="BO1155">
        <v>1</v>
      </c>
      <c r="BP1155">
        <f>BN1155-BM1155</f>
        <v>0</v>
      </c>
      <c r="BQ1155">
        <f>BP1155</f>
        <v>0</v>
      </c>
      <c r="BR1155" t="s">
        <v>395</v>
      </c>
      <c r="BS1155" s="260" t="s">
        <v>2858</v>
      </c>
      <c r="BT1155" t="s">
        <v>1814</v>
      </c>
      <c r="BU1155">
        <v>2.43624161073825E-2</v>
      </c>
      <c r="BV1155">
        <v>2.5234899328859001E-2</v>
      </c>
      <c r="BW1155" s="144">
        <v>1.0358126721763081</v>
      </c>
      <c r="BX1155">
        <f>BV1155-BU1155</f>
        <v>8.7248322147650062E-4</v>
      </c>
      <c r="BZ1155">
        <v>8.7248322147650062E-4</v>
      </c>
      <c r="CA1155" t="str">
        <f>IFERROR(BZ1155/BQ1155,"")</f>
        <v/>
      </c>
      <c r="CB1155">
        <v>0</v>
      </c>
      <c r="CC1155">
        <v>0</v>
      </c>
      <c r="CD1155">
        <v>0</v>
      </c>
      <c r="CE1155">
        <v>0</v>
      </c>
      <c r="CF1155">
        <v>0</v>
      </c>
      <c r="CG1155">
        <v>0</v>
      </c>
      <c r="CH1155">
        <v>0</v>
      </c>
      <c r="CI1155">
        <v>0</v>
      </c>
      <c r="CJ1155">
        <v>0</v>
      </c>
      <c r="CK1155">
        <v>0</v>
      </c>
      <c r="CL1155">
        <v>0</v>
      </c>
      <c r="CM1155">
        <v>0</v>
      </c>
      <c r="CN1155">
        <v>0</v>
      </c>
      <c r="CO1155">
        <v>0</v>
      </c>
      <c r="CP1155" t="str">
        <f>IF($BN1155&lt;$BM1155,"refNeedCorrection","refOK")</f>
        <v>refOK</v>
      </c>
      <c r="CQ1155">
        <f>IF($CP1155="refOK",$BM1155,$BN1155)</f>
        <v>1</v>
      </c>
      <c r="CR1155">
        <f>IF($CP1155="refOK",$BN1155,$BM1155)</f>
        <v>1</v>
      </c>
      <c r="CS1155">
        <f>IF($CP1155="refOK",$BQ1155,-$BQ1155)</f>
        <v>0</v>
      </c>
      <c r="CT1155">
        <f>IF(BI1155="Roundwood",$CS1155/2,$CS1155)</f>
        <v>0</v>
      </c>
      <c r="CU1155">
        <f>IF($CP1155="refOK",$BU1155,$BV1155)*IF($BR1155="Emissions positive",-1,1)</f>
        <v>-2.43624161073825E-2</v>
      </c>
      <c r="CV1155">
        <f>IF($CP1155="refOK",$BV1155,$BU1155)*IF($BR1155="Emissions positive",-1,1)</f>
        <v>-2.5234899328859001E-2</v>
      </c>
      <c r="CW1155">
        <f>IF($CP1155="refNeedCorrection",-BZ1155,BZ1155)*IF($BR1155="Emissions positive",-1,1)</f>
        <v>-8.7248322147650062E-4</v>
      </c>
      <c r="CX1155" t="str">
        <f>IFERROR($CW1155/$CS1155,"")</f>
        <v/>
      </c>
      <c r="CY1155" t="str">
        <f>IFERROR($CW1155/$CS1155,"")</f>
        <v/>
      </c>
      <c r="CZ1155" t="str">
        <f>IFERROR($CW1155/$CT1155,"")</f>
        <v/>
      </c>
      <c r="DA1155" s="2">
        <f>IFERROR((CV1155-CU1155)/ABS(CU1155),"")</f>
        <v>-3.5812672176308229E-2</v>
      </c>
      <c r="DB1155" s="1" t="s">
        <v>1078</v>
      </c>
      <c r="DC1155" t="str">
        <f>IF(OR($DB1155="prd",$DB1155="std",$DB1155="cit"),"loc",IF(OR($DB1155="eur",$DB1155="reg",$DB1155="coy"),"reg",$DB1155))</f>
        <v>reg</v>
      </c>
      <c r="DD1155" t="s">
        <v>925</v>
      </c>
      <c r="DE1155">
        <v>0</v>
      </c>
      <c r="DF1155">
        <v>0</v>
      </c>
      <c r="DG1155">
        <v>0</v>
      </c>
      <c r="DH1155" t="str">
        <f>IF(DG1155=0,"0",IF(AND(DG1155&gt;=1,DG1155&lt;=30),"1-30",IF(AND(DG1155&gt;30,DG1155&lt;=70),"31-70",IF(AND(DG1155&gt;70,DG1155&lt;=100),"71-100",IF(DG1155&gt;100,"+100")))))</f>
        <v>0</v>
      </c>
      <c r="DI1155">
        <v>1</v>
      </c>
      <c r="DJ1155">
        <v>0</v>
      </c>
      <c r="DK1155">
        <v>0</v>
      </c>
      <c r="DL1155">
        <v>0</v>
      </c>
      <c r="DN1155">
        <v>1</v>
      </c>
      <c r="DO1155" t="str">
        <f>IF(DN1155=1,INDEX($DI$7:$DL$7,MATCH(1,$DI1155:$DL1155,0)),"mixedProduct")</f>
        <v>UpstreamInput</v>
      </c>
      <c r="DP1155" t="str">
        <f>IF(DI1155=1,DP$7,0)</f>
        <v>Upstream</v>
      </c>
      <c r="DQ1155">
        <f>IF(DJ1155=1,DQ$7,0)</f>
        <v>0</v>
      </c>
      <c r="DR1155">
        <f>IF(DK1155=1,DR$7,0)</f>
        <v>0</v>
      </c>
      <c r="DS1155">
        <f>IF(DL1155=1,DS$7,0)</f>
        <v>0</v>
      </c>
      <c r="DT1155">
        <v>0</v>
      </c>
      <c r="DU1155">
        <v>0</v>
      </c>
      <c r="DV1155">
        <v>0</v>
      </c>
      <c r="DW1155">
        <v>0</v>
      </c>
      <c r="DX1155">
        <v>0</v>
      </c>
      <c r="DY1155">
        <f>SUM(DT1155:DU1155)</f>
        <v>0</v>
      </c>
      <c r="DZ1155" s="143" t="s">
        <v>926</v>
      </c>
      <c r="EA1155">
        <v>0</v>
      </c>
      <c r="EB1155">
        <v>0</v>
      </c>
      <c r="EC1155">
        <v>0</v>
      </c>
      <c r="ED1155">
        <v>0</v>
      </c>
      <c r="EE1155">
        <v>0</v>
      </c>
      <c r="EF1155" s="143">
        <v>0</v>
      </c>
      <c r="EG1155">
        <v>1</v>
      </c>
      <c r="EH1155">
        <v>0</v>
      </c>
      <c r="EI1155">
        <v>0</v>
      </c>
      <c r="EJ1155">
        <v>0</v>
      </c>
      <c r="EK1155">
        <v>0</v>
      </c>
      <c r="EL1155">
        <v>0</v>
      </c>
      <c r="EM1155">
        <v>0</v>
      </c>
      <c r="EN1155" s="2">
        <v>0</v>
      </c>
      <c r="EP1155" t="str">
        <f>IF(AND(AND(AND(OR($EC1155=1,$EB1155=1),OR($EH1155=1,$EF1155=1)),SUM($EA1155:$EE1155,$EK1155)&gt;=3),SUM($EF1155:$EJ1155)&gt;=2),"Whole sector approach","")</f>
        <v/>
      </c>
      <c r="EQ1155" t="str">
        <f>IF(AND(AND(OR($EC1155=1,$EB1155=1),AND($EH1155=0,$EF1155=0)),SUM($EA1155:$EE1155,$EK1155)&gt;=4),"Ecosystem approach","")</f>
        <v/>
      </c>
      <c r="ER1155" s="2" t="str">
        <f>IF(AND(AND(AND($EC1155=0,$EB1155=0),OR($EH1155=1,$EF1155=1)),SUM($EG1155:$EJ1155)&gt;=2),"Technology approach","")</f>
        <v/>
      </c>
      <c r="ES1155" t="str">
        <f>IF(AND($EC1155+$EB1155+$EE1155+$EA1155+$ED1155+$EG1155=0,$N1155="included"),"C neutral forest and HWP assumption","")</f>
        <v/>
      </c>
      <c r="ET1155" t="str">
        <f>IF(AND(AND(AND(AND($EC1155=1,$EB1155+$EA1155+$EG1155&gt;=1),$EF1155=1),$EH1155+$EI1155+$ED1155+$EE1155&gt;=2),$N1155="included"),"All C pools assumption","")</f>
        <v/>
      </c>
      <c r="EU1155" t="str">
        <f>IF(AND($ED1155+$EE1155+$EI1155+$EH1155+$EF1155=0,$N1155="included"),"In-situ only assumption","")</f>
        <v>In-situ only assumption</v>
      </c>
      <c r="EY1155" t="b">
        <f>IF(ISNUMBER(BW1155),IF(ABS(BW1155-[2]QC_indicators!$B$2)&gt;3*[2]QC_indicators!$C$2,"C ratio",IF(ISNUMBER(CA1155),IF(ABS(CA1155-[2]QC_indicators!$B$1)&gt;3*[2]QC_indicators!$C$1,"DF","no"))),IF(ISNUMBER(CA1155),IF(ABS(CA1155-[2]QC_indicators!$B$1)&gt;3*[2]QC_indicators!$C$1,"DF","no")))</f>
        <v>0</v>
      </c>
      <c r="FA1155" t="str">
        <f>IF(LEN($CY1155)=0,"",IF(AND($CY1155&lt;(-0.05),$ES1155="C neutral forest and HWP assumption"),"Cneutral paradox",IF(AND($CY1155&gt;0.05,$EU1155="In-situ only assumption"),"In-situ only paradox","")))</f>
        <v/>
      </c>
      <c r="FD1155" s="260" t="s">
        <v>2857</v>
      </c>
    </row>
    <row r="1156" spans="1:160" ht="15" customHeight="1">
      <c r="A1156" s="1" t="s">
        <v>574</v>
      </c>
      <c r="B1156" t="s">
        <v>1796</v>
      </c>
      <c r="C1156" t="s">
        <v>1797</v>
      </c>
      <c r="D1156" t="s">
        <v>1798</v>
      </c>
      <c r="E1156" t="s">
        <v>1799</v>
      </c>
      <c r="F1156" t="s">
        <v>1800</v>
      </c>
      <c r="G1156" t="s">
        <v>580</v>
      </c>
      <c r="H1156" t="s">
        <v>254</v>
      </c>
      <c r="I1156">
        <v>2018</v>
      </c>
      <c r="J1156">
        <v>7</v>
      </c>
      <c r="K1156" t="s">
        <v>1801</v>
      </c>
      <c r="M1156" t="str">
        <f>LEFT($D1156,FIND(",",$D1156)-1)&amp;"_"&amp;I1156&amp;L1156</f>
        <v>Nakano_2018</v>
      </c>
      <c r="N1156" t="s">
        <v>222</v>
      </c>
      <c r="O1156" s="157" t="s">
        <v>274</v>
      </c>
      <c r="P1156" t="s">
        <v>924</v>
      </c>
      <c r="Q1156" t="s">
        <v>389</v>
      </c>
      <c r="R1156" s="258" t="s">
        <v>223</v>
      </c>
      <c r="S1156" s="1" t="s">
        <v>1811</v>
      </c>
      <c r="T1156" t="s">
        <v>1820</v>
      </c>
      <c r="U1156" t="s">
        <v>1821</v>
      </c>
      <c r="V1156" s="253">
        <v>0</v>
      </c>
      <c r="W1156" s="253">
        <v>0</v>
      </c>
      <c r="X1156">
        <v>0</v>
      </c>
      <c r="Y1156">
        <v>0</v>
      </c>
      <c r="Z1156">
        <v>0</v>
      </c>
      <c r="AA1156">
        <v>1</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s="141">
        <f>COUNTIF(X1156:AY1156,"&lt;&gt;0")</f>
        <v>1</v>
      </c>
      <c r="BA1156" s="141">
        <f>COUNTIF(X1156:AN1156,"&lt;&gt;0")</f>
        <v>1</v>
      </c>
      <c r="BB1156">
        <f>COUNTIF(X1156:AE1156,"&lt;&gt;0")</f>
        <v>1</v>
      </c>
      <c r="BC1156">
        <f>COUNTIF(AF1156:AK1156,"&lt;&gt;0")</f>
        <v>0</v>
      </c>
      <c r="BD1156">
        <f>COUNTIF(AL1156:AN1156,"&lt;&gt;0")</f>
        <v>0</v>
      </c>
      <c r="BE1156">
        <f>COUNTIF(AU1156:AY1156,"&lt;&gt;0")</f>
        <v>0</v>
      </c>
      <c r="BF1156">
        <f>COUNTIF(AO1156:AT1156,"&lt;&gt;0")</f>
        <v>0</v>
      </c>
      <c r="BG1156" t="str">
        <f t="array" ref="BG1156">IF(BA1156=1,INDEX($X$7:$AN$7,MATCH(TRUE,INDEX($X1156:$AY1156&lt;&gt;0,),0)),IF(BA1156=0,INDEX($AO$7:$AY$7,MATCH(1,$AO1156:$AY1156,0)),IF(BH1156="Multiple strategies","mixed drivers",IF(BH1156="Supply chain","multiple supply","multiple silviculture"))))</f>
        <v xml:space="preserve">cutting intensity </v>
      </c>
      <c r="BH1156" s="2" t="str" cm="1">
        <f t="array" ref="BH1156">IF(COUNTIF(BB1156:BD1156,"&lt;&gt;0")=1,INDEX($X$4:$AY$4,MATCH(TRUE,INDEX($X1156:$AY1156&lt;&gt;0,),0)),IF(COUNTIF(BB1156:BD1156,"&lt;&gt;0")=0,INDEX($AO$4:$AY$4,MATCH(1,$AO1156:$AY1156,0)),"Multiple strategies"))</f>
        <v>Silviculture for removals</v>
      </c>
      <c r="BI1156" s="1" t="s">
        <v>321</v>
      </c>
      <c r="BJ1156" t="s">
        <v>1805</v>
      </c>
      <c r="BK1156" t="s">
        <v>1806</v>
      </c>
      <c r="BL1156" t="s">
        <v>1807</v>
      </c>
      <c r="BM1156">
        <v>1</v>
      </c>
      <c r="BN1156">
        <v>1</v>
      </c>
      <c r="BO1156">
        <v>1</v>
      </c>
      <c r="BP1156">
        <f>BN1156-BM1156</f>
        <v>0</v>
      </c>
      <c r="BQ1156">
        <f>BP1156</f>
        <v>0</v>
      </c>
      <c r="BR1156" t="s">
        <v>395</v>
      </c>
      <c r="BS1156" s="260" t="s">
        <v>2858</v>
      </c>
      <c r="BT1156" t="s">
        <v>1814</v>
      </c>
      <c r="BU1156">
        <v>2.5033557046979803E-2</v>
      </c>
      <c r="BV1156">
        <v>2.5771812080536902E-2</v>
      </c>
      <c r="BW1156" s="144">
        <v>1.0294906166219859</v>
      </c>
      <c r="BX1156">
        <f>BV1156-BU1156</f>
        <v>7.3825503355709823E-4</v>
      </c>
      <c r="BZ1156">
        <v>7.3825503355709823E-4</v>
      </c>
      <c r="CA1156" t="str">
        <f>IFERROR(BZ1156/BQ1156,"")</f>
        <v/>
      </c>
      <c r="CB1156">
        <v>0</v>
      </c>
      <c r="CC1156">
        <v>0</v>
      </c>
      <c r="CD1156">
        <v>0</v>
      </c>
      <c r="CE1156">
        <v>0</v>
      </c>
      <c r="CF1156">
        <v>0</v>
      </c>
      <c r="CG1156">
        <v>0</v>
      </c>
      <c r="CH1156">
        <v>0</v>
      </c>
      <c r="CI1156">
        <v>0</v>
      </c>
      <c r="CJ1156">
        <v>0</v>
      </c>
      <c r="CK1156">
        <v>0</v>
      </c>
      <c r="CL1156">
        <v>0</v>
      </c>
      <c r="CM1156">
        <v>0</v>
      </c>
      <c r="CN1156">
        <v>0</v>
      </c>
      <c r="CO1156">
        <v>0</v>
      </c>
      <c r="CP1156" t="str">
        <f>IF($BN1156&lt;$BM1156,"refNeedCorrection","refOK")</f>
        <v>refOK</v>
      </c>
      <c r="CQ1156">
        <f>IF($CP1156="refOK",$BM1156,$BN1156)</f>
        <v>1</v>
      </c>
      <c r="CR1156">
        <f>IF($CP1156="refOK",$BN1156,$BM1156)</f>
        <v>1</v>
      </c>
      <c r="CS1156">
        <f>IF($CP1156="refOK",$BQ1156,-$BQ1156)</f>
        <v>0</v>
      </c>
      <c r="CT1156">
        <f>IF(BI1156="Roundwood",$CS1156/2,$CS1156)</f>
        <v>0</v>
      </c>
      <c r="CU1156">
        <f>IF($CP1156="refOK",$BU1156,$BV1156)*IF($BR1156="Emissions positive",-1,1)</f>
        <v>-2.5033557046979803E-2</v>
      </c>
      <c r="CV1156">
        <f>IF($CP1156="refOK",$BV1156,$BU1156)*IF($BR1156="Emissions positive",-1,1)</f>
        <v>-2.5771812080536902E-2</v>
      </c>
      <c r="CW1156">
        <f>IF($CP1156="refNeedCorrection",-BZ1156,BZ1156)*IF($BR1156="Emissions positive",-1,1)</f>
        <v>-7.3825503355709823E-4</v>
      </c>
      <c r="CX1156" t="str">
        <f>IFERROR($CW1156/$CS1156,"")</f>
        <v/>
      </c>
      <c r="CY1156" t="str">
        <f>IFERROR($CW1156/$CS1156,"")</f>
        <v/>
      </c>
      <c r="CZ1156" t="str">
        <f>IFERROR($CW1156/$CT1156,"")</f>
        <v/>
      </c>
      <c r="DA1156" s="2">
        <f>IFERROR((CV1156-CU1156)/ABS(CU1156),"")</f>
        <v>-2.9490616621986036E-2</v>
      </c>
      <c r="DB1156" s="1" t="s">
        <v>1078</v>
      </c>
      <c r="DC1156" t="str">
        <f>IF(OR($DB1156="prd",$DB1156="std",$DB1156="cit"),"loc",IF(OR($DB1156="eur",$DB1156="reg",$DB1156="coy"),"reg",$DB1156))</f>
        <v>reg</v>
      </c>
      <c r="DD1156" t="s">
        <v>925</v>
      </c>
      <c r="DE1156">
        <v>0</v>
      </c>
      <c r="DF1156">
        <v>0</v>
      </c>
      <c r="DG1156">
        <v>0</v>
      </c>
      <c r="DH1156" t="str">
        <f>IF(DG1156=0,"0",IF(AND(DG1156&gt;=1,DG1156&lt;=30),"1-30",IF(AND(DG1156&gt;30,DG1156&lt;=70),"31-70",IF(AND(DG1156&gt;70,DG1156&lt;=100),"71-100",IF(DG1156&gt;100,"+100")))))</f>
        <v>0</v>
      </c>
      <c r="DI1156">
        <v>1</v>
      </c>
      <c r="DJ1156">
        <v>0</v>
      </c>
      <c r="DK1156">
        <v>0</v>
      </c>
      <c r="DL1156">
        <v>0</v>
      </c>
      <c r="DN1156">
        <v>1</v>
      </c>
      <c r="DO1156" t="str">
        <f>IF(DN1156=1,INDEX($DI$7:$DL$7,MATCH(1,$DI1156:$DL1156,0)),"mixedProduct")</f>
        <v>UpstreamInput</v>
      </c>
      <c r="DP1156" t="str">
        <f>IF(DI1156=1,DP$7,0)</f>
        <v>Upstream</v>
      </c>
      <c r="DQ1156">
        <f>IF(DJ1156=1,DQ$7,0)</f>
        <v>0</v>
      </c>
      <c r="DR1156">
        <f>IF(DK1156=1,DR$7,0)</f>
        <v>0</v>
      </c>
      <c r="DS1156">
        <f>IF(DL1156=1,DS$7,0)</f>
        <v>0</v>
      </c>
      <c r="DT1156">
        <v>0</v>
      </c>
      <c r="DU1156">
        <v>0</v>
      </c>
      <c r="DV1156">
        <v>0</v>
      </c>
      <c r="DW1156">
        <v>0</v>
      </c>
      <c r="DX1156">
        <v>0</v>
      </c>
      <c r="DY1156">
        <f>SUM(DT1156:DU1156)</f>
        <v>0</v>
      </c>
      <c r="DZ1156" s="143" t="s">
        <v>926</v>
      </c>
      <c r="EA1156">
        <v>0</v>
      </c>
      <c r="EB1156">
        <v>0</v>
      </c>
      <c r="EC1156">
        <v>0</v>
      </c>
      <c r="ED1156">
        <v>0</v>
      </c>
      <c r="EE1156">
        <v>0</v>
      </c>
      <c r="EF1156" s="143">
        <v>0</v>
      </c>
      <c r="EG1156">
        <v>1</v>
      </c>
      <c r="EH1156">
        <v>0</v>
      </c>
      <c r="EI1156">
        <v>0</v>
      </c>
      <c r="EJ1156">
        <v>0</v>
      </c>
      <c r="EK1156">
        <v>0</v>
      </c>
      <c r="EL1156">
        <v>0</v>
      </c>
      <c r="EM1156">
        <v>0</v>
      </c>
      <c r="EN1156" s="2">
        <v>0</v>
      </c>
      <c r="EP1156" t="str">
        <f>IF(AND(AND(AND(OR($EC1156=1,$EB1156=1),OR($EH1156=1,$EF1156=1)),SUM($EA1156:$EE1156,$EK1156)&gt;=3),SUM($EF1156:$EJ1156)&gt;=2),"Whole sector approach","")</f>
        <v/>
      </c>
      <c r="EQ1156" t="str">
        <f>IF(AND(AND(OR($EC1156=1,$EB1156=1),AND($EH1156=0,$EF1156=0)),SUM($EA1156:$EE1156,$EK1156)&gt;=4),"Ecosystem approach","")</f>
        <v/>
      </c>
      <c r="ER1156" s="2" t="str">
        <f>IF(AND(AND(AND($EC1156=0,$EB1156=0),OR($EH1156=1,$EF1156=1)),SUM($EG1156:$EJ1156)&gt;=2),"Technology approach","")</f>
        <v/>
      </c>
      <c r="ES1156" t="str">
        <f>IF(AND($EC1156+$EB1156+$EE1156+$EA1156+$ED1156+$EG1156=0,$N1156="included"),"C neutral forest and HWP assumption","")</f>
        <v/>
      </c>
      <c r="ET1156" t="str">
        <f>IF(AND(AND(AND(AND($EC1156=1,$EB1156+$EA1156+$EG1156&gt;=1),$EF1156=1),$EH1156+$EI1156+$ED1156+$EE1156&gt;=2),$N1156="included"),"All C pools assumption","")</f>
        <v/>
      </c>
      <c r="EU1156" t="str">
        <f>IF(AND($ED1156+$EE1156+$EI1156+$EH1156+$EF1156=0,$N1156="included"),"In-situ only assumption","")</f>
        <v>In-situ only assumption</v>
      </c>
      <c r="EY1156" t="b">
        <f>IF(ISNUMBER(BW1156),IF(ABS(BW1156-[2]QC_indicators!$B$2)&gt;3*[2]QC_indicators!$C$2,"C ratio",IF(ISNUMBER(CA1156),IF(ABS(CA1156-[2]QC_indicators!$B$1)&gt;3*[2]QC_indicators!$C$1,"DF","no"))),IF(ISNUMBER(CA1156),IF(ABS(CA1156-[2]QC_indicators!$B$1)&gt;3*[2]QC_indicators!$C$1,"DF","no")))</f>
        <v>0</v>
      </c>
      <c r="FA1156" t="str">
        <f>IF(LEN($CY1156)=0,"",IF(AND($CY1156&lt;(-0.05),$ES1156="C neutral forest and HWP assumption"),"Cneutral paradox",IF(AND($CY1156&gt;0.05,$EU1156="In-situ only assumption"),"In-situ only paradox","")))</f>
        <v/>
      </c>
      <c r="FD1156" s="260" t="s">
        <v>2857</v>
      </c>
    </row>
    <row r="1157" spans="1:160">
      <c r="A1157" s="1" t="s">
        <v>574</v>
      </c>
      <c r="B1157" t="s">
        <v>1796</v>
      </c>
      <c r="C1157" t="s">
        <v>1797</v>
      </c>
      <c r="D1157" t="s">
        <v>1798</v>
      </c>
      <c r="E1157" t="s">
        <v>1799</v>
      </c>
      <c r="F1157" t="s">
        <v>1800</v>
      </c>
      <c r="G1157" t="s">
        <v>580</v>
      </c>
      <c r="H1157" t="s">
        <v>254</v>
      </c>
      <c r="I1157">
        <v>2018</v>
      </c>
      <c r="J1157">
        <v>7</v>
      </c>
      <c r="K1157" t="s">
        <v>1801</v>
      </c>
      <c r="M1157" t="str">
        <f>LEFT($D1157,FIND(",",$D1157)-1)&amp;"_"&amp;I1157&amp;L1157</f>
        <v>Nakano_2018</v>
      </c>
      <c r="N1157" t="s">
        <v>222</v>
      </c>
      <c r="O1157" s="157" t="s">
        <v>274</v>
      </c>
      <c r="P1157" t="s">
        <v>924</v>
      </c>
      <c r="Q1157" t="s">
        <v>389</v>
      </c>
      <c r="R1157" s="258" t="s">
        <v>223</v>
      </c>
      <c r="S1157" s="1" t="s">
        <v>1811</v>
      </c>
      <c r="T1157" t="s">
        <v>1812</v>
      </c>
      <c r="U1157" t="s">
        <v>1813</v>
      </c>
      <c r="V1157" s="253">
        <v>0</v>
      </c>
      <c r="W1157" s="253">
        <v>0</v>
      </c>
      <c r="X1157">
        <v>0</v>
      </c>
      <c r="Y1157">
        <v>0</v>
      </c>
      <c r="Z1157">
        <v>0</v>
      </c>
      <c r="AA1157">
        <v>1</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s="141">
        <f>COUNTIF(X1157:AY1157,"&lt;&gt;0")</f>
        <v>1</v>
      </c>
      <c r="BA1157" s="141">
        <f>COUNTIF(X1157:AN1157,"&lt;&gt;0")</f>
        <v>1</v>
      </c>
      <c r="BB1157">
        <f>COUNTIF(X1157:AE1157,"&lt;&gt;0")</f>
        <v>1</v>
      </c>
      <c r="BC1157">
        <f>COUNTIF(AF1157:AK1157,"&lt;&gt;0")</f>
        <v>0</v>
      </c>
      <c r="BD1157">
        <f>COUNTIF(AL1157:AN1157,"&lt;&gt;0")</f>
        <v>0</v>
      </c>
      <c r="BE1157">
        <f>COUNTIF(AU1157:AY1157,"&lt;&gt;0")</f>
        <v>0</v>
      </c>
      <c r="BF1157">
        <f>COUNTIF(AO1157:AT1157,"&lt;&gt;0")</f>
        <v>0</v>
      </c>
      <c r="BG1157" t="str">
        <f t="array" ref="BG1157">IF(BA1157=1,INDEX($X$7:$AN$7,MATCH(TRUE,INDEX($X1157:$AY1157&lt;&gt;0,),0)),IF(BA1157=0,INDEX($AO$7:$AY$7,MATCH(1,$AO1157:$AY1157,0)),IF(BH1157="Multiple strategies","mixed drivers",IF(BH1157="Supply chain","multiple supply","multiple silviculture"))))</f>
        <v xml:space="preserve">cutting intensity </v>
      </c>
      <c r="BH1157" s="2" t="str" cm="1">
        <f t="array" ref="BH1157">IF(COUNTIF(BB1157:BD1157,"&lt;&gt;0")=1,INDEX($X$4:$AY$4,MATCH(TRUE,INDEX($X1157:$AY1157&lt;&gt;0,),0)),IF(COUNTIF(BB1157:BD1157,"&lt;&gt;0")=0,INDEX($AO$4:$AY$4,MATCH(1,$AO1157:$AY1157,0)),"Multiple strategies"))</f>
        <v>Silviculture for removals</v>
      </c>
      <c r="BI1157" s="1" t="s">
        <v>321</v>
      </c>
      <c r="BJ1157" t="s">
        <v>1805</v>
      </c>
      <c r="BK1157" t="s">
        <v>1806</v>
      </c>
      <c r="BL1157" t="s">
        <v>1807</v>
      </c>
      <c r="BM1157">
        <v>1</v>
      </c>
      <c r="BN1157">
        <v>1</v>
      </c>
      <c r="BO1157">
        <v>1</v>
      </c>
      <c r="BP1157">
        <f>BN1157-BM1157</f>
        <v>0</v>
      </c>
      <c r="BQ1157">
        <f>BP1157</f>
        <v>0</v>
      </c>
      <c r="BR1157" t="s">
        <v>395</v>
      </c>
      <c r="BS1157" s="260" t="s">
        <v>2858</v>
      </c>
      <c r="BT1157" t="s">
        <v>1814</v>
      </c>
      <c r="BU1157">
        <v>2.5973154362416099E-2</v>
      </c>
      <c r="BV1157">
        <v>2.5973154362416099E-2</v>
      </c>
      <c r="BW1157" s="144">
        <v>1</v>
      </c>
      <c r="BX1157">
        <f>BV1157-BU1157</f>
        <v>0</v>
      </c>
      <c r="BZ1157">
        <v>0</v>
      </c>
      <c r="CA1157" t="str">
        <f>IFERROR(BZ1157/BQ1157,"")</f>
        <v/>
      </c>
      <c r="CB1157">
        <v>0</v>
      </c>
      <c r="CC1157">
        <v>0</v>
      </c>
      <c r="CD1157">
        <v>0</v>
      </c>
      <c r="CE1157">
        <v>0</v>
      </c>
      <c r="CF1157">
        <v>0</v>
      </c>
      <c r="CG1157">
        <v>0</v>
      </c>
      <c r="CH1157">
        <v>0</v>
      </c>
      <c r="CI1157">
        <v>0</v>
      </c>
      <c r="CJ1157">
        <v>0</v>
      </c>
      <c r="CK1157">
        <v>0</v>
      </c>
      <c r="CL1157">
        <v>0</v>
      </c>
      <c r="CM1157">
        <v>0</v>
      </c>
      <c r="CN1157">
        <v>0</v>
      </c>
      <c r="CO1157">
        <v>0</v>
      </c>
      <c r="CP1157" t="str">
        <f>IF($BN1157&lt;$BM1157,"refNeedCorrection","refOK")</f>
        <v>refOK</v>
      </c>
      <c r="CQ1157">
        <f>IF($CP1157="refOK",$BM1157,$BN1157)</f>
        <v>1</v>
      </c>
      <c r="CR1157">
        <f>IF($CP1157="refOK",$BN1157,$BM1157)</f>
        <v>1</v>
      </c>
      <c r="CS1157">
        <f>IF($CP1157="refOK",$BQ1157,-$BQ1157)</f>
        <v>0</v>
      </c>
      <c r="CT1157">
        <f>IF(BI1157="Roundwood",$CS1157/2,$CS1157)</f>
        <v>0</v>
      </c>
      <c r="CU1157">
        <f>IF($CP1157="refOK",$BU1157,$BV1157)*IF($BR1157="Emissions positive",-1,1)</f>
        <v>-2.5973154362416099E-2</v>
      </c>
      <c r="CV1157">
        <f>IF($CP1157="refOK",$BV1157,$BU1157)*IF($BR1157="Emissions positive",-1,1)</f>
        <v>-2.5973154362416099E-2</v>
      </c>
      <c r="CW1157">
        <f>IF($CP1157="refNeedCorrection",-BZ1157,BZ1157)*IF($BR1157="Emissions positive",-1,1)</f>
        <v>0</v>
      </c>
      <c r="CX1157" t="str">
        <f>IFERROR($CW1157/$CS1157,"")</f>
        <v/>
      </c>
      <c r="CY1157" t="str">
        <f>IFERROR($CW1157/$CS1157,"")</f>
        <v/>
      </c>
      <c r="CZ1157" t="str">
        <f>IFERROR($CW1157/$CT1157,"")</f>
        <v/>
      </c>
      <c r="DA1157" s="2">
        <f>IFERROR((CV1157-CU1157)/ABS(CU1157),"")</f>
        <v>0</v>
      </c>
      <c r="DB1157" s="1" t="s">
        <v>1078</v>
      </c>
      <c r="DC1157" t="str">
        <f>IF(OR($DB1157="prd",$DB1157="std",$DB1157="cit"),"loc",IF(OR($DB1157="eur",$DB1157="reg",$DB1157="coy"),"reg",$DB1157))</f>
        <v>reg</v>
      </c>
      <c r="DD1157" t="s">
        <v>925</v>
      </c>
      <c r="DE1157">
        <v>0</v>
      </c>
      <c r="DF1157">
        <v>0</v>
      </c>
      <c r="DG1157">
        <v>0</v>
      </c>
      <c r="DH1157" t="str">
        <f>IF(DG1157=0,"0",IF(AND(DG1157&gt;=1,DG1157&lt;=30),"1-30",IF(AND(DG1157&gt;30,DG1157&lt;=70),"31-70",IF(AND(DG1157&gt;70,DG1157&lt;=100),"71-100",IF(DG1157&gt;100,"+100")))))</f>
        <v>0</v>
      </c>
      <c r="DI1157">
        <v>1</v>
      </c>
      <c r="DJ1157">
        <v>0</v>
      </c>
      <c r="DK1157">
        <v>0</v>
      </c>
      <c r="DL1157">
        <v>0</v>
      </c>
      <c r="DN1157">
        <v>1</v>
      </c>
      <c r="DO1157" t="str">
        <f>IF(DN1157=1,INDEX($DI$7:$DL$7,MATCH(1,$DI1157:$DL1157,0)),"mixedProduct")</f>
        <v>UpstreamInput</v>
      </c>
      <c r="DP1157" t="str">
        <f>IF(DI1157=1,DP$7,0)</f>
        <v>Upstream</v>
      </c>
      <c r="DQ1157">
        <f>IF(DJ1157=1,DQ$7,0)</f>
        <v>0</v>
      </c>
      <c r="DR1157">
        <f>IF(DK1157=1,DR$7,0)</f>
        <v>0</v>
      </c>
      <c r="DS1157">
        <f>IF(DL1157=1,DS$7,0)</f>
        <v>0</v>
      </c>
      <c r="DT1157">
        <v>0</v>
      </c>
      <c r="DU1157">
        <v>0</v>
      </c>
      <c r="DV1157">
        <v>0</v>
      </c>
      <c r="DW1157">
        <v>0</v>
      </c>
      <c r="DX1157">
        <v>0</v>
      </c>
      <c r="DY1157">
        <f>SUM(DT1157:DU1157)</f>
        <v>0</v>
      </c>
      <c r="DZ1157" s="143" t="s">
        <v>926</v>
      </c>
      <c r="EA1157">
        <v>0</v>
      </c>
      <c r="EB1157">
        <v>0</v>
      </c>
      <c r="EC1157">
        <v>0</v>
      </c>
      <c r="ED1157">
        <v>0</v>
      </c>
      <c r="EE1157">
        <v>0</v>
      </c>
      <c r="EF1157" s="143">
        <v>0</v>
      </c>
      <c r="EG1157">
        <v>1</v>
      </c>
      <c r="EH1157">
        <v>0</v>
      </c>
      <c r="EI1157">
        <v>0</v>
      </c>
      <c r="EJ1157">
        <v>0</v>
      </c>
      <c r="EK1157">
        <v>0</v>
      </c>
      <c r="EL1157">
        <v>0</v>
      </c>
      <c r="EM1157">
        <v>0</v>
      </c>
      <c r="EN1157" s="2">
        <v>0</v>
      </c>
      <c r="EP1157" t="str">
        <f>IF(AND(AND(AND(OR($EC1157=1,$EB1157=1),OR($EH1157=1,$EF1157=1)),SUM($EA1157:$EE1157,$EK1157)&gt;=3),SUM($EF1157:$EJ1157)&gt;=2),"Whole sector approach","")</f>
        <v/>
      </c>
      <c r="EQ1157" t="str">
        <f>IF(AND(AND(OR($EC1157=1,$EB1157=1),AND($EH1157=0,$EF1157=0)),SUM($EA1157:$EE1157,$EK1157)&gt;=4),"Ecosystem approach","")</f>
        <v/>
      </c>
      <c r="ER1157" s="2" t="str">
        <f>IF(AND(AND(AND($EC1157=0,$EB1157=0),OR($EH1157=1,$EF1157=1)),SUM($EG1157:$EJ1157)&gt;=2),"Technology approach","")</f>
        <v/>
      </c>
      <c r="ES1157" t="str">
        <f>IF(AND($EC1157+$EB1157+$EE1157+$EA1157+$ED1157+$EG1157=0,$N1157="included"),"C neutral forest and HWP assumption","")</f>
        <v/>
      </c>
      <c r="ET1157" t="str">
        <f>IF(AND(AND(AND(AND($EC1157=1,$EB1157+$EA1157+$EG1157&gt;=1),$EF1157=1),$EH1157+$EI1157+$ED1157+$EE1157&gt;=2),$N1157="included"),"All C pools assumption","")</f>
        <v/>
      </c>
      <c r="EU1157" t="str">
        <f>IF(AND($ED1157+$EE1157+$EI1157+$EH1157+$EF1157=0,$N1157="included"),"In-situ only assumption","")</f>
        <v>In-situ only assumption</v>
      </c>
      <c r="EY1157" t="b">
        <f>IF(ISNUMBER(BW1157),IF(ABS(BW1157-[2]QC_indicators!$B$2)&gt;3*[2]QC_indicators!$C$2,"C ratio",IF(ISNUMBER(CA1157),IF(ABS(CA1157-[2]QC_indicators!$B$1)&gt;3*[2]QC_indicators!$C$1,"DF","no"))),IF(ISNUMBER(CA1157),IF(ABS(CA1157-[2]QC_indicators!$B$1)&gt;3*[2]QC_indicators!$C$1,"DF","no")))</f>
        <v>0</v>
      </c>
      <c r="FA1157" t="str">
        <f>IF(LEN($CY1157)=0,"",IF(AND($CY1157&lt;(-0.05),$ES1157="C neutral forest and HWP assumption"),"Cneutral paradox",IF(AND($CY1157&gt;0.05,$EU1157="In-situ only assumption"),"In-situ only paradox","")))</f>
        <v/>
      </c>
      <c r="FD1157" s="260" t="s">
        <v>2857</v>
      </c>
    </row>
    <row r="1158" spans="1:160">
      <c r="A1158" s="1" t="s">
        <v>574</v>
      </c>
      <c r="B1158" t="s">
        <v>1796</v>
      </c>
      <c r="C1158" t="s">
        <v>1797</v>
      </c>
      <c r="D1158" t="s">
        <v>1798</v>
      </c>
      <c r="E1158" t="s">
        <v>1799</v>
      </c>
      <c r="F1158" t="s">
        <v>1800</v>
      </c>
      <c r="G1158" t="s">
        <v>580</v>
      </c>
      <c r="H1158" t="s">
        <v>254</v>
      </c>
      <c r="I1158">
        <v>2018</v>
      </c>
      <c r="J1158">
        <v>7</v>
      </c>
      <c r="K1158" t="s">
        <v>1801</v>
      </c>
      <c r="M1158" t="str">
        <f>LEFT($D1158,FIND(",",$D1158)-1)&amp;"_"&amp;I1158&amp;L1158</f>
        <v>Nakano_2018</v>
      </c>
      <c r="N1158" t="s">
        <v>222</v>
      </c>
      <c r="O1158" s="157" t="s">
        <v>274</v>
      </c>
      <c r="P1158" t="s">
        <v>924</v>
      </c>
      <c r="Q1158" t="s">
        <v>389</v>
      </c>
      <c r="R1158" s="258" t="s">
        <v>223</v>
      </c>
      <c r="S1158" s="1" t="s">
        <v>1802</v>
      </c>
      <c r="T1158" t="s">
        <v>1803</v>
      </c>
      <c r="U1158" t="s">
        <v>1804</v>
      </c>
      <c r="V1158" s="253">
        <v>0</v>
      </c>
      <c r="W1158" s="253">
        <v>0</v>
      </c>
      <c r="X1158">
        <v>0</v>
      </c>
      <c r="Y1158">
        <v>0</v>
      </c>
      <c r="Z1158">
        <v>0</v>
      </c>
      <c r="AA1158">
        <v>0</v>
      </c>
      <c r="AB1158">
        <v>1</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0</v>
      </c>
      <c r="AZ1158" s="141">
        <f>COUNTIF(X1158:AY1158,"&lt;&gt;0")</f>
        <v>1</v>
      </c>
      <c r="BA1158" s="141">
        <f>COUNTIF(X1158:AN1158,"&lt;&gt;0")</f>
        <v>1</v>
      </c>
      <c r="BB1158">
        <f>COUNTIF(X1158:AE1158,"&lt;&gt;0")</f>
        <v>1</v>
      </c>
      <c r="BC1158">
        <f>COUNTIF(AF1158:AK1158,"&lt;&gt;0")</f>
        <v>0</v>
      </c>
      <c r="BD1158">
        <f>COUNTIF(AL1158:AN1158,"&lt;&gt;0")</f>
        <v>0</v>
      </c>
      <c r="BE1158">
        <f>COUNTIF(AU1158:AY1158,"&lt;&gt;0")</f>
        <v>0</v>
      </c>
      <c r="BF1158">
        <f>COUNTIF(AO1158:AT1158,"&lt;&gt;0")</f>
        <v>0</v>
      </c>
      <c r="BG1158" t="str">
        <f t="array" ref="BG1158">IF(BA1158=1,INDEX($X$7:$AN$7,MATCH(TRUE,INDEX($X1158:$AY1158&lt;&gt;0,),0)),IF(BA1158=0,INDEX($AO$7:$AY$7,MATCH(1,$AO1158:$AY1158,0)),IF(BH1158="Multiple strategies","mixed drivers",IF(BH1158="Supply chain","multiple supply","multiple silviculture"))))</f>
        <v>species</v>
      </c>
      <c r="BH1158" s="2" t="str" cm="1">
        <f t="array" ref="BH1158">IF(COUNTIF(BB1158:BD1158,"&lt;&gt;0")=1,INDEX($X$4:$AY$4,MATCH(TRUE,INDEX($X1158:$AY1158&lt;&gt;0,),0)),IF(COUNTIF(BB1158:BD1158,"&lt;&gt;0")=0,INDEX($AO$4:$AY$4,MATCH(1,$AO1158:$AY1158,0)),"Multiple strategies"))</f>
        <v>Silviculture for productivity</v>
      </c>
      <c r="BI1158" s="1" t="s">
        <v>321</v>
      </c>
      <c r="BJ1158" t="s">
        <v>1805</v>
      </c>
      <c r="BK1158" s="260" t="s">
        <v>2854</v>
      </c>
      <c r="BL1158" s="260" t="s">
        <v>2855</v>
      </c>
      <c r="BM1158">
        <v>958000</v>
      </c>
      <c r="BN1158">
        <v>11193000</v>
      </c>
      <c r="BO1158">
        <v>11.683716075156577</v>
      </c>
      <c r="BP1158">
        <f>BN1158-BM1158</f>
        <v>10235000</v>
      </c>
      <c r="BQ1158">
        <f>BP1158</f>
        <v>10235000</v>
      </c>
      <c r="BR1158" t="s">
        <v>395</v>
      </c>
      <c r="BS1158" s="260" t="s">
        <v>2856</v>
      </c>
      <c r="BT1158" t="s">
        <v>1808</v>
      </c>
      <c r="BU1158">
        <v>24392.153846153786</v>
      </c>
      <c r="BV1158">
        <v>241940.99999999983</v>
      </c>
      <c r="BW1158" s="144">
        <v>9.9188042813262953</v>
      </c>
      <c r="BX1158">
        <f>BV1158-BU1158</f>
        <v>217548.84615384604</v>
      </c>
      <c r="BZ1158" s="152">
        <f>BX1158</f>
        <v>217548.84615384604</v>
      </c>
      <c r="CA1158">
        <f>IFERROR(BZ1158/BQ1158,"")</f>
        <v>2.1255383112246805E-2</v>
      </c>
      <c r="CB1158">
        <v>0</v>
      </c>
      <c r="CC1158">
        <v>0</v>
      </c>
      <c r="CD1158">
        <v>0</v>
      </c>
      <c r="CE1158">
        <v>0</v>
      </c>
      <c r="CF1158">
        <v>0</v>
      </c>
      <c r="CG1158">
        <v>0</v>
      </c>
      <c r="CH1158">
        <v>0</v>
      </c>
      <c r="CI1158">
        <v>0</v>
      </c>
      <c r="CJ1158">
        <v>0</v>
      </c>
      <c r="CK1158">
        <v>0</v>
      </c>
      <c r="CL1158">
        <v>0</v>
      </c>
      <c r="CM1158">
        <v>0</v>
      </c>
      <c r="CN1158">
        <v>0</v>
      </c>
      <c r="CO1158">
        <v>0</v>
      </c>
      <c r="CP1158" t="str">
        <f>IF($BN1158&lt;$BM1158,"refNeedCorrection","refOK")</f>
        <v>refOK</v>
      </c>
      <c r="CQ1158">
        <f>IF($CP1158="refOK",$BM1158,$BN1158)</f>
        <v>958000</v>
      </c>
      <c r="CR1158">
        <f>IF($CP1158="refOK",$BN1158,$BM1158)</f>
        <v>11193000</v>
      </c>
      <c r="CS1158">
        <f>IF($CP1158="refOK",$BQ1158,-$BQ1158)</f>
        <v>10235000</v>
      </c>
      <c r="CT1158">
        <f>IF(BI1158="Roundwood",$CS1158/2,$CS1158)</f>
        <v>5117500</v>
      </c>
      <c r="CU1158">
        <f>IF($CP1158="refOK",$BU1158,$BV1158)*IF($BR1158="Emissions positive",-1,1)</f>
        <v>-24392.153846153786</v>
      </c>
      <c r="CV1158">
        <f>IF($CP1158="refOK",$BV1158,$BU1158)*IF($BR1158="Emissions positive",-1,1)</f>
        <v>-241940.99999999983</v>
      </c>
      <c r="CW1158">
        <f>IF($CP1158="refNeedCorrection",-BZ1158,BZ1158)*IF($BR1158="Emissions positive",-1,1)</f>
        <v>-217548.84615384604</v>
      </c>
      <c r="CX1158">
        <f>IFERROR($CW1158/$CS1158,"")</f>
        <v>-2.1255383112246805E-2</v>
      </c>
      <c r="CY1158">
        <f>IFERROR($CW1158/$CS1158,"")</f>
        <v>-2.1255383112246805E-2</v>
      </c>
      <c r="CZ1158">
        <f>IFERROR($CW1158/$CT1158,"")</f>
        <v>-4.251076622449361E-2</v>
      </c>
      <c r="DA1158" s="2">
        <f>IFERROR((CV1158-CU1158)/ABS(CU1158),"")</f>
        <v>-8.9188042813262953</v>
      </c>
      <c r="DB1158" s="1" t="s">
        <v>1078</v>
      </c>
      <c r="DC1158" t="str">
        <f>IF(OR($DB1158="prd",$DB1158="std",$DB1158="cit"),"loc",IF(OR($DB1158="eur",$DB1158="reg",$DB1158="coy"),"reg",$DB1158))</f>
        <v>reg</v>
      </c>
      <c r="DD1158" t="s">
        <v>925</v>
      </c>
      <c r="DE1158">
        <v>0</v>
      </c>
      <c r="DF1158">
        <v>0</v>
      </c>
      <c r="DG1158">
        <v>0</v>
      </c>
      <c r="DH1158" t="str">
        <f>IF(DG1158=0,"0",IF(AND(DG1158&gt;=1,DG1158&lt;=30),"1-30",IF(AND(DG1158&gt;30,DG1158&lt;=70),"31-70",IF(AND(DG1158&gt;70,DG1158&lt;=100),"71-100",IF(DG1158&gt;100,"+100")))))</f>
        <v>0</v>
      </c>
      <c r="DI1158">
        <v>1</v>
      </c>
      <c r="DJ1158">
        <v>0</v>
      </c>
      <c r="DK1158">
        <v>0</v>
      </c>
      <c r="DL1158">
        <v>0</v>
      </c>
      <c r="DN1158">
        <v>1</v>
      </c>
      <c r="DO1158" t="str">
        <f>IF(DN1158=1,INDEX($DI$7:$DL$7,MATCH(1,$DI1158:$DL1158,0)),"mixedProduct")</f>
        <v>UpstreamInput</v>
      </c>
      <c r="DP1158" t="str">
        <f>IF(DI1158=1,DP$7,0)</f>
        <v>Upstream</v>
      </c>
      <c r="DQ1158">
        <f>IF(DJ1158=1,DQ$7,0)</f>
        <v>0</v>
      </c>
      <c r="DR1158">
        <f>IF(DK1158=1,DR$7,0)</f>
        <v>0</v>
      </c>
      <c r="DS1158">
        <f>IF(DL1158=1,DS$7,0)</f>
        <v>0</v>
      </c>
      <c r="DT1158">
        <v>0</v>
      </c>
      <c r="DU1158">
        <v>0</v>
      </c>
      <c r="DV1158">
        <v>0</v>
      </c>
      <c r="DW1158">
        <v>0</v>
      </c>
      <c r="DX1158">
        <v>0</v>
      </c>
      <c r="DY1158">
        <f>SUM(DT1158:DU1158)</f>
        <v>0</v>
      </c>
      <c r="DZ1158" s="143" t="s">
        <v>926</v>
      </c>
      <c r="EA1158">
        <v>0</v>
      </c>
      <c r="EB1158">
        <v>0</v>
      </c>
      <c r="EC1158">
        <v>0</v>
      </c>
      <c r="ED1158">
        <v>0</v>
      </c>
      <c r="EE1158">
        <v>0</v>
      </c>
      <c r="EF1158" s="143">
        <v>0</v>
      </c>
      <c r="EG1158">
        <v>1</v>
      </c>
      <c r="EH1158">
        <v>0</v>
      </c>
      <c r="EI1158">
        <v>0</v>
      </c>
      <c r="EJ1158">
        <v>0</v>
      </c>
      <c r="EK1158">
        <v>0</v>
      </c>
      <c r="EL1158">
        <v>0</v>
      </c>
      <c r="EM1158">
        <v>0</v>
      </c>
      <c r="EN1158" s="2">
        <v>0</v>
      </c>
      <c r="EP1158" t="str">
        <f>IF(AND(AND(AND(OR($EC1158=1,$EB1158=1),OR($EH1158=1,$EF1158=1)),SUM($EA1158:$EE1158,$EK1158)&gt;=3),SUM($EF1158:$EJ1158)&gt;=2),"Whole sector approach","")</f>
        <v/>
      </c>
      <c r="EQ1158" t="str">
        <f>IF(AND(AND(OR($EC1158=1,$EB1158=1),AND($EH1158=0,$EF1158=0)),SUM($EA1158:$EE1158,$EK1158)&gt;=4),"Ecosystem approach","")</f>
        <v/>
      </c>
      <c r="ER1158" s="2" t="str">
        <f>IF(AND(AND(AND($EC1158=0,$EB1158=0),OR($EH1158=1,$EF1158=1)),SUM($EG1158:$EJ1158)&gt;=2),"Technology approach","")</f>
        <v/>
      </c>
      <c r="ES1158" t="str">
        <f>IF(AND($EC1158+$EB1158+$EE1158+$EA1158+$ED1158+$EG1158=0,$N1158="included"),"C neutral forest and HWP assumption","")</f>
        <v/>
      </c>
      <c r="ET1158" t="str">
        <f>IF(AND(AND(AND(AND($EC1158=1,$EB1158+$EA1158+$EG1158&gt;=1),$EF1158=1),$EH1158+$EI1158+$ED1158+$EE1158&gt;=2),$N1158="included"),"All C pools assumption","")</f>
        <v/>
      </c>
      <c r="EU1158" t="str">
        <f>IF(AND($ED1158+$EE1158+$EI1158+$EH1158+$EF1158=0,$N1158="included"),"In-situ only assumption","")</f>
        <v>In-situ only assumption</v>
      </c>
      <c r="EY1158" t="str">
        <f>IF(ISNUMBER(BW1158),IF(ABS(BW1158-[2]QC_indicators!$B$2)&gt;3*[2]QC_indicators!$C$2,"C ratio",IF(ISNUMBER(CA1158),IF(ABS(CA1158-[2]QC_indicators!$B$1)&gt;3*[2]QC_indicators!$C$1,"DF","no"))),IF(ISNUMBER(CA1158),IF(ABS(CA1158-[2]QC_indicators!$B$1)&gt;3*[2]QC_indicators!$C$1,"DF","no")))</f>
        <v>no</v>
      </c>
      <c r="FA1158" t="str">
        <f>IF(LEN($CY1158)=0,"",IF(AND($CY1158&lt;(-0.05),$ES1158="C neutral forest and HWP assumption"),"Cneutral paradox",IF(AND($CY1158&gt;0.05,$EU1158="In-situ only assumption"),"In-situ only paradox","")))</f>
        <v/>
      </c>
      <c r="FD1158" s="260" t="s">
        <v>2857</v>
      </c>
    </row>
    <row r="1159" spans="1:160">
      <c r="A1159" s="1" t="s">
        <v>574</v>
      </c>
      <c r="B1159" t="s">
        <v>1796</v>
      </c>
      <c r="C1159" t="s">
        <v>1797</v>
      </c>
      <c r="D1159" t="s">
        <v>1798</v>
      </c>
      <c r="E1159" t="s">
        <v>1799</v>
      </c>
      <c r="F1159" t="s">
        <v>1800</v>
      </c>
      <c r="G1159" t="s">
        <v>580</v>
      </c>
      <c r="H1159" t="s">
        <v>254</v>
      </c>
      <c r="I1159">
        <v>2018</v>
      </c>
      <c r="J1159">
        <v>7</v>
      </c>
      <c r="K1159" t="s">
        <v>1801</v>
      </c>
      <c r="M1159" t="str">
        <f>LEFT($D1159,FIND(",",$D1159)-1)&amp;"_"&amp;I1159&amp;L1159</f>
        <v>Nakano_2018</v>
      </c>
      <c r="N1159" t="s">
        <v>222</v>
      </c>
      <c r="O1159" s="157" t="s">
        <v>274</v>
      </c>
      <c r="P1159" t="s">
        <v>924</v>
      </c>
      <c r="Q1159" t="s">
        <v>389</v>
      </c>
      <c r="R1159" s="258" t="s">
        <v>223</v>
      </c>
      <c r="S1159" s="1" t="s">
        <v>1802</v>
      </c>
      <c r="T1159" t="s">
        <v>1803</v>
      </c>
      <c r="U1159" t="s">
        <v>1809</v>
      </c>
      <c r="V1159" s="253">
        <v>0</v>
      </c>
      <c r="W1159" s="253">
        <v>0</v>
      </c>
      <c r="X1159">
        <v>0</v>
      </c>
      <c r="Y1159">
        <v>0</v>
      </c>
      <c r="Z1159">
        <v>0</v>
      </c>
      <c r="AA1159">
        <v>0</v>
      </c>
      <c r="AB1159">
        <v>1</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s="141">
        <f>COUNTIF(X1159:AY1159,"&lt;&gt;0")</f>
        <v>1</v>
      </c>
      <c r="BA1159" s="141">
        <f>COUNTIF(X1159:AN1159,"&lt;&gt;0")</f>
        <v>1</v>
      </c>
      <c r="BB1159">
        <f>COUNTIF(X1159:AE1159,"&lt;&gt;0")</f>
        <v>1</v>
      </c>
      <c r="BC1159">
        <f>COUNTIF(AF1159:AK1159,"&lt;&gt;0")</f>
        <v>0</v>
      </c>
      <c r="BD1159">
        <f>COUNTIF(AL1159:AN1159,"&lt;&gt;0")</f>
        <v>0</v>
      </c>
      <c r="BE1159">
        <f>COUNTIF(AU1159:AY1159,"&lt;&gt;0")</f>
        <v>0</v>
      </c>
      <c r="BF1159">
        <f>COUNTIF(AO1159:AT1159,"&lt;&gt;0")</f>
        <v>0</v>
      </c>
      <c r="BG1159" t="str">
        <f t="array" ref="BG1159">IF(BA1159=1,INDEX($X$7:$AN$7,MATCH(TRUE,INDEX($X1159:$AY1159&lt;&gt;0,),0)),IF(BA1159=0,INDEX($AO$7:$AY$7,MATCH(1,$AO1159:$AY1159,0)),IF(BH1159="Multiple strategies","mixed drivers",IF(BH1159="Supply chain","multiple supply","multiple silviculture"))))</f>
        <v>species</v>
      </c>
      <c r="BH1159" s="2" t="str" cm="1">
        <f t="array" ref="BH1159">IF(COUNTIF(BB1159:BD1159,"&lt;&gt;0")=1,INDEX($X$4:$AY$4,MATCH(TRUE,INDEX($X1159:$AY1159&lt;&gt;0,),0)),IF(COUNTIF(BB1159:BD1159,"&lt;&gt;0")=0,INDEX($AO$4:$AY$4,MATCH(1,$AO1159:$AY1159,0)),"Multiple strategies"))</f>
        <v>Silviculture for productivity</v>
      </c>
      <c r="BI1159" s="1" t="s">
        <v>321</v>
      </c>
      <c r="BJ1159" t="s">
        <v>1805</v>
      </c>
      <c r="BK1159" s="260" t="s">
        <v>2854</v>
      </c>
      <c r="BL1159" s="260" t="s">
        <v>2855</v>
      </c>
      <c r="BM1159">
        <v>958000</v>
      </c>
      <c r="BN1159">
        <v>2369000</v>
      </c>
      <c r="BO1159">
        <v>2.4728601252609606</v>
      </c>
      <c r="BP1159">
        <f>BN1159-BM1159</f>
        <v>1411000</v>
      </c>
      <c r="BQ1159">
        <f>BP1159</f>
        <v>1411000</v>
      </c>
      <c r="BR1159" t="s">
        <v>395</v>
      </c>
      <c r="BS1159" s="260" t="s">
        <v>2856</v>
      </c>
      <c r="BT1159" t="s">
        <v>1808</v>
      </c>
      <c r="BU1159">
        <v>24392.153846153786</v>
      </c>
      <c r="BV1159">
        <v>58860.538461538352</v>
      </c>
      <c r="BW1159" s="144">
        <v>2.4130931131700626</v>
      </c>
      <c r="BX1159">
        <f>BV1159-BU1159</f>
        <v>34468.384615384566</v>
      </c>
      <c r="BZ1159" s="152">
        <f>BX1159</f>
        <v>34468.384615384566</v>
      </c>
      <c r="CA1159">
        <f>IFERROR(BZ1159/BQ1159,"")</f>
        <v>2.4428337785531232E-2</v>
      </c>
      <c r="CB1159">
        <v>0</v>
      </c>
      <c r="CC1159">
        <v>0</v>
      </c>
      <c r="CD1159">
        <v>0</v>
      </c>
      <c r="CE1159">
        <v>0</v>
      </c>
      <c r="CF1159">
        <v>0</v>
      </c>
      <c r="CG1159">
        <v>0</v>
      </c>
      <c r="CH1159">
        <v>0</v>
      </c>
      <c r="CI1159">
        <v>0</v>
      </c>
      <c r="CJ1159">
        <v>0</v>
      </c>
      <c r="CK1159">
        <v>0</v>
      </c>
      <c r="CL1159">
        <v>0</v>
      </c>
      <c r="CM1159">
        <v>0</v>
      </c>
      <c r="CN1159">
        <v>0</v>
      </c>
      <c r="CO1159">
        <v>0</v>
      </c>
      <c r="CP1159" t="str">
        <f>IF($BN1159&lt;$BM1159,"refNeedCorrection","refOK")</f>
        <v>refOK</v>
      </c>
      <c r="CQ1159">
        <f>IF($CP1159="refOK",$BM1159,$BN1159)</f>
        <v>958000</v>
      </c>
      <c r="CR1159">
        <f>IF($CP1159="refOK",$BN1159,$BM1159)</f>
        <v>2369000</v>
      </c>
      <c r="CS1159">
        <f>IF($CP1159="refOK",$BQ1159,-$BQ1159)</f>
        <v>1411000</v>
      </c>
      <c r="CT1159">
        <f>IF(BI1159="Roundwood",$CS1159/2,$CS1159)</f>
        <v>705500</v>
      </c>
      <c r="CU1159">
        <f>IF($CP1159="refOK",$BU1159,$BV1159)*IF($BR1159="Emissions positive",-1,1)</f>
        <v>-24392.153846153786</v>
      </c>
      <c r="CV1159">
        <f>IF($CP1159="refOK",$BV1159,$BU1159)*IF($BR1159="Emissions positive",-1,1)</f>
        <v>-58860.538461538352</v>
      </c>
      <c r="CW1159">
        <f>IF($CP1159="refNeedCorrection",-BZ1159,BZ1159)*IF($BR1159="Emissions positive",-1,1)</f>
        <v>-34468.384615384566</v>
      </c>
      <c r="CX1159">
        <f>IFERROR($CW1159/$CS1159,"")</f>
        <v>-2.4428337785531232E-2</v>
      </c>
      <c r="CY1159">
        <f>IFERROR($CW1159/$CS1159,"")</f>
        <v>-2.4428337785531232E-2</v>
      </c>
      <c r="CZ1159">
        <f>IFERROR($CW1159/$CT1159,"")</f>
        <v>-4.8856675571062463E-2</v>
      </c>
      <c r="DA1159" s="2">
        <f>IFERROR((CV1159-CU1159)/ABS(CU1159),"")</f>
        <v>-1.4130931131700624</v>
      </c>
      <c r="DB1159" s="1" t="s">
        <v>1078</v>
      </c>
      <c r="DC1159" t="str">
        <f>IF(OR($DB1159="prd",$DB1159="std",$DB1159="cit"),"loc",IF(OR($DB1159="eur",$DB1159="reg",$DB1159="coy"),"reg",$DB1159))</f>
        <v>reg</v>
      </c>
      <c r="DD1159" t="s">
        <v>925</v>
      </c>
      <c r="DE1159">
        <v>0</v>
      </c>
      <c r="DF1159">
        <v>0</v>
      </c>
      <c r="DG1159">
        <v>0</v>
      </c>
      <c r="DH1159" t="str">
        <f>IF(DG1159=0,"0",IF(AND(DG1159&gt;=1,DG1159&lt;=30),"1-30",IF(AND(DG1159&gt;30,DG1159&lt;=70),"31-70",IF(AND(DG1159&gt;70,DG1159&lt;=100),"71-100",IF(DG1159&gt;100,"+100")))))</f>
        <v>0</v>
      </c>
      <c r="DI1159">
        <v>1</v>
      </c>
      <c r="DJ1159">
        <v>0</v>
      </c>
      <c r="DK1159">
        <v>0</v>
      </c>
      <c r="DL1159">
        <v>0</v>
      </c>
      <c r="DN1159">
        <v>1</v>
      </c>
      <c r="DO1159" t="str">
        <f>IF(DN1159=1,INDEX($DI$7:$DL$7,MATCH(1,$DI1159:$DL1159,0)),"mixedProduct")</f>
        <v>UpstreamInput</v>
      </c>
      <c r="DP1159" t="str">
        <f>IF(DI1159=1,DP$7,0)</f>
        <v>Upstream</v>
      </c>
      <c r="DQ1159">
        <f>IF(DJ1159=1,DQ$7,0)</f>
        <v>0</v>
      </c>
      <c r="DR1159">
        <f>IF(DK1159=1,DR$7,0)</f>
        <v>0</v>
      </c>
      <c r="DS1159">
        <f>IF(DL1159=1,DS$7,0)</f>
        <v>0</v>
      </c>
      <c r="DT1159">
        <v>0</v>
      </c>
      <c r="DU1159">
        <v>0</v>
      </c>
      <c r="DV1159">
        <v>0</v>
      </c>
      <c r="DW1159">
        <v>0</v>
      </c>
      <c r="DX1159">
        <v>0</v>
      </c>
      <c r="DY1159">
        <f>SUM(DT1159:DU1159)</f>
        <v>0</v>
      </c>
      <c r="DZ1159" s="143" t="s">
        <v>926</v>
      </c>
      <c r="EA1159">
        <v>0</v>
      </c>
      <c r="EB1159">
        <v>0</v>
      </c>
      <c r="EC1159">
        <v>0</v>
      </c>
      <c r="ED1159">
        <v>0</v>
      </c>
      <c r="EE1159">
        <v>0</v>
      </c>
      <c r="EF1159" s="143">
        <v>0</v>
      </c>
      <c r="EG1159">
        <v>1</v>
      </c>
      <c r="EH1159">
        <v>0</v>
      </c>
      <c r="EI1159">
        <v>0</v>
      </c>
      <c r="EJ1159">
        <v>0</v>
      </c>
      <c r="EK1159">
        <v>0</v>
      </c>
      <c r="EL1159">
        <v>0</v>
      </c>
      <c r="EM1159">
        <v>0</v>
      </c>
      <c r="EN1159" s="2">
        <v>0</v>
      </c>
      <c r="EP1159" t="str">
        <f>IF(AND(AND(AND(OR($EC1159=1,$EB1159=1),OR($EH1159=1,$EF1159=1)),SUM($EA1159:$EE1159,$EK1159)&gt;=3),SUM($EF1159:$EJ1159)&gt;=2),"Whole sector approach","")</f>
        <v/>
      </c>
      <c r="EQ1159" t="str">
        <f>IF(AND(AND(OR($EC1159=1,$EB1159=1),AND($EH1159=0,$EF1159=0)),SUM($EA1159:$EE1159,$EK1159)&gt;=4),"Ecosystem approach","")</f>
        <v/>
      </c>
      <c r="ER1159" s="2" t="str">
        <f>IF(AND(AND(AND($EC1159=0,$EB1159=0),OR($EH1159=1,$EF1159=1)),SUM($EG1159:$EJ1159)&gt;=2),"Technology approach","")</f>
        <v/>
      </c>
      <c r="ES1159" t="str">
        <f>IF(AND($EC1159+$EB1159+$EE1159+$EA1159+$ED1159+$EG1159=0,$N1159="included"),"C neutral forest and HWP assumption","")</f>
        <v/>
      </c>
      <c r="ET1159" t="str">
        <f>IF(AND(AND(AND(AND($EC1159=1,$EB1159+$EA1159+$EG1159&gt;=1),$EF1159=1),$EH1159+$EI1159+$ED1159+$EE1159&gt;=2),$N1159="included"),"All C pools assumption","")</f>
        <v/>
      </c>
      <c r="EU1159" t="str">
        <f>IF(AND($ED1159+$EE1159+$EI1159+$EH1159+$EF1159=0,$N1159="included"),"In-situ only assumption","")</f>
        <v>In-situ only assumption</v>
      </c>
      <c r="EY1159" t="str">
        <f>IF(ISNUMBER(BW1159),IF(ABS(BW1159-[2]QC_indicators!$B$2)&gt;3*[2]QC_indicators!$C$2,"C ratio",IF(ISNUMBER(CA1159),IF(ABS(CA1159-[2]QC_indicators!$B$1)&gt;3*[2]QC_indicators!$C$1,"DF","no"))),IF(ISNUMBER(CA1159),IF(ABS(CA1159-[2]QC_indicators!$B$1)&gt;3*[2]QC_indicators!$C$1,"DF","no")))</f>
        <v>no</v>
      </c>
      <c r="FA1159" t="str">
        <f>IF(LEN($CY1159)=0,"",IF(AND($CY1159&lt;(-0.05),$ES1159="C neutral forest and HWP assumption"),"Cneutral paradox",IF(AND($CY1159&gt;0.05,$EU1159="In-situ only assumption"),"In-situ only paradox","")))</f>
        <v/>
      </c>
      <c r="FD1159" s="260" t="s">
        <v>2857</v>
      </c>
    </row>
    <row r="1160" spans="1:160" ht="18" customHeight="1">
      <c r="A1160" s="1" t="s">
        <v>574</v>
      </c>
      <c r="B1160" t="s">
        <v>1796</v>
      </c>
      <c r="C1160" t="s">
        <v>1797</v>
      </c>
      <c r="D1160" t="s">
        <v>1798</v>
      </c>
      <c r="E1160" t="s">
        <v>1799</v>
      </c>
      <c r="F1160" t="s">
        <v>1800</v>
      </c>
      <c r="G1160" t="s">
        <v>580</v>
      </c>
      <c r="H1160" t="s">
        <v>254</v>
      </c>
      <c r="I1160">
        <v>2018</v>
      </c>
      <c r="J1160">
        <v>7</v>
      </c>
      <c r="K1160" t="s">
        <v>1801</v>
      </c>
      <c r="M1160" t="str">
        <f>LEFT($D1160,FIND(",",$D1160)-1)&amp;"_"&amp;I1160&amp;L1160</f>
        <v>Nakano_2018</v>
      </c>
      <c r="N1160" t="s">
        <v>222</v>
      </c>
      <c r="O1160" s="157" t="s">
        <v>274</v>
      </c>
      <c r="P1160" t="s">
        <v>924</v>
      </c>
      <c r="Q1160" t="s">
        <v>389</v>
      </c>
      <c r="R1160" s="258" t="s">
        <v>223</v>
      </c>
      <c r="S1160" s="1" t="s">
        <v>1802</v>
      </c>
      <c r="T1160" t="s">
        <v>1803</v>
      </c>
      <c r="U1160" t="s">
        <v>1810</v>
      </c>
      <c r="V1160" s="253">
        <v>0</v>
      </c>
      <c r="W1160" s="253">
        <v>0</v>
      </c>
      <c r="X1160">
        <v>0</v>
      </c>
      <c r="Y1160">
        <v>0</v>
      </c>
      <c r="Z1160">
        <v>0</v>
      </c>
      <c r="AA1160">
        <v>0</v>
      </c>
      <c r="AB1160">
        <v>1</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s="141">
        <f>COUNTIF(X1160:AY1160,"&lt;&gt;0")</f>
        <v>1</v>
      </c>
      <c r="BA1160" s="141">
        <f>COUNTIF(X1160:AN1160,"&lt;&gt;0")</f>
        <v>1</v>
      </c>
      <c r="BB1160">
        <f>COUNTIF(X1160:AE1160,"&lt;&gt;0")</f>
        <v>1</v>
      </c>
      <c r="BC1160">
        <f>COUNTIF(AF1160:AK1160,"&lt;&gt;0")</f>
        <v>0</v>
      </c>
      <c r="BD1160">
        <f>COUNTIF(AL1160:AN1160,"&lt;&gt;0")</f>
        <v>0</v>
      </c>
      <c r="BE1160">
        <f>COUNTIF(AU1160:AY1160,"&lt;&gt;0")</f>
        <v>0</v>
      </c>
      <c r="BF1160">
        <f>COUNTIF(AO1160:AT1160,"&lt;&gt;0")</f>
        <v>0</v>
      </c>
      <c r="BG1160" t="str">
        <f t="array" ref="BG1160">IF(BA1160=1,INDEX($X$7:$AN$7,MATCH(TRUE,INDEX($X1160:$AY1160&lt;&gt;0,),0)),IF(BA1160=0,INDEX($AO$7:$AY$7,MATCH(1,$AO1160:$AY1160,0)),IF(BH1160="Multiple strategies","mixed drivers",IF(BH1160="Supply chain","multiple supply","multiple silviculture"))))</f>
        <v>species</v>
      </c>
      <c r="BH1160" s="2" t="str" cm="1">
        <f t="array" ref="BH1160">IF(COUNTIF(BB1160:BD1160,"&lt;&gt;0")=1,INDEX($X$4:$AY$4,MATCH(TRUE,INDEX($X1160:$AY1160&lt;&gt;0,),0)),IF(COUNTIF(BB1160:BD1160,"&lt;&gt;0")=0,INDEX($AO$4:$AY$4,MATCH(1,$AO1160:$AY1160,0)),"Multiple strategies"))</f>
        <v>Silviculture for productivity</v>
      </c>
      <c r="BI1160" s="1" t="s">
        <v>321</v>
      </c>
      <c r="BJ1160" t="s">
        <v>1805</v>
      </c>
      <c r="BK1160" s="260" t="s">
        <v>2854</v>
      </c>
      <c r="BL1160" s="260" t="s">
        <v>2855</v>
      </c>
      <c r="BM1160">
        <v>958000</v>
      </c>
      <c r="BN1160">
        <v>2395000</v>
      </c>
      <c r="BO1160">
        <v>2.5</v>
      </c>
      <c r="BP1160">
        <f>BN1160-BM1160</f>
        <v>1437000</v>
      </c>
      <c r="BQ1160">
        <f>BP1160</f>
        <v>1437000</v>
      </c>
      <c r="BR1160" t="s">
        <v>395</v>
      </c>
      <c r="BS1160" s="260" t="s">
        <v>2856</v>
      </c>
      <c r="BT1160" t="s">
        <v>1808</v>
      </c>
      <c r="BU1160">
        <v>24392.153846153786</v>
      </c>
      <c r="BV1160">
        <v>62085.769230769176</v>
      </c>
      <c r="BW1160" s="144">
        <v>2.5453172205438106</v>
      </c>
      <c r="BX1160">
        <f>BV1160-BU1160</f>
        <v>37693.61538461539</v>
      </c>
      <c r="BZ1160" s="152">
        <f>BX1160</f>
        <v>37693.61538461539</v>
      </c>
      <c r="CA1160">
        <f>IFERROR(BZ1160/BQ1160,"")</f>
        <v>2.6230769230769235E-2</v>
      </c>
      <c r="CB1160">
        <v>0</v>
      </c>
      <c r="CC1160">
        <v>0</v>
      </c>
      <c r="CD1160">
        <v>0</v>
      </c>
      <c r="CE1160">
        <v>0</v>
      </c>
      <c r="CF1160">
        <v>0</v>
      </c>
      <c r="CG1160">
        <v>0</v>
      </c>
      <c r="CH1160">
        <v>0</v>
      </c>
      <c r="CI1160">
        <v>0</v>
      </c>
      <c r="CJ1160">
        <v>0</v>
      </c>
      <c r="CK1160">
        <v>0</v>
      </c>
      <c r="CL1160">
        <v>0</v>
      </c>
      <c r="CM1160">
        <v>0</v>
      </c>
      <c r="CN1160">
        <v>0</v>
      </c>
      <c r="CO1160">
        <v>0</v>
      </c>
      <c r="CP1160" t="str">
        <f>IF($BN1160&lt;$BM1160,"refNeedCorrection","refOK")</f>
        <v>refOK</v>
      </c>
      <c r="CQ1160">
        <f>IF($CP1160="refOK",$BM1160,$BN1160)</f>
        <v>958000</v>
      </c>
      <c r="CR1160">
        <f>IF($CP1160="refOK",$BN1160,$BM1160)</f>
        <v>2395000</v>
      </c>
      <c r="CS1160">
        <f>IF($CP1160="refOK",$BQ1160,-$BQ1160)</f>
        <v>1437000</v>
      </c>
      <c r="CT1160">
        <f>IF(BI1160="Roundwood",$CS1160/2,$CS1160)</f>
        <v>718500</v>
      </c>
      <c r="CU1160">
        <f>IF($CP1160="refOK",$BU1160,$BV1160)*IF($BR1160="Emissions positive",-1,1)</f>
        <v>-24392.153846153786</v>
      </c>
      <c r="CV1160">
        <f>IF($CP1160="refOK",$BV1160,$BU1160)*IF($BR1160="Emissions positive",-1,1)</f>
        <v>-62085.769230769176</v>
      </c>
      <c r="CW1160">
        <f>IF($CP1160="refNeedCorrection",-BZ1160,BZ1160)*IF($BR1160="Emissions positive",-1,1)</f>
        <v>-37693.61538461539</v>
      </c>
      <c r="CX1160">
        <f>IFERROR($CW1160/$CS1160,"")</f>
        <v>-2.6230769230769235E-2</v>
      </c>
      <c r="CY1160">
        <f>IFERROR($CW1160/$CS1160,"")</f>
        <v>-2.6230769230769235E-2</v>
      </c>
      <c r="CZ1160">
        <f>IFERROR($CW1160/$CT1160,"")</f>
        <v>-5.2461538461538469E-2</v>
      </c>
      <c r="DA1160" s="2">
        <f>IFERROR((CV1160-CU1160)/ABS(CU1160),"")</f>
        <v>-1.5453172205438106</v>
      </c>
      <c r="DB1160" s="1" t="s">
        <v>1078</v>
      </c>
      <c r="DC1160" t="str">
        <f>IF(OR($DB1160="prd",$DB1160="std",$DB1160="cit"),"loc",IF(OR($DB1160="eur",$DB1160="reg",$DB1160="coy"),"reg",$DB1160))</f>
        <v>reg</v>
      </c>
      <c r="DD1160" t="s">
        <v>925</v>
      </c>
      <c r="DE1160">
        <v>0</v>
      </c>
      <c r="DF1160">
        <v>0</v>
      </c>
      <c r="DG1160">
        <v>0</v>
      </c>
      <c r="DH1160" t="str">
        <f>IF(DG1160=0,"0",IF(AND(DG1160&gt;=1,DG1160&lt;=30),"1-30",IF(AND(DG1160&gt;30,DG1160&lt;=70),"31-70",IF(AND(DG1160&gt;70,DG1160&lt;=100),"71-100",IF(DG1160&gt;100,"+100")))))</f>
        <v>0</v>
      </c>
      <c r="DI1160">
        <v>1</v>
      </c>
      <c r="DJ1160">
        <v>0</v>
      </c>
      <c r="DK1160">
        <v>0</v>
      </c>
      <c r="DL1160">
        <v>0</v>
      </c>
      <c r="DN1160">
        <v>1</v>
      </c>
      <c r="DO1160" t="str">
        <f>IF(DN1160=1,INDEX($DI$7:$DL$7,MATCH(1,$DI1160:$DL1160,0)),"mixedProduct")</f>
        <v>UpstreamInput</v>
      </c>
      <c r="DP1160" t="str">
        <f>IF(DI1160=1,DP$7,0)</f>
        <v>Upstream</v>
      </c>
      <c r="DQ1160">
        <f>IF(DJ1160=1,DQ$7,0)</f>
        <v>0</v>
      </c>
      <c r="DR1160">
        <f>IF(DK1160=1,DR$7,0)</f>
        <v>0</v>
      </c>
      <c r="DS1160">
        <f>IF(DL1160=1,DS$7,0)</f>
        <v>0</v>
      </c>
      <c r="DT1160">
        <v>0</v>
      </c>
      <c r="DU1160">
        <v>0</v>
      </c>
      <c r="DV1160">
        <v>0</v>
      </c>
      <c r="DW1160">
        <v>0</v>
      </c>
      <c r="DX1160">
        <v>0</v>
      </c>
      <c r="DY1160">
        <f>SUM(DT1160:DU1160)</f>
        <v>0</v>
      </c>
      <c r="DZ1160" s="143" t="s">
        <v>926</v>
      </c>
      <c r="EA1160">
        <v>0</v>
      </c>
      <c r="EB1160">
        <v>0</v>
      </c>
      <c r="EC1160">
        <v>0</v>
      </c>
      <c r="ED1160">
        <v>0</v>
      </c>
      <c r="EE1160">
        <v>0</v>
      </c>
      <c r="EF1160" s="143">
        <v>0</v>
      </c>
      <c r="EG1160">
        <v>1</v>
      </c>
      <c r="EH1160">
        <v>0</v>
      </c>
      <c r="EI1160">
        <v>0</v>
      </c>
      <c r="EJ1160">
        <v>0</v>
      </c>
      <c r="EK1160">
        <v>0</v>
      </c>
      <c r="EL1160">
        <v>0</v>
      </c>
      <c r="EM1160">
        <v>0</v>
      </c>
      <c r="EN1160" s="2">
        <v>0</v>
      </c>
      <c r="EP1160" t="str">
        <f>IF(AND(AND(AND(OR($EC1160=1,$EB1160=1),OR($EH1160=1,$EF1160=1)),SUM($EA1160:$EE1160,$EK1160)&gt;=3),SUM($EF1160:$EJ1160)&gt;=2),"Whole sector approach","")</f>
        <v/>
      </c>
      <c r="EQ1160" t="str">
        <f>IF(AND(AND(OR($EC1160=1,$EB1160=1),AND($EH1160=0,$EF1160=0)),SUM($EA1160:$EE1160,$EK1160)&gt;=4),"Ecosystem approach","")</f>
        <v/>
      </c>
      <c r="ER1160" s="2" t="str">
        <f>IF(AND(AND(AND($EC1160=0,$EB1160=0),OR($EH1160=1,$EF1160=1)),SUM($EG1160:$EJ1160)&gt;=2),"Technology approach","")</f>
        <v/>
      </c>
      <c r="ES1160" t="str">
        <f>IF(AND($EC1160+$EB1160+$EE1160+$EA1160+$ED1160+$EG1160=0,$N1160="included"),"C neutral forest and HWP assumption","")</f>
        <v/>
      </c>
      <c r="ET1160" t="str">
        <f>IF(AND(AND(AND(AND($EC1160=1,$EB1160+$EA1160+$EG1160&gt;=1),$EF1160=1),$EH1160+$EI1160+$ED1160+$EE1160&gt;=2),$N1160="included"),"All C pools assumption","")</f>
        <v/>
      </c>
      <c r="EU1160" t="str">
        <f>IF(AND($ED1160+$EE1160+$EI1160+$EH1160+$EF1160=0,$N1160="included"),"In-situ only assumption","")</f>
        <v>In-situ only assumption</v>
      </c>
      <c r="EY1160" t="str">
        <f>IF(ISNUMBER(BW1160),IF(ABS(BW1160-[2]QC_indicators!$B$2)&gt;3*[2]QC_indicators!$C$2,"C ratio",IF(ISNUMBER(CA1160),IF(ABS(CA1160-[2]QC_indicators!$B$1)&gt;3*[2]QC_indicators!$C$1,"DF","no"))),IF(ISNUMBER(CA1160),IF(ABS(CA1160-[2]QC_indicators!$B$1)&gt;3*[2]QC_indicators!$C$1,"DF","no")))</f>
        <v>no</v>
      </c>
      <c r="FA1160" t="str">
        <f>IF(LEN($CY1160)=0,"",IF(AND($CY1160&lt;(-0.05),$ES1160="C neutral forest and HWP assumption"),"Cneutral paradox",IF(AND($CY1160&gt;0.05,$EU1160="In-situ only assumption"),"In-situ only paradox","")))</f>
        <v/>
      </c>
      <c r="FD1160" s="260" t="s">
        <v>2857</v>
      </c>
    </row>
    <row r="1161" spans="1:160" hidden="1">
      <c r="D1161" t="s">
        <v>1859</v>
      </c>
      <c r="E1161" t="s">
        <v>1860</v>
      </c>
      <c r="G1161" t="s">
        <v>1861</v>
      </c>
      <c r="I1161">
        <v>2018</v>
      </c>
      <c r="K1161" s="150" t="s">
        <v>1862</v>
      </c>
      <c r="M1161" t="str">
        <f>LEFT($D1161,FIND(",",$D1161)-1)&amp;"_"&amp;I1161&amp;L1161</f>
        <v>Olguin_2018</v>
      </c>
      <c r="N1161" t="s">
        <v>222</v>
      </c>
      <c r="O1161" s="157" t="s">
        <v>274</v>
      </c>
      <c r="P1161" t="s">
        <v>508</v>
      </c>
      <c r="Q1161" t="s">
        <v>389</v>
      </c>
      <c r="R1161" s="258" t="s">
        <v>223</v>
      </c>
      <c r="S1161" s="259" t="s">
        <v>2865</v>
      </c>
      <c r="T1161" t="s">
        <v>1863</v>
      </c>
      <c r="U1161" t="s">
        <v>1871</v>
      </c>
      <c r="V1161" s="253">
        <v>0</v>
      </c>
      <c r="W1161" s="253">
        <v>0</v>
      </c>
      <c r="X1161">
        <v>0</v>
      </c>
      <c r="Y1161">
        <v>0</v>
      </c>
      <c r="Z1161">
        <v>0</v>
      </c>
      <c r="AA1161">
        <v>0</v>
      </c>
      <c r="AB1161">
        <v>0</v>
      </c>
      <c r="AC1161">
        <v>0</v>
      </c>
      <c r="AD1161">
        <v>0</v>
      </c>
      <c r="AE1161">
        <v>1</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s="141">
        <f>COUNTIF(X1161:AY1161,"&lt;&gt;0")</f>
        <v>1</v>
      </c>
      <c r="BA1161" s="141">
        <f>COUNTIF(X1161:AN1161,"&lt;&gt;0")</f>
        <v>1</v>
      </c>
      <c r="BB1161">
        <f>COUNTIF(X1161:AE1161,"&lt;&gt;0")</f>
        <v>1</v>
      </c>
      <c r="BC1161">
        <f>COUNTIF(AF1161:AK1161,"&lt;&gt;0")</f>
        <v>0</v>
      </c>
      <c r="BD1161">
        <f>COUNTIF(AL1161:AN1161,"&lt;&gt;0")</f>
        <v>0</v>
      </c>
      <c r="BE1161">
        <f>COUNTIF(AU1161:AY1161,"&lt;&gt;0")</f>
        <v>0</v>
      </c>
      <c r="BF1161">
        <f>COUNTIF(AO1161:AT1161,"&lt;&gt;0")</f>
        <v>0</v>
      </c>
      <c r="BG1161" t="str">
        <f t="array" ref="BG1161">IF(BA1161=1,INDEX($X$7:$AN$7,MATCH(TRUE,INDEX($X1161:$AY1161&lt;&gt;0,),0)),IF(BA1161=0,INDEX($AO$7:$AY$7,MATCH(1,$AO1161:$AY1161,0)),IF(BH1161="Multiple strategies","mixed drivers",IF(BH1161="Supply chain","multiple supply","multiple silviculture"))))</f>
        <v>site fertility</v>
      </c>
      <c r="BH1161" s="2" t="str" cm="1">
        <f t="array" ref="BH1161">IF(COUNTIF(BB1161:BD1161,"&lt;&gt;0")=1,INDEX($X$4:$AY$4,MATCH(TRUE,INDEX($X1161:$AY1161&lt;&gt;0,),0)),IF(COUNTIF(BB1161:BD1161,"&lt;&gt;0")=0,INDEX($AO$4:$AY$4,MATCH(1,$AO1161:$AY1161,0)),"Multiple strategies"))</f>
        <v>Silviculture for productivity</v>
      </c>
      <c r="BI1161" s="1" t="s">
        <v>321</v>
      </c>
      <c r="BK1161" s="260" t="s">
        <v>978</v>
      </c>
      <c r="BL1161" t="s">
        <v>1865</v>
      </c>
      <c r="BM1161">
        <v>0</v>
      </c>
      <c r="BN1161">
        <v>6788</v>
      </c>
      <c r="BO1161" t="str">
        <f>IFERROR(BN1161/BM1161,"")</f>
        <v/>
      </c>
      <c r="BP1161">
        <f>BN1161-BM1161</f>
        <v>6788</v>
      </c>
      <c r="BQ1161">
        <f>BP1161*tC_to_m3</f>
        <v>29474.598349978292</v>
      </c>
      <c r="BR1161" t="s">
        <v>232</v>
      </c>
      <c r="BS1161" t="s">
        <v>424</v>
      </c>
      <c r="BT1161" t="s">
        <v>1870</v>
      </c>
      <c r="BW1161" s="144"/>
      <c r="BX1161">
        <v>0.01</v>
      </c>
      <c r="BZ1161">
        <f>BX1161</f>
        <v>0.01</v>
      </c>
      <c r="CA1161">
        <f>IFERROR(BZ1161/BQ1161,"")</f>
        <v>3.3927519151443723E-7</v>
      </c>
      <c r="CB1161">
        <v>0</v>
      </c>
      <c r="CC1161">
        <v>0</v>
      </c>
      <c r="CD1161">
        <v>0</v>
      </c>
      <c r="CE1161">
        <v>0</v>
      </c>
      <c r="CF1161">
        <v>0</v>
      </c>
      <c r="CG1161">
        <v>0</v>
      </c>
      <c r="CH1161">
        <v>0</v>
      </c>
      <c r="CI1161">
        <v>0</v>
      </c>
      <c r="CJ1161">
        <v>0</v>
      </c>
      <c r="CK1161">
        <v>0</v>
      </c>
      <c r="CL1161">
        <v>0</v>
      </c>
      <c r="CM1161">
        <v>0</v>
      </c>
      <c r="CN1161">
        <v>0</v>
      </c>
      <c r="CO1161">
        <v>0</v>
      </c>
      <c r="CP1161" t="str">
        <f>IF($BN1161&lt;$BM1161,"refNeedCorrection","refOK")</f>
        <v>refOK</v>
      </c>
      <c r="CQ1161">
        <f>IF($CP1161="refOK",$BM1161,$BN1161)</f>
        <v>0</v>
      </c>
      <c r="CR1161">
        <f>IF($CP1161="refOK",$BN1161,$BM1161)</f>
        <v>6788</v>
      </c>
      <c r="CS1161">
        <f>IF($CP1161="refOK",$BQ1161,-$BQ1161)</f>
        <v>29474.598349978292</v>
      </c>
      <c r="CT1161">
        <f>IF(BI1161="Roundwood",$CS1161/2,$CS1161)</f>
        <v>14737.299174989146</v>
      </c>
      <c r="CU1161">
        <f>IF($CP1161="refOK",$BU1161,$BV1161)*IF($BR1161="Emissions positive",-1,1)</f>
        <v>0</v>
      </c>
      <c r="CV1161">
        <f>IF($CP1161="refOK",$BV1161,$BU1161)*IF($BR1161="Emissions positive",-1,1)</f>
        <v>0</v>
      </c>
      <c r="CW1161">
        <f>IF($CP1161="refNeedCorrection",-BZ1161,BZ1161)*IF($BR1161="Emissions positive",-1,1)</f>
        <v>0.01</v>
      </c>
      <c r="CX1161">
        <f>IFERROR($CW1161/$CS1161,"")</f>
        <v>3.3927519151443723E-7</v>
      </c>
      <c r="CY1161">
        <f>IFERROR($CW1161/$CS1161,"")</f>
        <v>3.3927519151443723E-7</v>
      </c>
      <c r="CZ1161">
        <f>IFERROR($CW1161/$CT1161,"")</f>
        <v>6.7855038302887446E-7</v>
      </c>
      <c r="DA1161" s="2" t="str">
        <f>IFERROR((CV1161-CU1161)/ABS(CU1161),"")</f>
        <v/>
      </c>
      <c r="DB1161" s="1" t="s">
        <v>1843</v>
      </c>
      <c r="DC1161" t="str">
        <f>IF(OR($DB1161="prd",$DB1161="std",$DB1161="cit"),"loc",IF(OR($DB1161="eur",$DB1161="reg",$DB1161="coy"),"reg",$DB1161))</f>
        <v>reg</v>
      </c>
      <c r="DD1161" t="s">
        <v>1867</v>
      </c>
      <c r="DE1161">
        <v>2021</v>
      </c>
      <c r="DF1161">
        <v>2030</v>
      </c>
      <c r="DG1161">
        <f>DF1161-DE1161</f>
        <v>9</v>
      </c>
      <c r="DH1161" t="str">
        <f>IF(DG1161=0,"0",IF(AND(DG1161&gt;=1,DG1161&lt;=30),"1-30",IF(AND(DG1161&gt;30,DG1161&lt;=70),"31-70",IF(AND(DG1161&gt;70,DG1161&lt;=100),"71-100",IF(DG1161&gt;100,"+100")))))</f>
        <v>1-30</v>
      </c>
      <c r="DI1161">
        <v>0</v>
      </c>
      <c r="DJ1161">
        <v>0</v>
      </c>
      <c r="DK1161">
        <v>0</v>
      </c>
      <c r="DL1161">
        <v>1</v>
      </c>
      <c r="DM1161">
        <v>0</v>
      </c>
      <c r="DN1161">
        <f>SUM(DI1161:DL1161)</f>
        <v>1</v>
      </c>
      <c r="DO1161" t="str">
        <f>IF(DN1161=1,INDEX($DI$7:$DL$7,MATCH(1,$DI1161:$DL1161,0)),"mixedProduct")</f>
        <v>TimberInput</v>
      </c>
      <c r="DP1161">
        <f>IF(DI1161=1,DP$7,0)</f>
        <v>0</v>
      </c>
      <c r="DQ1161">
        <f>IF(DJ1161=1,DQ$7,0)</f>
        <v>0</v>
      </c>
      <c r="DR1161">
        <f>IF(DK1161=1,DR$7,0)</f>
        <v>0</v>
      </c>
      <c r="DS1161" t="str">
        <f>IF(DL1161=1,DS$7,0)</f>
        <v>Timber</v>
      </c>
      <c r="DT1161">
        <v>0</v>
      </c>
      <c r="DU1161">
        <v>1</v>
      </c>
      <c r="DX1161" s="183" t="s">
        <v>1868</v>
      </c>
      <c r="DY1161">
        <f>SUM(DT1161:DU1161)</f>
        <v>1</v>
      </c>
      <c r="DZ1161" s="143" t="str">
        <f>IF(DT1161=1,"self-calculated DF",IF(DU1161=1,"external DF used","explicit C balance"))</f>
        <v>external DF used</v>
      </c>
      <c r="EA1161">
        <v>1</v>
      </c>
      <c r="EB1161">
        <v>1</v>
      </c>
      <c r="EC1161">
        <v>1</v>
      </c>
      <c r="ED1161">
        <v>1</v>
      </c>
      <c r="EE1161">
        <v>1</v>
      </c>
      <c r="EF1161">
        <v>1</v>
      </c>
      <c r="EG1161">
        <v>0</v>
      </c>
      <c r="EH1161">
        <v>0</v>
      </c>
      <c r="EI1161">
        <v>0</v>
      </c>
      <c r="EJ1161">
        <v>0</v>
      </c>
      <c r="EK1161">
        <v>1</v>
      </c>
      <c r="EL1161">
        <v>0</v>
      </c>
      <c r="EM1161">
        <v>1</v>
      </c>
      <c r="EN1161" s="2">
        <v>0</v>
      </c>
      <c r="EP1161" t="str">
        <f>IF(AND(AND(AND(OR($EC1161=1,$EB1161=1),OR($EH1161=1,$EF1161=1)),SUM($EA1161:$EE1161,$EK1161)&gt;=3),SUM($EF1161:$EJ1161)&gt;=2),"Whole sector approach","")</f>
        <v/>
      </c>
      <c r="EQ1161" t="str">
        <f>IF(AND(AND(OR($EC1161=1,$EB1161=1),AND($EH1161=0,$EF1161=0)),SUM($EA1161:$EE1161,$EK1161)&gt;=4),"Ecosystem approach","")</f>
        <v/>
      </c>
      <c r="ER1161" s="2" t="str">
        <f>IF(AND(AND(AND($EC1161=0,$EB1161=0),OR($EH1161=1,$EF1161=1)),SUM($EG1161:$EJ1161)&gt;=2),"Technology approach","")</f>
        <v/>
      </c>
      <c r="ES1161" t="str">
        <f>IF(AND($EC1161+$EB1161+$EE1161+$EA1161+$ED1161+$EG1161=0,$N1161="included"),"C neutral forest and HWP assumption","")</f>
        <v/>
      </c>
      <c r="ET1161" t="str">
        <f>IF(AND(AND(AND(AND($EC1161=1,$EB1161+$EA1161+$EG1161&gt;=1),$EF1161=1),$EH1161+$EI1161+$ED1161+$EE1161&gt;=2),$N1161="included"),"All C pools assumption","")</f>
        <v>All C pools assumption</v>
      </c>
      <c r="EU1161" t="str">
        <f>IF(AND($ED1161+$EE1161+$EI1161+$EH1161+$EF1161=0,$N1161="included"),"In-situ only assumption","")</f>
        <v/>
      </c>
      <c r="EY1161" t="str">
        <f>IF(ISNUMBER(BW1161),IF(ABS(BW1161-[2]QC_indicators!$B$2)&gt;3*[2]QC_indicators!$C$2,"C ratio",IF(ISNUMBER(CA1161),IF(ABS(CA1161-[2]QC_indicators!$B$1)&gt;3*[2]QC_indicators!$C$1,"DF","no"))),IF(ISNUMBER(CA1161),IF(ABS(CA1161-[2]QC_indicators!$B$1)&gt;3*[2]QC_indicators!$C$1,"DF","no")))</f>
        <v>no</v>
      </c>
      <c r="FA1161" t="str">
        <f>IF(LEN($CY1161)=0,"",IF(AND($CY1161&lt;(-0.05),$ES1161="C neutral forest and HWP assumption"),"Cneutral paradox",IF(AND($CY1161&gt;0.05,$EU1161="In-situ only assumption"),"In-situ only paradox","")))</f>
        <v/>
      </c>
      <c r="FD1161" s="260" t="s">
        <v>2948</v>
      </c>
    </row>
    <row r="1162" spans="1:160" hidden="1">
      <c r="D1162" t="s">
        <v>1859</v>
      </c>
      <c r="E1162" t="s">
        <v>1860</v>
      </c>
      <c r="G1162" t="s">
        <v>1861</v>
      </c>
      <c r="I1162">
        <v>2018</v>
      </c>
      <c r="K1162" s="150" t="s">
        <v>1862</v>
      </c>
      <c r="M1162" t="str">
        <f>LEFT($D1162,FIND(",",$D1162)-1)&amp;"_"&amp;I1162&amp;L1162</f>
        <v>Olguin_2018</v>
      </c>
      <c r="N1162" t="s">
        <v>222</v>
      </c>
      <c r="O1162" s="157" t="s">
        <v>274</v>
      </c>
      <c r="P1162" t="s">
        <v>508</v>
      </c>
      <c r="Q1162" t="s">
        <v>389</v>
      </c>
      <c r="R1162" s="258" t="s">
        <v>223</v>
      </c>
      <c r="S1162" s="259" t="s">
        <v>2864</v>
      </c>
      <c r="T1162" t="s">
        <v>1863</v>
      </c>
      <c r="U1162" t="s">
        <v>1872</v>
      </c>
      <c r="V1162" s="253">
        <v>0</v>
      </c>
      <c r="W1162" s="253">
        <v>0</v>
      </c>
      <c r="X1162">
        <v>0</v>
      </c>
      <c r="Y1162">
        <v>0</v>
      </c>
      <c r="Z1162">
        <v>0</v>
      </c>
      <c r="AA1162">
        <v>0</v>
      </c>
      <c r="AB1162">
        <v>0</v>
      </c>
      <c r="AC1162">
        <v>0</v>
      </c>
      <c r="AD1162">
        <v>0</v>
      </c>
      <c r="AE1162">
        <v>1</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s="141">
        <f>COUNTIF(X1162:AY1162,"&lt;&gt;0")</f>
        <v>1</v>
      </c>
      <c r="BA1162" s="141">
        <f>COUNTIF(X1162:AN1162,"&lt;&gt;0")</f>
        <v>1</v>
      </c>
      <c r="BB1162">
        <f>COUNTIF(X1162:AE1162,"&lt;&gt;0")</f>
        <v>1</v>
      </c>
      <c r="BC1162">
        <f>COUNTIF(AF1162:AK1162,"&lt;&gt;0")</f>
        <v>0</v>
      </c>
      <c r="BD1162">
        <f>COUNTIF(AL1162:AN1162,"&lt;&gt;0")</f>
        <v>0</v>
      </c>
      <c r="BE1162">
        <f>COUNTIF(AU1162:AY1162,"&lt;&gt;0")</f>
        <v>0</v>
      </c>
      <c r="BF1162">
        <f>COUNTIF(AO1162:AT1162,"&lt;&gt;0")</f>
        <v>0</v>
      </c>
      <c r="BG1162" t="str">
        <f t="array" ref="BG1162">IF(BA1162=1,INDEX($X$7:$AN$7,MATCH(TRUE,INDEX($X1162:$AY1162&lt;&gt;0,),0)),IF(BA1162=0,INDEX($AO$7:$AY$7,MATCH(1,$AO1162:$AY1162,0)),IF(BH1162="Multiple strategies","mixed drivers",IF(BH1162="Supply chain","multiple supply","multiple silviculture"))))</f>
        <v>site fertility</v>
      </c>
      <c r="BH1162" s="2" t="str" cm="1">
        <f t="array" ref="BH1162">IF(COUNTIF(BB1162:BD1162,"&lt;&gt;0")=1,INDEX($X$4:$AY$4,MATCH(TRUE,INDEX($X1162:$AY1162&lt;&gt;0,),0)),IF(COUNTIF(BB1162:BD1162,"&lt;&gt;0")=0,INDEX($AO$4:$AY$4,MATCH(1,$AO1162:$AY1162,0)),"Multiple strategies"))</f>
        <v>Silviculture for productivity</v>
      </c>
      <c r="BI1162" s="1" t="s">
        <v>321</v>
      </c>
      <c r="BK1162" s="260" t="s">
        <v>978</v>
      </c>
      <c r="BL1162" t="s">
        <v>1865</v>
      </c>
      <c r="BM1162">
        <v>0</v>
      </c>
      <c r="BN1162">
        <v>6788</v>
      </c>
      <c r="BO1162" t="str">
        <f>IFERROR(BN1162/BM1162,"")</f>
        <v/>
      </c>
      <c r="BP1162">
        <f>BN1162-BM1162</f>
        <v>6788</v>
      </c>
      <c r="BQ1162">
        <f>BP1162*tC_to_m3</f>
        <v>29474.598349978292</v>
      </c>
      <c r="BR1162" t="s">
        <v>232</v>
      </c>
      <c r="BS1162" t="s">
        <v>424</v>
      </c>
      <c r="BT1162" t="s">
        <v>1870</v>
      </c>
      <c r="BW1162" s="144"/>
      <c r="BX1162">
        <v>1E-3</v>
      </c>
      <c r="BZ1162">
        <f>BX1162</f>
        <v>1E-3</v>
      </c>
      <c r="CA1162">
        <f>IFERROR(BZ1162/BQ1162,"")</f>
        <v>3.3927519151443721E-8</v>
      </c>
      <c r="CB1162">
        <v>0</v>
      </c>
      <c r="CC1162">
        <v>0</v>
      </c>
      <c r="CD1162">
        <v>0</v>
      </c>
      <c r="CE1162">
        <v>0</v>
      </c>
      <c r="CF1162">
        <v>0</v>
      </c>
      <c r="CG1162">
        <v>0</v>
      </c>
      <c r="CH1162">
        <v>0</v>
      </c>
      <c r="CI1162">
        <v>0</v>
      </c>
      <c r="CJ1162">
        <v>0</v>
      </c>
      <c r="CK1162">
        <v>0</v>
      </c>
      <c r="CL1162">
        <v>0</v>
      </c>
      <c r="CM1162">
        <v>0</v>
      </c>
      <c r="CN1162">
        <v>0</v>
      </c>
      <c r="CO1162">
        <v>0</v>
      </c>
      <c r="CP1162" t="str">
        <f>IF($BN1162&lt;$BM1162,"refNeedCorrection","refOK")</f>
        <v>refOK</v>
      </c>
      <c r="CQ1162">
        <f>IF($CP1162="refOK",$BM1162,$BN1162)</f>
        <v>0</v>
      </c>
      <c r="CR1162">
        <f>IF($CP1162="refOK",$BN1162,$BM1162)</f>
        <v>6788</v>
      </c>
      <c r="CS1162">
        <f>IF($CP1162="refOK",$BQ1162,-$BQ1162)</f>
        <v>29474.598349978292</v>
      </c>
      <c r="CT1162">
        <f>IF(BI1162="Roundwood",$CS1162/2,$CS1162)</f>
        <v>14737.299174989146</v>
      </c>
      <c r="CU1162">
        <f>IF($CP1162="refOK",$BU1162,$BV1162)*IF($BR1162="Emissions positive",-1,1)</f>
        <v>0</v>
      </c>
      <c r="CV1162">
        <f>IF($CP1162="refOK",$BV1162,$BU1162)*IF($BR1162="Emissions positive",-1,1)</f>
        <v>0</v>
      </c>
      <c r="CW1162">
        <f>IF($CP1162="refNeedCorrection",-BZ1162,BZ1162)*IF($BR1162="Emissions positive",-1,1)</f>
        <v>1E-3</v>
      </c>
      <c r="CX1162">
        <f>IFERROR($CW1162/$CS1162,"")</f>
        <v>3.3927519151443721E-8</v>
      </c>
      <c r="CY1162">
        <f>IFERROR($CW1162/$CS1162,"")</f>
        <v>3.3927519151443721E-8</v>
      </c>
      <c r="CZ1162">
        <f>IFERROR($CW1162/$CT1162,"")</f>
        <v>6.7855038302887441E-8</v>
      </c>
      <c r="DA1162" s="2" t="str">
        <f>IFERROR((CV1162-CU1162)/ABS(CU1162),"")</f>
        <v/>
      </c>
      <c r="DB1162" s="1" t="s">
        <v>1843</v>
      </c>
      <c r="DC1162" t="str">
        <f>IF(OR($DB1162="prd",$DB1162="std",$DB1162="cit"),"loc",IF(OR($DB1162="eur",$DB1162="reg",$DB1162="coy"),"reg",$DB1162))</f>
        <v>reg</v>
      </c>
      <c r="DD1162" t="s">
        <v>1867</v>
      </c>
      <c r="DE1162">
        <v>2021</v>
      </c>
      <c r="DF1162">
        <v>2030</v>
      </c>
      <c r="DG1162">
        <f>DF1162-DE1162</f>
        <v>9</v>
      </c>
      <c r="DH1162" t="str">
        <f>IF(DG1162=0,"0",IF(AND(DG1162&gt;=1,DG1162&lt;=30),"1-30",IF(AND(DG1162&gt;30,DG1162&lt;=70),"31-70",IF(AND(DG1162&gt;70,DG1162&lt;=100),"71-100",IF(DG1162&gt;100,"+100")))))</f>
        <v>1-30</v>
      </c>
      <c r="DI1162">
        <v>0</v>
      </c>
      <c r="DJ1162">
        <v>0</v>
      </c>
      <c r="DK1162">
        <v>0</v>
      </c>
      <c r="DL1162">
        <v>1</v>
      </c>
      <c r="DM1162">
        <v>0</v>
      </c>
      <c r="DN1162">
        <f>SUM(DI1162:DL1162)</f>
        <v>1</v>
      </c>
      <c r="DO1162" t="str">
        <f>IF(DN1162=1,INDEX($DI$7:$DL$7,MATCH(1,$DI1162:$DL1162,0)),"mixedProduct")</f>
        <v>TimberInput</v>
      </c>
      <c r="DP1162">
        <f>IF(DI1162=1,DP$7,0)</f>
        <v>0</v>
      </c>
      <c r="DQ1162">
        <f>IF(DJ1162=1,DQ$7,0)</f>
        <v>0</v>
      </c>
      <c r="DR1162">
        <f>IF(DK1162=1,DR$7,0)</f>
        <v>0</v>
      </c>
      <c r="DS1162" t="str">
        <f>IF(DL1162=1,DS$7,0)</f>
        <v>Timber</v>
      </c>
      <c r="DT1162">
        <v>0</v>
      </c>
      <c r="DU1162">
        <v>1</v>
      </c>
      <c r="DX1162" s="183" t="s">
        <v>1868</v>
      </c>
      <c r="DY1162"/>
      <c r="DZ1162" s="143" t="str">
        <f>IF(DT1162=1,"self-calculated DF",IF(DU1162=1,"external DF used","explicit C balance"))</f>
        <v>external DF used</v>
      </c>
      <c r="EA1162">
        <v>1</v>
      </c>
      <c r="EB1162">
        <v>1</v>
      </c>
      <c r="EC1162">
        <v>1</v>
      </c>
      <c r="ED1162">
        <v>1</v>
      </c>
      <c r="EE1162">
        <v>1</v>
      </c>
      <c r="EF1162">
        <v>1</v>
      </c>
      <c r="EG1162">
        <v>0</v>
      </c>
      <c r="EH1162">
        <v>0</v>
      </c>
      <c r="EI1162">
        <v>0</v>
      </c>
      <c r="EJ1162">
        <v>0</v>
      </c>
      <c r="EK1162">
        <v>1</v>
      </c>
      <c r="EL1162">
        <v>0</v>
      </c>
      <c r="EM1162">
        <v>1</v>
      </c>
      <c r="EN1162" s="2">
        <v>0</v>
      </c>
      <c r="EP1162" t="str">
        <f>IF(AND(AND(AND(OR($EC1162=1,$EB1162=1),OR($EH1162=1,$EF1162=1)),SUM($EA1162:$EE1162,$EK1162)&gt;=3),SUM($EF1162:$EJ1162)&gt;=2),"Whole sector approach","")</f>
        <v/>
      </c>
      <c r="EQ1162" t="str">
        <f>IF(AND(AND(OR($EC1162=1,$EB1162=1),AND($EH1162=0,$EF1162=0)),SUM($EA1162:$EE1162,$EK1162)&gt;=4),"Ecosystem approach","")</f>
        <v/>
      </c>
      <c r="ER1162" s="2" t="str">
        <f>IF(AND(AND(AND($EC1162=0,$EB1162=0),OR($EH1162=1,$EF1162=1)),SUM($EG1162:$EJ1162)&gt;=2),"Technology approach","")</f>
        <v/>
      </c>
      <c r="ES1162" t="str">
        <f>IF(AND($EC1162+$EB1162+$EE1162+$EA1162+$ED1162+$EG1162=0,$N1162="included"),"C neutral forest and HWP assumption","")</f>
        <v/>
      </c>
      <c r="ET1162" t="str">
        <f>IF(AND(AND(AND(AND($EC1162=1,$EB1162+$EA1162+$EG1162&gt;=1),$EF1162=1),$EH1162+$EI1162+$ED1162+$EE1162&gt;=2),$N1162="included"),"All C pools assumption","")</f>
        <v>All C pools assumption</v>
      </c>
      <c r="EU1162" t="str">
        <f>IF(AND($ED1162+$EE1162+$EI1162+$EH1162+$EF1162=0,$N1162="included"),"In-situ only assumption","")</f>
        <v/>
      </c>
      <c r="EY1162" t="str">
        <f>IF(ISNUMBER(BW1162),IF(ABS(BW1162-[2]QC_indicators!$B$2)&gt;3*[2]QC_indicators!$C$2,"C ratio",IF(ISNUMBER(CA1162),IF(ABS(CA1162-[2]QC_indicators!$B$1)&gt;3*[2]QC_indicators!$C$1,"DF","no"))),IF(ISNUMBER(CA1162),IF(ABS(CA1162-[2]QC_indicators!$B$1)&gt;3*[2]QC_indicators!$C$1,"DF","no")))</f>
        <v>no</v>
      </c>
      <c r="FA1162" t="str">
        <f>IF(LEN($CY1162)=0,"",IF(AND($CY1162&lt;(-0.05),$ES1162="C neutral forest and HWP assumption"),"Cneutral paradox",IF(AND($CY1162&gt;0.05,$EU1162="In-situ only assumption"),"In-situ only paradox","")))</f>
        <v/>
      </c>
      <c r="FD1162" s="260" t="s">
        <v>2948</v>
      </c>
    </row>
    <row r="1163" spans="1:160" hidden="1">
      <c r="D1163" t="s">
        <v>1859</v>
      </c>
      <c r="E1163" t="s">
        <v>1860</v>
      </c>
      <c r="G1163" t="s">
        <v>1861</v>
      </c>
      <c r="I1163">
        <v>2018</v>
      </c>
      <c r="K1163" s="150" t="s">
        <v>1862</v>
      </c>
      <c r="M1163" t="str">
        <f>LEFT($D1163,FIND(",",$D1163)-1)&amp;"_"&amp;I1163&amp;L1163</f>
        <v>Olguin_2018</v>
      </c>
      <c r="N1163" t="s">
        <v>222</v>
      </c>
      <c r="O1163" s="157" t="s">
        <v>274</v>
      </c>
      <c r="P1163" t="s">
        <v>508</v>
      </c>
      <c r="Q1163" t="s">
        <v>389</v>
      </c>
      <c r="R1163" s="258" t="s">
        <v>223</v>
      </c>
      <c r="S1163" s="259" t="s">
        <v>2866</v>
      </c>
      <c r="T1163" t="s">
        <v>1863</v>
      </c>
      <c r="U1163" t="s">
        <v>1871</v>
      </c>
      <c r="V1163" s="253">
        <v>0</v>
      </c>
      <c r="W1163" s="253">
        <v>0</v>
      </c>
      <c r="X1163">
        <v>0</v>
      </c>
      <c r="Y1163">
        <v>0</v>
      </c>
      <c r="Z1163">
        <v>0</v>
      </c>
      <c r="AA1163">
        <v>0</v>
      </c>
      <c r="AB1163">
        <v>0</v>
      </c>
      <c r="AC1163">
        <v>0</v>
      </c>
      <c r="AD1163">
        <v>0</v>
      </c>
      <c r="AE1163">
        <v>1</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s="141">
        <f>COUNTIF(X1163:AY1163,"&lt;&gt;0")</f>
        <v>1</v>
      </c>
      <c r="BA1163" s="141">
        <f>COUNTIF(X1163:AN1163,"&lt;&gt;0")</f>
        <v>1</v>
      </c>
      <c r="BB1163">
        <f>COUNTIF(X1163:AE1163,"&lt;&gt;0")</f>
        <v>1</v>
      </c>
      <c r="BC1163">
        <f>COUNTIF(AF1163:AK1163,"&lt;&gt;0")</f>
        <v>0</v>
      </c>
      <c r="BD1163">
        <f>COUNTIF(AL1163:AN1163,"&lt;&gt;0")</f>
        <v>0</v>
      </c>
      <c r="BE1163">
        <f>COUNTIF(AU1163:AY1163,"&lt;&gt;0")</f>
        <v>0</v>
      </c>
      <c r="BF1163">
        <f>COUNTIF(AO1163:AT1163,"&lt;&gt;0")</f>
        <v>0</v>
      </c>
      <c r="BG1163" t="str">
        <f t="array" ref="BG1163">IF(BA1163=1,INDEX($X$7:$AN$7,MATCH(TRUE,INDEX($X1163:$AY1163&lt;&gt;0,),0)),IF(BA1163=0,INDEX($AO$7:$AY$7,MATCH(1,$AO1163:$AY1163,0)),IF(BH1163="Multiple strategies","mixed drivers",IF(BH1163="Supply chain","multiple supply","multiple silviculture"))))</f>
        <v>site fertility</v>
      </c>
      <c r="BH1163" s="2" t="str" cm="1">
        <f t="array" ref="BH1163">IF(COUNTIF(BB1163:BD1163,"&lt;&gt;0")=1,INDEX($X$4:$AY$4,MATCH(TRUE,INDEX($X1163:$AY1163&lt;&gt;0,),0)),IF(COUNTIF(BB1163:BD1163,"&lt;&gt;0")=0,INDEX($AO$4:$AY$4,MATCH(1,$AO1163:$AY1163,0)),"Multiple strategies"))</f>
        <v>Silviculture for productivity</v>
      </c>
      <c r="BI1163" s="1" t="s">
        <v>321</v>
      </c>
      <c r="BK1163" s="260" t="s">
        <v>978</v>
      </c>
      <c r="BL1163" t="s">
        <v>1865</v>
      </c>
      <c r="BM1163">
        <v>0</v>
      </c>
      <c r="BN1163">
        <v>218025</v>
      </c>
      <c r="BO1163" t="str">
        <f>IFERROR(BN1164/BM1163,"")</f>
        <v/>
      </c>
      <c r="BP1163">
        <f>BN1163-BM1163</f>
        <v>218025</v>
      </c>
      <c r="BQ1163">
        <f>BP1163*tC_to_m3</f>
        <v>946699.95657837612</v>
      </c>
      <c r="BR1163" t="s">
        <v>232</v>
      </c>
      <c r="BS1163" t="s">
        <v>424</v>
      </c>
      <c r="BT1163" t="s">
        <v>1870</v>
      </c>
      <c r="BW1163" s="144"/>
      <c r="BX1163">
        <v>-0.83</v>
      </c>
      <c r="BZ1163">
        <f>BX1163</f>
        <v>-0.83</v>
      </c>
      <c r="CA1163">
        <f>IFERROR(BZ1163/BQ1163,"")</f>
        <v>-8.7672973282880392E-7</v>
      </c>
      <c r="CB1163">
        <v>0</v>
      </c>
      <c r="CC1163">
        <v>0</v>
      </c>
      <c r="CD1163">
        <v>0</v>
      </c>
      <c r="CE1163">
        <v>0</v>
      </c>
      <c r="CF1163">
        <v>0</v>
      </c>
      <c r="CG1163">
        <v>0</v>
      </c>
      <c r="CH1163">
        <v>0</v>
      </c>
      <c r="CI1163">
        <v>0</v>
      </c>
      <c r="CJ1163">
        <v>0</v>
      </c>
      <c r="CK1163">
        <v>0</v>
      </c>
      <c r="CL1163">
        <v>0</v>
      </c>
      <c r="CM1163">
        <v>0</v>
      </c>
      <c r="CN1163">
        <v>0</v>
      </c>
      <c r="CO1163">
        <v>0</v>
      </c>
      <c r="CP1163" t="str">
        <f>IF($BN1164&lt;$BM1163,"refNeedCorrection","refOK")</f>
        <v>refOK</v>
      </c>
      <c r="CQ1163">
        <f>IF($CP1163="refOK",$BM1163,$BN1164)</f>
        <v>0</v>
      </c>
      <c r="CR1163">
        <f>IF($CP1163="refOK",$BN1164,$BM1163)</f>
        <v>218025</v>
      </c>
      <c r="CS1163">
        <f>IF($CP1163="refOK",$BQ1163,-$BQ1163)</f>
        <v>946699.95657837612</v>
      </c>
      <c r="CT1163">
        <f>IF(BI1163="Roundwood",$CS1163/2,$CS1163)</f>
        <v>473349.97828918806</v>
      </c>
      <c r="CU1163">
        <f>IF($CP1163="refOK",$BU1163,$BV1163)*IF($BR1163="Emissions positive",-1,1)</f>
        <v>0</v>
      </c>
      <c r="CV1163">
        <f>IF($CP1163="refOK",$BV1163,$BU1163)*IF($BR1163="Emissions positive",-1,1)</f>
        <v>0</v>
      </c>
      <c r="CW1163">
        <f>IF($CP1163="refNeedCorrection",-BZ1163,BZ1163)*IF($BR1163="Emissions positive",-1,1)</f>
        <v>-0.83</v>
      </c>
      <c r="CX1163">
        <f>IFERROR($CW1163/$CS1163,"")</f>
        <v>-8.7672973282880392E-7</v>
      </c>
      <c r="CY1163">
        <f>IFERROR($CW1163/$CS1163,"")</f>
        <v>-8.7672973282880392E-7</v>
      </c>
      <c r="CZ1163">
        <f>IFERROR($CW1163/$CT1163,"")</f>
        <v>-1.7534594656576078E-6</v>
      </c>
      <c r="DA1163" s="2" t="str">
        <f>IFERROR((CV1163-CU1163)/ABS(CU1163),"")</f>
        <v/>
      </c>
      <c r="DB1163" s="1" t="s">
        <v>1843</v>
      </c>
      <c r="DC1163" t="str">
        <f>IF(OR($DB1163="prd",$DB1163="std",$DB1163="cit"),"loc",IF(OR($DB1163="eur",$DB1163="reg",$DB1163="coy"),"reg",$DB1163))</f>
        <v>reg</v>
      </c>
      <c r="DD1163" t="s">
        <v>1867</v>
      </c>
      <c r="DE1163">
        <v>2021</v>
      </c>
      <c r="DF1163">
        <v>2030</v>
      </c>
      <c r="DG1163">
        <f>DF1163-DE1163</f>
        <v>9</v>
      </c>
      <c r="DH1163" t="str">
        <f>IF(DG1163=0,"0",IF(AND(DG1163&gt;=1,DG1163&lt;=30),"1-30",IF(AND(DG1163&gt;30,DG1163&lt;=70),"31-70",IF(AND(DG1163&gt;70,DG1163&lt;=100),"71-100",IF(DG1163&gt;100,"+100")))))</f>
        <v>1-30</v>
      </c>
      <c r="DI1163">
        <v>0</v>
      </c>
      <c r="DJ1163">
        <v>0</v>
      </c>
      <c r="DK1163">
        <v>0</v>
      </c>
      <c r="DL1163">
        <v>1</v>
      </c>
      <c r="DM1163">
        <v>0</v>
      </c>
      <c r="DN1163">
        <f>SUM(DI1163:DL1163)</f>
        <v>1</v>
      </c>
      <c r="DO1163" t="str">
        <f>IF(DN1163=1,INDEX($DI$7:$DL$7,MATCH(1,$DI1163:$DL1163,0)),"mixedProduct")</f>
        <v>TimberInput</v>
      </c>
      <c r="DP1163">
        <f>IF(DI1163=1,DP$7,0)</f>
        <v>0</v>
      </c>
      <c r="DQ1163">
        <f>IF(DJ1163=1,DQ$7,0)</f>
        <v>0</v>
      </c>
      <c r="DR1163">
        <f>IF(DK1163=1,DR$7,0)</f>
        <v>0</v>
      </c>
      <c r="DS1163" t="str">
        <f>IF(DL1163=1,DS$7,0)</f>
        <v>Timber</v>
      </c>
      <c r="DT1163">
        <v>0</v>
      </c>
      <c r="DU1163">
        <v>1</v>
      </c>
      <c r="DX1163" s="183" t="s">
        <v>1868</v>
      </c>
      <c r="DY1163"/>
      <c r="DZ1163" s="143" t="str">
        <f>IF(DT1163=1,"self-calculated DF",IF(DU1163=1,"external DF used","explicit C balance"))</f>
        <v>external DF used</v>
      </c>
      <c r="EA1163">
        <v>1</v>
      </c>
      <c r="EB1163">
        <v>1</v>
      </c>
      <c r="EC1163">
        <v>1</v>
      </c>
      <c r="ED1163">
        <v>1</v>
      </c>
      <c r="EE1163">
        <v>1</v>
      </c>
      <c r="EF1163">
        <v>1</v>
      </c>
      <c r="EG1163">
        <v>0</v>
      </c>
      <c r="EH1163">
        <v>0</v>
      </c>
      <c r="EI1163">
        <v>0</v>
      </c>
      <c r="EJ1163">
        <v>0</v>
      </c>
      <c r="EK1163">
        <v>1</v>
      </c>
      <c r="EL1163">
        <v>0</v>
      </c>
      <c r="EM1163">
        <v>1</v>
      </c>
      <c r="EN1163" s="2">
        <v>0</v>
      </c>
      <c r="EP1163" t="str">
        <f>IF(AND(AND(AND(OR($EC1163=1,$EB1163=1),OR($EH1163=1,$EF1163=1)),SUM($EA1163:$EE1163,$EK1163)&gt;=3),SUM($EF1163:$EJ1163)&gt;=2),"Whole sector approach","")</f>
        <v/>
      </c>
      <c r="EQ1163" t="str">
        <f>IF(AND(AND(OR($EC1163=1,$EB1163=1),AND($EH1163=0,$EF1163=0)),SUM($EA1163:$EE1163,$EK1163)&gt;=4),"Ecosystem approach","")</f>
        <v/>
      </c>
      <c r="ER1163" s="2" t="str">
        <f>IF(AND(AND(AND($EC1163=0,$EB1163=0),OR($EH1163=1,$EF1163=1)),SUM($EG1163:$EJ1163)&gt;=2),"Technology approach","")</f>
        <v/>
      </c>
      <c r="ES1163" t="str">
        <f>IF(AND($EC1163+$EB1163+$EE1163+$EA1163+$ED1163+$EG1163=0,$N1163="included"),"C neutral forest and HWP assumption","")</f>
        <v/>
      </c>
      <c r="ET1163" t="str">
        <f>IF(AND(AND(AND(AND($EC1163=1,$EB1163+$EA1163+$EG1163&gt;=1),$EF1163=1),$EH1163+$EI1163+$ED1163+$EE1163&gt;=2),$N1163="included"),"All C pools assumption","")</f>
        <v>All C pools assumption</v>
      </c>
      <c r="EU1163" t="str">
        <f>IF(AND($ED1163+$EE1163+$EI1163+$EH1163+$EF1163=0,$N1163="included"),"In-situ only assumption","")</f>
        <v/>
      </c>
      <c r="EY1163" t="str">
        <f>IF(ISNUMBER(BW1163),IF(ABS(BW1163-[2]QC_indicators!$B$2)&gt;3*[2]QC_indicators!$C$2,"C ratio",IF(ISNUMBER(CA1163),IF(ABS(CA1163-[2]QC_indicators!$B$1)&gt;3*[2]QC_indicators!$C$1,"DF","no"))),IF(ISNUMBER(CA1163),IF(ABS(CA1163-[2]QC_indicators!$B$1)&gt;3*[2]QC_indicators!$C$1,"DF","no")))</f>
        <v>no</v>
      </c>
      <c r="FA1163" t="str">
        <f>IF(LEN($CY1163)=0,"",IF(AND($CY1163&lt;(-0.05),$ES1163="C neutral forest and HWP assumption"),"Cneutral paradox",IF(AND($CY1163&gt;0.05,$EU1163="In-situ only assumption"),"In-situ only paradox","")))</f>
        <v/>
      </c>
      <c r="FD1163" s="260" t="s">
        <v>2948</v>
      </c>
    </row>
    <row r="1164" spans="1:160" ht="15" hidden="1" customHeight="1">
      <c r="D1164" t="s">
        <v>1859</v>
      </c>
      <c r="E1164" t="s">
        <v>1860</v>
      </c>
      <c r="G1164" t="s">
        <v>1861</v>
      </c>
      <c r="I1164">
        <v>2018</v>
      </c>
      <c r="K1164" s="150" t="s">
        <v>1862</v>
      </c>
      <c r="M1164" t="str">
        <f>LEFT($D1164,FIND(",",$D1164)-1)&amp;"_"&amp;I1164&amp;L1164</f>
        <v>Olguin_2018</v>
      </c>
      <c r="N1164" t="s">
        <v>222</v>
      </c>
      <c r="O1164" s="157" t="s">
        <v>274</v>
      </c>
      <c r="P1164" t="s">
        <v>508</v>
      </c>
      <c r="Q1164" t="s">
        <v>389</v>
      </c>
      <c r="R1164" s="258" t="s">
        <v>223</v>
      </c>
      <c r="S1164" s="259" t="s">
        <v>2881</v>
      </c>
      <c r="T1164" t="s">
        <v>1863</v>
      </c>
      <c r="U1164" t="s">
        <v>1871</v>
      </c>
      <c r="V1164" s="253">
        <v>0</v>
      </c>
      <c r="W1164" s="253">
        <v>0</v>
      </c>
      <c r="X1164">
        <v>0</v>
      </c>
      <c r="Y1164">
        <v>0</v>
      </c>
      <c r="Z1164">
        <v>0</v>
      </c>
      <c r="AA1164">
        <v>0</v>
      </c>
      <c r="AB1164">
        <v>0</v>
      </c>
      <c r="AC1164">
        <v>0</v>
      </c>
      <c r="AD1164">
        <v>0</v>
      </c>
      <c r="AE1164">
        <v>1</v>
      </c>
      <c r="AF1164">
        <v>0</v>
      </c>
      <c r="AG1164">
        <v>0</v>
      </c>
      <c r="AH1164">
        <v>0</v>
      </c>
      <c r="AI1164">
        <v>0</v>
      </c>
      <c r="AJ1164">
        <v>0</v>
      </c>
      <c r="AK1164">
        <v>0</v>
      </c>
      <c r="AL1164">
        <v>0</v>
      </c>
      <c r="AM1164">
        <v>0</v>
      </c>
      <c r="AN1164">
        <v>0</v>
      </c>
      <c r="AO1164">
        <v>0</v>
      </c>
      <c r="AP1164">
        <v>0</v>
      </c>
      <c r="AQ1164">
        <v>0</v>
      </c>
      <c r="AR1164">
        <v>0</v>
      </c>
      <c r="AS1164">
        <v>0</v>
      </c>
      <c r="AT1164">
        <v>0</v>
      </c>
      <c r="AU1164">
        <v>0</v>
      </c>
      <c r="AV1164">
        <v>0</v>
      </c>
      <c r="AW1164">
        <v>0</v>
      </c>
      <c r="AX1164">
        <v>0</v>
      </c>
      <c r="AY1164">
        <v>0</v>
      </c>
      <c r="AZ1164" s="141">
        <f>COUNTIF(X1164:AY1164,"&lt;&gt;0")</f>
        <v>1</v>
      </c>
      <c r="BA1164" s="141">
        <f>COUNTIF(X1164:AN1164,"&lt;&gt;0")</f>
        <v>1</v>
      </c>
      <c r="BB1164">
        <f>COUNTIF(X1164:AE1164,"&lt;&gt;0")</f>
        <v>1</v>
      </c>
      <c r="BC1164">
        <f>COUNTIF(AF1164:AK1164,"&lt;&gt;0")</f>
        <v>0</v>
      </c>
      <c r="BD1164">
        <f>COUNTIF(AL1164:AN1164,"&lt;&gt;0")</f>
        <v>0</v>
      </c>
      <c r="BE1164">
        <f>COUNTIF(AU1164:AY1164,"&lt;&gt;0")</f>
        <v>0</v>
      </c>
      <c r="BF1164">
        <f>COUNTIF(AO1164:AT1164,"&lt;&gt;0")</f>
        <v>0</v>
      </c>
      <c r="BG1164" t="str">
        <f t="array" ref="BG1164">IF(BA1164=1,INDEX($X$7:$AN$7,MATCH(TRUE,INDEX($X1164:$AY1164&lt;&gt;0,),0)),IF(BA1164=0,INDEX($AO$7:$AY$7,MATCH(1,$AO1164:$AY1164,0)),IF(BH1164="Multiple strategies","mixed drivers",IF(BH1164="Supply chain","multiple supply","multiple silviculture"))))</f>
        <v>site fertility</v>
      </c>
      <c r="BH1164" s="2" t="str" cm="1">
        <f t="array" ref="BH1164">IF(COUNTIF(BB1164:BD1164,"&lt;&gt;0")=1,INDEX($X$4:$AY$4,MATCH(TRUE,INDEX($X1164:$AY1164&lt;&gt;0,),0)),IF(COUNTIF(BB1164:BD1164,"&lt;&gt;0")=0,INDEX($AO$4:$AY$4,MATCH(1,$AO1164:$AY1164,0)),"Multiple strategies"))</f>
        <v>Silviculture for productivity</v>
      </c>
      <c r="BI1164" s="1" t="s">
        <v>321</v>
      </c>
      <c r="BK1164" s="260" t="s">
        <v>978</v>
      </c>
      <c r="BL1164" t="s">
        <v>1865</v>
      </c>
      <c r="BM1164">
        <v>0</v>
      </c>
      <c r="BN1164">
        <v>218025</v>
      </c>
      <c r="BO1164" t="str">
        <f>IFERROR(BN1164/BM1164,"")</f>
        <v/>
      </c>
      <c r="BP1164">
        <f>BN1164-BM1164</f>
        <v>218025</v>
      </c>
      <c r="BQ1164">
        <f>BP1164*tC_to_m3</f>
        <v>946699.95657837612</v>
      </c>
      <c r="BR1164" t="s">
        <v>232</v>
      </c>
      <c r="BS1164" t="s">
        <v>424</v>
      </c>
      <c r="BT1164" t="s">
        <v>1870</v>
      </c>
      <c r="BW1164" s="144"/>
      <c r="BX1164">
        <v>-1.03</v>
      </c>
      <c r="BZ1164">
        <f>BX1164</f>
        <v>-1.03</v>
      </c>
      <c r="CA1164">
        <f>IFERROR(BZ1164/BQ1164,"")</f>
        <v>-1.087989909414058E-6</v>
      </c>
      <c r="CB1164">
        <v>0</v>
      </c>
      <c r="CC1164">
        <v>0</v>
      </c>
      <c r="CD1164">
        <v>0</v>
      </c>
      <c r="CE1164">
        <v>0</v>
      </c>
      <c r="CF1164">
        <v>0</v>
      </c>
      <c r="CG1164">
        <v>0</v>
      </c>
      <c r="CH1164">
        <v>0</v>
      </c>
      <c r="CI1164">
        <v>0</v>
      </c>
      <c r="CJ1164">
        <v>0</v>
      </c>
      <c r="CK1164">
        <v>0</v>
      </c>
      <c r="CL1164">
        <v>0</v>
      </c>
      <c r="CM1164">
        <v>0</v>
      </c>
      <c r="CN1164">
        <v>0</v>
      </c>
      <c r="CO1164">
        <v>0</v>
      </c>
      <c r="CP1164" t="str">
        <f>IF($BN1164&lt;$BM1164,"refNeedCorrection","refOK")</f>
        <v>refOK</v>
      </c>
      <c r="CQ1164">
        <f>IF($CP1164="refOK",$BM1164,$BN1164)</f>
        <v>0</v>
      </c>
      <c r="CR1164">
        <f>IF($CP1164="refOK",$BN1164,$BM1164)</f>
        <v>218025</v>
      </c>
      <c r="CS1164">
        <f>IF($CP1164="refOK",$BQ1164,-$BQ1164)</f>
        <v>946699.95657837612</v>
      </c>
      <c r="CT1164">
        <f>IF(BI1164="Roundwood",$CS1164/2,$CS1164)</f>
        <v>473349.97828918806</v>
      </c>
      <c r="CU1164">
        <f>IF($CP1164="refOK",$BU1164,$BV1164)*IF($BR1164="Emissions positive",-1,1)</f>
        <v>0</v>
      </c>
      <c r="CV1164">
        <f>IF($CP1164="refOK",$BV1164,$BU1164)*IF($BR1164="Emissions positive",-1,1)</f>
        <v>0</v>
      </c>
      <c r="CW1164">
        <f>IF($CP1164="refNeedCorrection",-BZ1164,BZ1164)*IF($BR1164="Emissions positive",-1,1)</f>
        <v>-1.03</v>
      </c>
      <c r="CX1164">
        <f>IFERROR($CW1164/$CS1164,"")</f>
        <v>-1.087989909414058E-6</v>
      </c>
      <c r="CY1164">
        <f>IFERROR($CW1164/$CS1164,"")</f>
        <v>-1.087989909414058E-6</v>
      </c>
      <c r="CZ1164">
        <f>IFERROR($CW1164/$CT1164,"")</f>
        <v>-2.175979818828116E-6</v>
      </c>
      <c r="DA1164" s="2" t="str">
        <f>IFERROR((CV1164-CU1164)/ABS(CU1164),"")</f>
        <v/>
      </c>
      <c r="DB1164" s="1" t="s">
        <v>1843</v>
      </c>
      <c r="DC1164" t="str">
        <f>IF(OR($DB1164="prd",$DB1164="std",$DB1164="cit"),"loc",IF(OR($DB1164="eur",$DB1164="reg",$DB1164="coy"),"reg",$DB1164))</f>
        <v>reg</v>
      </c>
      <c r="DD1164" t="s">
        <v>1867</v>
      </c>
      <c r="DE1164">
        <v>2021</v>
      </c>
      <c r="DF1164">
        <v>2050</v>
      </c>
      <c r="DG1164">
        <f>DF1164-DE1164</f>
        <v>29</v>
      </c>
      <c r="DH1164" t="str">
        <f>IF(DG1164=0,"0",IF(AND(DG1164&gt;=1,DG1164&lt;=30),"1-30",IF(AND(DG1164&gt;30,DG1164&lt;=70),"31-70",IF(AND(DG1164&gt;70,DG1164&lt;=100),"71-100",IF(DG1164&gt;100,"+100")))))</f>
        <v>1-30</v>
      </c>
      <c r="DI1164">
        <v>0</v>
      </c>
      <c r="DJ1164">
        <v>0</v>
      </c>
      <c r="DK1164">
        <v>0</v>
      </c>
      <c r="DL1164">
        <v>1</v>
      </c>
      <c r="DM1164">
        <v>0</v>
      </c>
      <c r="DN1164">
        <f>SUM(DI1164:DL1164)</f>
        <v>1</v>
      </c>
      <c r="DO1164" t="str">
        <f>IF(DN1164=1,INDEX($DI$7:$DL$7,MATCH(1,$DI1164:$DL1164,0)),"mixedProduct")</f>
        <v>TimberInput</v>
      </c>
      <c r="DP1164">
        <f>IF(DI1164=1,DP$7,0)</f>
        <v>0</v>
      </c>
      <c r="DQ1164">
        <f>IF(DJ1164=1,DQ$7,0)</f>
        <v>0</v>
      </c>
      <c r="DR1164">
        <f>IF(DK1164=1,DR$7,0)</f>
        <v>0</v>
      </c>
      <c r="DS1164" t="str">
        <f>IF(DL1164=1,DS$7,0)</f>
        <v>Timber</v>
      </c>
      <c r="DT1164">
        <v>0</v>
      </c>
      <c r="DU1164">
        <v>1</v>
      </c>
      <c r="DX1164" s="183" t="s">
        <v>1868</v>
      </c>
      <c r="DY1164"/>
      <c r="DZ1164" s="143" t="str">
        <f>IF(DT1164=1,"self-calculated DF",IF(DU1164=1,"external DF used","explicit C balance"))</f>
        <v>external DF used</v>
      </c>
      <c r="EA1164">
        <v>1</v>
      </c>
      <c r="EB1164">
        <v>1</v>
      </c>
      <c r="EC1164">
        <v>1</v>
      </c>
      <c r="ED1164">
        <v>1</v>
      </c>
      <c r="EE1164">
        <v>1</v>
      </c>
      <c r="EF1164">
        <v>1</v>
      </c>
      <c r="EG1164">
        <v>0</v>
      </c>
      <c r="EH1164">
        <v>0</v>
      </c>
      <c r="EI1164">
        <v>0</v>
      </c>
      <c r="EJ1164">
        <v>0</v>
      </c>
      <c r="EK1164">
        <v>1</v>
      </c>
      <c r="EL1164">
        <v>0</v>
      </c>
      <c r="EM1164">
        <v>1</v>
      </c>
      <c r="EN1164" s="2">
        <v>0</v>
      </c>
      <c r="EP1164" t="str">
        <f>IF(AND(AND(AND(OR($EC1164=1,$EB1164=1),OR($EH1164=1,$EF1164=1)),SUM($EA1164:$EE1164,$EK1164)&gt;=3),SUM($EF1164:$EJ1164)&gt;=2),"Whole sector approach","")</f>
        <v/>
      </c>
      <c r="EQ1164" t="str">
        <f>IF(AND(AND(OR($EC1164=1,$EB1164=1),AND($EH1164=0,$EF1164=0)),SUM($EA1164:$EE1164,$EK1164)&gt;=4),"Ecosystem approach","")</f>
        <v/>
      </c>
      <c r="ER1164" s="2" t="str">
        <f>IF(AND(AND(AND($EC1164=0,$EB1164=0),OR($EH1164=1,$EF1164=1)),SUM($EG1164:$EJ1164)&gt;=2),"Technology approach","")</f>
        <v/>
      </c>
      <c r="ES1164" t="str">
        <f>IF(AND($EC1164+$EB1164+$EE1164+$EA1164+$ED1164+$EG1164=0,$N1164="included"),"C neutral forest and HWP assumption","")</f>
        <v/>
      </c>
      <c r="ET1164" t="str">
        <f>IF(AND(AND(AND(AND($EC1164=1,$EB1164+$EA1164+$EG1164&gt;=1),$EF1164=1),$EH1164+$EI1164+$ED1164+$EE1164&gt;=2),$N1164="included"),"All C pools assumption","")</f>
        <v>All C pools assumption</v>
      </c>
      <c r="EU1164" t="str">
        <f>IF(AND($ED1164+$EE1164+$EI1164+$EH1164+$EF1164=0,$N1164="included"),"In-situ only assumption","")</f>
        <v/>
      </c>
      <c r="EY1164" t="str">
        <f>IF(ISNUMBER(BW1164),IF(ABS(BW1164-[2]QC_indicators!$B$2)&gt;3*[2]QC_indicators!$C$2,"C ratio",IF(ISNUMBER(CA1164),IF(ABS(CA1164-[2]QC_indicators!$B$1)&gt;3*[2]QC_indicators!$C$1,"DF","no"))),IF(ISNUMBER(CA1164),IF(ABS(CA1164-[2]QC_indicators!$B$1)&gt;3*[2]QC_indicators!$C$1,"DF","no")))</f>
        <v>no</v>
      </c>
      <c r="FA1164" t="str">
        <f>IF(LEN($CY1164)=0,"",IF(AND($CY1164&lt;(-0.05),$ES1164="C neutral forest and HWP assumption"),"Cneutral paradox",IF(AND($CY1164&gt;0.05,$EU1164="In-situ only assumption"),"In-situ only paradox","")))</f>
        <v/>
      </c>
      <c r="FD1164" s="260" t="s">
        <v>2948</v>
      </c>
    </row>
    <row r="1165" spans="1:160" ht="15" hidden="1" customHeight="1">
      <c r="D1165" t="s">
        <v>1859</v>
      </c>
      <c r="E1165" t="s">
        <v>1860</v>
      </c>
      <c r="G1165" t="s">
        <v>1861</v>
      </c>
      <c r="I1165">
        <v>2018</v>
      </c>
      <c r="K1165" s="150" t="s">
        <v>1862</v>
      </c>
      <c r="M1165" t="str">
        <f>LEFT($D1165,FIND(",",$D1165)-1)&amp;"_"&amp;I1165&amp;L1165</f>
        <v>Olguin_2018</v>
      </c>
      <c r="N1165" t="s">
        <v>222</v>
      </c>
      <c r="O1165" s="157" t="s">
        <v>274</v>
      </c>
      <c r="P1165" t="s">
        <v>508</v>
      </c>
      <c r="Q1165" t="s">
        <v>389</v>
      </c>
      <c r="R1165" s="258" t="s">
        <v>223</v>
      </c>
      <c r="S1165" s="259" t="s">
        <v>2863</v>
      </c>
      <c r="T1165" t="s">
        <v>1863</v>
      </c>
      <c r="U1165" t="s">
        <v>1872</v>
      </c>
      <c r="V1165" s="253">
        <v>0</v>
      </c>
      <c r="W1165" s="253">
        <v>0</v>
      </c>
      <c r="X1165">
        <v>0</v>
      </c>
      <c r="Y1165">
        <v>0</v>
      </c>
      <c r="Z1165">
        <v>0</v>
      </c>
      <c r="AA1165">
        <v>0</v>
      </c>
      <c r="AB1165">
        <v>0</v>
      </c>
      <c r="AC1165">
        <v>0</v>
      </c>
      <c r="AD1165">
        <v>0</v>
      </c>
      <c r="AE1165">
        <v>1</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s="141">
        <f>COUNTIF(X1165:AY1165,"&lt;&gt;0")</f>
        <v>1</v>
      </c>
      <c r="BA1165" s="141">
        <f>COUNTIF(X1165:AN1165,"&lt;&gt;0")</f>
        <v>1</v>
      </c>
      <c r="BB1165">
        <f>COUNTIF(X1165:AE1165,"&lt;&gt;0")</f>
        <v>1</v>
      </c>
      <c r="BC1165">
        <f>COUNTIF(AF1165:AK1165,"&lt;&gt;0")</f>
        <v>0</v>
      </c>
      <c r="BD1165">
        <f>COUNTIF(AL1165:AN1165,"&lt;&gt;0")</f>
        <v>0</v>
      </c>
      <c r="BE1165">
        <f>COUNTIF(AU1165:AY1165,"&lt;&gt;0")</f>
        <v>0</v>
      </c>
      <c r="BF1165">
        <f>COUNTIF(AO1165:AT1165,"&lt;&gt;0")</f>
        <v>0</v>
      </c>
      <c r="BG1165" t="str">
        <f t="array" ref="BG1165">IF(BA1165=1,INDEX($X$7:$AN$7,MATCH(TRUE,INDEX($X1165:$AY1165&lt;&gt;0,),0)),IF(BA1165=0,INDEX($AO$7:$AY$7,MATCH(1,$AO1165:$AY1165,0)),IF(BH1165="Multiple strategies","mixed drivers",IF(BH1165="Supply chain","multiple supply","multiple silviculture"))))</f>
        <v>site fertility</v>
      </c>
      <c r="BH1165" s="2" t="str" cm="1">
        <f t="array" ref="BH1165">IF(COUNTIF(BB1165:BD1165,"&lt;&gt;0")=1,INDEX($X$4:$AY$4,MATCH(TRUE,INDEX($X1165:$AY1165&lt;&gt;0,),0)),IF(COUNTIF(BB1165:BD1165,"&lt;&gt;0")=0,INDEX($AO$4:$AY$4,MATCH(1,$AO1165:$AY1165,0)),"Multiple strategies"))</f>
        <v>Silviculture for productivity</v>
      </c>
      <c r="BI1165" s="1" t="s">
        <v>321</v>
      </c>
      <c r="BK1165" s="260" t="s">
        <v>978</v>
      </c>
      <c r="BL1165" t="s">
        <v>1865</v>
      </c>
      <c r="BM1165">
        <v>0</v>
      </c>
      <c r="BN1165">
        <v>218025</v>
      </c>
      <c r="BO1165" t="str">
        <f>IFERROR(BN1165/BM1165,"")</f>
        <v/>
      </c>
      <c r="BP1165">
        <f>BN1165-BM1165</f>
        <v>218025</v>
      </c>
      <c r="BQ1165">
        <f>BP1165*tC_to_m3</f>
        <v>946699.95657837612</v>
      </c>
      <c r="BR1165" t="s">
        <v>232</v>
      </c>
      <c r="BS1165" t="s">
        <v>424</v>
      </c>
      <c r="BT1165" t="s">
        <v>1870</v>
      </c>
      <c r="BW1165" s="144"/>
      <c r="BX1165">
        <v>-1.1200000000000001</v>
      </c>
      <c r="BZ1165">
        <f>BX1165</f>
        <v>-1.1200000000000001</v>
      </c>
      <c r="CA1165">
        <f>IFERROR(BZ1165/BQ1165,"")</f>
        <v>-1.1830569888774224E-6</v>
      </c>
      <c r="CB1165">
        <v>0</v>
      </c>
      <c r="CC1165">
        <v>0</v>
      </c>
      <c r="CD1165">
        <v>0</v>
      </c>
      <c r="CE1165">
        <v>0</v>
      </c>
      <c r="CF1165">
        <v>0</v>
      </c>
      <c r="CG1165">
        <v>0</v>
      </c>
      <c r="CH1165">
        <v>0</v>
      </c>
      <c r="CI1165">
        <v>0</v>
      </c>
      <c r="CJ1165">
        <v>0</v>
      </c>
      <c r="CK1165">
        <v>0</v>
      </c>
      <c r="CL1165">
        <v>0</v>
      </c>
      <c r="CM1165">
        <v>0</v>
      </c>
      <c r="CN1165">
        <v>0</v>
      </c>
      <c r="CO1165">
        <v>0</v>
      </c>
      <c r="CP1165" t="str">
        <f>IF($BN1165&lt;$BM1165,"refNeedCorrection","refOK")</f>
        <v>refOK</v>
      </c>
      <c r="CQ1165">
        <f>IF($CP1165="refOK",$BM1165,$BN1165)</f>
        <v>0</v>
      </c>
      <c r="CR1165">
        <f>IF($CP1165="refOK",$BN1165,$BM1165)</f>
        <v>218025</v>
      </c>
      <c r="CS1165">
        <f>IF($CP1165="refOK",$BQ1165,-$BQ1165)</f>
        <v>946699.95657837612</v>
      </c>
      <c r="CT1165">
        <f>IF(BI1165="Roundwood",$CS1165/2,$CS1165)</f>
        <v>473349.97828918806</v>
      </c>
      <c r="CU1165">
        <f>IF($CP1165="refOK",$BU1165,$BV1165)*IF($BR1165="Emissions positive",-1,1)</f>
        <v>0</v>
      </c>
      <c r="CV1165">
        <f>IF($CP1165="refOK",$BV1165,$BU1165)*IF($BR1165="Emissions positive",-1,1)</f>
        <v>0</v>
      </c>
      <c r="CW1165">
        <f>IF($CP1165="refNeedCorrection",-BZ1165,BZ1165)*IF($BR1165="Emissions positive",-1,1)</f>
        <v>-1.1200000000000001</v>
      </c>
      <c r="CX1165">
        <f>IFERROR($CW1165/$CS1165,"")</f>
        <v>-1.1830569888774224E-6</v>
      </c>
      <c r="CY1165">
        <f>IFERROR($CW1165/$CS1165,"")</f>
        <v>-1.1830569888774224E-6</v>
      </c>
      <c r="CZ1165">
        <f>IFERROR($CW1165/$CT1165,"")</f>
        <v>-2.3661139777548447E-6</v>
      </c>
      <c r="DA1165" s="2" t="str">
        <f>IFERROR((CV1165-CU1165)/ABS(CU1165),"")</f>
        <v/>
      </c>
      <c r="DB1165" s="1" t="s">
        <v>1843</v>
      </c>
      <c r="DC1165" t="str">
        <f>IF(OR($DB1165="prd",$DB1165="std",$DB1165="cit"),"loc",IF(OR($DB1165="eur",$DB1165="reg",$DB1165="coy"),"reg",$DB1165))</f>
        <v>reg</v>
      </c>
      <c r="DD1165" t="s">
        <v>1867</v>
      </c>
      <c r="DE1165">
        <v>2021</v>
      </c>
      <c r="DF1165">
        <v>2030</v>
      </c>
      <c r="DG1165">
        <f>DF1165-DE1165</f>
        <v>9</v>
      </c>
      <c r="DH1165" t="str">
        <f>IF(DG1165=0,"0",IF(AND(DG1165&gt;=1,DG1165&lt;=30),"1-30",IF(AND(DG1165&gt;30,DG1165&lt;=70),"31-70",IF(AND(DG1165&gt;70,DG1165&lt;=100),"71-100",IF(DG1165&gt;100,"+100")))))</f>
        <v>1-30</v>
      </c>
      <c r="DI1165">
        <v>0</v>
      </c>
      <c r="DJ1165">
        <v>0</v>
      </c>
      <c r="DK1165">
        <v>0</v>
      </c>
      <c r="DL1165">
        <v>1</v>
      </c>
      <c r="DM1165">
        <v>0</v>
      </c>
      <c r="DN1165">
        <f>SUM(DI1165:DM1165)</f>
        <v>1</v>
      </c>
      <c r="DO1165" t="str">
        <f>IF(DN1165=1,INDEX($DI$7:$DL$7,MATCH(1,$DI1165:$DL1165,0)),"mixedProduct")</f>
        <v>TimberInput</v>
      </c>
      <c r="DP1165">
        <f>IF(DI1165=1,DP$7,0)</f>
        <v>0</v>
      </c>
      <c r="DQ1165">
        <f>IF(DJ1165=1,DQ$7,0)</f>
        <v>0</v>
      </c>
      <c r="DR1165">
        <f>IF(DK1165=1,DR$7,0)</f>
        <v>0</v>
      </c>
      <c r="DS1165" t="str">
        <f>IF(DL1165=1,DS$7,0)</f>
        <v>Timber</v>
      </c>
      <c r="DT1165">
        <v>0</v>
      </c>
      <c r="DU1165">
        <v>1</v>
      </c>
      <c r="DX1165" s="183" t="s">
        <v>1868</v>
      </c>
      <c r="DY1165"/>
      <c r="DZ1165" s="143" t="str">
        <f>IF(DT1165=1,"self-calculated DF",IF(DU1165=1,"external DF used","explicit C balance"))</f>
        <v>external DF used</v>
      </c>
      <c r="EA1165">
        <v>1</v>
      </c>
      <c r="EB1165">
        <v>1</v>
      </c>
      <c r="EC1165">
        <v>1</v>
      </c>
      <c r="ED1165">
        <v>1</v>
      </c>
      <c r="EE1165">
        <v>1</v>
      </c>
      <c r="EF1165">
        <v>1</v>
      </c>
      <c r="EG1165">
        <v>0</v>
      </c>
      <c r="EH1165">
        <v>0</v>
      </c>
      <c r="EI1165">
        <v>0</v>
      </c>
      <c r="EJ1165">
        <v>0</v>
      </c>
      <c r="EK1165">
        <v>1</v>
      </c>
      <c r="EL1165">
        <v>0</v>
      </c>
      <c r="EM1165">
        <v>1</v>
      </c>
      <c r="EN1165" s="2">
        <v>0</v>
      </c>
      <c r="EP1165" t="str">
        <f>IF(AND(AND(AND(OR($EC1165=1,$EB1165=1),OR($EH1165=1,$EF1165=1)),SUM($EA1165:$EE1165,$EK1165)&gt;=3),SUM($EF1165:$EJ1165)&gt;=2),"Whole sector approach","")</f>
        <v/>
      </c>
      <c r="EQ1165" t="str">
        <f>IF(AND(AND(OR($EC1165=1,$EB1165=1),AND($EH1165=0,$EF1165=0)),SUM($EA1165:$EE1165,$EK1165)&gt;=4),"Ecosystem approach","")</f>
        <v/>
      </c>
      <c r="ER1165" s="2" t="str">
        <f>IF(AND(AND(AND($EC1165=0,$EB1165=0),OR($EH1165=1,$EF1165=1)),SUM($EG1165:$EJ1165)&gt;=2),"Technology approach","")</f>
        <v/>
      </c>
      <c r="ES1165" t="str">
        <f>IF(AND($EC1165+$EB1165+$EE1165+$EA1165+$ED1165+$EG1165=0,$N1165="included"),"C neutral forest and HWP assumption","")</f>
        <v/>
      </c>
      <c r="ET1165" t="str">
        <f>IF(AND(AND(AND(AND($EC1165=1,$EB1165+$EA1165+$EG1165&gt;=1),$EF1165=1),$EH1165+$EI1165+$ED1165+$EE1165&gt;=2),$N1165="included"),"All C pools assumption","")</f>
        <v>All C pools assumption</v>
      </c>
      <c r="EU1165" t="str">
        <f>IF(AND($ED1165+$EE1165+$EI1165+$EH1165+$EF1165=0,$N1165="included"),"In-situ only assumption","")</f>
        <v/>
      </c>
      <c r="EY1165" t="str">
        <f>IF(ISNUMBER(BW1165),IF(ABS(BW1165-[2]QC_indicators!$B$2)&gt;3*[2]QC_indicators!$C$2,"C ratio",IF(ISNUMBER(CA1165),IF(ABS(CA1165-[2]QC_indicators!$B$1)&gt;3*[2]QC_indicators!$C$1,"DF","no"))),IF(ISNUMBER(CA1165),IF(ABS(CA1165-[2]QC_indicators!$B$1)&gt;3*[2]QC_indicators!$C$1,"DF","no")))</f>
        <v>no</v>
      </c>
      <c r="FA1165" t="str">
        <f>IF(LEN($CY1165)=0,"",IF(AND($CY1165&lt;(-0.05),$ES1165="C neutral forest and HWP assumption"),"Cneutral paradox",IF(AND($CY1165&gt;0.05,$EU1165="In-situ only assumption"),"In-situ only paradox","")))</f>
        <v/>
      </c>
      <c r="FD1165" s="260" t="s">
        <v>2948</v>
      </c>
    </row>
    <row r="1166" spans="1:160" hidden="1">
      <c r="D1166" t="s">
        <v>1859</v>
      </c>
      <c r="E1166" t="s">
        <v>1860</v>
      </c>
      <c r="G1166" t="s">
        <v>1861</v>
      </c>
      <c r="I1166">
        <v>2018</v>
      </c>
      <c r="K1166" s="150" t="s">
        <v>1862</v>
      </c>
      <c r="M1166" t="str">
        <f>LEFT($D1166,FIND(",",$D1166)-1)&amp;"_"&amp;I1166&amp;L1166</f>
        <v>Olguin_2018</v>
      </c>
      <c r="N1166" t="s">
        <v>222</v>
      </c>
      <c r="O1166" s="157" t="s">
        <v>274</v>
      </c>
      <c r="P1166" t="s">
        <v>508</v>
      </c>
      <c r="Q1166" t="s">
        <v>389</v>
      </c>
      <c r="R1166" s="258" t="s">
        <v>223</v>
      </c>
      <c r="S1166" s="259" t="s">
        <v>2875</v>
      </c>
      <c r="T1166" t="s">
        <v>1863</v>
      </c>
      <c r="U1166" t="s">
        <v>1871</v>
      </c>
      <c r="V1166" s="253">
        <v>0</v>
      </c>
      <c r="W1166" s="253">
        <v>0</v>
      </c>
      <c r="X1166">
        <v>0</v>
      </c>
      <c r="Y1166">
        <v>0</v>
      </c>
      <c r="Z1166">
        <v>0</v>
      </c>
      <c r="AA1166">
        <v>0</v>
      </c>
      <c r="AB1166">
        <v>0</v>
      </c>
      <c r="AC1166">
        <v>0</v>
      </c>
      <c r="AD1166">
        <v>0</v>
      </c>
      <c r="AE1166">
        <v>1</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s="141">
        <f>COUNTIF(X1166:AY1166,"&lt;&gt;0")</f>
        <v>1</v>
      </c>
      <c r="BA1166" s="141">
        <f>COUNTIF(X1166:AN1166,"&lt;&gt;0")</f>
        <v>1</v>
      </c>
      <c r="BB1166">
        <f>COUNTIF(X1166:AE1166,"&lt;&gt;0")</f>
        <v>1</v>
      </c>
      <c r="BC1166">
        <f>COUNTIF(AF1166:AK1166,"&lt;&gt;0")</f>
        <v>0</v>
      </c>
      <c r="BD1166">
        <f>COUNTIF(AL1166:AN1166,"&lt;&gt;0")</f>
        <v>0</v>
      </c>
      <c r="BE1166">
        <f>COUNTIF(AU1166:AY1166,"&lt;&gt;0")</f>
        <v>0</v>
      </c>
      <c r="BF1166">
        <f>COUNTIF(AO1166:AT1166,"&lt;&gt;0")</f>
        <v>0</v>
      </c>
      <c r="BG1166" t="str">
        <f t="array" ref="BG1166">IF(BA1166=1,INDEX($X$7:$AN$7,MATCH(TRUE,INDEX($X1166:$AY1166&lt;&gt;0,),0)),IF(BA1166=0,INDEX($AO$7:$AY$7,MATCH(1,$AO1166:$AY1166,0)),IF(BH1166="Multiple strategies","mixed drivers",IF(BH1166="Supply chain","multiple supply","multiple silviculture"))))</f>
        <v>site fertility</v>
      </c>
      <c r="BH1166" s="2" t="str" cm="1">
        <f t="array" ref="BH1166">IF(COUNTIF(BB1166:BD1166,"&lt;&gt;0")=1,INDEX($X$4:$AY$4,MATCH(TRUE,INDEX($X1166:$AY1166&lt;&gt;0,),0)),IF(COUNTIF(BB1166:BD1166,"&lt;&gt;0")=0,INDEX($AO$4:$AY$4,MATCH(1,$AO1166:$AY1166,0)),"Multiple strategies"))</f>
        <v>Silviculture for productivity</v>
      </c>
      <c r="BI1166" s="1" t="s">
        <v>321</v>
      </c>
      <c r="BK1166" s="260" t="s">
        <v>978</v>
      </c>
      <c r="BL1166" t="s">
        <v>1865</v>
      </c>
      <c r="BM1166">
        <v>0</v>
      </c>
      <c r="BN1166">
        <v>218025</v>
      </c>
      <c r="BO1166" t="str">
        <f>IFERROR(BN1166/BM1166,"")</f>
        <v/>
      </c>
      <c r="BP1166">
        <f>BN1166-BM1166</f>
        <v>218025</v>
      </c>
      <c r="BQ1166">
        <f>BP1166*tC_to_m3</f>
        <v>946699.95657837612</v>
      </c>
      <c r="BR1166" t="s">
        <v>232</v>
      </c>
      <c r="BS1166" t="s">
        <v>424</v>
      </c>
      <c r="BT1166" t="s">
        <v>1870</v>
      </c>
      <c r="BW1166" s="144"/>
      <c r="BX1166">
        <v>-1.1599999999999999</v>
      </c>
      <c r="BZ1166">
        <f>BX1166</f>
        <v>-1.1599999999999999</v>
      </c>
      <c r="CA1166">
        <f>IFERROR(BZ1166/BQ1166,"")</f>
        <v>-1.2253090241944729E-6</v>
      </c>
      <c r="CB1166">
        <v>0</v>
      </c>
      <c r="CC1166">
        <v>0</v>
      </c>
      <c r="CD1166">
        <v>0</v>
      </c>
      <c r="CE1166">
        <v>0</v>
      </c>
      <c r="CF1166">
        <v>0</v>
      </c>
      <c r="CG1166">
        <v>0</v>
      </c>
      <c r="CH1166">
        <v>0</v>
      </c>
      <c r="CI1166">
        <v>0</v>
      </c>
      <c r="CJ1166">
        <v>0</v>
      </c>
      <c r="CK1166">
        <v>0</v>
      </c>
      <c r="CL1166">
        <v>0</v>
      </c>
      <c r="CM1166">
        <v>0</v>
      </c>
      <c r="CN1166">
        <v>0</v>
      </c>
      <c r="CO1166">
        <v>0</v>
      </c>
      <c r="CP1166" t="str">
        <f>IF($BN1166&lt;$BM1166,"refNeedCorrection","refOK")</f>
        <v>refOK</v>
      </c>
      <c r="CQ1166">
        <f>IF($CP1166="refOK",$BM1166,$BN1166)</f>
        <v>0</v>
      </c>
      <c r="CR1166">
        <f>IF($CP1166="refOK",$BN1166,$BM1166)</f>
        <v>218025</v>
      </c>
      <c r="CS1166">
        <f>IF($CP1166="refOK",$BQ1166,-$BQ1166)</f>
        <v>946699.95657837612</v>
      </c>
      <c r="CT1166">
        <f>IF(BI1166="Roundwood",$CS1166/2,$CS1166)</f>
        <v>473349.97828918806</v>
      </c>
      <c r="CU1166">
        <f>IF($CP1166="refOK",$BU1166,$BV1166)*IF($BR1166="Emissions positive",-1,1)</f>
        <v>0</v>
      </c>
      <c r="CV1166">
        <f>IF($CP1166="refOK",$BV1166,$BU1166)*IF($BR1166="Emissions positive",-1,1)</f>
        <v>0</v>
      </c>
      <c r="CW1166">
        <f>IF($CP1166="refNeedCorrection",-BZ1166,BZ1166)*IF($BR1166="Emissions positive",-1,1)</f>
        <v>-1.1599999999999999</v>
      </c>
      <c r="CX1166">
        <f>IFERROR($CW1166/$CS1166,"")</f>
        <v>-1.2253090241944729E-6</v>
      </c>
      <c r="CY1166">
        <f>IFERROR($CW1166/$CS1166,"")</f>
        <v>-1.2253090241944729E-6</v>
      </c>
      <c r="CZ1166">
        <f>IFERROR($CW1166/$CT1166,"")</f>
        <v>-2.4506180483889458E-6</v>
      </c>
      <c r="DA1166" s="2" t="str">
        <f>IFERROR((CV1166-CU1166)/ABS(CU1166),"")</f>
        <v/>
      </c>
      <c r="DB1166" s="1" t="s">
        <v>1843</v>
      </c>
      <c r="DC1166" t="str">
        <f>IF(OR($DB1166="prd",$DB1166="std",$DB1166="cit"),"loc",IF(OR($DB1166="eur",$DB1166="reg",$DB1166="coy"),"reg",$DB1166))</f>
        <v>reg</v>
      </c>
      <c r="DD1166" t="s">
        <v>1867</v>
      </c>
      <c r="DE1166">
        <v>2021</v>
      </c>
      <c r="DF1166">
        <v>2040</v>
      </c>
      <c r="DG1166">
        <f>DF1166-DE1166</f>
        <v>19</v>
      </c>
      <c r="DH1166" t="str">
        <f>IF(DG1166=0,"0",IF(AND(DG1166&gt;=1,DG1166&lt;=30),"1-30",IF(AND(DG1166&gt;30,DG1166&lt;=70),"31-70",IF(AND(DG1166&gt;70,DG1166&lt;=100),"71-100",IF(DG1166&gt;100,"+100")))))</f>
        <v>1-30</v>
      </c>
      <c r="DI1166">
        <v>0</v>
      </c>
      <c r="DJ1166">
        <v>0</v>
      </c>
      <c r="DK1166">
        <v>0</v>
      </c>
      <c r="DL1166">
        <v>1</v>
      </c>
      <c r="DM1166">
        <v>0</v>
      </c>
      <c r="DN1166">
        <f>SUM(DI1166:DL1166)</f>
        <v>1</v>
      </c>
      <c r="DO1166" t="str">
        <f>IF(DN1166=1,INDEX($DI$7:$DL$7,MATCH(1,$DI1166:$DL1166,0)),"mixedProduct")</f>
        <v>TimberInput</v>
      </c>
      <c r="DP1166">
        <f>IF(DI1166=1,DP$7,0)</f>
        <v>0</v>
      </c>
      <c r="DQ1166">
        <f>IF(DJ1166=1,DQ$7,0)</f>
        <v>0</v>
      </c>
      <c r="DR1166">
        <f>IF(DK1166=1,DR$7,0)</f>
        <v>0</v>
      </c>
      <c r="DS1166" t="str">
        <f>IF(DL1166=1,DS$7,0)</f>
        <v>Timber</v>
      </c>
      <c r="DT1166">
        <v>0</v>
      </c>
      <c r="DU1166">
        <v>1</v>
      </c>
      <c r="DX1166" s="183" t="s">
        <v>1868</v>
      </c>
      <c r="DY1166"/>
      <c r="DZ1166" s="143" t="str">
        <f>IF(DT1166=1,"self-calculated DF",IF(DU1166=1,"external DF used","explicit C balance"))</f>
        <v>external DF used</v>
      </c>
      <c r="EA1166">
        <v>1</v>
      </c>
      <c r="EB1166">
        <v>1</v>
      </c>
      <c r="EC1166">
        <v>1</v>
      </c>
      <c r="ED1166">
        <v>1</v>
      </c>
      <c r="EE1166">
        <v>1</v>
      </c>
      <c r="EF1166">
        <v>1</v>
      </c>
      <c r="EG1166">
        <v>0</v>
      </c>
      <c r="EH1166">
        <v>0</v>
      </c>
      <c r="EI1166">
        <v>0</v>
      </c>
      <c r="EJ1166">
        <v>0</v>
      </c>
      <c r="EK1166">
        <v>1</v>
      </c>
      <c r="EL1166">
        <v>0</v>
      </c>
      <c r="EM1166">
        <v>1</v>
      </c>
      <c r="EN1166" s="2">
        <v>0</v>
      </c>
      <c r="EP1166" t="str">
        <f>IF(AND(AND(AND(OR($EC1166=1,$EB1166=1),OR($EH1166=1,$EF1166=1)),SUM($EA1166:$EE1166,$EK1166)&gt;=3),SUM($EF1166:$EJ1166)&gt;=2),"Whole sector approach","")</f>
        <v/>
      </c>
      <c r="EQ1166" t="str">
        <f>IF(AND(AND(OR($EC1166=1,$EB1166=1),AND($EH1166=0,$EF1166=0)),SUM($EA1166:$EE1166,$EK1166)&gt;=4),"Ecosystem approach","")</f>
        <v/>
      </c>
      <c r="ER1166" s="2" t="str">
        <f>IF(AND(AND(AND($EC1166=0,$EB1166=0),OR($EH1166=1,$EF1166=1)),SUM($EG1166:$EJ1166)&gt;=2),"Technology approach","")</f>
        <v/>
      </c>
      <c r="ES1166" t="str">
        <f>IF(AND($EC1166+$EB1166+$EE1166+$EA1166+$ED1166+$EG1166=0,$N1166="included"),"C neutral forest and HWP assumption","")</f>
        <v/>
      </c>
      <c r="ET1166" t="str">
        <f>IF(AND(AND(AND(AND($EC1166=1,$EB1166+$EA1166+$EG1166&gt;=1),$EF1166=1),$EH1166+$EI1166+$ED1166+$EE1166&gt;=2),$N1166="included"),"All C pools assumption","")</f>
        <v>All C pools assumption</v>
      </c>
      <c r="EU1166" t="str">
        <f>IF(AND($ED1166+$EE1166+$EI1166+$EH1166+$EF1166=0,$N1166="included"),"In-situ only assumption","")</f>
        <v/>
      </c>
      <c r="EY1166" t="str">
        <f>IF(ISNUMBER(BW1166),IF(ABS(BW1166-[2]QC_indicators!$B$2)&gt;3*[2]QC_indicators!$C$2,"C ratio",IF(ISNUMBER(CA1166),IF(ABS(CA1166-[2]QC_indicators!$B$1)&gt;3*[2]QC_indicators!$C$1,"DF","no"))),IF(ISNUMBER(CA1166),IF(ABS(CA1166-[2]QC_indicators!$B$1)&gt;3*[2]QC_indicators!$C$1,"DF","no")))</f>
        <v>no</v>
      </c>
      <c r="FA1166" t="str">
        <f>IF(LEN($CY1166)=0,"",IF(AND($CY1166&lt;(-0.05),$ES1166="C neutral forest and HWP assumption"),"Cneutral paradox",IF(AND($CY1166&gt;0.05,$EU1166="In-situ only assumption"),"In-situ only paradox","")))</f>
        <v/>
      </c>
      <c r="FD1166" s="260" t="s">
        <v>2948</v>
      </c>
    </row>
    <row r="1167" spans="1:160" ht="18" hidden="1" customHeight="1">
      <c r="D1167" t="s">
        <v>1859</v>
      </c>
      <c r="E1167" t="s">
        <v>1860</v>
      </c>
      <c r="G1167" t="s">
        <v>1861</v>
      </c>
      <c r="I1167">
        <v>2018</v>
      </c>
      <c r="K1167" s="150" t="s">
        <v>1862</v>
      </c>
      <c r="M1167" t="str">
        <f>LEFT($D1167,FIND(",",$D1167)-1)&amp;"_"&amp;I1167&amp;L1167</f>
        <v>Olguin_2018</v>
      </c>
      <c r="N1167" t="s">
        <v>222</v>
      </c>
      <c r="O1167" s="157" t="s">
        <v>274</v>
      </c>
      <c r="P1167" t="s">
        <v>508</v>
      </c>
      <c r="Q1167" t="s">
        <v>389</v>
      </c>
      <c r="R1167" s="258" t="s">
        <v>223</v>
      </c>
      <c r="S1167" s="259" t="s">
        <v>2879</v>
      </c>
      <c r="T1167" t="s">
        <v>1863</v>
      </c>
      <c r="U1167" t="s">
        <v>1872</v>
      </c>
      <c r="V1167" s="253">
        <v>0</v>
      </c>
      <c r="W1167" s="253">
        <v>0</v>
      </c>
      <c r="X1167">
        <v>0</v>
      </c>
      <c r="Y1167">
        <v>0</v>
      </c>
      <c r="Z1167">
        <v>0</v>
      </c>
      <c r="AA1167">
        <v>0</v>
      </c>
      <c r="AB1167">
        <v>0</v>
      </c>
      <c r="AC1167">
        <v>0</v>
      </c>
      <c r="AD1167">
        <v>0</v>
      </c>
      <c r="AE1167">
        <v>1</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s="141">
        <f>COUNTIF(X1167:AY1167,"&lt;&gt;0")</f>
        <v>1</v>
      </c>
      <c r="BA1167" s="141">
        <f>COUNTIF(X1167:AN1167,"&lt;&gt;0")</f>
        <v>1</v>
      </c>
      <c r="BB1167">
        <f>COUNTIF(X1167:AE1167,"&lt;&gt;0")</f>
        <v>1</v>
      </c>
      <c r="BC1167">
        <f>COUNTIF(AF1167:AK1167,"&lt;&gt;0")</f>
        <v>0</v>
      </c>
      <c r="BD1167">
        <f>COUNTIF(AL1167:AN1167,"&lt;&gt;0")</f>
        <v>0</v>
      </c>
      <c r="BE1167">
        <f>COUNTIF(AU1167:AY1167,"&lt;&gt;0")</f>
        <v>0</v>
      </c>
      <c r="BF1167">
        <f>COUNTIF(AO1167:AT1167,"&lt;&gt;0")</f>
        <v>0</v>
      </c>
      <c r="BG1167" t="str">
        <f t="array" ref="BG1167">IF(BA1167=1,INDEX($X$7:$AN$7,MATCH(TRUE,INDEX($X1167:$AY1167&lt;&gt;0,),0)),IF(BA1167=0,INDEX($AO$7:$AY$7,MATCH(1,$AO1167:$AY1167,0)),IF(BH1167="Multiple strategies","mixed drivers",IF(BH1167="Supply chain","multiple supply","multiple silviculture"))))</f>
        <v>site fertility</v>
      </c>
      <c r="BH1167" s="2" t="str" cm="1">
        <f t="array" ref="BH1167">IF(COUNTIF(BB1167:BD1167,"&lt;&gt;0")=1,INDEX($X$4:$AY$4,MATCH(TRUE,INDEX($X1167:$AY1167&lt;&gt;0,),0)),IF(COUNTIF(BB1167:BD1167,"&lt;&gt;0")=0,INDEX($AO$4:$AY$4,MATCH(1,$AO1167:$AY1167,0)),"Multiple strategies"))</f>
        <v>Silviculture for productivity</v>
      </c>
      <c r="BI1167" s="1" t="s">
        <v>321</v>
      </c>
      <c r="BK1167" s="260" t="s">
        <v>978</v>
      </c>
      <c r="BL1167" t="s">
        <v>1865</v>
      </c>
      <c r="BM1167">
        <v>0</v>
      </c>
      <c r="BN1167">
        <v>218025</v>
      </c>
      <c r="BO1167" t="str">
        <f>IFERROR(BN1167/BM1167,"")</f>
        <v/>
      </c>
      <c r="BP1167">
        <f>BN1167-BM1167</f>
        <v>218025</v>
      </c>
      <c r="BQ1167">
        <f>BP1167*tC_to_m3</f>
        <v>946699.95657837612</v>
      </c>
      <c r="BR1167" t="s">
        <v>232</v>
      </c>
      <c r="BS1167" t="s">
        <v>424</v>
      </c>
      <c r="BT1167" t="s">
        <v>1870</v>
      </c>
      <c r="BW1167" s="144"/>
      <c r="BX1167">
        <v>-1.49</v>
      </c>
      <c r="BZ1167">
        <f>BX1167</f>
        <v>-1.49</v>
      </c>
      <c r="CA1167">
        <f>IFERROR(BZ1167/BQ1167,"")</f>
        <v>-1.573888315560142E-6</v>
      </c>
      <c r="CB1167">
        <v>0</v>
      </c>
      <c r="CC1167">
        <v>0</v>
      </c>
      <c r="CD1167">
        <v>0</v>
      </c>
      <c r="CE1167">
        <v>0</v>
      </c>
      <c r="CF1167">
        <v>0</v>
      </c>
      <c r="CG1167">
        <v>0</v>
      </c>
      <c r="CH1167">
        <v>0</v>
      </c>
      <c r="CI1167">
        <v>0</v>
      </c>
      <c r="CJ1167">
        <v>0</v>
      </c>
      <c r="CK1167">
        <v>0</v>
      </c>
      <c r="CL1167">
        <v>0</v>
      </c>
      <c r="CM1167">
        <v>0</v>
      </c>
      <c r="CN1167">
        <v>0</v>
      </c>
      <c r="CO1167">
        <v>0</v>
      </c>
      <c r="CP1167" t="str">
        <f>IF($BN1167&lt;$BM1167,"refNeedCorrection","refOK")</f>
        <v>refOK</v>
      </c>
      <c r="CQ1167">
        <f>IF($CP1167="refOK",$BM1167,$BN1167)</f>
        <v>0</v>
      </c>
      <c r="CR1167">
        <f>IF($CP1167="refOK",$BN1167,$BM1167)</f>
        <v>218025</v>
      </c>
      <c r="CS1167">
        <f>IF($CP1167="refOK",$BQ1167,-$BQ1167)</f>
        <v>946699.95657837612</v>
      </c>
      <c r="CT1167">
        <f>IF(BI1167="Roundwood",$CS1167/2,$CS1167)</f>
        <v>473349.97828918806</v>
      </c>
      <c r="CU1167">
        <f>IF($CP1167="refOK",$BU1167,$BV1167)*IF($BR1167="Emissions positive",-1,1)</f>
        <v>0</v>
      </c>
      <c r="CV1167">
        <f>IF($CP1167="refOK",$BV1167,$BU1167)*IF($BR1167="Emissions positive",-1,1)</f>
        <v>0</v>
      </c>
      <c r="CW1167">
        <f>IF($CP1167="refNeedCorrection",-BZ1167,BZ1167)*IF($BR1167="Emissions positive",-1,1)</f>
        <v>-1.49</v>
      </c>
      <c r="CX1167">
        <f>IFERROR($CW1167/$CS1167,"")</f>
        <v>-1.573888315560142E-6</v>
      </c>
      <c r="CY1167">
        <f>IFERROR($CW1167/$CS1167,"")</f>
        <v>-1.573888315560142E-6</v>
      </c>
      <c r="CZ1167">
        <f>IFERROR($CW1167/$CT1167,"")</f>
        <v>-3.147776631120284E-6</v>
      </c>
      <c r="DA1167" s="2" t="str">
        <f>IFERROR((CV1167-CU1167)/ABS(CU1167),"")</f>
        <v/>
      </c>
      <c r="DB1167" s="1" t="s">
        <v>1843</v>
      </c>
      <c r="DC1167" t="str">
        <f>IF(OR($DB1167="prd",$DB1167="std",$DB1167="cit"),"loc",IF(OR($DB1167="eur",$DB1167="reg",$DB1167="coy"),"reg",$DB1167))</f>
        <v>reg</v>
      </c>
      <c r="DD1167" t="s">
        <v>1867</v>
      </c>
      <c r="DE1167">
        <v>2021</v>
      </c>
      <c r="DF1167">
        <v>2050</v>
      </c>
      <c r="DG1167">
        <f>DF1167-DE1167</f>
        <v>29</v>
      </c>
      <c r="DH1167" t="str">
        <f>IF(DG1167=0,"0",IF(AND(DG1167&gt;=1,DG1167&lt;=30),"1-30",IF(AND(DG1167&gt;30,DG1167&lt;=70),"31-70",IF(AND(DG1167&gt;70,DG1167&lt;=100),"71-100",IF(DG1167&gt;100,"+100")))))</f>
        <v>1-30</v>
      </c>
      <c r="DI1167">
        <v>0</v>
      </c>
      <c r="DJ1167">
        <v>0</v>
      </c>
      <c r="DK1167">
        <v>0</v>
      </c>
      <c r="DL1167">
        <v>1</v>
      </c>
      <c r="DM1167">
        <v>0</v>
      </c>
      <c r="DN1167">
        <f>SUM(DI1167:DL1167)</f>
        <v>1</v>
      </c>
      <c r="DO1167" t="str">
        <f>IF(DN1167=1,INDEX($DI$7:$DL$7,MATCH(1,$DI1167:$DL1167,0)),"mixedProduct")</f>
        <v>TimberInput</v>
      </c>
      <c r="DP1167">
        <f>IF(DI1167=1,DP$7,0)</f>
        <v>0</v>
      </c>
      <c r="DQ1167">
        <f>IF(DJ1167=1,DQ$7,0)</f>
        <v>0</v>
      </c>
      <c r="DR1167">
        <f>IF(DK1167=1,DR$7,0)</f>
        <v>0</v>
      </c>
      <c r="DS1167" t="str">
        <f>IF(DL1167=1,DS$7,0)</f>
        <v>Timber</v>
      </c>
      <c r="DT1167">
        <v>0</v>
      </c>
      <c r="DU1167">
        <v>1</v>
      </c>
      <c r="DX1167" s="183" t="s">
        <v>1868</v>
      </c>
      <c r="DY1167"/>
      <c r="DZ1167" s="143" t="str">
        <f>IF(DT1167=1,"self-calculated DF",IF(DU1167=1,"external DF used","explicit C balance"))</f>
        <v>external DF used</v>
      </c>
      <c r="EA1167">
        <v>1</v>
      </c>
      <c r="EB1167">
        <v>1</v>
      </c>
      <c r="EC1167">
        <v>1</v>
      </c>
      <c r="ED1167">
        <v>1</v>
      </c>
      <c r="EE1167">
        <v>1</v>
      </c>
      <c r="EF1167">
        <v>1</v>
      </c>
      <c r="EG1167">
        <v>0</v>
      </c>
      <c r="EH1167">
        <v>0</v>
      </c>
      <c r="EI1167">
        <v>0</v>
      </c>
      <c r="EJ1167">
        <v>0</v>
      </c>
      <c r="EK1167">
        <v>1</v>
      </c>
      <c r="EL1167">
        <v>0</v>
      </c>
      <c r="EM1167">
        <v>1</v>
      </c>
      <c r="EN1167" s="2">
        <v>0</v>
      </c>
      <c r="EP1167" t="str">
        <f>IF(AND(AND(AND(OR($EC1167=1,$EB1167=1),OR($EH1167=1,$EF1167=1)),SUM($EA1167:$EE1167,$EK1167)&gt;=3),SUM($EF1167:$EJ1167)&gt;=2),"Whole sector approach","")</f>
        <v/>
      </c>
      <c r="EQ1167" t="str">
        <f>IF(AND(AND(OR($EC1167=1,$EB1167=1),AND($EH1167=0,$EF1167=0)),SUM($EA1167:$EE1167,$EK1167)&gt;=4),"Ecosystem approach","")</f>
        <v/>
      </c>
      <c r="ER1167" s="2" t="str">
        <f>IF(AND(AND(AND($EC1167=0,$EB1167=0),OR($EH1167=1,$EF1167=1)),SUM($EG1167:$EJ1167)&gt;=2),"Technology approach","")</f>
        <v/>
      </c>
      <c r="ES1167" t="str">
        <f>IF(AND($EC1167+$EB1167+$EE1167+$EA1167+$ED1167+$EG1167=0,$N1167="included"),"C neutral forest and HWP assumption","")</f>
        <v/>
      </c>
      <c r="ET1167" t="str">
        <f>IF(AND(AND(AND(AND($EC1167=1,$EB1167+$EA1167+$EG1167&gt;=1),$EF1167=1),$EH1167+$EI1167+$ED1167+$EE1167&gt;=2),$N1167="included"),"All C pools assumption","")</f>
        <v>All C pools assumption</v>
      </c>
      <c r="EU1167" t="str">
        <f>IF(AND($ED1167+$EE1167+$EI1167+$EH1167+$EF1167=0,$N1167="included"),"In-situ only assumption","")</f>
        <v/>
      </c>
      <c r="EY1167" t="str">
        <f>IF(ISNUMBER(BW1167),IF(ABS(BW1167-[2]QC_indicators!$B$2)&gt;3*[2]QC_indicators!$C$2,"C ratio",IF(ISNUMBER(CA1167),IF(ABS(CA1167-[2]QC_indicators!$B$1)&gt;3*[2]QC_indicators!$C$1,"DF","no"))),IF(ISNUMBER(CA1167),IF(ABS(CA1167-[2]QC_indicators!$B$1)&gt;3*[2]QC_indicators!$C$1,"DF","no")))</f>
        <v>no</v>
      </c>
      <c r="FA1167" t="str">
        <f>IF(LEN($CY1167)=0,"",IF(AND($CY1167&lt;(-0.05),$ES1167="C neutral forest and HWP assumption"),"Cneutral paradox",IF(AND($CY1167&gt;0.05,$EU1167="In-situ only assumption"),"In-situ only paradox","")))</f>
        <v/>
      </c>
      <c r="FD1167" s="260" t="s">
        <v>2948</v>
      </c>
    </row>
    <row r="1168" spans="1:160" ht="15" hidden="1" customHeight="1">
      <c r="D1168" t="s">
        <v>1859</v>
      </c>
      <c r="E1168" t="s">
        <v>1860</v>
      </c>
      <c r="G1168" t="s">
        <v>1861</v>
      </c>
      <c r="I1168">
        <v>2018</v>
      </c>
      <c r="K1168" s="150" t="s">
        <v>1862</v>
      </c>
      <c r="M1168" t="str">
        <f>LEFT($D1168,FIND(",",$D1168)-1)&amp;"_"&amp;I1168&amp;L1168</f>
        <v>Olguin_2018</v>
      </c>
      <c r="N1168" t="s">
        <v>222</v>
      </c>
      <c r="O1168" s="157" t="s">
        <v>274</v>
      </c>
      <c r="P1168" t="s">
        <v>508</v>
      </c>
      <c r="Q1168" t="s">
        <v>389</v>
      </c>
      <c r="R1168" s="258" t="s">
        <v>223</v>
      </c>
      <c r="S1168" s="259" t="s">
        <v>2872</v>
      </c>
      <c r="T1168" t="s">
        <v>1863</v>
      </c>
      <c r="U1168" t="s">
        <v>1872</v>
      </c>
      <c r="V1168" s="253">
        <v>0</v>
      </c>
      <c r="W1168" s="253">
        <v>0</v>
      </c>
      <c r="X1168">
        <v>0</v>
      </c>
      <c r="Y1168">
        <v>0</v>
      </c>
      <c r="Z1168">
        <v>0</v>
      </c>
      <c r="AA1168">
        <v>0</v>
      </c>
      <c r="AB1168">
        <v>0</v>
      </c>
      <c r="AC1168">
        <v>0</v>
      </c>
      <c r="AD1168">
        <v>0</v>
      </c>
      <c r="AE1168">
        <v>1</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s="141">
        <f>COUNTIF(X1168:AY1168,"&lt;&gt;0")</f>
        <v>1</v>
      </c>
      <c r="BA1168" s="141">
        <f>COUNTIF(X1168:AN1168,"&lt;&gt;0")</f>
        <v>1</v>
      </c>
      <c r="BB1168">
        <f>COUNTIF(X1168:AE1168,"&lt;&gt;0")</f>
        <v>1</v>
      </c>
      <c r="BC1168">
        <f>COUNTIF(AF1168:AK1168,"&lt;&gt;0")</f>
        <v>0</v>
      </c>
      <c r="BD1168">
        <f>COUNTIF(AL1168:AN1168,"&lt;&gt;0")</f>
        <v>0</v>
      </c>
      <c r="BE1168">
        <f>COUNTIF(AU1168:AY1168,"&lt;&gt;0")</f>
        <v>0</v>
      </c>
      <c r="BF1168">
        <f>COUNTIF(AO1168:AT1168,"&lt;&gt;0")</f>
        <v>0</v>
      </c>
      <c r="BG1168" t="str">
        <f t="array" ref="BG1168">IF(BA1168=1,INDEX($X$7:$AN$7,MATCH(TRUE,INDEX($X1168:$AY1168&lt;&gt;0,),0)),IF(BA1168=0,INDEX($AO$7:$AY$7,MATCH(1,$AO1168:$AY1168,0)),IF(BH1168="Multiple strategies","mixed drivers",IF(BH1168="Supply chain","multiple supply","multiple silviculture"))))</f>
        <v>site fertility</v>
      </c>
      <c r="BH1168" s="2" t="str" cm="1">
        <f t="array" ref="BH1168">IF(COUNTIF(BB1168:BD1168,"&lt;&gt;0")=1,INDEX($X$4:$AY$4,MATCH(TRUE,INDEX($X1168:$AY1168&lt;&gt;0,),0)),IF(COUNTIF(BB1168:BD1168,"&lt;&gt;0")=0,INDEX($AO$4:$AY$4,MATCH(1,$AO1168:$AY1168,0)),"Multiple strategies"))</f>
        <v>Silviculture for productivity</v>
      </c>
      <c r="BI1168" s="1" t="s">
        <v>321</v>
      </c>
      <c r="BK1168" s="260" t="s">
        <v>978</v>
      </c>
      <c r="BL1168" t="s">
        <v>1865</v>
      </c>
      <c r="BM1168">
        <v>0</v>
      </c>
      <c r="BN1168">
        <v>218025</v>
      </c>
      <c r="BO1168" t="str">
        <f>IFERROR(BN1168/BM1168,"")</f>
        <v/>
      </c>
      <c r="BP1168">
        <f>BN1168-BM1168</f>
        <v>218025</v>
      </c>
      <c r="BQ1168">
        <f>BP1168*tC_to_m3</f>
        <v>946699.95657837612</v>
      </c>
      <c r="BR1168" t="s">
        <v>232</v>
      </c>
      <c r="BS1168" t="s">
        <v>424</v>
      </c>
      <c r="BT1168" t="s">
        <v>1870</v>
      </c>
      <c r="BW1168" s="144"/>
      <c r="BX1168">
        <v>-1.62</v>
      </c>
      <c r="BZ1168">
        <f>BX1168</f>
        <v>-1.62</v>
      </c>
      <c r="CA1168">
        <f>IFERROR(BZ1168/BQ1168,"")</f>
        <v>-1.7112074303405573E-6</v>
      </c>
      <c r="CB1168">
        <v>0</v>
      </c>
      <c r="CC1168">
        <v>0</v>
      </c>
      <c r="CD1168">
        <v>0</v>
      </c>
      <c r="CE1168">
        <v>0</v>
      </c>
      <c r="CF1168">
        <v>0</v>
      </c>
      <c r="CG1168">
        <v>0</v>
      </c>
      <c r="CH1168">
        <v>0</v>
      </c>
      <c r="CI1168">
        <v>0</v>
      </c>
      <c r="CJ1168">
        <v>0</v>
      </c>
      <c r="CK1168">
        <v>0</v>
      </c>
      <c r="CL1168">
        <v>0</v>
      </c>
      <c r="CM1168">
        <v>0</v>
      </c>
      <c r="CN1168">
        <v>0</v>
      </c>
      <c r="CO1168">
        <v>0</v>
      </c>
      <c r="CP1168" t="str">
        <f>IF($BN1168&lt;$BM1168,"refNeedCorrection","refOK")</f>
        <v>refOK</v>
      </c>
      <c r="CQ1168">
        <f>IF($CP1168="refOK",$BM1168,$BN1168)</f>
        <v>0</v>
      </c>
      <c r="CR1168">
        <f>IF($CP1168="refOK",$BN1168,$BM1168)</f>
        <v>218025</v>
      </c>
      <c r="CS1168">
        <f>IF($CP1168="refOK",$BQ1168,-$BQ1168)</f>
        <v>946699.95657837612</v>
      </c>
      <c r="CT1168">
        <f>IF(BI1168="Roundwood",$CS1168/2,$CS1168)</f>
        <v>473349.97828918806</v>
      </c>
      <c r="CU1168">
        <f>IF($CP1168="refOK",$BU1168,$BV1168)*IF($BR1168="Emissions positive",-1,1)</f>
        <v>0</v>
      </c>
      <c r="CV1168">
        <f>IF($CP1168="refOK",$BV1168,$BU1168)*IF($BR1168="Emissions positive",-1,1)</f>
        <v>0</v>
      </c>
      <c r="CW1168">
        <f>IF($CP1168="refNeedCorrection",-BZ1168,BZ1168)*IF($BR1168="Emissions positive",-1,1)</f>
        <v>-1.62</v>
      </c>
      <c r="CX1168">
        <f>IFERROR($CW1168/$CS1168,"")</f>
        <v>-1.7112074303405573E-6</v>
      </c>
      <c r="CY1168">
        <f>IFERROR($CW1168/$CS1168,"")</f>
        <v>-1.7112074303405573E-6</v>
      </c>
      <c r="CZ1168">
        <f>IFERROR($CW1168/$CT1168,"")</f>
        <v>-3.4224148606811146E-6</v>
      </c>
      <c r="DA1168" s="2" t="str">
        <f>IFERROR((CV1168-CU1168)/ABS(CU1168),"")</f>
        <v/>
      </c>
      <c r="DB1168" s="1" t="s">
        <v>1843</v>
      </c>
      <c r="DC1168" t="str">
        <f>IF(OR($DB1168="prd",$DB1168="std",$DB1168="cit"),"loc",IF(OR($DB1168="eur",$DB1168="reg",$DB1168="coy"),"reg",$DB1168))</f>
        <v>reg</v>
      </c>
      <c r="DD1168" t="s">
        <v>1867</v>
      </c>
      <c r="DE1168">
        <v>2021</v>
      </c>
      <c r="DF1168">
        <v>2040</v>
      </c>
      <c r="DG1168">
        <f>DF1168-DE1168</f>
        <v>19</v>
      </c>
      <c r="DH1168" t="str">
        <f>IF(DG1168=0,"0",IF(AND(DG1168&gt;=1,DG1168&lt;=30),"1-30",IF(AND(DG1168&gt;30,DG1168&lt;=70),"31-70",IF(AND(DG1168&gt;70,DG1168&lt;=100),"71-100",IF(DG1168&gt;100,"+100")))))</f>
        <v>1-30</v>
      </c>
      <c r="DI1168">
        <v>0</v>
      </c>
      <c r="DJ1168">
        <v>0</v>
      </c>
      <c r="DK1168">
        <v>0</v>
      </c>
      <c r="DL1168">
        <v>1</v>
      </c>
      <c r="DM1168">
        <v>0</v>
      </c>
      <c r="DN1168">
        <f>SUM(DI1168:DL1168)</f>
        <v>1</v>
      </c>
      <c r="DO1168" t="str">
        <f>IF(DN1168=1,INDEX($DI$7:$DL$7,MATCH(1,$DI1168:$DL1168,0)),"mixedProduct")</f>
        <v>TimberInput</v>
      </c>
      <c r="DP1168">
        <f>IF(DI1168=1,DP$7,0)</f>
        <v>0</v>
      </c>
      <c r="DQ1168">
        <f>IF(DJ1168=1,DQ$7,0)</f>
        <v>0</v>
      </c>
      <c r="DR1168">
        <f>IF(DK1168=1,DR$7,0)</f>
        <v>0</v>
      </c>
      <c r="DS1168" t="str">
        <f>IF(DL1168=1,DS$7,0)</f>
        <v>Timber</v>
      </c>
      <c r="DT1168">
        <v>0</v>
      </c>
      <c r="DU1168">
        <v>1</v>
      </c>
      <c r="DX1168" s="183" t="s">
        <v>1868</v>
      </c>
      <c r="DY1168"/>
      <c r="DZ1168" s="143" t="str">
        <f>IF(DT1168=1,"self-calculated DF",IF(DU1168=1,"external DF used","explicit C balance"))</f>
        <v>external DF used</v>
      </c>
      <c r="EA1168">
        <v>1</v>
      </c>
      <c r="EB1168">
        <v>1</v>
      </c>
      <c r="EC1168">
        <v>1</v>
      </c>
      <c r="ED1168">
        <v>1</v>
      </c>
      <c r="EE1168">
        <v>1</v>
      </c>
      <c r="EF1168">
        <v>1</v>
      </c>
      <c r="EG1168">
        <v>0</v>
      </c>
      <c r="EH1168">
        <v>0</v>
      </c>
      <c r="EI1168">
        <v>0</v>
      </c>
      <c r="EJ1168">
        <v>0</v>
      </c>
      <c r="EK1168">
        <v>1</v>
      </c>
      <c r="EL1168">
        <v>0</v>
      </c>
      <c r="EM1168">
        <v>1</v>
      </c>
      <c r="EN1168" s="2">
        <v>0</v>
      </c>
      <c r="EP1168" t="str">
        <f>IF(AND(AND(AND(OR($EC1168=1,$EB1168=1),OR($EH1168=1,$EF1168=1)),SUM($EA1168:$EE1168,$EK1168)&gt;=3),SUM($EF1168:$EJ1168)&gt;=2),"Whole sector approach","")</f>
        <v/>
      </c>
      <c r="EQ1168" t="str">
        <f>IF(AND(AND(OR($EC1168=1,$EB1168=1),AND($EH1168=0,$EF1168=0)),SUM($EA1168:$EE1168,$EK1168)&gt;=4),"Ecosystem approach","")</f>
        <v/>
      </c>
      <c r="ER1168" s="2" t="str">
        <f>IF(AND(AND(AND($EC1168=0,$EB1168=0),OR($EH1168=1,$EF1168=1)),SUM($EG1168:$EJ1168)&gt;=2),"Technology approach","")</f>
        <v/>
      </c>
      <c r="ES1168" t="str">
        <f>IF(AND($EC1168+$EB1168+$EE1168+$EA1168+$ED1168+$EG1168=0,$N1168="included"),"C neutral forest and HWP assumption","")</f>
        <v/>
      </c>
      <c r="ET1168" t="str">
        <f>IF(AND(AND(AND(AND($EC1168=1,$EB1168+$EA1168+$EG1168&gt;=1),$EF1168=1),$EH1168+$EI1168+$ED1168+$EE1168&gt;=2),$N1168="included"),"All C pools assumption","")</f>
        <v>All C pools assumption</v>
      </c>
      <c r="EU1168" t="str">
        <f>IF(AND($ED1168+$EE1168+$EI1168+$EH1168+$EF1168=0,$N1168="included"),"In-situ only assumption","")</f>
        <v/>
      </c>
      <c r="EY1168" t="str">
        <f>IF(ISNUMBER(BW1168),IF(ABS(BW1168-[2]QC_indicators!$B$2)&gt;3*[2]QC_indicators!$C$2,"C ratio",IF(ISNUMBER(CA1168),IF(ABS(CA1168-[2]QC_indicators!$B$1)&gt;3*[2]QC_indicators!$C$1,"DF","no"))),IF(ISNUMBER(CA1168),IF(ABS(CA1168-[2]QC_indicators!$B$1)&gt;3*[2]QC_indicators!$C$1,"DF","no")))</f>
        <v>no</v>
      </c>
      <c r="FA1168" t="str">
        <f>IF(LEN($CY1168)=0,"",IF(AND($CY1168&lt;(-0.05),$ES1168="C neutral forest and HWP assumption"),"Cneutral paradox",IF(AND($CY1168&gt;0.05,$EU1168="In-situ only assumption"),"In-situ only paradox","")))</f>
        <v/>
      </c>
      <c r="FD1168" s="260" t="s">
        <v>2948</v>
      </c>
    </row>
    <row r="1169" spans="4:160" ht="17" hidden="1">
      <c r="D1169" t="s">
        <v>1859</v>
      </c>
      <c r="E1169" t="s">
        <v>1860</v>
      </c>
      <c r="G1169" t="s">
        <v>1861</v>
      </c>
      <c r="I1169">
        <v>2018</v>
      </c>
      <c r="K1169" s="150" t="s">
        <v>1862</v>
      </c>
      <c r="M1169" t="str">
        <f>LEFT($D1169,FIND(",",$D1169)-1)&amp;"_"&amp;I1169&amp;L1169</f>
        <v>Olguin_2018</v>
      </c>
      <c r="N1169" t="s">
        <v>222</v>
      </c>
      <c r="O1169" s="157" t="s">
        <v>274</v>
      </c>
      <c r="P1169" t="s">
        <v>508</v>
      </c>
      <c r="Q1169" t="s">
        <v>389</v>
      </c>
      <c r="R1169" s="258" t="s">
        <v>223</v>
      </c>
      <c r="S1169" s="259" t="s">
        <v>2874</v>
      </c>
      <c r="T1169" t="s">
        <v>1863</v>
      </c>
      <c r="U1169" t="s">
        <v>1871</v>
      </c>
      <c r="V1169" s="253">
        <v>0</v>
      </c>
      <c r="W1169" s="253">
        <v>0</v>
      </c>
      <c r="X1169">
        <v>0</v>
      </c>
      <c r="Y1169">
        <v>0</v>
      </c>
      <c r="Z1169">
        <v>0</v>
      </c>
      <c r="AA1169">
        <v>0</v>
      </c>
      <c r="AB1169">
        <v>0</v>
      </c>
      <c r="AC1169">
        <v>0</v>
      </c>
      <c r="AD1169">
        <v>0</v>
      </c>
      <c r="AE1169">
        <v>1</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s="141">
        <f>COUNTIF(X1169:AY1169,"&lt;&gt;0")</f>
        <v>1</v>
      </c>
      <c r="BA1169" s="141">
        <f>COUNTIF(X1169:AN1169,"&lt;&gt;0")</f>
        <v>1</v>
      </c>
      <c r="BB1169">
        <f>COUNTIF(X1169:AE1169,"&lt;&gt;0")</f>
        <v>1</v>
      </c>
      <c r="BC1169">
        <f>COUNTIF(AF1169:AK1169,"&lt;&gt;0")</f>
        <v>0</v>
      </c>
      <c r="BD1169">
        <f>COUNTIF(AL1169:AN1169,"&lt;&gt;0")</f>
        <v>0</v>
      </c>
      <c r="BE1169">
        <f>COUNTIF(AU1169:AY1169,"&lt;&gt;0")</f>
        <v>0</v>
      </c>
      <c r="BF1169">
        <f>COUNTIF(AO1169:AT1169,"&lt;&gt;0")</f>
        <v>0</v>
      </c>
      <c r="BG1169" t="str">
        <f t="array" ref="BG1169">IF(BA1169=1,INDEX($X$7:$AN$7,MATCH(TRUE,INDEX($X1169:$AY1169&lt;&gt;0,),0)),IF(BA1169=0,INDEX($AO$7:$AY$7,MATCH(1,$AO1169:$AY1169,0)),IF(BH1169="Multiple strategies","mixed drivers",IF(BH1169="Supply chain","multiple supply","multiple silviculture"))))</f>
        <v>site fertility</v>
      </c>
      <c r="BH1169" s="2" t="str" cm="1">
        <f t="array" ref="BH1169">IF(COUNTIF(BB1169:BD1169,"&lt;&gt;0")=1,INDEX($X$4:$AY$4,MATCH(TRUE,INDEX($X1169:$AY1169&lt;&gt;0,),0)),IF(COUNTIF(BB1169:BD1169,"&lt;&gt;0")=0,INDEX($AO$4:$AY$4,MATCH(1,$AO1169:$AY1169,0)),"Multiple strategies"))</f>
        <v>Silviculture for productivity</v>
      </c>
      <c r="BI1169" s="1" t="s">
        <v>321</v>
      </c>
      <c r="BK1169" s="260" t="s">
        <v>978</v>
      </c>
      <c r="BL1169" t="s">
        <v>1865</v>
      </c>
      <c r="BM1169">
        <v>0</v>
      </c>
      <c r="BN1169">
        <v>6788</v>
      </c>
      <c r="BO1169" t="str">
        <f>IFERROR(BN1169/BM1169,"")</f>
        <v/>
      </c>
      <c r="BP1169">
        <f>BN1169-BM1169</f>
        <v>6788</v>
      </c>
      <c r="BQ1169">
        <f>BP1169*tC_to_m3</f>
        <v>29474.598349978292</v>
      </c>
      <c r="BR1169" t="s">
        <v>232</v>
      </c>
      <c r="BS1169" t="s">
        <v>424</v>
      </c>
      <c r="BT1169" t="s">
        <v>1870</v>
      </c>
      <c r="BW1169" s="144"/>
      <c r="BX1169">
        <v>-0.17</v>
      </c>
      <c r="BZ1169">
        <f>BX1169</f>
        <v>-0.17</v>
      </c>
      <c r="CA1169">
        <f>IFERROR(BZ1169/BQ1169,"")</f>
        <v>-5.7676782557454333E-6</v>
      </c>
      <c r="CB1169">
        <v>0</v>
      </c>
      <c r="CC1169">
        <v>0</v>
      </c>
      <c r="CD1169">
        <v>0</v>
      </c>
      <c r="CE1169">
        <v>0</v>
      </c>
      <c r="CF1169">
        <v>0</v>
      </c>
      <c r="CG1169">
        <v>0</v>
      </c>
      <c r="CH1169">
        <v>0</v>
      </c>
      <c r="CI1169">
        <v>0</v>
      </c>
      <c r="CJ1169">
        <v>0</v>
      </c>
      <c r="CK1169">
        <v>0</v>
      </c>
      <c r="CL1169">
        <v>0</v>
      </c>
      <c r="CM1169">
        <v>0</v>
      </c>
      <c r="CN1169">
        <v>0</v>
      </c>
      <c r="CO1169">
        <v>0</v>
      </c>
      <c r="CP1169" t="str">
        <f>IF($BN1169&lt;$BM1169,"refNeedCorrection","refOK")</f>
        <v>refOK</v>
      </c>
      <c r="CQ1169">
        <f>IF($CP1169="refOK",$BM1169,$BN1169)</f>
        <v>0</v>
      </c>
      <c r="CR1169">
        <f>IF($CP1169="refOK",$BN1169,$BM1169)</f>
        <v>6788</v>
      </c>
      <c r="CS1169">
        <f>IF($CP1169="refOK",$BQ1169,-$BQ1169)</f>
        <v>29474.598349978292</v>
      </c>
      <c r="CT1169">
        <f>IF(BI1169="Roundwood",$CS1169/2,$CS1169)</f>
        <v>14737.299174989146</v>
      </c>
      <c r="CU1169">
        <f>IF($CP1169="refOK",$BU1169,$BV1169)*IF($BR1169="Emissions positive",-1,1)</f>
        <v>0</v>
      </c>
      <c r="CV1169">
        <f>IF($CP1169="refOK",$BV1169,$BU1169)*IF($BR1169="Emissions positive",-1,1)</f>
        <v>0</v>
      </c>
      <c r="CW1169">
        <f>IF($CP1169="refNeedCorrection",-BZ1169,BZ1169)*IF($BR1169="Emissions positive",-1,1)</f>
        <v>-0.17</v>
      </c>
      <c r="CX1169">
        <f>IFERROR($CW1169/$CS1169,"")</f>
        <v>-5.7676782557454333E-6</v>
      </c>
      <c r="CY1169">
        <f>IFERROR($CW1169/$CS1169,"")</f>
        <v>-5.7676782557454333E-6</v>
      </c>
      <c r="CZ1169">
        <f>IFERROR($CW1169/$CT1169,"")</f>
        <v>-1.1535356511490867E-5</v>
      </c>
      <c r="DA1169" s="2" t="str">
        <f>IFERROR((CV1169-CU1169)/ABS(CU1169),"")</f>
        <v/>
      </c>
      <c r="DB1169" s="1" t="s">
        <v>1843</v>
      </c>
      <c r="DC1169" t="str">
        <f>IF(OR($DB1169="prd",$DB1169="std",$DB1169="cit"),"loc",IF(OR($DB1169="eur",$DB1169="reg",$DB1169="coy"),"reg",$DB1169))</f>
        <v>reg</v>
      </c>
      <c r="DD1169" t="s">
        <v>1867</v>
      </c>
      <c r="DE1169">
        <v>2021</v>
      </c>
      <c r="DF1169">
        <v>2040</v>
      </c>
      <c r="DG1169">
        <f>DF1169-DE1169</f>
        <v>19</v>
      </c>
      <c r="DH1169" t="str">
        <f>IF(DG1169=0,"0",IF(AND(DG1169&gt;=1,DG1169&lt;=30),"1-30",IF(AND(DG1169&gt;30,DG1169&lt;=70),"31-70",IF(AND(DG1169&gt;70,DG1169&lt;=100),"71-100",IF(DG1169&gt;100,"+100")))))</f>
        <v>1-30</v>
      </c>
      <c r="DI1169">
        <v>0</v>
      </c>
      <c r="DJ1169">
        <v>0</v>
      </c>
      <c r="DK1169">
        <v>0</v>
      </c>
      <c r="DL1169">
        <v>1</v>
      </c>
      <c r="DM1169">
        <v>0</v>
      </c>
      <c r="DN1169">
        <f>SUM(DI1169:DL1169)</f>
        <v>1</v>
      </c>
      <c r="DO1169" t="str">
        <f>IF(DN1169=1,INDEX($DI$7:$DL$7,MATCH(1,$DI1169:$DL1169,0)),"mixedProduct")</f>
        <v>TimberInput</v>
      </c>
      <c r="DP1169">
        <f>IF(DI1169=1,DP$7,0)</f>
        <v>0</v>
      </c>
      <c r="DQ1169">
        <f>IF(DJ1169=1,DQ$7,0)</f>
        <v>0</v>
      </c>
      <c r="DR1169">
        <f>IF(DK1169=1,DR$7,0)</f>
        <v>0</v>
      </c>
      <c r="DS1169" t="str">
        <f>IF(DL1169=1,DS$7,0)</f>
        <v>Timber</v>
      </c>
      <c r="DT1169">
        <v>0</v>
      </c>
      <c r="DU1169">
        <v>1</v>
      </c>
      <c r="DX1169" s="183" t="s">
        <v>1868</v>
      </c>
      <c r="DY1169"/>
      <c r="DZ1169" s="143" t="str">
        <f>IF(DT1169=1,"self-calculated DF",IF(DU1169=1,"external DF used","explicit C balance"))</f>
        <v>external DF used</v>
      </c>
      <c r="EA1169">
        <v>1</v>
      </c>
      <c r="EB1169">
        <v>1</v>
      </c>
      <c r="EC1169">
        <v>1</v>
      </c>
      <c r="ED1169">
        <v>1</v>
      </c>
      <c r="EE1169">
        <v>1</v>
      </c>
      <c r="EF1169">
        <v>1</v>
      </c>
      <c r="EG1169">
        <v>0</v>
      </c>
      <c r="EH1169">
        <v>0</v>
      </c>
      <c r="EI1169">
        <v>0</v>
      </c>
      <c r="EJ1169">
        <v>0</v>
      </c>
      <c r="EK1169">
        <v>1</v>
      </c>
      <c r="EL1169">
        <v>0</v>
      </c>
      <c r="EM1169">
        <v>1</v>
      </c>
      <c r="EN1169" s="2">
        <v>0</v>
      </c>
      <c r="EP1169" t="str">
        <f>IF(AND(AND(AND(OR($EC1169=1,$EB1169=1),OR($EH1169=1,$EF1169=1)),SUM($EA1169:$EE1169,$EK1169)&gt;=3),SUM($EF1169:$EJ1169)&gt;=2),"Whole sector approach","")</f>
        <v/>
      </c>
      <c r="EQ1169" t="str">
        <f>IF(AND(AND(OR($EC1169=1,$EB1169=1),AND($EH1169=0,$EF1169=0)),SUM($EA1169:$EE1169,$EK1169)&gt;=4),"Ecosystem approach","")</f>
        <v/>
      </c>
      <c r="ER1169" s="2" t="str">
        <f>IF(AND(AND(AND($EC1169=0,$EB1169=0),OR($EH1169=1,$EF1169=1)),SUM($EG1169:$EJ1169)&gt;=2),"Technology approach","")</f>
        <v/>
      </c>
      <c r="ES1169" t="str">
        <f>IF(AND($EC1169+$EB1169+$EE1169+$EA1169+$ED1169+$EG1169=0,$N1169="included"),"C neutral forest and HWP assumption","")</f>
        <v/>
      </c>
      <c r="ET1169" t="str">
        <f>IF(AND(AND(AND(AND($EC1169=1,$EB1169+$EA1169+$EG1169&gt;=1),$EF1169=1),$EH1169+$EI1169+$ED1169+$EE1169&gt;=2),$N1169="included"),"All C pools assumption","")</f>
        <v>All C pools assumption</v>
      </c>
      <c r="EU1169" t="str">
        <f>IF(AND($ED1169+$EE1169+$EI1169+$EH1169+$EF1169=0,$N1169="included"),"In-situ only assumption","")</f>
        <v/>
      </c>
      <c r="EY1169" t="str">
        <f>IF(ISNUMBER(BW1169),IF(ABS(BW1169-[2]QC_indicators!$B$2)&gt;3*[2]QC_indicators!$C$2,"C ratio",IF(ISNUMBER(CA1169),IF(ABS(CA1169-[2]QC_indicators!$B$1)&gt;3*[2]QC_indicators!$C$1,"DF","no"))),IF(ISNUMBER(CA1169),IF(ABS(CA1169-[2]QC_indicators!$B$1)&gt;3*[2]QC_indicators!$C$1,"DF","no")))</f>
        <v>no</v>
      </c>
      <c r="FA1169" t="str">
        <f>IF(LEN($CY1169)=0,"",IF(AND($CY1169&lt;(-0.05),$ES1169="C neutral forest and HWP assumption"),"Cneutral paradox",IF(AND($CY1169&gt;0.05,$EU1169="In-situ only assumption"),"In-situ only paradox","")))</f>
        <v/>
      </c>
      <c r="FD1169" s="260" t="s">
        <v>2948</v>
      </c>
    </row>
    <row r="1170" spans="4:160" ht="17" hidden="1">
      <c r="D1170" t="s">
        <v>1859</v>
      </c>
      <c r="E1170" t="s">
        <v>1860</v>
      </c>
      <c r="G1170" t="s">
        <v>1861</v>
      </c>
      <c r="I1170">
        <v>2018</v>
      </c>
      <c r="K1170" s="150" t="s">
        <v>1862</v>
      </c>
      <c r="M1170" t="str">
        <f>LEFT($D1170,FIND(",",$D1170)-1)&amp;"_"&amp;I1170&amp;L1170</f>
        <v>Olguin_2018</v>
      </c>
      <c r="N1170" t="s">
        <v>222</v>
      </c>
      <c r="O1170" s="157" t="s">
        <v>274</v>
      </c>
      <c r="P1170" t="s">
        <v>508</v>
      </c>
      <c r="Q1170" t="s">
        <v>389</v>
      </c>
      <c r="R1170" s="258" t="s">
        <v>223</v>
      </c>
      <c r="S1170" s="259" t="s">
        <v>2873</v>
      </c>
      <c r="T1170" t="s">
        <v>1863</v>
      </c>
      <c r="U1170" t="s">
        <v>1872</v>
      </c>
      <c r="V1170" s="253">
        <v>0</v>
      </c>
      <c r="W1170" s="253">
        <v>0</v>
      </c>
      <c r="X1170">
        <v>0</v>
      </c>
      <c r="Y1170">
        <v>0</v>
      </c>
      <c r="Z1170">
        <v>0</v>
      </c>
      <c r="AA1170">
        <v>0</v>
      </c>
      <c r="AB1170">
        <v>0</v>
      </c>
      <c r="AC1170">
        <v>0</v>
      </c>
      <c r="AD1170">
        <v>0</v>
      </c>
      <c r="AE1170">
        <v>1</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s="141">
        <f>COUNTIF(X1170:AY1170,"&lt;&gt;0")</f>
        <v>1</v>
      </c>
      <c r="BA1170" s="141">
        <f>COUNTIF(X1170:AN1170,"&lt;&gt;0")</f>
        <v>1</v>
      </c>
      <c r="BB1170">
        <f>COUNTIF(X1170:AE1170,"&lt;&gt;0")</f>
        <v>1</v>
      </c>
      <c r="BC1170">
        <f>COUNTIF(AF1170:AK1170,"&lt;&gt;0")</f>
        <v>0</v>
      </c>
      <c r="BD1170">
        <f>COUNTIF(AL1170:AN1170,"&lt;&gt;0")</f>
        <v>0</v>
      </c>
      <c r="BE1170">
        <f>COUNTIF(AU1170:AY1170,"&lt;&gt;0")</f>
        <v>0</v>
      </c>
      <c r="BF1170">
        <f>COUNTIF(AO1170:AT1170,"&lt;&gt;0")</f>
        <v>0</v>
      </c>
      <c r="BG1170" t="str">
        <f t="array" ref="BG1170">IF(BA1170=1,INDEX($X$7:$AN$7,MATCH(TRUE,INDEX($X1170:$AY1170&lt;&gt;0,),0)),IF(BA1170=0,INDEX($AO$7:$AY$7,MATCH(1,$AO1170:$AY1170,0)),IF(BH1170="Multiple strategies","mixed drivers",IF(BH1170="Supply chain","multiple supply","multiple silviculture"))))</f>
        <v>site fertility</v>
      </c>
      <c r="BH1170" s="2" t="str" cm="1">
        <f t="array" ref="BH1170">IF(COUNTIF(BB1170:BD1170,"&lt;&gt;0")=1,INDEX($X$4:$AY$4,MATCH(TRUE,INDEX($X1170:$AY1170&lt;&gt;0,),0)),IF(COUNTIF(BB1170:BD1170,"&lt;&gt;0")=0,INDEX($AO$4:$AY$4,MATCH(1,$AO1170:$AY1170,0)),"Multiple strategies"))</f>
        <v>Silviculture for productivity</v>
      </c>
      <c r="BI1170" s="1" t="s">
        <v>321</v>
      </c>
      <c r="BK1170" s="260" t="s">
        <v>978</v>
      </c>
      <c r="BL1170" t="s">
        <v>1865</v>
      </c>
      <c r="BM1170">
        <v>0</v>
      </c>
      <c r="BN1170">
        <v>6788</v>
      </c>
      <c r="BO1170" t="str">
        <f>IFERROR(BN1170/BM1170,"")</f>
        <v/>
      </c>
      <c r="BP1170">
        <f>BN1170-BM1170</f>
        <v>6788</v>
      </c>
      <c r="BQ1170">
        <f>BP1170*tC_to_m3</f>
        <v>29474.598349978292</v>
      </c>
      <c r="BR1170" t="s">
        <v>232</v>
      </c>
      <c r="BS1170" t="s">
        <v>424</v>
      </c>
      <c r="BT1170" t="s">
        <v>1870</v>
      </c>
      <c r="BW1170" s="144"/>
      <c r="BX1170">
        <v>-0.19</v>
      </c>
      <c r="BZ1170">
        <f>BX1170</f>
        <v>-0.19</v>
      </c>
      <c r="CA1170">
        <f>IFERROR(BZ1170/BQ1170,"")</f>
        <v>-6.4462286387743068E-6</v>
      </c>
      <c r="CB1170">
        <v>0</v>
      </c>
      <c r="CC1170">
        <v>0</v>
      </c>
      <c r="CD1170">
        <v>0</v>
      </c>
      <c r="CE1170">
        <v>0</v>
      </c>
      <c r="CF1170">
        <v>0</v>
      </c>
      <c r="CG1170">
        <v>0</v>
      </c>
      <c r="CH1170">
        <v>0</v>
      </c>
      <c r="CI1170">
        <v>0</v>
      </c>
      <c r="CJ1170">
        <v>0</v>
      </c>
      <c r="CK1170">
        <v>0</v>
      </c>
      <c r="CL1170">
        <v>0</v>
      </c>
      <c r="CM1170">
        <v>0</v>
      </c>
      <c r="CN1170">
        <v>0</v>
      </c>
      <c r="CO1170">
        <v>0</v>
      </c>
      <c r="CP1170" t="str">
        <f>IF($BN1170&lt;$BM1170,"refNeedCorrection","refOK")</f>
        <v>refOK</v>
      </c>
      <c r="CQ1170">
        <f>IF($CP1170="refOK",$BM1170,$BN1170)</f>
        <v>0</v>
      </c>
      <c r="CR1170">
        <f>IF($CP1170="refOK",$BN1170,$BM1170)</f>
        <v>6788</v>
      </c>
      <c r="CS1170">
        <f>IF($CP1170="refOK",$BQ1170,-$BQ1170)</f>
        <v>29474.598349978292</v>
      </c>
      <c r="CT1170">
        <f>IF(BI1170="Roundwood",$CS1170/2,$CS1170)</f>
        <v>14737.299174989146</v>
      </c>
      <c r="CU1170">
        <f>IF($CP1170="refOK",$BU1170,$BV1170)*IF($BR1170="Emissions positive",-1,1)</f>
        <v>0</v>
      </c>
      <c r="CV1170">
        <f>IF($CP1170="refOK",$BV1170,$BU1170)*IF($BR1170="Emissions positive",-1,1)</f>
        <v>0</v>
      </c>
      <c r="CW1170">
        <f>IF($CP1170="refNeedCorrection",-BZ1170,BZ1170)*IF($BR1170="Emissions positive",-1,1)</f>
        <v>-0.19</v>
      </c>
      <c r="CX1170">
        <f>IFERROR($CW1170/$CS1170,"")</f>
        <v>-6.4462286387743068E-6</v>
      </c>
      <c r="CY1170">
        <f>IFERROR($CW1170/$CS1170,"")</f>
        <v>-6.4462286387743068E-6</v>
      </c>
      <c r="CZ1170">
        <f>IFERROR($CW1170/$CT1170,"")</f>
        <v>-1.2892457277548614E-5</v>
      </c>
      <c r="DA1170" s="2" t="str">
        <f>IFERROR((CV1170-CU1170)/ABS(CU1170),"")</f>
        <v/>
      </c>
      <c r="DB1170" s="1" t="s">
        <v>1843</v>
      </c>
      <c r="DC1170" t="str">
        <f>IF(OR($DB1170="prd",$DB1170="std",$DB1170="cit"),"loc",IF(OR($DB1170="eur",$DB1170="reg",$DB1170="coy"),"reg",$DB1170))</f>
        <v>reg</v>
      </c>
      <c r="DD1170" t="s">
        <v>1867</v>
      </c>
      <c r="DE1170">
        <v>2021</v>
      </c>
      <c r="DF1170">
        <v>2040</v>
      </c>
      <c r="DG1170">
        <f>DF1170-DE1170</f>
        <v>19</v>
      </c>
      <c r="DH1170" t="str">
        <f>IF(DG1170=0,"0",IF(AND(DG1170&gt;=1,DG1170&lt;=30),"1-30",IF(AND(DG1170&gt;30,DG1170&lt;=70),"31-70",IF(AND(DG1170&gt;70,DG1170&lt;=100),"71-100",IF(DG1170&gt;100,"+100")))))</f>
        <v>1-30</v>
      </c>
      <c r="DI1170">
        <v>0</v>
      </c>
      <c r="DJ1170">
        <v>0</v>
      </c>
      <c r="DK1170">
        <v>0</v>
      </c>
      <c r="DL1170">
        <v>1</v>
      </c>
      <c r="DM1170">
        <v>0</v>
      </c>
      <c r="DN1170">
        <f>SUM(DI1170:DL1170)</f>
        <v>1</v>
      </c>
      <c r="DO1170" t="str">
        <f>IF(DN1170=1,INDEX($DI$7:$DL$7,MATCH(1,$DI1170:$DL1170,0)),"mixedProduct")</f>
        <v>TimberInput</v>
      </c>
      <c r="DP1170">
        <f>IF(DI1170=1,DP$7,0)</f>
        <v>0</v>
      </c>
      <c r="DQ1170">
        <f>IF(DJ1170=1,DQ$7,0)</f>
        <v>0</v>
      </c>
      <c r="DR1170">
        <f>IF(DK1170=1,DR$7,0)</f>
        <v>0</v>
      </c>
      <c r="DS1170" t="str">
        <f>IF(DL1170=1,DS$7,0)</f>
        <v>Timber</v>
      </c>
      <c r="DT1170">
        <v>0</v>
      </c>
      <c r="DU1170">
        <v>1</v>
      </c>
      <c r="DX1170" s="183" t="s">
        <v>1868</v>
      </c>
      <c r="DY1170"/>
      <c r="DZ1170" s="143" t="str">
        <f>IF(DT1170=1,"self-calculated DF",IF(DU1170=1,"external DF used","explicit C balance"))</f>
        <v>external DF used</v>
      </c>
      <c r="EA1170">
        <v>1</v>
      </c>
      <c r="EB1170">
        <v>1</v>
      </c>
      <c r="EC1170">
        <v>1</v>
      </c>
      <c r="ED1170">
        <v>1</v>
      </c>
      <c r="EE1170">
        <v>1</v>
      </c>
      <c r="EF1170">
        <v>1</v>
      </c>
      <c r="EG1170">
        <v>0</v>
      </c>
      <c r="EH1170">
        <v>0</v>
      </c>
      <c r="EI1170">
        <v>0</v>
      </c>
      <c r="EJ1170">
        <v>0</v>
      </c>
      <c r="EK1170">
        <v>1</v>
      </c>
      <c r="EL1170">
        <v>0</v>
      </c>
      <c r="EM1170">
        <v>1</v>
      </c>
      <c r="EN1170" s="2">
        <v>0</v>
      </c>
      <c r="EP1170" t="str">
        <f>IF(AND(AND(AND(OR($EC1170=1,$EB1170=1),OR($EH1170=1,$EF1170=1)),SUM($EA1170:$EE1170,$EK1170)&gt;=3),SUM($EF1170:$EJ1170)&gt;=2),"Whole sector approach","")</f>
        <v/>
      </c>
      <c r="EQ1170" t="str">
        <f>IF(AND(AND(OR($EC1170=1,$EB1170=1),AND($EH1170=0,$EF1170=0)),SUM($EA1170:$EE1170,$EK1170)&gt;=4),"Ecosystem approach","")</f>
        <v/>
      </c>
      <c r="ER1170" s="2" t="str">
        <f>IF(AND(AND(AND($EC1170=0,$EB1170=0),OR($EH1170=1,$EF1170=1)),SUM($EG1170:$EJ1170)&gt;=2),"Technology approach","")</f>
        <v/>
      </c>
      <c r="ES1170" t="str">
        <f>IF(AND($EC1170+$EB1170+$EE1170+$EA1170+$ED1170+$EG1170=0,$N1170="included"),"C neutral forest and HWP assumption","")</f>
        <v/>
      </c>
      <c r="ET1170" t="str">
        <f>IF(AND(AND(AND(AND($EC1170=1,$EB1170+$EA1170+$EG1170&gt;=1),$EF1170=1),$EH1170+$EI1170+$ED1170+$EE1170&gt;=2),$N1170="included"),"All C pools assumption","")</f>
        <v>All C pools assumption</v>
      </c>
      <c r="EU1170" t="str">
        <f>IF(AND($ED1170+$EE1170+$EI1170+$EH1170+$EF1170=0,$N1170="included"),"In-situ only assumption","")</f>
        <v/>
      </c>
      <c r="EY1170" t="str">
        <f>IF(ISNUMBER(BW1170),IF(ABS(BW1170-[2]QC_indicators!$B$2)&gt;3*[2]QC_indicators!$C$2,"C ratio",IF(ISNUMBER(CA1170),IF(ABS(CA1170-[2]QC_indicators!$B$1)&gt;3*[2]QC_indicators!$C$1,"DF","no"))),IF(ISNUMBER(CA1170),IF(ABS(CA1170-[2]QC_indicators!$B$1)&gt;3*[2]QC_indicators!$C$1,"DF","no")))</f>
        <v>no</v>
      </c>
      <c r="FA1170" t="str">
        <f>IF(LEN($CY1170)=0,"",IF(AND($CY1170&lt;(-0.05),$ES1170="C neutral forest and HWP assumption"),"Cneutral paradox",IF(AND($CY1170&gt;0.05,$EU1170="In-situ only assumption"),"In-situ only paradox","")))</f>
        <v/>
      </c>
      <c r="FD1170" s="260" t="s">
        <v>2948</v>
      </c>
    </row>
    <row r="1171" spans="4:160" ht="15" hidden="1" customHeight="1">
      <c r="D1171" t="s">
        <v>1859</v>
      </c>
      <c r="E1171" t="s">
        <v>1860</v>
      </c>
      <c r="G1171" t="s">
        <v>1861</v>
      </c>
      <c r="I1171">
        <v>2018</v>
      </c>
      <c r="K1171" s="150" t="s">
        <v>1862</v>
      </c>
      <c r="M1171" t="str">
        <f>LEFT($D1171,FIND(",",$D1171)-1)&amp;"_"&amp;I1171&amp;L1171</f>
        <v>Olguin_2018</v>
      </c>
      <c r="N1171" t="s">
        <v>222</v>
      </c>
      <c r="O1171" s="157" t="s">
        <v>274</v>
      </c>
      <c r="P1171" t="s">
        <v>508</v>
      </c>
      <c r="Q1171" t="s">
        <v>389</v>
      </c>
      <c r="R1171" s="258" t="s">
        <v>223</v>
      </c>
      <c r="S1171" s="259" t="s">
        <v>2882</v>
      </c>
      <c r="T1171" t="s">
        <v>1863</v>
      </c>
      <c r="U1171" t="s">
        <v>1871</v>
      </c>
      <c r="V1171" s="253">
        <v>0</v>
      </c>
      <c r="W1171" s="253">
        <v>0</v>
      </c>
      <c r="X1171">
        <v>0</v>
      </c>
      <c r="Y1171">
        <v>0</v>
      </c>
      <c r="Z1171">
        <v>0</v>
      </c>
      <c r="AA1171">
        <v>0</v>
      </c>
      <c r="AB1171">
        <v>0</v>
      </c>
      <c r="AC1171">
        <v>0</v>
      </c>
      <c r="AD1171">
        <v>0</v>
      </c>
      <c r="AE1171">
        <v>1</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s="141">
        <f>COUNTIF(X1171:AY1171,"&lt;&gt;0")</f>
        <v>1</v>
      </c>
      <c r="BA1171" s="141">
        <f>COUNTIF(X1171:AN1171,"&lt;&gt;0")</f>
        <v>1</v>
      </c>
      <c r="BB1171">
        <f>COUNTIF(X1171:AE1171,"&lt;&gt;0")</f>
        <v>1</v>
      </c>
      <c r="BC1171">
        <f>COUNTIF(AF1171:AK1171,"&lt;&gt;0")</f>
        <v>0</v>
      </c>
      <c r="BD1171">
        <f>COUNTIF(AL1171:AN1171,"&lt;&gt;0")</f>
        <v>0</v>
      </c>
      <c r="BE1171">
        <f>COUNTIF(AU1171:AY1171,"&lt;&gt;0")</f>
        <v>0</v>
      </c>
      <c r="BF1171">
        <f>COUNTIF(AO1171:AT1171,"&lt;&gt;0")</f>
        <v>0</v>
      </c>
      <c r="BG1171" t="str">
        <f t="array" ref="BG1171">IF(BA1171=1,INDEX($X$7:$AN$7,MATCH(TRUE,INDEX($X1171:$AY1171&lt;&gt;0,),0)),IF(BA1171=0,INDEX($AO$7:$AY$7,MATCH(1,$AO1171:$AY1171,0)),IF(BH1171="Multiple strategies","mixed drivers",IF(BH1171="Supply chain","multiple supply","multiple silviculture"))))</f>
        <v>site fertility</v>
      </c>
      <c r="BH1171" s="2" t="str" cm="1">
        <f t="array" ref="BH1171">IF(COUNTIF(BB1171:BD1171,"&lt;&gt;0")=1,INDEX($X$4:$AY$4,MATCH(TRUE,INDEX($X1171:$AY1171&lt;&gt;0,),0)),IF(COUNTIF(BB1171:BD1171,"&lt;&gt;0")=0,INDEX($AO$4:$AY$4,MATCH(1,$AO1171:$AY1171,0)),"Multiple strategies"))</f>
        <v>Silviculture for productivity</v>
      </c>
      <c r="BI1171" s="1" t="s">
        <v>321</v>
      </c>
      <c r="BK1171" s="260" t="s">
        <v>978</v>
      </c>
      <c r="BL1171" t="s">
        <v>1865</v>
      </c>
      <c r="BM1171">
        <v>0</v>
      </c>
      <c r="BN1171">
        <v>6788</v>
      </c>
      <c r="BO1171" t="str">
        <f>IFERROR(BN1171/BM1171,"")</f>
        <v/>
      </c>
      <c r="BP1171">
        <f>BN1171-BM1171</f>
        <v>6788</v>
      </c>
      <c r="BQ1171">
        <f>BP1171*tC_to_m3</f>
        <v>29474.598349978292</v>
      </c>
      <c r="BR1171" t="s">
        <v>232</v>
      </c>
      <c r="BS1171" t="s">
        <v>424</v>
      </c>
      <c r="BT1171" t="s">
        <v>1870</v>
      </c>
      <c r="BW1171" s="144"/>
      <c r="BX1171">
        <v>-0.21</v>
      </c>
      <c r="BZ1171">
        <f>BX1171</f>
        <v>-0.21</v>
      </c>
      <c r="CA1171">
        <f>IFERROR(BZ1171/BQ1171,"")</f>
        <v>-7.1247790218031812E-6</v>
      </c>
      <c r="CB1171">
        <v>0</v>
      </c>
      <c r="CC1171">
        <v>0</v>
      </c>
      <c r="CD1171">
        <v>0</v>
      </c>
      <c r="CE1171">
        <v>0</v>
      </c>
      <c r="CF1171">
        <v>0</v>
      </c>
      <c r="CG1171">
        <v>0</v>
      </c>
      <c r="CH1171">
        <v>0</v>
      </c>
      <c r="CI1171">
        <v>0</v>
      </c>
      <c r="CJ1171">
        <v>0</v>
      </c>
      <c r="CK1171">
        <v>0</v>
      </c>
      <c r="CL1171">
        <v>0</v>
      </c>
      <c r="CM1171">
        <v>0</v>
      </c>
      <c r="CN1171">
        <v>0</v>
      </c>
      <c r="CO1171">
        <v>0</v>
      </c>
      <c r="CP1171" t="str">
        <f>IF($BN1171&lt;$BM1171,"refNeedCorrection","refOK")</f>
        <v>refOK</v>
      </c>
      <c r="CQ1171">
        <f>IF($CP1171="refOK",$BM1171,$BN1171)</f>
        <v>0</v>
      </c>
      <c r="CR1171">
        <f>IF($CP1171="refOK",$BN1171,$BM1171)</f>
        <v>6788</v>
      </c>
      <c r="CS1171">
        <f>IF($CP1171="refOK",$BQ1171,-$BQ1171)</f>
        <v>29474.598349978292</v>
      </c>
      <c r="CT1171">
        <f>IF(BI1171="Roundwood",$CS1171/2,$CS1171)</f>
        <v>14737.299174989146</v>
      </c>
      <c r="CU1171">
        <f>IF($CP1171="refOK",$BU1171,$BV1171)*IF($BR1171="Emissions positive",-1,1)</f>
        <v>0</v>
      </c>
      <c r="CV1171">
        <f>IF($CP1171="refOK",$BV1171,$BU1171)*IF($BR1171="Emissions positive",-1,1)</f>
        <v>0</v>
      </c>
      <c r="CW1171">
        <f>IF($CP1171="refNeedCorrection",-BZ1171,BZ1171)*IF($BR1171="Emissions positive",-1,1)</f>
        <v>-0.21</v>
      </c>
      <c r="CX1171">
        <f>IFERROR($CW1171/$CS1171,"")</f>
        <v>-7.1247790218031812E-6</v>
      </c>
      <c r="CY1171">
        <f>IFERROR($CW1171/$CS1171,"")</f>
        <v>-7.1247790218031812E-6</v>
      </c>
      <c r="CZ1171">
        <f>IFERROR($CW1171/$CT1171,"")</f>
        <v>-1.4249558043606362E-5</v>
      </c>
      <c r="DA1171" s="2" t="str">
        <f>IFERROR((CV1171-CU1171)/ABS(CU1171),"")</f>
        <v/>
      </c>
      <c r="DB1171" s="1" t="s">
        <v>1843</v>
      </c>
      <c r="DC1171" t="str">
        <f>IF(OR($DB1171="prd",$DB1171="std",$DB1171="cit"),"loc",IF(OR($DB1171="eur",$DB1171="reg",$DB1171="coy"),"reg",$DB1171))</f>
        <v>reg</v>
      </c>
      <c r="DD1171" t="s">
        <v>1867</v>
      </c>
      <c r="DE1171">
        <v>2021</v>
      </c>
      <c r="DF1171">
        <v>2050</v>
      </c>
      <c r="DG1171">
        <f>DF1171-DE1171</f>
        <v>29</v>
      </c>
      <c r="DH1171" t="str">
        <f>IF(DG1171=0,"0",IF(AND(DG1171&gt;=1,DG1171&lt;=30),"1-30",IF(AND(DG1171&gt;30,DG1171&lt;=70),"31-70",IF(AND(DG1171&gt;70,DG1171&lt;=100),"71-100",IF(DG1171&gt;100,"+100")))))</f>
        <v>1-30</v>
      </c>
      <c r="DI1171">
        <v>0</v>
      </c>
      <c r="DJ1171">
        <v>0</v>
      </c>
      <c r="DK1171">
        <v>0</v>
      </c>
      <c r="DL1171">
        <v>1</v>
      </c>
      <c r="DM1171">
        <v>0</v>
      </c>
      <c r="DN1171">
        <f>SUM(DI1171:DL1171)</f>
        <v>1</v>
      </c>
      <c r="DO1171" t="str">
        <f>IF(DN1171=1,INDEX($DI$7:$DL$7,MATCH(1,$DI1171:$DL1171,0)),"mixedProduct")</f>
        <v>TimberInput</v>
      </c>
      <c r="DP1171">
        <f>IF(DI1171=1,DP$7,0)</f>
        <v>0</v>
      </c>
      <c r="DQ1171">
        <f>IF(DJ1171=1,DQ$7,0)</f>
        <v>0</v>
      </c>
      <c r="DR1171">
        <f>IF(DK1171=1,DR$7,0)</f>
        <v>0</v>
      </c>
      <c r="DS1171" t="str">
        <f>IF(DL1171=1,DS$7,0)</f>
        <v>Timber</v>
      </c>
      <c r="DT1171">
        <v>0</v>
      </c>
      <c r="DU1171">
        <v>1</v>
      </c>
      <c r="DX1171" s="183" t="s">
        <v>1868</v>
      </c>
      <c r="DY1171"/>
      <c r="DZ1171" s="143" t="str">
        <f>IF(DT1171=1,"self-calculated DF",IF(DU1171=1,"external DF used","explicit C balance"))</f>
        <v>external DF used</v>
      </c>
      <c r="EA1171">
        <v>1</v>
      </c>
      <c r="EB1171">
        <v>1</v>
      </c>
      <c r="EC1171">
        <v>1</v>
      </c>
      <c r="ED1171">
        <v>1</v>
      </c>
      <c r="EE1171">
        <v>1</v>
      </c>
      <c r="EF1171">
        <v>1</v>
      </c>
      <c r="EG1171">
        <v>0</v>
      </c>
      <c r="EH1171">
        <v>0</v>
      </c>
      <c r="EI1171">
        <v>0</v>
      </c>
      <c r="EJ1171">
        <v>0</v>
      </c>
      <c r="EK1171">
        <v>1</v>
      </c>
      <c r="EL1171">
        <v>0</v>
      </c>
      <c r="EM1171">
        <v>1</v>
      </c>
      <c r="EN1171" s="2">
        <v>0</v>
      </c>
      <c r="EP1171" t="str">
        <f>IF(AND(AND(AND(OR($EC1171=1,$EB1171=1),OR($EH1171=1,$EF1171=1)),SUM($EA1171:$EE1171,$EK1171)&gt;=3),SUM($EF1171:$EJ1171)&gt;=2),"Whole sector approach","")</f>
        <v/>
      </c>
      <c r="EQ1171" t="str">
        <f>IF(AND(AND(OR($EC1171=1,$EB1171=1),AND($EH1171=0,$EF1171=0)),SUM($EA1171:$EE1171,$EK1171)&gt;=4),"Ecosystem approach","")</f>
        <v/>
      </c>
      <c r="ER1171" s="2" t="str">
        <f>IF(AND(AND(AND($EC1171=0,$EB1171=0),OR($EH1171=1,$EF1171=1)),SUM($EG1171:$EJ1171)&gt;=2),"Technology approach","")</f>
        <v/>
      </c>
      <c r="ES1171" t="str">
        <f>IF(AND($EC1171+$EB1171+$EE1171+$EA1171+$ED1171+$EG1171=0,$N1171="included"),"C neutral forest and HWP assumption","")</f>
        <v/>
      </c>
      <c r="ET1171" t="str">
        <f>IF(AND(AND(AND(AND($EC1171=1,$EB1171+$EA1171+$EG1171&gt;=1),$EF1171=1),$EH1171+$EI1171+$ED1171+$EE1171&gt;=2),$N1171="included"),"All C pools assumption","")</f>
        <v>All C pools assumption</v>
      </c>
      <c r="EU1171" t="str">
        <f>IF(AND($ED1171+$EE1171+$EI1171+$EH1171+$EF1171=0,$N1171="included"),"In-situ only assumption","")</f>
        <v/>
      </c>
      <c r="EY1171" t="str">
        <f>IF(ISNUMBER(BW1171),IF(ABS(BW1171-[2]QC_indicators!$B$2)&gt;3*[2]QC_indicators!$C$2,"C ratio",IF(ISNUMBER(CA1171),IF(ABS(CA1171-[2]QC_indicators!$B$1)&gt;3*[2]QC_indicators!$C$1,"DF","no"))),IF(ISNUMBER(CA1171),IF(ABS(CA1171-[2]QC_indicators!$B$1)&gt;3*[2]QC_indicators!$C$1,"DF","no")))</f>
        <v>no</v>
      </c>
      <c r="FA1171" t="str">
        <f>IF(LEN($CY1171)=0,"",IF(AND($CY1171&lt;(-0.05),$ES1171="C neutral forest and HWP assumption"),"Cneutral paradox",IF(AND($CY1171&gt;0.05,$EU1171="In-situ only assumption"),"In-situ only paradox","")))</f>
        <v/>
      </c>
      <c r="FD1171" s="260" t="s">
        <v>2948</v>
      </c>
    </row>
    <row r="1172" spans="4:160" ht="15" hidden="1" customHeight="1">
      <c r="D1172" t="s">
        <v>1859</v>
      </c>
      <c r="E1172" t="s">
        <v>1860</v>
      </c>
      <c r="G1172" t="s">
        <v>1861</v>
      </c>
      <c r="I1172">
        <v>2018</v>
      </c>
      <c r="K1172" s="150" t="s">
        <v>1862</v>
      </c>
      <c r="M1172" t="str">
        <f>LEFT($D1172,FIND(",",$D1172)-1)&amp;"_"&amp;I1172&amp;L1172</f>
        <v>Olguin_2018</v>
      </c>
      <c r="N1172" t="s">
        <v>222</v>
      </c>
      <c r="O1172" s="157" t="s">
        <v>274</v>
      </c>
      <c r="P1172" t="s">
        <v>508</v>
      </c>
      <c r="Q1172" t="s">
        <v>389</v>
      </c>
      <c r="R1172" s="258" t="s">
        <v>223</v>
      </c>
      <c r="S1172" s="259" t="s">
        <v>2880</v>
      </c>
      <c r="T1172" t="s">
        <v>1863</v>
      </c>
      <c r="U1172" t="s">
        <v>1872</v>
      </c>
      <c r="V1172" s="253">
        <v>0</v>
      </c>
      <c r="W1172" s="253">
        <v>0</v>
      </c>
      <c r="X1172">
        <v>0</v>
      </c>
      <c r="Y1172">
        <v>0</v>
      </c>
      <c r="Z1172">
        <v>0</v>
      </c>
      <c r="AA1172">
        <v>0</v>
      </c>
      <c r="AB1172">
        <v>0</v>
      </c>
      <c r="AC1172">
        <v>0</v>
      </c>
      <c r="AD1172">
        <v>0</v>
      </c>
      <c r="AE1172">
        <v>1</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s="141">
        <f>COUNTIF(X1172:AY1172,"&lt;&gt;0")</f>
        <v>1</v>
      </c>
      <c r="BA1172" s="141">
        <f>COUNTIF(X1172:AN1172,"&lt;&gt;0")</f>
        <v>1</v>
      </c>
      <c r="BB1172">
        <f>COUNTIF(X1172:AE1172,"&lt;&gt;0")</f>
        <v>1</v>
      </c>
      <c r="BC1172">
        <f>COUNTIF(AF1172:AK1172,"&lt;&gt;0")</f>
        <v>0</v>
      </c>
      <c r="BD1172">
        <f>COUNTIF(AL1172:AN1172,"&lt;&gt;0")</f>
        <v>0</v>
      </c>
      <c r="BE1172">
        <f>COUNTIF(AU1172:AY1172,"&lt;&gt;0")</f>
        <v>0</v>
      </c>
      <c r="BF1172">
        <f>COUNTIF(AO1172:AT1172,"&lt;&gt;0")</f>
        <v>0</v>
      </c>
      <c r="BG1172" t="str">
        <f t="array" ref="BG1172">IF(BA1172=1,INDEX($X$7:$AN$7,MATCH(TRUE,INDEX($X1172:$AY1172&lt;&gt;0,),0)),IF(BA1172=0,INDEX($AO$7:$AY$7,MATCH(1,$AO1172:$AY1172,0)),IF(BH1172="Multiple strategies","mixed drivers",IF(BH1172="Supply chain","multiple supply","multiple silviculture"))))</f>
        <v>site fertility</v>
      </c>
      <c r="BH1172" s="2" t="str" cm="1">
        <f t="array" ref="BH1172">IF(COUNTIF(BB1172:BD1172,"&lt;&gt;0")=1,INDEX($X$4:$AY$4,MATCH(TRUE,INDEX($X1172:$AY1172&lt;&gt;0,),0)),IF(COUNTIF(BB1172:BD1172,"&lt;&gt;0")=0,INDEX($AO$4:$AY$4,MATCH(1,$AO1172:$AY1172,0)),"Multiple strategies"))</f>
        <v>Silviculture for productivity</v>
      </c>
      <c r="BI1172" s="1" t="s">
        <v>321</v>
      </c>
      <c r="BK1172" s="260" t="s">
        <v>978</v>
      </c>
      <c r="BL1172" t="s">
        <v>1865</v>
      </c>
      <c r="BM1172">
        <v>0</v>
      </c>
      <c r="BN1172">
        <v>6788</v>
      </c>
      <c r="BO1172" t="str">
        <f>IFERROR(BN1172/BM1172,"")</f>
        <v/>
      </c>
      <c r="BP1172">
        <f>BN1172-BM1172</f>
        <v>6788</v>
      </c>
      <c r="BQ1172">
        <f>BP1172*tC_to_m3</f>
        <v>29474.598349978292</v>
      </c>
      <c r="BR1172" t="s">
        <v>232</v>
      </c>
      <c r="BS1172" t="s">
        <v>424</v>
      </c>
      <c r="BT1172" t="s">
        <v>1870</v>
      </c>
      <c r="BW1172" s="144"/>
      <c r="BX1172">
        <v>-0.23</v>
      </c>
      <c r="BZ1172">
        <f>BX1172</f>
        <v>-0.23</v>
      </c>
      <c r="CA1172">
        <f>IFERROR(BZ1172/BQ1172,"")</f>
        <v>-7.8033294048320564E-6</v>
      </c>
      <c r="CB1172">
        <v>0</v>
      </c>
      <c r="CC1172">
        <v>0</v>
      </c>
      <c r="CD1172">
        <v>0</v>
      </c>
      <c r="CE1172">
        <v>0</v>
      </c>
      <c r="CF1172">
        <v>0</v>
      </c>
      <c r="CG1172">
        <v>0</v>
      </c>
      <c r="CH1172">
        <v>0</v>
      </c>
      <c r="CI1172">
        <v>0</v>
      </c>
      <c r="CJ1172">
        <v>0</v>
      </c>
      <c r="CK1172">
        <v>0</v>
      </c>
      <c r="CL1172">
        <v>0</v>
      </c>
      <c r="CM1172">
        <v>0</v>
      </c>
      <c r="CN1172">
        <v>0</v>
      </c>
      <c r="CO1172">
        <v>0</v>
      </c>
      <c r="CP1172" t="str">
        <f>IF($BN1172&lt;$BM1172,"refNeedCorrection","refOK")</f>
        <v>refOK</v>
      </c>
      <c r="CQ1172">
        <f>IF($CP1172="refOK",$BM1172,$BN1172)</f>
        <v>0</v>
      </c>
      <c r="CR1172">
        <f>IF($CP1172="refOK",$BN1172,$BM1172)</f>
        <v>6788</v>
      </c>
      <c r="CS1172">
        <f>IF($CP1172="refOK",$BQ1172,-$BQ1172)</f>
        <v>29474.598349978292</v>
      </c>
      <c r="CT1172">
        <f>IF(BI1172="Roundwood",$CS1172/2,$CS1172)</f>
        <v>14737.299174989146</v>
      </c>
      <c r="CU1172">
        <f>IF($CP1172="refOK",$BU1172,$BV1172)*IF($BR1172="Emissions positive",-1,1)</f>
        <v>0</v>
      </c>
      <c r="CV1172">
        <f>IF($CP1172="refOK",$BV1172,$BU1172)*IF($BR1172="Emissions positive",-1,1)</f>
        <v>0</v>
      </c>
      <c r="CW1172">
        <f>IF($CP1172="refNeedCorrection",-BZ1172,BZ1172)*IF($BR1172="Emissions positive",-1,1)</f>
        <v>-0.23</v>
      </c>
      <c r="CX1172">
        <f>IFERROR($CW1172/$CS1172,"")</f>
        <v>-7.8033294048320564E-6</v>
      </c>
      <c r="CY1172">
        <f>IFERROR($CW1172/$CS1172,"")</f>
        <v>-7.8033294048320564E-6</v>
      </c>
      <c r="CZ1172">
        <f>IFERROR($CW1172/$CT1172,"")</f>
        <v>-1.5606658809664113E-5</v>
      </c>
      <c r="DA1172" s="2" t="str">
        <f>IFERROR((CV1172-CU1172)/ABS(CU1172),"")</f>
        <v/>
      </c>
      <c r="DB1172" s="1" t="s">
        <v>1843</v>
      </c>
      <c r="DC1172" t="str">
        <f>IF(OR($DB1172="prd",$DB1172="std",$DB1172="cit"),"loc",IF(OR($DB1172="eur",$DB1172="reg",$DB1172="coy"),"reg",$DB1172))</f>
        <v>reg</v>
      </c>
      <c r="DD1172" t="s">
        <v>1867</v>
      </c>
      <c r="DE1172">
        <v>2021</v>
      </c>
      <c r="DF1172">
        <v>2050</v>
      </c>
      <c r="DG1172">
        <f>DF1172-DE1172</f>
        <v>29</v>
      </c>
      <c r="DH1172" t="str">
        <f>IF(DG1172=0,"0",IF(AND(DG1172&gt;=1,DG1172&lt;=30),"1-30",IF(AND(DG1172&gt;30,DG1172&lt;=70),"31-70",IF(AND(DG1172&gt;70,DG1172&lt;=100),"71-100",IF(DG1172&gt;100,"+100")))))</f>
        <v>1-30</v>
      </c>
      <c r="DI1172">
        <v>0</v>
      </c>
      <c r="DJ1172">
        <v>0</v>
      </c>
      <c r="DK1172">
        <v>0</v>
      </c>
      <c r="DL1172">
        <v>1</v>
      </c>
      <c r="DM1172">
        <v>0</v>
      </c>
      <c r="DN1172">
        <f>SUM(DI1172:DL1172)</f>
        <v>1</v>
      </c>
      <c r="DO1172" t="str">
        <f>IF(DN1172=1,INDEX($DI$7:$DL$7,MATCH(1,$DI1172:$DL1172,0)),"mixedProduct")</f>
        <v>TimberInput</v>
      </c>
      <c r="DP1172">
        <f>IF(DI1172=1,DP$7,0)</f>
        <v>0</v>
      </c>
      <c r="DQ1172">
        <f>IF(DJ1172=1,DQ$7,0)</f>
        <v>0</v>
      </c>
      <c r="DR1172">
        <f>IF(DK1172=1,DR$7,0)</f>
        <v>0</v>
      </c>
      <c r="DS1172" t="str">
        <f>IF(DL1172=1,DS$7,0)</f>
        <v>Timber</v>
      </c>
      <c r="DT1172">
        <v>0</v>
      </c>
      <c r="DU1172">
        <v>1</v>
      </c>
      <c r="DX1172" s="183" t="s">
        <v>1873</v>
      </c>
      <c r="DY1172"/>
      <c r="DZ1172" s="143" t="str">
        <f>IF(DT1172=1,"self-calculated DF",IF(DU1172=1,"external DF used","explicit C balance"))</f>
        <v>external DF used</v>
      </c>
      <c r="EA1172">
        <v>1</v>
      </c>
      <c r="EB1172">
        <v>1</v>
      </c>
      <c r="EC1172">
        <v>1</v>
      </c>
      <c r="ED1172">
        <v>1</v>
      </c>
      <c r="EE1172">
        <v>1</v>
      </c>
      <c r="EF1172">
        <v>1</v>
      </c>
      <c r="EG1172">
        <v>0</v>
      </c>
      <c r="EH1172">
        <v>0</v>
      </c>
      <c r="EI1172">
        <v>0</v>
      </c>
      <c r="EJ1172">
        <v>0</v>
      </c>
      <c r="EK1172">
        <v>1</v>
      </c>
      <c r="EL1172">
        <v>0</v>
      </c>
      <c r="EM1172">
        <v>1</v>
      </c>
      <c r="EN1172" s="2">
        <v>0</v>
      </c>
      <c r="EP1172" t="str">
        <f>IF(AND(AND(AND(OR($EC1172=1,$EB1172=1),OR($EH1172=1,$EF1172=1)),SUM($EA1172:$EE1172,$EK1172)&gt;=3),SUM($EF1172:$EJ1172)&gt;=2),"Whole sector approach","")</f>
        <v/>
      </c>
      <c r="EQ1172" t="str">
        <f>IF(AND(AND(OR($EC1172=1,$EB1172=1),AND($EH1172=0,$EF1172=0)),SUM($EA1172:$EE1172,$EK1172)&gt;=4),"Ecosystem approach","")</f>
        <v/>
      </c>
      <c r="ER1172" s="2" t="str">
        <f>IF(AND(AND(AND($EC1172=0,$EB1172=0),OR($EH1172=1,$EF1172=1)),SUM($EG1172:$EJ1172)&gt;=2),"Technology approach","")</f>
        <v/>
      </c>
      <c r="ES1172" t="str">
        <f>IF(AND($EC1172+$EB1172+$EE1172+$EA1172+$ED1172+$EG1172=0,$N1172="included"),"C neutral forest and HWP assumption","")</f>
        <v/>
      </c>
      <c r="ET1172" t="str">
        <f>IF(AND(AND(AND(AND($EC1172=1,$EB1172+$EA1172+$EG1172&gt;=1),$EF1172=1),$EH1172+$EI1172+$ED1172+$EE1172&gt;=2),$N1172="included"),"All C pools assumption","")</f>
        <v>All C pools assumption</v>
      </c>
      <c r="EU1172" t="str">
        <f>IF(AND($ED1172+$EE1172+$EI1172+$EH1172+$EF1172=0,$N1172="included"),"In-situ only assumption","")</f>
        <v/>
      </c>
      <c r="EY1172" t="str">
        <f>IF(ISNUMBER(BW1172),IF(ABS(BW1172-[2]QC_indicators!$B$2)&gt;3*[2]QC_indicators!$C$2,"C ratio",IF(ISNUMBER(CA1172),IF(ABS(CA1172-[2]QC_indicators!$B$1)&gt;3*[2]QC_indicators!$C$1,"DF","no"))),IF(ISNUMBER(CA1172),IF(ABS(CA1172-[2]QC_indicators!$B$1)&gt;3*[2]QC_indicators!$C$1,"DF","no")))</f>
        <v>no</v>
      </c>
      <c r="FA1172" t="str">
        <f>IF(LEN($CY1172)=0,"",IF(AND($CY1172&lt;(-0.05),$ES1172="C neutral forest and HWP assumption"),"Cneutral paradox",IF(AND($CY1172&gt;0.05,$EU1172="In-situ only assumption"),"In-situ only paradox","")))</f>
        <v/>
      </c>
      <c r="FD1172" s="260" t="s">
        <v>2948</v>
      </c>
    </row>
    <row r="1173" spans="4:160" ht="15" hidden="1" customHeight="1">
      <c r="D1173" t="s">
        <v>1859</v>
      </c>
      <c r="E1173" t="s">
        <v>1860</v>
      </c>
      <c r="G1173" t="s">
        <v>1861</v>
      </c>
      <c r="I1173">
        <v>2018</v>
      </c>
      <c r="K1173" s="150" t="s">
        <v>1862</v>
      </c>
      <c r="M1173" t="str">
        <f>LEFT($D1173,FIND(",",$D1173)-1)&amp;"_"&amp;I1173&amp;L1173</f>
        <v>Olguin_2018</v>
      </c>
      <c r="N1173" t="s">
        <v>222</v>
      </c>
      <c r="O1173" s="157" t="s">
        <v>274</v>
      </c>
      <c r="P1173" t="s">
        <v>508</v>
      </c>
      <c r="Q1173" t="s">
        <v>389</v>
      </c>
      <c r="R1173" s="258" t="s">
        <v>223</v>
      </c>
      <c r="S1173" s="259" t="s">
        <v>2870</v>
      </c>
      <c r="T1173" t="s">
        <v>1863</v>
      </c>
      <c r="U1173" t="s">
        <v>1864</v>
      </c>
      <c r="V1173" s="253">
        <v>0</v>
      </c>
      <c r="W1173" s="253">
        <v>0</v>
      </c>
      <c r="X1173">
        <v>0</v>
      </c>
      <c r="Y1173">
        <v>0</v>
      </c>
      <c r="Z1173">
        <v>0</v>
      </c>
      <c r="AA1173">
        <v>0</v>
      </c>
      <c r="AB1173">
        <v>0</v>
      </c>
      <c r="AC1173">
        <v>0</v>
      </c>
      <c r="AD1173">
        <v>0</v>
      </c>
      <c r="AE1173">
        <v>1</v>
      </c>
      <c r="AF1173">
        <v>0</v>
      </c>
      <c r="AG1173">
        <v>0</v>
      </c>
      <c r="AH1173">
        <v>1</v>
      </c>
      <c r="AI1173">
        <v>0</v>
      </c>
      <c r="AJ1173">
        <v>0</v>
      </c>
      <c r="AK1173">
        <v>0</v>
      </c>
      <c r="AL1173">
        <v>0</v>
      </c>
      <c r="AM1173">
        <v>0</v>
      </c>
      <c r="AN1173">
        <v>0</v>
      </c>
      <c r="AO1173">
        <v>0</v>
      </c>
      <c r="AP1173">
        <v>0</v>
      </c>
      <c r="AQ1173">
        <v>0</v>
      </c>
      <c r="AR1173">
        <v>0</v>
      </c>
      <c r="AS1173">
        <v>0</v>
      </c>
      <c r="AT1173">
        <v>0</v>
      </c>
      <c r="AU1173">
        <v>0</v>
      </c>
      <c r="AV1173">
        <v>0</v>
      </c>
      <c r="AW1173">
        <v>0</v>
      </c>
      <c r="AX1173">
        <v>0</v>
      </c>
      <c r="AY1173">
        <v>0</v>
      </c>
      <c r="AZ1173" s="141">
        <f>COUNTIF(X1173:AY1173,"&lt;&gt;0")</f>
        <v>2</v>
      </c>
      <c r="BA1173" s="141">
        <f>COUNTIF(X1173:AN1173,"&lt;&gt;0")</f>
        <v>2</v>
      </c>
      <c r="BB1173">
        <f>COUNTIF(X1173:AE1173,"&lt;&gt;0")</f>
        <v>1</v>
      </c>
      <c r="BC1173">
        <f>COUNTIF(AF1173:AK1173,"&lt;&gt;0")</f>
        <v>1</v>
      </c>
      <c r="BD1173">
        <f>COUNTIF(AL1173:AN1173,"&lt;&gt;0")</f>
        <v>0</v>
      </c>
      <c r="BE1173">
        <f>COUNTIF(AU1173:AY1173,"&lt;&gt;0")</f>
        <v>0</v>
      </c>
      <c r="BF1173">
        <f>COUNTIF(AO1173:AT1173,"&lt;&gt;0")</f>
        <v>0</v>
      </c>
      <c r="BG1173" t="str">
        <f t="array" ref="BG1173">IF(BA1173=1,INDEX($X$7:$AN$7,MATCH(TRUE,INDEX($X1173:$AY1173&lt;&gt;0,),0)),IF(BA1173=0,INDEX($AO$7:$AY$7,MATCH(1,$AO1173:$AY1173,0)),IF(BH1173="Multiple strategies","mixed drivers",IF(BH1173="Supply chain","multiple supply","multiple silviculture"))))</f>
        <v>mixed drivers</v>
      </c>
      <c r="BH1173" s="2" t="str" cm="1">
        <f t="array" ref="BH1173">IF(COUNTIF(BB1173:BD1173,"&lt;&gt;0")=1,INDEX($X$4:$AY$4,MATCH(TRUE,INDEX($X1173:$AY1173&lt;&gt;0,),0)),IF(COUNTIF(BB1173:BD1173,"&lt;&gt;0")=0,INDEX($AO$4:$AY$4,MATCH(1,$AO1173:$AY1173,0)),"Multiple strategies"))</f>
        <v>Multiple strategies</v>
      </c>
      <c r="BI1173" s="1" t="s">
        <v>321</v>
      </c>
      <c r="BK1173" s="260" t="s">
        <v>978</v>
      </c>
      <c r="BL1173" t="s">
        <v>1865</v>
      </c>
      <c r="BM1173">
        <v>0</v>
      </c>
      <c r="BN1173">
        <v>6788</v>
      </c>
      <c r="BO1173" t="str">
        <f>IFERROR(BN1173/BM1173,"")</f>
        <v/>
      </c>
      <c r="BP1173">
        <f>BN1173-BM1173</f>
        <v>6788</v>
      </c>
      <c r="BQ1173">
        <f>BP1173*tC_to_m3</f>
        <v>29474.598349978292</v>
      </c>
      <c r="BR1173" t="s">
        <v>232</v>
      </c>
      <c r="BS1173" t="s">
        <v>424</v>
      </c>
      <c r="BT1173" t="s">
        <v>1870</v>
      </c>
      <c r="BW1173" s="144"/>
      <c r="BX1173">
        <v>0.03</v>
      </c>
      <c r="BZ1173">
        <f>BX1173*10^6</f>
        <v>30000</v>
      </c>
      <c r="CA1173">
        <f>IFERROR(BZ1173/BQ1173,"")</f>
        <v>1.0178255745433116</v>
      </c>
      <c r="CB1173">
        <v>0</v>
      </c>
      <c r="CC1173">
        <v>0</v>
      </c>
      <c r="CD1173">
        <v>0</v>
      </c>
      <c r="CE1173">
        <v>0</v>
      </c>
      <c r="CF1173">
        <v>0</v>
      </c>
      <c r="CG1173">
        <v>0</v>
      </c>
      <c r="CH1173">
        <v>0</v>
      </c>
      <c r="CI1173">
        <v>0</v>
      </c>
      <c r="CJ1173">
        <v>0</v>
      </c>
      <c r="CK1173">
        <v>0</v>
      </c>
      <c r="CL1173">
        <v>0</v>
      </c>
      <c r="CM1173">
        <v>0</v>
      </c>
      <c r="CN1173">
        <v>0</v>
      </c>
      <c r="CO1173">
        <v>0</v>
      </c>
      <c r="CP1173" t="str">
        <f>IF($BN1173&lt;$BM1173,"refNeedCorrection","refOK")</f>
        <v>refOK</v>
      </c>
      <c r="CQ1173">
        <f>IF($CP1173="refOK",$BM1173,$BN1173)</f>
        <v>0</v>
      </c>
      <c r="CR1173">
        <f>IF($CP1173="refOK",$BN1173,$BM1173)</f>
        <v>6788</v>
      </c>
      <c r="CS1173">
        <f>IF($CP1173="refOK",$BQ1173,-$BQ1173)</f>
        <v>29474.598349978292</v>
      </c>
      <c r="CT1173">
        <f>IF(BI1173="Roundwood",$CS1173/2,$CS1173)</f>
        <v>14737.299174989146</v>
      </c>
      <c r="CU1173">
        <f>IF($CP1173="refOK",$BU1173,$BV1173)*IF($BR1173="Emissions positive",-1,1)</f>
        <v>0</v>
      </c>
      <c r="CV1173">
        <f>IF($CP1173="refOK",$BV1173,$BU1173)*IF($BR1173="Emissions positive",-1,1)</f>
        <v>0</v>
      </c>
      <c r="CW1173">
        <f>IF($CP1173="refNeedCorrection",-BZ1173,BZ1173)*IF($BR1173="Emissions positive",-1,1)</f>
        <v>30000</v>
      </c>
      <c r="CX1173">
        <f>IFERROR($CW1173/$CS1173,"")</f>
        <v>1.0178255745433116</v>
      </c>
      <c r="CY1173">
        <f>IFERROR($CW1173/$CS1173,"")</f>
        <v>1.0178255745433116</v>
      </c>
      <c r="CZ1173">
        <f>IFERROR($CW1173/$CT1173,"")</f>
        <v>2.0356511490866231</v>
      </c>
      <c r="DA1173" s="2" t="str">
        <f>IFERROR((CV1173-CU1173)/ABS(CU1173),"")</f>
        <v/>
      </c>
      <c r="DB1173" s="1" t="s">
        <v>1843</v>
      </c>
      <c r="DC1173" t="str">
        <f>IF(OR($DB1173="prd",$DB1173="std",$DB1173="cit"),"loc",IF(OR($DB1173="eur",$DB1173="reg",$DB1173="coy"),"reg",$DB1173))</f>
        <v>reg</v>
      </c>
      <c r="DD1173" t="s">
        <v>1867</v>
      </c>
      <c r="DE1173">
        <v>2021</v>
      </c>
      <c r="DF1173">
        <v>2030</v>
      </c>
      <c r="DG1173">
        <f>DF1173-DE1173</f>
        <v>9</v>
      </c>
      <c r="DH1173" t="str">
        <f>IF(DG1173=0,"0",IF(AND(DG1173&gt;=1,DG1173&lt;=30),"1-30",IF(AND(DG1173&gt;30,DG1173&lt;=70),"31-70",IF(AND(DG1173&gt;70,DG1173&lt;=100),"71-100",IF(DG1173&gt;100,"+100")))))</f>
        <v>1-30</v>
      </c>
      <c r="DI1173">
        <v>0</v>
      </c>
      <c r="DJ1173">
        <v>0</v>
      </c>
      <c r="DK1173">
        <v>0</v>
      </c>
      <c r="DL1173">
        <v>1</v>
      </c>
      <c r="DM1173">
        <v>0</v>
      </c>
      <c r="DN1173">
        <f>SUM(DI1173:DL1173)</f>
        <v>1</v>
      </c>
      <c r="DO1173" t="str">
        <f>IF(DN1173=1,INDEX($DI$7:$DL$7,MATCH(1,$DI1173:$DL1173,0)),"mixedProduct")</f>
        <v>TimberInput</v>
      </c>
      <c r="DP1173">
        <f>IF(DI1173=1,DP$7,0)</f>
        <v>0</v>
      </c>
      <c r="DQ1173">
        <f>IF(DJ1173=1,DQ$7,0)</f>
        <v>0</v>
      </c>
      <c r="DR1173">
        <f>IF(DK1173=1,DR$7,0)</f>
        <v>0</v>
      </c>
      <c r="DS1173" t="str">
        <f>IF(DL1173=1,DS$7,0)</f>
        <v>Timber</v>
      </c>
      <c r="DT1173">
        <v>0</v>
      </c>
      <c r="DU1173">
        <v>1</v>
      </c>
      <c r="DX1173" s="183" t="s">
        <v>1868</v>
      </c>
      <c r="DY1173"/>
      <c r="DZ1173" s="143" t="str">
        <f>IF(DT1173=1,"self-calculated DF",IF(DU1173=1,"external DF used","explicit C balance"))</f>
        <v>external DF used</v>
      </c>
      <c r="EA1173">
        <v>1</v>
      </c>
      <c r="EB1173">
        <v>1</v>
      </c>
      <c r="EC1173">
        <v>1</v>
      </c>
      <c r="ED1173">
        <v>1</v>
      </c>
      <c r="EE1173">
        <v>1</v>
      </c>
      <c r="EF1173">
        <v>1</v>
      </c>
      <c r="EG1173">
        <v>0</v>
      </c>
      <c r="EH1173">
        <v>0</v>
      </c>
      <c r="EI1173">
        <v>0</v>
      </c>
      <c r="EJ1173">
        <v>0</v>
      </c>
      <c r="EK1173">
        <v>1</v>
      </c>
      <c r="EL1173">
        <v>0</v>
      </c>
      <c r="EM1173">
        <v>1</v>
      </c>
      <c r="EN1173" s="2">
        <v>0</v>
      </c>
      <c r="EP1173" t="str">
        <f>IF(AND(AND(AND(OR($EC1173=1,$EB1173=1),OR($EH1173=1,$EF1173=1)),SUM($EA1173:$EE1173,$EK1173)&gt;=3),SUM($EF1173:$EJ1173)&gt;=2),"Whole sector approach","")</f>
        <v/>
      </c>
      <c r="EQ1173" t="str">
        <f>IF(AND(AND(OR($EC1173=1,$EB1173=1),AND($EH1173=0,$EF1173=0)),SUM($EA1173:$EE1173,$EK1173)&gt;=4),"Ecosystem approach","")</f>
        <v/>
      </c>
      <c r="ER1173" s="2" t="str">
        <f>IF(AND(AND(AND($EC1173=0,$EB1173=0),OR($EH1173=1,$EF1173=1)),SUM($EG1173:$EJ1173)&gt;=2),"Technology approach","")</f>
        <v/>
      </c>
      <c r="ES1173" t="str">
        <f>IF(AND($EC1173+$EB1173+$EE1173+$EA1173+$ED1173+$EG1173=0,$N1173="included"),"C neutral forest and HWP assumption","")</f>
        <v/>
      </c>
      <c r="ET1173" t="str">
        <f>IF(AND(AND(AND(AND($EC1173=1,$EB1173+$EA1173+$EG1173&gt;=1),$EF1173=1),$EH1173+$EI1173+$ED1173+$EE1173&gt;=2),$N1173="included"),"All C pools assumption","")</f>
        <v>All C pools assumption</v>
      </c>
      <c r="EU1173" t="str">
        <f>IF(AND($ED1173+$EE1173+$EI1173+$EH1173+$EF1173=0,$N1173="included"),"In-situ only assumption","")</f>
        <v/>
      </c>
      <c r="EY1173" t="str">
        <f>IF(ISNUMBER(BW1173),IF(ABS(BW1173-[2]QC_indicators!$B$2)&gt;3*[2]QC_indicators!$C$2,"C ratio",IF(ISNUMBER(CA1173),IF(ABS(CA1173-[2]QC_indicators!$B$1)&gt;3*[2]QC_indicators!$C$1,"DF","no"))),IF(ISNUMBER(CA1173),IF(ABS(CA1173-[2]QC_indicators!$B$1)&gt;3*[2]QC_indicators!$C$1,"DF","no")))</f>
        <v>no</v>
      </c>
      <c r="FA1173" t="str">
        <f>IF(LEN($CY1173)=0,"",IF(AND($CY1173&lt;(-0.05),$ES1173="C neutral forest and HWP assumption"),"Cneutral paradox",IF(AND($CY1173&gt;0.05,$EU1173="In-situ only assumption"),"In-situ only paradox","")))</f>
        <v/>
      </c>
      <c r="FD1173" s="260" t="s">
        <v>2948</v>
      </c>
    </row>
    <row r="1174" spans="4:160" ht="15" hidden="1" customHeight="1">
      <c r="D1174" t="s">
        <v>1859</v>
      </c>
      <c r="E1174" t="s">
        <v>1860</v>
      </c>
      <c r="G1174" t="s">
        <v>1861</v>
      </c>
      <c r="I1174">
        <v>2018</v>
      </c>
      <c r="K1174" s="150" t="s">
        <v>1862</v>
      </c>
      <c r="M1174" t="str">
        <f>LEFT($D1174,FIND(",",$D1174)-1)&amp;"_"&amp;I1174&amp;L1174</f>
        <v>Olguin_2018</v>
      </c>
      <c r="N1174" t="s">
        <v>222</v>
      </c>
      <c r="O1174" s="157" t="s">
        <v>274</v>
      </c>
      <c r="P1174" t="s">
        <v>508</v>
      </c>
      <c r="Q1174" t="s">
        <v>389</v>
      </c>
      <c r="R1174" s="258" t="s">
        <v>223</v>
      </c>
      <c r="S1174" s="259" t="s">
        <v>2871</v>
      </c>
      <c r="T1174" t="s">
        <v>1863</v>
      </c>
      <c r="U1174" t="s">
        <v>1864</v>
      </c>
      <c r="V1174" s="253">
        <v>0</v>
      </c>
      <c r="W1174" s="253">
        <v>0</v>
      </c>
      <c r="X1174">
        <v>0</v>
      </c>
      <c r="Y1174">
        <v>0</v>
      </c>
      <c r="Z1174">
        <v>0</v>
      </c>
      <c r="AA1174">
        <v>0</v>
      </c>
      <c r="AB1174">
        <v>0</v>
      </c>
      <c r="AC1174">
        <v>0</v>
      </c>
      <c r="AD1174">
        <v>0</v>
      </c>
      <c r="AE1174">
        <v>1</v>
      </c>
      <c r="AF1174">
        <v>0</v>
      </c>
      <c r="AG1174">
        <v>0</v>
      </c>
      <c r="AH1174">
        <v>1</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s="141">
        <f>COUNTIF(X1174:AY1174,"&lt;&gt;0")</f>
        <v>2</v>
      </c>
      <c r="BA1174" s="141">
        <f>COUNTIF(X1174:AN1174,"&lt;&gt;0")</f>
        <v>2</v>
      </c>
      <c r="BB1174">
        <f>COUNTIF(X1174:AE1174,"&lt;&gt;0")</f>
        <v>1</v>
      </c>
      <c r="BC1174">
        <f>COUNTIF(AF1174:AK1174,"&lt;&gt;0")</f>
        <v>1</v>
      </c>
      <c r="BD1174">
        <f>COUNTIF(AL1174:AN1174,"&lt;&gt;0")</f>
        <v>0</v>
      </c>
      <c r="BE1174">
        <f>COUNTIF(AU1174:AY1174,"&lt;&gt;0")</f>
        <v>0</v>
      </c>
      <c r="BF1174">
        <f>COUNTIF(AO1174:AT1174,"&lt;&gt;0")</f>
        <v>0</v>
      </c>
      <c r="BG1174" t="str">
        <f t="array" ref="BG1174">IF(BA1174=1,INDEX($X$7:$AN$7,MATCH(TRUE,INDEX($X1174:$AY1174&lt;&gt;0,),0)),IF(BA1174=0,INDEX($AO$7:$AY$7,MATCH(1,$AO1174:$AY1174,0)),IF(BH1174="Multiple strategies","mixed drivers",IF(BH1174="Supply chain","multiple supply","multiple silviculture"))))</f>
        <v>mixed drivers</v>
      </c>
      <c r="BH1174" s="2" t="str" cm="1">
        <f t="array" ref="BH1174">IF(COUNTIF(BB1174:BD1174,"&lt;&gt;0")=1,INDEX($X$4:$AY$4,MATCH(TRUE,INDEX($X1174:$AY1174&lt;&gt;0,),0)),IF(COUNTIF(BB1174:BD1174,"&lt;&gt;0")=0,INDEX($AO$4:$AY$4,MATCH(1,$AO1174:$AY1174,0)),"Multiple strategies"))</f>
        <v>Multiple strategies</v>
      </c>
      <c r="BI1174" s="1" t="s">
        <v>321</v>
      </c>
      <c r="BK1174" s="260" t="s">
        <v>978</v>
      </c>
      <c r="BL1174" t="s">
        <v>1865</v>
      </c>
      <c r="BM1174">
        <v>0</v>
      </c>
      <c r="BN1174">
        <v>218025</v>
      </c>
      <c r="BO1174" t="str">
        <f>IFERROR(BN1174/BM1174,"")</f>
        <v/>
      </c>
      <c r="BP1174">
        <f>BN1174-BM1174</f>
        <v>218025</v>
      </c>
      <c r="BQ1174">
        <f>BP1174*tC_to_m3</f>
        <v>946699.95657837612</v>
      </c>
      <c r="BR1174" t="s">
        <v>232</v>
      </c>
      <c r="BS1174" t="s">
        <v>424</v>
      </c>
      <c r="BT1174" t="s">
        <v>1870</v>
      </c>
      <c r="BW1174" s="144"/>
      <c r="BX1174">
        <v>0.14000000000000001</v>
      </c>
      <c r="BZ1174">
        <f>BX1174*10^6</f>
        <v>140000</v>
      </c>
      <c r="CA1174">
        <f>IFERROR(BZ1174/BQ1174,"")</f>
        <v>0.14788212360967778</v>
      </c>
      <c r="CB1174">
        <v>0</v>
      </c>
      <c r="CC1174">
        <v>0</v>
      </c>
      <c r="CD1174">
        <v>0</v>
      </c>
      <c r="CE1174">
        <v>0</v>
      </c>
      <c r="CF1174">
        <v>0</v>
      </c>
      <c r="CG1174">
        <v>0</v>
      </c>
      <c r="CH1174">
        <v>0</v>
      </c>
      <c r="CI1174">
        <v>0</v>
      </c>
      <c r="CJ1174">
        <v>0</v>
      </c>
      <c r="CK1174">
        <v>0</v>
      </c>
      <c r="CL1174">
        <v>0</v>
      </c>
      <c r="CM1174">
        <v>0</v>
      </c>
      <c r="CN1174">
        <v>0</v>
      </c>
      <c r="CO1174">
        <v>0</v>
      </c>
      <c r="CP1174" t="str">
        <f>IF($BN1174&lt;$BM1174,"refNeedCorrection","refOK")</f>
        <v>refOK</v>
      </c>
      <c r="CQ1174">
        <f>IF($CP1174="refOK",$BM1174,$BN1174)</f>
        <v>0</v>
      </c>
      <c r="CR1174">
        <f>IF($CP1174="refOK",$BN1174,$BM1174)</f>
        <v>218025</v>
      </c>
      <c r="CS1174">
        <f>IF($CP1174="refOK",$BQ1174,-$BQ1174)</f>
        <v>946699.95657837612</v>
      </c>
      <c r="CT1174">
        <f>IF(BI1174="Roundwood",$CS1174/2,$CS1174)</f>
        <v>473349.97828918806</v>
      </c>
      <c r="CU1174">
        <f>IF($CP1174="refOK",$BU1174,$BV1174)*IF($BR1174="Emissions positive",-1,1)</f>
        <v>0</v>
      </c>
      <c r="CV1174">
        <f>IF($CP1174="refOK",$BV1174,$BU1174)*IF($BR1174="Emissions positive",-1,1)</f>
        <v>0</v>
      </c>
      <c r="CW1174">
        <f>IF($CP1174="refNeedCorrection",-BZ1174,BZ1174)*IF($BR1174="Emissions positive",-1,1)</f>
        <v>140000</v>
      </c>
      <c r="CX1174">
        <f>IFERROR($CW1174/$CS1174,"")</f>
        <v>0.14788212360967778</v>
      </c>
      <c r="CY1174">
        <f>IFERROR($CW1174/$CS1174,"")</f>
        <v>0.14788212360967778</v>
      </c>
      <c r="CZ1174">
        <f>IFERROR($CW1174/$CT1174,"")</f>
        <v>0.29576424721935557</v>
      </c>
      <c r="DA1174" s="2" t="str">
        <f>IFERROR((CV1174-CU1174)/ABS(CU1174),"")</f>
        <v/>
      </c>
      <c r="DB1174" s="1" t="s">
        <v>1843</v>
      </c>
      <c r="DC1174" t="str">
        <f>IF(OR($DB1174="prd",$DB1174="std",$DB1174="cit"),"loc",IF(OR($DB1174="eur",$DB1174="reg",$DB1174="coy"),"reg",$DB1174))</f>
        <v>reg</v>
      </c>
      <c r="DD1174" t="s">
        <v>1867</v>
      </c>
      <c r="DE1174">
        <v>2021</v>
      </c>
      <c r="DF1174">
        <v>2030</v>
      </c>
      <c r="DG1174">
        <f>DF1174-DE1174</f>
        <v>9</v>
      </c>
      <c r="DH1174" t="str">
        <f>IF(DG1174=0,"0",IF(AND(DG1174&gt;=1,DG1174&lt;=30),"1-30",IF(AND(DG1174&gt;30,DG1174&lt;=70),"31-70",IF(AND(DG1174&gt;70,DG1174&lt;=100),"71-100",IF(DG1174&gt;100,"+100")))))</f>
        <v>1-30</v>
      </c>
      <c r="DI1174">
        <v>0</v>
      </c>
      <c r="DJ1174">
        <v>0</v>
      </c>
      <c r="DK1174">
        <v>0</v>
      </c>
      <c r="DL1174">
        <v>1</v>
      </c>
      <c r="DM1174">
        <v>0</v>
      </c>
      <c r="DN1174">
        <f>SUM(DI1174:DL1174)</f>
        <v>1</v>
      </c>
      <c r="DO1174" t="str">
        <f>IF(DN1174=1,INDEX($DI$7:$DL$7,MATCH(1,$DI1174:$DL1174,0)),"mixedProduct")</f>
        <v>TimberInput</v>
      </c>
      <c r="DP1174">
        <f>IF(DI1174=1,DP$7,0)</f>
        <v>0</v>
      </c>
      <c r="DQ1174">
        <f>IF(DJ1174=1,DQ$7,0)</f>
        <v>0</v>
      </c>
      <c r="DR1174">
        <f>IF(DK1174=1,DR$7,0)</f>
        <v>0</v>
      </c>
      <c r="DS1174" t="str">
        <f>IF(DL1174=1,DS$7,0)</f>
        <v>Timber</v>
      </c>
      <c r="DT1174">
        <v>0</v>
      </c>
      <c r="DU1174">
        <v>1</v>
      </c>
      <c r="DX1174" s="183" t="s">
        <v>1868</v>
      </c>
      <c r="DY1174"/>
      <c r="DZ1174" s="143" t="str">
        <f>IF(DT1174=1,"self-calculated DF",IF(DU1174=1,"external DF used","explicit C balance"))</f>
        <v>external DF used</v>
      </c>
      <c r="EA1174">
        <v>1</v>
      </c>
      <c r="EB1174">
        <v>1</v>
      </c>
      <c r="EC1174">
        <v>1</v>
      </c>
      <c r="ED1174">
        <v>1</v>
      </c>
      <c r="EE1174">
        <v>1</v>
      </c>
      <c r="EF1174">
        <v>1</v>
      </c>
      <c r="EG1174">
        <v>0</v>
      </c>
      <c r="EH1174">
        <v>0</v>
      </c>
      <c r="EI1174">
        <v>0</v>
      </c>
      <c r="EJ1174">
        <v>0</v>
      </c>
      <c r="EK1174">
        <v>1</v>
      </c>
      <c r="EL1174">
        <v>0</v>
      </c>
      <c r="EM1174">
        <v>1</v>
      </c>
      <c r="EN1174" s="2">
        <v>0</v>
      </c>
      <c r="EP1174" t="str">
        <f>IF(AND(AND(AND(OR($EC1174=1,$EB1174=1),OR($EH1174=1,$EF1174=1)),SUM($EA1174:$EE1174,$EK1174)&gt;=3),SUM($EF1174:$EJ1174)&gt;=2),"Whole sector approach","")</f>
        <v/>
      </c>
      <c r="EQ1174" t="str">
        <f>IF(AND(AND(OR($EC1174=1,$EB1174=1),AND($EH1174=0,$EF1174=0)),SUM($EA1174:$EE1174,$EK1174)&gt;=4),"Ecosystem approach","")</f>
        <v/>
      </c>
      <c r="ER1174" s="2" t="str">
        <f>IF(AND(AND(AND($EC1174=0,$EB1174=0),OR($EH1174=1,$EF1174=1)),SUM($EG1174:$EJ1174)&gt;=2),"Technology approach","")</f>
        <v/>
      </c>
      <c r="ES1174" t="str">
        <f>IF(AND($EC1174+$EB1174+$EE1174+$EA1174+$ED1174+$EG1174=0,$N1174="included"),"C neutral forest and HWP assumption","")</f>
        <v/>
      </c>
      <c r="ET1174" t="str">
        <f>IF(AND(AND(AND(AND($EC1174=1,$EB1174+$EA1174+$EG1174&gt;=1),$EF1174=1),$EH1174+$EI1174+$ED1174+$EE1174&gt;=2),$N1174="included"),"All C pools assumption","")</f>
        <v>All C pools assumption</v>
      </c>
      <c r="EU1174" t="str">
        <f>IF(AND($ED1174+$EE1174+$EI1174+$EH1174+$EF1174=0,$N1174="included"),"In-situ only assumption","")</f>
        <v/>
      </c>
      <c r="EY1174" t="str">
        <f>IF(ISNUMBER(BW1174),IF(ABS(BW1174-[2]QC_indicators!$B$2)&gt;3*[2]QC_indicators!$C$2,"C ratio",IF(ISNUMBER(CA1174),IF(ABS(CA1174-[2]QC_indicators!$B$1)&gt;3*[2]QC_indicators!$C$1,"DF","no"))),IF(ISNUMBER(CA1174),IF(ABS(CA1174-[2]QC_indicators!$B$1)&gt;3*[2]QC_indicators!$C$1,"DF","no")))</f>
        <v>no</v>
      </c>
      <c r="FA1174" t="str">
        <f>IF(LEN($CY1174)=0,"",IF(AND($CY1174&lt;(-0.05),$ES1174="C neutral forest and HWP assumption"),"Cneutral paradox",IF(AND($CY1174&gt;0.05,$EU1174="In-situ only assumption"),"In-situ only paradox","")))</f>
        <v/>
      </c>
      <c r="FD1174" s="260" t="s">
        <v>2948</v>
      </c>
    </row>
    <row r="1175" spans="4:160" ht="15" hidden="1" customHeight="1">
      <c r="D1175" t="s">
        <v>1859</v>
      </c>
      <c r="E1175" t="s">
        <v>1860</v>
      </c>
      <c r="G1175" t="s">
        <v>1861</v>
      </c>
      <c r="I1175">
        <v>2018</v>
      </c>
      <c r="K1175" s="150" t="s">
        <v>1862</v>
      </c>
      <c r="M1175" t="str">
        <f>LEFT($D1175,FIND(",",$D1175)-1)&amp;"_"&amp;I1175&amp;L1175</f>
        <v>Olguin_2018</v>
      </c>
      <c r="N1175" t="s">
        <v>222</v>
      </c>
      <c r="O1175" s="157" t="s">
        <v>274</v>
      </c>
      <c r="P1175" t="s">
        <v>508</v>
      </c>
      <c r="Q1175" t="s">
        <v>389</v>
      </c>
      <c r="R1175" s="258" t="s">
        <v>223</v>
      </c>
      <c r="S1175" s="259" t="s">
        <v>2868</v>
      </c>
      <c r="T1175" t="s">
        <v>1863</v>
      </c>
      <c r="U1175" t="s">
        <v>1869</v>
      </c>
      <c r="V1175" s="253">
        <v>0</v>
      </c>
      <c r="W1175" s="253">
        <v>0</v>
      </c>
      <c r="X1175">
        <v>0</v>
      </c>
      <c r="Y1175">
        <v>0</v>
      </c>
      <c r="Z1175">
        <v>0</v>
      </c>
      <c r="AA1175">
        <v>0</v>
      </c>
      <c r="AB1175">
        <v>0</v>
      </c>
      <c r="AC1175">
        <v>0</v>
      </c>
      <c r="AD1175">
        <v>0</v>
      </c>
      <c r="AE1175">
        <v>1</v>
      </c>
      <c r="AF1175">
        <v>0</v>
      </c>
      <c r="AG1175">
        <v>0</v>
      </c>
      <c r="AH1175">
        <v>1</v>
      </c>
      <c r="AI1175">
        <v>0</v>
      </c>
      <c r="AJ1175">
        <v>0</v>
      </c>
      <c r="AK1175">
        <v>0</v>
      </c>
      <c r="AL1175">
        <v>0</v>
      </c>
      <c r="AM1175">
        <v>0</v>
      </c>
      <c r="AN1175">
        <v>0</v>
      </c>
      <c r="AO1175">
        <v>0</v>
      </c>
      <c r="AP1175">
        <v>0</v>
      </c>
      <c r="AQ1175">
        <v>0</v>
      </c>
      <c r="AR1175">
        <v>0</v>
      </c>
      <c r="AS1175">
        <v>0</v>
      </c>
      <c r="AT1175">
        <v>0</v>
      </c>
      <c r="AU1175">
        <v>0</v>
      </c>
      <c r="AV1175">
        <v>0</v>
      </c>
      <c r="AW1175">
        <v>0</v>
      </c>
      <c r="AX1175">
        <v>0</v>
      </c>
      <c r="AY1175">
        <v>0</v>
      </c>
      <c r="AZ1175" s="141">
        <f>COUNTIF(X1175:AY1175,"&lt;&gt;0")</f>
        <v>2</v>
      </c>
      <c r="BA1175" s="141">
        <f>COUNTIF(X1175:AN1175,"&lt;&gt;0")</f>
        <v>2</v>
      </c>
      <c r="BB1175">
        <f>COUNTIF(X1175:AE1175,"&lt;&gt;0")</f>
        <v>1</v>
      </c>
      <c r="BC1175">
        <f>COUNTIF(AF1175:AK1175,"&lt;&gt;0")</f>
        <v>1</v>
      </c>
      <c r="BD1175">
        <f>COUNTIF(AL1175:AN1175,"&lt;&gt;0")</f>
        <v>0</v>
      </c>
      <c r="BE1175">
        <f>COUNTIF(AU1175:AY1175,"&lt;&gt;0")</f>
        <v>0</v>
      </c>
      <c r="BF1175">
        <f>COUNTIF(AO1175:AT1175,"&lt;&gt;0")</f>
        <v>0</v>
      </c>
      <c r="BG1175" t="str">
        <f t="array" ref="BG1175">IF(BA1175=1,INDEX($X$7:$AN$7,MATCH(TRUE,INDEX($X1175:$AY1175&lt;&gt;0,),0)),IF(BA1175=0,INDEX($AO$7:$AY$7,MATCH(1,$AO1175:$AY1175,0)),IF(BH1175="Multiple strategies","mixed drivers",IF(BH1175="Supply chain","multiple supply","multiple silviculture"))))</f>
        <v>mixed drivers</v>
      </c>
      <c r="BH1175" s="2" t="str" cm="1">
        <f t="array" ref="BH1175">IF(COUNTIF(BB1175:BD1175,"&lt;&gt;0")=1,INDEX($X$4:$AY$4,MATCH(TRUE,INDEX($X1175:$AY1175&lt;&gt;0,),0)),IF(COUNTIF(BB1175:BD1175,"&lt;&gt;0")=0,INDEX($AO$4:$AY$4,MATCH(1,$AO1175:$AY1175,0)),"Multiple strategies"))</f>
        <v>Multiple strategies</v>
      </c>
      <c r="BI1175" s="1" t="s">
        <v>321</v>
      </c>
      <c r="BK1175" s="260" t="s">
        <v>978</v>
      </c>
      <c r="BL1175" t="s">
        <v>1865</v>
      </c>
      <c r="BM1175">
        <v>0</v>
      </c>
      <c r="BN1175">
        <v>6788</v>
      </c>
      <c r="BO1175" t="str">
        <f>IFERROR(BN1175/BM1175,"")</f>
        <v/>
      </c>
      <c r="BP1175">
        <f>BN1175-BM1175</f>
        <v>6788</v>
      </c>
      <c r="BQ1175">
        <f>BP1175*tC_to_m3</f>
        <v>29474.598349978292</v>
      </c>
      <c r="BR1175" t="s">
        <v>232</v>
      </c>
      <c r="BS1175" t="s">
        <v>424</v>
      </c>
      <c r="BT1175" t="s">
        <v>1870</v>
      </c>
      <c r="BW1175" s="144"/>
      <c r="BX1175">
        <v>0.01</v>
      </c>
      <c r="BZ1175">
        <f>BX1175</f>
        <v>0.01</v>
      </c>
      <c r="CA1175">
        <f>IFERROR(BZ1175/BQ1175,"")</f>
        <v>3.3927519151443723E-7</v>
      </c>
      <c r="CB1175">
        <v>0</v>
      </c>
      <c r="CC1175">
        <v>0</v>
      </c>
      <c r="CD1175">
        <v>0</v>
      </c>
      <c r="CE1175">
        <v>0</v>
      </c>
      <c r="CF1175">
        <v>0</v>
      </c>
      <c r="CG1175">
        <v>0</v>
      </c>
      <c r="CH1175">
        <v>0</v>
      </c>
      <c r="CI1175">
        <v>0</v>
      </c>
      <c r="CJ1175">
        <v>0</v>
      </c>
      <c r="CK1175">
        <v>0</v>
      </c>
      <c r="CL1175">
        <v>0</v>
      </c>
      <c r="CM1175">
        <v>0</v>
      </c>
      <c r="CN1175">
        <v>0</v>
      </c>
      <c r="CO1175">
        <v>0</v>
      </c>
      <c r="CP1175" t="str">
        <f>IF($BN1175&lt;$BM1175,"refNeedCorrection","refOK")</f>
        <v>refOK</v>
      </c>
      <c r="CQ1175">
        <f>IF($CP1175="refOK",$BM1175,$BN1175)</f>
        <v>0</v>
      </c>
      <c r="CR1175">
        <f>IF($CP1175="refOK",$BN1175,$BM1175)</f>
        <v>6788</v>
      </c>
      <c r="CS1175">
        <f>IF($CP1175="refOK",$BQ1175,-$BQ1175)</f>
        <v>29474.598349978292</v>
      </c>
      <c r="CT1175">
        <f>IF(BI1175="Roundwood",$CS1175/2,$CS1175)</f>
        <v>14737.299174989146</v>
      </c>
      <c r="CU1175">
        <f>IF($CP1175="refOK",$BU1175,$BV1175)*IF($BR1175="Emissions positive",-1,1)</f>
        <v>0</v>
      </c>
      <c r="CV1175">
        <f>IF($CP1175="refOK",$BV1175,$BU1175)*IF($BR1175="Emissions positive",-1,1)</f>
        <v>0</v>
      </c>
      <c r="CW1175">
        <f>IF($CP1175="refNeedCorrection",-BZ1175,BZ1175)*IF($BR1175="Emissions positive",-1,1)</f>
        <v>0.01</v>
      </c>
      <c r="CX1175">
        <f>IFERROR($CW1175/$CS1175,"")</f>
        <v>3.3927519151443723E-7</v>
      </c>
      <c r="CY1175">
        <f>IFERROR($CW1175/$CS1175,"")</f>
        <v>3.3927519151443723E-7</v>
      </c>
      <c r="CZ1175">
        <f>IFERROR($CW1175/$CT1175,"")</f>
        <v>6.7855038302887446E-7</v>
      </c>
      <c r="DA1175" s="2" t="str">
        <f>IFERROR((CV1175-CU1175)/ABS(CU1175),"")</f>
        <v/>
      </c>
      <c r="DB1175" s="1" t="s">
        <v>1843</v>
      </c>
      <c r="DC1175" t="str">
        <f>IF(OR($DB1175="prd",$DB1175="std",$DB1175="cit"),"loc",IF(OR($DB1175="eur",$DB1175="reg",$DB1175="coy"),"reg",$DB1175))</f>
        <v>reg</v>
      </c>
      <c r="DD1175" t="s">
        <v>1867</v>
      </c>
      <c r="DE1175">
        <v>2021</v>
      </c>
      <c r="DF1175">
        <v>2030</v>
      </c>
      <c r="DG1175">
        <f>DF1175-DE1175</f>
        <v>9</v>
      </c>
      <c r="DH1175" t="str">
        <f>IF(DG1175=0,"0",IF(AND(DG1175&gt;=1,DG1175&lt;=30),"1-30",IF(AND(DG1175&gt;30,DG1175&lt;=70),"31-70",IF(AND(DG1175&gt;70,DG1175&lt;=100),"71-100",IF(DG1175&gt;100,"+100")))))</f>
        <v>1-30</v>
      </c>
      <c r="DI1175">
        <v>0</v>
      </c>
      <c r="DJ1175">
        <v>0</v>
      </c>
      <c r="DK1175">
        <v>0</v>
      </c>
      <c r="DL1175">
        <v>1</v>
      </c>
      <c r="DM1175">
        <v>0</v>
      </c>
      <c r="DN1175">
        <f>SUM(DI1175:DL1175)</f>
        <v>1</v>
      </c>
      <c r="DO1175" t="str">
        <f>IF(DN1175=1,INDEX($DI$7:$DL$7,MATCH(1,$DI1175:$DL1175,0)),"mixedProduct")</f>
        <v>TimberInput</v>
      </c>
      <c r="DP1175">
        <f>IF(DI1175=1,DP$7,0)</f>
        <v>0</v>
      </c>
      <c r="DQ1175">
        <f>IF(DJ1175=1,DQ$7,0)</f>
        <v>0</v>
      </c>
      <c r="DR1175">
        <f>IF(DK1175=1,DR$7,0)</f>
        <v>0</v>
      </c>
      <c r="DS1175" t="str">
        <f>IF(DL1175=1,DS$7,0)</f>
        <v>Timber</v>
      </c>
      <c r="DT1175">
        <v>0</v>
      </c>
      <c r="DU1175">
        <v>1</v>
      </c>
      <c r="DX1175" s="183" t="s">
        <v>1868</v>
      </c>
      <c r="DY1175"/>
      <c r="DZ1175" s="143" t="str">
        <f>IF(DT1175=1,"self-calculated DF",IF(DU1175=1,"external DF used","explicit C balance"))</f>
        <v>external DF used</v>
      </c>
      <c r="EA1175">
        <v>1</v>
      </c>
      <c r="EB1175">
        <v>1</v>
      </c>
      <c r="EC1175">
        <v>1</v>
      </c>
      <c r="ED1175">
        <v>1</v>
      </c>
      <c r="EE1175">
        <v>1</v>
      </c>
      <c r="EF1175">
        <v>1</v>
      </c>
      <c r="EG1175">
        <v>0</v>
      </c>
      <c r="EH1175">
        <v>0</v>
      </c>
      <c r="EI1175">
        <v>0</v>
      </c>
      <c r="EJ1175">
        <v>0</v>
      </c>
      <c r="EK1175">
        <v>1</v>
      </c>
      <c r="EL1175">
        <v>0</v>
      </c>
      <c r="EM1175">
        <v>1</v>
      </c>
      <c r="EN1175" s="2">
        <v>0</v>
      </c>
      <c r="EP1175" t="str">
        <f>IF(AND(AND(AND(OR($EC1175=1,$EB1175=1),OR($EH1175=1,$EF1175=1)),SUM($EA1175:$EE1175,$EK1175)&gt;=3),SUM($EF1175:$EJ1175)&gt;=2),"Whole sector approach","")</f>
        <v/>
      </c>
      <c r="EQ1175" t="str">
        <f>IF(AND(AND(OR($EC1175=1,$EB1175=1),AND($EH1175=0,$EF1175=0)),SUM($EA1175:$EE1175,$EK1175)&gt;=4),"Ecosystem approach","")</f>
        <v/>
      </c>
      <c r="ER1175" s="2" t="str">
        <f>IF(AND(AND(AND($EC1175=0,$EB1175=0),OR($EH1175=1,$EF1175=1)),SUM($EG1175:$EJ1175)&gt;=2),"Technology approach","")</f>
        <v/>
      </c>
      <c r="ES1175" t="str">
        <f>IF(AND($EC1175+$EB1175+$EE1175+$EA1175+$ED1175+$EG1175=0,$N1175="included"),"C neutral forest and HWP assumption","")</f>
        <v/>
      </c>
      <c r="ET1175" t="str">
        <f>IF(AND(AND(AND(AND($EC1175=1,$EB1175+$EA1175+$EG1175&gt;=1),$EF1175=1),$EH1175+$EI1175+$ED1175+$EE1175&gt;=2),$N1175="included"),"All C pools assumption","")</f>
        <v>All C pools assumption</v>
      </c>
      <c r="EU1175" t="str">
        <f>IF(AND($ED1175+$EE1175+$EI1175+$EH1175+$EF1175=0,$N1175="included"),"In-situ only assumption","")</f>
        <v/>
      </c>
      <c r="EY1175" t="str">
        <f>IF(ISNUMBER(BW1175),IF(ABS(BW1175-[2]QC_indicators!$B$2)&gt;3*[2]QC_indicators!$C$2,"C ratio",IF(ISNUMBER(CA1175),IF(ABS(CA1175-[2]QC_indicators!$B$1)&gt;3*[2]QC_indicators!$C$1,"DF","no"))),IF(ISNUMBER(CA1175),IF(ABS(CA1175-[2]QC_indicators!$B$1)&gt;3*[2]QC_indicators!$C$1,"DF","no")))</f>
        <v>no</v>
      </c>
      <c r="FA1175" t="str">
        <f>IF(LEN($CY1175)=0,"",IF(AND($CY1175&lt;(-0.05),$ES1175="C neutral forest and HWP assumption"),"Cneutral paradox",IF(AND($CY1175&gt;0.05,$EU1175="In-situ only assumption"),"In-situ only paradox","")))</f>
        <v/>
      </c>
      <c r="FD1175" s="260" t="s">
        <v>2948</v>
      </c>
    </row>
    <row r="1176" spans="4:160" ht="15" hidden="1" customHeight="1">
      <c r="D1176" t="s">
        <v>1859</v>
      </c>
      <c r="E1176" t="s">
        <v>1860</v>
      </c>
      <c r="G1176" t="s">
        <v>1861</v>
      </c>
      <c r="I1176">
        <v>2018</v>
      </c>
      <c r="K1176" s="150" t="s">
        <v>1862</v>
      </c>
      <c r="M1176" t="str">
        <f>LEFT($D1176,FIND(",",$D1176)-1)&amp;"_"&amp;I1176&amp;L1176</f>
        <v>Olguin_2018</v>
      </c>
      <c r="N1176" t="s">
        <v>222</v>
      </c>
      <c r="O1176" s="157" t="s">
        <v>274</v>
      </c>
      <c r="P1176" t="s">
        <v>508</v>
      </c>
      <c r="Q1176" t="s">
        <v>389</v>
      </c>
      <c r="R1176" s="258" t="s">
        <v>223</v>
      </c>
      <c r="S1176" s="259" t="s">
        <v>2885</v>
      </c>
      <c r="T1176" t="s">
        <v>1863</v>
      </c>
      <c r="U1176" t="s">
        <v>1864</v>
      </c>
      <c r="V1176" s="253">
        <v>0</v>
      </c>
      <c r="W1176" s="253">
        <v>0</v>
      </c>
      <c r="X1176">
        <v>0</v>
      </c>
      <c r="Y1176">
        <v>0</v>
      </c>
      <c r="Z1176">
        <v>0</v>
      </c>
      <c r="AA1176">
        <v>0</v>
      </c>
      <c r="AB1176">
        <v>0</v>
      </c>
      <c r="AC1176">
        <v>0</v>
      </c>
      <c r="AD1176">
        <v>0</v>
      </c>
      <c r="AE1176">
        <v>1</v>
      </c>
      <c r="AF1176">
        <v>0</v>
      </c>
      <c r="AG1176">
        <v>0</v>
      </c>
      <c r="AH1176">
        <v>1</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s="141">
        <f>COUNTIF(X1176:AY1176,"&lt;&gt;0")</f>
        <v>2</v>
      </c>
      <c r="BA1176" s="141">
        <f>COUNTIF(X1176:AN1176,"&lt;&gt;0")</f>
        <v>2</v>
      </c>
      <c r="BB1176">
        <f>COUNTIF(X1176:AE1176,"&lt;&gt;0")</f>
        <v>1</v>
      </c>
      <c r="BC1176">
        <f>COUNTIF(AF1176:AK1176,"&lt;&gt;0")</f>
        <v>1</v>
      </c>
      <c r="BD1176">
        <f>COUNTIF(AL1176:AN1176,"&lt;&gt;0")</f>
        <v>0</v>
      </c>
      <c r="BE1176">
        <f>COUNTIF(AU1176:AY1176,"&lt;&gt;0")</f>
        <v>0</v>
      </c>
      <c r="BF1176">
        <f>COUNTIF(AO1176:AT1176,"&lt;&gt;0")</f>
        <v>0</v>
      </c>
      <c r="BG1176" t="str">
        <f t="array" ref="BG1176">IF(BA1176=1,INDEX($X$7:$AN$7,MATCH(TRUE,INDEX($X1176:$AY1176&lt;&gt;0,),0)),IF(BA1176=0,INDEX($AO$7:$AY$7,MATCH(1,$AO1176:$AY1176,0)),IF(BH1176="Multiple strategies","mixed drivers",IF(BH1176="Supply chain","multiple supply","multiple silviculture"))))</f>
        <v>mixed drivers</v>
      </c>
      <c r="BH1176" s="2" t="str" cm="1">
        <f t="array" ref="BH1176">IF(COUNTIF(BB1176:BD1176,"&lt;&gt;0")=1,INDEX($X$4:$AY$4,MATCH(TRUE,INDEX($X1176:$AY1176&lt;&gt;0,),0)),IF(COUNTIF(BB1176:BD1176,"&lt;&gt;0")=0,INDEX($AO$4:$AY$4,MATCH(1,$AO1176:$AY1176,0)),"Multiple strategies"))</f>
        <v>Multiple strategies</v>
      </c>
      <c r="BI1176" s="1" t="s">
        <v>321</v>
      </c>
      <c r="BK1176" s="260" t="s">
        <v>978</v>
      </c>
      <c r="BL1176" t="s">
        <v>1865</v>
      </c>
      <c r="BM1176">
        <v>0</v>
      </c>
      <c r="BN1176">
        <v>218025</v>
      </c>
      <c r="BO1176" t="str">
        <f>IFERROR(BN1176/BM1176,"")</f>
        <v/>
      </c>
      <c r="BP1176">
        <f>BN1176-BM1176</f>
        <v>218025</v>
      </c>
      <c r="BQ1176">
        <f>BP1176*tC_to_m3</f>
        <v>946699.95657837612</v>
      </c>
      <c r="BR1176" t="s">
        <v>232</v>
      </c>
      <c r="BS1176" t="s">
        <v>424</v>
      </c>
      <c r="BT1176" t="s">
        <v>1870</v>
      </c>
      <c r="BW1176" s="144"/>
      <c r="BX1176">
        <v>-0.18</v>
      </c>
      <c r="BZ1176">
        <f>BX1176</f>
        <v>-0.18</v>
      </c>
      <c r="CA1176">
        <f>IFERROR(BZ1176/BQ1176,"")</f>
        <v>-1.9013415892672855E-7</v>
      </c>
      <c r="CB1176">
        <v>0</v>
      </c>
      <c r="CC1176">
        <v>0</v>
      </c>
      <c r="CD1176">
        <v>0</v>
      </c>
      <c r="CE1176">
        <v>0</v>
      </c>
      <c r="CF1176">
        <v>0</v>
      </c>
      <c r="CG1176">
        <v>0</v>
      </c>
      <c r="CH1176">
        <v>0</v>
      </c>
      <c r="CI1176">
        <v>0</v>
      </c>
      <c r="CJ1176">
        <v>0</v>
      </c>
      <c r="CK1176">
        <v>0</v>
      </c>
      <c r="CL1176">
        <v>0</v>
      </c>
      <c r="CM1176">
        <v>0</v>
      </c>
      <c r="CN1176">
        <v>0</v>
      </c>
      <c r="CO1176">
        <v>0</v>
      </c>
      <c r="CP1176" t="str">
        <f>IF($BN1176&lt;$BM1176,"refNeedCorrection","refOK")</f>
        <v>refOK</v>
      </c>
      <c r="CQ1176">
        <f>IF($CP1176="refOK",$BM1176,$BN1176)</f>
        <v>0</v>
      </c>
      <c r="CR1176">
        <f>IF($CP1176="refOK",$BN1176,$BM1176)</f>
        <v>218025</v>
      </c>
      <c r="CS1176">
        <f>IF($CP1176="refOK",$BQ1176,-$BQ1176)</f>
        <v>946699.95657837612</v>
      </c>
      <c r="CT1176">
        <f>IF(BI1176="Roundwood",$CS1176/2,$CS1176)</f>
        <v>473349.97828918806</v>
      </c>
      <c r="CU1176">
        <f>IF($CP1176="refOK",$BU1176,$BV1176)*IF($BR1176="Emissions positive",-1,1)</f>
        <v>0</v>
      </c>
      <c r="CV1176">
        <f>IF($CP1176="refOK",$BV1176,$BU1176)*IF($BR1176="Emissions positive",-1,1)</f>
        <v>0</v>
      </c>
      <c r="CW1176">
        <f>IF($CP1176="refNeedCorrection",-BZ1176,BZ1176)*IF($BR1176="Emissions positive",-1,1)</f>
        <v>-0.18</v>
      </c>
      <c r="CX1176">
        <f>IFERROR($CW1176/$CS1176,"")</f>
        <v>-1.9013415892672855E-7</v>
      </c>
      <c r="CY1176">
        <f>IFERROR($CW1176/$CS1176,"")</f>
        <v>-1.9013415892672855E-7</v>
      </c>
      <c r="CZ1176">
        <f>IFERROR($CW1176/$CT1176,"")</f>
        <v>-3.802683178534571E-7</v>
      </c>
      <c r="DA1176" s="2" t="str">
        <f>IFERROR((CV1176-CU1176)/ABS(CU1176),"")</f>
        <v/>
      </c>
      <c r="DB1176" s="1" t="s">
        <v>1843</v>
      </c>
      <c r="DC1176" t="str">
        <f>IF(OR($DB1176="prd",$DB1176="std",$DB1176="cit"),"loc",IF(OR($DB1176="eur",$DB1176="reg",$DB1176="coy"),"reg",$DB1176))</f>
        <v>reg</v>
      </c>
      <c r="DD1176" t="s">
        <v>1867</v>
      </c>
      <c r="DE1176">
        <v>2021</v>
      </c>
      <c r="DF1176">
        <v>2050</v>
      </c>
      <c r="DG1176">
        <f>DF1176-DE1176</f>
        <v>29</v>
      </c>
      <c r="DH1176" t="str">
        <f>IF(DG1176=0,"0",IF(AND(DG1176&gt;=1,DG1176&lt;=30),"1-30",IF(AND(DG1176&gt;30,DG1176&lt;=70),"31-70",IF(AND(DG1176&gt;70,DG1176&lt;=100),"71-100",IF(DG1176&gt;100,"+100")))))</f>
        <v>1-30</v>
      </c>
      <c r="DI1176">
        <v>0</v>
      </c>
      <c r="DJ1176">
        <v>0</v>
      </c>
      <c r="DK1176">
        <v>0</v>
      </c>
      <c r="DL1176">
        <v>1</v>
      </c>
      <c r="DM1176">
        <v>0</v>
      </c>
      <c r="DN1176">
        <f>SUM(DI1176:DL1176)</f>
        <v>1</v>
      </c>
      <c r="DO1176" t="str">
        <f>IF(DN1176=1,INDEX($DI$7:$DL$7,MATCH(1,$DI1176:$DL1176,0)),"mixedProduct")</f>
        <v>TimberInput</v>
      </c>
      <c r="DP1176">
        <f>IF(DI1176=1,DP$7,0)</f>
        <v>0</v>
      </c>
      <c r="DQ1176">
        <f>IF(DJ1176=1,DQ$7,0)</f>
        <v>0</v>
      </c>
      <c r="DR1176">
        <f>IF(DK1176=1,DR$7,0)</f>
        <v>0</v>
      </c>
      <c r="DS1176" t="str">
        <f>IF(DL1176=1,DS$7,0)</f>
        <v>Timber</v>
      </c>
      <c r="DT1176">
        <v>0</v>
      </c>
      <c r="DU1176">
        <v>1</v>
      </c>
      <c r="DX1176" s="183" t="s">
        <v>1868</v>
      </c>
      <c r="DY1176"/>
      <c r="DZ1176" s="143" t="str">
        <f>IF(DT1176=1,"self-calculated DF",IF(DU1176=1,"external DF used","explicit C balance"))</f>
        <v>external DF used</v>
      </c>
      <c r="EA1176">
        <v>1</v>
      </c>
      <c r="EB1176">
        <v>1</v>
      </c>
      <c r="EC1176">
        <v>1</v>
      </c>
      <c r="ED1176">
        <v>1</v>
      </c>
      <c r="EE1176">
        <v>1</v>
      </c>
      <c r="EF1176">
        <v>1</v>
      </c>
      <c r="EG1176">
        <v>0</v>
      </c>
      <c r="EH1176">
        <v>0</v>
      </c>
      <c r="EI1176">
        <v>0</v>
      </c>
      <c r="EJ1176">
        <v>0</v>
      </c>
      <c r="EK1176">
        <v>1</v>
      </c>
      <c r="EL1176">
        <v>0</v>
      </c>
      <c r="EM1176">
        <v>1</v>
      </c>
      <c r="EN1176" s="2">
        <v>0</v>
      </c>
      <c r="EP1176" t="str">
        <f>IF(AND(AND(AND(OR($EC1176=1,$EB1176=1),OR($EH1176=1,$EF1176=1)),SUM($EA1176:$EE1176,$EK1176)&gt;=3),SUM($EF1176:$EJ1176)&gt;=2),"Whole sector approach","")</f>
        <v/>
      </c>
      <c r="EQ1176" t="str">
        <f>IF(AND(AND(OR($EC1176=1,$EB1176=1),AND($EH1176=0,$EF1176=0)),SUM($EA1176:$EE1176,$EK1176)&gt;=4),"Ecosystem approach","")</f>
        <v/>
      </c>
      <c r="ER1176" s="2" t="str">
        <f>IF(AND(AND(AND($EC1176=0,$EB1176=0),OR($EH1176=1,$EF1176=1)),SUM($EG1176:$EJ1176)&gt;=2),"Technology approach","")</f>
        <v/>
      </c>
      <c r="ES1176" t="str">
        <f>IF(AND($EC1176+$EB1176+$EE1176+$EA1176+$ED1176+$EG1176=0,$N1176="included"),"C neutral forest and HWP assumption","")</f>
        <v/>
      </c>
      <c r="ET1176" t="str">
        <f>IF(AND(AND(AND(AND($EC1176=1,$EB1176+$EA1176+$EG1176&gt;=1),$EF1176=1),$EH1176+$EI1176+$ED1176+$EE1176&gt;=2),$N1176="included"),"All C pools assumption","")</f>
        <v>All C pools assumption</v>
      </c>
      <c r="EU1176" t="str">
        <f>IF(AND($ED1176+$EE1176+$EI1176+$EH1176+$EF1176=0,$N1176="included"),"In-situ only assumption","")</f>
        <v/>
      </c>
      <c r="EY1176" t="str">
        <f>IF(ISNUMBER(BW1176),IF(ABS(BW1176-[2]QC_indicators!$B$2)&gt;3*[2]QC_indicators!$C$2,"C ratio",IF(ISNUMBER(CA1176),IF(ABS(CA1176-[2]QC_indicators!$B$1)&gt;3*[2]QC_indicators!$C$1,"DF","no"))),IF(ISNUMBER(CA1176),IF(ABS(CA1176-[2]QC_indicators!$B$1)&gt;3*[2]QC_indicators!$C$1,"DF","no")))</f>
        <v>no</v>
      </c>
      <c r="FA1176" t="str">
        <f>IF(LEN($CY1176)=0,"",IF(AND($CY1176&lt;(-0.05),$ES1176="C neutral forest and HWP assumption"),"Cneutral paradox",IF(AND($CY1176&gt;0.05,$EU1176="In-situ only assumption"),"In-situ only paradox","")))</f>
        <v/>
      </c>
      <c r="FD1176" s="260" t="s">
        <v>2948</v>
      </c>
    </row>
    <row r="1177" spans="4:160" hidden="1">
      <c r="D1177" t="s">
        <v>1859</v>
      </c>
      <c r="E1177" t="s">
        <v>1860</v>
      </c>
      <c r="G1177" t="s">
        <v>1861</v>
      </c>
      <c r="I1177">
        <v>2018</v>
      </c>
      <c r="K1177" s="150" t="s">
        <v>1862</v>
      </c>
      <c r="M1177" t="str">
        <f>LEFT($D1177,FIND(",",$D1177)-1)&amp;"_"&amp;I1177&amp;L1177</f>
        <v>Olguin_2018</v>
      </c>
      <c r="N1177" t="s">
        <v>222</v>
      </c>
      <c r="O1177" s="157" t="s">
        <v>274</v>
      </c>
      <c r="P1177" t="s">
        <v>508</v>
      </c>
      <c r="Q1177" t="s">
        <v>389</v>
      </c>
      <c r="R1177" s="258" t="s">
        <v>223</v>
      </c>
      <c r="S1177" s="259" t="s">
        <v>2877</v>
      </c>
      <c r="T1177" t="s">
        <v>1863</v>
      </c>
      <c r="U1177" t="s">
        <v>1864</v>
      </c>
      <c r="V1177" s="253">
        <v>0</v>
      </c>
      <c r="W1177" s="253">
        <v>0</v>
      </c>
      <c r="X1177">
        <v>0</v>
      </c>
      <c r="Y1177">
        <v>0</v>
      </c>
      <c r="Z1177">
        <v>0</v>
      </c>
      <c r="AA1177">
        <v>0</v>
      </c>
      <c r="AB1177">
        <v>0</v>
      </c>
      <c r="AC1177">
        <v>0</v>
      </c>
      <c r="AD1177">
        <v>0</v>
      </c>
      <c r="AE1177">
        <v>1</v>
      </c>
      <c r="AF1177">
        <v>0</v>
      </c>
      <c r="AG1177">
        <v>0</v>
      </c>
      <c r="AH1177">
        <v>1</v>
      </c>
      <c r="AI1177">
        <v>0</v>
      </c>
      <c r="AJ1177">
        <v>0</v>
      </c>
      <c r="AK1177">
        <v>0</v>
      </c>
      <c r="AL1177">
        <v>0</v>
      </c>
      <c r="AM1177">
        <v>0</v>
      </c>
      <c r="AN1177">
        <v>0</v>
      </c>
      <c r="AO1177">
        <v>0</v>
      </c>
      <c r="AP1177">
        <v>0</v>
      </c>
      <c r="AQ1177">
        <v>0</v>
      </c>
      <c r="AR1177">
        <v>0</v>
      </c>
      <c r="AS1177">
        <v>0</v>
      </c>
      <c r="AT1177">
        <v>0</v>
      </c>
      <c r="AU1177">
        <v>0</v>
      </c>
      <c r="AV1177">
        <v>0</v>
      </c>
      <c r="AW1177">
        <v>0</v>
      </c>
      <c r="AX1177">
        <v>0</v>
      </c>
      <c r="AY1177">
        <v>0</v>
      </c>
      <c r="AZ1177" s="141">
        <f>COUNTIF(X1177:AY1177,"&lt;&gt;0")</f>
        <v>2</v>
      </c>
      <c r="BA1177" s="141">
        <f>COUNTIF(X1177:AN1177,"&lt;&gt;0")</f>
        <v>2</v>
      </c>
      <c r="BB1177">
        <f>COUNTIF(X1177:AE1177,"&lt;&gt;0")</f>
        <v>1</v>
      </c>
      <c r="BC1177">
        <f>COUNTIF(AF1177:AK1177,"&lt;&gt;0")</f>
        <v>1</v>
      </c>
      <c r="BD1177">
        <f>COUNTIF(AL1177:AN1177,"&lt;&gt;0")</f>
        <v>0</v>
      </c>
      <c r="BE1177">
        <f>COUNTIF(AU1177:AY1177,"&lt;&gt;0")</f>
        <v>0</v>
      </c>
      <c r="BF1177">
        <f>COUNTIF(AO1177:AT1177,"&lt;&gt;0")</f>
        <v>0</v>
      </c>
      <c r="BG1177" t="str">
        <f t="array" ref="BG1177">IF(BA1177=1,INDEX($X$7:$AN$7,MATCH(TRUE,INDEX($X1177:$AY1177&lt;&gt;0,),0)),IF(BA1177=0,INDEX($AO$7:$AY$7,MATCH(1,$AO1177:$AY1177,0)),IF(BH1177="Multiple strategies","mixed drivers",IF(BH1177="Supply chain","multiple supply","multiple silviculture"))))</f>
        <v>mixed drivers</v>
      </c>
      <c r="BH1177" s="2" t="str" cm="1">
        <f t="array" ref="BH1177">IF(COUNTIF(BB1177:BD1177,"&lt;&gt;0")=1,INDEX($X$4:$AY$4,MATCH(TRUE,INDEX($X1177:$AY1177&lt;&gt;0,),0)),IF(COUNTIF(BB1177:BD1177,"&lt;&gt;0")=0,INDEX($AO$4:$AY$4,MATCH(1,$AO1177:$AY1177,0)),"Multiple strategies"))</f>
        <v>Multiple strategies</v>
      </c>
      <c r="BI1177" s="1" t="s">
        <v>321</v>
      </c>
      <c r="BK1177" s="260" t="s">
        <v>978</v>
      </c>
      <c r="BL1177" t="s">
        <v>1865</v>
      </c>
      <c r="BM1177">
        <v>0</v>
      </c>
      <c r="BN1177">
        <v>218025</v>
      </c>
      <c r="BO1177" t="str">
        <f>IFERROR(BN1177/BM1177,"")</f>
        <v/>
      </c>
      <c r="BP1177">
        <f>BN1177-BM1177</f>
        <v>218025</v>
      </c>
      <c r="BQ1177">
        <f>BP1177*tC_to_m3</f>
        <v>946699.95657837612</v>
      </c>
      <c r="BR1177" t="s">
        <v>232</v>
      </c>
      <c r="BS1177" t="s">
        <v>424</v>
      </c>
      <c r="BT1177" t="s">
        <v>1870</v>
      </c>
      <c r="BW1177" s="144"/>
      <c r="BX1177">
        <v>-0.33</v>
      </c>
      <c r="BZ1177">
        <f>BX1177</f>
        <v>-0.33</v>
      </c>
      <c r="CA1177">
        <f>IFERROR(BZ1177/BQ1177,"")</f>
        <v>-3.4857929136566908E-7</v>
      </c>
      <c r="CB1177">
        <v>0</v>
      </c>
      <c r="CC1177">
        <v>0</v>
      </c>
      <c r="CD1177">
        <v>0</v>
      </c>
      <c r="CE1177">
        <v>0</v>
      </c>
      <c r="CF1177">
        <v>0</v>
      </c>
      <c r="CG1177">
        <v>0</v>
      </c>
      <c r="CH1177">
        <v>0</v>
      </c>
      <c r="CI1177">
        <v>0</v>
      </c>
      <c r="CJ1177">
        <v>0</v>
      </c>
      <c r="CK1177">
        <v>0</v>
      </c>
      <c r="CL1177">
        <v>0</v>
      </c>
      <c r="CM1177">
        <v>0</v>
      </c>
      <c r="CN1177">
        <v>0</v>
      </c>
      <c r="CO1177">
        <v>0</v>
      </c>
      <c r="CP1177" t="str">
        <f>IF($BN1177&lt;$BM1177,"refNeedCorrection","refOK")</f>
        <v>refOK</v>
      </c>
      <c r="CQ1177">
        <f>IF($CP1177="refOK",$BM1177,$BN1177)</f>
        <v>0</v>
      </c>
      <c r="CR1177">
        <f>IF($CP1177="refOK",$BN1177,$BM1177)</f>
        <v>218025</v>
      </c>
      <c r="CS1177">
        <f>IF($CP1177="refOK",$BQ1177,-$BQ1177)</f>
        <v>946699.95657837612</v>
      </c>
      <c r="CT1177">
        <f>IF(BI1177="Roundwood",$CS1177/2,$CS1177)</f>
        <v>473349.97828918806</v>
      </c>
      <c r="CU1177">
        <f>IF($CP1177="refOK",$BU1177,$BV1177)*IF($BR1177="Emissions positive",-1,1)</f>
        <v>0</v>
      </c>
      <c r="CV1177">
        <f>IF($CP1177="refOK",$BV1177,$BU1177)*IF($BR1177="Emissions positive",-1,1)</f>
        <v>0</v>
      </c>
      <c r="CW1177">
        <f>IF($CP1177="refNeedCorrection",-BZ1177,BZ1177)*IF($BR1177="Emissions positive",-1,1)</f>
        <v>-0.33</v>
      </c>
      <c r="CX1177">
        <f>IFERROR($CW1177/$CS1177,"")</f>
        <v>-3.4857929136566908E-7</v>
      </c>
      <c r="CY1177">
        <f>IFERROR($CW1177/$CS1177,"")</f>
        <v>-3.4857929136566908E-7</v>
      </c>
      <c r="CZ1177">
        <f>IFERROR($CW1177/$CT1177,"")</f>
        <v>-6.9715858273133817E-7</v>
      </c>
      <c r="DA1177" s="2" t="str">
        <f>IFERROR((CV1177-CU1177)/ABS(CU1177),"")</f>
        <v/>
      </c>
      <c r="DB1177" s="1" t="s">
        <v>1843</v>
      </c>
      <c r="DC1177" t="str">
        <f>IF(OR($DB1177="prd",$DB1177="std",$DB1177="cit"),"loc",IF(OR($DB1177="eur",$DB1177="reg",$DB1177="coy"),"reg",$DB1177))</f>
        <v>reg</v>
      </c>
      <c r="DD1177" t="s">
        <v>1867</v>
      </c>
      <c r="DE1177">
        <v>2021</v>
      </c>
      <c r="DF1177">
        <v>2040</v>
      </c>
      <c r="DG1177">
        <f>DF1177-DE1177</f>
        <v>19</v>
      </c>
      <c r="DH1177" t="str">
        <f>IF(DG1177=0,"0",IF(AND(DG1177&gt;=1,DG1177&lt;=30),"1-30",IF(AND(DG1177&gt;30,DG1177&lt;=70),"31-70",IF(AND(DG1177&gt;70,DG1177&lt;=100),"71-100",IF(DG1177&gt;100,"+100")))))</f>
        <v>1-30</v>
      </c>
      <c r="DI1177">
        <v>0</v>
      </c>
      <c r="DJ1177">
        <v>0</v>
      </c>
      <c r="DK1177">
        <v>0</v>
      </c>
      <c r="DL1177">
        <v>1</v>
      </c>
      <c r="DM1177">
        <v>0</v>
      </c>
      <c r="DN1177">
        <f>SUM(DI1177:DL1177)</f>
        <v>1</v>
      </c>
      <c r="DO1177" t="str">
        <f>IF(DN1177=1,INDEX($DI$7:$DL$7,MATCH(1,$DI1177:$DL1177,0)),"mixedProduct")</f>
        <v>TimberInput</v>
      </c>
      <c r="DP1177">
        <f>IF(DI1177=1,DP$7,0)</f>
        <v>0</v>
      </c>
      <c r="DQ1177">
        <f>IF(DJ1177=1,DQ$7,0)</f>
        <v>0</v>
      </c>
      <c r="DR1177">
        <f>IF(DK1177=1,DR$7,0)</f>
        <v>0</v>
      </c>
      <c r="DS1177" t="str">
        <f>IF(DL1177=1,DS$7,0)</f>
        <v>Timber</v>
      </c>
      <c r="DT1177">
        <v>0</v>
      </c>
      <c r="DU1177">
        <v>1</v>
      </c>
      <c r="DX1177" s="183" t="s">
        <v>1868</v>
      </c>
      <c r="DY1177"/>
      <c r="DZ1177" s="143" t="str">
        <f>IF(DT1177=1,"self-calculated DF",IF(DU1177=1,"external DF used","explicit C balance"))</f>
        <v>external DF used</v>
      </c>
      <c r="EA1177">
        <v>1</v>
      </c>
      <c r="EB1177">
        <v>1</v>
      </c>
      <c r="EC1177">
        <v>1</v>
      </c>
      <c r="ED1177">
        <v>1</v>
      </c>
      <c r="EE1177">
        <v>1</v>
      </c>
      <c r="EF1177">
        <v>1</v>
      </c>
      <c r="EG1177">
        <v>0</v>
      </c>
      <c r="EH1177">
        <v>0</v>
      </c>
      <c r="EI1177">
        <v>0</v>
      </c>
      <c r="EJ1177">
        <v>0</v>
      </c>
      <c r="EK1177">
        <v>1</v>
      </c>
      <c r="EL1177">
        <v>0</v>
      </c>
      <c r="EM1177">
        <v>1</v>
      </c>
      <c r="EN1177" s="2">
        <v>0</v>
      </c>
      <c r="EP1177" t="str">
        <f>IF(AND(AND(AND(OR($EC1177=1,$EB1177=1),OR($EH1177=1,$EF1177=1)),SUM($EA1177:$EE1177,$EK1177)&gt;=3),SUM($EF1177:$EJ1177)&gt;=2),"Whole sector approach","")</f>
        <v/>
      </c>
      <c r="EQ1177" t="str">
        <f>IF(AND(AND(OR($EC1177=1,$EB1177=1),AND($EH1177=0,$EF1177=0)),SUM($EA1177:$EE1177,$EK1177)&gt;=4),"Ecosystem approach","")</f>
        <v/>
      </c>
      <c r="ER1177" s="2" t="str">
        <f>IF(AND(AND(AND($EC1177=0,$EB1177=0),OR($EH1177=1,$EF1177=1)),SUM($EG1177:$EJ1177)&gt;=2),"Technology approach","")</f>
        <v/>
      </c>
      <c r="ES1177" t="str">
        <f>IF(AND($EC1177+$EB1177+$EE1177+$EA1177+$ED1177+$EG1177=0,$N1177="included"),"C neutral forest and HWP assumption","")</f>
        <v/>
      </c>
      <c r="ET1177" t="str">
        <f>IF(AND(AND(AND(AND($EC1177=1,$EB1177+$EA1177+$EG1177&gt;=1),$EF1177=1),$EH1177+$EI1177+$ED1177+$EE1177&gt;=2),$N1177="included"),"All C pools assumption","")</f>
        <v>All C pools assumption</v>
      </c>
      <c r="EU1177" t="str">
        <f>IF(AND($ED1177+$EE1177+$EI1177+$EH1177+$EF1177=0,$N1177="included"),"In-situ only assumption","")</f>
        <v/>
      </c>
      <c r="EY1177" t="str">
        <f>IF(ISNUMBER(BW1177),IF(ABS(BW1177-[2]QC_indicators!$B$2)&gt;3*[2]QC_indicators!$C$2,"C ratio",IF(ISNUMBER(CA1177),IF(ABS(CA1177-[2]QC_indicators!$B$1)&gt;3*[2]QC_indicators!$C$1,"DF","no"))),IF(ISNUMBER(CA1177),IF(ABS(CA1177-[2]QC_indicators!$B$1)&gt;3*[2]QC_indicators!$C$1,"DF","no")))</f>
        <v>no</v>
      </c>
      <c r="FA1177" t="str">
        <f>IF(LEN($CY1177)=0,"",IF(AND($CY1177&lt;(-0.05),$ES1177="C neutral forest and HWP assumption"),"Cneutral paradox",IF(AND($CY1177&gt;0.05,$EU1177="In-situ only assumption"),"In-situ only paradox","")))</f>
        <v/>
      </c>
      <c r="FD1177" s="260" t="s">
        <v>2948</v>
      </c>
    </row>
    <row r="1178" spans="4:160" ht="15" hidden="1" customHeight="1">
      <c r="D1178" t="s">
        <v>1859</v>
      </c>
      <c r="E1178" t="s">
        <v>1860</v>
      </c>
      <c r="G1178" t="s">
        <v>1861</v>
      </c>
      <c r="I1178">
        <v>2018</v>
      </c>
      <c r="K1178" s="150" t="s">
        <v>1862</v>
      </c>
      <c r="M1178" t="str">
        <f>LEFT($D1178,FIND(",",$D1178)-1)&amp;"_"&amp;I1178&amp;L1178</f>
        <v>Olguin_2018</v>
      </c>
      <c r="N1178" t="s">
        <v>222</v>
      </c>
      <c r="O1178" s="157" t="s">
        <v>274</v>
      </c>
      <c r="P1178" t="s">
        <v>508</v>
      </c>
      <c r="Q1178" t="s">
        <v>389</v>
      </c>
      <c r="R1178" s="258" t="s">
        <v>223</v>
      </c>
      <c r="S1178" s="259" t="s">
        <v>2867</v>
      </c>
      <c r="T1178" t="s">
        <v>1863</v>
      </c>
      <c r="U1178" t="s">
        <v>1869</v>
      </c>
      <c r="V1178" s="253">
        <v>0</v>
      </c>
      <c r="W1178" s="253">
        <v>0</v>
      </c>
      <c r="X1178">
        <v>0</v>
      </c>
      <c r="Y1178">
        <v>0</v>
      </c>
      <c r="Z1178">
        <v>0</v>
      </c>
      <c r="AA1178">
        <v>0</v>
      </c>
      <c r="AB1178">
        <v>0</v>
      </c>
      <c r="AC1178">
        <v>0</v>
      </c>
      <c r="AD1178">
        <v>0</v>
      </c>
      <c r="AE1178">
        <v>1</v>
      </c>
      <c r="AF1178">
        <v>0</v>
      </c>
      <c r="AG1178">
        <v>0</v>
      </c>
      <c r="AH1178">
        <v>1</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s="141">
        <f>COUNTIF(X1178:AY1178,"&lt;&gt;0")</f>
        <v>2</v>
      </c>
      <c r="BA1178" s="141">
        <f>COUNTIF(X1178:AN1178,"&lt;&gt;0")</f>
        <v>2</v>
      </c>
      <c r="BB1178">
        <f>COUNTIF(X1178:AE1178,"&lt;&gt;0")</f>
        <v>1</v>
      </c>
      <c r="BC1178">
        <f>COUNTIF(AF1178:AK1178,"&lt;&gt;0")</f>
        <v>1</v>
      </c>
      <c r="BD1178">
        <f>COUNTIF(AL1178:AN1178,"&lt;&gt;0")</f>
        <v>0</v>
      </c>
      <c r="BE1178">
        <f>COUNTIF(AU1178:AY1178,"&lt;&gt;0")</f>
        <v>0</v>
      </c>
      <c r="BF1178">
        <f>COUNTIF(AO1178:AT1178,"&lt;&gt;0")</f>
        <v>0</v>
      </c>
      <c r="BG1178" t="str">
        <f t="array" ref="BG1178">IF(BA1178=1,INDEX($X$7:$AN$7,MATCH(TRUE,INDEX($X1178:$AY1178&lt;&gt;0,),0)),IF(BA1178=0,INDEX($AO$7:$AY$7,MATCH(1,$AO1178:$AY1178,0)),IF(BH1178="Multiple strategies","mixed drivers",IF(BH1178="Supply chain","multiple supply","multiple silviculture"))))</f>
        <v>mixed drivers</v>
      </c>
      <c r="BH1178" s="2" t="str" cm="1">
        <f t="array" ref="BH1178">IF(COUNTIF(BB1178:BD1178,"&lt;&gt;0")=1,INDEX($X$4:$AY$4,MATCH(TRUE,INDEX($X1178:$AY1178&lt;&gt;0,),0)),IF(COUNTIF(BB1178:BD1178,"&lt;&gt;0")=0,INDEX($AO$4:$AY$4,MATCH(1,$AO1178:$AY1178,0)),"Multiple strategies"))</f>
        <v>Multiple strategies</v>
      </c>
      <c r="BI1178" s="1" t="s">
        <v>321</v>
      </c>
      <c r="BK1178" s="260" t="s">
        <v>978</v>
      </c>
      <c r="BL1178" t="s">
        <v>1865</v>
      </c>
      <c r="BM1178">
        <v>0</v>
      </c>
      <c r="BN1178">
        <v>218025</v>
      </c>
      <c r="BO1178" t="str">
        <f>IFERROR(BN1178/BM1178,"")</f>
        <v/>
      </c>
      <c r="BP1178">
        <f>BN1178-BM1178</f>
        <v>218025</v>
      </c>
      <c r="BQ1178">
        <f>BP1178*tC_to_m3</f>
        <v>946699.95657837612</v>
      </c>
      <c r="BR1178" t="s">
        <v>232</v>
      </c>
      <c r="BS1178" t="s">
        <v>424</v>
      </c>
      <c r="BT1178" t="s">
        <v>1870</v>
      </c>
      <c r="BW1178" s="144"/>
      <c r="BX1178">
        <v>-0.95</v>
      </c>
      <c r="BZ1178">
        <f>BX1178</f>
        <v>-0.95</v>
      </c>
      <c r="CA1178">
        <f>IFERROR(BZ1178/BQ1178,"")</f>
        <v>-1.0034858387799563E-6</v>
      </c>
      <c r="CB1178">
        <v>0</v>
      </c>
      <c r="CC1178">
        <v>0</v>
      </c>
      <c r="CD1178">
        <v>0</v>
      </c>
      <c r="CE1178">
        <v>0</v>
      </c>
      <c r="CF1178">
        <v>0</v>
      </c>
      <c r="CG1178">
        <v>0</v>
      </c>
      <c r="CH1178">
        <v>0</v>
      </c>
      <c r="CI1178">
        <v>0</v>
      </c>
      <c r="CJ1178">
        <v>0</v>
      </c>
      <c r="CK1178">
        <v>0</v>
      </c>
      <c r="CL1178">
        <v>0</v>
      </c>
      <c r="CM1178">
        <v>0</v>
      </c>
      <c r="CN1178">
        <v>0</v>
      </c>
      <c r="CO1178">
        <v>0</v>
      </c>
      <c r="CP1178" t="str">
        <f>IF($BN1178&lt;$BM1178,"refNeedCorrection","refOK")</f>
        <v>refOK</v>
      </c>
      <c r="CQ1178">
        <f>IF($CP1178="refOK",$BM1178,$BN1178)</f>
        <v>0</v>
      </c>
      <c r="CR1178">
        <f>IF($CP1178="refOK",$BN1178,$BM1178)</f>
        <v>218025</v>
      </c>
      <c r="CS1178">
        <f>IF($CP1178="refOK",$BQ1178,-$BQ1178)</f>
        <v>946699.95657837612</v>
      </c>
      <c r="CT1178">
        <f>IF(BI1178="Roundwood",$CS1178/2,$CS1178)</f>
        <v>473349.97828918806</v>
      </c>
      <c r="CU1178">
        <f>IF($CP1178="refOK",$BU1178,$BV1178)*IF($BR1178="Emissions positive",-1,1)</f>
        <v>0</v>
      </c>
      <c r="CV1178">
        <f>IF($CP1178="refOK",$BV1178,$BU1178)*IF($BR1178="Emissions positive",-1,1)</f>
        <v>0</v>
      </c>
      <c r="CW1178">
        <f>IF($CP1178="refNeedCorrection",-BZ1178,BZ1178)*IF($BR1178="Emissions positive",-1,1)</f>
        <v>-0.95</v>
      </c>
      <c r="CX1178">
        <f>IFERROR($CW1178/$CS1178,"")</f>
        <v>-1.0034858387799563E-6</v>
      </c>
      <c r="CY1178">
        <f>IFERROR($CW1178/$CS1178,"")</f>
        <v>-1.0034858387799563E-6</v>
      </c>
      <c r="CZ1178">
        <f>IFERROR($CW1178/$CT1178,"")</f>
        <v>-2.0069716775599126E-6</v>
      </c>
      <c r="DA1178" s="2" t="str">
        <f>IFERROR((CV1178-CU1178)/ABS(CU1178),"")</f>
        <v/>
      </c>
      <c r="DB1178" s="1" t="s">
        <v>1843</v>
      </c>
      <c r="DC1178" t="str">
        <f>IF(OR($DB1178="prd",$DB1178="std",$DB1178="cit"),"loc",IF(OR($DB1178="eur",$DB1178="reg",$DB1178="coy"),"reg",$DB1178))</f>
        <v>reg</v>
      </c>
      <c r="DD1178" t="s">
        <v>1867</v>
      </c>
      <c r="DE1178">
        <v>2021</v>
      </c>
      <c r="DF1178">
        <v>2030</v>
      </c>
      <c r="DG1178">
        <f>DF1178-DE1178</f>
        <v>9</v>
      </c>
      <c r="DH1178" t="str">
        <f>IF(DG1178=0,"0",IF(AND(DG1178&gt;=1,DG1178&lt;=30),"1-30",IF(AND(DG1178&gt;30,DG1178&lt;=70),"31-70",IF(AND(DG1178&gt;70,DG1178&lt;=100),"71-100",IF(DG1178&gt;100,"+100")))))</f>
        <v>1-30</v>
      </c>
      <c r="DI1178">
        <v>0</v>
      </c>
      <c r="DJ1178">
        <v>0</v>
      </c>
      <c r="DK1178">
        <v>0</v>
      </c>
      <c r="DL1178">
        <v>1</v>
      </c>
      <c r="DM1178">
        <v>0</v>
      </c>
      <c r="DN1178">
        <f>SUM(DI1178:DL1178)</f>
        <v>1</v>
      </c>
      <c r="DO1178" t="str">
        <f>IF(DN1178=1,INDEX($DI$7:$DL$7,MATCH(1,$DI1178:$DL1178,0)),"mixedProduct")</f>
        <v>TimberInput</v>
      </c>
      <c r="DP1178">
        <f>IF(DI1178=1,DP$7,0)</f>
        <v>0</v>
      </c>
      <c r="DQ1178">
        <f>IF(DJ1178=1,DQ$7,0)</f>
        <v>0</v>
      </c>
      <c r="DR1178">
        <f>IF(DK1178=1,DR$7,0)</f>
        <v>0</v>
      </c>
      <c r="DS1178" t="str">
        <f>IF(DL1178=1,DS$7,0)</f>
        <v>Timber</v>
      </c>
      <c r="DT1178">
        <v>0</v>
      </c>
      <c r="DU1178">
        <v>1</v>
      </c>
      <c r="DX1178" s="183" t="s">
        <v>1868</v>
      </c>
      <c r="DY1178"/>
      <c r="DZ1178" s="143" t="str">
        <f>IF(DT1178=1,"self-calculated DF",IF(DU1178=1,"external DF used","explicit C balance"))</f>
        <v>external DF used</v>
      </c>
      <c r="EA1178">
        <v>1</v>
      </c>
      <c r="EB1178">
        <v>1</v>
      </c>
      <c r="EC1178">
        <v>1</v>
      </c>
      <c r="ED1178">
        <v>1</v>
      </c>
      <c r="EE1178">
        <v>1</v>
      </c>
      <c r="EF1178">
        <v>1</v>
      </c>
      <c r="EG1178">
        <v>0</v>
      </c>
      <c r="EH1178">
        <v>0</v>
      </c>
      <c r="EI1178">
        <v>0</v>
      </c>
      <c r="EJ1178">
        <v>0</v>
      </c>
      <c r="EK1178">
        <v>1</v>
      </c>
      <c r="EL1178">
        <v>0</v>
      </c>
      <c r="EM1178">
        <v>1</v>
      </c>
      <c r="EN1178" s="2">
        <v>0</v>
      </c>
      <c r="EP1178" t="str">
        <f>IF(AND(AND(AND(OR($EC1178=1,$EB1178=1),OR($EH1178=1,$EF1178=1)),SUM($EA1178:$EE1178,$EK1178)&gt;=3),SUM($EF1178:$EJ1178)&gt;=2),"Whole sector approach","")</f>
        <v/>
      </c>
      <c r="EQ1178" t="str">
        <f>IF(AND(AND(OR($EC1178=1,$EB1178=1),AND($EH1178=0,$EF1178=0)),SUM($EA1178:$EE1178,$EK1178)&gt;=4),"Ecosystem approach","")</f>
        <v/>
      </c>
      <c r="ER1178" s="2" t="str">
        <f>IF(AND(AND(AND($EC1178=0,$EB1178=0),OR($EH1178=1,$EF1178=1)),SUM($EG1178:$EJ1178)&gt;=2),"Technology approach","")</f>
        <v/>
      </c>
      <c r="ES1178" t="str">
        <f>IF(AND($EC1178+$EB1178+$EE1178+$EA1178+$ED1178+$EG1178=0,$N1178="included"),"C neutral forest and HWP assumption","")</f>
        <v/>
      </c>
      <c r="ET1178" t="str">
        <f>IF(AND(AND(AND(AND($EC1178=1,$EB1178+$EA1178+$EG1178&gt;=1),$EF1178=1),$EH1178+$EI1178+$ED1178+$EE1178&gt;=2),$N1178="included"),"All C pools assumption","")</f>
        <v>All C pools assumption</v>
      </c>
      <c r="EU1178" t="str">
        <f>IF(AND($ED1178+$EE1178+$EI1178+$EH1178+$EF1178=0,$N1178="included"),"In-situ only assumption","")</f>
        <v/>
      </c>
      <c r="EY1178" t="str">
        <f>IF(ISNUMBER(BW1178),IF(ABS(BW1178-[2]QC_indicators!$B$2)&gt;3*[2]QC_indicators!$C$2,"C ratio",IF(ISNUMBER(CA1178),IF(ABS(CA1178-[2]QC_indicators!$B$1)&gt;3*[2]QC_indicators!$C$1,"DF","no"))),IF(ISNUMBER(CA1178),IF(ABS(CA1178-[2]QC_indicators!$B$1)&gt;3*[2]QC_indicators!$C$1,"DF","no")))</f>
        <v>no</v>
      </c>
      <c r="FA1178" t="str">
        <f>IF(LEN($CY1178)=0,"",IF(AND($CY1178&lt;(-0.05),$ES1178="C neutral forest and HWP assumption"),"Cneutral paradox",IF(AND($CY1178&gt;0.05,$EU1178="In-situ only assumption"),"In-situ only paradox","")))</f>
        <v/>
      </c>
      <c r="FD1178" s="260" t="s">
        <v>2948</v>
      </c>
    </row>
    <row r="1179" spans="4:160" hidden="1">
      <c r="D1179" t="s">
        <v>1859</v>
      </c>
      <c r="E1179" t="s">
        <v>1860</v>
      </c>
      <c r="G1179" t="s">
        <v>1861</v>
      </c>
      <c r="I1179">
        <v>2018</v>
      </c>
      <c r="K1179" s="150" t="s">
        <v>1862</v>
      </c>
      <c r="M1179" t="str">
        <f>LEFT($D1179,FIND(",",$D1179)-1)&amp;"_"&amp;I1179&amp;L1179</f>
        <v>Olguin_2018</v>
      </c>
      <c r="N1179" t="s">
        <v>222</v>
      </c>
      <c r="O1179" s="157" t="s">
        <v>274</v>
      </c>
      <c r="P1179" t="s">
        <v>508</v>
      </c>
      <c r="Q1179" t="s">
        <v>389</v>
      </c>
      <c r="R1179" s="258" t="s">
        <v>223</v>
      </c>
      <c r="S1179" s="259" t="s">
        <v>2883</v>
      </c>
      <c r="T1179" t="s">
        <v>1863</v>
      </c>
      <c r="U1179" t="s">
        <v>1869</v>
      </c>
      <c r="V1179" s="253">
        <v>0</v>
      </c>
      <c r="W1179" s="253">
        <v>0</v>
      </c>
      <c r="X1179">
        <v>0</v>
      </c>
      <c r="Y1179">
        <v>0</v>
      </c>
      <c r="Z1179">
        <v>0</v>
      </c>
      <c r="AA1179">
        <v>0</v>
      </c>
      <c r="AB1179">
        <v>0</v>
      </c>
      <c r="AC1179">
        <v>0</v>
      </c>
      <c r="AD1179">
        <v>0</v>
      </c>
      <c r="AE1179">
        <v>1</v>
      </c>
      <c r="AF1179">
        <v>0</v>
      </c>
      <c r="AG1179">
        <v>0</v>
      </c>
      <c r="AH1179">
        <v>1</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s="141">
        <f>COUNTIF(X1179:AY1179,"&lt;&gt;0")</f>
        <v>2</v>
      </c>
      <c r="BA1179" s="141">
        <f>COUNTIF(X1179:AN1179,"&lt;&gt;0")</f>
        <v>2</v>
      </c>
      <c r="BB1179">
        <f>COUNTIF(X1179:AE1179,"&lt;&gt;0")</f>
        <v>1</v>
      </c>
      <c r="BC1179">
        <f>COUNTIF(AF1179:AK1179,"&lt;&gt;0")</f>
        <v>1</v>
      </c>
      <c r="BD1179">
        <f>COUNTIF(AL1179:AN1179,"&lt;&gt;0")</f>
        <v>0</v>
      </c>
      <c r="BE1179">
        <f>COUNTIF(AU1179:AY1179,"&lt;&gt;0")</f>
        <v>0</v>
      </c>
      <c r="BF1179">
        <f>COUNTIF(AO1179:AT1179,"&lt;&gt;0")</f>
        <v>0</v>
      </c>
      <c r="BG1179" t="str">
        <f t="array" ref="BG1179">IF(BA1179=1,INDEX($X$7:$AN$7,MATCH(TRUE,INDEX($X1179:$AY1179&lt;&gt;0,),0)),IF(BA1179=0,INDEX($AO$7:$AY$7,MATCH(1,$AO1179:$AY1179,0)),IF(BH1179="Multiple strategies","mixed drivers",IF(BH1179="Supply chain","multiple supply","multiple silviculture"))))</f>
        <v>mixed drivers</v>
      </c>
      <c r="BH1179" s="2" t="str" cm="1">
        <f t="array" ref="BH1179">IF(COUNTIF(BB1179:BD1179,"&lt;&gt;0")=1,INDEX($X$4:$AY$4,MATCH(TRUE,INDEX($X1179:$AY1179&lt;&gt;0,),0)),IF(COUNTIF(BB1179:BD1179,"&lt;&gt;0")=0,INDEX($AO$4:$AY$4,MATCH(1,$AO1179:$AY1179,0)),"Multiple strategies"))</f>
        <v>Multiple strategies</v>
      </c>
      <c r="BI1179" s="1" t="s">
        <v>321</v>
      </c>
      <c r="BK1179" s="260" t="s">
        <v>978</v>
      </c>
      <c r="BL1179" t="s">
        <v>1865</v>
      </c>
      <c r="BM1179">
        <v>0</v>
      </c>
      <c r="BN1179">
        <v>218025</v>
      </c>
      <c r="BO1179" t="str">
        <f>IFERROR(BN1179/BM1179,"")</f>
        <v/>
      </c>
      <c r="BP1179">
        <f>BN1179-BM1179</f>
        <v>218025</v>
      </c>
      <c r="BQ1179">
        <f>BP1179*tC_to_m3</f>
        <v>946699.95657837612</v>
      </c>
      <c r="BR1179" t="s">
        <v>232</v>
      </c>
      <c r="BS1179" t="s">
        <v>424</v>
      </c>
      <c r="BT1179" t="s">
        <v>1870</v>
      </c>
      <c r="BW1179" s="144"/>
      <c r="BX1179">
        <v>-1.1599999999999999</v>
      </c>
      <c r="BZ1179">
        <f>BX1179</f>
        <v>-1.1599999999999999</v>
      </c>
      <c r="CA1179">
        <f>IFERROR(BZ1179/BQ1179,"")</f>
        <v>-1.2253090241944729E-6</v>
      </c>
      <c r="CB1179">
        <v>0</v>
      </c>
      <c r="CC1179">
        <v>0</v>
      </c>
      <c r="CD1179">
        <v>0</v>
      </c>
      <c r="CE1179">
        <v>0</v>
      </c>
      <c r="CF1179">
        <v>0</v>
      </c>
      <c r="CG1179">
        <v>0</v>
      </c>
      <c r="CH1179">
        <v>0</v>
      </c>
      <c r="CI1179">
        <v>0</v>
      </c>
      <c r="CJ1179">
        <v>0</v>
      </c>
      <c r="CK1179">
        <v>0</v>
      </c>
      <c r="CL1179">
        <v>0</v>
      </c>
      <c r="CM1179">
        <v>0</v>
      </c>
      <c r="CN1179">
        <v>0</v>
      </c>
      <c r="CO1179">
        <v>0</v>
      </c>
      <c r="CP1179" t="str">
        <f>IF($BN1179&lt;$BM1179,"refNeedCorrection","refOK")</f>
        <v>refOK</v>
      </c>
      <c r="CQ1179">
        <f>IF($CP1179="refOK",$BM1179,$BN1179)</f>
        <v>0</v>
      </c>
      <c r="CR1179">
        <f>IF($CP1179="refOK",$BN1179,$BM1179)</f>
        <v>218025</v>
      </c>
      <c r="CS1179">
        <f>IF($CP1179="refOK",$BQ1179,-$BQ1179)</f>
        <v>946699.95657837612</v>
      </c>
      <c r="CT1179">
        <f>IF(BI1179="Roundwood",$CS1179/2,$CS1179)</f>
        <v>473349.97828918806</v>
      </c>
      <c r="CU1179">
        <f>IF($CP1179="refOK",$BU1179,$BV1179)*IF($BR1179="Emissions positive",-1,1)</f>
        <v>0</v>
      </c>
      <c r="CV1179">
        <f>IF($CP1179="refOK",$BV1179,$BU1179)*IF($BR1179="Emissions positive",-1,1)</f>
        <v>0</v>
      </c>
      <c r="CW1179">
        <f>IF($CP1179="refNeedCorrection",-BZ1179,BZ1179)*IF($BR1179="Emissions positive",-1,1)</f>
        <v>-1.1599999999999999</v>
      </c>
      <c r="CX1179">
        <f>IFERROR($CW1179/$CS1179,"")</f>
        <v>-1.2253090241944729E-6</v>
      </c>
      <c r="CY1179">
        <f>IFERROR($CW1179/$CS1179,"")</f>
        <v>-1.2253090241944729E-6</v>
      </c>
      <c r="CZ1179">
        <f>IFERROR($CW1179/$CT1179,"")</f>
        <v>-2.4506180483889458E-6</v>
      </c>
      <c r="DA1179" s="2" t="str">
        <f>IFERROR((CV1179-CU1179)/ABS(CU1179),"")</f>
        <v/>
      </c>
      <c r="DB1179" s="1" t="s">
        <v>1843</v>
      </c>
      <c r="DC1179" t="str">
        <f>IF(OR($DB1179="prd",$DB1179="std",$DB1179="cit"),"loc",IF(OR($DB1179="eur",$DB1179="reg",$DB1179="coy"),"reg",$DB1179))</f>
        <v>reg</v>
      </c>
      <c r="DD1179" t="s">
        <v>1867</v>
      </c>
      <c r="DE1179">
        <v>2021</v>
      </c>
      <c r="DF1179">
        <v>2050</v>
      </c>
      <c r="DG1179">
        <f>DF1179-DE1179</f>
        <v>29</v>
      </c>
      <c r="DH1179" t="str">
        <f>IF(DG1179=0,"0",IF(AND(DG1179&gt;=1,DG1179&lt;=30),"1-30",IF(AND(DG1179&gt;30,DG1179&lt;=70),"31-70",IF(AND(DG1179&gt;70,DG1179&lt;=100),"71-100",IF(DG1179&gt;100,"+100")))))</f>
        <v>1-30</v>
      </c>
      <c r="DI1179">
        <v>0</v>
      </c>
      <c r="DJ1179">
        <v>0</v>
      </c>
      <c r="DK1179">
        <v>0</v>
      </c>
      <c r="DL1179">
        <v>1</v>
      </c>
      <c r="DM1179">
        <v>0</v>
      </c>
      <c r="DN1179">
        <f>SUM(DI1179:DL1179)</f>
        <v>1</v>
      </c>
      <c r="DO1179" t="str">
        <f>IF(DN1179=1,INDEX($DI$7:$DL$7,MATCH(1,$DI1179:$DL1179,0)),"mixedProduct")</f>
        <v>TimberInput</v>
      </c>
      <c r="DP1179">
        <f>IF(DI1179=1,DP$7,0)</f>
        <v>0</v>
      </c>
      <c r="DQ1179">
        <f>IF(DJ1179=1,DQ$7,0)</f>
        <v>0</v>
      </c>
      <c r="DR1179">
        <f>IF(DK1179=1,DR$7,0)</f>
        <v>0</v>
      </c>
      <c r="DS1179" t="str">
        <f>IF(DL1179=1,DS$7,0)</f>
        <v>Timber</v>
      </c>
      <c r="DT1179">
        <v>0</v>
      </c>
      <c r="DU1179">
        <v>1</v>
      </c>
      <c r="DX1179" s="183" t="s">
        <v>1868</v>
      </c>
      <c r="DY1179"/>
      <c r="DZ1179" s="143" t="str">
        <f>IF(DT1179=1,"self-calculated DF",IF(DU1179=1,"external DF used","explicit C balance"))</f>
        <v>external DF used</v>
      </c>
      <c r="EA1179">
        <v>1</v>
      </c>
      <c r="EB1179">
        <v>1</v>
      </c>
      <c r="EC1179">
        <v>1</v>
      </c>
      <c r="ED1179">
        <v>1</v>
      </c>
      <c r="EE1179">
        <v>1</v>
      </c>
      <c r="EF1179">
        <v>1</v>
      </c>
      <c r="EG1179">
        <v>0</v>
      </c>
      <c r="EH1179">
        <v>0</v>
      </c>
      <c r="EI1179">
        <v>0</v>
      </c>
      <c r="EJ1179">
        <v>0</v>
      </c>
      <c r="EK1179">
        <v>1</v>
      </c>
      <c r="EL1179">
        <v>0</v>
      </c>
      <c r="EM1179">
        <v>1</v>
      </c>
      <c r="EN1179" s="2">
        <v>0</v>
      </c>
      <c r="EP1179" t="str">
        <f>IF(AND(AND(AND(OR($EC1179=1,$EB1179=1),OR($EH1179=1,$EF1179=1)),SUM($EA1179:$EE1179,$EK1179)&gt;=3),SUM($EF1179:$EJ1179)&gt;=2),"Whole sector approach","")</f>
        <v/>
      </c>
      <c r="EQ1179" t="str">
        <f>IF(AND(AND(OR($EC1179=1,$EB1179=1),AND($EH1179=0,$EF1179=0)),SUM($EA1179:$EE1179,$EK1179)&gt;=4),"Ecosystem approach","")</f>
        <v/>
      </c>
      <c r="ER1179" s="2" t="str">
        <f>IF(AND(AND(AND($EC1179=0,$EB1179=0),OR($EH1179=1,$EF1179=1)),SUM($EG1179:$EJ1179)&gt;=2),"Technology approach","")</f>
        <v/>
      </c>
      <c r="ES1179" t="str">
        <f>IF(AND($EC1179+$EB1179+$EE1179+$EA1179+$ED1179+$EG1179=0,$N1179="included"),"C neutral forest and HWP assumption","")</f>
        <v/>
      </c>
      <c r="ET1179" t="str">
        <f>IF(AND(AND(AND(AND($EC1179=1,$EB1179+$EA1179+$EG1179&gt;=1),$EF1179=1),$EH1179+$EI1179+$ED1179+$EE1179&gt;=2),$N1179="included"),"All C pools assumption","")</f>
        <v>All C pools assumption</v>
      </c>
      <c r="EU1179" t="str">
        <f>IF(AND($ED1179+$EE1179+$EI1179+$EH1179+$EF1179=0,$N1179="included"),"In-situ only assumption","")</f>
        <v/>
      </c>
      <c r="EY1179" t="str">
        <f>IF(ISNUMBER(BW1179),IF(ABS(BW1179-[2]QC_indicators!$B$2)&gt;3*[2]QC_indicators!$C$2,"C ratio",IF(ISNUMBER(CA1179),IF(ABS(CA1179-[2]QC_indicators!$B$1)&gt;3*[2]QC_indicators!$C$1,"DF","no"))),IF(ISNUMBER(CA1179),IF(ABS(CA1179-[2]QC_indicators!$B$1)&gt;3*[2]QC_indicators!$C$1,"DF","no")))</f>
        <v>no</v>
      </c>
      <c r="FA1179" t="str">
        <f>IF(LEN($CY1179)=0,"",IF(AND($CY1179&lt;(-0.05),$ES1179="C neutral forest and HWP assumption"),"Cneutral paradox",IF(AND($CY1179&gt;0.05,$EU1179="In-situ only assumption"),"In-situ only paradox","")))</f>
        <v/>
      </c>
      <c r="FD1179" s="260" t="s">
        <v>2948</v>
      </c>
    </row>
    <row r="1180" spans="4:160" ht="15" hidden="1" customHeight="1">
      <c r="D1180" t="s">
        <v>1859</v>
      </c>
      <c r="E1180" t="s">
        <v>1860</v>
      </c>
      <c r="G1180" t="s">
        <v>1861</v>
      </c>
      <c r="I1180">
        <v>2018</v>
      </c>
      <c r="K1180" s="150" t="s">
        <v>1862</v>
      </c>
      <c r="M1180" t="str">
        <f>LEFT($D1180,FIND(",",$D1180)-1)&amp;"_"&amp;I1180&amp;L1180</f>
        <v>Olguin_2018</v>
      </c>
      <c r="N1180" t="s">
        <v>222</v>
      </c>
      <c r="O1180" s="157" t="s">
        <v>274</v>
      </c>
      <c r="P1180" t="s">
        <v>508</v>
      </c>
      <c r="Q1180" t="s">
        <v>389</v>
      </c>
      <c r="R1180" s="258" t="s">
        <v>223</v>
      </c>
      <c r="S1180" s="259" t="s">
        <v>2878</v>
      </c>
      <c r="T1180" t="s">
        <v>1863</v>
      </c>
      <c r="U1180" t="s">
        <v>1869</v>
      </c>
      <c r="V1180" s="253">
        <v>0</v>
      </c>
      <c r="W1180" s="253">
        <v>0</v>
      </c>
      <c r="X1180">
        <v>0</v>
      </c>
      <c r="Y1180">
        <v>0</v>
      </c>
      <c r="Z1180">
        <v>0</v>
      </c>
      <c r="AA1180">
        <v>0</v>
      </c>
      <c r="AB1180">
        <v>0</v>
      </c>
      <c r="AC1180">
        <v>0</v>
      </c>
      <c r="AD1180">
        <v>0</v>
      </c>
      <c r="AE1180">
        <v>1</v>
      </c>
      <c r="AF1180">
        <v>0</v>
      </c>
      <c r="AG1180">
        <v>0</v>
      </c>
      <c r="AH1180">
        <v>1</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s="141">
        <f>COUNTIF(X1180:AY1180,"&lt;&gt;0")</f>
        <v>2</v>
      </c>
      <c r="BA1180" s="141">
        <f>COUNTIF(X1180:AN1180,"&lt;&gt;0")</f>
        <v>2</v>
      </c>
      <c r="BB1180">
        <f>COUNTIF(X1180:AE1180,"&lt;&gt;0")</f>
        <v>1</v>
      </c>
      <c r="BC1180">
        <f>COUNTIF(AF1180:AK1180,"&lt;&gt;0")</f>
        <v>1</v>
      </c>
      <c r="BD1180">
        <f>COUNTIF(AL1180:AN1180,"&lt;&gt;0")</f>
        <v>0</v>
      </c>
      <c r="BE1180">
        <f>COUNTIF(AU1180:AY1180,"&lt;&gt;0")</f>
        <v>0</v>
      </c>
      <c r="BF1180">
        <f>COUNTIF(AO1180:AT1180,"&lt;&gt;0")</f>
        <v>0</v>
      </c>
      <c r="BG1180" t="str">
        <f t="array" ref="BG1180">IF(BA1180=1,INDEX($X$7:$AN$7,MATCH(TRUE,INDEX($X1180:$AY1180&lt;&gt;0,),0)),IF(BA1180=0,INDEX($AO$7:$AY$7,MATCH(1,$AO1180:$AY1180,0)),IF(BH1180="Multiple strategies","mixed drivers",IF(BH1180="Supply chain","multiple supply","multiple silviculture"))))</f>
        <v>mixed drivers</v>
      </c>
      <c r="BH1180" s="2" t="str" cm="1">
        <f t="array" ref="BH1180">IF(COUNTIF(BB1180:BD1180,"&lt;&gt;0")=1,INDEX($X$4:$AY$4,MATCH(TRUE,INDEX($X1180:$AY1180&lt;&gt;0,),0)),IF(COUNTIF(BB1180:BD1180,"&lt;&gt;0")=0,INDEX($AO$4:$AY$4,MATCH(1,$AO1180:$AY1180,0)),"Multiple strategies"))</f>
        <v>Multiple strategies</v>
      </c>
      <c r="BI1180" s="1" t="s">
        <v>321</v>
      </c>
      <c r="BK1180" s="260" t="s">
        <v>978</v>
      </c>
      <c r="BL1180" t="s">
        <v>1865</v>
      </c>
      <c r="BM1180">
        <v>0</v>
      </c>
      <c r="BN1180">
        <v>218025</v>
      </c>
      <c r="BO1180" t="str">
        <f>IFERROR(BN1180/BM1180,"")</f>
        <v/>
      </c>
      <c r="BP1180">
        <f>BN1180-BM1180</f>
        <v>218025</v>
      </c>
      <c r="BQ1180">
        <f>BP1180*tC_to_m3</f>
        <v>946699.95657837612</v>
      </c>
      <c r="BR1180" t="s">
        <v>232</v>
      </c>
      <c r="BS1180" t="s">
        <v>424</v>
      </c>
      <c r="BT1180" t="s">
        <v>1870</v>
      </c>
      <c r="BW1180" s="144"/>
      <c r="BX1180">
        <v>-1.31</v>
      </c>
      <c r="BZ1180">
        <f>BX1180</f>
        <v>-1.31</v>
      </c>
      <c r="CA1180">
        <f>IFERROR(BZ1180/BQ1180,"")</f>
        <v>-1.3837541566334135E-6</v>
      </c>
      <c r="CB1180">
        <v>0</v>
      </c>
      <c r="CC1180">
        <v>0</v>
      </c>
      <c r="CD1180">
        <v>0</v>
      </c>
      <c r="CE1180">
        <v>0</v>
      </c>
      <c r="CF1180">
        <v>0</v>
      </c>
      <c r="CG1180">
        <v>0</v>
      </c>
      <c r="CH1180">
        <v>0</v>
      </c>
      <c r="CI1180">
        <v>0</v>
      </c>
      <c r="CJ1180">
        <v>0</v>
      </c>
      <c r="CK1180">
        <v>0</v>
      </c>
      <c r="CL1180">
        <v>0</v>
      </c>
      <c r="CM1180">
        <v>0</v>
      </c>
      <c r="CN1180">
        <v>0</v>
      </c>
      <c r="CO1180">
        <v>0</v>
      </c>
      <c r="CP1180" t="str">
        <f>IF($BN1180&lt;$BM1180,"refNeedCorrection","refOK")</f>
        <v>refOK</v>
      </c>
      <c r="CQ1180">
        <f>IF($CP1180="refOK",$BM1180,$BN1180)</f>
        <v>0</v>
      </c>
      <c r="CR1180">
        <f>IF($CP1180="refOK",$BN1180,$BM1180)</f>
        <v>218025</v>
      </c>
      <c r="CS1180">
        <f>IF($CP1180="refOK",$BQ1180,-$BQ1180)</f>
        <v>946699.95657837612</v>
      </c>
      <c r="CT1180">
        <f>IF(BI1180="Roundwood",$CS1180/2,$CS1180)</f>
        <v>473349.97828918806</v>
      </c>
      <c r="CU1180">
        <f>IF($CP1180="refOK",$BU1180,$BV1180)*IF($BR1180="Emissions positive",-1,1)</f>
        <v>0</v>
      </c>
      <c r="CV1180">
        <f>IF($CP1180="refOK",$BV1180,$BU1180)*IF($BR1180="Emissions positive",-1,1)</f>
        <v>0</v>
      </c>
      <c r="CW1180">
        <f>IF($CP1180="refNeedCorrection",-BZ1180,BZ1180)*IF($BR1180="Emissions positive",-1,1)</f>
        <v>-1.31</v>
      </c>
      <c r="CX1180">
        <f>IFERROR($CW1180/$CS1180,"")</f>
        <v>-1.3837541566334135E-6</v>
      </c>
      <c r="CY1180">
        <f>IFERROR($CW1180/$CS1180,"")</f>
        <v>-1.3837541566334135E-6</v>
      </c>
      <c r="CZ1180">
        <f>IFERROR($CW1180/$CT1180,"")</f>
        <v>-2.767508313266827E-6</v>
      </c>
      <c r="DA1180" s="2" t="str">
        <f>IFERROR((CV1180-CU1180)/ABS(CU1180),"")</f>
        <v/>
      </c>
      <c r="DB1180" s="1" t="s">
        <v>1843</v>
      </c>
      <c r="DC1180" t="str">
        <f>IF(OR($DB1180="prd",$DB1180="std",$DB1180="cit"),"loc",IF(OR($DB1180="eur",$DB1180="reg",$DB1180="coy"),"reg",$DB1180))</f>
        <v>reg</v>
      </c>
      <c r="DD1180" t="s">
        <v>1867</v>
      </c>
      <c r="DE1180">
        <v>2021</v>
      </c>
      <c r="DF1180">
        <v>2040</v>
      </c>
      <c r="DG1180">
        <f>DF1180-DE1180</f>
        <v>19</v>
      </c>
      <c r="DH1180" t="str">
        <f>IF(DG1180=0,"0",IF(AND(DG1180&gt;=1,DG1180&lt;=30),"1-30",IF(AND(DG1180&gt;30,DG1180&lt;=70),"31-70",IF(AND(DG1180&gt;70,DG1180&lt;=100),"71-100",IF(DG1180&gt;100,"+100")))))</f>
        <v>1-30</v>
      </c>
      <c r="DI1180">
        <v>0</v>
      </c>
      <c r="DJ1180">
        <v>0</v>
      </c>
      <c r="DK1180">
        <v>0</v>
      </c>
      <c r="DL1180">
        <v>1</v>
      </c>
      <c r="DM1180">
        <v>0</v>
      </c>
      <c r="DN1180">
        <f>SUM(DI1180:DL1180)</f>
        <v>1</v>
      </c>
      <c r="DO1180" t="str">
        <f>IF(DN1180=1,INDEX($DI$7:$DL$7,MATCH(1,$DI1180:$DL1180,0)),"mixedProduct")</f>
        <v>TimberInput</v>
      </c>
      <c r="DP1180">
        <f>IF(DI1180=1,DP$7,0)</f>
        <v>0</v>
      </c>
      <c r="DQ1180">
        <f>IF(DJ1180=1,DQ$7,0)</f>
        <v>0</v>
      </c>
      <c r="DR1180">
        <f>IF(DK1180=1,DR$7,0)</f>
        <v>0</v>
      </c>
      <c r="DS1180" t="str">
        <f>IF(DL1180=1,DS$7,0)</f>
        <v>Timber</v>
      </c>
      <c r="DT1180">
        <v>0</v>
      </c>
      <c r="DU1180">
        <v>1</v>
      </c>
      <c r="DX1180" s="183" t="s">
        <v>1868</v>
      </c>
      <c r="DY1180"/>
      <c r="DZ1180" s="143" t="str">
        <f>IF(DT1180=1,"self-calculated DF",IF(DU1180=1,"external DF used","explicit C balance"))</f>
        <v>external DF used</v>
      </c>
      <c r="EA1180">
        <v>1</v>
      </c>
      <c r="EB1180">
        <v>1</v>
      </c>
      <c r="EC1180">
        <v>1</v>
      </c>
      <c r="ED1180">
        <v>1</v>
      </c>
      <c r="EE1180">
        <v>1</v>
      </c>
      <c r="EF1180">
        <v>1</v>
      </c>
      <c r="EG1180">
        <v>0</v>
      </c>
      <c r="EH1180">
        <v>0</v>
      </c>
      <c r="EI1180">
        <v>0</v>
      </c>
      <c r="EJ1180">
        <v>0</v>
      </c>
      <c r="EK1180">
        <v>1</v>
      </c>
      <c r="EL1180">
        <v>0</v>
      </c>
      <c r="EM1180">
        <v>1</v>
      </c>
      <c r="EN1180" s="2">
        <v>0</v>
      </c>
      <c r="EP1180" t="str">
        <f>IF(AND(AND(AND(OR($EC1180=1,$EB1180=1),OR($EH1180=1,$EF1180=1)),SUM($EA1180:$EE1180,$EK1180)&gt;=3),SUM($EF1180:$EJ1180)&gt;=2),"Whole sector approach","")</f>
        <v/>
      </c>
      <c r="EQ1180" t="str">
        <f>IF(AND(AND(OR($EC1180=1,$EB1180=1),AND($EH1180=0,$EF1180=0)),SUM($EA1180:$EE1180,$EK1180)&gt;=4),"Ecosystem approach","")</f>
        <v/>
      </c>
      <c r="ER1180" s="2" t="str">
        <f>IF(AND(AND(AND($EC1180=0,$EB1180=0),OR($EH1180=1,$EF1180=1)),SUM($EG1180:$EJ1180)&gt;=2),"Technology approach","")</f>
        <v/>
      </c>
      <c r="ES1180" t="str">
        <f>IF(AND($EC1180+$EB1180+$EE1180+$EA1180+$ED1180+$EG1180=0,$N1180="included"),"C neutral forest and HWP assumption","")</f>
        <v/>
      </c>
      <c r="ET1180" t="str">
        <f>IF(AND(AND(AND(AND($EC1180=1,$EB1180+$EA1180+$EG1180&gt;=1),$EF1180=1),$EH1180+$EI1180+$ED1180+$EE1180&gt;=2),$N1180="included"),"All C pools assumption","")</f>
        <v>All C pools assumption</v>
      </c>
      <c r="EU1180" t="str">
        <f>IF(AND($ED1180+$EE1180+$EI1180+$EH1180+$EF1180=0,$N1180="included"),"In-situ only assumption","")</f>
        <v/>
      </c>
      <c r="EY1180" t="str">
        <f>IF(ISNUMBER(BW1180),IF(ABS(BW1180-[2]QC_indicators!$B$2)&gt;3*[2]QC_indicators!$C$2,"C ratio",IF(ISNUMBER(CA1180),IF(ABS(CA1180-[2]QC_indicators!$B$1)&gt;3*[2]QC_indicators!$C$1,"DF","no"))),IF(ISNUMBER(CA1180),IF(ABS(CA1180-[2]QC_indicators!$B$1)&gt;3*[2]QC_indicators!$C$1,"DF","no")))</f>
        <v>no</v>
      </c>
      <c r="FA1180" t="str">
        <f>IF(LEN($CY1180)=0,"",IF(AND($CY1180&lt;(-0.05),$ES1180="C neutral forest and HWP assumption"),"Cneutral paradox",IF(AND($CY1180&gt;0.05,$EU1180="In-situ only assumption"),"In-situ only paradox","")))</f>
        <v/>
      </c>
      <c r="FD1180" s="260" t="s">
        <v>2948</v>
      </c>
    </row>
    <row r="1181" spans="4:160" ht="15" hidden="1" customHeight="1">
      <c r="D1181" t="s">
        <v>1859</v>
      </c>
      <c r="E1181" t="s">
        <v>1860</v>
      </c>
      <c r="G1181" t="s">
        <v>1861</v>
      </c>
      <c r="I1181">
        <v>2018</v>
      </c>
      <c r="K1181" s="150" t="s">
        <v>1862</v>
      </c>
      <c r="M1181" t="str">
        <f>LEFT($D1181,FIND(",",$D1181)-1)&amp;"_"&amp;I1181&amp;L1181</f>
        <v>Olguin_2018</v>
      </c>
      <c r="N1181" t="s">
        <v>222</v>
      </c>
      <c r="O1181" s="157" t="s">
        <v>274</v>
      </c>
      <c r="P1181" t="s">
        <v>508</v>
      </c>
      <c r="Q1181" t="s">
        <v>389</v>
      </c>
      <c r="R1181" s="258" t="s">
        <v>223</v>
      </c>
      <c r="S1181" s="259" t="s">
        <v>2876</v>
      </c>
      <c r="T1181" t="s">
        <v>1863</v>
      </c>
      <c r="U1181" t="s">
        <v>1869</v>
      </c>
      <c r="V1181" s="253">
        <v>0</v>
      </c>
      <c r="W1181" s="253">
        <v>0</v>
      </c>
      <c r="X1181">
        <v>0</v>
      </c>
      <c r="Y1181">
        <v>0</v>
      </c>
      <c r="Z1181">
        <v>0</v>
      </c>
      <c r="AA1181">
        <v>0</v>
      </c>
      <c r="AB1181">
        <v>0</v>
      </c>
      <c r="AC1181">
        <v>0</v>
      </c>
      <c r="AD1181">
        <v>0</v>
      </c>
      <c r="AE1181">
        <v>1</v>
      </c>
      <c r="AF1181">
        <v>0</v>
      </c>
      <c r="AG1181">
        <v>0</v>
      </c>
      <c r="AH1181">
        <v>1</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s="141">
        <f>COUNTIF(X1181:AY1181,"&lt;&gt;0")</f>
        <v>2</v>
      </c>
      <c r="BA1181" s="141">
        <f>COUNTIF(X1181:AN1181,"&lt;&gt;0")</f>
        <v>2</v>
      </c>
      <c r="BB1181">
        <f>COUNTIF(X1181:AE1181,"&lt;&gt;0")</f>
        <v>1</v>
      </c>
      <c r="BC1181">
        <f>COUNTIF(AF1181:AK1181,"&lt;&gt;0")</f>
        <v>1</v>
      </c>
      <c r="BD1181">
        <f>COUNTIF(AL1181:AN1181,"&lt;&gt;0")</f>
        <v>0</v>
      </c>
      <c r="BE1181">
        <f>COUNTIF(AU1181:AY1181,"&lt;&gt;0")</f>
        <v>0</v>
      </c>
      <c r="BF1181">
        <f>COUNTIF(AO1181:AT1181,"&lt;&gt;0")</f>
        <v>0</v>
      </c>
      <c r="BG1181" t="str">
        <f t="array" ref="BG1181">IF(BA1181=1,INDEX($X$7:$AN$7,MATCH(TRUE,INDEX($X1181:$AY1181&lt;&gt;0,),0)),IF(BA1181=0,INDEX($AO$7:$AY$7,MATCH(1,$AO1181:$AY1181,0)),IF(BH1181="Multiple strategies","mixed drivers",IF(BH1181="Supply chain","multiple supply","multiple silviculture"))))</f>
        <v>mixed drivers</v>
      </c>
      <c r="BH1181" s="2" t="str" cm="1">
        <f t="array" ref="BH1181">IF(COUNTIF(BB1181:BD1181,"&lt;&gt;0")=1,INDEX($X$4:$AY$4,MATCH(TRUE,INDEX($X1181:$AY1181&lt;&gt;0,),0)),IF(COUNTIF(BB1181:BD1181,"&lt;&gt;0")=0,INDEX($AO$4:$AY$4,MATCH(1,$AO1181:$AY1181,0)),"Multiple strategies"))</f>
        <v>Multiple strategies</v>
      </c>
      <c r="BI1181" s="1" t="s">
        <v>321</v>
      </c>
      <c r="BK1181" s="260" t="s">
        <v>978</v>
      </c>
      <c r="BL1181" t="s">
        <v>1865</v>
      </c>
      <c r="BM1181">
        <v>0</v>
      </c>
      <c r="BN1181">
        <v>6788</v>
      </c>
      <c r="BO1181" t="str">
        <f>IFERROR(BN1181/BM1181,"")</f>
        <v/>
      </c>
      <c r="BP1181">
        <f>BN1181-BM1181</f>
        <v>6788</v>
      </c>
      <c r="BQ1181">
        <f>BP1181*tC_to_m3</f>
        <v>29474.598349978292</v>
      </c>
      <c r="BR1181" t="s">
        <v>232</v>
      </c>
      <c r="BS1181" t="s">
        <v>424</v>
      </c>
      <c r="BT1181" t="s">
        <v>1870</v>
      </c>
      <c r="BW1181" s="144"/>
      <c r="BX1181">
        <v>-0.18</v>
      </c>
      <c r="BZ1181">
        <f>BX1181</f>
        <v>-0.18</v>
      </c>
      <c r="CA1181">
        <f>IFERROR(BZ1181/BQ1181,"")</f>
        <v>-6.1069534472598692E-6</v>
      </c>
      <c r="CB1181">
        <v>0</v>
      </c>
      <c r="CC1181">
        <v>0</v>
      </c>
      <c r="CD1181">
        <v>0</v>
      </c>
      <c r="CE1181">
        <v>0</v>
      </c>
      <c r="CF1181">
        <v>0</v>
      </c>
      <c r="CG1181">
        <v>0</v>
      </c>
      <c r="CH1181">
        <v>0</v>
      </c>
      <c r="CI1181">
        <v>0</v>
      </c>
      <c r="CJ1181">
        <v>0</v>
      </c>
      <c r="CK1181">
        <v>0</v>
      </c>
      <c r="CL1181">
        <v>0</v>
      </c>
      <c r="CM1181">
        <v>0</v>
      </c>
      <c r="CN1181">
        <v>0</v>
      </c>
      <c r="CO1181">
        <v>0</v>
      </c>
      <c r="CP1181" t="str">
        <f>IF($BN1181&lt;$BM1181,"refNeedCorrection","refOK")</f>
        <v>refOK</v>
      </c>
      <c r="CQ1181">
        <f>IF($CP1181="refOK",$BM1181,$BN1181)</f>
        <v>0</v>
      </c>
      <c r="CR1181">
        <f>IF($CP1181="refOK",$BN1181,$BM1181)</f>
        <v>6788</v>
      </c>
      <c r="CS1181">
        <f>IF($CP1181="refOK",$BQ1181,-$BQ1181)</f>
        <v>29474.598349978292</v>
      </c>
      <c r="CT1181">
        <f>IF(BI1181="Roundwood",$CS1181/2,$CS1181)</f>
        <v>14737.299174989146</v>
      </c>
      <c r="CU1181">
        <f>IF($CP1181="refOK",$BU1181,$BV1181)*IF($BR1181="Emissions positive",-1,1)</f>
        <v>0</v>
      </c>
      <c r="CV1181">
        <f>IF($CP1181="refOK",$BV1181,$BU1181)*IF($BR1181="Emissions positive",-1,1)</f>
        <v>0</v>
      </c>
      <c r="CW1181">
        <f>IF($CP1181="refNeedCorrection",-BZ1181,BZ1181)*IF($BR1181="Emissions positive",-1,1)</f>
        <v>-0.18</v>
      </c>
      <c r="CX1181">
        <f>IFERROR($CW1181/$CS1181,"")</f>
        <v>-6.1069534472598692E-6</v>
      </c>
      <c r="CY1181">
        <f>IFERROR($CW1181/$CS1181,"")</f>
        <v>-6.1069534472598692E-6</v>
      </c>
      <c r="CZ1181">
        <f>IFERROR($CW1181/$CT1181,"")</f>
        <v>-1.2213906894519738E-5</v>
      </c>
      <c r="DA1181" s="2" t="str">
        <f>IFERROR((CV1181-CU1181)/ABS(CU1181),"")</f>
        <v/>
      </c>
      <c r="DB1181" s="1" t="s">
        <v>1843</v>
      </c>
      <c r="DC1181" t="str">
        <f>IF(OR($DB1181="prd",$DB1181="std",$DB1181="cit"),"loc",IF(OR($DB1181="eur",$DB1181="reg",$DB1181="coy"),"reg",$DB1181))</f>
        <v>reg</v>
      </c>
      <c r="DD1181" t="s">
        <v>1867</v>
      </c>
      <c r="DE1181">
        <v>2021</v>
      </c>
      <c r="DF1181">
        <v>2040</v>
      </c>
      <c r="DG1181">
        <f>DF1181-DE1181</f>
        <v>19</v>
      </c>
      <c r="DH1181" t="str">
        <f>IF(DG1181=0,"0",IF(AND(DG1181&gt;=1,DG1181&lt;=30),"1-30",IF(AND(DG1181&gt;30,DG1181&lt;=70),"31-70",IF(AND(DG1181&gt;70,DG1181&lt;=100),"71-100",IF(DG1181&gt;100,"+100")))))</f>
        <v>1-30</v>
      </c>
      <c r="DI1181">
        <v>0</v>
      </c>
      <c r="DJ1181">
        <v>0</v>
      </c>
      <c r="DK1181">
        <v>0</v>
      </c>
      <c r="DL1181">
        <v>1</v>
      </c>
      <c r="DM1181">
        <v>0</v>
      </c>
      <c r="DN1181">
        <f>SUM(DI1181:DL1181)</f>
        <v>1</v>
      </c>
      <c r="DO1181" t="str">
        <f>IF(DN1181=1,INDEX($DI$7:$DL$7,MATCH(1,$DI1181:$DL1181,0)),"mixedProduct")</f>
        <v>TimberInput</v>
      </c>
      <c r="DP1181">
        <f>IF(DI1181=1,DP$7,0)</f>
        <v>0</v>
      </c>
      <c r="DQ1181">
        <f>IF(DJ1181=1,DQ$7,0)</f>
        <v>0</v>
      </c>
      <c r="DR1181">
        <f>IF(DK1181=1,DR$7,0)</f>
        <v>0</v>
      </c>
      <c r="DS1181" t="str">
        <f>IF(DL1181=1,DS$7,0)</f>
        <v>Timber</v>
      </c>
      <c r="DT1181">
        <v>0</v>
      </c>
      <c r="DU1181">
        <v>1</v>
      </c>
      <c r="DX1181" s="183" t="s">
        <v>1868</v>
      </c>
      <c r="DY1181"/>
      <c r="DZ1181" s="143" t="str">
        <f>IF(DT1181=1,"self-calculated DF",IF(DU1181=1,"external DF used","explicit C balance"))</f>
        <v>external DF used</v>
      </c>
      <c r="EA1181">
        <v>1</v>
      </c>
      <c r="EB1181">
        <v>1</v>
      </c>
      <c r="EC1181">
        <v>1</v>
      </c>
      <c r="ED1181">
        <v>1</v>
      </c>
      <c r="EE1181">
        <v>1</v>
      </c>
      <c r="EF1181">
        <v>1</v>
      </c>
      <c r="EG1181">
        <v>0</v>
      </c>
      <c r="EH1181">
        <v>0</v>
      </c>
      <c r="EI1181">
        <v>0</v>
      </c>
      <c r="EJ1181">
        <v>0</v>
      </c>
      <c r="EK1181">
        <v>1</v>
      </c>
      <c r="EL1181">
        <v>0</v>
      </c>
      <c r="EM1181">
        <v>1</v>
      </c>
      <c r="EN1181" s="2">
        <v>0</v>
      </c>
      <c r="EP1181" t="str">
        <f>IF(AND(AND(AND(OR($EC1181=1,$EB1181=1),OR($EH1181=1,$EF1181=1)),SUM($EA1181:$EE1181,$EK1181)&gt;=3),SUM($EF1181:$EJ1181)&gt;=2),"Whole sector approach","")</f>
        <v/>
      </c>
      <c r="EQ1181" t="str">
        <f>IF(AND(AND(OR($EC1181=1,$EB1181=1),AND($EH1181=0,$EF1181=0)),SUM($EA1181:$EE1181,$EK1181)&gt;=4),"Ecosystem approach","")</f>
        <v/>
      </c>
      <c r="ER1181" s="2" t="str">
        <f>IF(AND(AND(AND($EC1181=0,$EB1181=0),OR($EH1181=1,$EF1181=1)),SUM($EG1181:$EJ1181)&gt;=2),"Technology approach","")</f>
        <v/>
      </c>
      <c r="ES1181" t="str">
        <f>IF(AND($EC1181+$EB1181+$EE1181+$EA1181+$ED1181+$EG1181=0,$N1181="included"),"C neutral forest and HWP assumption","")</f>
        <v/>
      </c>
      <c r="ET1181" t="str">
        <f>IF(AND(AND(AND(AND($EC1181=1,$EB1181+$EA1181+$EG1181&gt;=1),$EF1181=1),$EH1181+$EI1181+$ED1181+$EE1181&gt;=2),$N1181="included"),"All C pools assumption","")</f>
        <v>All C pools assumption</v>
      </c>
      <c r="EU1181" t="str">
        <f>IF(AND($ED1181+$EE1181+$EI1181+$EH1181+$EF1181=0,$N1181="included"),"In-situ only assumption","")</f>
        <v/>
      </c>
      <c r="EY1181" t="str">
        <f>IF(ISNUMBER(BW1181),IF(ABS(BW1181-[2]QC_indicators!$B$2)&gt;3*[2]QC_indicators!$C$2,"C ratio",IF(ISNUMBER(CA1181),IF(ABS(CA1181-[2]QC_indicators!$B$1)&gt;3*[2]QC_indicators!$C$1,"DF","no"))),IF(ISNUMBER(CA1181),IF(ABS(CA1181-[2]QC_indicators!$B$1)&gt;3*[2]QC_indicators!$C$1,"DF","no")))</f>
        <v>no</v>
      </c>
      <c r="FA1181" t="str">
        <f>IF(LEN($CY1181)=0,"",IF(AND($CY1181&lt;(-0.05),$ES1181="C neutral forest and HWP assumption"),"Cneutral paradox",IF(AND($CY1181&gt;0.05,$EU1181="In-situ only assumption"),"In-situ only paradox","")))</f>
        <v/>
      </c>
      <c r="FD1181" s="260" t="s">
        <v>2948</v>
      </c>
    </row>
    <row r="1182" spans="4:160" hidden="1">
      <c r="D1182" t="s">
        <v>1859</v>
      </c>
      <c r="E1182" t="s">
        <v>1860</v>
      </c>
      <c r="G1182" t="s">
        <v>1861</v>
      </c>
      <c r="I1182">
        <v>2018</v>
      </c>
      <c r="K1182" s="150" t="s">
        <v>1862</v>
      </c>
      <c r="M1182" t="str">
        <f>LEFT($D1182,FIND(",",$D1182)-1)&amp;"_"&amp;I1182&amp;L1182</f>
        <v>Olguin_2018</v>
      </c>
      <c r="N1182" t="s">
        <v>222</v>
      </c>
      <c r="O1182" s="157" t="s">
        <v>274</v>
      </c>
      <c r="P1182" t="s">
        <v>508</v>
      </c>
      <c r="Q1182" t="s">
        <v>389</v>
      </c>
      <c r="R1182" s="258" t="s">
        <v>223</v>
      </c>
      <c r="S1182" s="259" t="s">
        <v>2886</v>
      </c>
      <c r="T1182" t="s">
        <v>1863</v>
      </c>
      <c r="U1182" t="s">
        <v>1864</v>
      </c>
      <c r="V1182" s="253">
        <v>0</v>
      </c>
      <c r="W1182" s="253">
        <v>0</v>
      </c>
      <c r="X1182">
        <v>0</v>
      </c>
      <c r="Y1182">
        <v>0</v>
      </c>
      <c r="Z1182">
        <v>0</v>
      </c>
      <c r="AA1182">
        <v>0</v>
      </c>
      <c r="AB1182">
        <v>0</v>
      </c>
      <c r="AC1182">
        <v>0</v>
      </c>
      <c r="AD1182">
        <v>0</v>
      </c>
      <c r="AE1182">
        <v>1</v>
      </c>
      <c r="AF1182">
        <v>0</v>
      </c>
      <c r="AG1182">
        <v>0</v>
      </c>
      <c r="AH1182">
        <v>1</v>
      </c>
      <c r="AI1182">
        <v>0</v>
      </c>
      <c r="AJ1182">
        <v>0</v>
      </c>
      <c r="AK1182">
        <v>0</v>
      </c>
      <c r="AL1182">
        <v>0</v>
      </c>
      <c r="AM1182">
        <v>0</v>
      </c>
      <c r="AN1182">
        <v>0</v>
      </c>
      <c r="AO1182">
        <v>0</v>
      </c>
      <c r="AP1182">
        <v>0</v>
      </c>
      <c r="AQ1182">
        <v>0</v>
      </c>
      <c r="AR1182">
        <v>0</v>
      </c>
      <c r="AS1182">
        <v>0</v>
      </c>
      <c r="AT1182">
        <v>0</v>
      </c>
      <c r="AU1182">
        <v>0</v>
      </c>
      <c r="AV1182">
        <v>0</v>
      </c>
      <c r="AW1182">
        <v>0</v>
      </c>
      <c r="AX1182">
        <v>0</v>
      </c>
      <c r="AY1182">
        <v>0</v>
      </c>
      <c r="AZ1182" s="141">
        <f>COUNTIF(X1182:AY1182,"&lt;&gt;0")</f>
        <v>2</v>
      </c>
      <c r="BA1182" s="141">
        <f>COUNTIF(X1182:AN1182,"&lt;&gt;0")</f>
        <v>2</v>
      </c>
      <c r="BB1182">
        <f>COUNTIF(X1182:AE1182,"&lt;&gt;0")</f>
        <v>1</v>
      </c>
      <c r="BC1182">
        <f>COUNTIF(AF1182:AK1182,"&lt;&gt;0")</f>
        <v>1</v>
      </c>
      <c r="BD1182">
        <f>COUNTIF(AL1182:AN1182,"&lt;&gt;0")</f>
        <v>0</v>
      </c>
      <c r="BE1182">
        <f>COUNTIF(AU1182:AY1182,"&lt;&gt;0")</f>
        <v>0</v>
      </c>
      <c r="BF1182">
        <f>COUNTIF(AO1182:AT1182,"&lt;&gt;0")</f>
        <v>0</v>
      </c>
      <c r="BG1182" t="str">
        <f t="array" ref="BG1182">IF(BA1182=1,INDEX($X$7:$AN$7,MATCH(TRUE,INDEX($X1182:$AY1182&lt;&gt;0,),0)),IF(BA1182=0,INDEX($AO$7:$AY$7,MATCH(1,$AO1182:$AY1182,0)),IF(BH1182="Multiple strategies","mixed drivers",IF(BH1182="Supply chain","multiple supply","multiple silviculture"))))</f>
        <v>mixed drivers</v>
      </c>
      <c r="BH1182" s="2" t="str" cm="1">
        <f t="array" ref="BH1182">IF(COUNTIF(BB1182:BD1182,"&lt;&gt;0")=1,INDEX($X$4:$AY$4,MATCH(TRUE,INDEX($X1182:$AY1182&lt;&gt;0,),0)),IF(COUNTIF(BB1182:BD1182,"&lt;&gt;0")=0,INDEX($AO$4:$AY$4,MATCH(1,$AO1182:$AY1182,0)),"Multiple strategies"))</f>
        <v>Multiple strategies</v>
      </c>
      <c r="BI1182" s="1" t="s">
        <v>321</v>
      </c>
      <c r="BK1182" s="260" t="s">
        <v>978</v>
      </c>
      <c r="BL1182" t="s">
        <v>1865</v>
      </c>
      <c r="BM1182">
        <v>0</v>
      </c>
      <c r="BN1182">
        <v>6788</v>
      </c>
      <c r="BO1182" t="str">
        <f>IFERROR(BN1182/BM1182,"")</f>
        <v/>
      </c>
      <c r="BP1182">
        <f>BN1182-BM1182</f>
        <v>6788</v>
      </c>
      <c r="BQ1182">
        <f>BP1182*tC_to_m3</f>
        <v>29474.598349978292</v>
      </c>
      <c r="BR1182" t="s">
        <v>232</v>
      </c>
      <c r="BS1182" t="s">
        <v>424</v>
      </c>
      <c r="BT1182" t="s">
        <v>1870</v>
      </c>
      <c r="BW1182" s="144"/>
      <c r="BX1182">
        <v>-0.18</v>
      </c>
      <c r="BZ1182">
        <f>BX1182</f>
        <v>-0.18</v>
      </c>
      <c r="CA1182">
        <f>IFERROR(BZ1182/BQ1182,"")</f>
        <v>-6.1069534472598692E-6</v>
      </c>
      <c r="CB1182">
        <v>0</v>
      </c>
      <c r="CC1182">
        <v>0</v>
      </c>
      <c r="CD1182">
        <v>0</v>
      </c>
      <c r="CE1182">
        <v>0</v>
      </c>
      <c r="CF1182">
        <v>0</v>
      </c>
      <c r="CG1182">
        <v>0</v>
      </c>
      <c r="CH1182">
        <v>0</v>
      </c>
      <c r="CI1182">
        <v>0</v>
      </c>
      <c r="CJ1182">
        <v>0</v>
      </c>
      <c r="CK1182">
        <v>0</v>
      </c>
      <c r="CL1182">
        <v>0</v>
      </c>
      <c r="CM1182">
        <v>0</v>
      </c>
      <c r="CN1182">
        <v>0</v>
      </c>
      <c r="CO1182">
        <v>0</v>
      </c>
      <c r="CP1182" t="str">
        <f>IF($BN1182&lt;$BM1182,"refNeedCorrection","refOK")</f>
        <v>refOK</v>
      </c>
      <c r="CQ1182">
        <f>IF($CP1182="refOK",$BM1182,$BN1182)</f>
        <v>0</v>
      </c>
      <c r="CR1182">
        <f>IF($CP1182="refOK",$BN1182,$BM1182)</f>
        <v>6788</v>
      </c>
      <c r="CS1182">
        <f>IF($CP1182="refOK",$BQ1182,-$BQ1182)</f>
        <v>29474.598349978292</v>
      </c>
      <c r="CT1182">
        <f>IF(BI1182="Roundwood",$CS1182/2,$CS1182)</f>
        <v>14737.299174989146</v>
      </c>
      <c r="CU1182">
        <f>IF($CP1182="refOK",$BU1182,$BV1182)*IF($BR1182="Emissions positive",-1,1)</f>
        <v>0</v>
      </c>
      <c r="CV1182">
        <f>IF($CP1182="refOK",$BV1182,$BU1182)*IF($BR1182="Emissions positive",-1,1)</f>
        <v>0</v>
      </c>
      <c r="CW1182">
        <f>IF($CP1182="refNeedCorrection",-BZ1182,BZ1182)*IF($BR1182="Emissions positive",-1,1)</f>
        <v>-0.18</v>
      </c>
      <c r="CX1182">
        <f>IFERROR($CW1182/$CS1182,"")</f>
        <v>-6.1069534472598692E-6</v>
      </c>
      <c r="CY1182">
        <f>IFERROR($CW1182/$CS1182,"")</f>
        <v>-6.1069534472598692E-6</v>
      </c>
      <c r="CZ1182">
        <f>IFERROR($CW1182/$CT1182,"")</f>
        <v>-1.2213906894519738E-5</v>
      </c>
      <c r="DA1182" s="2" t="str">
        <f>IFERROR((CV1182-CU1182)/ABS(CU1182),"")</f>
        <v/>
      </c>
      <c r="DB1182" s="1" t="s">
        <v>1843</v>
      </c>
      <c r="DC1182" t="str">
        <f>IF(OR($DB1182="prd",$DB1182="std",$DB1182="cit"),"loc",IF(OR($DB1182="eur",$DB1182="reg",$DB1182="coy"),"reg",$DB1182))</f>
        <v>reg</v>
      </c>
      <c r="DD1182" t="s">
        <v>1867</v>
      </c>
      <c r="DE1182">
        <v>2021</v>
      </c>
      <c r="DF1182">
        <v>2050</v>
      </c>
      <c r="DG1182">
        <f>DF1182-DE1182</f>
        <v>29</v>
      </c>
      <c r="DH1182" t="str">
        <f>IF(DG1182=0,"0",IF(AND(DG1182&gt;=1,DG1182&lt;=30),"1-30",IF(AND(DG1182&gt;30,DG1182&lt;=70),"31-70",IF(AND(DG1182&gt;70,DG1182&lt;=100),"71-100",IF(DG1182&gt;100,"+100")))))</f>
        <v>1-30</v>
      </c>
      <c r="DI1182">
        <v>0</v>
      </c>
      <c r="DJ1182">
        <v>0</v>
      </c>
      <c r="DK1182">
        <v>0</v>
      </c>
      <c r="DL1182">
        <v>1</v>
      </c>
      <c r="DM1182">
        <v>0</v>
      </c>
      <c r="DN1182">
        <f>SUM(DI1182:DL1182)</f>
        <v>1</v>
      </c>
      <c r="DO1182" t="str">
        <f>IF(DN1182=1,INDEX($DI$7:$DL$7,MATCH(1,$DI1182:$DL1182,0)),"mixedProduct")</f>
        <v>TimberInput</v>
      </c>
      <c r="DP1182">
        <f>IF(DI1182=1,DP$7,0)</f>
        <v>0</v>
      </c>
      <c r="DQ1182">
        <f>IF(DJ1182=1,DQ$7,0)</f>
        <v>0</v>
      </c>
      <c r="DR1182">
        <f>IF(DK1182=1,DR$7,0)</f>
        <v>0</v>
      </c>
      <c r="DS1182" t="str">
        <f>IF(DL1182=1,DS$7,0)</f>
        <v>Timber</v>
      </c>
      <c r="DT1182">
        <v>0</v>
      </c>
      <c r="DU1182">
        <v>1</v>
      </c>
      <c r="DX1182" s="183" t="s">
        <v>1868</v>
      </c>
      <c r="DY1182"/>
      <c r="DZ1182" s="143" t="str">
        <f>IF(DT1182=1,"self-calculated DF",IF(DU1182=1,"external DF used","explicit C balance"))</f>
        <v>external DF used</v>
      </c>
      <c r="EA1182">
        <v>1</v>
      </c>
      <c r="EB1182">
        <v>1</v>
      </c>
      <c r="EC1182">
        <v>1</v>
      </c>
      <c r="ED1182">
        <v>1</v>
      </c>
      <c r="EE1182">
        <v>1</v>
      </c>
      <c r="EF1182">
        <v>1</v>
      </c>
      <c r="EG1182">
        <v>0</v>
      </c>
      <c r="EH1182">
        <v>0</v>
      </c>
      <c r="EI1182">
        <v>0</v>
      </c>
      <c r="EJ1182">
        <v>0</v>
      </c>
      <c r="EK1182">
        <v>1</v>
      </c>
      <c r="EL1182">
        <v>0</v>
      </c>
      <c r="EM1182">
        <v>1</v>
      </c>
      <c r="EN1182" s="2">
        <v>0</v>
      </c>
      <c r="EP1182" t="str">
        <f>IF(AND(AND(AND(OR($EC1182=1,$EB1182=1),OR($EH1182=1,$EF1182=1)),SUM($EA1182:$EE1182,$EK1182)&gt;=3),SUM($EF1182:$EJ1182)&gt;=2),"Whole sector approach","")</f>
        <v/>
      </c>
      <c r="EQ1182" t="str">
        <f>IF(AND(AND(OR($EC1182=1,$EB1182=1),AND($EH1182=0,$EF1182=0)),SUM($EA1182:$EE1182,$EK1182)&gt;=4),"Ecosystem approach","")</f>
        <v/>
      </c>
      <c r="ER1182" s="2" t="str">
        <f>IF(AND(AND(AND($EC1182=0,$EB1182=0),OR($EH1182=1,$EF1182=1)),SUM($EG1182:$EJ1182)&gt;=2),"Technology approach","")</f>
        <v/>
      </c>
      <c r="ES1182" t="str">
        <f>IF(AND($EC1182+$EB1182+$EE1182+$EA1182+$ED1182+$EG1182=0,$N1182="included"),"C neutral forest and HWP assumption","")</f>
        <v/>
      </c>
      <c r="ET1182" t="str">
        <f>IF(AND(AND(AND(AND($EC1182=1,$EB1182+$EA1182+$EG1182&gt;=1),$EF1182=1),$EH1182+$EI1182+$ED1182+$EE1182&gt;=2),$N1182="included"),"All C pools assumption","")</f>
        <v>All C pools assumption</v>
      </c>
      <c r="EU1182" t="str">
        <f>IF(AND($ED1182+$EE1182+$EI1182+$EH1182+$EF1182=0,$N1182="included"),"In-situ only assumption","")</f>
        <v/>
      </c>
      <c r="EY1182" t="str">
        <f>IF(ISNUMBER(BW1182),IF(ABS(BW1182-[2]QC_indicators!$B$2)&gt;3*[2]QC_indicators!$C$2,"C ratio",IF(ISNUMBER(CA1182),IF(ABS(CA1182-[2]QC_indicators!$B$1)&gt;3*[2]QC_indicators!$C$1,"DF","no"))),IF(ISNUMBER(CA1182),IF(ABS(CA1182-[2]QC_indicators!$B$1)&gt;3*[2]QC_indicators!$C$1,"DF","no")))</f>
        <v>no</v>
      </c>
      <c r="FA1182" t="str">
        <f>IF(LEN($CY1182)=0,"",IF(AND($CY1182&lt;(-0.05),$ES1182="C neutral forest and HWP assumption"),"Cneutral paradox",IF(AND($CY1182&gt;0.05,$EU1182="In-situ only assumption"),"In-situ only paradox","")))</f>
        <v/>
      </c>
      <c r="FD1182" s="260" t="s">
        <v>2948</v>
      </c>
    </row>
    <row r="1183" spans="4:160" hidden="1">
      <c r="D1183" t="s">
        <v>1859</v>
      </c>
      <c r="E1183" t="s">
        <v>1860</v>
      </c>
      <c r="G1183" t="s">
        <v>1861</v>
      </c>
      <c r="I1183">
        <v>2018</v>
      </c>
      <c r="K1183" s="150" t="s">
        <v>1862</v>
      </c>
      <c r="M1183" t="str">
        <f>LEFT($D1183,FIND(",",$D1183)-1)&amp;"_"&amp;I1183&amp;L1183</f>
        <v>Olguin_2018</v>
      </c>
      <c r="N1183" t="s">
        <v>222</v>
      </c>
      <c r="O1183" s="157" t="s">
        <v>274</v>
      </c>
      <c r="P1183" t="s">
        <v>508</v>
      </c>
      <c r="Q1183" t="s">
        <v>389</v>
      </c>
      <c r="R1183" s="258" t="s">
        <v>223</v>
      </c>
      <c r="S1183" s="259" t="s">
        <v>2884</v>
      </c>
      <c r="T1183" t="s">
        <v>1863</v>
      </c>
      <c r="U1183" t="s">
        <v>1869</v>
      </c>
      <c r="V1183" s="253">
        <v>0</v>
      </c>
      <c r="W1183" s="253">
        <v>0</v>
      </c>
      <c r="X1183">
        <v>0</v>
      </c>
      <c r="Y1183">
        <v>0</v>
      </c>
      <c r="Z1183">
        <v>0</v>
      </c>
      <c r="AA1183">
        <v>0</v>
      </c>
      <c r="AB1183">
        <v>0</v>
      </c>
      <c r="AC1183">
        <v>0</v>
      </c>
      <c r="AD1183">
        <v>0</v>
      </c>
      <c r="AE1183">
        <v>1</v>
      </c>
      <c r="AF1183">
        <v>0</v>
      </c>
      <c r="AG1183">
        <v>0</v>
      </c>
      <c r="AH1183">
        <v>1</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s="141">
        <f>COUNTIF(X1183:AY1183,"&lt;&gt;0")</f>
        <v>2</v>
      </c>
      <c r="BA1183" s="141">
        <f>COUNTIF(X1183:AN1183,"&lt;&gt;0")</f>
        <v>2</v>
      </c>
      <c r="BB1183">
        <f>COUNTIF(X1183:AE1183,"&lt;&gt;0")</f>
        <v>1</v>
      </c>
      <c r="BC1183">
        <f>COUNTIF(AF1183:AK1183,"&lt;&gt;0")</f>
        <v>1</v>
      </c>
      <c r="BD1183">
        <f>COUNTIF(AL1183:AN1183,"&lt;&gt;0")</f>
        <v>0</v>
      </c>
      <c r="BE1183">
        <f>COUNTIF(AU1183:AY1183,"&lt;&gt;0")</f>
        <v>0</v>
      </c>
      <c r="BF1183">
        <f>COUNTIF(AO1183:AT1183,"&lt;&gt;0")</f>
        <v>0</v>
      </c>
      <c r="BG1183" t="str">
        <f t="array" ref="BG1183">IF(BA1183=1,INDEX($X$7:$AN$7,MATCH(TRUE,INDEX($X1183:$AY1183&lt;&gt;0,),0)),IF(BA1183=0,INDEX($AO$7:$AY$7,MATCH(1,$AO1183:$AY1183,0)),IF(BH1183="Multiple strategies","mixed drivers",IF(BH1183="Supply chain","multiple supply","multiple silviculture"))))</f>
        <v>mixed drivers</v>
      </c>
      <c r="BH1183" s="2" t="str" cm="1">
        <f t="array" ref="BH1183">IF(COUNTIF(BB1183:BD1183,"&lt;&gt;0")=1,INDEX($X$4:$AY$4,MATCH(TRUE,INDEX($X1183:$AY1183&lt;&gt;0,),0)),IF(COUNTIF(BB1183:BD1183,"&lt;&gt;0")=0,INDEX($AO$4:$AY$4,MATCH(1,$AO1183:$AY1183,0)),"Multiple strategies"))</f>
        <v>Multiple strategies</v>
      </c>
      <c r="BI1183" s="1" t="s">
        <v>321</v>
      </c>
      <c r="BK1183" s="260" t="s">
        <v>978</v>
      </c>
      <c r="BL1183" t="s">
        <v>1865</v>
      </c>
      <c r="BM1183">
        <v>0</v>
      </c>
      <c r="BN1183">
        <v>6788</v>
      </c>
      <c r="BO1183" t="str">
        <f>IFERROR(BN1183/BM1183,"")</f>
        <v/>
      </c>
      <c r="BP1183">
        <f>BN1183-BM1183</f>
        <v>6788</v>
      </c>
      <c r="BQ1183">
        <f>BP1183*tC_to_m3</f>
        <v>29474.598349978292</v>
      </c>
      <c r="BR1183" t="s">
        <v>232</v>
      </c>
      <c r="BS1183" t="s">
        <v>424</v>
      </c>
      <c r="BT1183" t="s">
        <v>1870</v>
      </c>
      <c r="BW1183" s="144"/>
      <c r="BX1183">
        <v>-0.22</v>
      </c>
      <c r="BZ1183">
        <f>BX1183</f>
        <v>-0.22</v>
      </c>
      <c r="CA1183">
        <f>IFERROR(BZ1183/BQ1183,"")</f>
        <v>-7.4640542133176188E-6</v>
      </c>
      <c r="CB1183">
        <v>0</v>
      </c>
      <c r="CC1183">
        <v>0</v>
      </c>
      <c r="CD1183">
        <v>0</v>
      </c>
      <c r="CE1183">
        <v>0</v>
      </c>
      <c r="CF1183">
        <v>0</v>
      </c>
      <c r="CG1183">
        <v>0</v>
      </c>
      <c r="CH1183">
        <v>0</v>
      </c>
      <c r="CI1183">
        <v>0</v>
      </c>
      <c r="CJ1183">
        <v>0</v>
      </c>
      <c r="CK1183">
        <v>0</v>
      </c>
      <c r="CL1183">
        <v>0</v>
      </c>
      <c r="CM1183">
        <v>0</v>
      </c>
      <c r="CN1183">
        <v>0</v>
      </c>
      <c r="CO1183">
        <v>0</v>
      </c>
      <c r="CP1183" t="str">
        <f>IF($BN1183&lt;$BM1183,"refNeedCorrection","refOK")</f>
        <v>refOK</v>
      </c>
      <c r="CQ1183">
        <f>IF($CP1183="refOK",$BM1183,$BN1183)</f>
        <v>0</v>
      </c>
      <c r="CR1183">
        <f>IF($CP1183="refOK",$BN1183,$BM1183)</f>
        <v>6788</v>
      </c>
      <c r="CS1183">
        <f>IF($CP1183="refOK",$BQ1183,-$BQ1183)</f>
        <v>29474.598349978292</v>
      </c>
      <c r="CT1183">
        <f>IF(BI1183="Roundwood",$CS1183/2,$CS1183)</f>
        <v>14737.299174989146</v>
      </c>
      <c r="CU1183">
        <f>IF($CP1183="refOK",$BU1183,$BV1183)*IF($BR1183="Emissions positive",-1,1)</f>
        <v>0</v>
      </c>
      <c r="CV1183">
        <f>IF($CP1183="refOK",$BV1183,$BU1183)*IF($BR1183="Emissions positive",-1,1)</f>
        <v>0</v>
      </c>
      <c r="CW1183">
        <f>IF($CP1183="refNeedCorrection",-BZ1183,BZ1183)*IF($BR1183="Emissions positive",-1,1)</f>
        <v>-0.22</v>
      </c>
      <c r="CX1183">
        <f>IFERROR($CW1183/$CS1183,"")</f>
        <v>-7.4640542133176188E-6</v>
      </c>
      <c r="CY1183">
        <f>IFERROR($CW1183/$CS1183,"")</f>
        <v>-7.4640542133176188E-6</v>
      </c>
      <c r="CZ1183">
        <f>IFERROR($CW1183/$CT1183,"")</f>
        <v>-1.4928108426635238E-5</v>
      </c>
      <c r="DA1183" s="2" t="str">
        <f>IFERROR((CV1183-CU1183)/ABS(CU1183),"")</f>
        <v/>
      </c>
      <c r="DB1183" s="1" t="s">
        <v>1843</v>
      </c>
      <c r="DC1183" t="str">
        <f>IF(OR($DB1183="prd",$DB1183="std",$DB1183="cit"),"loc",IF(OR($DB1183="eur",$DB1183="reg",$DB1183="coy"),"reg",$DB1183))</f>
        <v>reg</v>
      </c>
      <c r="DD1183" t="s">
        <v>1867</v>
      </c>
      <c r="DE1183">
        <v>2021</v>
      </c>
      <c r="DF1183">
        <v>2050</v>
      </c>
      <c r="DG1183">
        <f>DF1183-DE1183</f>
        <v>29</v>
      </c>
      <c r="DH1183" t="str">
        <f>IF(DG1183=0,"0",IF(AND(DG1183&gt;=1,DG1183&lt;=30),"1-30",IF(AND(DG1183&gt;30,DG1183&lt;=70),"31-70",IF(AND(DG1183&gt;70,DG1183&lt;=100),"71-100",IF(DG1183&gt;100,"+100")))))</f>
        <v>1-30</v>
      </c>
      <c r="DI1183">
        <v>0</v>
      </c>
      <c r="DJ1183">
        <v>0</v>
      </c>
      <c r="DK1183">
        <v>0</v>
      </c>
      <c r="DL1183">
        <v>1</v>
      </c>
      <c r="DM1183">
        <v>0</v>
      </c>
      <c r="DN1183">
        <f>SUM(DI1183:DL1183)</f>
        <v>1</v>
      </c>
      <c r="DO1183" t="str">
        <f>IF(DN1183=1,INDEX($DI$7:$DL$7,MATCH(1,$DI1183:$DL1183,0)),"mixedProduct")</f>
        <v>TimberInput</v>
      </c>
      <c r="DP1183">
        <f>IF(DI1183=1,DP$7,0)</f>
        <v>0</v>
      </c>
      <c r="DQ1183">
        <f>IF(DJ1183=1,DQ$7,0)</f>
        <v>0</v>
      </c>
      <c r="DR1183">
        <f>IF(DK1183=1,DR$7,0)</f>
        <v>0</v>
      </c>
      <c r="DS1183" t="str">
        <f>IF(DL1183=1,DS$7,0)</f>
        <v>Timber</v>
      </c>
      <c r="DT1183">
        <v>0</v>
      </c>
      <c r="DU1183">
        <v>1</v>
      </c>
      <c r="DX1183" s="183" t="s">
        <v>1868</v>
      </c>
      <c r="DY1183"/>
      <c r="DZ1183" s="143" t="str">
        <f>IF(DT1183=1,"self-calculated DF",IF(DU1183=1,"external DF used","explicit C balance"))</f>
        <v>external DF used</v>
      </c>
      <c r="EA1183">
        <v>1</v>
      </c>
      <c r="EB1183">
        <v>1</v>
      </c>
      <c r="EC1183">
        <v>1</v>
      </c>
      <c r="ED1183">
        <v>1</v>
      </c>
      <c r="EE1183">
        <v>1</v>
      </c>
      <c r="EF1183">
        <v>1</v>
      </c>
      <c r="EG1183">
        <v>0</v>
      </c>
      <c r="EH1183">
        <v>0</v>
      </c>
      <c r="EI1183">
        <v>0</v>
      </c>
      <c r="EJ1183">
        <v>0</v>
      </c>
      <c r="EK1183">
        <v>1</v>
      </c>
      <c r="EL1183">
        <v>0</v>
      </c>
      <c r="EM1183">
        <v>1</v>
      </c>
      <c r="EN1183" s="2">
        <v>0</v>
      </c>
      <c r="EP1183" t="str">
        <f>IF(AND(AND(AND(OR($EC1183=1,$EB1183=1),OR($EH1183=1,$EF1183=1)),SUM($EA1183:$EE1183,$EK1183)&gt;=3),SUM($EF1183:$EJ1183)&gt;=2),"Whole sector approach","")</f>
        <v/>
      </c>
      <c r="EQ1183" t="str">
        <f>IF(AND(AND(OR($EC1183=1,$EB1183=1),AND($EH1183=0,$EF1183=0)),SUM($EA1183:$EE1183,$EK1183)&gt;=4),"Ecosystem approach","")</f>
        <v/>
      </c>
      <c r="ER1183" s="2" t="str">
        <f>IF(AND(AND(AND($EC1183=0,$EB1183=0),OR($EH1183=1,$EF1183=1)),SUM($EG1183:$EJ1183)&gt;=2),"Technology approach","")</f>
        <v/>
      </c>
      <c r="ES1183" t="str">
        <f>IF(AND($EC1183+$EB1183+$EE1183+$EA1183+$ED1183+$EG1183=0,$N1183="included"),"C neutral forest and HWP assumption","")</f>
        <v/>
      </c>
      <c r="ET1183" t="str">
        <f>IF(AND(AND(AND(AND($EC1183=1,$EB1183+$EA1183+$EG1183&gt;=1),$EF1183=1),$EH1183+$EI1183+$ED1183+$EE1183&gt;=2),$N1183="included"),"All C pools assumption","")</f>
        <v>All C pools assumption</v>
      </c>
      <c r="EU1183" t="str">
        <f>IF(AND($ED1183+$EE1183+$EI1183+$EH1183+$EF1183=0,$N1183="included"),"In-situ only assumption","")</f>
        <v/>
      </c>
      <c r="EY1183" t="str">
        <f>IF(ISNUMBER(BW1183),IF(ABS(BW1183-[2]QC_indicators!$B$2)&gt;3*[2]QC_indicators!$C$2,"C ratio",IF(ISNUMBER(CA1183),IF(ABS(CA1183-[2]QC_indicators!$B$1)&gt;3*[2]QC_indicators!$C$1,"DF","no"))),IF(ISNUMBER(CA1183),IF(ABS(CA1183-[2]QC_indicators!$B$1)&gt;3*[2]QC_indicators!$C$1,"DF","no")))</f>
        <v>no</v>
      </c>
      <c r="FA1183" t="str">
        <f>IF(LEN($CY1183)=0,"",IF(AND($CY1183&lt;(-0.05),$ES1183="C neutral forest and HWP assumption"),"Cneutral paradox",IF(AND($CY1183&gt;0.05,$EU1183="In-situ only assumption"),"In-situ only paradox","")))</f>
        <v/>
      </c>
      <c r="FD1183" s="260" t="s">
        <v>2948</v>
      </c>
    </row>
    <row r="1184" spans="4:160" ht="15" hidden="1" customHeight="1">
      <c r="D1184" t="s">
        <v>1859</v>
      </c>
      <c r="E1184" t="s">
        <v>1860</v>
      </c>
      <c r="G1184" t="s">
        <v>1861</v>
      </c>
      <c r="I1184">
        <v>2018</v>
      </c>
      <c r="K1184" s="150" t="s">
        <v>1862</v>
      </c>
      <c r="M1184" t="str">
        <f>LEFT($D1184,FIND(",",$D1184)-1)&amp;"_"&amp;I1184&amp;L1184</f>
        <v>Olguin_2018</v>
      </c>
      <c r="N1184" t="s">
        <v>222</v>
      </c>
      <c r="O1184" s="157" t="s">
        <v>274</v>
      </c>
      <c r="P1184" t="s">
        <v>508</v>
      </c>
      <c r="Q1184" t="s">
        <v>389</v>
      </c>
      <c r="R1184" s="258" t="s">
        <v>223</v>
      </c>
      <c r="S1184" s="259" t="s">
        <v>2869</v>
      </c>
      <c r="T1184" t="s">
        <v>1863</v>
      </c>
      <c r="U1184" t="s">
        <v>1864</v>
      </c>
      <c r="V1184" s="253">
        <v>0</v>
      </c>
      <c r="W1184" s="253">
        <v>0</v>
      </c>
      <c r="X1184">
        <v>0</v>
      </c>
      <c r="Y1184">
        <v>0</v>
      </c>
      <c r="Z1184">
        <v>0</v>
      </c>
      <c r="AA1184">
        <v>0</v>
      </c>
      <c r="AB1184">
        <v>0</v>
      </c>
      <c r="AC1184">
        <v>0</v>
      </c>
      <c r="AD1184">
        <v>0</v>
      </c>
      <c r="AE1184">
        <v>1</v>
      </c>
      <c r="AF1184">
        <v>0</v>
      </c>
      <c r="AG1184">
        <v>0</v>
      </c>
      <c r="AH1184">
        <v>1</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s="141">
        <f>COUNTIF(X1184:AY1184,"&lt;&gt;0")</f>
        <v>2</v>
      </c>
      <c r="BA1184" s="141">
        <f>COUNTIF(X1184:AN1184,"&lt;&gt;0")</f>
        <v>2</v>
      </c>
      <c r="BB1184">
        <f>COUNTIF(X1184:AE1184,"&lt;&gt;0")</f>
        <v>1</v>
      </c>
      <c r="BC1184">
        <f>COUNTIF(AF1184:AK1184,"&lt;&gt;0")</f>
        <v>1</v>
      </c>
      <c r="BD1184">
        <f>COUNTIF(AL1184:AN1184,"&lt;&gt;0")</f>
        <v>0</v>
      </c>
      <c r="BE1184">
        <f>COUNTIF(AU1184:AY1184,"&lt;&gt;0")</f>
        <v>0</v>
      </c>
      <c r="BF1184">
        <f>COUNTIF(AO1184:AT1184,"&lt;&gt;0")</f>
        <v>0</v>
      </c>
      <c r="BG1184" t="str">
        <f t="array" ref="BG1184">IF(BA1184=1,INDEX($X$7:$AN$7,MATCH(TRUE,INDEX($X1184:$AY1184&lt;&gt;0,),0)),IF(BA1184=0,INDEX($AO$7:$AY$7,MATCH(1,$AO1184:$AY1184,0)),IF(BH1184="Multiple strategies","mixed drivers",IF(BH1184="Supply chain","multiple supply","multiple silviculture"))))</f>
        <v>mixed drivers</v>
      </c>
      <c r="BH1184" s="2" t="str" cm="1">
        <f t="array" ref="BH1184">IF(COUNTIF(BB1184:BD1184,"&lt;&gt;0")=1,INDEX($X$4:$AY$4,MATCH(TRUE,INDEX($X1184:$AY1184&lt;&gt;0,),0)),IF(COUNTIF(BB1184:BD1184,"&lt;&gt;0")=0,INDEX($AO$4:$AY$4,MATCH(1,$AO1184:$AY1184,0)),"Multiple strategies"))</f>
        <v>Multiple strategies</v>
      </c>
      <c r="BI1184" s="1" t="s">
        <v>321</v>
      </c>
      <c r="BK1184" s="260" t="s">
        <v>978</v>
      </c>
      <c r="BL1184" s="260" t="s">
        <v>1865</v>
      </c>
      <c r="BM1184">
        <v>0</v>
      </c>
      <c r="BN1184">
        <v>218025</v>
      </c>
      <c r="BO1184" t="str">
        <f>IFERROR(#REF!/BM1184,"")</f>
        <v/>
      </c>
      <c r="BP1184">
        <f>BN1184-BM1184</f>
        <v>218025</v>
      </c>
      <c r="BQ1184">
        <f>BP1184*tC_to_m3</f>
        <v>946699.95657837612</v>
      </c>
      <c r="BR1184" t="s">
        <v>232</v>
      </c>
      <c r="BS1184" t="s">
        <v>424</v>
      </c>
      <c r="BT1184" t="s">
        <v>1866</v>
      </c>
      <c r="BW1184" s="144"/>
      <c r="BX1184">
        <v>-0.31</v>
      </c>
      <c r="BZ1184">
        <f>BX1184*10^6</f>
        <v>-310000</v>
      </c>
      <c r="CA1184">
        <f>IFERROR(BZ1184/BQ1184,"")</f>
        <v>-0.32745327370714367</v>
      </c>
      <c r="CB1184">
        <v>0</v>
      </c>
      <c r="CC1184">
        <v>0</v>
      </c>
      <c r="CD1184">
        <v>0</v>
      </c>
      <c r="CE1184">
        <v>0</v>
      </c>
      <c r="CF1184">
        <v>0</v>
      </c>
      <c r="CG1184">
        <v>0</v>
      </c>
      <c r="CH1184">
        <v>0</v>
      </c>
      <c r="CI1184">
        <v>0</v>
      </c>
      <c r="CJ1184">
        <v>0</v>
      </c>
      <c r="CK1184">
        <v>0</v>
      </c>
      <c r="CL1184">
        <v>0</v>
      </c>
      <c r="CM1184">
        <v>0</v>
      </c>
      <c r="CN1184">
        <v>0</v>
      </c>
      <c r="CO1184">
        <v>0</v>
      </c>
      <c r="CP1184" t="str">
        <f>IF($BN1184&lt;$BM1184,"refNeedCorrection","refOK")</f>
        <v>refOK</v>
      </c>
      <c r="CQ1184">
        <f>IF($CP1184="refOK",$BM1184,$BN1184)</f>
        <v>0</v>
      </c>
      <c r="CR1184">
        <f>IF($CP1184="refOK",$BN1184,$BM1184)</f>
        <v>218025</v>
      </c>
      <c r="CS1184">
        <f>IF($CP1184="refOK",$BQ1184,-$BQ1184)</f>
        <v>946699.95657837612</v>
      </c>
      <c r="CT1184">
        <f>IF(BI1184="Roundwood",$CS1184/2,$CS1184)</f>
        <v>473349.97828918806</v>
      </c>
      <c r="CU1184">
        <f>IF($CP1184="refOK",$BU1184,$BV1184)*IF($BR1184="Emissions positive",-1,1)</f>
        <v>0</v>
      </c>
      <c r="CV1184">
        <f>IF($CP1184="refOK",$BV1184,$BU1184)*IF($BR1184="Emissions positive",-1,1)</f>
        <v>0</v>
      </c>
      <c r="CW1184">
        <f>IF($CP1184="refNeedCorrection",-BZ1184,BZ1184)*IF($BR1184="Emissions positive",-1,1)</f>
        <v>-310000</v>
      </c>
      <c r="CX1184">
        <f>IFERROR($CW1184/$CS1184,"")</f>
        <v>-0.32745327370714367</v>
      </c>
      <c r="CY1184">
        <f>IFERROR($CW1184/$CS1184,"")</f>
        <v>-0.32745327370714367</v>
      </c>
      <c r="CZ1184">
        <f>IFERROR($CW1184/$CT1184,"")</f>
        <v>-0.65490654741428733</v>
      </c>
      <c r="DA1184" s="2" t="str">
        <f>IFERROR((CV1184-CU1184)/ABS(CU1184),"")</f>
        <v/>
      </c>
      <c r="DB1184" s="1" t="s">
        <v>1843</v>
      </c>
      <c r="DC1184" t="str">
        <f>IF(OR($DB1184="prd",$DB1184="std",$DB1184="cit"),"loc",IF(OR($DB1184="eur",$DB1184="reg",$DB1184="coy"),"reg",$DB1184))</f>
        <v>reg</v>
      </c>
      <c r="DD1184" t="s">
        <v>1867</v>
      </c>
      <c r="DE1184">
        <v>2021</v>
      </c>
      <c r="DF1184">
        <v>2030</v>
      </c>
      <c r="DG1184">
        <f>DF1184-DE1184</f>
        <v>9</v>
      </c>
      <c r="DH1184" t="str">
        <f>IF(DG1184=0,"0",IF(AND(DG1184&gt;=1,DG1184&lt;=30),"1-30",IF(AND(DG1184&gt;30,DG1184&lt;=70),"31-70",IF(AND(DG1184&gt;70,DG1184&lt;=100),"71-100",IF(DG1184&gt;100,"+100")))))</f>
        <v>1-30</v>
      </c>
      <c r="DI1184">
        <v>0</v>
      </c>
      <c r="DJ1184">
        <v>0</v>
      </c>
      <c r="DK1184">
        <v>0</v>
      </c>
      <c r="DL1184">
        <v>1</v>
      </c>
      <c r="DM1184">
        <v>0</v>
      </c>
      <c r="DN1184">
        <f>SUM(DI1184:DL1184)</f>
        <v>1</v>
      </c>
      <c r="DO1184" t="str">
        <f>IF(DN1184=1,INDEX($DI$7:$DL$7,MATCH(1,$DI1184:$DL1184,0)),"mixedProduct")</f>
        <v>TimberInput</v>
      </c>
      <c r="DP1184">
        <f>IF(DI1184=1,DP$7,0)</f>
        <v>0</v>
      </c>
      <c r="DQ1184">
        <f>IF(DJ1184=1,DQ$7,0)</f>
        <v>0</v>
      </c>
      <c r="DR1184">
        <f>IF(DK1184=1,DR$7,0)</f>
        <v>0</v>
      </c>
      <c r="DS1184" t="str">
        <f>IF(DL1184=1,DS$7,0)</f>
        <v>Timber</v>
      </c>
      <c r="DT1184">
        <v>0</v>
      </c>
      <c r="DU1184">
        <v>1</v>
      </c>
      <c r="DX1184" s="183" t="s">
        <v>1868</v>
      </c>
      <c r="DY1184"/>
      <c r="DZ1184" s="143" t="str">
        <f>IF(DT1184=1,"self-calculated DF",IF(DU1184=1,"external DF used","explicit C balance"))</f>
        <v>external DF used</v>
      </c>
      <c r="EA1184">
        <v>1</v>
      </c>
      <c r="EB1184">
        <v>1</v>
      </c>
      <c r="EC1184">
        <v>1</v>
      </c>
      <c r="ED1184">
        <v>1</v>
      </c>
      <c r="EE1184">
        <v>1</v>
      </c>
      <c r="EF1184">
        <v>1</v>
      </c>
      <c r="EG1184">
        <v>0</v>
      </c>
      <c r="EH1184">
        <v>0</v>
      </c>
      <c r="EI1184">
        <v>0</v>
      </c>
      <c r="EJ1184">
        <v>0</v>
      </c>
      <c r="EK1184">
        <v>1</v>
      </c>
      <c r="EL1184">
        <v>0</v>
      </c>
      <c r="EM1184">
        <v>1</v>
      </c>
      <c r="EN1184" s="2">
        <v>0</v>
      </c>
      <c r="EP1184" t="str">
        <f>IF(AND(AND(AND(OR($EC1184=1,$EB1184=1),OR($EH1184=1,$EF1184=1)),SUM($EA1184:$EE1184,$EK1184)&gt;=3),SUM($EF1184:$EJ1184)&gt;=2),"Whole sector approach","")</f>
        <v/>
      </c>
      <c r="EQ1184" t="str">
        <f>IF(AND(AND(OR($EC1184=1,$EB1184=1),AND($EH1184=0,$EF1184=0)),SUM($EA1184:$EE1184,$EK1184)&gt;=4),"Ecosystem approach","")</f>
        <v/>
      </c>
      <c r="ER1184" s="2" t="str">
        <f>IF(AND(AND(AND($EC1184=0,$EB1184=0),OR($EH1184=1,$EF1184=1)),SUM($EG1184:$EJ1184)&gt;=2),"Technology approach","")</f>
        <v/>
      </c>
      <c r="ES1184" t="str">
        <f>IF(AND($EC1184+$EB1184+$EE1184+$EA1184+$ED1184+$EG1184=0,$N1184="included"),"C neutral forest and HWP assumption","")</f>
        <v/>
      </c>
      <c r="ET1184" t="str">
        <f>IF(AND(AND(AND(AND($EC1184=1,$EB1184+$EA1184+$EG1184&gt;=1),$EF1184=1),$EH1184+$EI1184+$ED1184+$EE1184&gt;=2),$N1184="included"),"All C pools assumption","")</f>
        <v>All C pools assumption</v>
      </c>
      <c r="EU1184" t="str">
        <f>IF(AND($ED1184+$EE1184+$EI1184+$EH1184+$EF1184=0,$N1184="included"),"In-situ only assumption","")</f>
        <v/>
      </c>
      <c r="EY1184" t="str">
        <f>IF(ISNUMBER(BW1184),IF(ABS(BW1184-[2]QC_indicators!$B$2)&gt;3*[2]QC_indicators!$C$2,"C ratio",IF(ISNUMBER(CA1184),IF(ABS(CA1184-[2]QC_indicators!$B$1)&gt;3*[2]QC_indicators!$C$1,"DF","no"))),IF(ISNUMBER(CA1184),IF(ABS(CA1184-[2]QC_indicators!$B$1)&gt;3*[2]QC_indicators!$C$1,"DF","no")))</f>
        <v>no</v>
      </c>
      <c r="FA1184" t="str">
        <f>IF(LEN($CY1184)=0,"",IF(AND($CY1184&lt;(-0.05),$ES1184="C neutral forest and HWP assumption"),"Cneutral paradox",IF(AND($CY1184&gt;0.05,$EU1184="In-situ only assumption"),"In-situ only paradox","")))</f>
        <v/>
      </c>
      <c r="FD1184" s="260" t="s">
        <v>2948</v>
      </c>
    </row>
    <row r="1185" spans="1:160" hidden="1">
      <c r="A1185" s="1" t="s">
        <v>1005</v>
      </c>
      <c r="B1185" t="s">
        <v>1006</v>
      </c>
      <c r="C1185" t="s">
        <v>1007</v>
      </c>
      <c r="D1185" t="s">
        <v>1008</v>
      </c>
      <c r="E1185" t="s">
        <v>1009</v>
      </c>
      <c r="F1185" t="s">
        <v>1010</v>
      </c>
      <c r="G1185" t="s">
        <v>1011</v>
      </c>
      <c r="H1185" t="s">
        <v>254</v>
      </c>
      <c r="I1185">
        <v>2018</v>
      </c>
      <c r="J1185">
        <v>42</v>
      </c>
      <c r="K1185" t="s">
        <v>1012</v>
      </c>
      <c r="M1185" t="str">
        <f>LEFT($D1185,FIND(",",$D1185)-1)&amp;"_"&amp;I1185&amp;L1185</f>
        <v>Sandanayake_2018</v>
      </c>
      <c r="N1185" t="s">
        <v>222</v>
      </c>
      <c r="O1185" s="145" t="s">
        <v>341</v>
      </c>
      <c r="Q1185" t="s">
        <v>256</v>
      </c>
      <c r="R1185" s="258" t="s">
        <v>223</v>
      </c>
      <c r="S1185" s="1" t="s">
        <v>1013</v>
      </c>
      <c r="T1185" s="260" t="s">
        <v>2912</v>
      </c>
      <c r="U1185" s="260" t="s">
        <v>2913</v>
      </c>
      <c r="V1185" s="253">
        <v>0</v>
      </c>
      <c r="W1185" s="253">
        <v>0</v>
      </c>
      <c r="X1185">
        <v>0</v>
      </c>
      <c r="Y1185">
        <v>0</v>
      </c>
      <c r="Z1185">
        <v>0</v>
      </c>
      <c r="AA1185">
        <v>0</v>
      </c>
      <c r="AB1185">
        <v>0</v>
      </c>
      <c r="AC1185">
        <v>0</v>
      </c>
      <c r="AD1185">
        <v>0</v>
      </c>
      <c r="AE1185">
        <v>0</v>
      </c>
      <c r="AF1185">
        <v>0</v>
      </c>
      <c r="AG1185">
        <v>0</v>
      </c>
      <c r="AH1185">
        <v>0</v>
      </c>
      <c r="AI1185">
        <v>0</v>
      </c>
      <c r="AJ1185">
        <v>0</v>
      </c>
      <c r="AK1185">
        <v>0</v>
      </c>
      <c r="AL1185">
        <v>0</v>
      </c>
      <c r="AM1185">
        <v>1</v>
      </c>
      <c r="AN1185">
        <v>0</v>
      </c>
      <c r="AO1185">
        <v>0</v>
      </c>
      <c r="AP1185">
        <v>0</v>
      </c>
      <c r="AQ1185">
        <v>0</v>
      </c>
      <c r="AR1185">
        <v>0</v>
      </c>
      <c r="AS1185">
        <v>0</v>
      </c>
      <c r="AT1185">
        <v>0</v>
      </c>
      <c r="AU1185">
        <v>0</v>
      </c>
      <c r="AV1185">
        <v>0</v>
      </c>
      <c r="AW1185">
        <v>0</v>
      </c>
      <c r="AX1185">
        <v>0</v>
      </c>
      <c r="AY1185">
        <v>0</v>
      </c>
      <c r="AZ1185" s="141">
        <f>COUNTIF(X1185:AY1185,"&lt;&gt;0")</f>
        <v>1</v>
      </c>
      <c r="BA1185" s="141">
        <f>COUNTIF(X1185:AN1185,"&lt;&gt;0")</f>
        <v>1</v>
      </c>
      <c r="BB1185">
        <f>COUNTIF(X1185:AE1185,"&lt;&gt;0")</f>
        <v>0</v>
      </c>
      <c r="BC1185">
        <f>COUNTIF(AF1185:AK1185,"&lt;&gt;0")</f>
        <v>0</v>
      </c>
      <c r="BD1185">
        <f>COUNTIF(AL1185:AN1185,"&lt;&gt;0")</f>
        <v>1</v>
      </c>
      <c r="BE1185">
        <f>COUNTIF(AU1185:AY1185,"&lt;&gt;0")</f>
        <v>0</v>
      </c>
      <c r="BF1185">
        <f>COUNTIF(AO1185:AT1185,"&lt;&gt;0")</f>
        <v>0</v>
      </c>
      <c r="BG1185" t="str">
        <f t="array" ref="BG1185">IF(BA1185=1,INDEX($X$7:$AN$7,MATCH(TRUE,INDEX($X1185:$AY1185&lt;&gt;0,),0)),IF(BA1185=0,INDEX($AO$7:$AY$7,MATCH(1,$AO1185:$AY1185,0)),IF(BH1185="Multiple strategies","mixed drivers",IF(BH1185="Supply chain","multiple supply","multiple silviculture"))))</f>
        <v>technologies/design switch</v>
      </c>
      <c r="BH1185" s="2" t="str" cm="1">
        <f t="array" ref="BH1185">IF(COUNTIF(BB1185:BD1185,"&lt;&gt;0")=1,INDEX($X$4:$AY$4,MATCH(TRUE,INDEX($X1185:$AY1185&lt;&gt;0,),0)),IF(COUNTIF(BB1185:BD1185,"&lt;&gt;0")=0,INDEX($AO$4:$AY$4,MATCH(1,$AO1185:$AY1185,0)),"Multiple strategies"))</f>
        <v>Technology</v>
      </c>
      <c r="BI1185" s="1" t="s">
        <v>229</v>
      </c>
      <c r="BJ1185" t="s">
        <v>1014</v>
      </c>
      <c r="BK1185" s="260" t="s">
        <v>598</v>
      </c>
      <c r="BL1185" t="s">
        <v>498</v>
      </c>
      <c r="BM1185">
        <v>0</v>
      </c>
      <c r="BN1185">
        <v>4650</v>
      </c>
      <c r="BP1185">
        <f>BN1185-BM1185</f>
        <v>4650</v>
      </c>
      <c r="BQ1185">
        <f>BP1185</f>
        <v>4650</v>
      </c>
      <c r="BR1185" t="s">
        <v>232</v>
      </c>
      <c r="BS1185" s="336" t="s">
        <v>2914</v>
      </c>
      <c r="BT1185" s="260" t="s">
        <v>2915</v>
      </c>
      <c r="BU1185">
        <v>8956.2000000000007</v>
      </c>
      <c r="BV1185">
        <v>6084.86</v>
      </c>
      <c r="BW1185" s="144">
        <v>0.97173414820473647</v>
      </c>
      <c r="BX1185">
        <f>BV1185-BU1185</f>
        <v>-2871.3400000000011</v>
      </c>
      <c r="BZ1185" s="144">
        <f>BX1185*0.001</f>
        <v>-2.8713400000000013</v>
      </c>
      <c r="CA1185">
        <f>IFERROR(BZ1185/BQ1185,"")</f>
        <v>-6.1749247311827988E-4</v>
      </c>
      <c r="CB1185">
        <v>0</v>
      </c>
      <c r="CC1185">
        <v>1</v>
      </c>
      <c r="CD1185">
        <v>0</v>
      </c>
      <c r="CE1185">
        <v>1</v>
      </c>
      <c r="CF1185">
        <v>0</v>
      </c>
      <c r="CG1185">
        <v>0</v>
      </c>
      <c r="CH1185">
        <v>0</v>
      </c>
      <c r="CI1185">
        <v>0</v>
      </c>
      <c r="CJ1185">
        <v>0</v>
      </c>
      <c r="CK1185">
        <v>0</v>
      </c>
      <c r="CL1185">
        <v>0</v>
      </c>
      <c r="CM1185">
        <v>0</v>
      </c>
      <c r="CN1185">
        <v>0</v>
      </c>
      <c r="CO1185">
        <v>0</v>
      </c>
      <c r="CP1185" t="str">
        <f>IF($BN1185&lt;$BM1185,"refNeedCorrection","refOK")</f>
        <v>refOK</v>
      </c>
      <c r="CQ1185">
        <f>IF($CP1185="refNeedCorrection",BN1185,BM1185)</f>
        <v>0</v>
      </c>
      <c r="CR1185">
        <f>IF($CP1185="refNeedCorrection",BM1185,BN1185)</f>
        <v>4650</v>
      </c>
      <c r="CS1185">
        <f>IF($CP1185="refOK",$BQ1185,-$BQ1185)</f>
        <v>4650</v>
      </c>
      <c r="CT1185">
        <f>IF(BI1185="Roundwood",$CS1185/2,$CS1185)</f>
        <v>4650</v>
      </c>
      <c r="CU1185">
        <f>IF($CP1185="refOK",$BU1185,$BV1185)*IF($BR1185="Emissions positive",-1,1)</f>
        <v>8956.2000000000007</v>
      </c>
      <c r="CV1185">
        <f>IF($CP1185="refOK",$BV1185,$BU1185)*IF($BR1185="Emissions positive",-1,1)</f>
        <v>6084.86</v>
      </c>
      <c r="CW1185">
        <f>IF($CP1185="refNeedCorrection",-BZ1185,BZ1185)*IF($BR1185="Emissions positive",-1,1)</f>
        <v>-2.8713400000000013</v>
      </c>
      <c r="CX1185">
        <f>IFERROR($CW1185/$CS1185,"")</f>
        <v>-6.1749247311827988E-4</v>
      </c>
      <c r="CY1185">
        <f>IFERROR($CW1185/$CS1185,"")</f>
        <v>-6.1749247311827988E-4</v>
      </c>
      <c r="CZ1185">
        <f>IFERROR($CW1185/$CT1185,"")</f>
        <v>-6.1749247311827988E-4</v>
      </c>
      <c r="DA1185" s="2">
        <f>IFERROR((CV1185-CU1185)/ABS(CU1185),"")</f>
        <v>-0.32059802148232519</v>
      </c>
      <c r="DB1185" s="1" t="s">
        <v>263</v>
      </c>
      <c r="DC1185" t="str">
        <f>IF(OR($DB1185="prd",$DB1185="std",$DB1185="cit"),"loc",IF(OR($DB1185="eur",$DB1185="reg",$DB1185="coy"),"reg",$DB1185))</f>
        <v>loc</v>
      </c>
      <c r="DD1185" t="s">
        <v>561</v>
      </c>
      <c r="DG1185">
        <v>0</v>
      </c>
      <c r="DH1185" t="str">
        <f>IF(DG1185=0,"0",IF(AND(DG1185&gt;=1,DG1185&lt;=30),"1-30",IF(AND(DG1185&gt;30,DG1185&lt;=70),"31-70",IF(AND(DG1185&gt;70,DG1185&lt;=100),"71-100",IF(DG1185&gt;100,"+100")))))</f>
        <v>0</v>
      </c>
      <c r="DI1185">
        <v>0</v>
      </c>
      <c r="DJ1185">
        <v>0</v>
      </c>
      <c r="DK1185">
        <v>0</v>
      </c>
      <c r="DL1185">
        <v>1</v>
      </c>
      <c r="DN1185">
        <f>SUM(DI1185:DL1185)</f>
        <v>1</v>
      </c>
      <c r="DO1185" t="str">
        <f>IF(DN1185=1,INDEX($DI$7:$DL$7,MATCH(1,$DI1185:$DL1185,0)),"mixedProduct")</f>
        <v>TimberInput</v>
      </c>
      <c r="DP1185">
        <f>IF(DI1185=1,DP$7,0)</f>
        <v>0</v>
      </c>
      <c r="DQ1185">
        <f>IF(DJ1185=1,DQ$7,0)</f>
        <v>0</v>
      </c>
      <c r="DR1185">
        <f>IF(DK1185=1,DR$7,0)</f>
        <v>0</v>
      </c>
      <c r="DS1185" t="str">
        <f>IF(DL1185=1,DS$7,0)</f>
        <v>Timber</v>
      </c>
      <c r="DT1185">
        <v>1</v>
      </c>
      <c r="DU1185">
        <v>0</v>
      </c>
      <c r="DV1185">
        <v>0</v>
      </c>
      <c r="DW1185">
        <v>0</v>
      </c>
      <c r="DX1185">
        <v>0</v>
      </c>
      <c r="DY1185">
        <f>SUM(DT1185:DU1185)</f>
        <v>1</v>
      </c>
      <c r="DZ1185" s="143" t="str">
        <f>IF(DT1185=1,"self-calculated DF",IF(DU1185=1,"external DF used","explicit C balance"))</f>
        <v>self-calculated DF</v>
      </c>
      <c r="EA1185">
        <v>0</v>
      </c>
      <c r="EB1185">
        <v>0</v>
      </c>
      <c r="EC1185">
        <v>0</v>
      </c>
      <c r="ED1185">
        <v>0</v>
      </c>
      <c r="EE1185">
        <v>0</v>
      </c>
      <c r="EF1185" s="143">
        <v>0</v>
      </c>
      <c r="EG1185">
        <v>1</v>
      </c>
      <c r="EH1185">
        <v>1</v>
      </c>
      <c r="EI1185">
        <v>1</v>
      </c>
      <c r="EJ1185">
        <v>0</v>
      </c>
      <c r="EK1185">
        <v>0</v>
      </c>
      <c r="EL1185">
        <v>0</v>
      </c>
      <c r="EM1185">
        <v>0</v>
      </c>
      <c r="EN1185" s="2">
        <v>0</v>
      </c>
      <c r="EP1185" t="str">
        <f>IF(AND(AND(AND(OR($EC1185=1,$EB1185=1),OR($EH1185=1,$EF1185=1)),SUM($EA1185:$EE1185,$EK1185)&gt;=3),SUM($EF1185:$EJ1185)&gt;=2),"Whole sector approach","")</f>
        <v/>
      </c>
      <c r="EQ1185" t="str">
        <f>IF(AND(AND(OR($EC1185=1,$EB1185=1),AND($EH1185=0,$EF1185=0)),SUM($EA1185:$EE1185,$EK1185)&gt;=4),"Ecosystem approach","")</f>
        <v/>
      </c>
      <c r="ER1185" s="2" t="str">
        <f>IF(AND(AND(AND($EC1185=0,$EB1185=0),OR($EH1185=1,$EF1185=1)),SUM($EG1185:$EJ1185)&gt;=2),"Technology approach","")</f>
        <v>Technology approach</v>
      </c>
      <c r="ES1185" t="str">
        <f>IF(AND($EC1185+$EB1185+$EE1185+$EA1185+$ED1185+$EG1185=0,$N1185="included"),"C neutral forest and HWP assumption","")</f>
        <v/>
      </c>
      <c r="ET1185" t="str">
        <f>IF(AND(AND(AND(AND($EC1185=1,$EB1185+$EA1185+$EG1185&gt;=1),$EF1185=1),$EH1185+$EI1185+$ED1185+$EE1185&gt;=2),$N1185="included"),"All C pools assumption","")</f>
        <v/>
      </c>
      <c r="EU1185" t="str">
        <f>IF(AND($ED1185+$EE1185+$EI1185+$EH1185+$EF1185=0,$N1185="included"),"In-situ only assumption","")</f>
        <v/>
      </c>
      <c r="EV1185" s="328" t="s">
        <v>5066</v>
      </c>
      <c r="EW1185" t="s">
        <v>1015</v>
      </c>
      <c r="EY1185" t="str">
        <f>IF(ISNUMBER(BW1185),IF(ABS(BW1185-[2]QC_indicators!$B$2)&gt;3*[2]QC_indicators!$C$2,"C ratio",IF(ISNUMBER(CA1185),IF(ABS(CA1185-[2]QC_indicators!$B$1)&gt;3*[2]QC_indicators!$C$1,"DF","no"))),IF(ISNUMBER(CA1185),IF(ABS(CA1185-[2]QC_indicators!$B$1)&gt;3*[2]QC_indicators!$C$1,"DF","no")))</f>
        <v>no</v>
      </c>
      <c r="FA1185" t="str">
        <f>IF(LEN($CY1185)=0,"",IF(AND($CY1185&lt;(-0.05),$ES1185="C neutral forest and HWP assumption"),"Cneutral paradox",IF(AND($CY1185&gt;0.05,$EU1185="In-situ only assumption"),"In-situ only paradox","")))</f>
        <v/>
      </c>
      <c r="FB1185" s="149" t="s">
        <v>349</v>
      </c>
      <c r="FD1185" s="260" t="s">
        <v>2916</v>
      </c>
    </row>
    <row r="1186" spans="1:160" ht="15" customHeight="1">
      <c r="A1186" s="1" t="s">
        <v>1781</v>
      </c>
      <c r="B1186" t="s">
        <v>2158</v>
      </c>
      <c r="C1186" t="s">
        <v>2159</v>
      </c>
      <c r="D1186" t="s">
        <v>2160</v>
      </c>
      <c r="E1186" t="s">
        <v>2161</v>
      </c>
      <c r="F1186" t="s">
        <v>2162</v>
      </c>
      <c r="G1186" t="s">
        <v>1787</v>
      </c>
      <c r="H1186" t="s">
        <v>254</v>
      </c>
      <c r="I1186">
        <v>2018</v>
      </c>
      <c r="J1186">
        <v>8</v>
      </c>
      <c r="K1186" t="s">
        <v>2163</v>
      </c>
      <c r="M1186" t="str">
        <f>LEFT($D1186,FIND(",",$D1186)-1)&amp;"_"&amp;I1186&amp;L1186</f>
        <v>Valade_2018</v>
      </c>
      <c r="N1186" t="s">
        <v>222</v>
      </c>
      <c r="O1186" s="145" t="s">
        <v>1029</v>
      </c>
      <c r="Q1186" t="s">
        <v>256</v>
      </c>
      <c r="R1186" s="251" t="s">
        <v>225</v>
      </c>
      <c r="S1186" s="1" t="s">
        <v>2164</v>
      </c>
      <c r="T1186" t="s">
        <v>2157</v>
      </c>
      <c r="U1186" t="s">
        <v>2165</v>
      </c>
      <c r="V1186" s="334">
        <v>1</v>
      </c>
      <c r="W1186">
        <v>0</v>
      </c>
      <c r="X1186">
        <v>1</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s="141">
        <f>COUNTIF(X1186:AY1186,"&lt;&gt;0")</f>
        <v>1</v>
      </c>
      <c r="BA1186" s="141">
        <f>COUNTIF(X1186:AN1186,"&lt;&gt;0")</f>
        <v>1</v>
      </c>
      <c r="BB1186">
        <f>COUNTIF(X1186:AE1186,"&lt;&gt;0")</f>
        <v>1</v>
      </c>
      <c r="BC1186">
        <f>COUNTIF(AF1186:AK1186,"&lt;&gt;0")</f>
        <v>0</v>
      </c>
      <c r="BD1186">
        <f>COUNTIF(AL1186:AN1186,"&lt;&gt;0")</f>
        <v>0</v>
      </c>
      <c r="BE1186">
        <f>COUNTIF(AU1186:AY1186,"&lt;&gt;0")</f>
        <v>0</v>
      </c>
      <c r="BF1186">
        <f>COUNTIF(AO1186:AT1186,"&lt;&gt;0")</f>
        <v>0</v>
      </c>
      <c r="BG1186" t="str">
        <f t="array" ref="BG1186">IF(BA1186=1,INDEX($X$7:$AN$7,MATCH(TRUE,INDEX($X1186:$AY1186&lt;&gt;0,),0)),IF(BA1186=0,INDEX($AO$7:$AY$7,MATCH(1,$AO1186:$AY1186,0)),IF(BH1186="Multiple strategies","mixed drivers",IF(BH1186="Supply chain","multiple supply","multiple silviculture"))))</f>
        <v>area subject to harvest</v>
      </c>
      <c r="BH1186" s="2" t="str" cm="1">
        <f t="array" ref="BH1186">IF(COUNTIF(BB1186:BD1186,"&lt;&gt;0")=1,INDEX($X$4:$AY$4,MATCH(TRUE,INDEX($X1186:$AY1186&lt;&gt;0,),0)),IF(COUNTIF(BB1186:BD1186,"&lt;&gt;0")=0,INDEX($AO$4:$AY$4,MATCH(1,$AO1186:$AY1186,0)),"Multiple strategies"))</f>
        <v>Silviculture for removals</v>
      </c>
      <c r="BI1186" s="1" t="s">
        <v>321</v>
      </c>
      <c r="BJ1186" t="s">
        <v>2166</v>
      </c>
      <c r="BK1186" s="256" t="s">
        <v>3074</v>
      </c>
      <c r="BL1186" t="s">
        <v>1197</v>
      </c>
      <c r="BM1186">
        <v>1168.5023099755704</v>
      </c>
      <c r="BN1186">
        <v>1547.3378240138293</v>
      </c>
      <c r="BO1186" s="143">
        <f>BN1186/BM1186</f>
        <v>1.3242060463245291</v>
      </c>
      <c r="BP1186">
        <f>BN1186-BM1186</f>
        <v>378.83551403825891</v>
      </c>
      <c r="BQ1186">
        <f>BP1186*10^6</f>
        <v>378835514.03825891</v>
      </c>
      <c r="BR1186" t="s">
        <v>232</v>
      </c>
      <c r="BS1186" s="256" t="s">
        <v>3075</v>
      </c>
      <c r="BT1186" t="s">
        <v>1232</v>
      </c>
      <c r="BU1186">
        <v>268.62539996228497</v>
      </c>
      <c r="BV1186">
        <v>65.981368000000003</v>
      </c>
      <c r="BW1186" s="144">
        <f>IFERROR(BV1186/BU1186,"")</f>
        <v>0.24562594605448254</v>
      </c>
      <c r="BX1186" s="144">
        <f>BV1186-BU1186</f>
        <v>-202.64403196228497</v>
      </c>
      <c r="BY1186" s="144"/>
      <c r="BZ1186">
        <f>BX1186*10^6*C_to_CO2</f>
        <v>-743703597.30158591</v>
      </c>
      <c r="CA1186">
        <f>IFERROR(BZ1186/BQ1186,"")</f>
        <v>-1.9631306193391327</v>
      </c>
      <c r="CB1186">
        <v>0</v>
      </c>
      <c r="CC1186">
        <v>0</v>
      </c>
      <c r="CD1186">
        <v>0</v>
      </c>
      <c r="CE1186">
        <v>0</v>
      </c>
      <c r="CF1186">
        <v>0</v>
      </c>
      <c r="CG1186">
        <v>0</v>
      </c>
      <c r="CH1186">
        <v>0</v>
      </c>
      <c r="CI1186">
        <v>0</v>
      </c>
      <c r="CJ1186">
        <v>0</v>
      </c>
      <c r="CK1186">
        <v>0</v>
      </c>
      <c r="CL1186">
        <v>0</v>
      </c>
      <c r="CM1186">
        <v>0</v>
      </c>
      <c r="CN1186">
        <v>0</v>
      </c>
      <c r="CO1186">
        <v>0</v>
      </c>
      <c r="CP1186" t="str">
        <f>IF($BN1186&lt;$BM1186,"refNeedCorrection","refOK")</f>
        <v>refOK</v>
      </c>
      <c r="CQ1186">
        <f>IF($CP1186="refNeedCorrection",BN1186,BM1186)</f>
        <v>1168.5023099755704</v>
      </c>
      <c r="CR1186">
        <f>IF($CP1186="refNeedCorrection",BM1186,BN1186)</f>
        <v>1547.3378240138293</v>
      </c>
      <c r="CS1186">
        <f>IF($CP1186="refOK",$BQ1186,-$BQ1186)</f>
        <v>378835514.03825891</v>
      </c>
      <c r="CT1186">
        <f>IF(BI1186="Roundwood",$CS1186/2,$CS1186)</f>
        <v>189417757.01912946</v>
      </c>
      <c r="CU1186">
        <f>IF($CP1186="refOK",$BU1186,$BV1186)*IF($BR1186="Emissions positive",-1,1)</f>
        <v>268.62539996228497</v>
      </c>
      <c r="CV1186">
        <f>IF($CP1186="refOK",$BV1186,$BU1186)*IF($BR1186="Emissions positive",-1,1)</f>
        <v>65.981368000000003</v>
      </c>
      <c r="CW1186">
        <f>IF($CP1186="refNeedCorrection",-BZ1186,BZ1186)*IF($BR1186="Emissions positive",-1,1)</f>
        <v>-743703597.30158591</v>
      </c>
      <c r="CX1186">
        <f>IFERROR($CW1186/$CS1186,"")</f>
        <v>-1.9631306193391327</v>
      </c>
      <c r="CY1186">
        <f>IFERROR($CW1186/$CS1186,"")</f>
        <v>-1.9631306193391327</v>
      </c>
      <c r="CZ1186">
        <f>IFERROR($CW1186/$CT1186,"")</f>
        <v>-3.9262612386782654</v>
      </c>
      <c r="DA1186" s="2">
        <f>IFERROR((CV1186-CU1186)/ABS(CU1186),"")</f>
        <v>-0.75437405394551749</v>
      </c>
      <c r="DB1186" s="1" t="s">
        <v>1078</v>
      </c>
      <c r="DC1186" t="str">
        <f>IF(OR($DB1186="prd",$DB1186="std",$DB1186="cit"),"loc",IF(OR($DB1186="eur",$DB1186="reg",$DB1186="coy"),"reg",$DB1186))</f>
        <v>reg</v>
      </c>
      <c r="DD1186" t="s">
        <v>715</v>
      </c>
      <c r="DE1186">
        <v>2015</v>
      </c>
      <c r="DF1186">
        <v>2040</v>
      </c>
      <c r="DG1186">
        <f>DF1186-DE1186</f>
        <v>25</v>
      </c>
      <c r="DH1186" t="str">
        <f>IF(DG1186=0,"0",IF(AND(DG1186&gt;=1,DG1186&lt;=30),"1-30",IF(AND(DG1186&gt;30,DG1186&lt;=70),"31-70",IF(AND(DG1186&gt;70,DG1186&lt;=100),"71-100",IF(DG1186&gt;100,"+100")))))</f>
        <v>1-30</v>
      </c>
      <c r="DI1186">
        <v>1</v>
      </c>
      <c r="DJ1186">
        <v>0</v>
      </c>
      <c r="DK1186">
        <v>0</v>
      </c>
      <c r="DL1186">
        <v>0</v>
      </c>
      <c r="DN1186">
        <f>SUM(DI1186:DL1186)</f>
        <v>1</v>
      </c>
      <c r="DO1186" t="str">
        <f>IF(DN1186=1,INDEX($DI$7:$DL$7,MATCH(1,$DI1186:$DL1186,0)),"mixedProduct")</f>
        <v>UpstreamInput</v>
      </c>
      <c r="DP1186" t="str">
        <f>IF(DI1186=1,DP$7,0)</f>
        <v>Upstream</v>
      </c>
      <c r="DQ1186">
        <f>IF(DJ1186=1,DQ$7,0)</f>
        <v>0</v>
      </c>
      <c r="DR1186">
        <f>IF(DK1186=1,DR$7,0)</f>
        <v>0</v>
      </c>
      <c r="DS1186">
        <f>IF(DL1186=1,DS$7,0)</f>
        <v>0</v>
      </c>
      <c r="DT1186">
        <v>0</v>
      </c>
      <c r="DU1186">
        <v>0</v>
      </c>
      <c r="DV1186">
        <v>0</v>
      </c>
      <c r="DW1186">
        <v>0</v>
      </c>
      <c r="DX1186">
        <v>0</v>
      </c>
      <c r="DY1186">
        <f>SUM(DT1186:DU1186)</f>
        <v>0</v>
      </c>
      <c r="DZ1186" s="143" t="str">
        <f>IF(DT1186=1,"self-calculated DF",IF(DU1186=1,"external DF used","explicit C balance"))</f>
        <v>explicit C balance</v>
      </c>
      <c r="EA1186">
        <v>0</v>
      </c>
      <c r="EB1186">
        <v>1</v>
      </c>
      <c r="EC1186">
        <v>1</v>
      </c>
      <c r="ED1186">
        <v>0</v>
      </c>
      <c r="EE1186">
        <v>0</v>
      </c>
      <c r="EF1186" s="143">
        <v>0</v>
      </c>
      <c r="EG1186">
        <v>0</v>
      </c>
      <c r="EH1186">
        <v>0</v>
      </c>
      <c r="EI1186">
        <v>0</v>
      </c>
      <c r="EJ1186">
        <v>0</v>
      </c>
      <c r="EK1186">
        <v>1</v>
      </c>
      <c r="EL1186">
        <v>0</v>
      </c>
      <c r="EM1186">
        <v>0</v>
      </c>
      <c r="EN1186" s="2">
        <v>0</v>
      </c>
      <c r="EP1186" t="str">
        <f>IF(AND(AND(AND(OR($EC1186=1,$EB1186=1),OR($EH1186=1,$EF1186=1)),SUM($EA1186:$EE1186,$EK1186)&gt;=3),SUM($EF1186:$EJ1186)&gt;=2),"Whole sector approach","")</f>
        <v/>
      </c>
      <c r="EQ1186" t="str">
        <f>IF(AND(AND(OR($EC1186=1,$EB1186=1),AND($EH1186=0,$EF1186=0)),SUM($EA1186:$EE1186,$EK1186)&gt;=4),"Ecosystem approach","")</f>
        <v/>
      </c>
      <c r="ER1186" s="2" t="str">
        <f>IF(AND(AND(AND($EC1186=0,$EB1186=0),OR($EH1186=1,$EF1186=1)),SUM($EG1186:$EJ1186)&gt;=2),"Technology approach","")</f>
        <v/>
      </c>
      <c r="ES1186" t="str">
        <f>IF(AND($EC1186+$EB1186+$EE1186+$EA1186+$ED1186+$EG1186=0,$N1186="included"),"C neutral forest and HWP assumption","")</f>
        <v/>
      </c>
      <c r="ET1186" t="str">
        <f>IF(AND(AND(AND(AND($EC1186=1,$EB1186+$EA1186+$EG1186&gt;=1),$EF1186=1),$EH1186+$EI1186+$ED1186+$EE1186&gt;=2),$N1186="included"),"All C pools assumption","")</f>
        <v/>
      </c>
      <c r="EU1186" t="str">
        <f>IF(AND($ED1186+$EE1186+$EI1186+$EH1186+$EF1186=0,$N1186="included"),"In-situ only assumption","")</f>
        <v>In-situ only assumption</v>
      </c>
      <c r="EY1186" t="str">
        <f>IF(ISNUMBER(BW1186),IF(ABS(BW1186-[6]QC_indicators!$B$2)&gt;3*[6]QC_indicators!$C$2,"C ratio",IF(ISNUMBER(CA1186),IF(ABS(CA1186-[6]QC_indicators!$B$1)&gt;3*[6]QC_indicators!$C$1,"DF","no"))),IF(ISNUMBER(CA1186),IF(ABS(CA1186-[6]QC_indicators!$B$1)&gt;3*[6]QC_indicators!$C$1,"DF","no")))</f>
        <v>no</v>
      </c>
      <c r="EZ1186" t="s">
        <v>2122</v>
      </c>
      <c r="FA1186" t="str">
        <f>IF(LEN($CY1186)=0,"",IF(AND($CY1186&lt;(-0.05),$ES1186="C neutral forest and HWP assumption"),"Cneutral paradox",IF(AND($CY1186&gt;0.05,$EU1186="In-situ only assumption"),"In-situ only paradox","")))</f>
        <v/>
      </c>
      <c r="FD1186" s="260" t="s">
        <v>2948</v>
      </c>
    </row>
    <row r="1187" spans="1:160" ht="15" customHeight="1">
      <c r="A1187" s="1" t="s">
        <v>1781</v>
      </c>
      <c r="B1187" t="s">
        <v>2158</v>
      </c>
      <c r="C1187" t="s">
        <v>2159</v>
      </c>
      <c r="D1187" t="s">
        <v>2160</v>
      </c>
      <c r="E1187" t="s">
        <v>2161</v>
      </c>
      <c r="F1187" t="s">
        <v>2162</v>
      </c>
      <c r="G1187" t="s">
        <v>1787</v>
      </c>
      <c r="H1187" t="s">
        <v>254</v>
      </c>
      <c r="I1187">
        <v>2018</v>
      </c>
      <c r="J1187">
        <v>8</v>
      </c>
      <c r="K1187" t="s">
        <v>2163</v>
      </c>
      <c r="M1187" t="str">
        <f>LEFT($D1187,FIND(",",$D1187)-1)&amp;"_"&amp;I1187&amp;L1187</f>
        <v>Valade_2018</v>
      </c>
      <c r="N1187" t="s">
        <v>222</v>
      </c>
      <c r="O1187" s="145" t="s">
        <v>1029</v>
      </c>
      <c r="Q1187" t="s">
        <v>256</v>
      </c>
      <c r="R1187" s="251" t="s">
        <v>225</v>
      </c>
      <c r="S1187" s="1" t="s">
        <v>2167</v>
      </c>
      <c r="T1187" t="s">
        <v>2157</v>
      </c>
      <c r="U1187" t="s">
        <v>2168</v>
      </c>
      <c r="V1187" s="253">
        <v>0</v>
      </c>
      <c r="W1187" s="253">
        <v>0</v>
      </c>
      <c r="X1187">
        <v>0</v>
      </c>
      <c r="Y1187">
        <v>0</v>
      </c>
      <c r="Z1187">
        <v>0</v>
      </c>
      <c r="AA1187">
        <v>1</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s="141">
        <f>COUNTIF(X1187:AY1187,"&lt;&gt;0")</f>
        <v>1</v>
      </c>
      <c r="BA1187" s="141">
        <f>COUNTIF(X1187:AN1187,"&lt;&gt;0")</f>
        <v>1</v>
      </c>
      <c r="BB1187">
        <f>COUNTIF(X1187:AE1187,"&lt;&gt;0")</f>
        <v>1</v>
      </c>
      <c r="BC1187">
        <f>COUNTIF(AF1187:AK1187,"&lt;&gt;0")</f>
        <v>0</v>
      </c>
      <c r="BD1187">
        <f>COUNTIF(AL1187:AN1187,"&lt;&gt;0")</f>
        <v>0</v>
      </c>
      <c r="BE1187">
        <f>COUNTIF(AU1187:AY1187,"&lt;&gt;0")</f>
        <v>0</v>
      </c>
      <c r="BF1187">
        <f>COUNTIF(AO1187:AT1187,"&lt;&gt;0")</f>
        <v>0</v>
      </c>
      <c r="BG1187" t="str">
        <f t="array" ref="BG1187">IF(BA1187=1,INDEX($X$7:$AN$7,MATCH(TRUE,INDEX($X1187:$AY1187&lt;&gt;0,),0)),IF(BA1187=0,INDEX($AO$7:$AY$7,MATCH(1,$AO1187:$AY1187,0)),IF(BH1187="Multiple strategies","mixed drivers",IF(BH1187="Supply chain","multiple supply","multiple silviculture"))))</f>
        <v xml:space="preserve">cutting intensity </v>
      </c>
      <c r="BH1187" s="2" t="str" cm="1">
        <f t="array" ref="BH1187">IF(COUNTIF(BB1187:BD1187,"&lt;&gt;0")=1,INDEX($X$4:$AY$4,MATCH(TRUE,INDEX($X1187:$AY1187&lt;&gt;0,),0)),IF(COUNTIF(BB1187:BD1187,"&lt;&gt;0")=0,INDEX($AO$4:$AY$4,MATCH(1,$AO1187:$AY1187,0)),"Multiple strategies"))</f>
        <v>Silviculture for removals</v>
      </c>
      <c r="BI1187" s="1" t="s">
        <v>321</v>
      </c>
      <c r="BJ1187" t="s">
        <v>2166</v>
      </c>
      <c r="BK1187" s="256" t="s">
        <v>3074</v>
      </c>
      <c r="BL1187" t="s">
        <v>1197</v>
      </c>
      <c r="BM1187">
        <v>1168.5023099755704</v>
      </c>
      <c r="BN1187">
        <v>1304.0435025027948</v>
      </c>
      <c r="BO1187" s="143">
        <f>BN1187/BM1187</f>
        <v>1.1159956564656326</v>
      </c>
      <c r="BP1187">
        <f>BN1187-BM1187</f>
        <v>135.54119252722444</v>
      </c>
      <c r="BQ1187">
        <f>BP1187*10^6</f>
        <v>135541192.52722445</v>
      </c>
      <c r="BR1187" t="s">
        <v>232</v>
      </c>
      <c r="BS1187" s="256" t="s">
        <v>3075</v>
      </c>
      <c r="BT1187" t="s">
        <v>1232</v>
      </c>
      <c r="BU1187">
        <v>268.62539996228497</v>
      </c>
      <c r="BV1187">
        <v>195.10850099999999</v>
      </c>
      <c r="BW1187" s="144">
        <f>IFERROR(BV1187/BU1187,"")</f>
        <v>0.7263218631871492</v>
      </c>
      <c r="BX1187" s="144">
        <f>BV1187-BU1187</f>
        <v>-73.516898962284984</v>
      </c>
      <c r="BY1187" s="144"/>
      <c r="BZ1187">
        <f>BX1187*10^6*C_to_CO2</f>
        <v>-269807019.1915859</v>
      </c>
      <c r="CA1187">
        <f>IFERROR(BZ1187/BQ1187,"")</f>
        <v>-1.9905905663135814</v>
      </c>
      <c r="CB1187">
        <v>0</v>
      </c>
      <c r="CC1187">
        <v>0</v>
      </c>
      <c r="CD1187">
        <v>0</v>
      </c>
      <c r="CE1187">
        <v>0</v>
      </c>
      <c r="CF1187">
        <v>0</v>
      </c>
      <c r="CG1187">
        <v>0</v>
      </c>
      <c r="CH1187">
        <v>0</v>
      </c>
      <c r="CI1187">
        <v>0</v>
      </c>
      <c r="CJ1187">
        <v>0</v>
      </c>
      <c r="CK1187">
        <v>0</v>
      </c>
      <c r="CL1187">
        <v>0</v>
      </c>
      <c r="CM1187">
        <v>0</v>
      </c>
      <c r="CN1187">
        <v>0</v>
      </c>
      <c r="CO1187">
        <v>0</v>
      </c>
      <c r="CP1187" t="str">
        <f>IF($BN1187&lt;$BM1187,"refNeedCorrection","refOK")</f>
        <v>refOK</v>
      </c>
      <c r="CQ1187">
        <f>IF($CP1187="refNeedCorrection",BN1187,BM1187)</f>
        <v>1168.5023099755704</v>
      </c>
      <c r="CR1187">
        <f>IF($CP1187="refNeedCorrection",BM1187,BN1187)</f>
        <v>1304.0435025027948</v>
      </c>
      <c r="CS1187">
        <f>IF($CP1187="refOK",$BQ1187,-$BQ1187)</f>
        <v>135541192.52722445</v>
      </c>
      <c r="CT1187">
        <f>IF(BI1187="Roundwood",$CS1187/2,$CS1187)</f>
        <v>67770596.263612226</v>
      </c>
      <c r="CU1187">
        <f>IF($CP1187="refOK",$BU1187,$BV1187)*IF($BR1187="Emissions positive",-1,1)</f>
        <v>268.62539996228497</v>
      </c>
      <c r="CV1187">
        <f>IF($CP1187="refOK",$BV1187,$BU1187)*IF($BR1187="Emissions positive",-1,1)</f>
        <v>195.10850099999999</v>
      </c>
      <c r="CW1187">
        <f>IF($CP1187="refNeedCorrection",-BZ1187,BZ1187)*IF($BR1187="Emissions positive",-1,1)</f>
        <v>-269807019.1915859</v>
      </c>
      <c r="CX1187">
        <f>IFERROR($CW1187/$CS1187,"")</f>
        <v>-1.9905905663135814</v>
      </c>
      <c r="CY1187">
        <f>IFERROR($CW1187/$CS1187,"")</f>
        <v>-1.9905905663135814</v>
      </c>
      <c r="CZ1187">
        <f>IFERROR($CW1187/$CT1187,"")</f>
        <v>-3.9811811326271629</v>
      </c>
      <c r="DA1187" s="2">
        <f>IFERROR((CV1187-CU1187)/ABS(CU1187),"")</f>
        <v>-0.27367813681285075</v>
      </c>
      <c r="DB1187" s="1" t="s">
        <v>1078</v>
      </c>
      <c r="DC1187" t="str">
        <f>IF(OR($DB1187="prd",$DB1187="std",$DB1187="cit"),"loc",IF(OR($DB1187="eur",$DB1187="reg",$DB1187="coy"),"reg",$DB1187))</f>
        <v>reg</v>
      </c>
      <c r="DD1187" t="s">
        <v>715</v>
      </c>
      <c r="DE1187">
        <v>2015</v>
      </c>
      <c r="DF1187">
        <v>2040</v>
      </c>
      <c r="DG1187">
        <f>DF1187-DE1187</f>
        <v>25</v>
      </c>
      <c r="DH1187" t="str">
        <f>IF(DG1187=0,"0",IF(AND(DG1187&gt;=1,DG1187&lt;=30),"1-30",IF(AND(DG1187&gt;30,DG1187&lt;=70),"31-70",IF(AND(DG1187&gt;70,DG1187&lt;=100),"71-100",IF(DG1187&gt;100,"+100")))))</f>
        <v>1-30</v>
      </c>
      <c r="DI1187">
        <v>1</v>
      </c>
      <c r="DJ1187">
        <v>0</v>
      </c>
      <c r="DK1187">
        <v>0</v>
      </c>
      <c r="DL1187">
        <v>0</v>
      </c>
      <c r="DN1187">
        <f>SUM(DI1187:DL1187)</f>
        <v>1</v>
      </c>
      <c r="DO1187" t="str">
        <f>IF(DN1187=1,INDEX($DI$7:$DL$7,MATCH(1,$DI1187:$DL1187,0)),"mixedProduct")</f>
        <v>UpstreamInput</v>
      </c>
      <c r="DP1187" t="str">
        <f>IF(DI1187=1,DP$7,0)</f>
        <v>Upstream</v>
      </c>
      <c r="DQ1187">
        <f>IF(DJ1187=1,DQ$7,0)</f>
        <v>0</v>
      </c>
      <c r="DR1187">
        <f>IF(DK1187=1,DR$7,0)</f>
        <v>0</v>
      </c>
      <c r="DS1187">
        <f>IF(DL1187=1,DS$7,0)</f>
        <v>0</v>
      </c>
      <c r="DT1187">
        <v>0</v>
      </c>
      <c r="DU1187">
        <v>0</v>
      </c>
      <c r="DV1187">
        <v>0</v>
      </c>
      <c r="DW1187">
        <v>0</v>
      </c>
      <c r="DX1187">
        <v>0</v>
      </c>
      <c r="DY1187">
        <f>SUM(DT1187:DU1187)</f>
        <v>0</v>
      </c>
      <c r="DZ1187" s="143" t="str">
        <f>IF(DT1187=1,"self-calculated DF",IF(DU1187=1,"external DF used","explicit C balance"))</f>
        <v>explicit C balance</v>
      </c>
      <c r="EA1187">
        <v>0</v>
      </c>
      <c r="EB1187">
        <v>1</v>
      </c>
      <c r="EC1187">
        <v>1</v>
      </c>
      <c r="ED1187">
        <v>0</v>
      </c>
      <c r="EE1187">
        <v>0</v>
      </c>
      <c r="EF1187" s="143">
        <v>0</v>
      </c>
      <c r="EG1187">
        <v>0</v>
      </c>
      <c r="EH1187">
        <v>0</v>
      </c>
      <c r="EI1187">
        <v>0</v>
      </c>
      <c r="EJ1187">
        <v>0</v>
      </c>
      <c r="EK1187">
        <v>1</v>
      </c>
      <c r="EL1187">
        <v>0</v>
      </c>
      <c r="EM1187">
        <v>0</v>
      </c>
      <c r="EN1187" s="2">
        <v>0</v>
      </c>
      <c r="EP1187" t="str">
        <f>IF(AND(AND(AND(OR($EC1187=1,$EB1187=1),OR($EH1187=1,$EF1187=1)),SUM($EA1187:$EE1187,$EK1187)&gt;=3),SUM($EF1187:$EJ1187)&gt;=2),"Whole sector approach","")</f>
        <v/>
      </c>
      <c r="EQ1187" t="str">
        <f>IF(AND(AND(OR($EC1187=1,$EB1187=1),AND($EH1187=0,$EF1187=0)),SUM($EA1187:$EE1187,$EK1187)&gt;=4),"Ecosystem approach","")</f>
        <v/>
      </c>
      <c r="ER1187" s="2" t="str">
        <f>IF(AND(AND(AND($EC1187=0,$EB1187=0),OR($EH1187=1,$EF1187=1)),SUM($EG1187:$EJ1187)&gt;=2),"Technology approach","")</f>
        <v/>
      </c>
      <c r="ES1187" t="str">
        <f>IF(AND($EC1187+$EB1187+$EE1187+$EA1187+$ED1187+$EG1187=0,$N1187="included"),"C neutral forest and HWP assumption","")</f>
        <v/>
      </c>
      <c r="ET1187" t="str">
        <f>IF(AND(AND(AND(AND($EC1187=1,$EB1187+$EA1187+$EG1187&gt;=1),$EF1187=1),$EH1187+$EI1187+$ED1187+$EE1187&gt;=2),$N1187="included"),"All C pools assumption","")</f>
        <v/>
      </c>
      <c r="EU1187" t="str">
        <f>IF(AND($ED1187+$EE1187+$EI1187+$EH1187+$EF1187=0,$N1187="included"),"In-situ only assumption","")</f>
        <v>In-situ only assumption</v>
      </c>
      <c r="EY1187" t="str">
        <f>IF(ISNUMBER(BW1187),IF(ABS(BW1187-[6]QC_indicators!$B$2)&gt;3*[6]QC_indicators!$C$2,"C ratio",IF(ISNUMBER(CA1187),IF(ABS(CA1187-[6]QC_indicators!$B$1)&gt;3*[6]QC_indicators!$C$1,"DF","no"))),IF(ISNUMBER(CA1187),IF(ABS(CA1187-[6]QC_indicators!$B$1)&gt;3*[6]QC_indicators!$C$1,"DF","no")))</f>
        <v>no</v>
      </c>
      <c r="EZ1187" t="s">
        <v>2122</v>
      </c>
      <c r="FA1187" t="str">
        <f>IF(LEN($CY1187)=0,"",IF(AND($CY1187&lt;(-0.05),$ES1187="C neutral forest and HWP assumption"),"Cneutral paradox",IF(AND($CY1187&gt;0.05,$EU1187="In-situ only assumption"),"In-situ only paradox","")))</f>
        <v/>
      </c>
      <c r="FD1187" s="260" t="s">
        <v>2948</v>
      </c>
    </row>
    <row r="1188" spans="1:160" ht="18" customHeight="1">
      <c r="A1188" s="1" t="s">
        <v>1781</v>
      </c>
      <c r="B1188" t="s">
        <v>2158</v>
      </c>
      <c r="C1188" t="s">
        <v>2159</v>
      </c>
      <c r="D1188" t="s">
        <v>2160</v>
      </c>
      <c r="E1188" t="s">
        <v>2161</v>
      </c>
      <c r="F1188" t="s">
        <v>2162</v>
      </c>
      <c r="G1188" t="s">
        <v>1787</v>
      </c>
      <c r="H1188" t="s">
        <v>254</v>
      </c>
      <c r="I1188">
        <v>2018</v>
      </c>
      <c r="J1188">
        <v>8</v>
      </c>
      <c r="K1188" t="s">
        <v>2163</v>
      </c>
      <c r="M1188" t="str">
        <f>LEFT($D1188,FIND(",",$D1188)-1)&amp;"_"&amp;I1188&amp;L1188</f>
        <v>Valade_2018</v>
      </c>
      <c r="N1188" t="s">
        <v>222</v>
      </c>
      <c r="O1188" s="145" t="s">
        <v>1029</v>
      </c>
      <c r="Q1188" t="s">
        <v>256</v>
      </c>
      <c r="R1188" s="251" t="s">
        <v>225</v>
      </c>
      <c r="S1188" s="1" t="s">
        <v>2171</v>
      </c>
      <c r="T1188" t="s">
        <v>2157</v>
      </c>
      <c r="U1188" t="s">
        <v>2172</v>
      </c>
      <c r="V1188" s="253">
        <v>0</v>
      </c>
      <c r="W1188" s="253">
        <v>0</v>
      </c>
      <c r="X1188">
        <v>0</v>
      </c>
      <c r="Y1188">
        <v>0</v>
      </c>
      <c r="Z1188">
        <v>1</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s="141">
        <f>COUNTIF(X1188:AY1188,"&lt;&gt;0")</f>
        <v>1</v>
      </c>
      <c r="BA1188" s="141">
        <f>COUNTIF(X1188:AN1188,"&lt;&gt;0")</f>
        <v>1</v>
      </c>
      <c r="BB1188">
        <f>COUNTIF(X1188:AE1188,"&lt;&gt;0")</f>
        <v>1</v>
      </c>
      <c r="BC1188">
        <f>COUNTIF(AF1188:AK1188,"&lt;&gt;0")</f>
        <v>0</v>
      </c>
      <c r="BD1188">
        <f>COUNTIF(AL1188:AN1188,"&lt;&gt;0")</f>
        <v>0</v>
      </c>
      <c r="BE1188">
        <f>COUNTIF(AU1188:AY1188,"&lt;&gt;0")</f>
        <v>0</v>
      </c>
      <c r="BF1188">
        <f>COUNTIF(AO1188:AT1188,"&lt;&gt;0")</f>
        <v>0</v>
      </c>
      <c r="BG1188" t="str">
        <f t="array" ref="BG1188">IF(BA1188=1,INDEX($X$7:$AN$7,MATCH(TRUE,INDEX($X1188:$AY1188&lt;&gt;0,),0)),IF(BA1188=0,INDEX($AO$7:$AY$7,MATCH(1,$AO1188:$AY1188,0)),IF(BH1188="Multiple strategies","mixed drivers",IF(BH1188="Supply chain","multiple supply","multiple silviculture"))))</f>
        <v>rotation length</v>
      </c>
      <c r="BH1188" s="2" t="str" cm="1">
        <f t="array" ref="BH1188">IF(COUNTIF(BB1188:BD1188,"&lt;&gt;0")=1,INDEX($X$4:$AY$4,MATCH(TRUE,INDEX($X1188:$AY1188&lt;&gt;0,),0)),IF(COUNTIF(BB1188:BD1188,"&lt;&gt;0")=0,INDEX($AO$4:$AY$4,MATCH(1,$AO1188:$AY1188,0)),"Multiple strategies"))</f>
        <v>Silviculture for removals</v>
      </c>
      <c r="BI1188" s="1" t="s">
        <v>321</v>
      </c>
      <c r="BJ1188" t="s">
        <v>2166</v>
      </c>
      <c r="BK1188" s="256" t="s">
        <v>3074</v>
      </c>
      <c r="BL1188" t="s">
        <v>1197</v>
      </c>
      <c r="BM1188">
        <v>1168.5023099755704</v>
      </c>
      <c r="BN1188">
        <v>1580.9377497587932</v>
      </c>
      <c r="BO1188" s="143">
        <f>BN1188/BM1188</f>
        <v>1.3529607397967793</v>
      </c>
      <c r="BP1188">
        <f>BN1188-BM1188</f>
        <v>412.43543978322282</v>
      </c>
      <c r="BQ1188">
        <f>BP1188*10^6</f>
        <v>412435439.78322279</v>
      </c>
      <c r="BR1188" t="s">
        <v>232</v>
      </c>
      <c r="BS1188" s="256" t="s">
        <v>3075</v>
      </c>
      <c r="BT1188" t="s">
        <v>1232</v>
      </c>
      <c r="BU1188">
        <v>268.62539996228497</v>
      </c>
      <c r="BV1188">
        <v>117.34007747271798</v>
      </c>
      <c r="BW1188" s="144">
        <f>IFERROR(BV1188/BU1188,"")</f>
        <v>0.43681676226147093</v>
      </c>
      <c r="BX1188" s="144">
        <f>BV1188-BU1188</f>
        <v>-151.28532248956699</v>
      </c>
      <c r="BY1188" s="144"/>
      <c r="BZ1188">
        <f>BX1188*10^6*C_to_CO2</f>
        <v>-555217133.53671086</v>
      </c>
      <c r="CA1188">
        <f>IFERROR(BZ1188/BQ1188,"")</f>
        <v>-1.3461916217203218</v>
      </c>
      <c r="CB1188">
        <v>0</v>
      </c>
      <c r="CC1188">
        <v>0</v>
      </c>
      <c r="CD1188">
        <v>0</v>
      </c>
      <c r="CE1188">
        <v>0</v>
      </c>
      <c r="CF1188">
        <v>0</v>
      </c>
      <c r="CG1188">
        <v>0</v>
      </c>
      <c r="CH1188">
        <v>0</v>
      </c>
      <c r="CI1188">
        <v>0</v>
      </c>
      <c r="CJ1188">
        <v>0</v>
      </c>
      <c r="CK1188">
        <v>0</v>
      </c>
      <c r="CL1188">
        <v>0</v>
      </c>
      <c r="CM1188">
        <v>0</v>
      </c>
      <c r="CN1188">
        <v>0</v>
      </c>
      <c r="CO1188">
        <v>0</v>
      </c>
      <c r="CP1188" t="str">
        <f>IF($BN1188&lt;$BM1188,"refNeedCorrection","refOK")</f>
        <v>refOK</v>
      </c>
      <c r="CQ1188">
        <f>IF($CP1188="refNeedCorrection",BN1188,BM1188)</f>
        <v>1168.5023099755704</v>
      </c>
      <c r="CR1188">
        <f>IF($CP1188="refNeedCorrection",BM1188,BN1188)</f>
        <v>1580.9377497587932</v>
      </c>
      <c r="CS1188">
        <f>IF($CP1188="refOK",$BQ1188,-$BQ1188)</f>
        <v>412435439.78322279</v>
      </c>
      <c r="CT1188">
        <f>IF(BI1188="Roundwood",$CS1188/2,$CS1188)</f>
        <v>206217719.8916114</v>
      </c>
      <c r="CU1188">
        <f>IF($CP1188="refOK",$BU1188,$BV1188)*IF($BR1188="Emissions positive",-1,1)</f>
        <v>268.62539996228497</v>
      </c>
      <c r="CV1188">
        <f>IF($CP1188="refOK",$BV1188,$BU1188)*IF($BR1188="Emissions positive",-1,1)</f>
        <v>117.34007747271798</v>
      </c>
      <c r="CW1188">
        <f>IF($CP1188="refNeedCorrection",-BZ1188,BZ1188)*IF($BR1188="Emissions positive",-1,1)</f>
        <v>-555217133.53671086</v>
      </c>
      <c r="CX1188">
        <f>IFERROR($CW1188/$CS1188,"")</f>
        <v>-1.3461916217203218</v>
      </c>
      <c r="CY1188">
        <f>IFERROR($CW1188/$CS1188,"")</f>
        <v>-1.3461916217203218</v>
      </c>
      <c r="CZ1188">
        <f>IFERROR($CW1188/$CT1188,"")</f>
        <v>-2.6923832434406436</v>
      </c>
      <c r="DA1188" s="2">
        <f>IFERROR((CV1188-CU1188)/ABS(CU1188),"")</f>
        <v>-0.56318323773852907</v>
      </c>
      <c r="DB1188" s="1" t="s">
        <v>1078</v>
      </c>
      <c r="DC1188" t="str">
        <f>IF(OR($DB1188="prd",$DB1188="std",$DB1188="cit"),"loc",IF(OR($DB1188="eur",$DB1188="reg",$DB1188="coy"),"reg",$DB1188))</f>
        <v>reg</v>
      </c>
      <c r="DD1188" t="s">
        <v>715</v>
      </c>
      <c r="DE1188">
        <v>2015</v>
      </c>
      <c r="DF1188">
        <v>2040</v>
      </c>
      <c r="DG1188">
        <f>DF1188-DE1188</f>
        <v>25</v>
      </c>
      <c r="DH1188" t="str">
        <f>IF(DG1188=0,"0",IF(AND(DG1188&gt;=1,DG1188&lt;=30),"1-30",IF(AND(DG1188&gt;30,DG1188&lt;=70),"31-70",IF(AND(DG1188&gt;70,DG1188&lt;=100),"71-100",IF(DG1188&gt;100,"+100")))))</f>
        <v>1-30</v>
      </c>
      <c r="DI1188">
        <v>1</v>
      </c>
      <c r="DJ1188">
        <v>0</v>
      </c>
      <c r="DK1188">
        <v>0</v>
      </c>
      <c r="DL1188">
        <v>0</v>
      </c>
      <c r="DN1188">
        <f>SUM(DI1188:DL1188)</f>
        <v>1</v>
      </c>
      <c r="DO1188" t="str">
        <f>IF(DN1188=1,INDEX($DI$7:$DL$7,MATCH(1,$DI1188:$DL1188,0)),"mixedProduct")</f>
        <v>UpstreamInput</v>
      </c>
      <c r="DP1188" t="str">
        <f>IF(DI1188=1,DP$7,0)</f>
        <v>Upstream</v>
      </c>
      <c r="DQ1188">
        <f>IF(DJ1188=1,DQ$7,0)</f>
        <v>0</v>
      </c>
      <c r="DR1188">
        <f>IF(DK1188=1,DR$7,0)</f>
        <v>0</v>
      </c>
      <c r="DS1188">
        <f>IF(DL1188=1,DS$7,0)</f>
        <v>0</v>
      </c>
      <c r="DT1188">
        <v>0</v>
      </c>
      <c r="DU1188">
        <v>0</v>
      </c>
      <c r="DV1188">
        <v>0</v>
      </c>
      <c r="DW1188">
        <v>0</v>
      </c>
      <c r="DX1188">
        <v>0</v>
      </c>
      <c r="DY1188">
        <f>SUM(DT1188:DU1188)</f>
        <v>0</v>
      </c>
      <c r="DZ1188" s="143" t="str">
        <f>IF(DT1188=1,"self-calculated DF",IF(DU1188=1,"external DF used","explicit C balance"))</f>
        <v>explicit C balance</v>
      </c>
      <c r="EA1188">
        <v>0</v>
      </c>
      <c r="EB1188">
        <v>1</v>
      </c>
      <c r="EC1188">
        <v>1</v>
      </c>
      <c r="ED1188">
        <v>0</v>
      </c>
      <c r="EE1188">
        <v>0</v>
      </c>
      <c r="EF1188" s="143">
        <v>0</v>
      </c>
      <c r="EG1188">
        <v>0</v>
      </c>
      <c r="EH1188">
        <v>0</v>
      </c>
      <c r="EI1188">
        <v>0</v>
      </c>
      <c r="EJ1188">
        <v>0</v>
      </c>
      <c r="EK1188">
        <v>1</v>
      </c>
      <c r="EL1188">
        <v>0</v>
      </c>
      <c r="EM1188">
        <v>0</v>
      </c>
      <c r="EN1188" s="2">
        <v>0</v>
      </c>
      <c r="EP1188" t="str">
        <f>IF(AND(AND(AND(OR($EC1188=1,$EB1188=1),OR($EH1188=1,$EF1188=1)),SUM($EA1188:$EE1188,$EK1188)&gt;=3),SUM($EF1188:$EJ1188)&gt;=2),"Whole sector approach","")</f>
        <v/>
      </c>
      <c r="EQ1188" t="str">
        <f>IF(AND(AND(OR($EC1188=1,$EB1188=1),AND($EH1188=0,$EF1188=0)),SUM($EA1188:$EE1188,$EK1188)&gt;=4),"Ecosystem approach","")</f>
        <v/>
      </c>
      <c r="ER1188" s="2" t="str">
        <f>IF(AND(AND(AND($EC1188=0,$EB1188=0),OR($EH1188=1,$EF1188=1)),SUM($EG1188:$EJ1188)&gt;=2),"Technology approach","")</f>
        <v/>
      </c>
      <c r="ES1188" t="str">
        <f>IF(AND($EC1188+$EB1188+$EE1188+$EA1188+$ED1188+$EG1188=0,$N1188="included"),"C neutral forest and HWP assumption","")</f>
        <v/>
      </c>
      <c r="ET1188" t="str">
        <f>IF(AND(AND(AND(AND($EC1188=1,$EB1188+$EA1188+$EG1188&gt;=1),$EF1188=1),$EH1188+$EI1188+$ED1188+$EE1188&gt;=2),$N1188="included"),"All C pools assumption","")</f>
        <v/>
      </c>
      <c r="EU1188" t="str">
        <f>IF(AND($ED1188+$EE1188+$EI1188+$EH1188+$EF1188=0,$N1188="included"),"In-situ only assumption","")</f>
        <v>In-situ only assumption</v>
      </c>
      <c r="EY1188" t="str">
        <f>IF(ISNUMBER(BW1188),IF(ABS(BW1188-[6]QC_indicators!$B$2)&gt;3*[6]QC_indicators!$C$2,"C ratio",IF(ISNUMBER(CA1188),IF(ABS(CA1188-[6]QC_indicators!$B$1)&gt;3*[6]QC_indicators!$C$1,"DF","no"))),IF(ISNUMBER(CA1188),IF(ABS(CA1188-[6]QC_indicators!$B$1)&gt;3*[6]QC_indicators!$C$1,"DF","no")))</f>
        <v>no</v>
      </c>
      <c r="EZ1188" t="s">
        <v>2122</v>
      </c>
      <c r="FA1188" t="str">
        <f>IF(LEN($CY1188)=0,"",IF(AND($CY1188&lt;(-0.05),$ES1188="C neutral forest and HWP assumption"),"Cneutral paradox",IF(AND($CY1188&gt;0.05,$EU1188="In-situ only assumption"),"In-situ only paradox","")))</f>
        <v/>
      </c>
      <c r="FD1188" s="260" t="s">
        <v>2948</v>
      </c>
    </row>
    <row r="1189" spans="1:160" ht="15" customHeight="1">
      <c r="A1189" s="1" t="s">
        <v>1781</v>
      </c>
      <c r="B1189" t="s">
        <v>2158</v>
      </c>
      <c r="C1189" t="s">
        <v>2159</v>
      </c>
      <c r="D1189" t="s">
        <v>2160</v>
      </c>
      <c r="E1189" t="s">
        <v>2161</v>
      </c>
      <c r="F1189" t="s">
        <v>2162</v>
      </c>
      <c r="G1189" t="s">
        <v>1787</v>
      </c>
      <c r="H1189" t="s">
        <v>254</v>
      </c>
      <c r="I1189">
        <v>2018</v>
      </c>
      <c r="J1189">
        <v>8</v>
      </c>
      <c r="K1189" t="s">
        <v>2163</v>
      </c>
      <c r="M1189" t="str">
        <f>LEFT($D1189,FIND(",",$D1189)-1)&amp;"_"&amp;I1189&amp;L1189</f>
        <v>Valade_2018</v>
      </c>
      <c r="N1189" t="s">
        <v>222</v>
      </c>
      <c r="O1189" s="145" t="s">
        <v>1029</v>
      </c>
      <c r="Q1189" t="s">
        <v>256</v>
      </c>
      <c r="R1189" s="251" t="s">
        <v>225</v>
      </c>
      <c r="S1189" s="1" t="s">
        <v>2169</v>
      </c>
      <c r="T1189" t="s">
        <v>2157</v>
      </c>
      <c r="U1189" t="s">
        <v>2170</v>
      </c>
      <c r="V1189" s="253">
        <v>0</v>
      </c>
      <c r="W1189" s="253">
        <v>0</v>
      </c>
      <c r="X1189">
        <v>0</v>
      </c>
      <c r="Y1189">
        <v>0</v>
      </c>
      <c r="Z1189">
        <v>1</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0</v>
      </c>
      <c r="AV1189">
        <v>0</v>
      </c>
      <c r="AW1189">
        <v>0</v>
      </c>
      <c r="AX1189">
        <v>0</v>
      </c>
      <c r="AY1189">
        <v>0</v>
      </c>
      <c r="AZ1189" s="141">
        <f>COUNTIF(X1189:AY1189,"&lt;&gt;0")</f>
        <v>1</v>
      </c>
      <c r="BA1189" s="141">
        <f>COUNTIF(X1189:AN1189,"&lt;&gt;0")</f>
        <v>1</v>
      </c>
      <c r="BB1189">
        <f>COUNTIF(X1189:AE1189,"&lt;&gt;0")</f>
        <v>1</v>
      </c>
      <c r="BC1189">
        <f>COUNTIF(AF1189:AK1189,"&lt;&gt;0")</f>
        <v>0</v>
      </c>
      <c r="BD1189">
        <f>COUNTIF(AL1189:AN1189,"&lt;&gt;0")</f>
        <v>0</v>
      </c>
      <c r="BE1189">
        <f>COUNTIF(AU1189:AY1189,"&lt;&gt;0")</f>
        <v>0</v>
      </c>
      <c r="BF1189">
        <f>COUNTIF(AO1189:AT1189,"&lt;&gt;0")</f>
        <v>0</v>
      </c>
      <c r="BG1189" t="str">
        <f t="array" ref="BG1189">IF(BA1189=1,INDEX($X$7:$AN$7,MATCH(TRUE,INDEX($X1189:$AY1189&lt;&gt;0,),0)),IF(BA1189=0,INDEX($AO$7:$AY$7,MATCH(1,$AO1189:$AY1189,0)),IF(BH1189="Multiple strategies","mixed drivers",IF(BH1189="Supply chain","multiple supply","multiple silviculture"))))</f>
        <v>rotation length</v>
      </c>
      <c r="BH1189" s="2" t="str" cm="1">
        <f t="array" ref="BH1189">IF(COUNTIF(BB1189:BD1189,"&lt;&gt;0")=1,INDEX($X$4:$AY$4,MATCH(TRUE,INDEX($X1189:$AY1189&lt;&gt;0,),0)),IF(COUNTIF(BB1189:BD1189,"&lt;&gt;0")=0,INDEX($AO$4:$AY$4,MATCH(1,$AO1189:$AY1189,0)),"Multiple strategies"))</f>
        <v>Silviculture for removals</v>
      </c>
      <c r="BI1189" s="1" t="s">
        <v>321</v>
      </c>
      <c r="BJ1189" t="s">
        <v>2166</v>
      </c>
      <c r="BK1189" s="256" t="s">
        <v>3074</v>
      </c>
      <c r="BL1189" t="s">
        <v>1197</v>
      </c>
      <c r="BM1189">
        <v>1168.5023099755704</v>
      </c>
      <c r="BN1189">
        <v>2095.3144563242754</v>
      </c>
      <c r="BO1189" s="143">
        <f>BN1189/BM1189</f>
        <v>1.7931624425869399</v>
      </c>
      <c r="BP1189">
        <f>BN1189-BM1189</f>
        <v>926.81214634870503</v>
      </c>
      <c r="BQ1189">
        <f>BP1189*10^6</f>
        <v>926812146.34870505</v>
      </c>
      <c r="BR1189" t="s">
        <v>232</v>
      </c>
      <c r="BS1189" s="256" t="s">
        <v>3075</v>
      </c>
      <c r="BT1189" t="s">
        <v>1232</v>
      </c>
      <c r="BU1189">
        <v>268.62539996228497</v>
      </c>
      <c r="BV1189">
        <v>-158.820853</v>
      </c>
      <c r="BW1189" s="144">
        <f>IFERROR(BV1189/BU1189,"")</f>
        <v>-0.59123542681480779</v>
      </c>
      <c r="BX1189" s="144">
        <f>BV1189-BU1189</f>
        <v>-427.44625296228497</v>
      </c>
      <c r="BY1189" s="144"/>
      <c r="BZ1189">
        <f>BX1189*10^6*C_to_CO2</f>
        <v>-1568727748.3715858</v>
      </c>
      <c r="CA1189">
        <f>IFERROR(BZ1189/BQ1189,"")</f>
        <v>-1.6926059445290929</v>
      </c>
      <c r="CB1189">
        <v>0</v>
      </c>
      <c r="CC1189">
        <v>0</v>
      </c>
      <c r="CD1189">
        <v>0</v>
      </c>
      <c r="CE1189">
        <v>0</v>
      </c>
      <c r="CF1189">
        <v>0</v>
      </c>
      <c r="CG1189">
        <v>0</v>
      </c>
      <c r="CH1189">
        <v>0</v>
      </c>
      <c r="CI1189">
        <v>0</v>
      </c>
      <c r="CJ1189">
        <v>0</v>
      </c>
      <c r="CK1189">
        <v>0</v>
      </c>
      <c r="CL1189">
        <v>0</v>
      </c>
      <c r="CM1189">
        <v>0</v>
      </c>
      <c r="CN1189">
        <v>0</v>
      </c>
      <c r="CO1189">
        <v>0</v>
      </c>
      <c r="CP1189" t="str">
        <f>IF($BN1189&lt;$BM1189,"refNeedCorrection","refOK")</f>
        <v>refOK</v>
      </c>
      <c r="CQ1189">
        <f>IF($CP1189="refNeedCorrection",BN1189,BM1189)</f>
        <v>1168.5023099755704</v>
      </c>
      <c r="CR1189">
        <f>IF($CP1189="refNeedCorrection",BM1189,BN1189)</f>
        <v>2095.3144563242754</v>
      </c>
      <c r="CS1189">
        <f>IF($CP1189="refOK",$BQ1189,-$BQ1189)</f>
        <v>926812146.34870505</v>
      </c>
      <c r="CT1189">
        <f>IF(BI1189="Roundwood",$CS1189/2,$CS1189)</f>
        <v>463406073.17435253</v>
      </c>
      <c r="CU1189">
        <f>IF($CP1189="refOK",$BU1189,$BV1189)*IF($BR1189="Emissions positive",-1,1)</f>
        <v>268.62539996228497</v>
      </c>
      <c r="CV1189">
        <f>IF($CP1189="refOK",$BV1189,$BU1189)*IF($BR1189="Emissions positive",-1,1)</f>
        <v>-158.820853</v>
      </c>
      <c r="CW1189">
        <f>IF($CP1189="refNeedCorrection",-BZ1189,BZ1189)*IF($BR1189="Emissions positive",-1,1)</f>
        <v>-1568727748.3715858</v>
      </c>
      <c r="CX1189">
        <f>IFERROR($CW1189/$CS1189,"")</f>
        <v>-1.6926059445290929</v>
      </c>
      <c r="CY1189">
        <f>IFERROR($CW1189/$CS1189,"")</f>
        <v>-1.6926059445290929</v>
      </c>
      <c r="CZ1189">
        <f>IFERROR($CW1189/$CT1189,"")</f>
        <v>-3.3852118890581857</v>
      </c>
      <c r="DA1189" s="2">
        <f>IFERROR((CV1189-CU1189)/ABS(CU1189),"")</f>
        <v>-1.5912354268148077</v>
      </c>
      <c r="DB1189" s="1" t="s">
        <v>1078</v>
      </c>
      <c r="DC1189" t="str">
        <f>IF(OR($DB1189="prd",$DB1189="std",$DB1189="cit"),"loc",IF(OR($DB1189="eur",$DB1189="reg",$DB1189="coy"),"reg",$DB1189))</f>
        <v>reg</v>
      </c>
      <c r="DD1189" t="s">
        <v>715</v>
      </c>
      <c r="DE1189">
        <v>2015</v>
      </c>
      <c r="DF1189">
        <v>2040</v>
      </c>
      <c r="DG1189">
        <f>DF1189-DE1189</f>
        <v>25</v>
      </c>
      <c r="DH1189" t="str">
        <f>IF(DG1189=0,"0",IF(AND(DG1189&gt;=1,DG1189&lt;=30),"1-30",IF(AND(DG1189&gt;30,DG1189&lt;=70),"31-70",IF(AND(DG1189&gt;70,DG1189&lt;=100),"71-100",IF(DG1189&gt;100,"+100")))))</f>
        <v>1-30</v>
      </c>
      <c r="DI1189">
        <v>1</v>
      </c>
      <c r="DJ1189">
        <v>0</v>
      </c>
      <c r="DK1189">
        <v>0</v>
      </c>
      <c r="DL1189">
        <v>0</v>
      </c>
      <c r="DN1189">
        <f>SUM(DI1189:DL1189)</f>
        <v>1</v>
      </c>
      <c r="DO1189" t="str">
        <f>IF(DN1189=1,INDEX($DI$7:$DL$7,MATCH(1,$DI1189:$DL1189,0)),"mixedProduct")</f>
        <v>UpstreamInput</v>
      </c>
      <c r="DP1189" t="str">
        <f>IF(DI1189=1,DP$7,0)</f>
        <v>Upstream</v>
      </c>
      <c r="DQ1189">
        <f>IF(DJ1189=1,DQ$7,0)</f>
        <v>0</v>
      </c>
      <c r="DR1189">
        <f>IF(DK1189=1,DR$7,0)</f>
        <v>0</v>
      </c>
      <c r="DS1189">
        <f>IF(DL1189=1,DS$7,0)</f>
        <v>0</v>
      </c>
      <c r="DT1189">
        <v>0</v>
      </c>
      <c r="DU1189">
        <v>0</v>
      </c>
      <c r="DV1189">
        <v>0</v>
      </c>
      <c r="DW1189">
        <v>0</v>
      </c>
      <c r="DX1189">
        <v>0</v>
      </c>
      <c r="DY1189">
        <f>SUM(DT1189:DU1189)</f>
        <v>0</v>
      </c>
      <c r="DZ1189" s="143" t="str">
        <f>IF(DT1189=1,"self-calculated DF",IF(DU1189=1,"external DF used","explicit C balance"))</f>
        <v>explicit C balance</v>
      </c>
      <c r="EA1189">
        <v>0</v>
      </c>
      <c r="EB1189">
        <v>1</v>
      </c>
      <c r="EC1189">
        <v>1</v>
      </c>
      <c r="ED1189">
        <v>0</v>
      </c>
      <c r="EE1189">
        <v>0</v>
      </c>
      <c r="EF1189" s="143">
        <v>0</v>
      </c>
      <c r="EG1189">
        <v>0</v>
      </c>
      <c r="EH1189">
        <v>0</v>
      </c>
      <c r="EI1189">
        <v>0</v>
      </c>
      <c r="EJ1189">
        <v>0</v>
      </c>
      <c r="EK1189">
        <v>1</v>
      </c>
      <c r="EL1189">
        <v>0</v>
      </c>
      <c r="EM1189">
        <v>0</v>
      </c>
      <c r="EN1189" s="2">
        <v>0</v>
      </c>
      <c r="EP1189" t="str">
        <f>IF(AND(AND(AND(OR($EC1189=1,$EB1189=1),OR($EH1189=1,$EF1189=1)),SUM($EA1189:$EE1189,$EK1189)&gt;=3),SUM($EF1189:$EJ1189)&gt;=2),"Whole sector approach","")</f>
        <v/>
      </c>
      <c r="EQ1189" t="str">
        <f>IF(AND(AND(OR($EC1189=1,$EB1189=1),AND($EH1189=0,$EF1189=0)),SUM($EA1189:$EE1189,$EK1189)&gt;=4),"Ecosystem approach","")</f>
        <v/>
      </c>
      <c r="ER1189" s="2" t="str">
        <f>IF(AND(AND(AND($EC1189=0,$EB1189=0),OR($EH1189=1,$EF1189=1)),SUM($EG1189:$EJ1189)&gt;=2),"Technology approach","")</f>
        <v/>
      </c>
      <c r="ES1189" t="str">
        <f>IF(AND($EC1189+$EB1189+$EE1189+$EA1189+$ED1189+$EG1189=0,$N1189="included"),"C neutral forest and HWP assumption","")</f>
        <v/>
      </c>
      <c r="ET1189" t="str">
        <f>IF(AND(AND(AND(AND($EC1189=1,$EB1189+$EA1189+$EG1189&gt;=1),$EF1189=1),$EH1189+$EI1189+$ED1189+$EE1189&gt;=2),$N1189="included"),"All C pools assumption","")</f>
        <v/>
      </c>
      <c r="EU1189" t="str">
        <f>IF(AND($ED1189+$EE1189+$EI1189+$EH1189+$EF1189=0,$N1189="included"),"In-situ only assumption","")</f>
        <v>In-situ only assumption</v>
      </c>
      <c r="EY1189" t="str">
        <f>IF(ISNUMBER(BW1189),IF(ABS(BW1189-[6]QC_indicators!$B$2)&gt;3*[6]QC_indicators!$C$2,"C ratio",IF(ISNUMBER(CA1189),IF(ABS(CA1189-[6]QC_indicators!$B$1)&gt;3*[6]QC_indicators!$C$1,"DF","no"))),IF(ISNUMBER(CA1189),IF(ABS(CA1189-[6]QC_indicators!$B$1)&gt;3*[6]QC_indicators!$C$1,"DF","no")))</f>
        <v>no</v>
      </c>
      <c r="EZ1189" t="s">
        <v>2122</v>
      </c>
      <c r="FA1189" t="str">
        <f>IF(LEN($CY1189)=0,"",IF(AND($CY1189&lt;(-0.05),$ES1189="C neutral forest and HWP assumption"),"Cneutral paradox",IF(AND($CY1189&gt;0.05,$EU1189="In-situ only assumption"),"In-situ only paradox","")))</f>
        <v/>
      </c>
      <c r="FD1189" s="260" t="s">
        <v>2948</v>
      </c>
    </row>
    <row r="1190" spans="1:160" ht="18" hidden="1" customHeight="1">
      <c r="A1190" s="1" t="s">
        <v>1781</v>
      </c>
      <c r="B1190" t="s">
        <v>2158</v>
      </c>
      <c r="C1190" t="s">
        <v>2159</v>
      </c>
      <c r="D1190" t="s">
        <v>2160</v>
      </c>
      <c r="E1190" t="s">
        <v>2161</v>
      </c>
      <c r="F1190" t="s">
        <v>2162</v>
      </c>
      <c r="G1190" t="s">
        <v>1787</v>
      </c>
      <c r="H1190" t="s">
        <v>254</v>
      </c>
      <c r="I1190">
        <v>2018</v>
      </c>
      <c r="J1190">
        <v>8</v>
      </c>
      <c r="K1190" t="s">
        <v>2163</v>
      </c>
      <c r="M1190" t="str">
        <f>LEFT($D1190,FIND(",",$D1190)-1)&amp;"_"&amp;I1190&amp;L1190</f>
        <v>Valade_2018</v>
      </c>
      <c r="N1190" t="s">
        <v>222</v>
      </c>
      <c r="O1190" s="145" t="s">
        <v>1029</v>
      </c>
      <c r="Q1190" t="s">
        <v>256</v>
      </c>
      <c r="R1190" s="251" t="s">
        <v>225</v>
      </c>
      <c r="S1190" s="1" t="s">
        <v>2164</v>
      </c>
      <c r="T1190" t="s">
        <v>2157</v>
      </c>
      <c r="U1190" t="s">
        <v>2165</v>
      </c>
      <c r="V1190" s="334">
        <v>1</v>
      </c>
      <c r="W1190">
        <v>0</v>
      </c>
      <c r="X1190">
        <v>1</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s="141">
        <f>COUNTIF(X1190:AY1190,"&lt;&gt;0")</f>
        <v>1</v>
      </c>
      <c r="BA1190" s="141">
        <f>COUNTIF(X1190:AN1190,"&lt;&gt;0")</f>
        <v>1</v>
      </c>
      <c r="BB1190">
        <f>COUNTIF(X1190:AE1190,"&lt;&gt;0")</f>
        <v>1</v>
      </c>
      <c r="BC1190">
        <f>COUNTIF(AF1190:AK1190,"&lt;&gt;0")</f>
        <v>0</v>
      </c>
      <c r="BD1190">
        <f>COUNTIF(AL1190:AN1190,"&lt;&gt;0")</f>
        <v>0</v>
      </c>
      <c r="BE1190">
        <f>COUNTIF(AU1190:AY1190,"&lt;&gt;0")</f>
        <v>0</v>
      </c>
      <c r="BF1190">
        <f>COUNTIF(AO1190:AT1190,"&lt;&gt;0")</f>
        <v>0</v>
      </c>
      <c r="BG1190" t="str">
        <f t="array" ref="BG1190">IF(BA1190=1,INDEX($X$7:$AN$7,MATCH(TRUE,INDEX($X1190:$AY1190&lt;&gt;0,),0)),IF(BA1190=0,INDEX($AO$7:$AY$7,MATCH(1,$AO1190:$AY1190,0)),IF(BH1190="Multiple strategies","mixed drivers",IF(BH1190="Supply chain","multiple supply","multiple silviculture"))))</f>
        <v>area subject to harvest</v>
      </c>
      <c r="BH1190" s="2" t="str" cm="1">
        <f t="array" ref="BH1190">IF(COUNTIF(BB1190:BD1190,"&lt;&gt;0")=1,INDEX($X$4:$AY$4,MATCH(TRUE,INDEX($X1190:$AY1190&lt;&gt;0,),0)),IF(COUNTIF(BB1190:BD1190,"&lt;&gt;0")=0,INDEX($AO$4:$AY$4,MATCH(1,$AO1190:$AY1190,0)),"Multiple strategies"))</f>
        <v>Silviculture for removals</v>
      </c>
      <c r="BI1190" s="1" t="s">
        <v>321</v>
      </c>
      <c r="BJ1190" t="s">
        <v>2166</v>
      </c>
      <c r="BK1190" s="256" t="s">
        <v>3074</v>
      </c>
      <c r="BL1190" t="s">
        <v>1197</v>
      </c>
      <c r="BM1190">
        <v>1168.5023099755704</v>
      </c>
      <c r="BN1190">
        <v>1547.3378240138293</v>
      </c>
      <c r="BO1190" s="143">
        <f>BN1190/BM1190</f>
        <v>1.3242060463245291</v>
      </c>
      <c r="BP1190">
        <f>BN1190-BM1190</f>
        <v>378.83551403825891</v>
      </c>
      <c r="BQ1190">
        <f>+BP1190*1000000</f>
        <v>378835514.03825891</v>
      </c>
      <c r="BR1190" t="s">
        <v>232</v>
      </c>
      <c r="BS1190" s="256" t="s">
        <v>3076</v>
      </c>
      <c r="BT1190" t="s">
        <v>1232</v>
      </c>
      <c r="BU1190">
        <v>391.990063159464</v>
      </c>
      <c r="BV1190">
        <v>340.20373499999999</v>
      </c>
      <c r="BW1190" s="144">
        <f>IFERROR(BV1190/BU1190,"")</f>
        <v>0.86788867110032586</v>
      </c>
      <c r="BX1190" s="144">
        <f>BV1190-BU1190</f>
        <v>-51.786328159464006</v>
      </c>
      <c r="BY1190" s="144"/>
      <c r="BZ1190">
        <f>BX1190*10^6*C_to_CO2</f>
        <v>-190055824.3452329</v>
      </c>
      <c r="CA1190">
        <f>IFERROR(BZ1190/BQ1190,"")</f>
        <v>-0.50168428593006464</v>
      </c>
      <c r="CB1190">
        <v>0</v>
      </c>
      <c r="CC1190">
        <v>0</v>
      </c>
      <c r="CD1190">
        <v>0</v>
      </c>
      <c r="CE1190">
        <v>0</v>
      </c>
      <c r="CF1190">
        <v>0</v>
      </c>
      <c r="CG1190">
        <v>0</v>
      </c>
      <c r="CH1190">
        <v>0</v>
      </c>
      <c r="CI1190">
        <v>0</v>
      </c>
      <c r="CJ1190">
        <v>0</v>
      </c>
      <c r="CK1190">
        <v>0</v>
      </c>
      <c r="CL1190">
        <v>0</v>
      </c>
      <c r="CM1190">
        <v>0</v>
      </c>
      <c r="CN1190">
        <v>0</v>
      </c>
      <c r="CO1190">
        <v>0</v>
      </c>
      <c r="CP1190" t="str">
        <f>IF($BN1190&lt;$BM1190,"refNeedCorrection","refOK")</f>
        <v>refOK</v>
      </c>
      <c r="CQ1190">
        <f>IF($CP1190="refNeedCorrection",BN1190,BM1190)</f>
        <v>1168.5023099755704</v>
      </c>
      <c r="CR1190">
        <f>IF($CP1190="refNeedCorrection",BM1190,BN1190)</f>
        <v>1547.3378240138293</v>
      </c>
      <c r="CS1190">
        <f>IF($CP1190="refOK",$BQ1190,-$BQ1190)</f>
        <v>378835514.03825891</v>
      </c>
      <c r="CT1190">
        <f>IF(BI1190="Roundwood",$CS1190/2,$CS1190)</f>
        <v>189417757.01912946</v>
      </c>
      <c r="CU1190">
        <f>IF($CP1190="refOK",$BU1190,$BV1190)*IF($BR1190="Emissions positive",-1,1)</f>
        <v>391.990063159464</v>
      </c>
      <c r="CV1190">
        <f>IF($CP1190="refOK",$BV1190,$BU1190)*IF($BR1190="Emissions positive",-1,1)</f>
        <v>340.20373499999999</v>
      </c>
      <c r="CW1190">
        <f>IF($CP1190="refNeedCorrection",-BZ1190,BZ1190)*IF($BR1190="Emissions positive",-1,1)</f>
        <v>-190055824.3452329</v>
      </c>
      <c r="CX1190">
        <f>IFERROR($CW1190/$CS1190,"")</f>
        <v>-0.50168428593006464</v>
      </c>
      <c r="CY1190">
        <f>IFERROR($CW1190/$CS1190,"")</f>
        <v>-0.50168428593006464</v>
      </c>
      <c r="CZ1190">
        <f>IFERROR($CW1190/$CT1190,"")</f>
        <v>-1.0033685718601293</v>
      </c>
      <c r="DA1190" s="2">
        <f>IFERROR((CV1190-CU1190)/ABS(CU1190),"")</f>
        <v>-0.1321113288996742</v>
      </c>
      <c r="DB1190" s="1" t="s">
        <v>1078</v>
      </c>
      <c r="DC1190" t="str">
        <f>IF(OR($DB1190="prd",$DB1190="std",$DB1190="cit"),"loc",IF(OR($DB1190="eur",$DB1190="reg",$DB1190="coy"),"reg",$DB1190))</f>
        <v>reg</v>
      </c>
      <c r="DD1190" t="s">
        <v>715</v>
      </c>
      <c r="DE1190">
        <v>2015</v>
      </c>
      <c r="DF1190">
        <v>2040</v>
      </c>
      <c r="DG1190">
        <f>DF1190-DE1190</f>
        <v>25</v>
      </c>
      <c r="DH1190" t="str">
        <f>IF(DG1190=0,"0",IF(AND(DG1190&gt;=1,DG1190&lt;=30),"1-30",IF(AND(DG1190&gt;30,DG1190&lt;=70),"31-70",IF(AND(DG1190&gt;70,DG1190&lt;=100),"71-100",IF(DG1190&gt;100,"+100")))))</f>
        <v>1-30</v>
      </c>
      <c r="DI1190">
        <v>1</v>
      </c>
      <c r="DJ1190">
        <v>1</v>
      </c>
      <c r="DK1190">
        <v>1</v>
      </c>
      <c r="DL1190">
        <v>1</v>
      </c>
      <c r="DN1190">
        <f>SUM(DI1190:DL1190)</f>
        <v>4</v>
      </c>
      <c r="DO1190" t="str">
        <f>IF(DN1190=1,INDEX($DI$7:$DL$7,MATCH(1,$DI1190:$DL1190,0)),"mixedProduct")</f>
        <v>mixedProduct</v>
      </c>
      <c r="DP1190" t="str">
        <f>IF(DI1190=1,DP$7,0)</f>
        <v>Upstream</v>
      </c>
      <c r="DQ1190" t="str">
        <f>IF(DJ1190=1,DQ$7,0)</f>
        <v>Energy</v>
      </c>
      <c r="DR1190" t="str">
        <f>IF(DK1190=1,DR$7,0)</f>
        <v>Pulp/Paper</v>
      </c>
      <c r="DS1190" t="str">
        <f>IF(DL1190=1,DS$7,0)</f>
        <v>Timber</v>
      </c>
      <c r="DT1190">
        <v>0</v>
      </c>
      <c r="DU1190">
        <v>1</v>
      </c>
      <c r="DV1190" t="s">
        <v>2173</v>
      </c>
      <c r="DW1190" t="s">
        <v>2174</v>
      </c>
      <c r="DX1190" t="s">
        <v>2174</v>
      </c>
      <c r="DY1190">
        <f>SUM(DT1190:DU1190)</f>
        <v>1</v>
      </c>
      <c r="DZ1190" s="143" t="str">
        <f>IF(DT1190=1,"self-calculated DF",IF(DU1190=1,"external DF used","explicit C balance"))</f>
        <v>external DF used</v>
      </c>
      <c r="EA1190">
        <v>0</v>
      </c>
      <c r="EB1190">
        <v>1</v>
      </c>
      <c r="EC1190">
        <v>1</v>
      </c>
      <c r="ED1190">
        <v>1</v>
      </c>
      <c r="EE1190">
        <v>1</v>
      </c>
      <c r="EF1190" s="143">
        <v>1</v>
      </c>
      <c r="EG1190">
        <v>1</v>
      </c>
      <c r="EH1190">
        <v>1</v>
      </c>
      <c r="EI1190">
        <v>0</v>
      </c>
      <c r="EJ1190">
        <v>0</v>
      </c>
      <c r="EK1190">
        <v>1</v>
      </c>
      <c r="EL1190">
        <v>0</v>
      </c>
      <c r="EM1190">
        <v>0</v>
      </c>
      <c r="EN1190" s="2">
        <v>0</v>
      </c>
      <c r="EP1190" t="str">
        <f>IF(AND(AND(AND(OR($EC1190=1,$EB1190=1),OR($EH1190=1,$EF1190=1)),SUM($EA1190:$EE1190,$EK1190)&gt;=3),SUM($EF1190:$EJ1190)&gt;=2),"Whole sector approach","")</f>
        <v>Whole sector approach</v>
      </c>
      <c r="EQ1190" t="str">
        <f>IF(AND(AND(OR($EC1190=1,$EB1190=1),AND($EH1190=0,$EF1190=0)),SUM($EA1190:$EE1190,$EK1190)&gt;=4),"Ecosystem approach","")</f>
        <v/>
      </c>
      <c r="ER1190" s="2" t="str">
        <f>IF(AND(AND(AND($EC1190=0,$EB1190=0),OR($EH1190=1,$EF1190=1)),SUM($EG1190:$EJ1190)&gt;=2),"Technology approach","")</f>
        <v/>
      </c>
      <c r="ES1190" t="str">
        <f>IF(AND($EC1190+$EB1190+$EE1190+$EA1190+$ED1190+$EG1190=0,$N1190="included"),"C neutral forest and HWP assumption","")</f>
        <v/>
      </c>
      <c r="ET1190" t="str">
        <f>IF(AND(AND(AND(AND($EC1190=1,$EB1190+$EA1190+$EG1190&gt;=1),$EF1190=1),$EH1190+$EI1190+$ED1190+$EE1190&gt;=2),$N1190="included"),"All C pools assumption","")</f>
        <v>All C pools assumption</v>
      </c>
      <c r="EU1190" t="str">
        <f>IF(AND($ED1190+$EE1190+$EI1190+$EH1190+$EF1190=0,$N1190="included"),"In-situ only assumption","")</f>
        <v/>
      </c>
      <c r="EY1190" t="str">
        <f>IF(ISNUMBER(BW1190),IF(ABS(BW1190-[6]QC_indicators!$B$2)&gt;3*[6]QC_indicators!$C$2,"C ratio",IF(ISNUMBER(CA1190),IF(ABS(CA1190-[6]QC_indicators!$B$1)&gt;3*[6]QC_indicators!$C$1,"DF","no"))),IF(ISNUMBER(CA1190),IF(ABS(CA1190-[6]QC_indicators!$B$1)&gt;3*[6]QC_indicators!$C$1,"DF","no")))</f>
        <v>no</v>
      </c>
      <c r="EZ1190" t="s">
        <v>2122</v>
      </c>
      <c r="FA1190" t="str">
        <f>IF(LEN($CY1190)=0,"",IF(AND($CY1190&lt;(-0.05),$ES1190="C neutral forest and HWP assumption"),"Cneutral paradox",IF(AND($CY1190&gt;0.05,$EU1190="In-situ only assumption"),"In-situ only paradox","")))</f>
        <v/>
      </c>
      <c r="FD1190" s="260" t="s">
        <v>2948</v>
      </c>
    </row>
    <row r="1191" spans="1:160" ht="15" hidden="1" customHeight="1">
      <c r="A1191" s="1" t="s">
        <v>1781</v>
      </c>
      <c r="B1191" t="s">
        <v>2158</v>
      </c>
      <c r="C1191" t="s">
        <v>2159</v>
      </c>
      <c r="D1191" t="s">
        <v>2160</v>
      </c>
      <c r="E1191" t="s">
        <v>2161</v>
      </c>
      <c r="F1191" t="s">
        <v>2162</v>
      </c>
      <c r="G1191" t="s">
        <v>1787</v>
      </c>
      <c r="H1191" t="s">
        <v>254</v>
      </c>
      <c r="I1191">
        <v>2018</v>
      </c>
      <c r="J1191">
        <v>8</v>
      </c>
      <c r="K1191" t="s">
        <v>2163</v>
      </c>
      <c r="M1191" t="str">
        <f>LEFT($D1191,FIND(",",$D1191)-1)&amp;"_"&amp;I1191&amp;L1191</f>
        <v>Valade_2018</v>
      </c>
      <c r="N1191" t="s">
        <v>222</v>
      </c>
      <c r="O1191" s="145" t="s">
        <v>1029</v>
      </c>
      <c r="Q1191" t="s">
        <v>256</v>
      </c>
      <c r="R1191" s="251" t="s">
        <v>225</v>
      </c>
      <c r="S1191" s="1" t="s">
        <v>2164</v>
      </c>
      <c r="T1191" t="s">
        <v>2157</v>
      </c>
      <c r="U1191" t="s">
        <v>2165</v>
      </c>
      <c r="V1191" s="334">
        <v>1</v>
      </c>
      <c r="W1191">
        <v>0</v>
      </c>
      <c r="X1191">
        <v>1</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s="141">
        <f>COUNTIF(X1191:AY1191,"&lt;&gt;0")</f>
        <v>1</v>
      </c>
      <c r="BA1191" s="141">
        <f>COUNTIF(X1191:AN1191,"&lt;&gt;0")</f>
        <v>1</v>
      </c>
      <c r="BB1191">
        <f>COUNTIF(X1191:AE1191,"&lt;&gt;0")</f>
        <v>1</v>
      </c>
      <c r="BC1191">
        <f>COUNTIF(AF1191:AK1191,"&lt;&gt;0")</f>
        <v>0</v>
      </c>
      <c r="BD1191">
        <f>COUNTIF(AL1191:AN1191,"&lt;&gt;0")</f>
        <v>0</v>
      </c>
      <c r="BE1191">
        <f>COUNTIF(AU1191:AY1191,"&lt;&gt;0")</f>
        <v>0</v>
      </c>
      <c r="BF1191">
        <f>COUNTIF(AO1191:AT1191,"&lt;&gt;0")</f>
        <v>0</v>
      </c>
      <c r="BG1191" t="str">
        <f t="array" ref="BG1191">IF(BA1191=1,INDEX($X$7:$AN$7,MATCH(TRUE,INDEX($X1191:$AY1191&lt;&gt;0,),0)),IF(BA1191=0,INDEX($AO$7:$AY$7,MATCH(1,$AO1191:$AY1191,0)),IF(BH1191="Multiple strategies","mixed drivers",IF(BH1191="Supply chain","multiple supply","multiple silviculture"))))</f>
        <v>area subject to harvest</v>
      </c>
      <c r="BH1191" s="2" t="str" cm="1">
        <f t="array" ref="BH1191">IF(COUNTIF(BB1191:BD1191,"&lt;&gt;0")=1,INDEX($X$4:$AY$4,MATCH(TRUE,INDEX($X1191:$AY1191&lt;&gt;0,),0)),IF(COUNTIF(BB1191:BD1191,"&lt;&gt;0")=0,INDEX($AO$4:$AY$4,MATCH(1,$AO1191:$AY1191,0)),"Multiple strategies"))</f>
        <v>Silviculture for removals</v>
      </c>
      <c r="BI1191" s="1" t="s">
        <v>321</v>
      </c>
      <c r="BJ1191" t="s">
        <v>2166</v>
      </c>
      <c r="BK1191" s="256" t="s">
        <v>3074</v>
      </c>
      <c r="BL1191" t="s">
        <v>1197</v>
      </c>
      <c r="BM1191">
        <v>1168.5023099755704</v>
      </c>
      <c r="BN1191">
        <v>1547.3378240138293</v>
      </c>
      <c r="BO1191" s="143">
        <f>BN1191/BM1191</f>
        <v>1.3242060463245291</v>
      </c>
      <c r="BP1191">
        <f>BN1191-BM1191</f>
        <v>378.83551403825891</v>
      </c>
      <c r="BQ1191">
        <f>BP1191*10^6</f>
        <v>378835514.03825891</v>
      </c>
      <c r="BR1191" t="s">
        <v>232</v>
      </c>
      <c r="BS1191" s="256" t="s">
        <v>3077</v>
      </c>
      <c r="BT1191" t="s">
        <v>1232</v>
      </c>
      <c r="BU1191">
        <v>391.99006315946394</v>
      </c>
      <c r="BV1191">
        <v>233.39452399999999</v>
      </c>
      <c r="BW1191" s="144">
        <f>IFERROR(BV1191/BU1191,"")</f>
        <v>0.59540928695698514</v>
      </c>
      <c r="BX1191" s="144">
        <f>BV1191-BU1191</f>
        <v>-158.59553915946395</v>
      </c>
      <c r="BY1191" s="144"/>
      <c r="BZ1191">
        <f>BX1191*10^6*C_to_CO2</f>
        <v>-582045628.71523261</v>
      </c>
      <c r="CA1191">
        <f>IFERROR(BZ1191/BQ1191,"")</f>
        <v>-1.5364072457484843</v>
      </c>
      <c r="CB1191">
        <v>0</v>
      </c>
      <c r="CC1191">
        <v>0</v>
      </c>
      <c r="CD1191">
        <v>0</v>
      </c>
      <c r="CE1191">
        <v>0</v>
      </c>
      <c r="CF1191">
        <v>0</v>
      </c>
      <c r="CG1191">
        <v>0</v>
      </c>
      <c r="CH1191">
        <v>0</v>
      </c>
      <c r="CI1191">
        <v>0</v>
      </c>
      <c r="CJ1191">
        <v>0</v>
      </c>
      <c r="CK1191">
        <v>0</v>
      </c>
      <c r="CL1191">
        <v>0</v>
      </c>
      <c r="CM1191">
        <v>0</v>
      </c>
      <c r="CN1191">
        <v>0</v>
      </c>
      <c r="CO1191">
        <v>0</v>
      </c>
      <c r="CP1191" t="str">
        <f>IF($BN1191&lt;$BM1191,"refNeedCorrection","refOK")</f>
        <v>refOK</v>
      </c>
      <c r="CQ1191">
        <f>IF($CP1191="refNeedCorrection",BN1191,BM1191)</f>
        <v>1168.5023099755704</v>
      </c>
      <c r="CR1191">
        <f>IF($CP1191="refNeedCorrection",BM1191,BN1191)</f>
        <v>1547.3378240138293</v>
      </c>
      <c r="CS1191">
        <f>IF($CP1191="refOK",$BQ1191,-$BQ1191)</f>
        <v>378835514.03825891</v>
      </c>
      <c r="CT1191">
        <f>IF(BI1191="Roundwood",$CS1191/2,$CS1191)</f>
        <v>189417757.01912946</v>
      </c>
      <c r="CU1191">
        <f>IF($CP1191="refOK",$BU1191,$BV1191)*IF($BR1191="Emissions positive",-1,1)</f>
        <v>391.99006315946394</v>
      </c>
      <c r="CV1191">
        <f>IF($CP1191="refOK",$BV1191,$BU1191)*IF($BR1191="Emissions positive",-1,1)</f>
        <v>233.39452399999999</v>
      </c>
      <c r="CW1191">
        <f>IF($CP1191="refNeedCorrection",-BZ1191,BZ1191)*IF($BR1191="Emissions positive",-1,1)</f>
        <v>-582045628.71523261</v>
      </c>
      <c r="CX1191">
        <f>IFERROR($CW1191/$CS1191,"")</f>
        <v>-1.5364072457484843</v>
      </c>
      <c r="CY1191">
        <f>IFERROR($CW1191/$CS1191,"")</f>
        <v>-1.5364072457484843</v>
      </c>
      <c r="CZ1191">
        <f>IFERROR($CW1191/$CT1191,"")</f>
        <v>-3.0728144914969686</v>
      </c>
      <c r="DA1191" s="2">
        <f>IFERROR((CV1191-CU1191)/ABS(CU1191),"")</f>
        <v>-0.40459071304301486</v>
      </c>
      <c r="DB1191" s="1" t="s">
        <v>1078</v>
      </c>
      <c r="DC1191" t="str">
        <f>IF(OR($DB1191="prd",$DB1191="std",$DB1191="cit"),"loc",IF(OR($DB1191="eur",$DB1191="reg",$DB1191="coy"),"reg",$DB1191))</f>
        <v>reg</v>
      </c>
      <c r="DD1191" t="s">
        <v>715</v>
      </c>
      <c r="DE1191">
        <v>2015</v>
      </c>
      <c r="DF1191">
        <v>2040</v>
      </c>
      <c r="DG1191">
        <f>DF1191-DE1191</f>
        <v>25</v>
      </c>
      <c r="DH1191" t="str">
        <f>IF(DG1191=0,"0",IF(AND(DG1191&gt;=1,DG1191&lt;=30),"1-30",IF(AND(DG1191&gt;30,DG1191&lt;=70),"31-70",IF(AND(DG1191&gt;70,DG1191&lt;=100),"71-100",IF(DG1191&gt;100,"+100")))))</f>
        <v>1-30</v>
      </c>
      <c r="DI1191">
        <v>1</v>
      </c>
      <c r="DJ1191">
        <v>1</v>
      </c>
      <c r="DK1191">
        <v>1</v>
      </c>
      <c r="DL1191">
        <v>1</v>
      </c>
      <c r="DN1191">
        <f>SUM(DI1191:DL1191)</f>
        <v>4</v>
      </c>
      <c r="DO1191" t="str">
        <f>IF(DN1191=1,INDEX($DI$7:$DL$7,MATCH(1,$DI1191:$DL1191,0)),"mixedProduct")</f>
        <v>mixedProduct</v>
      </c>
      <c r="DP1191" t="str">
        <f>IF(DI1191=1,DP$7,0)</f>
        <v>Upstream</v>
      </c>
      <c r="DQ1191" t="str">
        <f>IF(DJ1191=1,DQ$7,0)</f>
        <v>Energy</v>
      </c>
      <c r="DR1191" t="str">
        <f>IF(DK1191=1,DR$7,0)</f>
        <v>Pulp/Paper</v>
      </c>
      <c r="DS1191" t="str">
        <f>IF(DL1191=1,DS$7,0)</f>
        <v>Timber</v>
      </c>
      <c r="DT1191">
        <v>0</v>
      </c>
      <c r="DU1191">
        <v>0</v>
      </c>
      <c r="DV1191">
        <v>0</v>
      </c>
      <c r="DW1191">
        <v>0</v>
      </c>
      <c r="DX1191">
        <v>0</v>
      </c>
      <c r="DY1191">
        <f>SUM(DT1191:DU1191)</f>
        <v>0</v>
      </c>
      <c r="DZ1191" s="143" t="str">
        <f>IF(DT1191=1,"self-calculated DF",IF(DU1191=1,"external DF used","explicit C balance"))</f>
        <v>explicit C balance</v>
      </c>
      <c r="EA1191">
        <v>0</v>
      </c>
      <c r="EB1191">
        <v>1</v>
      </c>
      <c r="EC1191">
        <v>1</v>
      </c>
      <c r="ED1191">
        <v>1</v>
      </c>
      <c r="EE1191">
        <v>1</v>
      </c>
      <c r="EF1191" s="143">
        <v>0</v>
      </c>
      <c r="EG1191">
        <v>0</v>
      </c>
      <c r="EH1191">
        <v>0</v>
      </c>
      <c r="EI1191">
        <v>0</v>
      </c>
      <c r="EJ1191">
        <v>0</v>
      </c>
      <c r="EK1191">
        <v>1</v>
      </c>
      <c r="EL1191">
        <v>0</v>
      </c>
      <c r="EM1191">
        <v>0</v>
      </c>
      <c r="EN1191" s="2">
        <v>0</v>
      </c>
      <c r="EP1191" t="str">
        <f>IF(AND(AND(AND(OR($EC1191=1,$EB1191=1),OR($EH1191=1,$EF1191=1)),SUM($EA1191:$EE1191,$EK1191)&gt;=3),SUM($EF1191:$EJ1191)&gt;=2),"Whole sector approach","")</f>
        <v/>
      </c>
      <c r="EQ1191" t="str">
        <f>IF(AND(AND(OR($EC1191=1,$EB1191=1),AND($EH1191=0,$EF1191=0)),SUM($EA1191:$EE1191,$EK1191)&gt;=4),"Ecosystem approach","")</f>
        <v>Ecosystem approach</v>
      </c>
      <c r="ER1191" s="2" t="str">
        <f>IF(AND(AND(AND($EC1191=0,$EB1191=0),OR($EH1191=1,$EF1191=1)),SUM($EG1191:$EJ1191)&gt;=2),"Technology approach","")</f>
        <v/>
      </c>
      <c r="ES1191" t="str">
        <f>IF(AND($EC1191+$EB1191+$EE1191+$EA1191+$ED1191+$EG1191=0,$N1191="included"),"C neutral forest and HWP assumption","")</f>
        <v/>
      </c>
      <c r="ET1191" t="str">
        <f>IF(AND(AND(AND(AND($EC1191=1,$EB1191+$EA1191+$EG1191&gt;=1),$EF1191=1),$EH1191+$EI1191+$ED1191+$EE1191&gt;=2),$N1191="included"),"All C pools assumption","")</f>
        <v/>
      </c>
      <c r="EU1191" t="str">
        <f>IF(AND($ED1191+$EE1191+$EI1191+$EH1191+$EF1191=0,$N1191="included"),"In-situ only assumption","")</f>
        <v/>
      </c>
      <c r="EY1191" t="str">
        <f>IF(ISNUMBER(BW1191),IF(ABS(BW1191-[6]QC_indicators!$B$2)&gt;3*[6]QC_indicators!$C$2,"C ratio",IF(ISNUMBER(CA1191),IF(ABS(CA1191-[6]QC_indicators!$B$1)&gt;3*[6]QC_indicators!$C$1,"DF","no"))),IF(ISNUMBER(CA1191),IF(ABS(CA1191-[6]QC_indicators!$B$1)&gt;3*[6]QC_indicators!$C$1,"DF","no")))</f>
        <v>no</v>
      </c>
      <c r="EZ1191" t="s">
        <v>2122</v>
      </c>
      <c r="FA1191" t="str">
        <f>IF(LEN($CY1191)=0,"",IF(AND($CY1191&lt;(-0.05),$ES1191="C neutral forest and HWP assumption"),"Cneutral paradox",IF(AND($CY1191&gt;0.05,$EU1191="In-situ only assumption"),"In-situ only paradox","")))</f>
        <v/>
      </c>
      <c r="FD1191" s="260" t="s">
        <v>2948</v>
      </c>
    </row>
    <row r="1192" spans="1:160" ht="15" hidden="1" customHeight="1">
      <c r="A1192" s="1" t="s">
        <v>1781</v>
      </c>
      <c r="B1192" t="s">
        <v>2158</v>
      </c>
      <c r="C1192" t="s">
        <v>2159</v>
      </c>
      <c r="D1192" t="s">
        <v>2160</v>
      </c>
      <c r="E1192" t="s">
        <v>2161</v>
      </c>
      <c r="F1192" t="s">
        <v>2162</v>
      </c>
      <c r="G1192" t="s">
        <v>1787</v>
      </c>
      <c r="H1192" t="s">
        <v>254</v>
      </c>
      <c r="I1192">
        <v>2018</v>
      </c>
      <c r="J1192">
        <v>8</v>
      </c>
      <c r="K1192" t="s">
        <v>2163</v>
      </c>
      <c r="M1192" t="str">
        <f>LEFT($D1192,FIND(",",$D1192)-1)&amp;"_"&amp;I1192&amp;L1192</f>
        <v>Valade_2018</v>
      </c>
      <c r="N1192" t="s">
        <v>222</v>
      </c>
      <c r="O1192" s="145" t="s">
        <v>1029</v>
      </c>
      <c r="Q1192" t="s">
        <v>256</v>
      </c>
      <c r="R1192" s="251" t="s">
        <v>225</v>
      </c>
      <c r="S1192" s="1" t="s">
        <v>2175</v>
      </c>
      <c r="T1192" t="s">
        <v>2157</v>
      </c>
      <c r="U1192" t="s">
        <v>2168</v>
      </c>
      <c r="V1192" s="253">
        <v>0</v>
      </c>
      <c r="W1192" s="253">
        <v>0</v>
      </c>
      <c r="X1192">
        <v>0</v>
      </c>
      <c r="Y1192">
        <v>0</v>
      </c>
      <c r="Z1192">
        <v>0</v>
      </c>
      <c r="AA1192">
        <v>1</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s="141">
        <f>COUNTIF(X1192:AY1192,"&lt;&gt;0")</f>
        <v>1</v>
      </c>
      <c r="BA1192" s="141">
        <f>COUNTIF(X1192:AN1192,"&lt;&gt;0")</f>
        <v>1</v>
      </c>
      <c r="BB1192">
        <f>COUNTIF(X1192:AE1192,"&lt;&gt;0")</f>
        <v>1</v>
      </c>
      <c r="BC1192">
        <f>COUNTIF(AF1192:AK1192,"&lt;&gt;0")</f>
        <v>0</v>
      </c>
      <c r="BD1192">
        <f>COUNTIF(AL1192:AN1192,"&lt;&gt;0")</f>
        <v>0</v>
      </c>
      <c r="BE1192">
        <f>COUNTIF(AU1192:AY1192,"&lt;&gt;0")</f>
        <v>0</v>
      </c>
      <c r="BF1192">
        <f>COUNTIF(AO1192:AT1192,"&lt;&gt;0")</f>
        <v>0</v>
      </c>
      <c r="BG1192" t="str">
        <f t="array" ref="BG1192">IF(BA1192=1,INDEX($X$7:$AN$7,MATCH(TRUE,INDEX($X1192:$AY1192&lt;&gt;0,),0)),IF(BA1192=0,INDEX($AO$7:$AY$7,MATCH(1,$AO1192:$AY1192,0)),IF(BH1192="Multiple strategies","mixed drivers",IF(BH1192="Supply chain","multiple supply","multiple silviculture"))))</f>
        <v xml:space="preserve">cutting intensity </v>
      </c>
      <c r="BH1192" s="2" t="str" cm="1">
        <f t="array" ref="BH1192">IF(COUNTIF(BB1192:BD1192,"&lt;&gt;0")=1,INDEX($X$4:$AY$4,MATCH(TRUE,INDEX($X1192:$AY1192&lt;&gt;0,),0)),IF(COUNTIF(BB1192:BD1192,"&lt;&gt;0")=0,INDEX($AO$4:$AY$4,MATCH(1,$AO1192:$AY1192,0)),"Multiple strategies"))</f>
        <v>Silviculture for removals</v>
      </c>
      <c r="BI1192" s="1" t="s">
        <v>321</v>
      </c>
      <c r="BJ1192" t="s">
        <v>2166</v>
      </c>
      <c r="BK1192" s="256" t="s">
        <v>3074</v>
      </c>
      <c r="BL1192" t="s">
        <v>1197</v>
      </c>
      <c r="BM1192">
        <v>1168.5023099755704</v>
      </c>
      <c r="BN1192">
        <v>1304.0435025027948</v>
      </c>
      <c r="BO1192" s="143">
        <f>BN1192/BM1192</f>
        <v>1.1159956564656326</v>
      </c>
      <c r="BP1192">
        <f>BN1192-BM1192</f>
        <v>135.54119252722444</v>
      </c>
      <c r="BQ1192">
        <f>+BP1192*1000000</f>
        <v>135541192.52722445</v>
      </c>
      <c r="BR1192" t="s">
        <v>232</v>
      </c>
      <c r="BS1192" s="256" t="s">
        <v>3076</v>
      </c>
      <c r="BT1192" t="s">
        <v>1232</v>
      </c>
      <c r="BU1192">
        <v>391.990063159464</v>
      </c>
      <c r="BV1192">
        <v>362.41157196968697</v>
      </c>
      <c r="BW1192" s="144">
        <f>IFERROR(BV1192/BU1192,"")</f>
        <v>0.92454275256017315</v>
      </c>
      <c r="BX1192" s="144">
        <f>BV1192-BU1192</f>
        <v>-29.578491189777026</v>
      </c>
      <c r="BY1192" s="144"/>
      <c r="BZ1192">
        <f>BX1192*10^6*C_to_CO2</f>
        <v>-108553062.66648167</v>
      </c>
      <c r="CA1192">
        <f>IFERROR(BZ1192/BQ1192,"")</f>
        <v>-0.80088614127161373</v>
      </c>
      <c r="CB1192">
        <v>0</v>
      </c>
      <c r="CC1192">
        <v>0</v>
      </c>
      <c r="CD1192">
        <v>0</v>
      </c>
      <c r="CE1192">
        <v>0</v>
      </c>
      <c r="CF1192">
        <v>0</v>
      </c>
      <c r="CG1192">
        <v>0</v>
      </c>
      <c r="CH1192">
        <v>0</v>
      </c>
      <c r="CI1192">
        <v>0</v>
      </c>
      <c r="CJ1192">
        <v>0</v>
      </c>
      <c r="CK1192">
        <v>0</v>
      </c>
      <c r="CL1192">
        <v>0</v>
      </c>
      <c r="CM1192">
        <v>0</v>
      </c>
      <c r="CN1192">
        <v>0</v>
      </c>
      <c r="CO1192">
        <v>0</v>
      </c>
      <c r="CP1192" t="str">
        <f>IF($BN1192&lt;$BM1192,"refNeedCorrection","refOK")</f>
        <v>refOK</v>
      </c>
      <c r="CQ1192">
        <f>IF($CP1192="refNeedCorrection",BN1192,BM1192)</f>
        <v>1168.5023099755704</v>
      </c>
      <c r="CR1192">
        <f>IF($CP1192="refNeedCorrection",BM1192,BN1192)</f>
        <v>1304.0435025027948</v>
      </c>
      <c r="CS1192">
        <f>IF($CP1192="refOK",$BQ1192,-$BQ1192)</f>
        <v>135541192.52722445</v>
      </c>
      <c r="CT1192">
        <f>IF(BI1192="Roundwood",$CS1192/2,$CS1192)</f>
        <v>67770596.263612226</v>
      </c>
      <c r="CU1192">
        <f>IF($CP1192="refOK",$BU1192,$BV1192)*IF($BR1192="Emissions positive",-1,1)</f>
        <v>391.990063159464</v>
      </c>
      <c r="CV1192">
        <f>IF($CP1192="refOK",$BV1192,$BU1192)*IF($BR1192="Emissions positive",-1,1)</f>
        <v>362.41157196968697</v>
      </c>
      <c r="CW1192">
        <f>IF($CP1192="refNeedCorrection",-BZ1192,BZ1192)*IF($BR1192="Emissions positive",-1,1)</f>
        <v>-108553062.66648167</v>
      </c>
      <c r="CX1192">
        <f>IFERROR($CW1192/$CS1192,"")</f>
        <v>-0.80088614127161373</v>
      </c>
      <c r="CY1192">
        <f>IFERROR($CW1192/$CS1192,"")</f>
        <v>-0.80088614127161373</v>
      </c>
      <c r="CZ1192">
        <f>IFERROR($CW1192/$CT1192,"")</f>
        <v>-1.6017722825432275</v>
      </c>
      <c r="DA1192" s="2">
        <f>IFERROR((CV1192-CU1192)/ABS(CU1192),"")</f>
        <v>-7.5457247439826833E-2</v>
      </c>
      <c r="DB1192" s="1" t="s">
        <v>1078</v>
      </c>
      <c r="DC1192" t="str">
        <f>IF(OR($DB1192="prd",$DB1192="std",$DB1192="cit"),"loc",IF(OR($DB1192="eur",$DB1192="reg",$DB1192="coy"),"reg",$DB1192))</f>
        <v>reg</v>
      </c>
      <c r="DD1192" t="s">
        <v>715</v>
      </c>
      <c r="DE1192">
        <v>2015</v>
      </c>
      <c r="DF1192">
        <v>2040</v>
      </c>
      <c r="DG1192">
        <f>DF1192-DE1192</f>
        <v>25</v>
      </c>
      <c r="DH1192" t="str">
        <f>IF(DG1192=0,"0",IF(AND(DG1192&gt;=1,DG1192&lt;=30),"1-30",IF(AND(DG1192&gt;30,DG1192&lt;=70),"31-70",IF(AND(DG1192&gt;70,DG1192&lt;=100),"71-100",IF(DG1192&gt;100,"+100")))))</f>
        <v>1-30</v>
      </c>
      <c r="DI1192">
        <v>1</v>
      </c>
      <c r="DJ1192">
        <v>1</v>
      </c>
      <c r="DK1192">
        <v>1</v>
      </c>
      <c r="DL1192">
        <v>1</v>
      </c>
      <c r="DN1192">
        <f>SUM(DI1192:DL1192)</f>
        <v>4</v>
      </c>
      <c r="DO1192" t="str">
        <f>IF(DN1192=1,INDEX($DI$7:$DL$7,MATCH(1,$DI1192:$DL1192,0)),"mixedProduct")</f>
        <v>mixedProduct</v>
      </c>
      <c r="DP1192" t="str">
        <f>IF(DI1192=1,DP$7,0)</f>
        <v>Upstream</v>
      </c>
      <c r="DQ1192" t="str">
        <f>IF(DJ1192=1,DQ$7,0)</f>
        <v>Energy</v>
      </c>
      <c r="DR1192" t="str">
        <f>IF(DK1192=1,DR$7,0)</f>
        <v>Pulp/Paper</v>
      </c>
      <c r="DS1192" t="str">
        <f>IF(DL1192=1,DS$7,0)</f>
        <v>Timber</v>
      </c>
      <c r="DT1192">
        <v>0</v>
      </c>
      <c r="DU1192">
        <v>1</v>
      </c>
      <c r="DV1192" t="s">
        <v>2173</v>
      </c>
      <c r="DW1192" t="s">
        <v>2174</v>
      </c>
      <c r="DX1192" t="s">
        <v>2174</v>
      </c>
      <c r="DY1192">
        <f>SUM(DT1192:DU1192)</f>
        <v>1</v>
      </c>
      <c r="DZ1192" s="143" t="str">
        <f>IF(DT1192=1,"self-calculated DF",IF(DU1192=1,"external DF used","explicit C balance"))</f>
        <v>external DF used</v>
      </c>
      <c r="EA1192">
        <v>0</v>
      </c>
      <c r="EB1192">
        <v>1</v>
      </c>
      <c r="EC1192">
        <v>1</v>
      </c>
      <c r="ED1192">
        <v>1</v>
      </c>
      <c r="EE1192">
        <v>1</v>
      </c>
      <c r="EF1192" s="143">
        <v>1</v>
      </c>
      <c r="EG1192">
        <v>1</v>
      </c>
      <c r="EH1192">
        <v>1</v>
      </c>
      <c r="EI1192">
        <v>0</v>
      </c>
      <c r="EJ1192">
        <v>0</v>
      </c>
      <c r="EK1192">
        <v>1</v>
      </c>
      <c r="EL1192">
        <v>0</v>
      </c>
      <c r="EM1192">
        <v>0</v>
      </c>
      <c r="EN1192" s="2">
        <v>0</v>
      </c>
      <c r="EP1192" t="str">
        <f>IF(AND(AND(AND(OR($EC1192=1,$EB1192=1),OR($EH1192=1,$EF1192=1)),SUM($EA1192:$EE1192,$EK1192)&gt;=3),SUM($EF1192:$EJ1192)&gt;=2),"Whole sector approach","")</f>
        <v>Whole sector approach</v>
      </c>
      <c r="EQ1192" t="str">
        <f>IF(AND(AND(OR($EC1192=1,$EB1192=1),AND($EH1192=0,$EF1192=0)),SUM($EA1192:$EE1192,$EK1192)&gt;=4),"Ecosystem approach","")</f>
        <v/>
      </c>
      <c r="ER1192" s="2" t="str">
        <f>IF(AND(AND(AND($EC1192=0,$EB1192=0),OR($EH1192=1,$EF1192=1)),SUM($EG1192:$EJ1192)&gt;=2),"Technology approach","")</f>
        <v/>
      </c>
      <c r="ES1192" t="str">
        <f>IF(AND($EC1192+$EB1192+$EE1192+$EA1192+$ED1192+$EG1192=0,$N1192="included"),"C neutral forest and HWP assumption","")</f>
        <v/>
      </c>
      <c r="ET1192" t="str">
        <f>IF(AND(AND(AND(AND($EC1192=1,$EB1192+$EA1192+$EG1192&gt;=1),$EF1192=1),$EH1192+$EI1192+$ED1192+$EE1192&gt;=2),$N1192="included"),"All C pools assumption","")</f>
        <v>All C pools assumption</v>
      </c>
      <c r="EU1192" t="str">
        <f>IF(AND($ED1192+$EE1192+$EI1192+$EH1192+$EF1192=0,$N1192="included"),"In-situ only assumption","")</f>
        <v/>
      </c>
      <c r="EY1192" t="str">
        <f>IF(ISNUMBER(BW1192),IF(ABS(BW1192-[6]QC_indicators!$B$2)&gt;3*[6]QC_indicators!$C$2,"C ratio",IF(ISNUMBER(CA1192),IF(ABS(CA1192-[6]QC_indicators!$B$1)&gt;3*[6]QC_indicators!$C$1,"DF","no"))),IF(ISNUMBER(CA1192),IF(ABS(CA1192-[6]QC_indicators!$B$1)&gt;3*[6]QC_indicators!$C$1,"DF","no")))</f>
        <v>no</v>
      </c>
      <c r="FA1192" t="str">
        <f>IF(LEN($CY1192)=0,"",IF(AND($CY1192&lt;(-0.05),$ES1192="C neutral forest and HWP assumption"),"Cneutral paradox",IF(AND($CY1192&gt;0.05,$EU1192="In-situ only assumption"),"In-situ only paradox","")))</f>
        <v/>
      </c>
      <c r="FD1192" s="260" t="s">
        <v>2948</v>
      </c>
    </row>
    <row r="1193" spans="1:160" hidden="1">
      <c r="A1193" s="1" t="s">
        <v>1781</v>
      </c>
      <c r="B1193" t="s">
        <v>2158</v>
      </c>
      <c r="C1193" t="s">
        <v>2159</v>
      </c>
      <c r="D1193" t="s">
        <v>2160</v>
      </c>
      <c r="E1193" t="s">
        <v>2161</v>
      </c>
      <c r="F1193" t="s">
        <v>2162</v>
      </c>
      <c r="G1193" t="s">
        <v>1787</v>
      </c>
      <c r="H1193" t="s">
        <v>254</v>
      </c>
      <c r="I1193">
        <v>2018</v>
      </c>
      <c r="J1193">
        <v>8</v>
      </c>
      <c r="K1193" t="s">
        <v>2163</v>
      </c>
      <c r="M1193" t="str">
        <f>LEFT($D1193,FIND(",",$D1193)-1)&amp;"_"&amp;I1193&amp;L1193</f>
        <v>Valade_2018</v>
      </c>
      <c r="N1193" t="s">
        <v>222</v>
      </c>
      <c r="O1193" s="145" t="s">
        <v>1029</v>
      </c>
      <c r="Q1193" t="s">
        <v>256</v>
      </c>
      <c r="R1193" s="251" t="s">
        <v>225</v>
      </c>
      <c r="S1193" s="1" t="s">
        <v>2167</v>
      </c>
      <c r="T1193" t="s">
        <v>2157</v>
      </c>
      <c r="U1193" t="s">
        <v>2168</v>
      </c>
      <c r="V1193" s="253">
        <v>0</v>
      </c>
      <c r="W1193" s="253">
        <v>0</v>
      </c>
      <c r="X1193">
        <v>0</v>
      </c>
      <c r="Y1193">
        <v>0</v>
      </c>
      <c r="Z1193">
        <v>0</v>
      </c>
      <c r="AA1193">
        <v>1</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0</v>
      </c>
      <c r="AX1193">
        <v>0</v>
      </c>
      <c r="AY1193">
        <v>0</v>
      </c>
      <c r="AZ1193" s="141">
        <f>COUNTIF(X1193:AY1193,"&lt;&gt;0")</f>
        <v>1</v>
      </c>
      <c r="BA1193" s="141">
        <f>COUNTIF(X1193:AN1193,"&lt;&gt;0")</f>
        <v>1</v>
      </c>
      <c r="BB1193">
        <f>COUNTIF(X1193:AE1193,"&lt;&gt;0")</f>
        <v>1</v>
      </c>
      <c r="BC1193">
        <f>COUNTIF(AF1193:AK1193,"&lt;&gt;0")</f>
        <v>0</v>
      </c>
      <c r="BD1193">
        <f>COUNTIF(AL1193:AN1193,"&lt;&gt;0")</f>
        <v>0</v>
      </c>
      <c r="BE1193">
        <f>COUNTIF(AU1193:AY1193,"&lt;&gt;0")</f>
        <v>0</v>
      </c>
      <c r="BF1193">
        <f>COUNTIF(AO1193:AT1193,"&lt;&gt;0")</f>
        <v>0</v>
      </c>
      <c r="BG1193" t="str">
        <f t="array" ref="BG1193">IF(BA1193=1,INDEX($X$7:$AN$7,MATCH(TRUE,INDEX($X1193:$AY1193&lt;&gt;0,),0)),IF(BA1193=0,INDEX($AO$7:$AY$7,MATCH(1,$AO1193:$AY1193,0)),IF(BH1193="Multiple strategies","mixed drivers",IF(BH1193="Supply chain","multiple supply","multiple silviculture"))))</f>
        <v xml:space="preserve">cutting intensity </v>
      </c>
      <c r="BH1193" s="2" t="str" cm="1">
        <f t="array" ref="BH1193">IF(COUNTIF(BB1193:BD1193,"&lt;&gt;0")=1,INDEX($X$4:$AY$4,MATCH(TRUE,INDEX($X1193:$AY1193&lt;&gt;0,),0)),IF(COUNTIF(BB1193:BD1193,"&lt;&gt;0")=0,INDEX($AO$4:$AY$4,MATCH(1,$AO1193:$AY1193,0)),"Multiple strategies"))</f>
        <v>Silviculture for removals</v>
      </c>
      <c r="BI1193" s="1" t="s">
        <v>321</v>
      </c>
      <c r="BJ1193" t="s">
        <v>2166</v>
      </c>
      <c r="BK1193" s="256" t="s">
        <v>3074</v>
      </c>
      <c r="BL1193" t="s">
        <v>1197</v>
      </c>
      <c r="BM1193">
        <v>1168.5023099755704</v>
      </c>
      <c r="BN1193">
        <v>1304.0435025027948</v>
      </c>
      <c r="BO1193" s="143">
        <f>BN1193/BM1193</f>
        <v>1.1159956564656326</v>
      </c>
      <c r="BP1193">
        <f>BN1193-BM1193</f>
        <v>135.54119252722444</v>
      </c>
      <c r="BQ1193">
        <f>BP1193*10^6</f>
        <v>135541192.52722445</v>
      </c>
      <c r="BR1193" t="s">
        <v>232</v>
      </c>
      <c r="BS1193" s="256" t="s">
        <v>3076</v>
      </c>
      <c r="BT1193" t="s">
        <v>1232</v>
      </c>
      <c r="BU1193">
        <v>391.99006315946394</v>
      </c>
      <c r="BV1193">
        <v>358.87863800000002</v>
      </c>
      <c r="BW1193" s="144">
        <f>IFERROR(BV1193/BU1193,"")</f>
        <v>0.91552993743621003</v>
      </c>
      <c r="BX1193" s="144">
        <f>BV1193-BU1193</f>
        <v>-33.11142515946392</v>
      </c>
      <c r="BY1193" s="144"/>
      <c r="BZ1193">
        <f>BX1193*10^6*C_to_CO2</f>
        <v>-121518930.33523259</v>
      </c>
      <c r="CA1193">
        <f>IFERROR(BZ1193/BQ1193,"")</f>
        <v>-0.89654612055168847</v>
      </c>
      <c r="CB1193">
        <v>0</v>
      </c>
      <c r="CC1193">
        <v>0</v>
      </c>
      <c r="CD1193">
        <v>0</v>
      </c>
      <c r="CE1193">
        <v>0</v>
      </c>
      <c r="CF1193">
        <v>0</v>
      </c>
      <c r="CG1193">
        <v>0</v>
      </c>
      <c r="CH1193">
        <v>0</v>
      </c>
      <c r="CI1193">
        <v>0</v>
      </c>
      <c r="CJ1193">
        <v>0</v>
      </c>
      <c r="CK1193">
        <v>0</v>
      </c>
      <c r="CL1193">
        <v>0</v>
      </c>
      <c r="CM1193">
        <v>0</v>
      </c>
      <c r="CN1193">
        <v>0</v>
      </c>
      <c r="CO1193">
        <v>0</v>
      </c>
      <c r="CP1193" t="str">
        <f>IF($BN1193&lt;$BM1193,"refNeedCorrection","refOK")</f>
        <v>refOK</v>
      </c>
      <c r="CQ1193">
        <f>IF($CP1193="refNeedCorrection",BN1193,BM1193)</f>
        <v>1168.5023099755704</v>
      </c>
      <c r="CR1193">
        <f>IF($CP1193="refNeedCorrection",BM1193,BN1193)</f>
        <v>1304.0435025027948</v>
      </c>
      <c r="CS1193">
        <f>IF($CP1193="refOK",$BQ1193,-$BQ1193)</f>
        <v>135541192.52722445</v>
      </c>
      <c r="CT1193">
        <f>IF(BI1193="Roundwood",$CS1193/2,$CS1193)</f>
        <v>67770596.263612226</v>
      </c>
      <c r="CU1193">
        <f>IF($CP1193="refOK",$BU1193,$BV1193)*IF($BR1193="Emissions positive",-1,1)</f>
        <v>391.99006315946394</v>
      </c>
      <c r="CV1193">
        <f>IF($CP1193="refOK",$BV1193,$BU1193)*IF($BR1193="Emissions positive",-1,1)</f>
        <v>358.87863800000002</v>
      </c>
      <c r="CW1193">
        <f>IF($CP1193="refNeedCorrection",-BZ1193,BZ1193)*IF($BR1193="Emissions positive",-1,1)</f>
        <v>-121518930.33523259</v>
      </c>
      <c r="CX1193">
        <f>IFERROR($CW1193/$CS1193,"")</f>
        <v>-0.89654612055168847</v>
      </c>
      <c r="CY1193">
        <f>IFERROR($CW1193/$CS1193,"")</f>
        <v>-0.89654612055168847</v>
      </c>
      <c r="CZ1193">
        <f>IFERROR($CW1193/$CT1193,"")</f>
        <v>-1.7930922411033769</v>
      </c>
      <c r="DA1193" s="2">
        <f>IFERROR((CV1193-CU1193)/ABS(CU1193),"")</f>
        <v>-8.4470062563790013E-2</v>
      </c>
      <c r="DB1193" s="1" t="s">
        <v>1078</v>
      </c>
      <c r="DC1193" t="str">
        <f>IF(OR($DB1193="prd",$DB1193="std",$DB1193="cit"),"loc",IF(OR($DB1193="eur",$DB1193="reg",$DB1193="coy"),"reg",$DB1193))</f>
        <v>reg</v>
      </c>
      <c r="DD1193" t="s">
        <v>715</v>
      </c>
      <c r="DE1193">
        <v>2015</v>
      </c>
      <c r="DF1193">
        <v>2040</v>
      </c>
      <c r="DG1193">
        <f>DF1193-DE1193</f>
        <v>25</v>
      </c>
      <c r="DH1193" t="str">
        <f>IF(DG1193=0,"0",IF(AND(DG1193&gt;=1,DG1193&lt;=30),"1-30",IF(AND(DG1193&gt;30,DG1193&lt;=70),"31-70",IF(AND(DG1193&gt;70,DG1193&lt;=100),"71-100",IF(DG1193&gt;100,"+100")))))</f>
        <v>1-30</v>
      </c>
      <c r="DI1193">
        <v>1</v>
      </c>
      <c r="DJ1193">
        <v>1</v>
      </c>
      <c r="DK1193">
        <v>1</v>
      </c>
      <c r="DL1193">
        <v>1</v>
      </c>
      <c r="DN1193">
        <f>SUM(DI1193:DL1193)</f>
        <v>4</v>
      </c>
      <c r="DO1193" t="str">
        <f>IF(DN1193=1,INDEX($DI$7:$DL$7,MATCH(1,$DI1193:$DL1193,0)),"mixedProduct")</f>
        <v>mixedProduct</v>
      </c>
      <c r="DP1193" t="str">
        <f>IF(DI1193=1,DP$7,0)</f>
        <v>Upstream</v>
      </c>
      <c r="DQ1193" t="str">
        <f>IF(DJ1193=1,DQ$7,0)</f>
        <v>Energy</v>
      </c>
      <c r="DR1193" t="str">
        <f>IF(DK1193=1,DR$7,0)</f>
        <v>Pulp/Paper</v>
      </c>
      <c r="DS1193" t="str">
        <f>IF(DL1193=1,DS$7,0)</f>
        <v>Timber</v>
      </c>
      <c r="DT1193">
        <v>0</v>
      </c>
      <c r="DU1193">
        <v>1</v>
      </c>
      <c r="DV1193" t="s">
        <v>2173</v>
      </c>
      <c r="DW1193" t="s">
        <v>2174</v>
      </c>
      <c r="DX1193" t="s">
        <v>2174</v>
      </c>
      <c r="DY1193">
        <f>SUM(DT1193:DU1193)</f>
        <v>1</v>
      </c>
      <c r="DZ1193" s="143" t="str">
        <f>IF(DT1193=1,"self-calculated DF",IF(DU1193=1,"external DF used","explicit C balance"))</f>
        <v>external DF used</v>
      </c>
      <c r="EA1193">
        <v>0</v>
      </c>
      <c r="EB1193">
        <v>1</v>
      </c>
      <c r="EC1193">
        <v>1</v>
      </c>
      <c r="ED1193">
        <v>1</v>
      </c>
      <c r="EE1193">
        <v>1</v>
      </c>
      <c r="EF1193" s="143">
        <v>1</v>
      </c>
      <c r="EG1193">
        <v>1</v>
      </c>
      <c r="EH1193">
        <v>1</v>
      </c>
      <c r="EI1193">
        <v>0</v>
      </c>
      <c r="EJ1193">
        <v>0</v>
      </c>
      <c r="EK1193">
        <v>1</v>
      </c>
      <c r="EL1193">
        <v>0</v>
      </c>
      <c r="EM1193">
        <v>0</v>
      </c>
      <c r="EN1193" s="2">
        <v>0</v>
      </c>
      <c r="EP1193" t="str">
        <f>IF(AND(AND(AND(OR($EC1193=1,$EB1193=1),OR($EH1193=1,$EF1193=1)),SUM($EA1193:$EE1193,$EK1193)&gt;=3),SUM($EF1193:$EJ1193)&gt;=2),"Whole sector approach","")</f>
        <v>Whole sector approach</v>
      </c>
      <c r="EQ1193" t="str">
        <f>IF(AND(AND(OR($EC1193=1,$EB1193=1),AND($EH1193=0,$EF1193=0)),SUM($EA1193:$EE1193,$EK1193)&gt;=4),"Ecosystem approach","")</f>
        <v/>
      </c>
      <c r="ER1193" s="2" t="str">
        <f>IF(AND(AND(AND($EC1193=0,$EB1193=0),OR($EH1193=1,$EF1193=1)),SUM($EG1193:$EJ1193)&gt;=2),"Technology approach","")</f>
        <v/>
      </c>
      <c r="ES1193" t="str">
        <f>IF(AND($EC1193+$EB1193+$EE1193+$EA1193+$ED1193+$EG1193=0,$N1193="included"),"C neutral forest and HWP assumption","")</f>
        <v/>
      </c>
      <c r="ET1193" t="str">
        <f>IF(AND(AND(AND(AND($EC1193=1,$EB1193+$EA1193+$EG1193&gt;=1),$EF1193=1),$EH1193+$EI1193+$ED1193+$EE1193&gt;=2),$N1193="included"),"All C pools assumption","")</f>
        <v>All C pools assumption</v>
      </c>
      <c r="EU1193" t="str">
        <f>IF(AND($ED1193+$EE1193+$EI1193+$EH1193+$EF1193=0,$N1193="included"),"In-situ only assumption","")</f>
        <v/>
      </c>
      <c r="EY1193" t="str">
        <f>IF(ISNUMBER(BW1193),IF(ABS(BW1193-[6]QC_indicators!$B$2)&gt;3*[6]QC_indicators!$C$2,"C ratio",IF(ISNUMBER(CA1193),IF(ABS(CA1193-[6]QC_indicators!$B$1)&gt;3*[6]QC_indicators!$C$1,"DF","no"))),IF(ISNUMBER(CA1193),IF(ABS(CA1193-[6]QC_indicators!$B$1)&gt;3*[6]QC_indicators!$C$1,"DF","no")))</f>
        <v>no</v>
      </c>
      <c r="EZ1193" t="s">
        <v>2122</v>
      </c>
      <c r="FA1193" t="str">
        <f>IF(LEN($CY1193)=0,"",IF(AND($CY1193&lt;(-0.05),$ES1193="C neutral forest and HWP assumption"),"Cneutral paradox",IF(AND($CY1193&gt;0.05,$EU1193="In-situ only assumption"),"In-situ only paradox","")))</f>
        <v/>
      </c>
      <c r="FD1193" s="260" t="s">
        <v>2948</v>
      </c>
    </row>
    <row r="1194" spans="1:160" ht="15" hidden="1" customHeight="1">
      <c r="A1194" s="1" t="s">
        <v>1781</v>
      </c>
      <c r="B1194" t="s">
        <v>2158</v>
      </c>
      <c r="C1194" t="s">
        <v>2159</v>
      </c>
      <c r="D1194" t="s">
        <v>2160</v>
      </c>
      <c r="E1194" t="s">
        <v>2161</v>
      </c>
      <c r="F1194" t="s">
        <v>2162</v>
      </c>
      <c r="G1194" t="s">
        <v>1787</v>
      </c>
      <c r="H1194" t="s">
        <v>254</v>
      </c>
      <c r="I1194">
        <v>2018</v>
      </c>
      <c r="J1194">
        <v>8</v>
      </c>
      <c r="K1194" t="s">
        <v>2163</v>
      </c>
      <c r="M1194" t="str">
        <f>LEFT($D1194,FIND(",",$D1194)-1)&amp;"_"&amp;I1194&amp;L1194</f>
        <v>Valade_2018</v>
      </c>
      <c r="N1194" t="s">
        <v>222</v>
      </c>
      <c r="O1194" s="145" t="s">
        <v>1029</v>
      </c>
      <c r="Q1194" t="s">
        <v>256</v>
      </c>
      <c r="R1194" s="251" t="s">
        <v>225</v>
      </c>
      <c r="S1194" s="1" t="s">
        <v>2167</v>
      </c>
      <c r="T1194" t="s">
        <v>2157</v>
      </c>
      <c r="U1194" t="s">
        <v>2168</v>
      </c>
      <c r="V1194" s="253">
        <v>0</v>
      </c>
      <c r="W1194" s="253">
        <v>0</v>
      </c>
      <c r="X1194">
        <v>0</v>
      </c>
      <c r="Y1194">
        <v>0</v>
      </c>
      <c r="Z1194">
        <v>0</v>
      </c>
      <c r="AA1194">
        <v>1</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0</v>
      </c>
      <c r="AU1194">
        <v>0</v>
      </c>
      <c r="AV1194">
        <v>0</v>
      </c>
      <c r="AW1194">
        <v>0</v>
      </c>
      <c r="AX1194">
        <v>0</v>
      </c>
      <c r="AY1194">
        <v>0</v>
      </c>
      <c r="AZ1194" s="141">
        <f>COUNTIF(X1194:AY1194,"&lt;&gt;0")</f>
        <v>1</v>
      </c>
      <c r="BA1194" s="141">
        <f>COUNTIF(X1194:AN1194,"&lt;&gt;0")</f>
        <v>1</v>
      </c>
      <c r="BB1194">
        <f>COUNTIF(X1194:AE1194,"&lt;&gt;0")</f>
        <v>1</v>
      </c>
      <c r="BC1194">
        <f>COUNTIF(AF1194:AK1194,"&lt;&gt;0")</f>
        <v>0</v>
      </c>
      <c r="BD1194">
        <f>COUNTIF(AL1194:AN1194,"&lt;&gt;0")</f>
        <v>0</v>
      </c>
      <c r="BE1194">
        <f>COUNTIF(AU1194:AY1194,"&lt;&gt;0")</f>
        <v>0</v>
      </c>
      <c r="BF1194">
        <f>COUNTIF(AO1194:AT1194,"&lt;&gt;0")</f>
        <v>0</v>
      </c>
      <c r="BG1194" t="str">
        <f t="array" ref="BG1194">IF(BA1194=1,INDEX($X$7:$AN$7,MATCH(TRUE,INDEX($X1194:$AY1194&lt;&gt;0,),0)),IF(BA1194=0,INDEX($AO$7:$AY$7,MATCH(1,$AO1194:$AY1194,0)),IF(BH1194="Multiple strategies","mixed drivers",IF(BH1194="Supply chain","multiple supply","multiple silviculture"))))</f>
        <v xml:space="preserve">cutting intensity </v>
      </c>
      <c r="BH1194" s="2" t="str" cm="1">
        <f t="array" ref="BH1194">IF(COUNTIF(BB1194:BD1194,"&lt;&gt;0")=1,INDEX($X$4:$AY$4,MATCH(TRUE,INDEX($X1194:$AY1194&lt;&gt;0,),0)),IF(COUNTIF(BB1194:BD1194,"&lt;&gt;0")=0,INDEX($AO$4:$AY$4,MATCH(1,$AO1194:$AY1194,0)),"Multiple strategies"))</f>
        <v>Silviculture for removals</v>
      </c>
      <c r="BI1194" s="1" t="s">
        <v>321</v>
      </c>
      <c r="BJ1194" t="s">
        <v>2166</v>
      </c>
      <c r="BK1194" s="256" t="s">
        <v>3074</v>
      </c>
      <c r="BL1194" t="s">
        <v>1197</v>
      </c>
      <c r="BM1194">
        <v>1168.5023099755704</v>
      </c>
      <c r="BN1194">
        <v>1304.0435025027948</v>
      </c>
      <c r="BO1194" s="143">
        <f>BN1194/BM1194</f>
        <v>1.1159956564656326</v>
      </c>
      <c r="BP1194">
        <f>BN1194-BM1194</f>
        <v>135.54119252722444</v>
      </c>
      <c r="BQ1194">
        <f>BP1194*10^6</f>
        <v>135541192.52722445</v>
      </c>
      <c r="BR1194" t="s">
        <v>232</v>
      </c>
      <c r="BS1194" s="256" t="s">
        <v>3077</v>
      </c>
      <c r="BT1194" t="s">
        <v>1232</v>
      </c>
      <c r="BU1194">
        <v>391.99006315946394</v>
      </c>
      <c r="BV1194">
        <v>335.062296</v>
      </c>
      <c r="BW1194" s="144">
        <f>IFERROR(BV1194/BU1194,"")</f>
        <v>0.85477242279913257</v>
      </c>
      <c r="BX1194" s="144">
        <f>BV1194-BU1194</f>
        <v>-56.92776715946394</v>
      </c>
      <c r="BY1194" s="144"/>
      <c r="BZ1194">
        <f>BX1194*10^6*C_to_CO2</f>
        <v>-208924905.47523266</v>
      </c>
      <c r="CA1194">
        <f>IFERROR(BZ1194/BQ1194,"")</f>
        <v>-1.5414126257836234</v>
      </c>
      <c r="CB1194">
        <v>0</v>
      </c>
      <c r="CC1194">
        <v>0</v>
      </c>
      <c r="CD1194">
        <v>0</v>
      </c>
      <c r="CE1194">
        <v>0</v>
      </c>
      <c r="CF1194">
        <v>0</v>
      </c>
      <c r="CG1194">
        <v>0</v>
      </c>
      <c r="CH1194">
        <v>0</v>
      </c>
      <c r="CI1194">
        <v>0</v>
      </c>
      <c r="CJ1194">
        <v>0</v>
      </c>
      <c r="CK1194">
        <v>0</v>
      </c>
      <c r="CL1194">
        <v>0</v>
      </c>
      <c r="CM1194">
        <v>0</v>
      </c>
      <c r="CN1194">
        <v>0</v>
      </c>
      <c r="CO1194">
        <v>0</v>
      </c>
      <c r="CP1194" t="str">
        <f>IF($BN1194&lt;$BM1194,"refNeedCorrection","refOK")</f>
        <v>refOK</v>
      </c>
      <c r="CQ1194">
        <f>IF($CP1194="refNeedCorrection",BN1194,BM1194)</f>
        <v>1168.5023099755704</v>
      </c>
      <c r="CR1194">
        <f>IF($CP1194="refNeedCorrection",BM1194,BN1194)</f>
        <v>1304.0435025027948</v>
      </c>
      <c r="CS1194">
        <f>IF($CP1194="refOK",$BQ1194,-$BQ1194)</f>
        <v>135541192.52722445</v>
      </c>
      <c r="CT1194">
        <f>IF(BI1194="Roundwood",$CS1194/2,$CS1194)</f>
        <v>67770596.263612226</v>
      </c>
      <c r="CU1194">
        <f>IF($CP1194="refOK",$BU1194,$BV1194)*IF($BR1194="Emissions positive",-1,1)</f>
        <v>391.99006315946394</v>
      </c>
      <c r="CV1194">
        <f>IF($CP1194="refOK",$BV1194,$BU1194)*IF($BR1194="Emissions positive",-1,1)</f>
        <v>335.062296</v>
      </c>
      <c r="CW1194">
        <f>IF($CP1194="refNeedCorrection",-BZ1194,BZ1194)*IF($BR1194="Emissions positive",-1,1)</f>
        <v>-208924905.47523266</v>
      </c>
      <c r="CX1194">
        <f>IFERROR($CW1194/$CS1194,"")</f>
        <v>-1.5414126257836234</v>
      </c>
      <c r="CY1194">
        <f>IFERROR($CW1194/$CS1194,"")</f>
        <v>-1.5414126257836234</v>
      </c>
      <c r="CZ1194">
        <f>IFERROR($CW1194/$CT1194,"")</f>
        <v>-3.0828252515672467</v>
      </c>
      <c r="DA1194" s="2">
        <f>IFERROR((CV1194-CU1194)/ABS(CU1194),"")</f>
        <v>-0.1452275772008674</v>
      </c>
      <c r="DB1194" s="1" t="s">
        <v>1078</v>
      </c>
      <c r="DC1194" t="str">
        <f>IF(OR($DB1194="prd",$DB1194="std",$DB1194="cit"),"loc",IF(OR($DB1194="eur",$DB1194="reg",$DB1194="coy"),"reg",$DB1194))</f>
        <v>reg</v>
      </c>
      <c r="DD1194" t="s">
        <v>715</v>
      </c>
      <c r="DE1194">
        <v>2015</v>
      </c>
      <c r="DF1194">
        <v>2040</v>
      </c>
      <c r="DG1194">
        <f>DF1194-DE1194</f>
        <v>25</v>
      </c>
      <c r="DH1194" t="str">
        <f>IF(DG1194=0,"0",IF(AND(DG1194&gt;=1,DG1194&lt;=30),"1-30",IF(AND(DG1194&gt;30,DG1194&lt;=70),"31-70",IF(AND(DG1194&gt;70,DG1194&lt;=100),"71-100",IF(DG1194&gt;100,"+100")))))</f>
        <v>1-30</v>
      </c>
      <c r="DI1194">
        <v>1</v>
      </c>
      <c r="DJ1194">
        <v>1</v>
      </c>
      <c r="DK1194">
        <v>1</v>
      </c>
      <c r="DL1194">
        <v>1</v>
      </c>
      <c r="DN1194">
        <f>SUM(DI1194:DL1194)</f>
        <v>4</v>
      </c>
      <c r="DO1194" t="str">
        <f>IF(DN1194=1,INDEX($DI$7:$DL$7,MATCH(1,$DI1194:$DL1194,0)),"mixedProduct")</f>
        <v>mixedProduct</v>
      </c>
      <c r="DP1194" t="str">
        <f>IF(DI1194=1,DP$7,0)</f>
        <v>Upstream</v>
      </c>
      <c r="DQ1194" t="str">
        <f>IF(DJ1194=1,DQ$7,0)</f>
        <v>Energy</v>
      </c>
      <c r="DR1194" t="str">
        <f>IF(DK1194=1,DR$7,0)</f>
        <v>Pulp/Paper</v>
      </c>
      <c r="DS1194" t="str">
        <f>IF(DL1194=1,DS$7,0)</f>
        <v>Timber</v>
      </c>
      <c r="DT1194">
        <v>0</v>
      </c>
      <c r="DU1194">
        <v>0</v>
      </c>
      <c r="DV1194">
        <v>0</v>
      </c>
      <c r="DW1194">
        <v>0</v>
      </c>
      <c r="DX1194">
        <v>0</v>
      </c>
      <c r="DY1194">
        <f>SUM(DT1194:DU1194)</f>
        <v>0</v>
      </c>
      <c r="DZ1194" s="143" t="str">
        <f>IF(DT1194=1,"self-calculated DF",IF(DU1194=1,"external DF used","explicit C balance"))</f>
        <v>explicit C balance</v>
      </c>
      <c r="EA1194">
        <v>0</v>
      </c>
      <c r="EB1194">
        <v>1</v>
      </c>
      <c r="EC1194">
        <v>1</v>
      </c>
      <c r="ED1194">
        <v>1</v>
      </c>
      <c r="EE1194">
        <v>1</v>
      </c>
      <c r="EF1194" s="143">
        <v>0</v>
      </c>
      <c r="EG1194">
        <v>0</v>
      </c>
      <c r="EH1194">
        <v>0</v>
      </c>
      <c r="EI1194">
        <v>0</v>
      </c>
      <c r="EJ1194">
        <v>0</v>
      </c>
      <c r="EK1194">
        <v>1</v>
      </c>
      <c r="EL1194">
        <v>0</v>
      </c>
      <c r="EM1194">
        <v>0</v>
      </c>
      <c r="EN1194" s="2">
        <v>0</v>
      </c>
      <c r="EP1194" t="str">
        <f>IF(AND(AND(AND(OR($EC1194=1,$EB1194=1),OR($EH1194=1,$EF1194=1)),SUM($EA1194:$EE1194,$EK1194)&gt;=3),SUM($EF1194:$EJ1194)&gt;=2),"Whole sector approach","")</f>
        <v/>
      </c>
      <c r="EQ1194" t="str">
        <f>IF(AND(AND(OR($EC1194=1,$EB1194=1),AND($EH1194=0,$EF1194=0)),SUM($EA1194:$EE1194,$EK1194)&gt;=4),"Ecosystem approach","")</f>
        <v>Ecosystem approach</v>
      </c>
      <c r="ER1194" s="2" t="str">
        <f>IF(AND(AND(AND($EC1194=0,$EB1194=0),OR($EH1194=1,$EF1194=1)),SUM($EG1194:$EJ1194)&gt;=2),"Technology approach","")</f>
        <v/>
      </c>
      <c r="ES1194" t="str">
        <f>IF(AND($EC1194+$EB1194+$EE1194+$EA1194+$ED1194+$EG1194=0,$N1194="included"),"C neutral forest and HWP assumption","")</f>
        <v/>
      </c>
      <c r="ET1194" t="str">
        <f>IF(AND(AND(AND(AND($EC1194=1,$EB1194+$EA1194+$EG1194&gt;=1),$EF1194=1),$EH1194+$EI1194+$ED1194+$EE1194&gt;=2),$N1194="included"),"All C pools assumption","")</f>
        <v/>
      </c>
      <c r="EU1194" t="str">
        <f>IF(AND($ED1194+$EE1194+$EI1194+$EH1194+$EF1194=0,$N1194="included"),"In-situ only assumption","")</f>
        <v/>
      </c>
      <c r="EY1194" t="str">
        <f>IF(ISNUMBER(BW1194),IF(ABS(BW1194-[6]QC_indicators!$B$2)&gt;3*[6]QC_indicators!$C$2,"C ratio",IF(ISNUMBER(CA1194),IF(ABS(CA1194-[6]QC_indicators!$B$1)&gt;3*[6]QC_indicators!$C$1,"DF","no"))),IF(ISNUMBER(CA1194),IF(ABS(CA1194-[6]QC_indicators!$B$1)&gt;3*[6]QC_indicators!$C$1,"DF","no")))</f>
        <v>no</v>
      </c>
      <c r="EZ1194" t="s">
        <v>2122</v>
      </c>
      <c r="FA1194" t="str">
        <f>IF(LEN($CY1194)=0,"",IF(AND($CY1194&lt;(-0.05),$ES1194="C neutral forest and HWP assumption"),"Cneutral paradox",IF(AND($CY1194&gt;0.05,$EU1194="In-situ only assumption"),"In-situ only paradox","")))</f>
        <v/>
      </c>
      <c r="FD1194" s="260" t="s">
        <v>2948</v>
      </c>
    </row>
    <row r="1195" spans="1:160" ht="15" hidden="1" customHeight="1">
      <c r="A1195" s="1" t="s">
        <v>1781</v>
      </c>
      <c r="B1195" t="s">
        <v>2158</v>
      </c>
      <c r="C1195" t="s">
        <v>2159</v>
      </c>
      <c r="D1195" t="s">
        <v>2160</v>
      </c>
      <c r="E1195" t="s">
        <v>2161</v>
      </c>
      <c r="F1195" t="s">
        <v>2162</v>
      </c>
      <c r="G1195" t="s">
        <v>1787</v>
      </c>
      <c r="H1195" t="s">
        <v>254</v>
      </c>
      <c r="I1195">
        <v>2018</v>
      </c>
      <c r="J1195">
        <v>8</v>
      </c>
      <c r="K1195" t="s">
        <v>2163</v>
      </c>
      <c r="M1195" t="str">
        <f>LEFT($D1195,FIND(",",$D1195)-1)&amp;"_"&amp;I1195&amp;L1195</f>
        <v>Valade_2018</v>
      </c>
      <c r="N1195" t="s">
        <v>222</v>
      </c>
      <c r="O1195" s="145" t="s">
        <v>1029</v>
      </c>
      <c r="Q1195" t="s">
        <v>256</v>
      </c>
      <c r="R1195" s="251" t="s">
        <v>225</v>
      </c>
      <c r="S1195" s="1" t="s">
        <v>2171</v>
      </c>
      <c r="T1195" t="s">
        <v>2157</v>
      </c>
      <c r="U1195" t="s">
        <v>2172</v>
      </c>
      <c r="V1195" s="253">
        <v>0</v>
      </c>
      <c r="W1195" s="253">
        <v>0</v>
      </c>
      <c r="X1195">
        <v>0</v>
      </c>
      <c r="Y1195">
        <v>0</v>
      </c>
      <c r="Z1195">
        <v>1</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0</v>
      </c>
      <c r="AZ1195" s="141">
        <f>COUNTIF(X1195:AY1195,"&lt;&gt;0")</f>
        <v>1</v>
      </c>
      <c r="BA1195" s="141">
        <f>COUNTIF(X1195:AN1195,"&lt;&gt;0")</f>
        <v>1</v>
      </c>
      <c r="BB1195">
        <f>COUNTIF(X1195:AE1195,"&lt;&gt;0")</f>
        <v>1</v>
      </c>
      <c r="BC1195">
        <f>COUNTIF(AF1195:AK1195,"&lt;&gt;0")</f>
        <v>0</v>
      </c>
      <c r="BD1195">
        <f>COUNTIF(AL1195:AN1195,"&lt;&gt;0")</f>
        <v>0</v>
      </c>
      <c r="BE1195">
        <f>COUNTIF(AU1195:AY1195,"&lt;&gt;0")</f>
        <v>0</v>
      </c>
      <c r="BF1195">
        <f>COUNTIF(AO1195:AT1195,"&lt;&gt;0")</f>
        <v>0</v>
      </c>
      <c r="BG1195" t="str">
        <f t="array" ref="BG1195">IF(BA1195=1,INDEX($X$7:$AN$7,MATCH(TRUE,INDEX($X1195:$AY1195&lt;&gt;0,),0)),IF(BA1195=0,INDEX($AO$7:$AY$7,MATCH(1,$AO1195:$AY1195,0)),IF(BH1195="Multiple strategies","mixed drivers",IF(BH1195="Supply chain","multiple supply","multiple silviculture"))))</f>
        <v>rotation length</v>
      </c>
      <c r="BH1195" s="2" t="str" cm="1">
        <f t="array" ref="BH1195">IF(COUNTIF(BB1195:BD1195,"&lt;&gt;0")=1,INDEX($X$4:$AY$4,MATCH(TRUE,INDEX($X1195:$AY1195&lt;&gt;0,),0)),IF(COUNTIF(BB1195:BD1195,"&lt;&gt;0")=0,INDEX($AO$4:$AY$4,MATCH(1,$AO1195:$AY1195,0)),"Multiple strategies"))</f>
        <v>Silviculture for removals</v>
      </c>
      <c r="BI1195" s="1" t="s">
        <v>321</v>
      </c>
      <c r="BJ1195" t="s">
        <v>2166</v>
      </c>
      <c r="BK1195" s="256" t="s">
        <v>3074</v>
      </c>
      <c r="BL1195" t="s">
        <v>1197</v>
      </c>
      <c r="BM1195">
        <v>1168.5023099755704</v>
      </c>
      <c r="BN1195">
        <v>1580.9377497587932</v>
      </c>
      <c r="BO1195" s="143">
        <f>BN1195/BM1195</f>
        <v>1.3529607397967793</v>
      </c>
      <c r="BP1195">
        <f>BN1195-BM1195</f>
        <v>412.43543978322282</v>
      </c>
      <c r="BQ1195">
        <f>BP1195*10^6</f>
        <v>412435439.78322279</v>
      </c>
      <c r="BR1195" t="s">
        <v>232</v>
      </c>
      <c r="BS1195" s="256" t="s">
        <v>3076</v>
      </c>
      <c r="BT1195" t="s">
        <v>1232</v>
      </c>
      <c r="BU1195">
        <v>391.990063159464</v>
      </c>
      <c r="BV1195">
        <v>395.522996733436</v>
      </c>
      <c r="BW1195" s="144">
        <f>IFERROR(BV1195/BU1195,"")</f>
        <v>1.0090128141144608</v>
      </c>
      <c r="BX1195" s="144">
        <f>BV1195-BU1195</f>
        <v>3.5329335739720023</v>
      </c>
      <c r="BY1195" s="144"/>
      <c r="BZ1195">
        <f>BX1195*10^6*C_to_CO2</f>
        <v>12965866.216477247</v>
      </c>
      <c r="CA1195">
        <f>IFERROR(BZ1195/BQ1195,"")</f>
        <v>3.1437323192430172E-2</v>
      </c>
      <c r="CB1195">
        <v>0</v>
      </c>
      <c r="CC1195">
        <v>0</v>
      </c>
      <c r="CD1195">
        <v>0</v>
      </c>
      <c r="CE1195">
        <v>0</v>
      </c>
      <c r="CF1195">
        <v>0</v>
      </c>
      <c r="CG1195">
        <v>0</v>
      </c>
      <c r="CH1195">
        <v>0</v>
      </c>
      <c r="CI1195">
        <v>0</v>
      </c>
      <c r="CJ1195">
        <v>0</v>
      </c>
      <c r="CK1195">
        <v>0</v>
      </c>
      <c r="CL1195">
        <v>0</v>
      </c>
      <c r="CM1195">
        <v>0</v>
      </c>
      <c r="CN1195">
        <v>0</v>
      </c>
      <c r="CO1195">
        <v>0</v>
      </c>
      <c r="CP1195" t="str">
        <f>IF($BN1195&lt;$BM1195,"refNeedCorrection","refOK")</f>
        <v>refOK</v>
      </c>
      <c r="CQ1195">
        <f>IF($CP1195="refNeedCorrection",BN1195,BM1195)</f>
        <v>1168.5023099755704</v>
      </c>
      <c r="CR1195">
        <f>IF($CP1195="refNeedCorrection",BM1195,BN1195)</f>
        <v>1580.9377497587932</v>
      </c>
      <c r="CS1195">
        <f>IF($CP1195="refOK",$BQ1195,-$BQ1195)</f>
        <v>412435439.78322279</v>
      </c>
      <c r="CT1195">
        <f>IF(BI1195="Roundwood",$CS1195/2,$CS1195)</f>
        <v>206217719.8916114</v>
      </c>
      <c r="CU1195">
        <f>IF($CP1195="refOK",$BU1195,$BV1195)*IF($BR1195="Emissions positive",-1,1)</f>
        <v>391.990063159464</v>
      </c>
      <c r="CV1195">
        <f>IF($CP1195="refOK",$BV1195,$BU1195)*IF($BR1195="Emissions positive",-1,1)</f>
        <v>395.522996733436</v>
      </c>
      <c r="CW1195">
        <f>IF($CP1195="refNeedCorrection",-BZ1195,BZ1195)*IF($BR1195="Emissions positive",-1,1)</f>
        <v>12965866.216477247</v>
      </c>
      <c r="CX1195">
        <f>IFERROR($CW1195/$CS1195,"")</f>
        <v>3.1437323192430172E-2</v>
      </c>
      <c r="CY1195">
        <f>IFERROR($CW1195/$CS1195,"")</f>
        <v>3.1437323192430172E-2</v>
      </c>
      <c r="CZ1195">
        <f>IFERROR($CW1195/$CT1195,"")</f>
        <v>6.2874646384860344E-2</v>
      </c>
      <c r="DA1195" s="2">
        <f>IFERROR((CV1195-CU1195)/ABS(CU1195),"")</f>
        <v>9.0128141144608116E-3</v>
      </c>
      <c r="DB1195" s="1" t="s">
        <v>1078</v>
      </c>
      <c r="DC1195" t="str">
        <f>IF(OR($DB1195="prd",$DB1195="std",$DB1195="cit"),"loc",IF(OR($DB1195="eur",$DB1195="reg",$DB1195="coy"),"reg",$DB1195))</f>
        <v>reg</v>
      </c>
      <c r="DD1195" t="s">
        <v>715</v>
      </c>
      <c r="DE1195">
        <v>2015</v>
      </c>
      <c r="DF1195">
        <v>2040</v>
      </c>
      <c r="DG1195">
        <f>DF1195-DE1195</f>
        <v>25</v>
      </c>
      <c r="DH1195" t="str">
        <f>IF(DG1195=0,"0",IF(AND(DG1195&gt;=1,DG1195&lt;=30),"1-30",IF(AND(DG1195&gt;30,DG1195&lt;=70),"31-70",IF(AND(DG1195&gt;70,DG1195&lt;=100),"71-100",IF(DG1195&gt;100,"+100")))))</f>
        <v>1-30</v>
      </c>
      <c r="DI1195">
        <v>1</v>
      </c>
      <c r="DJ1195">
        <v>1</v>
      </c>
      <c r="DK1195">
        <v>1</v>
      </c>
      <c r="DL1195">
        <v>1</v>
      </c>
      <c r="DN1195">
        <f>SUM(DI1195:DL1195)</f>
        <v>4</v>
      </c>
      <c r="DO1195" t="str">
        <f>IF(DN1195=1,INDEX($DI$7:$DL$7,MATCH(1,$DI1195:$DL1195,0)),"mixedProduct")</f>
        <v>mixedProduct</v>
      </c>
      <c r="DP1195" t="str">
        <f>IF(DI1195=1,DP$7,0)</f>
        <v>Upstream</v>
      </c>
      <c r="DQ1195" t="str">
        <f>IF(DJ1195=1,DQ$7,0)</f>
        <v>Energy</v>
      </c>
      <c r="DR1195" t="str">
        <f>IF(DK1195=1,DR$7,0)</f>
        <v>Pulp/Paper</v>
      </c>
      <c r="DS1195" t="str">
        <f>IF(DL1195=1,DS$7,0)</f>
        <v>Timber</v>
      </c>
      <c r="DT1195">
        <v>0</v>
      </c>
      <c r="DU1195">
        <v>1</v>
      </c>
      <c r="DV1195" t="s">
        <v>2173</v>
      </c>
      <c r="DW1195" t="s">
        <v>2174</v>
      </c>
      <c r="DX1195" t="s">
        <v>2174</v>
      </c>
      <c r="DY1195">
        <f>SUM(DT1195:DU1195)</f>
        <v>1</v>
      </c>
      <c r="DZ1195" s="143" t="str">
        <f>IF(DT1195=1,"self-calculated DF",IF(DU1195=1,"external DF used","explicit C balance"))</f>
        <v>external DF used</v>
      </c>
      <c r="EA1195">
        <v>0</v>
      </c>
      <c r="EB1195">
        <v>1</v>
      </c>
      <c r="EC1195">
        <v>1</v>
      </c>
      <c r="ED1195">
        <v>1</v>
      </c>
      <c r="EE1195">
        <v>1</v>
      </c>
      <c r="EF1195" s="143">
        <v>1</v>
      </c>
      <c r="EG1195">
        <v>1</v>
      </c>
      <c r="EH1195">
        <v>1</v>
      </c>
      <c r="EI1195">
        <v>0</v>
      </c>
      <c r="EJ1195">
        <v>0</v>
      </c>
      <c r="EK1195">
        <v>1</v>
      </c>
      <c r="EL1195">
        <v>0</v>
      </c>
      <c r="EM1195">
        <v>0</v>
      </c>
      <c r="EN1195" s="2">
        <v>0</v>
      </c>
      <c r="EP1195" t="str">
        <f>IF(AND(AND(AND(OR($EC1195=1,$EB1195=1),OR($EH1195=1,$EF1195=1)),SUM($EA1195:$EE1195,$EK1195)&gt;=3),SUM($EF1195:$EJ1195)&gt;=2),"Whole sector approach","")</f>
        <v>Whole sector approach</v>
      </c>
      <c r="EQ1195" t="str">
        <f>IF(AND(AND(OR($EC1195=1,$EB1195=1),AND($EH1195=0,$EF1195=0)),SUM($EA1195:$EE1195,$EK1195)&gt;=4),"Ecosystem approach","")</f>
        <v/>
      </c>
      <c r="ER1195" s="2" t="str">
        <f>IF(AND(AND(AND($EC1195=0,$EB1195=0),OR($EH1195=1,$EF1195=1)),SUM($EG1195:$EJ1195)&gt;=2),"Technology approach","")</f>
        <v/>
      </c>
      <c r="ES1195" t="str">
        <f>IF(AND($EC1195+$EB1195+$EE1195+$EA1195+$ED1195+$EG1195=0,$N1195="included"),"C neutral forest and HWP assumption","")</f>
        <v/>
      </c>
      <c r="ET1195" t="str">
        <f>IF(AND(AND(AND(AND($EC1195=1,$EB1195+$EA1195+$EG1195&gt;=1),$EF1195=1),$EH1195+$EI1195+$ED1195+$EE1195&gt;=2),$N1195="included"),"All C pools assumption","")</f>
        <v>All C pools assumption</v>
      </c>
      <c r="EU1195" t="str">
        <f>IF(AND($ED1195+$EE1195+$EI1195+$EH1195+$EF1195=0,$N1195="included"),"In-situ only assumption","")</f>
        <v/>
      </c>
      <c r="EY1195" t="str">
        <f>IF(ISNUMBER(BW1195),IF(ABS(BW1195-[6]QC_indicators!$B$2)&gt;3*[6]QC_indicators!$C$2,"C ratio",IF(ISNUMBER(CA1195),IF(ABS(CA1195-[6]QC_indicators!$B$1)&gt;3*[6]QC_indicators!$C$1,"DF","no"))),IF(ISNUMBER(CA1195),IF(ABS(CA1195-[6]QC_indicators!$B$1)&gt;3*[6]QC_indicators!$C$1,"DF","no")))</f>
        <v>no</v>
      </c>
      <c r="EZ1195" t="s">
        <v>2122</v>
      </c>
      <c r="FA1195" t="str">
        <f>IF(LEN($CY1195)=0,"",IF(AND($CY1195&lt;(-0.05),$ES1195="C neutral forest and HWP assumption"),"Cneutral paradox",IF(AND($CY1195&gt;0.05,$EU1195="In-situ only assumption"),"In-situ only paradox","")))</f>
        <v/>
      </c>
      <c r="FD1195" s="260" t="s">
        <v>2948</v>
      </c>
    </row>
    <row r="1196" spans="1:160" ht="15" hidden="1" customHeight="1">
      <c r="A1196" s="1" t="s">
        <v>1781</v>
      </c>
      <c r="B1196" t="s">
        <v>2158</v>
      </c>
      <c r="C1196" t="s">
        <v>2159</v>
      </c>
      <c r="D1196" t="s">
        <v>2160</v>
      </c>
      <c r="E1196" t="s">
        <v>2161</v>
      </c>
      <c r="F1196" t="s">
        <v>2162</v>
      </c>
      <c r="G1196" t="s">
        <v>1787</v>
      </c>
      <c r="H1196" t="s">
        <v>254</v>
      </c>
      <c r="I1196">
        <v>2018</v>
      </c>
      <c r="J1196">
        <v>8</v>
      </c>
      <c r="K1196" t="s">
        <v>2163</v>
      </c>
      <c r="M1196" t="str">
        <f>LEFT($D1196,FIND(",",$D1196)-1)&amp;"_"&amp;I1196&amp;L1196</f>
        <v>Valade_2018</v>
      </c>
      <c r="N1196" t="s">
        <v>222</v>
      </c>
      <c r="O1196" s="145" t="s">
        <v>1029</v>
      </c>
      <c r="Q1196" t="s">
        <v>256</v>
      </c>
      <c r="R1196" s="251" t="s">
        <v>225</v>
      </c>
      <c r="S1196" s="1" t="s">
        <v>2169</v>
      </c>
      <c r="T1196" t="s">
        <v>2157</v>
      </c>
      <c r="U1196" t="s">
        <v>2170</v>
      </c>
      <c r="V1196" s="253">
        <v>0</v>
      </c>
      <c r="W1196" s="253">
        <v>0</v>
      </c>
      <c r="X1196">
        <v>0</v>
      </c>
      <c r="Y1196">
        <v>0</v>
      </c>
      <c r="Z1196">
        <v>1</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s="141">
        <f>COUNTIF(X1196:AY1196,"&lt;&gt;0")</f>
        <v>1</v>
      </c>
      <c r="BA1196" s="141">
        <f>COUNTIF(X1196:AN1196,"&lt;&gt;0")</f>
        <v>1</v>
      </c>
      <c r="BB1196">
        <f>COUNTIF(X1196:AE1196,"&lt;&gt;0")</f>
        <v>1</v>
      </c>
      <c r="BC1196">
        <f>COUNTIF(AF1196:AK1196,"&lt;&gt;0")</f>
        <v>0</v>
      </c>
      <c r="BD1196">
        <f>COUNTIF(AL1196:AN1196,"&lt;&gt;0")</f>
        <v>0</v>
      </c>
      <c r="BE1196">
        <f>COUNTIF(AU1196:AY1196,"&lt;&gt;0")</f>
        <v>0</v>
      </c>
      <c r="BF1196">
        <f>COUNTIF(AO1196:AT1196,"&lt;&gt;0")</f>
        <v>0</v>
      </c>
      <c r="BG1196" t="str">
        <f t="array" ref="BG1196">IF(BA1196=1,INDEX($X$7:$AN$7,MATCH(TRUE,INDEX($X1196:$AY1196&lt;&gt;0,),0)),IF(BA1196=0,INDEX($AO$7:$AY$7,MATCH(1,$AO1196:$AY1196,0)),IF(BH1196="Multiple strategies","mixed drivers",IF(BH1196="Supply chain","multiple supply","multiple silviculture"))))</f>
        <v>rotation length</v>
      </c>
      <c r="BH1196" s="2" t="str" cm="1">
        <f t="array" ref="BH1196">IF(COUNTIF(BB1196:BD1196,"&lt;&gt;0")=1,INDEX($X$4:$AY$4,MATCH(TRUE,INDEX($X1196:$AY1196&lt;&gt;0,),0)),IF(COUNTIF(BB1196:BD1196,"&lt;&gt;0")=0,INDEX($AO$4:$AY$4,MATCH(1,$AO1196:$AY1196,0)),"Multiple strategies"))</f>
        <v>Silviculture for removals</v>
      </c>
      <c r="BI1196" s="1" t="s">
        <v>321</v>
      </c>
      <c r="BJ1196" t="s">
        <v>2166</v>
      </c>
      <c r="BK1196" s="256" t="s">
        <v>3074</v>
      </c>
      <c r="BL1196" t="s">
        <v>1197</v>
      </c>
      <c r="BM1196">
        <v>1168.5023099755704</v>
      </c>
      <c r="BN1196">
        <v>2095.3144563242754</v>
      </c>
      <c r="BO1196" s="143">
        <f>BN1196/BM1196</f>
        <v>1.7931624425869399</v>
      </c>
      <c r="BP1196">
        <f>BN1196-BM1196</f>
        <v>926.81214634870503</v>
      </c>
      <c r="BQ1196">
        <f>+BP1196*1000000</f>
        <v>926812146.34870505</v>
      </c>
      <c r="BR1196" t="s">
        <v>232</v>
      </c>
      <c r="BS1196" s="256" t="s">
        <v>3076</v>
      </c>
      <c r="BT1196" t="s">
        <v>1232</v>
      </c>
      <c r="BU1196">
        <v>391.990063159464</v>
      </c>
      <c r="BV1196">
        <v>310.62524300000001</v>
      </c>
      <c r="BW1196" s="144">
        <f>IFERROR(BV1196/BU1196,"")</f>
        <v>0.79243142159355129</v>
      </c>
      <c r="BX1196" s="144">
        <f>BV1196-BU1196</f>
        <v>-81.364820159463989</v>
      </c>
      <c r="BY1196" s="144"/>
      <c r="BZ1196">
        <f>BX1196*10^6*C_to_CO2</f>
        <v>-298608889.98523283</v>
      </c>
      <c r="CA1196">
        <f>IFERROR(BZ1196/BQ1196,"")</f>
        <v>-0.32218922805623634</v>
      </c>
      <c r="CB1196">
        <v>0</v>
      </c>
      <c r="CC1196">
        <v>0</v>
      </c>
      <c r="CD1196">
        <v>0</v>
      </c>
      <c r="CE1196">
        <v>0</v>
      </c>
      <c r="CF1196">
        <v>0</v>
      </c>
      <c r="CG1196">
        <v>0</v>
      </c>
      <c r="CH1196">
        <v>0</v>
      </c>
      <c r="CI1196">
        <v>0</v>
      </c>
      <c r="CJ1196">
        <v>0</v>
      </c>
      <c r="CK1196">
        <v>0</v>
      </c>
      <c r="CL1196">
        <v>0</v>
      </c>
      <c r="CM1196">
        <v>0</v>
      </c>
      <c r="CN1196">
        <v>0</v>
      </c>
      <c r="CO1196">
        <v>0</v>
      </c>
      <c r="CP1196" t="str">
        <f>IF($BN1196&lt;$BM1196,"refNeedCorrection","refOK")</f>
        <v>refOK</v>
      </c>
      <c r="CQ1196">
        <f>IF($CP1196="refNeedCorrection",BN1196,BM1196)</f>
        <v>1168.5023099755704</v>
      </c>
      <c r="CR1196">
        <f>IF($CP1196="refNeedCorrection",BM1196,BN1196)</f>
        <v>2095.3144563242754</v>
      </c>
      <c r="CS1196">
        <f>IF($CP1196="refOK",$BQ1196,-$BQ1196)</f>
        <v>926812146.34870505</v>
      </c>
      <c r="CT1196">
        <f>IF(BI1196="Roundwood",$CS1196/2,$CS1196)</f>
        <v>463406073.17435253</v>
      </c>
      <c r="CU1196">
        <f>IF($CP1196="refOK",$BU1196,$BV1196)*IF($BR1196="Emissions positive",-1,1)</f>
        <v>391.990063159464</v>
      </c>
      <c r="CV1196">
        <f>IF($CP1196="refOK",$BV1196,$BU1196)*IF($BR1196="Emissions positive",-1,1)</f>
        <v>310.62524300000001</v>
      </c>
      <c r="CW1196">
        <f>IF($CP1196="refNeedCorrection",-BZ1196,BZ1196)*IF($BR1196="Emissions positive",-1,1)</f>
        <v>-298608889.98523283</v>
      </c>
      <c r="CX1196">
        <f>IFERROR($CW1196/$CS1196,"")</f>
        <v>-0.32218922805623634</v>
      </c>
      <c r="CY1196">
        <f>IFERROR($CW1196/$CS1196,"")</f>
        <v>-0.32218922805623634</v>
      </c>
      <c r="CZ1196">
        <f>IFERROR($CW1196/$CT1196,"")</f>
        <v>-0.64437845611247269</v>
      </c>
      <c r="DA1196" s="2">
        <f>IFERROR((CV1196-CU1196)/ABS(CU1196),"")</f>
        <v>-0.20756857840644871</v>
      </c>
      <c r="DB1196" s="1" t="s">
        <v>1078</v>
      </c>
      <c r="DC1196" t="str">
        <f>IF(OR($DB1196="prd",$DB1196="std",$DB1196="cit"),"loc",IF(OR($DB1196="eur",$DB1196="reg",$DB1196="coy"),"reg",$DB1196))</f>
        <v>reg</v>
      </c>
      <c r="DD1196" t="s">
        <v>715</v>
      </c>
      <c r="DE1196">
        <v>2015</v>
      </c>
      <c r="DF1196">
        <v>2040</v>
      </c>
      <c r="DG1196">
        <f>DF1196-DE1196</f>
        <v>25</v>
      </c>
      <c r="DH1196" t="str">
        <f>IF(DG1196=0,"0",IF(AND(DG1196&gt;=1,DG1196&lt;=30),"1-30",IF(AND(DG1196&gt;30,DG1196&lt;=70),"31-70",IF(AND(DG1196&gt;70,DG1196&lt;=100),"71-100",IF(DG1196&gt;100,"+100")))))</f>
        <v>1-30</v>
      </c>
      <c r="DI1196">
        <v>1</v>
      </c>
      <c r="DJ1196">
        <v>1</v>
      </c>
      <c r="DK1196">
        <v>1</v>
      </c>
      <c r="DL1196">
        <v>1</v>
      </c>
      <c r="DN1196">
        <f>SUM(DI1196:DL1196)</f>
        <v>4</v>
      </c>
      <c r="DO1196" t="str">
        <f>IF(DN1196=1,INDEX($DI$7:$DL$7,MATCH(1,$DI1196:$DL1196,0)),"mixedProduct")</f>
        <v>mixedProduct</v>
      </c>
      <c r="DP1196" t="str">
        <f>IF(DI1196=1,DP$7,0)</f>
        <v>Upstream</v>
      </c>
      <c r="DQ1196" t="str">
        <f>IF(DJ1196=1,DQ$7,0)</f>
        <v>Energy</v>
      </c>
      <c r="DR1196" t="str">
        <f>IF(DK1196=1,DR$7,0)</f>
        <v>Pulp/Paper</v>
      </c>
      <c r="DS1196" t="str">
        <f>IF(DL1196=1,DS$7,0)</f>
        <v>Timber</v>
      </c>
      <c r="DT1196">
        <v>0</v>
      </c>
      <c r="DU1196">
        <v>1</v>
      </c>
      <c r="DV1196" t="s">
        <v>2173</v>
      </c>
      <c r="DW1196" t="s">
        <v>2174</v>
      </c>
      <c r="DX1196" t="s">
        <v>2174</v>
      </c>
      <c r="DY1196">
        <f>SUM(DT1196:DU1196)</f>
        <v>1</v>
      </c>
      <c r="DZ1196" s="143" t="str">
        <f>IF(DT1196=1,"self-calculated DF",IF(DU1196=1,"external DF used","explicit C balance"))</f>
        <v>external DF used</v>
      </c>
      <c r="EA1196">
        <v>0</v>
      </c>
      <c r="EB1196">
        <v>1</v>
      </c>
      <c r="EC1196">
        <v>1</v>
      </c>
      <c r="ED1196">
        <v>1</v>
      </c>
      <c r="EE1196">
        <v>1</v>
      </c>
      <c r="EF1196" s="143">
        <v>1</v>
      </c>
      <c r="EG1196">
        <v>1</v>
      </c>
      <c r="EH1196">
        <v>1</v>
      </c>
      <c r="EI1196">
        <v>0</v>
      </c>
      <c r="EJ1196">
        <v>0</v>
      </c>
      <c r="EK1196">
        <v>1</v>
      </c>
      <c r="EL1196">
        <v>0</v>
      </c>
      <c r="EM1196">
        <v>0</v>
      </c>
      <c r="EN1196" s="2">
        <v>0</v>
      </c>
      <c r="EP1196" t="str">
        <f>IF(AND(AND(AND(OR($EC1196=1,$EB1196=1),OR($EH1196=1,$EF1196=1)),SUM($EA1196:$EE1196,$EK1196)&gt;=3),SUM($EF1196:$EJ1196)&gt;=2),"Whole sector approach","")</f>
        <v>Whole sector approach</v>
      </c>
      <c r="EQ1196" t="str">
        <f>IF(AND(AND(OR($EC1196=1,$EB1196=1),AND($EH1196=0,$EF1196=0)),SUM($EA1196:$EE1196,$EK1196)&gt;=4),"Ecosystem approach","")</f>
        <v/>
      </c>
      <c r="ER1196" s="2" t="str">
        <f>IF(AND(AND(AND($EC1196=0,$EB1196=0),OR($EH1196=1,$EF1196=1)),SUM($EG1196:$EJ1196)&gt;=2),"Technology approach","")</f>
        <v/>
      </c>
      <c r="ES1196" t="str">
        <f>IF(AND($EC1196+$EB1196+$EE1196+$EA1196+$ED1196+$EG1196=0,$N1196="included"),"C neutral forest and HWP assumption","")</f>
        <v/>
      </c>
      <c r="ET1196" t="str">
        <f>IF(AND(AND(AND(AND($EC1196=1,$EB1196+$EA1196+$EG1196&gt;=1),$EF1196=1),$EH1196+$EI1196+$ED1196+$EE1196&gt;=2),$N1196="included"),"All C pools assumption","")</f>
        <v>All C pools assumption</v>
      </c>
      <c r="EU1196" t="str">
        <f>IF(AND($ED1196+$EE1196+$EI1196+$EH1196+$EF1196=0,$N1196="included"),"In-situ only assumption","")</f>
        <v/>
      </c>
      <c r="EY1196" t="str">
        <f>IF(ISNUMBER(BW1196),IF(ABS(BW1196-[6]QC_indicators!$B$2)&gt;3*[6]QC_indicators!$C$2,"C ratio",IF(ISNUMBER(CA1196),IF(ABS(CA1196-[6]QC_indicators!$B$1)&gt;3*[6]QC_indicators!$C$1,"DF","no"))),IF(ISNUMBER(CA1196),IF(ABS(CA1196-[6]QC_indicators!$B$1)&gt;3*[6]QC_indicators!$C$1,"DF","no")))</f>
        <v>no</v>
      </c>
      <c r="EZ1196" t="s">
        <v>2122</v>
      </c>
      <c r="FA1196" t="str">
        <f>IF(LEN($CY1196)=0,"",IF(AND($CY1196&lt;(-0.05),$ES1196="C neutral forest and HWP assumption"),"Cneutral paradox",IF(AND($CY1196&gt;0.05,$EU1196="In-situ only assumption"),"In-situ only paradox","")))</f>
        <v/>
      </c>
      <c r="FD1196" s="260" t="s">
        <v>2948</v>
      </c>
    </row>
    <row r="1197" spans="1:160" ht="18" hidden="1" customHeight="1">
      <c r="A1197" s="1" t="s">
        <v>1781</v>
      </c>
      <c r="B1197" t="s">
        <v>2158</v>
      </c>
      <c r="C1197" t="s">
        <v>2159</v>
      </c>
      <c r="D1197" t="s">
        <v>2160</v>
      </c>
      <c r="E1197" t="s">
        <v>2161</v>
      </c>
      <c r="F1197" t="s">
        <v>2162</v>
      </c>
      <c r="G1197" t="s">
        <v>1787</v>
      </c>
      <c r="H1197" t="s">
        <v>254</v>
      </c>
      <c r="I1197">
        <v>2018</v>
      </c>
      <c r="J1197">
        <v>8</v>
      </c>
      <c r="K1197" t="s">
        <v>2163</v>
      </c>
      <c r="M1197" t="str">
        <f>LEFT($D1197,FIND(",",$D1197)-1)&amp;"_"&amp;I1197&amp;L1197</f>
        <v>Valade_2018</v>
      </c>
      <c r="N1197" t="s">
        <v>222</v>
      </c>
      <c r="O1197" s="145" t="s">
        <v>1029</v>
      </c>
      <c r="Q1197" t="s">
        <v>256</v>
      </c>
      <c r="R1197" s="251" t="s">
        <v>225</v>
      </c>
      <c r="S1197" s="1" t="s">
        <v>2171</v>
      </c>
      <c r="T1197" t="s">
        <v>2157</v>
      </c>
      <c r="U1197" t="s">
        <v>2172</v>
      </c>
      <c r="V1197" s="253">
        <v>0</v>
      </c>
      <c r="W1197" s="253">
        <v>0</v>
      </c>
      <c r="X1197">
        <v>0</v>
      </c>
      <c r="Y1197">
        <v>0</v>
      </c>
      <c r="Z1197">
        <v>1</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0</v>
      </c>
      <c r="AW1197">
        <v>0</v>
      </c>
      <c r="AX1197">
        <v>0</v>
      </c>
      <c r="AY1197">
        <v>0</v>
      </c>
      <c r="AZ1197" s="141">
        <f>COUNTIF(X1197:AY1197,"&lt;&gt;0")</f>
        <v>1</v>
      </c>
      <c r="BA1197" s="141">
        <f>COUNTIF(X1197:AN1197,"&lt;&gt;0")</f>
        <v>1</v>
      </c>
      <c r="BB1197">
        <f>COUNTIF(X1197:AE1197,"&lt;&gt;0")</f>
        <v>1</v>
      </c>
      <c r="BC1197">
        <f>COUNTIF(AF1197:AK1197,"&lt;&gt;0")</f>
        <v>0</v>
      </c>
      <c r="BD1197">
        <f>COUNTIF(AL1197:AN1197,"&lt;&gt;0")</f>
        <v>0</v>
      </c>
      <c r="BE1197">
        <f>COUNTIF(AU1197:AY1197,"&lt;&gt;0")</f>
        <v>0</v>
      </c>
      <c r="BF1197">
        <f>COUNTIF(AO1197:AT1197,"&lt;&gt;0")</f>
        <v>0</v>
      </c>
      <c r="BG1197" t="str">
        <f t="array" ref="BG1197">IF(BA1197=1,INDEX($X$7:$AN$7,MATCH(TRUE,INDEX($X1197:$AY1197&lt;&gt;0,),0)),IF(BA1197=0,INDEX($AO$7:$AY$7,MATCH(1,$AO1197:$AY1197,0)),IF(BH1197="Multiple strategies","mixed drivers",IF(BH1197="Supply chain","multiple supply","multiple silviculture"))))</f>
        <v>rotation length</v>
      </c>
      <c r="BH1197" s="2" t="str" cm="1">
        <f t="array" ref="BH1197">IF(COUNTIF(BB1197:BD1197,"&lt;&gt;0")=1,INDEX($X$4:$AY$4,MATCH(TRUE,INDEX($X1197:$AY1197&lt;&gt;0,),0)),IF(COUNTIF(BB1197:BD1197,"&lt;&gt;0")=0,INDEX($AO$4:$AY$4,MATCH(1,$AO1197:$AY1197,0)),"Multiple strategies"))</f>
        <v>Silviculture for removals</v>
      </c>
      <c r="BI1197" s="1" t="s">
        <v>321</v>
      </c>
      <c r="BJ1197" t="s">
        <v>2166</v>
      </c>
      <c r="BK1197" s="256" t="s">
        <v>3074</v>
      </c>
      <c r="BL1197" t="s">
        <v>1197</v>
      </c>
      <c r="BM1197">
        <v>1168.5023099755704</v>
      </c>
      <c r="BN1197">
        <v>1580.9377497587932</v>
      </c>
      <c r="BO1197" s="143">
        <f>BN1197/BM1197</f>
        <v>1.3529607397967793</v>
      </c>
      <c r="BP1197">
        <f>BN1197-BM1197</f>
        <v>412.43543978322282</v>
      </c>
      <c r="BQ1197">
        <f>BP1197*10^6</f>
        <v>412435439.78322279</v>
      </c>
      <c r="BR1197" t="s">
        <v>232</v>
      </c>
      <c r="BS1197" s="256" t="s">
        <v>3077</v>
      </c>
      <c r="BT1197" t="s">
        <v>1232</v>
      </c>
      <c r="BU1197">
        <v>391.99006315946394</v>
      </c>
      <c r="BV1197">
        <v>290.06454500000001</v>
      </c>
      <c r="BW1197" s="144">
        <f>IFERROR(BV1197/BU1197,"")</f>
        <v>0.73997933177709152</v>
      </c>
      <c r="BX1197" s="144">
        <f>BV1197-BU1197</f>
        <v>-101.92551815946393</v>
      </c>
      <c r="BY1197" s="144"/>
      <c r="BZ1197">
        <f>BX1197*10^6*C_to_CO2</f>
        <v>-374066651.64523262</v>
      </c>
      <c r="CA1197">
        <f>IFERROR(BZ1197/BQ1197,"")</f>
        <v>-0.90697019597016948</v>
      </c>
      <c r="CB1197">
        <v>0</v>
      </c>
      <c r="CC1197">
        <v>0</v>
      </c>
      <c r="CD1197">
        <v>0</v>
      </c>
      <c r="CE1197">
        <v>0</v>
      </c>
      <c r="CF1197">
        <v>0</v>
      </c>
      <c r="CG1197">
        <v>0</v>
      </c>
      <c r="CH1197">
        <v>0</v>
      </c>
      <c r="CI1197">
        <v>0</v>
      </c>
      <c r="CJ1197">
        <v>0</v>
      </c>
      <c r="CK1197">
        <v>0</v>
      </c>
      <c r="CL1197">
        <v>0</v>
      </c>
      <c r="CM1197">
        <v>0</v>
      </c>
      <c r="CN1197">
        <v>0</v>
      </c>
      <c r="CO1197">
        <v>0</v>
      </c>
      <c r="CP1197" t="str">
        <f>IF($BN1197&lt;$BM1197,"refNeedCorrection","refOK")</f>
        <v>refOK</v>
      </c>
      <c r="CQ1197">
        <f>IF($CP1197="refNeedCorrection",BN1197,BM1197)</f>
        <v>1168.5023099755704</v>
      </c>
      <c r="CR1197">
        <f>IF($CP1197="refNeedCorrection",BM1197,BN1197)</f>
        <v>1580.9377497587932</v>
      </c>
      <c r="CS1197">
        <f>IF($CP1197="refOK",$BQ1197,-$BQ1197)</f>
        <v>412435439.78322279</v>
      </c>
      <c r="CT1197">
        <f>IF(BI1197="Roundwood",$CS1197/2,$CS1197)</f>
        <v>206217719.8916114</v>
      </c>
      <c r="CU1197">
        <f>IF($CP1197="refOK",$BU1197,$BV1197)*IF($BR1197="Emissions positive",-1,1)</f>
        <v>391.99006315946394</v>
      </c>
      <c r="CV1197">
        <f>IF($CP1197="refOK",$BV1197,$BU1197)*IF($BR1197="Emissions positive",-1,1)</f>
        <v>290.06454500000001</v>
      </c>
      <c r="CW1197">
        <f>IF($CP1197="refNeedCorrection",-BZ1197,BZ1197)*IF($BR1197="Emissions positive",-1,1)</f>
        <v>-374066651.64523262</v>
      </c>
      <c r="CX1197">
        <f>IFERROR($CW1197/$CS1197,"")</f>
        <v>-0.90697019597016948</v>
      </c>
      <c r="CY1197">
        <f>IFERROR($CW1197/$CS1197,"")</f>
        <v>-0.90697019597016948</v>
      </c>
      <c r="CZ1197">
        <f>IFERROR($CW1197/$CT1197,"")</f>
        <v>-1.813940391940339</v>
      </c>
      <c r="DA1197" s="2">
        <f>IFERROR((CV1197-CU1197)/ABS(CU1197),"")</f>
        <v>-0.26002066822290854</v>
      </c>
      <c r="DB1197" s="1" t="s">
        <v>1078</v>
      </c>
      <c r="DC1197" t="str">
        <f>IF(OR($DB1197="prd",$DB1197="std",$DB1197="cit"),"loc",IF(OR($DB1197="eur",$DB1197="reg",$DB1197="coy"),"reg",$DB1197))</f>
        <v>reg</v>
      </c>
      <c r="DD1197" t="s">
        <v>715</v>
      </c>
      <c r="DE1197">
        <v>2015</v>
      </c>
      <c r="DF1197">
        <v>2040</v>
      </c>
      <c r="DG1197">
        <f>DF1197-DE1197</f>
        <v>25</v>
      </c>
      <c r="DH1197" t="str">
        <f>IF(DG1197=0,"0",IF(AND(DG1197&gt;=1,DG1197&lt;=30),"1-30",IF(AND(DG1197&gt;30,DG1197&lt;=70),"31-70",IF(AND(DG1197&gt;70,DG1197&lt;=100),"71-100",IF(DG1197&gt;100,"+100")))))</f>
        <v>1-30</v>
      </c>
      <c r="DI1197">
        <v>1</v>
      </c>
      <c r="DJ1197">
        <v>1</v>
      </c>
      <c r="DK1197">
        <v>1</v>
      </c>
      <c r="DL1197">
        <v>1</v>
      </c>
      <c r="DN1197">
        <f>SUM(DI1197:DL1197)</f>
        <v>4</v>
      </c>
      <c r="DO1197" t="str">
        <f>IF(DN1197=1,INDEX($DI$7:$DL$7,MATCH(1,$DI1197:$DL1197,0)),"mixedProduct")</f>
        <v>mixedProduct</v>
      </c>
      <c r="DP1197" t="str">
        <f>IF(DI1197=1,DP$7,0)</f>
        <v>Upstream</v>
      </c>
      <c r="DQ1197" t="str">
        <f>IF(DJ1197=1,DQ$7,0)</f>
        <v>Energy</v>
      </c>
      <c r="DR1197" t="str">
        <f>IF(DK1197=1,DR$7,0)</f>
        <v>Pulp/Paper</v>
      </c>
      <c r="DS1197" t="str">
        <f>IF(DL1197=1,DS$7,0)</f>
        <v>Timber</v>
      </c>
      <c r="DT1197">
        <v>0</v>
      </c>
      <c r="DU1197">
        <v>0</v>
      </c>
      <c r="DV1197">
        <v>0</v>
      </c>
      <c r="DW1197">
        <v>0</v>
      </c>
      <c r="DX1197">
        <v>0</v>
      </c>
      <c r="DY1197">
        <f>SUM(DT1197:DU1197)</f>
        <v>0</v>
      </c>
      <c r="DZ1197" s="143" t="str">
        <f>IF(DT1197=1,"self-calculated DF",IF(DU1197=1,"external DF used","explicit C balance"))</f>
        <v>explicit C balance</v>
      </c>
      <c r="EA1197">
        <v>0</v>
      </c>
      <c r="EB1197">
        <v>1</v>
      </c>
      <c r="EC1197">
        <v>1</v>
      </c>
      <c r="ED1197">
        <v>1</v>
      </c>
      <c r="EE1197">
        <v>1</v>
      </c>
      <c r="EF1197" s="143">
        <v>0</v>
      </c>
      <c r="EG1197">
        <v>0</v>
      </c>
      <c r="EH1197">
        <v>0</v>
      </c>
      <c r="EI1197">
        <v>0</v>
      </c>
      <c r="EJ1197">
        <v>0</v>
      </c>
      <c r="EK1197">
        <v>1</v>
      </c>
      <c r="EL1197">
        <v>0</v>
      </c>
      <c r="EM1197">
        <v>0</v>
      </c>
      <c r="EN1197" s="2">
        <v>0</v>
      </c>
      <c r="EP1197" t="str">
        <f>IF(AND(AND(AND(OR($EC1197=1,$EB1197=1),OR($EH1197=1,$EF1197=1)),SUM($EA1197:$EE1197,$EK1197)&gt;=3),SUM($EF1197:$EJ1197)&gt;=2),"Whole sector approach","")</f>
        <v/>
      </c>
      <c r="EQ1197" t="str">
        <f>IF(AND(AND(OR($EC1197=1,$EB1197=1),AND($EH1197=0,$EF1197=0)),SUM($EA1197:$EE1197,$EK1197)&gt;=4),"Ecosystem approach","")</f>
        <v>Ecosystem approach</v>
      </c>
      <c r="ER1197" s="2" t="str">
        <f>IF(AND(AND(AND($EC1197=0,$EB1197=0),OR($EH1197=1,$EF1197=1)),SUM($EG1197:$EJ1197)&gt;=2),"Technology approach","")</f>
        <v/>
      </c>
      <c r="ES1197" t="str">
        <f>IF(AND($EC1197+$EB1197+$EE1197+$EA1197+$ED1197+$EG1197=0,$N1197="included"),"C neutral forest and HWP assumption","")</f>
        <v/>
      </c>
      <c r="ET1197" t="str">
        <f>IF(AND(AND(AND(AND($EC1197=1,$EB1197+$EA1197+$EG1197&gt;=1),$EF1197=1),$EH1197+$EI1197+$ED1197+$EE1197&gt;=2),$N1197="included"),"All C pools assumption","")</f>
        <v/>
      </c>
      <c r="EU1197" t="str">
        <f>IF(AND($ED1197+$EE1197+$EI1197+$EH1197+$EF1197=0,$N1197="included"),"In-situ only assumption","")</f>
        <v/>
      </c>
      <c r="EY1197" t="str">
        <f>IF(ISNUMBER(BW1197),IF(ABS(BW1197-[6]QC_indicators!$B$2)&gt;3*[6]QC_indicators!$C$2,"C ratio",IF(ISNUMBER(CA1197),IF(ABS(CA1197-[6]QC_indicators!$B$1)&gt;3*[6]QC_indicators!$C$1,"DF","no"))),IF(ISNUMBER(CA1197),IF(ABS(CA1197-[6]QC_indicators!$B$1)&gt;3*[6]QC_indicators!$C$1,"DF","no")))</f>
        <v>no</v>
      </c>
      <c r="EZ1197" t="s">
        <v>2122</v>
      </c>
      <c r="FA1197" t="str">
        <f>IF(LEN($CY1197)=0,"",IF(AND($CY1197&lt;(-0.05),$ES1197="C neutral forest and HWP assumption"),"Cneutral paradox",IF(AND($CY1197&gt;0.05,$EU1197="In-situ only assumption"),"In-situ only paradox","")))</f>
        <v/>
      </c>
      <c r="FD1197" s="260" t="s">
        <v>2948</v>
      </c>
    </row>
    <row r="1198" spans="1:160" hidden="1">
      <c r="A1198" s="1" t="s">
        <v>1781</v>
      </c>
      <c r="B1198" t="s">
        <v>2158</v>
      </c>
      <c r="C1198" t="s">
        <v>2159</v>
      </c>
      <c r="D1198" t="s">
        <v>2160</v>
      </c>
      <c r="E1198" t="s">
        <v>2161</v>
      </c>
      <c r="F1198" t="s">
        <v>2162</v>
      </c>
      <c r="G1198" t="s">
        <v>1787</v>
      </c>
      <c r="H1198" t="s">
        <v>254</v>
      </c>
      <c r="I1198">
        <v>2018</v>
      </c>
      <c r="J1198">
        <v>8</v>
      </c>
      <c r="K1198" t="s">
        <v>2163</v>
      </c>
      <c r="M1198" t="str">
        <f>LEFT($D1198,FIND(",",$D1198)-1)&amp;"_"&amp;I1198&amp;L1198</f>
        <v>Valade_2018</v>
      </c>
      <c r="N1198" t="s">
        <v>222</v>
      </c>
      <c r="O1198" s="145" t="s">
        <v>1029</v>
      </c>
      <c r="Q1198" t="s">
        <v>256</v>
      </c>
      <c r="R1198" s="251" t="s">
        <v>225</v>
      </c>
      <c r="S1198" s="1" t="s">
        <v>2169</v>
      </c>
      <c r="T1198" t="s">
        <v>2157</v>
      </c>
      <c r="U1198" t="s">
        <v>2170</v>
      </c>
      <c r="V1198" s="253">
        <v>0</v>
      </c>
      <c r="W1198" s="253">
        <v>0</v>
      </c>
      <c r="X1198">
        <v>0</v>
      </c>
      <c r="Y1198">
        <v>0</v>
      </c>
      <c r="Z1198">
        <v>1</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s="141">
        <f>COUNTIF(X1198:AY1198,"&lt;&gt;0")</f>
        <v>1</v>
      </c>
      <c r="BA1198" s="141">
        <f>COUNTIF(X1198:AN1198,"&lt;&gt;0")</f>
        <v>1</v>
      </c>
      <c r="BB1198">
        <f>COUNTIF(X1198:AE1198,"&lt;&gt;0")</f>
        <v>1</v>
      </c>
      <c r="BC1198">
        <f>COUNTIF(AF1198:AK1198,"&lt;&gt;0")</f>
        <v>0</v>
      </c>
      <c r="BD1198">
        <f>COUNTIF(AL1198:AN1198,"&lt;&gt;0")</f>
        <v>0</v>
      </c>
      <c r="BE1198">
        <f>COUNTIF(AU1198:AY1198,"&lt;&gt;0")</f>
        <v>0</v>
      </c>
      <c r="BF1198">
        <f>COUNTIF(AO1198:AT1198,"&lt;&gt;0")</f>
        <v>0</v>
      </c>
      <c r="BG1198" t="str">
        <f t="array" ref="BG1198">IF(BA1198=1,INDEX($X$7:$AN$7,MATCH(TRUE,INDEX($X1198:$AY1198&lt;&gt;0,),0)),IF(BA1198=0,INDEX($AO$7:$AY$7,MATCH(1,$AO1198:$AY1198,0)),IF(BH1198="Multiple strategies","mixed drivers",IF(BH1198="Supply chain","multiple supply","multiple silviculture"))))</f>
        <v>rotation length</v>
      </c>
      <c r="BH1198" s="2" t="str" cm="1">
        <f t="array" ref="BH1198">IF(COUNTIF(BB1198:BD1198,"&lt;&gt;0")=1,INDEX($X$4:$AY$4,MATCH(TRUE,INDEX($X1198:$AY1198&lt;&gt;0,),0)),IF(COUNTIF(BB1198:BD1198,"&lt;&gt;0")=0,INDEX($AO$4:$AY$4,MATCH(1,$AO1198:$AY1198,0)),"Multiple strategies"))</f>
        <v>Silviculture for removals</v>
      </c>
      <c r="BI1198" s="1" t="s">
        <v>321</v>
      </c>
      <c r="BJ1198" t="s">
        <v>2166</v>
      </c>
      <c r="BK1198" s="256" t="s">
        <v>3074</v>
      </c>
      <c r="BL1198" t="s">
        <v>1197</v>
      </c>
      <c r="BM1198">
        <v>1168.5023099755704</v>
      </c>
      <c r="BN1198">
        <v>2095.3144563242754</v>
      </c>
      <c r="BO1198" s="143">
        <f>BN1198/BM1198</f>
        <v>1.7931624425869399</v>
      </c>
      <c r="BP1198">
        <f>BN1198-BM1198</f>
        <v>926.81214634870503</v>
      </c>
      <c r="BQ1198">
        <f>BP1198*10^6</f>
        <v>926812146.34870505</v>
      </c>
      <c r="BR1198" t="s">
        <v>232</v>
      </c>
      <c r="BS1198" s="256" t="s">
        <v>3077</v>
      </c>
      <c r="BT1198" t="s">
        <v>1232</v>
      </c>
      <c r="BU1198">
        <v>391.99006315946394</v>
      </c>
      <c r="BV1198">
        <v>74.541239000000004</v>
      </c>
      <c r="BW1198" s="144">
        <f>IFERROR(BV1198/BU1198,"")</f>
        <v>0.19016104234682135</v>
      </c>
      <c r="BX1198" s="144">
        <f>BV1198-BU1198</f>
        <v>-317.44882415946392</v>
      </c>
      <c r="BY1198" s="144"/>
      <c r="BZ1198">
        <f>BX1198*10^6*C_to_CO2</f>
        <v>-1165037184.6652327</v>
      </c>
      <c r="CA1198">
        <f>IFERROR(BZ1198/BQ1198,"")</f>
        <v>-1.2570370266024735</v>
      </c>
      <c r="CB1198">
        <v>0</v>
      </c>
      <c r="CC1198">
        <v>0</v>
      </c>
      <c r="CD1198">
        <v>0</v>
      </c>
      <c r="CE1198">
        <v>0</v>
      </c>
      <c r="CF1198">
        <v>0</v>
      </c>
      <c r="CG1198">
        <v>0</v>
      </c>
      <c r="CH1198">
        <v>0</v>
      </c>
      <c r="CI1198">
        <v>0</v>
      </c>
      <c r="CJ1198">
        <v>0</v>
      </c>
      <c r="CK1198">
        <v>0</v>
      </c>
      <c r="CL1198">
        <v>0</v>
      </c>
      <c r="CM1198">
        <v>0</v>
      </c>
      <c r="CN1198">
        <v>0</v>
      </c>
      <c r="CO1198">
        <v>0</v>
      </c>
      <c r="CP1198" t="str">
        <f>IF($BN1198&lt;$BM1198,"refNeedCorrection","refOK")</f>
        <v>refOK</v>
      </c>
      <c r="CQ1198">
        <f>IF($CP1198="refNeedCorrection",BN1198,BM1198)</f>
        <v>1168.5023099755704</v>
      </c>
      <c r="CR1198">
        <f>IF($CP1198="refNeedCorrection",BM1198,BN1198)</f>
        <v>2095.3144563242754</v>
      </c>
      <c r="CS1198">
        <f>IF($CP1198="refOK",$BQ1198,-$BQ1198)</f>
        <v>926812146.34870505</v>
      </c>
      <c r="CT1198">
        <f>IF(BI1198="Roundwood",$CS1198/2,$CS1198)</f>
        <v>463406073.17435253</v>
      </c>
      <c r="CU1198">
        <f>IF($CP1198="refOK",$BU1198,$BV1198)*IF($BR1198="Emissions positive",-1,1)</f>
        <v>391.99006315946394</v>
      </c>
      <c r="CV1198">
        <f>IF($CP1198="refOK",$BV1198,$BU1198)*IF($BR1198="Emissions positive",-1,1)</f>
        <v>74.541239000000004</v>
      </c>
      <c r="CW1198">
        <f>IF($CP1198="refNeedCorrection",-BZ1198,BZ1198)*IF($BR1198="Emissions positive",-1,1)</f>
        <v>-1165037184.6652327</v>
      </c>
      <c r="CX1198">
        <f>IFERROR($CW1198/$CS1198,"")</f>
        <v>-1.2570370266024735</v>
      </c>
      <c r="CY1198">
        <f>IFERROR($CW1198/$CS1198,"")</f>
        <v>-1.2570370266024735</v>
      </c>
      <c r="CZ1198">
        <f>IFERROR($CW1198/$CT1198,"")</f>
        <v>-2.514074053204947</v>
      </c>
      <c r="DA1198" s="2">
        <f>IFERROR((CV1198-CU1198)/ABS(CU1198),"")</f>
        <v>-0.80983895765317859</v>
      </c>
      <c r="DB1198" s="1" t="s">
        <v>1078</v>
      </c>
      <c r="DC1198" t="str">
        <f>IF(OR($DB1198="prd",$DB1198="std",$DB1198="cit"),"loc",IF(OR($DB1198="eur",$DB1198="reg",$DB1198="coy"),"reg",$DB1198))</f>
        <v>reg</v>
      </c>
      <c r="DD1198" t="s">
        <v>715</v>
      </c>
      <c r="DE1198">
        <v>2015</v>
      </c>
      <c r="DF1198">
        <v>2040</v>
      </c>
      <c r="DG1198">
        <f>DF1198-DE1198</f>
        <v>25</v>
      </c>
      <c r="DH1198" t="str">
        <f>IF(DG1198=0,"0",IF(AND(DG1198&gt;=1,DG1198&lt;=30),"1-30",IF(AND(DG1198&gt;30,DG1198&lt;=70),"31-70",IF(AND(DG1198&gt;70,DG1198&lt;=100),"71-100",IF(DG1198&gt;100,"+100")))))</f>
        <v>1-30</v>
      </c>
      <c r="DI1198">
        <v>1</v>
      </c>
      <c r="DJ1198">
        <v>1</v>
      </c>
      <c r="DK1198">
        <v>1</v>
      </c>
      <c r="DL1198">
        <v>1</v>
      </c>
      <c r="DN1198">
        <f>SUM(DI1198:DL1198)</f>
        <v>4</v>
      </c>
      <c r="DO1198" t="str">
        <f>IF(DN1198=1,INDEX($DI$7:$DL$7,MATCH(1,$DI1198:$DL1198,0)),"mixedProduct")</f>
        <v>mixedProduct</v>
      </c>
      <c r="DP1198" t="str">
        <f>IF(DI1198=1,DP$7,0)</f>
        <v>Upstream</v>
      </c>
      <c r="DQ1198" t="str">
        <f>IF(DJ1198=1,DQ$7,0)</f>
        <v>Energy</v>
      </c>
      <c r="DR1198" t="str">
        <f>IF(DK1198=1,DR$7,0)</f>
        <v>Pulp/Paper</v>
      </c>
      <c r="DS1198" t="str">
        <f>IF(DL1198=1,DS$7,0)</f>
        <v>Timber</v>
      </c>
      <c r="DT1198">
        <v>0</v>
      </c>
      <c r="DU1198">
        <v>0</v>
      </c>
      <c r="DV1198">
        <v>0</v>
      </c>
      <c r="DW1198">
        <v>0</v>
      </c>
      <c r="DX1198">
        <v>0</v>
      </c>
      <c r="DY1198">
        <f>SUM(DT1198:DU1198)</f>
        <v>0</v>
      </c>
      <c r="DZ1198" s="143" t="str">
        <f>IF(DT1198=1,"self-calculated DF",IF(DU1198=1,"external DF used","explicit C balance"))</f>
        <v>explicit C balance</v>
      </c>
      <c r="EA1198">
        <v>0</v>
      </c>
      <c r="EB1198">
        <v>1</v>
      </c>
      <c r="EC1198">
        <v>1</v>
      </c>
      <c r="ED1198">
        <v>1</v>
      </c>
      <c r="EE1198">
        <v>1</v>
      </c>
      <c r="EF1198" s="143">
        <v>0</v>
      </c>
      <c r="EG1198">
        <v>0</v>
      </c>
      <c r="EH1198">
        <v>0</v>
      </c>
      <c r="EI1198">
        <v>0</v>
      </c>
      <c r="EJ1198">
        <v>0</v>
      </c>
      <c r="EK1198">
        <v>1</v>
      </c>
      <c r="EL1198">
        <v>0</v>
      </c>
      <c r="EM1198">
        <v>0</v>
      </c>
      <c r="EN1198" s="2">
        <v>0</v>
      </c>
      <c r="EP1198" t="str">
        <f>IF(AND(AND(AND(OR($EC1198=1,$EB1198=1),OR($EH1198=1,$EF1198=1)),SUM($EA1198:$EE1198,$EK1198)&gt;=3),SUM($EF1198:$EJ1198)&gt;=2),"Whole sector approach","")</f>
        <v/>
      </c>
      <c r="EQ1198" t="str">
        <f>IF(AND(AND(OR($EC1198=1,$EB1198=1),AND($EH1198=0,$EF1198=0)),SUM($EA1198:$EE1198,$EK1198)&gt;=4),"Ecosystem approach","")</f>
        <v>Ecosystem approach</v>
      </c>
      <c r="ER1198" s="2" t="str">
        <f>IF(AND(AND(AND($EC1198=0,$EB1198=0),OR($EH1198=1,$EF1198=1)),SUM($EG1198:$EJ1198)&gt;=2),"Technology approach","")</f>
        <v/>
      </c>
      <c r="ES1198" t="str">
        <f>IF(AND($EC1198+$EB1198+$EE1198+$EA1198+$ED1198+$EG1198=0,$N1198="included"),"C neutral forest and HWP assumption","")</f>
        <v/>
      </c>
      <c r="ET1198" t="str">
        <f>IF(AND(AND(AND(AND($EC1198=1,$EB1198+$EA1198+$EG1198&gt;=1),$EF1198=1),$EH1198+$EI1198+$ED1198+$EE1198&gt;=2),$N1198="included"),"All C pools assumption","")</f>
        <v/>
      </c>
      <c r="EU1198" t="str">
        <f>IF(AND($ED1198+$EE1198+$EI1198+$EH1198+$EF1198=0,$N1198="included"),"In-situ only assumption","")</f>
        <v/>
      </c>
      <c r="EY1198" t="str">
        <f>IF(ISNUMBER(BW1198),IF(ABS(BW1198-[6]QC_indicators!$B$2)&gt;3*[6]QC_indicators!$C$2,"C ratio",IF(ISNUMBER(CA1198),IF(ABS(CA1198-[6]QC_indicators!$B$1)&gt;3*[6]QC_indicators!$C$1,"DF","no"))),IF(ISNUMBER(CA1198),IF(ABS(CA1198-[6]QC_indicators!$B$1)&gt;3*[6]QC_indicators!$C$1,"DF","no")))</f>
        <v>no</v>
      </c>
      <c r="EZ1198" t="s">
        <v>2122</v>
      </c>
      <c r="FA1198" t="str">
        <f>IF(LEN($CY1198)=0,"",IF(AND($CY1198&lt;(-0.05),$ES1198="C neutral forest and HWP assumption"),"Cneutral paradox",IF(AND($CY1198&gt;0.05,$EU1198="In-situ only assumption"),"In-situ only paradox","")))</f>
        <v/>
      </c>
      <c r="FD1198" s="260" t="s">
        <v>2948</v>
      </c>
    </row>
    <row r="1199" spans="1:160" hidden="1">
      <c r="A1199" s="173" t="s">
        <v>1161</v>
      </c>
      <c r="B1199" s="141" t="s">
        <v>1162</v>
      </c>
      <c r="C1199" s="141" t="s">
        <v>1163</v>
      </c>
      <c r="D1199" s="141" t="s">
        <v>1164</v>
      </c>
      <c r="E1199" s="141" t="s">
        <v>1165</v>
      </c>
      <c r="F1199" s="141" t="s">
        <v>1166</v>
      </c>
      <c r="G1199" s="141" t="s">
        <v>1167</v>
      </c>
      <c r="H1199" s="141"/>
      <c r="I1199" s="141">
        <v>2019</v>
      </c>
      <c r="J1199" s="141"/>
      <c r="K1199" s="141" t="s">
        <v>1168</v>
      </c>
      <c r="L1199" s="141"/>
      <c r="M1199" t="str">
        <f>LEFT($D1199,FIND(",",$D1199)-1)&amp;"_"&amp;I1199&amp;L1199</f>
        <v>Bosch_2019</v>
      </c>
      <c r="N1199" t="s">
        <v>222</v>
      </c>
      <c r="O1199" s="174" t="s">
        <v>225</v>
      </c>
      <c r="P1199" s="141" t="s">
        <v>223</v>
      </c>
      <c r="Q1199" s="317" t="s">
        <v>224</v>
      </c>
      <c r="R1199" s="318" t="s">
        <v>1029</v>
      </c>
      <c r="S1199" s="173" t="s">
        <v>4882</v>
      </c>
      <c r="T1199" s="141" t="s">
        <v>1170</v>
      </c>
      <c r="U1199" s="141" t="s">
        <v>1171</v>
      </c>
      <c r="V1199">
        <v>1</v>
      </c>
      <c r="W1199">
        <v>0</v>
      </c>
      <c r="X1199" s="141">
        <v>1</v>
      </c>
      <c r="Y1199" s="141">
        <v>0</v>
      </c>
      <c r="Z1199" s="141">
        <v>0</v>
      </c>
      <c r="AA1199" s="141">
        <v>0</v>
      </c>
      <c r="AB1199" s="141">
        <v>0</v>
      </c>
      <c r="AC1199" s="141">
        <v>0</v>
      </c>
      <c r="AD1199" s="141">
        <v>0</v>
      </c>
      <c r="AE1199" s="141">
        <v>0</v>
      </c>
      <c r="AF1199" s="141">
        <v>0</v>
      </c>
      <c r="AG1199" s="141">
        <v>0</v>
      </c>
      <c r="AH1199" s="141">
        <v>0</v>
      </c>
      <c r="AI1199" s="141">
        <v>0</v>
      </c>
      <c r="AJ1199" s="141">
        <v>0</v>
      </c>
      <c r="AK1199" s="141">
        <v>0</v>
      </c>
      <c r="AL1199" s="141">
        <v>0</v>
      </c>
      <c r="AM1199" s="141">
        <v>0</v>
      </c>
      <c r="AN1199" s="141">
        <v>0</v>
      </c>
      <c r="AO1199" s="141">
        <v>0</v>
      </c>
      <c r="AP1199" s="141">
        <v>0</v>
      </c>
      <c r="AQ1199" s="141">
        <v>0</v>
      </c>
      <c r="AR1199" s="141">
        <v>0</v>
      </c>
      <c r="AS1199" s="141">
        <v>0</v>
      </c>
      <c r="AT1199" s="141">
        <v>0</v>
      </c>
      <c r="AU1199" s="141">
        <v>0</v>
      </c>
      <c r="AV1199" s="141">
        <v>0</v>
      </c>
      <c r="AW1199" s="141">
        <v>0</v>
      </c>
      <c r="AX1199" s="141">
        <v>0</v>
      </c>
      <c r="AY1199" s="141">
        <v>0</v>
      </c>
      <c r="AZ1199" s="141">
        <f>COUNTIF(X1199:AY1199,"&lt;&gt;0")</f>
        <v>1</v>
      </c>
      <c r="BA1199" s="141">
        <f>COUNTIF(X1199:AN1199,"&lt;&gt;0")</f>
        <v>1</v>
      </c>
      <c r="BB1199">
        <f>COUNTIF(X1199:AE1199,"&lt;&gt;0")</f>
        <v>1</v>
      </c>
      <c r="BC1199">
        <f>COUNTIF(AF1199:AK1199,"&lt;&gt;0")</f>
        <v>0</v>
      </c>
      <c r="BD1199">
        <f>COUNTIF(AL1199:AN1199,"&lt;&gt;0")</f>
        <v>0</v>
      </c>
      <c r="BE1199">
        <f>COUNTIF(AU1199:AY1199,"&lt;&gt;0")</f>
        <v>0</v>
      </c>
      <c r="BF1199">
        <f>COUNTIF(AO1199:AT1199,"&lt;&gt;0")</f>
        <v>0</v>
      </c>
      <c r="BG1199" t="str" cm="1">
        <f t="array" ref="BG1199">IF(BA1199=1,INDEX($X$7:$AN$7,MATCH(TRUE,INDEX($X1199:$AY1199&lt;&gt;0,),0)),IF(BA1199=0,INDEX($AO$7:$AY$7,MATCH(1,$AO1199:$AY1199,0)),IF(BH1199="Multiple strategies","mixed drivers",IF(BH1199="Supply chain","multiple supply","multiple silviculture"))))</f>
        <v>area subject to harvest</v>
      </c>
      <c r="BH1199" s="2" t="str" cm="1">
        <f t="array" ref="BH1199">IF(COUNTIF(BB1199:BD1199,"&lt;&gt;0")=1,INDEX($X$4:$AY$4,MATCH(TRUE,INDEX($X1199:$AY1199&lt;&gt;0,),0)),IF(COUNTIF(BB1199:BD1199,"&lt;&gt;0")=0,INDEX($AO$4:$AY$4,MATCH(1,$AO1199:$AY1199,0)),"Multiple strategies"))</f>
        <v>Silviculture for removals</v>
      </c>
      <c r="BI1199" s="172" t="s">
        <v>321</v>
      </c>
      <c r="BJ1199" s="141" t="s">
        <v>1172</v>
      </c>
      <c r="BK1199" s="141" t="s">
        <v>1173</v>
      </c>
      <c r="BL1199" s="163" t="s">
        <v>1174</v>
      </c>
      <c r="BM1199" s="158">
        <v>2159</v>
      </c>
      <c r="BN1199" s="163">
        <v>2405</v>
      </c>
      <c r="BO1199" s="317">
        <f>BN1199/BM1199</f>
        <v>1.1139416396479851</v>
      </c>
      <c r="BP1199">
        <f>BN1199-BM1199</f>
        <v>246</v>
      </c>
      <c r="BQ1199" s="158">
        <f>BP1199*10^6</f>
        <v>246000000</v>
      </c>
      <c r="BR1199" s="141" t="s">
        <v>232</v>
      </c>
      <c r="BS1199" s="153" t="s">
        <v>766</v>
      </c>
      <c r="BT1199" s="151" t="s">
        <v>1175</v>
      </c>
      <c r="BU1199" s="141"/>
      <c r="BV1199" s="163"/>
      <c r="BW1199" s="144" t="str">
        <f>IFERROR(BV1199/BU1199,"")</f>
        <v/>
      </c>
      <c r="BX1199" s="175">
        <v>71</v>
      </c>
      <c r="BY1199" s="194"/>
      <c r="BZ1199">
        <f>BX1199*10^6</f>
        <v>71000000</v>
      </c>
      <c r="CA1199">
        <f>IFERROR(BZ1199/BQ1199,"")</f>
        <v>0.2886178861788618</v>
      </c>
      <c r="CB1199" s="141">
        <v>0</v>
      </c>
      <c r="CC1199" s="141">
        <v>0</v>
      </c>
      <c r="CD1199" s="141">
        <v>0</v>
      </c>
      <c r="CE1199" s="141">
        <v>0</v>
      </c>
      <c r="CF1199" s="141">
        <v>0</v>
      </c>
      <c r="CG1199" s="141">
        <v>0</v>
      </c>
      <c r="CH1199" s="141">
        <v>0</v>
      </c>
      <c r="CI1199" s="141">
        <v>0</v>
      </c>
      <c r="CJ1199" s="141">
        <v>0</v>
      </c>
      <c r="CK1199" s="141">
        <v>0</v>
      </c>
      <c r="CL1199" s="141">
        <v>0</v>
      </c>
      <c r="CM1199" s="141">
        <v>0</v>
      </c>
      <c r="CN1199" s="141">
        <v>0</v>
      </c>
      <c r="CO1199" s="141">
        <v>1</v>
      </c>
      <c r="CP1199" t="str">
        <f>IF(BN1199&lt;BM1199,"refNeedCorrection","refOK")</f>
        <v>refOK</v>
      </c>
      <c r="CQ1199">
        <f>IF($CP1199="refOK",$BM1199,$BN1199)</f>
        <v>2159</v>
      </c>
      <c r="CR1199">
        <f>IF($CP1199="refOK",$BN1199,$BM1199)</f>
        <v>2405</v>
      </c>
      <c r="CS1199">
        <f>IF($CP1199="refOK",$BQ1199,-$BQ1199)</f>
        <v>246000000</v>
      </c>
      <c r="CT1199">
        <f>IF(BI1199="Roundwood",$CS1199/2,$CS1199)</f>
        <v>123000000</v>
      </c>
      <c r="CU1199">
        <f>IF($CP1199="refOK",$BU1199,$BV1199)*IF($BR1199="Emissions positive",-1,1)</f>
        <v>0</v>
      </c>
      <c r="CV1199">
        <f>IF($CP1199="refOK",$BV1199,$BU1199)*IF($BR1199="Emissions positive",-1,1)</f>
        <v>0</v>
      </c>
      <c r="CW1199">
        <f>IF($CP1199="refNeedCorrection",-BZ1199,BZ1199)*IF($BR1199="Emissions positive",-1,1)</f>
        <v>71000000</v>
      </c>
      <c r="CX1199">
        <f>IFERROR($CW1199/$CS1199,"")</f>
        <v>0.2886178861788618</v>
      </c>
      <c r="CY1199">
        <f>IFERROR($CW1199/$CS1199,"")</f>
        <v>0.2886178861788618</v>
      </c>
      <c r="CZ1199">
        <f>IFERROR($CW1199/$CT1199,"")</f>
        <v>0.57723577235772361</v>
      </c>
      <c r="DA1199" s="2" t="str">
        <f>IFERROR((CV1199-CU1199)/ABS(CU1199),"")</f>
        <v/>
      </c>
      <c r="DB1199" s="173" t="s">
        <v>1078</v>
      </c>
      <c r="DC1199" s="317" t="str">
        <f>IF(OR($DB1199="prd",$DB1199="std",$DB1199="cit"),"loc",IF(OR($DB1199="eur",$DB1199="reg",$DB1199="coy"),"reg",$DB1199))</f>
        <v>reg</v>
      </c>
      <c r="DD1199" s="141" t="s">
        <v>1176</v>
      </c>
      <c r="DE1199" s="141">
        <v>2016</v>
      </c>
      <c r="DF1199" s="163">
        <v>2046</v>
      </c>
      <c r="DG1199" s="163">
        <v>30</v>
      </c>
      <c r="DH1199" t="str">
        <f>IF(DG1199=0,"0",IF(AND(DG1199&gt;=1,DG1199&lt;=30),"1-30",IF(AND(DG1199&gt;30,DG1199&lt;=70),"31-70",IF(AND(DG1199&gt;70,DG1199&lt;=100),"71-100",IF(DG1199&gt;100,"+100")))))</f>
        <v>1-30</v>
      </c>
      <c r="DI1199" s="141">
        <v>1</v>
      </c>
      <c r="DJ1199" s="141">
        <v>1</v>
      </c>
      <c r="DK1199" s="141">
        <v>0</v>
      </c>
      <c r="DL1199" s="141">
        <v>1</v>
      </c>
      <c r="DN1199">
        <f>SUM(DI1199:DL1199)</f>
        <v>3</v>
      </c>
      <c r="DO1199" t="str">
        <f>IF(DN1199=1,INDEX($DI$7:$DL$7,MATCH(1,$DI1199:$DL1199,0)),"mixedProduct")</f>
        <v>mixedProduct</v>
      </c>
      <c r="DP1199" t="str">
        <f>IF(DI1199=1,DP$7,0)</f>
        <v>Upstream</v>
      </c>
      <c r="DQ1199" t="str">
        <f>IF(DJ1199=1,DQ$7,0)</f>
        <v>Energy</v>
      </c>
      <c r="DR1199">
        <f>IF(DK1199=1,DR$7,0)</f>
        <v>0</v>
      </c>
      <c r="DS1199" t="str">
        <f>IF(DL1199=1,DS$7,0)</f>
        <v>Timber</v>
      </c>
      <c r="DT1199" s="163">
        <v>0</v>
      </c>
      <c r="DU1199" s="141">
        <v>0</v>
      </c>
      <c r="DV1199" s="163">
        <v>0</v>
      </c>
      <c r="DW1199" s="163">
        <v>0</v>
      </c>
      <c r="DX1199" s="163">
        <v>0</v>
      </c>
      <c r="DY1199">
        <f>SUM(DT1199:DU1199)</f>
        <v>0</v>
      </c>
      <c r="DZ1199" s="143" t="str">
        <f>IF(DT1199=1,"self-calculated DF",IF(DU1199=1,"external DF used","explicit C balance"))</f>
        <v>explicit C balance</v>
      </c>
      <c r="EA1199" s="163">
        <v>0</v>
      </c>
      <c r="EB1199" s="141">
        <v>0</v>
      </c>
      <c r="EC1199" s="163">
        <v>0</v>
      </c>
      <c r="ED1199" s="163">
        <v>1</v>
      </c>
      <c r="EE1199" s="141">
        <v>0</v>
      </c>
      <c r="EF1199" s="141">
        <v>0</v>
      </c>
      <c r="EG1199" s="143">
        <v>0</v>
      </c>
      <c r="EH1199" s="141">
        <v>0</v>
      </c>
      <c r="EI1199" s="143">
        <v>0</v>
      </c>
      <c r="EJ1199" s="143">
        <v>0</v>
      </c>
      <c r="EK1199" s="141">
        <v>1</v>
      </c>
      <c r="EL1199" s="163">
        <v>0</v>
      </c>
      <c r="EM1199" s="141">
        <v>0</v>
      </c>
      <c r="EN1199" s="176">
        <v>0</v>
      </c>
      <c r="EP1199" t="str">
        <f>IF(AND(AND(AND(OR($EC1199=1,$EB1199=1),OR($EH1199=1,$EF1199=1)),SUM($EA1199:$EE1199,$EK1199)&gt;=3),SUM($EF1199:$EJ1199)&gt;=2),"Whole sector approach","")</f>
        <v/>
      </c>
      <c r="EQ1199" t="str">
        <f>IF(AND(AND(OR($EC1199=1,$EB1199=1),AND($EH1199=0,$EF1199=0)),SUM($EA1199:$EE1199,$EK1199)&gt;=3),"Ecosystem approach","")</f>
        <v/>
      </c>
      <c r="ER1199" s="2" t="str">
        <f>IF(AND(AND(AND($EC1199=0,$EB1199=0),OR($EH1199=1,$EF1199=1)),SUM($EG1199:$EJ1199)&gt;=2),"Technology approach","")</f>
        <v/>
      </c>
      <c r="ES1199" t="str">
        <f>IF(AND($EC1199+$EB1199+$EE1199+$EA1199+$ED1199+$EG1199=0,$N1199="included"),"C neutral forest and HWP assumption","")</f>
        <v/>
      </c>
      <c r="ET1199" t="str">
        <f>IF(AND(AND(AND(AND($EC1199=1,$EB1199+$EA1199+$EG1199&gt;=1),$EF1199=1),$EH1199+$EI1199+$ED1199+$EE1199&gt;=2),$N1199="included"),"All C pools assumption","")</f>
        <v/>
      </c>
      <c r="EU1199" t="str">
        <f>IF(AND($ED1199+$EE1199+$EI1199+$EH1199+$EF1199=0,$N1199="included"),"In-situ only assumption","")</f>
        <v/>
      </c>
      <c r="EW1199" s="141"/>
      <c r="EY1199" t="str">
        <f>IF(ISNUMBER(BW1199),IF(ABS(BW1199-[4]QC_indicators!$B$2)&gt;3*[4]QC_indicators!$C$2,"C ratio",IF(ISNUMBER(CA1199),IF(ABS(CA1199-[4]QC_indicators!$B$1)&gt;3*[4]QC_indicators!$C$1,"DF","no"))),IF(ISNUMBER(CA1199),IF(ABS(CA1199-[4]QC_indicators!$B$1)&gt;3*[4]QC_indicators!$C$1,"DF","no")))</f>
        <v>no</v>
      </c>
      <c r="FA1199" t="str">
        <f>IF(LEN($CY1199)=0,"",IF(AND($CY1199&lt;(-0.05),$ES1199="C neutral forest and HWP assumption"),"Cneutral paradox",IF(AND($CY1199&gt;0.05,$EU1199="In-situ only assumption"),"In-situ only paradox","")))</f>
        <v/>
      </c>
      <c r="FB1199" s="319" t="s">
        <v>1177</v>
      </c>
      <c r="FD1199" s="317" t="s">
        <v>4883</v>
      </c>
    </row>
    <row r="1200" spans="1:160" ht="15" hidden="1" customHeight="1">
      <c r="A1200" s="173" t="s">
        <v>1161</v>
      </c>
      <c r="B1200" s="141" t="s">
        <v>1162</v>
      </c>
      <c r="C1200" s="141" t="s">
        <v>1163</v>
      </c>
      <c r="D1200" s="141" t="s">
        <v>1164</v>
      </c>
      <c r="E1200" s="141" t="s">
        <v>1165</v>
      </c>
      <c r="F1200" s="141" t="s">
        <v>1166</v>
      </c>
      <c r="G1200" s="141" t="s">
        <v>1167</v>
      </c>
      <c r="H1200" s="141"/>
      <c r="I1200" s="141">
        <v>2019</v>
      </c>
      <c r="J1200" s="141"/>
      <c r="K1200" s="141" t="s">
        <v>1168</v>
      </c>
      <c r="L1200" s="141"/>
      <c r="M1200" t="str">
        <f>LEFT($D1200,FIND(",",$D1200)-1)&amp;"_"&amp;I1200&amp;L1200</f>
        <v>Bosch_2019</v>
      </c>
      <c r="N1200" t="s">
        <v>222</v>
      </c>
      <c r="O1200" s="174" t="s">
        <v>225</v>
      </c>
      <c r="P1200" s="141" t="s">
        <v>223</v>
      </c>
      <c r="Q1200" s="317" t="s">
        <v>224</v>
      </c>
      <c r="R1200" s="318" t="s">
        <v>1029</v>
      </c>
      <c r="S1200" s="173" t="s">
        <v>1169</v>
      </c>
      <c r="T1200" s="141" t="s">
        <v>1178</v>
      </c>
      <c r="U1200" s="141" t="s">
        <v>1171</v>
      </c>
      <c r="V1200">
        <v>1</v>
      </c>
      <c r="W1200">
        <v>0</v>
      </c>
      <c r="X1200" s="141">
        <v>1</v>
      </c>
      <c r="Y1200" s="141">
        <v>0</v>
      </c>
      <c r="Z1200" s="141">
        <v>0</v>
      </c>
      <c r="AA1200" s="141">
        <v>0</v>
      </c>
      <c r="AB1200" s="141">
        <v>0</v>
      </c>
      <c r="AC1200" s="141">
        <v>0</v>
      </c>
      <c r="AD1200" s="141">
        <v>0</v>
      </c>
      <c r="AE1200" s="141">
        <v>0</v>
      </c>
      <c r="AF1200" s="141">
        <v>0</v>
      </c>
      <c r="AG1200" s="141">
        <v>0</v>
      </c>
      <c r="AH1200" s="141">
        <v>0</v>
      </c>
      <c r="AI1200" s="141">
        <v>0</v>
      </c>
      <c r="AJ1200" s="141">
        <v>0</v>
      </c>
      <c r="AK1200" s="141">
        <v>0</v>
      </c>
      <c r="AL1200" s="141">
        <v>0</v>
      </c>
      <c r="AM1200" s="141">
        <v>0</v>
      </c>
      <c r="AN1200" s="141">
        <v>0</v>
      </c>
      <c r="AO1200" s="141">
        <v>0</v>
      </c>
      <c r="AP1200" s="141">
        <v>0</v>
      </c>
      <c r="AQ1200" s="141">
        <v>0</v>
      </c>
      <c r="AR1200" s="141">
        <v>0</v>
      </c>
      <c r="AS1200" s="141">
        <v>0</v>
      </c>
      <c r="AT1200" s="141">
        <v>0</v>
      </c>
      <c r="AU1200" s="141">
        <v>0</v>
      </c>
      <c r="AV1200" s="141">
        <v>0</v>
      </c>
      <c r="AW1200" s="141">
        <v>0</v>
      </c>
      <c r="AX1200" s="141">
        <v>0</v>
      </c>
      <c r="AY1200" s="141">
        <v>0</v>
      </c>
      <c r="AZ1200" s="141">
        <f>COUNTIF(X1200:AY1200,"&lt;&gt;0")</f>
        <v>1</v>
      </c>
      <c r="BA1200" s="141">
        <f>COUNTIF(X1200:AN1200,"&lt;&gt;0")</f>
        <v>1</v>
      </c>
      <c r="BB1200">
        <f>COUNTIF(X1200:AE1200,"&lt;&gt;0")</f>
        <v>1</v>
      </c>
      <c r="BC1200">
        <f>COUNTIF(AF1200:AK1200,"&lt;&gt;0")</f>
        <v>0</v>
      </c>
      <c r="BD1200">
        <f>COUNTIF(AL1200:AN1200,"&lt;&gt;0")</f>
        <v>0</v>
      </c>
      <c r="BE1200">
        <f>COUNTIF(AU1200:AY1200,"&lt;&gt;0")</f>
        <v>0</v>
      </c>
      <c r="BF1200">
        <f>COUNTIF(AO1200:AT1200,"&lt;&gt;0")</f>
        <v>0</v>
      </c>
      <c r="BG1200" t="str" cm="1">
        <f t="array" ref="BG1200">IF(BA1200=1,INDEX($X$7:$AN$7,MATCH(TRUE,INDEX($X1200:$AY1200&lt;&gt;0,),0)),IF(BA1200=0,INDEX($AO$7:$AY$7,MATCH(1,$AO1200:$AY1200,0)),IF(BH1200="Multiple strategies","mixed drivers",IF(BH1200="Supply chain","multiple supply","multiple silviculture"))))</f>
        <v>area subject to harvest</v>
      </c>
      <c r="BH1200" s="2" t="str" cm="1">
        <f t="array" ref="BH1200">IF(COUNTIF(BB1200:BD1200,"&lt;&gt;0")=1,INDEX($X$4:$AY$4,MATCH(TRUE,INDEX($X1200:$AY1200&lt;&gt;0,),0)),IF(COUNTIF(BB1200:BD1200,"&lt;&gt;0")=0,INDEX($AO$4:$AY$4,MATCH(1,$AO1200:$AY1200,0)),"Multiple strategies"))</f>
        <v>Silviculture for removals</v>
      </c>
      <c r="BI1200" s="172" t="s">
        <v>321</v>
      </c>
      <c r="BJ1200" s="141" t="s">
        <v>1172</v>
      </c>
      <c r="BK1200" s="141" t="s">
        <v>1173</v>
      </c>
      <c r="BL1200" s="163" t="s">
        <v>1174</v>
      </c>
      <c r="BM1200" s="175">
        <v>2330</v>
      </c>
      <c r="BN1200" s="163">
        <v>2405</v>
      </c>
      <c r="BO1200" s="317">
        <f>BN1200/BM1200</f>
        <v>1.0321888412017168</v>
      </c>
      <c r="BP1200">
        <f>BN1200-BM1200</f>
        <v>75</v>
      </c>
      <c r="BQ1200" s="158">
        <f>BP1200*10^6</f>
        <v>75000000</v>
      </c>
      <c r="BR1200" s="141" t="s">
        <v>232</v>
      </c>
      <c r="BS1200" s="153" t="s">
        <v>429</v>
      </c>
      <c r="BT1200" s="151" t="s">
        <v>1175</v>
      </c>
      <c r="BU1200" s="141"/>
      <c r="BV1200" s="163"/>
      <c r="BW1200" s="144" t="str">
        <f>IFERROR(BV1200/BU1200,"")</f>
        <v/>
      </c>
      <c r="BX1200" s="175">
        <v>21</v>
      </c>
      <c r="BY1200" s="194"/>
      <c r="BZ1200">
        <f>BX1200*10^6</f>
        <v>21000000</v>
      </c>
      <c r="CA1200">
        <f>IFERROR(BZ1200/BQ1200,"")</f>
        <v>0.28000000000000003</v>
      </c>
      <c r="CB1200" s="141">
        <v>0</v>
      </c>
      <c r="CC1200" s="141">
        <v>0</v>
      </c>
      <c r="CD1200" s="141">
        <v>0</v>
      </c>
      <c r="CE1200" s="141">
        <v>0</v>
      </c>
      <c r="CF1200" s="141">
        <v>0</v>
      </c>
      <c r="CG1200" s="141">
        <v>0</v>
      </c>
      <c r="CH1200" s="141">
        <v>0</v>
      </c>
      <c r="CI1200" s="141">
        <v>0</v>
      </c>
      <c r="CJ1200" s="141">
        <v>0</v>
      </c>
      <c r="CK1200" s="141">
        <v>0</v>
      </c>
      <c r="CL1200" s="141">
        <v>0</v>
      </c>
      <c r="CM1200" s="141">
        <v>0</v>
      </c>
      <c r="CN1200" s="141">
        <v>0</v>
      </c>
      <c r="CO1200" s="141">
        <v>1</v>
      </c>
      <c r="CP1200" t="str">
        <f>IF(BN1200&lt;BM1200,"refNeedCorrection","refOK")</f>
        <v>refOK</v>
      </c>
      <c r="CQ1200">
        <f>IF($CP1200="refOK",$BM1200,$BN1200)</f>
        <v>2330</v>
      </c>
      <c r="CR1200">
        <f>IF($CP1200="refOK",$BN1200,$BM1200)</f>
        <v>2405</v>
      </c>
      <c r="CS1200">
        <f>IF($CP1200="refOK",$BQ1200,-$BQ1200)</f>
        <v>75000000</v>
      </c>
      <c r="CT1200">
        <f>IF(BI1200="Roundwood",$CS1200/2,$CS1200)</f>
        <v>37500000</v>
      </c>
      <c r="CU1200">
        <f>IF($CP1200="refOK",$BU1200,$BV1200)*IF($BR1200="Emissions positive",-1,1)</f>
        <v>0</v>
      </c>
      <c r="CV1200">
        <f>IF($CP1200="refOK",$BV1200,$BU1200)*IF($BR1200="Emissions positive",-1,1)</f>
        <v>0</v>
      </c>
      <c r="CW1200">
        <f>IF($CP1200="refNeedCorrection",-BZ1200,BZ1200)*IF($BR1200="Emissions positive",-1,1)</f>
        <v>21000000</v>
      </c>
      <c r="CX1200">
        <f>IFERROR($CW1200/$CS1200,"")</f>
        <v>0.28000000000000003</v>
      </c>
      <c r="CY1200">
        <f>IFERROR($CW1200/$CS1200,"")</f>
        <v>0.28000000000000003</v>
      </c>
      <c r="CZ1200">
        <f>IFERROR($CW1200/$CT1200,"")</f>
        <v>0.56000000000000005</v>
      </c>
      <c r="DA1200" s="2" t="str">
        <f>IFERROR((CV1200-CU1200)/ABS(CU1200),"")</f>
        <v/>
      </c>
      <c r="DB1200" s="173" t="s">
        <v>1078</v>
      </c>
      <c r="DC1200" s="317" t="str">
        <f>IF(OR($DB1200="prd",$DB1200="std",$DB1200="cit"),"loc",IF(OR($DB1200="eur",$DB1200="reg",$DB1200="coy"),"reg",$DB1200))</f>
        <v>reg</v>
      </c>
      <c r="DD1200" s="141" t="s">
        <v>1176</v>
      </c>
      <c r="DE1200" s="141">
        <v>2016</v>
      </c>
      <c r="DF1200" s="163">
        <v>2046</v>
      </c>
      <c r="DG1200" s="163">
        <v>30</v>
      </c>
      <c r="DH1200" t="str">
        <f>IF(DG1200=0,"0",IF(AND(DG1200&gt;=1,DG1200&lt;=30),"1-30",IF(AND(DG1200&gt;30,DG1200&lt;=70),"31-70",IF(AND(DG1200&gt;70,DG1200&lt;=100),"71-100",IF(DG1200&gt;100,"+100")))))</f>
        <v>1-30</v>
      </c>
      <c r="DI1200" s="141">
        <v>1</v>
      </c>
      <c r="DJ1200" s="141">
        <v>1</v>
      </c>
      <c r="DK1200" s="141">
        <v>0</v>
      </c>
      <c r="DL1200" s="141">
        <v>1</v>
      </c>
      <c r="DN1200">
        <f>SUM(DI1200:DL1200)</f>
        <v>3</v>
      </c>
      <c r="DO1200" t="str">
        <f>IF(DN1200=1,INDEX($DI$7:$DL$7,MATCH(1,$DI1200:$DL1200,0)),"mixedProduct")</f>
        <v>mixedProduct</v>
      </c>
      <c r="DP1200" t="str">
        <f>IF(DI1200=1,DP$7,0)</f>
        <v>Upstream</v>
      </c>
      <c r="DQ1200" t="str">
        <f>IF(DJ1200=1,DQ$7,0)</f>
        <v>Energy</v>
      </c>
      <c r="DR1200">
        <f>IF(DK1200=1,DR$7,0)</f>
        <v>0</v>
      </c>
      <c r="DS1200" t="str">
        <f>IF(DL1200=1,DS$7,0)</f>
        <v>Timber</v>
      </c>
      <c r="DT1200" s="163">
        <v>0</v>
      </c>
      <c r="DU1200" s="141">
        <v>0</v>
      </c>
      <c r="DV1200" s="163">
        <v>0</v>
      </c>
      <c r="DW1200" s="163">
        <v>0</v>
      </c>
      <c r="DX1200" s="163">
        <v>0</v>
      </c>
      <c r="DY1200">
        <f>SUM(DT1200:DU1200)</f>
        <v>0</v>
      </c>
      <c r="DZ1200" s="143" t="str">
        <f>IF(DT1200=1,"self-calculated DF",IF(DU1200=1,"external DF used","explicit C balance"))</f>
        <v>explicit C balance</v>
      </c>
      <c r="EA1200" s="163">
        <v>0</v>
      </c>
      <c r="EB1200" s="141">
        <v>0</v>
      </c>
      <c r="EC1200" s="163">
        <v>0</v>
      </c>
      <c r="ED1200" s="163">
        <v>1</v>
      </c>
      <c r="EE1200" s="141">
        <v>0</v>
      </c>
      <c r="EF1200" s="141">
        <v>0</v>
      </c>
      <c r="EG1200" s="143">
        <v>0</v>
      </c>
      <c r="EH1200" s="141">
        <v>0</v>
      </c>
      <c r="EI1200" s="143">
        <v>0</v>
      </c>
      <c r="EJ1200" s="143">
        <v>0</v>
      </c>
      <c r="EK1200" s="141">
        <v>1</v>
      </c>
      <c r="EL1200" s="163">
        <v>0</v>
      </c>
      <c r="EM1200" s="141">
        <v>0</v>
      </c>
      <c r="EN1200" s="176">
        <v>0</v>
      </c>
      <c r="EP1200" t="str">
        <f>IF(AND(AND(AND(OR($EC1200=1,$EB1200=1),OR($EH1200=1,$EF1200=1)),SUM($EA1200:$EE1200,$EK1200)&gt;=3),SUM($EF1200:$EJ1200)&gt;=2),"Whole sector approach","")</f>
        <v/>
      </c>
      <c r="EQ1200" t="str">
        <f>IF(AND(AND(OR($EC1200=1,$EB1200=1),AND($EH1200=0,$EF1200=0)),SUM($EA1200:$EE1200,$EK1200)&gt;=3),"Ecosystem approach","")</f>
        <v/>
      </c>
      <c r="ER1200" s="2" t="str">
        <f>IF(AND(AND(AND($EC1200=0,$EB1200=0),OR($EH1200=1,$EF1200=1)),SUM($EG1200:$EJ1200)&gt;=2),"Technology approach","")</f>
        <v/>
      </c>
      <c r="ES1200" t="str">
        <f>IF(AND($EC1200+$EB1200+$EE1200+$EA1200+$ED1200+$EG1200=0,$N1200="included"),"C neutral forest and HWP assumption","")</f>
        <v/>
      </c>
      <c r="ET1200" t="str">
        <f>IF(AND(AND(AND(AND($EC1200=1,$EB1200+$EA1200+$EG1200&gt;=1),$EF1200=1),$EH1200+$EI1200+$ED1200+$EE1200&gt;=2),$N1200="included"),"All C pools assumption","")</f>
        <v/>
      </c>
      <c r="EU1200" t="str">
        <f>IF(AND($ED1200+$EE1200+$EI1200+$EH1200+$EF1200=0,$N1200="included"),"In-situ only assumption","")</f>
        <v/>
      </c>
      <c r="EW1200" s="141"/>
      <c r="EY1200" t="str">
        <f>IF(ISNUMBER(BW1200),IF(ABS(BW1200-[4]QC_indicators!$B$2)&gt;3*[4]QC_indicators!$C$2,"C ratio",IF(ISNUMBER(CA1200),IF(ABS(CA1200-[4]QC_indicators!$B$1)&gt;3*[4]QC_indicators!$C$1,"DF","no"))),IF(ISNUMBER(CA1200),IF(ABS(CA1200-[4]QC_indicators!$B$1)&gt;3*[4]QC_indicators!$C$1,"DF","no")))</f>
        <v>no</v>
      </c>
      <c r="FA1200" t="str">
        <f>IF(LEN($CY1200)=0,"",IF(AND($CY1200&lt;(-0.05),$ES1200="C neutral forest and HWP assumption"),"Cneutral paradox",IF(AND($CY1200&gt;0.05,$EU1200="In-situ only assumption"),"In-situ only paradox","")))</f>
        <v/>
      </c>
      <c r="FB1200" s="319" t="s">
        <v>1177</v>
      </c>
      <c r="FD1200" s="317" t="s">
        <v>4883</v>
      </c>
    </row>
    <row r="1201" spans="1:160" ht="15" hidden="1" customHeight="1">
      <c r="A1201" s="173" t="s">
        <v>1161</v>
      </c>
      <c r="B1201" s="141" t="s">
        <v>1162</v>
      </c>
      <c r="C1201" s="141" t="s">
        <v>1163</v>
      </c>
      <c r="D1201" s="141" t="s">
        <v>1164</v>
      </c>
      <c r="E1201" s="141" t="s">
        <v>1165</v>
      </c>
      <c r="F1201" s="141" t="s">
        <v>1166</v>
      </c>
      <c r="G1201" s="141" t="s">
        <v>1167</v>
      </c>
      <c r="H1201" s="141"/>
      <c r="I1201" s="141">
        <v>2019</v>
      </c>
      <c r="J1201" s="141"/>
      <c r="K1201" s="141" t="s">
        <v>1168</v>
      </c>
      <c r="L1201" s="141"/>
      <c r="M1201" t="str">
        <f>LEFT($D1201,FIND(",",$D1201)-1)&amp;"_"&amp;I1201&amp;L1201</f>
        <v>Bosch_2019</v>
      </c>
      <c r="N1201" t="s">
        <v>222</v>
      </c>
      <c r="O1201" s="174" t="s">
        <v>225</v>
      </c>
      <c r="P1201" s="141" t="s">
        <v>223</v>
      </c>
      <c r="Q1201" s="317" t="s">
        <v>224</v>
      </c>
      <c r="R1201" s="318" t="s">
        <v>1029</v>
      </c>
      <c r="S1201" s="173" t="s">
        <v>4882</v>
      </c>
      <c r="T1201" s="141" t="s">
        <v>1170</v>
      </c>
      <c r="U1201" s="141" t="s">
        <v>1171</v>
      </c>
      <c r="V1201">
        <v>1</v>
      </c>
      <c r="W1201">
        <v>0</v>
      </c>
      <c r="X1201" s="141">
        <v>1</v>
      </c>
      <c r="Y1201" s="141">
        <v>0</v>
      </c>
      <c r="Z1201" s="141">
        <v>0</v>
      </c>
      <c r="AA1201" s="141">
        <v>0</v>
      </c>
      <c r="AB1201" s="141">
        <v>0</v>
      </c>
      <c r="AC1201" s="141">
        <v>0</v>
      </c>
      <c r="AD1201" s="141">
        <v>0</v>
      </c>
      <c r="AE1201" s="141">
        <v>0</v>
      </c>
      <c r="AF1201" s="141">
        <v>0</v>
      </c>
      <c r="AG1201" s="141">
        <v>0</v>
      </c>
      <c r="AH1201" s="141">
        <v>0</v>
      </c>
      <c r="AI1201" s="141">
        <v>0</v>
      </c>
      <c r="AJ1201" s="141">
        <v>0</v>
      </c>
      <c r="AK1201" s="141">
        <v>0</v>
      </c>
      <c r="AL1201" s="141">
        <v>0</v>
      </c>
      <c r="AM1201" s="141">
        <v>0</v>
      </c>
      <c r="AN1201" s="141">
        <v>0</v>
      </c>
      <c r="AO1201" s="141">
        <v>0</v>
      </c>
      <c r="AP1201" s="141">
        <v>0</v>
      </c>
      <c r="AQ1201" s="141">
        <v>0</v>
      </c>
      <c r="AR1201" s="141">
        <v>0</v>
      </c>
      <c r="AS1201" s="141">
        <v>0</v>
      </c>
      <c r="AT1201" s="141">
        <v>0</v>
      </c>
      <c r="AU1201" s="141">
        <v>0</v>
      </c>
      <c r="AV1201" s="141">
        <v>0</v>
      </c>
      <c r="AW1201" s="141">
        <v>0</v>
      </c>
      <c r="AX1201" s="141">
        <v>0</v>
      </c>
      <c r="AY1201" s="141">
        <v>0</v>
      </c>
      <c r="AZ1201" s="141">
        <f>COUNTIF(X1201:AY1201,"&lt;&gt;0")</f>
        <v>1</v>
      </c>
      <c r="BA1201" s="141">
        <f>COUNTIF(X1201:AN1201,"&lt;&gt;0")</f>
        <v>1</v>
      </c>
      <c r="BB1201">
        <f>COUNTIF(X1201:AE1201,"&lt;&gt;0")</f>
        <v>1</v>
      </c>
      <c r="BC1201">
        <f>COUNTIF(AF1201:AK1201,"&lt;&gt;0")</f>
        <v>0</v>
      </c>
      <c r="BD1201">
        <f>COUNTIF(AL1201:AN1201,"&lt;&gt;0")</f>
        <v>0</v>
      </c>
      <c r="BE1201">
        <f>COUNTIF(AU1201:AY1201,"&lt;&gt;0")</f>
        <v>0</v>
      </c>
      <c r="BF1201">
        <f>COUNTIF(AO1201:AT1201,"&lt;&gt;0")</f>
        <v>0</v>
      </c>
      <c r="BG1201" t="str" cm="1">
        <f t="array" ref="BG1201">IF(BA1201=1,INDEX($X$7:$AN$7,MATCH(TRUE,INDEX($X1201:$AY1201&lt;&gt;0,),0)),IF(BA1201=0,INDEX($AO$7:$AY$7,MATCH(1,$AO1201:$AY1201,0)),IF(BH1201="Multiple strategies","mixed drivers",IF(BH1201="Supply chain","multiple supply","multiple silviculture"))))</f>
        <v>area subject to harvest</v>
      </c>
      <c r="BH1201" s="2" t="str" cm="1">
        <f t="array" ref="BH1201">IF(COUNTIF(BB1201:BD1201,"&lt;&gt;0")=1,INDEX($X$4:$AY$4,MATCH(TRUE,INDEX($X1201:$AY1201&lt;&gt;0,),0)),IF(COUNTIF(BB1201:BD1201,"&lt;&gt;0")=0,INDEX($AO$4:$AY$4,MATCH(1,$AO1201:$AY1201,0)),"Multiple strategies"))</f>
        <v>Silviculture for removals</v>
      </c>
      <c r="BI1201" s="172" t="s">
        <v>321</v>
      </c>
      <c r="BJ1201" s="141" t="s">
        <v>1172</v>
      </c>
      <c r="BK1201" s="141" t="s">
        <v>1173</v>
      </c>
      <c r="BL1201" s="163" t="s">
        <v>1174</v>
      </c>
      <c r="BM1201" s="158">
        <v>2159</v>
      </c>
      <c r="BN1201" s="163">
        <v>2405</v>
      </c>
      <c r="BO1201" s="317">
        <f>BN1201/BM1201</f>
        <v>1.1139416396479851</v>
      </c>
      <c r="BP1201">
        <f>BN1201-BM1201</f>
        <v>246</v>
      </c>
      <c r="BQ1201" s="158">
        <f>BP1201*10^6</f>
        <v>246000000</v>
      </c>
      <c r="BR1201" s="141" t="s">
        <v>232</v>
      </c>
      <c r="BS1201" s="153" t="s">
        <v>766</v>
      </c>
      <c r="BT1201" s="151" t="s">
        <v>1175</v>
      </c>
      <c r="BU1201" s="141"/>
      <c r="BV1201" s="163"/>
      <c r="BW1201" s="144" t="str">
        <f>IFERROR(BV1201/BU1201,"")</f>
        <v/>
      </c>
      <c r="BX1201" s="175">
        <v>65</v>
      </c>
      <c r="BY1201" s="194"/>
      <c r="BZ1201">
        <f>BX1201*10^6</f>
        <v>65000000</v>
      </c>
      <c r="CA1201">
        <f>IFERROR(BZ1201/BQ1201,"")</f>
        <v>0.26422764227642276</v>
      </c>
      <c r="CB1201" s="141">
        <v>0</v>
      </c>
      <c r="CC1201" s="141">
        <v>0</v>
      </c>
      <c r="CD1201" s="141">
        <v>0</v>
      </c>
      <c r="CE1201" s="141">
        <v>0</v>
      </c>
      <c r="CF1201" s="141">
        <v>0</v>
      </c>
      <c r="CG1201" s="141">
        <v>0</v>
      </c>
      <c r="CH1201" s="141">
        <v>0</v>
      </c>
      <c r="CI1201" s="141">
        <v>0</v>
      </c>
      <c r="CJ1201" s="141">
        <v>0</v>
      </c>
      <c r="CK1201" s="141">
        <v>0</v>
      </c>
      <c r="CL1201" s="141">
        <v>0</v>
      </c>
      <c r="CM1201" s="141">
        <v>0</v>
      </c>
      <c r="CN1201" s="141">
        <v>0</v>
      </c>
      <c r="CO1201" s="141">
        <v>1</v>
      </c>
      <c r="CP1201" t="str">
        <f>IF(BN1201&lt;BM1201,"refNeedCorrection","refOK")</f>
        <v>refOK</v>
      </c>
      <c r="CQ1201">
        <f>IF($CP1201="refOK",$BM1201,$BN1201)</f>
        <v>2159</v>
      </c>
      <c r="CR1201">
        <f>IF($CP1201="refOK",$BN1201,$BM1201)</f>
        <v>2405</v>
      </c>
      <c r="CS1201">
        <f>IF($CP1201="refOK",$BQ1201,-$BQ1201)</f>
        <v>246000000</v>
      </c>
      <c r="CT1201">
        <f>IF(BI1201="Roundwood",$CS1201/2,$CS1201)</f>
        <v>123000000</v>
      </c>
      <c r="CU1201">
        <f>IF($CP1201="refOK",$BU1201,$BV1201)*IF($BR1201="Emissions positive",-1,1)</f>
        <v>0</v>
      </c>
      <c r="CV1201">
        <f>IF($CP1201="refOK",$BV1201,$BU1201)*IF($BR1201="Emissions positive",-1,1)</f>
        <v>0</v>
      </c>
      <c r="CW1201">
        <f>IF($CP1201="refNeedCorrection",-BZ1201,BZ1201)*IF($BR1201="Emissions positive",-1,1)</f>
        <v>65000000</v>
      </c>
      <c r="CX1201">
        <f>IFERROR($CW1201/$CS1201,"")</f>
        <v>0.26422764227642276</v>
      </c>
      <c r="CY1201">
        <f>IFERROR($CW1201/$CS1201,"")</f>
        <v>0.26422764227642276</v>
      </c>
      <c r="CZ1201">
        <f>IFERROR($CW1201/$CT1201,"")</f>
        <v>0.52845528455284552</v>
      </c>
      <c r="DA1201" s="2" t="str">
        <f>IFERROR((CV1201-CU1201)/ABS(CU1201),"")</f>
        <v/>
      </c>
      <c r="DB1201" s="173" t="s">
        <v>1078</v>
      </c>
      <c r="DC1201" s="317" t="str">
        <f>IF(OR($DB1201="prd",$DB1201="std",$DB1201="cit"),"loc",IF(OR($DB1201="eur",$DB1201="reg",$DB1201="coy"),"reg",$DB1201))</f>
        <v>reg</v>
      </c>
      <c r="DD1201" s="141" t="s">
        <v>1176</v>
      </c>
      <c r="DE1201" s="141">
        <v>2016</v>
      </c>
      <c r="DF1201" s="163">
        <v>2046</v>
      </c>
      <c r="DG1201" s="163">
        <v>30</v>
      </c>
      <c r="DH1201" t="str">
        <f>IF(DG1201=0,"0",IF(AND(DG1201&gt;=1,DG1201&lt;=30),"1-30",IF(AND(DG1201&gt;30,DG1201&lt;=70),"31-70",IF(AND(DG1201&gt;70,DG1201&lt;=100),"71-100",IF(DG1201&gt;100,"+100")))))</f>
        <v>1-30</v>
      </c>
      <c r="DI1201" s="141">
        <v>1</v>
      </c>
      <c r="DJ1201" s="141">
        <v>1</v>
      </c>
      <c r="DK1201" s="141">
        <v>0</v>
      </c>
      <c r="DL1201" s="141">
        <v>1</v>
      </c>
      <c r="DN1201">
        <f>SUM(DI1201:DL1201)</f>
        <v>3</v>
      </c>
      <c r="DO1201" t="str">
        <f>IF(DN1201=1,INDEX($DI$7:$DL$7,MATCH(1,$DI1201:$DL1201,0)),"mixedProduct")</f>
        <v>mixedProduct</v>
      </c>
      <c r="DP1201" t="str">
        <f>IF(DI1201=1,DP$7,0)</f>
        <v>Upstream</v>
      </c>
      <c r="DQ1201" t="str">
        <f>IF(DJ1201=1,DQ$7,0)</f>
        <v>Energy</v>
      </c>
      <c r="DR1201">
        <f>IF(DK1201=1,DR$7,0)</f>
        <v>0</v>
      </c>
      <c r="DS1201" t="str">
        <f>IF(DL1201=1,DS$7,0)</f>
        <v>Timber</v>
      </c>
      <c r="DT1201" s="163">
        <v>0</v>
      </c>
      <c r="DU1201" s="141">
        <v>1</v>
      </c>
      <c r="DV1201" s="163" t="s">
        <v>1179</v>
      </c>
      <c r="DW1201" s="163" t="s">
        <v>1180</v>
      </c>
      <c r="DX1201" s="163">
        <v>0</v>
      </c>
      <c r="DY1201">
        <f>SUM(DT1201:DU1201)</f>
        <v>1</v>
      </c>
      <c r="DZ1201" s="143" t="str">
        <f>IF(DT1201=1,"self-calculated DF",IF(DU1201=1,"external DF used","explicit C balance"))</f>
        <v>external DF used</v>
      </c>
      <c r="EA1201" s="163">
        <v>1</v>
      </c>
      <c r="EB1201" s="141">
        <v>1</v>
      </c>
      <c r="EC1201" s="163">
        <v>1</v>
      </c>
      <c r="ED1201" s="163">
        <v>1</v>
      </c>
      <c r="EE1201" s="141">
        <v>1</v>
      </c>
      <c r="EF1201" s="141">
        <v>1</v>
      </c>
      <c r="EG1201" s="143">
        <v>0</v>
      </c>
      <c r="EH1201" s="141">
        <v>0</v>
      </c>
      <c r="EI1201" s="143">
        <v>0</v>
      </c>
      <c r="EJ1201" s="143">
        <v>0</v>
      </c>
      <c r="EK1201" s="141">
        <v>1</v>
      </c>
      <c r="EL1201" s="163">
        <v>0</v>
      </c>
      <c r="EM1201" s="141">
        <v>0</v>
      </c>
      <c r="EN1201" s="176">
        <v>0</v>
      </c>
      <c r="EP1201" t="str">
        <f>IF(AND(AND(AND(OR($EC1201=1,$EB1201=1),OR($EH1201=1,$EF1201=1)),SUM($EA1201:$EE1201,$EK1201)&gt;=3),SUM($EF1201:$EJ1201)&gt;=2),"Whole sector approach","")</f>
        <v/>
      </c>
      <c r="EQ1201" t="str">
        <f>IF(AND(AND(OR($EC1201=1,$EB1201=1),AND($EH1201=0,$EF1201=0)),SUM($EA1201:$EE1201,$EK1201)&gt;=3),"Ecosystem approach","")</f>
        <v/>
      </c>
      <c r="ER1201" s="2" t="str">
        <f>IF(AND(AND(AND($EC1201=0,$EB1201=0),OR($EH1201=1,$EF1201=1)),SUM($EG1201:$EJ1201)&gt;=2),"Technology approach","")</f>
        <v/>
      </c>
      <c r="ES1201" t="str">
        <f>IF(AND($EC1201+$EB1201+$EE1201+$EA1201+$ED1201+$EG1201=0,$N1201="included"),"C neutral forest and HWP assumption","")</f>
        <v/>
      </c>
      <c r="ET1201" t="str">
        <f>IF(AND(AND(AND(AND($EC1201=1,$EB1201+$EA1201+$EG1201&gt;=1),$EF1201=1),$EH1201+$EI1201+$ED1201+$EE1201&gt;=2),$N1201="included"),"All C pools assumption","")</f>
        <v>All C pools assumption</v>
      </c>
      <c r="EU1201" t="str">
        <f>IF(AND($ED1201+$EE1201+$EI1201+$EH1201+$EF1201=0,$N1201="included"),"In-situ only assumption","")</f>
        <v/>
      </c>
      <c r="EW1201" s="141"/>
      <c r="EY1201" t="str">
        <f>IF(ISNUMBER(BW1201),IF(ABS(BW1201-[4]QC_indicators!$B$2)&gt;3*[4]QC_indicators!$C$2,"C ratio",IF(ISNUMBER(CA1201),IF(ABS(CA1201-[4]QC_indicators!$B$1)&gt;3*[4]QC_indicators!$C$1,"DF","no"))),IF(ISNUMBER(CA1201),IF(ABS(CA1201-[4]QC_indicators!$B$1)&gt;3*[4]QC_indicators!$C$1,"DF","no")))</f>
        <v>no</v>
      </c>
      <c r="FA1201" t="str">
        <f>IF(LEN($CY1201)=0,"",IF(AND($CY1201&lt;(-0.05),$ES1201="C neutral forest and HWP assumption"),"Cneutral paradox",IF(AND($CY1201&gt;0.05,$EU1201="In-situ only assumption"),"In-situ only paradox","")))</f>
        <v/>
      </c>
      <c r="FB1201" s="319" t="s">
        <v>1177</v>
      </c>
      <c r="FD1201" s="317" t="s">
        <v>4883</v>
      </c>
    </row>
    <row r="1202" spans="1:160" hidden="1">
      <c r="A1202" s="173" t="s">
        <v>1161</v>
      </c>
      <c r="B1202" s="141" t="s">
        <v>1162</v>
      </c>
      <c r="C1202" s="141" t="s">
        <v>1163</v>
      </c>
      <c r="D1202" s="141" t="s">
        <v>1164</v>
      </c>
      <c r="E1202" s="141" t="s">
        <v>1165</v>
      </c>
      <c r="F1202" s="141" t="s">
        <v>1166</v>
      </c>
      <c r="G1202" s="141" t="s">
        <v>1167</v>
      </c>
      <c r="H1202" s="141"/>
      <c r="I1202" s="141">
        <v>2019</v>
      </c>
      <c r="J1202" s="141"/>
      <c r="K1202" s="141" t="s">
        <v>1168</v>
      </c>
      <c r="L1202" s="141"/>
      <c r="M1202" t="str">
        <f>LEFT($D1202,FIND(",",$D1202)-1)&amp;"_"&amp;I1202&amp;L1202</f>
        <v>Bosch_2019</v>
      </c>
      <c r="N1202" t="s">
        <v>222</v>
      </c>
      <c r="O1202" s="174" t="s">
        <v>225</v>
      </c>
      <c r="P1202" s="141" t="s">
        <v>223</v>
      </c>
      <c r="Q1202" s="317" t="s">
        <v>224</v>
      </c>
      <c r="R1202" s="318" t="s">
        <v>1029</v>
      </c>
      <c r="S1202" s="173" t="s">
        <v>1169</v>
      </c>
      <c r="T1202" s="141" t="s">
        <v>1178</v>
      </c>
      <c r="U1202" s="141" t="s">
        <v>1171</v>
      </c>
      <c r="V1202">
        <v>1</v>
      </c>
      <c r="W1202">
        <v>0</v>
      </c>
      <c r="X1202" s="141">
        <v>1</v>
      </c>
      <c r="Y1202" s="141">
        <v>0</v>
      </c>
      <c r="Z1202" s="141">
        <v>0</v>
      </c>
      <c r="AA1202" s="141">
        <v>0</v>
      </c>
      <c r="AB1202" s="141">
        <v>0</v>
      </c>
      <c r="AC1202" s="141">
        <v>0</v>
      </c>
      <c r="AD1202" s="141">
        <v>0</v>
      </c>
      <c r="AE1202" s="141">
        <v>0</v>
      </c>
      <c r="AF1202" s="141">
        <v>0</v>
      </c>
      <c r="AG1202" s="141">
        <v>0</v>
      </c>
      <c r="AH1202" s="141">
        <v>0</v>
      </c>
      <c r="AI1202" s="141">
        <v>0</v>
      </c>
      <c r="AJ1202" s="141">
        <v>0</v>
      </c>
      <c r="AK1202" s="141">
        <v>0</v>
      </c>
      <c r="AL1202" s="141">
        <v>0</v>
      </c>
      <c r="AM1202" s="141">
        <v>0</v>
      </c>
      <c r="AN1202" s="141">
        <v>0</v>
      </c>
      <c r="AO1202" s="141">
        <v>0</v>
      </c>
      <c r="AP1202" s="141">
        <v>0</v>
      </c>
      <c r="AQ1202" s="141">
        <v>0</v>
      </c>
      <c r="AR1202" s="141">
        <v>0</v>
      </c>
      <c r="AS1202" s="141">
        <v>0</v>
      </c>
      <c r="AT1202" s="141">
        <v>0</v>
      </c>
      <c r="AU1202" s="141">
        <v>0</v>
      </c>
      <c r="AV1202" s="141">
        <v>0</v>
      </c>
      <c r="AW1202" s="141">
        <v>0</v>
      </c>
      <c r="AX1202" s="141">
        <v>0</v>
      </c>
      <c r="AY1202" s="141">
        <v>0</v>
      </c>
      <c r="AZ1202" s="141">
        <f>COUNTIF(X1202:AY1202,"&lt;&gt;0")</f>
        <v>1</v>
      </c>
      <c r="BA1202" s="141">
        <f>COUNTIF(X1202:AN1202,"&lt;&gt;0")</f>
        <v>1</v>
      </c>
      <c r="BB1202">
        <f>COUNTIF(X1202:AE1202,"&lt;&gt;0")</f>
        <v>1</v>
      </c>
      <c r="BC1202">
        <f>COUNTIF(AF1202:AK1202,"&lt;&gt;0")</f>
        <v>0</v>
      </c>
      <c r="BD1202">
        <f>COUNTIF(AL1202:AN1202,"&lt;&gt;0")</f>
        <v>0</v>
      </c>
      <c r="BE1202">
        <f>COUNTIF(AU1202:AY1202,"&lt;&gt;0")</f>
        <v>0</v>
      </c>
      <c r="BF1202">
        <f>COUNTIF(AO1202:AT1202,"&lt;&gt;0")</f>
        <v>0</v>
      </c>
      <c r="BG1202" t="str" cm="1">
        <f t="array" ref="BG1202">IF(BA1202=1,INDEX($X$7:$AN$7,MATCH(TRUE,INDEX($X1202:$AY1202&lt;&gt;0,),0)),IF(BA1202=0,INDEX($AO$7:$AY$7,MATCH(1,$AO1202:$AY1202,0)),IF(BH1202="Multiple strategies","mixed drivers",IF(BH1202="Supply chain","multiple supply","multiple silviculture"))))</f>
        <v>area subject to harvest</v>
      </c>
      <c r="BH1202" s="2" t="str" cm="1">
        <f t="array" ref="BH1202">IF(COUNTIF(BB1202:BD1202,"&lt;&gt;0")=1,INDEX($X$4:$AY$4,MATCH(TRUE,INDEX($X1202:$AY1202&lt;&gt;0,),0)),IF(COUNTIF(BB1202:BD1202,"&lt;&gt;0")=0,INDEX($AO$4:$AY$4,MATCH(1,$AO1202:$AY1202,0)),"Multiple strategies"))</f>
        <v>Silviculture for removals</v>
      </c>
      <c r="BI1202" s="172" t="s">
        <v>321</v>
      </c>
      <c r="BJ1202" s="141" t="s">
        <v>1172</v>
      </c>
      <c r="BK1202" s="141" t="s">
        <v>1173</v>
      </c>
      <c r="BL1202" s="163" t="s">
        <v>1174</v>
      </c>
      <c r="BM1202" s="175">
        <v>2330</v>
      </c>
      <c r="BN1202" s="163">
        <v>2405</v>
      </c>
      <c r="BO1202" s="317">
        <f>BN1202/BM1202</f>
        <v>1.0321888412017168</v>
      </c>
      <c r="BP1202">
        <f>BN1202-BM1202</f>
        <v>75</v>
      </c>
      <c r="BQ1202" s="158">
        <f>BP1202*10^6</f>
        <v>75000000</v>
      </c>
      <c r="BR1202" s="141" t="s">
        <v>232</v>
      </c>
      <c r="BS1202" s="153" t="s">
        <v>429</v>
      </c>
      <c r="BT1202" s="151" t="s">
        <v>1175</v>
      </c>
      <c r="BU1202" s="141"/>
      <c r="BV1202" s="163"/>
      <c r="BW1202" s="144" t="str">
        <f>IFERROR(BV1202/BU1202,"")</f>
        <v/>
      </c>
      <c r="BX1202" s="175">
        <v>19</v>
      </c>
      <c r="BY1202" s="194"/>
      <c r="BZ1202">
        <f>BX1202*10^6</f>
        <v>19000000</v>
      </c>
      <c r="CA1202">
        <f>IFERROR(BZ1202/BQ1202,"")</f>
        <v>0.25333333333333335</v>
      </c>
      <c r="CB1202" s="141">
        <v>0</v>
      </c>
      <c r="CC1202" s="141">
        <v>0</v>
      </c>
      <c r="CD1202" s="141">
        <v>0</v>
      </c>
      <c r="CE1202" s="141">
        <v>0</v>
      </c>
      <c r="CF1202" s="141">
        <v>0</v>
      </c>
      <c r="CG1202" s="141">
        <v>0</v>
      </c>
      <c r="CH1202" s="141">
        <v>0</v>
      </c>
      <c r="CI1202" s="141">
        <v>0</v>
      </c>
      <c r="CJ1202" s="141">
        <v>0</v>
      </c>
      <c r="CK1202" s="141">
        <v>0</v>
      </c>
      <c r="CL1202" s="141">
        <v>0</v>
      </c>
      <c r="CM1202" s="141">
        <v>0</v>
      </c>
      <c r="CN1202" s="141">
        <v>0</v>
      </c>
      <c r="CO1202" s="141">
        <v>1</v>
      </c>
      <c r="CP1202" t="str">
        <f>IF(BN1202&lt;BM1202,"refNeedCorrection","refOK")</f>
        <v>refOK</v>
      </c>
      <c r="CQ1202">
        <f>IF($CP1202="refOK",$BM1202,$BN1202)</f>
        <v>2330</v>
      </c>
      <c r="CR1202">
        <f>IF($CP1202="refOK",$BN1202,$BM1202)</f>
        <v>2405</v>
      </c>
      <c r="CS1202">
        <f>IF($CP1202="refOK",$BQ1202,-$BQ1202)</f>
        <v>75000000</v>
      </c>
      <c r="CT1202">
        <f>IF(BI1202="Roundwood",$CS1202/2,$CS1202)</f>
        <v>37500000</v>
      </c>
      <c r="CU1202">
        <f>IF($CP1202="refOK",$BU1202,$BV1202)*IF($BR1202="Emissions positive",-1,1)</f>
        <v>0</v>
      </c>
      <c r="CV1202">
        <f>IF($CP1202="refOK",$BV1202,$BU1202)*IF($BR1202="Emissions positive",-1,1)</f>
        <v>0</v>
      </c>
      <c r="CW1202">
        <f>IF($CP1202="refNeedCorrection",-BZ1202,BZ1202)*IF($BR1202="Emissions positive",-1,1)</f>
        <v>19000000</v>
      </c>
      <c r="CX1202">
        <f>IFERROR($CW1202/$CS1202,"")</f>
        <v>0.25333333333333335</v>
      </c>
      <c r="CY1202">
        <f>IFERROR($CW1202/$CS1202,"")</f>
        <v>0.25333333333333335</v>
      </c>
      <c r="CZ1202">
        <f>IFERROR($CW1202/$CT1202,"")</f>
        <v>0.50666666666666671</v>
      </c>
      <c r="DA1202" s="2" t="str">
        <f>IFERROR((CV1202-CU1202)/ABS(CU1202),"")</f>
        <v/>
      </c>
      <c r="DB1202" s="173" t="s">
        <v>1078</v>
      </c>
      <c r="DC1202" s="317" t="str">
        <f>IF(OR($DB1202="prd",$DB1202="std",$DB1202="cit"),"loc",IF(OR($DB1202="eur",$DB1202="reg",$DB1202="coy"),"reg",$DB1202))</f>
        <v>reg</v>
      </c>
      <c r="DD1202" s="141" t="s">
        <v>1176</v>
      </c>
      <c r="DE1202" s="141">
        <v>2016</v>
      </c>
      <c r="DF1202" s="163">
        <v>2046</v>
      </c>
      <c r="DG1202" s="163">
        <v>30</v>
      </c>
      <c r="DH1202" t="str">
        <f>IF(DG1202=0,"0",IF(AND(DG1202&gt;=1,DG1202&lt;=30),"1-30",IF(AND(DG1202&gt;30,DG1202&lt;=70),"31-70",IF(AND(DG1202&gt;70,DG1202&lt;=100),"71-100",IF(DG1202&gt;100,"+100")))))</f>
        <v>1-30</v>
      </c>
      <c r="DI1202" s="141">
        <v>1</v>
      </c>
      <c r="DJ1202" s="141">
        <v>1</v>
      </c>
      <c r="DK1202" s="141">
        <v>0</v>
      </c>
      <c r="DL1202" s="141">
        <v>1</v>
      </c>
      <c r="DN1202">
        <f>SUM(DI1202:DL1202)</f>
        <v>3</v>
      </c>
      <c r="DO1202" t="str">
        <f>IF(DN1202=1,INDEX($DI$7:$DL$7,MATCH(1,$DI1202:$DL1202,0)),"mixedProduct")</f>
        <v>mixedProduct</v>
      </c>
      <c r="DP1202" t="str">
        <f>IF(DI1202=1,DP$7,0)</f>
        <v>Upstream</v>
      </c>
      <c r="DQ1202" t="str">
        <f>IF(DJ1202=1,DQ$7,0)</f>
        <v>Energy</v>
      </c>
      <c r="DR1202">
        <f>IF(DK1202=1,DR$7,0)</f>
        <v>0</v>
      </c>
      <c r="DS1202" t="str">
        <f>IF(DL1202=1,DS$7,0)</f>
        <v>Timber</v>
      </c>
      <c r="DT1202" s="163">
        <v>0</v>
      </c>
      <c r="DU1202" s="141">
        <v>1</v>
      </c>
      <c r="DV1202" s="163" t="s">
        <v>1179</v>
      </c>
      <c r="DW1202" s="163" t="s">
        <v>1180</v>
      </c>
      <c r="DX1202" s="163">
        <v>0</v>
      </c>
      <c r="DY1202">
        <f>SUM(DT1202:DU1202)</f>
        <v>1</v>
      </c>
      <c r="DZ1202" s="143" t="str">
        <f>IF(DT1202=1,"self-calculated DF",IF(DU1202=1,"external DF used","explicit C balance"))</f>
        <v>external DF used</v>
      </c>
      <c r="EA1202" s="163">
        <v>1</v>
      </c>
      <c r="EB1202" s="141">
        <v>1</v>
      </c>
      <c r="EC1202" s="163">
        <v>1</v>
      </c>
      <c r="ED1202" s="163">
        <v>1</v>
      </c>
      <c r="EE1202" s="141">
        <v>1</v>
      </c>
      <c r="EF1202" s="141">
        <v>1</v>
      </c>
      <c r="EG1202" s="143">
        <v>0</v>
      </c>
      <c r="EH1202" s="141">
        <v>0</v>
      </c>
      <c r="EI1202" s="143">
        <v>0</v>
      </c>
      <c r="EJ1202" s="143">
        <v>0</v>
      </c>
      <c r="EK1202" s="141">
        <v>1</v>
      </c>
      <c r="EL1202" s="163">
        <v>0</v>
      </c>
      <c r="EM1202" s="141">
        <v>0</v>
      </c>
      <c r="EN1202" s="176">
        <v>0</v>
      </c>
      <c r="EP1202" t="str">
        <f>IF(AND(AND(AND(OR($EC1202=1,$EB1202=1),OR($EH1202=1,$EF1202=1)),SUM($EA1202:$EE1202,$EK1202)&gt;=3),SUM($EF1202:$EJ1202)&gt;=2),"Whole sector approach","")</f>
        <v/>
      </c>
      <c r="EQ1202" t="str">
        <f>IF(AND(AND(OR($EC1202=1,$EB1202=1),AND($EH1202=0,$EF1202=0)),SUM($EA1202:$EE1202,$EK1202)&gt;=3),"Ecosystem approach","")</f>
        <v/>
      </c>
      <c r="ER1202" s="2" t="str">
        <f>IF(AND(AND(AND($EC1202=0,$EB1202=0),OR($EH1202=1,$EF1202=1)),SUM($EG1202:$EJ1202)&gt;=2),"Technology approach","")</f>
        <v/>
      </c>
      <c r="ES1202" t="str">
        <f>IF(AND($EC1202+$EB1202+$EE1202+$EA1202+$ED1202+$EG1202=0,$N1202="included"),"C neutral forest and HWP assumption","")</f>
        <v/>
      </c>
      <c r="ET1202" t="str">
        <f>IF(AND(AND(AND(AND($EC1202=1,$EB1202+$EA1202+$EG1202&gt;=1),$EF1202=1),$EH1202+$EI1202+$ED1202+$EE1202&gt;=2),$N1202="included"),"All C pools assumption","")</f>
        <v>All C pools assumption</v>
      </c>
      <c r="EU1202" t="str">
        <f>IF(AND($ED1202+$EE1202+$EI1202+$EH1202+$EF1202=0,$N1202="included"),"In-situ only assumption","")</f>
        <v/>
      </c>
      <c r="EW1202" s="141"/>
      <c r="EY1202" t="str">
        <f>IF(ISNUMBER(BW1202),IF(ABS(BW1202-[4]QC_indicators!$B$2)&gt;3*[4]QC_indicators!$C$2,"C ratio",IF(ISNUMBER(CA1202),IF(ABS(CA1202-[4]QC_indicators!$B$1)&gt;3*[4]QC_indicators!$C$1,"DF","no"))),IF(ISNUMBER(CA1202),IF(ABS(CA1202-[4]QC_indicators!$B$1)&gt;3*[4]QC_indicators!$C$1,"DF","no")))</f>
        <v>no</v>
      </c>
      <c r="FA1202" t="str">
        <f>IF(LEN($CY1202)=0,"",IF(AND($CY1202&lt;(-0.05),$ES1202="C neutral forest and HWP assumption"),"Cneutral paradox",IF(AND($CY1202&gt;0.05,$EU1202="In-situ only assumption"),"In-situ only paradox","")))</f>
        <v/>
      </c>
      <c r="FB1202" s="319" t="s">
        <v>1177</v>
      </c>
      <c r="FD1202" s="317" t="s">
        <v>4883</v>
      </c>
    </row>
    <row r="1203" spans="1:160" ht="18" hidden="1" customHeight="1">
      <c r="A1203" s="173" t="s">
        <v>1161</v>
      </c>
      <c r="B1203" s="141" t="s">
        <v>1162</v>
      </c>
      <c r="C1203" s="141" t="s">
        <v>1163</v>
      </c>
      <c r="D1203" s="141" t="s">
        <v>1164</v>
      </c>
      <c r="E1203" s="141" t="s">
        <v>1165</v>
      </c>
      <c r="F1203" s="141" t="s">
        <v>1166</v>
      </c>
      <c r="G1203" s="141" t="s">
        <v>1167</v>
      </c>
      <c r="H1203" s="141"/>
      <c r="I1203" s="141">
        <v>2019</v>
      </c>
      <c r="J1203" s="141"/>
      <c r="K1203" s="141" t="s">
        <v>1168</v>
      </c>
      <c r="L1203" s="141"/>
      <c r="M1203" t="str">
        <f>LEFT($D1203,FIND(",",$D1203)-1)&amp;"_"&amp;I1203&amp;L1203</f>
        <v>Bosch_2019</v>
      </c>
      <c r="N1203" t="s">
        <v>222</v>
      </c>
      <c r="O1203" s="174" t="s">
        <v>225</v>
      </c>
      <c r="P1203" s="141" t="s">
        <v>223</v>
      </c>
      <c r="Q1203" s="317" t="s">
        <v>224</v>
      </c>
      <c r="R1203" s="318" t="s">
        <v>1029</v>
      </c>
      <c r="S1203" s="173" t="s">
        <v>4882</v>
      </c>
      <c r="T1203" s="141" t="s">
        <v>1170</v>
      </c>
      <c r="U1203" s="141" t="s">
        <v>1171</v>
      </c>
      <c r="V1203">
        <v>1</v>
      </c>
      <c r="W1203">
        <v>0</v>
      </c>
      <c r="X1203" s="141">
        <v>1</v>
      </c>
      <c r="Y1203" s="141">
        <v>0</v>
      </c>
      <c r="Z1203" s="141">
        <v>0</v>
      </c>
      <c r="AA1203" s="141">
        <v>0</v>
      </c>
      <c r="AB1203" s="141">
        <v>0</v>
      </c>
      <c r="AC1203" s="141">
        <v>0</v>
      </c>
      <c r="AD1203" s="141">
        <v>0</v>
      </c>
      <c r="AE1203" s="141">
        <v>0</v>
      </c>
      <c r="AF1203" s="141">
        <v>0</v>
      </c>
      <c r="AG1203" s="141">
        <v>0</v>
      </c>
      <c r="AH1203" s="141">
        <v>0</v>
      </c>
      <c r="AI1203" s="141">
        <v>0</v>
      </c>
      <c r="AJ1203" s="141">
        <v>0</v>
      </c>
      <c r="AK1203" s="141">
        <v>0</v>
      </c>
      <c r="AL1203" s="141">
        <v>0</v>
      </c>
      <c r="AM1203" s="141">
        <v>0</v>
      </c>
      <c r="AN1203" s="141">
        <v>0</v>
      </c>
      <c r="AO1203" s="141">
        <v>0</v>
      </c>
      <c r="AP1203" s="141">
        <v>0</v>
      </c>
      <c r="AQ1203" s="141">
        <v>0</v>
      </c>
      <c r="AR1203" s="141">
        <v>0</v>
      </c>
      <c r="AS1203" s="141">
        <v>0</v>
      </c>
      <c r="AT1203" s="141">
        <v>0</v>
      </c>
      <c r="AU1203" s="141">
        <v>0</v>
      </c>
      <c r="AV1203" s="141">
        <v>0</v>
      </c>
      <c r="AW1203" s="141">
        <v>0</v>
      </c>
      <c r="AX1203" s="141">
        <v>0</v>
      </c>
      <c r="AY1203" s="141">
        <v>0</v>
      </c>
      <c r="AZ1203" s="141">
        <f>COUNTIF(X1203:AY1203,"&lt;&gt;0")</f>
        <v>1</v>
      </c>
      <c r="BA1203" s="141">
        <f>COUNTIF(X1203:AN1203,"&lt;&gt;0")</f>
        <v>1</v>
      </c>
      <c r="BB1203">
        <f>COUNTIF(X1203:AE1203,"&lt;&gt;0")</f>
        <v>1</v>
      </c>
      <c r="BC1203">
        <f>COUNTIF(AF1203:AK1203,"&lt;&gt;0")</f>
        <v>0</v>
      </c>
      <c r="BD1203">
        <f>COUNTIF(AL1203:AN1203,"&lt;&gt;0")</f>
        <v>0</v>
      </c>
      <c r="BE1203">
        <f>COUNTIF(AU1203:AY1203,"&lt;&gt;0")</f>
        <v>0</v>
      </c>
      <c r="BF1203">
        <f>COUNTIF(AO1203:AT1203,"&lt;&gt;0")</f>
        <v>0</v>
      </c>
      <c r="BG1203" t="str" cm="1">
        <f t="array" ref="BG1203">IF(BA1203=1,INDEX($X$7:$AN$7,MATCH(TRUE,INDEX($X1203:$AY1203&lt;&gt;0,),0)),IF(BA1203=0,INDEX($AO$7:$AY$7,MATCH(1,$AO1203:$AY1203,0)),IF(BH1203="Multiple strategies","mixed drivers",IF(BH1203="Supply chain","multiple supply","multiple silviculture"))))</f>
        <v>area subject to harvest</v>
      </c>
      <c r="BH1203" s="2" t="str" cm="1">
        <f t="array" ref="BH1203">IF(COUNTIF(BB1203:BD1203,"&lt;&gt;0")=1,INDEX($X$4:$AY$4,MATCH(TRUE,INDEX($X1203:$AY1203&lt;&gt;0,),0)),IF(COUNTIF(BB1203:BD1203,"&lt;&gt;0")=0,INDEX($AO$4:$AY$4,MATCH(1,$AO1203:$AY1203,0)),"Multiple strategies"))</f>
        <v>Silviculture for removals</v>
      </c>
      <c r="BI1203" s="172" t="s">
        <v>321</v>
      </c>
      <c r="BJ1203" s="141" t="s">
        <v>1172</v>
      </c>
      <c r="BK1203" s="141" t="s">
        <v>1173</v>
      </c>
      <c r="BL1203" s="163" t="s">
        <v>1174</v>
      </c>
      <c r="BM1203" s="158">
        <v>2159</v>
      </c>
      <c r="BN1203" s="163">
        <v>2405</v>
      </c>
      <c r="BO1203" s="317">
        <f>BN1203/BM1203</f>
        <v>1.1139416396479851</v>
      </c>
      <c r="BP1203">
        <f>BN1203-BM1203</f>
        <v>246</v>
      </c>
      <c r="BQ1203" s="158">
        <f>BP1203*10^6</f>
        <v>246000000</v>
      </c>
      <c r="BR1203" s="141" t="s">
        <v>232</v>
      </c>
      <c r="BS1203" s="153" t="s">
        <v>766</v>
      </c>
      <c r="BT1203" s="151" t="s">
        <v>1175</v>
      </c>
      <c r="BU1203" s="141"/>
      <c r="BV1203" s="163"/>
      <c r="BW1203" s="144" t="str">
        <f>IFERROR(BV1203/BU1203,"")</f>
        <v/>
      </c>
      <c r="BX1203" s="175">
        <v>-190</v>
      </c>
      <c r="BY1203" s="194"/>
      <c r="BZ1203">
        <f>BX1203*10^6</f>
        <v>-190000000</v>
      </c>
      <c r="CA1203">
        <f>IFERROR(BZ1203/BQ1203,"")</f>
        <v>-0.77235772357723576</v>
      </c>
      <c r="CB1203" s="141">
        <v>0</v>
      </c>
      <c r="CC1203" s="141">
        <v>0</v>
      </c>
      <c r="CD1203" s="141">
        <v>0</v>
      </c>
      <c r="CE1203" s="141">
        <v>0</v>
      </c>
      <c r="CF1203" s="141">
        <v>0</v>
      </c>
      <c r="CG1203" s="141">
        <v>0</v>
      </c>
      <c r="CH1203" s="141">
        <v>0</v>
      </c>
      <c r="CI1203" s="141">
        <v>0</v>
      </c>
      <c r="CJ1203" s="141">
        <v>0</v>
      </c>
      <c r="CK1203" s="141">
        <v>0</v>
      </c>
      <c r="CL1203" s="141">
        <v>0</v>
      </c>
      <c r="CM1203" s="141">
        <v>0</v>
      </c>
      <c r="CN1203" s="141">
        <v>0</v>
      </c>
      <c r="CO1203" s="141">
        <v>1</v>
      </c>
      <c r="CP1203" t="str">
        <f>IF(BN1203&lt;BM1203,"refNeedCorrection","refOK")</f>
        <v>refOK</v>
      </c>
      <c r="CQ1203">
        <f>IF($CP1203="refOK",$BM1203,$BN1203)</f>
        <v>2159</v>
      </c>
      <c r="CR1203">
        <f>IF($CP1203="refOK",$BN1203,$BM1203)</f>
        <v>2405</v>
      </c>
      <c r="CS1203">
        <f>IF($CP1203="refOK",$BQ1203,-$BQ1203)</f>
        <v>246000000</v>
      </c>
      <c r="CT1203">
        <f>IF(BI1203="Roundwood",$CS1203/2,$CS1203)</f>
        <v>123000000</v>
      </c>
      <c r="CU1203">
        <f>IF($CP1203="refOK",$BU1203,$BV1203)*IF($BR1203="Emissions positive",-1,1)</f>
        <v>0</v>
      </c>
      <c r="CV1203">
        <f>IF($CP1203="refOK",$BV1203,$BU1203)*IF($BR1203="Emissions positive",-1,1)</f>
        <v>0</v>
      </c>
      <c r="CW1203">
        <f>IF($CP1203="refNeedCorrection",-BZ1203,BZ1203)*IF($BR1203="Emissions positive",-1,1)</f>
        <v>-190000000</v>
      </c>
      <c r="CX1203">
        <f>IFERROR($CW1203/$CS1203,"")</f>
        <v>-0.77235772357723576</v>
      </c>
      <c r="CY1203">
        <f>IFERROR($CW1203/$CS1203,"")</f>
        <v>-0.77235772357723576</v>
      </c>
      <c r="CZ1203">
        <f>IFERROR($CW1203/$CT1203,"")</f>
        <v>-1.5447154471544715</v>
      </c>
      <c r="DA1203" s="2" t="str">
        <f>IFERROR((CV1203-CU1203)/ABS(CU1203),"")</f>
        <v/>
      </c>
      <c r="DB1203" s="173" t="s">
        <v>1078</v>
      </c>
      <c r="DC1203" s="317" t="str">
        <f>IF(OR($DB1203="prd",$DB1203="std",$DB1203="cit"),"loc",IF(OR($DB1203="eur",$DB1203="reg",$DB1203="coy"),"reg",$DB1203))</f>
        <v>reg</v>
      </c>
      <c r="DD1203" s="141" t="s">
        <v>1176</v>
      </c>
      <c r="DE1203" s="141">
        <v>2016</v>
      </c>
      <c r="DF1203" s="163">
        <v>2046</v>
      </c>
      <c r="DG1203" s="163">
        <v>30</v>
      </c>
      <c r="DH1203" t="str">
        <f>IF(DG1203=0,"0",IF(AND(DG1203&gt;=1,DG1203&lt;=30),"1-30",IF(AND(DG1203&gt;30,DG1203&lt;=70),"31-70",IF(AND(DG1203&gt;70,DG1203&lt;=100),"71-100",IF(DG1203&gt;100,"+100")))))</f>
        <v>1-30</v>
      </c>
      <c r="DI1203" s="141">
        <v>1</v>
      </c>
      <c r="DJ1203" s="141">
        <v>1</v>
      </c>
      <c r="DK1203" s="141">
        <v>0</v>
      </c>
      <c r="DL1203" s="141">
        <v>1</v>
      </c>
      <c r="DN1203">
        <f>SUM(DI1203:DL1203)</f>
        <v>3</v>
      </c>
      <c r="DO1203" t="str">
        <f>IF(DN1203=1,INDEX($DI$7:$DL$7,MATCH(1,$DI1203:$DL1203,0)),"mixedProduct")</f>
        <v>mixedProduct</v>
      </c>
      <c r="DP1203" t="str">
        <f>IF(DI1203=1,DP$7,0)</f>
        <v>Upstream</v>
      </c>
      <c r="DQ1203" t="str">
        <f>IF(DJ1203=1,DQ$7,0)</f>
        <v>Energy</v>
      </c>
      <c r="DR1203">
        <f>IF(DK1203=1,DR$7,0)</f>
        <v>0</v>
      </c>
      <c r="DS1203" t="str">
        <f>IF(DL1203=1,DS$7,0)</f>
        <v>Timber</v>
      </c>
      <c r="DT1203" s="163">
        <v>0</v>
      </c>
      <c r="DU1203" s="141">
        <v>0</v>
      </c>
      <c r="DV1203" s="163">
        <v>0</v>
      </c>
      <c r="DW1203" s="163">
        <v>0</v>
      </c>
      <c r="DX1203" s="163">
        <v>0</v>
      </c>
      <c r="DY1203">
        <f>SUM(DT1203:DU1203)</f>
        <v>0</v>
      </c>
      <c r="DZ1203" s="143" t="str">
        <f>IF(DT1203=1,"self-calculated DF",IF(DU1203=1,"external DF used","explicit C balance"))</f>
        <v>explicit C balance</v>
      </c>
      <c r="EA1203" s="163">
        <v>1</v>
      </c>
      <c r="EB1203" s="141">
        <v>1</v>
      </c>
      <c r="EC1203" s="163">
        <v>1</v>
      </c>
      <c r="ED1203" s="163">
        <v>1</v>
      </c>
      <c r="EE1203" s="141">
        <v>0</v>
      </c>
      <c r="EF1203" s="141">
        <v>0</v>
      </c>
      <c r="EG1203" s="143">
        <v>0</v>
      </c>
      <c r="EH1203" s="141">
        <v>0</v>
      </c>
      <c r="EI1203" s="143">
        <v>0</v>
      </c>
      <c r="EJ1203" s="143">
        <v>0</v>
      </c>
      <c r="EK1203" s="141">
        <v>1</v>
      </c>
      <c r="EL1203" s="163">
        <v>0</v>
      </c>
      <c r="EM1203" s="141">
        <v>0</v>
      </c>
      <c r="EN1203" s="176">
        <v>0</v>
      </c>
      <c r="EP1203" t="str">
        <f>IF(AND(AND(AND(OR($EC1203=1,$EB1203=1),OR($EH1203=1,$EF1203=1)),SUM($EA1203:$EE1203,$EK1203)&gt;=3),SUM($EF1203:$EJ1203)&gt;=2),"Whole sector approach","")</f>
        <v/>
      </c>
      <c r="EQ1203" t="str">
        <f>IF(AND(AND(OR($EC1203=1,$EB1203=1),AND($EH1203=0,$EF1203=0)),SUM($EA1203:$EE1203,$EK1203)&gt;=3),"Ecosystem approach","")</f>
        <v>Ecosystem approach</v>
      </c>
      <c r="ER1203" s="2" t="str">
        <f>IF(AND(AND(AND($EC1203=0,$EB1203=0),OR($EH1203=1,$EF1203=1)),SUM($EG1203:$EJ1203)&gt;=2),"Technology approach","")</f>
        <v/>
      </c>
      <c r="ES1203" t="str">
        <f>IF(AND($EC1203+$EB1203+$EE1203+$EA1203+$ED1203+$EG1203=0,$N1203="included"),"C neutral forest and HWP assumption","")</f>
        <v/>
      </c>
      <c r="ET1203" t="str">
        <f>IF(AND(AND(AND(AND($EC1203=1,$EB1203+$EA1203+$EG1203&gt;=1),$EF1203=1),$EH1203+$EI1203+$ED1203+$EE1203&gt;=2),$N1203="included"),"All C pools assumption","")</f>
        <v/>
      </c>
      <c r="EU1203" t="str">
        <f>IF(AND($ED1203+$EE1203+$EI1203+$EH1203+$EF1203=0,$N1203="included"),"In-situ only assumption","")</f>
        <v/>
      </c>
      <c r="EW1203" s="141"/>
      <c r="EY1203" t="str">
        <f>IF(ISNUMBER(BW1203),IF(ABS(BW1203-[4]QC_indicators!$B$2)&gt;3*[4]QC_indicators!$C$2,"C ratio",IF(ISNUMBER(CA1203),IF(ABS(CA1203-[4]QC_indicators!$B$1)&gt;3*[4]QC_indicators!$C$1,"DF","no"))),IF(ISNUMBER(CA1203),IF(ABS(CA1203-[4]QC_indicators!$B$1)&gt;3*[4]QC_indicators!$C$1,"DF","no")))</f>
        <v>no</v>
      </c>
      <c r="FA1203" t="str">
        <f>IF(LEN($CY1203)=0,"",IF(AND($CY1203&lt;(-0.05),$ES1203="C neutral forest and HWP assumption"),"Cneutral paradox",IF(AND($CY1203&gt;0.05,$EU1203="In-situ only assumption"),"In-situ only paradox","")))</f>
        <v/>
      </c>
      <c r="FB1203" s="319" t="s">
        <v>1177</v>
      </c>
      <c r="FD1203" s="317" t="s">
        <v>4883</v>
      </c>
    </row>
    <row r="1204" spans="1:160" ht="15" hidden="1" customHeight="1">
      <c r="A1204" s="173" t="s">
        <v>1161</v>
      </c>
      <c r="B1204" s="141" t="s">
        <v>1162</v>
      </c>
      <c r="C1204" s="141" t="s">
        <v>1163</v>
      </c>
      <c r="D1204" s="141" t="s">
        <v>1164</v>
      </c>
      <c r="E1204" s="141" t="s">
        <v>1165</v>
      </c>
      <c r="F1204" s="141" t="s">
        <v>1166</v>
      </c>
      <c r="G1204" s="141" t="s">
        <v>1167</v>
      </c>
      <c r="H1204" s="141"/>
      <c r="I1204" s="141">
        <v>2019</v>
      </c>
      <c r="J1204" s="141"/>
      <c r="K1204" s="141" t="s">
        <v>1168</v>
      </c>
      <c r="L1204" s="141"/>
      <c r="M1204" t="str">
        <f>LEFT($D1204,FIND(",",$D1204)-1)&amp;"_"&amp;I1204&amp;L1204</f>
        <v>Bosch_2019</v>
      </c>
      <c r="N1204" t="s">
        <v>222</v>
      </c>
      <c r="O1204" s="174" t="s">
        <v>225</v>
      </c>
      <c r="P1204" s="141" t="s">
        <v>223</v>
      </c>
      <c r="Q1204" s="317" t="s">
        <v>224</v>
      </c>
      <c r="R1204" s="318" t="s">
        <v>1029</v>
      </c>
      <c r="S1204" s="173" t="s">
        <v>1169</v>
      </c>
      <c r="T1204" s="141" t="s">
        <v>1178</v>
      </c>
      <c r="U1204" s="141" t="s">
        <v>1171</v>
      </c>
      <c r="V1204">
        <v>1</v>
      </c>
      <c r="W1204">
        <v>0</v>
      </c>
      <c r="X1204" s="141">
        <v>1</v>
      </c>
      <c r="Y1204" s="141">
        <v>0</v>
      </c>
      <c r="Z1204" s="141">
        <v>0</v>
      </c>
      <c r="AA1204" s="141">
        <v>0</v>
      </c>
      <c r="AB1204" s="141">
        <v>0</v>
      </c>
      <c r="AC1204" s="141">
        <v>0</v>
      </c>
      <c r="AD1204" s="141">
        <v>0</v>
      </c>
      <c r="AE1204" s="141">
        <v>0</v>
      </c>
      <c r="AF1204" s="141">
        <v>0</v>
      </c>
      <c r="AG1204" s="141">
        <v>0</v>
      </c>
      <c r="AH1204" s="141">
        <v>0</v>
      </c>
      <c r="AI1204" s="141">
        <v>0</v>
      </c>
      <c r="AJ1204" s="141">
        <v>0</v>
      </c>
      <c r="AK1204" s="141">
        <v>0</v>
      </c>
      <c r="AL1204" s="141">
        <v>0</v>
      </c>
      <c r="AM1204" s="141">
        <v>0</v>
      </c>
      <c r="AN1204" s="141">
        <v>0</v>
      </c>
      <c r="AO1204" s="141">
        <v>0</v>
      </c>
      <c r="AP1204" s="141">
        <v>0</v>
      </c>
      <c r="AQ1204" s="141">
        <v>0</v>
      </c>
      <c r="AR1204" s="141">
        <v>0</v>
      </c>
      <c r="AS1204" s="141">
        <v>0</v>
      </c>
      <c r="AT1204" s="141">
        <v>0</v>
      </c>
      <c r="AU1204" s="141">
        <v>0</v>
      </c>
      <c r="AV1204" s="141">
        <v>0</v>
      </c>
      <c r="AW1204" s="141">
        <v>0</v>
      </c>
      <c r="AX1204" s="141">
        <v>0</v>
      </c>
      <c r="AY1204" s="141">
        <v>0</v>
      </c>
      <c r="AZ1204" s="141">
        <f>COUNTIF(X1204:AY1204,"&lt;&gt;0")</f>
        <v>1</v>
      </c>
      <c r="BA1204" s="141">
        <f>COUNTIF(X1204:AN1204,"&lt;&gt;0")</f>
        <v>1</v>
      </c>
      <c r="BB1204">
        <f>COUNTIF(X1204:AE1204,"&lt;&gt;0")</f>
        <v>1</v>
      </c>
      <c r="BC1204">
        <f>COUNTIF(AF1204:AK1204,"&lt;&gt;0")</f>
        <v>0</v>
      </c>
      <c r="BD1204">
        <f>COUNTIF(AL1204:AN1204,"&lt;&gt;0")</f>
        <v>0</v>
      </c>
      <c r="BE1204">
        <f>COUNTIF(AU1204:AY1204,"&lt;&gt;0")</f>
        <v>0</v>
      </c>
      <c r="BF1204">
        <f>COUNTIF(AO1204:AT1204,"&lt;&gt;0")</f>
        <v>0</v>
      </c>
      <c r="BG1204" t="str" cm="1">
        <f t="array" ref="BG1204">IF(BA1204=1,INDEX($X$7:$AN$7,MATCH(TRUE,INDEX($X1204:$AY1204&lt;&gt;0,),0)),IF(BA1204=0,INDEX($AO$7:$AY$7,MATCH(1,$AO1204:$AY1204,0)),IF(BH1204="Multiple strategies","mixed drivers",IF(BH1204="Supply chain","multiple supply","multiple silviculture"))))</f>
        <v>area subject to harvest</v>
      </c>
      <c r="BH1204" s="2" t="str" cm="1">
        <f t="array" ref="BH1204">IF(COUNTIF(BB1204:BD1204,"&lt;&gt;0")=1,INDEX($X$4:$AY$4,MATCH(TRUE,INDEX($X1204:$AY1204&lt;&gt;0,),0)),IF(COUNTIF(BB1204:BD1204,"&lt;&gt;0")=0,INDEX($AO$4:$AY$4,MATCH(1,$AO1204:$AY1204,0)),"Multiple strategies"))</f>
        <v>Silviculture for removals</v>
      </c>
      <c r="BI1204" s="172" t="s">
        <v>321</v>
      </c>
      <c r="BJ1204" s="141" t="s">
        <v>1172</v>
      </c>
      <c r="BK1204" s="141" t="s">
        <v>1173</v>
      </c>
      <c r="BL1204" s="163" t="s">
        <v>1174</v>
      </c>
      <c r="BM1204" s="175">
        <v>2330</v>
      </c>
      <c r="BN1204" s="163">
        <v>2405</v>
      </c>
      <c r="BO1204" s="317">
        <f>BN1204/BM1204</f>
        <v>1.0321888412017168</v>
      </c>
      <c r="BP1204">
        <f>BN1204-BM1204</f>
        <v>75</v>
      </c>
      <c r="BQ1204" s="158">
        <f>BP1204*10^6</f>
        <v>75000000</v>
      </c>
      <c r="BR1204" s="141" t="s">
        <v>232</v>
      </c>
      <c r="BS1204" s="153" t="s">
        <v>429</v>
      </c>
      <c r="BT1204" s="151" t="s">
        <v>1175</v>
      </c>
      <c r="BU1204" s="141"/>
      <c r="BV1204" s="163"/>
      <c r="BW1204" s="144" t="str">
        <f>IFERROR(BV1204/BU1204,"")</f>
        <v/>
      </c>
      <c r="BX1204" s="175">
        <v>-58</v>
      </c>
      <c r="BY1204" s="194"/>
      <c r="BZ1204">
        <f>BX1204*10^6</f>
        <v>-58000000</v>
      </c>
      <c r="CA1204">
        <f>IFERROR(BZ1204/BQ1204,"")</f>
        <v>-0.77333333333333332</v>
      </c>
      <c r="CB1204" s="141">
        <v>0</v>
      </c>
      <c r="CC1204" s="141">
        <v>0</v>
      </c>
      <c r="CD1204" s="141">
        <v>0</v>
      </c>
      <c r="CE1204" s="141">
        <v>0</v>
      </c>
      <c r="CF1204" s="141">
        <v>0</v>
      </c>
      <c r="CG1204" s="141">
        <v>0</v>
      </c>
      <c r="CH1204" s="141">
        <v>0</v>
      </c>
      <c r="CI1204" s="141">
        <v>0</v>
      </c>
      <c r="CJ1204" s="141">
        <v>0</v>
      </c>
      <c r="CK1204" s="141">
        <v>0</v>
      </c>
      <c r="CL1204" s="141">
        <v>0</v>
      </c>
      <c r="CM1204" s="141">
        <v>0</v>
      </c>
      <c r="CN1204" s="141">
        <v>0</v>
      </c>
      <c r="CO1204" s="141">
        <v>1</v>
      </c>
      <c r="CP1204" t="str">
        <f>IF(BN1204&lt;BM1204,"refNeedCorrection","refOK")</f>
        <v>refOK</v>
      </c>
      <c r="CQ1204">
        <f>IF($CP1204="refOK",$BM1204,$BN1204)</f>
        <v>2330</v>
      </c>
      <c r="CR1204">
        <f>IF($CP1204="refOK",$BN1204,$BM1204)</f>
        <v>2405</v>
      </c>
      <c r="CS1204">
        <f>IF($CP1204="refOK",$BQ1204,-$BQ1204)</f>
        <v>75000000</v>
      </c>
      <c r="CT1204">
        <f>IF(BI1204="Roundwood",$CS1204/2,$CS1204)</f>
        <v>37500000</v>
      </c>
      <c r="CU1204">
        <f>IF($CP1204="refOK",$BU1204,$BV1204)*IF($BR1204="Emissions positive",-1,1)</f>
        <v>0</v>
      </c>
      <c r="CV1204">
        <f>IF($CP1204="refOK",$BV1204,$BU1204)*IF($BR1204="Emissions positive",-1,1)</f>
        <v>0</v>
      </c>
      <c r="CW1204">
        <f>IF($CP1204="refNeedCorrection",-BZ1204,BZ1204)*IF($BR1204="Emissions positive",-1,1)</f>
        <v>-58000000</v>
      </c>
      <c r="CX1204">
        <f>IFERROR($CW1204/$CS1204,"")</f>
        <v>-0.77333333333333332</v>
      </c>
      <c r="CY1204">
        <f>IFERROR($CW1204/$CS1204,"")</f>
        <v>-0.77333333333333332</v>
      </c>
      <c r="CZ1204">
        <f>IFERROR($CW1204/$CT1204,"")</f>
        <v>-1.5466666666666666</v>
      </c>
      <c r="DA1204" s="2" t="str">
        <f>IFERROR((CV1204-CU1204)/ABS(CU1204),"")</f>
        <v/>
      </c>
      <c r="DB1204" s="173" t="s">
        <v>1078</v>
      </c>
      <c r="DC1204" s="317" t="str">
        <f>IF(OR($DB1204="prd",$DB1204="std",$DB1204="cit"),"loc",IF(OR($DB1204="eur",$DB1204="reg",$DB1204="coy"),"reg",$DB1204))</f>
        <v>reg</v>
      </c>
      <c r="DD1204" s="141" t="s">
        <v>1176</v>
      </c>
      <c r="DE1204" s="141">
        <v>2016</v>
      </c>
      <c r="DF1204" s="163">
        <v>2046</v>
      </c>
      <c r="DG1204" s="163">
        <v>30</v>
      </c>
      <c r="DH1204" t="str">
        <f>IF(DG1204=0,"0",IF(AND(DG1204&gt;=1,DG1204&lt;=30),"1-30",IF(AND(DG1204&gt;30,DG1204&lt;=70),"31-70",IF(AND(DG1204&gt;70,DG1204&lt;=100),"71-100",IF(DG1204&gt;100,"+100")))))</f>
        <v>1-30</v>
      </c>
      <c r="DI1204" s="141">
        <v>1</v>
      </c>
      <c r="DJ1204" s="141">
        <v>1</v>
      </c>
      <c r="DK1204" s="141">
        <v>0</v>
      </c>
      <c r="DL1204" s="141">
        <v>1</v>
      </c>
      <c r="DN1204">
        <f>SUM(DI1204:DL1204)</f>
        <v>3</v>
      </c>
      <c r="DO1204" t="str">
        <f>IF(DN1204=1,INDEX($DI$7:$DL$7,MATCH(1,$DI1204:$DL1204,0)),"mixedProduct")</f>
        <v>mixedProduct</v>
      </c>
      <c r="DP1204" t="str">
        <f>IF(DI1204=1,DP$7,0)</f>
        <v>Upstream</v>
      </c>
      <c r="DQ1204" t="str">
        <f>IF(DJ1204=1,DQ$7,0)</f>
        <v>Energy</v>
      </c>
      <c r="DR1204">
        <f>IF(DK1204=1,DR$7,0)</f>
        <v>0</v>
      </c>
      <c r="DS1204" t="str">
        <f>IF(DL1204=1,DS$7,0)</f>
        <v>Timber</v>
      </c>
      <c r="DT1204" s="163">
        <v>0</v>
      </c>
      <c r="DU1204" s="141">
        <v>0</v>
      </c>
      <c r="DV1204" s="163">
        <v>0</v>
      </c>
      <c r="DW1204" s="163">
        <v>0</v>
      </c>
      <c r="DX1204" s="163">
        <v>0</v>
      </c>
      <c r="DY1204">
        <f>SUM(DT1204:DU1204)</f>
        <v>0</v>
      </c>
      <c r="DZ1204" s="143" t="str">
        <f>IF(DT1204=1,"self-calculated DF",IF(DU1204=1,"external DF used","explicit C balance"))</f>
        <v>explicit C balance</v>
      </c>
      <c r="EA1204" s="163">
        <v>1</v>
      </c>
      <c r="EB1204" s="141">
        <v>1</v>
      </c>
      <c r="EC1204" s="163">
        <v>1</v>
      </c>
      <c r="ED1204" s="163">
        <v>1</v>
      </c>
      <c r="EE1204" s="141">
        <v>0</v>
      </c>
      <c r="EF1204" s="141">
        <v>0</v>
      </c>
      <c r="EG1204" s="143">
        <v>0</v>
      </c>
      <c r="EH1204" s="141">
        <v>0</v>
      </c>
      <c r="EI1204" s="143">
        <v>0</v>
      </c>
      <c r="EJ1204" s="143">
        <v>0</v>
      </c>
      <c r="EK1204" s="141">
        <v>1</v>
      </c>
      <c r="EL1204" s="163">
        <v>0</v>
      </c>
      <c r="EM1204" s="141">
        <v>0</v>
      </c>
      <c r="EN1204" s="176">
        <v>0</v>
      </c>
      <c r="EP1204" t="str">
        <f>IF(AND(AND(AND(OR($EC1204=1,$EB1204=1),OR($EH1204=1,$EF1204=1)),SUM($EA1204:$EE1204,$EK1204)&gt;=3),SUM($EF1204:$EJ1204)&gt;=2),"Whole sector approach","")</f>
        <v/>
      </c>
      <c r="EQ1204" t="str">
        <f>IF(AND(AND(OR($EC1204=1,$EB1204=1),AND($EH1204=0,$EF1204=0)),SUM($EA1204:$EE1204,$EK1204)&gt;=3),"Ecosystem approach","")</f>
        <v>Ecosystem approach</v>
      </c>
      <c r="ER1204" s="2" t="str">
        <f>IF(AND(AND(AND($EC1204=0,$EB1204=0),OR($EH1204=1,$EF1204=1)),SUM($EG1204:$EJ1204)&gt;=2),"Technology approach","")</f>
        <v/>
      </c>
      <c r="ES1204" t="str">
        <f>IF(AND($EC1204+$EB1204+$EE1204+$EA1204+$ED1204+$EG1204=0,$N1204="included"),"C neutral forest and HWP assumption","")</f>
        <v/>
      </c>
      <c r="ET1204" t="str">
        <f>IF(AND(AND(AND(AND($EC1204=1,$EB1204+$EA1204+$EG1204&gt;=1),$EF1204=1),$EH1204+$EI1204+$ED1204+$EE1204&gt;=2),$N1204="included"),"All C pools assumption","")</f>
        <v/>
      </c>
      <c r="EU1204" t="str">
        <f>IF(AND($ED1204+$EE1204+$EI1204+$EH1204+$EF1204=0,$N1204="included"),"In-situ only assumption","")</f>
        <v/>
      </c>
      <c r="EW1204" s="141"/>
      <c r="EY1204" t="str">
        <f>IF(ISNUMBER(BW1204),IF(ABS(BW1204-[4]QC_indicators!$B$2)&gt;3*[4]QC_indicators!$C$2,"C ratio",IF(ISNUMBER(CA1204),IF(ABS(CA1204-[4]QC_indicators!$B$1)&gt;3*[4]QC_indicators!$C$1,"DF","no"))),IF(ISNUMBER(CA1204),IF(ABS(CA1204-[4]QC_indicators!$B$1)&gt;3*[4]QC_indicators!$C$1,"DF","no")))</f>
        <v>no</v>
      </c>
      <c r="FA1204" t="str">
        <f>IF(LEN($CY1204)=0,"",IF(AND($CY1204&lt;(-0.05),$ES1204="C neutral forest and HWP assumption"),"Cneutral paradox",IF(AND($CY1204&gt;0.05,$EU1204="In-situ only assumption"),"In-situ only paradox","")))</f>
        <v/>
      </c>
      <c r="FB1204" s="319" t="s">
        <v>1177</v>
      </c>
      <c r="FD1204" s="317" t="s">
        <v>4883</v>
      </c>
    </row>
    <row r="1205" spans="1:160" ht="18" customHeight="1">
      <c r="A1205" s="173" t="s">
        <v>1161</v>
      </c>
      <c r="B1205" s="141" t="s">
        <v>1162</v>
      </c>
      <c r="C1205" s="141" t="s">
        <v>1163</v>
      </c>
      <c r="D1205" s="141" t="s">
        <v>1164</v>
      </c>
      <c r="E1205" s="141" t="s">
        <v>1165</v>
      </c>
      <c r="F1205" s="141" t="s">
        <v>1166</v>
      </c>
      <c r="G1205" s="141" t="s">
        <v>1167</v>
      </c>
      <c r="H1205" s="141"/>
      <c r="I1205" s="141">
        <v>2019</v>
      </c>
      <c r="J1205" s="141"/>
      <c r="K1205" s="141" t="s">
        <v>1168</v>
      </c>
      <c r="L1205" s="141"/>
      <c r="M1205" t="str">
        <f>LEFT($D1205,FIND(",",$D1205)-1)&amp;"_"&amp;I1205&amp;L1205</f>
        <v>Bosch_2019</v>
      </c>
      <c r="N1205" t="s">
        <v>222</v>
      </c>
      <c r="O1205" s="174" t="s">
        <v>225</v>
      </c>
      <c r="P1205" s="141" t="s">
        <v>223</v>
      </c>
      <c r="Q1205" s="317" t="s">
        <v>224</v>
      </c>
      <c r="R1205" s="318" t="s">
        <v>1029</v>
      </c>
      <c r="S1205" s="173" t="s">
        <v>1169</v>
      </c>
      <c r="T1205" s="141" t="s">
        <v>1178</v>
      </c>
      <c r="U1205" s="141" t="s">
        <v>1171</v>
      </c>
      <c r="V1205">
        <v>1</v>
      </c>
      <c r="W1205">
        <v>0</v>
      </c>
      <c r="X1205" s="141">
        <v>1</v>
      </c>
      <c r="Y1205" s="141">
        <v>0</v>
      </c>
      <c r="Z1205" s="141">
        <v>0</v>
      </c>
      <c r="AA1205" s="141">
        <v>0</v>
      </c>
      <c r="AB1205" s="141">
        <v>0</v>
      </c>
      <c r="AC1205" s="141">
        <v>0</v>
      </c>
      <c r="AD1205" s="141">
        <v>0</v>
      </c>
      <c r="AE1205" s="141">
        <v>0</v>
      </c>
      <c r="AF1205" s="141">
        <v>0</v>
      </c>
      <c r="AG1205" s="141">
        <v>0</v>
      </c>
      <c r="AH1205" s="141">
        <v>0</v>
      </c>
      <c r="AI1205" s="141">
        <v>0</v>
      </c>
      <c r="AJ1205" s="141">
        <v>0</v>
      </c>
      <c r="AK1205" s="141">
        <v>0</v>
      </c>
      <c r="AL1205" s="141">
        <v>0</v>
      </c>
      <c r="AM1205" s="141">
        <v>0</v>
      </c>
      <c r="AN1205" s="141">
        <v>0</v>
      </c>
      <c r="AO1205" s="141">
        <v>0</v>
      </c>
      <c r="AP1205" s="141">
        <v>0</v>
      </c>
      <c r="AQ1205" s="141">
        <v>0</v>
      </c>
      <c r="AR1205" s="141">
        <v>0</v>
      </c>
      <c r="AS1205" s="141">
        <v>0</v>
      </c>
      <c r="AT1205" s="141">
        <v>0</v>
      </c>
      <c r="AU1205" s="141">
        <v>0</v>
      </c>
      <c r="AV1205" s="141">
        <v>0</v>
      </c>
      <c r="AW1205" s="141">
        <v>0</v>
      </c>
      <c r="AX1205" s="141">
        <v>0</v>
      </c>
      <c r="AY1205" s="141">
        <v>0</v>
      </c>
      <c r="AZ1205" s="141">
        <f>COUNTIF(X1205:AY1205,"&lt;&gt;0")</f>
        <v>1</v>
      </c>
      <c r="BA1205" s="141">
        <f>COUNTIF(X1205:AN1205,"&lt;&gt;0")</f>
        <v>1</v>
      </c>
      <c r="BB1205">
        <f>COUNTIF(X1205:AE1205,"&lt;&gt;0")</f>
        <v>1</v>
      </c>
      <c r="BC1205">
        <f>COUNTIF(AF1205:AK1205,"&lt;&gt;0")</f>
        <v>0</v>
      </c>
      <c r="BD1205">
        <f>COUNTIF(AL1205:AN1205,"&lt;&gt;0")</f>
        <v>0</v>
      </c>
      <c r="BE1205">
        <f>COUNTIF(AU1205:AY1205,"&lt;&gt;0")</f>
        <v>0</v>
      </c>
      <c r="BF1205">
        <f>COUNTIF(AO1205:AT1205,"&lt;&gt;0")</f>
        <v>0</v>
      </c>
      <c r="BG1205" t="str" cm="1">
        <f t="array" ref="BG1205">IF(BA1205=1,INDEX($X$7:$AN$7,MATCH(TRUE,INDEX($X1205:$AY1205&lt;&gt;0,),0)),IF(BA1205=0,INDEX($AO$7:$AY$7,MATCH(1,$AO1205:$AY1205,0)),IF(BH1205="Multiple strategies","mixed drivers",IF(BH1205="Supply chain","multiple supply","multiple silviculture"))))</f>
        <v>area subject to harvest</v>
      </c>
      <c r="BH1205" s="2" t="str" cm="1">
        <f t="array" ref="BH1205">IF(COUNTIF(BB1205:BD1205,"&lt;&gt;0")=1,INDEX($X$4:$AY$4,MATCH(TRUE,INDEX($X1205:$AY1205&lt;&gt;0,),0)),IF(COUNTIF(BB1205:BD1205,"&lt;&gt;0")=0,INDEX($AO$4:$AY$4,MATCH(1,$AO1205:$AY1205,0)),"Multiple strategies"))</f>
        <v>Silviculture for removals</v>
      </c>
      <c r="BI1205" s="172" t="s">
        <v>321</v>
      </c>
      <c r="BJ1205" s="141" t="s">
        <v>1172</v>
      </c>
      <c r="BK1205" s="141" t="s">
        <v>1173</v>
      </c>
      <c r="BL1205" s="163" t="s">
        <v>1174</v>
      </c>
      <c r="BM1205" s="175">
        <v>2330</v>
      </c>
      <c r="BN1205" s="163">
        <v>2405</v>
      </c>
      <c r="BO1205" s="317">
        <f>BN1205/BM1205</f>
        <v>1.0321888412017168</v>
      </c>
      <c r="BP1205">
        <f>BN1205-BM1205</f>
        <v>75</v>
      </c>
      <c r="BQ1205" s="158">
        <f>BP1205*10^6</f>
        <v>75000000</v>
      </c>
      <c r="BR1205" s="141" t="s">
        <v>232</v>
      </c>
      <c r="BS1205" s="153" t="s">
        <v>429</v>
      </c>
      <c r="BT1205" s="151" t="s">
        <v>1175</v>
      </c>
      <c r="BU1205" s="141"/>
      <c r="BV1205" s="163"/>
      <c r="BW1205" s="144" t="str">
        <f>IFERROR(BV1205/BU1205,"")</f>
        <v/>
      </c>
      <c r="BX1205" s="175">
        <v>-79</v>
      </c>
      <c r="BY1205" s="194"/>
      <c r="BZ1205">
        <f>BX1205*10^6</f>
        <v>-79000000</v>
      </c>
      <c r="CA1205">
        <f>IFERROR(BZ1205/BQ1205,"")</f>
        <v>-1.0533333333333332</v>
      </c>
      <c r="CB1205" s="141">
        <v>0</v>
      </c>
      <c r="CC1205" s="141">
        <v>0</v>
      </c>
      <c r="CD1205" s="141">
        <v>0</v>
      </c>
      <c r="CE1205" s="141">
        <v>0</v>
      </c>
      <c r="CF1205" s="141">
        <v>0</v>
      </c>
      <c r="CG1205" s="141">
        <v>0</v>
      </c>
      <c r="CH1205" s="141">
        <v>0</v>
      </c>
      <c r="CI1205" s="141">
        <v>0</v>
      </c>
      <c r="CJ1205" s="141">
        <v>0</v>
      </c>
      <c r="CK1205" s="141">
        <v>0</v>
      </c>
      <c r="CL1205" s="141">
        <v>0</v>
      </c>
      <c r="CM1205" s="141">
        <v>0</v>
      </c>
      <c r="CN1205" s="141">
        <v>0</v>
      </c>
      <c r="CO1205" s="141">
        <v>1</v>
      </c>
      <c r="CP1205" t="str">
        <f>IF(BN1205&lt;BM1205,"refNeedCorrection","refOK")</f>
        <v>refOK</v>
      </c>
      <c r="CQ1205">
        <f>IF($CP1205="refOK",$BM1205,$BN1205)</f>
        <v>2330</v>
      </c>
      <c r="CR1205">
        <f>IF($CP1205="refOK",$BN1205,$BM1205)</f>
        <v>2405</v>
      </c>
      <c r="CS1205">
        <f>IF($CP1205="refOK",$BQ1205,-$BQ1205)</f>
        <v>75000000</v>
      </c>
      <c r="CT1205">
        <f>IF(BI1205="Roundwood",$CS1205/2,$CS1205)</f>
        <v>37500000</v>
      </c>
      <c r="CU1205">
        <f>IF($CP1205="refOK",$BU1205,$BV1205)*IF($BR1205="Emissions positive",-1,1)</f>
        <v>0</v>
      </c>
      <c r="CV1205">
        <f>IF($CP1205="refOK",$BV1205,$BU1205)*IF($BR1205="Emissions positive",-1,1)</f>
        <v>0</v>
      </c>
      <c r="CW1205">
        <f>IF($CP1205="refNeedCorrection",-BZ1205,BZ1205)*IF($BR1205="Emissions positive",-1,1)</f>
        <v>-79000000</v>
      </c>
      <c r="CX1205">
        <f>IFERROR($CW1205/$CS1205,"")</f>
        <v>-1.0533333333333332</v>
      </c>
      <c r="CY1205">
        <f>IFERROR($CW1205/$CS1205,"")</f>
        <v>-1.0533333333333332</v>
      </c>
      <c r="CZ1205">
        <f>IFERROR($CW1205/$CT1205,"")</f>
        <v>-2.1066666666666665</v>
      </c>
      <c r="DA1205" s="2" t="str">
        <f>IFERROR((CV1205-CU1205)/ABS(CU1205),"")</f>
        <v/>
      </c>
      <c r="DB1205" s="173" t="s">
        <v>1078</v>
      </c>
      <c r="DC1205" s="317" t="str">
        <f>IF(OR($DB1205="prd",$DB1205="std",$DB1205="cit"),"loc",IF(OR($DB1205="eur",$DB1205="reg",$DB1205="coy"),"reg",$DB1205))</f>
        <v>reg</v>
      </c>
      <c r="DD1205" s="141" t="s">
        <v>1176</v>
      </c>
      <c r="DE1205" s="141">
        <v>2016</v>
      </c>
      <c r="DF1205" s="163">
        <v>2046</v>
      </c>
      <c r="DG1205" s="163">
        <v>30</v>
      </c>
      <c r="DH1205" t="str">
        <f>IF(DG1205=0,"0",IF(AND(DG1205&gt;=1,DG1205&lt;=30),"1-30",IF(AND(DG1205&gt;30,DG1205&lt;=70),"31-70",IF(AND(DG1205&gt;70,DG1205&lt;=100),"71-100",IF(DG1205&gt;100,"+100")))))</f>
        <v>1-30</v>
      </c>
      <c r="DI1205" s="141">
        <v>1</v>
      </c>
      <c r="DJ1205" s="141">
        <v>1</v>
      </c>
      <c r="DK1205" s="141">
        <v>0</v>
      </c>
      <c r="DL1205" s="141">
        <v>1</v>
      </c>
      <c r="DN1205">
        <f>SUM(DI1205:DL1205)</f>
        <v>3</v>
      </c>
      <c r="DO1205" t="str">
        <f>IF(DN1205=1,INDEX($DI$7:$DL$7,MATCH(1,$DI1205:$DL1205,0)),"mixedProduct")</f>
        <v>mixedProduct</v>
      </c>
      <c r="DP1205" t="str">
        <f>IF(DI1205=1,DP$7,0)</f>
        <v>Upstream</v>
      </c>
      <c r="DQ1205" t="str">
        <f>IF(DJ1205=1,DQ$7,0)</f>
        <v>Energy</v>
      </c>
      <c r="DR1205">
        <f>IF(DK1205=1,DR$7,0)</f>
        <v>0</v>
      </c>
      <c r="DS1205" t="str">
        <f>IF(DL1205=1,DS$7,0)</f>
        <v>Timber</v>
      </c>
      <c r="DT1205" s="163">
        <v>0</v>
      </c>
      <c r="DU1205" s="141">
        <v>0</v>
      </c>
      <c r="DV1205" s="163">
        <v>0</v>
      </c>
      <c r="DW1205" s="163">
        <v>0</v>
      </c>
      <c r="DX1205" s="163">
        <v>0</v>
      </c>
      <c r="DY1205">
        <f>SUM(DT1205:DU1205)</f>
        <v>0</v>
      </c>
      <c r="DZ1205" s="143" t="str">
        <f>IF(DT1205=1,"self-calculated DF",IF(DU1205=1,"external DF used","explicit C balance"))</f>
        <v>explicit C balance</v>
      </c>
      <c r="EA1205" s="163">
        <v>1</v>
      </c>
      <c r="EB1205" s="141">
        <v>1</v>
      </c>
      <c r="EC1205" s="163">
        <v>1</v>
      </c>
      <c r="ED1205" s="163">
        <v>0</v>
      </c>
      <c r="EE1205" s="141">
        <v>0</v>
      </c>
      <c r="EF1205" s="141">
        <v>0</v>
      </c>
      <c r="EG1205" s="143">
        <v>0</v>
      </c>
      <c r="EH1205" s="141">
        <v>0</v>
      </c>
      <c r="EI1205" s="143">
        <v>0</v>
      </c>
      <c r="EJ1205" s="143">
        <v>0</v>
      </c>
      <c r="EK1205" s="141">
        <v>1</v>
      </c>
      <c r="EL1205" s="163">
        <v>0</v>
      </c>
      <c r="EM1205" s="141">
        <v>0</v>
      </c>
      <c r="EN1205" s="176">
        <v>0</v>
      </c>
      <c r="EP1205" t="str">
        <f>IF(AND(AND(AND(OR($EC1205=1,$EB1205=1),OR($EH1205=1,$EF1205=1)),SUM($EA1205:$EE1205,$EK1205)&gt;=3),SUM($EF1205:$EJ1205)&gt;=2),"Whole sector approach","")</f>
        <v/>
      </c>
      <c r="EQ1205" t="str">
        <f>IF(AND(AND(OR($EC1205=1,$EB1205=1),AND($EH1205=0,$EF1205=0)),SUM($EA1205:$EE1205,$EK1205)&gt;=3),"Ecosystem approach","")</f>
        <v>Ecosystem approach</v>
      </c>
      <c r="ER1205" s="2" t="str">
        <f>IF(AND(AND(AND($EC1205=0,$EB1205=0),OR($EH1205=1,$EF1205=1)),SUM($EG1205:$EJ1205)&gt;=2),"Technology approach","")</f>
        <v/>
      </c>
      <c r="ES1205" t="str">
        <f>IF(AND($EC1205+$EB1205+$EE1205+$EA1205+$ED1205+$EG1205=0,$N1205="included"),"C neutral forest and HWP assumption","")</f>
        <v/>
      </c>
      <c r="ET1205" t="str">
        <f>IF(AND(AND(AND(AND($EC1205=1,$EB1205+$EA1205+$EG1205&gt;=1),$EF1205=1),$EH1205+$EI1205+$ED1205+$EE1205&gt;=2),$N1205="included"),"All C pools assumption","")</f>
        <v/>
      </c>
      <c r="EU1205" t="str">
        <f>IF(AND($ED1205+$EE1205+$EI1205+$EH1205+$EF1205=0,$N1205="included"),"In-situ only assumption","")</f>
        <v>In-situ only assumption</v>
      </c>
      <c r="EW1205" s="141"/>
      <c r="EY1205" t="str">
        <f>IF(ISNUMBER(BW1205),IF(ABS(BW1205-[4]QC_indicators!$B$2)&gt;3*[4]QC_indicators!$C$2,"C ratio",IF(ISNUMBER(CA1205),IF(ABS(CA1205-[4]QC_indicators!$B$1)&gt;3*[4]QC_indicators!$C$1,"DF","no"))),IF(ISNUMBER(CA1205),IF(ABS(CA1205-[4]QC_indicators!$B$1)&gt;3*[4]QC_indicators!$C$1,"DF","no")))</f>
        <v>no</v>
      </c>
      <c r="FA1205" t="str">
        <f>IF(LEN($CY1205)=0,"",IF(AND($CY1205&lt;(-0.05),$ES1205="C neutral forest and HWP assumption"),"Cneutral paradox",IF(AND($CY1205&gt;0.05,$EU1205="In-situ only assumption"),"In-situ only paradox","")))</f>
        <v/>
      </c>
      <c r="FB1205" s="319" t="s">
        <v>1177</v>
      </c>
      <c r="FD1205" s="317" t="s">
        <v>4883</v>
      </c>
    </row>
    <row r="1206" spans="1:160" ht="15" customHeight="1">
      <c r="A1206" s="173" t="s">
        <v>1161</v>
      </c>
      <c r="B1206" s="141" t="s">
        <v>1162</v>
      </c>
      <c r="C1206" s="141" t="s">
        <v>1163</v>
      </c>
      <c r="D1206" s="141" t="s">
        <v>1164</v>
      </c>
      <c r="E1206" s="141" t="s">
        <v>1165</v>
      </c>
      <c r="F1206" s="141" t="s">
        <v>1166</v>
      </c>
      <c r="G1206" s="141" t="s">
        <v>1167</v>
      </c>
      <c r="H1206" s="141"/>
      <c r="I1206" s="141">
        <v>2019</v>
      </c>
      <c r="J1206" s="141"/>
      <c r="K1206" s="141" t="s">
        <v>1168</v>
      </c>
      <c r="L1206" s="141"/>
      <c r="M1206" t="str">
        <f>LEFT($D1206,FIND(",",$D1206)-1)&amp;"_"&amp;I1206&amp;L1206</f>
        <v>Bosch_2019</v>
      </c>
      <c r="N1206" t="s">
        <v>222</v>
      </c>
      <c r="O1206" s="174" t="s">
        <v>225</v>
      </c>
      <c r="P1206" s="141" t="s">
        <v>223</v>
      </c>
      <c r="Q1206" s="317" t="s">
        <v>224</v>
      </c>
      <c r="R1206" s="318" t="s">
        <v>1029</v>
      </c>
      <c r="S1206" s="173" t="s">
        <v>4882</v>
      </c>
      <c r="T1206" s="141" t="s">
        <v>1170</v>
      </c>
      <c r="U1206" s="141" t="s">
        <v>1171</v>
      </c>
      <c r="V1206">
        <v>1</v>
      </c>
      <c r="W1206">
        <v>0</v>
      </c>
      <c r="X1206" s="141">
        <v>1</v>
      </c>
      <c r="Y1206" s="141">
        <v>0</v>
      </c>
      <c r="Z1206" s="141">
        <v>0</v>
      </c>
      <c r="AA1206" s="141">
        <v>0</v>
      </c>
      <c r="AB1206" s="141">
        <v>0</v>
      </c>
      <c r="AC1206" s="141">
        <v>0</v>
      </c>
      <c r="AD1206" s="141">
        <v>0</v>
      </c>
      <c r="AE1206" s="141">
        <v>0</v>
      </c>
      <c r="AF1206" s="141">
        <v>0</v>
      </c>
      <c r="AG1206" s="141">
        <v>0</v>
      </c>
      <c r="AH1206" s="141">
        <v>0</v>
      </c>
      <c r="AI1206" s="141">
        <v>0</v>
      </c>
      <c r="AJ1206" s="141">
        <v>0</v>
      </c>
      <c r="AK1206" s="141">
        <v>0</v>
      </c>
      <c r="AL1206" s="141">
        <v>0</v>
      </c>
      <c r="AM1206" s="141">
        <v>0</v>
      </c>
      <c r="AN1206" s="141">
        <v>0</v>
      </c>
      <c r="AO1206" s="141">
        <v>0</v>
      </c>
      <c r="AP1206" s="141">
        <v>0</v>
      </c>
      <c r="AQ1206" s="141">
        <v>0</v>
      </c>
      <c r="AR1206" s="141">
        <v>0</v>
      </c>
      <c r="AS1206" s="141">
        <v>0</v>
      </c>
      <c r="AT1206" s="141">
        <v>0</v>
      </c>
      <c r="AU1206" s="141">
        <v>0</v>
      </c>
      <c r="AV1206" s="141">
        <v>0</v>
      </c>
      <c r="AW1206" s="141">
        <v>0</v>
      </c>
      <c r="AX1206" s="141">
        <v>0</v>
      </c>
      <c r="AY1206" s="141">
        <v>0</v>
      </c>
      <c r="AZ1206" s="141">
        <f>COUNTIF(X1206:AY1206,"&lt;&gt;0")</f>
        <v>1</v>
      </c>
      <c r="BA1206" s="141">
        <f>COUNTIF(X1206:AN1206,"&lt;&gt;0")</f>
        <v>1</v>
      </c>
      <c r="BB1206">
        <f>COUNTIF(X1206:AE1206,"&lt;&gt;0")</f>
        <v>1</v>
      </c>
      <c r="BC1206">
        <f>COUNTIF(AF1206:AK1206,"&lt;&gt;0")</f>
        <v>0</v>
      </c>
      <c r="BD1206">
        <f>COUNTIF(AL1206:AN1206,"&lt;&gt;0")</f>
        <v>0</v>
      </c>
      <c r="BE1206">
        <f>COUNTIF(AU1206:AY1206,"&lt;&gt;0")</f>
        <v>0</v>
      </c>
      <c r="BF1206">
        <f>COUNTIF(AO1206:AT1206,"&lt;&gt;0")</f>
        <v>0</v>
      </c>
      <c r="BG1206" t="str" cm="1">
        <f t="array" ref="BG1206">IF(BA1206=1,INDEX($X$7:$AN$7,MATCH(TRUE,INDEX($X1206:$AY1206&lt;&gt;0,),0)),IF(BA1206=0,INDEX($AO$7:$AY$7,MATCH(1,$AO1206:$AY1206,0)),IF(BH1206="Multiple strategies","mixed drivers",IF(BH1206="Supply chain","multiple supply","multiple silviculture"))))</f>
        <v>area subject to harvest</v>
      </c>
      <c r="BH1206" s="2" t="str" cm="1">
        <f t="array" ref="BH1206">IF(COUNTIF(BB1206:BD1206,"&lt;&gt;0")=1,INDEX($X$4:$AY$4,MATCH(TRUE,INDEX($X1206:$AY1206&lt;&gt;0,),0)),IF(COUNTIF(BB1206:BD1206,"&lt;&gt;0")=0,INDEX($AO$4:$AY$4,MATCH(1,$AO1206:$AY1206,0)),"Multiple strategies"))</f>
        <v>Silviculture for removals</v>
      </c>
      <c r="BI1206" s="172" t="s">
        <v>321</v>
      </c>
      <c r="BJ1206" s="141" t="s">
        <v>1172</v>
      </c>
      <c r="BK1206" s="141" t="s">
        <v>1173</v>
      </c>
      <c r="BL1206" s="163" t="s">
        <v>1174</v>
      </c>
      <c r="BM1206" s="158">
        <v>2159</v>
      </c>
      <c r="BN1206" s="163">
        <v>2405</v>
      </c>
      <c r="BO1206" s="317">
        <f>BN1206/BM1206</f>
        <v>1.1139416396479851</v>
      </c>
      <c r="BP1206">
        <f>BN1206-BM1206</f>
        <v>246</v>
      </c>
      <c r="BQ1206" s="158">
        <f>BP1206*10^6</f>
        <v>246000000</v>
      </c>
      <c r="BR1206" s="141" t="s">
        <v>232</v>
      </c>
      <c r="BS1206" s="153" t="s">
        <v>766</v>
      </c>
      <c r="BT1206" s="151" t="s">
        <v>1175</v>
      </c>
      <c r="BU1206" s="141"/>
      <c r="BV1206" s="163"/>
      <c r="BW1206" s="144" t="str">
        <f>IFERROR(BV1206/BU1206,"")</f>
        <v/>
      </c>
      <c r="BX1206" s="175">
        <v>-261</v>
      </c>
      <c r="BY1206" s="194"/>
      <c r="BZ1206">
        <f>BX1206*10^6</f>
        <v>-261000000</v>
      </c>
      <c r="CA1206">
        <f>IFERROR(BZ1206/BQ1206,"")</f>
        <v>-1.0609756097560976</v>
      </c>
      <c r="CB1206" s="141">
        <v>0</v>
      </c>
      <c r="CC1206" s="141">
        <v>0</v>
      </c>
      <c r="CD1206" s="141">
        <v>0</v>
      </c>
      <c r="CE1206" s="141">
        <v>0</v>
      </c>
      <c r="CF1206" s="141">
        <v>0</v>
      </c>
      <c r="CG1206" s="141">
        <v>0</v>
      </c>
      <c r="CH1206" s="141">
        <v>0</v>
      </c>
      <c r="CI1206" s="141">
        <v>0</v>
      </c>
      <c r="CJ1206" s="141">
        <v>0</v>
      </c>
      <c r="CK1206" s="141">
        <v>0</v>
      </c>
      <c r="CL1206" s="141">
        <v>0</v>
      </c>
      <c r="CM1206" s="141">
        <v>0</v>
      </c>
      <c r="CN1206" s="141">
        <v>0</v>
      </c>
      <c r="CO1206" s="141">
        <v>1</v>
      </c>
      <c r="CP1206" t="str">
        <f>IF(BN1206&lt;BM1206,"refNeedCorrection","refOK")</f>
        <v>refOK</v>
      </c>
      <c r="CQ1206">
        <f>IF($CP1206="refOK",$BM1206,$BN1206)</f>
        <v>2159</v>
      </c>
      <c r="CR1206">
        <f>IF($CP1206="refOK",$BN1206,$BM1206)</f>
        <v>2405</v>
      </c>
      <c r="CS1206">
        <f>IF($CP1206="refOK",$BQ1206,-$BQ1206)</f>
        <v>246000000</v>
      </c>
      <c r="CT1206">
        <f>IF(BI1206="Roundwood",$CS1206/2,$CS1206)</f>
        <v>123000000</v>
      </c>
      <c r="CU1206">
        <f>IF($CP1206="refOK",$BU1206,$BV1206)*IF($BR1206="Emissions positive",-1,1)</f>
        <v>0</v>
      </c>
      <c r="CV1206">
        <f>IF($CP1206="refOK",$BV1206,$BU1206)*IF($BR1206="Emissions positive",-1,1)</f>
        <v>0</v>
      </c>
      <c r="CW1206">
        <f>IF($CP1206="refNeedCorrection",-BZ1206,BZ1206)*IF($BR1206="Emissions positive",-1,1)</f>
        <v>-261000000</v>
      </c>
      <c r="CX1206">
        <f>IFERROR($CW1206/$CS1206,"")</f>
        <v>-1.0609756097560976</v>
      </c>
      <c r="CY1206">
        <f>IFERROR($CW1206/$CS1206,"")</f>
        <v>-1.0609756097560976</v>
      </c>
      <c r="CZ1206">
        <f>IFERROR($CW1206/$CT1206,"")</f>
        <v>-2.1219512195121952</v>
      </c>
      <c r="DA1206" s="2" t="str">
        <f>IFERROR((CV1206-CU1206)/ABS(CU1206),"")</f>
        <v/>
      </c>
      <c r="DB1206" s="173" t="s">
        <v>1078</v>
      </c>
      <c r="DC1206" s="317" t="str">
        <f>IF(OR($DB1206="prd",$DB1206="std",$DB1206="cit"),"loc",IF(OR($DB1206="eur",$DB1206="reg",$DB1206="coy"),"reg",$DB1206))</f>
        <v>reg</v>
      </c>
      <c r="DD1206" s="141" t="s">
        <v>1176</v>
      </c>
      <c r="DE1206" s="141">
        <v>2016</v>
      </c>
      <c r="DF1206" s="163">
        <v>2046</v>
      </c>
      <c r="DG1206" s="163">
        <v>30</v>
      </c>
      <c r="DH1206" t="str">
        <f>IF(DG1206=0,"0",IF(AND(DG1206&gt;=1,DG1206&lt;=30),"1-30",IF(AND(DG1206&gt;30,DG1206&lt;=70),"31-70",IF(AND(DG1206&gt;70,DG1206&lt;=100),"71-100",IF(DG1206&gt;100,"+100")))))</f>
        <v>1-30</v>
      </c>
      <c r="DI1206" s="141">
        <v>1</v>
      </c>
      <c r="DJ1206" s="141">
        <v>1</v>
      </c>
      <c r="DK1206" s="141">
        <v>0</v>
      </c>
      <c r="DL1206" s="141">
        <v>1</v>
      </c>
      <c r="DN1206">
        <f>SUM(DI1206:DL1206)</f>
        <v>3</v>
      </c>
      <c r="DO1206" t="str">
        <f>IF(DN1206=1,INDEX($DI$7:$DL$7,MATCH(1,$DI1206:$DL1206,0)),"mixedProduct")</f>
        <v>mixedProduct</v>
      </c>
      <c r="DP1206" t="str">
        <f>IF(DI1206=1,DP$7,0)</f>
        <v>Upstream</v>
      </c>
      <c r="DQ1206" t="str">
        <f>IF(DJ1206=1,DQ$7,0)</f>
        <v>Energy</v>
      </c>
      <c r="DR1206">
        <f>IF(DK1206=1,DR$7,0)</f>
        <v>0</v>
      </c>
      <c r="DS1206" t="str">
        <f>IF(DL1206=1,DS$7,0)</f>
        <v>Timber</v>
      </c>
      <c r="DT1206" s="163">
        <v>0</v>
      </c>
      <c r="DU1206" s="141">
        <v>0</v>
      </c>
      <c r="DV1206" s="163">
        <v>0</v>
      </c>
      <c r="DW1206" s="163">
        <v>0</v>
      </c>
      <c r="DX1206" s="163">
        <v>0</v>
      </c>
      <c r="DY1206">
        <f>SUM(DT1206:DU1206)</f>
        <v>0</v>
      </c>
      <c r="DZ1206" s="143" t="str">
        <f>IF(DT1206=1,"self-calculated DF",IF(DU1206=1,"external DF used","explicit C balance"))</f>
        <v>explicit C balance</v>
      </c>
      <c r="EA1206" s="163">
        <v>1</v>
      </c>
      <c r="EB1206" s="141">
        <v>1</v>
      </c>
      <c r="EC1206" s="163">
        <v>1</v>
      </c>
      <c r="ED1206" s="163">
        <v>0</v>
      </c>
      <c r="EE1206" s="141">
        <v>0</v>
      </c>
      <c r="EF1206" s="141">
        <v>0</v>
      </c>
      <c r="EG1206" s="143">
        <v>0</v>
      </c>
      <c r="EH1206" s="141">
        <v>0</v>
      </c>
      <c r="EI1206" s="143">
        <v>0</v>
      </c>
      <c r="EJ1206" s="143">
        <v>0</v>
      </c>
      <c r="EK1206" s="141">
        <v>1</v>
      </c>
      <c r="EL1206" s="163">
        <v>0</v>
      </c>
      <c r="EM1206" s="141">
        <v>0</v>
      </c>
      <c r="EN1206" s="176">
        <v>0</v>
      </c>
      <c r="EP1206" t="str">
        <f>IF(AND(AND(AND(OR($EC1206=1,$EB1206=1),OR($EH1206=1,$EF1206=1)),SUM($EA1206:$EE1206,$EK1206)&gt;=3),SUM($EF1206:$EJ1206)&gt;=2),"Whole sector approach","")</f>
        <v/>
      </c>
      <c r="EQ1206" t="str">
        <f>IF(AND(AND(OR($EC1206=1,$EB1206=1),AND($EH1206=0,$EF1206=0)),SUM($EA1206:$EE1206,$EK1206)&gt;=3),"Ecosystem approach","")</f>
        <v>Ecosystem approach</v>
      </c>
      <c r="ER1206" s="2" t="str">
        <f>IF(AND(AND(AND($EC1206=0,$EB1206=0),OR($EH1206=1,$EF1206=1)),SUM($EG1206:$EJ1206)&gt;=2),"Technology approach","")</f>
        <v/>
      </c>
      <c r="ES1206" t="str">
        <f>IF(AND($EC1206+$EB1206+$EE1206+$EA1206+$ED1206+$EG1206=0,$N1206="included"),"C neutral forest and HWP assumption","")</f>
        <v/>
      </c>
      <c r="ET1206" t="str">
        <f>IF(AND(AND(AND(AND($EC1206=1,$EB1206+$EA1206+$EG1206&gt;=1),$EF1206=1),$EH1206+$EI1206+$ED1206+$EE1206&gt;=2),$N1206="included"),"All C pools assumption","")</f>
        <v/>
      </c>
      <c r="EU1206" t="str">
        <f>IF(AND($ED1206+$EE1206+$EI1206+$EH1206+$EF1206=0,$N1206="included"),"In-situ only assumption","")</f>
        <v>In-situ only assumption</v>
      </c>
      <c r="EW1206" s="141"/>
      <c r="EY1206" t="str">
        <f>IF(ISNUMBER(BW1206),IF(ABS(BW1206-[4]QC_indicators!$B$2)&gt;3*[4]QC_indicators!$C$2,"C ratio",IF(ISNUMBER(CA1206),IF(ABS(CA1206-[4]QC_indicators!$B$1)&gt;3*[4]QC_indicators!$C$1,"DF","no"))),IF(ISNUMBER(CA1206),IF(ABS(CA1206-[4]QC_indicators!$B$1)&gt;3*[4]QC_indicators!$C$1,"DF","no")))</f>
        <v>no</v>
      </c>
      <c r="FA1206" t="str">
        <f>IF(LEN($CY1206)=0,"",IF(AND($CY1206&lt;(-0.05),$ES1206="C neutral forest and HWP assumption"),"Cneutral paradox",IF(AND($CY1206&gt;0.05,$EU1206="In-situ only assumption"),"In-situ only paradox","")))</f>
        <v/>
      </c>
      <c r="FB1206" s="319" t="s">
        <v>1177</v>
      </c>
      <c r="FD1206" s="317" t="s">
        <v>4883</v>
      </c>
    </row>
    <row r="1207" spans="1:160" ht="15" hidden="1" customHeight="1">
      <c r="A1207" s="173" t="s">
        <v>1161</v>
      </c>
      <c r="B1207" s="141" t="s">
        <v>1162</v>
      </c>
      <c r="C1207" s="141" t="s">
        <v>1163</v>
      </c>
      <c r="D1207" s="141" t="s">
        <v>1164</v>
      </c>
      <c r="E1207" s="141" t="s">
        <v>1165</v>
      </c>
      <c r="F1207" s="141" t="s">
        <v>1166</v>
      </c>
      <c r="G1207" s="141" t="s">
        <v>1167</v>
      </c>
      <c r="H1207" s="141"/>
      <c r="I1207" s="141">
        <v>2019</v>
      </c>
      <c r="J1207" s="141"/>
      <c r="K1207" s="141" t="s">
        <v>1168</v>
      </c>
      <c r="L1207" s="141"/>
      <c r="M1207" t="str">
        <f>LEFT($D1207,FIND(",",$D1207)-1)&amp;"_"&amp;I1207&amp;L1207</f>
        <v>Bosch_2019</v>
      </c>
      <c r="N1207" t="s">
        <v>222</v>
      </c>
      <c r="O1207" s="174" t="s">
        <v>225</v>
      </c>
      <c r="P1207" s="141" t="s">
        <v>223</v>
      </c>
      <c r="Q1207" s="317" t="s">
        <v>224</v>
      </c>
      <c r="R1207" s="318" t="s">
        <v>1029</v>
      </c>
      <c r="S1207" s="173" t="s">
        <v>1181</v>
      </c>
      <c r="T1207" s="141" t="s">
        <v>1182</v>
      </c>
      <c r="U1207" s="141" t="s">
        <v>1171</v>
      </c>
      <c r="V1207" s="253">
        <v>0</v>
      </c>
      <c r="W1207" s="253">
        <v>0</v>
      </c>
      <c r="X1207" s="141">
        <v>0</v>
      </c>
      <c r="Y1207" s="141">
        <v>0</v>
      </c>
      <c r="Z1207" s="141">
        <v>1</v>
      </c>
      <c r="AA1207" s="141">
        <v>0</v>
      </c>
      <c r="AB1207" s="141">
        <v>0</v>
      </c>
      <c r="AC1207" s="141">
        <v>0</v>
      </c>
      <c r="AD1207" s="141">
        <v>0</v>
      </c>
      <c r="AE1207" s="141">
        <v>0</v>
      </c>
      <c r="AF1207" s="141">
        <v>0</v>
      </c>
      <c r="AG1207" s="141">
        <v>0</v>
      </c>
      <c r="AH1207" s="141">
        <v>0</v>
      </c>
      <c r="AI1207" s="141">
        <v>0</v>
      </c>
      <c r="AJ1207" s="141">
        <v>0</v>
      </c>
      <c r="AK1207" s="141">
        <v>0</v>
      </c>
      <c r="AL1207" s="141">
        <v>0</v>
      </c>
      <c r="AM1207" s="141">
        <v>0</v>
      </c>
      <c r="AN1207" s="141">
        <v>0</v>
      </c>
      <c r="AO1207" s="141">
        <v>0</v>
      </c>
      <c r="AP1207" s="141">
        <v>0</v>
      </c>
      <c r="AQ1207" s="141">
        <v>0</v>
      </c>
      <c r="AR1207" s="141">
        <v>0</v>
      </c>
      <c r="AS1207" s="141">
        <v>0</v>
      </c>
      <c r="AT1207" s="141">
        <v>0</v>
      </c>
      <c r="AU1207" s="141">
        <v>0</v>
      </c>
      <c r="AV1207" s="141">
        <v>0</v>
      </c>
      <c r="AW1207" s="141">
        <v>0</v>
      </c>
      <c r="AX1207" s="141">
        <v>0</v>
      </c>
      <c r="AY1207" s="141">
        <v>0</v>
      </c>
      <c r="AZ1207" s="141">
        <f>COUNTIF(X1207:AY1207,"&lt;&gt;0")</f>
        <v>1</v>
      </c>
      <c r="BA1207" s="141">
        <f>COUNTIF(X1207:AN1207,"&lt;&gt;0")</f>
        <v>1</v>
      </c>
      <c r="BB1207">
        <f>COUNTIF(X1207:AE1207,"&lt;&gt;0")</f>
        <v>1</v>
      </c>
      <c r="BC1207">
        <f>COUNTIF(AF1207:AK1207,"&lt;&gt;0")</f>
        <v>0</v>
      </c>
      <c r="BD1207">
        <f>COUNTIF(AL1207:AN1207,"&lt;&gt;0")</f>
        <v>0</v>
      </c>
      <c r="BE1207">
        <f>COUNTIF(AU1207:AY1207,"&lt;&gt;0")</f>
        <v>0</v>
      </c>
      <c r="BF1207">
        <f>COUNTIF(AO1207:AT1207,"&lt;&gt;0")</f>
        <v>0</v>
      </c>
      <c r="BG1207" t="str" cm="1">
        <f t="array" ref="BG1207">IF(BA1207=1,INDEX($X$7:$AN$7,MATCH(TRUE,INDEX($X1207:$AY1207&lt;&gt;0,),0)),IF(BA1207=0,INDEX($AO$7:$AY$7,MATCH(1,$AO1207:$AY1207,0)),IF(BH1207="Multiple strategies","mixed drivers",IF(BH1207="Supply chain","multiple supply","multiple silviculture"))))</f>
        <v>rotation length</v>
      </c>
      <c r="BH1207" s="2" t="str" cm="1">
        <f t="array" ref="BH1207">IF(COUNTIF(BB1207:BD1207,"&lt;&gt;0")=1,INDEX($X$4:$AY$4,MATCH(TRUE,INDEX($X1207:$AY1207&lt;&gt;0,),0)),IF(COUNTIF(BB1207:BD1207,"&lt;&gt;0")=0,INDEX($AO$4:$AY$4,MATCH(1,$AO1207:$AY1207,0)),"Multiple strategies"))</f>
        <v>Silviculture for removals</v>
      </c>
      <c r="BI1207" s="172" t="s">
        <v>321</v>
      </c>
      <c r="BJ1207" s="141" t="s">
        <v>1172</v>
      </c>
      <c r="BK1207" s="141" t="s">
        <v>1173</v>
      </c>
      <c r="BL1207" s="163" t="s">
        <v>1174</v>
      </c>
      <c r="BM1207" s="175">
        <v>2167</v>
      </c>
      <c r="BN1207" s="163">
        <v>2405</v>
      </c>
      <c r="BO1207" s="163">
        <f>BN1207/BM1207</f>
        <v>1.1098292570373789</v>
      </c>
      <c r="BP1207">
        <f>BN1207-BM1207</f>
        <v>238</v>
      </c>
      <c r="BQ1207" s="158">
        <f>BP1207*10^6</f>
        <v>238000000</v>
      </c>
      <c r="BR1207" s="141" t="s">
        <v>232</v>
      </c>
      <c r="BS1207" s="317" t="s">
        <v>687</v>
      </c>
      <c r="BT1207" s="151" t="s">
        <v>1175</v>
      </c>
      <c r="BU1207" s="163"/>
      <c r="BV1207" s="141"/>
      <c r="BW1207" s="144"/>
      <c r="BX1207" s="175">
        <v>56</v>
      </c>
      <c r="BY1207" s="194"/>
      <c r="BZ1207">
        <f>BX1207*10^6</f>
        <v>56000000</v>
      </c>
      <c r="CA1207">
        <f>IFERROR(BZ1207/BQ1207,"")</f>
        <v>0.23529411764705882</v>
      </c>
      <c r="CB1207" s="141">
        <v>0</v>
      </c>
      <c r="CC1207" s="141">
        <v>0</v>
      </c>
      <c r="CD1207" s="141">
        <v>0</v>
      </c>
      <c r="CE1207" s="141">
        <v>0</v>
      </c>
      <c r="CF1207" s="141">
        <v>0</v>
      </c>
      <c r="CG1207" s="141">
        <v>0</v>
      </c>
      <c r="CH1207" s="141">
        <v>0</v>
      </c>
      <c r="CI1207" s="141">
        <v>0</v>
      </c>
      <c r="CJ1207" s="141">
        <v>0</v>
      </c>
      <c r="CK1207" s="141">
        <v>0</v>
      </c>
      <c r="CL1207" s="141">
        <v>0</v>
      </c>
      <c r="CM1207" s="141">
        <v>0</v>
      </c>
      <c r="CN1207" s="141">
        <v>0</v>
      </c>
      <c r="CO1207" s="141">
        <v>1</v>
      </c>
      <c r="CP1207" t="str">
        <f>IF(BN1207&lt;BM1207,"refNeedCorrection","refOK")</f>
        <v>refOK</v>
      </c>
      <c r="CQ1207">
        <f>IF($CP1207="refOK",$BM1207,$BN1207)</f>
        <v>2167</v>
      </c>
      <c r="CR1207">
        <f>IF($CP1207="refOK",$BN1207,$BM1207)</f>
        <v>2405</v>
      </c>
      <c r="CS1207">
        <f>IF($CP1207="refOK",$BQ1207,-$BQ1207)</f>
        <v>238000000</v>
      </c>
      <c r="CT1207">
        <f>IF(BI1207="Roundwood",$CS1207/2,$CS1207)</f>
        <v>119000000</v>
      </c>
      <c r="CU1207">
        <f>IF($CP1207="refOK",$BU1207,$BV1207)*IF($BR1207="Emissions positive",-1,1)</f>
        <v>0</v>
      </c>
      <c r="CV1207">
        <f>IF($CP1207="refOK",$BV1207,$BU1207)*IF($BR1207="Emissions positive",-1,1)</f>
        <v>0</v>
      </c>
      <c r="CW1207">
        <f>IF($CP1207="refNeedCorrection",-BZ1207,BZ1207)*IF($BR1207="Emissions positive",-1,1)</f>
        <v>56000000</v>
      </c>
      <c r="CX1207">
        <f>IFERROR($CW1207/$CS1207,"")</f>
        <v>0.23529411764705882</v>
      </c>
      <c r="CY1207">
        <f>IFERROR($CW1207/$CS1207,"")</f>
        <v>0.23529411764705882</v>
      </c>
      <c r="CZ1207">
        <f>IFERROR($CW1207/$CT1207,"")</f>
        <v>0.47058823529411764</v>
      </c>
      <c r="DA1207" s="2" t="str">
        <f>IFERROR((CV1207-CU1207)/ABS(CU1207),"")</f>
        <v/>
      </c>
      <c r="DB1207" s="173" t="s">
        <v>1078</v>
      </c>
      <c r="DC1207" s="317" t="str">
        <f>IF(OR($DB1207="prd",$DB1207="std",$DB1207="cit"),"loc",IF(OR($DB1207="eur",$DB1207="reg",$DB1207="coy"),"reg",$DB1207))</f>
        <v>reg</v>
      </c>
      <c r="DD1207" s="141" t="s">
        <v>1176</v>
      </c>
      <c r="DE1207" s="141">
        <v>2016</v>
      </c>
      <c r="DF1207" s="163">
        <v>2046</v>
      </c>
      <c r="DG1207" s="163">
        <v>30</v>
      </c>
      <c r="DH1207" t="str">
        <f>IF(DG1207=0,"0",IF(AND(DG1207&gt;=1,DG1207&lt;=30),"1-30",IF(AND(DG1207&gt;30,DG1207&lt;=70),"31-70",IF(AND(DG1207&gt;70,DG1207&lt;=100),"71-100",IF(DG1207&gt;100,"+100")))))</f>
        <v>1-30</v>
      </c>
      <c r="DI1207" s="141">
        <v>1</v>
      </c>
      <c r="DJ1207" s="141">
        <v>1</v>
      </c>
      <c r="DK1207" s="141">
        <v>0</v>
      </c>
      <c r="DL1207" s="141">
        <v>1</v>
      </c>
      <c r="DN1207">
        <f>SUM(DI1207:DL1207)</f>
        <v>3</v>
      </c>
      <c r="DO1207" t="str">
        <f>IF(DN1207=1,INDEX($DI$7:$DL$7,MATCH(1,$DI1207:$DL1207,0)),"mixedProduct")</f>
        <v>mixedProduct</v>
      </c>
      <c r="DP1207" t="str">
        <f>IF(DI1207=1,DP$7,0)</f>
        <v>Upstream</v>
      </c>
      <c r="DQ1207" t="str">
        <f>IF(DJ1207=1,DQ$7,0)</f>
        <v>Energy</v>
      </c>
      <c r="DR1207">
        <f>IF(DK1207=1,DR$7,0)</f>
        <v>0</v>
      </c>
      <c r="DS1207" t="str">
        <f>IF(DL1207=1,DS$7,0)</f>
        <v>Timber</v>
      </c>
      <c r="DT1207" s="163">
        <v>0</v>
      </c>
      <c r="DU1207" s="141">
        <v>0</v>
      </c>
      <c r="DV1207" s="163">
        <v>0</v>
      </c>
      <c r="DW1207" s="163">
        <v>0</v>
      </c>
      <c r="DX1207" s="163">
        <v>0</v>
      </c>
      <c r="DY1207">
        <f>SUM(DT1207:DU1207)</f>
        <v>0</v>
      </c>
      <c r="DZ1207" s="143" t="str">
        <f>IF(DT1207=1,"self-calculated DF",IF(DU1207=1,"external DF used","explicit C balance"))</f>
        <v>explicit C balance</v>
      </c>
      <c r="EA1207" s="163">
        <v>0</v>
      </c>
      <c r="EB1207" s="141">
        <v>0</v>
      </c>
      <c r="EC1207" s="163">
        <v>0</v>
      </c>
      <c r="ED1207" s="163">
        <v>1</v>
      </c>
      <c r="EE1207" s="141">
        <v>0</v>
      </c>
      <c r="EF1207" s="141">
        <v>0</v>
      </c>
      <c r="EG1207" s="143">
        <v>0</v>
      </c>
      <c r="EH1207" s="141">
        <v>0</v>
      </c>
      <c r="EI1207" s="143">
        <v>0</v>
      </c>
      <c r="EJ1207" s="143">
        <v>0</v>
      </c>
      <c r="EK1207" s="141">
        <v>1</v>
      </c>
      <c r="EL1207" s="163">
        <v>0</v>
      </c>
      <c r="EM1207" s="141">
        <v>0</v>
      </c>
      <c r="EN1207" s="176">
        <v>0</v>
      </c>
      <c r="EP1207" t="str">
        <f>IF(AND(AND(AND(OR($EC1207=1,$EB1207=1),OR($EH1207=1,$EF1207=1)),SUM($EA1207:$EE1207,$EK1207)&gt;=3),SUM($EF1207:$EJ1207)&gt;=2),"Whole sector approach","")</f>
        <v/>
      </c>
      <c r="EQ1207" t="str">
        <f>IF(AND(AND(OR($EC1207=1,$EB1207=1),AND($EH1207=0,$EF1207=0)),SUM($EA1207:$EE1207,$EK1207)&gt;=3),"Ecosystem approach","")</f>
        <v/>
      </c>
      <c r="ER1207" s="2" t="str">
        <f>IF(AND(AND(AND($EC1207=0,$EB1207=0),OR($EH1207=1,$EF1207=1)),SUM($EG1207:$EJ1207)&gt;=2),"Technology approach","")</f>
        <v/>
      </c>
      <c r="ES1207" t="str">
        <f>IF(AND($EC1207+$EB1207+$EE1207+$EA1207+$ED1207+$EG1207=0,$N1207="included"),"C neutral forest and HWP assumption","")</f>
        <v/>
      </c>
      <c r="ET1207" t="str">
        <f>IF(AND(AND(AND(AND($EC1207=1,$EB1207+$EA1207+$EG1207&gt;=1),$EF1207=1),$EH1207+$EI1207+$ED1207+$EE1207&gt;=2),$N1207="included"),"All C pools assumption","")</f>
        <v/>
      </c>
      <c r="EU1207" t="str">
        <f>IF(AND($ED1207+$EE1207+$EI1207+$EH1207+$EF1207=0,$N1207="included"),"In-situ only assumption","")</f>
        <v/>
      </c>
      <c r="EW1207" s="141"/>
      <c r="EY1207" t="str">
        <f>IF(ISNUMBER(BW1207),IF(ABS(BW1207-[4]QC_indicators!$B$2)&gt;3*[4]QC_indicators!$C$2,"C ratio",IF(ISNUMBER(CA1207),IF(ABS(CA1207-[4]QC_indicators!$B$1)&gt;3*[4]QC_indicators!$C$1,"DF","no"))),IF(ISNUMBER(CA1207),IF(ABS(CA1207-[4]QC_indicators!$B$1)&gt;3*[4]QC_indicators!$C$1,"DF","no")))</f>
        <v>no</v>
      </c>
      <c r="FA1207" t="str">
        <f>IF(LEN($CY1207)=0,"",IF(AND($CY1207&lt;(-0.05),$ES1207="C neutral forest and HWP assumption"),"Cneutral paradox",IF(AND($CY1207&gt;0.05,$EU1207="In-situ only assumption"),"In-situ only paradox","")))</f>
        <v/>
      </c>
      <c r="FB1207" s="319" t="s">
        <v>1177</v>
      </c>
      <c r="FD1207" s="317" t="s">
        <v>4883</v>
      </c>
    </row>
    <row r="1208" spans="1:160" ht="15" hidden="1" customHeight="1">
      <c r="A1208" s="173" t="s">
        <v>1161</v>
      </c>
      <c r="B1208" s="141" t="s">
        <v>1162</v>
      </c>
      <c r="C1208" s="141" t="s">
        <v>1163</v>
      </c>
      <c r="D1208" s="141" t="s">
        <v>1164</v>
      </c>
      <c r="E1208" s="141" t="s">
        <v>1165</v>
      </c>
      <c r="F1208" s="141" t="s">
        <v>1166</v>
      </c>
      <c r="G1208" s="141" t="s">
        <v>1167</v>
      </c>
      <c r="H1208" s="141"/>
      <c r="I1208" s="141">
        <v>2019</v>
      </c>
      <c r="J1208" s="141"/>
      <c r="K1208" s="141" t="s">
        <v>1168</v>
      </c>
      <c r="L1208" s="141"/>
      <c r="M1208" t="str">
        <f>LEFT($D1208,FIND(",",$D1208)-1)&amp;"_"&amp;I1208&amp;L1208</f>
        <v>Bosch_2019</v>
      </c>
      <c r="N1208" t="s">
        <v>222</v>
      </c>
      <c r="O1208" s="174" t="s">
        <v>225</v>
      </c>
      <c r="P1208" s="141" t="s">
        <v>223</v>
      </c>
      <c r="Q1208" s="317" t="s">
        <v>224</v>
      </c>
      <c r="R1208" s="318" t="s">
        <v>1029</v>
      </c>
      <c r="S1208" s="173" t="s">
        <v>1183</v>
      </c>
      <c r="T1208" s="141" t="s">
        <v>1171</v>
      </c>
      <c r="U1208" s="141" t="s">
        <v>1184</v>
      </c>
      <c r="V1208" s="253">
        <v>0</v>
      </c>
      <c r="W1208" s="253">
        <v>0</v>
      </c>
      <c r="X1208" s="141">
        <v>0</v>
      </c>
      <c r="Y1208" s="141">
        <v>0</v>
      </c>
      <c r="Z1208" s="141">
        <v>1</v>
      </c>
      <c r="AA1208" s="141">
        <v>0</v>
      </c>
      <c r="AB1208" s="141">
        <v>0</v>
      </c>
      <c r="AC1208" s="141">
        <v>0</v>
      </c>
      <c r="AD1208" s="141">
        <v>0</v>
      </c>
      <c r="AE1208" s="141">
        <v>0</v>
      </c>
      <c r="AF1208" s="141">
        <v>0</v>
      </c>
      <c r="AG1208" s="141">
        <v>0</v>
      </c>
      <c r="AH1208" s="141">
        <v>0</v>
      </c>
      <c r="AI1208" s="141">
        <v>0</v>
      </c>
      <c r="AJ1208" s="141">
        <v>0</v>
      </c>
      <c r="AK1208" s="141">
        <v>0</v>
      </c>
      <c r="AL1208" s="141">
        <v>0</v>
      </c>
      <c r="AM1208" s="141">
        <v>0</v>
      </c>
      <c r="AN1208" s="141">
        <v>0</v>
      </c>
      <c r="AO1208" s="141">
        <v>0</v>
      </c>
      <c r="AP1208" s="141">
        <v>0</v>
      </c>
      <c r="AQ1208" s="141">
        <v>0</v>
      </c>
      <c r="AR1208" s="141">
        <v>0</v>
      </c>
      <c r="AS1208" s="141">
        <v>0</v>
      </c>
      <c r="AT1208" s="141">
        <v>0</v>
      </c>
      <c r="AU1208" s="141">
        <v>0</v>
      </c>
      <c r="AV1208" s="141">
        <v>0</v>
      </c>
      <c r="AW1208" s="141">
        <v>0</v>
      </c>
      <c r="AX1208" s="141">
        <v>0</v>
      </c>
      <c r="AY1208" s="141">
        <v>0</v>
      </c>
      <c r="AZ1208" s="141">
        <f>COUNTIF(X1208:AY1208,"&lt;&gt;0")</f>
        <v>1</v>
      </c>
      <c r="BA1208" s="141">
        <f>COUNTIF(X1208:AN1208,"&lt;&gt;0")</f>
        <v>1</v>
      </c>
      <c r="BB1208">
        <f>COUNTIF(X1208:AE1208,"&lt;&gt;0")</f>
        <v>1</v>
      </c>
      <c r="BC1208">
        <f>COUNTIF(AF1208:AK1208,"&lt;&gt;0")</f>
        <v>0</v>
      </c>
      <c r="BD1208">
        <f>COUNTIF(AL1208:AN1208,"&lt;&gt;0")</f>
        <v>0</v>
      </c>
      <c r="BE1208">
        <f>COUNTIF(AU1208:AY1208,"&lt;&gt;0")</f>
        <v>0</v>
      </c>
      <c r="BF1208">
        <f>COUNTIF(AO1208:AT1208,"&lt;&gt;0")</f>
        <v>0</v>
      </c>
      <c r="BG1208" t="str" cm="1">
        <f t="array" ref="BG1208">IF(BA1208=1,INDEX($X$7:$AN$7,MATCH(TRUE,INDEX($X1208:$AY1208&lt;&gt;0,),0)),IF(BA1208=0,INDEX($AO$7:$AY$7,MATCH(1,$AO1208:$AY1208,0)),IF(BH1208="Multiple strategies","mixed drivers",IF(BH1208="Supply chain","multiple supply","multiple silviculture"))))</f>
        <v>rotation length</v>
      </c>
      <c r="BH1208" s="2" t="str" cm="1">
        <f t="array" ref="BH1208">IF(COUNTIF(BB1208:BD1208,"&lt;&gt;0")=1,INDEX($X$4:$AY$4,MATCH(TRUE,INDEX($X1208:$AY1208&lt;&gt;0,),0)),IF(COUNTIF(BB1208:BD1208,"&lt;&gt;0")=0,INDEX($AO$4:$AY$4,MATCH(1,$AO1208:$AY1208,0)),"Multiple strategies"))</f>
        <v>Silviculture for removals</v>
      </c>
      <c r="BI1208" s="172" t="s">
        <v>321</v>
      </c>
      <c r="BJ1208" s="141" t="s">
        <v>1172</v>
      </c>
      <c r="BK1208" s="141" t="s">
        <v>1173</v>
      </c>
      <c r="BL1208" s="163" t="s">
        <v>1174</v>
      </c>
      <c r="BM1208" s="163">
        <v>2405</v>
      </c>
      <c r="BN1208" s="175">
        <v>2642</v>
      </c>
      <c r="BO1208" s="317">
        <f>BN1208/BM1208</f>
        <v>1.0985446985446985</v>
      </c>
      <c r="BP1208">
        <f>BN1208-BM1208</f>
        <v>237</v>
      </c>
      <c r="BQ1208" s="158">
        <f>BP1208*10^6</f>
        <v>237000000</v>
      </c>
      <c r="BR1208" s="141" t="s">
        <v>232</v>
      </c>
      <c r="BS1208" s="317" t="s">
        <v>426</v>
      </c>
      <c r="BT1208" s="151" t="s">
        <v>1175</v>
      </c>
      <c r="BU1208" s="141"/>
      <c r="BV1208" s="163"/>
      <c r="BW1208" s="144" t="str">
        <f>IFERROR(BV1208/BU1208,"")</f>
        <v/>
      </c>
      <c r="BX1208" s="175">
        <v>45</v>
      </c>
      <c r="BY1208" s="194"/>
      <c r="BZ1208">
        <f>BX1208*10^6</f>
        <v>45000000</v>
      </c>
      <c r="CA1208">
        <f>IFERROR(BZ1208/BQ1208,"")</f>
        <v>0.189873417721519</v>
      </c>
      <c r="CB1208" s="141">
        <v>0</v>
      </c>
      <c r="CC1208" s="141">
        <v>0</v>
      </c>
      <c r="CD1208" s="141">
        <v>0</v>
      </c>
      <c r="CE1208" s="141">
        <v>0</v>
      </c>
      <c r="CF1208" s="141">
        <v>0</v>
      </c>
      <c r="CG1208" s="141">
        <v>0</v>
      </c>
      <c r="CH1208" s="141">
        <v>0</v>
      </c>
      <c r="CI1208" s="141">
        <v>0</v>
      </c>
      <c r="CJ1208" s="141">
        <v>0</v>
      </c>
      <c r="CK1208" s="141">
        <v>0</v>
      </c>
      <c r="CL1208" s="141">
        <v>0</v>
      </c>
      <c r="CM1208" s="141">
        <v>0</v>
      </c>
      <c r="CN1208" s="141">
        <v>0</v>
      </c>
      <c r="CO1208" s="141">
        <v>1</v>
      </c>
      <c r="CP1208" t="str">
        <f>IF(BN1208&lt;BM1208,"refNeedCorrection","refOK")</f>
        <v>refOK</v>
      </c>
      <c r="CQ1208">
        <f>IF($CP1208="refOK",$BM1208,$BN1208)</f>
        <v>2405</v>
      </c>
      <c r="CR1208">
        <f>IF($CP1208="refOK",$BN1208,$BM1208)</f>
        <v>2642</v>
      </c>
      <c r="CS1208">
        <f>IF($CP1208="refOK",$BQ1208,-$BQ1208)</f>
        <v>237000000</v>
      </c>
      <c r="CT1208">
        <f>IF(BI1208="Roundwood",$CS1208/2,$CS1208)</f>
        <v>118500000</v>
      </c>
      <c r="CU1208">
        <f>IF($CP1208="refOK",$BU1208,$BV1208)*IF($BR1208="Emissions positive",-1,1)</f>
        <v>0</v>
      </c>
      <c r="CV1208">
        <f>IF($CP1208="refOK",$BV1208,$BU1208)*IF($BR1208="Emissions positive",-1,1)</f>
        <v>0</v>
      </c>
      <c r="CW1208">
        <f>IF($CP1208="refNeedCorrection",-BZ1208,BZ1208)*IF($BR1208="Emissions positive",-1,1)</f>
        <v>45000000</v>
      </c>
      <c r="CX1208">
        <f>IFERROR($CW1208/$CS1208,"")</f>
        <v>0.189873417721519</v>
      </c>
      <c r="CY1208">
        <f>IFERROR($CW1208/$CS1208,"")</f>
        <v>0.189873417721519</v>
      </c>
      <c r="CZ1208">
        <f>IFERROR($CW1208/$CT1208,"")</f>
        <v>0.379746835443038</v>
      </c>
      <c r="DA1208" s="2" t="str">
        <f>IFERROR((CV1208-CU1208)/ABS(CU1208),"")</f>
        <v/>
      </c>
      <c r="DB1208" s="173" t="s">
        <v>1078</v>
      </c>
      <c r="DC1208" s="317" t="str">
        <f>IF(OR($DB1208="prd",$DB1208="std",$DB1208="cit"),"loc",IF(OR($DB1208="eur",$DB1208="reg",$DB1208="coy"),"reg",$DB1208))</f>
        <v>reg</v>
      </c>
      <c r="DD1208" s="141" t="s">
        <v>1176</v>
      </c>
      <c r="DE1208" s="141">
        <v>2016</v>
      </c>
      <c r="DF1208" s="163">
        <v>2046</v>
      </c>
      <c r="DG1208" s="163">
        <v>30</v>
      </c>
      <c r="DH1208" t="str">
        <f>IF(DG1208=0,"0",IF(AND(DG1208&gt;=1,DG1208&lt;=30),"1-30",IF(AND(DG1208&gt;30,DG1208&lt;=70),"31-70",IF(AND(DG1208&gt;70,DG1208&lt;=100),"71-100",IF(DG1208&gt;100,"+100")))))</f>
        <v>1-30</v>
      </c>
      <c r="DI1208" s="141">
        <v>1</v>
      </c>
      <c r="DJ1208" s="141">
        <v>1</v>
      </c>
      <c r="DK1208" s="141">
        <v>0</v>
      </c>
      <c r="DL1208" s="141">
        <v>1</v>
      </c>
      <c r="DN1208">
        <f>SUM(DI1208:DL1208)</f>
        <v>3</v>
      </c>
      <c r="DO1208" t="str">
        <f>IF(DN1208=1,INDEX($DI$7:$DL$7,MATCH(1,$DI1208:$DL1208,0)),"mixedProduct")</f>
        <v>mixedProduct</v>
      </c>
      <c r="DP1208" t="str">
        <f>IF(DI1208=1,DP$7,0)</f>
        <v>Upstream</v>
      </c>
      <c r="DQ1208" t="str">
        <f>IF(DJ1208=1,DQ$7,0)</f>
        <v>Energy</v>
      </c>
      <c r="DR1208">
        <f>IF(DK1208=1,DR$7,0)</f>
        <v>0</v>
      </c>
      <c r="DS1208" t="str">
        <f>IF(DL1208=1,DS$7,0)</f>
        <v>Timber</v>
      </c>
      <c r="DT1208" s="163">
        <v>0</v>
      </c>
      <c r="DU1208" s="141">
        <v>0</v>
      </c>
      <c r="DV1208" s="163">
        <v>0</v>
      </c>
      <c r="DW1208" s="163">
        <v>0</v>
      </c>
      <c r="DX1208" s="163">
        <v>0</v>
      </c>
      <c r="DY1208">
        <f>SUM(DT1208:DU1208)</f>
        <v>0</v>
      </c>
      <c r="DZ1208" s="143" t="str">
        <f>IF(DT1208=1,"self-calculated DF",IF(DU1208=1,"external DF used","explicit C balance"))</f>
        <v>explicit C balance</v>
      </c>
      <c r="EA1208" s="163">
        <v>0</v>
      </c>
      <c r="EB1208" s="141">
        <v>0</v>
      </c>
      <c r="EC1208" s="163">
        <v>0</v>
      </c>
      <c r="ED1208" s="163">
        <v>1</v>
      </c>
      <c r="EE1208" s="141">
        <v>0</v>
      </c>
      <c r="EF1208" s="141">
        <v>0</v>
      </c>
      <c r="EG1208" s="143">
        <v>0</v>
      </c>
      <c r="EH1208" s="141">
        <v>0</v>
      </c>
      <c r="EI1208" s="143">
        <v>0</v>
      </c>
      <c r="EJ1208" s="143">
        <v>0</v>
      </c>
      <c r="EK1208" s="141">
        <v>1</v>
      </c>
      <c r="EL1208" s="163">
        <v>0</v>
      </c>
      <c r="EM1208" s="141">
        <v>0</v>
      </c>
      <c r="EN1208" s="176">
        <v>0</v>
      </c>
      <c r="EP1208" t="str">
        <f>IF(AND(AND(AND(OR($EC1208=1,$EB1208=1),OR($EH1208=1,$EF1208=1)),SUM($EA1208:$EE1208,$EK1208)&gt;=3),SUM($EF1208:$EJ1208)&gt;=2),"Whole sector approach","")</f>
        <v/>
      </c>
      <c r="EQ1208" t="str">
        <f>IF(AND(AND(OR($EC1208=1,$EB1208=1),AND($EH1208=0,$EF1208=0)),SUM($EA1208:$EE1208,$EK1208)&gt;=3),"Ecosystem approach","")</f>
        <v/>
      </c>
      <c r="ER1208" s="2" t="str">
        <f>IF(AND(AND(AND($EC1208=0,$EB1208=0),OR($EH1208=1,$EF1208=1)),SUM($EG1208:$EJ1208)&gt;=2),"Technology approach","")</f>
        <v/>
      </c>
      <c r="ES1208" t="str">
        <f>IF(AND($EC1208+$EB1208+$EE1208+$EA1208+$ED1208+$EG1208=0,$N1208="included"),"C neutral forest and HWP assumption","")</f>
        <v/>
      </c>
      <c r="ET1208" t="str">
        <f>IF(AND(AND(AND(AND($EC1208=1,$EB1208+$EA1208+$EG1208&gt;=1),$EF1208=1),$EH1208+$EI1208+$ED1208+$EE1208&gt;=2),$N1208="included"),"All C pools assumption","")</f>
        <v/>
      </c>
      <c r="EU1208" t="str">
        <f>IF(AND($ED1208+$EE1208+$EI1208+$EH1208+$EF1208=0,$N1208="included"),"In-situ only assumption","")</f>
        <v/>
      </c>
      <c r="EW1208" s="141"/>
      <c r="EY1208" t="str">
        <f>IF(ISNUMBER(BW1208),IF(ABS(BW1208-[4]QC_indicators!$B$2)&gt;3*[4]QC_indicators!$C$2,"C ratio",IF(ISNUMBER(CA1208),IF(ABS(CA1208-[4]QC_indicators!$B$1)&gt;3*[4]QC_indicators!$C$1,"DF","no"))),IF(ISNUMBER(CA1208),IF(ABS(CA1208-[4]QC_indicators!$B$1)&gt;3*[4]QC_indicators!$C$1,"DF","no")))</f>
        <v>no</v>
      </c>
      <c r="FA1208" t="str">
        <f>IF(LEN($CY1208)=0,"",IF(AND($CY1208&lt;(-0.05),$ES1208="C neutral forest and HWP assumption"),"Cneutral paradox",IF(AND($CY1208&gt;0.05,$EU1208="In-situ only assumption"),"In-situ only paradox","")))</f>
        <v/>
      </c>
      <c r="FB1208" s="319" t="s">
        <v>1177</v>
      </c>
      <c r="FD1208" s="317" t="s">
        <v>4883</v>
      </c>
    </row>
    <row r="1209" spans="1:160" ht="15" hidden="1" customHeight="1">
      <c r="A1209" s="173" t="s">
        <v>1161</v>
      </c>
      <c r="B1209" s="141" t="s">
        <v>1162</v>
      </c>
      <c r="C1209" s="141" t="s">
        <v>1163</v>
      </c>
      <c r="D1209" s="141" t="s">
        <v>1164</v>
      </c>
      <c r="E1209" s="141" t="s">
        <v>1165</v>
      </c>
      <c r="F1209" s="141" t="s">
        <v>1166</v>
      </c>
      <c r="G1209" s="141" t="s">
        <v>1167</v>
      </c>
      <c r="H1209" s="141"/>
      <c r="I1209" s="141">
        <v>2019</v>
      </c>
      <c r="J1209" s="141"/>
      <c r="K1209" s="141" t="s">
        <v>1168</v>
      </c>
      <c r="L1209" s="141"/>
      <c r="M1209" t="str">
        <f>LEFT($D1209,FIND(",",$D1209)-1)&amp;"_"&amp;I1209&amp;L1209</f>
        <v>Bosch_2019</v>
      </c>
      <c r="N1209" t="s">
        <v>222</v>
      </c>
      <c r="O1209" s="174" t="s">
        <v>225</v>
      </c>
      <c r="P1209" s="141" t="s">
        <v>223</v>
      </c>
      <c r="Q1209" s="317" t="s">
        <v>224</v>
      </c>
      <c r="R1209" s="318" t="s">
        <v>1029</v>
      </c>
      <c r="S1209" s="173" t="s">
        <v>1181</v>
      </c>
      <c r="T1209" s="141" t="s">
        <v>1182</v>
      </c>
      <c r="U1209" s="141" t="s">
        <v>1171</v>
      </c>
      <c r="V1209" s="253">
        <v>0</v>
      </c>
      <c r="W1209" s="253">
        <v>0</v>
      </c>
      <c r="X1209" s="141">
        <v>0</v>
      </c>
      <c r="Y1209" s="141">
        <v>0</v>
      </c>
      <c r="Z1209" s="141">
        <v>1</v>
      </c>
      <c r="AA1209" s="141">
        <v>0</v>
      </c>
      <c r="AB1209" s="141">
        <v>0</v>
      </c>
      <c r="AC1209" s="141">
        <v>0</v>
      </c>
      <c r="AD1209" s="141">
        <v>0</v>
      </c>
      <c r="AE1209" s="141">
        <v>0</v>
      </c>
      <c r="AF1209" s="141">
        <v>0</v>
      </c>
      <c r="AG1209" s="141">
        <v>0</v>
      </c>
      <c r="AH1209" s="141">
        <v>0</v>
      </c>
      <c r="AI1209" s="141">
        <v>0</v>
      </c>
      <c r="AJ1209" s="141">
        <v>0</v>
      </c>
      <c r="AK1209" s="141">
        <v>0</v>
      </c>
      <c r="AL1209" s="141">
        <v>0</v>
      </c>
      <c r="AM1209" s="141">
        <v>0</v>
      </c>
      <c r="AN1209" s="141">
        <v>0</v>
      </c>
      <c r="AO1209" s="141">
        <v>0</v>
      </c>
      <c r="AP1209" s="141">
        <v>0</v>
      </c>
      <c r="AQ1209" s="141">
        <v>0</v>
      </c>
      <c r="AR1209" s="141">
        <v>0</v>
      </c>
      <c r="AS1209" s="141">
        <v>0</v>
      </c>
      <c r="AT1209" s="141">
        <v>0</v>
      </c>
      <c r="AU1209" s="141">
        <v>0</v>
      </c>
      <c r="AV1209" s="141">
        <v>0</v>
      </c>
      <c r="AW1209" s="141">
        <v>0</v>
      </c>
      <c r="AX1209" s="141">
        <v>0</v>
      </c>
      <c r="AY1209" s="141">
        <v>0</v>
      </c>
      <c r="AZ1209" s="141">
        <f>COUNTIF(X1209:AY1209,"&lt;&gt;0")</f>
        <v>1</v>
      </c>
      <c r="BA1209" s="141">
        <f>COUNTIF(X1209:AN1209,"&lt;&gt;0")</f>
        <v>1</v>
      </c>
      <c r="BB1209">
        <f>COUNTIF(X1209:AE1209,"&lt;&gt;0")</f>
        <v>1</v>
      </c>
      <c r="BC1209">
        <f>COUNTIF(AF1209:AK1209,"&lt;&gt;0")</f>
        <v>0</v>
      </c>
      <c r="BD1209">
        <f>COUNTIF(AL1209:AN1209,"&lt;&gt;0")</f>
        <v>0</v>
      </c>
      <c r="BE1209">
        <f>COUNTIF(AU1209:AY1209,"&lt;&gt;0")</f>
        <v>0</v>
      </c>
      <c r="BF1209">
        <f>COUNTIF(AO1209:AT1209,"&lt;&gt;0")</f>
        <v>0</v>
      </c>
      <c r="BG1209" t="str" cm="1">
        <f t="array" ref="BG1209">IF(BA1209=1,INDEX($X$7:$AN$7,MATCH(TRUE,INDEX($X1209:$AY1209&lt;&gt;0,),0)),IF(BA1209=0,INDEX($AO$7:$AY$7,MATCH(1,$AO1209:$AY1209,0)),IF(BH1209="Multiple strategies","mixed drivers",IF(BH1209="Supply chain","multiple supply","multiple silviculture"))))</f>
        <v>rotation length</v>
      </c>
      <c r="BH1209" s="2" t="str" cm="1">
        <f t="array" ref="BH1209">IF(COUNTIF(BB1209:BD1209,"&lt;&gt;0")=1,INDEX($X$4:$AY$4,MATCH(TRUE,INDEX($X1209:$AY1209&lt;&gt;0,),0)),IF(COUNTIF(BB1209:BD1209,"&lt;&gt;0")=0,INDEX($AO$4:$AY$4,MATCH(1,$AO1209:$AY1209,0)),"Multiple strategies"))</f>
        <v>Silviculture for removals</v>
      </c>
      <c r="BI1209" s="172" t="s">
        <v>321</v>
      </c>
      <c r="BJ1209" s="141" t="s">
        <v>1172</v>
      </c>
      <c r="BK1209" s="141" t="s">
        <v>1173</v>
      </c>
      <c r="BL1209" s="163" t="s">
        <v>1174</v>
      </c>
      <c r="BM1209" s="175">
        <v>2167</v>
      </c>
      <c r="BN1209" s="163">
        <v>2405</v>
      </c>
      <c r="BO1209" s="163">
        <f>BN1209/BM1209</f>
        <v>1.1098292570373789</v>
      </c>
      <c r="BP1209">
        <f>BN1209-BM1209</f>
        <v>238</v>
      </c>
      <c r="BQ1209" s="158">
        <f>BP1209*10^6</f>
        <v>238000000</v>
      </c>
      <c r="BR1209" s="141" t="s">
        <v>232</v>
      </c>
      <c r="BS1209" s="317" t="s">
        <v>687</v>
      </c>
      <c r="BT1209" s="151" t="s">
        <v>1175</v>
      </c>
      <c r="BU1209" s="163"/>
      <c r="BV1209" s="141"/>
      <c r="BW1209" s="144"/>
      <c r="BX1209" s="175">
        <v>0.5</v>
      </c>
      <c r="BY1209" s="194"/>
      <c r="BZ1209">
        <f>BX1209*10^6</f>
        <v>500000</v>
      </c>
      <c r="CA1209">
        <f>IFERROR(BZ1209/BQ1209,"")</f>
        <v>2.1008403361344537E-3</v>
      </c>
      <c r="CB1209" s="141">
        <v>0</v>
      </c>
      <c r="CC1209" s="141">
        <v>0</v>
      </c>
      <c r="CD1209" s="141">
        <v>0</v>
      </c>
      <c r="CE1209" s="141">
        <v>0</v>
      </c>
      <c r="CF1209" s="141">
        <v>0</v>
      </c>
      <c r="CG1209" s="141">
        <v>0</v>
      </c>
      <c r="CH1209" s="141">
        <v>0</v>
      </c>
      <c r="CI1209" s="141">
        <v>0</v>
      </c>
      <c r="CJ1209" s="141">
        <v>0</v>
      </c>
      <c r="CK1209" s="141">
        <v>0</v>
      </c>
      <c r="CL1209" s="141">
        <v>0</v>
      </c>
      <c r="CM1209" s="141">
        <v>0</v>
      </c>
      <c r="CN1209" s="141">
        <v>0</v>
      </c>
      <c r="CO1209" s="141">
        <v>1</v>
      </c>
      <c r="CP1209" t="str">
        <f>IF(BN1209&lt;BM1209,"refNeedCorrection","refOK")</f>
        <v>refOK</v>
      </c>
      <c r="CQ1209">
        <f>IF($CP1209="refOK",$BM1209,$BN1209)</f>
        <v>2167</v>
      </c>
      <c r="CR1209">
        <f>IF($CP1209="refOK",$BN1209,$BM1209)</f>
        <v>2405</v>
      </c>
      <c r="CS1209">
        <f>IF($CP1209="refOK",$BQ1209,-$BQ1209)</f>
        <v>238000000</v>
      </c>
      <c r="CT1209">
        <f>IF(BI1209="Roundwood",$CS1209/2,$CS1209)</f>
        <v>119000000</v>
      </c>
      <c r="CU1209">
        <f>IF($CP1209="refOK",$BU1209,$BV1209)*IF($BR1209="Emissions positive",-1,1)</f>
        <v>0</v>
      </c>
      <c r="CV1209">
        <f>IF($CP1209="refOK",$BV1209,$BU1209)*IF($BR1209="Emissions positive",-1,1)</f>
        <v>0</v>
      </c>
      <c r="CW1209">
        <f>IF($CP1209="refNeedCorrection",-BZ1209,BZ1209)*IF($BR1209="Emissions positive",-1,1)</f>
        <v>500000</v>
      </c>
      <c r="CX1209">
        <f>IFERROR($CW1209/$CS1209,"")</f>
        <v>2.1008403361344537E-3</v>
      </c>
      <c r="CY1209">
        <f>IFERROR($CW1209/$CS1209,"")</f>
        <v>2.1008403361344537E-3</v>
      </c>
      <c r="CZ1209">
        <f>IFERROR($CW1209/$CT1209,"")</f>
        <v>4.2016806722689074E-3</v>
      </c>
      <c r="DA1209" s="2" t="str">
        <f>IFERROR((CV1209-CU1209)/ABS(CU1209),"")</f>
        <v/>
      </c>
      <c r="DB1209" s="173" t="s">
        <v>1078</v>
      </c>
      <c r="DC1209" s="317" t="str">
        <f>IF(OR($DB1209="prd",$DB1209="std",$DB1209="cit"),"loc",IF(OR($DB1209="eur",$DB1209="reg",$DB1209="coy"),"reg",$DB1209))</f>
        <v>reg</v>
      </c>
      <c r="DD1209" s="141" t="s">
        <v>1176</v>
      </c>
      <c r="DE1209" s="141">
        <v>2016</v>
      </c>
      <c r="DF1209" s="163">
        <v>2046</v>
      </c>
      <c r="DG1209" s="163">
        <v>30</v>
      </c>
      <c r="DH1209" t="str">
        <f>IF(DG1209=0,"0",IF(AND(DG1209&gt;=1,DG1209&lt;=30),"1-30",IF(AND(DG1209&gt;30,DG1209&lt;=70),"31-70",IF(AND(DG1209&gt;70,DG1209&lt;=100),"71-100",IF(DG1209&gt;100,"+100")))))</f>
        <v>1-30</v>
      </c>
      <c r="DI1209" s="141">
        <v>1</v>
      </c>
      <c r="DJ1209" s="141">
        <v>1</v>
      </c>
      <c r="DK1209" s="141">
        <v>0</v>
      </c>
      <c r="DL1209" s="141">
        <v>1</v>
      </c>
      <c r="DN1209">
        <f>SUM(DI1209:DL1209)</f>
        <v>3</v>
      </c>
      <c r="DO1209" t="str">
        <f>IF(DN1209=1,INDEX($DI$7:$DL$7,MATCH(1,$DI1209:$DL1209,0)),"mixedProduct")</f>
        <v>mixedProduct</v>
      </c>
      <c r="DP1209" t="str">
        <f>IF(DI1209=1,DP$7,0)</f>
        <v>Upstream</v>
      </c>
      <c r="DQ1209" t="str">
        <f>IF(DJ1209=1,DQ$7,0)</f>
        <v>Energy</v>
      </c>
      <c r="DR1209">
        <f>IF(DK1209=1,DR$7,0)</f>
        <v>0</v>
      </c>
      <c r="DS1209" t="str">
        <f>IF(DL1209=1,DS$7,0)</f>
        <v>Timber</v>
      </c>
      <c r="DT1209" s="163">
        <v>0</v>
      </c>
      <c r="DU1209" s="141">
        <v>1</v>
      </c>
      <c r="DV1209" s="163" t="s">
        <v>1179</v>
      </c>
      <c r="DW1209" s="163" t="s">
        <v>1180</v>
      </c>
      <c r="DX1209" s="163">
        <v>0</v>
      </c>
      <c r="DY1209">
        <f>SUM(DT1209:DU1209)</f>
        <v>1</v>
      </c>
      <c r="DZ1209" s="143" t="str">
        <f>IF(DT1209=1,"self-calculated DF",IF(DU1209=1,"external DF used","explicit C balance"))</f>
        <v>external DF used</v>
      </c>
      <c r="EA1209" s="163">
        <v>1</v>
      </c>
      <c r="EB1209" s="141">
        <v>1</v>
      </c>
      <c r="EC1209" s="163">
        <v>1</v>
      </c>
      <c r="ED1209" s="163">
        <v>1</v>
      </c>
      <c r="EE1209" s="141">
        <v>1</v>
      </c>
      <c r="EF1209" s="141">
        <v>1</v>
      </c>
      <c r="EG1209" s="143">
        <v>0</v>
      </c>
      <c r="EH1209" s="141">
        <v>0</v>
      </c>
      <c r="EI1209" s="143">
        <v>0</v>
      </c>
      <c r="EJ1209" s="143">
        <v>0</v>
      </c>
      <c r="EK1209" s="141">
        <v>1</v>
      </c>
      <c r="EL1209" s="163">
        <v>0</v>
      </c>
      <c r="EM1209" s="141">
        <v>0</v>
      </c>
      <c r="EN1209" s="176">
        <v>0</v>
      </c>
      <c r="EP1209" t="str">
        <f>IF(AND(AND(AND(OR($EC1209=1,$EB1209=1),OR($EH1209=1,$EF1209=1)),SUM($EA1209:$EE1209,$EK1209)&gt;=3),SUM($EF1209:$EJ1209)&gt;=2),"Whole sector approach","")</f>
        <v/>
      </c>
      <c r="EQ1209" t="str">
        <f>IF(AND(AND(OR($EC1209=1,$EB1209=1),AND($EH1209=0,$EF1209=0)),SUM($EA1209:$EE1209,$EK1209)&gt;=3),"Ecosystem approach","")</f>
        <v/>
      </c>
      <c r="ER1209" s="2" t="str">
        <f>IF(AND(AND(AND($EC1209=0,$EB1209=0),OR($EH1209=1,$EF1209=1)),SUM($EG1209:$EJ1209)&gt;=2),"Technology approach","")</f>
        <v/>
      </c>
      <c r="ES1209" t="str">
        <f>IF(AND($EC1209+$EB1209+$EE1209+$EA1209+$ED1209+$EG1209=0,$N1209="included"),"C neutral forest and HWP assumption","")</f>
        <v/>
      </c>
      <c r="ET1209" t="str">
        <f>IF(AND(AND(AND(AND($EC1209=1,$EB1209+$EA1209+$EG1209&gt;=1),$EF1209=1),$EH1209+$EI1209+$ED1209+$EE1209&gt;=2),$N1209="included"),"All C pools assumption","")</f>
        <v>All C pools assumption</v>
      </c>
      <c r="EU1209" t="str">
        <f>IF(AND($ED1209+$EE1209+$EI1209+$EH1209+$EF1209=0,$N1209="included"),"In-situ only assumption","")</f>
        <v/>
      </c>
      <c r="EW1209" s="141"/>
      <c r="EY1209" t="str">
        <f>IF(ISNUMBER(BW1209),IF(ABS(BW1209-[4]QC_indicators!$B$2)&gt;3*[4]QC_indicators!$C$2,"C ratio",IF(ISNUMBER(CA1209),IF(ABS(CA1209-[4]QC_indicators!$B$1)&gt;3*[4]QC_indicators!$C$1,"DF","no"))),IF(ISNUMBER(CA1209),IF(ABS(CA1209-[4]QC_indicators!$B$1)&gt;3*[4]QC_indicators!$C$1,"DF","no")))</f>
        <v>no</v>
      </c>
      <c r="FA1209" t="str">
        <f>IF(LEN($CY1209)=0,"",IF(AND($CY1209&lt;(-0.05),$ES1209="C neutral forest and HWP assumption"),"Cneutral paradox",IF(AND($CY1209&gt;0.05,$EU1209="In-situ only assumption"),"In-situ only paradox","")))</f>
        <v/>
      </c>
      <c r="FB1209" s="319" t="s">
        <v>1177</v>
      </c>
      <c r="FD1209" s="317" t="s">
        <v>4883</v>
      </c>
    </row>
    <row r="1210" spans="1:160" ht="15" hidden="1" customHeight="1">
      <c r="A1210" s="173" t="s">
        <v>1161</v>
      </c>
      <c r="B1210" s="141" t="s">
        <v>1162</v>
      </c>
      <c r="C1210" s="141" t="s">
        <v>1163</v>
      </c>
      <c r="D1210" s="141" t="s">
        <v>1164</v>
      </c>
      <c r="E1210" s="141" t="s">
        <v>1165</v>
      </c>
      <c r="F1210" s="141" t="s">
        <v>1166</v>
      </c>
      <c r="G1210" s="141" t="s">
        <v>1167</v>
      </c>
      <c r="H1210" s="141"/>
      <c r="I1210" s="141">
        <v>2019</v>
      </c>
      <c r="J1210" s="141"/>
      <c r="K1210" s="141" t="s">
        <v>1168</v>
      </c>
      <c r="L1210" s="141"/>
      <c r="M1210" t="str">
        <f>LEFT($D1210,FIND(",",$D1210)-1)&amp;"_"&amp;I1210&amp;L1210</f>
        <v>Bosch_2019</v>
      </c>
      <c r="N1210" t="s">
        <v>222</v>
      </c>
      <c r="O1210" s="174" t="s">
        <v>225</v>
      </c>
      <c r="P1210" s="141" t="s">
        <v>223</v>
      </c>
      <c r="Q1210" s="317" t="s">
        <v>224</v>
      </c>
      <c r="R1210" s="318" t="s">
        <v>1029</v>
      </c>
      <c r="S1210" s="173" t="s">
        <v>1183</v>
      </c>
      <c r="T1210" s="141" t="s">
        <v>1171</v>
      </c>
      <c r="U1210" s="141" t="s">
        <v>1184</v>
      </c>
      <c r="V1210" s="253">
        <v>0</v>
      </c>
      <c r="W1210" s="253">
        <v>0</v>
      </c>
      <c r="X1210" s="141">
        <v>0</v>
      </c>
      <c r="Y1210" s="141">
        <v>0</v>
      </c>
      <c r="Z1210" s="141">
        <v>1</v>
      </c>
      <c r="AA1210" s="141">
        <v>0</v>
      </c>
      <c r="AB1210" s="141">
        <v>0</v>
      </c>
      <c r="AC1210" s="141">
        <v>0</v>
      </c>
      <c r="AD1210" s="141">
        <v>0</v>
      </c>
      <c r="AE1210" s="141">
        <v>0</v>
      </c>
      <c r="AF1210" s="141">
        <v>0</v>
      </c>
      <c r="AG1210" s="141">
        <v>0</v>
      </c>
      <c r="AH1210" s="141">
        <v>0</v>
      </c>
      <c r="AI1210" s="141">
        <v>0</v>
      </c>
      <c r="AJ1210" s="141">
        <v>0</v>
      </c>
      <c r="AK1210" s="141">
        <v>0</v>
      </c>
      <c r="AL1210" s="141">
        <v>0</v>
      </c>
      <c r="AM1210" s="141">
        <v>0</v>
      </c>
      <c r="AN1210" s="141">
        <v>0</v>
      </c>
      <c r="AO1210" s="141">
        <v>0</v>
      </c>
      <c r="AP1210" s="141">
        <v>0</v>
      </c>
      <c r="AQ1210" s="141">
        <v>0</v>
      </c>
      <c r="AR1210" s="141">
        <v>0</v>
      </c>
      <c r="AS1210" s="141">
        <v>0</v>
      </c>
      <c r="AT1210" s="141">
        <v>0</v>
      </c>
      <c r="AU1210" s="141">
        <v>0</v>
      </c>
      <c r="AV1210" s="141">
        <v>0</v>
      </c>
      <c r="AW1210" s="141">
        <v>0</v>
      </c>
      <c r="AX1210" s="141">
        <v>0</v>
      </c>
      <c r="AY1210" s="141">
        <v>0</v>
      </c>
      <c r="AZ1210" s="141">
        <f>COUNTIF(X1210:AY1210,"&lt;&gt;0")</f>
        <v>1</v>
      </c>
      <c r="BA1210" s="141">
        <f>COUNTIF(X1210:AN1210,"&lt;&gt;0")</f>
        <v>1</v>
      </c>
      <c r="BB1210">
        <f>COUNTIF(X1210:AE1210,"&lt;&gt;0")</f>
        <v>1</v>
      </c>
      <c r="BC1210">
        <f>COUNTIF(AF1210:AK1210,"&lt;&gt;0")</f>
        <v>0</v>
      </c>
      <c r="BD1210">
        <f>COUNTIF(AL1210:AN1210,"&lt;&gt;0")</f>
        <v>0</v>
      </c>
      <c r="BE1210">
        <f>COUNTIF(AU1210:AY1210,"&lt;&gt;0")</f>
        <v>0</v>
      </c>
      <c r="BF1210">
        <f>COUNTIF(AO1210:AT1210,"&lt;&gt;0")</f>
        <v>0</v>
      </c>
      <c r="BG1210" t="str" cm="1">
        <f t="array" ref="BG1210">IF(BA1210=1,INDEX($X$7:$AN$7,MATCH(TRUE,INDEX($X1210:$AY1210&lt;&gt;0,),0)),IF(BA1210=0,INDEX($AO$7:$AY$7,MATCH(1,$AO1210:$AY1210,0)),IF(BH1210="Multiple strategies","mixed drivers",IF(BH1210="Supply chain","multiple supply","multiple silviculture"))))</f>
        <v>rotation length</v>
      </c>
      <c r="BH1210" s="2" t="str" cm="1">
        <f t="array" ref="BH1210">IF(COUNTIF(BB1210:BD1210,"&lt;&gt;0")=1,INDEX($X$4:$AY$4,MATCH(TRUE,INDEX($X1210:$AY1210&lt;&gt;0,),0)),IF(COUNTIF(BB1210:BD1210,"&lt;&gt;0")=0,INDEX($AO$4:$AY$4,MATCH(1,$AO1210:$AY1210,0)),"Multiple strategies"))</f>
        <v>Silviculture for removals</v>
      </c>
      <c r="BI1210" s="172" t="s">
        <v>321</v>
      </c>
      <c r="BJ1210" s="141" t="s">
        <v>1172</v>
      </c>
      <c r="BK1210" s="141" t="s">
        <v>1173</v>
      </c>
      <c r="BL1210" s="163" t="s">
        <v>1174</v>
      </c>
      <c r="BM1210" s="163">
        <v>2405</v>
      </c>
      <c r="BN1210" s="175">
        <v>2642</v>
      </c>
      <c r="BO1210" s="317">
        <f>BN1210/BM1210</f>
        <v>1.0985446985446985</v>
      </c>
      <c r="BP1210">
        <f>BN1210-BM1210</f>
        <v>237</v>
      </c>
      <c r="BQ1210" s="158">
        <f>BP1210*10^6</f>
        <v>237000000</v>
      </c>
      <c r="BR1210" s="141" t="s">
        <v>232</v>
      </c>
      <c r="BS1210" s="317" t="s">
        <v>426</v>
      </c>
      <c r="BT1210" s="151" t="s">
        <v>1175</v>
      </c>
      <c r="BU1210" s="141"/>
      <c r="BV1210" s="163"/>
      <c r="BW1210" s="144" t="str">
        <f>IFERROR(BV1210/BU1210,"")</f>
        <v/>
      </c>
      <c r="BX1210" s="175">
        <v>-116.5</v>
      </c>
      <c r="BY1210" s="194"/>
      <c r="BZ1210">
        <f>BX1210*10^6</f>
        <v>-116500000</v>
      </c>
      <c r="CA1210">
        <f>IFERROR(BZ1210/BQ1210,"")</f>
        <v>-0.49156118143459915</v>
      </c>
      <c r="CB1210" s="141">
        <v>0</v>
      </c>
      <c r="CC1210" s="141">
        <v>0</v>
      </c>
      <c r="CD1210" s="141">
        <v>0</v>
      </c>
      <c r="CE1210" s="141">
        <v>0</v>
      </c>
      <c r="CF1210" s="141">
        <v>0</v>
      </c>
      <c r="CG1210" s="141">
        <v>0</v>
      </c>
      <c r="CH1210" s="141">
        <v>0</v>
      </c>
      <c r="CI1210" s="141">
        <v>0</v>
      </c>
      <c r="CJ1210" s="141">
        <v>0</v>
      </c>
      <c r="CK1210" s="141">
        <v>0</v>
      </c>
      <c r="CL1210" s="141">
        <v>0</v>
      </c>
      <c r="CM1210" s="141">
        <v>0</v>
      </c>
      <c r="CN1210" s="141">
        <v>0</v>
      </c>
      <c r="CO1210" s="141">
        <v>1</v>
      </c>
      <c r="CP1210" t="str">
        <f>IF(BN1210&lt;BM1210,"refNeedCorrection","refOK")</f>
        <v>refOK</v>
      </c>
      <c r="CQ1210">
        <f>IF($CP1210="refOK",$BM1210,$BN1210)</f>
        <v>2405</v>
      </c>
      <c r="CR1210">
        <f>IF($CP1210="refOK",$BN1210,$BM1210)</f>
        <v>2642</v>
      </c>
      <c r="CS1210">
        <f>IF($CP1210="refOK",$BQ1210,-$BQ1210)</f>
        <v>237000000</v>
      </c>
      <c r="CT1210">
        <f>IF(BI1210="Roundwood",$CS1210/2,$CS1210)</f>
        <v>118500000</v>
      </c>
      <c r="CU1210">
        <f>IF($CP1210="refOK",$BU1210,$BV1210)*IF($BR1210="Emissions positive",-1,1)</f>
        <v>0</v>
      </c>
      <c r="CV1210">
        <f>IF($CP1210="refOK",$BV1210,$BU1210)*IF($BR1210="Emissions positive",-1,1)</f>
        <v>0</v>
      </c>
      <c r="CW1210">
        <f>IF($CP1210="refNeedCorrection",-BZ1210,BZ1210)*IF($BR1210="Emissions positive",-1,1)</f>
        <v>-116500000</v>
      </c>
      <c r="CX1210">
        <f>IFERROR($CW1210/$CS1210,"")</f>
        <v>-0.49156118143459915</v>
      </c>
      <c r="CY1210">
        <f>IFERROR($CW1210/$CS1210,"")</f>
        <v>-0.49156118143459915</v>
      </c>
      <c r="CZ1210">
        <f>IFERROR($CW1210/$CT1210,"")</f>
        <v>-0.9831223628691983</v>
      </c>
      <c r="DA1210" s="2" t="str">
        <f>IFERROR((CV1210-CU1210)/ABS(CU1210),"")</f>
        <v/>
      </c>
      <c r="DB1210" s="173" t="s">
        <v>1078</v>
      </c>
      <c r="DC1210" s="317" t="str">
        <f>IF(OR($DB1210="prd",$DB1210="std",$DB1210="cit"),"loc",IF(OR($DB1210="eur",$DB1210="reg",$DB1210="coy"),"reg",$DB1210))</f>
        <v>reg</v>
      </c>
      <c r="DD1210" s="141" t="s">
        <v>1176</v>
      </c>
      <c r="DE1210" s="141">
        <v>2016</v>
      </c>
      <c r="DF1210" s="163">
        <v>2046</v>
      </c>
      <c r="DG1210" s="163">
        <v>30</v>
      </c>
      <c r="DH1210" t="str">
        <f>IF(DG1210=0,"0",IF(AND(DG1210&gt;=1,DG1210&lt;=30),"1-30",IF(AND(DG1210&gt;30,DG1210&lt;=70),"31-70",IF(AND(DG1210&gt;70,DG1210&lt;=100),"71-100",IF(DG1210&gt;100,"+100")))))</f>
        <v>1-30</v>
      </c>
      <c r="DI1210" s="141">
        <v>1</v>
      </c>
      <c r="DJ1210" s="141">
        <v>1</v>
      </c>
      <c r="DK1210" s="141">
        <v>0</v>
      </c>
      <c r="DL1210" s="141">
        <v>1</v>
      </c>
      <c r="DN1210">
        <f>SUM(DI1210:DL1210)</f>
        <v>3</v>
      </c>
      <c r="DO1210" t="str">
        <f>IF(DN1210=1,INDEX($DI$7:$DL$7,MATCH(1,$DI1210:$DL1210,0)),"mixedProduct")</f>
        <v>mixedProduct</v>
      </c>
      <c r="DP1210" t="str">
        <f>IF(DI1210=1,DP$7,0)</f>
        <v>Upstream</v>
      </c>
      <c r="DQ1210" t="str">
        <f>IF(DJ1210=1,DQ$7,0)</f>
        <v>Energy</v>
      </c>
      <c r="DR1210">
        <f>IF(DK1210=1,DR$7,0)</f>
        <v>0</v>
      </c>
      <c r="DS1210" t="str">
        <f>IF(DL1210=1,DS$7,0)</f>
        <v>Timber</v>
      </c>
      <c r="DT1210" s="163">
        <v>0</v>
      </c>
      <c r="DU1210" s="141">
        <v>1</v>
      </c>
      <c r="DV1210" s="163" t="s">
        <v>1179</v>
      </c>
      <c r="DW1210" s="163" t="s">
        <v>1180</v>
      </c>
      <c r="DX1210" s="163">
        <v>0</v>
      </c>
      <c r="DY1210">
        <f>SUM(DT1210:DU1210)</f>
        <v>1</v>
      </c>
      <c r="DZ1210" s="143" t="str">
        <f>IF(DT1210=1,"self-calculated DF",IF(DU1210=1,"external DF used","explicit C balance"))</f>
        <v>external DF used</v>
      </c>
      <c r="EA1210" s="163">
        <v>1</v>
      </c>
      <c r="EB1210" s="141">
        <v>1</v>
      </c>
      <c r="EC1210" s="163">
        <v>1</v>
      </c>
      <c r="ED1210" s="163">
        <v>1</v>
      </c>
      <c r="EE1210" s="141">
        <v>1</v>
      </c>
      <c r="EF1210" s="141">
        <v>1</v>
      </c>
      <c r="EG1210" s="143">
        <v>0</v>
      </c>
      <c r="EH1210" s="141">
        <v>0</v>
      </c>
      <c r="EI1210" s="143">
        <v>0</v>
      </c>
      <c r="EJ1210" s="143">
        <v>0</v>
      </c>
      <c r="EK1210" s="141">
        <v>1</v>
      </c>
      <c r="EL1210" s="163">
        <v>0</v>
      </c>
      <c r="EM1210" s="141">
        <v>0</v>
      </c>
      <c r="EN1210" s="176">
        <v>0</v>
      </c>
      <c r="EP1210" t="str">
        <f>IF(AND(AND(AND(OR($EC1210=1,$EB1210=1),OR($EH1210=1,$EF1210=1)),SUM($EA1210:$EE1210,$EK1210)&gt;=3),SUM($EF1210:$EJ1210)&gt;=2),"Whole sector approach","")</f>
        <v/>
      </c>
      <c r="EQ1210" t="str">
        <f>IF(AND(AND(OR($EC1210=1,$EB1210=1),AND($EH1210=0,$EF1210=0)),SUM($EA1210:$EE1210,$EK1210)&gt;=3),"Ecosystem approach","")</f>
        <v/>
      </c>
      <c r="ER1210" s="2" t="str">
        <f>IF(AND(AND(AND($EC1210=0,$EB1210=0),OR($EH1210=1,$EF1210=1)),SUM($EG1210:$EJ1210)&gt;=2),"Technology approach","")</f>
        <v/>
      </c>
      <c r="ES1210" t="str">
        <f>IF(AND($EC1210+$EB1210+$EE1210+$EA1210+$ED1210+$EG1210=0,$N1210="included"),"C neutral forest and HWP assumption","")</f>
        <v/>
      </c>
      <c r="ET1210" t="str">
        <f>IF(AND(AND(AND(AND($EC1210=1,$EB1210+$EA1210+$EG1210&gt;=1),$EF1210=1),$EH1210+$EI1210+$ED1210+$EE1210&gt;=2),$N1210="included"),"All C pools assumption","")</f>
        <v>All C pools assumption</v>
      </c>
      <c r="EU1210" t="str">
        <f>IF(AND($ED1210+$EE1210+$EI1210+$EH1210+$EF1210=0,$N1210="included"),"In-situ only assumption","")</f>
        <v/>
      </c>
      <c r="EW1210" s="141"/>
      <c r="EY1210" t="str">
        <f>IF(ISNUMBER(BW1210),IF(ABS(BW1210-[4]QC_indicators!$B$2)&gt;3*[4]QC_indicators!$C$2,"C ratio",IF(ISNUMBER(CA1210),IF(ABS(CA1210-[4]QC_indicators!$B$1)&gt;3*[4]QC_indicators!$C$1,"DF","no"))),IF(ISNUMBER(CA1210),IF(ABS(CA1210-[4]QC_indicators!$B$1)&gt;3*[4]QC_indicators!$C$1,"DF","no")))</f>
        <v>no</v>
      </c>
      <c r="FA1210" t="str">
        <f>IF(LEN($CY1210)=0,"",IF(AND($CY1210&lt;(-0.05),$ES1210="C neutral forest and HWP assumption"),"Cneutral paradox",IF(AND($CY1210&gt;0.05,$EU1210="In-situ only assumption"),"In-situ only paradox","")))</f>
        <v/>
      </c>
      <c r="FB1210" s="319" t="s">
        <v>1177</v>
      </c>
      <c r="FD1210" s="317" t="s">
        <v>4883</v>
      </c>
    </row>
    <row r="1211" spans="1:160" ht="15" hidden="1" customHeight="1">
      <c r="A1211" s="173" t="s">
        <v>1161</v>
      </c>
      <c r="B1211" s="141" t="s">
        <v>1162</v>
      </c>
      <c r="C1211" s="141" t="s">
        <v>1163</v>
      </c>
      <c r="D1211" s="141" t="s">
        <v>1164</v>
      </c>
      <c r="E1211" s="141" t="s">
        <v>1165</v>
      </c>
      <c r="F1211" s="141" t="s">
        <v>1166</v>
      </c>
      <c r="G1211" s="141" t="s">
        <v>1167</v>
      </c>
      <c r="H1211" s="141"/>
      <c r="I1211" s="141">
        <v>2019</v>
      </c>
      <c r="J1211" s="141"/>
      <c r="K1211" s="141" t="s">
        <v>1168</v>
      </c>
      <c r="L1211" s="141"/>
      <c r="M1211" t="str">
        <f>LEFT($D1211,FIND(",",$D1211)-1)&amp;"_"&amp;I1211&amp;L1211</f>
        <v>Bosch_2019</v>
      </c>
      <c r="N1211" t="s">
        <v>222</v>
      </c>
      <c r="O1211" s="174" t="s">
        <v>225</v>
      </c>
      <c r="P1211" s="141" t="s">
        <v>223</v>
      </c>
      <c r="Q1211" s="317" t="s">
        <v>224</v>
      </c>
      <c r="R1211" s="318" t="s">
        <v>1029</v>
      </c>
      <c r="S1211" s="173" t="s">
        <v>1181</v>
      </c>
      <c r="T1211" s="141" t="s">
        <v>1182</v>
      </c>
      <c r="U1211" s="141" t="s">
        <v>1171</v>
      </c>
      <c r="V1211" s="253">
        <v>0</v>
      </c>
      <c r="W1211" s="253">
        <v>0</v>
      </c>
      <c r="X1211" s="141">
        <v>0</v>
      </c>
      <c r="Y1211" s="141">
        <v>0</v>
      </c>
      <c r="Z1211" s="141">
        <v>1</v>
      </c>
      <c r="AA1211" s="141">
        <v>0</v>
      </c>
      <c r="AB1211" s="141">
        <v>0</v>
      </c>
      <c r="AC1211" s="141">
        <v>0</v>
      </c>
      <c r="AD1211" s="141">
        <v>0</v>
      </c>
      <c r="AE1211" s="141">
        <v>0</v>
      </c>
      <c r="AF1211" s="141">
        <v>0</v>
      </c>
      <c r="AG1211" s="141">
        <v>0</v>
      </c>
      <c r="AH1211" s="141">
        <v>0</v>
      </c>
      <c r="AI1211" s="141">
        <v>0</v>
      </c>
      <c r="AJ1211" s="141">
        <v>0</v>
      </c>
      <c r="AK1211" s="141">
        <v>0</v>
      </c>
      <c r="AL1211" s="141">
        <v>0</v>
      </c>
      <c r="AM1211" s="141">
        <v>0</v>
      </c>
      <c r="AN1211" s="141">
        <v>0</v>
      </c>
      <c r="AO1211" s="141">
        <v>0</v>
      </c>
      <c r="AP1211" s="141">
        <v>0</v>
      </c>
      <c r="AQ1211" s="141">
        <v>0</v>
      </c>
      <c r="AR1211" s="141">
        <v>0</v>
      </c>
      <c r="AS1211" s="141">
        <v>0</v>
      </c>
      <c r="AT1211" s="141">
        <v>0</v>
      </c>
      <c r="AU1211" s="141">
        <v>0</v>
      </c>
      <c r="AV1211" s="141">
        <v>0</v>
      </c>
      <c r="AW1211" s="141">
        <v>0</v>
      </c>
      <c r="AX1211" s="141">
        <v>0</v>
      </c>
      <c r="AY1211" s="141">
        <v>0</v>
      </c>
      <c r="AZ1211" s="141">
        <f>COUNTIF(X1211:AY1211,"&lt;&gt;0")</f>
        <v>1</v>
      </c>
      <c r="BA1211" s="141">
        <f>COUNTIF(X1211:AN1211,"&lt;&gt;0")</f>
        <v>1</v>
      </c>
      <c r="BB1211">
        <f>COUNTIF(X1211:AE1211,"&lt;&gt;0")</f>
        <v>1</v>
      </c>
      <c r="BC1211">
        <f>COUNTIF(AF1211:AK1211,"&lt;&gt;0")</f>
        <v>0</v>
      </c>
      <c r="BD1211">
        <f>COUNTIF(AL1211:AN1211,"&lt;&gt;0")</f>
        <v>0</v>
      </c>
      <c r="BE1211">
        <f>COUNTIF(AU1211:AY1211,"&lt;&gt;0")</f>
        <v>0</v>
      </c>
      <c r="BF1211">
        <f>COUNTIF(AO1211:AT1211,"&lt;&gt;0")</f>
        <v>0</v>
      </c>
      <c r="BG1211" t="str" cm="1">
        <f t="array" ref="BG1211">IF(BA1211=1,INDEX($X$7:$AN$7,MATCH(TRUE,INDEX($X1211:$AY1211&lt;&gt;0,),0)),IF(BA1211=0,INDEX($AO$7:$AY$7,MATCH(1,$AO1211:$AY1211,0)),IF(BH1211="Multiple strategies","mixed drivers",IF(BH1211="Supply chain","multiple supply","multiple silviculture"))))</f>
        <v>rotation length</v>
      </c>
      <c r="BH1211" s="2" t="str" cm="1">
        <f t="array" ref="BH1211">IF(COUNTIF(BB1211:BD1211,"&lt;&gt;0")=1,INDEX($X$4:$AY$4,MATCH(TRUE,INDEX($X1211:$AY1211&lt;&gt;0,),0)),IF(COUNTIF(BB1211:BD1211,"&lt;&gt;0")=0,INDEX($AO$4:$AY$4,MATCH(1,$AO1211:$AY1211,0)),"Multiple strategies"))</f>
        <v>Silviculture for removals</v>
      </c>
      <c r="BI1211" s="172" t="s">
        <v>321</v>
      </c>
      <c r="BJ1211" s="141" t="s">
        <v>1172</v>
      </c>
      <c r="BK1211" s="141" t="s">
        <v>1173</v>
      </c>
      <c r="BL1211" s="163" t="s">
        <v>1174</v>
      </c>
      <c r="BM1211" s="175">
        <v>2167</v>
      </c>
      <c r="BN1211" s="163">
        <v>2405</v>
      </c>
      <c r="BO1211" s="163">
        <f>BN1211/BM1211</f>
        <v>1.1098292570373789</v>
      </c>
      <c r="BP1211">
        <f>BN1211-BM1211</f>
        <v>238</v>
      </c>
      <c r="BQ1211" s="158">
        <f>BP1211*10^6</f>
        <v>238000000</v>
      </c>
      <c r="BR1211" s="141" t="s">
        <v>232</v>
      </c>
      <c r="BS1211" s="317" t="s">
        <v>687</v>
      </c>
      <c r="BT1211" s="151" t="s">
        <v>1175</v>
      </c>
      <c r="BU1211" s="163"/>
      <c r="BV1211" s="141"/>
      <c r="BW1211" s="144"/>
      <c r="BX1211" s="175">
        <v>-250</v>
      </c>
      <c r="BY1211" s="194"/>
      <c r="BZ1211">
        <f>BX1211*10^6</f>
        <v>-250000000</v>
      </c>
      <c r="CA1211">
        <f>IFERROR(BZ1211/BQ1211,"")</f>
        <v>-1.0504201680672269</v>
      </c>
      <c r="CB1211" s="141">
        <v>0</v>
      </c>
      <c r="CC1211" s="141">
        <v>0</v>
      </c>
      <c r="CD1211" s="141">
        <v>0</v>
      </c>
      <c r="CE1211" s="141">
        <v>0</v>
      </c>
      <c r="CF1211" s="141">
        <v>0</v>
      </c>
      <c r="CG1211" s="141">
        <v>0</v>
      </c>
      <c r="CH1211" s="141">
        <v>0</v>
      </c>
      <c r="CI1211" s="141">
        <v>0</v>
      </c>
      <c r="CJ1211" s="141">
        <v>0</v>
      </c>
      <c r="CK1211" s="141">
        <v>0</v>
      </c>
      <c r="CL1211" s="141">
        <v>0</v>
      </c>
      <c r="CM1211" s="141">
        <v>0</v>
      </c>
      <c r="CN1211" s="141">
        <v>0</v>
      </c>
      <c r="CO1211" s="141">
        <v>1</v>
      </c>
      <c r="CP1211" t="str">
        <f>IF(BN1211&lt;BM1211,"refNeedCorrection","refOK")</f>
        <v>refOK</v>
      </c>
      <c r="CQ1211">
        <f>IF($CP1211="refOK",$BM1211,$BN1211)</f>
        <v>2167</v>
      </c>
      <c r="CR1211">
        <f>IF($CP1211="refOK",$BN1211,$BM1211)</f>
        <v>2405</v>
      </c>
      <c r="CS1211">
        <f>IF($CP1211="refOK",$BQ1211,-$BQ1211)</f>
        <v>238000000</v>
      </c>
      <c r="CT1211">
        <f>IF(BI1211="Roundwood",$CS1211/2,$CS1211)</f>
        <v>119000000</v>
      </c>
      <c r="CU1211">
        <f>IF($CP1211="refOK",$BU1211,$BV1211)*IF($BR1211="Emissions positive",-1,1)</f>
        <v>0</v>
      </c>
      <c r="CV1211">
        <f>IF($CP1211="refOK",$BV1211,$BU1211)*IF($BR1211="Emissions positive",-1,1)</f>
        <v>0</v>
      </c>
      <c r="CW1211">
        <f>IF($CP1211="refNeedCorrection",-BZ1211,BZ1211)*IF($BR1211="Emissions positive",-1,1)</f>
        <v>-250000000</v>
      </c>
      <c r="CX1211">
        <f>IFERROR($CW1211/$CS1211,"")</f>
        <v>-1.0504201680672269</v>
      </c>
      <c r="CY1211">
        <f>IFERROR($CW1211/$CS1211,"")</f>
        <v>-1.0504201680672269</v>
      </c>
      <c r="CZ1211">
        <f>IFERROR($CW1211/$CT1211,"")</f>
        <v>-2.1008403361344539</v>
      </c>
      <c r="DA1211" s="2" t="str">
        <f>IFERROR((CV1211-CU1211)/ABS(CU1211),"")</f>
        <v/>
      </c>
      <c r="DB1211" s="173" t="s">
        <v>1078</v>
      </c>
      <c r="DC1211" s="317" t="str">
        <f>IF(OR($DB1211="prd",$DB1211="std",$DB1211="cit"),"loc",IF(OR($DB1211="eur",$DB1211="reg",$DB1211="coy"),"reg",$DB1211))</f>
        <v>reg</v>
      </c>
      <c r="DD1211" s="141" t="s">
        <v>1176</v>
      </c>
      <c r="DE1211" s="141">
        <v>2016</v>
      </c>
      <c r="DF1211" s="163">
        <v>2046</v>
      </c>
      <c r="DG1211" s="163">
        <v>30</v>
      </c>
      <c r="DH1211" t="str">
        <f>IF(DG1211=0,"0",IF(AND(DG1211&gt;=1,DG1211&lt;=30),"1-30",IF(AND(DG1211&gt;30,DG1211&lt;=70),"31-70",IF(AND(DG1211&gt;70,DG1211&lt;=100),"71-100",IF(DG1211&gt;100,"+100")))))</f>
        <v>1-30</v>
      </c>
      <c r="DI1211" s="141">
        <v>1</v>
      </c>
      <c r="DJ1211" s="141">
        <v>1</v>
      </c>
      <c r="DK1211" s="141">
        <v>0</v>
      </c>
      <c r="DL1211" s="141">
        <v>1</v>
      </c>
      <c r="DN1211">
        <f>SUM(DI1211:DL1211)</f>
        <v>3</v>
      </c>
      <c r="DO1211" t="str">
        <f>IF(DN1211=1,INDEX($DI$7:$DL$7,MATCH(1,$DI1211:$DL1211,0)),"mixedProduct")</f>
        <v>mixedProduct</v>
      </c>
      <c r="DP1211" t="str">
        <f>IF(DI1211=1,DP$7,0)</f>
        <v>Upstream</v>
      </c>
      <c r="DQ1211" t="str">
        <f>IF(DJ1211=1,DQ$7,0)</f>
        <v>Energy</v>
      </c>
      <c r="DR1211">
        <f>IF(DK1211=1,DR$7,0)</f>
        <v>0</v>
      </c>
      <c r="DS1211" t="str">
        <f>IF(DL1211=1,DS$7,0)</f>
        <v>Timber</v>
      </c>
      <c r="DT1211" s="163">
        <v>0</v>
      </c>
      <c r="DU1211" s="141">
        <v>0</v>
      </c>
      <c r="DV1211" s="163">
        <v>0</v>
      </c>
      <c r="DW1211" s="163">
        <v>0</v>
      </c>
      <c r="DX1211" s="163">
        <v>0</v>
      </c>
      <c r="DY1211">
        <f>SUM(DT1211:DU1211)</f>
        <v>0</v>
      </c>
      <c r="DZ1211" s="143" t="str">
        <f>IF(DT1211=1,"self-calculated DF",IF(DU1211=1,"external DF used","explicit C balance"))</f>
        <v>explicit C balance</v>
      </c>
      <c r="EA1211" s="163">
        <v>1</v>
      </c>
      <c r="EB1211" s="141">
        <v>1</v>
      </c>
      <c r="EC1211" s="163">
        <v>1</v>
      </c>
      <c r="ED1211" s="163">
        <v>1</v>
      </c>
      <c r="EE1211" s="141">
        <v>0</v>
      </c>
      <c r="EF1211" s="141">
        <v>0</v>
      </c>
      <c r="EG1211" s="143">
        <v>0</v>
      </c>
      <c r="EH1211" s="141">
        <v>0</v>
      </c>
      <c r="EI1211" s="143">
        <v>0</v>
      </c>
      <c r="EJ1211" s="143">
        <v>0</v>
      </c>
      <c r="EK1211" s="141">
        <v>1</v>
      </c>
      <c r="EL1211" s="163">
        <v>0</v>
      </c>
      <c r="EM1211" s="141">
        <v>0</v>
      </c>
      <c r="EN1211" s="176">
        <v>0</v>
      </c>
      <c r="EP1211" t="str">
        <f>IF(AND(AND(AND(OR($EC1211=1,$EB1211=1),OR($EH1211=1,$EF1211=1)),SUM($EA1211:$EE1211,$EK1211)&gt;=3),SUM($EF1211:$EJ1211)&gt;=2),"Whole sector approach","")</f>
        <v/>
      </c>
      <c r="EQ1211" t="str">
        <f>IF(AND(AND(OR($EC1211=1,$EB1211=1),AND($EH1211=0,$EF1211=0)),SUM($EA1211:$EE1211,$EK1211)&gt;=3),"Ecosystem approach","")</f>
        <v>Ecosystem approach</v>
      </c>
      <c r="ER1211" s="2" t="str">
        <f>IF(AND(AND(AND($EC1211=0,$EB1211=0),OR($EH1211=1,$EF1211=1)),SUM($EG1211:$EJ1211)&gt;=2),"Technology approach","")</f>
        <v/>
      </c>
      <c r="ES1211" t="str">
        <f>IF(AND($EC1211+$EB1211+$EE1211+$EA1211+$ED1211+$EG1211=0,$N1211="included"),"C neutral forest and HWP assumption","")</f>
        <v/>
      </c>
      <c r="ET1211" t="str">
        <f>IF(AND(AND(AND(AND($EC1211=1,$EB1211+$EA1211+$EG1211&gt;=1),$EF1211=1),$EH1211+$EI1211+$ED1211+$EE1211&gt;=2),$N1211="included"),"All C pools assumption","")</f>
        <v/>
      </c>
      <c r="EU1211" t="str">
        <f>IF(AND($ED1211+$EE1211+$EI1211+$EH1211+$EF1211=0,$N1211="included"),"In-situ only assumption","")</f>
        <v/>
      </c>
      <c r="EW1211" s="141"/>
      <c r="EY1211" t="str">
        <f>IF(ISNUMBER(BW1211),IF(ABS(BW1211-[4]QC_indicators!$B$2)&gt;3*[4]QC_indicators!$C$2,"C ratio",IF(ISNUMBER(CA1211),IF(ABS(CA1211-[4]QC_indicators!$B$1)&gt;3*[4]QC_indicators!$C$1,"DF","no"))),IF(ISNUMBER(CA1211),IF(ABS(CA1211-[4]QC_indicators!$B$1)&gt;3*[4]QC_indicators!$C$1,"DF","no")))</f>
        <v>no</v>
      </c>
      <c r="FA1211" t="str">
        <f>IF(LEN($CY1211)=0,"",IF(AND($CY1211&lt;(-0.05),$ES1211="C neutral forest and HWP assumption"),"Cneutral paradox",IF(AND($CY1211&gt;0.05,$EU1211="In-situ only assumption"),"In-situ only paradox","")))</f>
        <v/>
      </c>
      <c r="FB1211" s="319" t="s">
        <v>1177</v>
      </c>
      <c r="FD1211" s="317" t="s">
        <v>4883</v>
      </c>
    </row>
    <row r="1212" spans="1:160">
      <c r="A1212" s="173" t="s">
        <v>1161</v>
      </c>
      <c r="B1212" s="141" t="s">
        <v>1162</v>
      </c>
      <c r="C1212" s="141" t="s">
        <v>1163</v>
      </c>
      <c r="D1212" s="141" t="s">
        <v>1164</v>
      </c>
      <c r="E1212" s="141" t="s">
        <v>1165</v>
      </c>
      <c r="F1212" s="141" t="s">
        <v>1166</v>
      </c>
      <c r="G1212" s="141" t="s">
        <v>1167</v>
      </c>
      <c r="H1212" s="141"/>
      <c r="I1212" s="141">
        <v>2019</v>
      </c>
      <c r="J1212" s="141"/>
      <c r="K1212" s="141" t="s">
        <v>1168</v>
      </c>
      <c r="L1212" s="141"/>
      <c r="M1212" t="str">
        <f>LEFT($D1212,FIND(",",$D1212)-1)&amp;"_"&amp;I1212&amp;L1212</f>
        <v>Bosch_2019</v>
      </c>
      <c r="N1212" t="s">
        <v>222</v>
      </c>
      <c r="O1212" s="174" t="s">
        <v>225</v>
      </c>
      <c r="P1212" s="141" t="s">
        <v>223</v>
      </c>
      <c r="Q1212" s="317" t="s">
        <v>224</v>
      </c>
      <c r="R1212" s="318" t="s">
        <v>1029</v>
      </c>
      <c r="S1212" s="173" t="s">
        <v>1181</v>
      </c>
      <c r="T1212" s="141" t="s">
        <v>1182</v>
      </c>
      <c r="U1212" s="141" t="s">
        <v>1171</v>
      </c>
      <c r="V1212" s="253">
        <v>0</v>
      </c>
      <c r="W1212" s="253">
        <v>0</v>
      </c>
      <c r="X1212" s="141">
        <v>0</v>
      </c>
      <c r="Y1212" s="141">
        <v>0</v>
      </c>
      <c r="Z1212" s="141">
        <v>1</v>
      </c>
      <c r="AA1212" s="141">
        <v>0</v>
      </c>
      <c r="AB1212" s="141">
        <v>0</v>
      </c>
      <c r="AC1212" s="141">
        <v>0</v>
      </c>
      <c r="AD1212" s="141">
        <v>0</v>
      </c>
      <c r="AE1212" s="141">
        <v>0</v>
      </c>
      <c r="AF1212" s="141">
        <v>0</v>
      </c>
      <c r="AG1212" s="141">
        <v>0</v>
      </c>
      <c r="AH1212" s="141">
        <v>0</v>
      </c>
      <c r="AI1212" s="141">
        <v>0</v>
      </c>
      <c r="AJ1212" s="141">
        <v>0</v>
      </c>
      <c r="AK1212" s="141">
        <v>0</v>
      </c>
      <c r="AL1212" s="141">
        <v>0</v>
      </c>
      <c r="AM1212" s="141">
        <v>0</v>
      </c>
      <c r="AN1212" s="141">
        <v>0</v>
      </c>
      <c r="AO1212" s="141">
        <v>0</v>
      </c>
      <c r="AP1212" s="141">
        <v>0</v>
      </c>
      <c r="AQ1212" s="141">
        <v>0</v>
      </c>
      <c r="AR1212" s="141">
        <v>0</v>
      </c>
      <c r="AS1212" s="141">
        <v>0</v>
      </c>
      <c r="AT1212" s="141">
        <v>0</v>
      </c>
      <c r="AU1212" s="141">
        <v>0</v>
      </c>
      <c r="AV1212" s="141">
        <v>0</v>
      </c>
      <c r="AW1212" s="141">
        <v>0</v>
      </c>
      <c r="AX1212" s="141">
        <v>0</v>
      </c>
      <c r="AY1212" s="141">
        <v>0</v>
      </c>
      <c r="AZ1212" s="141">
        <f>COUNTIF(X1212:AY1212,"&lt;&gt;0")</f>
        <v>1</v>
      </c>
      <c r="BA1212" s="141">
        <f>COUNTIF(X1212:AN1212,"&lt;&gt;0")</f>
        <v>1</v>
      </c>
      <c r="BB1212">
        <f>COUNTIF(X1212:AE1212,"&lt;&gt;0")</f>
        <v>1</v>
      </c>
      <c r="BC1212">
        <f>COUNTIF(AF1212:AK1212,"&lt;&gt;0")</f>
        <v>0</v>
      </c>
      <c r="BD1212">
        <f>COUNTIF(AL1212:AN1212,"&lt;&gt;0")</f>
        <v>0</v>
      </c>
      <c r="BE1212">
        <f>COUNTIF(AU1212:AY1212,"&lt;&gt;0")</f>
        <v>0</v>
      </c>
      <c r="BF1212">
        <f>COUNTIF(AO1212:AT1212,"&lt;&gt;0")</f>
        <v>0</v>
      </c>
      <c r="BG1212" t="str" cm="1">
        <f t="array" ref="BG1212">IF(BA1212=1,INDEX($X$7:$AN$7,MATCH(TRUE,INDEX($X1212:$AY1212&lt;&gt;0,),0)),IF(BA1212=0,INDEX($AO$7:$AY$7,MATCH(1,$AO1212:$AY1212,0)),IF(BH1212="Multiple strategies","mixed drivers",IF(BH1212="Supply chain","multiple supply","multiple silviculture"))))</f>
        <v>rotation length</v>
      </c>
      <c r="BH1212" s="2" t="str" cm="1">
        <f t="array" ref="BH1212">IF(COUNTIF(BB1212:BD1212,"&lt;&gt;0")=1,INDEX($X$4:$AY$4,MATCH(TRUE,INDEX($X1212:$AY1212&lt;&gt;0,),0)),IF(COUNTIF(BB1212:BD1212,"&lt;&gt;0")=0,INDEX($AO$4:$AY$4,MATCH(1,$AO1212:$AY1212,0)),"Multiple strategies"))</f>
        <v>Silviculture for removals</v>
      </c>
      <c r="BI1212" s="172" t="s">
        <v>321</v>
      </c>
      <c r="BJ1212" s="141" t="s">
        <v>1172</v>
      </c>
      <c r="BK1212" s="141" t="s">
        <v>1173</v>
      </c>
      <c r="BL1212" s="163" t="s">
        <v>1174</v>
      </c>
      <c r="BM1212" s="175">
        <v>2167</v>
      </c>
      <c r="BN1212" s="163">
        <v>2405</v>
      </c>
      <c r="BO1212" s="163">
        <f>BN1212/BM1212</f>
        <v>1.1098292570373789</v>
      </c>
      <c r="BP1212">
        <f>BN1212-BM1212</f>
        <v>238</v>
      </c>
      <c r="BQ1212" s="158">
        <f>BP1212*10^6</f>
        <v>238000000</v>
      </c>
      <c r="BR1212" s="141" t="s">
        <v>232</v>
      </c>
      <c r="BS1212" s="317" t="s">
        <v>687</v>
      </c>
      <c r="BT1212" s="151" t="s">
        <v>1175</v>
      </c>
      <c r="BU1212" s="163"/>
      <c r="BV1212" s="141"/>
      <c r="BW1212" s="144"/>
      <c r="BX1212" s="175">
        <v>-306</v>
      </c>
      <c r="BY1212" s="194"/>
      <c r="BZ1212">
        <f>BX1212*10^6</f>
        <v>-306000000</v>
      </c>
      <c r="CA1212">
        <f>IFERROR(BZ1212/BQ1212,"")</f>
        <v>-1.2857142857142858</v>
      </c>
      <c r="CB1212" s="141">
        <v>0</v>
      </c>
      <c r="CC1212" s="141">
        <v>0</v>
      </c>
      <c r="CD1212" s="141">
        <v>0</v>
      </c>
      <c r="CE1212" s="141">
        <v>0</v>
      </c>
      <c r="CF1212" s="141">
        <v>0</v>
      </c>
      <c r="CG1212" s="141">
        <v>0</v>
      </c>
      <c r="CH1212" s="141">
        <v>0</v>
      </c>
      <c r="CI1212" s="141">
        <v>0</v>
      </c>
      <c r="CJ1212" s="141">
        <v>0</v>
      </c>
      <c r="CK1212" s="141">
        <v>0</v>
      </c>
      <c r="CL1212" s="141">
        <v>0</v>
      </c>
      <c r="CM1212" s="141">
        <v>0</v>
      </c>
      <c r="CN1212" s="141">
        <v>0</v>
      </c>
      <c r="CO1212" s="141">
        <v>1</v>
      </c>
      <c r="CP1212" t="str">
        <f>IF(BN1212&lt;BM1212,"refNeedCorrection","refOK")</f>
        <v>refOK</v>
      </c>
      <c r="CQ1212">
        <f>IF($CP1212="refOK",$BM1212,$BN1212)</f>
        <v>2167</v>
      </c>
      <c r="CR1212">
        <f>IF($CP1212="refOK",$BN1212,$BM1212)</f>
        <v>2405</v>
      </c>
      <c r="CS1212">
        <f>IF($CP1212="refOK",$BQ1212,-$BQ1212)</f>
        <v>238000000</v>
      </c>
      <c r="CT1212">
        <f>IF(BI1212="Roundwood",$CS1212/2,$CS1212)</f>
        <v>119000000</v>
      </c>
      <c r="CU1212">
        <f>IF($CP1212="refOK",$BU1212,$BV1212)*IF($BR1212="Emissions positive",-1,1)</f>
        <v>0</v>
      </c>
      <c r="CV1212">
        <f>IF($CP1212="refOK",$BV1212,$BU1212)*IF($BR1212="Emissions positive",-1,1)</f>
        <v>0</v>
      </c>
      <c r="CW1212">
        <f>IF($CP1212="refNeedCorrection",-BZ1212,BZ1212)*IF($BR1212="Emissions positive",-1,1)</f>
        <v>-306000000</v>
      </c>
      <c r="CX1212">
        <f>IFERROR($CW1212/$CS1212,"")</f>
        <v>-1.2857142857142858</v>
      </c>
      <c r="CY1212">
        <f>IFERROR($CW1212/$CS1212,"")</f>
        <v>-1.2857142857142858</v>
      </c>
      <c r="CZ1212">
        <f>IFERROR($CW1212/$CT1212,"")</f>
        <v>-2.5714285714285716</v>
      </c>
      <c r="DA1212" s="2" t="str">
        <f>IFERROR((CV1212-CU1212)/ABS(CU1212),"")</f>
        <v/>
      </c>
      <c r="DB1212" s="173" t="s">
        <v>1078</v>
      </c>
      <c r="DC1212" s="317" t="str">
        <f>IF(OR($DB1212="prd",$DB1212="std",$DB1212="cit"),"loc",IF(OR($DB1212="eur",$DB1212="reg",$DB1212="coy"),"reg",$DB1212))</f>
        <v>reg</v>
      </c>
      <c r="DD1212" s="141" t="s">
        <v>1176</v>
      </c>
      <c r="DE1212" s="141">
        <v>2016</v>
      </c>
      <c r="DF1212" s="163">
        <v>2046</v>
      </c>
      <c r="DG1212" s="163">
        <v>30</v>
      </c>
      <c r="DH1212" t="str">
        <f>IF(DG1212=0,"0",IF(AND(DG1212&gt;=1,DG1212&lt;=30),"1-30",IF(AND(DG1212&gt;30,DG1212&lt;=70),"31-70",IF(AND(DG1212&gt;70,DG1212&lt;=100),"71-100",IF(DG1212&gt;100,"+100")))))</f>
        <v>1-30</v>
      </c>
      <c r="DI1212" s="141">
        <v>1</v>
      </c>
      <c r="DJ1212" s="141">
        <v>1</v>
      </c>
      <c r="DK1212" s="141">
        <v>0</v>
      </c>
      <c r="DL1212" s="141">
        <v>1</v>
      </c>
      <c r="DN1212">
        <f>SUM(DI1212:DL1212)</f>
        <v>3</v>
      </c>
      <c r="DO1212" t="str">
        <f>IF(DN1212=1,INDEX($DI$7:$DL$7,MATCH(1,$DI1212:$DL1212,0)),"mixedProduct")</f>
        <v>mixedProduct</v>
      </c>
      <c r="DP1212" t="str">
        <f>IF(DI1212=1,DP$7,0)</f>
        <v>Upstream</v>
      </c>
      <c r="DQ1212" t="str">
        <f>IF(DJ1212=1,DQ$7,0)</f>
        <v>Energy</v>
      </c>
      <c r="DR1212">
        <f>IF(DK1212=1,DR$7,0)</f>
        <v>0</v>
      </c>
      <c r="DS1212" t="str">
        <f>IF(DL1212=1,DS$7,0)</f>
        <v>Timber</v>
      </c>
      <c r="DT1212" s="163">
        <v>0</v>
      </c>
      <c r="DU1212" s="141">
        <v>0</v>
      </c>
      <c r="DV1212" s="163">
        <v>0</v>
      </c>
      <c r="DW1212" s="163">
        <v>0</v>
      </c>
      <c r="DX1212" s="163">
        <v>0</v>
      </c>
      <c r="DY1212">
        <f>SUM(DT1212:DU1212)</f>
        <v>0</v>
      </c>
      <c r="DZ1212" s="143" t="str">
        <f>IF(DT1212=1,"self-calculated DF",IF(DU1212=1,"external DF used","explicit C balance"))</f>
        <v>explicit C balance</v>
      </c>
      <c r="EA1212" s="163">
        <v>1</v>
      </c>
      <c r="EB1212" s="141">
        <v>1</v>
      </c>
      <c r="EC1212" s="163">
        <v>1</v>
      </c>
      <c r="ED1212" s="163">
        <v>0</v>
      </c>
      <c r="EE1212" s="141">
        <v>0</v>
      </c>
      <c r="EF1212" s="141">
        <v>0</v>
      </c>
      <c r="EG1212" s="143">
        <v>0</v>
      </c>
      <c r="EH1212" s="141">
        <v>0</v>
      </c>
      <c r="EI1212" s="143">
        <v>0</v>
      </c>
      <c r="EJ1212" s="143">
        <v>0</v>
      </c>
      <c r="EK1212" s="141">
        <v>1</v>
      </c>
      <c r="EL1212" s="163">
        <v>0</v>
      </c>
      <c r="EM1212" s="141">
        <v>0</v>
      </c>
      <c r="EN1212" s="176">
        <v>0</v>
      </c>
      <c r="EP1212" t="str">
        <f>IF(AND(AND(AND(OR($EC1212=1,$EB1212=1),OR($EH1212=1,$EF1212=1)),SUM($EA1212:$EE1212,$EK1212)&gt;=3),SUM($EF1212:$EJ1212)&gt;=2),"Whole sector approach","")</f>
        <v/>
      </c>
      <c r="EQ1212" t="str">
        <f>IF(AND(AND(OR($EC1212=1,$EB1212=1),AND($EH1212=0,$EF1212=0)),SUM($EA1212:$EE1212,$EK1212)&gt;=3),"Ecosystem approach","")</f>
        <v>Ecosystem approach</v>
      </c>
      <c r="ER1212" s="2" t="str">
        <f>IF(AND(AND(AND($EC1212=0,$EB1212=0),OR($EH1212=1,$EF1212=1)),SUM($EG1212:$EJ1212)&gt;=2),"Technology approach","")</f>
        <v/>
      </c>
      <c r="ES1212" t="str">
        <f>IF(AND($EC1212+$EB1212+$EE1212+$EA1212+$ED1212+$EG1212=0,$N1212="included"),"C neutral forest and HWP assumption","")</f>
        <v/>
      </c>
      <c r="ET1212" t="str">
        <f>IF(AND(AND(AND(AND($EC1212=1,$EB1212+$EA1212+$EG1212&gt;=1),$EF1212=1),$EH1212+$EI1212+$ED1212+$EE1212&gt;=2),$N1212="included"),"All C pools assumption","")</f>
        <v/>
      </c>
      <c r="EU1212" t="str">
        <f>IF(AND($ED1212+$EE1212+$EI1212+$EH1212+$EF1212=0,$N1212="included"),"In-situ only assumption","")</f>
        <v>In-situ only assumption</v>
      </c>
      <c r="EW1212" s="141"/>
      <c r="EY1212" t="str">
        <f>IF(ISNUMBER(BW1212),IF(ABS(BW1212-[4]QC_indicators!$B$2)&gt;3*[4]QC_indicators!$C$2,"C ratio",IF(ISNUMBER(CA1212),IF(ABS(CA1212-[4]QC_indicators!$B$1)&gt;3*[4]QC_indicators!$C$1,"DF","no"))),IF(ISNUMBER(CA1212),IF(ABS(CA1212-[4]QC_indicators!$B$1)&gt;3*[4]QC_indicators!$C$1,"DF","no")))</f>
        <v>no</v>
      </c>
      <c r="FA1212" t="str">
        <f>IF(LEN($CY1212)=0,"",IF(AND($CY1212&lt;(-0.05),$ES1212="C neutral forest and HWP assumption"),"Cneutral paradox",IF(AND($CY1212&gt;0.05,$EU1212="In-situ only assumption"),"In-situ only paradox","")))</f>
        <v/>
      </c>
      <c r="FB1212" s="319" t="s">
        <v>1177</v>
      </c>
      <c r="FD1212" s="317" t="s">
        <v>4883</v>
      </c>
    </row>
    <row r="1213" spans="1:160" ht="15" hidden="1" customHeight="1">
      <c r="A1213" s="173" t="s">
        <v>1161</v>
      </c>
      <c r="B1213" s="141" t="s">
        <v>1162</v>
      </c>
      <c r="C1213" s="141" t="s">
        <v>1163</v>
      </c>
      <c r="D1213" s="141" t="s">
        <v>1164</v>
      </c>
      <c r="E1213" s="141" t="s">
        <v>1165</v>
      </c>
      <c r="F1213" s="141" t="s">
        <v>1166</v>
      </c>
      <c r="G1213" s="141" t="s">
        <v>1167</v>
      </c>
      <c r="H1213" s="141"/>
      <c r="I1213" s="141">
        <v>2019</v>
      </c>
      <c r="J1213" s="141"/>
      <c r="K1213" s="141" t="s">
        <v>1168</v>
      </c>
      <c r="L1213" s="141"/>
      <c r="M1213" t="str">
        <f>LEFT($D1213,FIND(",",$D1213)-1)&amp;"_"&amp;I1213&amp;L1213</f>
        <v>Bosch_2019</v>
      </c>
      <c r="N1213" t="s">
        <v>222</v>
      </c>
      <c r="O1213" s="174" t="s">
        <v>225</v>
      </c>
      <c r="P1213" s="141" t="s">
        <v>223</v>
      </c>
      <c r="Q1213" s="317" t="s">
        <v>224</v>
      </c>
      <c r="R1213" s="318" t="s">
        <v>1029</v>
      </c>
      <c r="S1213" s="173" t="s">
        <v>1183</v>
      </c>
      <c r="T1213" s="141" t="s">
        <v>1171</v>
      </c>
      <c r="U1213" s="141" t="s">
        <v>1184</v>
      </c>
      <c r="V1213" s="253">
        <v>0</v>
      </c>
      <c r="W1213" s="253">
        <v>0</v>
      </c>
      <c r="X1213" s="141">
        <v>0</v>
      </c>
      <c r="Y1213" s="141">
        <v>0</v>
      </c>
      <c r="Z1213" s="141">
        <v>1</v>
      </c>
      <c r="AA1213" s="141">
        <v>0</v>
      </c>
      <c r="AB1213" s="141">
        <v>0</v>
      </c>
      <c r="AC1213" s="141">
        <v>0</v>
      </c>
      <c r="AD1213" s="141">
        <v>0</v>
      </c>
      <c r="AE1213" s="141">
        <v>0</v>
      </c>
      <c r="AF1213" s="141">
        <v>0</v>
      </c>
      <c r="AG1213" s="141">
        <v>0</v>
      </c>
      <c r="AH1213" s="141">
        <v>0</v>
      </c>
      <c r="AI1213" s="141">
        <v>0</v>
      </c>
      <c r="AJ1213" s="141">
        <v>0</v>
      </c>
      <c r="AK1213" s="141">
        <v>0</v>
      </c>
      <c r="AL1213" s="141">
        <v>0</v>
      </c>
      <c r="AM1213" s="141">
        <v>0</v>
      </c>
      <c r="AN1213" s="141">
        <v>0</v>
      </c>
      <c r="AO1213" s="141">
        <v>0</v>
      </c>
      <c r="AP1213" s="141">
        <v>0</v>
      </c>
      <c r="AQ1213" s="141">
        <v>0</v>
      </c>
      <c r="AR1213" s="141">
        <v>0</v>
      </c>
      <c r="AS1213" s="141">
        <v>0</v>
      </c>
      <c r="AT1213" s="141">
        <v>0</v>
      </c>
      <c r="AU1213" s="141">
        <v>0</v>
      </c>
      <c r="AV1213" s="141">
        <v>0</v>
      </c>
      <c r="AW1213" s="141">
        <v>0</v>
      </c>
      <c r="AX1213" s="141">
        <v>0</v>
      </c>
      <c r="AY1213" s="141">
        <v>0</v>
      </c>
      <c r="AZ1213" s="141">
        <f>COUNTIF(X1213:AY1213,"&lt;&gt;0")</f>
        <v>1</v>
      </c>
      <c r="BA1213" s="141">
        <f>COUNTIF(X1213:AN1213,"&lt;&gt;0")</f>
        <v>1</v>
      </c>
      <c r="BB1213">
        <f>COUNTIF(X1213:AE1213,"&lt;&gt;0")</f>
        <v>1</v>
      </c>
      <c r="BC1213">
        <f>COUNTIF(AF1213:AK1213,"&lt;&gt;0")</f>
        <v>0</v>
      </c>
      <c r="BD1213">
        <f>COUNTIF(AL1213:AN1213,"&lt;&gt;0")</f>
        <v>0</v>
      </c>
      <c r="BE1213">
        <f>COUNTIF(AU1213:AY1213,"&lt;&gt;0")</f>
        <v>0</v>
      </c>
      <c r="BF1213">
        <f>COUNTIF(AO1213:AT1213,"&lt;&gt;0")</f>
        <v>0</v>
      </c>
      <c r="BG1213" t="str" cm="1">
        <f t="array" ref="BG1213">IF(BA1213=1,INDEX($X$7:$AN$7,MATCH(TRUE,INDEX($X1213:$AY1213&lt;&gt;0,),0)),IF(BA1213=0,INDEX($AO$7:$AY$7,MATCH(1,$AO1213:$AY1213,0)),IF(BH1213="Multiple strategies","mixed drivers",IF(BH1213="Supply chain","multiple supply","multiple silviculture"))))</f>
        <v>rotation length</v>
      </c>
      <c r="BH1213" s="2" t="str" cm="1">
        <f t="array" ref="BH1213">IF(COUNTIF(BB1213:BD1213,"&lt;&gt;0")=1,INDEX($X$4:$AY$4,MATCH(TRUE,INDEX($X1213:$AY1213&lt;&gt;0,),0)),IF(COUNTIF(BB1213:BD1213,"&lt;&gt;0")=0,INDEX($AO$4:$AY$4,MATCH(1,$AO1213:$AY1213,0)),"Multiple strategies"))</f>
        <v>Silviculture for removals</v>
      </c>
      <c r="BI1213" s="172" t="s">
        <v>321</v>
      </c>
      <c r="BJ1213" s="141" t="s">
        <v>1172</v>
      </c>
      <c r="BK1213" s="141" t="s">
        <v>1173</v>
      </c>
      <c r="BL1213" s="163" t="s">
        <v>1174</v>
      </c>
      <c r="BM1213" s="163">
        <v>2405</v>
      </c>
      <c r="BN1213" s="175">
        <v>2642</v>
      </c>
      <c r="BO1213" s="317">
        <f>BN1213/BM1213</f>
        <v>1.0985446985446985</v>
      </c>
      <c r="BP1213">
        <f>BN1213-BM1213</f>
        <v>237</v>
      </c>
      <c r="BQ1213" s="158">
        <f>BP1213*10^6</f>
        <v>237000000</v>
      </c>
      <c r="BR1213" s="141" t="s">
        <v>232</v>
      </c>
      <c r="BS1213" s="317" t="s">
        <v>426</v>
      </c>
      <c r="BT1213" s="151" t="s">
        <v>1175</v>
      </c>
      <c r="BU1213" s="141"/>
      <c r="BV1213" s="163"/>
      <c r="BW1213" s="144" t="str">
        <f>IFERROR(BV1213/BU1213,"")</f>
        <v/>
      </c>
      <c r="BX1213" s="175">
        <v>-372</v>
      </c>
      <c r="BY1213" s="194"/>
      <c r="BZ1213">
        <f>BX1213*10^6</f>
        <v>-372000000</v>
      </c>
      <c r="CA1213">
        <f>IFERROR(BZ1213/BQ1213,"")</f>
        <v>-1.5696202531645569</v>
      </c>
      <c r="CB1213" s="141">
        <v>0</v>
      </c>
      <c r="CC1213" s="141">
        <v>0</v>
      </c>
      <c r="CD1213" s="141">
        <v>0</v>
      </c>
      <c r="CE1213" s="141">
        <v>0</v>
      </c>
      <c r="CF1213" s="141">
        <v>0</v>
      </c>
      <c r="CG1213" s="141">
        <v>0</v>
      </c>
      <c r="CH1213" s="141">
        <v>0</v>
      </c>
      <c r="CI1213" s="141">
        <v>0</v>
      </c>
      <c r="CJ1213" s="141">
        <v>0</v>
      </c>
      <c r="CK1213" s="141">
        <v>0</v>
      </c>
      <c r="CL1213" s="141">
        <v>0</v>
      </c>
      <c r="CM1213" s="141">
        <v>0</v>
      </c>
      <c r="CN1213" s="141">
        <v>0</v>
      </c>
      <c r="CO1213" s="141">
        <v>1</v>
      </c>
      <c r="CP1213" t="str">
        <f>IF(BN1213&lt;BM1213,"refNeedCorrection","refOK")</f>
        <v>refOK</v>
      </c>
      <c r="CQ1213">
        <f>IF($CP1213="refOK",$BM1213,$BN1213)</f>
        <v>2405</v>
      </c>
      <c r="CR1213">
        <f>IF($CP1213="refOK",$BN1213,$BM1213)</f>
        <v>2642</v>
      </c>
      <c r="CS1213">
        <f>IF($CP1213="refOK",$BQ1213,-$BQ1213)</f>
        <v>237000000</v>
      </c>
      <c r="CT1213">
        <f>IF(BI1213="Roundwood",$CS1213/2,$CS1213)</f>
        <v>118500000</v>
      </c>
      <c r="CU1213">
        <f>IF($CP1213="refOK",$BU1213,$BV1213)*IF($BR1213="Emissions positive",-1,1)</f>
        <v>0</v>
      </c>
      <c r="CV1213">
        <f>IF($CP1213="refOK",$BV1213,$BU1213)*IF($BR1213="Emissions positive",-1,1)</f>
        <v>0</v>
      </c>
      <c r="CW1213">
        <f>IF($CP1213="refNeedCorrection",-BZ1213,BZ1213)*IF($BR1213="Emissions positive",-1,1)</f>
        <v>-372000000</v>
      </c>
      <c r="CX1213">
        <f>IFERROR($CW1213/$CS1213,"")</f>
        <v>-1.5696202531645569</v>
      </c>
      <c r="CY1213">
        <f>IFERROR($CW1213/$CS1213,"")</f>
        <v>-1.5696202531645569</v>
      </c>
      <c r="CZ1213">
        <f>IFERROR($CW1213/$CT1213,"")</f>
        <v>-3.1392405063291138</v>
      </c>
      <c r="DA1213" s="2" t="str">
        <f>IFERROR((CV1213-CU1213)/ABS(CU1213),"")</f>
        <v/>
      </c>
      <c r="DB1213" s="173" t="s">
        <v>1078</v>
      </c>
      <c r="DC1213" s="317" t="str">
        <f>IF(OR($DB1213="prd",$DB1213="std",$DB1213="cit"),"loc",IF(OR($DB1213="eur",$DB1213="reg",$DB1213="coy"),"reg",$DB1213))</f>
        <v>reg</v>
      </c>
      <c r="DD1213" s="141" t="s">
        <v>1176</v>
      </c>
      <c r="DE1213" s="141">
        <v>2016</v>
      </c>
      <c r="DF1213" s="163">
        <v>2046</v>
      </c>
      <c r="DG1213" s="163">
        <v>30</v>
      </c>
      <c r="DH1213" t="str">
        <f>IF(DG1213=0,"0",IF(AND(DG1213&gt;=1,DG1213&lt;=30),"1-30",IF(AND(DG1213&gt;30,DG1213&lt;=70),"31-70",IF(AND(DG1213&gt;70,DG1213&lt;=100),"71-100",IF(DG1213&gt;100,"+100")))))</f>
        <v>1-30</v>
      </c>
      <c r="DI1213" s="141">
        <v>1</v>
      </c>
      <c r="DJ1213" s="141">
        <v>1</v>
      </c>
      <c r="DK1213" s="141">
        <v>0</v>
      </c>
      <c r="DL1213" s="141">
        <v>1</v>
      </c>
      <c r="DN1213">
        <f>SUM(DI1213:DL1213)</f>
        <v>3</v>
      </c>
      <c r="DO1213" t="str">
        <f>IF(DN1213=1,INDEX($DI$7:$DL$7,MATCH(1,$DI1213:$DL1213,0)),"mixedProduct")</f>
        <v>mixedProduct</v>
      </c>
      <c r="DP1213" t="str">
        <f>IF(DI1213=1,DP$7,0)</f>
        <v>Upstream</v>
      </c>
      <c r="DQ1213" t="str">
        <f>IF(DJ1213=1,DQ$7,0)</f>
        <v>Energy</v>
      </c>
      <c r="DR1213">
        <f>IF(DK1213=1,DR$7,0)</f>
        <v>0</v>
      </c>
      <c r="DS1213" t="str">
        <f>IF(DL1213=1,DS$7,0)</f>
        <v>Timber</v>
      </c>
      <c r="DT1213" s="163">
        <v>0</v>
      </c>
      <c r="DU1213" s="141">
        <v>0</v>
      </c>
      <c r="DV1213" s="163">
        <v>0</v>
      </c>
      <c r="DW1213" s="163">
        <v>0</v>
      </c>
      <c r="DX1213" s="163">
        <v>0</v>
      </c>
      <c r="DY1213">
        <f>SUM(DT1213:DU1213)</f>
        <v>0</v>
      </c>
      <c r="DZ1213" s="143" t="str">
        <f>IF(DT1213=1,"self-calculated DF",IF(DU1213=1,"external DF used","explicit C balance"))</f>
        <v>explicit C balance</v>
      </c>
      <c r="EA1213" s="163">
        <v>1</v>
      </c>
      <c r="EB1213" s="141">
        <v>1</v>
      </c>
      <c r="EC1213" s="163">
        <v>1</v>
      </c>
      <c r="ED1213" s="163">
        <v>1</v>
      </c>
      <c r="EE1213" s="141">
        <v>0</v>
      </c>
      <c r="EF1213" s="141">
        <v>0</v>
      </c>
      <c r="EG1213" s="143">
        <v>0</v>
      </c>
      <c r="EH1213" s="141">
        <v>0</v>
      </c>
      <c r="EI1213" s="143">
        <v>0</v>
      </c>
      <c r="EJ1213" s="143">
        <v>0</v>
      </c>
      <c r="EK1213" s="141">
        <v>1</v>
      </c>
      <c r="EL1213" s="163">
        <v>0</v>
      </c>
      <c r="EM1213" s="141">
        <v>0</v>
      </c>
      <c r="EN1213" s="176">
        <v>0</v>
      </c>
      <c r="EP1213" t="str">
        <f>IF(AND(AND(AND(OR($EC1213=1,$EB1213=1),OR($EH1213=1,$EF1213=1)),SUM($EA1213:$EE1213,$EK1213)&gt;=3),SUM($EF1213:$EJ1213)&gt;=2),"Whole sector approach","")</f>
        <v/>
      </c>
      <c r="EQ1213" t="str">
        <f>IF(AND(AND(OR($EC1213=1,$EB1213=1),AND($EH1213=0,$EF1213=0)),SUM($EA1213:$EE1213,$EK1213)&gt;=3),"Ecosystem approach","")</f>
        <v>Ecosystem approach</v>
      </c>
      <c r="ER1213" s="2" t="str">
        <f>IF(AND(AND(AND($EC1213=0,$EB1213=0),OR($EH1213=1,$EF1213=1)),SUM($EG1213:$EJ1213)&gt;=2),"Technology approach","")</f>
        <v/>
      </c>
      <c r="ES1213" t="str">
        <f>IF(AND($EC1213+$EB1213+$EE1213+$EA1213+$ED1213+$EG1213=0,$N1213="included"),"C neutral forest and HWP assumption","")</f>
        <v/>
      </c>
      <c r="ET1213" t="str">
        <f>IF(AND(AND(AND(AND($EC1213=1,$EB1213+$EA1213+$EG1213&gt;=1),$EF1213=1),$EH1213+$EI1213+$ED1213+$EE1213&gt;=2),$N1213="included"),"All C pools assumption","")</f>
        <v/>
      </c>
      <c r="EU1213" t="str">
        <f>IF(AND($ED1213+$EE1213+$EI1213+$EH1213+$EF1213=0,$N1213="included"),"In-situ only assumption","")</f>
        <v/>
      </c>
      <c r="EW1213" s="141"/>
      <c r="EY1213" t="str">
        <f>IF(ISNUMBER(BW1213),IF(ABS(BW1213-[4]QC_indicators!$B$2)&gt;3*[4]QC_indicators!$C$2,"C ratio",IF(ISNUMBER(CA1213),IF(ABS(CA1213-[4]QC_indicators!$B$1)&gt;3*[4]QC_indicators!$C$1,"DF","no"))),IF(ISNUMBER(CA1213),IF(ABS(CA1213-[4]QC_indicators!$B$1)&gt;3*[4]QC_indicators!$C$1,"DF","no")))</f>
        <v>no</v>
      </c>
      <c r="FA1213" t="str">
        <f>IF(LEN($CY1213)=0,"",IF(AND($CY1213&lt;(-0.05),$ES1213="C neutral forest and HWP assumption"),"Cneutral paradox",IF(AND($CY1213&gt;0.05,$EU1213="In-situ only assumption"),"In-situ only paradox","")))</f>
        <v/>
      </c>
      <c r="FB1213" s="319" t="s">
        <v>1177</v>
      </c>
      <c r="FD1213" s="317" t="s">
        <v>4883</v>
      </c>
    </row>
    <row r="1214" spans="1:160" ht="17">
      <c r="A1214" s="173" t="s">
        <v>1161</v>
      </c>
      <c r="B1214" s="141" t="s">
        <v>1162</v>
      </c>
      <c r="C1214" s="141" t="s">
        <v>1163</v>
      </c>
      <c r="D1214" s="141" t="s">
        <v>1164</v>
      </c>
      <c r="E1214" s="141" t="s">
        <v>1165</v>
      </c>
      <c r="F1214" s="141" t="s">
        <v>1166</v>
      </c>
      <c r="G1214" s="141" t="s">
        <v>1167</v>
      </c>
      <c r="H1214" s="141"/>
      <c r="I1214" s="141">
        <v>2019</v>
      </c>
      <c r="J1214" s="141"/>
      <c r="K1214" s="141" t="s">
        <v>1168</v>
      </c>
      <c r="L1214" s="141"/>
      <c r="M1214" t="str">
        <f>LEFT($D1214,FIND(",",$D1214)-1)&amp;"_"&amp;I1214&amp;L1214</f>
        <v>Bosch_2019</v>
      </c>
      <c r="N1214" t="s">
        <v>222</v>
      </c>
      <c r="O1214" s="174" t="s">
        <v>225</v>
      </c>
      <c r="P1214" s="141" t="s">
        <v>223</v>
      </c>
      <c r="Q1214" s="317" t="s">
        <v>224</v>
      </c>
      <c r="R1214" s="318" t="s">
        <v>1029</v>
      </c>
      <c r="S1214" s="173" t="s">
        <v>1183</v>
      </c>
      <c r="T1214" s="141" t="s">
        <v>1171</v>
      </c>
      <c r="U1214" s="141" t="s">
        <v>1184</v>
      </c>
      <c r="V1214" s="253">
        <v>0</v>
      </c>
      <c r="W1214" s="253">
        <v>0</v>
      </c>
      <c r="X1214" s="141">
        <v>0</v>
      </c>
      <c r="Y1214" s="141">
        <v>0</v>
      </c>
      <c r="Z1214" s="141">
        <v>1</v>
      </c>
      <c r="AA1214" s="141">
        <v>0</v>
      </c>
      <c r="AB1214" s="141">
        <v>0</v>
      </c>
      <c r="AC1214" s="141">
        <v>0</v>
      </c>
      <c r="AD1214" s="141">
        <v>0</v>
      </c>
      <c r="AE1214" s="141">
        <v>0</v>
      </c>
      <c r="AF1214" s="141">
        <v>0</v>
      </c>
      <c r="AG1214" s="141">
        <v>0</v>
      </c>
      <c r="AH1214" s="141">
        <v>0</v>
      </c>
      <c r="AI1214" s="141">
        <v>0</v>
      </c>
      <c r="AJ1214" s="141">
        <v>0</v>
      </c>
      <c r="AK1214" s="141">
        <v>0</v>
      </c>
      <c r="AL1214" s="141">
        <v>0</v>
      </c>
      <c r="AM1214" s="141">
        <v>0</v>
      </c>
      <c r="AN1214" s="141">
        <v>0</v>
      </c>
      <c r="AO1214" s="141">
        <v>0</v>
      </c>
      <c r="AP1214" s="141">
        <v>0</v>
      </c>
      <c r="AQ1214" s="141">
        <v>0</v>
      </c>
      <c r="AR1214" s="141">
        <v>0</v>
      </c>
      <c r="AS1214" s="141">
        <v>0</v>
      </c>
      <c r="AT1214" s="141">
        <v>0</v>
      </c>
      <c r="AU1214" s="141">
        <v>0</v>
      </c>
      <c r="AV1214" s="141">
        <v>0</v>
      </c>
      <c r="AW1214" s="141">
        <v>0</v>
      </c>
      <c r="AX1214" s="141">
        <v>0</v>
      </c>
      <c r="AY1214" s="141">
        <v>0</v>
      </c>
      <c r="AZ1214" s="141">
        <f>COUNTIF(X1214:AY1214,"&lt;&gt;0")</f>
        <v>1</v>
      </c>
      <c r="BA1214" s="141">
        <f>COUNTIF(X1214:AN1214,"&lt;&gt;0")</f>
        <v>1</v>
      </c>
      <c r="BB1214">
        <f>COUNTIF(X1214:AE1214,"&lt;&gt;0")</f>
        <v>1</v>
      </c>
      <c r="BC1214">
        <f>COUNTIF(AF1214:AK1214,"&lt;&gt;0")</f>
        <v>0</v>
      </c>
      <c r="BD1214">
        <f>COUNTIF(AL1214:AN1214,"&lt;&gt;0")</f>
        <v>0</v>
      </c>
      <c r="BE1214">
        <f>COUNTIF(AU1214:AY1214,"&lt;&gt;0")</f>
        <v>0</v>
      </c>
      <c r="BF1214">
        <f>COUNTIF(AO1214:AT1214,"&lt;&gt;0")</f>
        <v>0</v>
      </c>
      <c r="BG1214" t="str" cm="1">
        <f t="array" ref="BG1214">IF(BA1214=1,INDEX($X$7:$AN$7,MATCH(TRUE,INDEX($X1214:$AY1214&lt;&gt;0,),0)),IF(BA1214=0,INDEX($AO$7:$AY$7,MATCH(1,$AO1214:$AY1214,0)),IF(BH1214="Multiple strategies","mixed drivers",IF(BH1214="Supply chain","multiple supply","multiple silviculture"))))</f>
        <v>rotation length</v>
      </c>
      <c r="BH1214" s="2" t="str" cm="1">
        <f t="array" ref="BH1214">IF(COUNTIF(BB1214:BD1214,"&lt;&gt;0")=1,INDEX($X$4:$AY$4,MATCH(TRUE,INDEX($X1214:$AY1214&lt;&gt;0,),0)),IF(COUNTIF(BB1214:BD1214,"&lt;&gt;0")=0,INDEX($AO$4:$AY$4,MATCH(1,$AO1214:$AY1214,0)),"Multiple strategies"))</f>
        <v>Silviculture for removals</v>
      </c>
      <c r="BI1214" s="172" t="s">
        <v>321</v>
      </c>
      <c r="BJ1214" s="141" t="s">
        <v>1172</v>
      </c>
      <c r="BK1214" s="141" t="s">
        <v>1173</v>
      </c>
      <c r="BL1214" s="163" t="s">
        <v>1174</v>
      </c>
      <c r="BM1214" s="163">
        <v>2405</v>
      </c>
      <c r="BN1214" s="175">
        <v>2642</v>
      </c>
      <c r="BO1214" s="317">
        <f>BN1214/BM1214</f>
        <v>1.0985446985446985</v>
      </c>
      <c r="BP1214">
        <f>BN1214-BM1214</f>
        <v>237</v>
      </c>
      <c r="BQ1214" s="158">
        <f>BP1214*10^6</f>
        <v>237000000</v>
      </c>
      <c r="BR1214" s="141" t="s">
        <v>232</v>
      </c>
      <c r="BS1214" s="317" t="s">
        <v>426</v>
      </c>
      <c r="BT1214" s="151" t="s">
        <v>1175</v>
      </c>
      <c r="BU1214" s="141"/>
      <c r="BV1214" s="163"/>
      <c r="BW1214" s="144" t="str">
        <f>IFERROR(BV1214/BU1214,"")</f>
        <v/>
      </c>
      <c r="BX1214" s="175">
        <v>-418</v>
      </c>
      <c r="BY1214" s="194"/>
      <c r="BZ1214">
        <f>BX1214*10^6</f>
        <v>-418000000</v>
      </c>
      <c r="CA1214">
        <f>IFERROR(BZ1214/BQ1214,"")</f>
        <v>-1.7637130801687764</v>
      </c>
      <c r="CB1214" s="141">
        <v>0</v>
      </c>
      <c r="CC1214" s="141">
        <v>0</v>
      </c>
      <c r="CD1214" s="141">
        <v>0</v>
      </c>
      <c r="CE1214" s="141">
        <v>0</v>
      </c>
      <c r="CF1214" s="141">
        <v>0</v>
      </c>
      <c r="CG1214" s="141">
        <v>0</v>
      </c>
      <c r="CH1214" s="141">
        <v>0</v>
      </c>
      <c r="CI1214" s="141">
        <v>0</v>
      </c>
      <c r="CJ1214" s="141">
        <v>0</v>
      </c>
      <c r="CK1214" s="141">
        <v>0</v>
      </c>
      <c r="CL1214" s="141">
        <v>0</v>
      </c>
      <c r="CM1214" s="141">
        <v>0</v>
      </c>
      <c r="CN1214" s="141">
        <v>0</v>
      </c>
      <c r="CO1214" s="141">
        <v>1</v>
      </c>
      <c r="CP1214" t="str">
        <f>IF(BN1214&lt;BM1214,"refNeedCorrection","refOK")</f>
        <v>refOK</v>
      </c>
      <c r="CQ1214">
        <f>IF($CP1214="refOK",$BM1214,$BN1214)</f>
        <v>2405</v>
      </c>
      <c r="CR1214">
        <f>IF($CP1214="refOK",$BN1214,$BM1214)</f>
        <v>2642</v>
      </c>
      <c r="CS1214">
        <f>IF($CP1214="refOK",$BQ1214,-$BQ1214)</f>
        <v>237000000</v>
      </c>
      <c r="CT1214">
        <f>IF(BI1214="Roundwood",$CS1214/2,$CS1214)</f>
        <v>118500000</v>
      </c>
      <c r="CU1214">
        <f>IF($CP1214="refOK",$BU1214,$BV1214)*IF($BR1214="Emissions positive",-1,1)</f>
        <v>0</v>
      </c>
      <c r="CV1214">
        <f>IF($CP1214="refOK",$BV1214,$BU1214)*IF($BR1214="Emissions positive",-1,1)</f>
        <v>0</v>
      </c>
      <c r="CW1214">
        <f>IF($CP1214="refNeedCorrection",-BZ1214,BZ1214)*IF($BR1214="Emissions positive",-1,1)</f>
        <v>-418000000</v>
      </c>
      <c r="CX1214">
        <f>IFERROR($CW1214/$CS1214,"")</f>
        <v>-1.7637130801687764</v>
      </c>
      <c r="CY1214">
        <f>IFERROR($CW1214/$CS1214,"")</f>
        <v>-1.7637130801687764</v>
      </c>
      <c r="CZ1214">
        <f>IFERROR($CW1214/$CT1214,"")</f>
        <v>-3.5274261603375527</v>
      </c>
      <c r="DA1214" s="2" t="str">
        <f>IFERROR((CV1214-CU1214)/ABS(CU1214),"")</f>
        <v/>
      </c>
      <c r="DB1214" s="173" t="s">
        <v>1078</v>
      </c>
      <c r="DC1214" s="317" t="str">
        <f>IF(OR($DB1214="prd",$DB1214="std",$DB1214="cit"),"loc",IF(OR($DB1214="eur",$DB1214="reg",$DB1214="coy"),"reg",$DB1214))</f>
        <v>reg</v>
      </c>
      <c r="DD1214" s="141" t="s">
        <v>1176</v>
      </c>
      <c r="DE1214" s="141">
        <v>2016</v>
      </c>
      <c r="DF1214" s="163">
        <v>2046</v>
      </c>
      <c r="DG1214" s="163">
        <v>30</v>
      </c>
      <c r="DH1214" t="str">
        <f>IF(DG1214=0,"0",IF(AND(DG1214&gt;=1,DG1214&lt;=30),"1-30",IF(AND(DG1214&gt;30,DG1214&lt;=70),"31-70",IF(AND(DG1214&gt;70,DG1214&lt;=100),"71-100",IF(DG1214&gt;100,"+100")))))</f>
        <v>1-30</v>
      </c>
      <c r="DI1214" s="141">
        <v>1</v>
      </c>
      <c r="DJ1214" s="141">
        <v>1</v>
      </c>
      <c r="DK1214" s="141">
        <v>0</v>
      </c>
      <c r="DL1214" s="141">
        <v>1</v>
      </c>
      <c r="DN1214">
        <f>SUM(DI1214:DL1214)</f>
        <v>3</v>
      </c>
      <c r="DO1214" t="str">
        <f>IF(DN1214=1,INDEX($DI$7:$DL$7,MATCH(1,$DI1214:$DL1214,0)),"mixedProduct")</f>
        <v>mixedProduct</v>
      </c>
      <c r="DP1214" t="str">
        <f>IF(DI1214=1,DP$7,0)</f>
        <v>Upstream</v>
      </c>
      <c r="DQ1214" t="str">
        <f>IF(DJ1214=1,DQ$7,0)</f>
        <v>Energy</v>
      </c>
      <c r="DR1214">
        <f>IF(DK1214=1,DR$7,0)</f>
        <v>0</v>
      </c>
      <c r="DS1214" t="str">
        <f>IF(DL1214=1,DS$7,0)</f>
        <v>Timber</v>
      </c>
      <c r="DT1214" s="163">
        <v>0</v>
      </c>
      <c r="DU1214" s="141">
        <v>0</v>
      </c>
      <c r="DV1214" s="163">
        <v>0</v>
      </c>
      <c r="DW1214" s="163">
        <v>0</v>
      </c>
      <c r="DX1214" s="163">
        <v>0</v>
      </c>
      <c r="DY1214">
        <f>SUM(DT1214:DU1214)</f>
        <v>0</v>
      </c>
      <c r="DZ1214" s="143" t="str">
        <f>IF(DT1214=1,"self-calculated DF",IF(DU1214=1,"external DF used","explicit C balance"))</f>
        <v>explicit C balance</v>
      </c>
      <c r="EA1214" s="163">
        <v>1</v>
      </c>
      <c r="EB1214" s="141">
        <v>1</v>
      </c>
      <c r="EC1214" s="163">
        <v>1</v>
      </c>
      <c r="ED1214" s="163">
        <v>0</v>
      </c>
      <c r="EE1214" s="141">
        <v>0</v>
      </c>
      <c r="EF1214" s="141">
        <v>0</v>
      </c>
      <c r="EG1214" s="143">
        <v>0</v>
      </c>
      <c r="EH1214" s="141">
        <v>0</v>
      </c>
      <c r="EI1214" s="143">
        <v>0</v>
      </c>
      <c r="EJ1214" s="143">
        <v>0</v>
      </c>
      <c r="EK1214" s="141">
        <v>1</v>
      </c>
      <c r="EL1214" s="163">
        <v>0</v>
      </c>
      <c r="EM1214" s="141">
        <v>0</v>
      </c>
      <c r="EN1214" s="176">
        <v>0</v>
      </c>
      <c r="EP1214" t="str">
        <f>IF(AND(AND(AND(OR($EC1214=1,$EB1214=1),OR($EH1214=1,$EF1214=1)),SUM($EA1214:$EE1214,$EK1214)&gt;=3),SUM($EF1214:$EJ1214)&gt;=2),"Whole sector approach","")</f>
        <v/>
      </c>
      <c r="EQ1214" t="str">
        <f>IF(AND(AND(OR($EC1214=1,$EB1214=1),AND($EH1214=0,$EF1214=0)),SUM($EA1214:$EE1214,$EK1214)&gt;=3),"Ecosystem approach","")</f>
        <v>Ecosystem approach</v>
      </c>
      <c r="ER1214" s="2" t="str">
        <f>IF(AND(AND(AND($EC1214=0,$EB1214=0),OR($EH1214=1,$EF1214=1)),SUM($EG1214:$EJ1214)&gt;=2),"Technology approach","")</f>
        <v/>
      </c>
      <c r="ES1214" t="str">
        <f>IF(AND($EC1214+$EB1214+$EE1214+$EA1214+$ED1214+$EG1214=0,$N1214="included"),"C neutral forest and HWP assumption","")</f>
        <v/>
      </c>
      <c r="ET1214" t="str">
        <f>IF(AND(AND(AND(AND($EC1214=1,$EB1214+$EA1214+$EG1214&gt;=1),$EF1214=1),$EH1214+$EI1214+$ED1214+$EE1214&gt;=2),$N1214="included"),"All C pools assumption","")</f>
        <v/>
      </c>
      <c r="EU1214" t="str">
        <f>IF(AND($ED1214+$EE1214+$EI1214+$EH1214+$EF1214=0,$N1214="included"),"In-situ only assumption","")</f>
        <v>In-situ only assumption</v>
      </c>
      <c r="EW1214" s="141"/>
      <c r="EY1214" t="str">
        <f>IF(ISNUMBER(BW1214),IF(ABS(BW1214-[4]QC_indicators!$B$2)&gt;3*[4]QC_indicators!$C$2,"C ratio",IF(ISNUMBER(CA1214),IF(ABS(CA1214-[4]QC_indicators!$B$1)&gt;3*[4]QC_indicators!$C$1,"DF","no"))),IF(ISNUMBER(CA1214),IF(ABS(CA1214-[4]QC_indicators!$B$1)&gt;3*[4]QC_indicators!$C$1,"DF","no")))</f>
        <v>no</v>
      </c>
      <c r="FA1214" t="str">
        <f>IF(LEN($CY1214)=0,"",IF(AND($CY1214&lt;(-0.05),$ES1214="C neutral forest and HWP assumption"),"Cneutral paradox",IF(AND($CY1214&gt;0.05,$EU1214="In-situ only assumption"),"In-situ only paradox","")))</f>
        <v/>
      </c>
      <c r="FB1214" s="319" t="s">
        <v>1177</v>
      </c>
      <c r="FD1214" s="317" t="s">
        <v>4883</v>
      </c>
    </row>
    <row r="1215" spans="1:160" ht="15" hidden="1" customHeight="1">
      <c r="A1215" s="1" t="s">
        <v>486</v>
      </c>
      <c r="B1215" t="s">
        <v>487</v>
      </c>
      <c r="C1215" t="s">
        <v>488</v>
      </c>
      <c r="D1215" t="s">
        <v>489</v>
      </c>
      <c r="E1215" t="s">
        <v>490</v>
      </c>
      <c r="F1215" t="s">
        <v>491</v>
      </c>
      <c r="G1215" t="s">
        <v>492</v>
      </c>
      <c r="H1215" t="s">
        <v>254</v>
      </c>
      <c r="I1215">
        <v>2019</v>
      </c>
      <c r="J1215">
        <v>3</v>
      </c>
      <c r="K1215" t="s">
        <v>493</v>
      </c>
      <c r="M1215" t="str">
        <f>LEFT($D1215,FIND(",",$D1215)-1)&amp;"_"&amp;I1215&amp;L1215</f>
        <v>Butarbutar_2019</v>
      </c>
      <c r="N1215" s="349" t="s">
        <v>4058</v>
      </c>
      <c r="O1215" s="145" t="s">
        <v>223</v>
      </c>
      <c r="Q1215" s="317" t="s">
        <v>256</v>
      </c>
      <c r="R1215" s="318" t="s">
        <v>1029</v>
      </c>
      <c r="S1215" s="1" t="s">
        <v>494</v>
      </c>
      <c r="T1215" t="s">
        <v>495</v>
      </c>
      <c r="U1215" t="s">
        <v>496</v>
      </c>
      <c r="V1215" s="253">
        <v>0</v>
      </c>
      <c r="W1215" s="253">
        <v>0</v>
      </c>
      <c r="X1215">
        <v>0</v>
      </c>
      <c r="Y1215">
        <v>0</v>
      </c>
      <c r="Z1215">
        <v>0</v>
      </c>
      <c r="AA1215">
        <v>1</v>
      </c>
      <c r="AB1215">
        <v>0</v>
      </c>
      <c r="AC1215">
        <v>0</v>
      </c>
      <c r="AD1215">
        <v>0</v>
      </c>
      <c r="AE1215">
        <v>0</v>
      </c>
      <c r="AF1215">
        <v>0</v>
      </c>
      <c r="AG1215">
        <v>0</v>
      </c>
      <c r="AH1215">
        <v>0</v>
      </c>
      <c r="AI1215">
        <v>0</v>
      </c>
      <c r="AJ1215">
        <v>0</v>
      </c>
      <c r="AK1215">
        <v>0</v>
      </c>
      <c r="AL1215">
        <v>0</v>
      </c>
      <c r="AM1215">
        <v>0</v>
      </c>
      <c r="AN1215">
        <v>0</v>
      </c>
      <c r="AO1215">
        <v>0</v>
      </c>
      <c r="AP1215">
        <v>0</v>
      </c>
      <c r="AQ1215">
        <v>0</v>
      </c>
      <c r="AR1215">
        <v>0</v>
      </c>
      <c r="AS1215">
        <v>0</v>
      </c>
      <c r="AT1215">
        <v>0</v>
      </c>
      <c r="AU1215">
        <v>0</v>
      </c>
      <c r="AV1215">
        <v>0</v>
      </c>
      <c r="AW1215">
        <v>0</v>
      </c>
      <c r="AX1215">
        <v>0</v>
      </c>
      <c r="AY1215">
        <v>0</v>
      </c>
      <c r="AZ1215" s="141">
        <f>COUNTIF(X1215:AY1215,"&lt;&gt;0")</f>
        <v>1</v>
      </c>
      <c r="BA1215" s="141">
        <f>COUNTIF(X1215:AN1215,"&lt;&gt;0")</f>
        <v>1</v>
      </c>
      <c r="BB1215">
        <f>COUNTIF(X1215:AE1215,"&lt;&gt;0")</f>
        <v>1</v>
      </c>
      <c r="BC1215">
        <f>COUNTIF(AF1215:AK1215,"&lt;&gt;0")</f>
        <v>0</v>
      </c>
      <c r="BD1215">
        <f>COUNTIF(AL1215:AN1215,"&lt;&gt;0")</f>
        <v>0</v>
      </c>
      <c r="BE1215">
        <f>COUNTIF(AU1215:AY1215,"&lt;&gt;0")</f>
        <v>0</v>
      </c>
      <c r="BF1215">
        <f>COUNTIF(AO1215:AT1215,"&lt;&gt;0")</f>
        <v>0</v>
      </c>
      <c r="BG1215" t="str" cm="1">
        <f t="array" ref="BG1215">IF(BA1215=1,INDEX($X$7:$AN$7,MATCH(TRUE,INDEX($X1215:$AY1215&lt;&gt;0,),0)),IF(BA1215=0,INDEX($AO$7:$AY$7,MATCH(1,$AO1215:$AY1215,0)),IF(BH1215="Multiple strategies","mixed drivers",IF(BH1215="Supply chain","multiple supply","multiple silviculture"))))</f>
        <v xml:space="preserve">cutting intensity </v>
      </c>
      <c r="BH1215" s="2" t="str" cm="1">
        <f t="array" ref="BH1215">IF(COUNTIF(BB1215:BD1215,"&lt;&gt;0")=1,INDEX($X$4:$AY$4,MATCH(TRUE,INDEX($X1215:$AY1215&lt;&gt;0,),0)),IF(COUNTIF(BB1215:BD1215,"&lt;&gt;0")=0,INDEX($AO$4:$AY$4,MATCH(1,$AO1215:$AY1215,0)),"Multiple strategies"))</f>
        <v>Silviculture for removals</v>
      </c>
      <c r="BI1215" s="1" t="s">
        <v>321</v>
      </c>
      <c r="BJ1215" t="s">
        <v>497</v>
      </c>
      <c r="BK1215" s="141" t="s">
        <v>4885</v>
      </c>
      <c r="BL1215" t="s">
        <v>1884</v>
      </c>
      <c r="BM1215">
        <v>34.78</v>
      </c>
      <c r="BN1215">
        <v>34.78</v>
      </c>
      <c r="BP1215">
        <f>BN1215-BM1215</f>
        <v>0</v>
      </c>
      <c r="BQ1215">
        <f>BN1215-BM1215</f>
        <v>0</v>
      </c>
      <c r="BR1215" s="317" t="s">
        <v>232</v>
      </c>
      <c r="BS1215" s="141" t="s">
        <v>4885</v>
      </c>
      <c r="BT1215" t="s">
        <v>278</v>
      </c>
      <c r="BU1215">
        <v>-25.98</v>
      </c>
      <c r="BV1215">
        <v>-39.1</v>
      </c>
      <c r="BW1215" s="144">
        <f>IFERROR(BV1215/BU1215,"")</f>
        <v>1.5050038491147038</v>
      </c>
      <c r="BX1215" s="175">
        <f>BV1215-BU1215</f>
        <v>-13.120000000000001</v>
      </c>
      <c r="BZ1215">
        <f>BX1215*C_to_CO2</f>
        <v>-48.150400000000005</v>
      </c>
      <c r="CA1215" t="str">
        <f>IFERROR(BZ1215/BQ1215,"")</f>
        <v/>
      </c>
      <c r="CB1215" s="143">
        <v>0</v>
      </c>
      <c r="CC1215" s="143">
        <v>0</v>
      </c>
      <c r="CD1215" s="143">
        <v>0</v>
      </c>
      <c r="CE1215" s="143">
        <v>0</v>
      </c>
      <c r="CF1215" s="143">
        <v>0</v>
      </c>
      <c r="CG1215" s="143">
        <v>0</v>
      </c>
      <c r="CH1215" s="143">
        <v>0</v>
      </c>
      <c r="CI1215" s="143">
        <v>0</v>
      </c>
      <c r="CJ1215" s="143">
        <v>0</v>
      </c>
      <c r="CK1215" s="143">
        <v>0</v>
      </c>
      <c r="CL1215" s="143">
        <v>0</v>
      </c>
      <c r="CM1215" s="143">
        <v>0</v>
      </c>
      <c r="CN1215" s="143">
        <v>0</v>
      </c>
      <c r="CO1215">
        <v>0</v>
      </c>
      <c r="CP1215" t="str">
        <f>IF($BN1215&lt;$BM1215,"refNeedCorrection","refOK")</f>
        <v>refOK</v>
      </c>
      <c r="CQ1215">
        <f>IF($CP1215="refOK",$BM1215,$BN1215)</f>
        <v>34.78</v>
      </c>
      <c r="CR1215">
        <f>IF($CP1215="refOK",$BN1215,$BM1215)</f>
        <v>34.78</v>
      </c>
      <c r="CS1215">
        <f>IF($CP1215="refOK",$BQ1215,-$BQ1215)</f>
        <v>0</v>
      </c>
      <c r="CT1215">
        <f>IF(BI1215="Roundwood",$CS1215/2,$CS1215)</f>
        <v>0</v>
      </c>
      <c r="CU1215">
        <f>IF($CP1215="refOK",$BU1215,$BV1215)*IF($BR1215="Emissions positive",-1,1)</f>
        <v>-25.98</v>
      </c>
      <c r="CV1215">
        <f>IF($CP1215="refOK",$BV1215,$BU1215)*IF($BR1215="Emissions positive",-1,1)</f>
        <v>-39.1</v>
      </c>
      <c r="CW1215">
        <f>IF($CP1215="refNeedCorrection",-BZ1215,BZ1215)*IF($BR1215="Emissions positive",-1,1)</f>
        <v>-48.150400000000005</v>
      </c>
      <c r="CX1215" t="str">
        <f>IFERROR($CW1215/$CS1215,"")</f>
        <v/>
      </c>
      <c r="CY1215" t="str">
        <f>IFERROR($CW1215/$CS1215,"")</f>
        <v/>
      </c>
      <c r="CZ1215" t="str">
        <f>IFERROR($CW1215/$CT1215,"")</f>
        <v/>
      </c>
      <c r="DA1215" s="2">
        <f>IFERROR((CV1215-CU1215)/ABS(CU1215),"")</f>
        <v>-0.50500384911470364</v>
      </c>
      <c r="DB1215" s="1" t="s">
        <v>234</v>
      </c>
      <c r="DC1215" s="317" t="str">
        <f>IF(OR($DB1215="prd",$DB1215="std",$DB1215="cit"),"loc",IF(OR($DB1215="eur",$DB1215="reg",$DB1215="coy"),"reg",$DB1215))</f>
        <v>loc</v>
      </c>
      <c r="DD1215" t="s">
        <v>280</v>
      </c>
      <c r="DG1215">
        <v>10</v>
      </c>
      <c r="DH1215" t="str">
        <f>IF(DG1215=0,"0",IF(AND(DG1215&gt;=1,DG1215&lt;=30),"1-30",IF(AND(DG1215&gt;30,DG1215&lt;=70),"31-70",IF(AND(DG1215&gt;70,DG1215&lt;=100),"71-100",IF(DG1215&gt;100,"+100")))))</f>
        <v>1-30</v>
      </c>
      <c r="DI1215">
        <v>1</v>
      </c>
      <c r="DJ1215">
        <v>0</v>
      </c>
      <c r="DK1215">
        <v>0</v>
      </c>
      <c r="DL1215">
        <v>0</v>
      </c>
      <c r="DN1215">
        <f>SUM(DI1215:DL1215)</f>
        <v>1</v>
      </c>
      <c r="DO1215" t="str">
        <f>IF(DN1215=1,INDEX($DI$7:$DL$7,MATCH(1,$DI1215:$DL1215,0)),"mixedProduct")</f>
        <v>UpstreamInput</v>
      </c>
      <c r="DP1215" t="str">
        <f>IF(DI1215=1,DP$7,0)</f>
        <v>Upstream</v>
      </c>
      <c r="DQ1215">
        <f>IF(DJ1215=1,DQ$7,0)</f>
        <v>0</v>
      </c>
      <c r="DR1215">
        <f>IF(DK1215=1,DR$7,0)</f>
        <v>0</v>
      </c>
      <c r="DS1215">
        <f>IF(DL1215=1,DS$7,0)</f>
        <v>0</v>
      </c>
      <c r="DT1215">
        <v>0</v>
      </c>
      <c r="DU1215" s="143">
        <v>0</v>
      </c>
      <c r="DV1215" s="143">
        <v>0</v>
      </c>
      <c r="DW1215" s="143">
        <v>0</v>
      </c>
      <c r="DX1215">
        <v>0</v>
      </c>
      <c r="DY1215">
        <f>SUM(DT1215:DU1215)</f>
        <v>0</v>
      </c>
      <c r="DZ1215" s="143" t="str">
        <f>IF(DT1215=1,"self-calculated DF",IF(DU1215=1,"external DF used","explicit C balance"))</f>
        <v>explicit C balance</v>
      </c>
      <c r="EA1215">
        <v>1</v>
      </c>
      <c r="EB1215" s="143">
        <v>1</v>
      </c>
      <c r="EC1215" s="143">
        <v>1</v>
      </c>
      <c r="ED1215" s="143">
        <v>0</v>
      </c>
      <c r="EE1215">
        <v>0</v>
      </c>
      <c r="EF1215" s="143">
        <v>0</v>
      </c>
      <c r="EG1215">
        <v>0</v>
      </c>
      <c r="EH1215" s="143">
        <v>0</v>
      </c>
      <c r="EI1215" s="143">
        <v>0</v>
      </c>
      <c r="EJ1215">
        <v>0</v>
      </c>
      <c r="EK1215">
        <v>1</v>
      </c>
      <c r="EL1215" s="143">
        <v>0</v>
      </c>
      <c r="EM1215" s="143">
        <v>0</v>
      </c>
      <c r="EN1215" s="2">
        <v>0</v>
      </c>
      <c r="EP1215" t="str">
        <f>IF(AND(AND(AND(OR($EC1215=1,$EB1215=1),OR($EH1215=1,$EF1215=1)),SUM($EA1215:$EE1215,$EK1215)&gt;=3),SUM($EF1215:$EJ1215)&gt;=2),"Whole sector approach","")</f>
        <v/>
      </c>
      <c r="EQ1215" t="str">
        <f>IF(AND(AND(OR($EC1215=1,$EB1215=1),AND($EH1215=0,$EF1215=0)),SUM($EA1215:$EE1215,$EK1215)&gt;=3),"Ecosystem approach","")</f>
        <v>Ecosystem approach</v>
      </c>
      <c r="ER1215" s="2" t="str">
        <f>IF(AND(AND(AND($EC1215=0,$EB1215=0),OR($EH1215=1,$EF1215=1)),SUM($EG1215:$EJ1215)&gt;=2),"Technology approach","")</f>
        <v/>
      </c>
      <c r="ES1215" t="str">
        <f>IF(AND($EC1215+$EB1215+$EE1215+$EA1215+$ED1215+$EG1215=0,$N1215="included"),"C neutral forest and HWP assumption","")</f>
        <v/>
      </c>
      <c r="ET1215" t="str">
        <f>IF(AND(AND(AND(AND($EC1215=1,$EB1215+$EA1215+$EG1215&gt;=1),$EF1215=1),$EH1215+$EI1215+$ED1215+$EE1215&gt;=2),$N1215="included"),"All C pools assumption","")</f>
        <v/>
      </c>
      <c r="EU1215" t="str">
        <f>IF(AND($ED1215+$EE1215+$EI1215+$EH1215+$EF1215=0,$N1215="included"),"In-situ only assumption","")</f>
        <v/>
      </c>
      <c r="EY1215" t="b">
        <f>IF(ISNUMBER(BW1215),IF(ABS(BW1215-[4]QC_indicators!$B$2)&gt;3*[4]QC_indicators!$C$2,"C ratio",IF(ISNUMBER(CA1215),IF(ABS(CA1215-[4]QC_indicators!$B$1)&gt;3*[4]QC_indicators!$C$1,"DF","no"))),IF(ISNUMBER(CA1215),IF(ABS(CA1215-[4]QC_indicators!$B$1)&gt;3*[4]QC_indicators!$C$1,"DF","no")))</f>
        <v>0</v>
      </c>
      <c r="FA1215" t="str">
        <f>IF(LEN($CY1215)=0,"",IF(AND($CY1215&lt;(-0.05),$ES1215="C neutral forest and HWP assumption"),"Cneutral paradox",IF(AND($CY1215&gt;0.05,$EU1215="In-situ only assumption"),"In-situ only paradox","")))</f>
        <v/>
      </c>
      <c r="FB1215" s="319" t="s">
        <v>349</v>
      </c>
      <c r="FD1215" s="317" t="s">
        <v>4886</v>
      </c>
    </row>
    <row r="1216" spans="1:160" ht="18" hidden="1" customHeight="1">
      <c r="A1216" s="1" t="s">
        <v>486</v>
      </c>
      <c r="B1216" t="s">
        <v>487</v>
      </c>
      <c r="C1216" t="s">
        <v>488</v>
      </c>
      <c r="D1216" t="s">
        <v>489</v>
      </c>
      <c r="E1216" t="s">
        <v>490</v>
      </c>
      <c r="F1216" t="s">
        <v>491</v>
      </c>
      <c r="G1216" t="s">
        <v>492</v>
      </c>
      <c r="H1216" t="s">
        <v>254</v>
      </c>
      <c r="I1216">
        <v>2019</v>
      </c>
      <c r="J1216">
        <v>3</v>
      </c>
      <c r="K1216" t="s">
        <v>493</v>
      </c>
      <c r="M1216" t="str">
        <f>LEFT($D1216,FIND(",",$D1216)-1)&amp;"_"&amp;I1216&amp;L1216</f>
        <v>Butarbutar_2019</v>
      </c>
      <c r="N1216" s="349" t="s">
        <v>4058</v>
      </c>
      <c r="O1216" s="145" t="s">
        <v>223</v>
      </c>
      <c r="Q1216" s="317" t="s">
        <v>256</v>
      </c>
      <c r="R1216" s="318" t="s">
        <v>1029</v>
      </c>
      <c r="S1216" s="1" t="s">
        <v>494</v>
      </c>
      <c r="T1216" t="s">
        <v>495</v>
      </c>
      <c r="U1216" t="s">
        <v>496</v>
      </c>
      <c r="V1216" s="253">
        <v>0</v>
      </c>
      <c r="W1216" s="253">
        <v>0</v>
      </c>
      <c r="X1216">
        <v>0</v>
      </c>
      <c r="Y1216">
        <v>0</v>
      </c>
      <c r="Z1216">
        <v>0</v>
      </c>
      <c r="AA1216">
        <v>1</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s="141">
        <f>COUNTIF(X1216:AY1216,"&lt;&gt;0")</f>
        <v>1</v>
      </c>
      <c r="BA1216" s="141">
        <f>COUNTIF(X1216:AN1216,"&lt;&gt;0")</f>
        <v>1</v>
      </c>
      <c r="BB1216">
        <f>COUNTIF(X1216:AE1216,"&lt;&gt;0")</f>
        <v>1</v>
      </c>
      <c r="BC1216">
        <f>COUNTIF(AF1216:AK1216,"&lt;&gt;0")</f>
        <v>0</v>
      </c>
      <c r="BD1216">
        <f>COUNTIF(AL1216:AN1216,"&lt;&gt;0")</f>
        <v>0</v>
      </c>
      <c r="BE1216">
        <f>COUNTIF(AU1216:AY1216,"&lt;&gt;0")</f>
        <v>0</v>
      </c>
      <c r="BF1216">
        <f>COUNTIF(AO1216:AT1216,"&lt;&gt;0")</f>
        <v>0</v>
      </c>
      <c r="BG1216" t="str" cm="1">
        <f t="array" ref="BG1216">IF(BA1216=1,INDEX($X$7:$AN$7,MATCH(TRUE,INDEX($X1216:$AY1216&lt;&gt;0,),0)),IF(BA1216=0,INDEX($AO$7:$AY$7,MATCH(1,$AO1216:$AY1216,0)),IF(BH1216="Multiple strategies","mixed drivers",IF(BH1216="Supply chain","multiple supply","multiple silviculture"))))</f>
        <v xml:space="preserve">cutting intensity </v>
      </c>
      <c r="BH1216" s="2" t="str" cm="1">
        <f t="array" ref="BH1216">IF(COUNTIF(BB1216:BD1216,"&lt;&gt;0")=1,INDEX($X$4:$AY$4,MATCH(TRUE,INDEX($X1216:$AY1216&lt;&gt;0,),0)),IF(COUNTIF(BB1216:BD1216,"&lt;&gt;0")=0,INDEX($AO$4:$AY$4,MATCH(1,$AO1216:$AY1216,0)),"Multiple strategies"))</f>
        <v>Silviculture for removals</v>
      </c>
      <c r="BI1216" s="1" t="s">
        <v>321</v>
      </c>
      <c r="BJ1216" t="s">
        <v>497</v>
      </c>
      <c r="BK1216" s="141" t="s">
        <v>4885</v>
      </c>
      <c r="BL1216" t="s">
        <v>1884</v>
      </c>
      <c r="BM1216">
        <v>33.36</v>
      </c>
      <c r="BN1216">
        <v>33.36</v>
      </c>
      <c r="BP1216">
        <f>BN1216-BM1216</f>
        <v>0</v>
      </c>
      <c r="BQ1216">
        <f>BN1216-BM1216</f>
        <v>0</v>
      </c>
      <c r="BR1216" s="317" t="s">
        <v>232</v>
      </c>
      <c r="BS1216" s="141" t="s">
        <v>4885</v>
      </c>
      <c r="BT1216" t="s">
        <v>278</v>
      </c>
      <c r="BU1216">
        <v>-8.6700000000000017</v>
      </c>
      <c r="BV1216">
        <v>-12.870000000000005</v>
      </c>
      <c r="BW1216" s="144">
        <f>IFERROR(BV1216/BU1216,"")</f>
        <v>1.484429065743945</v>
      </c>
      <c r="BX1216" s="175">
        <f>BV1216-BU1216</f>
        <v>-4.2000000000000028</v>
      </c>
      <c r="BZ1216">
        <f>BX1216*C_to_CO2</f>
        <v>-15.41400000000001</v>
      </c>
      <c r="CA1216" t="str">
        <f>IFERROR(BZ1216/BQ1216,"")</f>
        <v/>
      </c>
      <c r="CB1216" s="143">
        <v>0</v>
      </c>
      <c r="CC1216" s="143">
        <v>0</v>
      </c>
      <c r="CD1216" s="143">
        <v>0</v>
      </c>
      <c r="CE1216" s="143">
        <v>0</v>
      </c>
      <c r="CF1216" s="143">
        <v>0</v>
      </c>
      <c r="CG1216" s="143">
        <v>0</v>
      </c>
      <c r="CH1216" s="143">
        <v>0</v>
      </c>
      <c r="CI1216" s="143">
        <v>0</v>
      </c>
      <c r="CJ1216" s="143">
        <v>0</v>
      </c>
      <c r="CK1216" s="143">
        <v>0</v>
      </c>
      <c r="CL1216" s="143">
        <v>0</v>
      </c>
      <c r="CM1216" s="143">
        <v>0</v>
      </c>
      <c r="CN1216" s="143">
        <v>0</v>
      </c>
      <c r="CO1216">
        <v>0</v>
      </c>
      <c r="CP1216" t="str">
        <f>IF($BN1216&lt;$BM1216,"refNeedCorrection","refOK")</f>
        <v>refOK</v>
      </c>
      <c r="CQ1216">
        <f>IF($CP1216="refOK",$BM1216,$BN1216)</f>
        <v>33.36</v>
      </c>
      <c r="CR1216">
        <f>IF($CP1216="refOK",$BN1216,$BM1216)</f>
        <v>33.36</v>
      </c>
      <c r="CS1216">
        <f>IF($CP1216="refOK",$BQ1216,-$BQ1216)</f>
        <v>0</v>
      </c>
      <c r="CT1216">
        <f>IF(BI1216="Roundwood",$CS1216/2,$CS1216)</f>
        <v>0</v>
      </c>
      <c r="CU1216">
        <f>IF($CP1216="refOK",$BU1216,$BV1216)*IF($BR1216="Emissions positive",-1,1)</f>
        <v>-8.6700000000000017</v>
      </c>
      <c r="CV1216">
        <f>IF($CP1216="refOK",$BV1216,$BU1216)*IF($BR1216="Emissions positive",-1,1)</f>
        <v>-12.870000000000005</v>
      </c>
      <c r="CW1216">
        <f>IF($CP1216="refNeedCorrection",-BZ1216,BZ1216)*IF($BR1216="Emissions positive",-1,1)</f>
        <v>-15.41400000000001</v>
      </c>
      <c r="CX1216" t="str">
        <f>IFERROR($CW1216/$CS1216,"")</f>
        <v/>
      </c>
      <c r="CY1216" t="str">
        <f>IFERROR($CW1216/$CS1216,"")</f>
        <v/>
      </c>
      <c r="CZ1216" t="str">
        <f>IFERROR($CW1216/$CT1216,"")</f>
        <v/>
      </c>
      <c r="DA1216" s="2">
        <f>IFERROR((CV1216-CU1216)/ABS(CU1216),"")</f>
        <v>-0.48442906574394484</v>
      </c>
      <c r="DB1216" s="1" t="s">
        <v>234</v>
      </c>
      <c r="DC1216" s="317" t="str">
        <f>IF(OR($DB1216="prd",$DB1216="std",$DB1216="cit"),"loc",IF(OR($DB1216="eur",$DB1216="reg",$DB1216="coy"),"reg",$DB1216))</f>
        <v>loc</v>
      </c>
      <c r="DD1216" t="s">
        <v>280</v>
      </c>
      <c r="DG1216">
        <v>10</v>
      </c>
      <c r="DH1216" t="str">
        <f>IF(DG1216=0,"0",IF(AND(DG1216&gt;=1,DG1216&lt;=30),"1-30",IF(AND(DG1216&gt;30,DG1216&lt;=70),"31-70",IF(AND(DG1216&gt;70,DG1216&lt;=100),"71-100",IF(DG1216&gt;100,"+100")))))</f>
        <v>1-30</v>
      </c>
      <c r="DI1216">
        <v>1</v>
      </c>
      <c r="DJ1216">
        <v>0</v>
      </c>
      <c r="DK1216">
        <v>0</v>
      </c>
      <c r="DL1216">
        <v>0</v>
      </c>
      <c r="DN1216">
        <f>SUM(DI1216:DL1216)</f>
        <v>1</v>
      </c>
      <c r="DO1216" t="str">
        <f>IF(DN1216=1,INDEX($DI$7:$DL$7,MATCH(1,$DI1216:$DL1216,0)),"mixedProduct")</f>
        <v>UpstreamInput</v>
      </c>
      <c r="DP1216" t="str">
        <f>IF(DI1216=1,DP$7,0)</f>
        <v>Upstream</v>
      </c>
      <c r="DQ1216">
        <f>IF(DJ1216=1,DQ$7,0)</f>
        <v>0</v>
      </c>
      <c r="DR1216">
        <f>IF(DK1216=1,DR$7,0)</f>
        <v>0</v>
      </c>
      <c r="DS1216">
        <f>IF(DL1216=1,DS$7,0)</f>
        <v>0</v>
      </c>
      <c r="DT1216">
        <v>0</v>
      </c>
      <c r="DU1216" s="143">
        <v>0</v>
      </c>
      <c r="DV1216" s="143">
        <v>0</v>
      </c>
      <c r="DW1216" s="143">
        <v>0</v>
      </c>
      <c r="DX1216">
        <v>0</v>
      </c>
      <c r="DY1216">
        <f>SUM(DT1216:DU1216)</f>
        <v>0</v>
      </c>
      <c r="DZ1216" s="143" t="str">
        <f>IF(DT1216=1,"self-calculated DF",IF(DU1216=1,"external DF used","explicit C balance"))</f>
        <v>explicit C balance</v>
      </c>
      <c r="EA1216">
        <v>1</v>
      </c>
      <c r="EB1216" s="143">
        <v>1</v>
      </c>
      <c r="EC1216" s="143">
        <v>1</v>
      </c>
      <c r="ED1216" s="143">
        <v>0</v>
      </c>
      <c r="EE1216">
        <v>0</v>
      </c>
      <c r="EF1216" s="143">
        <v>0</v>
      </c>
      <c r="EG1216">
        <v>0</v>
      </c>
      <c r="EH1216" s="143">
        <v>0</v>
      </c>
      <c r="EI1216" s="143">
        <v>0</v>
      </c>
      <c r="EJ1216">
        <v>0</v>
      </c>
      <c r="EK1216">
        <v>1</v>
      </c>
      <c r="EL1216" s="143">
        <v>0</v>
      </c>
      <c r="EM1216" s="143">
        <v>0</v>
      </c>
      <c r="EN1216" s="2">
        <v>0</v>
      </c>
      <c r="EP1216" t="str">
        <f>IF(AND(AND(AND(OR($EC1216=1,$EB1216=1),OR($EH1216=1,$EF1216=1)),SUM($EA1216:$EE1216,$EK1216)&gt;=3),SUM($EF1216:$EJ1216)&gt;=2),"Whole sector approach","")</f>
        <v/>
      </c>
      <c r="EQ1216" t="str">
        <f>IF(AND(AND(OR($EC1216=1,$EB1216=1),AND($EH1216=0,$EF1216=0)),SUM($EA1216:$EE1216,$EK1216)&gt;=3),"Ecosystem approach","")</f>
        <v>Ecosystem approach</v>
      </c>
      <c r="ER1216" s="2" t="str">
        <f>IF(AND(AND(AND($EC1216=0,$EB1216=0),OR($EH1216=1,$EF1216=1)),SUM($EG1216:$EJ1216)&gt;=2),"Technology approach","")</f>
        <v/>
      </c>
      <c r="ES1216" t="str">
        <f>IF(AND($EC1216+$EB1216+$EE1216+$EA1216+$ED1216+$EG1216=0,$N1216="included"),"C neutral forest and HWP assumption","")</f>
        <v/>
      </c>
      <c r="ET1216" t="str">
        <f>IF(AND(AND(AND(AND($EC1216=1,$EB1216+$EA1216+$EG1216&gt;=1),$EF1216=1),$EH1216+$EI1216+$ED1216+$EE1216&gt;=2),$N1216="included"),"All C pools assumption","")</f>
        <v/>
      </c>
      <c r="EU1216" t="str">
        <f>IF(AND($ED1216+$EE1216+$EI1216+$EH1216+$EF1216=0,$N1216="included"),"In-situ only assumption","")</f>
        <v/>
      </c>
      <c r="EY1216" t="b">
        <f>IF(ISNUMBER(BW1216),IF(ABS(BW1216-[4]QC_indicators!$B$2)&gt;3*[4]QC_indicators!$C$2,"C ratio",IF(ISNUMBER(CA1216),IF(ABS(CA1216-[4]QC_indicators!$B$1)&gt;3*[4]QC_indicators!$C$1,"DF","no"))),IF(ISNUMBER(CA1216),IF(ABS(CA1216-[4]QC_indicators!$B$1)&gt;3*[4]QC_indicators!$C$1,"DF","no")))</f>
        <v>0</v>
      </c>
      <c r="FA1216" t="str">
        <f>IF(LEN($CY1216)=0,"",IF(AND($CY1216&lt;(-0.05),$ES1216="C neutral forest and HWP assumption"),"Cneutral paradox",IF(AND($CY1216&gt;0.05,$EU1216="In-situ only assumption"),"In-situ only paradox","")))</f>
        <v/>
      </c>
      <c r="FB1216" s="319" t="s">
        <v>349</v>
      </c>
      <c r="FD1216" s="317" t="s">
        <v>4887</v>
      </c>
    </row>
    <row r="1217" spans="1:160" ht="15" hidden="1" customHeight="1">
      <c r="A1217" s="1" t="s">
        <v>486</v>
      </c>
      <c r="B1217" t="s">
        <v>487</v>
      </c>
      <c r="C1217" t="s">
        <v>488</v>
      </c>
      <c r="D1217" t="s">
        <v>489</v>
      </c>
      <c r="E1217" t="s">
        <v>490</v>
      </c>
      <c r="F1217" t="s">
        <v>491</v>
      </c>
      <c r="G1217" t="s">
        <v>492</v>
      </c>
      <c r="H1217" t="s">
        <v>254</v>
      </c>
      <c r="I1217">
        <v>2019</v>
      </c>
      <c r="J1217">
        <v>3</v>
      </c>
      <c r="K1217" t="s">
        <v>493</v>
      </c>
      <c r="M1217" t="str">
        <f>LEFT($D1217,FIND(",",$D1217)-1)&amp;"_"&amp;I1217&amp;L1217</f>
        <v>Butarbutar_2019</v>
      </c>
      <c r="N1217" s="349" t="s">
        <v>4058</v>
      </c>
      <c r="O1217" s="145" t="s">
        <v>223</v>
      </c>
      <c r="Q1217" s="317" t="s">
        <v>256</v>
      </c>
      <c r="R1217" s="318" t="s">
        <v>1029</v>
      </c>
      <c r="S1217" s="1" t="s">
        <v>494</v>
      </c>
      <c r="T1217" t="s">
        <v>495</v>
      </c>
      <c r="U1217" t="s">
        <v>499</v>
      </c>
      <c r="V1217" s="253">
        <v>0</v>
      </c>
      <c r="W1217" s="253">
        <v>0</v>
      </c>
      <c r="X1217">
        <v>0</v>
      </c>
      <c r="Y1217">
        <v>0</v>
      </c>
      <c r="Z1217">
        <v>0</v>
      </c>
      <c r="AA1217">
        <v>1</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s="141">
        <f>COUNTIF(X1217:AY1217,"&lt;&gt;0")</f>
        <v>1</v>
      </c>
      <c r="BA1217" s="141">
        <f>COUNTIF(X1217:AN1217,"&lt;&gt;0")</f>
        <v>1</v>
      </c>
      <c r="BB1217">
        <f>COUNTIF(X1217:AE1217,"&lt;&gt;0")</f>
        <v>1</v>
      </c>
      <c r="BC1217">
        <f>COUNTIF(AF1217:AK1217,"&lt;&gt;0")</f>
        <v>0</v>
      </c>
      <c r="BD1217">
        <f>COUNTIF(AL1217:AN1217,"&lt;&gt;0")</f>
        <v>0</v>
      </c>
      <c r="BE1217">
        <f>COUNTIF(AU1217:AY1217,"&lt;&gt;0")</f>
        <v>0</v>
      </c>
      <c r="BF1217">
        <f>COUNTIF(AO1217:AT1217,"&lt;&gt;0")</f>
        <v>0</v>
      </c>
      <c r="BG1217" t="str" cm="1">
        <f t="array" ref="BG1217">IF(BA1217=1,INDEX($X$7:$AN$7,MATCH(TRUE,INDEX($X1217:$AY1217&lt;&gt;0,),0)),IF(BA1217=0,INDEX($AO$7:$AY$7,MATCH(1,$AO1217:$AY1217,0)),IF(BH1217="Multiple strategies","mixed drivers",IF(BH1217="Supply chain","multiple supply","multiple silviculture"))))</f>
        <v xml:space="preserve">cutting intensity </v>
      </c>
      <c r="BH1217" s="2" t="str" cm="1">
        <f t="array" ref="BH1217">IF(COUNTIF(BB1217:BD1217,"&lt;&gt;0")=1,INDEX($X$4:$AY$4,MATCH(TRUE,INDEX($X1217:$AY1217&lt;&gt;0,),0)),IF(COUNTIF(BB1217:BD1217,"&lt;&gt;0")=0,INDEX($AO$4:$AY$4,MATCH(1,$AO1217:$AY1217,0)),"Multiple strategies"))</f>
        <v>Silviculture for removals</v>
      </c>
      <c r="BI1217" s="1" t="s">
        <v>321</v>
      </c>
      <c r="BJ1217" t="s">
        <v>497</v>
      </c>
      <c r="BK1217" s="141" t="s">
        <v>4885</v>
      </c>
      <c r="BL1217" t="s">
        <v>1884</v>
      </c>
      <c r="BM1217">
        <v>34.78</v>
      </c>
      <c r="BN1217">
        <v>34.78</v>
      </c>
      <c r="BP1217">
        <f>BN1217-BM1217</f>
        <v>0</v>
      </c>
      <c r="BQ1217">
        <f>BN1217-BM1217</f>
        <v>0</v>
      </c>
      <c r="BR1217" s="317" t="s">
        <v>232</v>
      </c>
      <c r="BS1217" s="141" t="s">
        <v>4885</v>
      </c>
      <c r="BT1217" t="s">
        <v>278</v>
      </c>
      <c r="BU1217">
        <v>-25.98</v>
      </c>
      <c r="BV1217">
        <v>-37.54</v>
      </c>
      <c r="BW1217" s="144">
        <f>IFERROR(BV1217/BU1217,"")</f>
        <v>1.4449576597382601</v>
      </c>
      <c r="BX1217" s="175">
        <f>BV1217-BU1217</f>
        <v>-11.559999999999999</v>
      </c>
      <c r="BZ1217">
        <f>BX1217*C_to_CO2</f>
        <v>-42.425199999999997</v>
      </c>
      <c r="CA1217" t="str">
        <f>IFERROR(BZ1217/BQ1217,"")</f>
        <v/>
      </c>
      <c r="CB1217" s="143">
        <v>0</v>
      </c>
      <c r="CC1217" s="143">
        <v>0</v>
      </c>
      <c r="CD1217" s="143">
        <v>0</v>
      </c>
      <c r="CE1217" s="143">
        <v>0</v>
      </c>
      <c r="CF1217" s="143">
        <v>0</v>
      </c>
      <c r="CG1217" s="143">
        <v>0</v>
      </c>
      <c r="CH1217" s="143">
        <v>0</v>
      </c>
      <c r="CI1217" s="143">
        <v>0</v>
      </c>
      <c r="CJ1217" s="143">
        <v>0</v>
      </c>
      <c r="CK1217" s="143">
        <v>0</v>
      </c>
      <c r="CL1217" s="143">
        <v>0</v>
      </c>
      <c r="CM1217" s="143">
        <v>0</v>
      </c>
      <c r="CN1217" s="143">
        <v>0</v>
      </c>
      <c r="CO1217">
        <v>0</v>
      </c>
      <c r="CP1217" t="str">
        <f>IF($BN1217&lt;$BM1217,"refNeedCorrection","refOK")</f>
        <v>refOK</v>
      </c>
      <c r="CQ1217">
        <f>IF($CP1217="refOK",$BM1217,$BN1217)</f>
        <v>34.78</v>
      </c>
      <c r="CR1217">
        <f>IF($CP1217="refOK",$BN1217,$BM1217)</f>
        <v>34.78</v>
      </c>
      <c r="CS1217">
        <f>IF($CP1217="refOK",$BQ1217,-$BQ1217)</f>
        <v>0</v>
      </c>
      <c r="CT1217">
        <f>IF(BI1217="Roundwood",$CS1217/2,$CS1217)</f>
        <v>0</v>
      </c>
      <c r="CU1217">
        <f>IF($CP1217="refOK",$BU1217,$BV1217)*IF($BR1217="Emissions positive",-1,1)</f>
        <v>-25.98</v>
      </c>
      <c r="CV1217">
        <f>IF($CP1217="refOK",$BV1217,$BU1217)*IF($BR1217="Emissions positive",-1,1)</f>
        <v>-37.54</v>
      </c>
      <c r="CW1217">
        <f>IF($CP1217="refNeedCorrection",-BZ1217,BZ1217)*IF($BR1217="Emissions positive",-1,1)</f>
        <v>-42.425199999999997</v>
      </c>
      <c r="CX1217" t="str">
        <f>IFERROR($CW1217/$CS1217,"")</f>
        <v/>
      </c>
      <c r="CY1217" t="str">
        <f>IFERROR($CW1217/$CS1217,"")</f>
        <v/>
      </c>
      <c r="CZ1217" t="str">
        <f>IFERROR($CW1217/$CT1217,"")</f>
        <v/>
      </c>
      <c r="DA1217" s="2">
        <f>IFERROR((CV1217-CU1217)/ABS(CU1217),"")</f>
        <v>-0.44495765973826013</v>
      </c>
      <c r="DB1217" s="1" t="s">
        <v>234</v>
      </c>
      <c r="DC1217" s="317" t="str">
        <f>IF(OR($DB1217="prd",$DB1217="std",$DB1217="cit"),"loc",IF(OR($DB1217="eur",$DB1217="reg",$DB1217="coy"),"reg",$DB1217))</f>
        <v>loc</v>
      </c>
      <c r="DD1217" t="s">
        <v>280</v>
      </c>
      <c r="DG1217">
        <v>10</v>
      </c>
      <c r="DH1217" t="str">
        <f>IF(DG1217=0,"0",IF(AND(DG1217&gt;=1,DG1217&lt;=30),"1-30",IF(AND(DG1217&gt;30,DG1217&lt;=70),"31-70",IF(AND(DG1217&gt;70,DG1217&lt;=100),"71-100",IF(DG1217&gt;100,"+100")))))</f>
        <v>1-30</v>
      </c>
      <c r="DI1217">
        <v>1</v>
      </c>
      <c r="DJ1217">
        <v>0</v>
      </c>
      <c r="DK1217">
        <v>0</v>
      </c>
      <c r="DL1217">
        <v>0</v>
      </c>
      <c r="DN1217">
        <f>SUM(DI1217:DL1217)</f>
        <v>1</v>
      </c>
      <c r="DO1217" t="str">
        <f>IF(DN1217=1,INDEX($DI$7:$DL$7,MATCH(1,$DI1217:$DL1217,0)),"mixedProduct")</f>
        <v>UpstreamInput</v>
      </c>
      <c r="DP1217" t="str">
        <f>IF(DI1217=1,DP$7,0)</f>
        <v>Upstream</v>
      </c>
      <c r="DQ1217">
        <f>IF(DJ1217=1,DQ$7,0)</f>
        <v>0</v>
      </c>
      <c r="DR1217">
        <f>IF(DK1217=1,DR$7,0)</f>
        <v>0</v>
      </c>
      <c r="DS1217">
        <f>IF(DL1217=1,DS$7,0)</f>
        <v>0</v>
      </c>
      <c r="DT1217">
        <v>0</v>
      </c>
      <c r="DU1217" s="143">
        <v>0</v>
      </c>
      <c r="DV1217" s="143">
        <v>0</v>
      </c>
      <c r="DW1217" s="143">
        <v>0</v>
      </c>
      <c r="DX1217">
        <v>0</v>
      </c>
      <c r="DY1217">
        <f>SUM(DT1217:DU1217)</f>
        <v>0</v>
      </c>
      <c r="DZ1217" s="143" t="str">
        <f>IF(DT1217=1,"self-calculated DF",IF(DU1217=1,"external DF used","explicit C balance"))</f>
        <v>explicit C balance</v>
      </c>
      <c r="EA1217">
        <v>1</v>
      </c>
      <c r="EB1217" s="143">
        <v>1</v>
      </c>
      <c r="EC1217" s="143">
        <v>1</v>
      </c>
      <c r="ED1217" s="143">
        <v>0</v>
      </c>
      <c r="EE1217">
        <v>0</v>
      </c>
      <c r="EF1217" s="143">
        <v>0</v>
      </c>
      <c r="EG1217">
        <v>0</v>
      </c>
      <c r="EH1217" s="143">
        <v>0</v>
      </c>
      <c r="EI1217" s="143">
        <v>0</v>
      </c>
      <c r="EJ1217">
        <v>0</v>
      </c>
      <c r="EK1217">
        <v>1</v>
      </c>
      <c r="EL1217" s="143">
        <v>0</v>
      </c>
      <c r="EM1217" s="143">
        <v>0</v>
      </c>
      <c r="EN1217" s="2">
        <v>0</v>
      </c>
      <c r="EP1217" t="str">
        <f>IF(AND(AND(AND(OR($EC1217=1,$EB1217=1),OR($EH1217=1,$EF1217=1)),SUM($EA1217:$EE1217,$EK1217)&gt;=3),SUM($EF1217:$EJ1217)&gt;=2),"Whole sector approach","")</f>
        <v/>
      </c>
      <c r="EQ1217" t="str">
        <f>IF(AND(AND(OR($EC1217=1,$EB1217=1),AND($EH1217=0,$EF1217=0)),SUM($EA1217:$EE1217,$EK1217)&gt;=3),"Ecosystem approach","")</f>
        <v>Ecosystem approach</v>
      </c>
      <c r="ER1217" s="2" t="str">
        <f>IF(AND(AND(AND($EC1217=0,$EB1217=0),OR($EH1217=1,$EF1217=1)),SUM($EG1217:$EJ1217)&gt;=2),"Technology approach","")</f>
        <v/>
      </c>
      <c r="ES1217" t="str">
        <f>IF(AND($EC1217+$EB1217+$EE1217+$EA1217+$ED1217+$EG1217=0,$N1217="included"),"C neutral forest and HWP assumption","")</f>
        <v/>
      </c>
      <c r="ET1217" t="str">
        <f>IF(AND(AND(AND(AND($EC1217=1,$EB1217+$EA1217+$EG1217&gt;=1),$EF1217=1),$EH1217+$EI1217+$ED1217+$EE1217&gt;=2),$N1217="included"),"All C pools assumption","")</f>
        <v/>
      </c>
      <c r="EU1217" t="str">
        <f>IF(AND($ED1217+$EE1217+$EI1217+$EH1217+$EF1217=0,$N1217="included"),"In-situ only assumption","")</f>
        <v/>
      </c>
      <c r="EY1217" t="b">
        <f>IF(ISNUMBER(BW1217),IF(ABS(BW1217-[4]QC_indicators!$B$2)&gt;3*[4]QC_indicators!$C$2,"C ratio",IF(ISNUMBER(CA1217),IF(ABS(CA1217-[4]QC_indicators!$B$1)&gt;3*[4]QC_indicators!$C$1,"DF","no"))),IF(ISNUMBER(CA1217),IF(ABS(CA1217-[4]QC_indicators!$B$1)&gt;3*[4]QC_indicators!$C$1,"DF","no")))</f>
        <v>0</v>
      </c>
      <c r="FA1217" t="str">
        <f>IF(LEN($CY1217)=0,"",IF(AND($CY1217&lt;(-0.05),$ES1217="C neutral forest and HWP assumption"),"Cneutral paradox",IF(AND($CY1217&gt;0.05,$EU1217="In-situ only assumption"),"In-situ only paradox","")))</f>
        <v/>
      </c>
      <c r="FB1217" s="319" t="s">
        <v>349</v>
      </c>
      <c r="FD1217" s="317" t="s">
        <v>4886</v>
      </c>
    </row>
    <row r="1218" spans="1:160" ht="15" hidden="1" customHeight="1">
      <c r="A1218" s="1" t="s">
        <v>486</v>
      </c>
      <c r="B1218" t="s">
        <v>487</v>
      </c>
      <c r="C1218" t="s">
        <v>488</v>
      </c>
      <c r="D1218" t="s">
        <v>489</v>
      </c>
      <c r="E1218" t="s">
        <v>490</v>
      </c>
      <c r="F1218" t="s">
        <v>491</v>
      </c>
      <c r="G1218" t="s">
        <v>492</v>
      </c>
      <c r="H1218" t="s">
        <v>254</v>
      </c>
      <c r="I1218">
        <v>2019</v>
      </c>
      <c r="J1218">
        <v>3</v>
      </c>
      <c r="K1218" t="s">
        <v>493</v>
      </c>
      <c r="M1218" t="str">
        <f>LEFT($D1218,FIND(",",$D1218)-1)&amp;"_"&amp;I1218&amp;L1218</f>
        <v>Butarbutar_2019</v>
      </c>
      <c r="N1218" s="349" t="s">
        <v>4058</v>
      </c>
      <c r="O1218" s="145" t="s">
        <v>223</v>
      </c>
      <c r="Q1218" s="317" t="s">
        <v>256</v>
      </c>
      <c r="R1218" s="318" t="s">
        <v>1029</v>
      </c>
      <c r="S1218" s="1" t="s">
        <v>494</v>
      </c>
      <c r="T1218" t="s">
        <v>495</v>
      </c>
      <c r="U1218" t="s">
        <v>226</v>
      </c>
      <c r="V1218" s="253">
        <v>0</v>
      </c>
      <c r="W1218" s="253">
        <v>0</v>
      </c>
      <c r="X1218">
        <v>0</v>
      </c>
      <c r="Y1218">
        <v>0</v>
      </c>
      <c r="Z1218">
        <v>0</v>
      </c>
      <c r="AA1218">
        <v>1</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s="141">
        <f>COUNTIF(X1218:AY1218,"&lt;&gt;0")</f>
        <v>1</v>
      </c>
      <c r="BA1218" s="141">
        <f>COUNTIF(X1218:AN1218,"&lt;&gt;0")</f>
        <v>1</v>
      </c>
      <c r="BB1218">
        <f>COUNTIF(X1218:AE1218,"&lt;&gt;0")</f>
        <v>1</v>
      </c>
      <c r="BC1218">
        <f>COUNTIF(AF1218:AK1218,"&lt;&gt;0")</f>
        <v>0</v>
      </c>
      <c r="BD1218">
        <f>COUNTIF(AL1218:AN1218,"&lt;&gt;0")</f>
        <v>0</v>
      </c>
      <c r="BE1218">
        <f>COUNTIF(AU1218:AY1218,"&lt;&gt;0")</f>
        <v>0</v>
      </c>
      <c r="BF1218">
        <f>COUNTIF(AO1218:AT1218,"&lt;&gt;0")</f>
        <v>0</v>
      </c>
      <c r="BG1218" t="str" cm="1">
        <f t="array" ref="BG1218">IF(BA1218=1,INDEX($X$7:$AN$7,MATCH(TRUE,INDEX($X1218:$AY1218&lt;&gt;0,),0)),IF(BA1218=0,INDEX($AO$7:$AY$7,MATCH(1,$AO1218:$AY1218,0)),IF(BH1218="Multiple strategies","mixed drivers",IF(BH1218="Supply chain","multiple supply","multiple silviculture"))))</f>
        <v xml:space="preserve">cutting intensity </v>
      </c>
      <c r="BH1218" s="2" t="str" cm="1">
        <f t="array" ref="BH1218">IF(COUNTIF(BB1218:BD1218,"&lt;&gt;0")=1,INDEX($X$4:$AY$4,MATCH(TRUE,INDEX($X1218:$AY1218&lt;&gt;0,),0)),IF(COUNTIF(BB1218:BD1218,"&lt;&gt;0")=0,INDEX($AO$4:$AY$4,MATCH(1,$AO1218:$AY1218,0)),"Multiple strategies"))</f>
        <v>Silviculture for removals</v>
      </c>
      <c r="BI1218" s="1" t="s">
        <v>321</v>
      </c>
      <c r="BJ1218" t="s">
        <v>497</v>
      </c>
      <c r="BK1218" s="141" t="s">
        <v>4885</v>
      </c>
      <c r="BL1218" t="s">
        <v>1884</v>
      </c>
      <c r="BM1218">
        <v>33.409999999999997</v>
      </c>
      <c r="BN1218">
        <v>33.409999999999997</v>
      </c>
      <c r="BP1218">
        <f>BN1218-BM1218</f>
        <v>0</v>
      </c>
      <c r="BQ1218">
        <f>BN1218-BM1218</f>
        <v>0</v>
      </c>
      <c r="BR1218" s="317" t="s">
        <v>232</v>
      </c>
      <c r="BS1218" s="141" t="s">
        <v>4885</v>
      </c>
      <c r="BT1218" t="s">
        <v>278</v>
      </c>
      <c r="BU1218">
        <v>-37.340000000000003</v>
      </c>
      <c r="BV1218">
        <v>-40.03</v>
      </c>
      <c r="BW1218" s="144">
        <f>IFERROR(BV1218/BU1218,"")</f>
        <v>1.072040707016604</v>
      </c>
      <c r="BX1218" s="175">
        <f>BV1218-BU1218</f>
        <v>-2.6899999999999977</v>
      </c>
      <c r="BZ1218">
        <f>BX1218*C_to_CO2</f>
        <v>-9.8722999999999921</v>
      </c>
      <c r="CA1218" t="str">
        <f>IFERROR(BZ1218/BQ1218,"")</f>
        <v/>
      </c>
      <c r="CB1218" s="143">
        <v>0</v>
      </c>
      <c r="CC1218" s="143">
        <v>0</v>
      </c>
      <c r="CD1218" s="143">
        <v>0</v>
      </c>
      <c r="CE1218" s="143">
        <v>0</v>
      </c>
      <c r="CF1218" s="143">
        <v>0</v>
      </c>
      <c r="CG1218" s="143">
        <v>0</v>
      </c>
      <c r="CH1218" s="143">
        <v>0</v>
      </c>
      <c r="CI1218" s="143">
        <v>0</v>
      </c>
      <c r="CJ1218" s="143">
        <v>0</v>
      </c>
      <c r="CK1218" s="143">
        <v>0</v>
      </c>
      <c r="CL1218" s="143">
        <v>0</v>
      </c>
      <c r="CM1218" s="143">
        <v>0</v>
      </c>
      <c r="CN1218" s="143">
        <v>0</v>
      </c>
      <c r="CO1218">
        <v>0</v>
      </c>
      <c r="CP1218" t="str">
        <f>IF($BN1218&lt;$BM1218,"refNeedCorrection","refOK")</f>
        <v>refOK</v>
      </c>
      <c r="CQ1218">
        <f>IF($CP1218="refOK",$BM1218,$BN1218)</f>
        <v>33.409999999999997</v>
      </c>
      <c r="CR1218">
        <f>IF($CP1218="refOK",$BN1218,$BM1218)</f>
        <v>33.409999999999997</v>
      </c>
      <c r="CS1218">
        <f>IF($CP1218="refOK",$BQ1218,-$BQ1218)</f>
        <v>0</v>
      </c>
      <c r="CT1218">
        <f>IF(BI1218="Roundwood",$CS1218/2,$CS1218)</f>
        <v>0</v>
      </c>
      <c r="CU1218">
        <f>IF($CP1218="refOK",$BU1218,$BV1218)*IF($BR1218="Emissions positive",-1,1)</f>
        <v>-37.340000000000003</v>
      </c>
      <c r="CV1218">
        <f>IF($CP1218="refOK",$BV1218,$BU1218)*IF($BR1218="Emissions positive",-1,1)</f>
        <v>-40.03</v>
      </c>
      <c r="CW1218">
        <f>IF($CP1218="refNeedCorrection",-BZ1218,BZ1218)*IF($BR1218="Emissions positive",-1,1)</f>
        <v>-9.8722999999999921</v>
      </c>
      <c r="CX1218" t="str">
        <f>IFERROR($CW1218/$CS1218,"")</f>
        <v/>
      </c>
      <c r="CY1218" t="str">
        <f>IFERROR($CW1218/$CS1218,"")</f>
        <v/>
      </c>
      <c r="CZ1218" t="str">
        <f>IFERROR($CW1218/$CT1218,"")</f>
        <v/>
      </c>
      <c r="DA1218" s="2">
        <f>IFERROR((CV1218-CU1218)/ABS(CU1218),"")</f>
        <v>-7.2040707016604116E-2</v>
      </c>
      <c r="DB1218" s="1" t="s">
        <v>234</v>
      </c>
      <c r="DC1218" s="317" t="str">
        <f>IF(OR($DB1218="prd",$DB1218="std",$DB1218="cit"),"loc",IF(OR($DB1218="eur",$DB1218="reg",$DB1218="coy"),"reg",$DB1218))</f>
        <v>loc</v>
      </c>
      <c r="DD1218" t="s">
        <v>280</v>
      </c>
      <c r="DG1218">
        <v>10</v>
      </c>
      <c r="DH1218" t="str">
        <f>IF(DG1218=0,"0",IF(AND(DG1218&gt;=1,DG1218&lt;=30),"1-30",IF(AND(DG1218&gt;30,DG1218&lt;=70),"31-70",IF(AND(DG1218&gt;70,DG1218&lt;=100),"71-100",IF(DG1218&gt;100,"+100")))))</f>
        <v>1-30</v>
      </c>
      <c r="DI1218">
        <v>1</v>
      </c>
      <c r="DJ1218">
        <v>0</v>
      </c>
      <c r="DK1218">
        <v>0</v>
      </c>
      <c r="DL1218">
        <v>0</v>
      </c>
      <c r="DN1218">
        <f>SUM(DI1218:DL1218)</f>
        <v>1</v>
      </c>
      <c r="DO1218" t="str">
        <f>IF(DN1218=1,INDEX($DI$7:$DL$7,MATCH(1,$DI1218:$DL1218,0)),"mixedProduct")</f>
        <v>UpstreamInput</v>
      </c>
      <c r="DP1218" t="str">
        <f>IF(DI1218=1,DP$7,0)</f>
        <v>Upstream</v>
      </c>
      <c r="DQ1218">
        <f>IF(DJ1218=1,DQ$7,0)</f>
        <v>0</v>
      </c>
      <c r="DR1218">
        <f>IF(DK1218=1,DR$7,0)</f>
        <v>0</v>
      </c>
      <c r="DS1218">
        <f>IF(DL1218=1,DS$7,0)</f>
        <v>0</v>
      </c>
      <c r="DT1218">
        <v>0</v>
      </c>
      <c r="DU1218" s="143">
        <v>0</v>
      </c>
      <c r="DV1218" s="143">
        <v>0</v>
      </c>
      <c r="DW1218" s="143">
        <v>0</v>
      </c>
      <c r="DX1218">
        <v>0</v>
      </c>
      <c r="DY1218">
        <f>SUM(DT1218:DU1218)</f>
        <v>0</v>
      </c>
      <c r="DZ1218" s="143" t="str">
        <f>IF(DT1218=1,"self-calculated DF",IF(DU1218=1,"external DF used","explicit C balance"))</f>
        <v>explicit C balance</v>
      </c>
      <c r="EA1218">
        <v>1</v>
      </c>
      <c r="EB1218" s="143">
        <v>1</v>
      </c>
      <c r="EC1218" s="143">
        <v>1</v>
      </c>
      <c r="ED1218" s="143">
        <v>0</v>
      </c>
      <c r="EE1218">
        <v>0</v>
      </c>
      <c r="EF1218" s="143">
        <v>0</v>
      </c>
      <c r="EG1218">
        <v>0</v>
      </c>
      <c r="EH1218" s="143">
        <v>0</v>
      </c>
      <c r="EI1218" s="143">
        <v>0</v>
      </c>
      <c r="EJ1218">
        <v>0</v>
      </c>
      <c r="EK1218">
        <v>1</v>
      </c>
      <c r="EL1218" s="143">
        <v>0</v>
      </c>
      <c r="EM1218" s="143">
        <v>0</v>
      </c>
      <c r="EN1218" s="2">
        <v>0</v>
      </c>
      <c r="EP1218" t="str">
        <f>IF(AND(AND(AND(OR($EC1218=1,$EB1218=1),OR($EH1218=1,$EF1218=1)),SUM($EA1218:$EE1218,$EK1218)&gt;=3),SUM($EF1218:$EJ1218)&gt;=2),"Whole sector approach","")</f>
        <v/>
      </c>
      <c r="EQ1218" t="str">
        <f>IF(AND(AND(OR($EC1218=1,$EB1218=1),AND($EH1218=0,$EF1218=0)),SUM($EA1218:$EE1218,$EK1218)&gt;=3),"Ecosystem approach","")</f>
        <v>Ecosystem approach</v>
      </c>
      <c r="ER1218" s="2" t="str">
        <f>IF(AND(AND(AND($EC1218=0,$EB1218=0),OR($EH1218=1,$EF1218=1)),SUM($EG1218:$EJ1218)&gt;=2),"Technology approach","")</f>
        <v/>
      </c>
      <c r="ES1218" t="str">
        <f>IF(AND($EC1218+$EB1218+$EE1218+$EA1218+$ED1218+$EG1218=0,$N1218="included"),"C neutral forest and HWP assumption","")</f>
        <v/>
      </c>
      <c r="ET1218" t="str">
        <f>IF(AND(AND(AND(AND($EC1218=1,$EB1218+$EA1218+$EG1218&gt;=1),$EF1218=1),$EH1218+$EI1218+$ED1218+$EE1218&gt;=2),$N1218="included"),"All C pools assumption","")</f>
        <v/>
      </c>
      <c r="EU1218" t="str">
        <f>IF(AND($ED1218+$EE1218+$EI1218+$EH1218+$EF1218=0,$N1218="included"),"In-situ only assumption","")</f>
        <v/>
      </c>
      <c r="EY1218" t="b">
        <f>IF(ISNUMBER(BW1218),IF(ABS(BW1218-[4]QC_indicators!$B$2)&gt;3*[4]QC_indicators!$C$2,"C ratio",IF(ISNUMBER(CA1218),IF(ABS(CA1218-[4]QC_indicators!$B$1)&gt;3*[4]QC_indicators!$C$1,"DF","no"))),IF(ISNUMBER(CA1218),IF(ABS(CA1218-[4]QC_indicators!$B$1)&gt;3*[4]QC_indicators!$C$1,"DF","no")))</f>
        <v>0</v>
      </c>
      <c r="FA1218" t="str">
        <f>IF(LEN($CY1218)=0,"",IF(AND($CY1218&lt;(-0.05),$ES1218="C neutral forest and HWP assumption"),"Cneutral paradox",IF(AND($CY1218&gt;0.05,$EU1218="In-situ only assumption"),"In-situ only paradox","")))</f>
        <v/>
      </c>
      <c r="FB1218" s="319" t="s">
        <v>349</v>
      </c>
      <c r="FD1218" s="317" t="s">
        <v>4889</v>
      </c>
    </row>
    <row r="1219" spans="1:160" ht="15" hidden="1" customHeight="1">
      <c r="A1219" s="1" t="s">
        <v>486</v>
      </c>
      <c r="B1219" t="s">
        <v>487</v>
      </c>
      <c r="C1219" t="s">
        <v>488</v>
      </c>
      <c r="D1219" t="s">
        <v>489</v>
      </c>
      <c r="E1219" t="s">
        <v>490</v>
      </c>
      <c r="F1219" t="s">
        <v>491</v>
      </c>
      <c r="G1219" t="s">
        <v>492</v>
      </c>
      <c r="H1219" t="s">
        <v>254</v>
      </c>
      <c r="I1219">
        <v>2019</v>
      </c>
      <c r="J1219">
        <v>3</v>
      </c>
      <c r="K1219" t="s">
        <v>493</v>
      </c>
      <c r="M1219" t="str">
        <f>LEFT($D1219,FIND(",",$D1219)-1)&amp;"_"&amp;I1219&amp;L1219</f>
        <v>Butarbutar_2019</v>
      </c>
      <c r="N1219" s="349" t="s">
        <v>4058</v>
      </c>
      <c r="O1219" s="145" t="s">
        <v>223</v>
      </c>
      <c r="Q1219" s="317" t="s">
        <v>256</v>
      </c>
      <c r="R1219" s="318" t="s">
        <v>1029</v>
      </c>
      <c r="S1219" s="1" t="s">
        <v>494</v>
      </c>
      <c r="T1219" t="s">
        <v>495</v>
      </c>
      <c r="U1219" t="s">
        <v>499</v>
      </c>
      <c r="V1219" s="253">
        <v>0</v>
      </c>
      <c r="W1219" s="253">
        <v>0</v>
      </c>
      <c r="X1219">
        <v>0</v>
      </c>
      <c r="Y1219">
        <v>0</v>
      </c>
      <c r="Z1219">
        <v>0</v>
      </c>
      <c r="AA1219">
        <v>1</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s="141">
        <f>COUNTIF(X1219:AY1219,"&lt;&gt;0")</f>
        <v>1</v>
      </c>
      <c r="BA1219" s="141">
        <f>COUNTIF(X1219:AN1219,"&lt;&gt;0")</f>
        <v>1</v>
      </c>
      <c r="BB1219">
        <f>COUNTIF(X1219:AE1219,"&lt;&gt;0")</f>
        <v>1</v>
      </c>
      <c r="BC1219">
        <f>COUNTIF(AF1219:AK1219,"&lt;&gt;0")</f>
        <v>0</v>
      </c>
      <c r="BD1219">
        <f>COUNTIF(AL1219:AN1219,"&lt;&gt;0")</f>
        <v>0</v>
      </c>
      <c r="BE1219">
        <f>COUNTIF(AU1219:AY1219,"&lt;&gt;0")</f>
        <v>0</v>
      </c>
      <c r="BF1219">
        <f>COUNTIF(AO1219:AT1219,"&lt;&gt;0")</f>
        <v>0</v>
      </c>
      <c r="BG1219" t="str" cm="1">
        <f t="array" ref="BG1219">IF(BA1219=1,INDEX($X$7:$AN$7,MATCH(TRUE,INDEX($X1219:$AY1219&lt;&gt;0,),0)),IF(BA1219=0,INDEX($AO$7:$AY$7,MATCH(1,$AO1219:$AY1219,0)),IF(BH1219="Multiple strategies","mixed drivers",IF(BH1219="Supply chain","multiple supply","multiple silviculture"))))</f>
        <v xml:space="preserve">cutting intensity </v>
      </c>
      <c r="BH1219" s="2" t="str" cm="1">
        <f t="array" ref="BH1219">IF(COUNTIF(BB1219:BD1219,"&lt;&gt;0")=1,INDEX($X$4:$AY$4,MATCH(TRUE,INDEX($X1219:$AY1219&lt;&gt;0,),0)),IF(COUNTIF(BB1219:BD1219,"&lt;&gt;0")=0,INDEX($AO$4:$AY$4,MATCH(1,$AO1219:$AY1219,0)),"Multiple strategies"))</f>
        <v>Silviculture for removals</v>
      </c>
      <c r="BI1219" s="1" t="s">
        <v>321</v>
      </c>
      <c r="BJ1219" t="s">
        <v>497</v>
      </c>
      <c r="BK1219" s="141" t="s">
        <v>4885</v>
      </c>
      <c r="BL1219" t="s">
        <v>1884</v>
      </c>
      <c r="BM1219">
        <v>33.409999999999997</v>
      </c>
      <c r="BN1219">
        <v>33.409999999999997</v>
      </c>
      <c r="BP1219">
        <f>BN1219-BM1219</f>
        <v>0</v>
      </c>
      <c r="BQ1219">
        <f>BN1219-BM1219</f>
        <v>0</v>
      </c>
      <c r="BR1219" s="317" t="s">
        <v>232</v>
      </c>
      <c r="BS1219" s="141" t="s">
        <v>4885</v>
      </c>
      <c r="BT1219" t="s">
        <v>278</v>
      </c>
      <c r="BU1219">
        <v>-37.340000000000003</v>
      </c>
      <c r="BV1219">
        <v>-36.880000000000003</v>
      </c>
      <c r="BW1219" s="144">
        <f>IFERROR(BV1219/BU1219,"")</f>
        <v>0.98768077129084086</v>
      </c>
      <c r="BX1219" s="175">
        <f>BV1219-BU1219</f>
        <v>0.46000000000000085</v>
      </c>
      <c r="BZ1219">
        <f>BX1219*C_to_CO2</f>
        <v>1.688200000000003</v>
      </c>
      <c r="CA1219" t="str">
        <f>IFERROR(BZ1219/BQ1219,"")</f>
        <v/>
      </c>
      <c r="CB1219" s="143">
        <v>0</v>
      </c>
      <c r="CC1219" s="143">
        <v>0</v>
      </c>
      <c r="CD1219" s="143">
        <v>0</v>
      </c>
      <c r="CE1219" s="143">
        <v>0</v>
      </c>
      <c r="CF1219" s="143">
        <v>0</v>
      </c>
      <c r="CG1219" s="143">
        <v>0</v>
      </c>
      <c r="CH1219" s="143">
        <v>0</v>
      </c>
      <c r="CI1219" s="143">
        <v>0</v>
      </c>
      <c r="CJ1219" s="143">
        <v>0</v>
      </c>
      <c r="CK1219" s="143">
        <v>0</v>
      </c>
      <c r="CL1219" s="143">
        <v>0</v>
      </c>
      <c r="CM1219" s="143">
        <v>0</v>
      </c>
      <c r="CN1219" s="143">
        <v>0</v>
      </c>
      <c r="CO1219">
        <v>0</v>
      </c>
      <c r="CP1219" t="str">
        <f>IF($BN1219&lt;$BM1219,"refNeedCorrection","refOK")</f>
        <v>refOK</v>
      </c>
      <c r="CQ1219">
        <f>IF($CP1219="refOK",$BM1219,$BN1219)</f>
        <v>33.409999999999997</v>
      </c>
      <c r="CR1219">
        <f>IF($CP1219="refOK",$BN1219,$BM1219)</f>
        <v>33.409999999999997</v>
      </c>
      <c r="CS1219">
        <f>IF($CP1219="refOK",$BQ1219,-$BQ1219)</f>
        <v>0</v>
      </c>
      <c r="CT1219">
        <f>IF(BI1219="Roundwood",$CS1219/2,$CS1219)</f>
        <v>0</v>
      </c>
      <c r="CU1219">
        <f>IF($CP1219="refOK",$BU1219,$BV1219)*IF($BR1219="Emissions positive",-1,1)</f>
        <v>-37.340000000000003</v>
      </c>
      <c r="CV1219">
        <f>IF($CP1219="refOK",$BV1219,$BU1219)*IF($BR1219="Emissions positive",-1,1)</f>
        <v>-36.880000000000003</v>
      </c>
      <c r="CW1219">
        <f>IF($CP1219="refNeedCorrection",-BZ1219,BZ1219)*IF($BR1219="Emissions positive",-1,1)</f>
        <v>1.688200000000003</v>
      </c>
      <c r="CX1219" t="str">
        <f>IFERROR($CW1219/$CS1219,"")</f>
        <v/>
      </c>
      <c r="CY1219" t="str">
        <f>IFERROR($CW1219/$CS1219,"")</f>
        <v/>
      </c>
      <c r="CZ1219" t="str">
        <f>IFERROR($CW1219/$CT1219,"")</f>
        <v/>
      </c>
      <c r="DA1219" s="2">
        <f>IFERROR((CV1219-CU1219)/ABS(CU1219),"")</f>
        <v>1.2319228709159101E-2</v>
      </c>
      <c r="DB1219" s="1" t="s">
        <v>234</v>
      </c>
      <c r="DC1219" s="317" t="str">
        <f>IF(OR($DB1219="prd",$DB1219="std",$DB1219="cit"),"loc",IF(OR($DB1219="eur",$DB1219="reg",$DB1219="coy"),"reg",$DB1219))</f>
        <v>loc</v>
      </c>
      <c r="DD1219" t="s">
        <v>280</v>
      </c>
      <c r="DG1219">
        <v>10</v>
      </c>
      <c r="DH1219" t="str">
        <f>IF(DG1219=0,"0",IF(AND(DG1219&gt;=1,DG1219&lt;=30),"1-30",IF(AND(DG1219&gt;30,DG1219&lt;=70),"31-70",IF(AND(DG1219&gt;70,DG1219&lt;=100),"71-100",IF(DG1219&gt;100,"+100")))))</f>
        <v>1-30</v>
      </c>
      <c r="DI1219">
        <v>1</v>
      </c>
      <c r="DJ1219">
        <v>0</v>
      </c>
      <c r="DK1219">
        <v>0</v>
      </c>
      <c r="DL1219">
        <v>0</v>
      </c>
      <c r="DN1219">
        <f>SUM(DI1219:DL1219)</f>
        <v>1</v>
      </c>
      <c r="DO1219" t="str">
        <f>IF(DN1219=1,INDEX($DI$7:$DL$7,MATCH(1,$DI1219:$DL1219,0)),"mixedProduct")</f>
        <v>UpstreamInput</v>
      </c>
      <c r="DP1219" t="str">
        <f>IF(DI1219=1,DP$7,0)</f>
        <v>Upstream</v>
      </c>
      <c r="DQ1219">
        <f>IF(DJ1219=1,DQ$7,0)</f>
        <v>0</v>
      </c>
      <c r="DR1219">
        <f>IF(DK1219=1,DR$7,0)</f>
        <v>0</v>
      </c>
      <c r="DS1219">
        <f>IF(DL1219=1,DS$7,0)</f>
        <v>0</v>
      </c>
      <c r="DT1219">
        <v>0</v>
      </c>
      <c r="DU1219" s="143">
        <v>0</v>
      </c>
      <c r="DV1219" s="143">
        <v>0</v>
      </c>
      <c r="DW1219" s="143">
        <v>0</v>
      </c>
      <c r="DX1219">
        <v>0</v>
      </c>
      <c r="DY1219">
        <f>SUM(DT1219:DU1219)</f>
        <v>0</v>
      </c>
      <c r="DZ1219" s="143" t="str">
        <f>IF(DT1219=1,"self-calculated DF",IF(DU1219=1,"external DF used","explicit C balance"))</f>
        <v>explicit C balance</v>
      </c>
      <c r="EA1219">
        <v>1</v>
      </c>
      <c r="EB1219" s="143">
        <v>1</v>
      </c>
      <c r="EC1219" s="143">
        <v>1</v>
      </c>
      <c r="ED1219" s="143">
        <v>0</v>
      </c>
      <c r="EE1219">
        <v>0</v>
      </c>
      <c r="EF1219" s="143">
        <v>0</v>
      </c>
      <c r="EG1219">
        <v>0</v>
      </c>
      <c r="EH1219" s="143">
        <v>0</v>
      </c>
      <c r="EI1219" s="143">
        <v>0</v>
      </c>
      <c r="EJ1219">
        <v>0</v>
      </c>
      <c r="EK1219">
        <v>1</v>
      </c>
      <c r="EL1219" s="143">
        <v>0</v>
      </c>
      <c r="EM1219" s="143">
        <v>0</v>
      </c>
      <c r="EN1219" s="2">
        <v>0</v>
      </c>
      <c r="EP1219" t="str">
        <f>IF(AND(AND(AND(OR($EC1219=1,$EB1219=1),OR($EH1219=1,$EF1219=1)),SUM($EA1219:$EE1219,$EK1219)&gt;=3),SUM($EF1219:$EJ1219)&gt;=2),"Whole sector approach","")</f>
        <v/>
      </c>
      <c r="EQ1219" t="str">
        <f>IF(AND(AND(OR($EC1219=1,$EB1219=1),AND($EH1219=0,$EF1219=0)),SUM($EA1219:$EE1219,$EK1219)&gt;=3),"Ecosystem approach","")</f>
        <v>Ecosystem approach</v>
      </c>
      <c r="ER1219" s="2" t="str">
        <f>IF(AND(AND(AND($EC1219=0,$EB1219=0),OR($EH1219=1,$EF1219=1)),SUM($EG1219:$EJ1219)&gt;=2),"Technology approach","")</f>
        <v/>
      </c>
      <c r="ES1219" t="str">
        <f>IF(AND($EC1219+$EB1219+$EE1219+$EA1219+$ED1219+$EG1219=0,$N1219="included"),"C neutral forest and HWP assumption","")</f>
        <v/>
      </c>
      <c r="ET1219" t="str">
        <f>IF(AND(AND(AND(AND($EC1219=1,$EB1219+$EA1219+$EG1219&gt;=1),$EF1219=1),$EH1219+$EI1219+$ED1219+$EE1219&gt;=2),$N1219="included"),"All C pools assumption","")</f>
        <v/>
      </c>
      <c r="EU1219" t="str">
        <f>IF(AND($ED1219+$EE1219+$EI1219+$EH1219+$EF1219=0,$N1219="included"),"In-situ only assumption","")</f>
        <v/>
      </c>
      <c r="EY1219" t="b">
        <f>IF(ISNUMBER(BW1219),IF(ABS(BW1219-[4]QC_indicators!$B$2)&gt;3*[4]QC_indicators!$C$2,"C ratio",IF(ISNUMBER(CA1219),IF(ABS(CA1219-[4]QC_indicators!$B$1)&gt;3*[4]QC_indicators!$C$1,"DF","no"))),IF(ISNUMBER(CA1219),IF(ABS(CA1219-[4]QC_indicators!$B$1)&gt;3*[4]QC_indicators!$C$1,"DF","no")))</f>
        <v>0</v>
      </c>
      <c r="FA1219" t="str">
        <f>IF(LEN($CY1219)=0,"",IF(AND($CY1219&lt;(-0.05),$ES1219="C neutral forest and HWP assumption"),"Cneutral paradox",IF(AND($CY1219&gt;0.05,$EU1219="In-situ only assumption"),"In-situ only paradox","")))</f>
        <v/>
      </c>
      <c r="FB1219" s="319" t="s">
        <v>349</v>
      </c>
      <c r="FD1219" s="317" t="s">
        <v>4889</v>
      </c>
    </row>
    <row r="1220" spans="1:160" ht="15" hidden="1" customHeight="1">
      <c r="A1220" s="1" t="s">
        <v>486</v>
      </c>
      <c r="B1220" t="s">
        <v>487</v>
      </c>
      <c r="C1220" t="s">
        <v>488</v>
      </c>
      <c r="D1220" t="s">
        <v>489</v>
      </c>
      <c r="E1220" t="s">
        <v>490</v>
      </c>
      <c r="F1220" t="s">
        <v>491</v>
      </c>
      <c r="G1220" t="s">
        <v>492</v>
      </c>
      <c r="H1220" t="s">
        <v>254</v>
      </c>
      <c r="I1220">
        <v>2019</v>
      </c>
      <c r="J1220">
        <v>3</v>
      </c>
      <c r="K1220" t="s">
        <v>493</v>
      </c>
      <c r="M1220" t="str">
        <f>LEFT($D1220,FIND(",",$D1220)-1)&amp;"_"&amp;I1220&amp;L1220</f>
        <v>Butarbutar_2019</v>
      </c>
      <c r="N1220" s="349" t="s">
        <v>4058</v>
      </c>
      <c r="O1220" s="145" t="s">
        <v>223</v>
      </c>
      <c r="Q1220" s="317" t="s">
        <v>256</v>
      </c>
      <c r="R1220" s="318" t="s">
        <v>1029</v>
      </c>
      <c r="S1220" s="1" t="s">
        <v>494</v>
      </c>
      <c r="T1220" t="s">
        <v>495</v>
      </c>
      <c r="U1220" t="s">
        <v>226</v>
      </c>
      <c r="V1220" s="253">
        <v>0</v>
      </c>
      <c r="W1220" s="253">
        <v>0</v>
      </c>
      <c r="X1220">
        <v>0</v>
      </c>
      <c r="Y1220">
        <v>0</v>
      </c>
      <c r="Z1220">
        <v>0</v>
      </c>
      <c r="AA1220">
        <v>1</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s="141">
        <f>COUNTIF(X1220:AY1220,"&lt;&gt;0")</f>
        <v>1</v>
      </c>
      <c r="BA1220" s="141">
        <f>COUNTIF(X1220:AN1220,"&lt;&gt;0")</f>
        <v>1</v>
      </c>
      <c r="BB1220">
        <f>COUNTIF(X1220:AE1220,"&lt;&gt;0")</f>
        <v>1</v>
      </c>
      <c r="BC1220">
        <f>COUNTIF(AF1220:AK1220,"&lt;&gt;0")</f>
        <v>0</v>
      </c>
      <c r="BD1220">
        <f>COUNTIF(AL1220:AN1220,"&lt;&gt;0")</f>
        <v>0</v>
      </c>
      <c r="BE1220">
        <f>COUNTIF(AU1220:AY1220,"&lt;&gt;0")</f>
        <v>0</v>
      </c>
      <c r="BF1220">
        <f>COUNTIF(AO1220:AT1220,"&lt;&gt;0")</f>
        <v>0</v>
      </c>
      <c r="BG1220" t="str" cm="1">
        <f t="array" ref="BG1220">IF(BA1220=1,INDEX($X$7:$AN$7,MATCH(TRUE,INDEX($X1220:$AY1220&lt;&gt;0,),0)),IF(BA1220=0,INDEX($AO$7:$AY$7,MATCH(1,$AO1220:$AY1220,0)),IF(BH1220="Multiple strategies","mixed drivers",IF(BH1220="Supply chain","multiple supply","multiple silviculture"))))</f>
        <v xml:space="preserve">cutting intensity </v>
      </c>
      <c r="BH1220" s="2" t="str" cm="1">
        <f t="array" ref="BH1220">IF(COUNTIF(BB1220:BD1220,"&lt;&gt;0")=1,INDEX($X$4:$AY$4,MATCH(TRUE,INDEX($X1220:$AY1220&lt;&gt;0,),0)),IF(COUNTIF(BB1220:BD1220,"&lt;&gt;0")=0,INDEX($AO$4:$AY$4,MATCH(1,$AO1220:$AY1220,0)),"Multiple strategies"))</f>
        <v>Silviculture for removals</v>
      </c>
      <c r="BI1220" s="1" t="s">
        <v>321</v>
      </c>
      <c r="BJ1220" t="s">
        <v>497</v>
      </c>
      <c r="BK1220" s="141" t="s">
        <v>4885</v>
      </c>
      <c r="BL1220" t="s">
        <v>1884</v>
      </c>
      <c r="BM1220">
        <v>34.78</v>
      </c>
      <c r="BN1220">
        <v>34.78</v>
      </c>
      <c r="BP1220">
        <f>BN1220-BM1220</f>
        <v>0</v>
      </c>
      <c r="BQ1220">
        <f>BN1220-BM1220</f>
        <v>0</v>
      </c>
      <c r="BR1220" s="317" t="s">
        <v>232</v>
      </c>
      <c r="BS1220" s="141" t="s">
        <v>4885</v>
      </c>
      <c r="BT1220" t="s">
        <v>278</v>
      </c>
      <c r="BU1220">
        <v>-25.98</v>
      </c>
      <c r="BV1220">
        <v>-25.419999999999998</v>
      </c>
      <c r="BW1220" s="144">
        <f>IFERROR(BV1220/BU1220,"")</f>
        <v>0.97844495765973816</v>
      </c>
      <c r="BX1220" s="175">
        <f>BV1220-BU1220</f>
        <v>0.56000000000000227</v>
      </c>
      <c r="BZ1220">
        <f>BX1220*C_to_CO2</f>
        <v>2.0552000000000081</v>
      </c>
      <c r="CA1220" t="str">
        <f>IFERROR(BZ1220/BQ1220,"")</f>
        <v/>
      </c>
      <c r="CB1220" s="143">
        <v>0</v>
      </c>
      <c r="CC1220" s="143">
        <v>0</v>
      </c>
      <c r="CD1220" s="143">
        <v>0</v>
      </c>
      <c r="CE1220" s="143">
        <v>0</v>
      </c>
      <c r="CF1220" s="143">
        <v>0</v>
      </c>
      <c r="CG1220" s="143">
        <v>0</v>
      </c>
      <c r="CH1220" s="143">
        <v>0</v>
      </c>
      <c r="CI1220" s="143">
        <v>0</v>
      </c>
      <c r="CJ1220" s="143">
        <v>0</v>
      </c>
      <c r="CK1220" s="143">
        <v>0</v>
      </c>
      <c r="CL1220" s="143">
        <v>0</v>
      </c>
      <c r="CM1220" s="143">
        <v>0</v>
      </c>
      <c r="CN1220" s="143">
        <v>0</v>
      </c>
      <c r="CO1220">
        <v>0</v>
      </c>
      <c r="CP1220" t="str">
        <f>IF($BN1220&lt;$BM1220,"refNeedCorrection","refOK")</f>
        <v>refOK</v>
      </c>
      <c r="CQ1220">
        <f>IF($CP1220="refOK",$BM1220,$BN1220)</f>
        <v>34.78</v>
      </c>
      <c r="CR1220">
        <f>IF($CP1220="refOK",$BN1220,$BM1220)</f>
        <v>34.78</v>
      </c>
      <c r="CS1220">
        <f>IF($CP1220="refOK",$BQ1220,-$BQ1220)</f>
        <v>0</v>
      </c>
      <c r="CT1220">
        <f>IF(BI1220="Roundwood",$CS1220/2,$CS1220)</f>
        <v>0</v>
      </c>
      <c r="CU1220">
        <f>IF($CP1220="refOK",$BU1220,$BV1220)*IF($BR1220="Emissions positive",-1,1)</f>
        <v>-25.98</v>
      </c>
      <c r="CV1220">
        <f>IF($CP1220="refOK",$BV1220,$BU1220)*IF($BR1220="Emissions positive",-1,1)</f>
        <v>-25.419999999999998</v>
      </c>
      <c r="CW1220">
        <f>IF($CP1220="refNeedCorrection",-BZ1220,BZ1220)*IF($BR1220="Emissions positive",-1,1)</f>
        <v>2.0552000000000081</v>
      </c>
      <c r="CX1220" t="str">
        <f>IFERROR($CW1220/$CS1220,"")</f>
        <v/>
      </c>
      <c r="CY1220" t="str">
        <f>IFERROR($CW1220/$CS1220,"")</f>
        <v/>
      </c>
      <c r="CZ1220" t="str">
        <f>IFERROR($CW1220/$CT1220,"")</f>
        <v/>
      </c>
      <c r="DA1220" s="2">
        <f>IFERROR((CV1220-CU1220)/ABS(CU1220),"")</f>
        <v>2.1555042340261826E-2</v>
      </c>
      <c r="DB1220" s="1" t="s">
        <v>234</v>
      </c>
      <c r="DC1220" s="317" t="str">
        <f>IF(OR($DB1220="prd",$DB1220="std",$DB1220="cit"),"loc",IF(OR($DB1220="eur",$DB1220="reg",$DB1220="coy"),"reg",$DB1220))</f>
        <v>loc</v>
      </c>
      <c r="DD1220" t="s">
        <v>280</v>
      </c>
      <c r="DG1220">
        <v>10</v>
      </c>
      <c r="DH1220" t="str">
        <f>IF(DG1220=0,"0",IF(AND(DG1220&gt;=1,DG1220&lt;=30),"1-30",IF(AND(DG1220&gt;30,DG1220&lt;=70),"31-70",IF(AND(DG1220&gt;70,DG1220&lt;=100),"71-100",IF(DG1220&gt;100,"+100")))))</f>
        <v>1-30</v>
      </c>
      <c r="DI1220">
        <v>1</v>
      </c>
      <c r="DJ1220">
        <v>0</v>
      </c>
      <c r="DK1220">
        <v>0</v>
      </c>
      <c r="DL1220">
        <v>0</v>
      </c>
      <c r="DN1220">
        <f>SUM(DI1220:DL1220)</f>
        <v>1</v>
      </c>
      <c r="DO1220" t="str">
        <f>IF(DN1220=1,INDEX($DI$7:$DL$7,MATCH(1,$DI1220:$DL1220,0)),"mixedProduct")</f>
        <v>UpstreamInput</v>
      </c>
      <c r="DP1220" t="str">
        <f>IF(DI1220=1,DP$7,0)</f>
        <v>Upstream</v>
      </c>
      <c r="DQ1220">
        <f>IF(DJ1220=1,DQ$7,0)</f>
        <v>0</v>
      </c>
      <c r="DR1220">
        <f>IF(DK1220=1,DR$7,0)</f>
        <v>0</v>
      </c>
      <c r="DS1220">
        <f>IF(DL1220=1,DS$7,0)</f>
        <v>0</v>
      </c>
      <c r="DT1220">
        <v>0</v>
      </c>
      <c r="DU1220" s="143">
        <v>0</v>
      </c>
      <c r="DV1220" s="143">
        <v>0</v>
      </c>
      <c r="DW1220" s="143">
        <v>0</v>
      </c>
      <c r="DX1220">
        <v>0</v>
      </c>
      <c r="DY1220">
        <f>SUM(DT1220:DU1220)</f>
        <v>0</v>
      </c>
      <c r="DZ1220" s="143" t="str">
        <f>IF(DT1220=1,"self-calculated DF",IF(DU1220=1,"external DF used","explicit C balance"))</f>
        <v>explicit C balance</v>
      </c>
      <c r="EA1220">
        <v>1</v>
      </c>
      <c r="EB1220" s="143">
        <v>1</v>
      </c>
      <c r="EC1220" s="143">
        <v>1</v>
      </c>
      <c r="ED1220" s="143">
        <v>0</v>
      </c>
      <c r="EE1220">
        <v>0</v>
      </c>
      <c r="EF1220" s="143">
        <v>0</v>
      </c>
      <c r="EG1220">
        <v>0</v>
      </c>
      <c r="EH1220" s="143">
        <v>0</v>
      </c>
      <c r="EI1220" s="143">
        <v>0</v>
      </c>
      <c r="EJ1220">
        <v>0</v>
      </c>
      <c r="EK1220">
        <v>1</v>
      </c>
      <c r="EL1220" s="143">
        <v>0</v>
      </c>
      <c r="EM1220" s="143">
        <v>0</v>
      </c>
      <c r="EN1220" s="2">
        <v>0</v>
      </c>
      <c r="EP1220" t="str">
        <f>IF(AND(AND(AND(OR($EC1220=1,$EB1220=1),OR($EH1220=1,$EF1220=1)),SUM($EA1220:$EE1220,$EK1220)&gt;=3),SUM($EF1220:$EJ1220)&gt;=2),"Whole sector approach","")</f>
        <v/>
      </c>
      <c r="EQ1220" t="str">
        <f>IF(AND(AND(OR($EC1220=1,$EB1220=1),AND($EH1220=0,$EF1220=0)),SUM($EA1220:$EE1220,$EK1220)&gt;=3),"Ecosystem approach","")</f>
        <v>Ecosystem approach</v>
      </c>
      <c r="ER1220" s="2" t="str">
        <f>IF(AND(AND(AND($EC1220=0,$EB1220=0),OR($EH1220=1,$EF1220=1)),SUM($EG1220:$EJ1220)&gt;=2),"Technology approach","")</f>
        <v/>
      </c>
      <c r="ES1220" t="str">
        <f>IF(AND($EC1220+$EB1220+$EE1220+$EA1220+$ED1220+$EG1220=0,$N1220="included"),"C neutral forest and HWP assumption","")</f>
        <v/>
      </c>
      <c r="ET1220" t="str">
        <f>IF(AND(AND(AND(AND($EC1220=1,$EB1220+$EA1220+$EG1220&gt;=1),$EF1220=1),$EH1220+$EI1220+$ED1220+$EE1220&gt;=2),$N1220="included"),"All C pools assumption","")</f>
        <v/>
      </c>
      <c r="EU1220" t="str">
        <f>IF(AND($ED1220+$EE1220+$EI1220+$EH1220+$EF1220=0,$N1220="included"),"In-situ only assumption","")</f>
        <v/>
      </c>
      <c r="EY1220" t="b">
        <f>IF(ISNUMBER(BW1220),IF(ABS(BW1220-[4]QC_indicators!$B$2)&gt;3*[4]QC_indicators!$C$2,"C ratio",IF(ISNUMBER(CA1220),IF(ABS(CA1220-[4]QC_indicators!$B$1)&gt;3*[4]QC_indicators!$C$1,"DF","no"))),IF(ISNUMBER(CA1220),IF(ABS(CA1220-[4]QC_indicators!$B$1)&gt;3*[4]QC_indicators!$C$1,"DF","no")))</f>
        <v>0</v>
      </c>
      <c r="FA1220" t="str">
        <f>IF(LEN($CY1220)=0,"",IF(AND($CY1220&lt;(-0.05),$ES1220="C neutral forest and HWP assumption"),"Cneutral paradox",IF(AND($CY1220&gt;0.05,$EU1220="In-situ only assumption"),"In-situ only paradox","")))</f>
        <v/>
      </c>
      <c r="FB1220" s="319" t="s">
        <v>349</v>
      </c>
      <c r="FD1220" s="317" t="s">
        <v>4886</v>
      </c>
    </row>
    <row r="1221" spans="1:160" ht="15" hidden="1" customHeight="1">
      <c r="A1221" s="1" t="s">
        <v>486</v>
      </c>
      <c r="B1221" t="s">
        <v>487</v>
      </c>
      <c r="C1221" t="s">
        <v>488</v>
      </c>
      <c r="D1221" t="s">
        <v>489</v>
      </c>
      <c r="E1221" t="s">
        <v>490</v>
      </c>
      <c r="F1221" t="s">
        <v>491</v>
      </c>
      <c r="G1221" t="s">
        <v>492</v>
      </c>
      <c r="H1221" t="s">
        <v>254</v>
      </c>
      <c r="I1221">
        <v>2019</v>
      </c>
      <c r="J1221">
        <v>3</v>
      </c>
      <c r="K1221" t="s">
        <v>493</v>
      </c>
      <c r="M1221" t="str">
        <f>LEFT($D1221,FIND(",",$D1221)-1)&amp;"_"&amp;I1221&amp;L1221</f>
        <v>Butarbutar_2019</v>
      </c>
      <c r="N1221" s="349" t="s">
        <v>4058</v>
      </c>
      <c r="O1221" s="145" t="s">
        <v>223</v>
      </c>
      <c r="Q1221" s="317" t="s">
        <v>256</v>
      </c>
      <c r="R1221" s="318" t="s">
        <v>1029</v>
      </c>
      <c r="S1221" s="1" t="s">
        <v>494</v>
      </c>
      <c r="T1221" t="s">
        <v>495</v>
      </c>
      <c r="U1221" t="s">
        <v>226</v>
      </c>
      <c r="V1221" s="253">
        <v>0</v>
      </c>
      <c r="W1221" s="253">
        <v>0</v>
      </c>
      <c r="X1221">
        <v>0</v>
      </c>
      <c r="Y1221">
        <v>0</v>
      </c>
      <c r="Z1221">
        <v>0</v>
      </c>
      <c r="AA1221">
        <v>1</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s="141">
        <f>COUNTIF(X1221:AY1221,"&lt;&gt;0")</f>
        <v>1</v>
      </c>
      <c r="BA1221" s="141">
        <f>COUNTIF(X1221:AN1221,"&lt;&gt;0")</f>
        <v>1</v>
      </c>
      <c r="BB1221">
        <f>COUNTIF(X1221:AE1221,"&lt;&gt;0")</f>
        <v>1</v>
      </c>
      <c r="BC1221">
        <f>COUNTIF(AF1221:AK1221,"&lt;&gt;0")</f>
        <v>0</v>
      </c>
      <c r="BD1221">
        <f>COUNTIF(AL1221:AN1221,"&lt;&gt;0")</f>
        <v>0</v>
      </c>
      <c r="BE1221">
        <f>COUNTIF(AU1221:AY1221,"&lt;&gt;0")</f>
        <v>0</v>
      </c>
      <c r="BF1221">
        <f>COUNTIF(AO1221:AT1221,"&lt;&gt;0")</f>
        <v>0</v>
      </c>
      <c r="BG1221" t="str" cm="1">
        <f t="array" ref="BG1221">IF(BA1221=1,INDEX($X$7:$AN$7,MATCH(TRUE,INDEX($X1221:$AY1221&lt;&gt;0,),0)),IF(BA1221=0,INDEX($AO$7:$AY$7,MATCH(1,$AO1221:$AY1221,0)),IF(BH1221="Multiple strategies","mixed drivers",IF(BH1221="Supply chain","multiple supply","multiple silviculture"))))</f>
        <v xml:space="preserve">cutting intensity </v>
      </c>
      <c r="BH1221" s="2" t="str" cm="1">
        <f t="array" ref="BH1221">IF(COUNTIF(BB1221:BD1221,"&lt;&gt;0")=1,INDEX($X$4:$AY$4,MATCH(TRUE,INDEX($X1221:$AY1221&lt;&gt;0,),0)),IF(COUNTIF(BB1221:BD1221,"&lt;&gt;0")=0,INDEX($AO$4:$AY$4,MATCH(1,$AO1221:$AY1221,0)),"Multiple strategies"))</f>
        <v>Silviculture for removals</v>
      </c>
      <c r="BI1221" s="1" t="s">
        <v>321</v>
      </c>
      <c r="BJ1221" t="s">
        <v>497</v>
      </c>
      <c r="BK1221" s="141" t="s">
        <v>4885</v>
      </c>
      <c r="BL1221" t="s">
        <v>1884</v>
      </c>
      <c r="BM1221">
        <v>35.86</v>
      </c>
      <c r="BN1221">
        <v>35.86</v>
      </c>
      <c r="BP1221">
        <f>BN1221-BM1221</f>
        <v>0</v>
      </c>
      <c r="BQ1221">
        <f>BN1221-BM1221</f>
        <v>0</v>
      </c>
      <c r="BR1221" s="317" t="s">
        <v>232</v>
      </c>
      <c r="BS1221" s="141" t="s">
        <v>4885</v>
      </c>
      <c r="BT1221" t="s">
        <v>278</v>
      </c>
      <c r="BU1221">
        <v>-49.536666666666669</v>
      </c>
      <c r="BV1221">
        <v>-48.43</v>
      </c>
      <c r="BW1221" s="144">
        <f>IFERROR(BV1221/BU1221,"")</f>
        <v>0.97765964605342837</v>
      </c>
      <c r="BX1221" s="175">
        <f>BV1221-BU1221</f>
        <v>1.1066666666666691</v>
      </c>
      <c r="BZ1221">
        <f>BX1221*C_to_CO2</f>
        <v>4.0614666666666759</v>
      </c>
      <c r="CA1221" t="str">
        <f>IFERROR(BZ1221/BQ1221,"")</f>
        <v/>
      </c>
      <c r="CB1221" s="143">
        <v>0</v>
      </c>
      <c r="CC1221" s="143">
        <v>0</v>
      </c>
      <c r="CD1221" s="143">
        <v>0</v>
      </c>
      <c r="CE1221" s="143">
        <v>0</v>
      </c>
      <c r="CF1221" s="143">
        <v>0</v>
      </c>
      <c r="CG1221" s="143">
        <v>0</v>
      </c>
      <c r="CH1221" s="143">
        <v>0</v>
      </c>
      <c r="CI1221" s="143">
        <v>0</v>
      </c>
      <c r="CJ1221" s="143">
        <v>0</v>
      </c>
      <c r="CK1221" s="143">
        <v>0</v>
      </c>
      <c r="CL1221" s="143">
        <v>0</v>
      </c>
      <c r="CM1221" s="143">
        <v>0</v>
      </c>
      <c r="CN1221" s="143">
        <v>0</v>
      </c>
      <c r="CO1221">
        <v>0</v>
      </c>
      <c r="CP1221" t="str">
        <f>IF($BN1221&lt;$BM1221,"refNeedCorrection","refOK")</f>
        <v>refOK</v>
      </c>
      <c r="CQ1221">
        <f>IF($CP1221="refOK",$BM1221,$BN1221)</f>
        <v>35.86</v>
      </c>
      <c r="CR1221">
        <f>IF($CP1221="refOK",$BN1221,$BM1221)</f>
        <v>35.86</v>
      </c>
      <c r="CS1221">
        <f>IF($CP1221="refOK",$BQ1221,-$BQ1221)</f>
        <v>0</v>
      </c>
      <c r="CT1221">
        <f>IF(BI1221="Roundwood",$CS1221/2,$CS1221)</f>
        <v>0</v>
      </c>
      <c r="CU1221">
        <f>IF($CP1221="refOK",$BU1221,$BV1221)*IF($BR1221="Emissions positive",-1,1)</f>
        <v>-49.536666666666669</v>
      </c>
      <c r="CV1221">
        <f>IF($CP1221="refOK",$BV1221,$BU1221)*IF($BR1221="Emissions positive",-1,1)</f>
        <v>-48.43</v>
      </c>
      <c r="CW1221">
        <f>IF($CP1221="refNeedCorrection",-BZ1221,BZ1221)*IF($BR1221="Emissions positive",-1,1)</f>
        <v>4.0614666666666759</v>
      </c>
      <c r="CX1221" t="str">
        <f>IFERROR($CW1221/$CS1221,"")</f>
        <v/>
      </c>
      <c r="CY1221" t="str">
        <f>IFERROR($CW1221/$CS1221,"")</f>
        <v/>
      </c>
      <c r="CZ1221" t="str">
        <f>IFERROR($CW1221/$CT1221,"")</f>
        <v/>
      </c>
      <c r="DA1221" s="2">
        <f>IFERROR((CV1221-CU1221)/ABS(CU1221),"")</f>
        <v>2.2340353946571613E-2</v>
      </c>
      <c r="DB1221" s="1" t="s">
        <v>234</v>
      </c>
      <c r="DC1221" s="317" t="str">
        <f>IF(OR($DB1221="prd",$DB1221="std",$DB1221="cit"),"loc",IF(OR($DB1221="eur",$DB1221="reg",$DB1221="coy"),"reg",$DB1221))</f>
        <v>loc</v>
      </c>
      <c r="DD1221" t="s">
        <v>280</v>
      </c>
      <c r="DG1221">
        <v>10</v>
      </c>
      <c r="DH1221" t="str">
        <f>IF(DG1221=0,"0",IF(AND(DG1221&gt;=1,DG1221&lt;=30),"1-30",IF(AND(DG1221&gt;30,DG1221&lt;=70),"31-70",IF(AND(DG1221&gt;70,DG1221&lt;=100),"71-100",IF(DG1221&gt;100,"+100")))))</f>
        <v>1-30</v>
      </c>
      <c r="DI1221">
        <v>1</v>
      </c>
      <c r="DJ1221">
        <v>0</v>
      </c>
      <c r="DK1221">
        <v>0</v>
      </c>
      <c r="DL1221">
        <v>0</v>
      </c>
      <c r="DN1221">
        <f>SUM(DI1221:DL1221)</f>
        <v>1</v>
      </c>
      <c r="DO1221" t="str">
        <f>IF(DN1221=1,INDEX($DI$7:$DL$7,MATCH(1,$DI1221:$DL1221,0)),"mixedProduct")</f>
        <v>UpstreamInput</v>
      </c>
      <c r="DP1221" t="str">
        <f>IF(DI1221=1,DP$7,0)</f>
        <v>Upstream</v>
      </c>
      <c r="DQ1221">
        <f>IF(DJ1221=1,DQ$7,0)</f>
        <v>0</v>
      </c>
      <c r="DR1221">
        <f>IF(DK1221=1,DR$7,0)</f>
        <v>0</v>
      </c>
      <c r="DS1221">
        <f>IF(DL1221=1,DS$7,0)</f>
        <v>0</v>
      </c>
      <c r="DT1221">
        <v>0</v>
      </c>
      <c r="DU1221" s="143">
        <v>0</v>
      </c>
      <c r="DV1221" s="143">
        <v>0</v>
      </c>
      <c r="DW1221" s="143">
        <v>0</v>
      </c>
      <c r="DX1221">
        <v>0</v>
      </c>
      <c r="DY1221">
        <f>SUM(DT1221:DU1221)</f>
        <v>0</v>
      </c>
      <c r="DZ1221" s="143" t="str">
        <f>IF(DT1221=1,"self-calculated DF",IF(DU1221=1,"external DF used","explicit C balance"))</f>
        <v>explicit C balance</v>
      </c>
      <c r="EA1221">
        <v>1</v>
      </c>
      <c r="EB1221" s="143">
        <v>1</v>
      </c>
      <c r="EC1221" s="143">
        <v>1</v>
      </c>
      <c r="ED1221" s="143">
        <v>0</v>
      </c>
      <c r="EE1221">
        <v>0</v>
      </c>
      <c r="EF1221" s="143">
        <v>0</v>
      </c>
      <c r="EG1221">
        <v>0</v>
      </c>
      <c r="EH1221" s="143">
        <v>0</v>
      </c>
      <c r="EI1221" s="143">
        <v>0</v>
      </c>
      <c r="EJ1221">
        <v>0</v>
      </c>
      <c r="EK1221">
        <v>1</v>
      </c>
      <c r="EL1221" s="143">
        <v>0</v>
      </c>
      <c r="EM1221" s="143">
        <v>0</v>
      </c>
      <c r="EN1221" s="2">
        <v>0</v>
      </c>
      <c r="EP1221" t="str">
        <f>IF(AND(AND(AND(OR($EC1221=1,$EB1221=1),OR($EH1221=1,$EF1221=1)),SUM($EA1221:$EE1221,$EK1221)&gt;=3),SUM($EF1221:$EJ1221)&gt;=2),"Whole sector approach","")</f>
        <v/>
      </c>
      <c r="EQ1221" t="str">
        <f>IF(AND(AND(OR($EC1221=1,$EB1221=1),AND($EH1221=0,$EF1221=0)),SUM($EA1221:$EE1221,$EK1221)&gt;=3),"Ecosystem approach","")</f>
        <v>Ecosystem approach</v>
      </c>
      <c r="ER1221" s="2" t="str">
        <f>IF(AND(AND(AND($EC1221=0,$EB1221=0),OR($EH1221=1,$EF1221=1)),SUM($EG1221:$EJ1221)&gt;=2),"Technology approach","")</f>
        <v/>
      </c>
      <c r="ES1221" t="str">
        <f>IF(AND($EC1221+$EB1221+$EE1221+$EA1221+$ED1221+$EG1221=0,$N1221="included"),"C neutral forest and HWP assumption","")</f>
        <v/>
      </c>
      <c r="ET1221" t="str">
        <f>IF(AND(AND(AND(AND($EC1221=1,$EB1221+$EA1221+$EG1221&gt;=1),$EF1221=1),$EH1221+$EI1221+$ED1221+$EE1221&gt;=2),$N1221="included"),"All C pools assumption","")</f>
        <v/>
      </c>
      <c r="EU1221" t="str">
        <f>IF(AND($ED1221+$EE1221+$EI1221+$EH1221+$EF1221=0,$N1221="included"),"In-situ only assumption","")</f>
        <v/>
      </c>
      <c r="EY1221" t="b">
        <f>IF(ISNUMBER(BW1221),IF(ABS(BW1221-[4]QC_indicators!$B$2)&gt;3*[4]QC_indicators!$C$2,"C ratio",IF(ISNUMBER(CA1221),IF(ABS(CA1221-[4]QC_indicators!$B$1)&gt;3*[4]QC_indicators!$C$1,"DF","no"))),IF(ISNUMBER(CA1221),IF(ABS(CA1221-[4]QC_indicators!$B$1)&gt;3*[4]QC_indicators!$C$1,"DF","no")))</f>
        <v>0</v>
      </c>
      <c r="FA1221" t="str">
        <f>IF(LEN($CY1221)=0,"",IF(AND($CY1221&lt;(-0.05),$ES1221="C neutral forest and HWP assumption"),"Cneutral paradox",IF(AND($CY1221&gt;0.05,$EU1221="In-situ only assumption"),"In-situ only paradox","")))</f>
        <v/>
      </c>
      <c r="FB1221" s="319" t="s">
        <v>349</v>
      </c>
      <c r="FD1221" s="317" t="s">
        <v>4888</v>
      </c>
    </row>
    <row r="1222" spans="1:160" ht="15" hidden="1" customHeight="1">
      <c r="A1222" s="1" t="s">
        <v>486</v>
      </c>
      <c r="B1222" t="s">
        <v>487</v>
      </c>
      <c r="C1222" t="s">
        <v>488</v>
      </c>
      <c r="D1222" t="s">
        <v>489</v>
      </c>
      <c r="E1222" t="s">
        <v>490</v>
      </c>
      <c r="F1222" t="s">
        <v>491</v>
      </c>
      <c r="G1222" t="s">
        <v>492</v>
      </c>
      <c r="H1222" t="s">
        <v>254</v>
      </c>
      <c r="I1222">
        <v>2019</v>
      </c>
      <c r="J1222">
        <v>3</v>
      </c>
      <c r="K1222" t="s">
        <v>493</v>
      </c>
      <c r="M1222" t="str">
        <f>LEFT($D1222,FIND(",",$D1222)-1)&amp;"_"&amp;I1222&amp;L1222</f>
        <v>Butarbutar_2019</v>
      </c>
      <c r="N1222" s="349" t="s">
        <v>4058</v>
      </c>
      <c r="O1222" s="145" t="s">
        <v>223</v>
      </c>
      <c r="Q1222" s="317" t="s">
        <v>256</v>
      </c>
      <c r="R1222" s="318" t="s">
        <v>1029</v>
      </c>
      <c r="S1222" s="1" t="s">
        <v>494</v>
      </c>
      <c r="T1222" t="s">
        <v>495</v>
      </c>
      <c r="U1222" t="s">
        <v>499</v>
      </c>
      <c r="V1222" s="253">
        <v>0</v>
      </c>
      <c r="W1222" s="253">
        <v>0</v>
      </c>
      <c r="X1222">
        <v>0</v>
      </c>
      <c r="Y1222">
        <v>0</v>
      </c>
      <c r="Z1222">
        <v>0</v>
      </c>
      <c r="AA1222">
        <v>1</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s="141">
        <f>COUNTIF(X1222:AY1222,"&lt;&gt;0")</f>
        <v>1</v>
      </c>
      <c r="BA1222" s="141">
        <f>COUNTIF(X1222:AN1222,"&lt;&gt;0")</f>
        <v>1</v>
      </c>
      <c r="BB1222">
        <f>COUNTIF(X1222:AE1222,"&lt;&gt;0")</f>
        <v>1</v>
      </c>
      <c r="BC1222">
        <f>COUNTIF(AF1222:AK1222,"&lt;&gt;0")</f>
        <v>0</v>
      </c>
      <c r="BD1222">
        <f>COUNTIF(AL1222:AN1222,"&lt;&gt;0")</f>
        <v>0</v>
      </c>
      <c r="BE1222">
        <f>COUNTIF(AU1222:AY1222,"&lt;&gt;0")</f>
        <v>0</v>
      </c>
      <c r="BF1222">
        <f>COUNTIF(AO1222:AT1222,"&lt;&gt;0")</f>
        <v>0</v>
      </c>
      <c r="BG1222" t="str" cm="1">
        <f t="array" ref="BG1222">IF(BA1222=1,INDEX($X$7:$AN$7,MATCH(TRUE,INDEX($X1222:$AY1222&lt;&gt;0,),0)),IF(BA1222=0,INDEX($AO$7:$AY$7,MATCH(1,$AO1222:$AY1222,0)),IF(BH1222="Multiple strategies","mixed drivers",IF(BH1222="Supply chain","multiple supply","multiple silviculture"))))</f>
        <v xml:space="preserve">cutting intensity </v>
      </c>
      <c r="BH1222" s="2" t="str" cm="1">
        <f t="array" ref="BH1222">IF(COUNTIF(BB1222:BD1222,"&lt;&gt;0")=1,INDEX($X$4:$AY$4,MATCH(TRUE,INDEX($X1222:$AY1222&lt;&gt;0,),0)),IF(COUNTIF(BB1222:BD1222,"&lt;&gt;0")=0,INDEX($AO$4:$AY$4,MATCH(1,$AO1222:$AY1222,0)),"Multiple strategies"))</f>
        <v>Silviculture for removals</v>
      </c>
      <c r="BI1222" s="1" t="s">
        <v>321</v>
      </c>
      <c r="BJ1222" t="s">
        <v>497</v>
      </c>
      <c r="BK1222" s="141" t="s">
        <v>4885</v>
      </c>
      <c r="BL1222" t="s">
        <v>1884</v>
      </c>
      <c r="BM1222">
        <v>35.86</v>
      </c>
      <c r="BN1222">
        <v>35.86</v>
      </c>
      <c r="BP1222">
        <f>BN1222-BM1222</f>
        <v>0</v>
      </c>
      <c r="BQ1222">
        <f>BN1222-BM1222</f>
        <v>0</v>
      </c>
      <c r="BR1222" s="317" t="s">
        <v>232</v>
      </c>
      <c r="BS1222" s="141" t="s">
        <v>4885</v>
      </c>
      <c r="BT1222" t="s">
        <v>278</v>
      </c>
      <c r="BU1222">
        <v>-49.536666666666669</v>
      </c>
      <c r="BV1222">
        <v>-43.35</v>
      </c>
      <c r="BW1222" s="144">
        <f>IFERROR(BV1222/BU1222,"")</f>
        <v>0.87510934661193729</v>
      </c>
      <c r="BX1222" s="175">
        <f>BV1222-BU1222</f>
        <v>6.1866666666666674</v>
      </c>
      <c r="BZ1222">
        <f>BX1222*C_to_CO2</f>
        <v>22.705066666666671</v>
      </c>
      <c r="CA1222" t="str">
        <f>IFERROR(BZ1222/BQ1222,"")</f>
        <v/>
      </c>
      <c r="CB1222" s="143">
        <v>0</v>
      </c>
      <c r="CC1222" s="143">
        <v>0</v>
      </c>
      <c r="CD1222" s="143">
        <v>0</v>
      </c>
      <c r="CE1222" s="143">
        <v>0</v>
      </c>
      <c r="CF1222" s="143">
        <v>0</v>
      </c>
      <c r="CG1222" s="143">
        <v>0</v>
      </c>
      <c r="CH1222" s="143">
        <v>0</v>
      </c>
      <c r="CI1222" s="143">
        <v>0</v>
      </c>
      <c r="CJ1222" s="143">
        <v>0</v>
      </c>
      <c r="CK1222" s="143">
        <v>0</v>
      </c>
      <c r="CL1222" s="143">
        <v>0</v>
      </c>
      <c r="CM1222" s="143">
        <v>0</v>
      </c>
      <c r="CN1222" s="143">
        <v>0</v>
      </c>
      <c r="CO1222">
        <v>0</v>
      </c>
      <c r="CP1222" t="str">
        <f>IF($BN1222&lt;$BM1222,"refNeedCorrection","refOK")</f>
        <v>refOK</v>
      </c>
      <c r="CQ1222">
        <f>IF($CP1222="refOK",$BM1222,$BN1222)</f>
        <v>35.86</v>
      </c>
      <c r="CR1222">
        <f>IF($CP1222="refOK",$BN1222,$BM1222)</f>
        <v>35.86</v>
      </c>
      <c r="CS1222">
        <f>IF($CP1222="refOK",$BQ1222,-$BQ1222)</f>
        <v>0</v>
      </c>
      <c r="CT1222">
        <f>IF(BI1222="Roundwood",$CS1222/2,$CS1222)</f>
        <v>0</v>
      </c>
      <c r="CU1222">
        <f>IF($CP1222="refOK",$BU1222,$BV1222)*IF($BR1222="Emissions positive",-1,1)</f>
        <v>-49.536666666666669</v>
      </c>
      <c r="CV1222">
        <f>IF($CP1222="refOK",$BV1222,$BU1222)*IF($BR1222="Emissions positive",-1,1)</f>
        <v>-43.35</v>
      </c>
      <c r="CW1222">
        <f>IF($CP1222="refNeedCorrection",-BZ1222,BZ1222)*IF($BR1222="Emissions positive",-1,1)</f>
        <v>22.705066666666671</v>
      </c>
      <c r="CX1222" t="str">
        <f>IFERROR($CW1222/$CS1222,"")</f>
        <v/>
      </c>
      <c r="CY1222" t="str">
        <f>IFERROR($CW1222/$CS1222,"")</f>
        <v/>
      </c>
      <c r="CZ1222" t="str">
        <f>IFERROR($CW1222/$CT1222,"")</f>
        <v/>
      </c>
      <c r="DA1222" s="2">
        <f>IFERROR((CV1222-CU1222)/ABS(CU1222),"")</f>
        <v>0.12489065338806273</v>
      </c>
      <c r="DB1222" s="1" t="s">
        <v>234</v>
      </c>
      <c r="DC1222" s="317" t="str">
        <f>IF(OR($DB1222="prd",$DB1222="std",$DB1222="cit"),"loc",IF(OR($DB1222="eur",$DB1222="reg",$DB1222="coy"),"reg",$DB1222))</f>
        <v>loc</v>
      </c>
      <c r="DD1222" t="s">
        <v>280</v>
      </c>
      <c r="DG1222">
        <v>10</v>
      </c>
      <c r="DH1222" t="str">
        <f>IF(DG1222=0,"0",IF(AND(DG1222&gt;=1,DG1222&lt;=30),"1-30",IF(AND(DG1222&gt;30,DG1222&lt;=70),"31-70",IF(AND(DG1222&gt;70,DG1222&lt;=100),"71-100",IF(DG1222&gt;100,"+100")))))</f>
        <v>1-30</v>
      </c>
      <c r="DI1222">
        <v>1</v>
      </c>
      <c r="DJ1222">
        <v>0</v>
      </c>
      <c r="DK1222">
        <v>0</v>
      </c>
      <c r="DL1222">
        <v>0</v>
      </c>
      <c r="DN1222">
        <f>SUM(DI1222:DL1222)</f>
        <v>1</v>
      </c>
      <c r="DO1222" t="str">
        <f>IF(DN1222=1,INDEX($DI$7:$DL$7,MATCH(1,$DI1222:$DL1222,0)),"mixedProduct")</f>
        <v>UpstreamInput</v>
      </c>
      <c r="DP1222" t="str">
        <f>IF(DI1222=1,DP$7,0)</f>
        <v>Upstream</v>
      </c>
      <c r="DQ1222">
        <f>IF(DJ1222=1,DQ$7,0)</f>
        <v>0</v>
      </c>
      <c r="DR1222">
        <f>IF(DK1222=1,DR$7,0)</f>
        <v>0</v>
      </c>
      <c r="DS1222">
        <f>IF(DL1222=1,DS$7,0)</f>
        <v>0</v>
      </c>
      <c r="DT1222">
        <v>0</v>
      </c>
      <c r="DU1222" s="143">
        <v>0</v>
      </c>
      <c r="DV1222" s="143">
        <v>0</v>
      </c>
      <c r="DW1222" s="143">
        <v>0</v>
      </c>
      <c r="DX1222">
        <v>0</v>
      </c>
      <c r="DY1222">
        <f>SUM(DT1222:DU1222)</f>
        <v>0</v>
      </c>
      <c r="DZ1222" s="143" t="str">
        <f>IF(DT1222=1,"self-calculated DF",IF(DU1222=1,"external DF used","explicit C balance"))</f>
        <v>explicit C balance</v>
      </c>
      <c r="EA1222">
        <v>1</v>
      </c>
      <c r="EB1222" s="143">
        <v>1</v>
      </c>
      <c r="EC1222" s="143">
        <v>1</v>
      </c>
      <c r="ED1222" s="143">
        <v>0</v>
      </c>
      <c r="EE1222">
        <v>0</v>
      </c>
      <c r="EF1222" s="143">
        <v>0</v>
      </c>
      <c r="EG1222">
        <v>0</v>
      </c>
      <c r="EH1222" s="143">
        <v>0</v>
      </c>
      <c r="EI1222" s="143">
        <v>0</v>
      </c>
      <c r="EJ1222">
        <v>0</v>
      </c>
      <c r="EK1222">
        <v>1</v>
      </c>
      <c r="EL1222" s="143">
        <v>0</v>
      </c>
      <c r="EM1222" s="143">
        <v>0</v>
      </c>
      <c r="EN1222" s="2">
        <v>0</v>
      </c>
      <c r="EP1222" t="str">
        <f>IF(AND(AND(AND(OR($EC1222=1,$EB1222=1),OR($EH1222=1,$EF1222=1)),SUM($EA1222:$EE1222,$EK1222)&gt;=3),SUM($EF1222:$EJ1222)&gt;=2),"Whole sector approach","")</f>
        <v/>
      </c>
      <c r="EQ1222" t="str">
        <f>IF(AND(AND(OR($EC1222=1,$EB1222=1),AND($EH1222=0,$EF1222=0)),SUM($EA1222:$EE1222,$EK1222)&gt;=3),"Ecosystem approach","")</f>
        <v>Ecosystem approach</v>
      </c>
      <c r="ER1222" s="2" t="str">
        <f>IF(AND(AND(AND($EC1222=0,$EB1222=0),OR($EH1222=1,$EF1222=1)),SUM($EG1222:$EJ1222)&gt;=2),"Technology approach","")</f>
        <v/>
      </c>
      <c r="ES1222" t="str">
        <f>IF(AND($EC1222+$EB1222+$EE1222+$EA1222+$ED1222+$EG1222=0,$N1222="included"),"C neutral forest and HWP assumption","")</f>
        <v/>
      </c>
      <c r="ET1222" t="str">
        <f>IF(AND(AND(AND(AND($EC1222=1,$EB1222+$EA1222+$EG1222&gt;=1),$EF1222=1),$EH1222+$EI1222+$ED1222+$EE1222&gt;=2),$N1222="included"),"All C pools assumption","")</f>
        <v/>
      </c>
      <c r="EU1222" t="str">
        <f>IF(AND($ED1222+$EE1222+$EI1222+$EH1222+$EF1222=0,$N1222="included"),"In-situ only assumption","")</f>
        <v/>
      </c>
      <c r="EY1222" t="b">
        <f>IF(ISNUMBER(BW1222),IF(ABS(BW1222-[4]QC_indicators!$B$2)&gt;3*[4]QC_indicators!$C$2,"C ratio",IF(ISNUMBER(CA1222),IF(ABS(CA1222-[4]QC_indicators!$B$1)&gt;3*[4]QC_indicators!$C$1,"DF","no"))),IF(ISNUMBER(CA1222),IF(ABS(CA1222-[4]QC_indicators!$B$1)&gt;3*[4]QC_indicators!$C$1,"DF","no")))</f>
        <v>0</v>
      </c>
      <c r="FA1222" t="str">
        <f>IF(LEN($CY1222)=0,"",IF(AND($CY1222&lt;(-0.05),$ES1222="C neutral forest and HWP assumption"),"Cneutral paradox",IF(AND($CY1222&gt;0.05,$EU1222="In-situ only assumption"),"In-situ only paradox","")))</f>
        <v/>
      </c>
      <c r="FB1222" s="319" t="s">
        <v>349</v>
      </c>
      <c r="FD1222" s="317" t="s">
        <v>4888</v>
      </c>
    </row>
    <row r="1223" spans="1:160" ht="15" hidden="1" customHeight="1">
      <c r="A1223" s="1" t="s">
        <v>486</v>
      </c>
      <c r="B1223" t="s">
        <v>487</v>
      </c>
      <c r="C1223" t="s">
        <v>488</v>
      </c>
      <c r="D1223" t="s">
        <v>489</v>
      </c>
      <c r="E1223" t="s">
        <v>490</v>
      </c>
      <c r="F1223" t="s">
        <v>491</v>
      </c>
      <c r="G1223" t="s">
        <v>492</v>
      </c>
      <c r="H1223" t="s">
        <v>254</v>
      </c>
      <c r="I1223">
        <v>2019</v>
      </c>
      <c r="J1223">
        <v>3</v>
      </c>
      <c r="K1223" t="s">
        <v>493</v>
      </c>
      <c r="M1223" t="str">
        <f>LEFT($D1223,FIND(",",$D1223)-1)&amp;"_"&amp;I1223&amp;L1223</f>
        <v>Butarbutar_2019</v>
      </c>
      <c r="N1223" s="349" t="s">
        <v>4058</v>
      </c>
      <c r="O1223" s="145" t="s">
        <v>223</v>
      </c>
      <c r="Q1223" s="317" t="s">
        <v>256</v>
      </c>
      <c r="R1223" s="318" t="s">
        <v>1029</v>
      </c>
      <c r="S1223" s="1" t="s">
        <v>494</v>
      </c>
      <c r="T1223" t="s">
        <v>495</v>
      </c>
      <c r="U1223" t="s">
        <v>496</v>
      </c>
      <c r="V1223" s="253">
        <v>0</v>
      </c>
      <c r="W1223" s="253">
        <v>0</v>
      </c>
      <c r="X1223">
        <v>0</v>
      </c>
      <c r="Y1223">
        <v>0</v>
      </c>
      <c r="Z1223">
        <v>0</v>
      </c>
      <c r="AA1223">
        <v>1</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s="141">
        <f>COUNTIF(X1223:AY1223,"&lt;&gt;0")</f>
        <v>1</v>
      </c>
      <c r="BA1223" s="141">
        <f>COUNTIF(X1223:AN1223,"&lt;&gt;0")</f>
        <v>1</v>
      </c>
      <c r="BB1223">
        <f>COUNTIF(X1223:AE1223,"&lt;&gt;0")</f>
        <v>1</v>
      </c>
      <c r="BC1223">
        <f>COUNTIF(AF1223:AK1223,"&lt;&gt;0")</f>
        <v>0</v>
      </c>
      <c r="BD1223">
        <f>COUNTIF(AL1223:AN1223,"&lt;&gt;0")</f>
        <v>0</v>
      </c>
      <c r="BE1223">
        <f>COUNTIF(AU1223:AY1223,"&lt;&gt;0")</f>
        <v>0</v>
      </c>
      <c r="BF1223">
        <f>COUNTIF(AO1223:AT1223,"&lt;&gt;0")</f>
        <v>0</v>
      </c>
      <c r="BG1223" t="str" cm="1">
        <f t="array" ref="BG1223">IF(BA1223=1,INDEX($X$7:$AN$7,MATCH(TRUE,INDEX($X1223:$AY1223&lt;&gt;0,),0)),IF(BA1223=0,INDEX($AO$7:$AY$7,MATCH(1,$AO1223:$AY1223,0)),IF(BH1223="Multiple strategies","mixed drivers",IF(BH1223="Supply chain","multiple supply","multiple silviculture"))))</f>
        <v xml:space="preserve">cutting intensity </v>
      </c>
      <c r="BH1223" s="2" t="str" cm="1">
        <f t="array" ref="BH1223">IF(COUNTIF(BB1223:BD1223,"&lt;&gt;0")=1,INDEX($X$4:$AY$4,MATCH(TRUE,INDEX($X1223:$AY1223&lt;&gt;0,),0)),IF(COUNTIF(BB1223:BD1223,"&lt;&gt;0")=0,INDEX($AO$4:$AY$4,MATCH(1,$AO1223:$AY1223,0)),"Multiple strategies"))</f>
        <v>Silviculture for removals</v>
      </c>
      <c r="BI1223" s="1" t="s">
        <v>321</v>
      </c>
      <c r="BJ1223" t="s">
        <v>497</v>
      </c>
      <c r="BK1223" s="141" t="s">
        <v>4885</v>
      </c>
      <c r="BL1223" t="s">
        <v>1884</v>
      </c>
      <c r="BM1223">
        <v>33.409999999999997</v>
      </c>
      <c r="BN1223">
        <v>33.409999999999997</v>
      </c>
      <c r="BP1223">
        <f>BN1223-BM1223</f>
        <v>0</v>
      </c>
      <c r="BQ1223">
        <f>BN1223-BM1223</f>
        <v>0</v>
      </c>
      <c r="BR1223" s="317" t="s">
        <v>232</v>
      </c>
      <c r="BS1223" s="141" t="s">
        <v>4885</v>
      </c>
      <c r="BT1223" t="s">
        <v>278</v>
      </c>
      <c r="BU1223">
        <v>-37.340000000000003</v>
      </c>
      <c r="BV1223">
        <v>-29.62</v>
      </c>
      <c r="BW1223" s="144">
        <f>IFERROR(BV1223/BU1223,"")</f>
        <v>0.79325120514193892</v>
      </c>
      <c r="BX1223" s="175">
        <f>BV1223-BU1223</f>
        <v>7.7200000000000024</v>
      </c>
      <c r="BZ1223">
        <f>BX1223*C_to_CO2</f>
        <v>28.332400000000007</v>
      </c>
      <c r="CA1223" t="str">
        <f>IFERROR(BZ1223/BQ1223,"")</f>
        <v/>
      </c>
      <c r="CB1223" s="143">
        <v>0</v>
      </c>
      <c r="CC1223" s="143">
        <v>0</v>
      </c>
      <c r="CD1223" s="143">
        <v>0</v>
      </c>
      <c r="CE1223" s="143">
        <v>0</v>
      </c>
      <c r="CF1223" s="143">
        <v>0</v>
      </c>
      <c r="CG1223" s="143">
        <v>0</v>
      </c>
      <c r="CH1223" s="143">
        <v>0</v>
      </c>
      <c r="CI1223" s="143">
        <v>0</v>
      </c>
      <c r="CJ1223" s="143">
        <v>0</v>
      </c>
      <c r="CK1223" s="143">
        <v>0</v>
      </c>
      <c r="CL1223" s="143">
        <v>0</v>
      </c>
      <c r="CM1223" s="143">
        <v>0</v>
      </c>
      <c r="CN1223" s="143">
        <v>0</v>
      </c>
      <c r="CO1223">
        <v>0</v>
      </c>
      <c r="CP1223" t="str">
        <f>IF($BN1223&lt;$BM1223,"refNeedCorrection","refOK")</f>
        <v>refOK</v>
      </c>
      <c r="CQ1223">
        <f>IF($CP1223="refOK",$BM1223,$BN1223)</f>
        <v>33.409999999999997</v>
      </c>
      <c r="CR1223">
        <f>IF($CP1223="refOK",$BN1223,$BM1223)</f>
        <v>33.409999999999997</v>
      </c>
      <c r="CS1223">
        <f>IF($CP1223="refOK",$BQ1223,-$BQ1223)</f>
        <v>0</v>
      </c>
      <c r="CT1223">
        <f>IF(BI1223="Roundwood",$CS1223/2,$CS1223)</f>
        <v>0</v>
      </c>
      <c r="CU1223">
        <f>IF($CP1223="refOK",$BU1223,$BV1223)*IF($BR1223="Emissions positive",-1,1)</f>
        <v>-37.340000000000003</v>
      </c>
      <c r="CV1223">
        <f>IF($CP1223="refOK",$BV1223,$BU1223)*IF($BR1223="Emissions positive",-1,1)</f>
        <v>-29.62</v>
      </c>
      <c r="CW1223">
        <f>IF($CP1223="refNeedCorrection",-BZ1223,BZ1223)*IF($BR1223="Emissions positive",-1,1)</f>
        <v>28.332400000000007</v>
      </c>
      <c r="CX1223" t="str">
        <f>IFERROR($CW1223/$CS1223,"")</f>
        <v/>
      </c>
      <c r="CY1223" t="str">
        <f>IFERROR($CW1223/$CS1223,"")</f>
        <v/>
      </c>
      <c r="CZ1223" t="str">
        <f>IFERROR($CW1223/$CT1223,"")</f>
        <v/>
      </c>
      <c r="DA1223" s="2">
        <f>IFERROR((CV1223-CU1223)/ABS(CU1223),"")</f>
        <v>0.20674879485806111</v>
      </c>
      <c r="DB1223" s="1" t="s">
        <v>234</v>
      </c>
      <c r="DC1223" s="317" t="str">
        <f>IF(OR($DB1223="prd",$DB1223="std",$DB1223="cit"),"loc",IF(OR($DB1223="eur",$DB1223="reg",$DB1223="coy"),"reg",$DB1223))</f>
        <v>loc</v>
      </c>
      <c r="DD1223" t="s">
        <v>280</v>
      </c>
      <c r="DG1223">
        <v>10</v>
      </c>
      <c r="DH1223" t="str">
        <f>IF(DG1223=0,"0",IF(AND(DG1223&gt;=1,DG1223&lt;=30),"1-30",IF(AND(DG1223&gt;30,DG1223&lt;=70),"31-70",IF(AND(DG1223&gt;70,DG1223&lt;=100),"71-100",IF(DG1223&gt;100,"+100")))))</f>
        <v>1-30</v>
      </c>
      <c r="DI1223">
        <v>1</v>
      </c>
      <c r="DJ1223">
        <v>0</v>
      </c>
      <c r="DK1223">
        <v>0</v>
      </c>
      <c r="DL1223">
        <v>0</v>
      </c>
      <c r="DN1223">
        <f>SUM(DI1223:DL1223)</f>
        <v>1</v>
      </c>
      <c r="DO1223" t="str">
        <f>IF(DN1223=1,INDEX($DI$7:$DL$7,MATCH(1,$DI1223:$DL1223,0)),"mixedProduct")</f>
        <v>UpstreamInput</v>
      </c>
      <c r="DP1223" t="str">
        <f>IF(DI1223=1,DP$7,0)</f>
        <v>Upstream</v>
      </c>
      <c r="DQ1223">
        <f>IF(DJ1223=1,DQ$7,0)</f>
        <v>0</v>
      </c>
      <c r="DR1223">
        <f>IF(DK1223=1,DR$7,0)</f>
        <v>0</v>
      </c>
      <c r="DS1223">
        <f>IF(DL1223=1,DS$7,0)</f>
        <v>0</v>
      </c>
      <c r="DT1223">
        <v>0</v>
      </c>
      <c r="DU1223" s="143">
        <v>0</v>
      </c>
      <c r="DV1223" s="143">
        <v>0</v>
      </c>
      <c r="DW1223" s="143">
        <v>0</v>
      </c>
      <c r="DX1223">
        <v>0</v>
      </c>
      <c r="DY1223">
        <f>SUM(DT1223:DU1223)</f>
        <v>0</v>
      </c>
      <c r="DZ1223" s="143" t="str">
        <f>IF(DT1223=1,"self-calculated DF",IF(DU1223=1,"external DF used","explicit C balance"))</f>
        <v>explicit C balance</v>
      </c>
      <c r="EA1223">
        <v>1</v>
      </c>
      <c r="EB1223" s="143">
        <v>1</v>
      </c>
      <c r="EC1223" s="143">
        <v>1</v>
      </c>
      <c r="ED1223" s="143">
        <v>0</v>
      </c>
      <c r="EE1223">
        <v>0</v>
      </c>
      <c r="EF1223" s="143">
        <v>0</v>
      </c>
      <c r="EG1223">
        <v>0</v>
      </c>
      <c r="EH1223" s="143">
        <v>0</v>
      </c>
      <c r="EI1223" s="143">
        <v>0</v>
      </c>
      <c r="EJ1223">
        <v>0</v>
      </c>
      <c r="EK1223">
        <v>1</v>
      </c>
      <c r="EL1223" s="143">
        <v>0</v>
      </c>
      <c r="EM1223" s="143">
        <v>0</v>
      </c>
      <c r="EN1223" s="2">
        <v>0</v>
      </c>
      <c r="EP1223" t="str">
        <f>IF(AND(AND(AND(OR($EC1223=1,$EB1223=1),OR($EH1223=1,$EF1223=1)),SUM($EA1223:$EE1223,$EK1223)&gt;=3),SUM($EF1223:$EJ1223)&gt;=2),"Whole sector approach","")</f>
        <v/>
      </c>
      <c r="EQ1223" t="str">
        <f>IF(AND(AND(OR($EC1223=1,$EB1223=1),AND($EH1223=0,$EF1223=0)),SUM($EA1223:$EE1223,$EK1223)&gt;=3),"Ecosystem approach","")</f>
        <v>Ecosystem approach</v>
      </c>
      <c r="ER1223" s="2" t="str">
        <f>IF(AND(AND(AND($EC1223=0,$EB1223=0),OR($EH1223=1,$EF1223=1)),SUM($EG1223:$EJ1223)&gt;=2),"Technology approach","")</f>
        <v/>
      </c>
      <c r="ES1223" t="str">
        <f>IF(AND($EC1223+$EB1223+$EE1223+$EA1223+$ED1223+$EG1223=0,$N1223="included"),"C neutral forest and HWP assumption","")</f>
        <v/>
      </c>
      <c r="ET1223" t="str">
        <f>IF(AND(AND(AND(AND($EC1223=1,$EB1223+$EA1223+$EG1223&gt;=1),$EF1223=1),$EH1223+$EI1223+$ED1223+$EE1223&gt;=2),$N1223="included"),"All C pools assumption","")</f>
        <v/>
      </c>
      <c r="EU1223" t="str">
        <f>IF(AND($ED1223+$EE1223+$EI1223+$EH1223+$EF1223=0,$N1223="included"),"In-situ only assumption","")</f>
        <v/>
      </c>
      <c r="EY1223" t="b">
        <f>IF(ISNUMBER(BW1223),IF(ABS(BW1223-[4]QC_indicators!$B$2)&gt;3*[4]QC_indicators!$C$2,"C ratio",IF(ISNUMBER(CA1223),IF(ABS(CA1223-[4]QC_indicators!$B$1)&gt;3*[4]QC_indicators!$C$1,"DF","no"))),IF(ISNUMBER(CA1223),IF(ABS(CA1223-[4]QC_indicators!$B$1)&gt;3*[4]QC_indicators!$C$1,"DF","no")))</f>
        <v>0</v>
      </c>
      <c r="FA1223" t="str">
        <f>IF(LEN($CY1223)=0,"",IF(AND($CY1223&lt;(-0.05),$ES1223="C neutral forest and HWP assumption"),"Cneutral paradox",IF(AND($CY1223&gt;0.05,$EU1223="In-situ only assumption"),"In-situ only paradox","")))</f>
        <v/>
      </c>
      <c r="FB1223" s="319" t="s">
        <v>349</v>
      </c>
      <c r="FD1223" s="317" t="s">
        <v>4889</v>
      </c>
    </row>
    <row r="1224" spans="1:160" ht="15" hidden="1" customHeight="1">
      <c r="A1224" s="1" t="s">
        <v>486</v>
      </c>
      <c r="B1224" t="s">
        <v>487</v>
      </c>
      <c r="C1224" t="s">
        <v>488</v>
      </c>
      <c r="D1224" t="s">
        <v>489</v>
      </c>
      <c r="E1224" t="s">
        <v>490</v>
      </c>
      <c r="F1224" t="s">
        <v>491</v>
      </c>
      <c r="G1224" t="s">
        <v>492</v>
      </c>
      <c r="H1224" t="s">
        <v>254</v>
      </c>
      <c r="I1224">
        <v>2019</v>
      </c>
      <c r="J1224">
        <v>3</v>
      </c>
      <c r="K1224" t="s">
        <v>493</v>
      </c>
      <c r="M1224" t="str">
        <f>LEFT($D1224,FIND(",",$D1224)-1)&amp;"_"&amp;I1224&amp;L1224</f>
        <v>Butarbutar_2019</v>
      </c>
      <c r="N1224" s="349" t="s">
        <v>4058</v>
      </c>
      <c r="O1224" s="145" t="s">
        <v>223</v>
      </c>
      <c r="Q1224" s="317" t="s">
        <v>256</v>
      </c>
      <c r="R1224" s="318" t="s">
        <v>1029</v>
      </c>
      <c r="S1224" s="1" t="s">
        <v>494</v>
      </c>
      <c r="T1224" t="s">
        <v>495</v>
      </c>
      <c r="U1224" t="s">
        <v>226</v>
      </c>
      <c r="V1224" s="253">
        <v>0</v>
      </c>
      <c r="W1224" s="253">
        <v>0</v>
      </c>
      <c r="X1224">
        <v>0</v>
      </c>
      <c r="Y1224">
        <v>0</v>
      </c>
      <c r="Z1224">
        <v>0</v>
      </c>
      <c r="AA1224">
        <v>1</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s="141">
        <f>COUNTIF(X1224:AY1224,"&lt;&gt;0")</f>
        <v>1</v>
      </c>
      <c r="BA1224" s="141">
        <f>COUNTIF(X1224:AN1224,"&lt;&gt;0")</f>
        <v>1</v>
      </c>
      <c r="BB1224">
        <f>COUNTIF(X1224:AE1224,"&lt;&gt;0")</f>
        <v>1</v>
      </c>
      <c r="BC1224">
        <f>COUNTIF(AF1224:AK1224,"&lt;&gt;0")</f>
        <v>0</v>
      </c>
      <c r="BD1224">
        <f>COUNTIF(AL1224:AN1224,"&lt;&gt;0")</f>
        <v>0</v>
      </c>
      <c r="BE1224">
        <f>COUNTIF(AU1224:AY1224,"&lt;&gt;0")</f>
        <v>0</v>
      </c>
      <c r="BF1224">
        <f>COUNTIF(AO1224:AT1224,"&lt;&gt;0")</f>
        <v>0</v>
      </c>
      <c r="BG1224" t="str" cm="1">
        <f t="array" ref="BG1224">IF(BA1224=1,INDEX($X$7:$AN$7,MATCH(TRUE,INDEX($X1224:$AY1224&lt;&gt;0,),0)),IF(BA1224=0,INDEX($AO$7:$AY$7,MATCH(1,$AO1224:$AY1224,0)),IF(BH1224="Multiple strategies","mixed drivers",IF(BH1224="Supply chain","multiple supply","multiple silviculture"))))</f>
        <v xml:space="preserve">cutting intensity </v>
      </c>
      <c r="BH1224" s="2" t="str" cm="1">
        <f t="array" ref="BH1224">IF(COUNTIF(BB1224:BD1224,"&lt;&gt;0")=1,INDEX($X$4:$AY$4,MATCH(TRUE,INDEX($X1224:$AY1224&lt;&gt;0,),0)),IF(COUNTIF(BB1224:BD1224,"&lt;&gt;0")=0,INDEX($AO$4:$AY$4,MATCH(1,$AO1224:$AY1224,0)),"Multiple strategies"))</f>
        <v>Silviculture for removals</v>
      </c>
      <c r="BI1224" s="1" t="s">
        <v>321</v>
      </c>
      <c r="BJ1224" t="s">
        <v>497</v>
      </c>
      <c r="BK1224" s="141" t="s">
        <v>4885</v>
      </c>
      <c r="BL1224" t="s">
        <v>1884</v>
      </c>
      <c r="BM1224">
        <v>33.36</v>
      </c>
      <c r="BN1224">
        <v>33.36</v>
      </c>
      <c r="BP1224">
        <f>BN1224-BM1224</f>
        <v>0</v>
      </c>
      <c r="BQ1224">
        <f>BN1224-BM1224</f>
        <v>0</v>
      </c>
      <c r="BR1224" s="317" t="s">
        <v>232</v>
      </c>
      <c r="BS1224" s="141" t="s">
        <v>4885</v>
      </c>
      <c r="BT1224" t="s">
        <v>278</v>
      </c>
      <c r="BU1224">
        <v>-8.6700000000000017</v>
      </c>
      <c r="BV1224">
        <v>-5.3099999999999952</v>
      </c>
      <c r="BW1224" s="144">
        <f>IFERROR(BV1224/BU1224,"")</f>
        <v>0.61245674740484357</v>
      </c>
      <c r="BX1224" s="175">
        <f>BV1224-BU1224</f>
        <v>3.3600000000000065</v>
      </c>
      <c r="BZ1224">
        <f>BX1224*C_to_CO2</f>
        <v>12.331200000000024</v>
      </c>
      <c r="CA1224" t="str">
        <f>IFERROR(BZ1224/BQ1224,"")</f>
        <v/>
      </c>
      <c r="CB1224" s="143">
        <v>0</v>
      </c>
      <c r="CC1224" s="143">
        <v>0</v>
      </c>
      <c r="CD1224" s="143">
        <v>0</v>
      </c>
      <c r="CE1224" s="143">
        <v>0</v>
      </c>
      <c r="CF1224" s="143">
        <v>0</v>
      </c>
      <c r="CG1224" s="143">
        <v>0</v>
      </c>
      <c r="CH1224" s="143">
        <v>0</v>
      </c>
      <c r="CI1224" s="143">
        <v>0</v>
      </c>
      <c r="CJ1224" s="143">
        <v>0</v>
      </c>
      <c r="CK1224" s="143">
        <v>0</v>
      </c>
      <c r="CL1224" s="143">
        <v>0</v>
      </c>
      <c r="CM1224" s="143">
        <v>0</v>
      </c>
      <c r="CN1224" s="143">
        <v>0</v>
      </c>
      <c r="CO1224">
        <v>0</v>
      </c>
      <c r="CP1224" t="str">
        <f>IF($BN1224&lt;$BM1224,"refNeedCorrection","refOK")</f>
        <v>refOK</v>
      </c>
      <c r="CQ1224">
        <f>IF($CP1224="refOK",$BM1224,$BN1224)</f>
        <v>33.36</v>
      </c>
      <c r="CR1224">
        <f>IF($CP1224="refOK",$BN1224,$BM1224)</f>
        <v>33.36</v>
      </c>
      <c r="CS1224">
        <f>IF($CP1224="refOK",$BQ1224,-$BQ1224)</f>
        <v>0</v>
      </c>
      <c r="CT1224">
        <f>IF(BI1224="Roundwood",$CS1224/2,$CS1224)</f>
        <v>0</v>
      </c>
      <c r="CU1224">
        <f>IF($CP1224="refOK",$BU1224,$BV1224)*IF($BR1224="Emissions positive",-1,1)</f>
        <v>-8.6700000000000017</v>
      </c>
      <c r="CV1224">
        <f>IF($CP1224="refOK",$BV1224,$BU1224)*IF($BR1224="Emissions positive",-1,1)</f>
        <v>-5.3099999999999952</v>
      </c>
      <c r="CW1224">
        <f>IF($CP1224="refNeedCorrection",-BZ1224,BZ1224)*IF($BR1224="Emissions positive",-1,1)</f>
        <v>12.331200000000024</v>
      </c>
      <c r="CX1224" t="str">
        <f>IFERROR($CW1224/$CS1224,"")</f>
        <v/>
      </c>
      <c r="CY1224" t="str">
        <f>IFERROR($CW1224/$CS1224,"")</f>
        <v/>
      </c>
      <c r="CZ1224" t="str">
        <f>IFERROR($CW1224/$CT1224,"")</f>
        <v/>
      </c>
      <c r="DA1224" s="2">
        <f>IFERROR((CV1224-CU1224)/ABS(CU1224),"")</f>
        <v>0.38754325259515637</v>
      </c>
      <c r="DB1224" s="1" t="s">
        <v>234</v>
      </c>
      <c r="DC1224" s="317" t="str">
        <f>IF(OR($DB1224="prd",$DB1224="std",$DB1224="cit"),"loc",IF(OR($DB1224="eur",$DB1224="reg",$DB1224="coy"),"reg",$DB1224))</f>
        <v>loc</v>
      </c>
      <c r="DD1224" t="s">
        <v>280</v>
      </c>
      <c r="DG1224">
        <v>10</v>
      </c>
      <c r="DH1224" t="str">
        <f>IF(DG1224=0,"0",IF(AND(DG1224&gt;=1,DG1224&lt;=30),"1-30",IF(AND(DG1224&gt;30,DG1224&lt;=70),"31-70",IF(AND(DG1224&gt;70,DG1224&lt;=100),"71-100",IF(DG1224&gt;100,"+100")))))</f>
        <v>1-30</v>
      </c>
      <c r="DI1224">
        <v>1</v>
      </c>
      <c r="DJ1224">
        <v>0</v>
      </c>
      <c r="DK1224">
        <v>0</v>
      </c>
      <c r="DL1224">
        <v>0</v>
      </c>
      <c r="DN1224">
        <f>SUM(DI1224:DL1224)</f>
        <v>1</v>
      </c>
      <c r="DO1224" t="str">
        <f>IF(DN1224=1,INDEX($DI$7:$DL$7,MATCH(1,$DI1224:$DL1224,0)),"mixedProduct")</f>
        <v>UpstreamInput</v>
      </c>
      <c r="DP1224" t="str">
        <f>IF(DI1224=1,DP$7,0)</f>
        <v>Upstream</v>
      </c>
      <c r="DQ1224">
        <f>IF(DJ1224=1,DQ$7,0)</f>
        <v>0</v>
      </c>
      <c r="DR1224">
        <f>IF(DK1224=1,DR$7,0)</f>
        <v>0</v>
      </c>
      <c r="DS1224">
        <f>IF(DL1224=1,DS$7,0)</f>
        <v>0</v>
      </c>
      <c r="DT1224">
        <v>0</v>
      </c>
      <c r="DU1224" s="143">
        <v>0</v>
      </c>
      <c r="DV1224" s="143">
        <v>0</v>
      </c>
      <c r="DW1224" s="143">
        <v>0</v>
      </c>
      <c r="DX1224">
        <v>0</v>
      </c>
      <c r="DY1224">
        <f>SUM(DT1224:DU1224)</f>
        <v>0</v>
      </c>
      <c r="DZ1224" s="143" t="str">
        <f>IF(DT1224=1,"self-calculated DF",IF(DU1224=1,"external DF used","explicit C balance"))</f>
        <v>explicit C balance</v>
      </c>
      <c r="EA1224">
        <v>1</v>
      </c>
      <c r="EB1224" s="143">
        <v>1</v>
      </c>
      <c r="EC1224" s="143">
        <v>1</v>
      </c>
      <c r="ED1224" s="143">
        <v>0</v>
      </c>
      <c r="EE1224">
        <v>0</v>
      </c>
      <c r="EF1224" s="143">
        <v>0</v>
      </c>
      <c r="EG1224">
        <v>0</v>
      </c>
      <c r="EH1224" s="143">
        <v>0</v>
      </c>
      <c r="EI1224" s="143">
        <v>0</v>
      </c>
      <c r="EJ1224">
        <v>0</v>
      </c>
      <c r="EK1224">
        <v>1</v>
      </c>
      <c r="EL1224" s="143">
        <v>0</v>
      </c>
      <c r="EM1224" s="143">
        <v>0</v>
      </c>
      <c r="EN1224" s="2">
        <v>0</v>
      </c>
      <c r="EP1224" t="str">
        <f>IF(AND(AND(AND(OR($EC1224=1,$EB1224=1),OR($EH1224=1,$EF1224=1)),SUM($EA1224:$EE1224,$EK1224)&gt;=3),SUM($EF1224:$EJ1224)&gt;=2),"Whole sector approach","")</f>
        <v/>
      </c>
      <c r="EQ1224" t="str">
        <f>IF(AND(AND(OR($EC1224=1,$EB1224=1),AND($EH1224=0,$EF1224=0)),SUM($EA1224:$EE1224,$EK1224)&gt;=3),"Ecosystem approach","")</f>
        <v>Ecosystem approach</v>
      </c>
      <c r="ER1224" s="2" t="str">
        <f>IF(AND(AND(AND($EC1224=0,$EB1224=0),OR($EH1224=1,$EF1224=1)),SUM($EG1224:$EJ1224)&gt;=2),"Technology approach","")</f>
        <v/>
      </c>
      <c r="ES1224" t="str">
        <f>IF(AND($EC1224+$EB1224+$EE1224+$EA1224+$ED1224+$EG1224=0,$N1224="included"),"C neutral forest and HWP assumption","")</f>
        <v/>
      </c>
      <c r="ET1224" t="str">
        <f>IF(AND(AND(AND(AND($EC1224=1,$EB1224+$EA1224+$EG1224&gt;=1),$EF1224=1),$EH1224+$EI1224+$ED1224+$EE1224&gt;=2),$N1224="included"),"All C pools assumption","")</f>
        <v/>
      </c>
      <c r="EU1224" t="str">
        <f>IF(AND($ED1224+$EE1224+$EI1224+$EH1224+$EF1224=0,$N1224="included"),"In-situ only assumption","")</f>
        <v/>
      </c>
      <c r="EY1224" t="b">
        <f>IF(ISNUMBER(BW1224),IF(ABS(BW1224-[4]QC_indicators!$B$2)&gt;3*[4]QC_indicators!$C$2,"C ratio",IF(ISNUMBER(CA1224),IF(ABS(CA1224-[4]QC_indicators!$B$1)&gt;3*[4]QC_indicators!$C$1,"DF","no"))),IF(ISNUMBER(CA1224),IF(ABS(CA1224-[4]QC_indicators!$B$1)&gt;3*[4]QC_indicators!$C$1,"DF","no")))</f>
        <v>0</v>
      </c>
      <c r="FA1224" t="str">
        <f>IF(LEN($CY1224)=0,"",IF(AND($CY1224&lt;(-0.05),$ES1224="C neutral forest and HWP assumption"),"Cneutral paradox",IF(AND($CY1224&gt;0.05,$EU1224="In-situ only assumption"),"In-situ only paradox","")))</f>
        <v/>
      </c>
      <c r="FB1224" s="319" t="s">
        <v>349</v>
      </c>
      <c r="FD1224" s="317" t="s">
        <v>4887</v>
      </c>
    </row>
    <row r="1225" spans="1:160" ht="15" hidden="1" customHeight="1">
      <c r="A1225" s="1" t="s">
        <v>486</v>
      </c>
      <c r="B1225" t="s">
        <v>487</v>
      </c>
      <c r="C1225" t="s">
        <v>488</v>
      </c>
      <c r="D1225" t="s">
        <v>489</v>
      </c>
      <c r="E1225" t="s">
        <v>490</v>
      </c>
      <c r="F1225" t="s">
        <v>491</v>
      </c>
      <c r="G1225" t="s">
        <v>492</v>
      </c>
      <c r="H1225" t="s">
        <v>254</v>
      </c>
      <c r="I1225">
        <v>2019</v>
      </c>
      <c r="J1225">
        <v>3</v>
      </c>
      <c r="K1225" t="s">
        <v>493</v>
      </c>
      <c r="M1225" t="str">
        <f>LEFT($D1225,FIND(",",$D1225)-1)&amp;"_"&amp;I1225&amp;L1225</f>
        <v>Butarbutar_2019</v>
      </c>
      <c r="N1225" s="349" t="s">
        <v>4058</v>
      </c>
      <c r="O1225" s="145" t="s">
        <v>223</v>
      </c>
      <c r="Q1225" s="317" t="s">
        <v>256</v>
      </c>
      <c r="R1225" s="318" t="s">
        <v>1029</v>
      </c>
      <c r="S1225" s="1" t="s">
        <v>494</v>
      </c>
      <c r="T1225" t="s">
        <v>495</v>
      </c>
      <c r="U1225" t="s">
        <v>496</v>
      </c>
      <c r="V1225" s="253">
        <v>0</v>
      </c>
      <c r="W1225" s="253">
        <v>0</v>
      </c>
      <c r="X1225">
        <v>0</v>
      </c>
      <c r="Y1225">
        <v>0</v>
      </c>
      <c r="Z1225">
        <v>0</v>
      </c>
      <c r="AA1225">
        <v>1</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s="141">
        <f>COUNTIF(X1225:AY1225,"&lt;&gt;0")</f>
        <v>1</v>
      </c>
      <c r="BA1225" s="141">
        <f>COUNTIF(X1225:AN1225,"&lt;&gt;0")</f>
        <v>1</v>
      </c>
      <c r="BB1225">
        <f>COUNTIF(X1225:AE1225,"&lt;&gt;0")</f>
        <v>1</v>
      </c>
      <c r="BC1225">
        <f>COUNTIF(AF1225:AK1225,"&lt;&gt;0")</f>
        <v>0</v>
      </c>
      <c r="BD1225">
        <f>COUNTIF(AL1225:AN1225,"&lt;&gt;0")</f>
        <v>0</v>
      </c>
      <c r="BE1225">
        <f>COUNTIF(AU1225:AY1225,"&lt;&gt;0")</f>
        <v>0</v>
      </c>
      <c r="BF1225">
        <f>COUNTIF(AO1225:AT1225,"&lt;&gt;0")</f>
        <v>0</v>
      </c>
      <c r="BG1225" t="str" cm="1">
        <f t="array" ref="BG1225">IF(BA1225=1,INDEX($X$7:$AN$7,MATCH(TRUE,INDEX($X1225:$AY1225&lt;&gt;0,),0)),IF(BA1225=0,INDEX($AO$7:$AY$7,MATCH(1,$AO1225:$AY1225,0)),IF(BH1225="Multiple strategies","mixed drivers",IF(BH1225="Supply chain","multiple supply","multiple silviculture"))))</f>
        <v xml:space="preserve">cutting intensity </v>
      </c>
      <c r="BH1225" s="2" t="str" cm="1">
        <f t="array" ref="BH1225">IF(COUNTIF(BB1225:BD1225,"&lt;&gt;0")=1,INDEX($X$4:$AY$4,MATCH(TRUE,INDEX($X1225:$AY1225&lt;&gt;0,),0)),IF(COUNTIF(BB1225:BD1225,"&lt;&gt;0")=0,INDEX($AO$4:$AY$4,MATCH(1,$AO1225:$AY1225,0)),"Multiple strategies"))</f>
        <v>Silviculture for removals</v>
      </c>
      <c r="BI1225" s="1" t="s">
        <v>321</v>
      </c>
      <c r="BJ1225" t="s">
        <v>497</v>
      </c>
      <c r="BK1225" s="141" t="s">
        <v>4885</v>
      </c>
      <c r="BL1225" t="s">
        <v>1884</v>
      </c>
      <c r="BM1225">
        <v>35.86</v>
      </c>
      <c r="BN1225">
        <v>35.86</v>
      </c>
      <c r="BP1225">
        <f>BN1225-BM1225</f>
        <v>0</v>
      </c>
      <c r="BQ1225">
        <f>BN1225-BM1225</f>
        <v>0</v>
      </c>
      <c r="BR1225" s="317" t="s">
        <v>232</v>
      </c>
      <c r="BS1225" s="141" t="s">
        <v>4885</v>
      </c>
      <c r="BT1225" t="s">
        <v>278</v>
      </c>
      <c r="BU1225">
        <v>-49.536666666666669</v>
      </c>
      <c r="BV1225">
        <v>-30.15</v>
      </c>
      <c r="BW1225" s="144">
        <f>IFERROR(BV1225/BU1225,"")</f>
        <v>0.60864006459861375</v>
      </c>
      <c r="BX1225" s="175">
        <f>BV1225-BU1225</f>
        <v>19.38666666666667</v>
      </c>
      <c r="BZ1225">
        <f>BX1225*C_to_CO2</f>
        <v>71.149066666666684</v>
      </c>
      <c r="CA1225" t="str">
        <f>IFERROR(BZ1225/BQ1225,"")</f>
        <v/>
      </c>
      <c r="CB1225" s="143">
        <v>0</v>
      </c>
      <c r="CC1225" s="143">
        <v>0</v>
      </c>
      <c r="CD1225" s="143">
        <v>0</v>
      </c>
      <c r="CE1225" s="143">
        <v>0</v>
      </c>
      <c r="CF1225" s="143">
        <v>0</v>
      </c>
      <c r="CG1225" s="143">
        <v>0</v>
      </c>
      <c r="CH1225" s="143">
        <v>0</v>
      </c>
      <c r="CI1225" s="143">
        <v>0</v>
      </c>
      <c r="CJ1225" s="143">
        <v>0</v>
      </c>
      <c r="CK1225" s="143">
        <v>0</v>
      </c>
      <c r="CL1225" s="143">
        <v>0</v>
      </c>
      <c r="CM1225" s="143">
        <v>0</v>
      </c>
      <c r="CN1225" s="143">
        <v>0</v>
      </c>
      <c r="CO1225">
        <v>0</v>
      </c>
      <c r="CP1225" t="str">
        <f>IF($BN1225&lt;$BM1225,"refNeedCorrection","refOK")</f>
        <v>refOK</v>
      </c>
      <c r="CQ1225">
        <f>IF($CP1225="refOK",$BM1225,$BN1225)</f>
        <v>35.86</v>
      </c>
      <c r="CR1225">
        <f>IF($CP1225="refOK",$BN1225,$BM1225)</f>
        <v>35.86</v>
      </c>
      <c r="CS1225">
        <f>IF($CP1225="refOK",$BQ1225,-$BQ1225)</f>
        <v>0</v>
      </c>
      <c r="CT1225">
        <f>IF(BI1225="Roundwood",$CS1225/2,$CS1225)</f>
        <v>0</v>
      </c>
      <c r="CU1225">
        <f>IF($CP1225="refOK",$BU1225,$BV1225)*IF($BR1225="Emissions positive",-1,1)</f>
        <v>-49.536666666666669</v>
      </c>
      <c r="CV1225">
        <f>IF($CP1225="refOK",$BV1225,$BU1225)*IF($BR1225="Emissions positive",-1,1)</f>
        <v>-30.15</v>
      </c>
      <c r="CW1225">
        <f>IF($CP1225="refNeedCorrection",-BZ1225,BZ1225)*IF($BR1225="Emissions positive",-1,1)</f>
        <v>71.149066666666684</v>
      </c>
      <c r="CX1225" t="str">
        <f>IFERROR($CW1225/$CS1225,"")</f>
        <v/>
      </c>
      <c r="CY1225" t="str">
        <f>IFERROR($CW1225/$CS1225,"")</f>
        <v/>
      </c>
      <c r="CZ1225" t="str">
        <f>IFERROR($CW1225/$CT1225,"")</f>
        <v/>
      </c>
      <c r="DA1225" s="2">
        <f>IFERROR((CV1225-CU1225)/ABS(CU1225),"")</f>
        <v>0.39135993540138625</v>
      </c>
      <c r="DB1225" s="1" t="s">
        <v>234</v>
      </c>
      <c r="DC1225" s="317" t="str">
        <f>IF(OR($DB1225="prd",$DB1225="std",$DB1225="cit"),"loc",IF(OR($DB1225="eur",$DB1225="reg",$DB1225="coy"),"reg",$DB1225))</f>
        <v>loc</v>
      </c>
      <c r="DD1225" t="s">
        <v>280</v>
      </c>
      <c r="DG1225">
        <v>10</v>
      </c>
      <c r="DH1225" t="str">
        <f>IF(DG1225=0,"0",IF(AND(DG1225&gt;=1,DG1225&lt;=30),"1-30",IF(AND(DG1225&gt;30,DG1225&lt;=70),"31-70",IF(AND(DG1225&gt;70,DG1225&lt;=100),"71-100",IF(DG1225&gt;100,"+100")))))</f>
        <v>1-30</v>
      </c>
      <c r="DI1225">
        <v>1</v>
      </c>
      <c r="DJ1225">
        <v>0</v>
      </c>
      <c r="DK1225">
        <v>0</v>
      </c>
      <c r="DL1225">
        <v>0</v>
      </c>
      <c r="DN1225">
        <f>SUM(DI1225:DL1225)</f>
        <v>1</v>
      </c>
      <c r="DO1225" t="str">
        <f>IF(DN1225=1,INDEX($DI$7:$DL$7,MATCH(1,$DI1225:$DL1225,0)),"mixedProduct")</f>
        <v>UpstreamInput</v>
      </c>
      <c r="DP1225" t="str">
        <f>IF(DI1225=1,DP$7,0)</f>
        <v>Upstream</v>
      </c>
      <c r="DQ1225">
        <f>IF(DJ1225=1,DQ$7,0)</f>
        <v>0</v>
      </c>
      <c r="DR1225">
        <f>IF(DK1225=1,DR$7,0)</f>
        <v>0</v>
      </c>
      <c r="DS1225">
        <f>IF(DL1225=1,DS$7,0)</f>
        <v>0</v>
      </c>
      <c r="DT1225">
        <v>0</v>
      </c>
      <c r="DU1225" s="143">
        <v>0</v>
      </c>
      <c r="DV1225" s="143">
        <v>0</v>
      </c>
      <c r="DW1225" s="143">
        <v>0</v>
      </c>
      <c r="DX1225">
        <v>0</v>
      </c>
      <c r="DY1225">
        <f>SUM(DT1225:DU1225)</f>
        <v>0</v>
      </c>
      <c r="DZ1225" s="143" t="str">
        <f>IF(DT1225=1,"self-calculated DF",IF(DU1225=1,"external DF used","explicit C balance"))</f>
        <v>explicit C balance</v>
      </c>
      <c r="EA1225">
        <v>1</v>
      </c>
      <c r="EB1225" s="143">
        <v>1</v>
      </c>
      <c r="EC1225" s="143">
        <v>1</v>
      </c>
      <c r="ED1225" s="143">
        <v>0</v>
      </c>
      <c r="EE1225">
        <v>0</v>
      </c>
      <c r="EF1225" s="143">
        <v>0</v>
      </c>
      <c r="EG1225">
        <v>0</v>
      </c>
      <c r="EH1225" s="143">
        <v>0</v>
      </c>
      <c r="EI1225" s="143">
        <v>0</v>
      </c>
      <c r="EJ1225">
        <v>0</v>
      </c>
      <c r="EK1225">
        <v>1</v>
      </c>
      <c r="EL1225" s="143">
        <v>0</v>
      </c>
      <c r="EM1225" s="143">
        <v>0</v>
      </c>
      <c r="EN1225" s="2">
        <v>0</v>
      </c>
      <c r="EP1225" t="str">
        <f>IF(AND(AND(AND(OR($EC1225=1,$EB1225=1),OR($EH1225=1,$EF1225=1)),SUM($EA1225:$EE1225,$EK1225)&gt;=3),SUM($EF1225:$EJ1225)&gt;=2),"Whole sector approach","")</f>
        <v/>
      </c>
      <c r="EQ1225" t="str">
        <f>IF(AND(AND(OR($EC1225=1,$EB1225=1),AND($EH1225=0,$EF1225=0)),SUM($EA1225:$EE1225,$EK1225)&gt;=3),"Ecosystem approach","")</f>
        <v>Ecosystem approach</v>
      </c>
      <c r="ER1225" s="2" t="str">
        <f>IF(AND(AND(AND($EC1225=0,$EB1225=0),OR($EH1225=1,$EF1225=1)),SUM($EG1225:$EJ1225)&gt;=2),"Technology approach","")</f>
        <v/>
      </c>
      <c r="ES1225" t="str">
        <f>IF(AND($EC1225+$EB1225+$EE1225+$EA1225+$ED1225+$EG1225=0,$N1225="included"),"C neutral forest and HWP assumption","")</f>
        <v/>
      </c>
      <c r="ET1225" t="str">
        <f>IF(AND(AND(AND(AND($EC1225=1,$EB1225+$EA1225+$EG1225&gt;=1),$EF1225=1),$EH1225+$EI1225+$ED1225+$EE1225&gt;=2),$N1225="included"),"All C pools assumption","")</f>
        <v/>
      </c>
      <c r="EU1225" t="str">
        <f>IF(AND($ED1225+$EE1225+$EI1225+$EH1225+$EF1225=0,$N1225="included"),"In-situ only assumption","")</f>
        <v/>
      </c>
      <c r="EY1225" t="b">
        <f>IF(ISNUMBER(BW1225),IF(ABS(BW1225-[4]QC_indicators!$B$2)&gt;3*[4]QC_indicators!$C$2,"C ratio",IF(ISNUMBER(CA1225),IF(ABS(CA1225-[4]QC_indicators!$B$1)&gt;3*[4]QC_indicators!$C$1,"DF","no"))),IF(ISNUMBER(CA1225),IF(ABS(CA1225-[4]QC_indicators!$B$1)&gt;3*[4]QC_indicators!$C$1,"DF","no")))</f>
        <v>0</v>
      </c>
      <c r="FA1225" t="str">
        <f>IF(LEN($CY1225)=0,"",IF(AND($CY1225&lt;(-0.05),$ES1225="C neutral forest and HWP assumption"),"Cneutral paradox",IF(AND($CY1225&gt;0.05,$EU1225="In-situ only assumption"),"In-situ only paradox","")))</f>
        <v/>
      </c>
      <c r="FB1225" s="319" t="s">
        <v>349</v>
      </c>
      <c r="FD1225" s="317" t="s">
        <v>4888</v>
      </c>
    </row>
    <row r="1226" spans="1:160" ht="18" hidden="1" customHeight="1">
      <c r="A1226" s="1" t="s">
        <v>486</v>
      </c>
      <c r="B1226" t="s">
        <v>487</v>
      </c>
      <c r="C1226" t="s">
        <v>488</v>
      </c>
      <c r="D1226" t="s">
        <v>489</v>
      </c>
      <c r="E1226" t="s">
        <v>490</v>
      </c>
      <c r="F1226" t="s">
        <v>491</v>
      </c>
      <c r="G1226" t="s">
        <v>492</v>
      </c>
      <c r="H1226" t="s">
        <v>254</v>
      </c>
      <c r="I1226">
        <v>2019</v>
      </c>
      <c r="J1226">
        <v>3</v>
      </c>
      <c r="K1226" t="s">
        <v>493</v>
      </c>
      <c r="M1226" t="str">
        <f>LEFT($D1226,FIND(",",$D1226)-1)&amp;"_"&amp;I1226&amp;L1226</f>
        <v>Butarbutar_2019</v>
      </c>
      <c r="N1226" s="349" t="s">
        <v>4058</v>
      </c>
      <c r="O1226" s="145" t="s">
        <v>223</v>
      </c>
      <c r="Q1226" s="317" t="s">
        <v>256</v>
      </c>
      <c r="R1226" s="318" t="s">
        <v>1029</v>
      </c>
      <c r="S1226" s="1" t="s">
        <v>494</v>
      </c>
      <c r="T1226" t="s">
        <v>495</v>
      </c>
      <c r="U1226" t="s">
        <v>499</v>
      </c>
      <c r="V1226" s="253">
        <v>0</v>
      </c>
      <c r="W1226" s="253">
        <v>0</v>
      </c>
      <c r="X1226">
        <v>0</v>
      </c>
      <c r="Y1226">
        <v>0</v>
      </c>
      <c r="Z1226">
        <v>0</v>
      </c>
      <c r="AA1226">
        <v>1</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s="141">
        <f>COUNTIF(X1226:AY1226,"&lt;&gt;0")</f>
        <v>1</v>
      </c>
      <c r="BA1226" s="141">
        <f>COUNTIF(X1226:AN1226,"&lt;&gt;0")</f>
        <v>1</v>
      </c>
      <c r="BB1226">
        <f>COUNTIF(X1226:AE1226,"&lt;&gt;0")</f>
        <v>1</v>
      </c>
      <c r="BC1226">
        <f>COUNTIF(AF1226:AK1226,"&lt;&gt;0")</f>
        <v>0</v>
      </c>
      <c r="BD1226">
        <f>COUNTIF(AL1226:AN1226,"&lt;&gt;0")</f>
        <v>0</v>
      </c>
      <c r="BE1226">
        <f>COUNTIF(AU1226:AY1226,"&lt;&gt;0")</f>
        <v>0</v>
      </c>
      <c r="BF1226">
        <f>COUNTIF(AO1226:AT1226,"&lt;&gt;0")</f>
        <v>0</v>
      </c>
      <c r="BG1226" t="str" cm="1">
        <f t="array" ref="BG1226">IF(BA1226=1,INDEX($X$7:$AN$7,MATCH(TRUE,INDEX($X1226:$AY1226&lt;&gt;0,),0)),IF(BA1226=0,INDEX($AO$7:$AY$7,MATCH(1,$AO1226:$AY1226,0)),IF(BH1226="Multiple strategies","mixed drivers",IF(BH1226="Supply chain","multiple supply","multiple silviculture"))))</f>
        <v xml:space="preserve">cutting intensity </v>
      </c>
      <c r="BH1226" s="2" t="str" cm="1">
        <f t="array" ref="BH1226">IF(COUNTIF(BB1226:BD1226,"&lt;&gt;0")=1,INDEX($X$4:$AY$4,MATCH(TRUE,INDEX($X1226:$AY1226&lt;&gt;0,),0)),IF(COUNTIF(BB1226:BD1226,"&lt;&gt;0")=0,INDEX($AO$4:$AY$4,MATCH(1,$AO1226:$AY1226,0)),"Multiple strategies"))</f>
        <v>Silviculture for removals</v>
      </c>
      <c r="BI1226" s="1" t="s">
        <v>321</v>
      </c>
      <c r="BJ1226" t="s">
        <v>497</v>
      </c>
      <c r="BK1226" s="141" t="s">
        <v>4885</v>
      </c>
      <c r="BL1226" t="s">
        <v>1884</v>
      </c>
      <c r="BM1226">
        <v>33.36</v>
      </c>
      <c r="BN1226">
        <v>33.36</v>
      </c>
      <c r="BP1226">
        <f>BN1226-BM1226</f>
        <v>0</v>
      </c>
      <c r="BQ1226">
        <f>BN1226-BM1226</f>
        <v>0</v>
      </c>
      <c r="BR1226" s="317" t="s">
        <v>232</v>
      </c>
      <c r="BS1226" s="141" t="s">
        <v>4885</v>
      </c>
      <c r="BT1226" t="s">
        <v>278</v>
      </c>
      <c r="BU1226">
        <v>-8.6700000000000017</v>
      </c>
      <c r="BV1226">
        <v>1.2899999999999991</v>
      </c>
      <c r="BW1226" s="144">
        <f>IFERROR(BV1226/BU1226,"")</f>
        <v>-0.14878892733564</v>
      </c>
      <c r="BX1226" s="175">
        <f>BV1226-BU1226</f>
        <v>9.9600000000000009</v>
      </c>
      <c r="BZ1226">
        <f>BX1226*C_to_CO2</f>
        <v>36.553200000000004</v>
      </c>
      <c r="CA1226" t="str">
        <f>IFERROR(BZ1226/BQ1226,"")</f>
        <v/>
      </c>
      <c r="CB1226" s="143">
        <v>0</v>
      </c>
      <c r="CC1226" s="143">
        <v>0</v>
      </c>
      <c r="CD1226" s="143">
        <v>0</v>
      </c>
      <c r="CE1226" s="143">
        <v>0</v>
      </c>
      <c r="CF1226" s="143">
        <v>0</v>
      </c>
      <c r="CG1226" s="143">
        <v>0</v>
      </c>
      <c r="CH1226" s="143">
        <v>0</v>
      </c>
      <c r="CI1226" s="143">
        <v>0</v>
      </c>
      <c r="CJ1226" s="143">
        <v>0</v>
      </c>
      <c r="CK1226" s="143">
        <v>0</v>
      </c>
      <c r="CL1226" s="143">
        <v>0</v>
      </c>
      <c r="CM1226" s="143">
        <v>0</v>
      </c>
      <c r="CN1226" s="143">
        <v>0</v>
      </c>
      <c r="CO1226">
        <v>0</v>
      </c>
      <c r="CP1226" t="str">
        <f>IF($BN1226&lt;$BM1226,"refNeedCorrection","refOK")</f>
        <v>refOK</v>
      </c>
      <c r="CQ1226">
        <f>IF($CP1226="refOK",$BM1226,$BN1226)</f>
        <v>33.36</v>
      </c>
      <c r="CR1226">
        <f>IF($CP1226="refOK",$BN1226,$BM1226)</f>
        <v>33.36</v>
      </c>
      <c r="CS1226">
        <f>IF($CP1226="refOK",$BQ1226,-$BQ1226)</f>
        <v>0</v>
      </c>
      <c r="CT1226">
        <f>IF(BI1226="Roundwood",$CS1226/2,$CS1226)</f>
        <v>0</v>
      </c>
      <c r="CU1226">
        <f>IF($CP1226="refOK",$BU1226,$BV1226)*IF($BR1226="Emissions positive",-1,1)</f>
        <v>-8.6700000000000017</v>
      </c>
      <c r="CV1226">
        <f>IF($CP1226="refOK",$BV1226,$BU1226)*IF($BR1226="Emissions positive",-1,1)</f>
        <v>1.2899999999999991</v>
      </c>
      <c r="CW1226">
        <f>IF($CP1226="refNeedCorrection",-BZ1226,BZ1226)*IF($BR1226="Emissions positive",-1,1)</f>
        <v>36.553200000000004</v>
      </c>
      <c r="CX1226" t="str">
        <f>IFERROR($CW1226/$CS1226,"")</f>
        <v/>
      </c>
      <c r="CY1226" t="str">
        <f>IFERROR($CW1226/$CS1226,"")</f>
        <v/>
      </c>
      <c r="CZ1226" t="str">
        <f>IFERROR($CW1226/$CT1226,"")</f>
        <v/>
      </c>
      <c r="DA1226" s="2">
        <f>IFERROR((CV1226-CU1226)/ABS(CU1226),"")</f>
        <v>1.14878892733564</v>
      </c>
      <c r="DB1226" s="1" t="s">
        <v>234</v>
      </c>
      <c r="DC1226" s="317" t="str">
        <f>IF(OR($DB1226="prd",$DB1226="std",$DB1226="cit"),"loc",IF(OR($DB1226="eur",$DB1226="reg",$DB1226="coy"),"reg",$DB1226))</f>
        <v>loc</v>
      </c>
      <c r="DD1226" t="s">
        <v>280</v>
      </c>
      <c r="DG1226">
        <v>10</v>
      </c>
      <c r="DH1226" t="str">
        <f>IF(DG1226=0,"0",IF(AND(DG1226&gt;=1,DG1226&lt;=30),"1-30",IF(AND(DG1226&gt;30,DG1226&lt;=70),"31-70",IF(AND(DG1226&gt;70,DG1226&lt;=100),"71-100",IF(DG1226&gt;100,"+100")))))</f>
        <v>1-30</v>
      </c>
      <c r="DI1226">
        <v>1</v>
      </c>
      <c r="DJ1226">
        <v>0</v>
      </c>
      <c r="DK1226">
        <v>0</v>
      </c>
      <c r="DL1226">
        <v>0</v>
      </c>
      <c r="DN1226">
        <f>SUM(DI1226:DL1226)</f>
        <v>1</v>
      </c>
      <c r="DO1226" t="str">
        <f>IF(DN1226=1,INDEX($DI$7:$DL$7,MATCH(1,$DI1226:$DL1226,0)),"mixedProduct")</f>
        <v>UpstreamInput</v>
      </c>
      <c r="DP1226" t="str">
        <f>IF(DI1226=1,DP$7,0)</f>
        <v>Upstream</v>
      </c>
      <c r="DQ1226">
        <f>IF(DJ1226=1,DQ$7,0)</f>
        <v>0</v>
      </c>
      <c r="DR1226">
        <f>IF(DK1226=1,DR$7,0)</f>
        <v>0</v>
      </c>
      <c r="DS1226">
        <f>IF(DL1226=1,DS$7,0)</f>
        <v>0</v>
      </c>
      <c r="DT1226">
        <v>0</v>
      </c>
      <c r="DU1226" s="143">
        <v>0</v>
      </c>
      <c r="DV1226" s="143">
        <v>0</v>
      </c>
      <c r="DW1226" s="143">
        <v>0</v>
      </c>
      <c r="DX1226">
        <v>0</v>
      </c>
      <c r="DY1226">
        <f>SUM(DT1226:DU1226)</f>
        <v>0</v>
      </c>
      <c r="DZ1226" s="143" t="str">
        <f>IF(DT1226=1,"self-calculated DF",IF(DU1226=1,"external DF used","explicit C balance"))</f>
        <v>explicit C balance</v>
      </c>
      <c r="EA1226">
        <v>1</v>
      </c>
      <c r="EB1226" s="143">
        <v>1</v>
      </c>
      <c r="EC1226" s="143">
        <v>1</v>
      </c>
      <c r="ED1226" s="143">
        <v>0</v>
      </c>
      <c r="EE1226">
        <v>0</v>
      </c>
      <c r="EF1226" s="143">
        <v>0</v>
      </c>
      <c r="EG1226">
        <v>0</v>
      </c>
      <c r="EH1226" s="143">
        <v>0</v>
      </c>
      <c r="EI1226" s="143">
        <v>0</v>
      </c>
      <c r="EJ1226">
        <v>0</v>
      </c>
      <c r="EK1226">
        <v>1</v>
      </c>
      <c r="EL1226" s="143">
        <v>0</v>
      </c>
      <c r="EM1226" s="143">
        <v>0</v>
      </c>
      <c r="EN1226" s="2">
        <v>0</v>
      </c>
      <c r="EP1226" t="str">
        <f>IF(AND(AND(AND(OR($EC1226=1,$EB1226=1),OR($EH1226=1,$EF1226=1)),SUM($EA1226:$EE1226,$EK1226)&gt;=3),SUM($EF1226:$EJ1226)&gt;=2),"Whole sector approach","")</f>
        <v/>
      </c>
      <c r="EQ1226" t="str">
        <f>IF(AND(AND(OR($EC1226=1,$EB1226=1),AND($EH1226=0,$EF1226=0)),SUM($EA1226:$EE1226,$EK1226)&gt;=3),"Ecosystem approach","")</f>
        <v>Ecosystem approach</v>
      </c>
      <c r="ER1226" s="2" t="str">
        <f>IF(AND(AND(AND($EC1226=0,$EB1226=0),OR($EH1226=1,$EF1226=1)),SUM($EG1226:$EJ1226)&gt;=2),"Technology approach","")</f>
        <v/>
      </c>
      <c r="ES1226" t="str">
        <f>IF(AND($EC1226+$EB1226+$EE1226+$EA1226+$ED1226+$EG1226=0,$N1226="included"),"C neutral forest and HWP assumption","")</f>
        <v/>
      </c>
      <c r="ET1226" t="str">
        <f>IF(AND(AND(AND(AND($EC1226=1,$EB1226+$EA1226+$EG1226&gt;=1),$EF1226=1),$EH1226+$EI1226+$ED1226+$EE1226&gt;=2),$N1226="included"),"All C pools assumption","")</f>
        <v/>
      </c>
      <c r="EU1226" t="str">
        <f>IF(AND($ED1226+$EE1226+$EI1226+$EH1226+$EF1226=0,$N1226="included"),"In-situ only assumption","")</f>
        <v/>
      </c>
      <c r="EY1226" t="b">
        <f>IF(ISNUMBER(BW1226),IF(ABS(BW1226-[4]QC_indicators!$B$2)&gt;3*[4]QC_indicators!$C$2,"C ratio",IF(ISNUMBER(CA1226),IF(ABS(CA1226-[4]QC_indicators!$B$1)&gt;3*[4]QC_indicators!$C$1,"DF","no"))),IF(ISNUMBER(CA1226),IF(ABS(CA1226-[4]QC_indicators!$B$1)&gt;3*[4]QC_indicators!$C$1,"DF","no")))</f>
        <v>0</v>
      </c>
      <c r="FA1226" t="str">
        <f>IF(LEN($CY1226)=0,"",IF(AND($CY1226&lt;(-0.05),$ES1226="C neutral forest and HWP assumption"),"Cneutral paradox",IF(AND($CY1226&gt;0.05,$EU1226="In-situ only assumption"),"In-situ only paradox","")))</f>
        <v/>
      </c>
      <c r="FB1226" s="319" t="s">
        <v>349</v>
      </c>
      <c r="FD1226" s="317" t="s">
        <v>4887</v>
      </c>
    </row>
    <row r="1227" spans="1:160" ht="15" hidden="1" customHeight="1">
      <c r="A1227" s="1" t="s">
        <v>265</v>
      </c>
      <c r="B1227" t="s">
        <v>1403</v>
      </c>
      <c r="C1227" t="s">
        <v>1404</v>
      </c>
      <c r="D1227" t="s">
        <v>1405</v>
      </c>
      <c r="E1227" t="s">
        <v>1406</v>
      </c>
      <c r="F1227" t="s">
        <v>1407</v>
      </c>
      <c r="G1227" t="s">
        <v>271</v>
      </c>
      <c r="H1227" t="s">
        <v>254</v>
      </c>
      <c r="I1227">
        <v>2019</v>
      </c>
      <c r="J1227">
        <v>26</v>
      </c>
      <c r="K1227" t="s">
        <v>1408</v>
      </c>
      <c r="M1227" t="str">
        <f>LEFT($D1227,FIND(",",$D1227)-1)&amp;"_"&amp;I1227&amp;L1227</f>
        <v>Faraca_2019</v>
      </c>
      <c r="N1227" t="s">
        <v>222</v>
      </c>
      <c r="O1227" s="145" t="s">
        <v>274</v>
      </c>
      <c r="P1227" s="179" t="s">
        <v>223</v>
      </c>
      <c r="Q1227" t="s">
        <v>256</v>
      </c>
      <c r="R1227" s="258" t="s">
        <v>223</v>
      </c>
      <c r="S1227" s="1" t="s">
        <v>1409</v>
      </c>
      <c r="T1227" t="s">
        <v>1410</v>
      </c>
      <c r="U1227" t="s">
        <v>932</v>
      </c>
      <c r="V1227" s="253">
        <v>0</v>
      </c>
      <c r="W1227" s="253">
        <v>0</v>
      </c>
      <c r="X1227">
        <v>0</v>
      </c>
      <c r="Y1227">
        <v>0</v>
      </c>
      <c r="Z1227">
        <v>0</v>
      </c>
      <c r="AA1227">
        <v>0</v>
      </c>
      <c r="AB1227">
        <v>0</v>
      </c>
      <c r="AC1227">
        <v>0</v>
      </c>
      <c r="AD1227">
        <v>0</v>
      </c>
      <c r="AE1227">
        <v>0</v>
      </c>
      <c r="AF1227">
        <v>0</v>
      </c>
      <c r="AG1227">
        <v>0</v>
      </c>
      <c r="AH1227">
        <v>0</v>
      </c>
      <c r="AI1227">
        <v>0</v>
      </c>
      <c r="AJ1227">
        <v>0</v>
      </c>
      <c r="AK1227">
        <v>0</v>
      </c>
      <c r="AL1227">
        <v>1</v>
      </c>
      <c r="AM1227">
        <v>0</v>
      </c>
      <c r="AN1227">
        <v>0</v>
      </c>
      <c r="AO1227">
        <v>0</v>
      </c>
      <c r="AP1227">
        <v>0</v>
      </c>
      <c r="AQ1227">
        <v>0</v>
      </c>
      <c r="AR1227">
        <v>0</v>
      </c>
      <c r="AS1227">
        <v>0</v>
      </c>
      <c r="AT1227">
        <v>0</v>
      </c>
      <c r="AU1227">
        <v>0</v>
      </c>
      <c r="AV1227">
        <v>0</v>
      </c>
      <c r="AW1227">
        <v>0</v>
      </c>
      <c r="AX1227">
        <v>0</v>
      </c>
      <c r="AY1227">
        <v>0</v>
      </c>
      <c r="AZ1227" s="141">
        <f>COUNTIF(X1227:AY1227,"&lt;&gt;0")</f>
        <v>1</v>
      </c>
      <c r="BA1227" s="141">
        <f>COUNTIF(X1227:AN1227,"&lt;&gt;0")</f>
        <v>1</v>
      </c>
      <c r="BB1227">
        <f>COUNTIF(X1227:AE1227,"&lt;&gt;0")</f>
        <v>0</v>
      </c>
      <c r="BC1227">
        <f>COUNTIF(AF1227:AK1227,"&lt;&gt;0")</f>
        <v>0</v>
      </c>
      <c r="BD1227">
        <f>COUNTIF(AL1227:AN1227,"&lt;&gt;0")</f>
        <v>1</v>
      </c>
      <c r="BE1227">
        <f>COUNTIF(AU1227:AY1227,"&lt;&gt;0")</f>
        <v>0</v>
      </c>
      <c r="BF1227">
        <f>COUNTIF(AO1227:AT1227,"&lt;&gt;0")</f>
        <v>0</v>
      </c>
      <c r="BG1227" t="str">
        <f t="array" ref="BG1227">IF(BA1227=1,INDEX($X$7:$AN$7,MATCH(TRUE,INDEX($X1227:$AY1227&lt;&gt;0,),0)),IF(BA1227=0,INDEX($AO$7:$AY$7,MATCH(1,$AO1227:$AY1227,0)),IF(BH1227="Multiple strategies","mixed drivers",IF(BH1227="Supply chain","multiple supply","multiple silviculture"))))</f>
        <v>efficiency improvement</v>
      </c>
      <c r="BH1227" s="2" t="str" cm="1">
        <f t="array" ref="BH1227">IF(COUNTIF(BB1227:BD1227,"&lt;&gt;0")=1,INDEX($X$4:$AY$4,MATCH(TRUE,INDEX($X1227:$AY1227&lt;&gt;0,),0)),IF(COUNTIF(BB1227:BD1227,"&lt;&gt;0")=0,INDEX($AO$4:$AY$4,MATCH(1,$AO1227:$AY1227,0)),"Multiple strategies"))</f>
        <v>Technology</v>
      </c>
      <c r="BI1227" s="1" t="s">
        <v>229</v>
      </c>
      <c r="BJ1227" t="s">
        <v>1420</v>
      </c>
      <c r="BK1227" s="260" t="s">
        <v>2800</v>
      </c>
      <c r="BL1227" t="s">
        <v>345</v>
      </c>
      <c r="BM1227">
        <v>562</v>
      </c>
      <c r="BN1227">
        <v>562</v>
      </c>
      <c r="BO1227">
        <v>1</v>
      </c>
      <c r="BP1227">
        <f>BN1227-BM1227</f>
        <v>0</v>
      </c>
      <c r="BQ1227">
        <f>BP1227*kg_to_m3</f>
        <v>0</v>
      </c>
      <c r="BR1227" s="260" t="s">
        <v>395</v>
      </c>
      <c r="BT1227" t="s">
        <v>714</v>
      </c>
      <c r="BU1227">
        <v>-462.1</v>
      </c>
      <c r="BV1227">
        <v>-589.70000000000005</v>
      </c>
      <c r="BW1227" s="144">
        <v>1</v>
      </c>
      <c r="BX1227">
        <f>BV1227-BU1227</f>
        <v>-127.60000000000002</v>
      </c>
      <c r="BZ1227">
        <f>BX1227/1000</f>
        <v>-0.12760000000000002</v>
      </c>
      <c r="CA1227" t="str">
        <f>IFERROR(BZ1227/BQ1227,"")</f>
        <v/>
      </c>
      <c r="CB1227">
        <v>0</v>
      </c>
      <c r="CC1227">
        <v>0</v>
      </c>
      <c r="CD1227">
        <v>0</v>
      </c>
      <c r="CE1227">
        <v>0</v>
      </c>
      <c r="CF1227">
        <v>0</v>
      </c>
      <c r="CG1227">
        <v>0</v>
      </c>
      <c r="CH1227">
        <v>0</v>
      </c>
      <c r="CI1227">
        <v>0</v>
      </c>
      <c r="CJ1227">
        <v>0</v>
      </c>
      <c r="CK1227">
        <v>0</v>
      </c>
      <c r="CL1227">
        <v>0</v>
      </c>
      <c r="CM1227">
        <v>0</v>
      </c>
      <c r="CN1227">
        <v>0</v>
      </c>
      <c r="CO1227">
        <v>0</v>
      </c>
      <c r="CP1227" t="str">
        <f>IF($BN1227&lt;$BM1227,"refNeedCorrection","refOK")</f>
        <v>refOK</v>
      </c>
      <c r="CQ1227">
        <f>IF($CP1227="refNeedCorrection",BN1227,BM1227)</f>
        <v>562</v>
      </c>
      <c r="CR1227">
        <f>IF($CP1227="refNeedCorrection",BM1227,BN1227)</f>
        <v>562</v>
      </c>
      <c r="CS1227">
        <f>IF($CP1227="refOK",$BQ1227,-$BQ1227)</f>
        <v>0</v>
      </c>
      <c r="CT1227">
        <f>IF(BI1227="Roundwood",$CS1227/2,$CS1227)</f>
        <v>0</v>
      </c>
      <c r="CU1227">
        <f>IF($CP1227="refOK",$BU1227,$BV1227)*IF($BR1227="Emissions positive",-1,1)</f>
        <v>462.1</v>
      </c>
      <c r="CV1227">
        <f>IF($CP1227="refOK",$BV1227,$BU1227)*IF($BR1227="Emissions positive",-1,1)</f>
        <v>589.70000000000005</v>
      </c>
      <c r="CW1227">
        <f>IF($CP1227="refNeedCorrection",-BZ1227,BZ1227)*IF($BR1227="Emissions positive",-1,1)</f>
        <v>0.12760000000000002</v>
      </c>
      <c r="CX1227" t="str">
        <f>IFERROR($CW1227/$CS1227,"")</f>
        <v/>
      </c>
      <c r="CY1227" t="str">
        <f>IFERROR($CW1227/$CS1227,"")</f>
        <v/>
      </c>
      <c r="CZ1227" t="str">
        <f>IFERROR($CW1227/$CT1227,"")</f>
        <v/>
      </c>
      <c r="DA1227" s="2">
        <f>IFERROR((CV1227-CU1227)/ABS(CU1227),"")</f>
        <v>0.27613070763903919</v>
      </c>
      <c r="DB1227" s="1" t="s">
        <v>1074</v>
      </c>
      <c r="DC1227" t="str">
        <f>IF(OR($DB1227="prd",$DB1227="std",$DB1227="cit"),"loc",IF(OR($DB1227="eur",$DB1227="reg",$DB1227="coy"),"reg",$DB1227))</f>
        <v>reg</v>
      </c>
      <c r="DD1227" t="s">
        <v>1412</v>
      </c>
      <c r="DG1227">
        <v>500</v>
      </c>
      <c r="DH1227" t="str">
        <f>IF(DG1227=0,"0",IF(AND(DG1227&gt;=1,DG1227&lt;=30),"1-30",IF(AND(DG1227&gt;30,DG1227&lt;=70),"31-70",IF(AND(DG1227&gt;70,DG1227&lt;=100),"71-100",IF(DG1227&gt;100,"+100")))))</f>
        <v>+100</v>
      </c>
      <c r="DI1227">
        <v>0</v>
      </c>
      <c r="DJ1227">
        <v>0</v>
      </c>
      <c r="DK1227">
        <v>0</v>
      </c>
      <c r="DL1227">
        <v>1</v>
      </c>
      <c r="DN1227">
        <f>SUM(DI1227:DL1227)</f>
        <v>1</v>
      </c>
      <c r="DO1227" t="str">
        <f>IF(DN1227=1,INDEX($DI$7:$DL$7,MATCH(1,$DI1227:$DL1227,0)),"mixedProduct")</f>
        <v>TimberInput</v>
      </c>
      <c r="DP1227">
        <f>IF(DI1227=1,DP$7,0)</f>
        <v>0</v>
      </c>
      <c r="DQ1227">
        <f>IF(DJ1227=1,DQ$7,0)</f>
        <v>0</v>
      </c>
      <c r="DR1227">
        <f>IF(DK1227=1,DR$7,0)</f>
        <v>0</v>
      </c>
      <c r="DS1227" t="str">
        <f>IF(DL1227=1,DS$7,0)</f>
        <v>Timber</v>
      </c>
      <c r="DT1227">
        <v>0</v>
      </c>
      <c r="DU1227">
        <v>1</v>
      </c>
      <c r="DV1227">
        <v>0</v>
      </c>
      <c r="DW1227">
        <v>0</v>
      </c>
      <c r="DX1227" t="s">
        <v>1413</v>
      </c>
      <c r="DY1227">
        <f>SUM(DT1227:DU1227)</f>
        <v>1</v>
      </c>
      <c r="DZ1227" s="143" t="str">
        <f>IF(DT1227=1,"self-calculated DF",IF(DU1227=1,"external DF used","explicit C balance"))</f>
        <v>external DF used</v>
      </c>
      <c r="EA1227">
        <v>0</v>
      </c>
      <c r="EB1227">
        <v>0</v>
      </c>
      <c r="EC1227">
        <v>0</v>
      </c>
      <c r="ED1227">
        <v>0</v>
      </c>
      <c r="EE1227">
        <v>1</v>
      </c>
      <c r="EF1227" s="143">
        <v>1</v>
      </c>
      <c r="EG1227">
        <v>0</v>
      </c>
      <c r="EH1227">
        <v>1</v>
      </c>
      <c r="EI1227">
        <v>0</v>
      </c>
      <c r="EJ1227">
        <v>1</v>
      </c>
      <c r="EK1227">
        <v>1</v>
      </c>
      <c r="EL1227">
        <v>1</v>
      </c>
      <c r="EM1227">
        <v>1</v>
      </c>
      <c r="EN1227" s="2">
        <v>0</v>
      </c>
      <c r="EP1227" t="str">
        <f>IF(AND(AND(AND(OR($EC1227=1,$EB1227=1),OR($EH1227=1,$EF1227=1)),SUM($EA1227:$EE1227,$EK1227)&gt;=3),SUM($EF1227:$EJ1227)&gt;=2),"Whole sector approach","")</f>
        <v/>
      </c>
      <c r="EQ1227" t="str">
        <f>IF(AND(AND(OR($EC1227=1,$EB1227=1),AND($EH1227=0,$EF1227=0)),SUM($EA1227:$EE1227,$EK1227)&gt;=4),"Ecosystem approach","")</f>
        <v/>
      </c>
      <c r="ER1227" s="2" t="str">
        <f>IF(AND(AND(AND($EC1227=0,$EB1227=0),OR($EH1227=1,$EF1227=1)),SUM($EG1227:$EJ1227)&gt;=2),"Technology approach","")</f>
        <v>Technology approach</v>
      </c>
      <c r="ES1227" t="str">
        <f>IF(AND($EC1227+$EB1227+$EE1227+$EA1227+$ED1227+$EG1227=0,$N1227="included"),"C neutral forest and HWP assumption","")</f>
        <v/>
      </c>
      <c r="ET1227" t="str">
        <f>IF(AND(AND(AND(AND($EC1227=1,$EB1227+$EA1227+$EG1227&gt;=1),$EF1227=1),$EH1227+$EI1227+$ED1227+$EE1227&gt;=2),$N1227="included"),"All C pools assumption","")</f>
        <v/>
      </c>
      <c r="EU1227" t="str">
        <f>IF(AND($ED1227+$EE1227+$EI1227+$EH1227+$EF1227=0,$N1227="included"),"In-situ only assumption","")</f>
        <v/>
      </c>
      <c r="EY1227" t="b">
        <f>IF(ISNUMBER(BW1227),IF(ABS(BW1227-[2]QC_indicators!$B$2)&gt;3*[2]QC_indicators!$C$2,"C ratio",IF(ISNUMBER(CA1227),IF(ABS(CA1227-[2]QC_indicators!$B$1)&gt;3*[2]QC_indicators!$C$1,"DF","no"))),IF(ISNUMBER(CA1227),IF(ABS(CA1227-[2]QC_indicators!$B$1)&gt;3*[2]QC_indicators!$C$1,"DF","no")))</f>
        <v>0</v>
      </c>
      <c r="FA1227" t="str">
        <f>IF(LEN($CY1227)=0,"",IF(AND($CY1227&lt;(-0.05),$ES1227="C neutral forest and HWP assumption"),"Cneutral paradox",IF(AND($CY1227&gt;0.05,$EU1227="In-situ only assumption"),"In-situ only paradox","")))</f>
        <v/>
      </c>
      <c r="FD1227" s="260" t="s">
        <v>2948</v>
      </c>
    </row>
    <row r="1228" spans="1:160" ht="15" hidden="1" customHeight="1">
      <c r="A1228" s="1" t="s">
        <v>265</v>
      </c>
      <c r="B1228" t="s">
        <v>1403</v>
      </c>
      <c r="C1228" t="s">
        <v>1404</v>
      </c>
      <c r="D1228" t="s">
        <v>1405</v>
      </c>
      <c r="E1228" t="s">
        <v>1406</v>
      </c>
      <c r="F1228" t="s">
        <v>1407</v>
      </c>
      <c r="G1228" t="s">
        <v>271</v>
      </c>
      <c r="H1228" t="s">
        <v>254</v>
      </c>
      <c r="I1228">
        <v>2019</v>
      </c>
      <c r="J1228">
        <v>26</v>
      </c>
      <c r="K1228" t="s">
        <v>1408</v>
      </c>
      <c r="M1228" t="str">
        <f>LEFT($D1228,FIND(",",$D1228)-1)&amp;"_"&amp;I1228&amp;L1228</f>
        <v>Faraca_2019</v>
      </c>
      <c r="N1228" t="s">
        <v>222</v>
      </c>
      <c r="O1228" s="145" t="s">
        <v>274</v>
      </c>
      <c r="P1228" s="179" t="s">
        <v>223</v>
      </c>
      <c r="Q1228" t="s">
        <v>256</v>
      </c>
      <c r="R1228" s="258" t="s">
        <v>223</v>
      </c>
      <c r="S1228" s="259" t="s">
        <v>2810</v>
      </c>
      <c r="T1228" t="s">
        <v>1424</v>
      </c>
      <c r="U1228" t="s">
        <v>1410</v>
      </c>
      <c r="V1228" s="253">
        <v>0</v>
      </c>
      <c r="W1228" s="253">
        <v>0</v>
      </c>
      <c r="X1228">
        <v>0</v>
      </c>
      <c r="Y1228">
        <v>0</v>
      </c>
      <c r="Z1228">
        <v>0</v>
      </c>
      <c r="AA1228">
        <v>0</v>
      </c>
      <c r="AB1228">
        <v>0</v>
      </c>
      <c r="AC1228">
        <v>0</v>
      </c>
      <c r="AD1228">
        <v>0</v>
      </c>
      <c r="AE1228">
        <v>0</v>
      </c>
      <c r="AF1228">
        <v>0</v>
      </c>
      <c r="AG1228">
        <v>0</v>
      </c>
      <c r="AH1228">
        <v>1</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s="141">
        <f>COUNTIF(X1228:AY1228,"&lt;&gt;0")</f>
        <v>1</v>
      </c>
      <c r="BA1228" s="141">
        <f>COUNTIF(X1228:AN1228,"&lt;&gt;0")</f>
        <v>1</v>
      </c>
      <c r="BB1228">
        <f>COUNTIF(X1228:AE1228,"&lt;&gt;0")</f>
        <v>0</v>
      </c>
      <c r="BC1228">
        <f>COUNTIF(AF1228:AK1228,"&lt;&gt;0")</f>
        <v>1</v>
      </c>
      <c r="BD1228">
        <f>COUNTIF(AL1228:AN1228,"&lt;&gt;0")</f>
        <v>0</v>
      </c>
      <c r="BE1228">
        <f>COUNTIF(AU1228:AY1228,"&lt;&gt;0")</f>
        <v>0</v>
      </c>
      <c r="BF1228">
        <f>COUNTIF(AO1228:AT1228,"&lt;&gt;0")</f>
        <v>0</v>
      </c>
      <c r="BG1228" t="str">
        <f t="array" ref="BG1228">IF(BA1228=1,INDEX($X$7:$AN$7,MATCH(TRUE,INDEX($X1228:$AY1228&lt;&gt;0,),0)),IF(BA1228=0,INDEX($AO$7:$AY$7,MATCH(1,$AO1228:$AY1228,0)),IF(BH1228="Multiple strategies","mixed drivers",IF(BH1228="Supply chain","multiple supply","multiple silviculture"))))</f>
        <v>supply chain organization</v>
      </c>
      <c r="BH1228" s="2" t="str" cm="1">
        <f t="array" ref="BH1228">IF(COUNTIF(BB1228:BD1228,"&lt;&gt;0")=1,INDEX($X$4:$AY$4,MATCH(TRUE,INDEX($X1228:$AY1228&lt;&gt;0,),0)),IF(COUNTIF(BB1228:BD1228,"&lt;&gt;0")=0,INDEX($AO$4:$AY$4,MATCH(1,$AO1228:$AY1228,0)),"Multiple strategies"))</f>
        <v>Supply chain</v>
      </c>
      <c r="BI1228" s="1" t="s">
        <v>229</v>
      </c>
      <c r="BJ1228" t="s">
        <v>1420</v>
      </c>
      <c r="BK1228" s="260" t="s">
        <v>2800</v>
      </c>
      <c r="BL1228" t="s">
        <v>345</v>
      </c>
      <c r="BM1228">
        <v>562</v>
      </c>
      <c r="BN1228">
        <v>922</v>
      </c>
      <c r="BO1228">
        <v>1.6405693950177935</v>
      </c>
      <c r="BP1228">
        <f>BN1228-BM1228</f>
        <v>360</v>
      </c>
      <c r="BQ1228">
        <f>BP1228*kg_to_m3</f>
        <v>0.73469387755102045</v>
      </c>
      <c r="BR1228" s="260" t="s">
        <v>395</v>
      </c>
      <c r="BS1228" s="260" t="s">
        <v>429</v>
      </c>
      <c r="BT1228" t="s">
        <v>714</v>
      </c>
      <c r="BU1228">
        <f>-251.7</f>
        <v>-251.7</v>
      </c>
      <c r="BV1228">
        <v>-462.1</v>
      </c>
      <c r="BW1228" s="144">
        <v>-9.5652173913043481E-2</v>
      </c>
      <c r="BX1228">
        <f>BV1228-BU1228</f>
        <v>-210.40000000000003</v>
      </c>
      <c r="BZ1228">
        <f>BX1228/1000</f>
        <v>-0.21040000000000003</v>
      </c>
      <c r="CA1228">
        <f>IFERROR(BZ1228/BQ1228,"")</f>
        <v>-0.28637777777777779</v>
      </c>
      <c r="CB1228">
        <v>0</v>
      </c>
      <c r="CC1228">
        <v>0</v>
      </c>
      <c r="CD1228">
        <v>0</v>
      </c>
      <c r="CE1228">
        <v>0</v>
      </c>
      <c r="CF1228">
        <v>0</v>
      </c>
      <c r="CG1228">
        <v>0</v>
      </c>
      <c r="CH1228">
        <v>0</v>
      </c>
      <c r="CI1228">
        <v>0</v>
      </c>
      <c r="CJ1228">
        <v>0</v>
      </c>
      <c r="CK1228">
        <v>0</v>
      </c>
      <c r="CL1228">
        <v>0</v>
      </c>
      <c r="CM1228">
        <v>0</v>
      </c>
      <c r="CN1228">
        <v>0</v>
      </c>
      <c r="CO1228">
        <v>0</v>
      </c>
      <c r="CP1228" t="str">
        <f>IF($BN1228&lt;$BM1228,"refNeedCorrection","refOK")</f>
        <v>refOK</v>
      </c>
      <c r="CQ1228">
        <f>IF($CP1228="refNeedCorrection",BN1228,BM1228)</f>
        <v>562</v>
      </c>
      <c r="CR1228">
        <f>IF($CP1228="refNeedCorrection",BM1228,BN1228)</f>
        <v>922</v>
      </c>
      <c r="CS1228">
        <f>IF($CP1228="refOK",$BQ1228,-$BQ1228)</f>
        <v>0.73469387755102045</v>
      </c>
      <c r="CT1228">
        <f>IF(BI1228="Roundwood",$CS1228/2,$CS1228)</f>
        <v>0.73469387755102045</v>
      </c>
      <c r="CU1228">
        <f>IF($CP1228="refOK",$BU1228,$BV1228)*IF($BR1228="Emissions positive",-1,1)</f>
        <v>251.7</v>
      </c>
      <c r="CV1228">
        <f>IF($CP1228="refOK",$BV1228,$BU1228)*IF($BR1228="Emissions positive",-1,1)</f>
        <v>462.1</v>
      </c>
      <c r="CW1228">
        <f>IF($CP1228="refNeedCorrection",-BZ1228,BZ1228)*IF($BR1228="Emissions positive",-1,1)</f>
        <v>0.21040000000000003</v>
      </c>
      <c r="CX1228">
        <f>IFERROR($CW1228/$CS1228,"")</f>
        <v>0.28637777777777779</v>
      </c>
      <c r="CY1228">
        <f>IFERROR($CW1228/$CS1228,"")</f>
        <v>0.28637777777777779</v>
      </c>
      <c r="CZ1228">
        <f>IFERROR($CW1228/$CT1228,"")</f>
        <v>0.28637777777777779</v>
      </c>
      <c r="DA1228" s="2">
        <f>IFERROR((CV1228-CU1228)/ABS(CU1228),"")</f>
        <v>0.83591577274533191</v>
      </c>
      <c r="DB1228" s="1" t="s">
        <v>1074</v>
      </c>
      <c r="DC1228" t="str">
        <f>IF(OR($DB1228="prd",$DB1228="std",$DB1228="cit"),"loc",IF(OR($DB1228="eur",$DB1228="reg",$DB1228="coy"),"reg",$DB1228))</f>
        <v>reg</v>
      </c>
      <c r="DD1228" t="s">
        <v>1412</v>
      </c>
      <c r="DG1228">
        <v>500</v>
      </c>
      <c r="DH1228" t="str">
        <f>IF(DG1228=0,"0",IF(AND(DG1228&gt;=1,DG1228&lt;=30),"1-30",IF(AND(DG1228&gt;30,DG1228&lt;=70),"31-70",IF(AND(DG1228&gt;70,DG1228&lt;=100),"71-100",IF(DG1228&gt;100,"+100")))))</f>
        <v>+100</v>
      </c>
      <c r="DI1228">
        <v>0</v>
      </c>
      <c r="DJ1228">
        <v>0</v>
      </c>
      <c r="DK1228">
        <v>0</v>
      </c>
      <c r="DL1228">
        <v>1</v>
      </c>
      <c r="DN1228">
        <f>SUM(DI1228:DL1228)</f>
        <v>1</v>
      </c>
      <c r="DO1228" t="str">
        <f>IF(DN1228=1,INDEX($DI$7:$DL$7,MATCH(1,$DI1228:$DL1228,0)),"mixedProduct")</f>
        <v>TimberInput</v>
      </c>
      <c r="DP1228">
        <f>IF(DI1228=1,DP$7,0)</f>
        <v>0</v>
      </c>
      <c r="DQ1228">
        <f>IF(DJ1228=1,DQ$7,0)</f>
        <v>0</v>
      </c>
      <c r="DR1228">
        <f>IF(DK1228=1,DR$7,0)</f>
        <v>0</v>
      </c>
      <c r="DS1228" t="str">
        <f>IF(DL1228=1,DS$7,0)</f>
        <v>Timber</v>
      </c>
      <c r="DT1228">
        <v>0</v>
      </c>
      <c r="DU1228">
        <v>1</v>
      </c>
      <c r="DV1228">
        <v>0</v>
      </c>
      <c r="DW1228">
        <v>0</v>
      </c>
      <c r="DX1228" t="s">
        <v>1413</v>
      </c>
      <c r="DY1228">
        <f>SUM(DT1228:DU1228)</f>
        <v>1</v>
      </c>
      <c r="DZ1228" s="143" t="str">
        <f>IF(DT1228=1,"self-calculated DF",IF(DU1228=1,"external DF used","explicit C balance"))</f>
        <v>external DF used</v>
      </c>
      <c r="EA1228">
        <v>0</v>
      </c>
      <c r="EB1228">
        <v>0</v>
      </c>
      <c r="EC1228">
        <v>0</v>
      </c>
      <c r="ED1228">
        <v>0</v>
      </c>
      <c r="EE1228">
        <v>1</v>
      </c>
      <c r="EF1228" s="143">
        <v>1</v>
      </c>
      <c r="EG1228">
        <v>0</v>
      </c>
      <c r="EH1228">
        <v>1</v>
      </c>
      <c r="EI1228">
        <v>0</v>
      </c>
      <c r="EJ1228">
        <v>1</v>
      </c>
      <c r="EK1228">
        <v>1</v>
      </c>
      <c r="EL1228">
        <v>1</v>
      </c>
      <c r="EM1228">
        <v>1</v>
      </c>
      <c r="EN1228" s="2">
        <v>0</v>
      </c>
      <c r="EP1228" t="str">
        <f>IF(AND(AND(AND(OR($EC1228=1,$EB1228=1),OR($EH1228=1,$EF1228=1)),SUM($EA1228:$EE1228,$EK1228)&gt;=3),SUM($EF1228:$EJ1228)&gt;=2),"Whole sector approach","")</f>
        <v/>
      </c>
      <c r="EQ1228" t="str">
        <f>IF(AND(AND(OR($EC1228=1,$EB1228=1),AND($EH1228=0,$EF1228=0)),SUM($EA1228:$EE1228,$EK1228)&gt;=4),"Ecosystem approach","")</f>
        <v/>
      </c>
      <c r="ER1228" s="2" t="str">
        <f>IF(AND(AND(AND($EC1228=0,$EB1228=0),OR($EH1228=1,$EF1228=1)),SUM($EG1228:$EJ1228)&gt;=2),"Technology approach","")</f>
        <v>Technology approach</v>
      </c>
      <c r="ES1228" t="str">
        <f>IF(AND($EC1228+$EB1228+$EE1228+$EA1228+$ED1228+$EG1228=0,$N1228="included"),"C neutral forest and HWP assumption","")</f>
        <v/>
      </c>
      <c r="ET1228" t="str">
        <f>IF(AND(AND(AND(AND($EC1228=1,$EB1228+$EA1228+$EG1228&gt;=1),$EF1228=1),$EH1228+$EI1228+$ED1228+$EE1228&gt;=2),$N1228="included"),"All C pools assumption","")</f>
        <v/>
      </c>
      <c r="EU1228" t="str">
        <f>IF(AND($ED1228+$EE1228+$EI1228+$EH1228+$EF1228=0,$N1228="included"),"In-situ only assumption","")</f>
        <v/>
      </c>
      <c r="EY1228" t="str">
        <f>IF(ISNUMBER(BW1228),IF(ABS(BW1228-[2]QC_indicators!$B$2)&gt;3*[2]QC_indicators!$C$2,"C ratio",IF(ISNUMBER(CA1228),IF(ABS(CA1228-[2]QC_indicators!$B$1)&gt;3*[2]QC_indicators!$C$1,"DF","no"))),IF(ISNUMBER(CA1228),IF(ABS(CA1228-[2]QC_indicators!$B$1)&gt;3*[2]QC_indicators!$C$1,"DF","no")))</f>
        <v>no</v>
      </c>
      <c r="FA1228" t="str">
        <f>IF(LEN($CY1228)=0,"",IF(AND($CY1228&lt;(-0.05),$ES1228="C neutral forest and HWP assumption"),"Cneutral paradox",IF(AND($CY1228&gt;0.05,$EU1228="In-situ only assumption"),"In-situ only paradox","")))</f>
        <v/>
      </c>
      <c r="FD1228" s="260" t="s">
        <v>2948</v>
      </c>
    </row>
    <row r="1229" spans="1:160" hidden="1">
      <c r="A1229" s="1" t="s">
        <v>265</v>
      </c>
      <c r="B1229" t="s">
        <v>1403</v>
      </c>
      <c r="C1229" t="s">
        <v>1404</v>
      </c>
      <c r="D1229" t="s">
        <v>1405</v>
      </c>
      <c r="E1229" t="s">
        <v>1406</v>
      </c>
      <c r="F1229" t="s">
        <v>1407</v>
      </c>
      <c r="G1229" t="s">
        <v>271</v>
      </c>
      <c r="H1229" t="s">
        <v>254</v>
      </c>
      <c r="I1229">
        <v>2019</v>
      </c>
      <c r="J1229">
        <v>26</v>
      </c>
      <c r="K1229" t="s">
        <v>1408</v>
      </c>
      <c r="M1229" t="str">
        <f>LEFT($D1229,FIND(",",$D1229)-1)&amp;"_"&amp;I1229&amp;L1229</f>
        <v>Faraca_2019</v>
      </c>
      <c r="N1229" t="s">
        <v>222</v>
      </c>
      <c r="O1229" s="145" t="s">
        <v>274</v>
      </c>
      <c r="P1229" s="179" t="s">
        <v>223</v>
      </c>
      <c r="Q1229" t="s">
        <v>256</v>
      </c>
      <c r="R1229" s="258" t="s">
        <v>223</v>
      </c>
      <c r="S1229" s="1" t="s">
        <v>1418</v>
      </c>
      <c r="T1229" t="s">
        <v>1410</v>
      </c>
      <c r="U1229" t="s">
        <v>1421</v>
      </c>
      <c r="V1229" s="253">
        <v>0</v>
      </c>
      <c r="W1229" s="253">
        <v>0</v>
      </c>
      <c r="X1229">
        <v>0</v>
      </c>
      <c r="Y1229">
        <v>0</v>
      </c>
      <c r="Z1229">
        <v>0</v>
      </c>
      <c r="AA1229">
        <v>0</v>
      </c>
      <c r="AB1229">
        <v>0</v>
      </c>
      <c r="AC1229">
        <v>0</v>
      </c>
      <c r="AD1229">
        <v>0</v>
      </c>
      <c r="AE1229">
        <v>0</v>
      </c>
      <c r="AF1229">
        <v>0</v>
      </c>
      <c r="AG1229">
        <v>0</v>
      </c>
      <c r="AH1229">
        <v>0</v>
      </c>
      <c r="AI1229">
        <v>1</v>
      </c>
      <c r="AJ1229">
        <v>0</v>
      </c>
      <c r="AK1229">
        <v>0</v>
      </c>
      <c r="AL1229">
        <v>0</v>
      </c>
      <c r="AM1229">
        <v>0</v>
      </c>
      <c r="AN1229">
        <v>0</v>
      </c>
      <c r="AO1229">
        <v>0</v>
      </c>
      <c r="AP1229">
        <v>0</v>
      </c>
      <c r="AQ1229">
        <v>0</v>
      </c>
      <c r="AR1229">
        <v>0</v>
      </c>
      <c r="AS1229">
        <v>0</v>
      </c>
      <c r="AT1229">
        <v>0</v>
      </c>
      <c r="AU1229">
        <v>0</v>
      </c>
      <c r="AV1229">
        <v>0</v>
      </c>
      <c r="AW1229">
        <v>0</v>
      </c>
      <c r="AX1229">
        <v>0</v>
      </c>
      <c r="AY1229">
        <v>0</v>
      </c>
      <c r="AZ1229" s="141">
        <f>COUNTIF(X1229:AY1229,"&lt;&gt;0")</f>
        <v>1</v>
      </c>
      <c r="BA1229" s="141">
        <f>COUNTIF(X1229:AN1229,"&lt;&gt;0")</f>
        <v>1</v>
      </c>
      <c r="BB1229">
        <f>COUNTIF(X1229:AE1229,"&lt;&gt;0")</f>
        <v>0</v>
      </c>
      <c r="BC1229">
        <f>COUNTIF(AF1229:AK1229,"&lt;&gt;0")</f>
        <v>1</v>
      </c>
      <c r="BD1229">
        <f>COUNTIF(AL1229:AN1229,"&lt;&gt;0")</f>
        <v>0</v>
      </c>
      <c r="BE1229">
        <f>COUNTIF(AU1229:AY1229,"&lt;&gt;0")</f>
        <v>0</v>
      </c>
      <c r="BF1229">
        <f>COUNTIF(AO1229:AT1229,"&lt;&gt;0")</f>
        <v>0</v>
      </c>
      <c r="BG1229" t="str">
        <f t="array" ref="BG1229">IF(BA1229=1,INDEX($X$7:$AN$7,MATCH(TRUE,INDEX($X1229:$AY1229&lt;&gt;0,),0)),IF(BA1229=0,INDEX($AO$7:$AY$7,MATCH(1,$AO1229:$AY1229,0)),IF(BH1229="Multiple strategies","mixed drivers",IF(BH1229="Supply chain","multiple supply","multiple silviculture"))))</f>
        <v>recycling</v>
      </c>
      <c r="BH1229" s="2" t="str" cm="1">
        <f t="array" ref="BH1229">IF(COUNTIF(BB1229:BD1229,"&lt;&gt;0")=1,INDEX($X$4:$AY$4,MATCH(TRUE,INDEX($X1229:$AY1229&lt;&gt;0,),0)),IF(COUNTIF(BB1229:BD1229,"&lt;&gt;0")=0,INDEX($AO$4:$AY$4,MATCH(1,$AO1229:$AY1229,0)),"Multiple strategies"))</f>
        <v>Supply chain</v>
      </c>
      <c r="BI1229" s="1" t="s">
        <v>229</v>
      </c>
      <c r="BJ1229" t="s">
        <v>1420</v>
      </c>
      <c r="BL1229" t="s">
        <v>345</v>
      </c>
      <c r="BM1229">
        <v>922</v>
      </c>
      <c r="BN1229">
        <f>922+519+281+121</f>
        <v>1843</v>
      </c>
      <c r="BO1229">
        <v>1.9989154013015185</v>
      </c>
      <c r="BP1229">
        <f>BN1229-BM1229</f>
        <v>921</v>
      </c>
      <c r="BQ1229">
        <f>BP1229*kg_to_m3</f>
        <v>1.879591836734694</v>
      </c>
      <c r="BR1229" s="260" t="s">
        <v>395</v>
      </c>
      <c r="BT1229" t="s">
        <v>714</v>
      </c>
      <c r="BU1229">
        <v>-462.1</v>
      </c>
      <c r="BV1229">
        <v>-675.9</v>
      </c>
      <c r="BW1229" s="144">
        <v>-0.52307692307692311</v>
      </c>
      <c r="BX1229">
        <f>BV1229-BU1229</f>
        <v>-213.79999999999995</v>
      </c>
      <c r="BZ1229">
        <f>BX1229/1000</f>
        <v>-0.21379999999999996</v>
      </c>
      <c r="CA1229">
        <f>IFERROR(BZ1229/BQ1229,"")</f>
        <v>-0.11374809989142234</v>
      </c>
      <c r="CB1229">
        <v>0</v>
      </c>
      <c r="CC1229">
        <v>0</v>
      </c>
      <c r="CD1229">
        <v>0</v>
      </c>
      <c r="CE1229">
        <v>0</v>
      </c>
      <c r="CF1229">
        <v>0</v>
      </c>
      <c r="CG1229">
        <v>0</v>
      </c>
      <c r="CH1229">
        <v>0</v>
      </c>
      <c r="CI1229">
        <v>0</v>
      </c>
      <c r="CJ1229">
        <v>0</v>
      </c>
      <c r="CK1229">
        <v>0</v>
      </c>
      <c r="CL1229">
        <v>0</v>
      </c>
      <c r="CM1229">
        <v>0</v>
      </c>
      <c r="CN1229">
        <v>0</v>
      </c>
      <c r="CO1229">
        <v>0</v>
      </c>
      <c r="CP1229" t="str">
        <f>IF($BN1229&lt;$BM1229,"refNeedCorrection","refOK")</f>
        <v>refOK</v>
      </c>
      <c r="CQ1229">
        <f>IF($CP1229="refNeedCorrection",BN1229,BM1229)</f>
        <v>922</v>
      </c>
      <c r="CR1229">
        <f>IF($CP1229="refNeedCorrection",BM1229,BN1229)</f>
        <v>1843</v>
      </c>
      <c r="CS1229">
        <f>IF($CP1229="refOK",$BQ1229,-$BQ1229)</f>
        <v>1.879591836734694</v>
      </c>
      <c r="CT1229">
        <f>IF(BI1229="Roundwood",$CS1229/2,$CS1229)</f>
        <v>1.879591836734694</v>
      </c>
      <c r="CU1229">
        <f>IF($CP1229="refOK",$BU1229,$BV1229)*IF($BR1229="Emissions positive",-1,1)</f>
        <v>462.1</v>
      </c>
      <c r="CV1229">
        <f>IF($CP1229="refOK",$BV1229,$BU1229)*IF($BR1229="Emissions positive",-1,1)</f>
        <v>675.9</v>
      </c>
      <c r="CW1229">
        <f>IF($CP1229="refNeedCorrection",-BZ1229,BZ1229)*IF($BR1229="Emissions positive",-1,1)</f>
        <v>0.21379999999999996</v>
      </c>
      <c r="CX1229">
        <f>IFERROR($CW1229/$CS1229,"")</f>
        <v>0.11374809989142234</v>
      </c>
      <c r="CY1229">
        <f>IFERROR($CW1229/$CS1229,"")</f>
        <v>0.11374809989142234</v>
      </c>
      <c r="CZ1229">
        <f>IFERROR($CW1229/$CT1229,"")</f>
        <v>0.11374809989142234</v>
      </c>
      <c r="DA1229" s="2">
        <f>IFERROR((CV1229-CU1229)/ABS(CU1229),"")</f>
        <v>0.46267041765851535</v>
      </c>
      <c r="DB1229" s="1" t="s">
        <v>1074</v>
      </c>
      <c r="DC1229" t="str">
        <f>IF(OR($DB1229="prd",$DB1229="std",$DB1229="cit"),"loc",IF(OR($DB1229="eur",$DB1229="reg",$DB1229="coy"),"reg",$DB1229))</f>
        <v>reg</v>
      </c>
      <c r="DD1229" t="s">
        <v>1412</v>
      </c>
      <c r="DG1229">
        <v>500</v>
      </c>
      <c r="DH1229" t="str">
        <f>IF(DG1229=0,"0",IF(AND(DG1229&gt;=1,DG1229&lt;=30),"1-30",IF(AND(DG1229&gt;30,DG1229&lt;=70),"31-70",IF(AND(DG1229&gt;70,DG1229&lt;=100),"71-100",IF(DG1229&gt;100,"+100")))))</f>
        <v>+100</v>
      </c>
      <c r="DI1229">
        <v>0</v>
      </c>
      <c r="DJ1229">
        <v>0</v>
      </c>
      <c r="DK1229">
        <v>0</v>
      </c>
      <c r="DL1229">
        <v>1</v>
      </c>
      <c r="DN1229">
        <f>SUM(DI1229:DL1229)</f>
        <v>1</v>
      </c>
      <c r="DO1229" t="str">
        <f>IF(DN1229=1,INDEX($DI$7:$DL$7,MATCH(1,$DI1229:$DL1229,0)),"mixedProduct")</f>
        <v>TimberInput</v>
      </c>
      <c r="DP1229">
        <f>IF(DI1229=1,DP$7,0)</f>
        <v>0</v>
      </c>
      <c r="DQ1229">
        <f>IF(DJ1229=1,DQ$7,0)</f>
        <v>0</v>
      </c>
      <c r="DR1229">
        <f>IF(DK1229=1,DR$7,0)</f>
        <v>0</v>
      </c>
      <c r="DS1229" t="str">
        <f>IF(DL1229=1,DS$7,0)</f>
        <v>Timber</v>
      </c>
      <c r="DT1229">
        <v>0</v>
      </c>
      <c r="DU1229">
        <v>1</v>
      </c>
      <c r="DV1229">
        <v>0</v>
      </c>
      <c r="DW1229">
        <v>0</v>
      </c>
      <c r="DX1229" t="s">
        <v>1413</v>
      </c>
      <c r="DY1229">
        <f>SUM(DT1229:DU1229)</f>
        <v>1</v>
      </c>
      <c r="DZ1229" s="143" t="str">
        <f>IF(DT1229=1,"self-calculated DF",IF(DU1229=1,"external DF used","explicit C balance"))</f>
        <v>external DF used</v>
      </c>
      <c r="EA1229">
        <v>0</v>
      </c>
      <c r="EB1229">
        <v>0</v>
      </c>
      <c r="EC1229">
        <v>0</v>
      </c>
      <c r="ED1229">
        <v>0</v>
      </c>
      <c r="EE1229">
        <v>1</v>
      </c>
      <c r="EF1229" s="143">
        <v>1</v>
      </c>
      <c r="EG1229">
        <v>0</v>
      </c>
      <c r="EH1229">
        <v>1</v>
      </c>
      <c r="EI1229">
        <v>0</v>
      </c>
      <c r="EJ1229">
        <v>1</v>
      </c>
      <c r="EK1229">
        <v>1</v>
      </c>
      <c r="EL1229">
        <v>1</v>
      </c>
      <c r="EM1229">
        <v>1</v>
      </c>
      <c r="EN1229" s="2">
        <v>0</v>
      </c>
      <c r="EP1229" t="str">
        <f>IF(AND(AND(AND(OR($EC1229=1,$EB1229=1),OR($EH1229=1,$EF1229=1)),SUM($EA1229:$EE1229,$EK1229)&gt;=3),SUM($EF1229:$EJ1229)&gt;=2),"Whole sector approach","")</f>
        <v/>
      </c>
      <c r="EQ1229" t="str">
        <f>IF(AND(AND(OR($EC1229=1,$EB1229=1),AND($EH1229=0,$EF1229=0)),SUM($EA1229:$EE1229,$EK1229)&gt;=4),"Ecosystem approach","")</f>
        <v/>
      </c>
      <c r="ER1229" s="2" t="str">
        <f>IF(AND(AND(AND($EC1229=0,$EB1229=0),OR($EH1229=1,$EF1229=1)),SUM($EG1229:$EJ1229)&gt;=2),"Technology approach","")</f>
        <v>Technology approach</v>
      </c>
      <c r="ES1229" t="str">
        <f>IF(AND($EC1229+$EB1229+$EE1229+$EA1229+$ED1229+$EG1229=0,$N1229="included"),"C neutral forest and HWP assumption","")</f>
        <v/>
      </c>
      <c r="ET1229" t="str">
        <f>IF(AND(AND(AND(AND($EC1229=1,$EB1229+$EA1229+$EG1229&gt;=1),$EF1229=1),$EH1229+$EI1229+$ED1229+$EE1229&gt;=2),$N1229="included"),"All C pools assumption","")</f>
        <v/>
      </c>
      <c r="EU1229" t="str">
        <f>IF(AND($ED1229+$EE1229+$EI1229+$EH1229+$EF1229=0,$N1229="included"),"In-situ only assumption","")</f>
        <v/>
      </c>
      <c r="EY1229" t="str">
        <f>IF(ISNUMBER(BW1229),IF(ABS(BW1229-[2]QC_indicators!$B$2)&gt;3*[2]QC_indicators!$C$2,"C ratio",IF(ISNUMBER(CA1229),IF(ABS(CA1229-[2]QC_indicators!$B$1)&gt;3*[2]QC_indicators!$C$1,"DF","no"))),IF(ISNUMBER(CA1229),IF(ABS(CA1229-[2]QC_indicators!$B$1)&gt;3*[2]QC_indicators!$C$1,"DF","no")))</f>
        <v>no</v>
      </c>
      <c r="FA1229" t="str">
        <f>IF(LEN($CY1229)=0,"",IF(AND($CY1229&lt;(-0.05),$ES1229="C neutral forest and HWP assumption"),"Cneutral paradox",IF(AND($CY1229&gt;0.05,$EU1229="In-situ only assumption"),"In-situ only paradox","")))</f>
        <v/>
      </c>
      <c r="FD1229" s="260" t="s">
        <v>2948</v>
      </c>
    </row>
    <row r="1230" spans="1:160" ht="15" hidden="1" customHeight="1">
      <c r="A1230" s="1" t="s">
        <v>265</v>
      </c>
      <c r="B1230" t="s">
        <v>1403</v>
      </c>
      <c r="C1230" t="s">
        <v>1404</v>
      </c>
      <c r="D1230" t="s">
        <v>1405</v>
      </c>
      <c r="E1230" t="s">
        <v>1406</v>
      </c>
      <c r="F1230" t="s">
        <v>1407</v>
      </c>
      <c r="G1230" t="s">
        <v>271</v>
      </c>
      <c r="H1230" t="s">
        <v>254</v>
      </c>
      <c r="I1230">
        <v>2019</v>
      </c>
      <c r="J1230">
        <v>26</v>
      </c>
      <c r="K1230" t="s">
        <v>1408</v>
      </c>
      <c r="M1230" t="str">
        <f>LEFT($D1230,FIND(",",$D1230)-1)&amp;"_"&amp;I1230&amp;L1230</f>
        <v>Faraca_2019</v>
      </c>
      <c r="N1230" t="s">
        <v>222</v>
      </c>
      <c r="O1230" s="145" t="s">
        <v>274</v>
      </c>
      <c r="P1230" s="179" t="s">
        <v>223</v>
      </c>
      <c r="Q1230" t="s">
        <v>256</v>
      </c>
      <c r="R1230" s="258" t="s">
        <v>223</v>
      </c>
      <c r="S1230" s="1" t="s">
        <v>1418</v>
      </c>
      <c r="T1230" t="s">
        <v>932</v>
      </c>
      <c r="U1230" t="s">
        <v>1419</v>
      </c>
      <c r="V1230" s="253">
        <v>0</v>
      </c>
      <c r="W1230" s="253">
        <v>0</v>
      </c>
      <c r="X1230">
        <v>0</v>
      </c>
      <c r="Y1230">
        <v>0</v>
      </c>
      <c r="Z1230">
        <v>0</v>
      </c>
      <c r="AA1230">
        <v>0</v>
      </c>
      <c r="AB1230">
        <v>0</v>
      </c>
      <c r="AC1230">
        <v>0</v>
      </c>
      <c r="AD1230">
        <v>0</v>
      </c>
      <c r="AE1230">
        <v>0</v>
      </c>
      <c r="AF1230">
        <v>0</v>
      </c>
      <c r="AG1230">
        <v>0</v>
      </c>
      <c r="AH1230">
        <v>0</v>
      </c>
      <c r="AI1230">
        <v>1</v>
      </c>
      <c r="AJ1230">
        <v>0</v>
      </c>
      <c r="AK1230">
        <v>0</v>
      </c>
      <c r="AL1230">
        <v>0</v>
      </c>
      <c r="AM1230">
        <v>0</v>
      </c>
      <c r="AN1230">
        <v>0</v>
      </c>
      <c r="AO1230">
        <v>0</v>
      </c>
      <c r="AP1230">
        <v>0</v>
      </c>
      <c r="AQ1230">
        <v>0</v>
      </c>
      <c r="AR1230">
        <v>0</v>
      </c>
      <c r="AS1230">
        <v>0</v>
      </c>
      <c r="AT1230">
        <v>0</v>
      </c>
      <c r="AU1230">
        <v>0</v>
      </c>
      <c r="AV1230">
        <v>0</v>
      </c>
      <c r="AW1230">
        <v>0</v>
      </c>
      <c r="AX1230">
        <v>0</v>
      </c>
      <c r="AY1230">
        <v>0</v>
      </c>
      <c r="AZ1230" s="141">
        <f>COUNTIF(X1230:AY1230,"&lt;&gt;0")</f>
        <v>1</v>
      </c>
      <c r="BA1230" s="141">
        <f>COUNTIF(X1230:AN1230,"&lt;&gt;0")</f>
        <v>1</v>
      </c>
      <c r="BB1230">
        <f>COUNTIF(X1230:AE1230,"&lt;&gt;0")</f>
        <v>0</v>
      </c>
      <c r="BC1230">
        <f>COUNTIF(AF1230:AK1230,"&lt;&gt;0")</f>
        <v>1</v>
      </c>
      <c r="BD1230">
        <f>COUNTIF(AL1230:AN1230,"&lt;&gt;0")</f>
        <v>0</v>
      </c>
      <c r="BE1230">
        <f>COUNTIF(AU1230:AY1230,"&lt;&gt;0")</f>
        <v>0</v>
      </c>
      <c r="BF1230">
        <f>COUNTIF(AO1230:AT1230,"&lt;&gt;0")</f>
        <v>0</v>
      </c>
      <c r="BG1230" t="str">
        <f t="array" ref="BG1230">IF(BA1230=1,INDEX($X$7:$AN$7,MATCH(TRUE,INDEX($X1230:$AY1230&lt;&gt;0,),0)),IF(BA1230=0,INDEX($AO$7:$AY$7,MATCH(1,$AO1230:$AY1230,0)),IF(BH1230="Multiple strategies","mixed drivers",IF(BH1230="Supply chain","multiple supply","multiple silviculture"))))</f>
        <v>recycling</v>
      </c>
      <c r="BH1230" s="2" t="str" cm="1">
        <f t="array" ref="BH1230">IF(COUNTIF(BB1230:BD1230,"&lt;&gt;0")=1,INDEX($X$4:$AY$4,MATCH(TRUE,INDEX($X1230:$AY1230&lt;&gt;0,),0)),IF(COUNTIF(BB1230:BD1230,"&lt;&gt;0")=0,INDEX($AO$4:$AY$4,MATCH(1,$AO1230:$AY1230,0)),"Multiple strategies"))</f>
        <v>Supply chain</v>
      </c>
      <c r="BI1230" s="1" t="s">
        <v>229</v>
      </c>
      <c r="BJ1230" t="s">
        <v>1420</v>
      </c>
      <c r="BK1230" s="260" t="s">
        <v>2800</v>
      </c>
      <c r="BL1230" t="s">
        <v>345</v>
      </c>
      <c r="BM1230">
        <v>636</v>
      </c>
      <c r="BN1230">
        <f>638+378+212+115</f>
        <v>1343</v>
      </c>
      <c r="BO1230">
        <v>2.108490566037736</v>
      </c>
      <c r="BP1230">
        <f>BN1230-BM1230</f>
        <v>707</v>
      </c>
      <c r="BQ1230">
        <f>BP1230*kg_to_m3</f>
        <v>1.4428571428571431</v>
      </c>
      <c r="BR1230" s="260" t="s">
        <v>395</v>
      </c>
      <c r="BT1230" t="s">
        <v>714</v>
      </c>
      <c r="BU1230">
        <v>-548.29999999999995</v>
      </c>
      <c r="BV1230">
        <v>-779.3</v>
      </c>
      <c r="BW1230" s="144">
        <v>1.5227272727272727</v>
      </c>
      <c r="BX1230">
        <f>BV1230-BU1230</f>
        <v>-231</v>
      </c>
      <c r="BZ1230">
        <f>BX1230/1000</f>
        <v>-0.23100000000000001</v>
      </c>
      <c r="CA1230">
        <f>IFERROR(BZ1230/BQ1230,"")</f>
        <v>-0.16009900990099007</v>
      </c>
      <c r="CB1230">
        <v>0</v>
      </c>
      <c r="CC1230">
        <v>0</v>
      </c>
      <c r="CD1230">
        <v>0</v>
      </c>
      <c r="CE1230">
        <v>0</v>
      </c>
      <c r="CF1230">
        <v>0</v>
      </c>
      <c r="CG1230">
        <v>0</v>
      </c>
      <c r="CH1230">
        <v>0</v>
      </c>
      <c r="CI1230">
        <v>0</v>
      </c>
      <c r="CJ1230">
        <v>0</v>
      </c>
      <c r="CK1230">
        <v>0</v>
      </c>
      <c r="CL1230">
        <v>0</v>
      </c>
      <c r="CM1230">
        <v>0</v>
      </c>
      <c r="CN1230">
        <v>0</v>
      </c>
      <c r="CO1230">
        <v>0</v>
      </c>
      <c r="CP1230" t="str">
        <f>IF($BN1230&lt;$BM1230,"refNeedCorrection","refOK")</f>
        <v>refOK</v>
      </c>
      <c r="CQ1230">
        <f>IF($CP1230="refNeedCorrection",BN1230,BM1230)</f>
        <v>636</v>
      </c>
      <c r="CR1230">
        <f>IF($CP1230="refNeedCorrection",BM1230,BN1230)</f>
        <v>1343</v>
      </c>
      <c r="CS1230">
        <f>IF($CP1230="refOK",$BQ1230,-$BQ1230)</f>
        <v>1.4428571428571431</v>
      </c>
      <c r="CT1230">
        <f>IF(BI1230="Roundwood",$CS1230/2,$CS1230)</f>
        <v>1.4428571428571431</v>
      </c>
      <c r="CU1230">
        <f>IF($CP1230="refOK",$BU1230,$BV1230)*IF($BR1230="Emissions positive",-1,1)</f>
        <v>548.29999999999995</v>
      </c>
      <c r="CV1230">
        <f>IF($CP1230="refOK",$BV1230,$BU1230)*IF($BR1230="Emissions positive",-1,1)</f>
        <v>779.3</v>
      </c>
      <c r="CW1230">
        <f>IF($CP1230="refNeedCorrection",-BZ1230,BZ1230)*IF($BR1230="Emissions positive",-1,1)</f>
        <v>0.23100000000000001</v>
      </c>
      <c r="CX1230">
        <f>IFERROR($CW1230/$CS1230,"")</f>
        <v>0.16009900990099007</v>
      </c>
      <c r="CY1230">
        <f>IFERROR($CW1230/$CS1230,"")</f>
        <v>0.16009900990099007</v>
      </c>
      <c r="CZ1230">
        <f>IFERROR($CW1230/$CT1230,"")</f>
        <v>0.16009900990099007</v>
      </c>
      <c r="DA1230" s="2">
        <f>IFERROR((CV1230-CU1230)/ABS(CU1230),"")</f>
        <v>0.42130220682108338</v>
      </c>
      <c r="DB1230" s="1" t="s">
        <v>1074</v>
      </c>
      <c r="DC1230" t="str">
        <f>IF(OR($DB1230="prd",$DB1230="std",$DB1230="cit"),"loc",IF(OR($DB1230="eur",$DB1230="reg",$DB1230="coy"),"reg",$DB1230))</f>
        <v>reg</v>
      </c>
      <c r="DD1230" t="s">
        <v>1412</v>
      </c>
      <c r="DG1230">
        <v>100</v>
      </c>
      <c r="DH1230" t="str">
        <f>IF(DG1230=0,"0",IF(AND(DG1230&gt;=1,DG1230&lt;=30),"1-30",IF(AND(DG1230&gt;30,DG1230&lt;=70),"31-70",IF(AND(DG1230&gt;70,DG1230&lt;=100),"71-100",IF(DG1230&gt;100,"+100")))))</f>
        <v>71-100</v>
      </c>
      <c r="DI1230">
        <v>0</v>
      </c>
      <c r="DJ1230">
        <v>0</v>
      </c>
      <c r="DK1230">
        <v>0</v>
      </c>
      <c r="DL1230">
        <v>1</v>
      </c>
      <c r="DN1230">
        <f>SUM(DI1230:DL1230)</f>
        <v>1</v>
      </c>
      <c r="DO1230" t="str">
        <f>IF(DN1230=1,INDEX($DI$7:$DL$7,MATCH(1,$DI1230:$DL1230,0)),"mixedProduct")</f>
        <v>TimberInput</v>
      </c>
      <c r="DP1230">
        <f>IF(DI1230=1,DP$7,0)</f>
        <v>0</v>
      </c>
      <c r="DQ1230">
        <f>IF(DJ1230=1,DQ$7,0)</f>
        <v>0</v>
      </c>
      <c r="DR1230">
        <f>IF(DK1230=1,DR$7,0)</f>
        <v>0</v>
      </c>
      <c r="DS1230" t="str">
        <f>IF(DL1230=1,DS$7,0)</f>
        <v>Timber</v>
      </c>
      <c r="DT1230">
        <v>0</v>
      </c>
      <c r="DU1230">
        <v>1</v>
      </c>
      <c r="DV1230">
        <v>0</v>
      </c>
      <c r="DW1230">
        <v>0</v>
      </c>
      <c r="DX1230" t="s">
        <v>1413</v>
      </c>
      <c r="DY1230">
        <f>SUM(DT1230:DU1230)</f>
        <v>1</v>
      </c>
      <c r="DZ1230" s="143" t="str">
        <f>IF(DT1230=1,"self-calculated DF",IF(DU1230=1,"external DF used","explicit C balance"))</f>
        <v>external DF used</v>
      </c>
      <c r="EA1230">
        <v>0</v>
      </c>
      <c r="EB1230">
        <v>0</v>
      </c>
      <c r="EC1230">
        <v>0</v>
      </c>
      <c r="ED1230">
        <v>0</v>
      </c>
      <c r="EE1230">
        <v>1</v>
      </c>
      <c r="EF1230" s="143">
        <v>1</v>
      </c>
      <c r="EG1230">
        <v>0</v>
      </c>
      <c r="EH1230">
        <v>1</v>
      </c>
      <c r="EI1230">
        <v>0</v>
      </c>
      <c r="EJ1230">
        <v>1</v>
      </c>
      <c r="EK1230">
        <v>1</v>
      </c>
      <c r="EL1230">
        <v>1</v>
      </c>
      <c r="EM1230">
        <v>1</v>
      </c>
      <c r="EN1230" s="2">
        <v>0</v>
      </c>
      <c r="EP1230" t="str">
        <f>IF(AND(AND(AND(OR($EC1230=1,$EB1230=1),OR($EH1230=1,$EF1230=1)),SUM($EA1230:$EE1230,$EK1230)&gt;=3),SUM($EF1230:$EJ1230)&gt;=2),"Whole sector approach","")</f>
        <v/>
      </c>
      <c r="EQ1230" t="str">
        <f>IF(AND(AND(OR($EC1230=1,$EB1230=1),AND($EH1230=0,$EF1230=0)),SUM($EA1230:$EE1230,$EK1230)&gt;=4),"Ecosystem approach","")</f>
        <v/>
      </c>
      <c r="ER1230" s="2" t="str">
        <f>IF(AND(AND(AND($EC1230=0,$EB1230=0),OR($EH1230=1,$EF1230=1)),SUM($EG1230:$EJ1230)&gt;=2),"Technology approach","")</f>
        <v>Technology approach</v>
      </c>
      <c r="ES1230" t="str">
        <f>IF(AND($EC1230+$EB1230+$EE1230+$EA1230+$ED1230+$EG1230=0,$N1230="included"),"C neutral forest and HWP assumption","")</f>
        <v/>
      </c>
      <c r="ET1230" t="str">
        <f>IF(AND(AND(AND(AND($EC1230=1,$EB1230+$EA1230+$EG1230&gt;=1),$EF1230=1),$EH1230+$EI1230+$ED1230+$EE1230&gt;=2),$N1230="included"),"All C pools assumption","")</f>
        <v/>
      </c>
      <c r="EU1230" t="str">
        <f>IF(AND($ED1230+$EE1230+$EI1230+$EH1230+$EF1230=0,$N1230="included"),"In-situ only assumption","")</f>
        <v/>
      </c>
      <c r="EY1230" t="str">
        <f>IF(ISNUMBER(BW1230),IF(ABS(BW1230-[2]QC_indicators!$B$2)&gt;3*[2]QC_indicators!$C$2,"C ratio",IF(ISNUMBER(CA1230),IF(ABS(CA1230-[2]QC_indicators!$B$1)&gt;3*[2]QC_indicators!$C$1,"DF","no"))),IF(ISNUMBER(CA1230),IF(ABS(CA1230-[2]QC_indicators!$B$1)&gt;3*[2]QC_indicators!$C$1,"DF","no")))</f>
        <v>no</v>
      </c>
      <c r="FA1230" t="str">
        <f>IF(LEN($CY1230)=0,"",IF(AND($CY1230&lt;(-0.05),$ES1230="C neutral forest and HWP assumption"),"Cneutral paradox",IF(AND($CY1230&gt;0.05,$EU1230="In-situ only assumption"),"In-situ only paradox","")))</f>
        <v/>
      </c>
      <c r="FD1230" s="260" t="s">
        <v>2948</v>
      </c>
    </row>
    <row r="1231" spans="1:160" ht="15" hidden="1" customHeight="1">
      <c r="A1231" s="1" t="s">
        <v>265</v>
      </c>
      <c r="B1231" t="s">
        <v>1403</v>
      </c>
      <c r="C1231" t="s">
        <v>1404</v>
      </c>
      <c r="D1231" t="s">
        <v>1405</v>
      </c>
      <c r="E1231" t="s">
        <v>1406</v>
      </c>
      <c r="F1231" t="s">
        <v>1407</v>
      </c>
      <c r="G1231" t="s">
        <v>271</v>
      </c>
      <c r="H1231" t="s">
        <v>254</v>
      </c>
      <c r="I1231">
        <v>2019</v>
      </c>
      <c r="J1231">
        <v>26</v>
      </c>
      <c r="K1231" t="s">
        <v>1408</v>
      </c>
      <c r="M1231" t="str">
        <f>LEFT($D1231,FIND(",",$D1231)-1)&amp;"_"&amp;I1231&amp;L1231</f>
        <v>Faraca_2019</v>
      </c>
      <c r="N1231" t="s">
        <v>222</v>
      </c>
      <c r="O1231" s="145" t="s">
        <v>274</v>
      </c>
      <c r="P1231" s="179" t="s">
        <v>223</v>
      </c>
      <c r="Q1231" t="s">
        <v>256</v>
      </c>
      <c r="R1231" s="258" t="s">
        <v>223</v>
      </c>
      <c r="S1231" s="1" t="s">
        <v>1418</v>
      </c>
      <c r="T1231" t="s">
        <v>1422</v>
      </c>
      <c r="U1231" t="s">
        <v>1423</v>
      </c>
      <c r="V1231" s="253">
        <v>0</v>
      </c>
      <c r="W1231" s="253">
        <v>0</v>
      </c>
      <c r="X1231">
        <v>0</v>
      </c>
      <c r="Y1231">
        <v>0</v>
      </c>
      <c r="Z1231">
        <v>0</v>
      </c>
      <c r="AA1231">
        <v>0</v>
      </c>
      <c r="AB1231">
        <v>0</v>
      </c>
      <c r="AC1231">
        <v>0</v>
      </c>
      <c r="AD1231">
        <v>0</v>
      </c>
      <c r="AE1231">
        <v>0</v>
      </c>
      <c r="AF1231">
        <v>0</v>
      </c>
      <c r="AG1231">
        <v>0</v>
      </c>
      <c r="AH1231">
        <v>0</v>
      </c>
      <c r="AI1231">
        <v>1</v>
      </c>
      <c r="AJ1231">
        <v>0</v>
      </c>
      <c r="AK1231">
        <v>0</v>
      </c>
      <c r="AL1231">
        <v>0</v>
      </c>
      <c r="AM1231">
        <v>0</v>
      </c>
      <c r="AN1231">
        <v>0</v>
      </c>
      <c r="AO1231">
        <v>0</v>
      </c>
      <c r="AP1231">
        <v>0</v>
      </c>
      <c r="AQ1231">
        <v>0</v>
      </c>
      <c r="AR1231">
        <v>0</v>
      </c>
      <c r="AS1231">
        <v>0</v>
      </c>
      <c r="AT1231">
        <v>0</v>
      </c>
      <c r="AU1231">
        <v>0</v>
      </c>
      <c r="AV1231">
        <v>0</v>
      </c>
      <c r="AW1231">
        <v>0</v>
      </c>
      <c r="AX1231">
        <v>0</v>
      </c>
      <c r="AY1231">
        <v>0</v>
      </c>
      <c r="AZ1231" s="141">
        <f>COUNTIF(X1231:AY1231,"&lt;&gt;0")</f>
        <v>1</v>
      </c>
      <c r="BA1231" s="141">
        <f>COUNTIF(X1231:AN1231,"&lt;&gt;0")</f>
        <v>1</v>
      </c>
      <c r="BB1231">
        <f>COUNTIF(X1231:AE1231,"&lt;&gt;0")</f>
        <v>0</v>
      </c>
      <c r="BC1231">
        <f>COUNTIF(AF1231:AK1231,"&lt;&gt;0")</f>
        <v>1</v>
      </c>
      <c r="BD1231">
        <f>COUNTIF(AL1231:AN1231,"&lt;&gt;0")</f>
        <v>0</v>
      </c>
      <c r="BE1231">
        <f>COUNTIF(AU1231:AY1231,"&lt;&gt;0")</f>
        <v>0</v>
      </c>
      <c r="BF1231">
        <f>COUNTIF(AO1231:AT1231,"&lt;&gt;0")</f>
        <v>0</v>
      </c>
      <c r="BG1231" t="str">
        <f t="array" ref="BG1231">IF(BA1231=1,INDEX($X$7:$AN$7,MATCH(TRUE,INDEX($X1231:$AY1231&lt;&gt;0,),0)),IF(BA1231=0,INDEX($AO$7:$AY$7,MATCH(1,$AO1231:$AY1231,0)),IF(BH1231="Multiple strategies","mixed drivers",IF(BH1231="Supply chain","multiple supply","multiple silviculture"))))</f>
        <v>recycling</v>
      </c>
      <c r="BH1231" s="2" t="str" cm="1">
        <f t="array" ref="BH1231">IF(COUNTIF(BB1231:BD1231,"&lt;&gt;0")=1,INDEX($X$4:$AY$4,MATCH(TRUE,INDEX($X1231:$AY1231&lt;&gt;0,),0)),IF(COUNTIF(BB1231:BD1231,"&lt;&gt;0")=0,INDEX($AO$4:$AY$4,MATCH(1,$AO1231:$AY1231,0)),"Multiple strategies"))</f>
        <v>Supply chain</v>
      </c>
      <c r="BI1231" s="1" t="s">
        <v>229</v>
      </c>
      <c r="BJ1231" t="s">
        <v>1420</v>
      </c>
      <c r="BK1231" s="260" t="s">
        <v>2800</v>
      </c>
      <c r="BL1231" t="s">
        <v>345</v>
      </c>
      <c r="BM1231">
        <v>478</v>
      </c>
      <c r="BN1231">
        <f>478+409+223+122</f>
        <v>1232</v>
      </c>
      <c r="BO1231">
        <v>2.5774058577405858</v>
      </c>
      <c r="BP1231">
        <f>BN1231-BM1231</f>
        <v>754</v>
      </c>
      <c r="BQ1231">
        <f>BP1231*kg_to_m3</f>
        <v>1.5387755102040819</v>
      </c>
      <c r="BR1231" s="260" t="s">
        <v>395</v>
      </c>
      <c r="BT1231" t="s">
        <v>714</v>
      </c>
      <c r="BU1231">
        <v>-520.70000000000005</v>
      </c>
      <c r="BV1231">
        <v>-762.1</v>
      </c>
      <c r="BW1231" s="144">
        <v>1.6646341463414633</v>
      </c>
      <c r="BX1231">
        <f>BV1231-BU1231</f>
        <v>-241.39999999999998</v>
      </c>
      <c r="BZ1231">
        <f>BX1231/1000</f>
        <v>-0.24139999999999998</v>
      </c>
      <c r="CA1231">
        <f>IFERROR(BZ1231/BQ1231,"")</f>
        <v>-0.1568779840848806</v>
      </c>
      <c r="CB1231">
        <v>0</v>
      </c>
      <c r="CC1231">
        <v>0</v>
      </c>
      <c r="CD1231">
        <v>0</v>
      </c>
      <c r="CE1231">
        <v>0</v>
      </c>
      <c r="CF1231">
        <v>0</v>
      </c>
      <c r="CG1231">
        <v>0</v>
      </c>
      <c r="CH1231">
        <v>0</v>
      </c>
      <c r="CI1231">
        <v>0</v>
      </c>
      <c r="CJ1231">
        <v>0</v>
      </c>
      <c r="CK1231">
        <v>0</v>
      </c>
      <c r="CL1231">
        <v>0</v>
      </c>
      <c r="CM1231">
        <v>0</v>
      </c>
      <c r="CN1231">
        <v>0</v>
      </c>
      <c r="CO1231">
        <v>0</v>
      </c>
      <c r="CP1231" t="str">
        <f>IF($BN1231&lt;$BM1231,"refNeedCorrection","refOK")</f>
        <v>refOK</v>
      </c>
      <c r="CQ1231">
        <f>IF($CP1231="refNeedCorrection",BN1231,BM1231)</f>
        <v>478</v>
      </c>
      <c r="CR1231">
        <f>IF($CP1231="refNeedCorrection",BM1231,BN1231)</f>
        <v>1232</v>
      </c>
      <c r="CS1231">
        <f>IF($CP1231="refOK",$BQ1231,-$BQ1231)</f>
        <v>1.5387755102040819</v>
      </c>
      <c r="CT1231">
        <f>IF(BI1231="Roundwood",$CS1231/2,$CS1231)</f>
        <v>1.5387755102040819</v>
      </c>
      <c r="CU1231">
        <f>IF($CP1231="refOK",$BU1231,$BV1231)*IF($BR1231="Emissions positive",-1,1)</f>
        <v>520.70000000000005</v>
      </c>
      <c r="CV1231">
        <f>IF($CP1231="refOK",$BV1231,$BU1231)*IF($BR1231="Emissions positive",-1,1)</f>
        <v>762.1</v>
      </c>
      <c r="CW1231">
        <f>IF($CP1231="refNeedCorrection",-BZ1231,BZ1231)*IF($BR1231="Emissions positive",-1,1)</f>
        <v>0.24139999999999998</v>
      </c>
      <c r="CX1231">
        <f>IFERROR($CW1231/$CS1231,"")</f>
        <v>0.1568779840848806</v>
      </c>
      <c r="CY1231">
        <f>IFERROR($CW1231/$CS1231,"")</f>
        <v>0.1568779840848806</v>
      </c>
      <c r="CZ1231">
        <f>IFERROR($CW1231/$CT1231,"")</f>
        <v>0.1568779840848806</v>
      </c>
      <c r="DA1231" s="2">
        <f>IFERROR((CV1231-CU1231)/ABS(CU1231),"")</f>
        <v>0.46360668331092753</v>
      </c>
      <c r="DB1231" s="1" t="s">
        <v>1074</v>
      </c>
      <c r="DC1231" t="str">
        <f>IF(OR($DB1231="prd",$DB1231="std",$DB1231="cit"),"loc",IF(OR($DB1231="eur",$DB1231="reg",$DB1231="coy"),"reg",$DB1231))</f>
        <v>reg</v>
      </c>
      <c r="DD1231" t="s">
        <v>1412</v>
      </c>
      <c r="DG1231">
        <v>500</v>
      </c>
      <c r="DH1231" t="str">
        <f>IF(DG1231=0,"0",IF(AND(DG1231&gt;=1,DG1231&lt;=30),"1-30",IF(AND(DG1231&gt;30,DG1231&lt;=70),"31-70",IF(AND(DG1231&gt;70,DG1231&lt;=100),"71-100",IF(DG1231&gt;100,"+100")))))</f>
        <v>+100</v>
      </c>
      <c r="DI1231">
        <v>0</v>
      </c>
      <c r="DJ1231">
        <v>0</v>
      </c>
      <c r="DK1231">
        <v>0</v>
      </c>
      <c r="DL1231">
        <v>1</v>
      </c>
      <c r="DN1231">
        <f>SUM(DI1231:DL1231)</f>
        <v>1</v>
      </c>
      <c r="DO1231" t="str">
        <f>IF(DN1231=1,INDEX($DI$7:$DL$7,MATCH(1,$DI1231:$DL1231,0)),"mixedProduct")</f>
        <v>TimberInput</v>
      </c>
      <c r="DP1231">
        <f>IF(DI1231=1,DP$7,0)</f>
        <v>0</v>
      </c>
      <c r="DQ1231">
        <f>IF(DJ1231=1,DQ$7,0)</f>
        <v>0</v>
      </c>
      <c r="DR1231">
        <f>IF(DK1231=1,DR$7,0)</f>
        <v>0</v>
      </c>
      <c r="DS1231" t="str">
        <f>IF(DL1231=1,DS$7,0)</f>
        <v>Timber</v>
      </c>
      <c r="DT1231">
        <v>0</v>
      </c>
      <c r="DU1231">
        <v>1</v>
      </c>
      <c r="DV1231">
        <v>0</v>
      </c>
      <c r="DW1231">
        <v>0</v>
      </c>
      <c r="DX1231" t="s">
        <v>1413</v>
      </c>
      <c r="DY1231">
        <f>SUM(DT1231:DU1231)</f>
        <v>1</v>
      </c>
      <c r="DZ1231" s="143" t="str">
        <f>IF(DT1231=1,"self-calculated DF",IF(DU1231=1,"external DF used","explicit C balance"))</f>
        <v>external DF used</v>
      </c>
      <c r="EA1231">
        <v>0</v>
      </c>
      <c r="EB1231">
        <v>0</v>
      </c>
      <c r="EC1231">
        <v>0</v>
      </c>
      <c r="ED1231">
        <v>0</v>
      </c>
      <c r="EE1231">
        <v>1</v>
      </c>
      <c r="EF1231" s="143">
        <v>1</v>
      </c>
      <c r="EG1231">
        <v>0</v>
      </c>
      <c r="EH1231">
        <v>1</v>
      </c>
      <c r="EI1231">
        <v>0</v>
      </c>
      <c r="EJ1231">
        <v>1</v>
      </c>
      <c r="EK1231">
        <v>1</v>
      </c>
      <c r="EL1231">
        <v>1</v>
      </c>
      <c r="EM1231">
        <v>1</v>
      </c>
      <c r="EN1231" s="2">
        <v>0</v>
      </c>
      <c r="EP1231" t="str">
        <f>IF(AND(AND(AND(OR($EC1231=1,$EB1231=1),OR($EH1231=1,$EF1231=1)),SUM($EA1231:$EE1231,$EK1231)&gt;=3),SUM($EF1231:$EJ1231)&gt;=2),"Whole sector approach","")</f>
        <v/>
      </c>
      <c r="EQ1231" t="str">
        <f>IF(AND(AND(OR($EC1231=1,$EB1231=1),AND($EH1231=0,$EF1231=0)),SUM($EA1231:$EE1231,$EK1231)&gt;=4),"Ecosystem approach","")</f>
        <v/>
      </c>
      <c r="ER1231" s="2" t="str">
        <f>IF(AND(AND(AND($EC1231=0,$EB1231=0),OR($EH1231=1,$EF1231=1)),SUM($EG1231:$EJ1231)&gt;=2),"Technology approach","")</f>
        <v>Technology approach</v>
      </c>
      <c r="ES1231" t="str">
        <f>IF(AND($EC1231+$EB1231+$EE1231+$EA1231+$ED1231+$EG1231=0,$N1231="included"),"C neutral forest and HWP assumption","")</f>
        <v/>
      </c>
      <c r="ET1231" t="str">
        <f>IF(AND(AND(AND(AND($EC1231=1,$EB1231+$EA1231+$EG1231&gt;=1),$EF1231=1),$EH1231+$EI1231+$ED1231+$EE1231&gt;=2),$N1231="included"),"All C pools assumption","")</f>
        <v/>
      </c>
      <c r="EU1231" t="str">
        <f>IF(AND($ED1231+$EE1231+$EI1231+$EH1231+$EF1231=0,$N1231="included"),"In-situ only assumption","")</f>
        <v/>
      </c>
      <c r="EY1231" t="str">
        <f>IF(ISNUMBER(BW1231),IF(ABS(BW1231-[2]QC_indicators!$B$2)&gt;3*[2]QC_indicators!$C$2,"C ratio",IF(ISNUMBER(CA1231),IF(ABS(CA1231-[2]QC_indicators!$B$1)&gt;3*[2]QC_indicators!$C$1,"DF","no"))),IF(ISNUMBER(CA1231),IF(ABS(CA1231-[2]QC_indicators!$B$1)&gt;3*[2]QC_indicators!$C$1,"DF","no")))</f>
        <v>no</v>
      </c>
      <c r="FA1231" t="str">
        <f>IF(LEN($CY1231)=0,"",IF(AND($CY1231&lt;(-0.05),$ES1231="C neutral forest and HWP assumption"),"Cneutral paradox",IF(AND($CY1231&gt;0.05,$EU1231="In-situ only assumption"),"In-situ only paradox","")))</f>
        <v/>
      </c>
      <c r="FD1231" s="260" t="s">
        <v>2948</v>
      </c>
    </row>
    <row r="1232" spans="1:160" ht="15" hidden="1" customHeight="1">
      <c r="A1232" s="1" t="s">
        <v>265</v>
      </c>
      <c r="B1232" t="s">
        <v>1403</v>
      </c>
      <c r="C1232" t="s">
        <v>1404</v>
      </c>
      <c r="D1232" t="s">
        <v>1405</v>
      </c>
      <c r="E1232" t="s">
        <v>1406</v>
      </c>
      <c r="F1232" t="s">
        <v>1407</v>
      </c>
      <c r="G1232" t="s">
        <v>271</v>
      </c>
      <c r="H1232" t="s">
        <v>254</v>
      </c>
      <c r="I1232">
        <v>2019</v>
      </c>
      <c r="J1232">
        <v>26</v>
      </c>
      <c r="K1232" t="s">
        <v>1408</v>
      </c>
      <c r="M1232" t="str">
        <f>LEFT($D1232,FIND(",",$D1232)-1)&amp;"_"&amp;I1232&amp;L1232</f>
        <v>Faraca_2019</v>
      </c>
      <c r="N1232" t="s">
        <v>222</v>
      </c>
      <c r="O1232" s="145" t="s">
        <v>274</v>
      </c>
      <c r="P1232" s="179" t="s">
        <v>223</v>
      </c>
      <c r="Q1232" t="s">
        <v>256</v>
      </c>
      <c r="R1232" s="258" t="s">
        <v>223</v>
      </c>
      <c r="S1232" s="1" t="s">
        <v>1414</v>
      </c>
      <c r="T1232" t="s">
        <v>1415</v>
      </c>
      <c r="U1232" t="s">
        <v>1416</v>
      </c>
      <c r="V1232" s="253">
        <v>0</v>
      </c>
      <c r="W1232" s="253">
        <v>0</v>
      </c>
      <c r="X1232">
        <v>0</v>
      </c>
      <c r="Y1232">
        <v>0</v>
      </c>
      <c r="Z1232">
        <v>0</v>
      </c>
      <c r="AA1232">
        <v>0</v>
      </c>
      <c r="AB1232">
        <v>0</v>
      </c>
      <c r="AC1232">
        <v>0</v>
      </c>
      <c r="AD1232">
        <v>0</v>
      </c>
      <c r="AE1232">
        <v>0</v>
      </c>
      <c r="AF1232">
        <v>0</v>
      </c>
      <c r="AG1232">
        <v>0</v>
      </c>
      <c r="AH1232">
        <v>0</v>
      </c>
      <c r="AI1232">
        <v>0</v>
      </c>
      <c r="AJ1232">
        <v>0</v>
      </c>
      <c r="AK1232">
        <v>1</v>
      </c>
      <c r="AL1232">
        <v>0</v>
      </c>
      <c r="AM1232">
        <v>0</v>
      </c>
      <c r="AN1232">
        <v>0</v>
      </c>
      <c r="AO1232">
        <v>0</v>
      </c>
      <c r="AP1232">
        <v>0</v>
      </c>
      <c r="AQ1232">
        <v>0</v>
      </c>
      <c r="AR1232">
        <v>0</v>
      </c>
      <c r="AS1232">
        <v>0</v>
      </c>
      <c r="AT1232">
        <v>0</v>
      </c>
      <c r="AU1232">
        <v>0</v>
      </c>
      <c r="AV1232">
        <v>0</v>
      </c>
      <c r="AW1232">
        <v>0</v>
      </c>
      <c r="AX1232">
        <v>0</v>
      </c>
      <c r="AY1232">
        <v>0</v>
      </c>
      <c r="AZ1232" s="141">
        <f>COUNTIF(X1232:AY1232,"&lt;&gt;0")</f>
        <v>1</v>
      </c>
      <c r="BA1232" s="141">
        <f>COUNTIF(X1232:AN1232,"&lt;&gt;0")</f>
        <v>1</v>
      </c>
      <c r="BB1232">
        <f>COUNTIF(X1232:AE1232,"&lt;&gt;0")</f>
        <v>0</v>
      </c>
      <c r="BC1232">
        <f>COUNTIF(AF1232:AK1232,"&lt;&gt;0")</f>
        <v>1</v>
      </c>
      <c r="BD1232">
        <f>COUNTIF(AL1232:AN1232,"&lt;&gt;0")</f>
        <v>0</v>
      </c>
      <c r="BE1232">
        <f>COUNTIF(AU1232:AY1232,"&lt;&gt;0")</f>
        <v>0</v>
      </c>
      <c r="BF1232">
        <f>COUNTIF(AO1232:AT1232,"&lt;&gt;0")</f>
        <v>0</v>
      </c>
      <c r="BG1232" t="str">
        <f t="array" ref="BG1232">IF(BA1232=1,INDEX($X$7:$AN$7,MATCH(TRUE,INDEX($X1232:$AY1232&lt;&gt;0,),0)),IF(BA1232=0,INDEX($AO$7:$AY$7,MATCH(1,$AO1232:$AY1232,0)),IF(BH1232="Multiple strategies","mixed drivers",IF(BH1232="Supply chain","multiple supply","multiple silviculture"))))</f>
        <v>products lifespan</v>
      </c>
      <c r="BH1232" s="2" t="str" cm="1">
        <f t="array" ref="BH1232">IF(COUNTIF(BB1232:BD1232,"&lt;&gt;0")=1,INDEX($X$4:$AY$4,MATCH(TRUE,INDEX($X1232:$AY1232&lt;&gt;0,),0)),IF(COUNTIF(BB1232:BD1232,"&lt;&gt;0")=0,INDEX($AO$4:$AY$4,MATCH(1,$AO1232:$AY1232,0)),"Multiple strategies"))</f>
        <v>Supply chain</v>
      </c>
      <c r="BI1232" s="1" t="s">
        <v>229</v>
      </c>
      <c r="BJ1232" t="s">
        <v>1420</v>
      </c>
      <c r="BK1232" s="260" t="s">
        <v>2800</v>
      </c>
      <c r="BL1232" t="s">
        <v>345</v>
      </c>
      <c r="BM1232">
        <v>478</v>
      </c>
      <c r="BN1232">
        <v>638</v>
      </c>
      <c r="BO1232">
        <v>1</v>
      </c>
      <c r="BP1232">
        <f>BN1232-BM1232</f>
        <v>160</v>
      </c>
      <c r="BQ1232">
        <f>BP1232*kg_to_m3</f>
        <v>0.32653061224489799</v>
      </c>
      <c r="BR1232" t="s">
        <v>395</v>
      </c>
      <c r="BS1232" s="260" t="s">
        <v>429</v>
      </c>
      <c r="BT1232" t="s">
        <v>714</v>
      </c>
      <c r="BU1232">
        <v>-696.6</v>
      </c>
      <c r="BV1232">
        <v>-548.29999999999995</v>
      </c>
      <c r="BW1232" s="144">
        <v>-0.63186813186813184</v>
      </c>
      <c r="BX1232">
        <f>BV1232-BU1232</f>
        <v>148.30000000000007</v>
      </c>
      <c r="BZ1232">
        <f>BX1232/1000</f>
        <v>0.14830000000000007</v>
      </c>
      <c r="CA1232">
        <f>IFERROR(BZ1232/BQ1232,"")</f>
        <v>0.45416875000000018</v>
      </c>
      <c r="CB1232">
        <v>0</v>
      </c>
      <c r="CC1232">
        <v>0</v>
      </c>
      <c r="CD1232">
        <v>0</v>
      </c>
      <c r="CE1232">
        <v>0</v>
      </c>
      <c r="CF1232">
        <v>0</v>
      </c>
      <c r="CG1232">
        <v>0</v>
      </c>
      <c r="CH1232">
        <v>0</v>
      </c>
      <c r="CI1232">
        <v>0</v>
      </c>
      <c r="CJ1232">
        <v>0</v>
      </c>
      <c r="CK1232">
        <v>0</v>
      </c>
      <c r="CL1232">
        <v>0</v>
      </c>
      <c r="CM1232">
        <v>0</v>
      </c>
      <c r="CN1232">
        <v>0</v>
      </c>
      <c r="CO1232">
        <v>0</v>
      </c>
      <c r="CP1232" t="str">
        <f>IF($BN1232&lt;$BM1232,"refNeedCorrection","refOK")</f>
        <v>refOK</v>
      </c>
      <c r="CQ1232">
        <f>IF($CP1232="refNeedCorrection",BM1232,BN1232)</f>
        <v>638</v>
      </c>
      <c r="CR1232">
        <f>IF($CP1232="refNeedCorrection",BN1232,BM1232)</f>
        <v>478</v>
      </c>
      <c r="CS1232">
        <f>IF($CP1232="refOK",$BQ1232,-$BQ1232)</f>
        <v>0.32653061224489799</v>
      </c>
      <c r="CT1232">
        <f>IF(BI1232="Roundwood",$CS1232/2,$CS1232)</f>
        <v>0.32653061224489799</v>
      </c>
      <c r="CU1232">
        <f>IF($CP1232="refOK",$BU1232,$BV1232)*IF($BR1232="Emissions positive",-1,1)</f>
        <v>696.6</v>
      </c>
      <c r="CV1232">
        <f>IF($CP1232="refOK",$BV1232,$BU1232)*IF($BR1232="Emissions positive",-1,1)</f>
        <v>548.29999999999995</v>
      </c>
      <c r="CW1232">
        <f>IF($CP1232="refNeedCorrection",-BZ1232,BZ1232)*IF($BR1232="Emissions positive",-1,1)</f>
        <v>-0.14830000000000007</v>
      </c>
      <c r="CX1232">
        <f>IFERROR($CW1232/$CS1232,"")</f>
        <v>-0.45416875000000018</v>
      </c>
      <c r="CY1232">
        <f>IFERROR($CW1232/$CS1232,"")</f>
        <v>-0.45416875000000018</v>
      </c>
      <c r="CZ1232">
        <f>IFERROR($CW1232/$CT1232,"")</f>
        <v>-0.45416875000000018</v>
      </c>
      <c r="DA1232" s="2">
        <f>IFERROR((CV1232-CU1232)/ABS(CU1232),"")</f>
        <v>-0.21289118575940291</v>
      </c>
      <c r="DB1232" s="1" t="s">
        <v>1074</v>
      </c>
      <c r="DC1232" t="str">
        <f>IF(OR($DB1232="prd",$DB1232="std",$DB1232="cit"),"loc",IF(OR($DB1232="eur",$DB1232="reg",$DB1232="coy"),"reg",$DB1232))</f>
        <v>reg</v>
      </c>
      <c r="DD1232" t="s">
        <v>1412</v>
      </c>
      <c r="DG1232">
        <v>100</v>
      </c>
      <c r="DH1232" t="str">
        <f>IF(DG1232=0,"0",IF(AND(DG1232&gt;=1,DG1232&lt;=30),"1-30",IF(AND(DG1232&gt;30,DG1232&lt;=70),"31-70",IF(AND(DG1232&gt;70,DG1232&lt;=100),"71-100",IF(DG1232&gt;100,"+100")))))</f>
        <v>71-100</v>
      </c>
      <c r="DI1232">
        <v>0</v>
      </c>
      <c r="DJ1232">
        <v>0</v>
      </c>
      <c r="DK1232">
        <v>0</v>
      </c>
      <c r="DL1232">
        <v>1</v>
      </c>
      <c r="DN1232">
        <f>SUM(DI1232:DL1232)</f>
        <v>1</v>
      </c>
      <c r="DO1232" t="str">
        <f>IF(DN1232=1,INDEX($DI$7:$DL$7,MATCH(1,$DI1232:$DL1232,0)),"mixedProduct")</f>
        <v>TimberInput</v>
      </c>
      <c r="DP1232">
        <f>IF(DI1232=1,DP$7,0)</f>
        <v>0</v>
      </c>
      <c r="DQ1232">
        <f>IF(DJ1232=1,DQ$7,0)</f>
        <v>0</v>
      </c>
      <c r="DR1232">
        <f>IF(DK1232=1,DR$7,0)</f>
        <v>0</v>
      </c>
      <c r="DS1232" t="str">
        <f>IF(DL1232=1,DS$7,0)</f>
        <v>Timber</v>
      </c>
      <c r="DT1232">
        <v>0</v>
      </c>
      <c r="DU1232">
        <v>1</v>
      </c>
      <c r="DV1232">
        <v>0</v>
      </c>
      <c r="DW1232">
        <v>0</v>
      </c>
      <c r="DX1232" t="s">
        <v>1413</v>
      </c>
      <c r="DY1232">
        <f>SUM(DT1232:DU1232)</f>
        <v>1</v>
      </c>
      <c r="DZ1232" s="143" t="str">
        <f>IF(DT1232=1,"self-calculated DF",IF(DU1232=1,"external DF used","explicit C balance"))</f>
        <v>external DF used</v>
      </c>
      <c r="EA1232">
        <v>0</v>
      </c>
      <c r="EB1232">
        <v>0</v>
      </c>
      <c r="EC1232">
        <v>0</v>
      </c>
      <c r="ED1232">
        <v>0</v>
      </c>
      <c r="EE1232">
        <v>1</v>
      </c>
      <c r="EF1232" s="143">
        <v>1</v>
      </c>
      <c r="EG1232">
        <v>0</v>
      </c>
      <c r="EH1232">
        <v>1</v>
      </c>
      <c r="EI1232">
        <v>0</v>
      </c>
      <c r="EJ1232">
        <v>1</v>
      </c>
      <c r="EK1232">
        <v>1</v>
      </c>
      <c r="EL1232">
        <v>1</v>
      </c>
      <c r="EM1232">
        <v>1</v>
      </c>
      <c r="EN1232" s="2">
        <v>0</v>
      </c>
      <c r="EP1232" t="str">
        <f>IF(AND(AND(AND(OR($EC1232=1,$EB1232=1),OR($EH1232=1,$EF1232=1)),SUM($EA1232:$EE1232,$EK1232)&gt;=3),SUM($EF1232:$EJ1232)&gt;=2),"Whole sector approach","")</f>
        <v/>
      </c>
      <c r="EQ1232" t="str">
        <f>IF(AND(AND(OR($EC1232=1,$EB1232=1),AND($EH1232=0,$EF1232=0)),SUM($EA1232:$EE1232,$EK1232)&gt;=4),"Ecosystem approach","")</f>
        <v/>
      </c>
      <c r="ER1232" s="2" t="str">
        <f>IF(AND(AND(AND($EC1232=0,$EB1232=0),OR($EH1232=1,$EF1232=1)),SUM($EG1232:$EJ1232)&gt;=2),"Technology approach","")</f>
        <v>Technology approach</v>
      </c>
      <c r="ES1232" t="str">
        <f>IF(AND($EC1232+$EB1232+$EE1232+$EA1232+$ED1232+$EG1232=0,$N1232="included"),"C neutral forest and HWP assumption","")</f>
        <v/>
      </c>
      <c r="ET1232" t="str">
        <f>IF(AND(AND(AND(AND($EC1232=1,$EB1232+$EA1232+$EG1232&gt;=1),$EF1232=1),$EH1232+$EI1232+$ED1232+$EE1232&gt;=2),$N1232="included"),"All C pools assumption","")</f>
        <v/>
      </c>
      <c r="EU1232" t="str">
        <f>IF(AND($ED1232+$EE1232+$EI1232+$EH1232+$EF1232=0,$N1232="included"),"In-situ only assumption","")</f>
        <v/>
      </c>
      <c r="EY1232" t="str">
        <f>IF(ISNUMBER(BW1232),IF(ABS(BW1232-[2]QC_indicators!$B$2)&gt;3*[2]QC_indicators!$C$2,"C ratio",IF(ISNUMBER(CA1232),IF(ABS(CA1232-[2]QC_indicators!$B$1)&gt;3*[2]QC_indicators!$C$1,"DF","no"))),IF(ISNUMBER(CA1232),IF(ABS(CA1232-[2]QC_indicators!$B$1)&gt;3*[2]QC_indicators!$C$1,"DF","no")))</f>
        <v>no</v>
      </c>
      <c r="FA1232" t="str">
        <f>IF(LEN($CY1232)=0,"",IF(AND($CY1232&lt;(-0.05),$ES1232="C neutral forest and HWP assumption"),"Cneutral paradox",IF(AND($CY1232&gt;0.05,$EU1232="In-situ only assumption"),"In-situ only paradox","")))</f>
        <v/>
      </c>
      <c r="FD1232" s="260" t="s">
        <v>2948</v>
      </c>
    </row>
    <row r="1233" spans="1:160" ht="17" hidden="1">
      <c r="A1233" s="1" t="s">
        <v>265</v>
      </c>
      <c r="B1233" t="s">
        <v>1403</v>
      </c>
      <c r="C1233" t="s">
        <v>1404</v>
      </c>
      <c r="D1233" t="s">
        <v>1405</v>
      </c>
      <c r="E1233" t="s">
        <v>1406</v>
      </c>
      <c r="F1233" t="s">
        <v>1407</v>
      </c>
      <c r="G1233" t="s">
        <v>271</v>
      </c>
      <c r="H1233" t="s">
        <v>254</v>
      </c>
      <c r="I1233">
        <v>2019</v>
      </c>
      <c r="J1233">
        <v>26</v>
      </c>
      <c r="K1233" t="s">
        <v>1408</v>
      </c>
      <c r="M1233" t="str">
        <f>LEFT($D1233,FIND(",",$D1233)-1)&amp;"_"&amp;I1233&amp;L1233</f>
        <v>Faraca_2019</v>
      </c>
      <c r="N1233" t="s">
        <v>222</v>
      </c>
      <c r="O1233" s="145" t="s">
        <v>274</v>
      </c>
      <c r="P1233" s="179" t="s">
        <v>223</v>
      </c>
      <c r="Q1233" t="s">
        <v>256</v>
      </c>
      <c r="R1233" s="258" t="s">
        <v>223</v>
      </c>
      <c r="S1233" s="1" t="s">
        <v>1414</v>
      </c>
      <c r="T1233" t="s">
        <v>1415</v>
      </c>
      <c r="U1233" t="s">
        <v>1417</v>
      </c>
      <c r="V1233" s="253">
        <v>0</v>
      </c>
      <c r="W1233" s="253">
        <v>0</v>
      </c>
      <c r="X1233">
        <v>0</v>
      </c>
      <c r="Y1233">
        <v>0</v>
      </c>
      <c r="Z1233">
        <v>0</v>
      </c>
      <c r="AA1233">
        <v>0</v>
      </c>
      <c r="AB1233">
        <v>0</v>
      </c>
      <c r="AC1233">
        <v>0</v>
      </c>
      <c r="AD1233">
        <v>0</v>
      </c>
      <c r="AE1233">
        <v>0</v>
      </c>
      <c r="AF1233">
        <v>0</v>
      </c>
      <c r="AG1233">
        <v>0</v>
      </c>
      <c r="AH1233">
        <v>0</v>
      </c>
      <c r="AI1233">
        <v>0</v>
      </c>
      <c r="AJ1233">
        <v>0</v>
      </c>
      <c r="AK1233">
        <v>1</v>
      </c>
      <c r="AL1233">
        <v>0</v>
      </c>
      <c r="AM1233">
        <v>0</v>
      </c>
      <c r="AN1233">
        <v>0</v>
      </c>
      <c r="AO1233">
        <v>0</v>
      </c>
      <c r="AP1233">
        <v>0</v>
      </c>
      <c r="AQ1233">
        <v>0</v>
      </c>
      <c r="AR1233">
        <v>0</v>
      </c>
      <c r="AS1233">
        <v>0</v>
      </c>
      <c r="AT1233">
        <v>0</v>
      </c>
      <c r="AU1233">
        <v>0</v>
      </c>
      <c r="AV1233">
        <v>0</v>
      </c>
      <c r="AW1233">
        <v>0</v>
      </c>
      <c r="AX1233">
        <v>0</v>
      </c>
      <c r="AY1233">
        <v>0</v>
      </c>
      <c r="AZ1233" s="141">
        <f>COUNTIF(X1233:AY1233,"&lt;&gt;0")</f>
        <v>1</v>
      </c>
      <c r="BA1233" s="141">
        <f>COUNTIF(X1233:AN1233,"&lt;&gt;0")</f>
        <v>1</v>
      </c>
      <c r="BB1233">
        <f>COUNTIF(X1233:AE1233,"&lt;&gt;0")</f>
        <v>0</v>
      </c>
      <c r="BC1233">
        <f>COUNTIF(AF1233:AK1233,"&lt;&gt;0")</f>
        <v>1</v>
      </c>
      <c r="BD1233">
        <f>COUNTIF(AL1233:AN1233,"&lt;&gt;0")</f>
        <v>0</v>
      </c>
      <c r="BE1233">
        <f>COUNTIF(AU1233:AY1233,"&lt;&gt;0")</f>
        <v>0</v>
      </c>
      <c r="BF1233">
        <f>COUNTIF(AO1233:AT1233,"&lt;&gt;0")</f>
        <v>0</v>
      </c>
      <c r="BG1233" t="str">
        <f t="array" ref="BG1233">IF(BA1233=1,INDEX($X$7:$AN$7,MATCH(TRUE,INDEX($X1233:$AY1233&lt;&gt;0,),0)),IF(BA1233=0,INDEX($AO$7:$AY$7,MATCH(1,$AO1233:$AY1233,0)),IF(BH1233="Multiple strategies","mixed drivers",IF(BH1233="Supply chain","multiple supply","multiple silviculture"))))</f>
        <v>products lifespan</v>
      </c>
      <c r="BH1233" s="2" t="str" cm="1">
        <f t="array" ref="BH1233">IF(COUNTIF(BB1233:BD1233,"&lt;&gt;0")=1,INDEX($X$4:$AY$4,MATCH(TRUE,INDEX($X1233:$AY1233&lt;&gt;0,),0)),IF(COUNTIF(BB1233:BD1233,"&lt;&gt;0")=0,INDEX($AO$4:$AY$4,MATCH(1,$AO1233:$AY1233,0)),"Multiple strategies"))</f>
        <v>Supply chain</v>
      </c>
      <c r="BI1233" s="1" t="s">
        <v>229</v>
      </c>
      <c r="BJ1233" t="s">
        <v>1420</v>
      </c>
      <c r="BK1233" s="260" t="s">
        <v>2800</v>
      </c>
      <c r="BL1233" t="s">
        <v>345</v>
      </c>
      <c r="BM1233">
        <v>478</v>
      </c>
      <c r="BN1233">
        <v>922</v>
      </c>
      <c r="BO1233">
        <f>BM1233/BN1233</f>
        <v>0.51843817787418656</v>
      </c>
      <c r="BP1233">
        <f>BN1233-BM1233</f>
        <v>444</v>
      </c>
      <c r="BQ1233">
        <f>BP1233*kg_to_m3</f>
        <v>0.90612244897959193</v>
      </c>
      <c r="BR1233" t="s">
        <v>395</v>
      </c>
      <c r="BS1233" s="260" t="s">
        <v>429</v>
      </c>
      <c r="BT1233" t="s">
        <v>714</v>
      </c>
      <c r="BU1233">
        <v>-520.70000000000005</v>
      </c>
      <c r="BV1233">
        <v>-462.1</v>
      </c>
      <c r="BW1233" s="144">
        <f>IFERROR(BU1233/BV1233,"")</f>
        <v>1.1268123782731012</v>
      </c>
      <c r="BX1233">
        <f>BV1233-BU1233</f>
        <v>58.600000000000023</v>
      </c>
      <c r="BZ1233">
        <f>BX1233/1000</f>
        <v>5.860000000000002E-2</v>
      </c>
      <c r="CA1233">
        <f>IFERROR(BZ1233/BQ1233,"")</f>
        <v>6.4671171171171188E-2</v>
      </c>
      <c r="CB1233">
        <v>0</v>
      </c>
      <c r="CC1233">
        <v>0</v>
      </c>
      <c r="CD1233">
        <v>0</v>
      </c>
      <c r="CE1233">
        <v>0</v>
      </c>
      <c r="CF1233">
        <v>0</v>
      </c>
      <c r="CG1233">
        <v>0</v>
      </c>
      <c r="CH1233">
        <v>0</v>
      </c>
      <c r="CI1233">
        <v>0</v>
      </c>
      <c r="CJ1233">
        <v>0</v>
      </c>
      <c r="CK1233">
        <v>0</v>
      </c>
      <c r="CL1233">
        <v>0</v>
      </c>
      <c r="CM1233">
        <v>0</v>
      </c>
      <c r="CN1233">
        <v>0</v>
      </c>
      <c r="CO1233">
        <v>0</v>
      </c>
      <c r="CP1233" t="str">
        <f>IF($BN1233&lt;$BM1233,"refNeedCorrection","refOK")</f>
        <v>refOK</v>
      </c>
      <c r="CQ1233">
        <f>IF($CP1233="refNeedCorrection",BN1233,BM1233)</f>
        <v>478</v>
      </c>
      <c r="CR1233">
        <f>IF($CP1233="refNeedCorrection",BM1233,BN1233)</f>
        <v>922</v>
      </c>
      <c r="CS1233">
        <f>IF($CP1233="refOK",$BQ1233,-$BQ1233)</f>
        <v>0.90612244897959193</v>
      </c>
      <c r="CT1233">
        <f>IF(BI1233="Roundwood",$CS1233/2,$CS1233)</f>
        <v>0.90612244897959193</v>
      </c>
      <c r="CU1233">
        <f>IF($CP1233="refOK",$BU1233,$BV1233)*IF($BR1233="Emissions positive",-1,1)</f>
        <v>520.70000000000005</v>
      </c>
      <c r="CV1233">
        <f>IF($CP1233="refOK",$BV1233,$BU1233)*IF($BR1233="Emissions positive",-1,1)</f>
        <v>462.1</v>
      </c>
      <c r="CW1233">
        <f>IF($CP1233="refNeedCorrection",-BZ1233,BZ1233)*IF($BR1233="Emissions positive",-1,1)</f>
        <v>-5.860000000000002E-2</v>
      </c>
      <c r="CX1233">
        <f>IFERROR($CW1233/$CS1233,"")</f>
        <v>-6.4671171171171188E-2</v>
      </c>
      <c r="CY1233">
        <f>IFERROR($CW1233/$CS1233,"")</f>
        <v>-6.4671171171171188E-2</v>
      </c>
      <c r="CZ1233">
        <f>IFERROR($CW1233/$CT1233,"")</f>
        <v>-6.4671171171171188E-2</v>
      </c>
      <c r="DA1233" s="2">
        <f>IFERROR((CV1233-CU1233)/ABS(CU1233),"")</f>
        <v>-0.11254081044747459</v>
      </c>
      <c r="DB1233" s="1" t="s">
        <v>1074</v>
      </c>
      <c r="DC1233" t="str">
        <f>IF(OR($DB1233="prd",$DB1233="std",$DB1233="cit"),"loc",IF(OR($DB1233="eur",$DB1233="reg",$DB1233="coy"),"reg",$DB1233))</f>
        <v>reg</v>
      </c>
      <c r="DD1233" t="s">
        <v>1412</v>
      </c>
      <c r="DG1233">
        <v>500</v>
      </c>
      <c r="DH1233" t="str">
        <f>IF(DG1233=0,"0",IF(AND(DG1233&gt;=1,DG1233&lt;=30),"1-30",IF(AND(DG1233&gt;30,DG1233&lt;=70),"31-70",IF(AND(DG1233&gt;70,DG1233&lt;=100),"71-100",IF(DG1233&gt;100,"+100")))))</f>
        <v>+100</v>
      </c>
      <c r="DI1233">
        <v>0</v>
      </c>
      <c r="DJ1233">
        <v>0</v>
      </c>
      <c r="DK1233">
        <v>0</v>
      </c>
      <c r="DL1233">
        <v>1</v>
      </c>
      <c r="DN1233">
        <f>SUM(DI1233:DL1233)</f>
        <v>1</v>
      </c>
      <c r="DO1233" t="str">
        <f>IF(DN1233=1,INDEX($DI$7:$DL$7,MATCH(1,$DI1233:$DL1233,0)),"mixedProduct")</f>
        <v>TimberInput</v>
      </c>
      <c r="DP1233">
        <f>IF(DI1233=1,DP$7,0)</f>
        <v>0</v>
      </c>
      <c r="DQ1233">
        <f>IF(DJ1233=1,DQ$7,0)</f>
        <v>0</v>
      </c>
      <c r="DR1233">
        <f>IF(DK1233=1,DR$7,0)</f>
        <v>0</v>
      </c>
      <c r="DS1233" t="str">
        <f>IF(DL1233=1,DS$7,0)</f>
        <v>Timber</v>
      </c>
      <c r="DT1233">
        <v>0</v>
      </c>
      <c r="DU1233">
        <v>1</v>
      </c>
      <c r="DV1233">
        <v>0</v>
      </c>
      <c r="DW1233">
        <v>0</v>
      </c>
      <c r="DX1233" t="s">
        <v>1413</v>
      </c>
      <c r="DY1233">
        <f>SUM(DT1233:DU1233)</f>
        <v>1</v>
      </c>
      <c r="DZ1233" s="143" t="str">
        <f>IF(DT1233=1,"self-calculated DF",IF(DU1233=1,"external DF used","explicit C balance"))</f>
        <v>external DF used</v>
      </c>
      <c r="EA1233">
        <v>0</v>
      </c>
      <c r="EB1233">
        <v>0</v>
      </c>
      <c r="EC1233">
        <v>0</v>
      </c>
      <c r="ED1233">
        <v>0</v>
      </c>
      <c r="EE1233">
        <v>1</v>
      </c>
      <c r="EF1233" s="143">
        <v>1</v>
      </c>
      <c r="EG1233">
        <v>0</v>
      </c>
      <c r="EH1233">
        <v>1</v>
      </c>
      <c r="EI1233">
        <v>0</v>
      </c>
      <c r="EJ1233">
        <v>1</v>
      </c>
      <c r="EK1233">
        <v>1</v>
      </c>
      <c r="EL1233">
        <v>1</v>
      </c>
      <c r="EM1233">
        <v>1</v>
      </c>
      <c r="EN1233" s="2">
        <v>0</v>
      </c>
      <c r="EP1233" t="str">
        <f>IF(AND(AND(AND(OR($EC1233=1,$EB1233=1),OR($EH1233=1,$EF1233=1)),SUM($EA1233:$EE1233,$EK1233)&gt;=3),SUM($EF1233:$EJ1233)&gt;=2),"Whole sector approach","")</f>
        <v/>
      </c>
      <c r="EQ1233" t="str">
        <f>IF(AND(AND(OR($EC1233=1,$EB1233=1),AND($EH1233=0,$EF1233=0)),SUM($EA1233:$EE1233,$EK1233)&gt;=4),"Ecosystem approach","")</f>
        <v/>
      </c>
      <c r="ER1233" s="2" t="str">
        <f>IF(AND(AND(AND($EC1233=0,$EB1233=0),OR($EH1233=1,$EF1233=1)),SUM($EG1233:$EJ1233)&gt;=2),"Technology approach","")</f>
        <v>Technology approach</v>
      </c>
      <c r="ES1233" t="str">
        <f>IF(AND($EC1233+$EB1233+$EE1233+$EA1233+$ED1233+$EG1233=0,$N1233="included"),"C neutral forest and HWP assumption","")</f>
        <v/>
      </c>
      <c r="ET1233" t="str">
        <f>IF(AND(AND(AND(AND($EC1233=1,$EB1233+$EA1233+$EG1233&gt;=1),$EF1233=1),$EH1233+$EI1233+$ED1233+$EE1233&gt;=2),$N1233="included"),"All C pools assumption","")</f>
        <v/>
      </c>
      <c r="EU1233" t="str">
        <f>IF(AND($ED1233+$EE1233+$EI1233+$EH1233+$EF1233=0,$N1233="included"),"In-situ only assumption","")</f>
        <v/>
      </c>
      <c r="EY1233" t="str">
        <f>IF(ISNUMBER(BW1233),IF(ABS(BW1233-[2]QC_indicators!$B$2)&gt;3*[2]QC_indicators!$C$2,"C ratio",IF(ISNUMBER(CA1233),IF(ABS(CA1233-[2]QC_indicators!$B$1)&gt;3*[2]QC_indicators!$C$1,"DF","no"))),IF(ISNUMBER(CA1233),IF(ABS(CA1233-[2]QC_indicators!$B$1)&gt;3*[2]QC_indicators!$C$1,"DF","no")))</f>
        <v>no</v>
      </c>
      <c r="FA1233" t="str">
        <f>IF(LEN($CY1233)=0,"",IF(AND($CY1233&lt;(-0.05),$ES1233="C neutral forest and HWP assumption"),"Cneutral paradox",IF(AND($CY1233&gt;0.05,$EU1233="In-situ only assumption"),"In-situ only paradox","")))</f>
        <v/>
      </c>
      <c r="FD1233" s="260" t="s">
        <v>2948</v>
      </c>
    </row>
    <row r="1234" spans="1:160" ht="14" hidden="1" customHeight="1">
      <c r="A1234" s="1" t="s">
        <v>265</v>
      </c>
      <c r="B1234" t="s">
        <v>1403</v>
      </c>
      <c r="C1234" t="s">
        <v>1404</v>
      </c>
      <c r="D1234" t="s">
        <v>1405</v>
      </c>
      <c r="E1234" t="s">
        <v>1406</v>
      </c>
      <c r="F1234" t="s">
        <v>1407</v>
      </c>
      <c r="G1234" t="s">
        <v>271</v>
      </c>
      <c r="H1234" t="s">
        <v>254</v>
      </c>
      <c r="I1234">
        <v>2019</v>
      </c>
      <c r="J1234">
        <v>26</v>
      </c>
      <c r="K1234" t="s">
        <v>1408</v>
      </c>
      <c r="M1234" t="str">
        <f>LEFT($D1234,FIND(",",$D1234)-1)&amp;"_"&amp;I1234&amp;L1234</f>
        <v>Faraca_2019</v>
      </c>
      <c r="N1234" t="s">
        <v>222</v>
      </c>
      <c r="O1234" s="145" t="s">
        <v>274</v>
      </c>
      <c r="P1234" s="179" t="s">
        <v>223</v>
      </c>
      <c r="Q1234" t="s">
        <v>256</v>
      </c>
      <c r="R1234" s="258" t="s">
        <v>223</v>
      </c>
      <c r="S1234" s="259" t="s">
        <v>2809</v>
      </c>
      <c r="T1234" t="s">
        <v>1424</v>
      </c>
      <c r="U1234" t="s">
        <v>1410</v>
      </c>
      <c r="V1234" s="253">
        <v>0</v>
      </c>
      <c r="W1234" s="253">
        <v>0</v>
      </c>
      <c r="X1234">
        <v>0</v>
      </c>
      <c r="Y1234">
        <v>0</v>
      </c>
      <c r="Z1234">
        <v>0</v>
      </c>
      <c r="AA1234">
        <v>0</v>
      </c>
      <c r="AB1234">
        <v>0</v>
      </c>
      <c r="AC1234">
        <v>0</v>
      </c>
      <c r="AD1234">
        <v>0</v>
      </c>
      <c r="AE1234">
        <v>0</v>
      </c>
      <c r="AF1234">
        <v>0</v>
      </c>
      <c r="AG1234">
        <v>0</v>
      </c>
      <c r="AH1234">
        <v>1</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s="141">
        <f>COUNTIF(X1234:AY1234,"&lt;&gt;0")</f>
        <v>1</v>
      </c>
      <c r="BA1234" s="141">
        <f>COUNTIF(X1234:AN1234,"&lt;&gt;0")</f>
        <v>1</v>
      </c>
      <c r="BB1234">
        <f>COUNTIF(X1234:AE1234,"&lt;&gt;0")</f>
        <v>0</v>
      </c>
      <c r="BC1234">
        <f>COUNTIF(AF1234:AK1234,"&lt;&gt;0")</f>
        <v>1</v>
      </c>
      <c r="BD1234">
        <f>COUNTIF(AL1234:AN1234,"&lt;&gt;0")</f>
        <v>0</v>
      </c>
      <c r="BE1234">
        <f>COUNTIF(AU1234:AY1234,"&lt;&gt;0")</f>
        <v>0</v>
      </c>
      <c r="BF1234">
        <f>COUNTIF(AO1234:AT1234,"&lt;&gt;0")</f>
        <v>0</v>
      </c>
      <c r="BG1234" t="str">
        <f t="array" ref="BG1234">IF(BA1234=1,INDEX($X$7:$AN$7,MATCH(TRUE,INDEX($X1234:$AY1234&lt;&gt;0,),0)),IF(BA1234=0,INDEX($AO$7:$AY$7,MATCH(1,$AO1234:$AY1234,0)),IF(BH1234="Multiple strategies","mixed drivers",IF(BH1234="Supply chain","multiple supply","multiple silviculture"))))</f>
        <v>supply chain organization</v>
      </c>
      <c r="BH1234" s="2" t="str" cm="1">
        <f t="array" ref="BH1234">IF(COUNTIF(BB1234:BD1234,"&lt;&gt;0")=1,INDEX($X$4:$AY$4,MATCH(TRUE,INDEX($X1234:$AY1234&lt;&gt;0,),0)),IF(COUNTIF(BB1234:BD1234,"&lt;&gt;0")=0,INDEX($AO$4:$AY$4,MATCH(1,$AO1234:$AY1234,0)),"Multiple strategies"))</f>
        <v>Supply chain</v>
      </c>
      <c r="BI1234" s="1" t="s">
        <v>229</v>
      </c>
      <c r="BJ1234" t="s">
        <v>1420</v>
      </c>
      <c r="BK1234" s="260" t="s">
        <v>2800</v>
      </c>
      <c r="BL1234" t="s">
        <v>345</v>
      </c>
      <c r="BM1234">
        <v>562</v>
      </c>
      <c r="BN1234">
        <v>922</v>
      </c>
      <c r="BO1234">
        <v>1.6405693950177935</v>
      </c>
      <c r="BP1234">
        <f>BN1234-BM1234</f>
        <v>360</v>
      </c>
      <c r="BQ1234">
        <f>BP1234*kg_to_m3</f>
        <v>0.73469387755102045</v>
      </c>
      <c r="BR1234" s="260" t="s">
        <v>395</v>
      </c>
      <c r="BS1234" t="s">
        <v>426</v>
      </c>
      <c r="BT1234" t="s">
        <v>714</v>
      </c>
      <c r="BU1234">
        <v>-145.80000000000001</v>
      </c>
      <c r="BV1234">
        <v>-16.899999999999999</v>
      </c>
      <c r="BW1234" s="144"/>
      <c r="BX1234">
        <f>BV1234-BU1234</f>
        <v>128.9</v>
      </c>
      <c r="BZ1234">
        <f>BX1234/1000</f>
        <v>0.12890000000000001</v>
      </c>
      <c r="CA1234">
        <f>IFERROR(BZ1234/BQ1234,"")</f>
        <v>0.17544722222222223</v>
      </c>
      <c r="CB1234">
        <v>0</v>
      </c>
      <c r="CC1234">
        <v>0</v>
      </c>
      <c r="CD1234">
        <v>0</v>
      </c>
      <c r="CE1234">
        <v>0</v>
      </c>
      <c r="CF1234">
        <v>0</v>
      </c>
      <c r="CG1234">
        <v>0</v>
      </c>
      <c r="CH1234">
        <v>0</v>
      </c>
      <c r="CI1234">
        <v>0</v>
      </c>
      <c r="CJ1234">
        <v>0</v>
      </c>
      <c r="CK1234">
        <v>0</v>
      </c>
      <c r="CL1234">
        <v>0</v>
      </c>
      <c r="CM1234">
        <v>0</v>
      </c>
      <c r="CN1234">
        <v>0</v>
      </c>
      <c r="CO1234">
        <v>0</v>
      </c>
      <c r="CP1234" t="str">
        <f>IF($BN1234&lt;$BM1234,"refNeedCorrection","refOK")</f>
        <v>refOK</v>
      </c>
      <c r="CQ1234">
        <f>IF($CP1234="refNeedCorrection",BN1234,BM1234)</f>
        <v>562</v>
      </c>
      <c r="CR1234">
        <f>IF($CP1234="refNeedCorrection",BM1234,BN1234)</f>
        <v>922</v>
      </c>
      <c r="CS1234">
        <f>IF($CP1234="refOK",$BQ1234,-$BQ1234)</f>
        <v>0.73469387755102045</v>
      </c>
      <c r="CT1234">
        <f>IF(BI1234="Roundwood",$CS1234/2,$CS1234)</f>
        <v>0.73469387755102045</v>
      </c>
      <c r="CU1234">
        <f>IF($CP1234="refOK",$BU1234,$BV1234)*IF($BR1234="Emissions positive",-1,1)</f>
        <v>145.80000000000001</v>
      </c>
      <c r="CV1234">
        <f>IF($CP1234="refOK",$BV1234,$BU1234)*IF($BR1234="Emissions positive",-1,1)</f>
        <v>16.899999999999999</v>
      </c>
      <c r="CW1234">
        <f>IF($CP1234="refNeedCorrection",-BZ1234,BZ1234)*IF($BR1234="Emissions positive",-1,1)</f>
        <v>-0.12890000000000001</v>
      </c>
      <c r="CX1234">
        <f>IFERROR($CW1234/$CS1234,"")</f>
        <v>-0.17544722222222223</v>
      </c>
      <c r="CY1234">
        <f>IFERROR($CW1234/$CS1234,"")</f>
        <v>-0.17544722222222223</v>
      </c>
      <c r="CZ1234">
        <f>IFERROR($CW1234/$CT1234,"")</f>
        <v>-0.17544722222222223</v>
      </c>
      <c r="DA1234" s="2">
        <f>IFERROR((CV1234-CU1234)/ABS(CU1234),"")</f>
        <v>-0.88408779149519889</v>
      </c>
      <c r="DB1234" s="1" t="s">
        <v>1074</v>
      </c>
      <c r="DC1234" t="str">
        <f>IF(OR($DB1234="prd",$DB1234="std",$DB1234="cit"),"loc",IF(OR($DB1234="eur",$DB1234="reg",$DB1234="coy"),"reg",$DB1234))</f>
        <v>reg</v>
      </c>
      <c r="DD1234" t="s">
        <v>1412</v>
      </c>
      <c r="DG1234">
        <v>500</v>
      </c>
      <c r="DH1234" t="str">
        <f>IF(DG1234=0,"0",IF(AND(DG1234&gt;=1,DG1234&lt;=30),"1-30",IF(AND(DG1234&gt;30,DG1234&lt;=70),"31-70",IF(AND(DG1234&gt;70,DG1234&lt;=100),"71-100",IF(DG1234&gt;100,"+100")))))</f>
        <v>+100</v>
      </c>
      <c r="DI1234">
        <v>0</v>
      </c>
      <c r="DJ1234">
        <v>0</v>
      </c>
      <c r="DK1234">
        <v>0</v>
      </c>
      <c r="DL1234">
        <v>1</v>
      </c>
      <c r="DN1234">
        <f>SUM(DI1234:DL1234)</f>
        <v>1</v>
      </c>
      <c r="DO1234" t="str">
        <f>IF(DN1234=1,INDEX($DI$7:$DL$7,MATCH(1,$DI1234:$DL1234,0)),"mixedProduct")</f>
        <v>TimberInput</v>
      </c>
      <c r="DP1234">
        <f>IF(DI1234=1,DP$7,0)</f>
        <v>0</v>
      </c>
      <c r="DQ1234">
        <f>IF(DJ1234=1,DQ$7,0)</f>
        <v>0</v>
      </c>
      <c r="DR1234">
        <f>IF(DK1234=1,DR$7,0)</f>
        <v>0</v>
      </c>
      <c r="DS1234" t="str">
        <f>IF(DL1234=1,DS$7,0)</f>
        <v>Timber</v>
      </c>
      <c r="DT1234">
        <v>0</v>
      </c>
      <c r="DU1234">
        <v>0</v>
      </c>
      <c r="DV1234">
        <v>0</v>
      </c>
      <c r="DW1234">
        <v>0</v>
      </c>
      <c r="DX1234">
        <v>0</v>
      </c>
      <c r="DY1234">
        <f>SUM(DT1234:DU1234)</f>
        <v>0</v>
      </c>
      <c r="DZ1234" s="143" t="str">
        <f>IF(DT1234=1,"self-calculated DF",IF(DU1234=1,"external DF used","explicit C balance"))</f>
        <v>explicit C balance</v>
      </c>
      <c r="EA1234">
        <v>0</v>
      </c>
      <c r="EB1234">
        <v>0</v>
      </c>
      <c r="EC1234">
        <v>0</v>
      </c>
      <c r="ED1234">
        <v>0</v>
      </c>
      <c r="EE1234">
        <v>1</v>
      </c>
      <c r="EF1234" s="143">
        <v>1</v>
      </c>
      <c r="EG1234">
        <v>0</v>
      </c>
      <c r="EH1234">
        <v>1</v>
      </c>
      <c r="EI1234">
        <v>0</v>
      </c>
      <c r="EJ1234">
        <v>1</v>
      </c>
      <c r="EK1234">
        <v>1</v>
      </c>
      <c r="EL1234">
        <v>1</v>
      </c>
      <c r="EM1234">
        <v>0</v>
      </c>
      <c r="EN1234" s="2">
        <v>0</v>
      </c>
      <c r="EP1234" t="str">
        <f>IF(AND(AND(AND(OR($EC1234=1,$EB1234=1),OR($EH1234=1,$EF1234=1)),SUM($EA1234:$EE1234,$EK1234)&gt;=3),SUM($EF1234:$EJ1234)&gt;=2),"Whole sector approach","")</f>
        <v/>
      </c>
      <c r="EQ1234" t="str">
        <f>IF(AND(AND(OR($EC1234=1,$EB1234=1),AND($EH1234=0,$EF1234=0)),SUM($EA1234:$EE1234,$EK1234)&gt;=4),"Ecosystem approach","")</f>
        <v/>
      </c>
      <c r="ER1234" s="2" t="str">
        <f>IF(AND(AND(AND($EC1234=0,$EB1234=0),OR($EH1234=1,$EF1234=1)),SUM($EG1234:$EJ1234)&gt;=2),"Technology approach","")</f>
        <v>Technology approach</v>
      </c>
      <c r="ES1234" t="str">
        <f>IF(AND($EC1234+$EB1234+$EE1234+$EA1234+$ED1234+$EG1234=0,$N1234="included"),"C neutral forest and HWP assumption","")</f>
        <v/>
      </c>
      <c r="ET1234" t="str">
        <f>IF(AND(AND(AND(AND($EC1234=1,$EB1234+$EA1234+$EG1234&gt;=1),$EF1234=1),$EH1234+$EI1234+$ED1234+$EE1234&gt;=2),$N1234="included"),"All C pools assumption","")</f>
        <v/>
      </c>
      <c r="EU1234" t="str">
        <f>IF(AND($ED1234+$EE1234+$EI1234+$EH1234+$EF1234=0,$N1234="included"),"In-situ only assumption","")</f>
        <v/>
      </c>
      <c r="EY1234" t="str">
        <f>IF(ISNUMBER(BW1234),IF(ABS(BW1234-[2]QC_indicators!$B$2)&gt;3*[2]QC_indicators!$C$2,"C ratio",IF(ISNUMBER(CA1234),IF(ABS(CA1234-[2]QC_indicators!$B$1)&gt;3*[2]QC_indicators!$C$1,"DF","no"))),IF(ISNUMBER(CA1234),IF(ABS(CA1234-[2]QC_indicators!$B$1)&gt;3*[2]QC_indicators!$C$1,"DF","no")))</f>
        <v>no</v>
      </c>
      <c r="FA1234" t="str">
        <f>IF(LEN($CY1234)=0,"",IF(AND($CY1234&lt;(-0.05),$ES1234="C neutral forest and HWP assumption"),"Cneutral paradox",IF(AND($CY1234&gt;0.05,$EU1234="In-situ only assumption"),"In-situ only paradox","")))</f>
        <v/>
      </c>
      <c r="FD1234" s="260" t="s">
        <v>2948</v>
      </c>
    </row>
    <row r="1235" spans="1:160" ht="15" hidden="1" customHeight="1">
      <c r="A1235" s="1" t="s">
        <v>265</v>
      </c>
      <c r="B1235" t="s">
        <v>1403</v>
      </c>
      <c r="C1235" t="s">
        <v>1404</v>
      </c>
      <c r="D1235" t="s">
        <v>1405</v>
      </c>
      <c r="E1235" t="s">
        <v>1406</v>
      </c>
      <c r="F1235" t="s">
        <v>1407</v>
      </c>
      <c r="G1235" t="s">
        <v>271</v>
      </c>
      <c r="H1235" t="s">
        <v>254</v>
      </c>
      <c r="I1235">
        <v>2019</v>
      </c>
      <c r="J1235">
        <v>26</v>
      </c>
      <c r="K1235" t="s">
        <v>1408</v>
      </c>
      <c r="M1235" t="str">
        <f>LEFT($D1235,FIND(",",$D1235)-1)&amp;"_"&amp;I1235&amp;L1235</f>
        <v>Faraca_2019</v>
      </c>
      <c r="N1235" t="s">
        <v>222</v>
      </c>
      <c r="O1235" s="145" t="s">
        <v>274</v>
      </c>
      <c r="P1235" s="179" t="s">
        <v>223</v>
      </c>
      <c r="Q1235" t="s">
        <v>256</v>
      </c>
      <c r="R1235" s="258" t="s">
        <v>223</v>
      </c>
      <c r="S1235" s="259" t="s">
        <v>2809</v>
      </c>
      <c r="T1235" t="s">
        <v>1424</v>
      </c>
      <c r="U1235" t="s">
        <v>1410</v>
      </c>
      <c r="V1235" s="253">
        <v>0</v>
      </c>
      <c r="W1235" s="253">
        <v>0</v>
      </c>
      <c r="X1235">
        <v>0</v>
      </c>
      <c r="Y1235">
        <v>0</v>
      </c>
      <c r="Z1235">
        <v>0</v>
      </c>
      <c r="AA1235">
        <v>0</v>
      </c>
      <c r="AB1235">
        <v>0</v>
      </c>
      <c r="AC1235">
        <v>0</v>
      </c>
      <c r="AD1235">
        <v>0</v>
      </c>
      <c r="AE1235">
        <v>0</v>
      </c>
      <c r="AF1235">
        <v>0</v>
      </c>
      <c r="AG1235">
        <v>0</v>
      </c>
      <c r="AH1235">
        <v>1</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s="141">
        <f>COUNTIF(X1235:AY1235,"&lt;&gt;0")</f>
        <v>1</v>
      </c>
      <c r="BA1235" s="141">
        <f>COUNTIF(X1235:AN1235,"&lt;&gt;0")</f>
        <v>1</v>
      </c>
      <c r="BB1235">
        <f>COUNTIF(X1235:AE1235,"&lt;&gt;0")</f>
        <v>0</v>
      </c>
      <c r="BC1235">
        <f>COUNTIF(AF1235:AK1235,"&lt;&gt;0")</f>
        <v>1</v>
      </c>
      <c r="BD1235">
        <f>COUNTIF(AL1235:AN1235,"&lt;&gt;0")</f>
        <v>0</v>
      </c>
      <c r="BE1235">
        <f>COUNTIF(AU1235:AY1235,"&lt;&gt;0")</f>
        <v>0</v>
      </c>
      <c r="BF1235">
        <f>COUNTIF(AO1235:AT1235,"&lt;&gt;0")</f>
        <v>0</v>
      </c>
      <c r="BG1235" t="str">
        <f t="array" ref="BG1235">IF(BA1235=1,INDEX($X$7:$AN$7,MATCH(TRUE,INDEX($X1235:$AY1235&lt;&gt;0,),0)),IF(BA1235=0,INDEX($AO$7:$AY$7,MATCH(1,$AO1235:$AY1235,0)),IF(BH1235="Multiple strategies","mixed drivers",IF(BH1235="Supply chain","multiple supply","multiple silviculture"))))</f>
        <v>supply chain organization</v>
      </c>
      <c r="BH1235" s="2" t="str" cm="1">
        <f t="array" ref="BH1235">IF(COUNTIF(BB1235:BD1235,"&lt;&gt;0")=1,INDEX($X$4:$AY$4,MATCH(TRUE,INDEX($X1235:$AY1235&lt;&gt;0,),0)),IF(COUNTIF(BB1235:BD1235,"&lt;&gt;0")=0,INDEX($AO$4:$AY$4,MATCH(1,$AO1235:$AY1235,0)),"Multiple strategies"))</f>
        <v>Supply chain</v>
      </c>
      <c r="BI1235" s="1" t="s">
        <v>229</v>
      </c>
      <c r="BJ1235" t="s">
        <v>1420</v>
      </c>
      <c r="BK1235" s="260" t="s">
        <v>2800</v>
      </c>
      <c r="BL1235" t="s">
        <v>345</v>
      </c>
      <c r="BM1235">
        <v>562</v>
      </c>
      <c r="BN1235">
        <v>922</v>
      </c>
      <c r="BO1235">
        <v>1.6405693950177935</v>
      </c>
      <c r="BP1235">
        <f>BN1235-BM1235</f>
        <v>360</v>
      </c>
      <c r="BQ1235">
        <f>BP1235*kg_to_m3</f>
        <v>0.73469387755102045</v>
      </c>
      <c r="BR1235" s="260" t="s">
        <v>395</v>
      </c>
      <c r="BS1235" t="s">
        <v>426</v>
      </c>
      <c r="BT1235" t="s">
        <v>714</v>
      </c>
      <c r="BU1235">
        <v>84.7</v>
      </c>
      <c r="BV1235">
        <v>33.9</v>
      </c>
      <c r="BW1235" s="144">
        <v>-9.5652173913043481E-2</v>
      </c>
      <c r="BX1235">
        <f>BV1235-BU1235</f>
        <v>-50.800000000000004</v>
      </c>
      <c r="BZ1235">
        <f>BX1235/1000</f>
        <v>-5.0800000000000005E-2</v>
      </c>
      <c r="CA1235">
        <f>IFERROR(BZ1235/BQ1235,"")</f>
        <v>-6.9144444444444453E-2</v>
      </c>
      <c r="CB1235">
        <v>0</v>
      </c>
      <c r="CC1235">
        <v>0</v>
      </c>
      <c r="CD1235">
        <v>0</v>
      </c>
      <c r="CE1235">
        <v>0</v>
      </c>
      <c r="CF1235">
        <v>0</v>
      </c>
      <c r="CG1235">
        <v>0</v>
      </c>
      <c r="CH1235">
        <v>0</v>
      </c>
      <c r="CI1235">
        <v>0</v>
      </c>
      <c r="CJ1235">
        <v>0</v>
      </c>
      <c r="CK1235">
        <v>0</v>
      </c>
      <c r="CL1235">
        <v>0</v>
      </c>
      <c r="CM1235">
        <v>0</v>
      </c>
      <c r="CN1235">
        <v>0</v>
      </c>
      <c r="CO1235">
        <v>0</v>
      </c>
      <c r="CP1235" t="str">
        <f>IF($BN1235&lt;$BM1235,"refNeedCorrection","refOK")</f>
        <v>refOK</v>
      </c>
      <c r="CQ1235">
        <f>IF($CP1235="refNeedCorrection",BN1235,BM1235)</f>
        <v>562</v>
      </c>
      <c r="CR1235">
        <f>IF($CP1235="refNeedCorrection",BM1235,BN1235)</f>
        <v>922</v>
      </c>
      <c r="CS1235">
        <f>IF($CP1235="refOK",$BQ1235,-$BQ1235)</f>
        <v>0.73469387755102045</v>
      </c>
      <c r="CT1235">
        <f>IF(BI1235="Roundwood",$CS1235/2,$CS1235)</f>
        <v>0.73469387755102045</v>
      </c>
      <c r="CU1235">
        <f>IF($CP1235="refOK",$BU1235,$BV1235)*IF($BR1235="Emissions positive",-1,1)</f>
        <v>-84.7</v>
      </c>
      <c r="CV1235">
        <f>IF($CP1235="refOK",$BV1235,$BU1235)*IF($BR1235="Emissions positive",-1,1)</f>
        <v>-33.9</v>
      </c>
      <c r="CW1235">
        <f>IF($CP1235="refNeedCorrection",-BZ1235,BZ1235)*IF($BR1235="Emissions positive",-1,1)</f>
        <v>5.0800000000000005E-2</v>
      </c>
      <c r="CX1235">
        <f>IFERROR($CW1235/$CS1235,"")</f>
        <v>6.9144444444444453E-2</v>
      </c>
      <c r="CY1235">
        <f>IFERROR($CW1235/$CS1235,"")</f>
        <v>6.9144444444444453E-2</v>
      </c>
      <c r="CZ1235">
        <f>IFERROR($CW1235/$CT1235,"")</f>
        <v>6.9144444444444453E-2</v>
      </c>
      <c r="DA1235" s="2">
        <f>IFERROR((CV1235-CU1235)/ABS(CU1235),"")</f>
        <v>0.59976387249114527</v>
      </c>
      <c r="DB1235" s="1" t="s">
        <v>1074</v>
      </c>
      <c r="DC1235" t="str">
        <f>IF(OR($DB1235="prd",$DB1235="std",$DB1235="cit"),"loc",IF(OR($DB1235="eur",$DB1235="reg",$DB1235="coy"),"reg",$DB1235))</f>
        <v>reg</v>
      </c>
      <c r="DD1235" t="s">
        <v>1412</v>
      </c>
      <c r="DG1235">
        <v>100</v>
      </c>
      <c r="DH1235" t="str">
        <f>IF(DG1235=0,"0",IF(AND(DG1235&gt;=1,DG1235&lt;=30),"1-30",IF(AND(DG1235&gt;30,DG1235&lt;=70),"31-70",IF(AND(DG1235&gt;70,DG1235&lt;=100),"71-100",IF(DG1235&gt;100,"+100")))))</f>
        <v>71-100</v>
      </c>
      <c r="DI1235">
        <v>0</v>
      </c>
      <c r="DJ1235">
        <v>0</v>
      </c>
      <c r="DK1235">
        <v>0</v>
      </c>
      <c r="DL1235">
        <v>1</v>
      </c>
      <c r="DN1235">
        <f>SUM(DI1235:DL1235)</f>
        <v>1</v>
      </c>
      <c r="DO1235" t="str">
        <f>IF(DN1235=1,INDEX($DI$7:$DL$7,MATCH(1,$DI1235:$DL1235,0)),"mixedProduct")</f>
        <v>TimberInput</v>
      </c>
      <c r="DP1235">
        <f>IF(DI1235=1,DP$7,0)</f>
        <v>0</v>
      </c>
      <c r="DQ1235">
        <f>IF(DJ1235=1,DQ$7,0)</f>
        <v>0</v>
      </c>
      <c r="DR1235">
        <f>IF(DK1235=1,DR$7,0)</f>
        <v>0</v>
      </c>
      <c r="DS1235" t="str">
        <f>IF(DL1235=1,DS$7,0)</f>
        <v>Timber</v>
      </c>
      <c r="DT1235">
        <v>0</v>
      </c>
      <c r="DU1235">
        <v>1</v>
      </c>
      <c r="DV1235">
        <v>0</v>
      </c>
      <c r="DW1235">
        <v>0</v>
      </c>
      <c r="DX1235" t="s">
        <v>1413</v>
      </c>
      <c r="DY1235">
        <f>SUM(DT1235:DU1235)</f>
        <v>1</v>
      </c>
      <c r="DZ1235" s="143" t="str">
        <f>IF(DT1235=1,"self-calculated DF",IF(DU1235=1,"external DF used","explicit C balance"))</f>
        <v>external DF used</v>
      </c>
      <c r="EA1235">
        <v>0</v>
      </c>
      <c r="EB1235">
        <v>0</v>
      </c>
      <c r="EC1235">
        <v>0</v>
      </c>
      <c r="ED1235">
        <v>0</v>
      </c>
      <c r="EE1235">
        <v>1</v>
      </c>
      <c r="EF1235" s="143">
        <v>1</v>
      </c>
      <c r="EG1235">
        <v>0</v>
      </c>
      <c r="EH1235">
        <v>1</v>
      </c>
      <c r="EI1235">
        <v>0</v>
      </c>
      <c r="EJ1235">
        <v>1</v>
      </c>
      <c r="EK1235">
        <v>1</v>
      </c>
      <c r="EL1235">
        <v>1</v>
      </c>
      <c r="EM1235">
        <v>0</v>
      </c>
      <c r="EN1235" s="2">
        <v>0</v>
      </c>
      <c r="EP1235" t="str">
        <f>IF(AND(AND(AND(OR($EC1235=1,$EB1235=1),OR($EH1235=1,$EF1235=1)),SUM($EA1235:$EE1235,$EK1235)&gt;=3),SUM($EF1235:$EJ1235)&gt;=2),"Whole sector approach","")</f>
        <v/>
      </c>
      <c r="EQ1235" t="str">
        <f>IF(AND(AND(OR($EC1235=1,$EB1235=1),AND($EH1235=0,$EF1235=0)),SUM($EA1235:$EE1235,$EK1235)&gt;=4),"Ecosystem approach","")</f>
        <v/>
      </c>
      <c r="ER1235" s="2" t="str">
        <f>IF(AND(AND(AND($EC1235=0,$EB1235=0),OR($EH1235=1,$EF1235=1)),SUM($EG1235:$EJ1235)&gt;=2),"Technology approach","")</f>
        <v>Technology approach</v>
      </c>
      <c r="ES1235" t="str">
        <f>IF(AND($EC1235+$EB1235+$EE1235+$EA1235+$ED1235+$EG1235=0,$N1235="included"),"C neutral forest and HWP assumption","")</f>
        <v/>
      </c>
      <c r="ET1235" t="str">
        <f>IF(AND(AND(AND(AND($EC1235=1,$EB1235+$EA1235+$EG1235&gt;=1),$EF1235=1),$EH1235+$EI1235+$ED1235+$EE1235&gt;=2),$N1235="included"),"All C pools assumption","")</f>
        <v/>
      </c>
      <c r="EU1235" t="str">
        <f>IF(AND($ED1235+$EE1235+$EI1235+$EH1235+$EF1235=0,$N1235="included"),"In-situ only assumption","")</f>
        <v/>
      </c>
      <c r="EY1235" t="str">
        <f>IF(ISNUMBER(BW1235),IF(ABS(BW1235-[2]QC_indicators!$B$2)&gt;3*[2]QC_indicators!$C$2,"C ratio",IF(ISNUMBER(CA1235),IF(ABS(CA1235-[2]QC_indicators!$B$1)&gt;3*[2]QC_indicators!$C$1,"DF","no"))),IF(ISNUMBER(CA1235),IF(ABS(CA1235-[2]QC_indicators!$B$1)&gt;3*[2]QC_indicators!$C$1,"DF","no")))</f>
        <v>no</v>
      </c>
      <c r="FA1235" t="str">
        <f>IF(LEN($CY1235)=0,"",IF(AND($CY1235&lt;(-0.05),$ES1235="C neutral forest and HWP assumption"),"Cneutral paradox",IF(AND($CY1235&gt;0.05,$EU1235="In-situ only assumption"),"In-situ only paradox","")))</f>
        <v/>
      </c>
      <c r="FD1235" s="260" t="s">
        <v>2948</v>
      </c>
    </row>
    <row r="1236" spans="1:160" ht="18" hidden="1" customHeight="1">
      <c r="A1236" s="1" t="s">
        <v>265</v>
      </c>
      <c r="B1236" t="s">
        <v>1403</v>
      </c>
      <c r="C1236" t="s">
        <v>1404</v>
      </c>
      <c r="D1236" t="s">
        <v>1405</v>
      </c>
      <c r="E1236" t="s">
        <v>1406</v>
      </c>
      <c r="F1236" t="s">
        <v>1407</v>
      </c>
      <c r="G1236" t="s">
        <v>271</v>
      </c>
      <c r="H1236" t="s">
        <v>254</v>
      </c>
      <c r="I1236">
        <v>2019</v>
      </c>
      <c r="J1236">
        <v>26</v>
      </c>
      <c r="K1236" t="s">
        <v>1408</v>
      </c>
      <c r="M1236" t="str">
        <f>LEFT($D1236,FIND(",",$D1236)-1)&amp;"_"&amp;I1236&amp;L1236</f>
        <v>Faraca_2019</v>
      </c>
      <c r="N1236" t="s">
        <v>222</v>
      </c>
      <c r="O1236" s="145" t="s">
        <v>274</v>
      </c>
      <c r="P1236" s="179" t="s">
        <v>223</v>
      </c>
      <c r="Q1236" t="s">
        <v>256</v>
      </c>
      <c r="R1236" s="258" t="s">
        <v>223</v>
      </c>
      <c r="S1236" s="259" t="s">
        <v>2808</v>
      </c>
      <c r="T1236" t="s">
        <v>1424</v>
      </c>
      <c r="U1236" t="s">
        <v>1410</v>
      </c>
      <c r="V1236" s="253">
        <v>0</v>
      </c>
      <c r="W1236" s="253">
        <v>0</v>
      </c>
      <c r="X1236">
        <v>0</v>
      </c>
      <c r="Y1236">
        <v>0</v>
      </c>
      <c r="Z1236">
        <v>0</v>
      </c>
      <c r="AA1236">
        <v>0</v>
      </c>
      <c r="AB1236">
        <v>0</v>
      </c>
      <c r="AC1236">
        <v>0</v>
      </c>
      <c r="AD1236">
        <v>0</v>
      </c>
      <c r="AE1236">
        <v>0</v>
      </c>
      <c r="AF1236">
        <v>0</v>
      </c>
      <c r="AG1236">
        <v>0</v>
      </c>
      <c r="AH1236">
        <v>1</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s="141">
        <f>COUNTIF(X1236:AY1236,"&lt;&gt;0")</f>
        <v>1</v>
      </c>
      <c r="BA1236" s="141">
        <f>COUNTIF(X1236:AN1236,"&lt;&gt;0")</f>
        <v>1</v>
      </c>
      <c r="BB1236">
        <f>COUNTIF(X1236:AE1236,"&lt;&gt;0")</f>
        <v>0</v>
      </c>
      <c r="BC1236">
        <f>COUNTIF(AF1236:AK1236,"&lt;&gt;0")</f>
        <v>1</v>
      </c>
      <c r="BD1236">
        <f>COUNTIF(AL1236:AN1236,"&lt;&gt;0")</f>
        <v>0</v>
      </c>
      <c r="BE1236">
        <f>COUNTIF(AU1236:AY1236,"&lt;&gt;0")</f>
        <v>0</v>
      </c>
      <c r="BF1236">
        <f>COUNTIF(AO1236:AT1236,"&lt;&gt;0")</f>
        <v>0</v>
      </c>
      <c r="BG1236" t="str">
        <f t="array" ref="BG1236">IF(BA1236=1,INDEX($X$7:$AN$7,MATCH(TRUE,INDEX($X1236:$AY1236&lt;&gt;0,),0)),IF(BA1236=0,INDEX($AO$7:$AY$7,MATCH(1,$AO1236:$AY1236,0)),IF(BH1236="Multiple strategies","mixed drivers",IF(BH1236="Supply chain","multiple supply","multiple silviculture"))))</f>
        <v>supply chain organization</v>
      </c>
      <c r="BH1236" s="2" t="str" cm="1">
        <f t="array" ref="BH1236">IF(COUNTIF(BB1236:BD1236,"&lt;&gt;0")=1,INDEX($X$4:$AY$4,MATCH(TRUE,INDEX($X1236:$AY1236&lt;&gt;0,),0)),IF(COUNTIF(BB1236:BD1236,"&lt;&gt;0")=0,INDEX($AO$4:$AY$4,MATCH(1,$AO1236:$AY1236,0)),"Multiple strategies"))</f>
        <v>Supply chain</v>
      </c>
      <c r="BI1236" s="1" t="s">
        <v>229</v>
      </c>
      <c r="BJ1236" t="s">
        <v>1420</v>
      </c>
      <c r="BK1236" s="260" t="s">
        <v>2800</v>
      </c>
      <c r="BL1236" t="s">
        <v>345</v>
      </c>
      <c r="BM1236">
        <v>562</v>
      </c>
      <c r="BN1236">
        <v>922</v>
      </c>
      <c r="BO1236">
        <v>1.6405693950177935</v>
      </c>
      <c r="BP1236">
        <f>BN1236-BM1236</f>
        <v>360</v>
      </c>
      <c r="BQ1236">
        <f>BP1236*kg_to_m3</f>
        <v>0.73469387755102045</v>
      </c>
      <c r="BR1236" s="260" t="s">
        <v>395</v>
      </c>
      <c r="BS1236" t="s">
        <v>426</v>
      </c>
      <c r="BT1236" t="s">
        <v>714</v>
      </c>
      <c r="BU1236">
        <v>430.5</v>
      </c>
      <c r="BV1236">
        <v>515.20000000000005</v>
      </c>
      <c r="BW1236" s="144"/>
      <c r="BX1236">
        <f>BV1236-BU1236</f>
        <v>84.700000000000045</v>
      </c>
      <c r="BZ1236">
        <f>BX1236/1000</f>
        <v>8.4700000000000039E-2</v>
      </c>
      <c r="CA1236">
        <f>IFERROR(BZ1236/BQ1236,"")</f>
        <v>0.11528611111111116</v>
      </c>
      <c r="CB1236">
        <v>0</v>
      </c>
      <c r="CC1236">
        <v>0</v>
      </c>
      <c r="CD1236">
        <v>0</v>
      </c>
      <c r="CE1236">
        <v>0</v>
      </c>
      <c r="CF1236">
        <v>0</v>
      </c>
      <c r="CG1236">
        <v>0</v>
      </c>
      <c r="CH1236">
        <v>0</v>
      </c>
      <c r="CI1236">
        <v>0</v>
      </c>
      <c r="CJ1236">
        <v>0</v>
      </c>
      <c r="CK1236">
        <v>0</v>
      </c>
      <c r="CL1236">
        <v>0</v>
      </c>
      <c r="CM1236">
        <v>0</v>
      </c>
      <c r="CN1236">
        <v>0</v>
      </c>
      <c r="CO1236">
        <v>0</v>
      </c>
      <c r="CP1236" t="str">
        <f>IF($BN1236&lt;$BM1236,"refNeedCorrection","refOK")</f>
        <v>refOK</v>
      </c>
      <c r="CQ1236">
        <f>IF($CP1236="refNeedCorrection",BN1236,BM1236)</f>
        <v>562</v>
      </c>
      <c r="CR1236">
        <f>IF($CP1236="refNeedCorrection",BM1236,BN1236)</f>
        <v>922</v>
      </c>
      <c r="CS1236">
        <f>IF($CP1236="refOK",$BQ1236,-$BQ1236)</f>
        <v>0.73469387755102045</v>
      </c>
      <c r="CT1236">
        <f>IF(BI1236="Roundwood",$CS1236/2,$CS1236)</f>
        <v>0.73469387755102045</v>
      </c>
      <c r="CU1236">
        <f>IF($CP1236="refOK",$BU1236,$BV1236)*IF($BR1236="Emissions positive",-1,1)</f>
        <v>-430.5</v>
      </c>
      <c r="CV1236">
        <f>IF($CP1236="refOK",$BV1236,$BU1236)*IF($BR1236="Emissions positive",-1,1)</f>
        <v>-515.20000000000005</v>
      </c>
      <c r="CW1236">
        <f>IF($CP1236="refNeedCorrection",-BZ1236,BZ1236)*IF($BR1236="Emissions positive",-1,1)</f>
        <v>-8.4700000000000039E-2</v>
      </c>
      <c r="CX1236">
        <f>IFERROR($CW1236/$CS1236,"")</f>
        <v>-0.11528611111111116</v>
      </c>
      <c r="CY1236">
        <f>IFERROR($CW1236/$CS1236,"")</f>
        <v>-0.11528611111111116</v>
      </c>
      <c r="CZ1236">
        <f>IFERROR($CW1236/$CT1236,"")</f>
        <v>-0.11528611111111116</v>
      </c>
      <c r="DA1236" s="2">
        <f>IFERROR((CV1236-CU1236)/ABS(CU1236),"")</f>
        <v>-0.19674796747967491</v>
      </c>
      <c r="DB1236" s="1" t="s">
        <v>1074</v>
      </c>
      <c r="DC1236" t="str">
        <f>IF(OR($DB1236="prd",$DB1236="std",$DB1236="cit"),"loc",IF(OR($DB1236="eur",$DB1236="reg",$DB1236="coy"),"reg",$DB1236))</f>
        <v>reg</v>
      </c>
      <c r="DD1236" t="s">
        <v>1412</v>
      </c>
      <c r="DG1236">
        <v>100</v>
      </c>
      <c r="DH1236" t="str">
        <f>IF(DG1236=0,"0",IF(AND(DG1236&gt;=1,DG1236&lt;=30),"1-30",IF(AND(DG1236&gt;30,DG1236&lt;=70),"31-70",IF(AND(DG1236&gt;70,DG1236&lt;=100),"71-100",IF(DG1236&gt;100,"+100")))))</f>
        <v>71-100</v>
      </c>
      <c r="DI1236">
        <v>0</v>
      </c>
      <c r="DJ1236">
        <v>0</v>
      </c>
      <c r="DK1236">
        <v>0</v>
      </c>
      <c r="DL1236">
        <v>1</v>
      </c>
      <c r="DN1236">
        <f>SUM(DI1236:DL1236)</f>
        <v>1</v>
      </c>
      <c r="DO1236" t="str">
        <f>IF(DN1236=1,INDEX($DI$7:$DL$7,MATCH(1,$DI1236:$DL1236,0)),"mixedProduct")</f>
        <v>TimberInput</v>
      </c>
      <c r="DP1236">
        <f>IF(DI1236=1,DP$7,0)</f>
        <v>0</v>
      </c>
      <c r="DQ1236">
        <f>IF(DJ1236=1,DQ$7,0)</f>
        <v>0</v>
      </c>
      <c r="DR1236">
        <f>IF(DK1236=1,DR$7,0)</f>
        <v>0</v>
      </c>
      <c r="DS1236" t="str">
        <f>IF(DL1236=1,DS$7,0)</f>
        <v>Timber</v>
      </c>
      <c r="DT1236">
        <v>0</v>
      </c>
      <c r="DU1236">
        <v>0</v>
      </c>
      <c r="DV1236">
        <v>0</v>
      </c>
      <c r="DW1236">
        <v>0</v>
      </c>
      <c r="DX1236">
        <v>0</v>
      </c>
      <c r="DY1236">
        <f>SUM(DT1236:DU1236)</f>
        <v>0</v>
      </c>
      <c r="DZ1236" s="143" t="str">
        <f>IF(DT1236=1,"self-calculated DF",IF(DU1236=1,"external DF used","explicit C balance"))</f>
        <v>explicit C balance</v>
      </c>
      <c r="EA1236">
        <v>0</v>
      </c>
      <c r="EB1236">
        <v>0</v>
      </c>
      <c r="EC1236">
        <v>0</v>
      </c>
      <c r="ED1236">
        <v>0</v>
      </c>
      <c r="EE1236">
        <v>1</v>
      </c>
      <c r="EF1236" s="143">
        <v>0</v>
      </c>
      <c r="EG1236">
        <v>0</v>
      </c>
      <c r="EH1236">
        <v>1</v>
      </c>
      <c r="EI1236">
        <v>0</v>
      </c>
      <c r="EJ1236">
        <v>1</v>
      </c>
      <c r="EK1236">
        <v>1</v>
      </c>
      <c r="EL1236">
        <v>1</v>
      </c>
      <c r="EM1236">
        <v>0</v>
      </c>
      <c r="EN1236" s="2">
        <v>0</v>
      </c>
      <c r="EP1236" t="str">
        <f>IF(AND(AND(AND(OR($EC1236=1,$EB1236=1),OR($EH1236=1,$EF1236=1)),SUM($EA1236:$EE1236,$EK1236)&gt;=3),SUM($EF1236:$EJ1236)&gt;=2),"Whole sector approach","")</f>
        <v/>
      </c>
      <c r="EQ1236" t="str">
        <f>IF(AND(AND(OR($EC1236=1,$EB1236=1),AND($EH1236=0,$EF1236=0)),SUM($EA1236:$EE1236,$EK1236)&gt;=4),"Ecosystem approach","")</f>
        <v/>
      </c>
      <c r="ER1236" s="2" t="str">
        <f>IF(AND(AND(AND($EC1236=0,$EB1236=0),OR($EH1236=1,$EF1236=1)),SUM($EG1236:$EJ1236)&gt;=2),"Technology approach","")</f>
        <v>Technology approach</v>
      </c>
      <c r="ES1236" t="str">
        <f>IF(AND($EC1236+$EB1236+$EE1236+$EA1236+$ED1236+$EG1236=0,$N1236="included"),"C neutral forest and HWP assumption","")</f>
        <v/>
      </c>
      <c r="ET1236" t="str">
        <f>IF(AND(AND(AND(AND($EC1236=1,$EB1236+$EA1236+$EG1236&gt;=1),$EF1236=1),$EH1236+$EI1236+$ED1236+$EE1236&gt;=2),$N1236="included"),"All C pools assumption","")</f>
        <v/>
      </c>
      <c r="EU1236" t="str">
        <f>IF(AND($ED1236+$EE1236+$EI1236+$EH1236+$EF1236=0,$N1236="included"),"In-situ only assumption","")</f>
        <v/>
      </c>
      <c r="EY1236" t="str">
        <f>IF(ISNUMBER(BW1236),IF(ABS(BW1236-[2]QC_indicators!$B$2)&gt;3*[2]QC_indicators!$C$2,"C ratio",IF(ISNUMBER(CA1236),IF(ABS(CA1236-[2]QC_indicators!$B$1)&gt;3*[2]QC_indicators!$C$1,"DF","no"))),IF(ISNUMBER(CA1236),IF(ABS(CA1236-[2]QC_indicators!$B$1)&gt;3*[2]QC_indicators!$C$1,"DF","no")))</f>
        <v>no</v>
      </c>
      <c r="FA1236" t="str">
        <f>IF(LEN($CY1236)=0,"",IF(AND($CY1236&lt;(-0.05),$ES1236="C neutral forest and HWP assumption"),"Cneutral paradox",IF(AND($CY1236&gt;0.05,$EU1236="In-situ only assumption"),"In-situ only paradox","")))</f>
        <v/>
      </c>
      <c r="FD1236" s="260" t="s">
        <v>2948</v>
      </c>
    </row>
    <row r="1237" spans="1:160" ht="15" hidden="1" customHeight="1">
      <c r="A1237" s="1" t="s">
        <v>265</v>
      </c>
      <c r="B1237" t="s">
        <v>1403</v>
      </c>
      <c r="C1237" t="s">
        <v>1404</v>
      </c>
      <c r="D1237" t="s">
        <v>1405</v>
      </c>
      <c r="E1237" t="s">
        <v>1406</v>
      </c>
      <c r="F1237" t="s">
        <v>1407</v>
      </c>
      <c r="G1237" t="s">
        <v>271</v>
      </c>
      <c r="H1237" t="s">
        <v>254</v>
      </c>
      <c r="I1237">
        <v>2019</v>
      </c>
      <c r="J1237">
        <v>26</v>
      </c>
      <c r="K1237" t="s">
        <v>1408</v>
      </c>
      <c r="M1237" t="str">
        <f>LEFT($D1237,FIND(",",$D1237)-1)&amp;"_"&amp;I1237&amp;L1237</f>
        <v>Faraca_2019</v>
      </c>
      <c r="N1237" t="s">
        <v>222</v>
      </c>
      <c r="O1237" s="145" t="s">
        <v>274</v>
      </c>
      <c r="P1237" s="179" t="s">
        <v>223</v>
      </c>
      <c r="Q1237" t="s">
        <v>256</v>
      </c>
      <c r="R1237" s="258" t="s">
        <v>223</v>
      </c>
      <c r="S1237" s="259" t="s">
        <v>2812</v>
      </c>
      <c r="T1237" t="s">
        <v>1410</v>
      </c>
      <c r="U1237" t="s">
        <v>1421</v>
      </c>
      <c r="V1237" s="253">
        <v>0</v>
      </c>
      <c r="W1237" s="253">
        <v>0</v>
      </c>
      <c r="X1237">
        <v>0</v>
      </c>
      <c r="Y1237">
        <v>0</v>
      </c>
      <c r="Z1237">
        <v>0</v>
      </c>
      <c r="AA1237">
        <v>0</v>
      </c>
      <c r="AB1237">
        <v>0</v>
      </c>
      <c r="AC1237">
        <v>0</v>
      </c>
      <c r="AD1237">
        <v>0</v>
      </c>
      <c r="AE1237">
        <v>0</v>
      </c>
      <c r="AF1237">
        <v>0</v>
      </c>
      <c r="AG1237">
        <v>0</v>
      </c>
      <c r="AH1237">
        <v>0</v>
      </c>
      <c r="AI1237">
        <v>1</v>
      </c>
      <c r="AJ1237">
        <v>0</v>
      </c>
      <c r="AK1237">
        <v>0</v>
      </c>
      <c r="AL1237">
        <v>0</v>
      </c>
      <c r="AM1237">
        <v>0</v>
      </c>
      <c r="AN1237">
        <v>0</v>
      </c>
      <c r="AO1237">
        <v>0</v>
      </c>
      <c r="AP1237">
        <v>0</v>
      </c>
      <c r="AQ1237">
        <v>0</v>
      </c>
      <c r="AR1237">
        <v>0</v>
      </c>
      <c r="AS1237">
        <v>0</v>
      </c>
      <c r="AT1237">
        <v>0</v>
      </c>
      <c r="AU1237">
        <v>0</v>
      </c>
      <c r="AV1237">
        <v>0</v>
      </c>
      <c r="AW1237">
        <v>0</v>
      </c>
      <c r="AX1237">
        <v>0</v>
      </c>
      <c r="AY1237">
        <v>0</v>
      </c>
      <c r="AZ1237" s="141">
        <f>COUNTIF(X1237:AY1237,"&lt;&gt;0")</f>
        <v>1</v>
      </c>
      <c r="BA1237" s="141">
        <f>COUNTIF(X1237:AN1237,"&lt;&gt;0")</f>
        <v>1</v>
      </c>
      <c r="BB1237">
        <f>COUNTIF(X1237:AE1237,"&lt;&gt;0")</f>
        <v>0</v>
      </c>
      <c r="BC1237">
        <f>COUNTIF(AF1237:AK1237,"&lt;&gt;0")</f>
        <v>1</v>
      </c>
      <c r="BD1237">
        <f>COUNTIF(AL1237:AN1237,"&lt;&gt;0")</f>
        <v>0</v>
      </c>
      <c r="BE1237">
        <f>COUNTIF(AU1237:AY1237,"&lt;&gt;0")</f>
        <v>0</v>
      </c>
      <c r="BF1237">
        <f>COUNTIF(AO1237:AT1237,"&lt;&gt;0")</f>
        <v>0</v>
      </c>
      <c r="BG1237" t="str">
        <f t="array" ref="BG1237">IF(BA1237=1,INDEX($X$7:$AN$7,MATCH(TRUE,INDEX($X1237:$AY1237&lt;&gt;0,),0)),IF(BA1237=0,INDEX($AO$7:$AY$7,MATCH(1,$AO1237:$AY1237,0)),IF(BH1237="Multiple strategies","mixed drivers",IF(BH1237="Supply chain","multiple supply","multiple silviculture"))))</f>
        <v>recycling</v>
      </c>
      <c r="BH1237" s="2" t="str" cm="1">
        <f t="array" ref="BH1237">IF(COUNTIF(BB1237:BD1237,"&lt;&gt;0")=1,INDEX($X$4:$AY$4,MATCH(TRUE,INDEX($X1237:$AY1237&lt;&gt;0,),0)),IF(COUNTIF(BB1237:BD1237,"&lt;&gt;0")=0,INDEX($AO$4:$AY$4,MATCH(1,$AO1237:$AY1237,0)),"Multiple strategies"))</f>
        <v>Supply chain</v>
      </c>
      <c r="BI1237" s="1" t="s">
        <v>229</v>
      </c>
      <c r="BJ1237" t="s">
        <v>1420</v>
      </c>
      <c r="BK1237" s="260" t="s">
        <v>2800</v>
      </c>
      <c r="BL1237" t="s">
        <v>345</v>
      </c>
      <c r="BM1237">
        <v>922</v>
      </c>
      <c r="BN1237">
        <f>922+519+281+121</f>
        <v>1843</v>
      </c>
      <c r="BO1237">
        <v>1.9989154013015185</v>
      </c>
      <c r="BP1237">
        <f>BN1237-BM1237</f>
        <v>921</v>
      </c>
      <c r="BQ1237">
        <f>BP1237*kg_to_m3</f>
        <v>1.879591836734694</v>
      </c>
      <c r="BR1237" s="260" t="s">
        <v>395</v>
      </c>
      <c r="BS1237" t="s">
        <v>426</v>
      </c>
      <c r="BT1237" t="s">
        <v>714</v>
      </c>
      <c r="BU1237">
        <v>-16.899999999999999</v>
      </c>
      <c r="BV1237">
        <v>81.400000000000006</v>
      </c>
      <c r="BW1237" s="144"/>
      <c r="BX1237">
        <f>BV1237-BU1237</f>
        <v>98.300000000000011</v>
      </c>
      <c r="BZ1237">
        <f>BX1237/1000</f>
        <v>9.8300000000000012E-2</v>
      </c>
      <c r="CA1237">
        <f>IFERROR(BZ1237/BQ1237,"")</f>
        <v>5.2298588490770903E-2</v>
      </c>
      <c r="CB1237">
        <v>0</v>
      </c>
      <c r="CC1237">
        <v>0</v>
      </c>
      <c r="CD1237">
        <v>0</v>
      </c>
      <c r="CE1237">
        <v>0</v>
      </c>
      <c r="CF1237">
        <v>0</v>
      </c>
      <c r="CG1237">
        <v>0</v>
      </c>
      <c r="CH1237">
        <v>0</v>
      </c>
      <c r="CI1237">
        <v>0</v>
      </c>
      <c r="CJ1237">
        <v>0</v>
      </c>
      <c r="CK1237">
        <v>0</v>
      </c>
      <c r="CL1237">
        <v>0</v>
      </c>
      <c r="CM1237">
        <v>0</v>
      </c>
      <c r="CN1237">
        <v>0</v>
      </c>
      <c r="CO1237">
        <v>0</v>
      </c>
      <c r="CP1237" t="str">
        <f>IF($BN1237&lt;$BM1237,"refNeedCorrection","refOK")</f>
        <v>refOK</v>
      </c>
      <c r="CQ1237">
        <f>IF($CP1237="refNeedCorrection",BN1237,BM1237)</f>
        <v>922</v>
      </c>
      <c r="CR1237">
        <f>IF($CP1237="refNeedCorrection",BM1237,BN1237)</f>
        <v>1843</v>
      </c>
      <c r="CS1237">
        <f>IF($CP1237="refOK",$BQ1237,-$BQ1237)</f>
        <v>1.879591836734694</v>
      </c>
      <c r="CT1237">
        <f>IF(BI1237="Roundwood",$CS1237/2,$CS1237)</f>
        <v>1.879591836734694</v>
      </c>
      <c r="CU1237">
        <f>IF($CP1237="refOK",$BU1237,$BV1237)*IF($BR1237="Emissions positive",-1,1)</f>
        <v>16.899999999999999</v>
      </c>
      <c r="CV1237">
        <f>IF($CP1237="refOK",$BU1237,#REF!)*IF($BR1237="Emissions positive",-1,1)</f>
        <v>16.899999999999999</v>
      </c>
      <c r="CW1237">
        <f>IF($CP1237="refNeedCorrection",-BZ1237,BZ1237)*IF($BR1237="Emissions positive",-1,1)</f>
        <v>-9.8300000000000012E-2</v>
      </c>
      <c r="CX1237">
        <f>IFERROR($CW1237/$CS1237,"")</f>
        <v>-5.2298588490770903E-2</v>
      </c>
      <c r="CY1237">
        <f>IFERROR($CW1237/$CS1237,"")</f>
        <v>-5.2298588490770903E-2</v>
      </c>
      <c r="CZ1237">
        <f>IFERROR($CW1237/$CT1237,"")</f>
        <v>-5.2298588490770903E-2</v>
      </c>
      <c r="DA1237" s="2">
        <f>IFERROR((CV1237-CU1237)/ABS(CU1237),"")</f>
        <v>0</v>
      </c>
      <c r="DB1237" s="1" t="s">
        <v>1074</v>
      </c>
      <c r="DC1237" t="str">
        <f>IF(OR($DB1237="prd",$DB1237="std",$DB1237="cit"),"loc",IF(OR($DB1237="eur",$DB1237="reg",$DB1237="coy"),"reg",$DB1237))</f>
        <v>reg</v>
      </c>
      <c r="DD1237" t="s">
        <v>1412</v>
      </c>
      <c r="DG1237">
        <v>500</v>
      </c>
      <c r="DH1237" t="str">
        <f>IF(DG1237=0,"0",IF(AND(DG1237&gt;=1,DG1237&lt;=30),"1-30",IF(AND(DG1237&gt;30,DG1237&lt;=70),"31-70",IF(AND(DG1237&gt;70,DG1237&lt;=100),"71-100",IF(DG1237&gt;100,"+100")))))</f>
        <v>+100</v>
      </c>
      <c r="DI1237">
        <v>0</v>
      </c>
      <c r="DJ1237">
        <v>0</v>
      </c>
      <c r="DK1237">
        <v>0</v>
      </c>
      <c r="DL1237">
        <v>1</v>
      </c>
      <c r="DN1237">
        <f>SUM(DI1237:DL1237)</f>
        <v>1</v>
      </c>
      <c r="DO1237" t="str">
        <f>IF(DN1237=1,INDEX($DI$7:$DL$7,MATCH(1,$DI1237:$DL1237,0)),"mixedProduct")</f>
        <v>TimberInput</v>
      </c>
      <c r="DP1237">
        <f>IF(DI1237=1,DP$7,0)</f>
        <v>0</v>
      </c>
      <c r="DQ1237">
        <f>IF(DJ1237=1,DQ$7,0)</f>
        <v>0</v>
      </c>
      <c r="DR1237">
        <f>IF(DK1237=1,DR$7,0)</f>
        <v>0</v>
      </c>
      <c r="DS1237" t="str">
        <f>IF(DL1237=1,DS$7,0)</f>
        <v>Timber</v>
      </c>
      <c r="DT1237">
        <v>0</v>
      </c>
      <c r="DU1237">
        <v>0</v>
      </c>
      <c r="DV1237">
        <v>0</v>
      </c>
      <c r="DW1237">
        <v>0</v>
      </c>
      <c r="DX1237">
        <v>0</v>
      </c>
      <c r="DY1237">
        <f>SUM(DT1237:DU1237)</f>
        <v>0</v>
      </c>
      <c r="DZ1237" s="143" t="str">
        <f>IF(DT1237=1,"self-calculated DF",IF(DU1237=1,"external DF used","explicit C balance"))</f>
        <v>explicit C balance</v>
      </c>
      <c r="EA1237">
        <v>0</v>
      </c>
      <c r="EB1237">
        <v>0</v>
      </c>
      <c r="EC1237">
        <v>0</v>
      </c>
      <c r="ED1237">
        <v>0</v>
      </c>
      <c r="EE1237">
        <v>1</v>
      </c>
      <c r="EF1237" s="143">
        <v>1</v>
      </c>
      <c r="EG1237">
        <v>0</v>
      </c>
      <c r="EH1237">
        <v>1</v>
      </c>
      <c r="EI1237">
        <v>0</v>
      </c>
      <c r="EJ1237">
        <v>1</v>
      </c>
      <c r="EK1237">
        <v>1</v>
      </c>
      <c r="EL1237">
        <v>1</v>
      </c>
      <c r="EM1237">
        <v>0</v>
      </c>
      <c r="EN1237" s="2">
        <v>0</v>
      </c>
      <c r="EP1237" t="str">
        <f>IF(AND(AND(AND(OR($EC1237=1,$EB1237=1),OR($EH1237=1,$EF1237=1)),SUM($EA1237:$EE1237,$EK1237)&gt;=3),SUM($EF1237:$EJ1237)&gt;=2),"Whole sector approach","")</f>
        <v/>
      </c>
      <c r="EQ1237" t="str">
        <f>IF(AND(AND(OR($EC1237=1,$EB1237=1),AND($EH1237=0,$EF1237=0)),SUM($EA1237:$EE1237,$EK1237)&gt;=4),"Ecosystem approach","")</f>
        <v/>
      </c>
      <c r="ER1237" s="2" t="str">
        <f>IF(AND(AND(AND($EC1237=0,$EB1237=0),OR($EH1237=1,$EF1237=1)),SUM($EG1237:$EJ1237)&gt;=2),"Technology approach","")</f>
        <v>Technology approach</v>
      </c>
      <c r="ES1237" t="str">
        <f>IF(AND($EC1237+$EB1237+$EE1237+$EA1237+$ED1237+$EG1237=0,$N1237="included"),"C neutral forest and HWP assumption","")</f>
        <v/>
      </c>
      <c r="ET1237" t="str">
        <f>IF(AND(AND(AND(AND($EC1237=1,$EB1237+$EA1237+$EG1237&gt;=1),$EF1237=1),$EH1237+$EI1237+$ED1237+$EE1237&gt;=2),$N1237="included"),"All C pools assumption","")</f>
        <v/>
      </c>
      <c r="EU1237" t="str">
        <f>IF(AND($ED1237+$EE1237+$EI1237+$EH1237+$EF1237=0,$N1237="included"),"In-situ only assumption","")</f>
        <v/>
      </c>
      <c r="EY1237" t="str">
        <f>IF(ISNUMBER(BW1237),IF(ABS(BW1237-[2]QC_indicators!$B$2)&gt;3*[2]QC_indicators!$C$2,"C ratio",IF(ISNUMBER(CA1237),IF(ABS(CA1237-[2]QC_indicators!$B$1)&gt;3*[2]QC_indicators!$C$1,"DF","no"))),IF(ISNUMBER(CA1237),IF(ABS(CA1237-[2]QC_indicators!$B$1)&gt;3*[2]QC_indicators!$C$1,"DF","no")))</f>
        <v>no</v>
      </c>
      <c r="FA1237" t="str">
        <f>IF(LEN($CY1237)=0,"",IF(AND($CY1237&lt;(-0.05),$ES1237="C neutral forest and HWP assumption"),"Cneutral paradox",IF(AND($CY1237&gt;0.05,$EU1237="In-situ only assumption"),"In-situ only paradox","")))</f>
        <v/>
      </c>
      <c r="FD1237" s="260" t="s">
        <v>2948</v>
      </c>
    </row>
    <row r="1238" spans="1:160" ht="15" hidden="1" customHeight="1">
      <c r="A1238" s="1" t="s">
        <v>265</v>
      </c>
      <c r="B1238" t="s">
        <v>1403</v>
      </c>
      <c r="C1238" t="s">
        <v>1404</v>
      </c>
      <c r="D1238" t="s">
        <v>1405</v>
      </c>
      <c r="E1238" t="s">
        <v>1406</v>
      </c>
      <c r="F1238" t="s">
        <v>1407</v>
      </c>
      <c r="G1238" t="s">
        <v>271</v>
      </c>
      <c r="H1238" t="s">
        <v>254</v>
      </c>
      <c r="I1238">
        <v>2019</v>
      </c>
      <c r="J1238">
        <v>26</v>
      </c>
      <c r="K1238" t="s">
        <v>1408</v>
      </c>
      <c r="M1238" t="str">
        <f>LEFT($D1238,FIND(",",$D1238)-1)&amp;"_"&amp;I1238&amp;L1238</f>
        <v>Faraca_2019</v>
      </c>
      <c r="N1238" t="s">
        <v>222</v>
      </c>
      <c r="O1238" s="145" t="s">
        <v>274</v>
      </c>
      <c r="Q1238" t="s">
        <v>256</v>
      </c>
      <c r="R1238" s="258" t="s">
        <v>223</v>
      </c>
      <c r="S1238" s="259" t="s">
        <v>2813</v>
      </c>
      <c r="T1238" t="s">
        <v>1410</v>
      </c>
      <c r="U1238" t="s">
        <v>1421</v>
      </c>
      <c r="V1238" s="253">
        <v>0</v>
      </c>
      <c r="W1238" s="253">
        <v>0</v>
      </c>
      <c r="X1238">
        <v>0</v>
      </c>
      <c r="Y1238">
        <v>0</v>
      </c>
      <c r="Z1238">
        <v>0</v>
      </c>
      <c r="AA1238">
        <v>0</v>
      </c>
      <c r="AB1238">
        <v>0</v>
      </c>
      <c r="AC1238">
        <v>0</v>
      </c>
      <c r="AD1238">
        <v>0</v>
      </c>
      <c r="AE1238">
        <v>0</v>
      </c>
      <c r="AF1238">
        <v>0</v>
      </c>
      <c r="AG1238">
        <v>0</v>
      </c>
      <c r="AH1238">
        <v>0</v>
      </c>
      <c r="AI1238">
        <v>1</v>
      </c>
      <c r="AJ1238">
        <v>0</v>
      </c>
      <c r="AK1238">
        <v>0</v>
      </c>
      <c r="AL1238">
        <v>0</v>
      </c>
      <c r="AM1238">
        <v>0</v>
      </c>
      <c r="AN1238">
        <v>0</v>
      </c>
      <c r="AO1238">
        <v>0</v>
      </c>
      <c r="AP1238">
        <v>0</v>
      </c>
      <c r="AQ1238">
        <v>0</v>
      </c>
      <c r="AR1238">
        <v>0</v>
      </c>
      <c r="AS1238">
        <v>0</v>
      </c>
      <c r="AT1238">
        <v>0</v>
      </c>
      <c r="AU1238">
        <v>0</v>
      </c>
      <c r="AV1238">
        <v>0</v>
      </c>
      <c r="AW1238">
        <v>0</v>
      </c>
      <c r="AX1238">
        <v>0</v>
      </c>
      <c r="AY1238">
        <v>0</v>
      </c>
      <c r="AZ1238" s="141">
        <f>COUNTIF(X1238:AY1238,"&lt;&gt;0")</f>
        <v>1</v>
      </c>
      <c r="BA1238" s="141">
        <f>COUNTIF(X1238:AN1238,"&lt;&gt;0")</f>
        <v>1</v>
      </c>
      <c r="BB1238">
        <f>COUNTIF(X1238:AE1238,"&lt;&gt;0")</f>
        <v>0</v>
      </c>
      <c r="BC1238">
        <f>COUNTIF(AF1238:AK1238,"&lt;&gt;0")</f>
        <v>1</v>
      </c>
      <c r="BD1238">
        <f>COUNTIF(AL1238:AN1238,"&lt;&gt;0")</f>
        <v>0</v>
      </c>
      <c r="BE1238">
        <f>COUNTIF(AU1238:AY1238,"&lt;&gt;0")</f>
        <v>0</v>
      </c>
      <c r="BF1238">
        <f>COUNTIF(AO1238:AT1238,"&lt;&gt;0")</f>
        <v>0</v>
      </c>
      <c r="BG1238" t="str">
        <f t="array" ref="BG1238">IF(BA1238=1,INDEX($X$7:$AN$7,MATCH(TRUE,INDEX($X1238:$AY1238&lt;&gt;0,),0)),IF(BA1238=0,INDEX($AO$7:$AY$7,MATCH(1,$AO1238:$AY1238,0)),IF(BH1238="Multiple strategies","mixed drivers",IF(BH1238="Supply chain","multiple supply","multiple silviculture"))))</f>
        <v>recycling</v>
      </c>
      <c r="BH1238" s="2" t="str" cm="1">
        <f t="array" ref="BH1238">IF(COUNTIF(BB1238:BD1238,"&lt;&gt;0")=1,INDEX($X$4:$AY$4,MATCH(TRUE,INDEX($X1238:$AY1238&lt;&gt;0,),0)),IF(COUNTIF(BB1238:BD1238,"&lt;&gt;0")=0,INDEX($AO$4:$AY$4,MATCH(1,$AO1238:$AY1238,0)),"Multiple strategies"))</f>
        <v>Supply chain</v>
      </c>
      <c r="BI1238" s="1" t="s">
        <v>229</v>
      </c>
      <c r="BJ1238" t="s">
        <v>1420</v>
      </c>
      <c r="BK1238" t="s">
        <v>1411</v>
      </c>
      <c r="BL1238" t="s">
        <v>345</v>
      </c>
      <c r="BM1238">
        <v>922</v>
      </c>
      <c r="BN1238">
        <f>922+519+281+121</f>
        <v>1843</v>
      </c>
      <c r="BO1238">
        <v>1.9989154013015185</v>
      </c>
      <c r="BP1238">
        <f>BN1238-BM1238</f>
        <v>921</v>
      </c>
      <c r="BQ1238">
        <f>BP1238*kg_to_m3</f>
        <v>1.879591836734694</v>
      </c>
      <c r="BR1238" s="260" t="s">
        <v>395</v>
      </c>
      <c r="BS1238" t="s">
        <v>426</v>
      </c>
      <c r="BT1238" t="s">
        <v>714</v>
      </c>
      <c r="BU1238">
        <v>-10.3</v>
      </c>
      <c r="BV1238">
        <v>-100</v>
      </c>
      <c r="BW1238" s="144">
        <v>9.545454545454545</v>
      </c>
      <c r="BX1238">
        <v>94</v>
      </c>
      <c r="BZ1238">
        <f>BX1238/1000</f>
        <v>9.4E-2</v>
      </c>
      <c r="CA1238">
        <f>IFERROR(BZ1238/BQ1238,"")</f>
        <v>5.0010857763300755E-2</v>
      </c>
      <c r="CB1238">
        <v>0</v>
      </c>
      <c r="CC1238">
        <v>0</v>
      </c>
      <c r="CD1238">
        <v>0</v>
      </c>
      <c r="CE1238">
        <v>0</v>
      </c>
      <c r="CF1238">
        <v>0</v>
      </c>
      <c r="CG1238">
        <v>0</v>
      </c>
      <c r="CH1238">
        <v>0</v>
      </c>
      <c r="CI1238">
        <v>0</v>
      </c>
      <c r="CJ1238">
        <v>0</v>
      </c>
      <c r="CK1238">
        <v>0</v>
      </c>
      <c r="CL1238">
        <v>0</v>
      </c>
      <c r="CM1238">
        <v>0</v>
      </c>
      <c r="CN1238">
        <v>0</v>
      </c>
      <c r="CO1238">
        <v>0</v>
      </c>
      <c r="CP1238" t="str">
        <f>IF($BN1238&lt;$BM1238,"refNeedCorrection","refOK")</f>
        <v>refOK</v>
      </c>
      <c r="CQ1238">
        <f>IF($CP1238="refNeedCorrection",BN1238,BM1238)</f>
        <v>922</v>
      </c>
      <c r="CR1238">
        <f>IF($CP1238="refNeedCorrection",BM1238,BN1238)</f>
        <v>1843</v>
      </c>
      <c r="CS1238">
        <f>IF($CP1238="refOK",$BQ1238,-$BQ1238)</f>
        <v>1.879591836734694</v>
      </c>
      <c r="CT1238">
        <f>IF(BI1238="Roundwood",$CS1238/2,$CS1238)</f>
        <v>1.879591836734694</v>
      </c>
      <c r="CU1238">
        <f>IF($CP1238="refOK",$BU1238,$BV1238)*IF($BR1238="Emissions positive",-1,1)</f>
        <v>10.3</v>
      </c>
      <c r="CV1238">
        <f>IF($CP1238="refOK",$BV1238,$BU1238)*IF($BR1238="Emissions positive",-1,1)</f>
        <v>100</v>
      </c>
      <c r="CW1238">
        <f>IF($CP1238="refNeedCorrection",-BZ1238,BZ1238)*IF($BR1238="Emissions positive",-1,1)</f>
        <v>-9.4E-2</v>
      </c>
      <c r="CX1238">
        <f>IFERROR($CW1238/$CS1238,"")</f>
        <v>-5.0010857763300755E-2</v>
      </c>
      <c r="CY1238">
        <f>IFERROR($CW1238/$CS1238,"")</f>
        <v>-5.0010857763300755E-2</v>
      </c>
      <c r="CZ1238">
        <f>IFERROR($CW1238/$CT1238,"")</f>
        <v>-5.0010857763300755E-2</v>
      </c>
      <c r="DA1238" s="2">
        <f>IFERROR((CV1238-CU1238)/ABS(CU1238),"")</f>
        <v>8.7087378640776691</v>
      </c>
      <c r="DB1238" s="1" t="s">
        <v>1074</v>
      </c>
      <c r="DC1238" t="str">
        <f>IF(OR($DB1238="prd",$DB1238="std",$DB1238="cit"),"loc",IF(OR($DB1238="eur",$DB1238="reg",$DB1238="coy"),"reg",$DB1238))</f>
        <v>reg</v>
      </c>
      <c r="DD1238" t="s">
        <v>1412</v>
      </c>
      <c r="DG1238">
        <v>100</v>
      </c>
      <c r="DH1238" t="str">
        <f>IF(DG1238=0,"0",IF(AND(DG1238&gt;=1,DG1238&lt;=30),"1-30",IF(AND(DG1238&gt;30,DG1238&lt;=70),"31-70",IF(AND(DG1238&gt;70,DG1238&lt;=100),"71-100",IF(DG1238&gt;100,"+100")))))</f>
        <v>71-100</v>
      </c>
      <c r="DI1238">
        <v>0</v>
      </c>
      <c r="DJ1238">
        <v>0</v>
      </c>
      <c r="DK1238">
        <v>0</v>
      </c>
      <c r="DL1238">
        <v>1</v>
      </c>
      <c r="DN1238">
        <f>SUM(DI1238:DL1238)</f>
        <v>1</v>
      </c>
      <c r="DO1238" t="str">
        <f>IF(DN1238=1,INDEX($DI$7:$DL$7,MATCH(1,$DI1238:$DL1238,0)),"mixedProduct")</f>
        <v>TimberInput</v>
      </c>
      <c r="DP1238">
        <f>IF(DI1238=1,DP$7,0)</f>
        <v>0</v>
      </c>
      <c r="DQ1238">
        <f>IF(DJ1238=1,DQ$7,0)</f>
        <v>0</v>
      </c>
      <c r="DR1238">
        <f>IF(DK1238=1,DR$7,0)</f>
        <v>0</v>
      </c>
      <c r="DS1238" t="str">
        <f>IF(DL1238=1,DS$7,0)</f>
        <v>Timber</v>
      </c>
      <c r="DT1238">
        <v>0</v>
      </c>
      <c r="DU1238">
        <v>1</v>
      </c>
      <c r="DV1238">
        <v>0</v>
      </c>
      <c r="DW1238">
        <v>0</v>
      </c>
      <c r="DX1238" t="s">
        <v>1413</v>
      </c>
      <c r="DY1238">
        <f>SUM(DT1238:DU1238)</f>
        <v>1</v>
      </c>
      <c r="DZ1238" s="143" t="str">
        <f>IF(DT1238=1,"self-calculated DF",IF(DU1238=1,"external DF used","explicit C balance"))</f>
        <v>external DF used</v>
      </c>
      <c r="EA1238">
        <v>0</v>
      </c>
      <c r="EB1238">
        <v>0</v>
      </c>
      <c r="EC1238">
        <v>0</v>
      </c>
      <c r="ED1238">
        <v>0</v>
      </c>
      <c r="EE1238">
        <v>1</v>
      </c>
      <c r="EF1238" s="143">
        <v>1</v>
      </c>
      <c r="EG1238">
        <v>0</v>
      </c>
      <c r="EH1238">
        <v>1</v>
      </c>
      <c r="EI1238">
        <v>0</v>
      </c>
      <c r="EJ1238">
        <v>1</v>
      </c>
      <c r="EK1238">
        <v>1</v>
      </c>
      <c r="EL1238">
        <v>1</v>
      </c>
      <c r="EM1238">
        <v>0</v>
      </c>
      <c r="EN1238" s="2">
        <v>0</v>
      </c>
      <c r="EP1238" t="str">
        <f>IF(AND(AND(AND(OR($EC1238=1,$EB1238=1),OR($EH1238=1,$EF1238=1)),SUM($EA1238:$EE1238,$EK1238)&gt;=3),SUM($EF1238:$EJ1238)&gt;=2),"Whole sector approach","")</f>
        <v/>
      </c>
      <c r="EQ1238" t="str">
        <f>IF(AND(AND(OR($EC1238=1,$EB1238=1),AND($EH1238=0,$EF1238=0)),SUM($EA1238:$EE1238,$EK1238)&gt;=4),"Ecosystem approach","")</f>
        <v/>
      </c>
      <c r="ER1238" s="2" t="str">
        <f>IF(AND(AND(AND($EC1238=0,$EB1238=0),OR($EH1238=1,$EF1238=1)),SUM($EG1238:$EJ1238)&gt;=2),"Technology approach","")</f>
        <v>Technology approach</v>
      </c>
      <c r="ES1238" t="str">
        <f>IF(AND($EC1238+$EB1238+$EE1238+$EA1238+$ED1238+$EG1238=0,$N1238="included"),"C neutral forest and HWP assumption","")</f>
        <v/>
      </c>
      <c r="ET1238" t="str">
        <f>IF(AND(AND(AND(AND($EC1238=1,$EB1238+$EA1238+$EG1238&gt;=1),$EF1238=1),$EH1238+$EI1238+$ED1238+$EE1238&gt;=2),$N1238="included"),"All C pools assumption","")</f>
        <v/>
      </c>
      <c r="EU1238" t="str">
        <f>IF(AND($ED1238+$EE1238+$EI1238+$EH1238+$EF1238=0,$N1238="included"),"In-situ only assumption","")</f>
        <v/>
      </c>
      <c r="EY1238" t="str">
        <f>IF(ISNUMBER(BW1238),IF(ABS(BW1238-[2]QC_indicators!$B$2)&gt;3*[2]QC_indicators!$C$2,"C ratio",IF(ISNUMBER(CA1238),IF(ABS(CA1238-[2]QC_indicators!$B$1)&gt;3*[2]QC_indicators!$C$1,"DF","no"))),IF(ISNUMBER(CA1238),IF(ABS(CA1238-[2]QC_indicators!$B$1)&gt;3*[2]QC_indicators!$C$1,"DF","no")))</f>
        <v>no</v>
      </c>
      <c r="FA1238" t="str">
        <f>IF(LEN($CY1238)=0,"",IF(AND($CY1238&lt;(-0.05),$ES1238="C neutral forest and HWP assumption"),"Cneutral paradox",IF(AND($CY1238&gt;0.05,$EU1238="In-situ only assumption"),"In-situ only paradox","")))</f>
        <v/>
      </c>
      <c r="FD1238" s="260" t="s">
        <v>2948</v>
      </c>
    </row>
    <row r="1239" spans="1:160" ht="15" hidden="1" customHeight="1">
      <c r="A1239" s="1" t="s">
        <v>265</v>
      </c>
      <c r="B1239" t="s">
        <v>1403</v>
      </c>
      <c r="C1239" t="s">
        <v>1404</v>
      </c>
      <c r="D1239" t="s">
        <v>1405</v>
      </c>
      <c r="E1239" t="s">
        <v>1406</v>
      </c>
      <c r="F1239" t="s">
        <v>1407</v>
      </c>
      <c r="G1239" t="s">
        <v>271</v>
      </c>
      <c r="H1239" t="s">
        <v>254</v>
      </c>
      <c r="I1239">
        <v>2019</v>
      </c>
      <c r="J1239">
        <v>26</v>
      </c>
      <c r="K1239" t="s">
        <v>1408</v>
      </c>
      <c r="M1239" t="str">
        <f>LEFT($D1239,FIND(",",$D1239)-1)&amp;"_"&amp;I1239&amp;L1239</f>
        <v>Faraca_2019</v>
      </c>
      <c r="N1239" t="s">
        <v>222</v>
      </c>
      <c r="O1239" s="145" t="s">
        <v>274</v>
      </c>
      <c r="P1239" s="179" t="s">
        <v>223</v>
      </c>
      <c r="Q1239" t="s">
        <v>256</v>
      </c>
      <c r="R1239" s="258" t="s">
        <v>223</v>
      </c>
      <c r="S1239" s="259" t="s">
        <v>2812</v>
      </c>
      <c r="T1239" t="s">
        <v>1410</v>
      </c>
      <c r="U1239" t="s">
        <v>1421</v>
      </c>
      <c r="V1239" s="253">
        <v>0</v>
      </c>
      <c r="W1239" s="253">
        <v>0</v>
      </c>
      <c r="X1239">
        <v>0</v>
      </c>
      <c r="Y1239">
        <v>0</v>
      </c>
      <c r="Z1239">
        <v>0</v>
      </c>
      <c r="AA1239">
        <v>0</v>
      </c>
      <c r="AB1239">
        <v>0</v>
      </c>
      <c r="AC1239">
        <v>0</v>
      </c>
      <c r="AD1239">
        <v>0</v>
      </c>
      <c r="AE1239">
        <v>0</v>
      </c>
      <c r="AF1239">
        <v>0</v>
      </c>
      <c r="AG1239">
        <v>0</v>
      </c>
      <c r="AH1239">
        <v>0</v>
      </c>
      <c r="AI1239">
        <v>1</v>
      </c>
      <c r="AJ1239">
        <v>0</v>
      </c>
      <c r="AK1239">
        <v>0</v>
      </c>
      <c r="AL1239">
        <v>0</v>
      </c>
      <c r="AM1239">
        <v>0</v>
      </c>
      <c r="AN1239">
        <v>0</v>
      </c>
      <c r="AO1239">
        <v>0</v>
      </c>
      <c r="AP1239">
        <v>0</v>
      </c>
      <c r="AQ1239">
        <v>0</v>
      </c>
      <c r="AR1239">
        <v>0</v>
      </c>
      <c r="AS1239">
        <v>0</v>
      </c>
      <c r="AT1239">
        <v>0</v>
      </c>
      <c r="AU1239">
        <v>0</v>
      </c>
      <c r="AV1239">
        <v>0</v>
      </c>
      <c r="AW1239">
        <v>0</v>
      </c>
      <c r="AX1239">
        <v>0</v>
      </c>
      <c r="AY1239">
        <v>0</v>
      </c>
      <c r="AZ1239" s="141">
        <f>COUNTIF(X1239:AY1239,"&lt;&gt;0")</f>
        <v>1</v>
      </c>
      <c r="BA1239" s="141">
        <f>COUNTIF(X1239:AN1239,"&lt;&gt;0")</f>
        <v>1</v>
      </c>
      <c r="BB1239">
        <f>COUNTIF(X1239:AE1239,"&lt;&gt;0")</f>
        <v>0</v>
      </c>
      <c r="BC1239">
        <f>COUNTIF(AF1239:AK1239,"&lt;&gt;0")</f>
        <v>1</v>
      </c>
      <c r="BD1239">
        <f>COUNTIF(AL1239:AN1239,"&lt;&gt;0")</f>
        <v>0</v>
      </c>
      <c r="BE1239">
        <f>COUNTIF(AU1239:AY1239,"&lt;&gt;0")</f>
        <v>0</v>
      </c>
      <c r="BF1239">
        <f>COUNTIF(AO1239:AT1239,"&lt;&gt;0")</f>
        <v>0</v>
      </c>
      <c r="BG1239" t="str">
        <f t="array" ref="BG1239">IF(BA1239=1,INDEX($X$7:$AN$7,MATCH(TRUE,INDEX($X1239:$AY1239&lt;&gt;0,),0)),IF(BA1239=0,INDEX($AO$7:$AY$7,MATCH(1,$AO1239:$AY1239,0)),IF(BH1239="Multiple strategies","mixed drivers",IF(BH1239="Supply chain","multiple supply","multiple silviculture"))))</f>
        <v>recycling</v>
      </c>
      <c r="BH1239" s="2" t="str" cm="1">
        <f t="array" ref="BH1239">IF(COUNTIF(BB1239:BD1239,"&lt;&gt;0")=1,INDEX($X$4:$AY$4,MATCH(TRUE,INDEX($X1239:$AY1239&lt;&gt;0,),0)),IF(COUNTIF(BB1239:BD1239,"&lt;&gt;0")=0,INDEX($AO$4:$AY$4,MATCH(1,$AO1239:$AY1239,0)),"Multiple strategies"))</f>
        <v>Supply chain</v>
      </c>
      <c r="BI1239" s="1" t="s">
        <v>229</v>
      </c>
      <c r="BJ1239" t="s">
        <v>1420</v>
      </c>
      <c r="BL1239" t="s">
        <v>345</v>
      </c>
      <c r="BM1239">
        <v>922</v>
      </c>
      <c r="BN1239">
        <f>922+519+281+121</f>
        <v>1843</v>
      </c>
      <c r="BO1239">
        <v>1.9989154013015185</v>
      </c>
      <c r="BP1239">
        <f>BN1239-BM1239</f>
        <v>921</v>
      </c>
      <c r="BQ1239">
        <f>BP1239*kg_to_m3</f>
        <v>1.879591836734694</v>
      </c>
      <c r="BR1239" s="260" t="s">
        <v>395</v>
      </c>
      <c r="BS1239" t="s">
        <v>426</v>
      </c>
      <c r="BT1239" t="s">
        <v>714</v>
      </c>
      <c r="BU1239">
        <v>33.9</v>
      </c>
      <c r="BV1239">
        <v>-54.2</v>
      </c>
      <c r="BW1239" s="144">
        <v>-0.52307692307692311</v>
      </c>
      <c r="BX1239">
        <f>BV1239-BU1239</f>
        <v>-88.1</v>
      </c>
      <c r="BZ1239">
        <f>BX1239/1000</f>
        <v>-8.8099999999999998E-2</v>
      </c>
      <c r="CA1239">
        <f>IFERROR(BZ1239/BQ1239,"")</f>
        <v>-4.6871878393051028E-2</v>
      </c>
      <c r="CB1239">
        <v>0</v>
      </c>
      <c r="CC1239">
        <v>0</v>
      </c>
      <c r="CD1239">
        <v>0</v>
      </c>
      <c r="CE1239">
        <v>0</v>
      </c>
      <c r="CF1239">
        <v>0</v>
      </c>
      <c r="CG1239">
        <v>0</v>
      </c>
      <c r="CH1239">
        <v>0</v>
      </c>
      <c r="CI1239">
        <v>0</v>
      </c>
      <c r="CJ1239">
        <v>0</v>
      </c>
      <c r="CK1239">
        <v>0</v>
      </c>
      <c r="CL1239">
        <v>0</v>
      </c>
      <c r="CM1239">
        <v>0</v>
      </c>
      <c r="CN1239">
        <v>0</v>
      </c>
      <c r="CO1239">
        <v>0</v>
      </c>
      <c r="CP1239" t="str">
        <f>IF($BN1239&lt;$BM1239,"refNeedCorrection","refOK")</f>
        <v>refOK</v>
      </c>
      <c r="CQ1239">
        <f>IF($CP1239="refNeedCorrection",BN1239,BM1239)</f>
        <v>922</v>
      </c>
      <c r="CR1239">
        <f>IF($CP1239="refNeedCorrection",BM1239,BN1239)</f>
        <v>1843</v>
      </c>
      <c r="CS1239">
        <f>IF($CP1239="refOK",$BQ1239,-$BQ1239)</f>
        <v>1.879591836734694</v>
      </c>
      <c r="CT1239">
        <f>IF(BI1239="Roundwood",$CS1239/2,$CS1239)</f>
        <v>1.879591836734694</v>
      </c>
      <c r="CU1239">
        <f>IF($CP1239="refOK",$BU1239,$BV1239)*IF($BR1239="Emissions positive",-1,1)</f>
        <v>-33.9</v>
      </c>
      <c r="CV1239">
        <f>IF($CP1239="refOK",$BV1239,$BU1239)*IF($BR1239="Emissions positive",-1,1)</f>
        <v>54.2</v>
      </c>
      <c r="CW1239">
        <f>IF($CP1239="refNeedCorrection",-BZ1239,BZ1239)*IF($BR1239="Emissions positive",-1,1)</f>
        <v>8.8099999999999998E-2</v>
      </c>
      <c r="CX1239">
        <f>IFERROR($CW1239/$CS1239,"")</f>
        <v>4.6871878393051028E-2</v>
      </c>
      <c r="CY1239">
        <f>IFERROR($CW1239/$CS1239,"")</f>
        <v>4.6871878393051028E-2</v>
      </c>
      <c r="CZ1239">
        <f>IFERROR($CW1239/$CT1239,"")</f>
        <v>4.6871878393051028E-2</v>
      </c>
      <c r="DA1239" s="2">
        <f>IFERROR((CV1239-CU1239)/ABS(CU1239),"")</f>
        <v>2.5988200589970503</v>
      </c>
      <c r="DB1239" s="1" t="s">
        <v>1074</v>
      </c>
      <c r="DC1239" t="str">
        <f>IF(OR($DB1239="prd",$DB1239="std",$DB1239="cit"),"loc",IF(OR($DB1239="eur",$DB1239="reg",$DB1239="coy"),"reg",$DB1239))</f>
        <v>reg</v>
      </c>
      <c r="DD1239" t="s">
        <v>1412</v>
      </c>
      <c r="DG1239">
        <v>100</v>
      </c>
      <c r="DH1239" t="str">
        <f>IF(DG1239=0,"0",IF(AND(DG1239&gt;=1,DG1239&lt;=30),"1-30",IF(AND(DG1239&gt;30,DG1239&lt;=70),"31-70",IF(AND(DG1239&gt;70,DG1239&lt;=100),"71-100",IF(DG1239&gt;100,"+100")))))</f>
        <v>71-100</v>
      </c>
      <c r="DI1239">
        <v>0</v>
      </c>
      <c r="DJ1239">
        <v>0</v>
      </c>
      <c r="DK1239">
        <v>0</v>
      </c>
      <c r="DL1239">
        <v>1</v>
      </c>
      <c r="DN1239">
        <f>SUM(DI1239:DL1239)</f>
        <v>1</v>
      </c>
      <c r="DO1239" t="str">
        <f>IF(DN1239=1,INDEX($DI$7:$DL$7,MATCH(1,$DI1239:$DL1239,0)),"mixedProduct")</f>
        <v>TimberInput</v>
      </c>
      <c r="DP1239">
        <f>IF(DI1239=1,DP$7,0)</f>
        <v>0</v>
      </c>
      <c r="DQ1239">
        <f>IF(DJ1239=1,DQ$7,0)</f>
        <v>0</v>
      </c>
      <c r="DR1239">
        <f>IF(DK1239=1,DR$7,0)</f>
        <v>0</v>
      </c>
      <c r="DS1239" t="str">
        <f>IF(DL1239=1,DS$7,0)</f>
        <v>Timber</v>
      </c>
      <c r="DT1239">
        <v>0</v>
      </c>
      <c r="DU1239">
        <v>1</v>
      </c>
      <c r="DV1239">
        <v>0</v>
      </c>
      <c r="DW1239">
        <v>0</v>
      </c>
      <c r="DX1239" t="s">
        <v>1413</v>
      </c>
      <c r="DY1239">
        <f>SUM(DT1239:DU1239)</f>
        <v>1</v>
      </c>
      <c r="DZ1239" s="143" t="str">
        <f>IF(DT1239=1,"self-calculated DF",IF(DU1239=1,"external DF used","explicit C balance"))</f>
        <v>external DF used</v>
      </c>
      <c r="EA1239">
        <v>0</v>
      </c>
      <c r="EB1239">
        <v>0</v>
      </c>
      <c r="EC1239">
        <v>0</v>
      </c>
      <c r="ED1239">
        <v>0</v>
      </c>
      <c r="EE1239">
        <v>1</v>
      </c>
      <c r="EF1239" s="143">
        <v>1</v>
      </c>
      <c r="EG1239">
        <v>0</v>
      </c>
      <c r="EH1239">
        <v>1</v>
      </c>
      <c r="EI1239">
        <v>0</v>
      </c>
      <c r="EJ1239">
        <v>1</v>
      </c>
      <c r="EK1239">
        <v>1</v>
      </c>
      <c r="EL1239">
        <v>1</v>
      </c>
      <c r="EM1239">
        <v>0</v>
      </c>
      <c r="EN1239" s="2">
        <v>0</v>
      </c>
      <c r="EP1239" t="str">
        <f>IF(AND(AND(AND(OR($EC1239=1,$EB1239=1),OR($EH1239=1,$EF1239=1)),SUM($EA1239:$EE1239,$EK1239)&gt;=3),SUM($EF1239:$EJ1239)&gt;=2),"Whole sector approach","")</f>
        <v/>
      </c>
      <c r="EQ1239" t="str">
        <f>IF(AND(AND(OR($EC1239=1,$EB1239=1),AND($EH1239=0,$EF1239=0)),SUM($EA1239:$EE1239,$EK1239)&gt;=4),"Ecosystem approach","")</f>
        <v/>
      </c>
      <c r="ER1239" s="2" t="str">
        <f>IF(AND(AND(AND($EC1239=0,$EB1239=0),OR($EH1239=1,$EF1239=1)),SUM($EG1239:$EJ1239)&gt;=2),"Technology approach","")</f>
        <v>Technology approach</v>
      </c>
      <c r="ES1239" t="str">
        <f>IF(AND($EC1239+$EB1239+$EE1239+$EA1239+$ED1239+$EG1239=0,$N1239="included"),"C neutral forest and HWP assumption","")</f>
        <v/>
      </c>
      <c r="ET1239" t="str">
        <f>IF(AND(AND(AND(AND($EC1239=1,$EB1239+$EA1239+$EG1239&gt;=1),$EF1239=1),$EH1239+$EI1239+$ED1239+$EE1239&gt;=2),$N1239="included"),"All C pools assumption","")</f>
        <v/>
      </c>
      <c r="EU1239" t="str">
        <f>IF(AND($ED1239+$EE1239+$EI1239+$EH1239+$EF1239=0,$N1239="included"),"In-situ only assumption","")</f>
        <v/>
      </c>
      <c r="EY1239" t="str">
        <f>IF(ISNUMBER(BW1239),IF(ABS(BW1239-[2]QC_indicators!$B$2)&gt;3*[2]QC_indicators!$C$2,"C ratio",IF(ISNUMBER(CA1239),IF(ABS(CA1239-[2]QC_indicators!$B$1)&gt;3*[2]QC_indicators!$C$1,"DF","no"))),IF(ISNUMBER(CA1239),IF(ABS(CA1239-[2]QC_indicators!$B$1)&gt;3*[2]QC_indicators!$C$1,"DF","no")))</f>
        <v>no</v>
      </c>
      <c r="FA1239" t="str">
        <f>IF(LEN($CY1239)=0,"",IF(AND($CY1239&lt;(-0.05),$ES1239="C neutral forest and HWP assumption"),"Cneutral paradox",IF(AND($CY1239&gt;0.05,$EU1239="In-situ only assumption"),"In-situ only paradox","")))</f>
        <v/>
      </c>
      <c r="FD1239" s="260" t="s">
        <v>2948</v>
      </c>
    </row>
    <row r="1240" spans="1:160" ht="15" hidden="1" customHeight="1">
      <c r="A1240" s="1" t="s">
        <v>265</v>
      </c>
      <c r="B1240" t="s">
        <v>1403</v>
      </c>
      <c r="C1240" t="s">
        <v>1404</v>
      </c>
      <c r="D1240" t="s">
        <v>1405</v>
      </c>
      <c r="E1240" t="s">
        <v>1406</v>
      </c>
      <c r="F1240" t="s">
        <v>1407</v>
      </c>
      <c r="G1240" t="s">
        <v>271</v>
      </c>
      <c r="H1240" t="s">
        <v>254</v>
      </c>
      <c r="I1240">
        <v>2019</v>
      </c>
      <c r="J1240">
        <v>26</v>
      </c>
      <c r="K1240" t="s">
        <v>1408</v>
      </c>
      <c r="M1240" t="str">
        <f>LEFT($D1240,FIND(",",$D1240)-1)&amp;"_"&amp;I1240&amp;L1240</f>
        <v>Faraca_2019</v>
      </c>
      <c r="N1240" t="s">
        <v>222</v>
      </c>
      <c r="O1240" s="145" t="s">
        <v>274</v>
      </c>
      <c r="P1240" s="179" t="s">
        <v>223</v>
      </c>
      <c r="Q1240" t="s">
        <v>256</v>
      </c>
      <c r="R1240" s="258" t="s">
        <v>223</v>
      </c>
      <c r="S1240" s="259" t="s">
        <v>2811</v>
      </c>
      <c r="T1240" t="s">
        <v>1410</v>
      </c>
      <c r="U1240" t="s">
        <v>1421</v>
      </c>
      <c r="V1240" s="253">
        <v>0</v>
      </c>
      <c r="W1240" s="253">
        <v>0</v>
      </c>
      <c r="X1240">
        <v>0</v>
      </c>
      <c r="Y1240">
        <v>0</v>
      </c>
      <c r="Z1240">
        <v>0</v>
      </c>
      <c r="AA1240">
        <v>0</v>
      </c>
      <c r="AB1240">
        <v>0</v>
      </c>
      <c r="AC1240">
        <v>0</v>
      </c>
      <c r="AD1240">
        <v>0</v>
      </c>
      <c r="AE1240">
        <v>0</v>
      </c>
      <c r="AF1240">
        <v>0</v>
      </c>
      <c r="AG1240">
        <v>0</v>
      </c>
      <c r="AH1240">
        <v>0</v>
      </c>
      <c r="AI1240">
        <v>1</v>
      </c>
      <c r="AJ1240">
        <v>0</v>
      </c>
      <c r="AK1240">
        <v>0</v>
      </c>
      <c r="AL1240">
        <v>0</v>
      </c>
      <c r="AM1240">
        <v>0</v>
      </c>
      <c r="AN1240">
        <v>0</v>
      </c>
      <c r="AO1240">
        <v>0</v>
      </c>
      <c r="AP1240">
        <v>0</v>
      </c>
      <c r="AQ1240">
        <v>0</v>
      </c>
      <c r="AR1240">
        <v>0</v>
      </c>
      <c r="AS1240">
        <v>0</v>
      </c>
      <c r="AT1240">
        <v>0</v>
      </c>
      <c r="AU1240">
        <v>0</v>
      </c>
      <c r="AV1240">
        <v>0</v>
      </c>
      <c r="AW1240">
        <v>0</v>
      </c>
      <c r="AX1240">
        <v>0</v>
      </c>
      <c r="AY1240">
        <v>0</v>
      </c>
      <c r="AZ1240" s="141">
        <f>COUNTIF(X1240:AY1240,"&lt;&gt;0")</f>
        <v>1</v>
      </c>
      <c r="BA1240" s="141">
        <f>COUNTIF(X1240:AN1240,"&lt;&gt;0")</f>
        <v>1</v>
      </c>
      <c r="BB1240">
        <f>COUNTIF(X1240:AE1240,"&lt;&gt;0")</f>
        <v>0</v>
      </c>
      <c r="BC1240">
        <f>COUNTIF(AF1240:AK1240,"&lt;&gt;0")</f>
        <v>1</v>
      </c>
      <c r="BD1240">
        <f>COUNTIF(AL1240:AN1240,"&lt;&gt;0")</f>
        <v>0</v>
      </c>
      <c r="BE1240">
        <f>COUNTIF(AU1240:AY1240,"&lt;&gt;0")</f>
        <v>0</v>
      </c>
      <c r="BF1240">
        <f>COUNTIF(AO1240:AT1240,"&lt;&gt;0")</f>
        <v>0</v>
      </c>
      <c r="BG1240" t="str">
        <f t="array" ref="BG1240">IF(BA1240=1,INDEX($X$7:$AN$7,MATCH(TRUE,INDEX($X1240:$AY1240&lt;&gt;0,),0)),IF(BA1240=0,INDEX($AO$7:$AY$7,MATCH(1,$AO1240:$AY1240,0)),IF(BH1240="Multiple strategies","mixed drivers",IF(BH1240="Supply chain","multiple supply","multiple silviculture"))))</f>
        <v>recycling</v>
      </c>
      <c r="BH1240" s="2" t="str" cm="1">
        <f t="array" ref="BH1240">IF(COUNTIF(BB1240:BD1240,"&lt;&gt;0")=1,INDEX($X$4:$AY$4,MATCH(TRUE,INDEX($X1240:$AY1240&lt;&gt;0,),0)),IF(COUNTIF(BB1240:BD1240,"&lt;&gt;0")=0,INDEX($AO$4:$AY$4,MATCH(1,$AO1240:$AY1240,0)),"Multiple strategies"))</f>
        <v>Supply chain</v>
      </c>
      <c r="BI1240" s="1" t="s">
        <v>229</v>
      </c>
      <c r="BJ1240" t="s">
        <v>1420</v>
      </c>
      <c r="BL1240" t="s">
        <v>345</v>
      </c>
      <c r="BM1240">
        <v>922</v>
      </c>
      <c r="BN1240">
        <f>922+519+281+121</f>
        <v>1843</v>
      </c>
      <c r="BO1240">
        <v>1.9989154013015185</v>
      </c>
      <c r="BP1240">
        <f>BN1240-BM1240</f>
        <v>921</v>
      </c>
      <c r="BQ1240">
        <f>BP1240*kg_to_m3</f>
        <v>1.879591836734694</v>
      </c>
      <c r="BR1240" s="260" t="s">
        <v>395</v>
      </c>
      <c r="BS1240" t="s">
        <v>426</v>
      </c>
      <c r="BT1240" t="s">
        <v>714</v>
      </c>
      <c r="BU1240">
        <v>515.29999999999995</v>
      </c>
      <c r="BV1240">
        <v>589.79999999999995</v>
      </c>
      <c r="BW1240" s="144"/>
      <c r="BX1240">
        <f>BV1240-BU1240</f>
        <v>74.5</v>
      </c>
      <c r="BZ1240">
        <f>BX1240/1000</f>
        <v>7.4499999999999997E-2</v>
      </c>
      <c r="CA1240">
        <f>IFERROR(BZ1240/BQ1240,"")</f>
        <v>3.9636264929424535E-2</v>
      </c>
      <c r="CB1240">
        <v>0</v>
      </c>
      <c r="CC1240">
        <v>0</v>
      </c>
      <c r="CD1240">
        <v>0</v>
      </c>
      <c r="CE1240">
        <v>0</v>
      </c>
      <c r="CF1240">
        <v>0</v>
      </c>
      <c r="CG1240">
        <v>0</v>
      </c>
      <c r="CH1240">
        <v>0</v>
      </c>
      <c r="CI1240">
        <v>0</v>
      </c>
      <c r="CJ1240">
        <v>0</v>
      </c>
      <c r="CK1240">
        <v>0</v>
      </c>
      <c r="CL1240">
        <v>0</v>
      </c>
      <c r="CM1240">
        <v>0</v>
      </c>
      <c r="CN1240">
        <v>0</v>
      </c>
      <c r="CO1240">
        <v>0</v>
      </c>
      <c r="CP1240" t="str">
        <f>IF($BN1240&lt;$BM1240,"refNeedCorrection","refOK")</f>
        <v>refOK</v>
      </c>
      <c r="CQ1240">
        <f>IF($CP1240="refNeedCorrection",BN1240,BM1240)</f>
        <v>922</v>
      </c>
      <c r="CR1240">
        <f>IF($CP1240="refNeedCorrection",BM1240,BN1240)</f>
        <v>1843</v>
      </c>
      <c r="CS1240">
        <f>IF($CP1240="refOK",$BQ1240,-$BQ1240)</f>
        <v>1.879591836734694</v>
      </c>
      <c r="CT1240">
        <f>IF(BI1240="Roundwood",$CS1240/2,$CS1240)</f>
        <v>1.879591836734694</v>
      </c>
      <c r="CU1240">
        <f>IF($CP1240="refOK",$BU1240,$BV1240)*IF($BR1240="Emissions positive",-1,1)</f>
        <v>-515.29999999999995</v>
      </c>
      <c r="CV1240">
        <f>IF($CP1240="refOK",$BV1240,$BU1240)*IF($BR1240="Emissions positive",-1,1)</f>
        <v>-589.79999999999995</v>
      </c>
      <c r="CW1240">
        <f>IF($CP1240="refNeedCorrection",-BZ1240,BZ1240)*IF($BR1240="Emissions positive",-1,1)</f>
        <v>-7.4499999999999997E-2</v>
      </c>
      <c r="CX1240">
        <f>IFERROR($CW1240/$CS1240,"")</f>
        <v>-3.9636264929424535E-2</v>
      </c>
      <c r="CY1240">
        <f>IFERROR($CW1240/$CS1240,"")</f>
        <v>-3.9636264929424535E-2</v>
      </c>
      <c r="CZ1240">
        <f>IFERROR($CW1240/$CT1240,"")</f>
        <v>-3.9636264929424535E-2</v>
      </c>
      <c r="DA1240" s="2">
        <f>IFERROR((CV1240-CU1240)/ABS(CU1240),"")</f>
        <v>-0.14457597516010093</v>
      </c>
      <c r="DB1240" s="1" t="s">
        <v>1074</v>
      </c>
      <c r="DC1240" t="str">
        <f>IF(OR($DB1240="prd",$DB1240="std",$DB1240="cit"),"loc",IF(OR($DB1240="eur",$DB1240="reg",$DB1240="coy"),"reg",$DB1240))</f>
        <v>reg</v>
      </c>
      <c r="DD1240" t="s">
        <v>1412</v>
      </c>
      <c r="DG1240">
        <v>100</v>
      </c>
      <c r="DH1240" t="str">
        <f>IF(DG1240=0,"0",IF(AND(DG1240&gt;=1,DG1240&lt;=30),"1-30",IF(AND(DG1240&gt;30,DG1240&lt;=70),"31-70",IF(AND(DG1240&gt;70,DG1240&lt;=100),"71-100",IF(DG1240&gt;100,"+100")))))</f>
        <v>71-100</v>
      </c>
      <c r="DI1240">
        <v>0</v>
      </c>
      <c r="DJ1240">
        <v>0</v>
      </c>
      <c r="DK1240">
        <v>0</v>
      </c>
      <c r="DL1240">
        <v>1</v>
      </c>
      <c r="DN1240">
        <f>SUM(DI1240:DL1240)</f>
        <v>1</v>
      </c>
      <c r="DO1240" t="str">
        <f>IF(DN1240=1,INDEX($DI$7:$DL$7,MATCH(1,$DI1240:$DL1240,0)),"mixedProduct")</f>
        <v>TimberInput</v>
      </c>
      <c r="DP1240">
        <f>IF(DI1240=1,DP$7,0)</f>
        <v>0</v>
      </c>
      <c r="DQ1240">
        <f>IF(DJ1240=1,DQ$7,0)</f>
        <v>0</v>
      </c>
      <c r="DR1240">
        <f>IF(DK1240=1,DR$7,0)</f>
        <v>0</v>
      </c>
      <c r="DS1240" t="str">
        <f>IF(DL1240=1,DS$7,0)</f>
        <v>Timber</v>
      </c>
      <c r="DT1240">
        <v>0</v>
      </c>
      <c r="DU1240">
        <v>0</v>
      </c>
      <c r="DV1240">
        <v>0</v>
      </c>
      <c r="DW1240">
        <v>0</v>
      </c>
      <c r="DX1240">
        <v>0</v>
      </c>
      <c r="DY1240">
        <f>SUM(DT1240:DU1240)</f>
        <v>0</v>
      </c>
      <c r="DZ1240" s="143" t="str">
        <f>IF(DT1240=1,"self-calculated DF",IF(DU1240=1,"external DF used","explicit C balance"))</f>
        <v>explicit C balance</v>
      </c>
      <c r="EA1240">
        <v>0</v>
      </c>
      <c r="EB1240">
        <v>0</v>
      </c>
      <c r="EC1240">
        <v>0</v>
      </c>
      <c r="ED1240">
        <v>0</v>
      </c>
      <c r="EE1240">
        <v>1</v>
      </c>
      <c r="EF1240" s="143">
        <v>0</v>
      </c>
      <c r="EG1240">
        <v>0</v>
      </c>
      <c r="EH1240">
        <v>1</v>
      </c>
      <c r="EI1240">
        <v>0</v>
      </c>
      <c r="EJ1240">
        <v>1</v>
      </c>
      <c r="EK1240">
        <v>1</v>
      </c>
      <c r="EL1240">
        <v>1</v>
      </c>
      <c r="EM1240">
        <v>0</v>
      </c>
      <c r="EN1240" s="2">
        <v>0</v>
      </c>
      <c r="EP1240" t="str">
        <f>IF(AND(AND(AND(OR($EC1240=1,$EB1240=1),OR($EH1240=1,$EF1240=1)),SUM($EA1240:$EE1240,$EK1240)&gt;=3),SUM($EF1240:$EJ1240)&gt;=2),"Whole sector approach","")</f>
        <v/>
      </c>
      <c r="EQ1240" t="str">
        <f>IF(AND(AND(OR($EC1240=1,$EB1240=1),AND($EH1240=0,$EF1240=0)),SUM($EA1240:$EE1240,$EK1240)&gt;=4),"Ecosystem approach","")</f>
        <v/>
      </c>
      <c r="ER1240" s="2" t="str">
        <f>IF(AND(AND(AND($EC1240=0,$EB1240=0),OR($EH1240=1,$EF1240=1)),SUM($EG1240:$EJ1240)&gt;=2),"Technology approach","")</f>
        <v>Technology approach</v>
      </c>
      <c r="ES1240" t="str">
        <f>IF(AND($EC1240+$EB1240+$EE1240+$EA1240+$ED1240+$EG1240=0,$N1240="included"),"C neutral forest and HWP assumption","")</f>
        <v/>
      </c>
      <c r="ET1240" t="str">
        <f>IF(AND(AND(AND(AND($EC1240=1,$EB1240+$EA1240+$EG1240&gt;=1),$EF1240=1),$EH1240+$EI1240+$ED1240+$EE1240&gt;=2),$N1240="included"),"All C pools assumption","")</f>
        <v/>
      </c>
      <c r="EU1240" t="str">
        <f>IF(AND($ED1240+$EE1240+$EI1240+$EH1240+$EF1240=0,$N1240="included"),"In-situ only assumption","")</f>
        <v/>
      </c>
      <c r="EY1240" t="str">
        <f>IF(ISNUMBER(BW1240),IF(ABS(BW1240-[2]QC_indicators!$B$2)&gt;3*[2]QC_indicators!$C$2,"C ratio",IF(ISNUMBER(CA1240),IF(ABS(CA1240-[2]QC_indicators!$B$1)&gt;3*[2]QC_indicators!$C$1,"DF","no"))),IF(ISNUMBER(CA1240),IF(ABS(CA1240-[2]QC_indicators!$B$1)&gt;3*[2]QC_indicators!$C$1,"DF","no")))</f>
        <v>no</v>
      </c>
      <c r="FA1240" t="str">
        <f>IF(LEN($CY1240)=0,"",IF(AND($CY1240&lt;(-0.05),$ES1240="C neutral forest and HWP assumption"),"Cneutral paradox",IF(AND($CY1240&gt;0.05,$EU1240="In-situ only assumption"),"In-situ only paradox","")))</f>
        <v/>
      </c>
      <c r="FD1240" s="260" t="s">
        <v>2948</v>
      </c>
    </row>
    <row r="1241" spans="1:160" ht="51" hidden="1">
      <c r="A1241" s="1" t="s">
        <v>265</v>
      </c>
      <c r="B1241" t="s">
        <v>1403</v>
      </c>
      <c r="C1241" t="s">
        <v>1404</v>
      </c>
      <c r="D1241" t="s">
        <v>1405</v>
      </c>
      <c r="E1241" t="s">
        <v>1406</v>
      </c>
      <c r="F1241" t="s">
        <v>1407</v>
      </c>
      <c r="G1241" t="s">
        <v>271</v>
      </c>
      <c r="H1241" t="s">
        <v>254</v>
      </c>
      <c r="I1241">
        <v>2019</v>
      </c>
      <c r="J1241">
        <v>26</v>
      </c>
      <c r="K1241" t="s">
        <v>1408</v>
      </c>
      <c r="M1241" t="str">
        <f>LEFT($D1241,FIND(",",$D1241)-1)&amp;"_"&amp;I1241&amp;L1241</f>
        <v>Faraca_2019</v>
      </c>
      <c r="N1241" t="s">
        <v>222</v>
      </c>
      <c r="O1241" s="145" t="s">
        <v>274</v>
      </c>
      <c r="P1241" s="179" t="s">
        <v>223</v>
      </c>
      <c r="Q1241" t="s">
        <v>256</v>
      </c>
      <c r="R1241" s="258" t="s">
        <v>223</v>
      </c>
      <c r="S1241" s="259" t="s">
        <v>2812</v>
      </c>
      <c r="T1241" t="s">
        <v>932</v>
      </c>
      <c r="U1241" t="s">
        <v>1419</v>
      </c>
      <c r="V1241" s="253">
        <v>0</v>
      </c>
      <c r="W1241" s="253">
        <v>0</v>
      </c>
      <c r="X1241">
        <v>0</v>
      </c>
      <c r="Y1241">
        <v>0</v>
      </c>
      <c r="Z1241">
        <v>0</v>
      </c>
      <c r="AA1241">
        <v>0</v>
      </c>
      <c r="AB1241">
        <v>0</v>
      </c>
      <c r="AC1241">
        <v>0</v>
      </c>
      <c r="AD1241">
        <v>0</v>
      </c>
      <c r="AE1241">
        <v>0</v>
      </c>
      <c r="AF1241">
        <v>0</v>
      </c>
      <c r="AG1241">
        <v>0</v>
      </c>
      <c r="AH1241">
        <v>0</v>
      </c>
      <c r="AI1241">
        <v>1</v>
      </c>
      <c r="AJ1241">
        <v>0</v>
      </c>
      <c r="AK1241">
        <v>0</v>
      </c>
      <c r="AL1241">
        <v>0</v>
      </c>
      <c r="AM1241">
        <v>0</v>
      </c>
      <c r="AN1241">
        <v>0</v>
      </c>
      <c r="AO1241">
        <v>0</v>
      </c>
      <c r="AP1241">
        <v>0</v>
      </c>
      <c r="AQ1241">
        <v>0</v>
      </c>
      <c r="AR1241">
        <v>0</v>
      </c>
      <c r="AS1241">
        <v>0</v>
      </c>
      <c r="AT1241">
        <v>0</v>
      </c>
      <c r="AU1241">
        <v>0</v>
      </c>
      <c r="AV1241">
        <v>0</v>
      </c>
      <c r="AW1241">
        <v>0</v>
      </c>
      <c r="AX1241">
        <v>0</v>
      </c>
      <c r="AY1241">
        <v>0</v>
      </c>
      <c r="AZ1241" s="141">
        <f>COUNTIF(X1241:AY1241,"&lt;&gt;0")</f>
        <v>1</v>
      </c>
      <c r="BA1241" s="141">
        <f>COUNTIF(X1241:AN1241,"&lt;&gt;0")</f>
        <v>1</v>
      </c>
      <c r="BB1241">
        <f>COUNTIF(X1241:AE1241,"&lt;&gt;0")</f>
        <v>0</v>
      </c>
      <c r="BC1241">
        <f>COUNTIF(AF1241:AK1241,"&lt;&gt;0")</f>
        <v>1</v>
      </c>
      <c r="BD1241">
        <f>COUNTIF(AL1241:AN1241,"&lt;&gt;0")</f>
        <v>0</v>
      </c>
      <c r="BE1241">
        <f>COUNTIF(AU1241:AY1241,"&lt;&gt;0")</f>
        <v>0</v>
      </c>
      <c r="BF1241">
        <f>COUNTIF(AO1241:AT1241,"&lt;&gt;0")</f>
        <v>0</v>
      </c>
      <c r="BG1241" t="str">
        <f t="array" ref="BG1241">IF(BA1241=1,INDEX($X$7:$AN$7,MATCH(TRUE,INDEX($X1241:$AY1241&lt;&gt;0,),0)),IF(BA1241=0,INDEX($AO$7:$AY$7,MATCH(1,$AO1241:$AY1241,0)),IF(BH1241="Multiple strategies","mixed drivers",IF(BH1241="Supply chain","multiple supply","multiple silviculture"))))</f>
        <v>recycling</v>
      </c>
      <c r="BH1241" s="2" t="str" cm="1">
        <f t="array" ref="BH1241">IF(COUNTIF(BB1241:BD1241,"&lt;&gt;0")=1,INDEX($X$4:$AY$4,MATCH(TRUE,INDEX($X1241:$AY1241&lt;&gt;0,),0)),IF(COUNTIF(BB1241:BD1241,"&lt;&gt;0")=0,INDEX($AO$4:$AY$4,MATCH(1,$AO1241:$AY1241,0)),"Multiple strategies"))</f>
        <v>Supply chain</v>
      </c>
      <c r="BI1241" s="1" t="s">
        <v>229</v>
      </c>
      <c r="BJ1241" t="s">
        <v>1420</v>
      </c>
      <c r="BK1241" t="s">
        <v>1411</v>
      </c>
      <c r="BL1241" t="s">
        <v>345</v>
      </c>
      <c r="BM1241">
        <v>636</v>
      </c>
      <c r="BN1241">
        <f>638+378+212+115</f>
        <v>1343</v>
      </c>
      <c r="BO1241">
        <v>2.108490566037736</v>
      </c>
      <c r="BP1241">
        <f>BN1241-BM1241</f>
        <v>707</v>
      </c>
      <c r="BQ1241">
        <f>BP1241*kg_to_m3</f>
        <v>1.4428571428571431</v>
      </c>
      <c r="BR1241" s="260" t="s">
        <v>395</v>
      </c>
      <c r="BS1241" t="s">
        <v>426</v>
      </c>
      <c r="BT1241" t="s">
        <v>714</v>
      </c>
      <c r="BU1241">
        <v>-84.7</v>
      </c>
      <c r="BV1241">
        <v>10.199999999999999</v>
      </c>
      <c r="BW1241" s="144"/>
      <c r="BX1241">
        <f>BV1241-BU1241</f>
        <v>94.9</v>
      </c>
      <c r="BZ1241">
        <f>BX1241/1000</f>
        <v>9.4900000000000012E-2</v>
      </c>
      <c r="CA1241">
        <f>IFERROR(BZ1241/BQ1241,"")</f>
        <v>6.5772277227722775E-2</v>
      </c>
      <c r="CB1241">
        <v>0</v>
      </c>
      <c r="CC1241">
        <v>0</v>
      </c>
      <c r="CD1241">
        <v>0</v>
      </c>
      <c r="CE1241">
        <v>0</v>
      </c>
      <c r="CF1241">
        <v>0</v>
      </c>
      <c r="CG1241">
        <v>0</v>
      </c>
      <c r="CH1241">
        <v>0</v>
      </c>
      <c r="CI1241">
        <v>0</v>
      </c>
      <c r="CJ1241">
        <v>0</v>
      </c>
      <c r="CK1241">
        <v>0</v>
      </c>
      <c r="CL1241">
        <v>0</v>
      </c>
      <c r="CM1241">
        <v>0</v>
      </c>
      <c r="CN1241">
        <v>0</v>
      </c>
      <c r="CO1241">
        <v>0</v>
      </c>
      <c r="CP1241" t="str">
        <f>IF($BN1241&lt;$BM1241,"refNeedCorrection","refOK")</f>
        <v>refOK</v>
      </c>
      <c r="CQ1241">
        <f>IF($CP1241="refNeedCorrection",BN1241,BM1241)</f>
        <v>636</v>
      </c>
      <c r="CR1241">
        <f>IF($CP1241="refNeedCorrection",BM1241,BN1241)</f>
        <v>1343</v>
      </c>
      <c r="CS1241">
        <f>IF($CP1241="refOK",$BQ1241,-$BQ1241)</f>
        <v>1.4428571428571431</v>
      </c>
      <c r="CT1241">
        <f>IF(BI1241="Roundwood",$CS1241/2,$CS1241)</f>
        <v>1.4428571428571431</v>
      </c>
      <c r="CU1241">
        <f>IF($CP1241="refOK",$BU1241,$BV1241)*IF($BR1241="Emissions positive",-1,1)</f>
        <v>84.7</v>
      </c>
      <c r="CV1241">
        <f>IF($CP1241="refOK",$BV1241,$BU1241)*IF($BR1241="Emissions positive",-1,1)</f>
        <v>-10.199999999999999</v>
      </c>
      <c r="CW1241">
        <f>IF($CP1241="refNeedCorrection",-BZ1241,BZ1241)*IF($BR1241="Emissions positive",-1,1)</f>
        <v>-9.4900000000000012E-2</v>
      </c>
      <c r="CX1241">
        <f>IFERROR($CW1241/$CS1241,"")</f>
        <v>-6.5772277227722775E-2</v>
      </c>
      <c r="CY1241">
        <f>IFERROR($CW1241/$CS1241,"")</f>
        <v>-6.5772277227722775E-2</v>
      </c>
      <c r="CZ1241">
        <f>IFERROR($CW1241/$CT1241,"")</f>
        <v>-6.5772277227722775E-2</v>
      </c>
      <c r="DA1241" s="2">
        <f>IFERROR((CV1241-CU1241)/ABS(CU1241),"")</f>
        <v>-1.1204250295159386</v>
      </c>
      <c r="DB1241" s="1" t="s">
        <v>1074</v>
      </c>
      <c r="DC1241" t="str">
        <f>IF(OR($DB1241="prd",$DB1241="std",$DB1241="cit"),"loc",IF(OR($DB1241="eur",$DB1241="reg",$DB1241="coy"),"reg",$DB1241))</f>
        <v>reg</v>
      </c>
      <c r="DD1241" t="s">
        <v>1412</v>
      </c>
      <c r="DG1241">
        <v>500</v>
      </c>
      <c r="DH1241" t="str">
        <f>IF(DG1241=0,"0",IF(AND(DG1241&gt;=1,DG1241&lt;=30),"1-30",IF(AND(DG1241&gt;30,DG1241&lt;=70),"31-70",IF(AND(DG1241&gt;70,DG1241&lt;=100),"71-100",IF(DG1241&gt;100,"+100")))))</f>
        <v>+100</v>
      </c>
      <c r="DI1241">
        <v>0</v>
      </c>
      <c r="DJ1241">
        <v>0</v>
      </c>
      <c r="DK1241">
        <v>0</v>
      </c>
      <c r="DL1241">
        <v>1</v>
      </c>
      <c r="DN1241">
        <f>SUM(DI1241:DL1241)</f>
        <v>1</v>
      </c>
      <c r="DO1241" t="str">
        <f>IF(DN1241=1,INDEX($DI$7:$DL$7,MATCH(1,$DI1241:$DL1241,0)),"mixedProduct")</f>
        <v>TimberInput</v>
      </c>
      <c r="DP1241">
        <f>IF(DI1241=1,DP$7,0)</f>
        <v>0</v>
      </c>
      <c r="DQ1241">
        <f>IF(DJ1241=1,DQ$7,0)</f>
        <v>0</v>
      </c>
      <c r="DR1241">
        <f>IF(DK1241=1,DR$7,0)</f>
        <v>0</v>
      </c>
      <c r="DS1241" t="str">
        <f>IF(DL1241=1,DS$7,0)</f>
        <v>Timber</v>
      </c>
      <c r="DT1241">
        <v>0</v>
      </c>
      <c r="DU1241">
        <v>0</v>
      </c>
      <c r="DV1241">
        <v>0</v>
      </c>
      <c r="DW1241">
        <v>0</v>
      </c>
      <c r="DX1241">
        <v>0</v>
      </c>
      <c r="DY1241">
        <f>SUM(DT1241:DU1241)</f>
        <v>0</v>
      </c>
      <c r="DZ1241" s="143" t="str">
        <f>IF(DT1241=1,"self-calculated DF",IF(DU1241=1,"external DF used","explicit C balance"))</f>
        <v>explicit C balance</v>
      </c>
      <c r="EA1241">
        <v>0</v>
      </c>
      <c r="EB1241">
        <v>0</v>
      </c>
      <c r="EC1241">
        <v>0</v>
      </c>
      <c r="ED1241">
        <v>0</v>
      </c>
      <c r="EE1241">
        <v>1</v>
      </c>
      <c r="EF1241" s="143">
        <v>1</v>
      </c>
      <c r="EG1241">
        <v>0</v>
      </c>
      <c r="EH1241">
        <v>1</v>
      </c>
      <c r="EI1241">
        <v>0</v>
      </c>
      <c r="EJ1241">
        <v>1</v>
      </c>
      <c r="EK1241">
        <v>1</v>
      </c>
      <c r="EL1241">
        <v>1</v>
      </c>
      <c r="EM1241">
        <v>0</v>
      </c>
      <c r="EN1241" s="2">
        <v>0</v>
      </c>
      <c r="EP1241" t="str">
        <f>IF(AND(AND(AND(OR($EC1241=1,$EB1241=1),OR($EH1241=1,$EF1241=1)),SUM($EA1241:$EE1241,$EK1241)&gt;=3),SUM($EF1241:$EJ1241)&gt;=2),"Whole sector approach","")</f>
        <v/>
      </c>
      <c r="EQ1241" t="str">
        <f>IF(AND(AND(OR($EC1241=1,$EB1241=1),AND($EH1241=0,$EF1241=0)),SUM($EA1241:$EE1241,$EK1241)&gt;=4),"Ecosystem approach","")</f>
        <v/>
      </c>
      <c r="ER1241" s="2" t="str">
        <f>IF(AND(AND(AND($EC1241=0,$EB1241=0),OR($EH1241=1,$EF1241=1)),SUM($EG1241:$EJ1241)&gt;=2),"Technology approach","")</f>
        <v>Technology approach</v>
      </c>
      <c r="ES1241" t="str">
        <f>IF(AND($EC1241+$EB1241+$EE1241+$EA1241+$ED1241+$EG1241=0,$N1241="included"),"C neutral forest and HWP assumption","")</f>
        <v/>
      </c>
      <c r="ET1241" t="str">
        <f>IF(AND(AND(AND(AND($EC1241=1,$EB1241+$EA1241+$EG1241&gt;=1),$EF1241=1),$EH1241+$EI1241+$ED1241+$EE1241&gt;=2),$N1241="included"),"All C pools assumption","")</f>
        <v/>
      </c>
      <c r="EU1241" t="str">
        <f>IF(AND($ED1241+$EE1241+$EI1241+$EH1241+$EF1241=0,$N1241="included"),"In-situ only assumption","")</f>
        <v/>
      </c>
      <c r="EY1241" t="str">
        <f>IF(ISNUMBER(BW1241),IF(ABS(BW1241-[2]QC_indicators!$B$2)&gt;3*[2]QC_indicators!$C$2,"C ratio",IF(ISNUMBER(CA1241),IF(ABS(CA1241-[2]QC_indicators!$B$1)&gt;3*[2]QC_indicators!$C$1,"DF","no"))),IF(ISNUMBER(CA1241),IF(ABS(CA1241-[2]QC_indicators!$B$1)&gt;3*[2]QC_indicators!$C$1,"DF","no")))</f>
        <v>no</v>
      </c>
      <c r="FA1241" t="str">
        <f>IF(LEN($CY1241)=0,"",IF(AND($CY1241&lt;(-0.05),$ES1241="C neutral forest and HWP assumption"),"Cneutral paradox",IF(AND($CY1241&gt;0.05,$EU1241="In-situ only assumption"),"In-situ only paradox","")))</f>
        <v/>
      </c>
      <c r="FD1241" s="260" t="s">
        <v>2948</v>
      </c>
    </row>
    <row r="1242" spans="1:160" ht="15" hidden="1" customHeight="1">
      <c r="A1242" s="1" t="s">
        <v>265</v>
      </c>
      <c r="B1242" t="s">
        <v>1403</v>
      </c>
      <c r="C1242" t="s">
        <v>1404</v>
      </c>
      <c r="D1242" t="s">
        <v>1405</v>
      </c>
      <c r="E1242" t="s">
        <v>1406</v>
      </c>
      <c r="F1242" t="s">
        <v>1407</v>
      </c>
      <c r="G1242" t="s">
        <v>271</v>
      </c>
      <c r="H1242" t="s">
        <v>254</v>
      </c>
      <c r="I1242">
        <v>2019</v>
      </c>
      <c r="J1242">
        <v>26</v>
      </c>
      <c r="K1242" t="s">
        <v>1408</v>
      </c>
      <c r="M1242" t="str">
        <f>LEFT($D1242,FIND(",",$D1242)-1)&amp;"_"&amp;I1242&amp;L1242</f>
        <v>Faraca_2019</v>
      </c>
      <c r="N1242" t="s">
        <v>222</v>
      </c>
      <c r="O1242" s="145" t="s">
        <v>274</v>
      </c>
      <c r="P1242" s="179" t="s">
        <v>223</v>
      </c>
      <c r="Q1242" t="s">
        <v>256</v>
      </c>
      <c r="R1242" s="258" t="s">
        <v>223</v>
      </c>
      <c r="S1242" s="259" t="s">
        <v>2814</v>
      </c>
      <c r="T1242" t="s">
        <v>932</v>
      </c>
      <c r="U1242" t="s">
        <v>1419</v>
      </c>
      <c r="V1242" s="253">
        <v>0</v>
      </c>
      <c r="W1242" s="253">
        <v>0</v>
      </c>
      <c r="X1242">
        <v>0</v>
      </c>
      <c r="Y1242">
        <v>0</v>
      </c>
      <c r="Z1242">
        <v>0</v>
      </c>
      <c r="AA1242">
        <v>0</v>
      </c>
      <c r="AB1242">
        <v>0</v>
      </c>
      <c r="AC1242">
        <v>0</v>
      </c>
      <c r="AD1242">
        <v>0</v>
      </c>
      <c r="AE1242">
        <v>0</v>
      </c>
      <c r="AF1242">
        <v>0</v>
      </c>
      <c r="AG1242">
        <v>0</v>
      </c>
      <c r="AH1242">
        <v>0</v>
      </c>
      <c r="AI1242">
        <v>1</v>
      </c>
      <c r="AJ1242">
        <v>0</v>
      </c>
      <c r="AK1242">
        <v>0</v>
      </c>
      <c r="AL1242">
        <v>0</v>
      </c>
      <c r="AM1242">
        <v>0</v>
      </c>
      <c r="AN1242">
        <v>0</v>
      </c>
      <c r="AO1242">
        <v>0</v>
      </c>
      <c r="AP1242">
        <v>0</v>
      </c>
      <c r="AQ1242">
        <v>0</v>
      </c>
      <c r="AR1242">
        <v>0</v>
      </c>
      <c r="AS1242">
        <v>0</v>
      </c>
      <c r="AT1242">
        <v>0</v>
      </c>
      <c r="AU1242">
        <v>0</v>
      </c>
      <c r="AV1242">
        <v>0</v>
      </c>
      <c r="AW1242">
        <v>0</v>
      </c>
      <c r="AX1242">
        <v>0</v>
      </c>
      <c r="AY1242">
        <v>0</v>
      </c>
      <c r="AZ1242" s="141">
        <f>COUNTIF(X1242:AY1242,"&lt;&gt;0")</f>
        <v>1</v>
      </c>
      <c r="BA1242" s="141">
        <f>COUNTIF(X1242:AN1242,"&lt;&gt;0")</f>
        <v>1</v>
      </c>
      <c r="BB1242">
        <f>COUNTIF(X1242:AE1242,"&lt;&gt;0")</f>
        <v>0</v>
      </c>
      <c r="BC1242">
        <f>COUNTIF(AF1242:AK1242,"&lt;&gt;0")</f>
        <v>1</v>
      </c>
      <c r="BD1242">
        <f>COUNTIF(AL1242:AN1242,"&lt;&gt;0")</f>
        <v>0</v>
      </c>
      <c r="BE1242">
        <f>COUNTIF(AU1242:AY1242,"&lt;&gt;0")</f>
        <v>0</v>
      </c>
      <c r="BF1242">
        <f>COUNTIF(AO1242:AT1242,"&lt;&gt;0")</f>
        <v>0</v>
      </c>
      <c r="BG1242" t="str">
        <f t="array" ref="BG1242">IF(BA1242=1,INDEX($X$7:$AN$7,MATCH(TRUE,INDEX($X1242:$AY1242&lt;&gt;0,),0)),IF(BA1242=0,INDEX($AO$7:$AY$7,MATCH(1,$AO1242:$AY1242,0)),IF(BH1242="Multiple strategies","mixed drivers",IF(BH1242="Supply chain","multiple supply","multiple silviculture"))))</f>
        <v>recycling</v>
      </c>
      <c r="BH1242" s="2" t="str" cm="1">
        <f t="array" ref="BH1242">IF(COUNTIF(BB1242:BD1242,"&lt;&gt;0")=1,INDEX($X$4:$AY$4,MATCH(TRUE,INDEX($X1242:$AY1242&lt;&gt;0,),0)),IF(COUNTIF(BB1242:BD1242,"&lt;&gt;0")=0,INDEX($AO$4:$AY$4,MATCH(1,$AO1242:$AY1242,0)),"Multiple strategies"))</f>
        <v>Supply chain</v>
      </c>
      <c r="BI1242" s="1" t="s">
        <v>229</v>
      </c>
      <c r="BJ1242" t="s">
        <v>1420</v>
      </c>
      <c r="BK1242" t="s">
        <v>1411</v>
      </c>
      <c r="BL1242" t="s">
        <v>345</v>
      </c>
      <c r="BM1242">
        <v>636</v>
      </c>
      <c r="BN1242">
        <f>638+378+212+115</f>
        <v>1343</v>
      </c>
      <c r="BO1242">
        <v>2.108490566037736</v>
      </c>
      <c r="BP1242">
        <f>BN1242-BM1242</f>
        <v>707</v>
      </c>
      <c r="BQ1242">
        <f>BP1242*kg_to_m3</f>
        <v>1.4428571428571431</v>
      </c>
      <c r="BR1242" s="260" t="s">
        <v>395</v>
      </c>
      <c r="BS1242" s="260" t="s">
        <v>426</v>
      </c>
      <c r="BT1242" t="s">
        <v>714</v>
      </c>
      <c r="BU1242">
        <v>-40.700000000000003</v>
      </c>
      <c r="BV1242">
        <v>-98.3</v>
      </c>
      <c r="BW1242" s="144">
        <v>1.5227272727272727</v>
      </c>
      <c r="BX1242">
        <f>BV1242-BU1242</f>
        <v>-57.599999999999994</v>
      </c>
      <c r="BZ1242">
        <f>BX1242/1000</f>
        <v>-5.7599999999999991E-2</v>
      </c>
      <c r="CA1242">
        <f>IFERROR(BZ1242/BQ1242,"")</f>
        <v>-3.9920792079207908E-2</v>
      </c>
      <c r="CB1242">
        <v>0</v>
      </c>
      <c r="CC1242">
        <v>0</v>
      </c>
      <c r="CD1242">
        <v>0</v>
      </c>
      <c r="CE1242">
        <v>0</v>
      </c>
      <c r="CF1242">
        <v>0</v>
      </c>
      <c r="CG1242">
        <v>0</v>
      </c>
      <c r="CH1242">
        <v>0</v>
      </c>
      <c r="CI1242">
        <v>0</v>
      </c>
      <c r="CJ1242">
        <v>0</v>
      </c>
      <c r="CK1242">
        <v>0</v>
      </c>
      <c r="CL1242">
        <v>0</v>
      </c>
      <c r="CM1242">
        <v>0</v>
      </c>
      <c r="CN1242">
        <v>0</v>
      </c>
      <c r="CO1242">
        <v>0</v>
      </c>
      <c r="CP1242" t="str">
        <f>IF($BN1242&lt;$BM1242,"refNeedCorrection","refOK")</f>
        <v>refOK</v>
      </c>
      <c r="CQ1242">
        <f>IF($CP1242="refNeedCorrection",BN1242,BM1242)</f>
        <v>636</v>
      </c>
      <c r="CR1242">
        <f>IF($CP1242="refNeedCorrection",BM1242,BN1242)</f>
        <v>1343</v>
      </c>
      <c r="CS1242">
        <f>IF($CP1242="refOK",$BQ1242,-$BQ1242)</f>
        <v>1.4428571428571431</v>
      </c>
      <c r="CT1242">
        <f>IF(BI1242="Roundwood",$CS1242/2,$CS1242)</f>
        <v>1.4428571428571431</v>
      </c>
      <c r="CU1242">
        <f>IF($CP1242="refOK",$BU1242,$BV1242)*IF($BR1242="Emissions positive",-1,1)</f>
        <v>40.700000000000003</v>
      </c>
      <c r="CV1242">
        <f>IF($CP1242="refOK",$BV1242,$BU1242)*IF($BR1242="Emissions positive",-1,1)</f>
        <v>98.3</v>
      </c>
      <c r="CW1242">
        <f>IF($CP1242="refNeedCorrection",-BZ1242,BZ1242)*IF($BR1242="Emissions positive",-1,1)</f>
        <v>5.7599999999999991E-2</v>
      </c>
      <c r="CX1242">
        <f>IFERROR($CW1242/$CS1242,"")</f>
        <v>3.9920792079207908E-2</v>
      </c>
      <c r="CY1242">
        <f>IFERROR($CW1242/$CS1242,"")</f>
        <v>3.9920792079207908E-2</v>
      </c>
      <c r="CZ1242">
        <f>IFERROR($CW1242/$CT1242,"")</f>
        <v>3.9920792079207908E-2</v>
      </c>
      <c r="DA1242" s="2">
        <f>IFERROR((CV1242-CU1242)/ABS(CU1242),"")</f>
        <v>1.4152334152334149</v>
      </c>
      <c r="DB1242" s="1" t="s">
        <v>1074</v>
      </c>
      <c r="DC1242" t="str">
        <f>IF(OR($DB1242="prd",$DB1242="std",$DB1242="cit"),"loc",IF(OR($DB1242="eur",$DB1242="reg",$DB1242="coy"),"reg",$DB1242))</f>
        <v>reg</v>
      </c>
      <c r="DD1242" t="s">
        <v>1412</v>
      </c>
      <c r="DG1242">
        <v>100</v>
      </c>
      <c r="DH1242" t="str">
        <f>IF(DG1242=0,"0",IF(AND(DG1242&gt;=1,DG1242&lt;=30),"1-30",IF(AND(DG1242&gt;30,DG1242&lt;=70),"31-70",IF(AND(DG1242&gt;70,DG1242&lt;=100),"71-100",IF(DG1242&gt;100,"+100")))))</f>
        <v>71-100</v>
      </c>
      <c r="DI1242">
        <v>0</v>
      </c>
      <c r="DJ1242">
        <v>0</v>
      </c>
      <c r="DK1242">
        <v>0</v>
      </c>
      <c r="DL1242">
        <v>1</v>
      </c>
      <c r="DN1242">
        <f>SUM(DI1242:DL1242)</f>
        <v>1</v>
      </c>
      <c r="DO1242" t="str">
        <f>IF(DN1242=1,INDEX($DI$7:$DL$7,MATCH(1,$DI1242:$DL1242,0)),"mixedProduct")</f>
        <v>TimberInput</v>
      </c>
      <c r="DP1242">
        <f>IF(DI1242=1,DP$7,0)</f>
        <v>0</v>
      </c>
      <c r="DQ1242">
        <f>IF(DJ1242=1,DQ$7,0)</f>
        <v>0</v>
      </c>
      <c r="DR1242">
        <f>IF(DK1242=1,DR$7,0)</f>
        <v>0</v>
      </c>
      <c r="DS1242" t="str">
        <f>IF(DL1242=1,DS$7,0)</f>
        <v>Timber</v>
      </c>
      <c r="DT1242">
        <v>0</v>
      </c>
      <c r="DU1242">
        <v>1</v>
      </c>
      <c r="DV1242">
        <v>0</v>
      </c>
      <c r="DW1242">
        <v>0</v>
      </c>
      <c r="DX1242" t="s">
        <v>1413</v>
      </c>
      <c r="DY1242">
        <f>SUM(DT1242:DU1242)</f>
        <v>1</v>
      </c>
      <c r="DZ1242" s="143" t="str">
        <f>IF(DT1242=1,"self-calculated DF",IF(DU1242=1,"external DF used","explicit C balance"))</f>
        <v>external DF used</v>
      </c>
      <c r="EA1242">
        <v>0</v>
      </c>
      <c r="EB1242">
        <v>0</v>
      </c>
      <c r="EC1242">
        <v>0</v>
      </c>
      <c r="ED1242">
        <v>0</v>
      </c>
      <c r="EE1242">
        <v>1</v>
      </c>
      <c r="EF1242" s="143">
        <v>1</v>
      </c>
      <c r="EG1242">
        <v>0</v>
      </c>
      <c r="EH1242">
        <v>1</v>
      </c>
      <c r="EI1242">
        <v>0</v>
      </c>
      <c r="EJ1242">
        <v>1</v>
      </c>
      <c r="EK1242">
        <v>1</v>
      </c>
      <c r="EL1242">
        <v>1</v>
      </c>
      <c r="EM1242">
        <v>0</v>
      </c>
      <c r="EN1242" s="2">
        <v>0</v>
      </c>
      <c r="EP1242" t="str">
        <f>IF(AND(AND(AND(OR($EC1242=1,$EB1242=1),OR($EH1242=1,$EF1242=1)),SUM($EA1242:$EE1242,$EK1242)&gt;=3),SUM($EF1242:$EJ1242)&gt;=2),"Whole sector approach","")</f>
        <v/>
      </c>
      <c r="EQ1242" t="str">
        <f>IF(AND(AND(OR($EC1242=1,$EB1242=1),AND($EH1242=0,$EF1242=0)),SUM($EA1242:$EE1242,$EK1242)&gt;=4),"Ecosystem approach","")</f>
        <v/>
      </c>
      <c r="ER1242" s="2" t="str">
        <f>IF(AND(AND(AND($EC1242=0,$EB1242=0),OR($EH1242=1,$EF1242=1)),SUM($EG1242:$EJ1242)&gt;=2),"Technology approach","")</f>
        <v>Technology approach</v>
      </c>
      <c r="ES1242" t="str">
        <f>IF(AND($EC1242+$EB1242+$EE1242+$EA1242+$ED1242+$EG1242=0,$N1242="included"),"C neutral forest and HWP assumption","")</f>
        <v/>
      </c>
      <c r="ET1242" t="str">
        <f>IF(AND(AND(AND(AND($EC1242=1,$EB1242+$EA1242+$EG1242&gt;=1),$EF1242=1),$EH1242+$EI1242+$ED1242+$EE1242&gt;=2),$N1242="included"),"All C pools assumption","")</f>
        <v/>
      </c>
      <c r="EU1242" t="str">
        <f>IF(AND($ED1242+$EE1242+$EI1242+$EH1242+$EF1242=0,$N1242="included"),"In-situ only assumption","")</f>
        <v/>
      </c>
      <c r="EY1242" t="str">
        <f>IF(ISNUMBER(BW1242),IF(ABS(BW1242-[2]QC_indicators!$B$2)&gt;3*[2]QC_indicators!$C$2,"C ratio",IF(ISNUMBER(CA1242),IF(ABS(CA1242-[2]QC_indicators!$B$1)&gt;3*[2]QC_indicators!$C$1,"DF","no"))),IF(ISNUMBER(CA1242),IF(ABS(CA1242-[2]QC_indicators!$B$1)&gt;3*[2]QC_indicators!$C$1,"DF","no")))</f>
        <v>no</v>
      </c>
      <c r="FA1242" t="str">
        <f>IF(LEN($CY1242)=0,"",IF(AND($CY1242&lt;(-0.05),$ES1242="C neutral forest and HWP assumption"),"Cneutral paradox",IF(AND($CY1242&gt;0.05,$EU1242="In-situ only assumption"),"In-situ only paradox","")))</f>
        <v/>
      </c>
      <c r="FD1242" s="260" t="s">
        <v>2948</v>
      </c>
    </row>
    <row r="1243" spans="1:160" ht="15" hidden="1" customHeight="1">
      <c r="A1243" s="1" t="s">
        <v>265</v>
      </c>
      <c r="B1243" t="s">
        <v>1403</v>
      </c>
      <c r="C1243" t="s">
        <v>1404</v>
      </c>
      <c r="D1243" t="s">
        <v>1405</v>
      </c>
      <c r="E1243" t="s">
        <v>1406</v>
      </c>
      <c r="F1243" t="s">
        <v>1407</v>
      </c>
      <c r="G1243" t="s">
        <v>271</v>
      </c>
      <c r="H1243" t="s">
        <v>254</v>
      </c>
      <c r="I1243">
        <v>2019</v>
      </c>
      <c r="J1243">
        <v>26</v>
      </c>
      <c r="K1243" t="s">
        <v>1408</v>
      </c>
      <c r="M1243" t="str">
        <f>LEFT($D1243,FIND(",",$D1243)-1)&amp;"_"&amp;I1243&amp;L1243</f>
        <v>Faraca_2019</v>
      </c>
      <c r="N1243" t="s">
        <v>222</v>
      </c>
      <c r="O1243" s="145" t="s">
        <v>274</v>
      </c>
      <c r="P1243" s="179" t="s">
        <v>223</v>
      </c>
      <c r="Q1243" t="s">
        <v>256</v>
      </c>
      <c r="R1243" s="258" t="s">
        <v>223</v>
      </c>
      <c r="S1243" s="259" t="s">
        <v>2811</v>
      </c>
      <c r="T1243" t="s">
        <v>932</v>
      </c>
      <c r="U1243" t="s">
        <v>1419</v>
      </c>
      <c r="V1243" s="253">
        <v>0</v>
      </c>
      <c r="W1243" s="253">
        <v>0</v>
      </c>
      <c r="X1243">
        <v>0</v>
      </c>
      <c r="Y1243">
        <v>0</v>
      </c>
      <c r="Z1243">
        <v>0</v>
      </c>
      <c r="AA1243">
        <v>0</v>
      </c>
      <c r="AB1243">
        <v>0</v>
      </c>
      <c r="AC1243">
        <v>0</v>
      </c>
      <c r="AD1243">
        <v>0</v>
      </c>
      <c r="AE1243">
        <v>0</v>
      </c>
      <c r="AF1243">
        <v>0</v>
      </c>
      <c r="AG1243">
        <v>0</v>
      </c>
      <c r="AH1243">
        <v>0</v>
      </c>
      <c r="AI1243">
        <v>1</v>
      </c>
      <c r="AJ1243">
        <v>0</v>
      </c>
      <c r="AK1243">
        <v>0</v>
      </c>
      <c r="AL1243">
        <v>0</v>
      </c>
      <c r="AM1243">
        <v>0</v>
      </c>
      <c r="AN1243">
        <v>0</v>
      </c>
      <c r="AO1243">
        <v>0</v>
      </c>
      <c r="AP1243">
        <v>0</v>
      </c>
      <c r="AQ1243">
        <v>0</v>
      </c>
      <c r="AR1243">
        <v>0</v>
      </c>
      <c r="AS1243">
        <v>0</v>
      </c>
      <c r="AT1243">
        <v>0</v>
      </c>
      <c r="AU1243">
        <v>0</v>
      </c>
      <c r="AV1243">
        <v>0</v>
      </c>
      <c r="AW1243">
        <v>0</v>
      </c>
      <c r="AX1243">
        <v>0</v>
      </c>
      <c r="AY1243">
        <v>0</v>
      </c>
      <c r="AZ1243" s="141">
        <f>COUNTIF(X1243:AY1243,"&lt;&gt;0")</f>
        <v>1</v>
      </c>
      <c r="BA1243" s="141">
        <f>COUNTIF(X1243:AN1243,"&lt;&gt;0")</f>
        <v>1</v>
      </c>
      <c r="BB1243">
        <f>COUNTIF(X1243:AE1243,"&lt;&gt;0")</f>
        <v>0</v>
      </c>
      <c r="BC1243">
        <f>COUNTIF(AF1243:AK1243,"&lt;&gt;0")</f>
        <v>1</v>
      </c>
      <c r="BD1243">
        <f>COUNTIF(AL1243:AN1243,"&lt;&gt;0")</f>
        <v>0</v>
      </c>
      <c r="BE1243">
        <f>COUNTIF(AU1243:AY1243,"&lt;&gt;0")</f>
        <v>0</v>
      </c>
      <c r="BF1243">
        <f>COUNTIF(AO1243:AT1243,"&lt;&gt;0")</f>
        <v>0</v>
      </c>
      <c r="BG1243" t="str">
        <f t="array" ref="BG1243">IF(BA1243=1,INDEX($X$7:$AN$7,MATCH(TRUE,INDEX($X1243:$AY1243&lt;&gt;0,),0)),IF(BA1243=0,INDEX($AO$7:$AY$7,MATCH(1,$AO1243:$AY1243,0)),IF(BH1243="Multiple strategies","mixed drivers",IF(BH1243="Supply chain","multiple supply","multiple silviculture"))))</f>
        <v>recycling</v>
      </c>
      <c r="BH1243" s="2" t="str" cm="1">
        <f t="array" ref="BH1243">IF(COUNTIF(BB1243:BD1243,"&lt;&gt;0")=1,INDEX($X$4:$AY$4,MATCH(TRUE,INDEX($X1243:$AY1243&lt;&gt;0,),0)),IF(COUNTIF(BB1243:BD1243,"&lt;&gt;0")=0,INDEX($AO$4:$AY$4,MATCH(1,$AO1243:$AY1243,0)),"Multiple strategies"))</f>
        <v>Supply chain</v>
      </c>
      <c r="BI1243" s="1" t="s">
        <v>229</v>
      </c>
      <c r="BJ1243" t="s">
        <v>1420</v>
      </c>
      <c r="BK1243" t="s">
        <v>1411</v>
      </c>
      <c r="BL1243" t="s">
        <v>345</v>
      </c>
      <c r="BM1243">
        <v>636</v>
      </c>
      <c r="BN1243">
        <f>638+378+212+115</f>
        <v>1343</v>
      </c>
      <c r="BO1243">
        <v>2.108490566037736</v>
      </c>
      <c r="BP1243">
        <f>BN1243-BM1243</f>
        <v>707</v>
      </c>
      <c r="BQ1243">
        <f>BP1243*kg_to_m3</f>
        <v>1.4428571428571431</v>
      </c>
      <c r="BR1243" s="260" t="s">
        <v>395</v>
      </c>
      <c r="BS1243" t="s">
        <v>426</v>
      </c>
      <c r="BT1243" t="s">
        <v>714</v>
      </c>
      <c r="BU1243">
        <v>474.6</v>
      </c>
      <c r="BV1243">
        <v>545.79999999999995</v>
      </c>
      <c r="BW1243" s="144"/>
      <c r="BX1243">
        <f>BV1243-BU1243</f>
        <v>71.199999999999932</v>
      </c>
      <c r="BZ1243">
        <f>BX1243/1000</f>
        <v>7.119999999999993E-2</v>
      </c>
      <c r="CA1243">
        <f>IFERROR(BZ1243/BQ1243,"")</f>
        <v>4.9346534653465293E-2</v>
      </c>
      <c r="CB1243">
        <v>0</v>
      </c>
      <c r="CC1243">
        <v>0</v>
      </c>
      <c r="CD1243">
        <v>0</v>
      </c>
      <c r="CE1243">
        <v>0</v>
      </c>
      <c r="CF1243">
        <v>0</v>
      </c>
      <c r="CG1243">
        <v>0</v>
      </c>
      <c r="CH1243">
        <v>0</v>
      </c>
      <c r="CI1243">
        <v>0</v>
      </c>
      <c r="CJ1243">
        <v>0</v>
      </c>
      <c r="CK1243">
        <v>0</v>
      </c>
      <c r="CL1243">
        <v>0</v>
      </c>
      <c r="CM1243">
        <v>0</v>
      </c>
      <c r="CN1243">
        <v>0</v>
      </c>
      <c r="CO1243">
        <v>0</v>
      </c>
      <c r="CP1243" t="str">
        <f>IF($BN1243&lt;$BM1243,"refNeedCorrection","refOK")</f>
        <v>refOK</v>
      </c>
      <c r="CQ1243">
        <f>IF($CP1243="refNeedCorrection",BN1243,BM1243)</f>
        <v>636</v>
      </c>
      <c r="CR1243">
        <f>IF($CP1243="refNeedCorrection",BM1243,BN1243)</f>
        <v>1343</v>
      </c>
      <c r="CS1243">
        <f>IF($CP1243="refOK",$BQ1243,-$BQ1243)</f>
        <v>1.4428571428571431</v>
      </c>
      <c r="CT1243">
        <f>IF(BI1243="Roundwood",$CS1243/2,$CS1243)</f>
        <v>1.4428571428571431</v>
      </c>
      <c r="CU1243">
        <f>IF($CP1243="refOK",$BU1243,$BV1243)*IF($BR1243="Emissions positive",-1,1)</f>
        <v>-474.6</v>
      </c>
      <c r="CV1243">
        <f>IF($CP1243="refOK",$BV1243,$BU1243)*IF($BR1243="Emissions positive",-1,1)</f>
        <v>-545.79999999999995</v>
      </c>
      <c r="CW1243">
        <f>IF($CP1243="refNeedCorrection",-BZ1243,BZ1243)*IF($BR1243="Emissions positive",-1,1)</f>
        <v>-7.119999999999993E-2</v>
      </c>
      <c r="CX1243">
        <f>IFERROR($CW1243/$CS1243,"")</f>
        <v>-4.9346534653465293E-2</v>
      </c>
      <c r="CY1243">
        <f>IFERROR($CW1243/$CS1243,"")</f>
        <v>-4.9346534653465293E-2</v>
      </c>
      <c r="CZ1243">
        <f>IFERROR($CW1243/$CT1243,"")</f>
        <v>-4.9346534653465293E-2</v>
      </c>
      <c r="DA1243" s="2">
        <f>IFERROR((CV1243-CU1243)/ABS(CU1243),"")</f>
        <v>-0.15002107037505252</v>
      </c>
      <c r="DB1243" s="1" t="s">
        <v>1074</v>
      </c>
      <c r="DC1243" t="str">
        <f>IF(OR($DB1243="prd",$DB1243="std",$DB1243="cit"),"loc",IF(OR($DB1243="eur",$DB1243="reg",$DB1243="coy"),"reg",$DB1243))</f>
        <v>reg</v>
      </c>
      <c r="DD1243" t="s">
        <v>1412</v>
      </c>
      <c r="DG1243">
        <v>100</v>
      </c>
      <c r="DH1243" t="str">
        <f>IF(DG1243=0,"0",IF(AND(DG1243&gt;=1,DG1243&lt;=30),"1-30",IF(AND(DG1243&gt;30,DG1243&lt;=70),"31-70",IF(AND(DG1243&gt;70,DG1243&lt;=100),"71-100",IF(DG1243&gt;100,"+100")))))</f>
        <v>71-100</v>
      </c>
      <c r="DI1243">
        <v>0</v>
      </c>
      <c r="DJ1243">
        <v>0</v>
      </c>
      <c r="DK1243">
        <v>0</v>
      </c>
      <c r="DL1243">
        <v>1</v>
      </c>
      <c r="DN1243">
        <f>SUM(DI1243:DL1243)</f>
        <v>1</v>
      </c>
      <c r="DO1243" t="str">
        <f>IF(DN1243=1,INDEX($DI$7:$DL$7,MATCH(1,$DI1243:$DL1243,0)),"mixedProduct")</f>
        <v>TimberInput</v>
      </c>
      <c r="DP1243">
        <f>IF(DI1243=1,DP$7,0)</f>
        <v>0</v>
      </c>
      <c r="DQ1243">
        <f>IF(DJ1243=1,DQ$7,0)</f>
        <v>0</v>
      </c>
      <c r="DR1243">
        <f>IF(DK1243=1,DR$7,0)</f>
        <v>0</v>
      </c>
      <c r="DS1243" t="str">
        <f>IF(DL1243=1,DS$7,0)</f>
        <v>Timber</v>
      </c>
      <c r="DT1243">
        <v>0</v>
      </c>
      <c r="DU1243">
        <v>0</v>
      </c>
      <c r="DV1243">
        <v>0</v>
      </c>
      <c r="DW1243">
        <v>0</v>
      </c>
      <c r="DX1243">
        <v>0</v>
      </c>
      <c r="DY1243">
        <f>SUM(DT1243:DU1243)</f>
        <v>0</v>
      </c>
      <c r="DZ1243" s="143" t="str">
        <f>IF(DT1243=1,"self-calculated DF",IF(DU1243=1,"external DF used","explicit C balance"))</f>
        <v>explicit C balance</v>
      </c>
      <c r="EA1243">
        <v>0</v>
      </c>
      <c r="EB1243">
        <v>0</v>
      </c>
      <c r="EC1243">
        <v>0</v>
      </c>
      <c r="ED1243">
        <v>0</v>
      </c>
      <c r="EE1243">
        <v>1</v>
      </c>
      <c r="EF1243" s="143">
        <v>0</v>
      </c>
      <c r="EG1243">
        <v>0</v>
      </c>
      <c r="EH1243">
        <v>1</v>
      </c>
      <c r="EI1243">
        <v>0</v>
      </c>
      <c r="EJ1243">
        <v>1</v>
      </c>
      <c r="EK1243">
        <v>1</v>
      </c>
      <c r="EL1243">
        <v>1</v>
      </c>
      <c r="EM1243">
        <v>0</v>
      </c>
      <c r="EN1243" s="2">
        <v>0</v>
      </c>
      <c r="EP1243" t="str">
        <f>IF(AND(AND(AND(OR($EC1243=1,$EB1243=1),OR($EH1243=1,$EF1243=1)),SUM($EA1243:$EE1243,$EK1243)&gt;=3),SUM($EF1243:$EJ1243)&gt;=2),"Whole sector approach","")</f>
        <v/>
      </c>
      <c r="EQ1243" t="str">
        <f>IF(AND(AND(OR($EC1243=1,$EB1243=1),AND($EH1243=0,$EF1243=0)),SUM($EA1243:$EE1243,$EK1243)&gt;=4),"Ecosystem approach","")</f>
        <v/>
      </c>
      <c r="ER1243" s="2" t="str">
        <f>IF(AND(AND(AND($EC1243=0,$EB1243=0),OR($EH1243=1,$EF1243=1)),SUM($EG1243:$EJ1243)&gt;=2),"Technology approach","")</f>
        <v>Technology approach</v>
      </c>
      <c r="ES1243" t="str">
        <f>IF(AND($EC1243+$EB1243+$EE1243+$EA1243+$ED1243+$EG1243=0,$N1243="included"),"C neutral forest and HWP assumption","")</f>
        <v/>
      </c>
      <c r="ET1243" t="str">
        <f>IF(AND(AND(AND(AND($EC1243=1,$EB1243+$EA1243+$EG1243&gt;=1),$EF1243=1),$EH1243+$EI1243+$ED1243+$EE1243&gt;=2),$N1243="included"),"All C pools assumption","")</f>
        <v/>
      </c>
      <c r="EU1243" t="str">
        <f>IF(AND($ED1243+$EE1243+$EI1243+$EH1243+$EF1243=0,$N1243="included"),"In-situ only assumption","")</f>
        <v/>
      </c>
      <c r="EY1243" t="str">
        <f>IF(ISNUMBER(BW1243),IF(ABS(BW1243-[2]QC_indicators!$B$2)&gt;3*[2]QC_indicators!$C$2,"C ratio",IF(ISNUMBER(CA1243),IF(ABS(CA1243-[2]QC_indicators!$B$1)&gt;3*[2]QC_indicators!$C$1,"DF","no"))),IF(ISNUMBER(CA1243),IF(ABS(CA1243-[2]QC_indicators!$B$1)&gt;3*[2]QC_indicators!$C$1,"DF","no")))</f>
        <v>no</v>
      </c>
      <c r="FA1243" t="str">
        <f>IF(LEN($CY1243)=0,"",IF(AND($CY1243&lt;(-0.05),$ES1243="C neutral forest and HWP assumption"),"Cneutral paradox",IF(AND($CY1243&gt;0.05,$EU1243="In-situ only assumption"),"In-situ only paradox","")))</f>
        <v/>
      </c>
      <c r="FD1243" s="260" t="s">
        <v>2948</v>
      </c>
    </row>
    <row r="1244" spans="1:160" ht="15" hidden="1" customHeight="1">
      <c r="A1244" s="1" t="s">
        <v>265</v>
      </c>
      <c r="B1244" t="s">
        <v>1403</v>
      </c>
      <c r="C1244" t="s">
        <v>1404</v>
      </c>
      <c r="D1244" t="s">
        <v>1405</v>
      </c>
      <c r="E1244" t="s">
        <v>1406</v>
      </c>
      <c r="F1244" t="s">
        <v>1407</v>
      </c>
      <c r="G1244" t="s">
        <v>271</v>
      </c>
      <c r="H1244" t="s">
        <v>254</v>
      </c>
      <c r="I1244">
        <v>2019</v>
      </c>
      <c r="J1244">
        <v>26</v>
      </c>
      <c r="K1244" t="s">
        <v>1408</v>
      </c>
      <c r="M1244" t="str">
        <f>LEFT($D1244,FIND(",",$D1244)-1)&amp;"_"&amp;I1244&amp;L1244</f>
        <v>Faraca_2019</v>
      </c>
      <c r="N1244" t="s">
        <v>222</v>
      </c>
      <c r="O1244" s="145" t="s">
        <v>274</v>
      </c>
      <c r="P1244" s="179" t="s">
        <v>223</v>
      </c>
      <c r="Q1244" t="s">
        <v>256</v>
      </c>
      <c r="R1244" s="258" t="s">
        <v>223</v>
      </c>
      <c r="S1244" s="259" t="s">
        <v>2812</v>
      </c>
      <c r="T1244" t="s">
        <v>1422</v>
      </c>
      <c r="U1244" t="s">
        <v>1423</v>
      </c>
      <c r="V1244" s="253">
        <v>0</v>
      </c>
      <c r="W1244" s="253">
        <v>0</v>
      </c>
      <c r="X1244">
        <v>0</v>
      </c>
      <c r="Y1244">
        <v>0</v>
      </c>
      <c r="Z1244">
        <v>0</v>
      </c>
      <c r="AA1244">
        <v>0</v>
      </c>
      <c r="AB1244">
        <v>0</v>
      </c>
      <c r="AC1244">
        <v>0</v>
      </c>
      <c r="AD1244">
        <v>0</v>
      </c>
      <c r="AE1244">
        <v>0</v>
      </c>
      <c r="AF1244">
        <v>0</v>
      </c>
      <c r="AG1244">
        <v>0</v>
      </c>
      <c r="AH1244">
        <v>0</v>
      </c>
      <c r="AI1244">
        <v>1</v>
      </c>
      <c r="AJ1244">
        <v>0</v>
      </c>
      <c r="AK1244">
        <v>0</v>
      </c>
      <c r="AL1244">
        <v>0</v>
      </c>
      <c r="AM1244">
        <v>0</v>
      </c>
      <c r="AN1244">
        <v>0</v>
      </c>
      <c r="AO1244">
        <v>0</v>
      </c>
      <c r="AP1244">
        <v>0</v>
      </c>
      <c r="AQ1244">
        <v>0</v>
      </c>
      <c r="AR1244">
        <v>0</v>
      </c>
      <c r="AS1244">
        <v>0</v>
      </c>
      <c r="AT1244">
        <v>0</v>
      </c>
      <c r="AU1244">
        <v>0</v>
      </c>
      <c r="AV1244">
        <v>0</v>
      </c>
      <c r="AW1244">
        <v>0</v>
      </c>
      <c r="AX1244">
        <v>0</v>
      </c>
      <c r="AY1244">
        <v>0</v>
      </c>
      <c r="AZ1244" s="141">
        <f>COUNTIF(X1244:AY1244,"&lt;&gt;0")</f>
        <v>1</v>
      </c>
      <c r="BA1244" s="141">
        <f>COUNTIF(X1244:AN1244,"&lt;&gt;0")</f>
        <v>1</v>
      </c>
      <c r="BB1244">
        <f>COUNTIF(X1244:AE1244,"&lt;&gt;0")</f>
        <v>0</v>
      </c>
      <c r="BC1244">
        <f>COUNTIF(AF1244:AK1244,"&lt;&gt;0")</f>
        <v>1</v>
      </c>
      <c r="BD1244">
        <f>COUNTIF(AL1244:AN1244,"&lt;&gt;0")</f>
        <v>0</v>
      </c>
      <c r="BE1244">
        <f>COUNTIF(AU1244:AY1244,"&lt;&gt;0")</f>
        <v>0</v>
      </c>
      <c r="BF1244">
        <f>COUNTIF(AO1244:AT1244,"&lt;&gt;0")</f>
        <v>0</v>
      </c>
      <c r="BG1244" t="str">
        <f t="array" ref="BG1244">IF(BA1244=1,INDEX($X$7:$AN$7,MATCH(TRUE,INDEX($X1244:$AY1244&lt;&gt;0,),0)),IF(BA1244=0,INDEX($AO$7:$AY$7,MATCH(1,$AO1244:$AY1244,0)),IF(BH1244="Multiple strategies","mixed drivers",IF(BH1244="Supply chain","multiple supply","multiple silviculture"))))</f>
        <v>recycling</v>
      </c>
      <c r="BH1244" s="2" t="str" cm="1">
        <f t="array" ref="BH1244">IF(COUNTIF(BB1244:BD1244,"&lt;&gt;0")=1,INDEX($X$4:$AY$4,MATCH(TRUE,INDEX($X1244:$AY1244&lt;&gt;0,),0)),IF(COUNTIF(BB1244:BD1244,"&lt;&gt;0")=0,INDEX($AO$4:$AY$4,MATCH(1,$AO1244:$AY1244,0)),"Multiple strategies"))</f>
        <v>Supply chain</v>
      </c>
      <c r="BI1244" s="1" t="s">
        <v>229</v>
      </c>
      <c r="BJ1244" t="s">
        <v>1420</v>
      </c>
      <c r="BK1244" s="260" t="s">
        <v>2800</v>
      </c>
      <c r="BL1244" t="s">
        <v>345</v>
      </c>
      <c r="BM1244">
        <v>478</v>
      </c>
      <c r="BN1244">
        <f>478+409+223+122</f>
        <v>1232</v>
      </c>
      <c r="BO1244">
        <v>2.5774058577405858</v>
      </c>
      <c r="BP1244">
        <f>BN1244-BM1244</f>
        <v>754</v>
      </c>
      <c r="BQ1244">
        <f>BP1244*kg_to_m3</f>
        <v>1.5387755102040819</v>
      </c>
      <c r="BR1244" s="260" t="s">
        <v>395</v>
      </c>
      <c r="BS1244" t="s">
        <v>426</v>
      </c>
      <c r="BT1244" t="s">
        <v>714</v>
      </c>
      <c r="BU1244">
        <v>-355.9</v>
      </c>
      <c r="BV1244">
        <v>-572.9</v>
      </c>
      <c r="BW1244" s="144">
        <v>1.6646341463414633</v>
      </c>
      <c r="BX1244">
        <f>BV1244-BU1244</f>
        <v>-217</v>
      </c>
      <c r="BZ1244">
        <f>BX1244/1000</f>
        <v>-0.217</v>
      </c>
      <c r="CA1244">
        <f>IFERROR(BZ1244/BQ1244,"")</f>
        <v>-0.14102122015915117</v>
      </c>
      <c r="CB1244">
        <v>0</v>
      </c>
      <c r="CC1244">
        <v>0</v>
      </c>
      <c r="CD1244">
        <v>0</v>
      </c>
      <c r="CE1244">
        <v>0</v>
      </c>
      <c r="CF1244">
        <v>0</v>
      </c>
      <c r="CG1244">
        <v>0</v>
      </c>
      <c r="CH1244">
        <v>0</v>
      </c>
      <c r="CI1244">
        <v>0</v>
      </c>
      <c r="CJ1244">
        <v>0</v>
      </c>
      <c r="CK1244">
        <v>0</v>
      </c>
      <c r="CL1244">
        <v>0</v>
      </c>
      <c r="CM1244">
        <v>0</v>
      </c>
      <c r="CN1244">
        <v>0</v>
      </c>
      <c r="CO1244">
        <v>0</v>
      </c>
      <c r="CP1244" t="str">
        <f>IF($BN1244&lt;$BM1244,"refNeedCorrection","refOK")</f>
        <v>refOK</v>
      </c>
      <c r="CQ1244">
        <f>IF($CP1244="refNeedCorrection",BN1244,BM1244)</f>
        <v>478</v>
      </c>
      <c r="CR1244">
        <f>IF($CP1244="refNeedCorrection",BM1244,BN1244)</f>
        <v>1232</v>
      </c>
      <c r="CS1244">
        <f>IF($CP1244="refOK",$BQ1244,-$BQ1244)</f>
        <v>1.5387755102040819</v>
      </c>
      <c r="CT1244">
        <f>IF(BI1244="Roundwood",$CS1244/2,$CS1244)</f>
        <v>1.5387755102040819</v>
      </c>
      <c r="CU1244">
        <f>IF($CP1244="refOK",$BU1244,$BV1244)*IF($BR1244="Emissions positive",-1,1)</f>
        <v>355.9</v>
      </c>
      <c r="CV1244">
        <f>IF($CP1244="refOK",$BV1244,$BU1244)*IF($BR1244="Emissions positive",-1,1)</f>
        <v>572.9</v>
      </c>
      <c r="CW1244">
        <f>IF($CP1244="refNeedCorrection",-BZ1244,BZ1244)*IF($BR1244="Emissions positive",-1,1)</f>
        <v>0.217</v>
      </c>
      <c r="CX1244">
        <f>IFERROR($CW1244/$CS1244,"")</f>
        <v>0.14102122015915117</v>
      </c>
      <c r="CY1244">
        <f>IFERROR($CW1244/$CS1244,"")</f>
        <v>0.14102122015915117</v>
      </c>
      <c r="CZ1244">
        <f>IFERROR($CW1244/$CT1244,"")</f>
        <v>0.14102122015915117</v>
      </c>
      <c r="DA1244" s="2">
        <f>IFERROR((CV1244-CU1244)/ABS(CU1244),"")</f>
        <v>0.60972183197527396</v>
      </c>
      <c r="DB1244" s="1" t="s">
        <v>1074</v>
      </c>
      <c r="DC1244" t="str">
        <f>IF(OR($DB1244="prd",$DB1244="std",$DB1244="cit"),"loc",IF(OR($DB1244="eur",$DB1244="reg",$DB1244="coy"),"reg",$DB1244))</f>
        <v>reg</v>
      </c>
      <c r="DD1244" t="s">
        <v>1412</v>
      </c>
      <c r="DG1244">
        <v>100</v>
      </c>
      <c r="DH1244" t="str">
        <f>IF(DG1244=0,"0",IF(AND(DG1244&gt;=1,DG1244&lt;=30),"1-30",IF(AND(DG1244&gt;30,DG1244&lt;=70),"31-70",IF(AND(DG1244&gt;70,DG1244&lt;=100),"71-100",IF(DG1244&gt;100,"+100")))))</f>
        <v>71-100</v>
      </c>
      <c r="DI1244">
        <v>0</v>
      </c>
      <c r="DJ1244">
        <v>0</v>
      </c>
      <c r="DK1244">
        <v>0</v>
      </c>
      <c r="DL1244">
        <v>1</v>
      </c>
      <c r="DN1244">
        <f>SUM(DI1244:DL1244)</f>
        <v>1</v>
      </c>
      <c r="DO1244" t="str">
        <f>IF(DN1244=1,INDEX($DI$7:$DL$7,MATCH(1,$DI1244:$DL1244,0)),"mixedProduct")</f>
        <v>TimberInput</v>
      </c>
      <c r="DP1244">
        <f>IF(DI1244=1,DP$7,0)</f>
        <v>0</v>
      </c>
      <c r="DQ1244">
        <f>IF(DJ1244=1,DQ$7,0)</f>
        <v>0</v>
      </c>
      <c r="DR1244">
        <f>IF(DK1244=1,DR$7,0)</f>
        <v>0</v>
      </c>
      <c r="DS1244" t="str">
        <f>IF(DL1244=1,DS$7,0)</f>
        <v>Timber</v>
      </c>
      <c r="DT1244">
        <v>0</v>
      </c>
      <c r="DU1244">
        <v>1</v>
      </c>
      <c r="DV1244">
        <v>0</v>
      </c>
      <c r="DW1244">
        <v>0</v>
      </c>
      <c r="DX1244" t="s">
        <v>1413</v>
      </c>
      <c r="DY1244">
        <f>SUM(DT1244:DU1244)</f>
        <v>1</v>
      </c>
      <c r="DZ1244" s="143" t="str">
        <f>IF(DT1244=1,"self-calculated DF",IF(DU1244=1,"external DF used","explicit C balance"))</f>
        <v>external DF used</v>
      </c>
      <c r="EA1244">
        <v>0</v>
      </c>
      <c r="EB1244">
        <v>0</v>
      </c>
      <c r="EC1244">
        <v>0</v>
      </c>
      <c r="ED1244">
        <v>0</v>
      </c>
      <c r="EE1244">
        <v>1</v>
      </c>
      <c r="EF1244" s="143">
        <v>1</v>
      </c>
      <c r="EG1244">
        <v>0</v>
      </c>
      <c r="EH1244">
        <v>1</v>
      </c>
      <c r="EI1244">
        <v>0</v>
      </c>
      <c r="EJ1244">
        <v>1</v>
      </c>
      <c r="EK1244">
        <v>1</v>
      </c>
      <c r="EL1244">
        <v>1</v>
      </c>
      <c r="EM1244">
        <v>0</v>
      </c>
      <c r="EN1244" s="2">
        <v>0</v>
      </c>
      <c r="EP1244" t="str">
        <f>IF(AND(AND(AND(OR($EC1244=1,$EB1244=1),OR($EH1244=1,$EF1244=1)),SUM($EA1244:$EE1244,$EK1244)&gt;=3),SUM($EF1244:$EJ1244)&gt;=2),"Whole sector approach","")</f>
        <v/>
      </c>
      <c r="EQ1244" t="str">
        <f>IF(AND(AND(OR($EC1244=1,$EB1244=1),AND($EH1244=0,$EF1244=0)),SUM($EA1244:$EE1244,$EK1244)&gt;=4),"Ecosystem approach","")</f>
        <v/>
      </c>
      <c r="ER1244" s="2" t="str">
        <f>IF(AND(AND(AND($EC1244=0,$EB1244=0),OR($EH1244=1,$EF1244=1)),SUM($EG1244:$EJ1244)&gt;=2),"Technology approach","")</f>
        <v>Technology approach</v>
      </c>
      <c r="ES1244" t="str">
        <f>IF(AND($EC1244+$EB1244+$EE1244+$EA1244+$ED1244+$EG1244=0,$N1244="included"),"C neutral forest and HWP assumption","")</f>
        <v/>
      </c>
      <c r="ET1244" t="str">
        <f>IF(AND(AND(AND(AND($EC1244=1,$EB1244+$EA1244+$EG1244&gt;=1),$EF1244=1),$EH1244+$EI1244+$ED1244+$EE1244&gt;=2),$N1244="included"),"All C pools assumption","")</f>
        <v/>
      </c>
      <c r="EU1244" t="str">
        <f>IF(AND($ED1244+$EE1244+$EI1244+$EH1244+$EF1244=0,$N1244="included"),"In-situ only assumption","")</f>
        <v/>
      </c>
      <c r="EY1244" t="str">
        <f>IF(ISNUMBER(BW1244),IF(ABS(BW1244-[2]QC_indicators!$B$2)&gt;3*[2]QC_indicators!$C$2,"C ratio",IF(ISNUMBER(CA1244),IF(ABS(CA1244-[2]QC_indicators!$B$1)&gt;3*[2]QC_indicators!$C$1,"DF","no"))),IF(ISNUMBER(CA1244),IF(ABS(CA1244-[2]QC_indicators!$B$1)&gt;3*[2]QC_indicators!$C$1,"DF","no")))</f>
        <v>no</v>
      </c>
      <c r="FA1244" t="str">
        <f>IF(LEN($CY1244)=0,"",IF(AND($CY1244&lt;(-0.05),$ES1244="C neutral forest and HWP assumption"),"Cneutral paradox",IF(AND($CY1244&gt;0.05,$EU1244="In-situ only assumption"),"In-situ only paradox","")))</f>
        <v/>
      </c>
      <c r="FD1244" s="260" t="s">
        <v>2948</v>
      </c>
    </row>
    <row r="1245" spans="1:160" ht="68" hidden="1">
      <c r="A1245" s="1" t="s">
        <v>265</v>
      </c>
      <c r="B1245" t="s">
        <v>1403</v>
      </c>
      <c r="C1245" t="s">
        <v>1404</v>
      </c>
      <c r="D1245" t="s">
        <v>1405</v>
      </c>
      <c r="E1245" t="s">
        <v>1406</v>
      </c>
      <c r="F1245" t="s">
        <v>1407</v>
      </c>
      <c r="G1245" t="s">
        <v>271</v>
      </c>
      <c r="H1245" t="s">
        <v>254</v>
      </c>
      <c r="I1245">
        <v>2019</v>
      </c>
      <c r="J1245">
        <v>26</v>
      </c>
      <c r="K1245" t="s">
        <v>1408</v>
      </c>
      <c r="M1245" t="str">
        <f>LEFT($D1245,FIND(",",$D1245)-1)&amp;"_"&amp;I1245&amp;L1245</f>
        <v>Faraca_2019</v>
      </c>
      <c r="N1245" t="s">
        <v>222</v>
      </c>
      <c r="O1245" s="145" t="s">
        <v>274</v>
      </c>
      <c r="P1245" s="179" t="s">
        <v>223</v>
      </c>
      <c r="Q1245" t="s">
        <v>256</v>
      </c>
      <c r="R1245" s="258" t="s">
        <v>223</v>
      </c>
      <c r="S1245" s="259" t="s">
        <v>2812</v>
      </c>
      <c r="T1245" t="s">
        <v>1422</v>
      </c>
      <c r="U1245" t="s">
        <v>1423</v>
      </c>
      <c r="V1245" s="253">
        <v>0</v>
      </c>
      <c r="W1245" s="253">
        <v>0</v>
      </c>
      <c r="X1245">
        <v>0</v>
      </c>
      <c r="Y1245">
        <v>0</v>
      </c>
      <c r="Z1245">
        <v>0</v>
      </c>
      <c r="AA1245">
        <v>0</v>
      </c>
      <c r="AB1245">
        <v>0</v>
      </c>
      <c r="AC1245">
        <v>0</v>
      </c>
      <c r="AD1245">
        <v>0</v>
      </c>
      <c r="AE1245">
        <v>0</v>
      </c>
      <c r="AF1245">
        <v>0</v>
      </c>
      <c r="AG1245">
        <v>0</v>
      </c>
      <c r="AH1245">
        <v>0</v>
      </c>
      <c r="AI1245">
        <v>1</v>
      </c>
      <c r="AJ1245">
        <v>0</v>
      </c>
      <c r="AK1245">
        <v>0</v>
      </c>
      <c r="AL1245">
        <v>0</v>
      </c>
      <c r="AM1245">
        <v>0</v>
      </c>
      <c r="AN1245">
        <v>0</v>
      </c>
      <c r="AO1245">
        <v>0</v>
      </c>
      <c r="AP1245">
        <v>0</v>
      </c>
      <c r="AQ1245">
        <v>0</v>
      </c>
      <c r="AR1245">
        <v>0</v>
      </c>
      <c r="AS1245">
        <v>0</v>
      </c>
      <c r="AT1245">
        <v>0</v>
      </c>
      <c r="AU1245">
        <v>0</v>
      </c>
      <c r="AV1245">
        <v>0</v>
      </c>
      <c r="AW1245">
        <v>0</v>
      </c>
      <c r="AX1245">
        <v>0</v>
      </c>
      <c r="AY1245">
        <v>0</v>
      </c>
      <c r="AZ1245" s="141">
        <f>COUNTIF(X1245:AY1245,"&lt;&gt;0")</f>
        <v>1</v>
      </c>
      <c r="BA1245" s="141">
        <f>COUNTIF(X1245:AN1245,"&lt;&gt;0")</f>
        <v>1</v>
      </c>
      <c r="BB1245">
        <f>COUNTIF(X1245:AE1245,"&lt;&gt;0")</f>
        <v>0</v>
      </c>
      <c r="BC1245">
        <f>COUNTIF(AF1245:AK1245,"&lt;&gt;0")</f>
        <v>1</v>
      </c>
      <c r="BD1245">
        <f>COUNTIF(AL1245:AN1245,"&lt;&gt;0")</f>
        <v>0</v>
      </c>
      <c r="BE1245">
        <f>COUNTIF(AU1245:AY1245,"&lt;&gt;0")</f>
        <v>0</v>
      </c>
      <c r="BF1245">
        <f>COUNTIF(AO1245:AT1245,"&lt;&gt;0")</f>
        <v>0</v>
      </c>
      <c r="BG1245" t="str">
        <f t="array" ref="BG1245">IF(BA1245=1,INDEX($X$7:$AN$7,MATCH(TRUE,INDEX($X1245:$AY1245&lt;&gt;0,),0)),IF(BA1245=0,INDEX($AO$7:$AY$7,MATCH(1,$AO1245:$AY1245,0)),IF(BH1245="Multiple strategies","mixed drivers",IF(BH1245="Supply chain","multiple supply","multiple silviculture"))))</f>
        <v>recycling</v>
      </c>
      <c r="BH1245" s="2" t="str" cm="1">
        <f t="array" ref="BH1245">IF(COUNTIF(BB1245:BD1245,"&lt;&gt;0")=1,INDEX($X$4:$AY$4,MATCH(TRUE,INDEX($X1245:$AY1245&lt;&gt;0,),0)),IF(COUNTIF(BB1245:BD1245,"&lt;&gt;0")=0,INDEX($AO$4:$AY$4,MATCH(1,$AO1245:$AY1245,0)),"Multiple strategies"))</f>
        <v>Supply chain</v>
      </c>
      <c r="BI1245" s="1" t="s">
        <v>229</v>
      </c>
      <c r="BJ1245" t="s">
        <v>1420</v>
      </c>
      <c r="BK1245" s="260" t="s">
        <v>2800</v>
      </c>
      <c r="BL1245" t="s">
        <v>345</v>
      </c>
      <c r="BM1245">
        <v>478</v>
      </c>
      <c r="BN1245">
        <f>478+409+223+122</f>
        <v>1232</v>
      </c>
      <c r="BO1245">
        <v>2.5774058577405858</v>
      </c>
      <c r="BP1245">
        <f>BN1245-BM1245</f>
        <v>754</v>
      </c>
      <c r="BQ1245">
        <f>BP1245*kg_to_m3</f>
        <v>1.5387755102040819</v>
      </c>
      <c r="BR1245" s="260" t="s">
        <v>395</v>
      </c>
      <c r="BS1245" t="s">
        <v>426</v>
      </c>
      <c r="BT1245" t="s">
        <v>714</v>
      </c>
      <c r="BU1245">
        <v>-172.9</v>
      </c>
      <c r="BV1245">
        <v>-132.19999999999999</v>
      </c>
      <c r="BW1245" s="144"/>
      <c r="BX1245">
        <f>BV1245-BU1245</f>
        <v>40.700000000000017</v>
      </c>
      <c r="BZ1245">
        <f>BX1245/1000</f>
        <v>4.0700000000000014E-2</v>
      </c>
      <c r="CA1245">
        <f>IFERROR(BZ1245/BQ1245,"")</f>
        <v>2.6449602122015921E-2</v>
      </c>
      <c r="CB1245">
        <v>0</v>
      </c>
      <c r="CC1245">
        <v>0</v>
      </c>
      <c r="CD1245">
        <v>0</v>
      </c>
      <c r="CE1245">
        <v>0</v>
      </c>
      <c r="CF1245">
        <v>0</v>
      </c>
      <c r="CG1245">
        <v>0</v>
      </c>
      <c r="CH1245">
        <v>0</v>
      </c>
      <c r="CI1245">
        <v>0</v>
      </c>
      <c r="CJ1245">
        <v>0</v>
      </c>
      <c r="CK1245">
        <v>0</v>
      </c>
      <c r="CL1245">
        <v>0</v>
      </c>
      <c r="CM1245">
        <v>0</v>
      </c>
      <c r="CN1245">
        <v>0</v>
      </c>
      <c r="CO1245">
        <v>0</v>
      </c>
      <c r="CP1245" t="str">
        <f>IF($BN1245&lt;$BM1245,"refNeedCorrection","refOK")</f>
        <v>refOK</v>
      </c>
      <c r="CQ1245">
        <f>IF($CP1245="refNeedCorrection",BN1245,BM1245)</f>
        <v>478</v>
      </c>
      <c r="CR1245">
        <f>IF($CP1245="refNeedCorrection",BM1245,BN1245)</f>
        <v>1232</v>
      </c>
      <c r="CS1245">
        <f>IF($CP1245="refOK",$BQ1245,-$BQ1245)</f>
        <v>1.5387755102040819</v>
      </c>
      <c r="CT1245">
        <f>IF(BI1245="Roundwood",$CS1245/2,$CS1245)</f>
        <v>1.5387755102040819</v>
      </c>
      <c r="CU1245">
        <f>IF($CP1245="refOK",$BU1245,$BV1245)*IF($BR1245="Emissions positive",-1,1)</f>
        <v>172.9</v>
      </c>
      <c r="CV1245">
        <f>IF($CP1245="refOK",$BV1245,$BU1245)*IF($BR1245="Emissions positive",-1,1)</f>
        <v>132.19999999999999</v>
      </c>
      <c r="CW1245">
        <f>IF($CP1245="refNeedCorrection",-BZ1245,BZ1245)*IF($BR1245="Emissions positive",-1,1)</f>
        <v>-4.0700000000000014E-2</v>
      </c>
      <c r="CX1245">
        <f>IFERROR($CW1245/$CS1245,"")</f>
        <v>-2.6449602122015921E-2</v>
      </c>
      <c r="CY1245">
        <f>IFERROR($CW1245/$CS1245,"")</f>
        <v>-2.6449602122015921E-2</v>
      </c>
      <c r="CZ1245">
        <f>IFERROR($CW1245/$CT1245,"")</f>
        <v>-2.6449602122015921E-2</v>
      </c>
      <c r="DA1245" s="2">
        <f>IFERROR((CV1245-CU1245)/ABS(CU1245),"")</f>
        <v>-0.23539618276460392</v>
      </c>
      <c r="DB1245" s="1" t="s">
        <v>1074</v>
      </c>
      <c r="DC1245" t="str">
        <f>IF(OR($DB1245="prd",$DB1245="std",$DB1245="cit"),"loc",IF(OR($DB1245="eur",$DB1245="reg",$DB1245="coy"),"reg",$DB1245))</f>
        <v>reg</v>
      </c>
      <c r="DD1245" t="s">
        <v>1412</v>
      </c>
      <c r="DG1245">
        <v>500</v>
      </c>
      <c r="DH1245" t="str">
        <f>IF(DG1245=0,"0",IF(AND(DG1245&gt;=1,DG1245&lt;=30),"1-30",IF(AND(DG1245&gt;30,DG1245&lt;=70),"31-70",IF(AND(DG1245&gt;70,DG1245&lt;=100),"71-100",IF(DG1245&gt;100,"+100")))))</f>
        <v>+100</v>
      </c>
      <c r="DI1245">
        <v>0</v>
      </c>
      <c r="DJ1245">
        <v>0</v>
      </c>
      <c r="DK1245">
        <v>0</v>
      </c>
      <c r="DL1245">
        <v>1</v>
      </c>
      <c r="DN1245">
        <f>SUM(DI1245:DL1245)</f>
        <v>1</v>
      </c>
      <c r="DO1245" t="str">
        <f>IF(DN1245=1,INDEX($DI$7:$DL$7,MATCH(1,$DI1245:$DL1245,0)),"mixedProduct")</f>
        <v>TimberInput</v>
      </c>
      <c r="DP1245">
        <f>IF(DI1245=1,DP$7,0)</f>
        <v>0</v>
      </c>
      <c r="DQ1245">
        <f>IF(DJ1245=1,DQ$7,0)</f>
        <v>0</v>
      </c>
      <c r="DR1245">
        <f>IF(DK1245=1,DR$7,0)</f>
        <v>0</v>
      </c>
      <c r="DS1245" t="str">
        <f>IF(DL1245=1,DS$7,0)</f>
        <v>Timber</v>
      </c>
      <c r="DT1245">
        <v>0</v>
      </c>
      <c r="DU1245">
        <v>0</v>
      </c>
      <c r="DV1245">
        <v>0</v>
      </c>
      <c r="DW1245">
        <v>0</v>
      </c>
      <c r="DX1245">
        <v>0</v>
      </c>
      <c r="DY1245">
        <f>SUM(DT1245:DU1245)</f>
        <v>0</v>
      </c>
      <c r="DZ1245" s="143" t="str">
        <f>IF(DT1245=1,"self-calculated DF",IF(DU1245=1,"external DF used","explicit C balance"))</f>
        <v>explicit C balance</v>
      </c>
      <c r="EA1245">
        <v>0</v>
      </c>
      <c r="EB1245">
        <v>0</v>
      </c>
      <c r="EC1245">
        <v>0</v>
      </c>
      <c r="ED1245">
        <v>0</v>
      </c>
      <c r="EE1245">
        <v>1</v>
      </c>
      <c r="EF1245" s="143">
        <v>1</v>
      </c>
      <c r="EG1245">
        <v>0</v>
      </c>
      <c r="EH1245">
        <v>1</v>
      </c>
      <c r="EI1245">
        <v>0</v>
      </c>
      <c r="EJ1245">
        <v>1</v>
      </c>
      <c r="EK1245">
        <v>1</v>
      </c>
      <c r="EL1245">
        <v>1</v>
      </c>
      <c r="EM1245">
        <v>0</v>
      </c>
      <c r="EN1245" s="2">
        <v>0</v>
      </c>
      <c r="EP1245" t="str">
        <f>IF(AND(AND(AND(OR($EC1245=1,$EB1245=1),OR($EH1245=1,$EF1245=1)),SUM($EA1245:$EE1245,$EK1245)&gt;=3),SUM($EF1245:$EJ1245)&gt;=2),"Whole sector approach","")</f>
        <v/>
      </c>
      <c r="EQ1245" t="str">
        <f>IF(AND(AND(OR($EC1245=1,$EB1245=1),AND($EH1245=0,$EF1245=0)),SUM($EA1245:$EE1245,$EK1245)&gt;=4),"Ecosystem approach","")</f>
        <v/>
      </c>
      <c r="ER1245" s="2" t="str">
        <f>IF(AND(AND(AND($EC1245=0,$EB1245=0),OR($EH1245=1,$EF1245=1)),SUM($EG1245:$EJ1245)&gt;=2),"Technology approach","")</f>
        <v>Technology approach</v>
      </c>
      <c r="ES1245" t="str">
        <f>IF(AND($EC1245+$EB1245+$EE1245+$EA1245+$ED1245+$EG1245=0,$N1245="included"),"C neutral forest and HWP assumption","")</f>
        <v/>
      </c>
      <c r="ET1245" t="str">
        <f>IF(AND(AND(AND(AND($EC1245=1,$EB1245+$EA1245+$EG1245&gt;=1),$EF1245=1),$EH1245+$EI1245+$ED1245+$EE1245&gt;=2),$N1245="included"),"All C pools assumption","")</f>
        <v/>
      </c>
      <c r="EU1245" t="str">
        <f>IF(AND($ED1245+$EE1245+$EI1245+$EH1245+$EF1245=0,$N1245="included"),"In-situ only assumption","")</f>
        <v/>
      </c>
      <c r="EY1245" t="str">
        <f>IF(ISNUMBER(BW1245),IF(ABS(BW1245-[2]QC_indicators!$B$2)&gt;3*[2]QC_indicators!$C$2,"C ratio",IF(ISNUMBER(CA1245),IF(ABS(CA1245-[2]QC_indicators!$B$1)&gt;3*[2]QC_indicators!$C$1,"DF","no"))),IF(ISNUMBER(CA1245),IF(ABS(CA1245-[2]QC_indicators!$B$1)&gt;3*[2]QC_indicators!$C$1,"DF","no")))</f>
        <v>no</v>
      </c>
      <c r="FA1245" t="str">
        <f>IF(LEN($CY1245)=0,"",IF(AND($CY1245&lt;(-0.05),$ES1245="C neutral forest and HWP assumption"),"Cneutral paradox",IF(AND($CY1245&gt;0.05,$EU1245="In-situ only assumption"),"In-situ only paradox","")))</f>
        <v/>
      </c>
      <c r="FD1245" s="260" t="s">
        <v>2948</v>
      </c>
    </row>
    <row r="1246" spans="1:160" ht="68" hidden="1">
      <c r="A1246" s="1" t="s">
        <v>265</v>
      </c>
      <c r="B1246" t="s">
        <v>1403</v>
      </c>
      <c r="C1246" t="s">
        <v>1404</v>
      </c>
      <c r="D1246" t="s">
        <v>1405</v>
      </c>
      <c r="E1246" t="s">
        <v>1406</v>
      </c>
      <c r="F1246" t="s">
        <v>1407</v>
      </c>
      <c r="G1246" t="s">
        <v>271</v>
      </c>
      <c r="H1246" t="s">
        <v>254</v>
      </c>
      <c r="I1246">
        <v>2019</v>
      </c>
      <c r="J1246">
        <v>26</v>
      </c>
      <c r="K1246" t="s">
        <v>1408</v>
      </c>
      <c r="M1246" t="str">
        <f>LEFT($D1246,FIND(",",$D1246)-1)&amp;"_"&amp;I1246&amp;L1246</f>
        <v>Faraca_2019</v>
      </c>
      <c r="N1246" t="s">
        <v>222</v>
      </c>
      <c r="O1246" s="145" t="s">
        <v>274</v>
      </c>
      <c r="P1246" s="179" t="s">
        <v>223</v>
      </c>
      <c r="Q1246" t="s">
        <v>256</v>
      </c>
      <c r="R1246" s="258" t="s">
        <v>223</v>
      </c>
      <c r="S1246" s="259" t="s">
        <v>2811</v>
      </c>
      <c r="T1246" t="s">
        <v>1422</v>
      </c>
      <c r="U1246" t="s">
        <v>1423</v>
      </c>
      <c r="V1246" s="253">
        <v>0</v>
      </c>
      <c r="W1246" s="253">
        <v>0</v>
      </c>
      <c r="X1246">
        <v>0</v>
      </c>
      <c r="Y1246">
        <v>0</v>
      </c>
      <c r="Z1246">
        <v>0</v>
      </c>
      <c r="AA1246">
        <v>0</v>
      </c>
      <c r="AB1246">
        <v>0</v>
      </c>
      <c r="AC1246">
        <v>0</v>
      </c>
      <c r="AD1246">
        <v>0</v>
      </c>
      <c r="AE1246">
        <v>0</v>
      </c>
      <c r="AF1246">
        <v>0</v>
      </c>
      <c r="AG1246">
        <v>0</v>
      </c>
      <c r="AH1246">
        <v>0</v>
      </c>
      <c r="AI1246">
        <v>1</v>
      </c>
      <c r="AJ1246">
        <v>0</v>
      </c>
      <c r="AK1246">
        <v>0</v>
      </c>
      <c r="AL1246">
        <v>0</v>
      </c>
      <c r="AM1246">
        <v>0</v>
      </c>
      <c r="AN1246">
        <v>0</v>
      </c>
      <c r="AO1246">
        <v>0</v>
      </c>
      <c r="AP1246">
        <v>0</v>
      </c>
      <c r="AQ1246">
        <v>0</v>
      </c>
      <c r="AR1246">
        <v>0</v>
      </c>
      <c r="AS1246">
        <v>0</v>
      </c>
      <c r="AT1246">
        <v>0</v>
      </c>
      <c r="AU1246">
        <v>0</v>
      </c>
      <c r="AV1246">
        <v>0</v>
      </c>
      <c r="AW1246">
        <v>0</v>
      </c>
      <c r="AX1246">
        <v>0</v>
      </c>
      <c r="AY1246">
        <v>0</v>
      </c>
      <c r="AZ1246" s="141">
        <f>COUNTIF(X1246:AY1246,"&lt;&gt;0")</f>
        <v>1</v>
      </c>
      <c r="BA1246" s="141">
        <f>COUNTIF(X1246:AN1246,"&lt;&gt;0")</f>
        <v>1</v>
      </c>
      <c r="BB1246">
        <f>COUNTIF(X1246:AE1246,"&lt;&gt;0")</f>
        <v>0</v>
      </c>
      <c r="BC1246">
        <f>COUNTIF(AF1246:AK1246,"&lt;&gt;0")</f>
        <v>1</v>
      </c>
      <c r="BD1246">
        <f>COUNTIF(AL1246:AN1246,"&lt;&gt;0")</f>
        <v>0</v>
      </c>
      <c r="BE1246">
        <f>COUNTIF(AU1246:AY1246,"&lt;&gt;0")</f>
        <v>0</v>
      </c>
      <c r="BF1246">
        <f>COUNTIF(AO1246:AT1246,"&lt;&gt;0")</f>
        <v>0</v>
      </c>
      <c r="BG1246" t="str">
        <f t="array" ref="BG1246">IF(BA1246=1,INDEX($X$7:$AN$7,MATCH(TRUE,INDEX($X1246:$AY1246&lt;&gt;0,),0)),IF(BA1246=0,INDEX($AO$7:$AY$7,MATCH(1,$AO1246:$AY1246,0)),IF(BH1246="Multiple strategies","mixed drivers",IF(BH1246="Supply chain","multiple supply","multiple silviculture"))))</f>
        <v>recycling</v>
      </c>
      <c r="BH1246" s="2" t="str" cm="1">
        <f t="array" ref="BH1246">IF(COUNTIF(BB1246:BD1246,"&lt;&gt;0")=1,INDEX($X$4:$AY$4,MATCH(TRUE,INDEX($X1246:$AY1246&lt;&gt;0,),0)),IF(COUNTIF(BB1246:BD1246,"&lt;&gt;0")=0,INDEX($AO$4:$AY$4,MATCH(1,$AO1246:$AY1246,0)),"Multiple strategies"))</f>
        <v>Supply chain</v>
      </c>
      <c r="BI1246" s="1" t="s">
        <v>229</v>
      </c>
      <c r="BJ1246" t="s">
        <v>1420</v>
      </c>
      <c r="BK1246" s="260" t="s">
        <v>2800</v>
      </c>
      <c r="BL1246" t="s">
        <v>345</v>
      </c>
      <c r="BM1246">
        <v>478</v>
      </c>
      <c r="BN1246">
        <f>478+409+223+122</f>
        <v>1232</v>
      </c>
      <c r="BO1246">
        <v>2.5774058577405858</v>
      </c>
      <c r="BP1246">
        <f>BN1246-BM1246</f>
        <v>754</v>
      </c>
      <c r="BQ1246">
        <f>BP1246*kg_to_m3</f>
        <v>1.5387755102040819</v>
      </c>
      <c r="BR1246" s="260" t="s">
        <v>395</v>
      </c>
      <c r="BS1246" t="s">
        <v>426</v>
      </c>
      <c r="BT1246" t="s">
        <v>714</v>
      </c>
      <c r="BU1246">
        <v>206.8</v>
      </c>
      <c r="BV1246">
        <v>200</v>
      </c>
      <c r="BW1246" s="144"/>
      <c r="BX1246">
        <f>BV1246-BU1246</f>
        <v>-6.8000000000000114</v>
      </c>
      <c r="BZ1246">
        <f>BX1246/1000</f>
        <v>-6.8000000000000118E-3</v>
      </c>
      <c r="CA1246">
        <f>IFERROR(BZ1246/BQ1246,"")</f>
        <v>-4.4190981432360816E-3</v>
      </c>
      <c r="CB1246">
        <v>0</v>
      </c>
      <c r="CC1246">
        <v>0</v>
      </c>
      <c r="CD1246">
        <v>0</v>
      </c>
      <c r="CE1246">
        <v>0</v>
      </c>
      <c r="CF1246">
        <v>0</v>
      </c>
      <c r="CG1246">
        <v>0</v>
      </c>
      <c r="CH1246">
        <v>0</v>
      </c>
      <c r="CI1246">
        <v>0</v>
      </c>
      <c r="CJ1246">
        <v>0</v>
      </c>
      <c r="CK1246">
        <v>0</v>
      </c>
      <c r="CL1246">
        <v>0</v>
      </c>
      <c r="CM1246">
        <v>0</v>
      </c>
      <c r="CN1246">
        <v>0</v>
      </c>
      <c r="CO1246">
        <v>0</v>
      </c>
      <c r="CP1246" t="str">
        <f>IF($BN1246&lt;$BM1246,"refNeedCorrection","refOK")</f>
        <v>refOK</v>
      </c>
      <c r="CQ1246">
        <f>IF($CP1246="refNeedCorrection",BN1246,BM1246)</f>
        <v>478</v>
      </c>
      <c r="CR1246">
        <f>IF($CP1246="refNeedCorrection",BM1246,BN1246)</f>
        <v>1232</v>
      </c>
      <c r="CS1246">
        <f>IF($CP1246="refOK",$BQ1246,-$BQ1246)</f>
        <v>1.5387755102040819</v>
      </c>
      <c r="CT1246">
        <f>IF(BI1246="Roundwood",$CS1246/2,$CS1246)</f>
        <v>1.5387755102040819</v>
      </c>
      <c r="CU1246">
        <f>IF($CP1246="refOK",$BU1246,$BV1246)*IF($BR1246="Emissions positive",-1,1)</f>
        <v>-206.8</v>
      </c>
      <c r="CV1246">
        <f>IF($CP1246="refOK",$BV1246,$BU1246)*IF($BR1246="Emissions positive",-1,1)</f>
        <v>-200</v>
      </c>
      <c r="CW1246">
        <f>IF($CP1246="refNeedCorrection",-BZ1246,BZ1246)*IF($BR1246="Emissions positive",-1,1)</f>
        <v>6.8000000000000118E-3</v>
      </c>
      <c r="CX1246">
        <f>IFERROR($CW1246/$CS1246,"")</f>
        <v>4.4190981432360816E-3</v>
      </c>
      <c r="CY1246">
        <f>IFERROR($CW1246/$CS1246,"")</f>
        <v>4.4190981432360816E-3</v>
      </c>
      <c r="CZ1246">
        <f>IFERROR($CW1246/$CT1246,"")</f>
        <v>4.4190981432360816E-3</v>
      </c>
      <c r="DA1246" s="2">
        <f>IFERROR((CV1246-CU1246)/ABS(CU1246),"")</f>
        <v>3.2882011605415915E-2</v>
      </c>
      <c r="DB1246" s="1" t="s">
        <v>1074</v>
      </c>
      <c r="DC1246" t="str">
        <f>IF(OR($DB1246="prd",$DB1246="std",$DB1246="cit"),"loc",IF(OR($DB1246="eur",$DB1246="reg",$DB1246="coy"),"reg",$DB1246))</f>
        <v>reg</v>
      </c>
      <c r="DD1246" t="s">
        <v>1412</v>
      </c>
      <c r="DG1246">
        <v>100</v>
      </c>
      <c r="DH1246" t="str">
        <f>IF(DG1246=0,"0",IF(AND(DG1246&gt;=1,DG1246&lt;=30),"1-30",IF(AND(DG1246&gt;30,DG1246&lt;=70),"31-70",IF(AND(DG1246&gt;70,DG1246&lt;=100),"71-100",IF(DG1246&gt;100,"+100")))))</f>
        <v>71-100</v>
      </c>
      <c r="DI1246">
        <v>0</v>
      </c>
      <c r="DJ1246">
        <v>0</v>
      </c>
      <c r="DK1246">
        <v>0</v>
      </c>
      <c r="DL1246">
        <v>1</v>
      </c>
      <c r="DN1246">
        <f>SUM(DI1246:DL1246)</f>
        <v>1</v>
      </c>
      <c r="DO1246" t="str">
        <f>IF(DN1246=1,INDEX($DI$7:$DL$7,MATCH(1,$DI1246:$DL1246,0)),"mixedProduct")</f>
        <v>TimberInput</v>
      </c>
      <c r="DP1246">
        <f>IF(DI1246=1,DP$7,0)</f>
        <v>0</v>
      </c>
      <c r="DQ1246">
        <f>IF(DJ1246=1,DQ$7,0)</f>
        <v>0</v>
      </c>
      <c r="DR1246">
        <f>IF(DK1246=1,DR$7,0)</f>
        <v>0</v>
      </c>
      <c r="DS1246" t="str">
        <f>IF(DL1246=1,DS$7,0)</f>
        <v>Timber</v>
      </c>
      <c r="DT1246">
        <v>0</v>
      </c>
      <c r="DU1246">
        <v>0</v>
      </c>
      <c r="DV1246">
        <v>0</v>
      </c>
      <c r="DW1246">
        <v>0</v>
      </c>
      <c r="DX1246">
        <v>0</v>
      </c>
      <c r="DY1246">
        <f>SUM(DT1246:DU1246)</f>
        <v>0</v>
      </c>
      <c r="DZ1246" s="143" t="str">
        <f>IF(DT1246=1,"self-calculated DF",IF(DU1246=1,"external DF used","explicit C balance"))</f>
        <v>explicit C balance</v>
      </c>
      <c r="EA1246">
        <v>0</v>
      </c>
      <c r="EB1246">
        <v>0</v>
      </c>
      <c r="EC1246">
        <v>0</v>
      </c>
      <c r="ED1246">
        <v>0</v>
      </c>
      <c r="EE1246">
        <v>1</v>
      </c>
      <c r="EF1246" s="143">
        <v>0</v>
      </c>
      <c r="EG1246">
        <v>0</v>
      </c>
      <c r="EH1246">
        <v>1</v>
      </c>
      <c r="EI1246">
        <v>0</v>
      </c>
      <c r="EJ1246">
        <v>1</v>
      </c>
      <c r="EK1246">
        <v>1</v>
      </c>
      <c r="EL1246">
        <v>1</v>
      </c>
      <c r="EM1246">
        <v>0</v>
      </c>
      <c r="EN1246" s="2">
        <v>0</v>
      </c>
      <c r="EP1246" t="str">
        <f>IF(AND(AND(AND(OR($EC1246=1,$EB1246=1),OR($EH1246=1,$EF1246=1)),SUM($EA1246:$EE1246,$EK1246)&gt;=3),SUM($EF1246:$EJ1246)&gt;=2),"Whole sector approach","")</f>
        <v/>
      </c>
      <c r="EQ1246" t="str">
        <f>IF(AND(AND(OR($EC1246=1,$EB1246=1),AND($EH1246=0,$EF1246=0)),SUM($EA1246:$EE1246,$EK1246)&gt;=4),"Ecosystem approach","")</f>
        <v/>
      </c>
      <c r="ER1246" s="2" t="str">
        <f>IF(AND(AND(AND($EC1246=0,$EB1246=0),OR($EH1246=1,$EF1246=1)),SUM($EG1246:$EJ1246)&gt;=2),"Technology approach","")</f>
        <v>Technology approach</v>
      </c>
      <c r="ES1246" t="str">
        <f>IF(AND($EC1246+$EB1246+$EE1246+$EA1246+$ED1246+$EG1246=0,$N1246="included"),"C neutral forest and HWP assumption","")</f>
        <v/>
      </c>
      <c r="ET1246" t="str">
        <f>IF(AND(AND(AND(AND($EC1246=1,$EB1246+$EA1246+$EG1246&gt;=1),$EF1246=1),$EH1246+$EI1246+$ED1246+$EE1246&gt;=2),$N1246="included"),"All C pools assumption","")</f>
        <v/>
      </c>
      <c r="EU1246" t="str">
        <f>IF(AND($ED1246+$EE1246+$EI1246+$EH1246+$EF1246=0,$N1246="included"),"In-situ only assumption","")</f>
        <v/>
      </c>
      <c r="EY1246" t="str">
        <f>IF(ISNUMBER(BW1246),IF(ABS(BW1246-[2]QC_indicators!$B$2)&gt;3*[2]QC_indicators!$C$2,"C ratio",IF(ISNUMBER(CA1246),IF(ABS(CA1246-[2]QC_indicators!$B$1)&gt;3*[2]QC_indicators!$C$1,"DF","no"))),IF(ISNUMBER(CA1246),IF(ABS(CA1246-[2]QC_indicators!$B$1)&gt;3*[2]QC_indicators!$C$1,"DF","no")))</f>
        <v>no</v>
      </c>
      <c r="FA1246" t="str">
        <f>IF(LEN($CY1246)=0,"",IF(AND($CY1246&lt;(-0.05),$ES1246="C neutral forest and HWP assumption"),"Cneutral paradox",IF(AND($CY1246&gt;0.05,$EU1246="In-situ only assumption"),"In-situ only paradox","")))</f>
        <v/>
      </c>
      <c r="FD1246" s="260" t="s">
        <v>2948</v>
      </c>
    </row>
    <row r="1247" spans="1:160" ht="68" hidden="1">
      <c r="A1247" s="1" t="s">
        <v>265</v>
      </c>
      <c r="B1247" t="s">
        <v>1403</v>
      </c>
      <c r="C1247" t="s">
        <v>1404</v>
      </c>
      <c r="D1247" t="s">
        <v>1405</v>
      </c>
      <c r="E1247" t="s">
        <v>1406</v>
      </c>
      <c r="F1247" t="s">
        <v>1407</v>
      </c>
      <c r="G1247" t="s">
        <v>271</v>
      </c>
      <c r="H1247" t="s">
        <v>254</v>
      </c>
      <c r="I1247">
        <v>2019</v>
      </c>
      <c r="J1247">
        <v>26</v>
      </c>
      <c r="K1247" t="s">
        <v>1408</v>
      </c>
      <c r="M1247" t="str">
        <f>LEFT($D1247,FIND(",",$D1247)-1)&amp;"_"&amp;I1247&amp;L1247</f>
        <v>Faraca_2019</v>
      </c>
      <c r="N1247" t="s">
        <v>222</v>
      </c>
      <c r="O1247" s="145" t="s">
        <v>274</v>
      </c>
      <c r="P1247" s="179" t="s">
        <v>223</v>
      </c>
      <c r="Q1247" t="s">
        <v>256</v>
      </c>
      <c r="R1247" s="258" t="s">
        <v>223</v>
      </c>
      <c r="S1247" s="259" t="s">
        <v>2799</v>
      </c>
      <c r="T1247" t="s">
        <v>1415</v>
      </c>
      <c r="U1247" t="s">
        <v>1417</v>
      </c>
      <c r="V1247" s="253">
        <v>0</v>
      </c>
      <c r="W1247" s="253">
        <v>0</v>
      </c>
      <c r="X1247">
        <v>0</v>
      </c>
      <c r="Y1247">
        <v>0</v>
      </c>
      <c r="Z1247">
        <v>0</v>
      </c>
      <c r="AA1247">
        <v>0</v>
      </c>
      <c r="AB1247">
        <v>0</v>
      </c>
      <c r="AC1247">
        <v>0</v>
      </c>
      <c r="AD1247">
        <v>0</v>
      </c>
      <c r="AE1247">
        <v>0</v>
      </c>
      <c r="AF1247">
        <v>0</v>
      </c>
      <c r="AG1247">
        <v>0</v>
      </c>
      <c r="AH1247">
        <v>0</v>
      </c>
      <c r="AI1247">
        <v>0</v>
      </c>
      <c r="AJ1247">
        <v>0</v>
      </c>
      <c r="AK1247">
        <v>1</v>
      </c>
      <c r="AL1247">
        <v>0</v>
      </c>
      <c r="AM1247">
        <v>0</v>
      </c>
      <c r="AN1247">
        <v>0</v>
      </c>
      <c r="AO1247">
        <v>0</v>
      </c>
      <c r="AP1247">
        <v>0</v>
      </c>
      <c r="AQ1247">
        <v>0</v>
      </c>
      <c r="AR1247">
        <v>0</v>
      </c>
      <c r="AS1247">
        <v>0</v>
      </c>
      <c r="AT1247">
        <v>0</v>
      </c>
      <c r="AU1247">
        <v>0</v>
      </c>
      <c r="AV1247">
        <v>0</v>
      </c>
      <c r="AW1247">
        <v>0</v>
      </c>
      <c r="AX1247">
        <v>0</v>
      </c>
      <c r="AY1247">
        <v>0</v>
      </c>
      <c r="AZ1247" s="141">
        <f>COUNTIF(X1247:AY1247,"&lt;&gt;0")</f>
        <v>1</v>
      </c>
      <c r="BA1247" s="141">
        <f>COUNTIF(X1247:AN1247,"&lt;&gt;0")</f>
        <v>1</v>
      </c>
      <c r="BB1247">
        <f>COUNTIF(X1247:AE1247,"&lt;&gt;0")</f>
        <v>0</v>
      </c>
      <c r="BC1247">
        <f>COUNTIF(AF1247:AK1247,"&lt;&gt;0")</f>
        <v>1</v>
      </c>
      <c r="BD1247">
        <f>COUNTIF(AL1247:AN1247,"&lt;&gt;0")</f>
        <v>0</v>
      </c>
      <c r="BE1247">
        <f>COUNTIF(AU1247:AY1247,"&lt;&gt;0")</f>
        <v>0</v>
      </c>
      <c r="BF1247">
        <f>COUNTIF(AO1247:AT1247,"&lt;&gt;0")</f>
        <v>0</v>
      </c>
      <c r="BG1247" t="str">
        <f t="array" ref="BG1247">IF(BA1247=1,INDEX($X$7:$AN$7,MATCH(TRUE,INDEX($X1247:$AY1247&lt;&gt;0,),0)),IF(BA1247=0,INDEX($AO$7:$AY$7,MATCH(1,$AO1247:$AY1247,0)),IF(BH1247="Multiple strategies","mixed drivers",IF(BH1247="Supply chain","multiple supply","multiple silviculture"))))</f>
        <v>products lifespan</v>
      </c>
      <c r="BH1247" s="2" t="str" cm="1">
        <f t="array" ref="BH1247">IF(COUNTIF(BB1247:BD1247,"&lt;&gt;0")=1,INDEX($X$4:$AY$4,MATCH(TRUE,INDEX($X1247:$AY1247&lt;&gt;0,),0)),IF(COUNTIF(BB1247:BD1247,"&lt;&gt;0")=0,INDEX($AO$4:$AY$4,MATCH(1,$AO1247:$AY1247,0)),"Multiple strategies"))</f>
        <v>Supply chain</v>
      </c>
      <c r="BI1247" s="1" t="s">
        <v>229</v>
      </c>
      <c r="BJ1247" t="s">
        <v>1420</v>
      </c>
      <c r="BK1247" s="260" t="s">
        <v>2800</v>
      </c>
      <c r="BL1247" t="s">
        <v>345</v>
      </c>
      <c r="BM1247">
        <v>478</v>
      </c>
      <c r="BN1247">
        <v>922</v>
      </c>
      <c r="BO1247">
        <f>BM1247/BN1247</f>
        <v>0.51843817787418656</v>
      </c>
      <c r="BP1247">
        <f>BN1247-BM1247</f>
        <v>444</v>
      </c>
      <c r="BQ1247">
        <f>BP1247*kg_to_m3</f>
        <v>0.90612244897959193</v>
      </c>
      <c r="BR1247" t="s">
        <v>395</v>
      </c>
      <c r="BS1247" s="260" t="s">
        <v>426</v>
      </c>
      <c r="BT1247" t="s">
        <v>714</v>
      </c>
      <c r="BU1247">
        <v>-393.1</v>
      </c>
      <c r="BV1247">
        <v>-10.3</v>
      </c>
      <c r="BW1247" s="144">
        <f>IFERROR(BU1247/BV1247,"")</f>
        <v>38.165048543689323</v>
      </c>
      <c r="BX1247">
        <f>BV1247-BU1247</f>
        <v>382.8</v>
      </c>
      <c r="BZ1247">
        <f>BX1247/1000</f>
        <v>0.38280000000000003</v>
      </c>
      <c r="CA1247">
        <f>IFERROR(BZ1247/BQ1247,"")</f>
        <v>0.42245945945945945</v>
      </c>
      <c r="CB1247">
        <v>0</v>
      </c>
      <c r="CC1247">
        <v>0</v>
      </c>
      <c r="CD1247">
        <v>0</v>
      </c>
      <c r="CE1247">
        <v>0</v>
      </c>
      <c r="CF1247">
        <v>0</v>
      </c>
      <c r="CG1247">
        <v>0</v>
      </c>
      <c r="CH1247">
        <v>0</v>
      </c>
      <c r="CI1247">
        <v>0</v>
      </c>
      <c r="CJ1247">
        <v>0</v>
      </c>
      <c r="CK1247">
        <v>0</v>
      </c>
      <c r="CL1247">
        <v>0</v>
      </c>
      <c r="CM1247">
        <v>0</v>
      </c>
      <c r="CN1247">
        <v>0</v>
      </c>
      <c r="CO1247">
        <v>0</v>
      </c>
      <c r="CP1247" t="str">
        <f>IF($BN1247&lt;$BM1247,"refNeedCorrection","refOK")</f>
        <v>refOK</v>
      </c>
      <c r="CQ1247">
        <f>IF($CP1247="refNeedCorrection",BN1247,BM1247)</f>
        <v>478</v>
      </c>
      <c r="CR1247">
        <f>IF($CP1247="refNeedCorrection",BM1247,BN1247)</f>
        <v>922</v>
      </c>
      <c r="CS1247">
        <f>IF($CP1247="refOK",$BQ1247,-$BQ1247)</f>
        <v>0.90612244897959193</v>
      </c>
      <c r="CT1247">
        <f>IF(BI1247="Roundwood",$CS1247/2,$CS1247)</f>
        <v>0.90612244897959193</v>
      </c>
      <c r="CU1247">
        <f>IF($CP1247="refOK",$BU1247,$BV1247)*IF($BR1247="Emissions positive",-1,1)</f>
        <v>393.1</v>
      </c>
      <c r="CV1247">
        <f>IF($CP1247="refOK",$BV1247,$BU1247)*IF($BR1247="Emissions positive",-1,1)</f>
        <v>10.3</v>
      </c>
      <c r="CW1247">
        <f>IF($CP1247="refNeedCorrection",-BZ1247,BZ1247)*IF($BR1247="Emissions positive",-1,1)</f>
        <v>-0.38280000000000003</v>
      </c>
      <c r="CX1247">
        <f>IFERROR($CW1247/$CS1247,"")</f>
        <v>-0.42245945945945945</v>
      </c>
      <c r="CY1247">
        <f>IFERROR($CW1247/$CS1247,"")</f>
        <v>-0.42245945945945945</v>
      </c>
      <c r="CZ1247">
        <f>IFERROR($CW1247/$CT1247,"")</f>
        <v>-0.42245945945945945</v>
      </c>
      <c r="DA1247" s="2">
        <f>IFERROR((CV1247-CU1247)/ABS(CU1247),"")</f>
        <v>-0.97379801577206815</v>
      </c>
      <c r="DB1247" s="1" t="s">
        <v>1074</v>
      </c>
      <c r="DC1247" t="str">
        <f>IF(OR($DB1247="prd",$DB1247="std",$DB1247="cit"),"loc",IF(OR($DB1247="eur",$DB1247="reg",$DB1247="coy"),"reg",$DB1247))</f>
        <v>reg</v>
      </c>
      <c r="DD1247" t="s">
        <v>1412</v>
      </c>
      <c r="DG1247">
        <v>100</v>
      </c>
      <c r="DH1247" t="str">
        <f>IF(DG1247=0,"0",IF(AND(DG1247&gt;=1,DG1247&lt;=30),"1-30",IF(AND(DG1247&gt;30,DG1247&lt;=70),"31-70",IF(AND(DG1247&gt;70,DG1247&lt;=100),"71-100",IF(DG1247&gt;100,"+100")))))</f>
        <v>71-100</v>
      </c>
      <c r="DI1247">
        <v>0</v>
      </c>
      <c r="DJ1247">
        <v>0</v>
      </c>
      <c r="DK1247">
        <v>0</v>
      </c>
      <c r="DL1247">
        <v>1</v>
      </c>
      <c r="DN1247">
        <f>SUM(DI1247:DL1247)</f>
        <v>1</v>
      </c>
      <c r="DO1247" t="str">
        <f>IF(DN1247=1,INDEX($DI$7:$DL$7,MATCH(1,$DI1247:$DL1247,0)),"mixedProduct")</f>
        <v>TimberInput</v>
      </c>
      <c r="DP1247">
        <f>IF(DI1247=1,DP$7,0)</f>
        <v>0</v>
      </c>
      <c r="DQ1247">
        <f>IF(DJ1247=1,DQ$7,0)</f>
        <v>0</v>
      </c>
      <c r="DR1247">
        <f>IF(DK1247=1,DR$7,0)</f>
        <v>0</v>
      </c>
      <c r="DS1247" t="str">
        <f>IF(DL1247=1,DS$7,0)</f>
        <v>Timber</v>
      </c>
      <c r="DT1247">
        <v>0</v>
      </c>
      <c r="DU1247">
        <v>1</v>
      </c>
      <c r="DV1247">
        <v>0</v>
      </c>
      <c r="DW1247">
        <v>0</v>
      </c>
      <c r="DX1247" t="s">
        <v>1413</v>
      </c>
      <c r="DY1247">
        <f>SUM(DT1247:DU1247)</f>
        <v>1</v>
      </c>
      <c r="DZ1247" s="143" t="str">
        <f>IF(DT1247=1,"self-calculated DF",IF(DU1247=1,"external DF used","explicit C balance"))</f>
        <v>external DF used</v>
      </c>
      <c r="EA1247">
        <v>0</v>
      </c>
      <c r="EB1247">
        <v>0</v>
      </c>
      <c r="EC1247">
        <v>0</v>
      </c>
      <c r="ED1247">
        <v>0</v>
      </c>
      <c r="EE1247">
        <v>1</v>
      </c>
      <c r="EF1247" s="143">
        <v>1</v>
      </c>
      <c r="EG1247">
        <v>0</v>
      </c>
      <c r="EH1247">
        <v>1</v>
      </c>
      <c r="EI1247">
        <v>0</v>
      </c>
      <c r="EJ1247">
        <v>1</v>
      </c>
      <c r="EK1247">
        <v>1</v>
      </c>
      <c r="EL1247">
        <v>1</v>
      </c>
      <c r="EM1247">
        <v>0</v>
      </c>
      <c r="EN1247" s="2">
        <v>0</v>
      </c>
      <c r="EP1247" t="str">
        <f>IF(AND(AND(AND(OR($EC1247=1,$EB1247=1),OR($EH1247=1,$EF1247=1)),SUM($EA1247:$EE1247,$EK1247)&gt;=3),SUM($EF1247:$EJ1247)&gt;=2),"Whole sector approach","")</f>
        <v/>
      </c>
      <c r="EQ1247" t="str">
        <f>IF(AND(AND(OR($EC1247=1,$EB1247=1),AND($EH1247=0,$EF1247=0)),SUM($EA1247:$EE1247,$EK1247)&gt;=4),"Ecosystem approach","")</f>
        <v/>
      </c>
      <c r="ER1247" s="2" t="str">
        <f>IF(AND(AND(AND($EC1247=0,$EB1247=0),OR($EH1247=1,$EF1247=1)),SUM($EG1247:$EJ1247)&gt;=2),"Technology approach","")</f>
        <v>Technology approach</v>
      </c>
      <c r="ES1247" t="str">
        <f>IF(AND($EC1247+$EB1247+$EE1247+$EA1247+$ED1247+$EG1247=0,$N1247="included"),"C neutral forest and HWP assumption","")</f>
        <v/>
      </c>
      <c r="ET1247" t="str">
        <f>IF(AND(AND(AND(AND($EC1247=1,$EB1247+$EA1247+$EG1247&gt;=1),$EF1247=1),$EH1247+$EI1247+$ED1247+$EE1247&gt;=2),$N1247="included"),"All C pools assumption","")</f>
        <v/>
      </c>
      <c r="EU1247" t="str">
        <f>IF(AND($ED1247+$EE1247+$EI1247+$EH1247+$EF1247=0,$N1247="included"),"In-situ only assumption","")</f>
        <v/>
      </c>
      <c r="EY1247" t="str">
        <f>IF(ISNUMBER(BW1247),IF(ABS(BW1247-[2]QC_indicators!$B$2)&gt;3*[2]QC_indicators!$C$2,"C ratio",IF(ISNUMBER(CA1247),IF(ABS(CA1247-[2]QC_indicators!$B$1)&gt;3*[2]QC_indicators!$C$1,"DF","no"))),IF(ISNUMBER(CA1247),IF(ABS(CA1247-[2]QC_indicators!$B$1)&gt;3*[2]QC_indicators!$C$1,"DF","no")))</f>
        <v>C ratio</v>
      </c>
      <c r="FA1247" t="str">
        <f>IF(LEN($CY1247)=0,"",IF(AND($CY1247&lt;(-0.05),$ES1247="C neutral forest and HWP assumption"),"Cneutral paradox",IF(AND($CY1247&gt;0.05,$EU1247="In-situ only assumption"),"In-situ only paradox","")))</f>
        <v/>
      </c>
      <c r="FD1247" s="260" t="s">
        <v>2948</v>
      </c>
    </row>
    <row r="1248" spans="1:160" ht="68" hidden="1">
      <c r="A1248" s="1" t="s">
        <v>265</v>
      </c>
      <c r="B1248" t="s">
        <v>1403</v>
      </c>
      <c r="C1248" t="s">
        <v>1404</v>
      </c>
      <c r="D1248" t="s">
        <v>1405</v>
      </c>
      <c r="E1248" t="s">
        <v>1406</v>
      </c>
      <c r="F1248" t="s">
        <v>1407</v>
      </c>
      <c r="G1248" t="s">
        <v>271</v>
      </c>
      <c r="H1248" t="s">
        <v>254</v>
      </c>
      <c r="I1248">
        <v>2019</v>
      </c>
      <c r="J1248">
        <v>26</v>
      </c>
      <c r="K1248" t="s">
        <v>1408</v>
      </c>
      <c r="M1248" t="str">
        <f>LEFT($D1248,FIND(",",$D1248)-1)&amp;"_"&amp;I1248&amp;L1248</f>
        <v>Faraca_2019</v>
      </c>
      <c r="N1248" t="s">
        <v>222</v>
      </c>
      <c r="O1248" s="145" t="s">
        <v>274</v>
      </c>
      <c r="P1248" s="179" t="s">
        <v>223</v>
      </c>
      <c r="Q1248" t="s">
        <v>256</v>
      </c>
      <c r="R1248" s="258" t="s">
        <v>223</v>
      </c>
      <c r="S1248" s="259" t="s">
        <v>2799</v>
      </c>
      <c r="T1248" t="s">
        <v>1415</v>
      </c>
      <c r="U1248" t="s">
        <v>1416</v>
      </c>
      <c r="V1248" s="253">
        <v>0</v>
      </c>
      <c r="W1248" s="253">
        <v>0</v>
      </c>
      <c r="X1248">
        <v>0</v>
      </c>
      <c r="Y1248">
        <v>0</v>
      </c>
      <c r="Z1248">
        <v>0</v>
      </c>
      <c r="AA1248">
        <v>0</v>
      </c>
      <c r="AB1248">
        <v>0</v>
      </c>
      <c r="AC1248">
        <v>0</v>
      </c>
      <c r="AD1248">
        <v>0</v>
      </c>
      <c r="AE1248">
        <v>0</v>
      </c>
      <c r="AF1248">
        <v>0</v>
      </c>
      <c r="AG1248">
        <v>0</v>
      </c>
      <c r="AH1248">
        <v>0</v>
      </c>
      <c r="AI1248">
        <v>0</v>
      </c>
      <c r="AJ1248">
        <v>0</v>
      </c>
      <c r="AK1248">
        <v>1</v>
      </c>
      <c r="AL1248">
        <v>0</v>
      </c>
      <c r="AM1248">
        <v>0</v>
      </c>
      <c r="AN1248">
        <v>0</v>
      </c>
      <c r="AO1248">
        <v>0</v>
      </c>
      <c r="AP1248">
        <v>0</v>
      </c>
      <c r="AQ1248">
        <v>0</v>
      </c>
      <c r="AR1248">
        <v>0</v>
      </c>
      <c r="AS1248">
        <v>0</v>
      </c>
      <c r="AT1248">
        <v>0</v>
      </c>
      <c r="AU1248">
        <v>0</v>
      </c>
      <c r="AV1248">
        <v>0</v>
      </c>
      <c r="AW1248">
        <v>0</v>
      </c>
      <c r="AX1248">
        <v>0</v>
      </c>
      <c r="AY1248">
        <v>0</v>
      </c>
      <c r="AZ1248" s="141">
        <f>COUNTIF(X1248:AY1248,"&lt;&gt;0")</f>
        <v>1</v>
      </c>
      <c r="BA1248" s="141">
        <f>COUNTIF(X1248:AN1248,"&lt;&gt;0")</f>
        <v>1</v>
      </c>
      <c r="BB1248">
        <f>COUNTIF(X1248:AE1248,"&lt;&gt;0")</f>
        <v>0</v>
      </c>
      <c r="BC1248">
        <f>COUNTIF(AF1248:AK1248,"&lt;&gt;0")</f>
        <v>1</v>
      </c>
      <c r="BD1248">
        <f>COUNTIF(AL1248:AN1248,"&lt;&gt;0")</f>
        <v>0</v>
      </c>
      <c r="BE1248">
        <f>COUNTIF(AU1248:AY1248,"&lt;&gt;0")</f>
        <v>0</v>
      </c>
      <c r="BF1248">
        <f>COUNTIF(AO1248:AT1248,"&lt;&gt;0")</f>
        <v>0</v>
      </c>
      <c r="BG1248" t="str">
        <f t="array" ref="BG1248">IF(BA1248=1,INDEX($X$7:$AN$7,MATCH(TRUE,INDEX($X1248:$AY1248&lt;&gt;0,),0)),IF(BA1248=0,INDEX($AO$7:$AY$7,MATCH(1,$AO1248:$AY1248,0)),IF(BH1248="Multiple strategies","mixed drivers",IF(BH1248="Supply chain","multiple supply","multiple silviculture"))))</f>
        <v>products lifespan</v>
      </c>
      <c r="BH1248" s="2" t="str" cm="1">
        <f t="array" ref="BH1248">IF(COUNTIF(BB1248:BD1248,"&lt;&gt;0")=1,INDEX($X$4:$AY$4,MATCH(TRUE,INDEX($X1248:$AY1248&lt;&gt;0,),0)),IF(COUNTIF(BB1248:BD1248,"&lt;&gt;0")=0,INDEX($AO$4:$AY$4,MATCH(1,$AO1248:$AY1248,0)),"Multiple strategies"))</f>
        <v>Supply chain</v>
      </c>
      <c r="BI1248" s="1" t="s">
        <v>229</v>
      </c>
      <c r="BJ1248" t="s">
        <v>1420</v>
      </c>
      <c r="BK1248" s="260" t="s">
        <v>2800</v>
      </c>
      <c r="BL1248" t="s">
        <v>345</v>
      </c>
      <c r="BM1248">
        <v>478</v>
      </c>
      <c r="BN1248">
        <v>638</v>
      </c>
      <c r="BO1248">
        <v>1</v>
      </c>
      <c r="BP1248">
        <f>BN1248-BM1248</f>
        <v>160</v>
      </c>
      <c r="BQ1248">
        <f>BP1248*kg_to_m3</f>
        <v>0.32653061224489799</v>
      </c>
      <c r="BR1248" t="s">
        <v>395</v>
      </c>
      <c r="BS1248" s="260" t="s">
        <v>426</v>
      </c>
      <c r="BT1248" t="s">
        <v>714</v>
      </c>
      <c r="BU1248">
        <v>-393.1</v>
      </c>
      <c r="BV1248">
        <v>-89.7</v>
      </c>
      <c r="BW1248" s="144">
        <v>-0.63186813186813184</v>
      </c>
      <c r="BX1248">
        <f>BV1248-BU1248</f>
        <v>303.40000000000003</v>
      </c>
      <c r="BZ1248">
        <f>BX1248/1000</f>
        <v>0.30340000000000006</v>
      </c>
      <c r="CA1248">
        <f>IFERROR(BZ1248/BQ1248,"")</f>
        <v>0.92916250000000011</v>
      </c>
      <c r="CB1248">
        <v>0</v>
      </c>
      <c r="CC1248">
        <v>0</v>
      </c>
      <c r="CD1248">
        <v>0</v>
      </c>
      <c r="CE1248">
        <v>0</v>
      </c>
      <c r="CF1248">
        <v>0</v>
      </c>
      <c r="CG1248">
        <v>0</v>
      </c>
      <c r="CH1248">
        <v>0</v>
      </c>
      <c r="CI1248">
        <v>0</v>
      </c>
      <c r="CJ1248">
        <v>0</v>
      </c>
      <c r="CK1248">
        <v>0</v>
      </c>
      <c r="CL1248">
        <v>0</v>
      </c>
      <c r="CM1248">
        <v>0</v>
      </c>
      <c r="CN1248">
        <v>0</v>
      </c>
      <c r="CO1248">
        <v>0</v>
      </c>
      <c r="CP1248" t="str">
        <f>IF($BN1248&lt;$BM1248,"refNeedCorrection","refOK")</f>
        <v>refOK</v>
      </c>
      <c r="CQ1248">
        <f>IF($CP1248="refNeedCorrection",BM1248,BN1248)</f>
        <v>638</v>
      </c>
      <c r="CR1248">
        <f>IF($CP1248="refNeedCorrection",BN1248,BM1248)</f>
        <v>478</v>
      </c>
      <c r="CS1248">
        <f>IF($CP1248="refOK",$BQ1248,-$BQ1248)</f>
        <v>0.32653061224489799</v>
      </c>
      <c r="CT1248">
        <f>IF(BI1248="Roundwood",$CS1248/2,$CS1248)</f>
        <v>0.32653061224489799</v>
      </c>
      <c r="CU1248">
        <f>IF($CP1248="refOK",$BU1248,$BV1248)*IF($BR1248="Emissions positive",-1,1)</f>
        <v>393.1</v>
      </c>
      <c r="CV1248">
        <f>IF($CP1248="refOK",$BV1248,$BU1248)*IF($BR1248="Emissions positive",-1,1)</f>
        <v>89.7</v>
      </c>
      <c r="CW1248">
        <f>IF($CP1248="refNeedCorrection",-BZ1248,BZ1248)*IF($BR1248="Emissions positive",-1,1)</f>
        <v>-0.30340000000000006</v>
      </c>
      <c r="CX1248">
        <f>IFERROR($CW1248/$CS1248,"")</f>
        <v>-0.92916250000000011</v>
      </c>
      <c r="CY1248">
        <f>IFERROR($CW1248/$CS1248,"")</f>
        <v>-0.92916250000000011</v>
      </c>
      <c r="CZ1248">
        <f>IFERROR($CW1248/$CT1248,"")</f>
        <v>-0.92916250000000011</v>
      </c>
      <c r="DA1248" s="2">
        <f>IFERROR((CV1248-CU1248)/ABS(CU1248),"")</f>
        <v>-0.77181378784024424</v>
      </c>
      <c r="DB1248" s="1" t="s">
        <v>1074</v>
      </c>
      <c r="DC1248" t="str">
        <f>IF(OR($DB1248="prd",$DB1248="std",$DB1248="cit"),"loc",IF(OR($DB1248="eur",$DB1248="reg",$DB1248="coy"),"reg",$DB1248))</f>
        <v>reg</v>
      </c>
      <c r="DD1248" t="s">
        <v>1412</v>
      </c>
      <c r="DG1248">
        <v>100</v>
      </c>
      <c r="DH1248" t="str">
        <f>IF(DG1248=0,"0",IF(AND(DG1248&gt;=1,DG1248&lt;=30),"1-30",IF(AND(DG1248&gt;30,DG1248&lt;=70),"31-70",IF(AND(DG1248&gt;70,DG1248&lt;=100),"71-100",IF(DG1248&gt;100,"+100")))))</f>
        <v>71-100</v>
      </c>
      <c r="DI1248">
        <v>0</v>
      </c>
      <c r="DJ1248">
        <v>0</v>
      </c>
      <c r="DK1248">
        <v>0</v>
      </c>
      <c r="DL1248">
        <v>1</v>
      </c>
      <c r="DN1248">
        <f>SUM(DI1248:DL1248)</f>
        <v>1</v>
      </c>
      <c r="DO1248" t="str">
        <f>IF(DN1248=1,INDEX($DI$7:$DL$7,MATCH(1,$DI1248:$DL1248,0)),"mixedProduct")</f>
        <v>TimberInput</v>
      </c>
      <c r="DP1248">
        <f>IF(DI1248=1,DP$7,0)</f>
        <v>0</v>
      </c>
      <c r="DQ1248">
        <f>IF(DJ1248=1,DQ$7,0)</f>
        <v>0</v>
      </c>
      <c r="DR1248">
        <f>IF(DK1248=1,DR$7,0)</f>
        <v>0</v>
      </c>
      <c r="DS1248" t="str">
        <f>IF(DL1248=1,DS$7,0)</f>
        <v>Timber</v>
      </c>
      <c r="DT1248">
        <v>0</v>
      </c>
      <c r="DU1248">
        <v>1</v>
      </c>
      <c r="DV1248">
        <v>0</v>
      </c>
      <c r="DW1248">
        <v>0</v>
      </c>
      <c r="DX1248" t="s">
        <v>1413</v>
      </c>
      <c r="DY1248">
        <f>SUM(DT1248:DU1248)</f>
        <v>1</v>
      </c>
      <c r="DZ1248" s="143" t="str">
        <f>IF(DT1248=1,"self-calculated DF",IF(DU1248=1,"external DF used","explicit C balance"))</f>
        <v>external DF used</v>
      </c>
      <c r="EA1248">
        <v>0</v>
      </c>
      <c r="EB1248">
        <v>0</v>
      </c>
      <c r="EC1248">
        <v>0</v>
      </c>
      <c r="ED1248">
        <v>0</v>
      </c>
      <c r="EE1248">
        <v>1</v>
      </c>
      <c r="EF1248" s="143">
        <v>1</v>
      </c>
      <c r="EG1248">
        <v>0</v>
      </c>
      <c r="EH1248">
        <v>1</v>
      </c>
      <c r="EI1248">
        <v>0</v>
      </c>
      <c r="EJ1248">
        <v>1</v>
      </c>
      <c r="EK1248">
        <v>1</v>
      </c>
      <c r="EL1248">
        <v>1</v>
      </c>
      <c r="EM1248">
        <v>0</v>
      </c>
      <c r="EN1248" s="2">
        <v>0</v>
      </c>
      <c r="EP1248" t="str">
        <f>IF(AND(AND(AND(OR($EC1248=1,$EB1248=1),OR($EH1248=1,$EF1248=1)),SUM($EA1248:$EE1248,$EK1248)&gt;=3),SUM($EF1248:$EJ1248)&gt;=2),"Whole sector approach","")</f>
        <v/>
      </c>
      <c r="EQ1248" t="str">
        <f>IF(AND(AND(OR($EC1248=1,$EB1248=1),AND($EH1248=0,$EF1248=0)),SUM($EA1248:$EE1248,$EK1248)&gt;=4),"Ecosystem approach","")</f>
        <v/>
      </c>
      <c r="ER1248" s="2" t="str">
        <f>IF(AND(AND(AND($EC1248=0,$EB1248=0),OR($EH1248=1,$EF1248=1)),SUM($EG1248:$EJ1248)&gt;=2),"Technology approach","")</f>
        <v>Technology approach</v>
      </c>
      <c r="ES1248" t="str">
        <f>IF(AND($EC1248+$EB1248+$EE1248+$EA1248+$ED1248+$EG1248=0,$N1248="included"),"C neutral forest and HWP assumption","")</f>
        <v/>
      </c>
      <c r="ET1248" t="str">
        <f>IF(AND(AND(AND(AND($EC1248=1,$EB1248+$EA1248+$EG1248&gt;=1),$EF1248=1),$EH1248+$EI1248+$ED1248+$EE1248&gt;=2),$N1248="included"),"All C pools assumption","")</f>
        <v/>
      </c>
      <c r="EU1248" t="str">
        <f>IF(AND($ED1248+$EE1248+$EI1248+$EH1248+$EF1248=0,$N1248="included"),"In-situ only assumption","")</f>
        <v/>
      </c>
      <c r="EY1248" t="str">
        <f>IF(ISNUMBER(BW1248),IF(ABS(BW1248-[2]QC_indicators!$B$2)&gt;3*[2]QC_indicators!$C$2,"C ratio",IF(ISNUMBER(CA1248),IF(ABS(CA1248-[2]QC_indicators!$B$1)&gt;3*[2]QC_indicators!$C$1,"DF","no"))),IF(ISNUMBER(CA1248),IF(ABS(CA1248-[2]QC_indicators!$B$1)&gt;3*[2]QC_indicators!$C$1,"DF","no")))</f>
        <v>no</v>
      </c>
      <c r="FA1248" t="str">
        <f>IF(LEN($CY1248)=0,"",IF(AND($CY1248&lt;(-0.05),$ES1248="C neutral forest and HWP assumption"),"Cneutral paradox",IF(AND($CY1248&gt;0.05,$EU1248="In-situ only assumption"),"In-situ only paradox","")))</f>
        <v/>
      </c>
      <c r="FD1248" s="260" t="s">
        <v>2948</v>
      </c>
    </row>
    <row r="1249" spans="1:160" ht="15" hidden="1" customHeight="1">
      <c r="A1249" s="1" t="s">
        <v>265</v>
      </c>
      <c r="B1249" t="s">
        <v>1403</v>
      </c>
      <c r="C1249" t="s">
        <v>1404</v>
      </c>
      <c r="D1249" t="s">
        <v>1405</v>
      </c>
      <c r="E1249" t="s">
        <v>1406</v>
      </c>
      <c r="F1249" t="s">
        <v>1407</v>
      </c>
      <c r="G1249" t="s">
        <v>271</v>
      </c>
      <c r="H1249" t="s">
        <v>254</v>
      </c>
      <c r="I1249">
        <v>2019</v>
      </c>
      <c r="J1249">
        <v>26</v>
      </c>
      <c r="K1249" t="s">
        <v>1408</v>
      </c>
      <c r="M1249" t="str">
        <f>LEFT($D1249,FIND(",",$D1249)-1)&amp;"_"&amp;I1249&amp;L1249</f>
        <v>Faraca_2019</v>
      </c>
      <c r="N1249" t="s">
        <v>222</v>
      </c>
      <c r="O1249" s="145" t="s">
        <v>274</v>
      </c>
      <c r="Q1249" t="s">
        <v>256</v>
      </c>
      <c r="R1249" s="258" t="s">
        <v>223</v>
      </c>
      <c r="S1249" s="259" t="s">
        <v>2801</v>
      </c>
      <c r="T1249" t="s">
        <v>1415</v>
      </c>
      <c r="U1249" t="s">
        <v>1417</v>
      </c>
      <c r="V1249" s="253">
        <v>0</v>
      </c>
      <c r="W1249" s="253">
        <v>0</v>
      </c>
      <c r="X1249">
        <v>0</v>
      </c>
      <c r="Y1249">
        <v>0</v>
      </c>
      <c r="Z1249">
        <v>0</v>
      </c>
      <c r="AA1249">
        <v>0</v>
      </c>
      <c r="AB1249">
        <v>0</v>
      </c>
      <c r="AC1249">
        <v>0</v>
      </c>
      <c r="AD1249">
        <v>0</v>
      </c>
      <c r="AE1249">
        <v>0</v>
      </c>
      <c r="AF1249">
        <v>0</v>
      </c>
      <c r="AG1249">
        <v>0</v>
      </c>
      <c r="AH1249">
        <v>0</v>
      </c>
      <c r="AI1249">
        <v>0</v>
      </c>
      <c r="AJ1249">
        <v>0</v>
      </c>
      <c r="AK1249">
        <v>1</v>
      </c>
      <c r="AL1249">
        <v>0</v>
      </c>
      <c r="AM1249">
        <v>0</v>
      </c>
      <c r="AN1249">
        <v>0</v>
      </c>
      <c r="AO1249">
        <v>0</v>
      </c>
      <c r="AP1249">
        <v>0</v>
      </c>
      <c r="AQ1249">
        <v>0</v>
      </c>
      <c r="AR1249">
        <v>0</v>
      </c>
      <c r="AS1249">
        <v>0</v>
      </c>
      <c r="AT1249">
        <v>0</v>
      </c>
      <c r="AU1249">
        <v>0</v>
      </c>
      <c r="AV1249">
        <v>0</v>
      </c>
      <c r="AW1249">
        <v>0</v>
      </c>
      <c r="AX1249">
        <v>0</v>
      </c>
      <c r="AY1249">
        <v>0</v>
      </c>
      <c r="AZ1249" s="141">
        <f>COUNTIF(X1249:AY1249,"&lt;&gt;0")</f>
        <v>1</v>
      </c>
      <c r="BA1249" s="141">
        <f>COUNTIF(X1249:AN1249,"&lt;&gt;0")</f>
        <v>1</v>
      </c>
      <c r="BB1249">
        <f>COUNTIF(X1249:AE1249,"&lt;&gt;0")</f>
        <v>0</v>
      </c>
      <c r="BC1249">
        <f>COUNTIF(AF1249:AK1249,"&lt;&gt;0")</f>
        <v>1</v>
      </c>
      <c r="BD1249">
        <f>COUNTIF(AL1249:AN1249,"&lt;&gt;0")</f>
        <v>0</v>
      </c>
      <c r="BE1249">
        <f>COUNTIF(AU1249:AY1249,"&lt;&gt;0")</f>
        <v>0</v>
      </c>
      <c r="BF1249">
        <f>COUNTIF(AO1249:AT1249,"&lt;&gt;0")</f>
        <v>0</v>
      </c>
      <c r="BG1249" t="str">
        <f t="array" ref="BG1249">IF(BA1249=1,INDEX($X$7:$AN$7,MATCH(TRUE,INDEX($X1249:$AY1249&lt;&gt;0,),0)),IF(BA1249=0,INDEX($AO$7:$AY$7,MATCH(1,$AO1249:$AY1249,0)),IF(BH1249="Multiple strategies","mixed drivers",IF(BH1249="Supply chain","multiple supply","multiple silviculture"))))</f>
        <v>products lifespan</v>
      </c>
      <c r="BH1249" s="2" t="str" cm="1">
        <f t="array" ref="BH1249">IF(COUNTIF(BB1249:BD1249,"&lt;&gt;0")=1,INDEX($X$4:$AY$4,MATCH(TRUE,INDEX($X1249:$AY1249&lt;&gt;0,),0)),IF(COUNTIF(BB1249:BD1249,"&lt;&gt;0")=0,INDEX($AO$4:$AY$4,MATCH(1,$AO1249:$AY1249,0)),"Multiple strategies"))</f>
        <v>Supply chain</v>
      </c>
      <c r="BI1249" s="1" t="s">
        <v>229</v>
      </c>
      <c r="BJ1249" t="s">
        <v>1420</v>
      </c>
      <c r="BK1249" s="260" t="s">
        <v>2800</v>
      </c>
      <c r="BL1249" t="s">
        <v>345</v>
      </c>
      <c r="BM1249">
        <v>478</v>
      </c>
      <c r="BN1249">
        <v>922</v>
      </c>
      <c r="BO1249">
        <f>BM1249/BN1249</f>
        <v>0.51843817787418656</v>
      </c>
      <c r="BP1249">
        <f>BN1249-BM1249</f>
        <v>444</v>
      </c>
      <c r="BQ1249">
        <f>BP1249*kg_to_m3</f>
        <v>0.90612244897959193</v>
      </c>
      <c r="BR1249" t="s">
        <v>395</v>
      </c>
      <c r="BS1249" s="260" t="s">
        <v>426</v>
      </c>
      <c r="BT1249" t="s">
        <v>714</v>
      </c>
      <c r="BU1249">
        <v>-206.9</v>
      </c>
      <c r="BV1249">
        <v>-55.2</v>
      </c>
      <c r="BW1249" s="144"/>
      <c r="BX1249">
        <f>BV1249-BU1249</f>
        <v>151.69999999999999</v>
      </c>
      <c r="BZ1249">
        <f>BX1249/1000</f>
        <v>0.1517</v>
      </c>
      <c r="CA1249">
        <f>IFERROR(BZ1249/BQ1249,"")</f>
        <v>0.16741666666666666</v>
      </c>
      <c r="CB1249">
        <v>0</v>
      </c>
      <c r="CC1249">
        <v>0</v>
      </c>
      <c r="CD1249">
        <v>0</v>
      </c>
      <c r="CE1249">
        <v>0</v>
      </c>
      <c r="CF1249">
        <v>0</v>
      </c>
      <c r="CG1249">
        <v>0</v>
      </c>
      <c r="CH1249">
        <v>0</v>
      </c>
      <c r="CI1249">
        <v>0</v>
      </c>
      <c r="CJ1249">
        <v>0</v>
      </c>
      <c r="CK1249">
        <v>0</v>
      </c>
      <c r="CL1249">
        <v>0</v>
      </c>
      <c r="CM1249">
        <v>0</v>
      </c>
      <c r="CN1249">
        <v>0</v>
      </c>
      <c r="CO1249">
        <v>0</v>
      </c>
      <c r="CP1249" t="str">
        <f>IF($BN1249&lt;$BM1249,"refNeedCorrection","refOK")</f>
        <v>refOK</v>
      </c>
      <c r="CQ1249">
        <f>IF($CP1249="refNeedCorrection",BN1249,BM1249)</f>
        <v>478</v>
      </c>
      <c r="CR1249">
        <f>IF($CP1249="refNeedCorrection",BM1249,BN1249)</f>
        <v>922</v>
      </c>
      <c r="CS1249">
        <f>IF($CP1249="refOK",$BQ1249,-$BQ1249)</f>
        <v>0.90612244897959193</v>
      </c>
      <c r="CT1249">
        <f>IF(BI1249="Roundwood",$CS1249/2,$CS1249)</f>
        <v>0.90612244897959193</v>
      </c>
      <c r="CU1249">
        <f>IF($CP1249="refOK",$BU1249,$BV1249)*IF($BR1249="Emissions positive",-1,1)</f>
        <v>206.9</v>
      </c>
      <c r="CV1249">
        <f>IF($CP1249="refOK",$BV1249,$BU1249)*IF($BR1249="Emissions positive",-1,1)</f>
        <v>55.2</v>
      </c>
      <c r="CW1249">
        <f>IF($CP1249="refNeedCorrection",-BZ1249,BZ1249)*IF($BR1249="Emissions positive",-1,1)</f>
        <v>-0.1517</v>
      </c>
      <c r="CX1249">
        <f>IFERROR($CW1249/$CS1249,"")</f>
        <v>-0.16741666666666666</v>
      </c>
      <c r="CY1249">
        <f>IFERROR($CW1249/$CS1249,"")</f>
        <v>-0.16741666666666666</v>
      </c>
      <c r="CZ1249">
        <f>IFERROR($CW1249/$CT1249,"")</f>
        <v>-0.16741666666666666</v>
      </c>
      <c r="DA1249" s="2">
        <f>IFERROR((CV1249-CU1249)/ABS(CU1249),"")</f>
        <v>-0.73320444659255668</v>
      </c>
      <c r="DB1249" s="1" t="s">
        <v>1074</v>
      </c>
      <c r="DC1249" t="str">
        <f>IF(OR($DB1249="prd",$DB1249="std",$DB1249="cit"),"loc",IF(OR($DB1249="eur",$DB1249="reg",$DB1249="coy"),"reg",$DB1249))</f>
        <v>reg</v>
      </c>
      <c r="DD1249" t="s">
        <v>1412</v>
      </c>
      <c r="DG1249">
        <v>500</v>
      </c>
      <c r="DH1249" t="str">
        <f>IF(DG1249=0,"0",IF(AND(DG1249&gt;=1,DG1249&lt;=30),"1-30",IF(AND(DG1249&gt;30,DG1249&lt;=70),"31-70",IF(AND(DG1249&gt;70,DG1249&lt;=100),"71-100",IF(DG1249&gt;100,"+100")))))</f>
        <v>+100</v>
      </c>
      <c r="DI1249">
        <v>0</v>
      </c>
      <c r="DJ1249">
        <v>0</v>
      </c>
      <c r="DK1249">
        <v>0</v>
      </c>
      <c r="DL1249">
        <v>1</v>
      </c>
      <c r="DN1249">
        <f>SUM(DI1249:DL1249)</f>
        <v>1</v>
      </c>
      <c r="DO1249" t="str">
        <f>IF(DN1249=1,INDEX($DI$7:$DL$7,MATCH(1,$DI1249:$DL1249,0)),"mixedProduct")</f>
        <v>TimberInput</v>
      </c>
      <c r="DP1249">
        <f>IF(DI1249=1,DP$7,0)</f>
        <v>0</v>
      </c>
      <c r="DQ1249">
        <f>IF(DJ1249=1,DQ$7,0)</f>
        <v>0</v>
      </c>
      <c r="DR1249">
        <f>IF(DK1249=1,DR$7,0)</f>
        <v>0</v>
      </c>
      <c r="DS1249" t="str">
        <f>IF(DL1249=1,DS$7,0)</f>
        <v>Timber</v>
      </c>
      <c r="DT1249">
        <v>0</v>
      </c>
      <c r="DU1249">
        <v>1</v>
      </c>
      <c r="DV1249">
        <v>0</v>
      </c>
      <c r="DW1249">
        <v>0</v>
      </c>
      <c r="DX1249" t="s">
        <v>1413</v>
      </c>
      <c r="DY1249">
        <f>SUM(DT1249:DU1249)</f>
        <v>1</v>
      </c>
      <c r="DZ1249" s="143" t="str">
        <f>IF(DT1249=1,"self-calculated DF",IF(DU1249=1,"external DF used","explicit C balance"))</f>
        <v>external DF used</v>
      </c>
      <c r="EA1249">
        <v>0</v>
      </c>
      <c r="EB1249">
        <v>0</v>
      </c>
      <c r="EC1249">
        <v>0</v>
      </c>
      <c r="ED1249">
        <v>0</v>
      </c>
      <c r="EE1249">
        <v>1</v>
      </c>
      <c r="EF1249" s="143">
        <v>1</v>
      </c>
      <c r="EG1249">
        <v>0</v>
      </c>
      <c r="EH1249">
        <v>1</v>
      </c>
      <c r="EI1249">
        <v>0</v>
      </c>
      <c r="EJ1249">
        <v>1</v>
      </c>
      <c r="EK1249">
        <v>1</v>
      </c>
      <c r="EL1249">
        <v>1</v>
      </c>
      <c r="EM1249">
        <v>0</v>
      </c>
      <c r="EN1249" s="2">
        <v>0</v>
      </c>
      <c r="EP1249" t="str">
        <f>IF(AND(AND(AND(OR($EC1249=1,$EB1249=1),OR($EH1249=1,$EF1249=1)),SUM($EA1249:$EE1249,$EK1249)&gt;=3),SUM($EF1249:$EJ1249)&gt;=2),"Whole sector approach","")</f>
        <v/>
      </c>
      <c r="EQ1249" t="str">
        <f>IF(AND(AND(OR($EC1249=1,$EB1249=1),AND($EH1249=0,$EF1249=0)),SUM($EA1249:$EE1249,$EK1249)&gt;=4),"Ecosystem approach","")</f>
        <v/>
      </c>
      <c r="ER1249" s="2" t="str">
        <f>IF(AND(AND(AND($EC1249=0,$EB1249=0),OR($EH1249=1,$EF1249=1)),SUM($EG1249:$EJ1249)&gt;=2),"Technology approach","")</f>
        <v>Technology approach</v>
      </c>
      <c r="ES1249" t="str">
        <f>IF(AND($EC1249+$EB1249+$EE1249+$EA1249+$ED1249+$EG1249=0,$N1249="included"),"C neutral forest and HWP assumption","")</f>
        <v/>
      </c>
      <c r="ET1249" t="str">
        <f>IF(AND(AND(AND(AND($EC1249=1,$EB1249+$EA1249+$EG1249&gt;=1),$EF1249=1),$EH1249+$EI1249+$ED1249+$EE1249&gt;=2),$N1249="included"),"All C pools assumption","")</f>
        <v/>
      </c>
      <c r="EU1249" t="str">
        <f>IF(AND($ED1249+$EE1249+$EI1249+$EH1249+$EF1249=0,$N1249="included"),"In-situ only assumption","")</f>
        <v/>
      </c>
      <c r="EY1249" t="str">
        <f>IF(ISNUMBER(BW1249),IF(ABS(BW1249-[2]QC_indicators!$B$2)&gt;3*[2]QC_indicators!$C$2,"C ratio",IF(ISNUMBER(CA1249),IF(ABS(CA1249-[2]QC_indicators!$B$1)&gt;3*[2]QC_indicators!$C$1,"DF","no"))),IF(ISNUMBER(CA1249),IF(ABS(CA1249-[2]QC_indicators!$B$1)&gt;3*[2]QC_indicators!$C$1,"DF","no")))</f>
        <v>no</v>
      </c>
      <c r="FA1249" t="str">
        <f>IF(LEN($CY1249)=0,"",IF(AND($CY1249&lt;(-0.05),$ES1249="C neutral forest and HWP assumption"),"Cneutral paradox",IF(AND($CY1249&gt;0.05,$EU1249="In-situ only assumption"),"In-situ only paradox","")))</f>
        <v/>
      </c>
      <c r="FD1249" s="260" t="s">
        <v>2948</v>
      </c>
    </row>
    <row r="1250" spans="1:160" ht="68" hidden="1">
      <c r="A1250" s="1" t="s">
        <v>265</v>
      </c>
      <c r="B1250" t="s">
        <v>1403</v>
      </c>
      <c r="C1250" t="s">
        <v>1404</v>
      </c>
      <c r="D1250" t="s">
        <v>1405</v>
      </c>
      <c r="E1250" t="s">
        <v>1406</v>
      </c>
      <c r="F1250" t="s">
        <v>1407</v>
      </c>
      <c r="G1250" t="s">
        <v>271</v>
      </c>
      <c r="H1250" t="s">
        <v>254</v>
      </c>
      <c r="I1250">
        <v>2019</v>
      </c>
      <c r="J1250">
        <v>26</v>
      </c>
      <c r="K1250" t="s">
        <v>1408</v>
      </c>
      <c r="M1250" t="str">
        <f>LEFT($D1250,FIND(",",$D1250)-1)&amp;"_"&amp;I1250&amp;L1250</f>
        <v>Faraca_2019</v>
      </c>
      <c r="N1250" t="s">
        <v>222</v>
      </c>
      <c r="O1250" s="145" t="s">
        <v>274</v>
      </c>
      <c r="Q1250" t="s">
        <v>256</v>
      </c>
      <c r="R1250" s="258" t="s">
        <v>223</v>
      </c>
      <c r="S1250" s="259" t="s">
        <v>2801</v>
      </c>
      <c r="T1250" t="s">
        <v>1415</v>
      </c>
      <c r="U1250" t="s">
        <v>1416</v>
      </c>
      <c r="V1250" s="253">
        <v>0</v>
      </c>
      <c r="W1250" s="253">
        <v>0</v>
      </c>
      <c r="X1250">
        <v>0</v>
      </c>
      <c r="Y1250">
        <v>0</v>
      </c>
      <c r="Z1250">
        <v>0</v>
      </c>
      <c r="AA1250">
        <v>0</v>
      </c>
      <c r="AB1250">
        <v>0</v>
      </c>
      <c r="AC1250">
        <v>0</v>
      </c>
      <c r="AD1250">
        <v>0</v>
      </c>
      <c r="AE1250">
        <v>0</v>
      </c>
      <c r="AF1250">
        <v>0</v>
      </c>
      <c r="AG1250">
        <v>0</v>
      </c>
      <c r="AH1250">
        <v>0</v>
      </c>
      <c r="AI1250">
        <v>0</v>
      </c>
      <c r="AJ1250">
        <v>0</v>
      </c>
      <c r="AK1250">
        <v>1</v>
      </c>
      <c r="AL1250">
        <v>0</v>
      </c>
      <c r="AM1250">
        <v>0</v>
      </c>
      <c r="AN1250">
        <v>0</v>
      </c>
      <c r="AO1250">
        <v>0</v>
      </c>
      <c r="AP1250">
        <v>0</v>
      </c>
      <c r="AQ1250">
        <v>0</v>
      </c>
      <c r="AR1250">
        <v>0</v>
      </c>
      <c r="AS1250">
        <v>0</v>
      </c>
      <c r="AT1250">
        <v>0</v>
      </c>
      <c r="AU1250">
        <v>0</v>
      </c>
      <c r="AV1250">
        <v>0</v>
      </c>
      <c r="AW1250">
        <v>0</v>
      </c>
      <c r="AX1250">
        <v>0</v>
      </c>
      <c r="AY1250">
        <v>0</v>
      </c>
      <c r="AZ1250" s="141">
        <f>COUNTIF(X1250:AY1250,"&lt;&gt;0")</f>
        <v>1</v>
      </c>
      <c r="BA1250" s="141">
        <f>COUNTIF(X1250:AN1250,"&lt;&gt;0")</f>
        <v>1</v>
      </c>
      <c r="BB1250">
        <f>COUNTIF(X1250:AE1250,"&lt;&gt;0")</f>
        <v>0</v>
      </c>
      <c r="BC1250">
        <f>COUNTIF(AF1250:AK1250,"&lt;&gt;0")</f>
        <v>1</v>
      </c>
      <c r="BD1250">
        <f>COUNTIF(AL1250:AN1250,"&lt;&gt;0")</f>
        <v>0</v>
      </c>
      <c r="BE1250">
        <f>COUNTIF(AU1250:AY1250,"&lt;&gt;0")</f>
        <v>0</v>
      </c>
      <c r="BF1250">
        <f>COUNTIF(AO1250:AT1250,"&lt;&gt;0")</f>
        <v>0</v>
      </c>
      <c r="BG1250" t="str">
        <f t="array" ref="BG1250">IF(BA1250=1,INDEX($X$7:$AN$7,MATCH(TRUE,INDEX($X1250:$AY1250&lt;&gt;0,),0)),IF(BA1250=0,INDEX($AO$7:$AY$7,MATCH(1,$AO1250:$AY1250,0)),IF(BH1250="Multiple strategies","mixed drivers",IF(BH1250="Supply chain","multiple supply","multiple silviculture"))))</f>
        <v>products lifespan</v>
      </c>
      <c r="BH1250" s="2" t="str" cm="1">
        <f t="array" ref="BH1250">IF(COUNTIF(BB1250:BD1250,"&lt;&gt;0")=1,INDEX($X$4:$AY$4,MATCH(TRUE,INDEX($X1250:$AY1250&lt;&gt;0,),0)),IF(COUNTIF(BB1250:BD1250,"&lt;&gt;0")=0,INDEX($AO$4:$AY$4,MATCH(1,$AO1250:$AY1250,0)),"Multiple strategies"))</f>
        <v>Supply chain</v>
      </c>
      <c r="BI1250" s="1" t="s">
        <v>229</v>
      </c>
      <c r="BJ1250" t="s">
        <v>1420</v>
      </c>
      <c r="BK1250" s="260" t="s">
        <v>2800</v>
      </c>
      <c r="BL1250" t="s">
        <v>345</v>
      </c>
      <c r="BM1250">
        <v>478</v>
      </c>
      <c r="BN1250">
        <v>638</v>
      </c>
      <c r="BO1250">
        <v>1</v>
      </c>
      <c r="BP1250">
        <f>BN1250-BM1250</f>
        <v>160</v>
      </c>
      <c r="BQ1250">
        <f>BP1250*kg_to_m3</f>
        <v>0.32653061224489799</v>
      </c>
      <c r="BR1250" t="s">
        <v>395</v>
      </c>
      <c r="BS1250" s="260" t="s">
        <v>426</v>
      </c>
      <c r="BT1250" t="s">
        <v>714</v>
      </c>
      <c r="BU1250">
        <v>-206.9</v>
      </c>
      <c r="BV1250">
        <v>-127.6</v>
      </c>
      <c r="BW1250" s="144"/>
      <c r="BX1250">
        <f>BV1250-BU1250</f>
        <v>79.300000000000011</v>
      </c>
      <c r="BZ1250">
        <f>BX1250/1000</f>
        <v>7.9300000000000009E-2</v>
      </c>
      <c r="CA1250">
        <f>IFERROR(BZ1250/BQ1250,"")</f>
        <v>0.24285625</v>
      </c>
      <c r="CB1250">
        <v>0</v>
      </c>
      <c r="CC1250">
        <v>0</v>
      </c>
      <c r="CD1250">
        <v>0</v>
      </c>
      <c r="CE1250">
        <v>0</v>
      </c>
      <c r="CF1250">
        <v>0</v>
      </c>
      <c r="CG1250">
        <v>0</v>
      </c>
      <c r="CH1250">
        <v>0</v>
      </c>
      <c r="CI1250">
        <v>0</v>
      </c>
      <c r="CJ1250">
        <v>0</v>
      </c>
      <c r="CK1250">
        <v>0</v>
      </c>
      <c r="CL1250">
        <v>0</v>
      </c>
      <c r="CM1250">
        <v>0</v>
      </c>
      <c r="CN1250">
        <v>0</v>
      </c>
      <c r="CO1250">
        <v>0</v>
      </c>
      <c r="CP1250" t="str">
        <f>IF($BN1250&lt;$BM1250,"refNeedCorrection","refOK")</f>
        <v>refOK</v>
      </c>
      <c r="CQ1250">
        <f>IF($CP1250="refNeedCorrection",BM1250,BN1250)</f>
        <v>638</v>
      </c>
      <c r="CR1250">
        <f>IF($CP1250="refNeedCorrection",BN1250,BM1250)</f>
        <v>478</v>
      </c>
      <c r="CS1250">
        <f>IF($CP1250="refOK",$BQ1250,-$BQ1250)</f>
        <v>0.32653061224489799</v>
      </c>
      <c r="CT1250">
        <f>IF(BI1250="Roundwood",$CS1250/2,$CS1250)</f>
        <v>0.32653061224489799</v>
      </c>
      <c r="CU1250">
        <f>IF($CP1250="refOK",$BU1250,$BV1250)*IF($BR1250="Emissions positive",-1,1)</f>
        <v>206.9</v>
      </c>
      <c r="CV1250">
        <f>IF($CP1250="refOK",$BV1250,$BU1250)*IF($BR1250="Emissions positive",-1,1)</f>
        <v>127.6</v>
      </c>
      <c r="CW1250">
        <f>IF($CP1250="refNeedCorrection",-BZ1250,BZ1250)*IF($BR1250="Emissions positive",-1,1)</f>
        <v>-7.9300000000000009E-2</v>
      </c>
      <c r="CX1250">
        <f>IFERROR($CW1250/$CS1250,"")</f>
        <v>-0.24285625</v>
      </c>
      <c r="CY1250">
        <f>IFERROR($CW1250/$CS1250,"")</f>
        <v>-0.24285625</v>
      </c>
      <c r="CZ1250">
        <f>IFERROR($CW1250/$CT1250,"")</f>
        <v>-0.24285625</v>
      </c>
      <c r="DA1250" s="2">
        <f>IFERROR((CV1250-CU1250)/ABS(CU1250),"")</f>
        <v>-0.38327694538424362</v>
      </c>
      <c r="DB1250" s="1" t="s">
        <v>1074</v>
      </c>
      <c r="DC1250" t="str">
        <f>IF(OR($DB1250="prd",$DB1250="std",$DB1250="cit"),"loc",IF(OR($DB1250="eur",$DB1250="reg",$DB1250="coy"),"reg",$DB1250))</f>
        <v>reg</v>
      </c>
      <c r="DD1250" t="s">
        <v>1412</v>
      </c>
      <c r="DG1250">
        <v>500</v>
      </c>
      <c r="DH1250" t="str">
        <f>IF(DG1250=0,"0",IF(AND(DG1250&gt;=1,DG1250&lt;=30),"1-30",IF(AND(DG1250&gt;30,DG1250&lt;=70),"31-70",IF(AND(DG1250&gt;70,DG1250&lt;=100),"71-100",IF(DG1250&gt;100,"+100")))))</f>
        <v>+100</v>
      </c>
      <c r="DI1250">
        <v>0</v>
      </c>
      <c r="DJ1250">
        <v>0</v>
      </c>
      <c r="DK1250">
        <v>0</v>
      </c>
      <c r="DL1250">
        <v>1</v>
      </c>
      <c r="DN1250">
        <f>SUM(DI1250:DL1250)</f>
        <v>1</v>
      </c>
      <c r="DO1250" t="str">
        <f>IF(DN1250=1,INDEX($DI$7:$DL$7,MATCH(1,$DI1250:$DL1250,0)),"mixedProduct")</f>
        <v>TimberInput</v>
      </c>
      <c r="DP1250">
        <f>IF(DI1250=1,DP$7,0)</f>
        <v>0</v>
      </c>
      <c r="DQ1250">
        <f>IF(DJ1250=1,DQ$7,0)</f>
        <v>0</v>
      </c>
      <c r="DR1250">
        <f>IF(DK1250=1,DR$7,0)</f>
        <v>0</v>
      </c>
      <c r="DS1250" t="str">
        <f>IF(DL1250=1,DS$7,0)</f>
        <v>Timber</v>
      </c>
      <c r="DT1250">
        <v>0</v>
      </c>
      <c r="DU1250">
        <v>1</v>
      </c>
      <c r="DV1250">
        <v>0</v>
      </c>
      <c r="DW1250">
        <v>0</v>
      </c>
      <c r="DX1250" t="s">
        <v>1413</v>
      </c>
      <c r="DY1250">
        <f>SUM(DT1250:DU1250)</f>
        <v>1</v>
      </c>
      <c r="DZ1250" s="143" t="str">
        <f>IF(DT1250=1,"self-calculated DF",IF(DU1250=1,"external DF used","explicit C balance"))</f>
        <v>external DF used</v>
      </c>
      <c r="EA1250">
        <v>0</v>
      </c>
      <c r="EB1250">
        <v>0</v>
      </c>
      <c r="EC1250">
        <v>0</v>
      </c>
      <c r="ED1250">
        <v>0</v>
      </c>
      <c r="EE1250">
        <v>1</v>
      </c>
      <c r="EF1250" s="143">
        <v>1</v>
      </c>
      <c r="EG1250">
        <v>0</v>
      </c>
      <c r="EH1250">
        <v>1</v>
      </c>
      <c r="EI1250">
        <v>0</v>
      </c>
      <c r="EJ1250">
        <v>1</v>
      </c>
      <c r="EK1250">
        <v>1</v>
      </c>
      <c r="EL1250">
        <v>1</v>
      </c>
      <c r="EM1250">
        <v>0</v>
      </c>
      <c r="EN1250" s="2">
        <v>0</v>
      </c>
      <c r="EP1250" t="str">
        <f>IF(AND(AND(AND(OR($EC1250=1,$EB1250=1),OR($EH1250=1,$EF1250=1)),SUM($EA1250:$EE1250,$EK1250)&gt;=3),SUM($EF1250:$EJ1250)&gt;=2),"Whole sector approach","")</f>
        <v/>
      </c>
      <c r="EQ1250" t="str">
        <f>IF(AND(AND(OR($EC1250=1,$EB1250=1),AND($EH1250=0,$EF1250=0)),SUM($EA1250:$EE1250,$EK1250)&gt;=4),"Ecosystem approach","")</f>
        <v/>
      </c>
      <c r="ER1250" s="2" t="str">
        <f>IF(AND(AND(AND($EC1250=0,$EB1250=0),OR($EH1250=1,$EF1250=1)),SUM($EG1250:$EJ1250)&gt;=2),"Technology approach","")</f>
        <v>Technology approach</v>
      </c>
      <c r="ES1250" t="str">
        <f>IF(AND($EC1250+$EB1250+$EE1250+$EA1250+$ED1250+$EG1250=0,$N1250="included"),"C neutral forest and HWP assumption","")</f>
        <v/>
      </c>
      <c r="ET1250" t="str">
        <f>IF(AND(AND(AND(AND($EC1250=1,$EB1250+$EA1250+$EG1250&gt;=1),$EF1250=1),$EH1250+$EI1250+$ED1250+$EE1250&gt;=2),$N1250="included"),"All C pools assumption","")</f>
        <v/>
      </c>
      <c r="EU1250" t="str">
        <f>IF(AND($ED1250+$EE1250+$EI1250+$EH1250+$EF1250=0,$N1250="included"),"In-situ only assumption","")</f>
        <v/>
      </c>
      <c r="EY1250" t="str">
        <f>IF(ISNUMBER(BW1250),IF(ABS(BW1250-[2]QC_indicators!$B$2)&gt;3*[2]QC_indicators!$C$2,"C ratio",IF(ISNUMBER(CA1250),IF(ABS(CA1250-[2]QC_indicators!$B$1)&gt;3*[2]QC_indicators!$C$1,"DF","no"))),IF(ISNUMBER(CA1250),IF(ABS(CA1250-[2]QC_indicators!$B$1)&gt;3*[2]QC_indicators!$C$1,"DF","no")))</f>
        <v>no</v>
      </c>
      <c r="FA1250" t="str">
        <f>IF(LEN($CY1250)=0,"",IF(AND($CY1250&lt;(-0.05),$ES1250="C neutral forest and HWP assumption"),"Cneutral paradox",IF(AND($CY1250&gt;0.05,$EU1250="In-situ only assumption"),"In-situ only paradox","")))</f>
        <v/>
      </c>
      <c r="FD1250" s="260" t="s">
        <v>2948</v>
      </c>
    </row>
    <row r="1251" spans="1:160" ht="68" hidden="1">
      <c r="A1251" s="1" t="s">
        <v>265</v>
      </c>
      <c r="B1251" t="s">
        <v>1403</v>
      </c>
      <c r="C1251" t="s">
        <v>1404</v>
      </c>
      <c r="D1251" t="s">
        <v>1405</v>
      </c>
      <c r="E1251" t="s">
        <v>1406</v>
      </c>
      <c r="F1251" t="s">
        <v>1407</v>
      </c>
      <c r="G1251" t="s">
        <v>271</v>
      </c>
      <c r="H1251" t="s">
        <v>254</v>
      </c>
      <c r="I1251">
        <v>2019</v>
      </c>
      <c r="J1251">
        <v>26</v>
      </c>
      <c r="K1251" t="s">
        <v>1408</v>
      </c>
      <c r="M1251" t="str">
        <f>LEFT($D1251,FIND(",",$D1251)-1)&amp;"_"&amp;I1251&amp;L1251</f>
        <v>Faraca_2019</v>
      </c>
      <c r="N1251" t="s">
        <v>222</v>
      </c>
      <c r="O1251" s="145" t="s">
        <v>274</v>
      </c>
      <c r="P1251" s="179" t="s">
        <v>223</v>
      </c>
      <c r="Q1251" t="s">
        <v>256</v>
      </c>
      <c r="R1251" s="258" t="s">
        <v>223</v>
      </c>
      <c r="S1251" s="259" t="s">
        <v>2802</v>
      </c>
      <c r="T1251" s="260" t="s">
        <v>2803</v>
      </c>
      <c r="U1251" s="260" t="s">
        <v>2804</v>
      </c>
      <c r="V1251" s="253">
        <v>0</v>
      </c>
      <c r="W1251" s="253">
        <v>0</v>
      </c>
      <c r="X1251">
        <v>0</v>
      </c>
      <c r="Y1251">
        <v>0</v>
      </c>
      <c r="Z1251">
        <v>0</v>
      </c>
      <c r="AA1251">
        <v>0</v>
      </c>
      <c r="AB1251">
        <v>0</v>
      </c>
      <c r="AC1251">
        <v>0</v>
      </c>
      <c r="AD1251">
        <v>0</v>
      </c>
      <c r="AE1251">
        <v>0</v>
      </c>
      <c r="AF1251">
        <v>0</v>
      </c>
      <c r="AG1251">
        <v>0</v>
      </c>
      <c r="AH1251">
        <v>0</v>
      </c>
      <c r="AI1251">
        <v>0</v>
      </c>
      <c r="AJ1251">
        <v>0</v>
      </c>
      <c r="AK1251">
        <v>1</v>
      </c>
      <c r="AL1251">
        <v>0</v>
      </c>
      <c r="AM1251">
        <v>0</v>
      </c>
      <c r="AN1251">
        <v>0</v>
      </c>
      <c r="AO1251">
        <v>0</v>
      </c>
      <c r="AP1251">
        <v>0</v>
      </c>
      <c r="AQ1251">
        <v>0</v>
      </c>
      <c r="AR1251">
        <v>0</v>
      </c>
      <c r="AS1251">
        <v>0</v>
      </c>
      <c r="AT1251">
        <v>0</v>
      </c>
      <c r="AU1251">
        <v>0</v>
      </c>
      <c r="AV1251">
        <v>0</v>
      </c>
      <c r="AW1251">
        <v>0</v>
      </c>
      <c r="AX1251">
        <v>0</v>
      </c>
      <c r="AY1251">
        <v>0</v>
      </c>
      <c r="AZ1251" s="141">
        <f>COUNTIF(X1251:AY1251,"&lt;&gt;0")</f>
        <v>1</v>
      </c>
      <c r="BA1251" s="141">
        <f>COUNTIF(X1251:AN1251,"&lt;&gt;0")</f>
        <v>1</v>
      </c>
      <c r="BB1251">
        <f>COUNTIF(X1251:AE1251,"&lt;&gt;0")</f>
        <v>0</v>
      </c>
      <c r="BC1251">
        <f>COUNTIF(AF1251:AK1251,"&lt;&gt;0")</f>
        <v>1</v>
      </c>
      <c r="BD1251">
        <f>COUNTIF(AL1251:AN1251,"&lt;&gt;0")</f>
        <v>0</v>
      </c>
      <c r="BE1251">
        <f>COUNTIF(AU1251:AY1251,"&lt;&gt;0")</f>
        <v>0</v>
      </c>
      <c r="BF1251">
        <f>COUNTIF(AO1251:AT1251,"&lt;&gt;0")</f>
        <v>0</v>
      </c>
      <c r="BG1251" t="str">
        <f t="array" ref="BG1251">IF(BA1251=1,INDEX($X$7:$AN$7,MATCH(TRUE,INDEX($X1251:$AY1251&lt;&gt;0,),0)),IF(BA1251=0,INDEX($AO$7:$AY$7,MATCH(1,$AO1251:$AY1251,0)),IF(BH1251="Multiple strategies","mixed drivers",IF(BH1251="Supply chain","multiple supply","multiple silviculture"))))</f>
        <v>products lifespan</v>
      </c>
      <c r="BH1251" s="2" t="str" cm="1">
        <f t="array" ref="BH1251">IF(COUNTIF(BB1251:BD1251,"&lt;&gt;0")=1,INDEX($X$4:$AY$4,MATCH(TRUE,INDEX($X1251:$AY1251&lt;&gt;0,),0)),IF(COUNTIF(BB1251:BD1251,"&lt;&gt;0")=0,INDEX($AO$4:$AY$4,MATCH(1,$AO1251:$AY1251,0)),"Multiple strategies"))</f>
        <v>Supply chain</v>
      </c>
      <c r="BI1251" s="1" t="s">
        <v>229</v>
      </c>
      <c r="BJ1251" t="s">
        <v>1420</v>
      </c>
      <c r="BK1251" s="260" t="s">
        <v>2800</v>
      </c>
      <c r="BL1251" t="s">
        <v>345</v>
      </c>
      <c r="BM1251">
        <v>478</v>
      </c>
      <c r="BN1251">
        <v>922</v>
      </c>
      <c r="BO1251">
        <f>BM1251/BN1251</f>
        <v>0.51843817787418656</v>
      </c>
      <c r="BP1251">
        <f>BN1251-BM1251</f>
        <v>444</v>
      </c>
      <c r="BQ1251">
        <f>BP1251*kg_to_m3</f>
        <v>0.90612244897959193</v>
      </c>
      <c r="BR1251" t="s">
        <v>395</v>
      </c>
      <c r="BS1251" t="s">
        <v>426</v>
      </c>
      <c r="BT1251" t="s">
        <v>714</v>
      </c>
      <c r="BU1251">
        <v>206.8</v>
      </c>
      <c r="BV1251">
        <v>515.29999999999995</v>
      </c>
      <c r="BW1251" s="144"/>
      <c r="BX1251">
        <f>BV1251-BU1251</f>
        <v>308.49999999999994</v>
      </c>
      <c r="BZ1251">
        <f>BX1251/1000</f>
        <v>0.30849999999999994</v>
      </c>
      <c r="CA1251">
        <f>IFERROR(BZ1251/BQ1251,"")</f>
        <v>0.34046171171171163</v>
      </c>
      <c r="CB1251">
        <v>0</v>
      </c>
      <c r="CC1251">
        <v>0</v>
      </c>
      <c r="CD1251">
        <v>0</v>
      </c>
      <c r="CE1251">
        <v>0</v>
      </c>
      <c r="CF1251">
        <v>0</v>
      </c>
      <c r="CG1251">
        <v>0</v>
      </c>
      <c r="CH1251">
        <v>0</v>
      </c>
      <c r="CI1251">
        <v>0</v>
      </c>
      <c r="CJ1251">
        <v>0</v>
      </c>
      <c r="CK1251">
        <v>0</v>
      </c>
      <c r="CL1251">
        <v>0</v>
      </c>
      <c r="CM1251">
        <v>0</v>
      </c>
      <c r="CN1251">
        <v>0</v>
      </c>
      <c r="CO1251">
        <v>0</v>
      </c>
      <c r="CP1251" t="str">
        <f>IF($BN1251&lt;$BM1251,"refNeedCorrection","refOK")</f>
        <v>refOK</v>
      </c>
      <c r="CQ1251">
        <f>IF($CP1251="refNeedCorrection",BN1251,BM1251)</f>
        <v>478</v>
      </c>
      <c r="CR1251">
        <f>IF($CP1251="refNeedCorrection",BM1251,BN1251)</f>
        <v>922</v>
      </c>
      <c r="CS1251">
        <f>IF($CP1251="refOK",$BQ1251,-$BQ1251)</f>
        <v>0.90612244897959193</v>
      </c>
      <c r="CT1251">
        <f>IF(BI1251="Roundwood",$CS1251/2,$CS1251)</f>
        <v>0.90612244897959193</v>
      </c>
      <c r="CU1251">
        <f>IF($CP1251="refOK",$BU1251,$BV1251)*IF($BR1251="Emissions positive",-1,1)</f>
        <v>-206.8</v>
      </c>
      <c r="CV1251">
        <f>IF($CP1251="refOK",$BV1251,$BU1251)*IF($BR1251="Emissions positive",-1,1)</f>
        <v>-515.29999999999995</v>
      </c>
      <c r="CW1251">
        <f>IF($CP1251="refNeedCorrection",-BZ1251,BZ1251)*IF($BR1251="Emissions positive",-1,1)</f>
        <v>-0.30849999999999994</v>
      </c>
      <c r="CX1251">
        <f>IFERROR($CW1251/$CS1251,"")</f>
        <v>-0.34046171171171163</v>
      </c>
      <c r="CY1251">
        <f>IFERROR($CW1251/$CS1251,"")</f>
        <v>-0.34046171171171163</v>
      </c>
      <c r="CZ1251">
        <f>IFERROR($CW1251/$CT1251,"")</f>
        <v>-0.34046171171171163</v>
      </c>
      <c r="DA1251" s="2">
        <f>IFERROR((CV1251-CU1251)/ABS(CU1251),"")</f>
        <v>-1.4917794970986458</v>
      </c>
      <c r="DB1251" s="1" t="s">
        <v>1074</v>
      </c>
      <c r="DC1251" t="str">
        <f>IF(OR($DB1251="prd",$DB1251="std",$DB1251="cit"),"loc",IF(OR($DB1251="eur",$DB1251="reg",$DB1251="coy"),"reg",$DB1251))</f>
        <v>reg</v>
      </c>
      <c r="DD1251" t="s">
        <v>1412</v>
      </c>
      <c r="DG1251">
        <v>100</v>
      </c>
      <c r="DH1251" t="str">
        <f>IF(DG1251=0,"0",IF(AND(DG1251&gt;=1,DG1251&lt;=30),"1-30",IF(AND(DG1251&gt;30,DG1251&lt;=70),"31-70",IF(AND(DG1251&gt;70,DG1251&lt;=100),"71-100",IF(DG1251&gt;100,"+100")))))</f>
        <v>71-100</v>
      </c>
      <c r="DI1251">
        <v>0</v>
      </c>
      <c r="DJ1251">
        <v>0</v>
      </c>
      <c r="DK1251">
        <v>0</v>
      </c>
      <c r="DL1251">
        <v>1</v>
      </c>
      <c r="DN1251">
        <f>SUM(DI1251:DL1251)</f>
        <v>1</v>
      </c>
      <c r="DO1251" t="str">
        <f>IF(DN1251=1,INDEX($DI$7:$DL$7,MATCH(1,$DI1251:$DL1251,0)),"mixedProduct")</f>
        <v>TimberInput</v>
      </c>
      <c r="DP1251">
        <f>IF(DI1251=1,DP$7,0)</f>
        <v>0</v>
      </c>
      <c r="DQ1251">
        <f>IF(DJ1251=1,DQ$7,0)</f>
        <v>0</v>
      </c>
      <c r="DR1251">
        <f>IF(DK1251=1,DR$7,0)</f>
        <v>0</v>
      </c>
      <c r="DS1251" t="str">
        <f>IF(DL1251=1,DS$7,0)</f>
        <v>Timber</v>
      </c>
      <c r="DT1251">
        <v>0</v>
      </c>
      <c r="DU1251">
        <v>0</v>
      </c>
      <c r="DV1251">
        <v>0</v>
      </c>
      <c r="DW1251">
        <v>0</v>
      </c>
      <c r="DX1251">
        <v>0</v>
      </c>
      <c r="DY1251">
        <f>SUM(DT1251:DU1251)</f>
        <v>0</v>
      </c>
      <c r="DZ1251" s="143" t="str">
        <f>IF(DT1251=1,"self-calculated DF",IF(DU1251=1,"external DF used","explicit C balance"))</f>
        <v>explicit C balance</v>
      </c>
      <c r="EA1251">
        <v>0</v>
      </c>
      <c r="EB1251">
        <v>0</v>
      </c>
      <c r="EC1251">
        <v>0</v>
      </c>
      <c r="ED1251">
        <v>0</v>
      </c>
      <c r="EE1251">
        <v>1</v>
      </c>
      <c r="EF1251" s="143">
        <v>0</v>
      </c>
      <c r="EG1251">
        <v>0</v>
      </c>
      <c r="EH1251">
        <v>1</v>
      </c>
      <c r="EI1251">
        <v>0</v>
      </c>
      <c r="EJ1251">
        <v>1</v>
      </c>
      <c r="EK1251">
        <v>1</v>
      </c>
      <c r="EL1251">
        <v>1</v>
      </c>
      <c r="EM1251">
        <v>0</v>
      </c>
      <c r="EN1251" s="2">
        <v>0</v>
      </c>
      <c r="EP1251" t="str">
        <f>IF(AND(AND(AND(OR($EC1251=1,$EB1251=1),OR($EH1251=1,$EF1251=1)),SUM($EA1251:$EE1251,$EK1251)&gt;=3),SUM($EF1251:$EJ1251)&gt;=2),"Whole sector approach","")</f>
        <v/>
      </c>
      <c r="EQ1251" t="str">
        <f>IF(AND(AND(OR($EC1251=1,$EB1251=1),AND($EH1251=0,$EF1251=0)),SUM($EA1251:$EE1251,$EK1251)&gt;=4),"Ecosystem approach","")</f>
        <v/>
      </c>
      <c r="ER1251" s="2" t="str">
        <f>IF(AND(AND(AND($EC1251=0,$EB1251=0),OR($EH1251=1,$EF1251=1)),SUM($EG1251:$EJ1251)&gt;=2),"Technology approach","")</f>
        <v>Technology approach</v>
      </c>
      <c r="ES1251" t="str">
        <f>IF(AND($EC1251+$EB1251+$EE1251+$EA1251+$ED1251+$EG1251=0,$N1251="included"),"C neutral forest and HWP assumption","")</f>
        <v/>
      </c>
      <c r="ET1251" t="str">
        <f>IF(AND(AND(AND(AND($EC1251=1,$EB1251+$EA1251+$EG1251&gt;=1),$EF1251=1),$EH1251+$EI1251+$ED1251+$EE1251&gt;=2),$N1251="included"),"All C pools assumption","")</f>
        <v/>
      </c>
      <c r="EU1251" t="str">
        <f>IF(AND($ED1251+$EE1251+$EI1251+$EH1251+$EF1251=0,$N1251="included"),"In-situ only assumption","")</f>
        <v/>
      </c>
      <c r="EY1251" t="str">
        <f>IF(ISNUMBER(BW1251),IF(ABS(BW1251-[2]QC_indicators!$B$2)&gt;3*[2]QC_indicators!$C$2,"C ratio",IF(ISNUMBER(CA1251),IF(ABS(CA1251-[2]QC_indicators!$B$1)&gt;3*[2]QC_indicators!$C$1,"DF","no"))),IF(ISNUMBER(CA1251),IF(ABS(CA1251-[2]QC_indicators!$B$1)&gt;3*[2]QC_indicators!$C$1,"DF","no")))</f>
        <v>no</v>
      </c>
      <c r="FA1251" t="str">
        <f>IF(LEN($CY1251)=0,"",IF(AND($CY1251&lt;(-0.05),$ES1251="C neutral forest and HWP assumption"),"Cneutral paradox",IF(AND($CY1251&gt;0.05,$EU1251="In-situ only assumption"),"In-situ only paradox","")))</f>
        <v/>
      </c>
      <c r="FD1251" s="260" t="s">
        <v>2948</v>
      </c>
    </row>
    <row r="1252" spans="1:160" ht="68" hidden="1">
      <c r="A1252" s="1" t="s">
        <v>265</v>
      </c>
      <c r="B1252" t="s">
        <v>1403</v>
      </c>
      <c r="C1252" t="s">
        <v>1404</v>
      </c>
      <c r="D1252" t="s">
        <v>1405</v>
      </c>
      <c r="E1252" t="s">
        <v>1406</v>
      </c>
      <c r="F1252" t="s">
        <v>1407</v>
      </c>
      <c r="G1252" t="s">
        <v>271</v>
      </c>
      <c r="H1252" t="s">
        <v>254</v>
      </c>
      <c r="I1252">
        <v>2019</v>
      </c>
      <c r="J1252">
        <v>26</v>
      </c>
      <c r="K1252" t="s">
        <v>1408</v>
      </c>
      <c r="M1252" t="str">
        <f>LEFT($D1252,FIND(",",$D1252)-1)&amp;"_"&amp;I1252&amp;L1252</f>
        <v>Faraca_2019</v>
      </c>
      <c r="N1252" t="s">
        <v>222</v>
      </c>
      <c r="O1252" s="145" t="s">
        <v>274</v>
      </c>
      <c r="P1252" s="179" t="s">
        <v>223</v>
      </c>
      <c r="Q1252" t="s">
        <v>256</v>
      </c>
      <c r="R1252" s="258" t="s">
        <v>223</v>
      </c>
      <c r="S1252" s="259" t="s">
        <v>2802</v>
      </c>
      <c r="T1252" s="260" t="s">
        <v>2803</v>
      </c>
      <c r="U1252" s="260" t="s">
        <v>2805</v>
      </c>
      <c r="V1252" s="253">
        <v>0</v>
      </c>
      <c r="W1252" s="253">
        <v>0</v>
      </c>
      <c r="X1252">
        <v>0</v>
      </c>
      <c r="Y1252">
        <v>0</v>
      </c>
      <c r="Z1252">
        <v>0</v>
      </c>
      <c r="AA1252">
        <v>0</v>
      </c>
      <c r="AB1252">
        <v>0</v>
      </c>
      <c r="AC1252">
        <v>0</v>
      </c>
      <c r="AD1252">
        <v>0</v>
      </c>
      <c r="AE1252">
        <v>0</v>
      </c>
      <c r="AF1252">
        <v>0</v>
      </c>
      <c r="AG1252">
        <v>0</v>
      </c>
      <c r="AH1252">
        <v>0</v>
      </c>
      <c r="AI1252">
        <v>0</v>
      </c>
      <c r="AJ1252">
        <v>0</v>
      </c>
      <c r="AK1252">
        <v>1</v>
      </c>
      <c r="AL1252">
        <v>0</v>
      </c>
      <c r="AM1252">
        <v>0</v>
      </c>
      <c r="AN1252">
        <v>0</v>
      </c>
      <c r="AO1252">
        <v>0</v>
      </c>
      <c r="AP1252">
        <v>0</v>
      </c>
      <c r="AQ1252">
        <v>0</v>
      </c>
      <c r="AR1252">
        <v>0</v>
      </c>
      <c r="AS1252">
        <v>0</v>
      </c>
      <c r="AT1252">
        <v>0</v>
      </c>
      <c r="AU1252">
        <v>0</v>
      </c>
      <c r="AV1252">
        <v>0</v>
      </c>
      <c r="AW1252">
        <v>0</v>
      </c>
      <c r="AX1252">
        <v>0</v>
      </c>
      <c r="AY1252">
        <v>0</v>
      </c>
      <c r="AZ1252" s="141">
        <f>COUNTIF(X1252:AY1252,"&lt;&gt;0")</f>
        <v>1</v>
      </c>
      <c r="BA1252" s="141">
        <f>COUNTIF(X1252:AN1252,"&lt;&gt;0")</f>
        <v>1</v>
      </c>
      <c r="BB1252">
        <f>COUNTIF(X1252:AE1252,"&lt;&gt;0")</f>
        <v>0</v>
      </c>
      <c r="BC1252">
        <f>COUNTIF(AF1252:AK1252,"&lt;&gt;0")</f>
        <v>1</v>
      </c>
      <c r="BD1252">
        <f>COUNTIF(AL1252:AN1252,"&lt;&gt;0")</f>
        <v>0</v>
      </c>
      <c r="BE1252">
        <f>COUNTIF(AU1252:AY1252,"&lt;&gt;0")</f>
        <v>0</v>
      </c>
      <c r="BF1252">
        <f>COUNTIF(AO1252:AT1252,"&lt;&gt;0")</f>
        <v>0</v>
      </c>
      <c r="BG1252" t="str">
        <f t="array" ref="BG1252">IF(BA1252=1,INDEX($X$7:$AN$7,MATCH(TRUE,INDEX($X1252:$AY1252&lt;&gt;0,),0)),IF(BA1252=0,INDEX($AO$7:$AY$7,MATCH(1,$AO1252:$AY1252,0)),IF(BH1252="Multiple strategies","mixed drivers",IF(BH1252="Supply chain","multiple supply","multiple silviculture"))))</f>
        <v>products lifespan</v>
      </c>
      <c r="BH1252" s="2" t="str" cm="1">
        <f t="array" ref="BH1252">IF(COUNTIF(BB1252:BD1252,"&lt;&gt;0")=1,INDEX($X$4:$AY$4,MATCH(TRUE,INDEX($X1252:$AY1252&lt;&gt;0,),0)),IF(COUNTIF(BB1252:BD1252,"&lt;&gt;0")=0,INDEX($AO$4:$AY$4,MATCH(1,$AO1252:$AY1252,0)),"Multiple strategies"))</f>
        <v>Supply chain</v>
      </c>
      <c r="BI1252" s="1" t="s">
        <v>229</v>
      </c>
      <c r="BJ1252" t="s">
        <v>1420</v>
      </c>
      <c r="BK1252" s="260" t="s">
        <v>2800</v>
      </c>
      <c r="BL1252" t="s">
        <v>345</v>
      </c>
      <c r="BM1252">
        <v>478</v>
      </c>
      <c r="BN1252">
        <v>638</v>
      </c>
      <c r="BO1252">
        <v>1</v>
      </c>
      <c r="BP1252">
        <f>BN1252-BM1252</f>
        <v>160</v>
      </c>
      <c r="BQ1252">
        <f>BP1252*kg_to_m3</f>
        <v>0.32653061224489799</v>
      </c>
      <c r="BR1252" t="s">
        <v>395</v>
      </c>
      <c r="BS1252" t="s">
        <v>426</v>
      </c>
      <c r="BT1252" t="s">
        <v>714</v>
      </c>
      <c r="BU1252">
        <v>206.8</v>
      </c>
      <c r="BV1252">
        <v>474.6</v>
      </c>
      <c r="BW1252" s="144"/>
      <c r="BX1252">
        <f>BV1252-BU1252</f>
        <v>267.8</v>
      </c>
      <c r="BZ1252">
        <f>BX1252/1000</f>
        <v>0.26780000000000004</v>
      </c>
      <c r="CA1252">
        <f>IFERROR(BZ1252/BQ1252,"")</f>
        <v>0.82013750000000007</v>
      </c>
      <c r="CB1252">
        <v>0</v>
      </c>
      <c r="CC1252">
        <v>0</v>
      </c>
      <c r="CD1252">
        <v>0</v>
      </c>
      <c r="CE1252">
        <v>0</v>
      </c>
      <c r="CF1252">
        <v>0</v>
      </c>
      <c r="CG1252">
        <v>0</v>
      </c>
      <c r="CH1252">
        <v>0</v>
      </c>
      <c r="CI1252">
        <v>0</v>
      </c>
      <c r="CJ1252">
        <v>0</v>
      </c>
      <c r="CK1252">
        <v>0</v>
      </c>
      <c r="CL1252">
        <v>0</v>
      </c>
      <c r="CM1252">
        <v>0</v>
      </c>
      <c r="CN1252">
        <v>0</v>
      </c>
      <c r="CO1252">
        <v>0</v>
      </c>
      <c r="CP1252" t="str">
        <f>IF($BN1252&lt;$BM1252,"refNeedCorrection","refOK")</f>
        <v>refOK</v>
      </c>
      <c r="CQ1252">
        <f>IF($CP1252="refNeedCorrection",BM1252,BN1252)</f>
        <v>638</v>
      </c>
      <c r="CR1252">
        <f>IF($CP1252="refNeedCorrection",BN1252,BM1252)</f>
        <v>478</v>
      </c>
      <c r="CS1252">
        <f>IF($CP1252="refOK",$BQ1252,-$BQ1252)</f>
        <v>0.32653061224489799</v>
      </c>
      <c r="CT1252">
        <f>IF(BI1252="Roundwood",$CS1252/2,$CS1252)</f>
        <v>0.32653061224489799</v>
      </c>
      <c r="CU1252">
        <f>IF($CP1252="refOK",$BU1252,$BV1252)*IF($BR1252="Emissions positive",-1,1)</f>
        <v>-206.8</v>
      </c>
      <c r="CV1252">
        <f>IF($CP1252="refOK",$BV1252,$BU1252)*IF($BR1252="Emissions positive",-1,1)</f>
        <v>-474.6</v>
      </c>
      <c r="CW1252">
        <f>IF($CP1252="refNeedCorrection",-BZ1252,BZ1252)*IF($BR1252="Emissions positive",-1,1)</f>
        <v>-0.26780000000000004</v>
      </c>
      <c r="CX1252">
        <f>IFERROR($CW1252/$CS1252,"")</f>
        <v>-0.82013750000000007</v>
      </c>
      <c r="CY1252">
        <f>IFERROR($CW1252/$CS1252,"")</f>
        <v>-0.82013750000000007</v>
      </c>
      <c r="CZ1252">
        <f>IFERROR($CW1252/$CT1252,"")</f>
        <v>-0.82013750000000007</v>
      </c>
      <c r="DA1252" s="2">
        <f>IFERROR((CV1252-CU1252)/ABS(CU1252),"")</f>
        <v>-1.2949709864603483</v>
      </c>
      <c r="DB1252" s="1" t="s">
        <v>1074</v>
      </c>
      <c r="DC1252" t="str">
        <f>IF(OR($DB1252="prd",$DB1252="std",$DB1252="cit"),"loc",IF(OR($DB1252="eur",$DB1252="reg",$DB1252="coy"),"reg",$DB1252))</f>
        <v>reg</v>
      </c>
      <c r="DD1252" t="s">
        <v>1412</v>
      </c>
      <c r="DG1252">
        <v>100</v>
      </c>
      <c r="DH1252" t="str">
        <f>IF(DG1252=0,"0",IF(AND(DG1252&gt;=1,DG1252&lt;=30),"1-30",IF(AND(DG1252&gt;30,DG1252&lt;=70),"31-70",IF(AND(DG1252&gt;70,DG1252&lt;=100),"71-100",IF(DG1252&gt;100,"+100")))))</f>
        <v>71-100</v>
      </c>
      <c r="DI1252">
        <v>0</v>
      </c>
      <c r="DJ1252">
        <v>0</v>
      </c>
      <c r="DK1252">
        <v>0</v>
      </c>
      <c r="DL1252">
        <v>1</v>
      </c>
      <c r="DN1252">
        <f>SUM(DI1252:DL1252)</f>
        <v>1</v>
      </c>
      <c r="DO1252" t="str">
        <f>IF(DN1252=1,INDEX($DI$7:$DL$7,MATCH(1,$DI1252:$DL1252,0)),"mixedProduct")</f>
        <v>TimberInput</v>
      </c>
      <c r="DP1252">
        <f>IF(DI1252=1,DP$7,0)</f>
        <v>0</v>
      </c>
      <c r="DQ1252">
        <f>IF(DJ1252=1,DQ$7,0)</f>
        <v>0</v>
      </c>
      <c r="DR1252">
        <f>IF(DK1252=1,DR$7,0)</f>
        <v>0</v>
      </c>
      <c r="DS1252" t="str">
        <f>IF(DL1252=1,DS$7,0)</f>
        <v>Timber</v>
      </c>
      <c r="DT1252">
        <v>0</v>
      </c>
      <c r="DU1252">
        <v>0</v>
      </c>
      <c r="DV1252">
        <v>0</v>
      </c>
      <c r="DW1252">
        <v>0</v>
      </c>
      <c r="DX1252">
        <v>0</v>
      </c>
      <c r="DY1252">
        <f>SUM(DT1252:DU1252)</f>
        <v>0</v>
      </c>
      <c r="DZ1252" s="143" t="str">
        <f>IF(DT1252=1,"self-calculated DF",IF(DU1252=1,"external DF used","explicit C balance"))</f>
        <v>explicit C balance</v>
      </c>
      <c r="EA1252">
        <v>0</v>
      </c>
      <c r="EB1252">
        <v>0</v>
      </c>
      <c r="EC1252">
        <v>0</v>
      </c>
      <c r="ED1252">
        <v>0</v>
      </c>
      <c r="EE1252">
        <v>1</v>
      </c>
      <c r="EF1252" s="143">
        <v>0</v>
      </c>
      <c r="EG1252">
        <v>0</v>
      </c>
      <c r="EH1252">
        <v>1</v>
      </c>
      <c r="EI1252">
        <v>0</v>
      </c>
      <c r="EJ1252">
        <v>1</v>
      </c>
      <c r="EK1252">
        <v>1</v>
      </c>
      <c r="EL1252">
        <v>1</v>
      </c>
      <c r="EM1252">
        <v>0</v>
      </c>
      <c r="EN1252" s="2">
        <v>0</v>
      </c>
      <c r="EP1252" t="str">
        <f>IF(AND(AND(AND(OR($EC1252=1,$EB1252=1),OR($EH1252=1,$EF1252=1)),SUM($EA1252:$EE1252,$EK1252)&gt;=3),SUM($EF1252:$EJ1252)&gt;=2),"Whole sector approach","")</f>
        <v/>
      </c>
      <c r="EQ1252" t="str">
        <f>IF(AND(AND(OR($EC1252=1,$EB1252=1),AND($EH1252=0,$EF1252=0)),SUM($EA1252:$EE1252,$EK1252)&gt;=4),"Ecosystem approach","")</f>
        <v/>
      </c>
      <c r="ER1252" s="2" t="str">
        <f>IF(AND(AND(AND($EC1252=0,$EB1252=0),OR($EH1252=1,$EF1252=1)),SUM($EG1252:$EJ1252)&gt;=2),"Technology approach","")</f>
        <v>Technology approach</v>
      </c>
      <c r="ES1252" t="str">
        <f>IF(AND($EC1252+$EB1252+$EE1252+$EA1252+$ED1252+$EG1252=0,$N1252="included"),"C neutral forest and HWP assumption","")</f>
        <v/>
      </c>
      <c r="ET1252" t="str">
        <f>IF(AND(AND(AND(AND($EC1252=1,$EB1252+$EA1252+$EG1252&gt;=1),$EF1252=1),$EH1252+$EI1252+$ED1252+$EE1252&gt;=2),$N1252="included"),"All C pools assumption","")</f>
        <v/>
      </c>
      <c r="EU1252" t="str">
        <f>IF(AND($ED1252+$EE1252+$EI1252+$EH1252+$EF1252=0,$N1252="included"),"In-situ only assumption","")</f>
        <v/>
      </c>
      <c r="EY1252" t="str">
        <f>IF(ISNUMBER(BW1252),IF(ABS(BW1252-[2]QC_indicators!$B$2)&gt;3*[2]QC_indicators!$C$2,"C ratio",IF(ISNUMBER(CA1252),IF(ABS(CA1252-[2]QC_indicators!$B$1)&gt;3*[2]QC_indicators!$C$1,"DF","no"))),IF(ISNUMBER(CA1252),IF(ABS(CA1252-[2]QC_indicators!$B$1)&gt;3*[2]QC_indicators!$C$1,"DF","no")))</f>
        <v>no</v>
      </c>
      <c r="FA1252" t="str">
        <f>IF(LEN($CY1252)=0,"",IF(AND($CY1252&lt;(-0.05),$ES1252="C neutral forest and HWP assumption"),"Cneutral paradox",IF(AND($CY1252&gt;0.05,$EU1252="In-situ only assumption"),"In-situ only paradox","")))</f>
        <v/>
      </c>
      <c r="FD1252" s="260" t="s">
        <v>2948</v>
      </c>
    </row>
    <row r="1253" spans="1:160" ht="68" hidden="1">
      <c r="A1253" s="1" t="s">
        <v>265</v>
      </c>
      <c r="B1253" t="s">
        <v>1403</v>
      </c>
      <c r="C1253" t="s">
        <v>1404</v>
      </c>
      <c r="D1253" t="s">
        <v>1405</v>
      </c>
      <c r="E1253" t="s">
        <v>1406</v>
      </c>
      <c r="F1253" t="s">
        <v>1407</v>
      </c>
      <c r="G1253" t="s">
        <v>271</v>
      </c>
      <c r="H1253" t="s">
        <v>254</v>
      </c>
      <c r="I1253">
        <v>2019</v>
      </c>
      <c r="J1253">
        <v>26</v>
      </c>
      <c r="K1253" t="s">
        <v>1408</v>
      </c>
      <c r="M1253" t="str">
        <f>LEFT($D1253,FIND(",",$D1253)-1)&amp;"_"&amp;I1253&amp;L1253</f>
        <v>Faraca_2019</v>
      </c>
      <c r="N1253" t="s">
        <v>222</v>
      </c>
      <c r="O1253" s="145" t="s">
        <v>274</v>
      </c>
      <c r="P1253" s="179" t="s">
        <v>223</v>
      </c>
      <c r="Q1253" t="s">
        <v>256</v>
      </c>
      <c r="R1253" s="258" t="s">
        <v>223</v>
      </c>
      <c r="S1253" s="1" t="s">
        <v>1409</v>
      </c>
      <c r="T1253" t="s">
        <v>1410</v>
      </c>
      <c r="U1253" t="s">
        <v>932</v>
      </c>
      <c r="V1253" s="253">
        <v>0</v>
      </c>
      <c r="W1253" s="253">
        <v>0</v>
      </c>
      <c r="X1253">
        <v>0</v>
      </c>
      <c r="Y1253">
        <v>0</v>
      </c>
      <c r="Z1253">
        <v>0</v>
      </c>
      <c r="AA1253">
        <v>0</v>
      </c>
      <c r="AB1253">
        <v>0</v>
      </c>
      <c r="AC1253">
        <v>0</v>
      </c>
      <c r="AD1253">
        <v>0</v>
      </c>
      <c r="AE1253">
        <v>0</v>
      </c>
      <c r="AF1253">
        <v>0</v>
      </c>
      <c r="AG1253">
        <v>0</v>
      </c>
      <c r="AH1253">
        <v>0</v>
      </c>
      <c r="AI1253">
        <v>0</v>
      </c>
      <c r="AJ1253">
        <v>0</v>
      </c>
      <c r="AK1253">
        <v>0</v>
      </c>
      <c r="AL1253">
        <v>1</v>
      </c>
      <c r="AM1253">
        <v>0</v>
      </c>
      <c r="AN1253">
        <v>0</v>
      </c>
      <c r="AO1253">
        <v>0</v>
      </c>
      <c r="AP1253">
        <v>0</v>
      </c>
      <c r="AQ1253">
        <v>0</v>
      </c>
      <c r="AR1253">
        <v>0</v>
      </c>
      <c r="AS1253">
        <v>0</v>
      </c>
      <c r="AT1253">
        <v>0</v>
      </c>
      <c r="AU1253">
        <v>0</v>
      </c>
      <c r="AV1253">
        <v>0</v>
      </c>
      <c r="AW1253">
        <v>0</v>
      </c>
      <c r="AX1253">
        <v>0</v>
      </c>
      <c r="AY1253">
        <v>0</v>
      </c>
      <c r="AZ1253" s="141">
        <f>COUNTIF(X1253:AY1253,"&lt;&gt;0")</f>
        <v>1</v>
      </c>
      <c r="BA1253" s="141">
        <f>COUNTIF(X1253:AN1253,"&lt;&gt;0")</f>
        <v>1</v>
      </c>
      <c r="BB1253">
        <f>COUNTIF(X1253:AE1253,"&lt;&gt;0")</f>
        <v>0</v>
      </c>
      <c r="BC1253">
        <f>COUNTIF(AF1253:AK1253,"&lt;&gt;0")</f>
        <v>0</v>
      </c>
      <c r="BD1253">
        <f>COUNTIF(AL1253:AN1253,"&lt;&gt;0")</f>
        <v>1</v>
      </c>
      <c r="BE1253">
        <f>COUNTIF(AU1253:AY1253,"&lt;&gt;0")</f>
        <v>0</v>
      </c>
      <c r="BF1253">
        <f>COUNTIF(AO1253:AT1253,"&lt;&gt;0")</f>
        <v>0</v>
      </c>
      <c r="BG1253" t="str">
        <f t="array" ref="BG1253">IF(BA1253=1,INDEX($X$7:$AN$7,MATCH(TRUE,INDEX($X1253:$AY1253&lt;&gt;0,),0)),IF(BA1253=0,INDEX($AO$7:$AY$7,MATCH(1,$AO1253:$AY1253,0)),IF(BH1253="Multiple strategies","mixed drivers",IF(BH1253="Supply chain","multiple supply","multiple silviculture"))))</f>
        <v>efficiency improvement</v>
      </c>
      <c r="BH1253" s="2" t="str" cm="1">
        <f t="array" ref="BH1253">IF(COUNTIF(BB1253:BD1253,"&lt;&gt;0")=1,INDEX($X$4:$AY$4,MATCH(TRUE,INDEX($X1253:$AY1253&lt;&gt;0,),0)),IF(COUNTIF(BB1253:BD1253,"&lt;&gt;0")=0,INDEX($AO$4:$AY$4,MATCH(1,$AO1253:$AY1253,0)),"Multiple strategies"))</f>
        <v>Technology</v>
      </c>
      <c r="BI1253" s="1" t="s">
        <v>229</v>
      </c>
      <c r="BJ1253" t="s">
        <v>1420</v>
      </c>
      <c r="BK1253" s="260" t="s">
        <v>2800</v>
      </c>
      <c r="BL1253" t="s">
        <v>345</v>
      </c>
      <c r="BM1253">
        <v>562</v>
      </c>
      <c r="BN1253">
        <v>562</v>
      </c>
      <c r="BO1253">
        <v>1</v>
      </c>
      <c r="BP1253">
        <f>BN1253-BM1253</f>
        <v>0</v>
      </c>
      <c r="BQ1253">
        <f>BP1253*kg_to_m3</f>
        <v>0</v>
      </c>
      <c r="BR1253" s="260" t="s">
        <v>395</v>
      </c>
      <c r="BS1253" t="s">
        <v>426</v>
      </c>
      <c r="BT1253" t="s">
        <v>714</v>
      </c>
      <c r="BU1253">
        <v>-16.899999999999999</v>
      </c>
      <c r="BV1253">
        <v>-84.7</v>
      </c>
      <c r="BW1253" s="144"/>
      <c r="BX1253">
        <f>BV1253-BU1253</f>
        <v>-67.800000000000011</v>
      </c>
      <c r="BZ1253">
        <f>BX1253/1000</f>
        <v>-6.7800000000000013E-2</v>
      </c>
      <c r="CA1253" t="str">
        <f>IFERROR(BZ1253/BQ1253,"")</f>
        <v/>
      </c>
      <c r="CB1253">
        <v>0</v>
      </c>
      <c r="CC1253">
        <v>0</v>
      </c>
      <c r="CD1253">
        <v>0</v>
      </c>
      <c r="CE1253">
        <v>0</v>
      </c>
      <c r="CF1253">
        <v>0</v>
      </c>
      <c r="CG1253">
        <v>0</v>
      </c>
      <c r="CH1253">
        <v>0</v>
      </c>
      <c r="CI1253">
        <v>0</v>
      </c>
      <c r="CJ1253">
        <v>0</v>
      </c>
      <c r="CK1253">
        <v>0</v>
      </c>
      <c r="CL1253">
        <v>0</v>
      </c>
      <c r="CM1253">
        <v>0</v>
      </c>
      <c r="CN1253">
        <v>0</v>
      </c>
      <c r="CO1253">
        <v>0</v>
      </c>
      <c r="CP1253" t="str">
        <f>IF($BN1253&lt;$BM1253,"refNeedCorrection","refOK")</f>
        <v>refOK</v>
      </c>
      <c r="CQ1253">
        <f>IF($CP1253="refNeedCorrection",BN1253,BM1253)</f>
        <v>562</v>
      </c>
      <c r="CR1253">
        <f>IF($CP1253="refNeedCorrection",BM1253,BN1253)</f>
        <v>562</v>
      </c>
      <c r="CS1253">
        <f>IF($CP1253="refOK",$BQ1253,-$BQ1253)</f>
        <v>0</v>
      </c>
      <c r="CT1253">
        <f>IF(BI1253="Roundwood",$CS1253/2,$CS1253)</f>
        <v>0</v>
      </c>
      <c r="CU1253">
        <f>IF($CP1253="refOK",$BU1253,$BV1253)*IF($BR1253="Emissions positive",-1,1)</f>
        <v>16.899999999999999</v>
      </c>
      <c r="CV1253">
        <f>IF($CP1253="refOK",$BU1253,#REF!)*IF($BR1253="Emissions positive",-1,1)</f>
        <v>16.899999999999999</v>
      </c>
      <c r="CW1253">
        <f>IF($CP1253="refNeedCorrection",-BZ1253,BZ1253)*IF($BR1253="Emissions positive",-1,1)</f>
        <v>6.7800000000000013E-2</v>
      </c>
      <c r="CX1253" t="str">
        <f>IFERROR($CW1253/$CS1253,"")</f>
        <v/>
      </c>
      <c r="CY1253" t="str">
        <f>IFERROR($CW1253/$CS1253,"")</f>
        <v/>
      </c>
      <c r="CZ1253" t="str">
        <f>IFERROR($CW1253/$CT1253,"")</f>
        <v/>
      </c>
      <c r="DA1253" s="2">
        <f>IFERROR((CV1253-CU1253)/ABS(CU1253),"")</f>
        <v>0</v>
      </c>
      <c r="DB1253" s="1" t="s">
        <v>1074</v>
      </c>
      <c r="DC1253" t="str">
        <f>IF(OR($DB1253="prd",$DB1253="std",$DB1253="cit"),"loc",IF(OR($DB1253="eur",$DB1253="reg",$DB1253="coy"),"reg",$DB1253))</f>
        <v>reg</v>
      </c>
      <c r="DD1253" t="s">
        <v>1412</v>
      </c>
      <c r="DG1253">
        <v>500</v>
      </c>
      <c r="DH1253" t="str">
        <f>IF(DG1253=0,"0",IF(AND(DG1253&gt;=1,DG1253&lt;=30),"1-30",IF(AND(DG1253&gt;30,DG1253&lt;=70),"31-70",IF(AND(DG1253&gt;70,DG1253&lt;=100),"71-100",IF(DG1253&gt;100,"+100")))))</f>
        <v>+100</v>
      </c>
      <c r="DI1253">
        <v>0</v>
      </c>
      <c r="DJ1253">
        <v>0</v>
      </c>
      <c r="DK1253">
        <v>0</v>
      </c>
      <c r="DL1253">
        <v>1</v>
      </c>
      <c r="DN1253">
        <f>SUM(DI1253:DL1253)</f>
        <v>1</v>
      </c>
      <c r="DO1253" t="str">
        <f>IF(DN1253=1,INDEX($DI$7:$DL$7,MATCH(1,$DI1253:$DL1253,0)),"mixedProduct")</f>
        <v>TimberInput</v>
      </c>
      <c r="DP1253">
        <f>IF(DI1253=1,DP$7,0)</f>
        <v>0</v>
      </c>
      <c r="DQ1253">
        <f>IF(DJ1253=1,DQ$7,0)</f>
        <v>0</v>
      </c>
      <c r="DR1253">
        <f>IF(DK1253=1,DR$7,0)</f>
        <v>0</v>
      </c>
      <c r="DS1253" t="str">
        <f>IF(DL1253=1,DS$7,0)</f>
        <v>Timber</v>
      </c>
      <c r="DT1253">
        <v>0</v>
      </c>
      <c r="DU1253">
        <v>0</v>
      </c>
      <c r="DV1253">
        <v>0</v>
      </c>
      <c r="DW1253">
        <v>0</v>
      </c>
      <c r="DX1253">
        <v>0</v>
      </c>
      <c r="DY1253">
        <f>SUM(DT1253:DU1253)</f>
        <v>0</v>
      </c>
      <c r="DZ1253" s="143" t="str">
        <f>IF(DT1253=1,"self-calculated DF",IF(DU1253=1,"external DF used","explicit C balance"))</f>
        <v>explicit C balance</v>
      </c>
      <c r="EA1253">
        <v>0</v>
      </c>
      <c r="EB1253">
        <v>0</v>
      </c>
      <c r="EC1253">
        <v>0</v>
      </c>
      <c r="ED1253">
        <v>0</v>
      </c>
      <c r="EE1253">
        <v>1</v>
      </c>
      <c r="EF1253" s="143">
        <v>1</v>
      </c>
      <c r="EG1253">
        <v>0</v>
      </c>
      <c r="EH1253">
        <v>1</v>
      </c>
      <c r="EI1253">
        <v>0</v>
      </c>
      <c r="EJ1253">
        <v>1</v>
      </c>
      <c r="EK1253">
        <v>1</v>
      </c>
      <c r="EL1253">
        <v>1</v>
      </c>
      <c r="EM1253">
        <v>0</v>
      </c>
      <c r="EN1253" s="2">
        <v>0</v>
      </c>
      <c r="EP1253" t="str">
        <f>IF(AND(AND(AND(OR($EC1253=1,$EB1253=1),OR($EH1253=1,$EF1253=1)),SUM($EA1253:$EE1253,$EK1253)&gt;=3),SUM($EF1253:$EJ1253)&gt;=2),"Whole sector approach","")</f>
        <v/>
      </c>
      <c r="EQ1253" t="str">
        <f>IF(AND(AND(OR($EC1253=1,$EB1253=1),AND($EH1253=0,$EF1253=0)),SUM($EA1253:$EE1253,$EK1253)&gt;=4),"Ecosystem approach","")</f>
        <v/>
      </c>
      <c r="ER1253" s="2" t="str">
        <f>IF(AND(AND(AND($EC1253=0,$EB1253=0),OR($EH1253=1,$EF1253=1)),SUM($EG1253:$EJ1253)&gt;=2),"Technology approach","")</f>
        <v>Technology approach</v>
      </c>
      <c r="ES1253" t="str">
        <f>IF(AND($EC1253+$EB1253+$EE1253+$EA1253+$ED1253+$EG1253=0,$N1253="included"),"C neutral forest and HWP assumption","")</f>
        <v/>
      </c>
      <c r="ET1253" t="str">
        <f>IF(AND(AND(AND(AND($EC1253=1,$EB1253+$EA1253+$EG1253&gt;=1),$EF1253=1),$EH1253+$EI1253+$ED1253+$EE1253&gt;=2),$N1253="included"),"All C pools assumption","")</f>
        <v/>
      </c>
      <c r="EU1253" t="str">
        <f>IF(AND($ED1253+$EE1253+$EI1253+$EH1253+$EF1253=0,$N1253="included"),"In-situ only assumption","")</f>
        <v/>
      </c>
      <c r="EY1253" t="b">
        <f>IF(ISNUMBER(BW1253),IF(ABS(BW1253-[2]QC_indicators!$B$2)&gt;3*[2]QC_indicators!$C$2,"C ratio",IF(ISNUMBER(CA1253),IF(ABS(CA1253-[2]QC_indicators!$B$1)&gt;3*[2]QC_indicators!$C$1,"DF","no"))),IF(ISNUMBER(CA1253),IF(ABS(CA1253-[2]QC_indicators!$B$1)&gt;3*[2]QC_indicators!$C$1,"DF","no")))</f>
        <v>0</v>
      </c>
      <c r="FA1253" t="str">
        <f>IF(LEN($CY1253)=0,"",IF(AND($CY1253&lt;(-0.05),$ES1253="C neutral forest and HWP assumption"),"Cneutral paradox",IF(AND($CY1253&gt;0.05,$EU1253="In-situ only assumption"),"In-situ only paradox","")))</f>
        <v/>
      </c>
      <c r="FD1253" s="260" t="s">
        <v>2948</v>
      </c>
    </row>
    <row r="1254" spans="1:160" ht="15" hidden="1" customHeight="1">
      <c r="A1254" s="1" t="s">
        <v>265</v>
      </c>
      <c r="B1254" t="s">
        <v>1403</v>
      </c>
      <c r="C1254" t="s">
        <v>1404</v>
      </c>
      <c r="D1254" t="s">
        <v>1405</v>
      </c>
      <c r="E1254" t="s">
        <v>1406</v>
      </c>
      <c r="F1254" t="s">
        <v>1407</v>
      </c>
      <c r="G1254" t="s">
        <v>271</v>
      </c>
      <c r="H1254" t="s">
        <v>254</v>
      </c>
      <c r="I1254">
        <v>2019</v>
      </c>
      <c r="J1254">
        <v>26</v>
      </c>
      <c r="K1254" t="s">
        <v>1408</v>
      </c>
      <c r="M1254" t="str">
        <f>LEFT($D1254,FIND(",",$D1254)-1)&amp;"_"&amp;I1254&amp;L1254</f>
        <v>Faraca_2019</v>
      </c>
      <c r="N1254" t="s">
        <v>222</v>
      </c>
      <c r="O1254" s="145" t="s">
        <v>274</v>
      </c>
      <c r="P1254" s="179" t="s">
        <v>223</v>
      </c>
      <c r="Q1254" t="s">
        <v>256</v>
      </c>
      <c r="R1254" s="258" t="s">
        <v>223</v>
      </c>
      <c r="S1254" s="259" t="s">
        <v>2807</v>
      </c>
      <c r="T1254" t="s">
        <v>1410</v>
      </c>
      <c r="U1254" t="s">
        <v>932</v>
      </c>
      <c r="V1254" s="253">
        <v>0</v>
      </c>
      <c r="W1254" s="253">
        <v>0</v>
      </c>
      <c r="X1254">
        <v>0</v>
      </c>
      <c r="Y1254">
        <v>0</v>
      </c>
      <c r="Z1254">
        <v>0</v>
      </c>
      <c r="AA1254">
        <v>0</v>
      </c>
      <c r="AB1254">
        <v>0</v>
      </c>
      <c r="AC1254">
        <v>0</v>
      </c>
      <c r="AD1254">
        <v>0</v>
      </c>
      <c r="AE1254">
        <v>0</v>
      </c>
      <c r="AF1254">
        <v>0</v>
      </c>
      <c r="AG1254">
        <v>0</v>
      </c>
      <c r="AH1254">
        <v>0</v>
      </c>
      <c r="AI1254">
        <v>0</v>
      </c>
      <c r="AJ1254">
        <v>0</v>
      </c>
      <c r="AK1254">
        <v>0</v>
      </c>
      <c r="AL1254">
        <v>1</v>
      </c>
      <c r="AM1254">
        <v>0</v>
      </c>
      <c r="AN1254">
        <v>0</v>
      </c>
      <c r="AO1254">
        <v>0</v>
      </c>
      <c r="AP1254">
        <v>0</v>
      </c>
      <c r="AQ1254">
        <v>0</v>
      </c>
      <c r="AR1254">
        <v>0</v>
      </c>
      <c r="AS1254">
        <v>0</v>
      </c>
      <c r="AT1254">
        <v>0</v>
      </c>
      <c r="AU1254">
        <v>0</v>
      </c>
      <c r="AV1254">
        <v>0</v>
      </c>
      <c r="AW1254">
        <v>0</v>
      </c>
      <c r="AX1254">
        <v>0</v>
      </c>
      <c r="AY1254">
        <v>0</v>
      </c>
      <c r="AZ1254" s="141">
        <f>COUNTIF(X1254:AY1254,"&lt;&gt;0")</f>
        <v>1</v>
      </c>
      <c r="BA1254" s="141">
        <f>COUNTIF(X1254:AN1254,"&lt;&gt;0")</f>
        <v>1</v>
      </c>
      <c r="BB1254">
        <f>COUNTIF(X1254:AE1254,"&lt;&gt;0")</f>
        <v>0</v>
      </c>
      <c r="BC1254">
        <f>COUNTIF(AF1254:AK1254,"&lt;&gt;0")</f>
        <v>0</v>
      </c>
      <c r="BD1254">
        <f>COUNTIF(AL1254:AN1254,"&lt;&gt;0")</f>
        <v>1</v>
      </c>
      <c r="BE1254">
        <f>COUNTIF(AU1254:AY1254,"&lt;&gt;0")</f>
        <v>0</v>
      </c>
      <c r="BF1254">
        <f>COUNTIF(AO1254:AT1254,"&lt;&gt;0")</f>
        <v>0</v>
      </c>
      <c r="BG1254" t="str">
        <f t="array" ref="BG1254">IF(BA1254=1,INDEX($X$7:$AN$7,MATCH(TRUE,INDEX($X1254:$AY1254&lt;&gt;0,),0)),IF(BA1254=0,INDEX($AO$7:$AY$7,MATCH(1,$AO1254:$AY1254,0)),IF(BH1254="Multiple strategies","mixed drivers",IF(BH1254="Supply chain","multiple supply","multiple silviculture"))))</f>
        <v>efficiency improvement</v>
      </c>
      <c r="BH1254" s="2" t="str" cm="1">
        <f t="array" ref="BH1254">IF(COUNTIF(BB1254:BD1254,"&lt;&gt;0")=1,INDEX($X$4:$AY$4,MATCH(TRUE,INDEX($X1254:$AY1254&lt;&gt;0,),0)),IF(COUNTIF(BB1254:BD1254,"&lt;&gt;0")=0,INDEX($AO$4:$AY$4,MATCH(1,$AO1254:$AY1254,0)),"Multiple strategies"))</f>
        <v>Technology</v>
      </c>
      <c r="BI1254" s="1" t="s">
        <v>229</v>
      </c>
      <c r="BJ1254" t="s">
        <v>1420</v>
      </c>
      <c r="BK1254" s="260" t="s">
        <v>2800</v>
      </c>
      <c r="BL1254" t="s">
        <v>345</v>
      </c>
      <c r="BM1254">
        <v>562</v>
      </c>
      <c r="BN1254">
        <v>562</v>
      </c>
      <c r="BO1254">
        <v>1</v>
      </c>
      <c r="BP1254">
        <f>BN1254-BM1254</f>
        <v>0</v>
      </c>
      <c r="BQ1254">
        <f>BP1254*kg_to_m3</f>
        <v>0</v>
      </c>
      <c r="BR1254" s="260" t="s">
        <v>395</v>
      </c>
      <c r="BS1254" t="s">
        <v>426</v>
      </c>
      <c r="BT1254" t="s">
        <v>714</v>
      </c>
      <c r="BU1254">
        <v>33.9</v>
      </c>
      <c r="BV1254">
        <v>-40.700000000000003</v>
      </c>
      <c r="BW1254" s="144">
        <v>1</v>
      </c>
      <c r="BX1254">
        <f>BV1254-BU1254</f>
        <v>-74.599999999999994</v>
      </c>
      <c r="BZ1254">
        <f>BX1254/1000</f>
        <v>-7.46E-2</v>
      </c>
      <c r="CA1254" t="str">
        <f>IFERROR(BZ1254/BQ1254,"")</f>
        <v/>
      </c>
      <c r="CB1254">
        <v>0</v>
      </c>
      <c r="CC1254">
        <v>0</v>
      </c>
      <c r="CD1254">
        <v>0</v>
      </c>
      <c r="CE1254">
        <v>0</v>
      </c>
      <c r="CF1254">
        <v>0</v>
      </c>
      <c r="CG1254">
        <v>0</v>
      </c>
      <c r="CH1254">
        <v>0</v>
      </c>
      <c r="CI1254">
        <v>0</v>
      </c>
      <c r="CJ1254">
        <v>0</v>
      </c>
      <c r="CK1254">
        <v>0</v>
      </c>
      <c r="CL1254">
        <v>0</v>
      </c>
      <c r="CM1254">
        <v>0</v>
      </c>
      <c r="CN1254">
        <v>0</v>
      </c>
      <c r="CO1254">
        <v>0</v>
      </c>
      <c r="CP1254" t="str">
        <f>IF($BN1254&lt;$BM1254,"refNeedCorrection","refOK")</f>
        <v>refOK</v>
      </c>
      <c r="CQ1254">
        <f>IF($CP1254="refNeedCorrection",BN1254,BM1254)</f>
        <v>562</v>
      </c>
      <c r="CR1254">
        <f>IF($CP1254="refNeedCorrection",BM1254,BN1254)</f>
        <v>562</v>
      </c>
      <c r="CS1254">
        <f>IF($CP1254="refOK",$BQ1254,-$BQ1254)</f>
        <v>0</v>
      </c>
      <c r="CT1254">
        <f>IF(BI1254="Roundwood",$CS1254/2,$CS1254)</f>
        <v>0</v>
      </c>
      <c r="CU1254">
        <f>IF($CP1254="refOK",$BU1254,$BV1254)*IF($BR1254="Emissions positive",-1,1)</f>
        <v>-33.9</v>
      </c>
      <c r="CV1254">
        <f>IF($CP1254="refOK",$BV1254,$BU1254)*IF($BR1254="Emissions positive",-1,1)</f>
        <v>40.700000000000003</v>
      </c>
      <c r="CW1254">
        <f>IF($CP1254="refNeedCorrection",-BZ1254,BZ1254)*IF($BR1254="Emissions positive",-1,1)</f>
        <v>7.46E-2</v>
      </c>
      <c r="CX1254" t="str">
        <f>IFERROR($CW1254/$CS1254,"")</f>
        <v/>
      </c>
      <c r="CY1254" t="str">
        <f>IFERROR($CW1254/$CS1254,"")</f>
        <v/>
      </c>
      <c r="CZ1254" t="str">
        <f>IFERROR($CW1254/$CT1254,"")</f>
        <v/>
      </c>
      <c r="DA1254" s="2">
        <f>IFERROR((CV1254-CU1254)/ABS(CU1254),"")</f>
        <v>2.2005899705014746</v>
      </c>
      <c r="DB1254" s="1" t="s">
        <v>1074</v>
      </c>
      <c r="DC1254" t="str">
        <f>IF(OR($DB1254="prd",$DB1254="std",$DB1254="cit"),"loc",IF(OR($DB1254="eur",$DB1254="reg",$DB1254="coy"),"reg",$DB1254))</f>
        <v>reg</v>
      </c>
      <c r="DD1254" t="s">
        <v>1412</v>
      </c>
      <c r="DG1254">
        <v>100</v>
      </c>
      <c r="DH1254" t="str">
        <f>IF(DG1254=0,"0",IF(AND(DG1254&gt;=1,DG1254&lt;=30),"1-30",IF(AND(DG1254&gt;30,DG1254&lt;=70),"31-70",IF(AND(DG1254&gt;70,DG1254&lt;=100),"71-100",IF(DG1254&gt;100,"+100")))))</f>
        <v>71-100</v>
      </c>
      <c r="DI1254">
        <v>0</v>
      </c>
      <c r="DJ1254">
        <v>0</v>
      </c>
      <c r="DK1254">
        <v>0</v>
      </c>
      <c r="DL1254">
        <v>1</v>
      </c>
      <c r="DN1254">
        <f>SUM(DI1254:DL1254)</f>
        <v>1</v>
      </c>
      <c r="DO1254" t="str">
        <f>IF(DN1254=1,INDEX($DI$7:$DL$7,MATCH(1,$DI1254:$DL1254,0)),"mixedProduct")</f>
        <v>TimberInput</v>
      </c>
      <c r="DP1254">
        <f>IF(DI1254=1,DP$7,0)</f>
        <v>0</v>
      </c>
      <c r="DQ1254">
        <f>IF(DJ1254=1,DQ$7,0)</f>
        <v>0</v>
      </c>
      <c r="DR1254">
        <f>IF(DK1254=1,DR$7,0)</f>
        <v>0</v>
      </c>
      <c r="DS1254" t="str">
        <f>IF(DL1254=1,DS$7,0)</f>
        <v>Timber</v>
      </c>
      <c r="DT1254">
        <v>0</v>
      </c>
      <c r="DU1254">
        <v>1</v>
      </c>
      <c r="DV1254">
        <v>0</v>
      </c>
      <c r="DW1254">
        <v>0</v>
      </c>
      <c r="DX1254" t="s">
        <v>1413</v>
      </c>
      <c r="DY1254">
        <f>SUM(DT1254:DU1254)</f>
        <v>1</v>
      </c>
      <c r="DZ1254" s="143" t="str">
        <f>IF(DT1254=1,"self-calculated DF",IF(DU1254=1,"external DF used","explicit C balance"))</f>
        <v>external DF used</v>
      </c>
      <c r="EA1254">
        <v>0</v>
      </c>
      <c r="EB1254">
        <v>0</v>
      </c>
      <c r="EC1254">
        <v>0</v>
      </c>
      <c r="ED1254">
        <v>0</v>
      </c>
      <c r="EE1254">
        <v>1</v>
      </c>
      <c r="EF1254" s="143">
        <v>1</v>
      </c>
      <c r="EG1254">
        <v>0</v>
      </c>
      <c r="EH1254">
        <v>1</v>
      </c>
      <c r="EI1254">
        <v>0</v>
      </c>
      <c r="EJ1254">
        <v>1</v>
      </c>
      <c r="EK1254">
        <v>1</v>
      </c>
      <c r="EL1254">
        <v>1</v>
      </c>
      <c r="EM1254">
        <v>0</v>
      </c>
      <c r="EN1254" s="2">
        <v>0</v>
      </c>
      <c r="EP1254" t="str">
        <f>IF(AND(AND(AND(OR($EC1254=1,$EB1254=1),OR($EH1254=1,$EF1254=1)),SUM($EA1254:$EE1254,$EK1254)&gt;=3),SUM($EF1254:$EJ1254)&gt;=2),"Whole sector approach","")</f>
        <v/>
      </c>
      <c r="EQ1254" t="str">
        <f>IF(AND(AND(OR($EC1254=1,$EB1254=1),AND($EH1254=0,$EF1254=0)),SUM($EA1254:$EE1254,$EK1254)&gt;=4),"Ecosystem approach","")</f>
        <v/>
      </c>
      <c r="ER1254" s="2" t="str">
        <f>IF(AND(AND(AND($EC1254=0,$EB1254=0),OR($EH1254=1,$EF1254=1)),SUM($EG1254:$EJ1254)&gt;=2),"Technology approach","")</f>
        <v>Technology approach</v>
      </c>
      <c r="ES1254" t="str">
        <f>IF(AND($EC1254+$EB1254+$EE1254+$EA1254+$ED1254+$EG1254=0,$N1254="included"),"C neutral forest and HWP assumption","")</f>
        <v/>
      </c>
      <c r="ET1254" t="str">
        <f>IF(AND(AND(AND(AND($EC1254=1,$EB1254+$EA1254+$EG1254&gt;=1),$EF1254=1),$EH1254+$EI1254+$ED1254+$EE1254&gt;=2),$N1254="included"),"All C pools assumption","")</f>
        <v/>
      </c>
      <c r="EU1254" t="str">
        <f>IF(AND($ED1254+$EE1254+$EI1254+$EH1254+$EF1254=0,$N1254="included"),"In-situ only assumption","")</f>
        <v/>
      </c>
      <c r="EY1254" t="b">
        <f>IF(ISNUMBER(BW1254),IF(ABS(BW1254-[2]QC_indicators!$B$2)&gt;3*[2]QC_indicators!$C$2,"C ratio",IF(ISNUMBER(CA1254),IF(ABS(CA1254-[2]QC_indicators!$B$1)&gt;3*[2]QC_indicators!$C$1,"DF","no"))),IF(ISNUMBER(CA1254),IF(ABS(CA1254-[2]QC_indicators!$B$1)&gt;3*[2]QC_indicators!$C$1,"DF","no")))</f>
        <v>0</v>
      </c>
      <c r="FA1254" t="str">
        <f>IF(LEN($CY1254)=0,"",IF(AND($CY1254&lt;(-0.05),$ES1254="C neutral forest and HWP assumption"),"Cneutral paradox",IF(AND($CY1254&gt;0.05,$EU1254="In-situ only assumption"),"In-situ only paradox","")))</f>
        <v/>
      </c>
      <c r="FD1254" s="260" t="s">
        <v>2948</v>
      </c>
    </row>
    <row r="1255" spans="1:160" ht="18" hidden="1" customHeight="1">
      <c r="A1255" s="1" t="s">
        <v>265</v>
      </c>
      <c r="B1255" t="s">
        <v>1403</v>
      </c>
      <c r="C1255" t="s">
        <v>1404</v>
      </c>
      <c r="D1255" t="s">
        <v>1405</v>
      </c>
      <c r="E1255" t="s">
        <v>1406</v>
      </c>
      <c r="F1255" t="s">
        <v>1407</v>
      </c>
      <c r="G1255" t="s">
        <v>271</v>
      </c>
      <c r="H1255" t="s">
        <v>254</v>
      </c>
      <c r="I1255">
        <v>2019</v>
      </c>
      <c r="J1255">
        <v>26</v>
      </c>
      <c r="K1255" t="s">
        <v>1408</v>
      </c>
      <c r="M1255" t="str">
        <f>LEFT($D1255,FIND(",",$D1255)-1)&amp;"_"&amp;I1255&amp;L1255</f>
        <v>Faraca_2019</v>
      </c>
      <c r="N1255" t="s">
        <v>222</v>
      </c>
      <c r="O1255" s="145" t="s">
        <v>274</v>
      </c>
      <c r="P1255" s="179" t="s">
        <v>223</v>
      </c>
      <c r="Q1255" t="s">
        <v>256</v>
      </c>
      <c r="R1255" s="258" t="s">
        <v>223</v>
      </c>
      <c r="S1255" s="259" t="s">
        <v>2806</v>
      </c>
      <c r="T1255" t="s">
        <v>1410</v>
      </c>
      <c r="U1255" t="s">
        <v>932</v>
      </c>
      <c r="V1255" s="253">
        <v>0</v>
      </c>
      <c r="W1255" s="253">
        <v>0</v>
      </c>
      <c r="X1255">
        <v>0</v>
      </c>
      <c r="Y1255">
        <v>0</v>
      </c>
      <c r="Z1255">
        <v>0</v>
      </c>
      <c r="AA1255">
        <v>0</v>
      </c>
      <c r="AB1255">
        <v>0</v>
      </c>
      <c r="AC1255">
        <v>0</v>
      </c>
      <c r="AD1255">
        <v>0</v>
      </c>
      <c r="AE1255">
        <v>0</v>
      </c>
      <c r="AF1255">
        <v>0</v>
      </c>
      <c r="AG1255">
        <v>0</v>
      </c>
      <c r="AH1255">
        <v>0</v>
      </c>
      <c r="AI1255">
        <v>0</v>
      </c>
      <c r="AJ1255">
        <v>0</v>
      </c>
      <c r="AK1255">
        <v>0</v>
      </c>
      <c r="AL1255">
        <v>1</v>
      </c>
      <c r="AM1255">
        <v>0</v>
      </c>
      <c r="AN1255">
        <v>0</v>
      </c>
      <c r="AO1255">
        <v>0</v>
      </c>
      <c r="AP1255">
        <v>0</v>
      </c>
      <c r="AQ1255">
        <v>0</v>
      </c>
      <c r="AR1255">
        <v>0</v>
      </c>
      <c r="AS1255">
        <v>0</v>
      </c>
      <c r="AT1255">
        <v>0</v>
      </c>
      <c r="AU1255">
        <v>0</v>
      </c>
      <c r="AV1255">
        <v>0</v>
      </c>
      <c r="AW1255">
        <v>0</v>
      </c>
      <c r="AX1255">
        <v>0</v>
      </c>
      <c r="AY1255">
        <v>0</v>
      </c>
      <c r="AZ1255" s="141">
        <f>COUNTIF(X1255:AY1255,"&lt;&gt;0")</f>
        <v>1</v>
      </c>
      <c r="BA1255" s="141">
        <f>COUNTIF(X1255:AN1255,"&lt;&gt;0")</f>
        <v>1</v>
      </c>
      <c r="BB1255">
        <f>COUNTIF(X1255:AE1255,"&lt;&gt;0")</f>
        <v>0</v>
      </c>
      <c r="BC1255">
        <f>COUNTIF(AF1255:AK1255,"&lt;&gt;0")</f>
        <v>0</v>
      </c>
      <c r="BD1255">
        <f>COUNTIF(AL1255:AN1255,"&lt;&gt;0")</f>
        <v>1</v>
      </c>
      <c r="BE1255">
        <f>COUNTIF(AU1255:AY1255,"&lt;&gt;0")</f>
        <v>0</v>
      </c>
      <c r="BF1255">
        <f>COUNTIF(AO1255:AT1255,"&lt;&gt;0")</f>
        <v>0</v>
      </c>
      <c r="BG1255" t="str">
        <f t="array" ref="BG1255">IF(BA1255=1,INDEX($X$7:$AN$7,MATCH(TRUE,INDEX($X1255:$AY1255&lt;&gt;0,),0)),IF(BA1255=0,INDEX($AO$7:$AY$7,MATCH(1,$AO1255:$AY1255,0)),IF(BH1255="Multiple strategies","mixed drivers",IF(BH1255="Supply chain","multiple supply","multiple silviculture"))))</f>
        <v>efficiency improvement</v>
      </c>
      <c r="BH1255" s="2" t="str" cm="1">
        <f t="array" ref="BH1255">IF(COUNTIF(BB1255:BD1255,"&lt;&gt;0")=1,INDEX($X$4:$AY$4,MATCH(TRUE,INDEX($X1255:$AY1255&lt;&gt;0,),0)),IF(COUNTIF(BB1255:BD1255,"&lt;&gt;0")=0,INDEX($AO$4:$AY$4,MATCH(1,$AO1255:$AY1255,0)),"Multiple strategies"))</f>
        <v>Technology</v>
      </c>
      <c r="BI1255" s="1" t="s">
        <v>229</v>
      </c>
      <c r="BJ1255" t="s">
        <v>1420</v>
      </c>
      <c r="BK1255" s="260" t="s">
        <v>2800</v>
      </c>
      <c r="BL1255" t="s">
        <v>345</v>
      </c>
      <c r="BM1255">
        <v>562</v>
      </c>
      <c r="BN1255">
        <v>562</v>
      </c>
      <c r="BO1255">
        <v>1</v>
      </c>
      <c r="BP1255">
        <f>BN1255-BM1255</f>
        <v>0</v>
      </c>
      <c r="BQ1255">
        <f>BP1255*kg_to_m3</f>
        <v>0</v>
      </c>
      <c r="BR1255" s="260" t="s">
        <v>395</v>
      </c>
      <c r="BS1255" t="s">
        <v>426</v>
      </c>
      <c r="BT1255" t="s">
        <v>714</v>
      </c>
      <c r="BU1255">
        <v>515.29999999999995</v>
      </c>
      <c r="BV1255">
        <v>474.6</v>
      </c>
      <c r="BW1255" s="144"/>
      <c r="BX1255">
        <f>BV1255-BU1255</f>
        <v>-40.699999999999932</v>
      </c>
      <c r="BZ1255">
        <f>BX1255/1000</f>
        <v>-4.0699999999999931E-2</v>
      </c>
      <c r="CA1255" t="str">
        <f>IFERROR(BZ1255/BQ1255,"")</f>
        <v/>
      </c>
      <c r="CB1255">
        <v>0</v>
      </c>
      <c r="CC1255">
        <v>0</v>
      </c>
      <c r="CD1255">
        <v>0</v>
      </c>
      <c r="CE1255">
        <v>0</v>
      </c>
      <c r="CF1255">
        <v>0</v>
      </c>
      <c r="CG1255">
        <v>0</v>
      </c>
      <c r="CH1255">
        <v>0</v>
      </c>
      <c r="CI1255">
        <v>0</v>
      </c>
      <c r="CJ1255">
        <v>0</v>
      </c>
      <c r="CK1255">
        <v>0</v>
      </c>
      <c r="CL1255">
        <v>0</v>
      </c>
      <c r="CM1255">
        <v>0</v>
      </c>
      <c r="CN1255">
        <v>0</v>
      </c>
      <c r="CO1255">
        <v>0</v>
      </c>
      <c r="CP1255" t="str">
        <f>IF($BN1255&lt;$BM1255,"refNeedCorrection","refOK")</f>
        <v>refOK</v>
      </c>
      <c r="CQ1255">
        <f>IF($CP1255="refNeedCorrection",BN1255,BM1255)</f>
        <v>562</v>
      </c>
      <c r="CR1255">
        <f>IF($CP1255="refNeedCorrection",BM1255,BN1255)</f>
        <v>562</v>
      </c>
      <c r="CS1255">
        <f>IF($CP1255="refOK",$BQ1255,-$BQ1255)</f>
        <v>0</v>
      </c>
      <c r="CT1255">
        <f>IF(BI1255="Roundwood",$CS1255/2,$CS1255)</f>
        <v>0</v>
      </c>
      <c r="CU1255">
        <f>IF($CP1255="refOK",$BU1255,$BV1255)*IF($BR1255="Emissions positive",-1,1)</f>
        <v>-515.29999999999995</v>
      </c>
      <c r="CV1255">
        <f>IF($CP1255="refOK",$BV1255,$BU1255)*IF($BR1255="Emissions positive",-1,1)</f>
        <v>-474.6</v>
      </c>
      <c r="CW1255">
        <f>IF($CP1255="refNeedCorrection",-BZ1255,BZ1255)*IF($BR1255="Emissions positive",-1,1)</f>
        <v>4.0699999999999931E-2</v>
      </c>
      <c r="CX1255" t="str">
        <f>IFERROR($CW1255/$CS1255,"")</f>
        <v/>
      </c>
      <c r="CY1255" t="str">
        <f>IFERROR($CW1255/$CS1255,"")</f>
        <v/>
      </c>
      <c r="CZ1255" t="str">
        <f>IFERROR($CW1255/$CT1255,"")</f>
        <v/>
      </c>
      <c r="DA1255" s="2">
        <f>IFERROR((CV1255-CU1255)/ABS(CU1255),"")</f>
        <v>7.8983116631088562E-2</v>
      </c>
      <c r="DB1255" s="1" t="s">
        <v>1074</v>
      </c>
      <c r="DC1255" t="str">
        <f>IF(OR($DB1255="prd",$DB1255="std",$DB1255="cit"),"loc",IF(OR($DB1255="eur",$DB1255="reg",$DB1255="coy"),"reg",$DB1255))</f>
        <v>reg</v>
      </c>
      <c r="DD1255" t="s">
        <v>1412</v>
      </c>
      <c r="DG1255">
        <v>100</v>
      </c>
      <c r="DH1255" t="str">
        <f>IF(DG1255=0,"0",IF(AND(DG1255&gt;=1,DG1255&lt;=30),"1-30",IF(AND(DG1255&gt;30,DG1255&lt;=70),"31-70",IF(AND(DG1255&gt;70,DG1255&lt;=100),"71-100",IF(DG1255&gt;100,"+100")))))</f>
        <v>71-100</v>
      </c>
      <c r="DI1255">
        <v>0</v>
      </c>
      <c r="DJ1255">
        <v>0</v>
      </c>
      <c r="DK1255">
        <v>0</v>
      </c>
      <c r="DL1255">
        <v>1</v>
      </c>
      <c r="DN1255">
        <f>SUM(DI1255:DL1255)</f>
        <v>1</v>
      </c>
      <c r="DO1255" t="str">
        <f>IF(DN1255=1,INDEX($DI$7:$DL$7,MATCH(1,$DI1255:$DL1255,0)),"mixedProduct")</f>
        <v>TimberInput</v>
      </c>
      <c r="DP1255">
        <f>IF(DI1255=1,DP$7,0)</f>
        <v>0</v>
      </c>
      <c r="DQ1255">
        <f>IF(DJ1255=1,DQ$7,0)</f>
        <v>0</v>
      </c>
      <c r="DR1255">
        <f>IF(DK1255=1,DR$7,0)</f>
        <v>0</v>
      </c>
      <c r="DS1255" t="str">
        <f>IF(DL1255=1,DS$7,0)</f>
        <v>Timber</v>
      </c>
      <c r="DT1255">
        <v>0</v>
      </c>
      <c r="DU1255">
        <v>0</v>
      </c>
      <c r="DV1255">
        <v>0</v>
      </c>
      <c r="DW1255">
        <v>0</v>
      </c>
      <c r="DX1255">
        <v>0</v>
      </c>
      <c r="DY1255">
        <f>SUM(DT1255:DU1255)</f>
        <v>0</v>
      </c>
      <c r="DZ1255" s="143" t="str">
        <f>IF(DT1255=1,"self-calculated DF",IF(DU1255=1,"external DF used","explicit C balance"))</f>
        <v>explicit C balance</v>
      </c>
      <c r="EA1255">
        <v>0</v>
      </c>
      <c r="EB1255">
        <v>0</v>
      </c>
      <c r="EC1255">
        <v>0</v>
      </c>
      <c r="ED1255">
        <v>0</v>
      </c>
      <c r="EE1255">
        <v>1</v>
      </c>
      <c r="EF1255" s="143">
        <v>0</v>
      </c>
      <c r="EG1255">
        <v>0</v>
      </c>
      <c r="EH1255">
        <v>1</v>
      </c>
      <c r="EI1255">
        <v>0</v>
      </c>
      <c r="EJ1255">
        <v>1</v>
      </c>
      <c r="EK1255">
        <v>1</v>
      </c>
      <c r="EL1255">
        <v>1</v>
      </c>
      <c r="EM1255">
        <v>0</v>
      </c>
      <c r="EN1255" s="2">
        <v>0</v>
      </c>
      <c r="EP1255" t="str">
        <f>IF(AND(AND(AND(OR($EC1255=1,$EB1255=1),OR($EH1255=1,$EF1255=1)),SUM($EA1255:$EE1255,$EK1255)&gt;=3),SUM($EF1255:$EJ1255)&gt;=2),"Whole sector approach","")</f>
        <v/>
      </c>
      <c r="EQ1255" t="str">
        <f>IF(AND(AND(OR($EC1255=1,$EB1255=1),AND($EH1255=0,$EF1255=0)),SUM($EA1255:$EE1255,$EK1255)&gt;=4),"Ecosystem approach","")</f>
        <v/>
      </c>
      <c r="ER1255" s="2" t="str">
        <f>IF(AND(AND(AND($EC1255=0,$EB1255=0),OR($EH1255=1,$EF1255=1)),SUM($EG1255:$EJ1255)&gt;=2),"Technology approach","")</f>
        <v>Technology approach</v>
      </c>
      <c r="ES1255" t="str">
        <f>IF(AND($EC1255+$EB1255+$EE1255+$EA1255+$ED1255+$EG1255=0,$N1255="included"),"C neutral forest and HWP assumption","")</f>
        <v/>
      </c>
      <c r="ET1255" t="str">
        <f>IF(AND(AND(AND(AND($EC1255=1,$EB1255+$EA1255+$EG1255&gt;=1),$EF1255=1),$EH1255+$EI1255+$ED1255+$EE1255&gt;=2),$N1255="included"),"All C pools assumption","")</f>
        <v/>
      </c>
      <c r="EU1255" t="str">
        <f>IF(AND($ED1255+$EE1255+$EI1255+$EH1255+$EF1255=0,$N1255="included"),"In-situ only assumption","")</f>
        <v/>
      </c>
      <c r="EY1255" t="b">
        <f>IF(ISNUMBER(BW1255),IF(ABS(BW1255-[2]QC_indicators!$B$2)&gt;3*[2]QC_indicators!$C$2,"C ratio",IF(ISNUMBER(CA1255),IF(ABS(CA1255-[2]QC_indicators!$B$1)&gt;3*[2]QC_indicators!$C$1,"DF","no"))),IF(ISNUMBER(CA1255),IF(ABS(CA1255-[2]QC_indicators!$B$1)&gt;3*[2]QC_indicators!$C$1,"DF","no")))</f>
        <v>0</v>
      </c>
      <c r="FA1255" t="str">
        <f>IF(LEN($CY1255)=0,"",IF(AND($CY1255&lt;(-0.05),$ES1255="C neutral forest and HWP assumption"),"Cneutral paradox",IF(AND($CY1255&gt;0.05,$EU1255="In-situ only assumption"),"In-situ only paradox","")))</f>
        <v/>
      </c>
      <c r="FD1255" s="260" t="s">
        <v>2948</v>
      </c>
    </row>
    <row r="1256" spans="1:160" ht="15" hidden="1" customHeight="1">
      <c r="A1256" s="1" t="s">
        <v>1108</v>
      </c>
      <c r="B1256" t="s">
        <v>1109</v>
      </c>
      <c r="C1256" t="s">
        <v>1110</v>
      </c>
      <c r="D1256" t="s">
        <v>336</v>
      </c>
      <c r="E1256" t="s">
        <v>1111</v>
      </c>
      <c r="F1256" t="s">
        <v>1112</v>
      </c>
      <c r="G1256" t="s">
        <v>1113</v>
      </c>
      <c r="I1256">
        <v>2018</v>
      </c>
      <c r="K1256" t="s">
        <v>1114</v>
      </c>
      <c r="M1256" t="str">
        <f>LEFT($D1256,FIND(",",$D1256)-1)&amp;"_"&amp;I1256&amp;L1256</f>
        <v>Balasbaneh_2018</v>
      </c>
      <c r="N1256" t="s">
        <v>222</v>
      </c>
      <c r="O1256" s="140" t="s">
        <v>508</v>
      </c>
      <c r="Q1256" t="s">
        <v>224</v>
      </c>
      <c r="R1256" s="258" t="s">
        <v>223</v>
      </c>
      <c r="S1256" s="1" t="s">
        <v>1139</v>
      </c>
      <c r="T1256" s="260" t="s">
        <v>2794</v>
      </c>
      <c r="U1256" s="260" t="s">
        <v>2790</v>
      </c>
      <c r="V1256" s="253">
        <v>0</v>
      </c>
      <c r="W1256" s="253">
        <v>0</v>
      </c>
      <c r="X1256">
        <v>0</v>
      </c>
      <c r="Y1256">
        <v>0</v>
      </c>
      <c r="Z1256">
        <v>0</v>
      </c>
      <c r="AA1256">
        <v>0</v>
      </c>
      <c r="AB1256">
        <v>0</v>
      </c>
      <c r="AC1256">
        <v>0</v>
      </c>
      <c r="AD1256">
        <v>0</v>
      </c>
      <c r="AE1256">
        <v>0</v>
      </c>
      <c r="AF1256">
        <v>0</v>
      </c>
      <c r="AG1256">
        <v>0</v>
      </c>
      <c r="AH1256">
        <v>0</v>
      </c>
      <c r="AI1256">
        <v>0</v>
      </c>
      <c r="AJ1256">
        <v>0</v>
      </c>
      <c r="AK1256">
        <v>0</v>
      </c>
      <c r="AL1256">
        <v>0</v>
      </c>
      <c r="AM1256">
        <v>1</v>
      </c>
      <c r="AN1256">
        <v>0</v>
      </c>
      <c r="AO1256">
        <v>0</v>
      </c>
      <c r="AP1256">
        <v>0</v>
      </c>
      <c r="AQ1256">
        <v>0</v>
      </c>
      <c r="AR1256">
        <v>0</v>
      </c>
      <c r="AS1256">
        <v>0</v>
      </c>
      <c r="AT1256">
        <v>0</v>
      </c>
      <c r="AU1256">
        <v>0</v>
      </c>
      <c r="AV1256">
        <v>0</v>
      </c>
      <c r="AW1256">
        <v>0</v>
      </c>
      <c r="AX1256">
        <v>0</v>
      </c>
      <c r="AY1256">
        <v>0</v>
      </c>
      <c r="AZ1256" s="141">
        <f>COUNTIF(X1256:AY1256,"&lt;&gt;0")</f>
        <v>1</v>
      </c>
      <c r="BA1256" s="141">
        <f>COUNTIF(X1256:AN1256,"&lt;&gt;0")</f>
        <v>1</v>
      </c>
      <c r="BB1256">
        <f>COUNTIF(X1256:AE1256,"&lt;&gt;0")</f>
        <v>0</v>
      </c>
      <c r="BC1256">
        <f>COUNTIF(AF1256:AK1256,"&lt;&gt;0")</f>
        <v>0</v>
      </c>
      <c r="BD1256">
        <f>COUNTIF(AL1256:AN1256,"&lt;&gt;0")</f>
        <v>1</v>
      </c>
      <c r="BE1256">
        <f>COUNTIF(AU1256:AY1256,"&lt;&gt;0")</f>
        <v>0</v>
      </c>
      <c r="BF1256">
        <f>COUNTIF(AO1256:AT1256,"&lt;&gt;0")</f>
        <v>0</v>
      </c>
      <c r="BG1256" t="str">
        <f t="array" ref="BG1256">IF(BA1256=1,INDEX($X$7:$AN$7,MATCH(TRUE,INDEX($X1256:$AY1256&lt;&gt;0,),0)),IF(BA1256=0,INDEX($AO$7:$AY$7,MATCH(1,$AO1256:$AY1256,0)),IF(BH1256="Multiple strategies","mixed drivers",IF(BH1256="Supply chain","multiple supply","multiple silviculture"))))</f>
        <v>technologies/design switch</v>
      </c>
      <c r="BH1256" s="2" t="str" cm="1">
        <f t="array" ref="BH1256">IF(COUNTIF(BB1256:BD1256,"&lt;&gt;0")=1,INDEX($X$4:$AY$4,MATCH(TRUE,INDEX($X1256:$AY1256&lt;&gt;0,),0)),IF(COUNTIF(BB1256:BD1256,"&lt;&gt;0")=0,INDEX($AO$4:$AY$4,MATCH(1,$AO1256:$AY1256,0)),"Multiple strategies"))</f>
        <v>Technology</v>
      </c>
      <c r="BI1256" s="1" t="s">
        <v>229</v>
      </c>
      <c r="BJ1256" t="s">
        <v>229</v>
      </c>
      <c r="BL1256" t="s">
        <v>345</v>
      </c>
      <c r="BM1256">
        <v>0</v>
      </c>
      <c r="BN1256">
        <v>15468</v>
      </c>
      <c r="BO1256" s="143"/>
      <c r="BP1256">
        <f>BN1256-BM1256</f>
        <v>15468</v>
      </c>
      <c r="BQ1256" s="143">
        <f>BP1256*kg_to_m3</f>
        <v>31.567346938775515</v>
      </c>
      <c r="BR1256" t="s">
        <v>232</v>
      </c>
      <c r="BS1256" s="153" t="s">
        <v>987</v>
      </c>
      <c r="BT1256" t="s">
        <v>397</v>
      </c>
      <c r="BU1256">
        <v>-21200</v>
      </c>
      <c r="BV1256">
        <v>-5370</v>
      </c>
      <c r="BW1256" s="144">
        <v>0.25330188679245286</v>
      </c>
      <c r="BX1256">
        <v>15830</v>
      </c>
      <c r="BZ1256">
        <f>BX1256/1000</f>
        <v>15.83</v>
      </c>
      <c r="CA1256">
        <f>IFERROR(BZ1256/BQ1256,"")</f>
        <v>0.50146754590121534</v>
      </c>
      <c r="CB1256">
        <v>0</v>
      </c>
      <c r="CC1256">
        <v>0</v>
      </c>
      <c r="CD1256">
        <v>0</v>
      </c>
      <c r="CE1256">
        <v>0</v>
      </c>
      <c r="CF1256">
        <v>0</v>
      </c>
      <c r="CG1256">
        <v>0</v>
      </c>
      <c r="CH1256">
        <v>0</v>
      </c>
      <c r="CI1256">
        <v>0</v>
      </c>
      <c r="CJ1256">
        <v>0</v>
      </c>
      <c r="CK1256">
        <v>0</v>
      </c>
      <c r="CL1256">
        <v>0</v>
      </c>
      <c r="CM1256">
        <v>0</v>
      </c>
      <c r="CN1256">
        <v>0</v>
      </c>
      <c r="CO1256">
        <v>0</v>
      </c>
      <c r="CP1256" t="str">
        <f>IF($BN1256&lt;$BM1256,"refNeedCorrection","refOK")</f>
        <v>refOK</v>
      </c>
      <c r="CQ1256">
        <f>IF($CP1256="refNeedCorrection",BN1256,BM1256)</f>
        <v>0</v>
      </c>
      <c r="CR1256">
        <f>IF($CP1256="refNeedCorrection",BM1256,BN1256)</f>
        <v>15468</v>
      </c>
      <c r="CS1256">
        <f>IF($CP1256="refOK",$BQ1256,-$BQ1256)</f>
        <v>31.567346938775515</v>
      </c>
      <c r="CT1256">
        <f>IF(BI1256="Roundwood",$CS1256/2,$CS1256)</f>
        <v>31.567346938775515</v>
      </c>
      <c r="CU1256">
        <f>IF($CP1256="refOK",$BU1256,$BV1256)*IF($BR1256="Emissions positive",-1,1)</f>
        <v>-21200</v>
      </c>
      <c r="CV1256">
        <f>IF($CP1256="refOK",$BV1256,$BU1256)*IF($BR1256="Emissions positive",-1,1)</f>
        <v>-5370</v>
      </c>
      <c r="CW1256">
        <f>IF($CP1256="refNeedCorrection",-BZ1256,BZ1256)*IF($BR1256="Emissions positive",-1,1)</f>
        <v>15.83</v>
      </c>
      <c r="CX1256">
        <f>IFERROR($CW1256/$CS1256,"")</f>
        <v>0.50146754590121534</v>
      </c>
      <c r="CY1256">
        <f>IFERROR($CW1256/$CS1256,"")</f>
        <v>0.50146754590121534</v>
      </c>
      <c r="CZ1256">
        <f>IFERROR($CW1256/$CT1256,"")</f>
        <v>0.50146754590121534</v>
      </c>
      <c r="DA1256" s="2">
        <f>IFERROR((CV1256-CU1256)/ABS(CU1256),"")</f>
        <v>0.7466981132075472</v>
      </c>
      <c r="DB1256" s="1" t="s">
        <v>1078</v>
      </c>
      <c r="DC1256" t="str">
        <f>IF(OR($DB1256="prd",$DB1256="std",$DB1256="cit"),"loc",IF(OR($DB1256="eur",$DB1256="reg",$DB1256="coy"),"reg",$DB1256))</f>
        <v>reg</v>
      </c>
      <c r="DD1256" t="s">
        <v>348</v>
      </c>
      <c r="DE1256">
        <v>2014</v>
      </c>
      <c r="DF1256">
        <v>2114</v>
      </c>
      <c r="DG1256">
        <v>100</v>
      </c>
      <c r="DH1256" t="str">
        <f>IF(DG1256=0,"0",IF(AND(DG1256&gt;=1,DG1256&lt;=30),"1-30",IF(AND(DG1256&gt;30,DG1256&lt;=70),"31-70",IF(AND(DG1256&gt;70,DG1256&lt;=100),"71-100",IF(DG1256&gt;100,"+100")))))</f>
        <v>71-100</v>
      </c>
      <c r="DI1256">
        <v>0</v>
      </c>
      <c r="DJ1256">
        <v>0</v>
      </c>
      <c r="DK1256">
        <v>0</v>
      </c>
      <c r="DL1256">
        <v>1</v>
      </c>
      <c r="DN1256">
        <f>SUM(DI1256:DL1256)</f>
        <v>1</v>
      </c>
      <c r="DO1256" t="str">
        <f>IF(DN1256=1,INDEX($DI$7:$DL$7,MATCH(1,$DI1256:$DL1256,0)),"mixedProduct")</f>
        <v>TimberInput</v>
      </c>
      <c r="DP1256">
        <f>IF(DI1256=1,DP$7,0)</f>
        <v>0</v>
      </c>
      <c r="DQ1256">
        <f>IF(DJ1256=1,DQ$7,0)</f>
        <v>0</v>
      </c>
      <c r="DR1256">
        <f>IF(DK1256=1,DR$7,0)</f>
        <v>0</v>
      </c>
      <c r="DS1256" t="str">
        <f>IF(DL1256=1,DS$7,0)</f>
        <v>Timber</v>
      </c>
      <c r="DT1256">
        <v>0</v>
      </c>
      <c r="DU1256">
        <v>0</v>
      </c>
      <c r="DV1256">
        <v>0</v>
      </c>
      <c r="DW1256">
        <v>0</v>
      </c>
      <c r="DX1256">
        <v>0</v>
      </c>
      <c r="DY1256">
        <f>SUM(DT1256:DU1256)</f>
        <v>0</v>
      </c>
      <c r="DZ1256" s="143" t="str">
        <f>IF(DT1256=1,"self-calculated DF",IF(DU1256=1,"external DF used","explicit C balance"))</f>
        <v>explicit C balance</v>
      </c>
      <c r="EA1256">
        <v>0</v>
      </c>
      <c r="EB1256">
        <v>0</v>
      </c>
      <c r="EC1256">
        <v>0</v>
      </c>
      <c r="ED1256">
        <v>0</v>
      </c>
      <c r="EE1256">
        <v>0</v>
      </c>
      <c r="EF1256" s="143">
        <v>1</v>
      </c>
      <c r="EG1256">
        <v>0</v>
      </c>
      <c r="EH1256">
        <v>1</v>
      </c>
      <c r="EI1256">
        <v>1</v>
      </c>
      <c r="EJ1256">
        <v>1</v>
      </c>
      <c r="EK1256">
        <v>0</v>
      </c>
      <c r="EL1256">
        <v>0</v>
      </c>
      <c r="EM1256">
        <v>0</v>
      </c>
      <c r="EN1256" s="2">
        <v>0</v>
      </c>
      <c r="EP1256" t="str">
        <f>IF(AND(AND(AND(OR($EC1256=1,$EB1256=1),OR($EH1256=1,$EF1256=1)),SUM($EA1256:$EE1256,$EK1256)&gt;=3),SUM($EF1256:$EJ1256)&gt;=2),"Whole sector approach","")</f>
        <v/>
      </c>
      <c r="EQ1256" t="str">
        <f>IF(AND(AND(OR($EC1256=1,$EB1256=1),AND($EH1256=0,$EF1256=0)),SUM($EA1256:$EE1256,$EK1256)&gt;=4),"Ecosystem approach","")</f>
        <v/>
      </c>
      <c r="ER1256" s="2" t="str">
        <f>IF(AND(AND(AND($EC1256=0,$EB1256=0),OR($EH1256=1,$EF1256=1)),SUM($EG1256:$EJ1256)&gt;=2),"Technology approach","")</f>
        <v>Technology approach</v>
      </c>
      <c r="ES1256" t="str">
        <f>IF(AND($EC1256+$EB1256+$EE1256+$EA1256+$ED1256+$EG1256=0,$N1256="included"),"C neutral forest and HWP assumption","")</f>
        <v>C neutral forest and HWP assumption</v>
      </c>
      <c r="ET1256" t="str">
        <f>IF(AND(AND(AND(AND($EC1256=1,$EB1256+$EA1256+$EG1256&gt;=1),$EF1256=1),$EH1256+$EI1256+$ED1256+$EE1256&gt;=2),$N1256="included"),"All C pools assumption","")</f>
        <v/>
      </c>
      <c r="EU1256" t="str">
        <f>IF(AND($ED1256+$EE1256+$EI1256+$EH1256+$EF1256=0,$N1256="included"),"In-situ only assumption","")</f>
        <v/>
      </c>
      <c r="EY1256" t="str">
        <f>IF(ISNUMBER(BW1256),IF(ABS(BW1256-[2]QC_indicators!$B$2)&gt;3*[2]QC_indicators!$C$2,"C ratio",IF(ISNUMBER(CA1256),IF(ABS(CA1256-[2]QC_indicators!$B$1)&gt;3*[2]QC_indicators!$C$1,"DF","no"))),IF(ISNUMBER(CA1256),IF(ABS(CA1256-[2]QC_indicators!$B$1)&gt;3*[2]QC_indicators!$C$1,"DF","no")))</f>
        <v>no</v>
      </c>
      <c r="FA1256" t="str">
        <f>IF(LEN($CY1256)=0,"",IF(AND($CY1256&lt;(-0.05),$ES1256="C neutral forest and HWP assumption"),"Cneutral paradox",IF(AND($CY1256&gt;0.05,$EU1256="In-situ only assumption"),"In-situ only paradox","")))</f>
        <v/>
      </c>
      <c r="FB1256" s="149" t="s">
        <v>349</v>
      </c>
      <c r="FD1256" s="260" t="s">
        <v>2948</v>
      </c>
    </row>
    <row r="1257" spans="1:160" ht="15" hidden="1" customHeight="1">
      <c r="A1257" s="1" t="s">
        <v>761</v>
      </c>
      <c r="B1257" t="s">
        <v>1438</v>
      </c>
      <c r="C1257" t="s">
        <v>1439</v>
      </c>
      <c r="D1257" t="s">
        <v>1440</v>
      </c>
      <c r="E1257" t="s">
        <v>1441</v>
      </c>
      <c r="F1257" t="s">
        <v>1442</v>
      </c>
      <c r="G1257" t="s">
        <v>1443</v>
      </c>
      <c r="H1257" t="s">
        <v>254</v>
      </c>
      <c r="I1257">
        <v>2010</v>
      </c>
      <c r="J1257">
        <v>35</v>
      </c>
      <c r="K1257" t="s">
        <v>1444</v>
      </c>
      <c r="M1257" t="str">
        <f>LEFT($D1257,FIND(",",$D1257)-1)&amp;"_"&amp;I1257&amp;L1257</f>
        <v>Froese_2010</v>
      </c>
      <c r="N1257" t="s">
        <v>222</v>
      </c>
      <c r="O1257" s="145" t="s">
        <v>274</v>
      </c>
      <c r="Q1257" t="s">
        <v>256</v>
      </c>
      <c r="R1257" s="258" t="s">
        <v>223</v>
      </c>
      <c r="S1257" s="1" t="s">
        <v>1445</v>
      </c>
      <c r="T1257" t="s">
        <v>778</v>
      </c>
      <c r="U1257" t="s">
        <v>1446</v>
      </c>
      <c r="V1257" s="253">
        <v>0</v>
      </c>
      <c r="W1257" s="253">
        <v>0</v>
      </c>
      <c r="X1257">
        <v>0</v>
      </c>
      <c r="Y1257">
        <v>0</v>
      </c>
      <c r="Z1257">
        <v>0</v>
      </c>
      <c r="AA1257">
        <v>0</v>
      </c>
      <c r="AB1257">
        <v>0</v>
      </c>
      <c r="AC1257">
        <v>0</v>
      </c>
      <c r="AD1257">
        <v>0</v>
      </c>
      <c r="AE1257">
        <v>0</v>
      </c>
      <c r="AF1257">
        <v>0</v>
      </c>
      <c r="AG1257">
        <v>0</v>
      </c>
      <c r="AH1257">
        <v>0</v>
      </c>
      <c r="AI1257">
        <v>0</v>
      </c>
      <c r="AJ1257">
        <v>0</v>
      </c>
      <c r="AK1257">
        <v>0</v>
      </c>
      <c r="AL1257">
        <v>0</v>
      </c>
      <c r="AM1257">
        <v>1</v>
      </c>
      <c r="AN1257">
        <v>0</v>
      </c>
      <c r="AO1257">
        <v>0</v>
      </c>
      <c r="AP1257">
        <v>0</v>
      </c>
      <c r="AQ1257">
        <v>0</v>
      </c>
      <c r="AR1257">
        <v>0</v>
      </c>
      <c r="AS1257">
        <v>0</v>
      </c>
      <c r="AT1257">
        <v>0</v>
      </c>
      <c r="AU1257">
        <v>0</v>
      </c>
      <c r="AV1257">
        <v>0</v>
      </c>
      <c r="AW1257">
        <v>0</v>
      </c>
      <c r="AX1257">
        <v>0</v>
      </c>
      <c r="AY1257">
        <v>0</v>
      </c>
      <c r="AZ1257" s="141">
        <f>COUNTIF(X1257:AY1257,"&lt;&gt;0")</f>
        <v>1</v>
      </c>
      <c r="BA1257" s="141">
        <f>COUNTIF(X1257:AN1257,"&lt;&gt;0")</f>
        <v>1</v>
      </c>
      <c r="BB1257">
        <f>COUNTIF(X1257:AE1257,"&lt;&gt;0")</f>
        <v>0</v>
      </c>
      <c r="BC1257">
        <f>COUNTIF(AF1257:AK1257,"&lt;&gt;0")</f>
        <v>0</v>
      </c>
      <c r="BD1257">
        <f>COUNTIF(AL1257:AN1257,"&lt;&gt;0")</f>
        <v>1</v>
      </c>
      <c r="BE1257">
        <f>COUNTIF(AU1257:AY1257,"&lt;&gt;0")</f>
        <v>0</v>
      </c>
      <c r="BF1257">
        <f>COUNTIF(AO1257:AT1257,"&lt;&gt;0")</f>
        <v>0</v>
      </c>
      <c r="BG1257" t="str">
        <f t="array" ref="BG1257">IF(BA1257=1,INDEX($X$7:$AN$7,MATCH(TRUE,INDEX($X1257:$AY1257&lt;&gt;0,),0)),IF(BA1257=0,INDEX($AO$7:$AY$7,MATCH(1,$AO1257:$AY1257,0)),IF(BH1257="Multiple strategies","mixed drivers",IF(BH1257="Supply chain","multiple supply","multiple silviculture"))))</f>
        <v>technologies/design switch</v>
      </c>
      <c r="BH1257" s="2" t="str" cm="1">
        <f t="array" ref="BH1257">IF(COUNTIF(BB1257:BD1257,"&lt;&gt;0")=1,INDEX($X$4:$AY$4,MATCH(TRUE,INDEX($X1257:$AY1257&lt;&gt;0,),0)),IF(COUNTIF(BB1257:BD1257,"&lt;&gt;0")=0,INDEX($AO$4:$AY$4,MATCH(1,$AO1257:$AY1257,0)),"Multiple strategies"))</f>
        <v>Technology</v>
      </c>
      <c r="BI1257" s="1" t="s">
        <v>229</v>
      </c>
      <c r="BJ1257" t="s">
        <v>1447</v>
      </c>
      <c r="BL1257" s="260" t="s">
        <v>2815</v>
      </c>
      <c r="BM1257">
        <v>0</v>
      </c>
      <c r="BN1257">
        <f>1/(18.3*0.2778)</f>
        <v>0.1967055750294075</v>
      </c>
      <c r="BP1257">
        <f>BN1257-BM1257</f>
        <v>0.1967055750294075</v>
      </c>
      <c r="BQ1257">
        <f>BP1257*kg_to_m3</f>
        <v>4.0143994903960717E-4</v>
      </c>
      <c r="BR1257" t="s">
        <v>232</v>
      </c>
      <c r="BS1257" s="153" t="s">
        <v>429</v>
      </c>
      <c r="BT1257" t="s">
        <v>1448</v>
      </c>
      <c r="BU1257">
        <v>-1.03</v>
      </c>
      <c r="BV1257">
        <v>-0.82599999999999996</v>
      </c>
      <c r="BW1257" s="144">
        <f>IFERROR(BV1257/BU1257,"")</f>
        <v>0.80194174757281544</v>
      </c>
      <c r="BX1257">
        <f>BV1257-BU1257</f>
        <v>0.20400000000000007</v>
      </c>
      <c r="BZ1257">
        <f>BX1257/1000</f>
        <v>2.0400000000000008E-4</v>
      </c>
      <c r="CA1257">
        <f>IFERROR(BZ1257/BQ1257,"")</f>
        <v>0.50817065040000009</v>
      </c>
      <c r="CB1257">
        <v>0</v>
      </c>
      <c r="CC1257">
        <v>0</v>
      </c>
      <c r="CD1257">
        <v>0</v>
      </c>
      <c r="CE1257">
        <v>0</v>
      </c>
      <c r="CF1257">
        <v>0</v>
      </c>
      <c r="CG1257">
        <v>0</v>
      </c>
      <c r="CH1257">
        <v>0</v>
      </c>
      <c r="CI1257">
        <v>0</v>
      </c>
      <c r="CJ1257">
        <v>0</v>
      </c>
      <c r="CK1257">
        <v>0</v>
      </c>
      <c r="CL1257">
        <v>0</v>
      </c>
      <c r="CM1257">
        <v>0</v>
      </c>
      <c r="CN1257">
        <v>0</v>
      </c>
      <c r="CO1257">
        <v>0</v>
      </c>
      <c r="CP1257" t="str">
        <f>IF($BN1257&lt;$BM1257,"refNeedCorrection","refOK")</f>
        <v>refOK</v>
      </c>
      <c r="CQ1257">
        <f>IF($CP1257="refOK",$BM1257,$BN1257)</f>
        <v>0</v>
      </c>
      <c r="CR1257">
        <f>IF($CP1257="refOK",$BN1257,$BM1257)</f>
        <v>0.1967055750294075</v>
      </c>
      <c r="CS1257">
        <f>IF($CP1257="refOK",$BQ1257,-$BQ1257)</f>
        <v>4.0143994903960717E-4</v>
      </c>
      <c r="CT1257">
        <f>IF(BI1257="Roundwood",$CS1257/2,$CS1257)</f>
        <v>4.0143994903960717E-4</v>
      </c>
      <c r="CU1257">
        <f>IF($CP1257="refOK",$BU1257,$BV1257)*IF($BR1257="Emissions positive",-1,1)</f>
        <v>-1.03</v>
      </c>
      <c r="CV1257">
        <f>IF($CP1257="refOK",$BV1257,$BU1257)*IF($BR1257="Emissions positive",-1,1)</f>
        <v>-0.82599999999999996</v>
      </c>
      <c r="CW1257">
        <f>IF($CP1257="refNeedCorrection",-BZ1257,BZ1257)*IF($BR1257="Emissions positive",-1,1)</f>
        <v>2.0400000000000008E-4</v>
      </c>
      <c r="CX1257">
        <f>IFERROR($CW1257/$CS1257,"")</f>
        <v>0.50817065040000009</v>
      </c>
      <c r="CY1257">
        <f>IFERROR($CW1257/$CS1257,"")</f>
        <v>0.50817065040000009</v>
      </c>
      <c r="CZ1257">
        <f>IFERROR($CW1257/$CT1257,"")</f>
        <v>0.50817065040000009</v>
      </c>
      <c r="DA1257" s="2">
        <f>IFERROR((CV1257-CU1257)/ABS(CU1257),"")</f>
        <v>0.19805825242718453</v>
      </c>
      <c r="DB1257" s="1" t="s">
        <v>1074</v>
      </c>
      <c r="DC1257" t="str">
        <f>IF(OR($DB1257="prd",$DB1257="std",$DB1257="cit"),"loc",IF(OR($DB1257="eur",$DB1257="reg",$DB1257="coy"),"reg",$DB1257))</f>
        <v>reg</v>
      </c>
      <c r="DD1257" t="s">
        <v>428</v>
      </c>
      <c r="DE1257">
        <v>2010</v>
      </c>
      <c r="DG1257">
        <v>0</v>
      </c>
      <c r="DH1257" t="str">
        <f>IF(DG1257=0,"0",IF(AND(DG1257&gt;=1,DG1257&lt;=30),"1-30",IF(AND(DG1257&gt;30,DG1257&lt;=70),"31-70",IF(AND(DG1257&gt;70,DG1257&lt;=100),"71-100",IF(DG1257&gt;100,"+100")))))</f>
        <v>0</v>
      </c>
      <c r="DI1257">
        <v>0</v>
      </c>
      <c r="DJ1257">
        <v>1</v>
      </c>
      <c r="DK1257">
        <v>0</v>
      </c>
      <c r="DL1257">
        <v>0</v>
      </c>
      <c r="DN1257">
        <f>SUM(DI1257:DL1257)</f>
        <v>1</v>
      </c>
      <c r="DO1257" t="str">
        <f>IF(DN1257=1,INDEX($DI$7:$DL$7,MATCH(1,$DI1257:$DL1257,0)),"mixedProduct")</f>
        <v>EnergyInput</v>
      </c>
      <c r="DP1257">
        <f>IF(DI1257=1,DP$7,0)</f>
        <v>0</v>
      </c>
      <c r="DQ1257" t="str">
        <f>IF(DJ1257=1,DQ$7,0)</f>
        <v>Energy</v>
      </c>
      <c r="DR1257">
        <f>IF(DK1257=1,DR$7,0)</f>
        <v>0</v>
      </c>
      <c r="DS1257">
        <f>IF(DL1257=1,DS$7,0)</f>
        <v>0</v>
      </c>
      <c r="DT1257">
        <v>0</v>
      </c>
      <c r="DU1257">
        <v>0</v>
      </c>
      <c r="DV1257">
        <v>0</v>
      </c>
      <c r="DW1257">
        <v>0</v>
      </c>
      <c r="DX1257">
        <v>0</v>
      </c>
      <c r="DY1257">
        <f>SUM(DT1257:DU1257)</f>
        <v>0</v>
      </c>
      <c r="DZ1257" s="143" t="str">
        <f>IF(DT1257=1,"self-calculated DF",IF(DU1257=1,"external DF used","explicit C balance"))</f>
        <v>explicit C balance</v>
      </c>
      <c r="EA1257">
        <v>0</v>
      </c>
      <c r="EB1257">
        <v>0</v>
      </c>
      <c r="EC1257">
        <v>0</v>
      </c>
      <c r="ED1257">
        <v>0</v>
      </c>
      <c r="EE1257">
        <v>0</v>
      </c>
      <c r="EF1257" s="143">
        <v>0</v>
      </c>
      <c r="EG1257">
        <v>0</v>
      </c>
      <c r="EH1257">
        <v>1</v>
      </c>
      <c r="EI1257">
        <v>0</v>
      </c>
      <c r="EJ1257">
        <v>1</v>
      </c>
      <c r="EK1257">
        <v>0</v>
      </c>
      <c r="EL1257">
        <v>0</v>
      </c>
      <c r="EM1257">
        <v>0</v>
      </c>
      <c r="EN1257" s="2">
        <v>0</v>
      </c>
      <c r="EP1257" t="str">
        <f>IF(AND(AND(AND(OR($EC1257=1,$EB1257=1),OR($EH1257=1,$EF1257=1)),SUM($EA1257:$EE1257,$EK1257)&gt;=3),SUM($EF1257:$EJ1257)&gt;=2),"Whole sector approach","")</f>
        <v/>
      </c>
      <c r="EQ1257" t="str">
        <f>IF(AND(AND(OR($EC1257=1,$EB1257=1),AND($EH1257=0,$EF1257=0)),SUM($EA1257:$EE1257,$EK1257)&gt;=4),"Ecosystem approach","")</f>
        <v/>
      </c>
      <c r="ER1257" s="2" t="str">
        <f>IF(AND(AND(AND($EC1257=0,$EB1257=0),OR($EH1257=1,$EF1257=1)),SUM($EG1257:$EJ1257)&gt;=2),"Technology approach","")</f>
        <v>Technology approach</v>
      </c>
      <c r="ES1257" t="str">
        <f>IF(AND($EC1257+$EB1257+$EE1257+$EA1257+$ED1257+$EG1257=0,$N1257="included"),"C neutral forest and HWP assumption","")</f>
        <v>C neutral forest and HWP assumption</v>
      </c>
      <c r="ET1257" t="str">
        <f>IF(AND(AND(AND(AND($EC1257=1,$EB1257+$EA1257+$EG1257&gt;=1),$EF1257=1),$EH1257+$EI1257+$ED1257+$EE1257&gt;=2),$N1257="included"),"All C pools assumption","")</f>
        <v/>
      </c>
      <c r="EU1257" t="str">
        <f>IF(AND($ED1257+$EE1257+$EI1257+$EH1257+$EF1257=0,$N1257="included"),"In-situ only assumption","")</f>
        <v/>
      </c>
      <c r="EW1257" s="147" t="s">
        <v>2816</v>
      </c>
      <c r="EY1257" t="str">
        <f>IF(ISNUMBER(BW1257),IF(ABS(BW1257-[2]QC_indicators!$B$2)&gt;3*[2]QC_indicators!$C$2,"C ratio",IF(ISNUMBER(CA1257),IF(ABS(CA1257-[2]QC_indicators!$B$1)&gt;3*[2]QC_indicators!$C$1,"DF","no"))),IF(ISNUMBER(CA1257),IF(ABS(CA1257-[2]QC_indicators!$B$1)&gt;3*[2]QC_indicators!$C$1,"DF","no")))</f>
        <v>no</v>
      </c>
      <c r="FA1257" t="str">
        <f>IF(LEN($CY1257)=0,"",IF(AND($CY1257&lt;(-0.05),$ES1257="C neutral forest and HWP assumption"),"Cneutral paradox",IF(AND($CY1257&gt;0.05,$EU1257="In-situ only assumption"),"In-situ only paradox","")))</f>
        <v/>
      </c>
      <c r="FB1257" s="260" t="s">
        <v>1449</v>
      </c>
      <c r="FD1257" s="260" t="s">
        <v>2817</v>
      </c>
    </row>
    <row r="1258" spans="1:160" hidden="1">
      <c r="A1258" s="1" t="s">
        <v>1108</v>
      </c>
      <c r="B1258" t="s">
        <v>1109</v>
      </c>
      <c r="C1258" t="s">
        <v>1110</v>
      </c>
      <c r="D1258" t="s">
        <v>336</v>
      </c>
      <c r="E1258" t="s">
        <v>1111</v>
      </c>
      <c r="F1258" t="s">
        <v>1112</v>
      </c>
      <c r="G1258" t="s">
        <v>1113</v>
      </c>
      <c r="I1258">
        <v>2018</v>
      </c>
      <c r="K1258" t="s">
        <v>1114</v>
      </c>
      <c r="M1258" t="str">
        <f>LEFT($D1258,FIND(",",$D1258)-1)&amp;"_"&amp;I1258&amp;L1258</f>
        <v>Balasbaneh_2018</v>
      </c>
      <c r="N1258" t="s">
        <v>222</v>
      </c>
      <c r="O1258" s="140" t="s">
        <v>508</v>
      </c>
      <c r="Q1258" t="s">
        <v>224</v>
      </c>
      <c r="R1258" s="258" t="s">
        <v>223</v>
      </c>
      <c r="S1258" s="1" t="s">
        <v>1140</v>
      </c>
      <c r="T1258" s="260" t="s">
        <v>2789</v>
      </c>
      <c r="U1258" s="260" t="s">
        <v>2795</v>
      </c>
      <c r="V1258" s="253">
        <v>0</v>
      </c>
      <c r="W1258" s="253">
        <v>0</v>
      </c>
      <c r="X1258">
        <v>0</v>
      </c>
      <c r="Y1258">
        <v>0</v>
      </c>
      <c r="Z1258">
        <v>0</v>
      </c>
      <c r="AA1258">
        <v>0</v>
      </c>
      <c r="AB1258">
        <v>0</v>
      </c>
      <c r="AC1258">
        <v>0</v>
      </c>
      <c r="AD1258">
        <v>0</v>
      </c>
      <c r="AE1258">
        <v>0</v>
      </c>
      <c r="AF1258">
        <v>0</v>
      </c>
      <c r="AG1258">
        <v>0</v>
      </c>
      <c r="AH1258">
        <v>0</v>
      </c>
      <c r="AI1258">
        <v>0</v>
      </c>
      <c r="AJ1258">
        <v>0</v>
      </c>
      <c r="AK1258">
        <v>0</v>
      </c>
      <c r="AL1258">
        <v>0</v>
      </c>
      <c r="AM1258">
        <v>1</v>
      </c>
      <c r="AN1258">
        <v>0</v>
      </c>
      <c r="AO1258">
        <v>0</v>
      </c>
      <c r="AP1258">
        <v>0</v>
      </c>
      <c r="AQ1258">
        <v>0</v>
      </c>
      <c r="AR1258">
        <v>0</v>
      </c>
      <c r="AS1258">
        <v>0</v>
      </c>
      <c r="AT1258">
        <v>0</v>
      </c>
      <c r="AU1258">
        <v>0</v>
      </c>
      <c r="AV1258">
        <v>0</v>
      </c>
      <c r="AW1258">
        <v>0</v>
      </c>
      <c r="AX1258">
        <v>0</v>
      </c>
      <c r="AY1258">
        <v>0</v>
      </c>
      <c r="AZ1258" s="141">
        <f>COUNTIF(X1258:AY1258,"&lt;&gt;0")</f>
        <v>1</v>
      </c>
      <c r="BA1258" s="141">
        <f>COUNTIF(X1258:AN1258,"&lt;&gt;0")</f>
        <v>1</v>
      </c>
      <c r="BB1258">
        <f>COUNTIF(X1258:AE1258,"&lt;&gt;0")</f>
        <v>0</v>
      </c>
      <c r="BC1258">
        <f>COUNTIF(AF1258:AK1258,"&lt;&gt;0")</f>
        <v>0</v>
      </c>
      <c r="BD1258">
        <f>COUNTIF(AL1258:AN1258,"&lt;&gt;0")</f>
        <v>1</v>
      </c>
      <c r="BE1258">
        <f>COUNTIF(AU1258:AY1258,"&lt;&gt;0")</f>
        <v>0</v>
      </c>
      <c r="BF1258">
        <f>COUNTIF(AO1258:AT1258,"&lt;&gt;0")</f>
        <v>0</v>
      </c>
      <c r="BG1258" t="str">
        <f t="array" ref="BG1258">IF(BA1258=1,INDEX($X$7:$AN$7,MATCH(TRUE,INDEX($X1258:$AY1258&lt;&gt;0,),0)),IF(BA1258=0,INDEX($AO$7:$AY$7,MATCH(1,$AO1258:$AY1258,0)),IF(BH1258="Multiple strategies","mixed drivers",IF(BH1258="Supply chain","multiple supply","multiple silviculture"))))</f>
        <v>technologies/design switch</v>
      </c>
      <c r="BH1258" s="2" t="str" cm="1">
        <f t="array" ref="BH1258">IF(COUNTIF(BB1258:BD1258,"&lt;&gt;0")=1,INDEX($X$4:$AY$4,MATCH(TRUE,INDEX($X1258:$AY1258&lt;&gt;0,),0)),IF(COUNTIF(BB1258:BD1258,"&lt;&gt;0")=0,INDEX($AO$4:$AY$4,MATCH(1,$AO1258:$AY1258,0)),"Multiple strategies"))</f>
        <v>Technology</v>
      </c>
      <c r="BI1258" s="1" t="s">
        <v>229</v>
      </c>
      <c r="BJ1258" t="s">
        <v>229</v>
      </c>
      <c r="BL1258" t="s">
        <v>345</v>
      </c>
      <c r="BM1258">
        <v>0</v>
      </c>
      <c r="BN1258">
        <v>23436</v>
      </c>
      <c r="BO1258" s="143"/>
      <c r="BP1258">
        <f>BN1258-BM1258</f>
        <v>23436</v>
      </c>
      <c r="BQ1258" s="143">
        <f>BP1258*kg_to_m3</f>
        <v>47.828571428571436</v>
      </c>
      <c r="BR1258" t="s">
        <v>232</v>
      </c>
      <c r="BS1258" s="153" t="s">
        <v>987</v>
      </c>
      <c r="BT1258" t="s">
        <v>397</v>
      </c>
      <c r="BU1258">
        <v>-25300</v>
      </c>
      <c r="BV1258">
        <v>-702</v>
      </c>
      <c r="BW1258" s="144">
        <v>2.7747035573122528E-2</v>
      </c>
      <c r="BX1258">
        <v>24598</v>
      </c>
      <c r="BZ1258">
        <f>BX1258/1000</f>
        <v>24.597999999999999</v>
      </c>
      <c r="CA1258">
        <f>IFERROR(BZ1258/BQ1258,"")</f>
        <v>0.51429510155316593</v>
      </c>
      <c r="CB1258">
        <v>0</v>
      </c>
      <c r="CC1258">
        <v>0</v>
      </c>
      <c r="CD1258">
        <v>0</v>
      </c>
      <c r="CE1258">
        <v>0</v>
      </c>
      <c r="CF1258">
        <v>0</v>
      </c>
      <c r="CG1258">
        <v>0</v>
      </c>
      <c r="CH1258">
        <v>0</v>
      </c>
      <c r="CI1258">
        <v>0</v>
      </c>
      <c r="CJ1258">
        <v>0</v>
      </c>
      <c r="CK1258">
        <v>0</v>
      </c>
      <c r="CL1258">
        <v>0</v>
      </c>
      <c r="CM1258">
        <v>0</v>
      </c>
      <c r="CN1258">
        <v>0</v>
      </c>
      <c r="CO1258">
        <v>0</v>
      </c>
      <c r="CP1258" t="str">
        <f>IF($BN1258&lt;$BM1258,"refNeedCorrection","refOK")</f>
        <v>refOK</v>
      </c>
      <c r="CQ1258">
        <f>IF($CP1258="refNeedCorrection",BN1258,BM1258)</f>
        <v>0</v>
      </c>
      <c r="CR1258">
        <f>IF($CP1258="refNeedCorrection",BM1258,BN1258)</f>
        <v>23436</v>
      </c>
      <c r="CS1258">
        <f>IF($CP1258="refOK",$BQ1258,-$BQ1258)</f>
        <v>47.828571428571436</v>
      </c>
      <c r="CT1258">
        <f>IF(BI1258="Roundwood",$CS1258/2,$CS1258)</f>
        <v>47.828571428571436</v>
      </c>
      <c r="CU1258">
        <f>IF($CP1258="refOK",$BU1258,$BV1258)*IF($BR1258="Emissions positive",-1,1)</f>
        <v>-25300</v>
      </c>
      <c r="CV1258">
        <f>IF($CP1258="refOK",$BV1258,$BU1258)*IF($BR1258="Emissions positive",-1,1)</f>
        <v>-702</v>
      </c>
      <c r="CW1258">
        <f>IF($CP1258="refNeedCorrection",-BZ1258,BZ1258)*IF($BR1258="Emissions positive",-1,1)</f>
        <v>24.597999999999999</v>
      </c>
      <c r="CX1258">
        <f>IFERROR($CW1258/$CS1258,"")</f>
        <v>0.51429510155316593</v>
      </c>
      <c r="CY1258">
        <f>IFERROR($CW1258/$CS1258,"")</f>
        <v>0.51429510155316593</v>
      </c>
      <c r="CZ1258">
        <f>IFERROR($CW1258/$CT1258,"")</f>
        <v>0.51429510155316593</v>
      </c>
      <c r="DA1258" s="2">
        <f>IFERROR((CV1258-CU1258)/ABS(CU1258),"")</f>
        <v>0.97225296442687748</v>
      </c>
      <c r="DB1258" s="1" t="s">
        <v>1078</v>
      </c>
      <c r="DC1258" t="str">
        <f>IF(OR($DB1258="prd",$DB1258="std",$DB1258="cit"),"loc",IF(OR($DB1258="eur",$DB1258="reg",$DB1258="coy"),"reg",$DB1258))</f>
        <v>reg</v>
      </c>
      <c r="DD1258" t="s">
        <v>348</v>
      </c>
      <c r="DE1258">
        <v>2014</v>
      </c>
      <c r="DF1258">
        <v>2114</v>
      </c>
      <c r="DG1258">
        <v>100</v>
      </c>
      <c r="DH1258" t="str">
        <f>IF(DG1258=0,"0",IF(AND(DG1258&gt;=1,DG1258&lt;=30),"1-30",IF(AND(DG1258&gt;30,DG1258&lt;=70),"31-70",IF(AND(DG1258&gt;70,DG1258&lt;=100),"71-100",IF(DG1258&gt;100,"+100")))))</f>
        <v>71-100</v>
      </c>
      <c r="DI1258">
        <v>0</v>
      </c>
      <c r="DJ1258">
        <v>0</v>
      </c>
      <c r="DK1258">
        <v>0</v>
      </c>
      <c r="DL1258">
        <v>1</v>
      </c>
      <c r="DN1258">
        <f>SUM(DI1258:DL1258)</f>
        <v>1</v>
      </c>
      <c r="DO1258" t="str">
        <f>IF(DN1258=1,INDEX($DI$7:$DL$7,MATCH(1,$DI1258:$DL1258,0)),"mixedProduct")</f>
        <v>TimberInput</v>
      </c>
      <c r="DP1258">
        <f>IF(DI1258=1,DP$7,0)</f>
        <v>0</v>
      </c>
      <c r="DQ1258">
        <f>IF(DJ1258=1,DQ$7,0)</f>
        <v>0</v>
      </c>
      <c r="DR1258">
        <f>IF(DK1258=1,DR$7,0)</f>
        <v>0</v>
      </c>
      <c r="DS1258" t="str">
        <f>IF(DL1258=1,DS$7,0)</f>
        <v>Timber</v>
      </c>
      <c r="DT1258">
        <v>0</v>
      </c>
      <c r="DU1258">
        <v>0</v>
      </c>
      <c r="DV1258">
        <v>0</v>
      </c>
      <c r="DW1258">
        <v>0</v>
      </c>
      <c r="DX1258">
        <v>0</v>
      </c>
      <c r="DY1258">
        <f>SUM(DT1258:DU1258)</f>
        <v>0</v>
      </c>
      <c r="DZ1258" s="143" t="str">
        <f>IF(DT1258=1,"self-calculated DF",IF(DU1258=1,"external DF used","explicit C balance"))</f>
        <v>explicit C balance</v>
      </c>
      <c r="EA1258">
        <v>0</v>
      </c>
      <c r="EB1258">
        <v>0</v>
      </c>
      <c r="EC1258">
        <v>0</v>
      </c>
      <c r="ED1258">
        <v>0</v>
      </c>
      <c r="EE1258">
        <v>0</v>
      </c>
      <c r="EF1258" s="143">
        <v>1</v>
      </c>
      <c r="EG1258">
        <v>0</v>
      </c>
      <c r="EH1258">
        <v>1</v>
      </c>
      <c r="EI1258">
        <v>1</v>
      </c>
      <c r="EJ1258">
        <v>1</v>
      </c>
      <c r="EK1258">
        <v>0</v>
      </c>
      <c r="EL1258">
        <v>0</v>
      </c>
      <c r="EM1258">
        <v>0</v>
      </c>
      <c r="EN1258" s="2">
        <v>0</v>
      </c>
      <c r="EP1258" t="str">
        <f>IF(AND(AND(AND(OR($EC1258=1,$EB1258=1),OR($EH1258=1,$EF1258=1)),SUM($EA1258:$EE1258,$EK1258)&gt;=3),SUM($EF1258:$EJ1258)&gt;=2),"Whole sector approach","")</f>
        <v/>
      </c>
      <c r="EQ1258" t="str">
        <f>IF(AND(AND(OR($EC1258=1,$EB1258=1),AND($EH1258=0,$EF1258=0)),SUM($EA1258:$EE1258,$EK1258)&gt;=4),"Ecosystem approach","")</f>
        <v/>
      </c>
      <c r="ER1258" s="2" t="str">
        <f>IF(AND(AND(AND($EC1258=0,$EB1258=0),OR($EH1258=1,$EF1258=1)),SUM($EG1258:$EJ1258)&gt;=2),"Technology approach","")</f>
        <v>Technology approach</v>
      </c>
      <c r="ES1258" t="str">
        <f>IF(AND($EC1258+$EB1258+$EE1258+$EA1258+$ED1258+$EG1258=0,$N1258="included"),"C neutral forest and HWP assumption","")</f>
        <v>C neutral forest and HWP assumption</v>
      </c>
      <c r="ET1258" t="str">
        <f>IF(AND(AND(AND(AND($EC1258=1,$EB1258+$EA1258+$EG1258&gt;=1),$EF1258=1),$EH1258+$EI1258+$ED1258+$EE1258&gt;=2),$N1258="included"),"All C pools assumption","")</f>
        <v/>
      </c>
      <c r="EU1258" t="str">
        <f>IF(AND($ED1258+$EE1258+$EI1258+$EH1258+$EF1258=0,$N1258="included"),"In-situ only assumption","")</f>
        <v/>
      </c>
      <c r="EY1258" t="str">
        <f>IF(ISNUMBER(BW1258),IF(ABS(BW1258-[2]QC_indicators!$B$2)&gt;3*[2]QC_indicators!$C$2,"C ratio",IF(ISNUMBER(CA1258),IF(ABS(CA1258-[2]QC_indicators!$B$1)&gt;3*[2]QC_indicators!$C$1,"DF","no"))),IF(ISNUMBER(CA1258),IF(ABS(CA1258-[2]QC_indicators!$B$1)&gt;3*[2]QC_indicators!$C$1,"DF","no")))</f>
        <v>no</v>
      </c>
      <c r="FA1258" t="str">
        <f>IF(LEN($CY1258)=0,"",IF(AND($CY1258&lt;(-0.05),$ES1258="C neutral forest and HWP assumption"),"Cneutral paradox",IF(AND($CY1258&gt;0.05,$EU1258="In-situ only assumption"),"In-situ only paradox","")))</f>
        <v/>
      </c>
      <c r="FB1258" s="149" t="s">
        <v>349</v>
      </c>
      <c r="FD1258" s="260" t="s">
        <v>2948</v>
      </c>
    </row>
    <row r="1259" spans="1:160" hidden="1">
      <c r="D1259" t="s">
        <v>1508</v>
      </c>
      <c r="E1259" t="s">
        <v>1509</v>
      </c>
      <c r="G1259" t="s">
        <v>1510</v>
      </c>
      <c r="I1259">
        <v>2007</v>
      </c>
      <c r="K1259" t="s">
        <v>1511</v>
      </c>
      <c r="M1259" t="str">
        <f>LEFT($D1259,FIND(",",$D1259)-1)&amp;"_"&amp;I1259&amp;L1259</f>
        <v>Gustavsson_2007</v>
      </c>
      <c r="N1259" t="s">
        <v>222</v>
      </c>
      <c r="O1259" t="s">
        <v>223</v>
      </c>
      <c r="Q1259" t="s">
        <v>256</v>
      </c>
      <c r="R1259" s="264" t="s">
        <v>274</v>
      </c>
      <c r="S1259" s="1" t="s">
        <v>1512</v>
      </c>
      <c r="T1259" t="s">
        <v>1532</v>
      </c>
      <c r="U1259" s="143" t="s">
        <v>1533</v>
      </c>
      <c r="V1259" s="253">
        <v>0</v>
      </c>
      <c r="W1259" s="253">
        <v>0</v>
      </c>
      <c r="X1259">
        <v>0</v>
      </c>
      <c r="Y1259">
        <v>0</v>
      </c>
      <c r="Z1259">
        <v>0</v>
      </c>
      <c r="AA1259">
        <v>0</v>
      </c>
      <c r="AB1259">
        <v>0</v>
      </c>
      <c r="AC1259">
        <v>0</v>
      </c>
      <c r="AD1259">
        <v>0</v>
      </c>
      <c r="AE1259">
        <v>0</v>
      </c>
      <c r="AF1259">
        <v>0</v>
      </c>
      <c r="AG1259">
        <v>0</v>
      </c>
      <c r="AH1259">
        <v>0</v>
      </c>
      <c r="AI1259">
        <v>0</v>
      </c>
      <c r="AJ1259">
        <v>0</v>
      </c>
      <c r="AK1259">
        <v>0</v>
      </c>
      <c r="AL1259">
        <v>0</v>
      </c>
      <c r="AM1259">
        <v>1</v>
      </c>
      <c r="AN1259">
        <v>0</v>
      </c>
      <c r="AO1259">
        <v>0</v>
      </c>
      <c r="AP1259">
        <v>0</v>
      </c>
      <c r="AQ1259">
        <v>0</v>
      </c>
      <c r="AR1259">
        <v>0</v>
      </c>
      <c r="AS1259">
        <v>0</v>
      </c>
      <c r="AT1259">
        <v>0</v>
      </c>
      <c r="AU1259">
        <v>0</v>
      </c>
      <c r="AV1259">
        <v>0</v>
      </c>
      <c r="AW1259">
        <v>0</v>
      </c>
      <c r="AX1259">
        <v>0</v>
      </c>
      <c r="AY1259">
        <v>0</v>
      </c>
      <c r="AZ1259" s="141">
        <f>COUNTIF(X1259:AY1259,"&lt;&gt;0")</f>
        <v>1</v>
      </c>
      <c r="BA1259" s="141">
        <f>COUNTIF(X1259:AN1259,"&lt;&gt;0")</f>
        <v>1</v>
      </c>
      <c r="BB1259">
        <f>COUNTIF(X1259:AE1259,"&lt;&gt;0")</f>
        <v>0</v>
      </c>
      <c r="BC1259">
        <f>COUNTIF(AF1259:AK1259,"&lt;&gt;0")</f>
        <v>0</v>
      </c>
      <c r="BD1259">
        <f>COUNTIF(AL1259:AN1259,"&lt;&gt;0")</f>
        <v>1</v>
      </c>
      <c r="BE1259">
        <f>COUNTIF(AU1259:AY1259,"&lt;&gt;0")</f>
        <v>0</v>
      </c>
      <c r="BF1259">
        <f>COUNTIF(AO1259:AT1259,"&lt;&gt;0")</f>
        <v>0</v>
      </c>
      <c r="BG1259" t="str">
        <f t="array" ref="BG1259">IF(BA1259=1,INDEX($X$7:$AN$7,MATCH(TRUE,INDEX($X1259:$AY1259&lt;&gt;0,),0)),IF(BA1259=0,INDEX($AO$7:$AY$7,MATCH(1,$AO1259:$AY1259,0)),IF(BH1259="Multiple strategies","mixed drivers",IF(BH1259="Supply chain","multiple supply","multiple silviculture"))))</f>
        <v>technologies/design switch</v>
      </c>
      <c r="BH1259" s="2" t="str" cm="1">
        <f t="array" ref="BH1259">IF(COUNTIF(BB1259:BD1259,"&lt;&gt;0")=1,INDEX($X$4:$AY$4,MATCH(TRUE,INDEX($X1259:$AY1259&lt;&gt;0,),0)),IF(COUNTIF(BB1259:BD1259,"&lt;&gt;0")=0,INDEX($AO$4:$AY$4,MATCH(1,$AO1259:$AY1259,0)),"Multiple strategies"))</f>
        <v>Technology</v>
      </c>
      <c r="BI1259" s="142" t="s">
        <v>229</v>
      </c>
      <c r="BJ1259" t="s">
        <v>1514</v>
      </c>
      <c r="BK1259" s="260" t="s">
        <v>987</v>
      </c>
      <c r="BL1259" s="143" t="s">
        <v>2940</v>
      </c>
      <c r="BM1259">
        <v>0</v>
      </c>
      <c r="BN1259" s="143">
        <v>41.1</v>
      </c>
      <c r="BO1259" s="143"/>
      <c r="BP1259">
        <f>BN1259-BM1259</f>
        <v>41.1</v>
      </c>
      <c r="BQ1259" s="143">
        <f>1000*BN1259/15.3/400</f>
        <v>6.7156862745098032</v>
      </c>
      <c r="BR1259" t="s">
        <v>232</v>
      </c>
      <c r="BT1259" t="s">
        <v>907</v>
      </c>
      <c r="BU1259" s="143">
        <v>-1</v>
      </c>
      <c r="BV1259" s="151">
        <v>0</v>
      </c>
      <c r="BW1259">
        <v>0</v>
      </c>
      <c r="BX1259">
        <v>1</v>
      </c>
      <c r="BZ1259">
        <f>BX1259*C_to_CO2</f>
        <v>3.67</v>
      </c>
      <c r="CA1259">
        <f>IFERROR(BZ1259/BQ1259,"")</f>
        <v>0.54648175182481762</v>
      </c>
      <c r="CB1259" s="143">
        <v>0</v>
      </c>
      <c r="CC1259" s="143">
        <v>0</v>
      </c>
      <c r="CD1259" s="143">
        <v>0</v>
      </c>
      <c r="CE1259" s="143">
        <v>0</v>
      </c>
      <c r="CF1259" s="143">
        <v>0</v>
      </c>
      <c r="CG1259" s="143">
        <v>0</v>
      </c>
      <c r="CH1259" s="143">
        <v>0</v>
      </c>
      <c r="CI1259" s="143">
        <v>0</v>
      </c>
      <c r="CJ1259" s="143">
        <v>0</v>
      </c>
      <c r="CK1259" s="143">
        <v>0</v>
      </c>
      <c r="CL1259" s="143">
        <v>0</v>
      </c>
      <c r="CM1259" s="143">
        <v>0</v>
      </c>
      <c r="CN1259" s="143">
        <v>0</v>
      </c>
      <c r="CO1259">
        <v>1</v>
      </c>
      <c r="CP1259" t="str">
        <f>IF($BN1259&lt;$BM1259,"refNeedCorrection","refOK")</f>
        <v>refOK</v>
      </c>
      <c r="CQ1259">
        <f>IF($CP1259="refOK",$BM1259,$BN1259)</f>
        <v>0</v>
      </c>
      <c r="CR1259">
        <f>IF($CP1259="refOK",$BN1259,$BM1259)</f>
        <v>41.1</v>
      </c>
      <c r="CS1259">
        <f>IF($CP1259="refOK",$BQ1259,-$BQ1259)</f>
        <v>6.7156862745098032</v>
      </c>
      <c r="CT1259">
        <f>IF(BI1259="Roundwood",$CS1259/2,$CS1259)</f>
        <v>6.7156862745098032</v>
      </c>
      <c r="CU1259">
        <f>IF($CP1259="refOK",$BU1259,$BV1259)*IF($BR1259="Emissions positive",-1,1)</f>
        <v>-1</v>
      </c>
      <c r="CV1259">
        <f>IF($CP1259="refOK",$BV1259,$BU1259)*IF($BR1259="Emissions positive",-1,1)</f>
        <v>0</v>
      </c>
      <c r="CW1259">
        <f>IF($CP1259="refNeedCorrection",-BZ1259,BZ1259)*IF($BR1259="Emissions positive",-1,1)</f>
        <v>3.67</v>
      </c>
      <c r="CX1259">
        <f>IFERROR($CW1259/$CS1259,"")</f>
        <v>0.54648175182481762</v>
      </c>
      <c r="CY1259">
        <f>IFERROR($CW1259/$CS1259,"")</f>
        <v>0.54648175182481762</v>
      </c>
      <c r="CZ1259">
        <f>IFERROR($CW1259/$CT1259,"")</f>
        <v>0.54648175182481762</v>
      </c>
      <c r="DA1259" s="2">
        <f>IFERROR((CV1259-CU1259)/ABS(CU1259),"")</f>
        <v>1</v>
      </c>
      <c r="DB1259" s="1" t="s">
        <v>1078</v>
      </c>
      <c r="DC1259" t="str">
        <f>IF(OR($DB1259="prd",$DB1259="std",$DB1259="cit"),"loc",IF(OR($DB1259="eur",$DB1259="reg",$DB1259="coy"),"reg",$DB1259))</f>
        <v>reg</v>
      </c>
      <c r="DD1259" t="s">
        <v>444</v>
      </c>
      <c r="DF1259" s="143"/>
      <c r="DG1259" s="143">
        <v>0</v>
      </c>
      <c r="DH1259" t="str">
        <f>IF(DG1259=0,"0",IF(AND(DG1259&gt;=1,DG1259&lt;=30),"1-30",IF(AND(DG1259&gt;30,DG1259&lt;=70),"31-70",IF(AND(DG1259&gt;70,DG1259&lt;=100),"71-100",IF(DG1259&gt;100,"+100")))))</f>
        <v>0</v>
      </c>
      <c r="DI1259">
        <v>0</v>
      </c>
      <c r="DJ1259">
        <v>1</v>
      </c>
      <c r="DK1259">
        <v>0</v>
      </c>
      <c r="DL1259">
        <v>0</v>
      </c>
      <c r="DN1259">
        <f>SUM(DI1259:DL1259)</f>
        <v>1</v>
      </c>
      <c r="DO1259" t="str">
        <f>IF(DN1259=1,INDEX($DI$7:$DL$7,MATCH(1,$DI1259:$DL1259,0)),"mixedProduct")</f>
        <v>EnergyInput</v>
      </c>
      <c r="DP1259">
        <f>IF(DI1259=1,DP$7,0)</f>
        <v>0</v>
      </c>
      <c r="DQ1259" t="str">
        <f>IF(DJ1259=1,DQ$7,0)</f>
        <v>Energy</v>
      </c>
      <c r="DR1259">
        <f>IF(DK1259=1,DR$7,0)</f>
        <v>0</v>
      </c>
      <c r="DS1259">
        <f>IF(DL1259=1,DS$7,0)</f>
        <v>0</v>
      </c>
      <c r="DT1259">
        <v>0</v>
      </c>
      <c r="DU1259" s="143">
        <v>0</v>
      </c>
      <c r="DV1259" s="143">
        <v>0</v>
      </c>
      <c r="DW1259">
        <v>0</v>
      </c>
      <c r="DX1259" s="143">
        <v>0</v>
      </c>
      <c r="DY1259">
        <f>SUM(DT1259:DU1259)</f>
        <v>0</v>
      </c>
      <c r="DZ1259" s="143" t="str">
        <f>IF(DT1259=1,"self-calculated DF",IF(DU1259=1,"external DF used","explicit C balance"))</f>
        <v>explicit C balance</v>
      </c>
      <c r="EA1259" s="143">
        <v>0</v>
      </c>
      <c r="EB1259" s="143">
        <v>0</v>
      </c>
      <c r="EC1259" s="143">
        <v>0</v>
      </c>
      <c r="ED1259" s="143">
        <v>0</v>
      </c>
      <c r="EE1259">
        <v>0</v>
      </c>
      <c r="EF1259" s="143">
        <v>0</v>
      </c>
      <c r="EG1259" s="143">
        <v>0</v>
      </c>
      <c r="EH1259" s="143">
        <v>1</v>
      </c>
      <c r="EI1259" s="143">
        <v>0</v>
      </c>
      <c r="EJ1259">
        <v>0</v>
      </c>
      <c r="EK1259">
        <v>0</v>
      </c>
      <c r="EL1259" s="143">
        <v>0</v>
      </c>
      <c r="EM1259" s="143">
        <v>0</v>
      </c>
      <c r="EN1259" s="2">
        <v>0</v>
      </c>
      <c r="EP1259" t="str">
        <f>IF(AND(AND(AND(OR($EC1259=1,$EB1259=1),OR($EH1259=1,$EF1259=1)),SUM($EA1259:$EE1259,$EK1259)&gt;=3),SUM($EF1259:$EJ1259)&gt;=2),"Whole sector approach","")</f>
        <v/>
      </c>
      <c r="EQ1259" t="str">
        <f>IF(AND(AND(OR($EC1259=1,$EB1259=1),AND($EH1259=0,$EF1259=0)),SUM($EA1259:$EE1259,$EK1259)&gt;=4),"Ecosystem approach","")</f>
        <v/>
      </c>
      <c r="ER1259" s="2" t="str">
        <f>IF(AND(AND(AND($EC1259=0,$EB1259=0),OR($EH1259=1,$EF1259=1)),SUM($EG1259:$EJ1259)&gt;=2),"Technology approach","")</f>
        <v/>
      </c>
      <c r="ES1259" t="str">
        <f>IF(AND($EC1259+$EB1259+$EE1259+$EA1259+$ED1259+$EG1259=0,$N1259="included"),"C neutral forest and HWP assumption","")</f>
        <v>C neutral forest and HWP assumption</v>
      </c>
      <c r="ET1259" t="str">
        <f>IF(AND(AND(AND(AND($EC1259=1,$EB1259+$EA1259+$EG1259&gt;=1),$EF1259=1),$EH1259+$EI1259+$ED1259+$EE1259&gt;=2),$N1259="included"),"All C pools assumption","")</f>
        <v/>
      </c>
      <c r="EU1259" t="str">
        <f>IF(AND($ED1259+$EE1259+$EI1259+$EH1259+$EF1259=0,$N1259="included"),"In-situ only assumption","")</f>
        <v/>
      </c>
      <c r="EY1259" t="str">
        <f>IF(ISNUMBER(BW1259),IF(ABS(BW1259-[3]QC_indicators!$B$2)&gt;3*[3]QC_indicators!$C$2,"C ratio",IF(ISNUMBER(CA1259),IF(ABS(CA1259-[3]QC_indicators!$B$1)&gt;3*[3]QC_indicators!$C$1,"DF","no"))),IF(ISNUMBER(CA1259),IF(ABS(CA1259-[3]QC_indicators!$B$1)&gt;3*[3]QC_indicators!$C$1,"DF","no")))</f>
        <v>no</v>
      </c>
      <c r="FA1259" t="str">
        <f>IF(LEN($CY1259)=0,"",IF(AND($CY1259&lt;(-0.05),$ES1259="C neutral forest and HWP assumption"),"Cneutral paradox",IF(AND($CY1259&gt;0.05,$EU1259="In-situ only assumption"),"In-situ only paradox","")))</f>
        <v/>
      </c>
      <c r="FB1259" s="149" t="s">
        <v>349</v>
      </c>
      <c r="FD1259" s="260" t="s">
        <v>2941</v>
      </c>
    </row>
    <row r="1260" spans="1:160" ht="15" hidden="1" customHeight="1">
      <c r="A1260" s="1" t="s">
        <v>1108</v>
      </c>
      <c r="B1260" t="s">
        <v>1109</v>
      </c>
      <c r="C1260" t="s">
        <v>1110</v>
      </c>
      <c r="D1260" t="s">
        <v>336</v>
      </c>
      <c r="E1260" t="s">
        <v>1111</v>
      </c>
      <c r="F1260" t="s">
        <v>1112</v>
      </c>
      <c r="G1260" t="s">
        <v>1113</v>
      </c>
      <c r="I1260">
        <v>2018</v>
      </c>
      <c r="K1260" t="s">
        <v>1114</v>
      </c>
      <c r="M1260" t="str">
        <f>LEFT($D1260,FIND(",",$D1260)-1)&amp;"_"&amp;I1260&amp;L1260</f>
        <v>Balasbaneh_2018</v>
      </c>
      <c r="N1260" t="s">
        <v>222</v>
      </c>
      <c r="O1260" s="140" t="s">
        <v>508</v>
      </c>
      <c r="Q1260" t="s">
        <v>224</v>
      </c>
      <c r="R1260" s="258" t="s">
        <v>223</v>
      </c>
      <c r="S1260" s="1" t="s">
        <v>1141</v>
      </c>
      <c r="T1260" s="260" t="s">
        <v>2794</v>
      </c>
      <c r="U1260" s="260" t="s">
        <v>2790</v>
      </c>
      <c r="V1260" s="253">
        <v>0</v>
      </c>
      <c r="W1260" s="253">
        <v>0</v>
      </c>
      <c r="X1260">
        <v>0</v>
      </c>
      <c r="Y1260">
        <v>0</v>
      </c>
      <c r="Z1260">
        <v>0</v>
      </c>
      <c r="AA1260">
        <v>0</v>
      </c>
      <c r="AB1260">
        <v>0</v>
      </c>
      <c r="AC1260">
        <v>0</v>
      </c>
      <c r="AD1260">
        <v>0</v>
      </c>
      <c r="AE1260">
        <v>0</v>
      </c>
      <c r="AF1260">
        <v>0</v>
      </c>
      <c r="AG1260">
        <v>0</v>
      </c>
      <c r="AH1260">
        <v>0</v>
      </c>
      <c r="AI1260">
        <v>0</v>
      </c>
      <c r="AJ1260">
        <v>0</v>
      </c>
      <c r="AK1260">
        <v>0</v>
      </c>
      <c r="AL1260">
        <v>0</v>
      </c>
      <c r="AM1260">
        <v>1</v>
      </c>
      <c r="AN1260">
        <v>0</v>
      </c>
      <c r="AO1260">
        <v>0</v>
      </c>
      <c r="AP1260">
        <v>0</v>
      </c>
      <c r="AQ1260">
        <v>0</v>
      </c>
      <c r="AR1260">
        <v>0</v>
      </c>
      <c r="AS1260">
        <v>0</v>
      </c>
      <c r="AT1260">
        <v>0</v>
      </c>
      <c r="AU1260">
        <v>0</v>
      </c>
      <c r="AV1260">
        <v>0</v>
      </c>
      <c r="AW1260">
        <v>0</v>
      </c>
      <c r="AX1260">
        <v>0</v>
      </c>
      <c r="AY1260">
        <v>0</v>
      </c>
      <c r="AZ1260" s="141">
        <f>COUNTIF(X1260:AY1260,"&lt;&gt;0")</f>
        <v>1</v>
      </c>
      <c r="BA1260" s="141">
        <f>COUNTIF(X1260:AN1260,"&lt;&gt;0")</f>
        <v>1</v>
      </c>
      <c r="BB1260">
        <f>COUNTIF(X1260:AE1260,"&lt;&gt;0")</f>
        <v>0</v>
      </c>
      <c r="BC1260">
        <f>COUNTIF(AF1260:AK1260,"&lt;&gt;0")</f>
        <v>0</v>
      </c>
      <c r="BD1260">
        <f>COUNTIF(AL1260:AN1260,"&lt;&gt;0")</f>
        <v>1</v>
      </c>
      <c r="BE1260">
        <f>COUNTIF(AU1260:AY1260,"&lt;&gt;0")</f>
        <v>0</v>
      </c>
      <c r="BF1260">
        <f>COUNTIF(AO1260:AT1260,"&lt;&gt;0")</f>
        <v>0</v>
      </c>
      <c r="BG1260" t="str">
        <f t="array" ref="BG1260">IF(BA1260=1,INDEX($X$7:$AN$7,MATCH(TRUE,INDEX($X1260:$AY1260&lt;&gt;0,),0)),IF(BA1260=0,INDEX($AO$7:$AY$7,MATCH(1,$AO1260:$AY1260,0)),IF(BH1260="Multiple strategies","mixed drivers",IF(BH1260="Supply chain","multiple supply","multiple silviculture"))))</f>
        <v>technologies/design switch</v>
      </c>
      <c r="BH1260" s="2" t="str" cm="1">
        <f t="array" ref="BH1260">IF(COUNTIF(BB1260:BD1260,"&lt;&gt;0")=1,INDEX($X$4:$AY$4,MATCH(TRUE,INDEX($X1260:$AY1260&lt;&gt;0,),0)),IF(COUNTIF(BB1260:BD1260,"&lt;&gt;0")=0,INDEX($AO$4:$AY$4,MATCH(1,$AO1260:$AY1260,0)),"Multiple strategies"))</f>
        <v>Technology</v>
      </c>
      <c r="BI1260" s="1" t="s">
        <v>229</v>
      </c>
      <c r="BJ1260" t="s">
        <v>229</v>
      </c>
      <c r="BL1260" t="s">
        <v>345</v>
      </c>
      <c r="BM1260">
        <v>0</v>
      </c>
      <c r="BN1260">
        <v>15468</v>
      </c>
      <c r="BO1260" s="143"/>
      <c r="BP1260">
        <f>BN1260-BM1260</f>
        <v>15468</v>
      </c>
      <c r="BQ1260" s="143">
        <f>BP1260*kg_to_m3</f>
        <v>31.567346938775515</v>
      </c>
      <c r="BR1260" t="s">
        <v>232</v>
      </c>
      <c r="BS1260" s="153" t="s">
        <v>987</v>
      </c>
      <c r="BT1260" t="s">
        <v>397</v>
      </c>
      <c r="BU1260">
        <v>-23200</v>
      </c>
      <c r="BV1260">
        <v>-5840</v>
      </c>
      <c r="BW1260" s="144">
        <v>0.25172413793103449</v>
      </c>
      <c r="BX1260">
        <v>17360</v>
      </c>
      <c r="BZ1260">
        <f>BX1260/1000</f>
        <v>17.36</v>
      </c>
      <c r="CA1260">
        <f>IFERROR(BZ1260/BQ1260,"")</f>
        <v>0.54993535040082742</v>
      </c>
      <c r="CB1260">
        <v>0</v>
      </c>
      <c r="CC1260">
        <v>0</v>
      </c>
      <c r="CD1260">
        <v>0</v>
      </c>
      <c r="CE1260">
        <v>0</v>
      </c>
      <c r="CF1260">
        <v>0</v>
      </c>
      <c r="CG1260">
        <v>0</v>
      </c>
      <c r="CH1260">
        <v>0</v>
      </c>
      <c r="CI1260">
        <v>0</v>
      </c>
      <c r="CJ1260">
        <v>0</v>
      </c>
      <c r="CK1260">
        <v>0</v>
      </c>
      <c r="CL1260">
        <v>0</v>
      </c>
      <c r="CM1260">
        <v>0</v>
      </c>
      <c r="CN1260">
        <v>0</v>
      </c>
      <c r="CO1260">
        <v>0</v>
      </c>
      <c r="CP1260" t="str">
        <f>IF($BN1260&lt;$BM1260,"refNeedCorrection","refOK")</f>
        <v>refOK</v>
      </c>
      <c r="CQ1260">
        <f>IF($CP1260="refNeedCorrection",BN1260,BM1260)</f>
        <v>0</v>
      </c>
      <c r="CR1260">
        <f>IF($CP1260="refNeedCorrection",BM1260,BN1260)</f>
        <v>15468</v>
      </c>
      <c r="CS1260">
        <f>IF($CP1260="refOK",$BQ1260,-$BQ1260)</f>
        <v>31.567346938775515</v>
      </c>
      <c r="CT1260">
        <f>IF(BI1260="Roundwood",$CS1260/2,$CS1260)</f>
        <v>31.567346938775515</v>
      </c>
      <c r="CU1260">
        <f>IF($CP1260="refOK",$BU1260,$BV1260)*IF($BR1260="Emissions positive",-1,1)</f>
        <v>-23200</v>
      </c>
      <c r="CV1260">
        <f>IF($CP1260="refOK",$BV1260,$BU1260)*IF($BR1260="Emissions positive",-1,1)</f>
        <v>-5840</v>
      </c>
      <c r="CW1260">
        <f>IF($CP1260="refNeedCorrection",-BZ1260,BZ1260)*IF($BR1260="Emissions positive",-1,1)</f>
        <v>17.36</v>
      </c>
      <c r="CX1260">
        <f>IFERROR($CW1260/$CS1260,"")</f>
        <v>0.54993535040082742</v>
      </c>
      <c r="CY1260">
        <f>IFERROR($CW1260/$CS1260,"")</f>
        <v>0.54993535040082742</v>
      </c>
      <c r="CZ1260">
        <f>IFERROR($CW1260/$CT1260,"")</f>
        <v>0.54993535040082742</v>
      </c>
      <c r="DA1260" s="2">
        <f>IFERROR((CV1260-CU1260)/ABS(CU1260),"")</f>
        <v>0.74827586206896557</v>
      </c>
      <c r="DB1260" s="1" t="s">
        <v>1078</v>
      </c>
      <c r="DC1260" t="str">
        <f>IF(OR($DB1260="prd",$DB1260="std",$DB1260="cit"),"loc",IF(OR($DB1260="eur",$DB1260="reg",$DB1260="coy"),"reg",$DB1260))</f>
        <v>reg</v>
      </c>
      <c r="DD1260" t="s">
        <v>348</v>
      </c>
      <c r="DE1260">
        <v>2014</v>
      </c>
      <c r="DF1260">
        <v>2034</v>
      </c>
      <c r="DG1260">
        <v>20</v>
      </c>
      <c r="DH1260" t="str">
        <f>IF(DG1260=0,"0",IF(AND(DG1260&gt;=1,DG1260&lt;=30),"1-30",IF(AND(DG1260&gt;30,DG1260&lt;=70),"31-70",IF(AND(DG1260&gt;70,DG1260&lt;=100),"71-100",IF(DG1260&gt;100,"+100")))))</f>
        <v>1-30</v>
      </c>
      <c r="DI1260">
        <v>0</v>
      </c>
      <c r="DJ1260">
        <v>0</v>
      </c>
      <c r="DK1260">
        <v>0</v>
      </c>
      <c r="DL1260">
        <v>1</v>
      </c>
      <c r="DN1260">
        <f>SUM(DI1260:DL1260)</f>
        <v>1</v>
      </c>
      <c r="DO1260" t="str">
        <f>IF(DN1260=1,INDEX($DI$7:$DL$7,MATCH(1,$DI1260:$DL1260,0)),"mixedProduct")</f>
        <v>TimberInput</v>
      </c>
      <c r="DP1260">
        <f>IF(DI1260=1,DP$7,0)</f>
        <v>0</v>
      </c>
      <c r="DQ1260">
        <f>IF(DJ1260=1,DQ$7,0)</f>
        <v>0</v>
      </c>
      <c r="DR1260">
        <f>IF(DK1260=1,DR$7,0)</f>
        <v>0</v>
      </c>
      <c r="DS1260" t="str">
        <f>IF(DL1260=1,DS$7,0)</f>
        <v>Timber</v>
      </c>
      <c r="DT1260">
        <v>0</v>
      </c>
      <c r="DU1260">
        <v>0</v>
      </c>
      <c r="DV1260">
        <v>0</v>
      </c>
      <c r="DW1260">
        <v>0</v>
      </c>
      <c r="DX1260">
        <v>0</v>
      </c>
      <c r="DY1260">
        <f>SUM(DT1260:DU1260)</f>
        <v>0</v>
      </c>
      <c r="DZ1260" s="143" t="str">
        <f>IF(DT1260=1,"self-calculated DF",IF(DU1260=1,"external DF used","explicit C balance"))</f>
        <v>explicit C balance</v>
      </c>
      <c r="EA1260">
        <v>0</v>
      </c>
      <c r="EB1260">
        <v>0</v>
      </c>
      <c r="EC1260">
        <v>0</v>
      </c>
      <c r="ED1260">
        <v>0</v>
      </c>
      <c r="EE1260">
        <v>0</v>
      </c>
      <c r="EF1260" s="143">
        <v>1</v>
      </c>
      <c r="EG1260">
        <v>0</v>
      </c>
      <c r="EH1260">
        <v>1</v>
      </c>
      <c r="EI1260">
        <v>1</v>
      </c>
      <c r="EJ1260">
        <v>1</v>
      </c>
      <c r="EK1260">
        <v>0</v>
      </c>
      <c r="EL1260">
        <v>0</v>
      </c>
      <c r="EM1260">
        <v>0</v>
      </c>
      <c r="EN1260" s="2">
        <v>0</v>
      </c>
      <c r="EP1260" t="str">
        <f>IF(AND(AND(AND(OR($EC1260=1,$EB1260=1),OR($EH1260=1,$EF1260=1)),SUM($EA1260:$EE1260,$EK1260)&gt;=3),SUM($EF1260:$EJ1260)&gt;=2),"Whole sector approach","")</f>
        <v/>
      </c>
      <c r="EQ1260" t="str">
        <f>IF(AND(AND(OR($EC1260=1,$EB1260=1),AND($EH1260=0,$EF1260=0)),SUM($EA1260:$EE1260,$EK1260)&gt;=4),"Ecosystem approach","")</f>
        <v/>
      </c>
      <c r="ER1260" s="2" t="str">
        <f>IF(AND(AND(AND($EC1260=0,$EB1260=0),OR($EH1260=1,$EF1260=1)),SUM($EG1260:$EJ1260)&gt;=2),"Technology approach","")</f>
        <v>Technology approach</v>
      </c>
      <c r="ES1260" t="str">
        <f>IF(AND($EC1260+$EB1260+$EE1260+$EA1260+$ED1260+$EG1260=0,$N1260="included"),"C neutral forest and HWP assumption","")</f>
        <v>C neutral forest and HWP assumption</v>
      </c>
      <c r="ET1260" t="str">
        <f>IF(AND(AND(AND(AND($EC1260=1,$EB1260+$EA1260+$EG1260&gt;=1),$EF1260=1),$EH1260+$EI1260+$ED1260+$EE1260&gt;=2),$N1260="included"),"All C pools assumption","")</f>
        <v/>
      </c>
      <c r="EU1260" t="str">
        <f>IF(AND($ED1260+$EE1260+$EI1260+$EH1260+$EF1260=0,$N1260="included"),"In-situ only assumption","")</f>
        <v/>
      </c>
      <c r="EY1260" t="str">
        <f>IF(ISNUMBER(BW1260),IF(ABS(BW1260-[2]QC_indicators!$B$2)&gt;3*[2]QC_indicators!$C$2,"C ratio",IF(ISNUMBER(CA1260),IF(ABS(CA1260-[2]QC_indicators!$B$1)&gt;3*[2]QC_indicators!$C$1,"DF","no"))),IF(ISNUMBER(CA1260),IF(ABS(CA1260-[2]QC_indicators!$B$1)&gt;3*[2]QC_indicators!$C$1,"DF","no")))</f>
        <v>no</v>
      </c>
      <c r="FA1260" t="str">
        <f>IF(LEN($CY1260)=0,"",IF(AND($CY1260&lt;(-0.05),$ES1260="C neutral forest and HWP assumption"),"Cneutral paradox",IF(AND($CY1260&gt;0.05,$EU1260="In-situ only assumption"),"In-situ only paradox","")))</f>
        <v/>
      </c>
      <c r="FB1260" s="149" t="s">
        <v>349</v>
      </c>
      <c r="FD1260" s="260" t="s">
        <v>2948</v>
      </c>
    </row>
    <row r="1261" spans="1:160" ht="15" hidden="1" customHeight="1">
      <c r="A1261" s="1" t="s">
        <v>849</v>
      </c>
      <c r="B1261" t="s">
        <v>1552</v>
      </c>
      <c r="C1261" t="s">
        <v>531</v>
      </c>
      <c r="D1261" t="s">
        <v>1553</v>
      </c>
      <c r="E1261" s="317" t="s">
        <v>1554</v>
      </c>
      <c r="F1261" t="s">
        <v>1555</v>
      </c>
      <c r="G1261" t="s">
        <v>1059</v>
      </c>
      <c r="H1261" t="s">
        <v>254</v>
      </c>
      <c r="I1261">
        <v>2021</v>
      </c>
      <c r="J1261">
        <v>8</v>
      </c>
      <c r="K1261" t="s">
        <v>1556</v>
      </c>
      <c r="M1261" t="str">
        <f>LEFT($D1261,FIND(",",$D1261)-1)&amp;"_"&amp;I1261&amp;L1261</f>
        <v>Hart_2021</v>
      </c>
      <c r="N1261" s="317" t="s">
        <v>222</v>
      </c>
      <c r="O1261" s="171" t="s">
        <v>225</v>
      </c>
      <c r="P1261" t="s">
        <v>924</v>
      </c>
      <c r="Q1261" s="317" t="s">
        <v>389</v>
      </c>
      <c r="R1261" s="318" t="s">
        <v>1029</v>
      </c>
      <c r="S1261" s="322" t="s">
        <v>1557</v>
      </c>
      <c r="T1261" s="317" t="s">
        <v>1564</v>
      </c>
      <c r="U1261" t="s">
        <v>1559</v>
      </c>
      <c r="V1261" s="253">
        <v>0</v>
      </c>
      <c r="W1261" s="253">
        <v>0</v>
      </c>
      <c r="X1261">
        <v>0</v>
      </c>
      <c r="Y1261">
        <v>0</v>
      </c>
      <c r="Z1261">
        <v>0</v>
      </c>
      <c r="AA1261">
        <v>0</v>
      </c>
      <c r="AB1261">
        <v>0</v>
      </c>
      <c r="AC1261">
        <v>0</v>
      </c>
      <c r="AD1261">
        <v>0</v>
      </c>
      <c r="AE1261">
        <v>0</v>
      </c>
      <c r="AF1261">
        <v>0</v>
      </c>
      <c r="AG1261">
        <v>0</v>
      </c>
      <c r="AH1261">
        <v>0</v>
      </c>
      <c r="AI1261">
        <v>0</v>
      </c>
      <c r="AJ1261">
        <v>0</v>
      </c>
      <c r="AK1261">
        <v>0</v>
      </c>
      <c r="AL1261">
        <v>0</v>
      </c>
      <c r="AM1261">
        <v>1</v>
      </c>
      <c r="AN1261">
        <v>0</v>
      </c>
      <c r="AO1261">
        <v>0</v>
      </c>
      <c r="AP1261">
        <v>0</v>
      </c>
      <c r="AQ1261">
        <v>0</v>
      </c>
      <c r="AR1261">
        <v>0</v>
      </c>
      <c r="AS1261">
        <v>0</v>
      </c>
      <c r="AT1261">
        <v>0</v>
      </c>
      <c r="AU1261">
        <v>0</v>
      </c>
      <c r="AV1261">
        <v>0</v>
      </c>
      <c r="AW1261">
        <v>0</v>
      </c>
      <c r="AX1261">
        <v>0</v>
      </c>
      <c r="AY1261">
        <v>0</v>
      </c>
      <c r="AZ1261" s="141">
        <f>COUNTIF(X1261:AY1261,"&lt;&gt;0")</f>
        <v>1</v>
      </c>
      <c r="BA1261" s="141">
        <f>COUNTIF(X1261:AN1261,"&lt;&gt;0")</f>
        <v>1</v>
      </c>
      <c r="BB1261">
        <f>COUNTIF(X1261:AE1261,"&lt;&gt;0")</f>
        <v>0</v>
      </c>
      <c r="BC1261">
        <f>COUNTIF(AF1261:AK1261,"&lt;&gt;0")</f>
        <v>0</v>
      </c>
      <c r="BD1261">
        <f>COUNTIF(AL1261:AN1261,"&lt;&gt;0")</f>
        <v>1</v>
      </c>
      <c r="BE1261">
        <f>COUNTIF(AU1261:AY1261,"&lt;&gt;0")</f>
        <v>0</v>
      </c>
      <c r="BF1261">
        <f>COUNTIF(AO1261:AT1261,"&lt;&gt;0")</f>
        <v>0</v>
      </c>
      <c r="BG1261" t="str" cm="1">
        <f t="array" ref="BG1261">IF(BA1261=1,INDEX($X$7:$AN$7,MATCH(TRUE,INDEX($X1261:$AY1261&lt;&gt;0,),0)),IF(BA1261=0,INDEX($AO$7:$AY$7,MATCH(1,$AO1261:$AY1261,0)),IF(BH1261="Multiple strategies","mixed drivers",IF(BH1261="Supply chain","multiple supply","multiple silviculture"))))</f>
        <v>technologies/design switch</v>
      </c>
      <c r="BH1261" s="2" t="str" cm="1">
        <f t="array" ref="BH1261">IF(COUNTIF(BB1261:BD1261,"&lt;&gt;0")=1,INDEX($X$4:$AY$4,MATCH(TRUE,INDEX($X1261:$AY1261&lt;&gt;0,),0)),IF(COUNTIF(BB1261:BD1261,"&lt;&gt;0")=0,INDEX($AO$4:$AY$4,MATCH(1,$AO1261:$AY1261,0)),"Multiple strategies"))</f>
        <v>Technology</v>
      </c>
      <c r="BI1261" s="323" t="s">
        <v>229</v>
      </c>
      <c r="BJ1261" s="321" t="s">
        <v>1560</v>
      </c>
      <c r="BK1261" s="321" t="s">
        <v>4979</v>
      </c>
      <c r="BL1261" s="321" t="s">
        <v>1561</v>
      </c>
      <c r="BM1261">
        <v>0</v>
      </c>
      <c r="BN1261">
        <v>7.314381831917062E-2</v>
      </c>
      <c r="BO1261" t="s">
        <v>531</v>
      </c>
      <c r="BP1261">
        <f>BN1261-BM1261</f>
        <v>7.314381831917062E-2</v>
      </c>
      <c r="BQ1261" s="317">
        <f>BP1261*t_to_m3</f>
        <v>0.1492730986105523</v>
      </c>
      <c r="BR1261" s="317" t="s">
        <v>232</v>
      </c>
      <c r="BS1261" s="155" t="s">
        <v>1562</v>
      </c>
      <c r="BT1261" s="317" t="s">
        <v>1563</v>
      </c>
      <c r="BU1261">
        <v>-163.80603424463476</v>
      </c>
      <c r="BV1261">
        <v>-80.733700144141935</v>
      </c>
      <c r="BW1261" s="144">
        <f>IFERROR(BV1261/BU1261,"")</f>
        <v>0.4928615756826813</v>
      </c>
      <c r="BX1261">
        <f>BV1261-BU1261</f>
        <v>83.072334100492824</v>
      </c>
      <c r="BZ1261">
        <f>BX1261/1000</f>
        <v>8.307233410049282E-2</v>
      </c>
      <c r="CA1261">
        <f>IFERROR(BZ1261/BQ1261,"")</f>
        <v>0.55651242503664577</v>
      </c>
      <c r="CB1261">
        <v>0</v>
      </c>
      <c r="CC1261">
        <v>0</v>
      </c>
      <c r="CD1261">
        <v>0</v>
      </c>
      <c r="CE1261">
        <v>0</v>
      </c>
      <c r="CF1261">
        <v>0</v>
      </c>
      <c r="CG1261">
        <v>0</v>
      </c>
      <c r="CH1261">
        <v>0</v>
      </c>
      <c r="CI1261">
        <v>0</v>
      </c>
      <c r="CJ1261">
        <v>0</v>
      </c>
      <c r="CK1261">
        <v>0</v>
      </c>
      <c r="CL1261">
        <v>0</v>
      </c>
      <c r="CM1261">
        <v>0</v>
      </c>
      <c r="CN1261">
        <v>0</v>
      </c>
      <c r="CO1261">
        <v>0</v>
      </c>
      <c r="CP1261" t="str">
        <f>IF($BN1261&lt;$BM1261,"refNeedCorrection","refOK")</f>
        <v>refOK</v>
      </c>
      <c r="CQ1261">
        <f>IF($CP1261="refOK",$BM1261,$BN1261)</f>
        <v>0</v>
      </c>
      <c r="CR1261">
        <f>IF($CP1261="refOK",$BN1261,$BM1261)</f>
        <v>7.314381831917062E-2</v>
      </c>
      <c r="CS1261">
        <f>IF($CP1261="refOK",$BQ1261,-$BQ1261)</f>
        <v>0.1492730986105523</v>
      </c>
      <c r="CT1261">
        <f>IF(BI1261="Roundwood",$CS1261/2,$CS1261)</f>
        <v>0.1492730986105523</v>
      </c>
      <c r="CU1261">
        <f>IF($CP1261="refOK",$BU1261,$BV1261)*IF($BR1261="Emissions positive",-1,1)</f>
        <v>-163.80603424463476</v>
      </c>
      <c r="CV1261">
        <f>IF($CP1261="refOK",$BV1261,$BU1261)*IF($BR1261="Emissions positive",-1,1)</f>
        <v>-80.733700144141935</v>
      </c>
      <c r="CW1261">
        <f>IF($CP1261="refNeedCorrection",-BZ1261,BZ1261)*IF($BR1261="Emissions positive",-1,1)</f>
        <v>8.307233410049282E-2</v>
      </c>
      <c r="CX1261">
        <f>IFERROR($CW1261/$CS1261,"")</f>
        <v>0.55651242503664577</v>
      </c>
      <c r="CY1261">
        <f>IFERROR($CW1261/$CS1261,"")</f>
        <v>0.55651242503664577</v>
      </c>
      <c r="CZ1261">
        <f>IFERROR($CW1261/$CT1261,"")</f>
        <v>0.55651242503664577</v>
      </c>
      <c r="DA1261" s="2">
        <f>IFERROR((CV1261-CU1261)/ABS(CU1261),"")</f>
        <v>0.5071384243173187</v>
      </c>
      <c r="DB1261" s="320" t="s">
        <v>1078</v>
      </c>
      <c r="DC1261" s="317" t="str">
        <f>IF(OR($DB1261="prd",$DB1261="std",$DB1261="cit"),"loc",IF(OR($DB1261="eur",$DB1261="reg",$DB1261="coy"),"reg",$DB1261))</f>
        <v>reg</v>
      </c>
      <c r="DD1261" s="155" t="s">
        <v>3169</v>
      </c>
      <c r="DE1261">
        <v>0</v>
      </c>
      <c r="DF1261">
        <v>0</v>
      </c>
      <c r="DG1261">
        <v>0</v>
      </c>
      <c r="DH1261" t="str">
        <f>IF(DG1261=0,"0",IF(AND(DG1261&gt;=1,DG1261&lt;=30),"1-30",IF(AND(DG1261&gt;30,DG1261&lt;=70),"31-70",IF(AND(DG1261&gt;70,DG1261&lt;=100),"71-100",IF(DG1261&gt;100,"+100")))))</f>
        <v>0</v>
      </c>
      <c r="DI1261">
        <v>0</v>
      </c>
      <c r="DJ1261">
        <v>0</v>
      </c>
      <c r="DK1261">
        <v>0</v>
      </c>
      <c r="DL1261">
        <v>1</v>
      </c>
      <c r="DM1261">
        <v>0</v>
      </c>
      <c r="DN1261">
        <v>1</v>
      </c>
      <c r="DO1261" t="str">
        <f>IF(DN1261=1,INDEX($DI$7:$DL$7,MATCH(1,$DI1261:$DL1261,0)),"mixedProduct")</f>
        <v>TimberInput</v>
      </c>
      <c r="DP1261">
        <f>IF(DI1261=1,DP$7,0)</f>
        <v>0</v>
      </c>
      <c r="DQ1261">
        <f>IF(DJ1261=1,DQ$7,0)</f>
        <v>0</v>
      </c>
      <c r="DR1261">
        <f>IF(DK1261=1,DR$7,0)</f>
        <v>0</v>
      </c>
      <c r="DS1261" t="str">
        <f>IF(DL1261=1,DS$7,0)</f>
        <v>Timber</v>
      </c>
      <c r="DT1261">
        <v>0</v>
      </c>
      <c r="DU1261">
        <v>0</v>
      </c>
      <c r="DV1261">
        <v>0</v>
      </c>
      <c r="DW1261">
        <v>0</v>
      </c>
      <c r="DX1261">
        <v>0</v>
      </c>
      <c r="DY1261">
        <f>SUM(DT1261:DU1261)</f>
        <v>0</v>
      </c>
      <c r="DZ1261" s="143" t="s">
        <v>926</v>
      </c>
      <c r="EA1261">
        <v>0</v>
      </c>
      <c r="EB1261">
        <v>0</v>
      </c>
      <c r="EC1261">
        <v>0</v>
      </c>
      <c r="ED1261">
        <v>0</v>
      </c>
      <c r="EE1261">
        <v>0</v>
      </c>
      <c r="EF1261" s="143">
        <v>1</v>
      </c>
      <c r="EG1261">
        <v>0</v>
      </c>
      <c r="EH1261">
        <v>1</v>
      </c>
      <c r="EI1261">
        <v>1</v>
      </c>
      <c r="EJ1261">
        <v>0</v>
      </c>
      <c r="EK1261">
        <v>0</v>
      </c>
      <c r="EL1261">
        <v>0</v>
      </c>
      <c r="EM1261">
        <v>0</v>
      </c>
      <c r="EN1261" s="2">
        <v>0</v>
      </c>
      <c r="EP1261" t="str">
        <f>IF(AND(AND(AND(OR($EC1261=1,$EB1261=1),OR($EH1261=1,$EF1261=1)),SUM($EA1261:$EE1261,$EK1261)&gt;=3),SUM($EF1261:$EJ1261)&gt;=2),"Whole sector approach","")</f>
        <v/>
      </c>
      <c r="EQ1261" t="str">
        <f>IF(AND(AND(OR($EC1261=1,$EB1261=1),AND($EH1261=0,$EF1261=0)),SUM($EA1261:$EE1261,$EK1261)&gt;=3),"Ecosystem approach","")</f>
        <v/>
      </c>
      <c r="ER1261" s="2" t="str">
        <f>IF(AND(AND(AND($EC1261=0,$EB1261=0),OR($EH1261=1,$EF1261=1)),SUM($EG1261:$EJ1261)&gt;=2),"Technology approach","")</f>
        <v>Technology approach</v>
      </c>
      <c r="ES1261" t="str">
        <f>IF(AND($EC1261+$EB1261+$EE1261+$EA1261+$ED1261+$EG1261=0,$N1261="included"),"C neutral forest and HWP assumption","")</f>
        <v>C neutral forest and HWP assumption</v>
      </c>
      <c r="ET1261" t="str">
        <f>IF(AND(AND(AND(AND($EC1261=1,$EB1261+$EA1261+$EG1261&gt;=1),$EF1261=1),$EH1261+$EI1261+$ED1261+$EE1261&gt;=2),$N1261="included"),"All C pools assumption","")</f>
        <v/>
      </c>
      <c r="EU1261" t="str">
        <f>IF(AND($ED1261+$EE1261+$EI1261+$EH1261+$EF1261=0,$N1261="included"),"In-situ only assumption","")</f>
        <v/>
      </c>
      <c r="EY1261" t="str">
        <f>IF(ISNUMBER(BW1261),IF(ABS(BW1261-[4]QC_indicators!$B$2)&gt;3*[4]QC_indicators!$C$2,"C ratio",IF(ISNUMBER(CA1261),IF(ABS(CA1261-[4]QC_indicators!$B$1)&gt;3*[4]QC_indicators!$C$1,"DF","no"))),IF(ISNUMBER(CA1261),IF(ABS(CA1261-[4]QC_indicators!$B$1)&gt;3*[4]QC_indicators!$C$1,"DF","no")))</f>
        <v>no</v>
      </c>
      <c r="FA1261" t="str">
        <f>IF(LEN($CY1261)=0,"",IF(AND($CY1261&lt;(-0.05),$ES1261="C neutral forest and HWP assumption"),"Cneutral paradox",IF(AND($CY1261&gt;0.05,$EU1261="In-situ only assumption"),"In-situ only paradox","")))</f>
        <v/>
      </c>
      <c r="FD1261" t="s">
        <v>4980</v>
      </c>
    </row>
    <row r="1262" spans="1:160" hidden="1">
      <c r="A1262" s="1" t="s">
        <v>1108</v>
      </c>
      <c r="B1262" t="s">
        <v>1109</v>
      </c>
      <c r="C1262" t="s">
        <v>1110</v>
      </c>
      <c r="D1262" t="s">
        <v>336</v>
      </c>
      <c r="E1262" t="s">
        <v>1111</v>
      </c>
      <c r="F1262" t="s">
        <v>1112</v>
      </c>
      <c r="G1262" t="s">
        <v>1113</v>
      </c>
      <c r="I1262">
        <v>2018</v>
      </c>
      <c r="K1262" t="s">
        <v>1114</v>
      </c>
      <c r="M1262" t="str">
        <f>LEFT($D1262,FIND(",",$D1262)-1)&amp;"_"&amp;I1262&amp;L1262</f>
        <v>Balasbaneh_2018</v>
      </c>
      <c r="N1262" t="s">
        <v>222</v>
      </c>
      <c r="O1262" s="140" t="s">
        <v>508</v>
      </c>
      <c r="Q1262" t="s">
        <v>224</v>
      </c>
      <c r="R1262" s="258" t="s">
        <v>223</v>
      </c>
      <c r="S1262" s="1" t="s">
        <v>1142</v>
      </c>
      <c r="T1262" s="260" t="s">
        <v>2789</v>
      </c>
      <c r="U1262" s="260" t="s">
        <v>2795</v>
      </c>
      <c r="V1262" s="253">
        <v>0</v>
      </c>
      <c r="W1262" s="253">
        <v>0</v>
      </c>
      <c r="X1262">
        <v>0</v>
      </c>
      <c r="Y1262">
        <v>0</v>
      </c>
      <c r="Z1262">
        <v>0</v>
      </c>
      <c r="AA1262">
        <v>0</v>
      </c>
      <c r="AB1262">
        <v>0</v>
      </c>
      <c r="AC1262">
        <v>0</v>
      </c>
      <c r="AD1262">
        <v>0</v>
      </c>
      <c r="AE1262">
        <v>0</v>
      </c>
      <c r="AF1262">
        <v>0</v>
      </c>
      <c r="AG1262">
        <v>0</v>
      </c>
      <c r="AH1262">
        <v>0</v>
      </c>
      <c r="AI1262">
        <v>0</v>
      </c>
      <c r="AJ1262">
        <v>0</v>
      </c>
      <c r="AK1262">
        <v>0</v>
      </c>
      <c r="AL1262">
        <v>0</v>
      </c>
      <c r="AM1262">
        <v>1</v>
      </c>
      <c r="AN1262">
        <v>0</v>
      </c>
      <c r="AO1262">
        <v>0</v>
      </c>
      <c r="AP1262">
        <v>0</v>
      </c>
      <c r="AQ1262">
        <v>0</v>
      </c>
      <c r="AR1262">
        <v>0</v>
      </c>
      <c r="AS1262">
        <v>0</v>
      </c>
      <c r="AT1262">
        <v>0</v>
      </c>
      <c r="AU1262">
        <v>0</v>
      </c>
      <c r="AV1262">
        <v>0</v>
      </c>
      <c r="AW1262">
        <v>0</v>
      </c>
      <c r="AX1262">
        <v>0</v>
      </c>
      <c r="AY1262">
        <v>0</v>
      </c>
      <c r="AZ1262" s="141">
        <f>COUNTIF(X1262:AY1262,"&lt;&gt;0")</f>
        <v>1</v>
      </c>
      <c r="BA1262" s="141">
        <f>COUNTIF(X1262:AN1262,"&lt;&gt;0")</f>
        <v>1</v>
      </c>
      <c r="BB1262">
        <f>COUNTIF(X1262:AE1262,"&lt;&gt;0")</f>
        <v>0</v>
      </c>
      <c r="BC1262">
        <f>COUNTIF(AF1262:AK1262,"&lt;&gt;0")</f>
        <v>0</v>
      </c>
      <c r="BD1262">
        <f>COUNTIF(AL1262:AN1262,"&lt;&gt;0")</f>
        <v>1</v>
      </c>
      <c r="BE1262">
        <f>COUNTIF(AU1262:AY1262,"&lt;&gt;0")</f>
        <v>0</v>
      </c>
      <c r="BF1262">
        <f>COUNTIF(AO1262:AT1262,"&lt;&gt;0")</f>
        <v>0</v>
      </c>
      <c r="BG1262" t="str">
        <f t="array" ref="BG1262">IF(BA1262=1,INDEX($X$7:$AN$7,MATCH(TRUE,INDEX($X1262:$AY1262&lt;&gt;0,),0)),IF(BA1262=0,INDEX($AO$7:$AY$7,MATCH(1,$AO1262:$AY1262,0)),IF(BH1262="Multiple strategies","mixed drivers",IF(BH1262="Supply chain","multiple supply","multiple silviculture"))))</f>
        <v>technologies/design switch</v>
      </c>
      <c r="BH1262" s="2" t="str" cm="1">
        <f t="array" ref="BH1262">IF(COUNTIF(BB1262:BD1262,"&lt;&gt;0")=1,INDEX($X$4:$AY$4,MATCH(TRUE,INDEX($X1262:$AY1262&lt;&gt;0,),0)),IF(COUNTIF(BB1262:BD1262,"&lt;&gt;0")=0,INDEX($AO$4:$AY$4,MATCH(1,$AO1262:$AY1262,0)),"Multiple strategies"))</f>
        <v>Technology</v>
      </c>
      <c r="BI1262" s="1" t="s">
        <v>229</v>
      </c>
      <c r="BJ1262" t="s">
        <v>229</v>
      </c>
      <c r="BL1262" t="s">
        <v>345</v>
      </c>
      <c r="BM1262">
        <v>0</v>
      </c>
      <c r="BN1262">
        <v>23436</v>
      </c>
      <c r="BO1262" s="143"/>
      <c r="BP1262">
        <f>BN1262-BM1262</f>
        <v>23436</v>
      </c>
      <c r="BQ1262" s="143">
        <f>BP1262*kg_to_m3</f>
        <v>47.828571428571436</v>
      </c>
      <c r="BR1262" t="s">
        <v>232</v>
      </c>
      <c r="BS1262" s="153" t="s">
        <v>987</v>
      </c>
      <c r="BT1262" t="s">
        <v>397</v>
      </c>
      <c r="BU1262">
        <v>-28500</v>
      </c>
      <c r="BV1262">
        <v>-711</v>
      </c>
      <c r="BW1262" s="144">
        <v>2.4947368421052631E-2</v>
      </c>
      <c r="BX1262">
        <v>27789</v>
      </c>
      <c r="BZ1262">
        <f>BX1262/1000</f>
        <v>27.789000000000001</v>
      </c>
      <c r="CA1262">
        <f>IFERROR(BZ1262/BQ1262,"")</f>
        <v>0.58101254480286735</v>
      </c>
      <c r="CB1262">
        <v>0</v>
      </c>
      <c r="CC1262">
        <v>0</v>
      </c>
      <c r="CD1262">
        <v>0</v>
      </c>
      <c r="CE1262">
        <v>0</v>
      </c>
      <c r="CF1262">
        <v>0</v>
      </c>
      <c r="CG1262">
        <v>0</v>
      </c>
      <c r="CH1262">
        <v>0</v>
      </c>
      <c r="CI1262">
        <v>0</v>
      </c>
      <c r="CJ1262">
        <v>0</v>
      </c>
      <c r="CK1262">
        <v>0</v>
      </c>
      <c r="CL1262">
        <v>0</v>
      </c>
      <c r="CM1262">
        <v>0</v>
      </c>
      <c r="CN1262">
        <v>0</v>
      </c>
      <c r="CO1262">
        <v>0</v>
      </c>
      <c r="CP1262" t="str">
        <f>IF($BN1262&lt;$BM1262,"refNeedCorrection","refOK")</f>
        <v>refOK</v>
      </c>
      <c r="CQ1262">
        <f>IF($CP1262="refNeedCorrection",BN1262,BM1262)</f>
        <v>0</v>
      </c>
      <c r="CR1262">
        <f>IF($CP1262="refNeedCorrection",BM1262,BN1262)</f>
        <v>23436</v>
      </c>
      <c r="CS1262">
        <f>IF($CP1262="refOK",$BQ1262,-$BQ1262)</f>
        <v>47.828571428571436</v>
      </c>
      <c r="CT1262">
        <f>IF(BI1262="Roundwood",$CS1262/2,$CS1262)</f>
        <v>47.828571428571436</v>
      </c>
      <c r="CU1262">
        <f>IF($CP1262="refOK",$BU1262,$BV1262)*IF($BR1262="Emissions positive",-1,1)</f>
        <v>-28500</v>
      </c>
      <c r="CV1262">
        <f>IF($CP1262="refOK",$BV1262,$BU1262)*IF($BR1262="Emissions positive",-1,1)</f>
        <v>-711</v>
      </c>
      <c r="CW1262">
        <f>IF($CP1262="refNeedCorrection",-BZ1262,BZ1262)*IF($BR1262="Emissions positive",-1,1)</f>
        <v>27.789000000000001</v>
      </c>
      <c r="CX1262">
        <f>IFERROR($CW1262/$CS1262,"")</f>
        <v>0.58101254480286735</v>
      </c>
      <c r="CY1262">
        <f>IFERROR($CW1262/$CS1262,"")</f>
        <v>0.58101254480286735</v>
      </c>
      <c r="CZ1262">
        <f>IFERROR($CW1262/$CT1262,"")</f>
        <v>0.58101254480286735</v>
      </c>
      <c r="DA1262" s="2">
        <f>IFERROR((CV1262-CU1262)/ABS(CU1262),"")</f>
        <v>0.97505263157894739</v>
      </c>
      <c r="DB1262" s="1" t="s">
        <v>1078</v>
      </c>
      <c r="DC1262" t="str">
        <f>IF(OR($DB1262="prd",$DB1262="std",$DB1262="cit"),"loc",IF(OR($DB1262="eur",$DB1262="reg",$DB1262="coy"),"reg",$DB1262))</f>
        <v>reg</v>
      </c>
      <c r="DD1262" t="s">
        <v>348</v>
      </c>
      <c r="DE1262">
        <v>2014</v>
      </c>
      <c r="DF1262">
        <v>2034</v>
      </c>
      <c r="DG1262">
        <v>20</v>
      </c>
      <c r="DH1262" t="str">
        <f>IF(DG1262=0,"0",IF(AND(DG1262&gt;=1,DG1262&lt;=30),"1-30",IF(AND(DG1262&gt;30,DG1262&lt;=70),"31-70",IF(AND(DG1262&gt;70,DG1262&lt;=100),"71-100",IF(DG1262&gt;100,"+100")))))</f>
        <v>1-30</v>
      </c>
      <c r="DI1262">
        <v>0</v>
      </c>
      <c r="DJ1262">
        <v>0</v>
      </c>
      <c r="DK1262">
        <v>0</v>
      </c>
      <c r="DL1262">
        <v>1</v>
      </c>
      <c r="DN1262">
        <f>SUM(DI1262:DL1262)</f>
        <v>1</v>
      </c>
      <c r="DO1262" t="str">
        <f>IF(DN1262=1,INDEX($DI$7:$DL$7,MATCH(1,$DI1262:$DL1262,0)),"mixedProduct")</f>
        <v>TimberInput</v>
      </c>
      <c r="DP1262">
        <f>IF(DI1262=1,DP$7,0)</f>
        <v>0</v>
      </c>
      <c r="DQ1262">
        <f>IF(DJ1262=1,DQ$7,0)</f>
        <v>0</v>
      </c>
      <c r="DR1262">
        <f>IF(DK1262=1,DR$7,0)</f>
        <v>0</v>
      </c>
      <c r="DS1262" t="str">
        <f>IF(DL1262=1,DS$7,0)</f>
        <v>Timber</v>
      </c>
      <c r="DT1262">
        <v>0</v>
      </c>
      <c r="DU1262">
        <v>0</v>
      </c>
      <c r="DV1262">
        <v>0</v>
      </c>
      <c r="DW1262">
        <v>0</v>
      </c>
      <c r="DX1262">
        <v>0</v>
      </c>
      <c r="DY1262">
        <f>SUM(DT1262:DU1262)</f>
        <v>0</v>
      </c>
      <c r="DZ1262" s="143" t="str">
        <f>IF(DT1262=1,"self-calculated DF",IF(DU1262=1,"external DF used","explicit C balance"))</f>
        <v>explicit C balance</v>
      </c>
      <c r="EA1262">
        <v>0</v>
      </c>
      <c r="EB1262">
        <v>0</v>
      </c>
      <c r="EC1262">
        <v>0</v>
      </c>
      <c r="ED1262">
        <v>0</v>
      </c>
      <c r="EE1262">
        <v>0</v>
      </c>
      <c r="EF1262" s="143">
        <v>1</v>
      </c>
      <c r="EG1262">
        <v>0</v>
      </c>
      <c r="EH1262">
        <v>1</v>
      </c>
      <c r="EI1262">
        <v>1</v>
      </c>
      <c r="EJ1262">
        <v>1</v>
      </c>
      <c r="EK1262">
        <v>0</v>
      </c>
      <c r="EL1262">
        <v>0</v>
      </c>
      <c r="EM1262">
        <v>0</v>
      </c>
      <c r="EN1262" s="2">
        <v>0</v>
      </c>
      <c r="EP1262" t="str">
        <f>IF(AND(AND(AND(OR($EC1262=1,$EB1262=1),OR($EH1262=1,$EF1262=1)),SUM($EA1262:$EE1262,$EK1262)&gt;=3),SUM($EF1262:$EJ1262)&gt;=2),"Whole sector approach","")</f>
        <v/>
      </c>
      <c r="EQ1262" t="str">
        <f>IF(AND(AND(OR($EC1262=1,$EB1262=1),AND($EH1262=0,$EF1262=0)),SUM($EA1262:$EE1262,$EK1262)&gt;=4),"Ecosystem approach","")</f>
        <v/>
      </c>
      <c r="ER1262" s="2" t="str">
        <f>IF(AND(AND(AND($EC1262=0,$EB1262=0),OR($EH1262=1,$EF1262=1)),SUM($EG1262:$EJ1262)&gt;=2),"Technology approach","")</f>
        <v>Technology approach</v>
      </c>
      <c r="ES1262" t="str">
        <f>IF(AND($EC1262+$EB1262+$EE1262+$EA1262+$ED1262+$EG1262=0,$N1262="included"),"C neutral forest and HWP assumption","")</f>
        <v>C neutral forest and HWP assumption</v>
      </c>
      <c r="ET1262" t="str">
        <f>IF(AND(AND(AND(AND($EC1262=1,$EB1262+$EA1262+$EG1262&gt;=1),$EF1262=1),$EH1262+$EI1262+$ED1262+$EE1262&gt;=2),$N1262="included"),"All C pools assumption","")</f>
        <v/>
      </c>
      <c r="EU1262" t="str">
        <f>IF(AND($ED1262+$EE1262+$EI1262+$EH1262+$EF1262=0,$N1262="included"),"In-situ only assumption","")</f>
        <v/>
      </c>
      <c r="EY1262" t="str">
        <f>IF(ISNUMBER(BW1262),IF(ABS(BW1262-[2]QC_indicators!$B$2)&gt;3*[2]QC_indicators!$C$2,"C ratio",IF(ISNUMBER(CA1262),IF(ABS(CA1262-[2]QC_indicators!$B$1)&gt;3*[2]QC_indicators!$C$1,"DF","no"))),IF(ISNUMBER(CA1262),IF(ABS(CA1262-[2]QC_indicators!$B$1)&gt;3*[2]QC_indicators!$C$1,"DF","no")))</f>
        <v>no</v>
      </c>
      <c r="FA1262" t="str">
        <f>IF(LEN($CY1262)=0,"",IF(AND($CY1262&lt;(-0.05),$ES1262="C neutral forest and HWP assumption"),"Cneutral paradox",IF(AND($CY1262&gt;0.05,$EU1262="In-situ only assumption"),"In-situ only paradox","")))</f>
        <v/>
      </c>
      <c r="FB1262" s="149" t="s">
        <v>349</v>
      </c>
      <c r="FD1262" s="260" t="s">
        <v>2948</v>
      </c>
    </row>
    <row r="1263" spans="1:160" ht="15" hidden="1" customHeight="1">
      <c r="D1263" t="s">
        <v>927</v>
      </c>
      <c r="E1263" t="s">
        <v>949</v>
      </c>
      <c r="G1263" t="s">
        <v>950</v>
      </c>
      <c r="I1263">
        <v>2004</v>
      </c>
      <c r="K1263" t="s">
        <v>951</v>
      </c>
      <c r="M1263" t="str">
        <f>LEFT($D1263,FIND(",",$D1263)-1)&amp;"_"&amp;I1263&amp;L1263</f>
        <v>Petersen_2004</v>
      </c>
      <c r="N1263" t="s">
        <v>222</v>
      </c>
      <c r="O1263" s="171" t="s">
        <v>508</v>
      </c>
      <c r="P1263" s="141" t="s">
        <v>225</v>
      </c>
      <c r="Q1263" t="s">
        <v>389</v>
      </c>
      <c r="R1263" s="258" t="s">
        <v>223</v>
      </c>
      <c r="S1263" s="1" t="s">
        <v>938</v>
      </c>
      <c r="T1263" t="s">
        <v>959</v>
      </c>
      <c r="U1263" t="s">
        <v>962</v>
      </c>
      <c r="V1263" s="253">
        <v>0</v>
      </c>
      <c r="W1263" s="253">
        <v>0</v>
      </c>
      <c r="X1263">
        <v>0</v>
      </c>
      <c r="Y1263">
        <v>0</v>
      </c>
      <c r="Z1263">
        <v>0</v>
      </c>
      <c r="AA1263">
        <v>0</v>
      </c>
      <c r="AB1263">
        <v>0</v>
      </c>
      <c r="AC1263">
        <v>0</v>
      </c>
      <c r="AD1263">
        <v>0</v>
      </c>
      <c r="AE1263">
        <v>0</v>
      </c>
      <c r="AF1263">
        <v>0</v>
      </c>
      <c r="AG1263">
        <v>0</v>
      </c>
      <c r="AH1263">
        <v>0</v>
      </c>
      <c r="AI1263">
        <v>0</v>
      </c>
      <c r="AJ1263">
        <v>0</v>
      </c>
      <c r="AK1263">
        <v>0</v>
      </c>
      <c r="AL1263">
        <v>0</v>
      </c>
      <c r="AM1263">
        <v>1</v>
      </c>
      <c r="AN1263">
        <v>0</v>
      </c>
      <c r="AO1263">
        <v>0</v>
      </c>
      <c r="AP1263">
        <v>0</v>
      </c>
      <c r="AQ1263">
        <v>0</v>
      </c>
      <c r="AR1263">
        <v>0</v>
      </c>
      <c r="AS1263">
        <v>0</v>
      </c>
      <c r="AT1263">
        <v>0</v>
      </c>
      <c r="AU1263">
        <v>0</v>
      </c>
      <c r="AV1263">
        <v>0</v>
      </c>
      <c r="AW1263">
        <v>0</v>
      </c>
      <c r="AX1263">
        <v>0</v>
      </c>
      <c r="AY1263">
        <v>0</v>
      </c>
      <c r="AZ1263" s="141">
        <f>COUNTIF(X1263:AY1263,"&lt;&gt;0")</f>
        <v>1</v>
      </c>
      <c r="BA1263" s="141">
        <f>COUNTIF(X1263:AN1263,"&lt;&gt;0")</f>
        <v>1</v>
      </c>
      <c r="BB1263">
        <f>COUNTIF(X1263:AE1263,"&lt;&gt;0")</f>
        <v>0</v>
      </c>
      <c r="BC1263">
        <f>COUNTIF(AF1263:AK1263,"&lt;&gt;0")</f>
        <v>0</v>
      </c>
      <c r="BD1263">
        <f>COUNTIF(AL1263:AN1263,"&lt;&gt;0")</f>
        <v>1</v>
      </c>
      <c r="BE1263">
        <f>COUNTIF(AU1263:AY1263,"&lt;&gt;0")</f>
        <v>0</v>
      </c>
      <c r="BF1263">
        <f>COUNTIF(AO1263:AT1263,"&lt;&gt;0")</f>
        <v>0</v>
      </c>
      <c r="BG1263" t="str">
        <f t="array" ref="BG1263">IF(BA1263=1,INDEX($X$7:$AN$7,MATCH(TRUE,INDEX($X1263:$AY1263&lt;&gt;0,),0)),IF(BA1263=0,INDEX($AO$7:$AY$7,MATCH(1,$AO1263:$AY1263,0)),IF(BH1263="Multiple strategies","mixed drivers",IF(BH1263="Supply chain","multiple supply","multiple silviculture"))))</f>
        <v>technologies/design switch</v>
      </c>
      <c r="BH1263" s="2" t="str" cm="1">
        <f t="array" ref="BH1263">IF(COUNTIF(BB1263:BD1263,"&lt;&gt;0")=1,INDEX($X$4:$AY$4,MATCH(TRUE,INDEX($X1263:$AY1263&lt;&gt;0,),0)),IF(COUNTIF(BB1263:BD1263,"&lt;&gt;0")=0,INDEX($AO$4:$AY$4,MATCH(1,$AO1263:$AY1263,0)),"Multiple strategies"))</f>
        <v>Technology</v>
      </c>
      <c r="BI1263" s="142" t="s">
        <v>229</v>
      </c>
      <c r="BJ1263" t="s">
        <v>933</v>
      </c>
      <c r="BK1263" t="s">
        <v>954</v>
      </c>
      <c r="BL1263" t="s">
        <v>498</v>
      </c>
      <c r="BM1263">
        <v>0</v>
      </c>
      <c r="BN1263" s="143">
        <v>1</v>
      </c>
      <c r="BO1263" t="str">
        <f>IFERROR(BN1263/BM1263,"")</f>
        <v/>
      </c>
      <c r="BP1263">
        <f>BN1263-BM1263</f>
        <v>1</v>
      </c>
      <c r="BQ1263" s="159">
        <v>1</v>
      </c>
      <c r="BR1263" t="s">
        <v>232</v>
      </c>
      <c r="BS1263" t="s">
        <v>955</v>
      </c>
      <c r="BT1263" t="s">
        <v>935</v>
      </c>
      <c r="BW1263" s="144"/>
      <c r="BX1263">
        <v>0.6</v>
      </c>
      <c r="BZ1263">
        <f>BX1263</f>
        <v>0.6</v>
      </c>
      <c r="CA1263">
        <f>IFERROR(BZ1263/BQ1263,"")</f>
        <v>0.6</v>
      </c>
      <c r="CB1263">
        <v>0</v>
      </c>
      <c r="CC1263">
        <v>0</v>
      </c>
      <c r="CD1263">
        <v>0</v>
      </c>
      <c r="CE1263">
        <v>0</v>
      </c>
      <c r="CF1263">
        <v>0</v>
      </c>
      <c r="CG1263">
        <v>0</v>
      </c>
      <c r="CH1263">
        <v>0</v>
      </c>
      <c r="CI1263">
        <v>0</v>
      </c>
      <c r="CJ1263">
        <v>0</v>
      </c>
      <c r="CK1263">
        <v>0</v>
      </c>
      <c r="CL1263">
        <v>0</v>
      </c>
      <c r="CM1263">
        <v>0</v>
      </c>
      <c r="CN1263">
        <v>0</v>
      </c>
      <c r="CO1263">
        <v>0</v>
      </c>
      <c r="CP1263" t="str">
        <f>IF($BN1263&lt;$BM1263,"refNeedCorrection","refOK")</f>
        <v>refOK</v>
      </c>
      <c r="CQ1263">
        <f>IF($CP1263="refOK",$BM1263,$BN1263)</f>
        <v>0</v>
      </c>
      <c r="CR1263">
        <f>IF($CP1263="refOK",$BN1263,$BM1263)</f>
        <v>1</v>
      </c>
      <c r="CS1263">
        <f>IF($CP1263="refOK",$BQ1263,-$BQ1263)</f>
        <v>1</v>
      </c>
      <c r="CT1263">
        <f>IF(BI1263="Roundwood",$CS1263/2,$CS1263)</f>
        <v>1</v>
      </c>
      <c r="CU1263">
        <f>IF($CP1263="refOK",$BU1263,$BV1263)*IF($BR1263="Emissions positive",-1,1)</f>
        <v>0</v>
      </c>
      <c r="CV1263">
        <f>IF($CP1263="refOK",$BV1263,$BU1263)*IF($BR1263="Emissions positive",-1,1)</f>
        <v>0</v>
      </c>
      <c r="CW1263">
        <f>IF($CP1263="refNeedCorrection",-BZ1263,BZ1263)*IF($BR1263="Emissions positive",-1,1)</f>
        <v>0.6</v>
      </c>
      <c r="CX1263">
        <f>IFERROR($CW1263/$CS1263,"")</f>
        <v>0.6</v>
      </c>
      <c r="CY1263">
        <f>IFERROR($CW1263/$CS1263,"")</f>
        <v>0.6</v>
      </c>
      <c r="CZ1263">
        <f>IFERROR($CW1263/$CT1263,"")</f>
        <v>0.6</v>
      </c>
      <c r="DA1263" s="2" t="str">
        <f>IFERROR((CV1263-CU1263)/ABS(CU1263),"")</f>
        <v/>
      </c>
      <c r="DB1263" s="1" t="s">
        <v>263</v>
      </c>
      <c r="DC1263" t="str">
        <f>IF(OR($DB1263="prd",$DB1263="std",$DB1263="cit"),"loc",IF(OR($DB1263="eur",$DB1263="reg",$DB1263="coy"),"reg",$DB1263))</f>
        <v>loc</v>
      </c>
      <c r="DD1263" t="s">
        <v>264</v>
      </c>
      <c r="DF1263" s="143"/>
      <c r="DG1263" s="143">
        <v>45</v>
      </c>
      <c r="DH1263" t="str">
        <f>IF(DG1263=0,"0",IF(AND(DG1263&gt;=1,DG1263&lt;=30),"1-30",IF(AND(DG1263&gt;30,DG1263&lt;=70),"31-70",IF(AND(DG1263&gt;70,DG1263&lt;=100),"71-100",IF(DG1263&gt;100,"+100")))))</f>
        <v>31-70</v>
      </c>
      <c r="DI1263">
        <v>0</v>
      </c>
      <c r="DJ1263">
        <v>0</v>
      </c>
      <c r="DK1263">
        <v>0</v>
      </c>
      <c r="DL1263">
        <v>1</v>
      </c>
      <c r="DM1263">
        <v>0</v>
      </c>
      <c r="DN1263">
        <f>SUM(DI1263:DL1263)</f>
        <v>1</v>
      </c>
      <c r="DO1263" t="str">
        <f>IF(DN1263=1,INDEX($DI$7:$DL$7,MATCH(1,$DI1263:$DL1263,0)),"mixedProduct")</f>
        <v>TimberInput</v>
      </c>
      <c r="DP1263">
        <f>IF(DI1263=1,DP$7,0)</f>
        <v>0</v>
      </c>
      <c r="DQ1263">
        <f>IF(DJ1263=1,DQ$7,0)</f>
        <v>0</v>
      </c>
      <c r="DR1263">
        <f>IF(DK1263=1,DR$7,0)</f>
        <v>0</v>
      </c>
      <c r="DS1263" t="str">
        <f>IF(DL1263=1,DS$7,0)</f>
        <v>Timber</v>
      </c>
      <c r="DT1263">
        <v>1</v>
      </c>
      <c r="DU1263">
        <v>0</v>
      </c>
      <c r="DV1263">
        <v>0</v>
      </c>
      <c r="DW1263">
        <v>0</v>
      </c>
      <c r="DX1263">
        <v>0</v>
      </c>
      <c r="DY1263">
        <f>SUM(DT1263:DU1263)</f>
        <v>1</v>
      </c>
      <c r="DZ1263" s="143" t="str">
        <f>IF(DT1263=1,"self-calculated DF",IF(DU1263=1,"external DF used","explicit C balance"))</f>
        <v>self-calculated DF</v>
      </c>
      <c r="EA1263" s="143">
        <v>0</v>
      </c>
      <c r="EB1263" s="143">
        <v>0</v>
      </c>
      <c r="EC1263" s="143">
        <v>0</v>
      </c>
      <c r="ED1263" s="143">
        <v>0</v>
      </c>
      <c r="EE1263">
        <v>0</v>
      </c>
      <c r="EF1263" s="143">
        <v>1</v>
      </c>
      <c r="EG1263" s="143">
        <v>0</v>
      </c>
      <c r="EH1263" s="143">
        <v>1</v>
      </c>
      <c r="EI1263" s="143">
        <v>0</v>
      </c>
      <c r="EJ1263">
        <v>0</v>
      </c>
      <c r="EK1263">
        <v>0</v>
      </c>
      <c r="EL1263" s="143">
        <v>0</v>
      </c>
      <c r="EM1263" s="143">
        <v>0</v>
      </c>
      <c r="EN1263" s="2">
        <v>0</v>
      </c>
      <c r="EP1263" t="str">
        <f>IF(AND(AND(AND(OR($EC1263=1,$EB1263=1),OR($EH1263=1,$EF1263=1)),SUM($EA1263:$EE1263,$EK1263)&gt;=3),SUM($EF1263:$EJ1263)&gt;=2),"Whole sector approach","")</f>
        <v/>
      </c>
      <c r="EQ1263" t="str">
        <f>IF(AND(AND(OR($EC1263=1,$EB1263=1),AND($EH1263=0,$EF1263=0)),SUM($EA1263:$EE1263,$EK1263)&gt;=4),"Ecosystem approach","")</f>
        <v/>
      </c>
      <c r="ER1263" s="2" t="str">
        <f>IF(AND(AND(AND($EC1263=0,$EB1263=0),OR($EH1263=1,$EF1263=1)),SUM($EG1263:$EJ1263)&gt;=2),"Technology approach","")</f>
        <v/>
      </c>
      <c r="ES1263" t="str">
        <f>IF(AND($EC1263+$EB1263+$EE1263+$EA1263+$ED1263+$EG1263=0,$N1263="included"),"C neutral forest and HWP assumption","")</f>
        <v>C neutral forest and HWP assumption</v>
      </c>
      <c r="ET1263" t="str">
        <f>IF(AND(AND(AND(AND($EC1263=1,$EB1263+$EA1263+$EG1263&gt;=1),$EF1263=1),$EH1263+$EI1263+$ED1263+$EE1263&gt;=2),$N1263="included"),"All C pools assumption","")</f>
        <v/>
      </c>
      <c r="EU1263" t="str">
        <f>IF(AND($ED1263+$EE1263+$EI1263+$EH1263+$EF1263=0,$N1263="included"),"In-situ only assumption","")</f>
        <v/>
      </c>
      <c r="EY1263" t="str">
        <f>IF(ISNUMBER(BW1263),IF(ABS(BW1263-[2]QC_indicators!$B$2)&gt;3*[2]QC_indicators!$C$2,"C ratio",IF(ISNUMBER(CA1263),IF(ABS(CA1263-[2]QC_indicators!$B$1)&gt;3*[2]QC_indicators!$C$1,"DF","no"))),IF(ISNUMBER(CA1263),IF(ABS(CA1263-[2]QC_indicators!$B$1)&gt;3*[2]QC_indicators!$C$1,"DF","no")))</f>
        <v>no</v>
      </c>
      <c r="FA1263" t="str">
        <f>IF(LEN($CY1263)=0,"",IF(AND($CY1263&lt;(-0.05),$ES1263="C neutral forest and HWP assumption"),"Cneutral paradox",IF(AND($CY1263&gt;0.05,$EU1263="In-situ only assumption"),"In-situ only paradox","")))</f>
        <v/>
      </c>
      <c r="FB1263" t="s">
        <v>944</v>
      </c>
      <c r="FD1263" s="260" t="s">
        <v>2887</v>
      </c>
    </row>
    <row r="1264" spans="1:160" ht="15" hidden="1" customHeight="1">
      <c r="A1264" s="1" t="s">
        <v>849</v>
      </c>
      <c r="B1264" t="s">
        <v>1552</v>
      </c>
      <c r="C1264" t="s">
        <v>531</v>
      </c>
      <c r="D1264" t="s">
        <v>1553</v>
      </c>
      <c r="E1264" t="s">
        <v>1554</v>
      </c>
      <c r="F1264" t="s">
        <v>1555</v>
      </c>
      <c r="G1264" t="s">
        <v>1059</v>
      </c>
      <c r="H1264" t="s">
        <v>254</v>
      </c>
      <c r="I1264">
        <v>2021</v>
      </c>
      <c r="J1264">
        <v>8</v>
      </c>
      <c r="K1264" t="s">
        <v>1556</v>
      </c>
      <c r="M1264" t="str">
        <f>LEFT($D1264,FIND(",",$D1264)-1)&amp;"_"&amp;I1264&amp;L1264</f>
        <v>Hart_2021</v>
      </c>
      <c r="N1264" s="317" t="s">
        <v>222</v>
      </c>
      <c r="O1264" s="171" t="s">
        <v>225</v>
      </c>
      <c r="P1264" t="s">
        <v>924</v>
      </c>
      <c r="Q1264" s="317" t="s">
        <v>389</v>
      </c>
      <c r="R1264" s="318" t="s">
        <v>1029</v>
      </c>
      <c r="S1264" s="322" t="s">
        <v>1557</v>
      </c>
      <c r="T1264" s="317" t="s">
        <v>1564</v>
      </c>
      <c r="U1264" t="s">
        <v>1559</v>
      </c>
      <c r="V1264" s="253">
        <v>0</v>
      </c>
      <c r="W1264" s="253">
        <v>0</v>
      </c>
      <c r="X1264">
        <v>0</v>
      </c>
      <c r="Y1264">
        <v>0</v>
      </c>
      <c r="Z1264">
        <v>0</v>
      </c>
      <c r="AA1264">
        <v>0</v>
      </c>
      <c r="AB1264">
        <v>0</v>
      </c>
      <c r="AC1264">
        <v>0</v>
      </c>
      <c r="AD1264">
        <v>0</v>
      </c>
      <c r="AE1264">
        <v>0</v>
      </c>
      <c r="AF1264">
        <v>0</v>
      </c>
      <c r="AG1264">
        <v>0</v>
      </c>
      <c r="AH1264">
        <v>0</v>
      </c>
      <c r="AI1264">
        <v>0</v>
      </c>
      <c r="AJ1264">
        <v>0</v>
      </c>
      <c r="AK1264">
        <v>0</v>
      </c>
      <c r="AL1264">
        <v>0</v>
      </c>
      <c r="AM1264">
        <v>1</v>
      </c>
      <c r="AN1264">
        <v>0</v>
      </c>
      <c r="AO1264">
        <v>0</v>
      </c>
      <c r="AP1264">
        <v>0</v>
      </c>
      <c r="AQ1264">
        <v>0</v>
      </c>
      <c r="AR1264">
        <v>0</v>
      </c>
      <c r="AS1264">
        <v>0</v>
      </c>
      <c r="AT1264">
        <v>0</v>
      </c>
      <c r="AU1264">
        <v>0</v>
      </c>
      <c r="AV1264">
        <v>0</v>
      </c>
      <c r="AW1264">
        <v>0</v>
      </c>
      <c r="AX1264">
        <v>0</v>
      </c>
      <c r="AY1264">
        <v>0</v>
      </c>
      <c r="AZ1264" s="141">
        <f>COUNTIF(X1264:AY1264,"&lt;&gt;0")</f>
        <v>1</v>
      </c>
      <c r="BA1264" s="141">
        <f>COUNTIF(X1264:AN1264,"&lt;&gt;0")</f>
        <v>1</v>
      </c>
      <c r="BB1264">
        <f>COUNTIF(X1264:AE1264,"&lt;&gt;0")</f>
        <v>0</v>
      </c>
      <c r="BC1264">
        <f>COUNTIF(AF1264:AK1264,"&lt;&gt;0")</f>
        <v>0</v>
      </c>
      <c r="BD1264">
        <f>COUNTIF(AL1264:AN1264,"&lt;&gt;0")</f>
        <v>1</v>
      </c>
      <c r="BE1264">
        <f>COUNTIF(AU1264:AY1264,"&lt;&gt;0")</f>
        <v>0</v>
      </c>
      <c r="BF1264">
        <f>COUNTIF(AO1264:AT1264,"&lt;&gt;0")</f>
        <v>0</v>
      </c>
      <c r="BG1264" t="str" cm="1">
        <f t="array" ref="BG1264">IF(BA1264=1,INDEX($X$7:$AN$7,MATCH(TRUE,INDEX($X1264:$AY1264&lt;&gt;0,),0)),IF(BA1264=0,INDEX($AO$7:$AY$7,MATCH(1,$AO1264:$AY1264,0)),IF(BH1264="Multiple strategies","mixed drivers",IF(BH1264="Supply chain","multiple supply","multiple silviculture"))))</f>
        <v>technologies/design switch</v>
      </c>
      <c r="BH1264" s="2" t="str" cm="1">
        <f t="array" ref="BH1264">IF(COUNTIF(BB1264:BD1264,"&lt;&gt;0")=1,INDEX($X$4:$AY$4,MATCH(TRUE,INDEX($X1264:$AY1264&lt;&gt;0,),0)),IF(COUNTIF(BB1264:BD1264,"&lt;&gt;0")=0,INDEX($AO$4:$AY$4,MATCH(1,$AO1264:$AY1264,0)),"Multiple strategies"))</f>
        <v>Technology</v>
      </c>
      <c r="BI1264" s="323" t="s">
        <v>229</v>
      </c>
      <c r="BJ1264" s="321" t="s">
        <v>1560</v>
      </c>
      <c r="BK1264" s="321" t="s">
        <v>4979</v>
      </c>
      <c r="BL1264" s="321" t="s">
        <v>1561</v>
      </c>
      <c r="BM1264">
        <v>0</v>
      </c>
      <c r="BN1264">
        <v>7.314381831917062E-2</v>
      </c>
      <c r="BO1264" t="s">
        <v>531</v>
      </c>
      <c r="BP1264">
        <f>BN1264-BM1264</f>
        <v>7.314381831917062E-2</v>
      </c>
      <c r="BQ1264" s="317">
        <f>BP1264*t_to_m3</f>
        <v>0.1492730986105523</v>
      </c>
      <c r="BR1264" s="317" t="s">
        <v>232</v>
      </c>
      <c r="BS1264" s="155" t="s">
        <v>1562</v>
      </c>
      <c r="BT1264" s="317" t="s">
        <v>1563</v>
      </c>
      <c r="BU1264">
        <v>-174.41509659927408</v>
      </c>
      <c r="BV1264">
        <v>-80.733700144141935</v>
      </c>
      <c r="BW1264" s="144">
        <f>IFERROR(BV1264/BU1264,"")</f>
        <v>0.46288252403764657</v>
      </c>
      <c r="BX1264">
        <f>BV1264-BU1264</f>
        <v>93.681396455132145</v>
      </c>
      <c r="BZ1264">
        <f>BX1264/1000</f>
        <v>9.368139645513214E-2</v>
      </c>
      <c r="CA1264">
        <f>IFERROR(BZ1264/BQ1264,"")</f>
        <v>0.62758392052638534</v>
      </c>
      <c r="CB1264">
        <v>0</v>
      </c>
      <c r="CC1264">
        <v>0</v>
      </c>
      <c r="CD1264">
        <v>0</v>
      </c>
      <c r="CE1264">
        <v>0</v>
      </c>
      <c r="CF1264">
        <v>0</v>
      </c>
      <c r="CG1264">
        <v>0</v>
      </c>
      <c r="CH1264">
        <v>0</v>
      </c>
      <c r="CI1264">
        <v>0</v>
      </c>
      <c r="CJ1264">
        <v>0</v>
      </c>
      <c r="CK1264">
        <v>0</v>
      </c>
      <c r="CL1264">
        <v>0</v>
      </c>
      <c r="CM1264">
        <v>0</v>
      </c>
      <c r="CN1264">
        <v>0</v>
      </c>
      <c r="CO1264">
        <v>0</v>
      </c>
      <c r="CP1264" t="str">
        <f>IF($BN1264&lt;$BM1264,"refNeedCorrection","refOK")</f>
        <v>refOK</v>
      </c>
      <c r="CQ1264">
        <f>IF($CP1264="refOK",$BM1264,$BN1264)</f>
        <v>0</v>
      </c>
      <c r="CR1264">
        <f>IF($CP1264="refOK",$BN1264,$BM1264)</f>
        <v>7.314381831917062E-2</v>
      </c>
      <c r="CS1264">
        <f>IF($CP1264="refOK",$BQ1264,-$BQ1264)</f>
        <v>0.1492730986105523</v>
      </c>
      <c r="CT1264">
        <f>IF(BI1264="Roundwood",$CS1264/2,$CS1264)</f>
        <v>0.1492730986105523</v>
      </c>
      <c r="CU1264">
        <f>IF($CP1264="refOK",$BU1264,$BV1264)*IF($BR1264="Emissions positive",-1,1)</f>
        <v>-174.41509659927408</v>
      </c>
      <c r="CV1264">
        <f>IF($CP1264="refOK",$BV1264,$BU1264)*IF($BR1264="Emissions positive",-1,1)</f>
        <v>-80.733700144141935</v>
      </c>
      <c r="CW1264">
        <f>IF($CP1264="refNeedCorrection",-BZ1264,BZ1264)*IF($BR1264="Emissions positive",-1,1)</f>
        <v>9.368139645513214E-2</v>
      </c>
      <c r="CX1264">
        <f>IFERROR($CW1264/$CS1264,"")</f>
        <v>0.62758392052638534</v>
      </c>
      <c r="CY1264">
        <f>IFERROR($CW1264/$CS1264,"")</f>
        <v>0.62758392052638534</v>
      </c>
      <c r="CZ1264">
        <f>IFERROR($CW1264/$CT1264,"")</f>
        <v>0.62758392052638534</v>
      </c>
      <c r="DA1264" s="2">
        <f>IFERROR((CV1264-CU1264)/ABS(CU1264),"")</f>
        <v>0.53711747596235337</v>
      </c>
      <c r="DB1264" s="320" t="s">
        <v>1078</v>
      </c>
      <c r="DC1264" s="317" t="str">
        <f>IF(OR($DB1264="prd",$DB1264="std",$DB1264="cit"),"loc",IF(OR($DB1264="eur",$DB1264="reg",$DB1264="coy"),"reg",$DB1264))</f>
        <v>reg</v>
      </c>
      <c r="DD1264" s="155" t="s">
        <v>3169</v>
      </c>
      <c r="DE1264">
        <v>0</v>
      </c>
      <c r="DF1264">
        <v>0</v>
      </c>
      <c r="DG1264">
        <v>0</v>
      </c>
      <c r="DH1264" t="str">
        <f>IF(DG1264=0,"0",IF(AND(DG1264&gt;=1,DG1264&lt;=30),"1-30",IF(AND(DG1264&gt;30,DG1264&lt;=70),"31-70",IF(AND(DG1264&gt;70,DG1264&lt;=100),"71-100",IF(DG1264&gt;100,"+100")))))</f>
        <v>0</v>
      </c>
      <c r="DI1264">
        <v>0</v>
      </c>
      <c r="DJ1264">
        <v>0</v>
      </c>
      <c r="DK1264">
        <v>0</v>
      </c>
      <c r="DL1264">
        <v>1</v>
      </c>
      <c r="DM1264">
        <v>0</v>
      </c>
      <c r="DN1264">
        <v>1</v>
      </c>
      <c r="DO1264" t="str">
        <f>IF(DN1264=1,INDEX($DI$7:$DL$7,MATCH(1,$DI1264:$DL1264,0)),"mixedProduct")</f>
        <v>TimberInput</v>
      </c>
      <c r="DP1264">
        <f>IF(DI1264=1,DP$7,0)</f>
        <v>0</v>
      </c>
      <c r="DQ1264">
        <f>IF(DJ1264=1,DQ$7,0)</f>
        <v>0</v>
      </c>
      <c r="DR1264">
        <f>IF(DK1264=1,DR$7,0)</f>
        <v>0</v>
      </c>
      <c r="DS1264" t="str">
        <f>IF(DL1264=1,DS$7,0)</f>
        <v>Timber</v>
      </c>
      <c r="DT1264">
        <v>0</v>
      </c>
      <c r="DU1264">
        <v>0</v>
      </c>
      <c r="DV1264">
        <v>0</v>
      </c>
      <c r="DW1264">
        <v>0</v>
      </c>
      <c r="DX1264">
        <v>0</v>
      </c>
      <c r="DY1264">
        <f>SUM(DT1264:DU1264)</f>
        <v>0</v>
      </c>
      <c r="DZ1264" s="143" t="s">
        <v>926</v>
      </c>
      <c r="EA1264">
        <v>0</v>
      </c>
      <c r="EB1264">
        <v>0</v>
      </c>
      <c r="EC1264">
        <v>0</v>
      </c>
      <c r="ED1264">
        <v>0</v>
      </c>
      <c r="EE1264">
        <v>0</v>
      </c>
      <c r="EF1264" s="143">
        <v>1</v>
      </c>
      <c r="EG1264">
        <v>0</v>
      </c>
      <c r="EH1264">
        <v>1</v>
      </c>
      <c r="EI1264">
        <v>0</v>
      </c>
      <c r="EJ1264">
        <v>0</v>
      </c>
      <c r="EK1264">
        <v>0</v>
      </c>
      <c r="EL1264">
        <v>0</v>
      </c>
      <c r="EM1264">
        <v>0</v>
      </c>
      <c r="EN1264" s="2">
        <v>0</v>
      </c>
      <c r="EP1264" t="str">
        <f>IF(AND(AND(AND(OR($EC1264=1,$EB1264=1),OR($EH1264=1,$EF1264=1)),SUM($EA1264:$EE1264,$EK1264)&gt;=3),SUM($EF1264:$EJ1264)&gt;=2),"Whole sector approach","")</f>
        <v/>
      </c>
      <c r="EQ1264" t="str">
        <f>IF(AND(AND(OR($EC1264=1,$EB1264=1),AND($EH1264=0,$EF1264=0)),SUM($EA1264:$EE1264,$EK1264)&gt;=3),"Ecosystem approach","")</f>
        <v/>
      </c>
      <c r="ER1264" s="2" t="str">
        <f>IF(AND(AND(AND($EC1264=0,$EB1264=0),OR($EH1264=1,$EF1264=1)),SUM($EG1264:$EJ1264)&gt;=2),"Technology approach","")</f>
        <v/>
      </c>
      <c r="ES1264" t="str">
        <f>IF(AND($EC1264+$EB1264+$EE1264+$EA1264+$ED1264+$EG1264=0,$N1264="included"),"C neutral forest and HWP assumption","")</f>
        <v>C neutral forest and HWP assumption</v>
      </c>
      <c r="ET1264" t="str">
        <f>IF(AND(AND(AND(AND($EC1264=1,$EB1264+$EA1264+$EG1264&gt;=1),$EF1264=1),$EH1264+$EI1264+$ED1264+$EE1264&gt;=2),$N1264="included"),"All C pools assumption","")</f>
        <v/>
      </c>
      <c r="EU1264" t="str">
        <f>IF(AND($ED1264+$EE1264+$EI1264+$EH1264+$EF1264=0,$N1264="included"),"In-situ only assumption","")</f>
        <v/>
      </c>
      <c r="EY1264" t="str">
        <f>IF(ISNUMBER(BW1264),IF(ABS(BW1264-[4]QC_indicators!$B$2)&gt;3*[4]QC_indicators!$C$2,"C ratio",IF(ISNUMBER(CA1264),IF(ABS(CA1264-[4]QC_indicators!$B$1)&gt;3*[4]QC_indicators!$C$1,"DF","no"))),IF(ISNUMBER(CA1264),IF(ABS(CA1264-[4]QC_indicators!$B$1)&gt;3*[4]QC_indicators!$C$1,"DF","no")))</f>
        <v>no</v>
      </c>
      <c r="FA1264" t="str">
        <f>IF(LEN($CY1264)=0,"",IF(AND($CY1264&lt;(-0.05),$ES1264="C neutral forest and HWP assumption"),"Cneutral paradox",IF(AND($CY1264&gt;0.05,$EU1264="In-situ only assumption"),"In-situ only paradox","")))</f>
        <v/>
      </c>
      <c r="FD1264" t="s">
        <v>4980</v>
      </c>
    </row>
    <row r="1265" spans="1:161" ht="15" hidden="1" customHeight="1">
      <c r="A1265" s="1" t="s">
        <v>1108</v>
      </c>
      <c r="B1265" t="s">
        <v>1109</v>
      </c>
      <c r="C1265" t="s">
        <v>1110</v>
      </c>
      <c r="D1265" t="s">
        <v>336</v>
      </c>
      <c r="E1265" t="s">
        <v>1111</v>
      </c>
      <c r="F1265" t="s">
        <v>1112</v>
      </c>
      <c r="G1265" t="s">
        <v>1113</v>
      </c>
      <c r="I1265">
        <v>2018</v>
      </c>
      <c r="K1265" t="s">
        <v>1114</v>
      </c>
      <c r="M1265" t="str">
        <f>LEFT($D1265,FIND(",",$D1265)-1)&amp;"_"&amp;I1265&amp;L1265</f>
        <v>Balasbaneh_2018</v>
      </c>
      <c r="N1265" t="s">
        <v>222</v>
      </c>
      <c r="O1265" s="140" t="s">
        <v>508</v>
      </c>
      <c r="Q1265" t="s">
        <v>224</v>
      </c>
      <c r="R1265" s="258" t="s">
        <v>223</v>
      </c>
      <c r="S1265" s="1" t="s">
        <v>1143</v>
      </c>
      <c r="T1265" s="260" t="s">
        <v>2789</v>
      </c>
      <c r="U1265" s="260" t="s">
        <v>2790</v>
      </c>
      <c r="V1265" s="253">
        <v>0</v>
      </c>
      <c r="W1265" s="253">
        <v>0</v>
      </c>
      <c r="X1265">
        <v>0</v>
      </c>
      <c r="Y1265">
        <v>0</v>
      </c>
      <c r="Z1265">
        <v>0</v>
      </c>
      <c r="AA1265">
        <v>0</v>
      </c>
      <c r="AB1265">
        <v>0</v>
      </c>
      <c r="AC1265">
        <v>0</v>
      </c>
      <c r="AD1265">
        <v>0</v>
      </c>
      <c r="AE1265">
        <v>0</v>
      </c>
      <c r="AF1265">
        <v>0</v>
      </c>
      <c r="AG1265">
        <v>0</v>
      </c>
      <c r="AH1265">
        <v>0</v>
      </c>
      <c r="AI1265">
        <v>0</v>
      </c>
      <c r="AJ1265">
        <v>0</v>
      </c>
      <c r="AK1265">
        <v>0</v>
      </c>
      <c r="AL1265">
        <v>0</v>
      </c>
      <c r="AM1265">
        <v>1</v>
      </c>
      <c r="AN1265">
        <v>0</v>
      </c>
      <c r="AO1265">
        <v>0</v>
      </c>
      <c r="AP1265">
        <v>0</v>
      </c>
      <c r="AQ1265">
        <v>0</v>
      </c>
      <c r="AR1265">
        <v>0</v>
      </c>
      <c r="AS1265">
        <v>0</v>
      </c>
      <c r="AT1265">
        <v>0</v>
      </c>
      <c r="AU1265">
        <v>0</v>
      </c>
      <c r="AV1265">
        <v>0</v>
      </c>
      <c r="AW1265">
        <v>0</v>
      </c>
      <c r="AX1265">
        <v>0</v>
      </c>
      <c r="AY1265">
        <v>0</v>
      </c>
      <c r="AZ1265" s="141">
        <f>COUNTIF(X1265:AY1265,"&lt;&gt;0")</f>
        <v>1</v>
      </c>
      <c r="BA1265" s="141">
        <f>COUNTIF(X1265:AN1265,"&lt;&gt;0")</f>
        <v>1</v>
      </c>
      <c r="BB1265">
        <f>COUNTIF(X1265:AE1265,"&lt;&gt;0")</f>
        <v>0</v>
      </c>
      <c r="BC1265">
        <f>COUNTIF(AF1265:AK1265,"&lt;&gt;0")</f>
        <v>0</v>
      </c>
      <c r="BD1265">
        <f>COUNTIF(AL1265:AN1265,"&lt;&gt;0")</f>
        <v>1</v>
      </c>
      <c r="BE1265">
        <f>COUNTIF(AU1265:AY1265,"&lt;&gt;0")</f>
        <v>0</v>
      </c>
      <c r="BF1265">
        <f>COUNTIF(AO1265:AT1265,"&lt;&gt;0")</f>
        <v>0</v>
      </c>
      <c r="BG1265" t="str">
        <f t="array" ref="BG1265">IF(BA1265=1,INDEX($X$7:$AN$7,MATCH(TRUE,INDEX($X1265:$AY1265&lt;&gt;0,),0)),IF(BA1265=0,INDEX($AO$7:$AY$7,MATCH(1,$AO1265:$AY1265,0)),IF(BH1265="Multiple strategies","mixed drivers",IF(BH1265="Supply chain","multiple supply","multiple silviculture"))))</f>
        <v>technologies/design switch</v>
      </c>
      <c r="BH1265" s="2" t="str" cm="1">
        <f t="array" ref="BH1265">IF(COUNTIF(BB1265:BD1265,"&lt;&gt;0")=1,INDEX($X$4:$AY$4,MATCH(TRUE,INDEX($X1265:$AY1265&lt;&gt;0,),0)),IF(COUNTIF(BB1265:BD1265,"&lt;&gt;0")=0,INDEX($AO$4:$AY$4,MATCH(1,$AO1265:$AY1265,0)),"Multiple strategies"))</f>
        <v>Technology</v>
      </c>
      <c r="BI1265" s="1" t="s">
        <v>229</v>
      </c>
      <c r="BJ1265" t="s">
        <v>229</v>
      </c>
      <c r="BL1265" t="s">
        <v>345</v>
      </c>
      <c r="BM1265">
        <v>0</v>
      </c>
      <c r="BN1265">
        <v>15468</v>
      </c>
      <c r="BO1265" s="143"/>
      <c r="BP1265">
        <f>BN1265-BM1265</f>
        <v>15468</v>
      </c>
      <c r="BQ1265" s="143">
        <f>BP1265*kg_to_m3</f>
        <v>31.567346938775515</v>
      </c>
      <c r="BR1265" t="s">
        <v>232</v>
      </c>
      <c r="BS1265" s="153" t="s">
        <v>987</v>
      </c>
      <c r="BT1265" t="s">
        <v>397</v>
      </c>
      <c r="BU1265">
        <v>-25300</v>
      </c>
      <c r="BV1265">
        <v>-5370</v>
      </c>
      <c r="BW1265" s="144">
        <v>0.21225296442687747</v>
      </c>
      <c r="BX1265">
        <v>19930</v>
      </c>
      <c r="BZ1265">
        <f>BX1265/1000</f>
        <v>19.93</v>
      </c>
      <c r="CA1265">
        <f>IFERROR(BZ1265/BQ1265,"")</f>
        <v>0.63134859063873794</v>
      </c>
      <c r="CB1265">
        <v>0</v>
      </c>
      <c r="CC1265">
        <v>0</v>
      </c>
      <c r="CD1265">
        <v>0</v>
      </c>
      <c r="CE1265">
        <v>0</v>
      </c>
      <c r="CF1265">
        <v>0</v>
      </c>
      <c r="CG1265">
        <v>0</v>
      </c>
      <c r="CH1265">
        <v>0</v>
      </c>
      <c r="CI1265">
        <v>0</v>
      </c>
      <c r="CJ1265">
        <v>0</v>
      </c>
      <c r="CK1265">
        <v>0</v>
      </c>
      <c r="CL1265">
        <v>0</v>
      </c>
      <c r="CM1265">
        <v>0</v>
      </c>
      <c r="CN1265">
        <v>0</v>
      </c>
      <c r="CO1265">
        <v>0</v>
      </c>
      <c r="CP1265" t="str">
        <f>IF($BN1265&lt;$BM1265,"refNeedCorrection","refOK")</f>
        <v>refOK</v>
      </c>
      <c r="CQ1265">
        <f>IF($CP1265="refNeedCorrection",BN1265,BM1265)</f>
        <v>0</v>
      </c>
      <c r="CR1265">
        <f>IF($CP1265="refNeedCorrection",BM1265,BN1265)</f>
        <v>15468</v>
      </c>
      <c r="CS1265">
        <f>IF($CP1265="refOK",$BQ1265,-$BQ1265)</f>
        <v>31.567346938775515</v>
      </c>
      <c r="CT1265">
        <f>IF(BI1265="Roundwood",$CS1265/2,$CS1265)</f>
        <v>31.567346938775515</v>
      </c>
      <c r="CU1265">
        <f>IF($CP1265="refOK",$BU1265,$BV1265)*IF($BR1265="Emissions positive",-1,1)</f>
        <v>-25300</v>
      </c>
      <c r="CV1265">
        <f>IF($CP1265="refOK",$BV1265,$BU1265)*IF($BR1265="Emissions positive",-1,1)</f>
        <v>-5370</v>
      </c>
      <c r="CW1265">
        <f>IF($CP1265="refNeedCorrection",-BZ1265,BZ1265)*IF($BR1265="Emissions positive",-1,1)</f>
        <v>19.93</v>
      </c>
      <c r="CX1265">
        <f>IFERROR($CW1265/$CS1265,"")</f>
        <v>0.63134859063873794</v>
      </c>
      <c r="CY1265">
        <f>IFERROR($CW1265/$CS1265,"")</f>
        <v>0.63134859063873794</v>
      </c>
      <c r="CZ1265">
        <f>IFERROR($CW1265/$CT1265,"")</f>
        <v>0.63134859063873794</v>
      </c>
      <c r="DA1265" s="2">
        <f>IFERROR((CV1265-CU1265)/ABS(CU1265),"")</f>
        <v>0.78774703557312253</v>
      </c>
      <c r="DB1265" s="1" t="s">
        <v>1078</v>
      </c>
      <c r="DC1265" t="str">
        <f>IF(OR($DB1265="prd",$DB1265="std",$DB1265="cit"),"loc",IF(OR($DB1265="eur",$DB1265="reg",$DB1265="coy"),"reg",$DB1265))</f>
        <v>reg</v>
      </c>
      <c r="DD1265" t="s">
        <v>348</v>
      </c>
      <c r="DE1265">
        <v>2014</v>
      </c>
      <c r="DF1265">
        <v>2114</v>
      </c>
      <c r="DG1265">
        <v>100</v>
      </c>
      <c r="DH1265" t="str">
        <f>IF(DG1265=0,"0",IF(AND(DG1265&gt;=1,DG1265&lt;=30),"1-30",IF(AND(DG1265&gt;30,DG1265&lt;=70),"31-70",IF(AND(DG1265&gt;70,DG1265&lt;=100),"71-100",IF(DG1265&gt;100,"+100")))))</f>
        <v>71-100</v>
      </c>
      <c r="DI1265">
        <v>0</v>
      </c>
      <c r="DJ1265">
        <v>0</v>
      </c>
      <c r="DK1265">
        <v>0</v>
      </c>
      <c r="DL1265">
        <v>1</v>
      </c>
      <c r="DN1265">
        <f>SUM(DI1265:DL1265)</f>
        <v>1</v>
      </c>
      <c r="DO1265" t="str">
        <f>IF(DN1265=1,INDEX($DI$7:$DL$7,MATCH(1,$DI1265:$DL1265,0)),"mixedProduct")</f>
        <v>TimberInput</v>
      </c>
      <c r="DP1265">
        <f>IF(DI1265=1,DP$7,0)</f>
        <v>0</v>
      </c>
      <c r="DQ1265">
        <f>IF(DJ1265=1,DQ$7,0)</f>
        <v>0</v>
      </c>
      <c r="DR1265">
        <f>IF(DK1265=1,DR$7,0)</f>
        <v>0</v>
      </c>
      <c r="DS1265" t="str">
        <f>IF(DL1265=1,DS$7,0)</f>
        <v>Timber</v>
      </c>
      <c r="DT1265">
        <v>0</v>
      </c>
      <c r="DU1265">
        <v>0</v>
      </c>
      <c r="DV1265">
        <v>0</v>
      </c>
      <c r="DW1265">
        <v>0</v>
      </c>
      <c r="DX1265">
        <v>0</v>
      </c>
      <c r="DY1265">
        <f>SUM(DT1265:DU1265)</f>
        <v>0</v>
      </c>
      <c r="DZ1265" s="143" t="str">
        <f>IF(DT1265=1,"self-calculated DF",IF(DU1265=1,"external DF used","explicit C balance"))</f>
        <v>explicit C balance</v>
      </c>
      <c r="EA1265">
        <v>0</v>
      </c>
      <c r="EB1265">
        <v>0</v>
      </c>
      <c r="EC1265">
        <v>0</v>
      </c>
      <c r="ED1265">
        <v>0</v>
      </c>
      <c r="EE1265">
        <v>0</v>
      </c>
      <c r="EF1265" s="143">
        <v>1</v>
      </c>
      <c r="EG1265">
        <v>0</v>
      </c>
      <c r="EH1265">
        <v>1</v>
      </c>
      <c r="EI1265">
        <v>1</v>
      </c>
      <c r="EJ1265">
        <v>1</v>
      </c>
      <c r="EK1265">
        <v>0</v>
      </c>
      <c r="EL1265">
        <v>0</v>
      </c>
      <c r="EM1265">
        <v>0</v>
      </c>
      <c r="EN1265" s="2">
        <v>0</v>
      </c>
      <c r="EP1265" t="str">
        <f>IF(AND(AND(AND(OR($EC1265=1,$EB1265=1),OR($EH1265=1,$EF1265=1)),SUM($EA1265:$EE1265,$EK1265)&gt;=3),SUM($EF1265:$EJ1265)&gt;=2),"Whole sector approach","")</f>
        <v/>
      </c>
      <c r="EQ1265" t="str">
        <f>IF(AND(AND(OR($EC1265=1,$EB1265=1),AND($EH1265=0,$EF1265=0)),SUM($EA1265:$EE1265,$EK1265)&gt;=4),"Ecosystem approach","")</f>
        <v/>
      </c>
      <c r="ER1265" s="2" t="str">
        <f>IF(AND(AND(AND($EC1265=0,$EB1265=0),OR($EH1265=1,$EF1265=1)),SUM($EG1265:$EJ1265)&gt;=2),"Technology approach","")</f>
        <v>Technology approach</v>
      </c>
      <c r="ES1265" t="str">
        <f>IF(AND($EC1265+$EB1265+$EE1265+$EA1265+$ED1265+$EG1265=0,$N1265="included"),"C neutral forest and HWP assumption","")</f>
        <v>C neutral forest and HWP assumption</v>
      </c>
      <c r="ET1265" t="str">
        <f>IF(AND(AND(AND(AND($EC1265=1,$EB1265+$EA1265+$EG1265&gt;=1),$EF1265=1),$EH1265+$EI1265+$ED1265+$EE1265&gt;=2),$N1265="included"),"All C pools assumption","")</f>
        <v/>
      </c>
      <c r="EU1265" t="str">
        <f>IF(AND($ED1265+$EE1265+$EI1265+$EH1265+$EF1265=0,$N1265="included"),"In-situ only assumption","")</f>
        <v/>
      </c>
      <c r="EY1265" t="str">
        <f>IF(ISNUMBER(BW1265),IF(ABS(BW1265-[2]QC_indicators!$B$2)&gt;3*[2]QC_indicators!$C$2,"C ratio",IF(ISNUMBER(CA1265),IF(ABS(CA1265-[2]QC_indicators!$B$1)&gt;3*[2]QC_indicators!$C$1,"DF","no"))),IF(ISNUMBER(CA1265),IF(ABS(CA1265-[2]QC_indicators!$B$1)&gt;3*[2]QC_indicators!$C$1,"DF","no")))</f>
        <v>no</v>
      </c>
      <c r="FA1265" t="str">
        <f>IF(LEN($CY1265)=0,"",IF(AND($CY1265&lt;(-0.05),$ES1265="C neutral forest and HWP assumption"),"Cneutral paradox",IF(AND($CY1265&gt;0.05,$EU1265="In-situ only assumption"),"In-situ only paradox","")))</f>
        <v/>
      </c>
      <c r="FB1265" s="149" t="s">
        <v>349</v>
      </c>
      <c r="FD1265" s="260" t="s">
        <v>2948</v>
      </c>
    </row>
    <row r="1266" spans="1:161" ht="15" hidden="1" customHeight="1">
      <c r="A1266" s="1" t="s">
        <v>601</v>
      </c>
      <c r="B1266" t="s">
        <v>602</v>
      </c>
      <c r="C1266" t="s">
        <v>603</v>
      </c>
      <c r="D1266" t="s">
        <v>604</v>
      </c>
      <c r="E1266" t="s">
        <v>605</v>
      </c>
      <c r="F1266" t="s">
        <v>606</v>
      </c>
      <c r="G1266" t="s">
        <v>607</v>
      </c>
      <c r="H1266" t="s">
        <v>254</v>
      </c>
      <c r="I1266">
        <v>2020</v>
      </c>
      <c r="J1266">
        <v>3</v>
      </c>
      <c r="K1266" t="s">
        <v>608</v>
      </c>
      <c r="M1266" t="str">
        <f>LEFT($D1266,FIND(",",$D1266)-1)&amp;"_"&amp;I1266&amp;L1266</f>
        <v>Demertzi_2020</v>
      </c>
      <c r="N1266" t="s">
        <v>222</v>
      </c>
      <c r="O1266" s="145" t="s">
        <v>223</v>
      </c>
      <c r="Q1266" t="s">
        <v>256</v>
      </c>
      <c r="R1266" s="2" t="s">
        <v>274</v>
      </c>
      <c r="S1266" s="1" t="s">
        <v>609</v>
      </c>
      <c r="T1266" t="s">
        <v>610</v>
      </c>
      <c r="U1266" t="s">
        <v>611</v>
      </c>
      <c r="V1266" s="253">
        <v>0</v>
      </c>
      <c r="W1266" s="253">
        <v>0</v>
      </c>
      <c r="X1266">
        <v>0</v>
      </c>
      <c r="Y1266">
        <v>0</v>
      </c>
      <c r="Z1266">
        <v>0</v>
      </c>
      <c r="AA1266">
        <v>0</v>
      </c>
      <c r="AB1266">
        <v>0</v>
      </c>
      <c r="AC1266">
        <v>0</v>
      </c>
      <c r="AD1266">
        <v>0</v>
      </c>
      <c r="AE1266">
        <v>0</v>
      </c>
      <c r="AF1266">
        <v>0</v>
      </c>
      <c r="AG1266">
        <v>0</v>
      </c>
      <c r="AH1266">
        <v>0</v>
      </c>
      <c r="AI1266">
        <v>0</v>
      </c>
      <c r="AJ1266">
        <v>0</v>
      </c>
      <c r="AK1266">
        <v>0</v>
      </c>
      <c r="AL1266">
        <v>0</v>
      </c>
      <c r="AM1266">
        <v>1</v>
      </c>
      <c r="AN1266">
        <v>0</v>
      </c>
      <c r="AO1266">
        <v>0</v>
      </c>
      <c r="AP1266">
        <v>0</v>
      </c>
      <c r="AQ1266">
        <v>0</v>
      </c>
      <c r="AR1266">
        <v>0</v>
      </c>
      <c r="AS1266">
        <v>0</v>
      </c>
      <c r="AT1266">
        <v>0</v>
      </c>
      <c r="AU1266">
        <v>0</v>
      </c>
      <c r="AV1266">
        <v>0</v>
      </c>
      <c r="AW1266">
        <v>0</v>
      </c>
      <c r="AX1266">
        <v>0</v>
      </c>
      <c r="AY1266">
        <v>0</v>
      </c>
      <c r="AZ1266" s="141">
        <f>COUNTIF(X1266:AY1266,"&lt;&gt;0")</f>
        <v>1</v>
      </c>
      <c r="BA1266" s="141">
        <f>COUNTIF(X1266:AN1266,"&lt;&gt;0")</f>
        <v>1</v>
      </c>
      <c r="BB1266">
        <f>COUNTIF(X1266:AE1266,"&lt;&gt;0")</f>
        <v>0</v>
      </c>
      <c r="BC1266">
        <f>COUNTIF(AF1266:AK1266,"&lt;&gt;0")</f>
        <v>0</v>
      </c>
      <c r="BD1266">
        <f>COUNTIF(AL1266:AN1266,"&lt;&gt;0")</f>
        <v>1</v>
      </c>
      <c r="BE1266">
        <f>COUNTIF(AU1266:AY1266,"&lt;&gt;0")</f>
        <v>0</v>
      </c>
      <c r="BF1266">
        <f>COUNTIF(AO1266:AT1266,"&lt;&gt;0")</f>
        <v>0</v>
      </c>
      <c r="BG1266" t="str">
        <f t="array" ref="BG1266">IF(BA1266=1,INDEX($X$7:$AN$7,MATCH(TRUE,INDEX($X1266:$AY1266&lt;&gt;0,),0)),IF(BA1266=0,INDEX($AO$7:$AY$7,MATCH(1,$AO1266:$AY1266,0)),IF(BH1266="Multiple strategies","mixed drivers",IF(BH1266="Supply chain","multiple supply","multiple silviculture"))))</f>
        <v>technologies/design switch</v>
      </c>
      <c r="BH1266" s="2" t="str" cm="1">
        <f t="array" ref="BH1266">IF(COUNTIF(BB1266:BD1266,"&lt;&gt;0")=1,INDEX($X$4:$AY$4,MATCH(TRUE,INDEX($X1266:$AY1266&lt;&gt;0,),0)),IF(COUNTIF(BB1266:BD1266,"&lt;&gt;0")=0,INDEX($AO$4:$AY$4,MATCH(1,$AO1266:$AY1266,0)),"Multiple strategies"))</f>
        <v>Technology</v>
      </c>
      <c r="BI1266" s="1" t="s">
        <v>229</v>
      </c>
      <c r="BJ1266" t="s">
        <v>612</v>
      </c>
      <c r="BL1266" t="s">
        <v>261</v>
      </c>
      <c r="BM1266">
        <v>0</v>
      </c>
      <c r="BN1266">
        <v>54</v>
      </c>
      <c r="BP1266">
        <f>BN1266-BM1266</f>
        <v>54</v>
      </c>
      <c r="BQ1266">
        <f>BP1266*kg_to_m3</f>
        <v>0.11020408163265308</v>
      </c>
      <c r="BR1266" t="s">
        <v>232</v>
      </c>
      <c r="BT1266" t="s">
        <v>397</v>
      </c>
      <c r="BU1266">
        <v>-71.7</v>
      </c>
      <c r="BV1266">
        <v>-1.36</v>
      </c>
      <c r="BW1266" s="144">
        <v>1.8967921896792191E-2</v>
      </c>
      <c r="BX1266">
        <v>70.34</v>
      </c>
      <c r="BZ1266">
        <f>BX1266/1000</f>
        <v>7.034E-2</v>
      </c>
      <c r="CA1266">
        <f>IFERROR(BZ1266/BQ1266,"")</f>
        <v>0.63827037037037027</v>
      </c>
      <c r="CB1266">
        <v>1</v>
      </c>
      <c r="CC1266">
        <v>0</v>
      </c>
      <c r="CD1266">
        <v>0</v>
      </c>
      <c r="CE1266">
        <v>0</v>
      </c>
      <c r="CF1266">
        <v>0</v>
      </c>
      <c r="CG1266">
        <v>0</v>
      </c>
      <c r="CH1266">
        <v>0</v>
      </c>
      <c r="CI1266">
        <v>0</v>
      </c>
      <c r="CJ1266">
        <v>0</v>
      </c>
      <c r="CK1266">
        <v>0</v>
      </c>
      <c r="CL1266">
        <v>0</v>
      </c>
      <c r="CM1266">
        <v>0</v>
      </c>
      <c r="CN1266">
        <v>0</v>
      </c>
      <c r="CO1266">
        <v>0</v>
      </c>
      <c r="CP1266" t="str">
        <f>IF($BN1266&lt;$BM1266,"refNeedCorrection","refOK")</f>
        <v>refOK</v>
      </c>
      <c r="CQ1266">
        <f>IF($CP1266="refOK",$BM1266,$BN1266)</f>
        <v>0</v>
      </c>
      <c r="CR1266">
        <f>IF($CP1266="refOK",$BN1266,$BM1266)</f>
        <v>54</v>
      </c>
      <c r="CS1266">
        <f>IF($CP1266="refOK",$BQ1266,-$BQ1266)</f>
        <v>0.11020408163265308</v>
      </c>
      <c r="CT1266">
        <f>IF(BI1266="Roundwood",$CS1266/2,$CS1266)</f>
        <v>0.11020408163265308</v>
      </c>
      <c r="CU1266">
        <f>IF($CP1266="refOK",$BU1266,$BV1266)*IF($BR1266="Emissions positive",-1,1)</f>
        <v>-71.7</v>
      </c>
      <c r="CV1266">
        <f>IF($CP1266="refOK",$BV1266,$BU1266)*IF($BR1266="Emissions positive",-1,1)</f>
        <v>-1.36</v>
      </c>
      <c r="CW1266">
        <f>IF($CP1266="refNeedCorrection",-BZ1266,BZ1266)*IF($BR1266="Emissions positive",-1,1)</f>
        <v>7.034E-2</v>
      </c>
      <c r="CX1266">
        <f>IFERROR($CW1266/$CS1266,"")</f>
        <v>0.63827037037037027</v>
      </c>
      <c r="CY1266">
        <f>IFERROR($CW1266/$CS1266,"")</f>
        <v>0.63827037037037027</v>
      </c>
      <c r="CZ1266">
        <f>IFERROR($CW1266/$CT1266,"")</f>
        <v>0.63827037037037027</v>
      </c>
      <c r="DA1266" s="2">
        <f>IFERROR((CV1266-CU1266)/ABS(CU1266),"")</f>
        <v>0.98103207810320781</v>
      </c>
      <c r="DB1266" s="1" t="s">
        <v>263</v>
      </c>
      <c r="DC1266" t="str">
        <f>IF(OR($DB1266="prd",$DB1266="std",$DB1266="cit"),"loc",IF(OR($DB1266="eur",$DB1266="reg",$DB1266="coy"),"reg",$DB1266))</f>
        <v>loc</v>
      </c>
      <c r="DD1266" t="s">
        <v>613</v>
      </c>
      <c r="DG1266">
        <v>0</v>
      </c>
      <c r="DH1266" t="str">
        <f>IF(DG1266=0,"0",IF(AND(DG1266&gt;=1,DG1266&lt;=30),"1-30",IF(AND(DG1266&gt;30,DG1266&lt;=70),"31-70",IF(AND(DG1266&gt;70,DG1266&lt;=100),"71-100",IF(DG1266&gt;100,"+100")))))</f>
        <v>0</v>
      </c>
      <c r="DI1266">
        <v>0</v>
      </c>
      <c r="DJ1266">
        <v>0</v>
      </c>
      <c r="DK1266">
        <v>0</v>
      </c>
      <c r="DL1266">
        <v>1</v>
      </c>
      <c r="DN1266">
        <f>SUM(DI1266:DL1266)</f>
        <v>1</v>
      </c>
      <c r="DO1266" t="str">
        <f>IF(DN1266=1,INDEX($DI$7:$DL$7,MATCH(1,$DI1266:$DL1266,0)),"mixedProduct")</f>
        <v>TimberInput</v>
      </c>
      <c r="DP1266">
        <f>IF(DI1266=1,DP$7,0)</f>
        <v>0</v>
      </c>
      <c r="DQ1266">
        <f>IF(DJ1266=1,DQ$7,0)</f>
        <v>0</v>
      </c>
      <c r="DR1266">
        <f>IF(DK1266=1,DR$7,0)</f>
        <v>0</v>
      </c>
      <c r="DS1266" t="str">
        <f>IF(DL1266=1,DS$7,0)</f>
        <v>Timber</v>
      </c>
      <c r="DT1266">
        <v>0</v>
      </c>
      <c r="DU1266">
        <v>0</v>
      </c>
      <c r="DV1266">
        <v>0</v>
      </c>
      <c r="DW1266">
        <v>0</v>
      </c>
      <c r="DX1266">
        <v>0</v>
      </c>
      <c r="DY1266">
        <f>SUM(DT1266:DU1266)</f>
        <v>0</v>
      </c>
      <c r="DZ1266" s="143" t="str">
        <f>IF(DT1266=1,"self-calculated DF",IF(DU1266=1,"external DF used","explicit C balance"))</f>
        <v>explicit C balance</v>
      </c>
      <c r="EA1266">
        <v>0</v>
      </c>
      <c r="EB1266">
        <v>0</v>
      </c>
      <c r="EC1266">
        <v>0</v>
      </c>
      <c r="ED1266">
        <v>0</v>
      </c>
      <c r="EE1266">
        <v>0</v>
      </c>
      <c r="EF1266" s="143">
        <v>0</v>
      </c>
      <c r="EG1266">
        <v>0</v>
      </c>
      <c r="EH1266">
        <v>1</v>
      </c>
      <c r="EI1266">
        <v>0</v>
      </c>
      <c r="EJ1266">
        <v>0</v>
      </c>
      <c r="EK1266">
        <v>0</v>
      </c>
      <c r="EL1266">
        <v>0</v>
      </c>
      <c r="EM1266">
        <v>0</v>
      </c>
      <c r="EN1266" s="2">
        <v>0</v>
      </c>
      <c r="EP1266" t="str">
        <f>IF(AND(AND(AND(OR($EC1266=1,$EB1266=1),OR($EH1266=1,$EF1266=1)),SUM($EA1266:$EE1266,$EK1266)&gt;=3),SUM($EF1266:$EJ1266)&gt;=2),"Whole sector approach","")</f>
        <v/>
      </c>
      <c r="EQ1266" t="str">
        <f>IF(AND(AND(OR($EC1266=1,$EB1266=1),AND($EH1266=0,$EF1266=0)),SUM($EA1266:$EE1266,$EK1266)&gt;=4),"Ecosystem approach","")</f>
        <v/>
      </c>
      <c r="ER1266" s="2" t="str">
        <f>IF(AND(AND(AND($EC1266=0,$EB1266=0),OR($EH1266=1,$EF1266=1)),SUM($EG1266:$EJ1266)&gt;=2),"Technology approach","")</f>
        <v/>
      </c>
      <c r="ES1266" t="str">
        <f>IF(AND($EC1266+$EB1266+$EE1266+$EA1266+$ED1266+$EG1266=0,$N1266="included"),"C neutral forest and HWP assumption","")</f>
        <v>C neutral forest and HWP assumption</v>
      </c>
      <c r="ET1266" t="str">
        <f>IF(AND(AND(AND(AND($EC1266=1,$EB1266+$EA1266+$EG1266&gt;=1),$EF1266=1),$EH1266+$EI1266+$ED1266+$EE1266&gt;=2),$N1266="included"),"All C pools assumption","")</f>
        <v/>
      </c>
      <c r="EU1266" t="str">
        <f>IF(AND($ED1266+$EE1266+$EI1266+$EH1266+$EF1266=0,$N1266="included"),"In-situ only assumption","")</f>
        <v/>
      </c>
      <c r="EY1266" t="str">
        <f>IF(ISNUMBER(BW1266),IF(ABS(BW1266-[3]QC_indicators!$B$2)&gt;3*[3]QC_indicators!$C$2,"C ratio",IF(ISNUMBER(CA1266),IF(ABS(CA1266-[3]QC_indicators!$B$1)&gt;3*[3]QC_indicators!$C$1,"DF","no"))),IF(ISNUMBER(CA1266),IF(ABS(CA1266-[3]QC_indicators!$B$1)&gt;3*[3]QC_indicators!$C$1,"DF","no")))</f>
        <v>no</v>
      </c>
      <c r="FA1266" t="str">
        <f>IF(LEN($CY1266)=0,"",IF(AND($CY1266&lt;(-0.05),$ES1266="C neutral forest and HWP assumption"),"Cneutral paradox",IF(AND($CY1266&gt;0.05,$EU1266="In-situ only assumption"),"In-situ only paradox","")))</f>
        <v/>
      </c>
      <c r="FB1266" s="149" t="s">
        <v>349</v>
      </c>
      <c r="FD1266" s="260" t="s">
        <v>2827</v>
      </c>
    </row>
    <row r="1267" spans="1:161" ht="15" hidden="1" customHeight="1">
      <c r="D1267" t="s">
        <v>1508</v>
      </c>
      <c r="E1267" t="s">
        <v>1509</v>
      </c>
      <c r="G1267" t="s">
        <v>1510</v>
      </c>
      <c r="I1267">
        <v>2007</v>
      </c>
      <c r="K1267" t="s">
        <v>1511</v>
      </c>
      <c r="M1267" t="str">
        <f>LEFT($D1267,FIND(",",$D1267)-1)&amp;"_"&amp;I1267&amp;L1267</f>
        <v>Gustavsson_2007</v>
      </c>
      <c r="N1267" t="s">
        <v>222</v>
      </c>
      <c r="O1267" t="s">
        <v>223</v>
      </c>
      <c r="Q1267" t="s">
        <v>256</v>
      </c>
      <c r="R1267" s="264" t="s">
        <v>274</v>
      </c>
      <c r="S1267" s="1" t="s">
        <v>1512</v>
      </c>
      <c r="T1267" t="s">
        <v>1515</v>
      </c>
      <c r="U1267" s="143" t="s">
        <v>1534</v>
      </c>
      <c r="V1267" s="253">
        <v>0</v>
      </c>
      <c r="W1267" s="253">
        <v>0</v>
      </c>
      <c r="X1267">
        <v>0</v>
      </c>
      <c r="Y1267">
        <v>0</v>
      </c>
      <c r="Z1267">
        <v>0</v>
      </c>
      <c r="AA1267">
        <v>0</v>
      </c>
      <c r="AB1267">
        <v>0</v>
      </c>
      <c r="AC1267">
        <v>0</v>
      </c>
      <c r="AD1267">
        <v>0</v>
      </c>
      <c r="AE1267">
        <v>0</v>
      </c>
      <c r="AF1267">
        <v>0</v>
      </c>
      <c r="AG1267">
        <v>0</v>
      </c>
      <c r="AH1267">
        <v>0</v>
      </c>
      <c r="AI1267">
        <v>0</v>
      </c>
      <c r="AJ1267">
        <v>0</v>
      </c>
      <c r="AK1267">
        <v>0</v>
      </c>
      <c r="AL1267">
        <v>0</v>
      </c>
      <c r="AM1267">
        <v>1</v>
      </c>
      <c r="AN1267">
        <v>0</v>
      </c>
      <c r="AO1267">
        <v>0</v>
      </c>
      <c r="AP1267">
        <v>0</v>
      </c>
      <c r="AQ1267">
        <v>0</v>
      </c>
      <c r="AR1267">
        <v>0</v>
      </c>
      <c r="AS1267">
        <v>0</v>
      </c>
      <c r="AT1267">
        <v>0</v>
      </c>
      <c r="AU1267">
        <v>0</v>
      </c>
      <c r="AV1267">
        <v>0</v>
      </c>
      <c r="AW1267">
        <v>0</v>
      </c>
      <c r="AX1267">
        <v>0</v>
      </c>
      <c r="AY1267">
        <v>0</v>
      </c>
      <c r="AZ1267" s="141">
        <f>COUNTIF(X1267:AY1267,"&lt;&gt;0")</f>
        <v>1</v>
      </c>
      <c r="BA1267" s="141">
        <f>COUNTIF(X1267:AN1267,"&lt;&gt;0")</f>
        <v>1</v>
      </c>
      <c r="BB1267">
        <f>COUNTIF(X1267:AE1267,"&lt;&gt;0")</f>
        <v>0</v>
      </c>
      <c r="BC1267">
        <f>COUNTIF(AF1267:AK1267,"&lt;&gt;0")</f>
        <v>0</v>
      </c>
      <c r="BD1267">
        <f>COUNTIF(AL1267:AN1267,"&lt;&gt;0")</f>
        <v>1</v>
      </c>
      <c r="BE1267">
        <f>COUNTIF(AU1267:AY1267,"&lt;&gt;0")</f>
        <v>0</v>
      </c>
      <c r="BF1267">
        <f>COUNTIF(AO1267:AT1267,"&lt;&gt;0")</f>
        <v>0</v>
      </c>
      <c r="BG1267" t="str">
        <f t="array" ref="BG1267">IF(BA1267=1,INDEX($X$7:$AN$7,MATCH(TRUE,INDEX($X1267:$AY1267&lt;&gt;0,),0)),IF(BA1267=0,INDEX($AO$7:$AY$7,MATCH(1,$AO1267:$AY1267,0)),IF(BH1267="Multiple strategies","mixed drivers",IF(BH1267="Supply chain","multiple supply","multiple silviculture"))))</f>
        <v>technologies/design switch</v>
      </c>
      <c r="BH1267" s="2" t="str" cm="1">
        <f t="array" ref="BH1267">IF(COUNTIF(BB1267:BD1267,"&lt;&gt;0")=1,INDEX($X$4:$AY$4,MATCH(TRUE,INDEX($X1267:$AY1267&lt;&gt;0,),0)),IF(COUNTIF(BB1267:BD1267,"&lt;&gt;0")=0,INDEX($AO$4:$AY$4,MATCH(1,$AO1267:$AY1267,0)),"Multiple strategies"))</f>
        <v>Technology</v>
      </c>
      <c r="BI1267" s="142" t="s">
        <v>229</v>
      </c>
      <c r="BJ1267" t="s">
        <v>1514</v>
      </c>
      <c r="BK1267" s="260" t="s">
        <v>987</v>
      </c>
      <c r="BL1267" s="143" t="s">
        <v>2940</v>
      </c>
      <c r="BM1267">
        <v>0</v>
      </c>
      <c r="BN1267" s="143">
        <v>31.6</v>
      </c>
      <c r="BO1267" s="143"/>
      <c r="BP1267">
        <f>BN1267-BM1267</f>
        <v>31.6</v>
      </c>
      <c r="BQ1267" s="143">
        <f>1000*BN1267/15.3/400</f>
        <v>5.1633986928104569</v>
      </c>
      <c r="BR1267" t="s">
        <v>232</v>
      </c>
      <c r="BT1267" t="s">
        <v>907</v>
      </c>
      <c r="BU1267" s="143">
        <v>-1</v>
      </c>
      <c r="BV1267" s="151">
        <v>0</v>
      </c>
      <c r="BW1267">
        <v>0</v>
      </c>
      <c r="BX1267">
        <v>1</v>
      </c>
      <c r="BZ1267">
        <f>BX1267*C_to_CO2</f>
        <v>3.67</v>
      </c>
      <c r="CA1267">
        <f>IFERROR(BZ1267/BQ1267,"")</f>
        <v>0.71077215189873422</v>
      </c>
      <c r="CB1267" s="143">
        <v>0</v>
      </c>
      <c r="CC1267" s="143">
        <v>0</v>
      </c>
      <c r="CD1267" s="143">
        <v>0</v>
      </c>
      <c r="CE1267" s="143">
        <v>0</v>
      </c>
      <c r="CF1267" s="143">
        <v>0</v>
      </c>
      <c r="CG1267" s="143">
        <v>0</v>
      </c>
      <c r="CH1267" s="143">
        <v>0</v>
      </c>
      <c r="CI1267" s="143">
        <v>0</v>
      </c>
      <c r="CJ1267" s="143">
        <v>0</v>
      </c>
      <c r="CK1267" s="143">
        <v>0</v>
      </c>
      <c r="CL1267" s="143">
        <v>0</v>
      </c>
      <c r="CM1267" s="143">
        <v>0</v>
      </c>
      <c r="CN1267" s="143">
        <v>0</v>
      </c>
      <c r="CO1267">
        <v>1</v>
      </c>
      <c r="CP1267" t="str">
        <f>IF($BN1267&lt;$BM1267,"refNeedCorrection","refOK")</f>
        <v>refOK</v>
      </c>
      <c r="CQ1267">
        <f>IF($CP1267="refOK",$BM1267,$BN1267)</f>
        <v>0</v>
      </c>
      <c r="CR1267">
        <f>IF($CP1267="refOK",$BN1267,$BM1267)</f>
        <v>31.6</v>
      </c>
      <c r="CS1267">
        <f>IF($CP1267="refOK",$BQ1267,-$BQ1267)</f>
        <v>5.1633986928104569</v>
      </c>
      <c r="CT1267">
        <f>IF(BI1267="Roundwood",$CS1267/2,$CS1267)</f>
        <v>5.1633986928104569</v>
      </c>
      <c r="CU1267">
        <f>IF($CP1267="refOK",$BU1267,$BV1267)*IF($BR1267="Emissions positive",-1,1)</f>
        <v>-1</v>
      </c>
      <c r="CV1267">
        <f>IF($CP1267="refOK",$BV1267,$BU1267)*IF($BR1267="Emissions positive",-1,1)</f>
        <v>0</v>
      </c>
      <c r="CW1267">
        <f>IF($CP1267="refNeedCorrection",-BZ1267,BZ1267)*IF($BR1267="Emissions positive",-1,1)</f>
        <v>3.67</v>
      </c>
      <c r="CX1267">
        <f>IFERROR($CW1267/$CS1267,"")</f>
        <v>0.71077215189873422</v>
      </c>
      <c r="CY1267">
        <f>IFERROR($CW1267/$CS1267,"")</f>
        <v>0.71077215189873422</v>
      </c>
      <c r="CZ1267">
        <f>IFERROR($CW1267/$CT1267,"")</f>
        <v>0.71077215189873422</v>
      </c>
      <c r="DA1267" s="2">
        <f>IFERROR((CV1267-CU1267)/ABS(CU1267),"")</f>
        <v>1</v>
      </c>
      <c r="DB1267" s="1" t="s">
        <v>1078</v>
      </c>
      <c r="DC1267" t="str">
        <f>IF(OR($DB1267="prd",$DB1267="std",$DB1267="cit"),"loc",IF(OR($DB1267="eur",$DB1267="reg",$DB1267="coy"),"reg",$DB1267))</f>
        <v>reg</v>
      </c>
      <c r="DD1267" t="s">
        <v>444</v>
      </c>
      <c r="DF1267" s="143"/>
      <c r="DG1267" s="143">
        <v>0</v>
      </c>
      <c r="DH1267" t="str">
        <f>IF(DG1267=0,"0",IF(AND(DG1267&gt;=1,DG1267&lt;=30),"1-30",IF(AND(DG1267&gt;30,DG1267&lt;=70),"31-70",IF(AND(DG1267&gt;70,DG1267&lt;=100),"71-100",IF(DG1267&gt;100,"+100")))))</f>
        <v>0</v>
      </c>
      <c r="DI1267">
        <v>0</v>
      </c>
      <c r="DJ1267">
        <v>1</v>
      </c>
      <c r="DK1267">
        <v>0</v>
      </c>
      <c r="DL1267">
        <v>0</v>
      </c>
      <c r="DN1267">
        <f>SUM(DI1267:DL1267)</f>
        <v>1</v>
      </c>
      <c r="DO1267" t="str">
        <f>IF(DN1267=1,INDEX($DI$7:$DL$7,MATCH(1,$DI1267:$DL1267,0)),"mixedProduct")</f>
        <v>EnergyInput</v>
      </c>
      <c r="DP1267">
        <f>IF(DI1267=1,DP$7,0)</f>
        <v>0</v>
      </c>
      <c r="DQ1267" t="str">
        <f>IF(DJ1267=1,DQ$7,0)</f>
        <v>Energy</v>
      </c>
      <c r="DR1267">
        <f>IF(DK1267=1,DR$7,0)</f>
        <v>0</v>
      </c>
      <c r="DS1267">
        <f>IF(DL1267=1,DS$7,0)</f>
        <v>0</v>
      </c>
      <c r="DT1267">
        <v>0</v>
      </c>
      <c r="DU1267" s="143">
        <v>0</v>
      </c>
      <c r="DV1267" s="143">
        <v>0</v>
      </c>
      <c r="DW1267">
        <v>0</v>
      </c>
      <c r="DX1267" s="143">
        <v>0</v>
      </c>
      <c r="DY1267">
        <f>SUM(DT1267:DU1267)</f>
        <v>0</v>
      </c>
      <c r="DZ1267" s="143" t="str">
        <f>IF(DT1267=1,"self-calculated DF",IF(DU1267=1,"external DF used","explicit C balance"))</f>
        <v>explicit C balance</v>
      </c>
      <c r="EA1267" s="143">
        <v>0</v>
      </c>
      <c r="EB1267" s="143">
        <v>0</v>
      </c>
      <c r="EC1267" s="143">
        <v>0</v>
      </c>
      <c r="ED1267" s="143">
        <v>0</v>
      </c>
      <c r="EE1267">
        <v>0</v>
      </c>
      <c r="EF1267" s="143">
        <v>0</v>
      </c>
      <c r="EG1267" s="143">
        <v>0</v>
      </c>
      <c r="EH1267" s="143">
        <v>1</v>
      </c>
      <c r="EI1267" s="143">
        <v>0</v>
      </c>
      <c r="EJ1267">
        <v>0</v>
      </c>
      <c r="EK1267">
        <v>0</v>
      </c>
      <c r="EL1267" s="143">
        <v>0</v>
      </c>
      <c r="EM1267" s="143">
        <v>0</v>
      </c>
      <c r="EN1267" s="2">
        <v>0</v>
      </c>
      <c r="EP1267" t="str">
        <f>IF(AND(AND(AND(OR($EC1267=1,$EB1267=1),OR($EH1267=1,$EF1267=1)),SUM($EA1267:$EE1267,$EK1267)&gt;=3),SUM($EF1267:$EJ1267)&gt;=2),"Whole sector approach","")</f>
        <v/>
      </c>
      <c r="EQ1267" t="str">
        <f>IF(AND(AND(OR($EC1267=1,$EB1267=1),AND($EH1267=0,$EF1267=0)),SUM($EA1267:$EE1267,$EK1267)&gt;=4),"Ecosystem approach","")</f>
        <v/>
      </c>
      <c r="ER1267" s="2" t="str">
        <f>IF(AND(AND(AND($EC1267=0,$EB1267=0),OR($EH1267=1,$EF1267=1)),SUM($EG1267:$EJ1267)&gt;=2),"Technology approach","")</f>
        <v/>
      </c>
      <c r="ES1267" t="str">
        <f>IF(AND($EC1267+$EB1267+$EE1267+$EA1267+$ED1267+$EG1267=0,$N1267="included"),"C neutral forest and HWP assumption","")</f>
        <v>C neutral forest and HWP assumption</v>
      </c>
      <c r="ET1267" t="str">
        <f>IF(AND(AND(AND(AND($EC1267=1,$EB1267+$EA1267+$EG1267&gt;=1),$EF1267=1),$EH1267+$EI1267+$ED1267+$EE1267&gt;=2),$N1267="included"),"All C pools assumption","")</f>
        <v/>
      </c>
      <c r="EU1267" t="str">
        <f>IF(AND($ED1267+$EE1267+$EI1267+$EH1267+$EF1267=0,$N1267="included"),"In-situ only assumption","")</f>
        <v/>
      </c>
      <c r="EY1267" t="str">
        <f>IF(ISNUMBER(BW1267),IF(ABS(BW1267-[3]QC_indicators!$B$2)&gt;3*[3]QC_indicators!$C$2,"C ratio",IF(ISNUMBER(CA1267),IF(ABS(CA1267-[3]QC_indicators!$B$1)&gt;3*[3]QC_indicators!$C$1,"DF","no"))),IF(ISNUMBER(CA1267),IF(ABS(CA1267-[3]QC_indicators!$B$1)&gt;3*[3]QC_indicators!$C$1,"DF","no")))</f>
        <v>no</v>
      </c>
      <c r="FA1267" t="str">
        <f>IF(LEN($CY1267)=0,"",IF(AND($CY1267&lt;(-0.05),$ES1267="C neutral forest and HWP assumption"),"Cneutral paradox",IF(AND($CY1267&gt;0.05,$EU1267="In-situ only assumption"),"In-situ only paradox","")))</f>
        <v/>
      </c>
      <c r="FB1267" s="149" t="s">
        <v>349</v>
      </c>
      <c r="FD1267" s="260" t="s">
        <v>2941</v>
      </c>
    </row>
    <row r="1268" spans="1:161" ht="15" hidden="1" customHeight="1">
      <c r="A1268" s="1" t="s">
        <v>1108</v>
      </c>
      <c r="B1268" t="s">
        <v>1109</v>
      </c>
      <c r="C1268" t="s">
        <v>1110</v>
      </c>
      <c r="D1268" t="s">
        <v>336</v>
      </c>
      <c r="E1268" t="s">
        <v>1111</v>
      </c>
      <c r="F1268" t="s">
        <v>1112</v>
      </c>
      <c r="G1268" t="s">
        <v>1113</v>
      </c>
      <c r="I1268">
        <v>2018</v>
      </c>
      <c r="K1268" t="s">
        <v>1114</v>
      </c>
      <c r="M1268" t="str">
        <f>LEFT($D1268,FIND(",",$D1268)-1)&amp;"_"&amp;I1268&amp;L1268</f>
        <v>Balasbaneh_2018</v>
      </c>
      <c r="N1268" t="s">
        <v>222</v>
      </c>
      <c r="O1268" s="140" t="s">
        <v>508</v>
      </c>
      <c r="Q1268" t="s">
        <v>224</v>
      </c>
      <c r="R1268" s="258" t="s">
        <v>223</v>
      </c>
      <c r="S1268" s="1" t="s">
        <v>1144</v>
      </c>
      <c r="T1268" s="260" t="s">
        <v>2789</v>
      </c>
      <c r="U1268" s="260" t="s">
        <v>2790</v>
      </c>
      <c r="V1268" s="253">
        <v>0</v>
      </c>
      <c r="W1268" s="253">
        <v>0</v>
      </c>
      <c r="X1268">
        <v>0</v>
      </c>
      <c r="Y1268">
        <v>0</v>
      </c>
      <c r="Z1268">
        <v>0</v>
      </c>
      <c r="AA1268">
        <v>0</v>
      </c>
      <c r="AB1268">
        <v>0</v>
      </c>
      <c r="AC1268">
        <v>0</v>
      </c>
      <c r="AD1268">
        <v>0</v>
      </c>
      <c r="AE1268">
        <v>0</v>
      </c>
      <c r="AF1268">
        <v>0</v>
      </c>
      <c r="AG1268">
        <v>0</v>
      </c>
      <c r="AH1268">
        <v>0</v>
      </c>
      <c r="AI1268">
        <v>0</v>
      </c>
      <c r="AJ1268">
        <v>0</v>
      </c>
      <c r="AK1268">
        <v>0</v>
      </c>
      <c r="AL1268">
        <v>0</v>
      </c>
      <c r="AM1268">
        <v>1</v>
      </c>
      <c r="AN1268">
        <v>0</v>
      </c>
      <c r="AO1268">
        <v>0</v>
      </c>
      <c r="AP1268">
        <v>0</v>
      </c>
      <c r="AQ1268">
        <v>0</v>
      </c>
      <c r="AR1268">
        <v>0</v>
      </c>
      <c r="AS1268">
        <v>0</v>
      </c>
      <c r="AT1268">
        <v>0</v>
      </c>
      <c r="AU1268">
        <v>0</v>
      </c>
      <c r="AV1268">
        <v>0</v>
      </c>
      <c r="AW1268">
        <v>0</v>
      </c>
      <c r="AX1268">
        <v>0</v>
      </c>
      <c r="AY1268">
        <v>0</v>
      </c>
      <c r="AZ1268" s="141">
        <f>COUNTIF(X1268:AY1268,"&lt;&gt;0")</f>
        <v>1</v>
      </c>
      <c r="BA1268" s="141">
        <f>COUNTIF(X1268:AN1268,"&lt;&gt;0")</f>
        <v>1</v>
      </c>
      <c r="BB1268">
        <f>COUNTIF(X1268:AE1268,"&lt;&gt;0")</f>
        <v>0</v>
      </c>
      <c r="BC1268">
        <f>COUNTIF(AF1268:AK1268,"&lt;&gt;0")</f>
        <v>0</v>
      </c>
      <c r="BD1268">
        <f>COUNTIF(AL1268:AN1268,"&lt;&gt;0")</f>
        <v>1</v>
      </c>
      <c r="BE1268">
        <f>COUNTIF(AU1268:AY1268,"&lt;&gt;0")</f>
        <v>0</v>
      </c>
      <c r="BF1268">
        <f>COUNTIF(AO1268:AT1268,"&lt;&gt;0")</f>
        <v>0</v>
      </c>
      <c r="BG1268" t="str">
        <f t="array" ref="BG1268">IF(BA1268=1,INDEX($X$7:$AN$7,MATCH(TRUE,INDEX($X1268:$AY1268&lt;&gt;0,),0)),IF(BA1268=0,INDEX($AO$7:$AY$7,MATCH(1,$AO1268:$AY1268,0)),IF(BH1268="Multiple strategies","mixed drivers",IF(BH1268="Supply chain","multiple supply","multiple silviculture"))))</f>
        <v>technologies/design switch</v>
      </c>
      <c r="BH1268" s="2" t="str" cm="1">
        <f t="array" ref="BH1268">IF(COUNTIF(BB1268:BD1268,"&lt;&gt;0")=1,INDEX($X$4:$AY$4,MATCH(TRUE,INDEX($X1268:$AY1268&lt;&gt;0,),0)),IF(COUNTIF(BB1268:BD1268,"&lt;&gt;0")=0,INDEX($AO$4:$AY$4,MATCH(1,$AO1268:$AY1268,0)),"Multiple strategies"))</f>
        <v>Technology</v>
      </c>
      <c r="BI1268" s="1" t="s">
        <v>229</v>
      </c>
      <c r="BJ1268" t="s">
        <v>229</v>
      </c>
      <c r="BL1268" t="s">
        <v>345</v>
      </c>
      <c r="BM1268">
        <v>0</v>
      </c>
      <c r="BN1268">
        <v>15468</v>
      </c>
      <c r="BO1268" s="143"/>
      <c r="BP1268">
        <f>BN1268-BM1268</f>
        <v>15468</v>
      </c>
      <c r="BQ1268" s="143">
        <f>BP1268*kg_to_m3</f>
        <v>31.567346938775515</v>
      </c>
      <c r="BR1268" t="s">
        <v>232</v>
      </c>
      <c r="BS1268" s="153" t="s">
        <v>987</v>
      </c>
      <c r="BT1268" t="s">
        <v>397</v>
      </c>
      <c r="BU1268">
        <v>-28500</v>
      </c>
      <c r="BV1268">
        <v>-5840</v>
      </c>
      <c r="BW1268" s="144">
        <v>0.20491228070175438</v>
      </c>
      <c r="BX1268">
        <v>22660</v>
      </c>
      <c r="BZ1268">
        <f>BX1268/1000</f>
        <v>22.66</v>
      </c>
      <c r="CA1268">
        <f>IFERROR(BZ1268/BQ1268,"")</f>
        <v>0.71783035945177132</v>
      </c>
      <c r="CB1268">
        <v>0</v>
      </c>
      <c r="CC1268">
        <v>0</v>
      </c>
      <c r="CD1268">
        <v>0</v>
      </c>
      <c r="CE1268">
        <v>0</v>
      </c>
      <c r="CF1268">
        <v>0</v>
      </c>
      <c r="CG1268">
        <v>0</v>
      </c>
      <c r="CH1268">
        <v>0</v>
      </c>
      <c r="CI1268">
        <v>0</v>
      </c>
      <c r="CJ1268">
        <v>0</v>
      </c>
      <c r="CK1268">
        <v>0</v>
      </c>
      <c r="CL1268">
        <v>0</v>
      </c>
      <c r="CM1268">
        <v>0</v>
      </c>
      <c r="CN1268">
        <v>0</v>
      </c>
      <c r="CO1268">
        <v>0</v>
      </c>
      <c r="CP1268" t="str">
        <f>IF($BN1268&lt;$BM1268,"refNeedCorrection","refOK")</f>
        <v>refOK</v>
      </c>
      <c r="CQ1268">
        <f>IF($CP1268="refNeedCorrection",BN1268,BM1268)</f>
        <v>0</v>
      </c>
      <c r="CR1268">
        <f>IF($CP1268="refNeedCorrection",BM1268,BN1268)</f>
        <v>15468</v>
      </c>
      <c r="CS1268">
        <f>IF($CP1268="refOK",$BQ1268,-$BQ1268)</f>
        <v>31.567346938775515</v>
      </c>
      <c r="CT1268">
        <f>IF(BI1268="Roundwood",$CS1268/2,$CS1268)</f>
        <v>31.567346938775515</v>
      </c>
      <c r="CU1268">
        <f>IF($CP1268="refOK",$BU1268,$BV1268)*IF($BR1268="Emissions positive",-1,1)</f>
        <v>-28500</v>
      </c>
      <c r="CV1268">
        <f>IF($CP1268="refOK",$BV1268,$BU1268)*IF($BR1268="Emissions positive",-1,1)</f>
        <v>-5840</v>
      </c>
      <c r="CW1268">
        <f>IF($CP1268="refNeedCorrection",-BZ1268,BZ1268)*IF($BR1268="Emissions positive",-1,1)</f>
        <v>22.66</v>
      </c>
      <c r="CX1268">
        <f>IFERROR($CW1268/$CS1268,"")</f>
        <v>0.71783035945177132</v>
      </c>
      <c r="CY1268">
        <f>IFERROR($CW1268/$CS1268,"")</f>
        <v>0.71783035945177132</v>
      </c>
      <c r="CZ1268">
        <f>IFERROR($CW1268/$CT1268,"")</f>
        <v>0.71783035945177132</v>
      </c>
      <c r="DA1268" s="2">
        <f>IFERROR((CV1268-CU1268)/ABS(CU1268),"")</f>
        <v>0.79508771929824562</v>
      </c>
      <c r="DB1268" s="1" t="s">
        <v>1078</v>
      </c>
      <c r="DC1268" t="str">
        <f>IF(OR($DB1268="prd",$DB1268="std",$DB1268="cit"),"loc",IF(OR($DB1268="eur",$DB1268="reg",$DB1268="coy"),"reg",$DB1268))</f>
        <v>reg</v>
      </c>
      <c r="DD1268" t="s">
        <v>348</v>
      </c>
      <c r="DE1268">
        <v>2014</v>
      </c>
      <c r="DF1268">
        <v>2034</v>
      </c>
      <c r="DG1268">
        <v>20</v>
      </c>
      <c r="DH1268" t="str">
        <f>IF(DG1268=0,"0",IF(AND(DG1268&gt;=1,DG1268&lt;=30),"1-30",IF(AND(DG1268&gt;30,DG1268&lt;=70),"31-70",IF(AND(DG1268&gt;70,DG1268&lt;=100),"71-100",IF(DG1268&gt;100,"+100")))))</f>
        <v>1-30</v>
      </c>
      <c r="DI1268">
        <v>0</v>
      </c>
      <c r="DJ1268">
        <v>0</v>
      </c>
      <c r="DK1268">
        <v>0</v>
      </c>
      <c r="DL1268">
        <v>1</v>
      </c>
      <c r="DN1268">
        <f>SUM(DI1268:DL1268)</f>
        <v>1</v>
      </c>
      <c r="DO1268" t="str">
        <f>IF(DN1268=1,INDEX($DI$7:$DL$7,MATCH(1,$DI1268:$DL1268,0)),"mixedProduct")</f>
        <v>TimberInput</v>
      </c>
      <c r="DP1268">
        <f>IF(DI1268=1,DP$7,0)</f>
        <v>0</v>
      </c>
      <c r="DQ1268">
        <f>IF(DJ1268=1,DQ$7,0)</f>
        <v>0</v>
      </c>
      <c r="DR1268">
        <f>IF(DK1268=1,DR$7,0)</f>
        <v>0</v>
      </c>
      <c r="DS1268" t="str">
        <f>IF(DL1268=1,DS$7,0)</f>
        <v>Timber</v>
      </c>
      <c r="DT1268">
        <v>0</v>
      </c>
      <c r="DU1268">
        <v>0</v>
      </c>
      <c r="DV1268">
        <v>0</v>
      </c>
      <c r="DW1268">
        <v>0</v>
      </c>
      <c r="DX1268">
        <v>0</v>
      </c>
      <c r="DY1268">
        <f>SUM(DT1268:DU1268)</f>
        <v>0</v>
      </c>
      <c r="DZ1268" s="143" t="str">
        <f>IF(DT1268=1,"self-calculated DF",IF(DU1268=1,"external DF used","explicit C balance"))</f>
        <v>explicit C balance</v>
      </c>
      <c r="EA1268">
        <v>0</v>
      </c>
      <c r="EB1268">
        <v>0</v>
      </c>
      <c r="EC1268">
        <v>0</v>
      </c>
      <c r="ED1268">
        <v>0</v>
      </c>
      <c r="EE1268">
        <v>0</v>
      </c>
      <c r="EF1268" s="143">
        <v>1</v>
      </c>
      <c r="EG1268">
        <v>0</v>
      </c>
      <c r="EH1268">
        <v>1</v>
      </c>
      <c r="EI1268">
        <v>1</v>
      </c>
      <c r="EJ1268">
        <v>1</v>
      </c>
      <c r="EK1268">
        <v>0</v>
      </c>
      <c r="EL1268">
        <v>0</v>
      </c>
      <c r="EM1268">
        <v>0</v>
      </c>
      <c r="EN1268" s="2">
        <v>0</v>
      </c>
      <c r="EP1268" t="str">
        <f>IF(AND(AND(AND(OR($EC1268=1,$EB1268=1),OR($EH1268=1,$EF1268=1)),SUM($EA1268:$EE1268,$EK1268)&gt;=3),SUM($EF1268:$EJ1268)&gt;=2),"Whole sector approach","")</f>
        <v/>
      </c>
      <c r="EQ1268" t="str">
        <f>IF(AND(AND(OR($EC1268=1,$EB1268=1),AND($EH1268=0,$EF1268=0)),SUM($EA1268:$EE1268,$EK1268)&gt;=4),"Ecosystem approach","")</f>
        <v/>
      </c>
      <c r="ER1268" s="2" t="str">
        <f>IF(AND(AND(AND($EC1268=0,$EB1268=0),OR($EH1268=1,$EF1268=1)),SUM($EG1268:$EJ1268)&gt;=2),"Technology approach","")</f>
        <v>Technology approach</v>
      </c>
      <c r="ES1268" t="str">
        <f>IF(AND($EC1268+$EB1268+$EE1268+$EA1268+$ED1268+$EG1268=0,$N1268="included"),"C neutral forest and HWP assumption","")</f>
        <v>C neutral forest and HWP assumption</v>
      </c>
      <c r="ET1268" t="str">
        <f>IF(AND(AND(AND(AND($EC1268=1,$EB1268+$EA1268+$EG1268&gt;=1),$EF1268=1),$EH1268+$EI1268+$ED1268+$EE1268&gt;=2),$N1268="included"),"All C pools assumption","")</f>
        <v/>
      </c>
      <c r="EU1268" t="str">
        <f>IF(AND($ED1268+$EE1268+$EI1268+$EH1268+$EF1268=0,$N1268="included"),"In-situ only assumption","")</f>
        <v/>
      </c>
      <c r="EY1268" t="str">
        <f>IF(ISNUMBER(BW1268),IF(ABS(BW1268-[2]QC_indicators!$B$2)&gt;3*[2]QC_indicators!$C$2,"C ratio",IF(ISNUMBER(CA1268),IF(ABS(CA1268-[2]QC_indicators!$B$1)&gt;3*[2]QC_indicators!$C$1,"DF","no"))),IF(ISNUMBER(CA1268),IF(ABS(CA1268-[2]QC_indicators!$B$1)&gt;3*[2]QC_indicators!$C$1,"DF","no")))</f>
        <v>no</v>
      </c>
      <c r="FA1268" t="str">
        <f>IF(LEN($CY1268)=0,"",IF(AND($CY1268&lt;(-0.05),$ES1268="C neutral forest and HWP assumption"),"Cneutral paradox",IF(AND($CY1268&gt;0.05,$EU1268="In-situ only assumption"),"In-situ only paradox","")))</f>
        <v/>
      </c>
      <c r="FB1268" s="149" t="s">
        <v>349</v>
      </c>
      <c r="FD1268" s="260" t="s">
        <v>2948</v>
      </c>
    </row>
    <row r="1269" spans="1:161" ht="18" hidden="1" customHeight="1">
      <c r="A1269" s="1" t="s">
        <v>549</v>
      </c>
      <c r="B1269" t="s">
        <v>531</v>
      </c>
      <c r="C1269" t="s">
        <v>1465</v>
      </c>
      <c r="D1269" t="s">
        <v>1466</v>
      </c>
      <c r="E1269" t="s">
        <v>1467</v>
      </c>
      <c r="F1269" t="s">
        <v>1468</v>
      </c>
      <c r="G1269" t="s">
        <v>554</v>
      </c>
      <c r="H1269" t="s">
        <v>254</v>
      </c>
      <c r="I1269">
        <v>2019</v>
      </c>
      <c r="J1269">
        <v>15</v>
      </c>
      <c r="K1269" t="s">
        <v>1469</v>
      </c>
      <c r="M1269" t="str">
        <f>LEFT($D1269,FIND(",",$D1269)-1)&amp;"_"&amp;I1269&amp;L1269</f>
        <v>Geng_2019</v>
      </c>
      <c r="N1269" t="s">
        <v>222</v>
      </c>
      <c r="O1269" s="180" t="s">
        <v>225</v>
      </c>
      <c r="Q1269" s="317" t="s">
        <v>256</v>
      </c>
      <c r="R1269" s="318" t="s">
        <v>1029</v>
      </c>
      <c r="S1269" s="1" t="s">
        <v>1470</v>
      </c>
      <c r="T1269" t="s">
        <v>4939</v>
      </c>
      <c r="U1269" t="s">
        <v>4940</v>
      </c>
      <c r="V1269" s="253">
        <v>0</v>
      </c>
      <c r="W1269" s="253">
        <v>0</v>
      </c>
      <c r="X1269">
        <v>0</v>
      </c>
      <c r="Y1269">
        <v>0</v>
      </c>
      <c r="Z1269">
        <v>0</v>
      </c>
      <c r="AA1269">
        <v>0</v>
      </c>
      <c r="AB1269">
        <v>0</v>
      </c>
      <c r="AC1269">
        <v>0</v>
      </c>
      <c r="AD1269">
        <v>0</v>
      </c>
      <c r="AE1269">
        <v>0</v>
      </c>
      <c r="AF1269">
        <v>0</v>
      </c>
      <c r="AG1269">
        <v>0</v>
      </c>
      <c r="AH1269">
        <v>0</v>
      </c>
      <c r="AI1269">
        <v>0</v>
      </c>
      <c r="AJ1269">
        <v>0</v>
      </c>
      <c r="AK1269">
        <v>0</v>
      </c>
      <c r="AL1269">
        <v>0</v>
      </c>
      <c r="AM1269">
        <v>1</v>
      </c>
      <c r="AN1269">
        <v>0</v>
      </c>
      <c r="AO1269">
        <v>0</v>
      </c>
      <c r="AP1269">
        <v>0</v>
      </c>
      <c r="AQ1269">
        <v>0</v>
      </c>
      <c r="AR1269">
        <v>0</v>
      </c>
      <c r="AS1269">
        <v>0</v>
      </c>
      <c r="AT1269">
        <v>0</v>
      </c>
      <c r="AU1269">
        <v>0</v>
      </c>
      <c r="AV1269">
        <v>0</v>
      </c>
      <c r="AW1269">
        <v>0</v>
      </c>
      <c r="AX1269">
        <v>0</v>
      </c>
      <c r="AY1269">
        <v>0</v>
      </c>
      <c r="AZ1269" s="141">
        <f>COUNTIF(X1269:AY1269,"&lt;&gt;0")</f>
        <v>1</v>
      </c>
      <c r="BA1269" s="141">
        <f>COUNTIF(X1269:AN1269,"&lt;&gt;0")</f>
        <v>1</v>
      </c>
      <c r="BB1269">
        <f>COUNTIF(X1269:AE1269,"&lt;&gt;0")</f>
        <v>0</v>
      </c>
      <c r="BC1269">
        <f>COUNTIF(AF1269:AK1269,"&lt;&gt;0")</f>
        <v>0</v>
      </c>
      <c r="BD1269">
        <f>COUNTIF(AL1269:AN1269,"&lt;&gt;0")</f>
        <v>1</v>
      </c>
      <c r="BE1269">
        <f>COUNTIF(AU1269:AY1269,"&lt;&gt;0")</f>
        <v>0</v>
      </c>
      <c r="BF1269">
        <f>COUNTIF(AO1269:AT1269,"&lt;&gt;0")</f>
        <v>0</v>
      </c>
      <c r="BG1269" t="str" cm="1">
        <f t="array" ref="BG1269">IF(BA1269=1,INDEX($X$7:$AN$7,MATCH(TRUE,INDEX($X1269:$AY1269&lt;&gt;0,),0)),IF(BA1269=0,INDEX($AO$7:$AY$7,MATCH(1,$AO1269:$AY1269,0)),IF(BH1269="Multiple strategies","mixed drivers",IF(BH1269="Supply chain","multiple supply","multiple silviculture"))))</f>
        <v>technologies/design switch</v>
      </c>
      <c r="BH1269" s="2" t="str" cm="1">
        <f t="array" ref="BH1269">IF(COUNTIF(BB1269:BD1269,"&lt;&gt;0")=1,INDEX($X$4:$AY$4,MATCH(TRUE,INDEX($X1269:$AY1269&lt;&gt;0,),0)),IF(COUNTIF(BB1269:BD1269,"&lt;&gt;0")=0,INDEX($AO$4:$AY$4,MATCH(1,$AO1269:$AY1269,0)),"Multiple strategies"))</f>
        <v>Technology</v>
      </c>
      <c r="BI1269" s="1" t="s">
        <v>229</v>
      </c>
      <c r="BJ1269" t="s">
        <v>1471</v>
      </c>
      <c r="BK1269" t="s">
        <v>424</v>
      </c>
      <c r="BL1269" t="s">
        <v>1472</v>
      </c>
      <c r="BM1269">
        <v>34.049999999999997</v>
      </c>
      <c r="BN1269">
        <v>64.510000000000005</v>
      </c>
      <c r="BO1269">
        <f>BN1269/BM1269</f>
        <v>1.894566813509545</v>
      </c>
      <c r="BP1269">
        <f>BN1269-BM1269</f>
        <v>30.460000000000008</v>
      </c>
      <c r="BQ1269">
        <f>BP1269*kg_to_m3</f>
        <v>6.216326530612247E-2</v>
      </c>
      <c r="BR1269" t="s">
        <v>232</v>
      </c>
      <c r="BS1269" t="s">
        <v>424</v>
      </c>
      <c r="BT1269" t="s">
        <v>1473</v>
      </c>
      <c r="BW1269" s="144" t="str">
        <f>IFERROR(BV1269/BU1269,"")</f>
        <v/>
      </c>
      <c r="BX1269">
        <v>47.38</v>
      </c>
      <c r="BZ1269">
        <f>BX1269/1000</f>
        <v>4.7380000000000005E-2</v>
      </c>
      <c r="CA1269">
        <f>IFERROR(BZ1269/BQ1269,"")</f>
        <v>0.76218647406434648</v>
      </c>
      <c r="CB1269">
        <v>0</v>
      </c>
      <c r="CC1269">
        <v>0</v>
      </c>
      <c r="CD1269">
        <v>0</v>
      </c>
      <c r="CE1269">
        <v>0</v>
      </c>
      <c r="CF1269">
        <v>0</v>
      </c>
      <c r="CG1269">
        <v>0</v>
      </c>
      <c r="CH1269">
        <v>0</v>
      </c>
      <c r="CI1269">
        <v>0</v>
      </c>
      <c r="CJ1269">
        <v>0</v>
      </c>
      <c r="CK1269">
        <v>0</v>
      </c>
      <c r="CL1269">
        <v>0</v>
      </c>
      <c r="CM1269">
        <v>0</v>
      </c>
      <c r="CN1269">
        <v>0</v>
      </c>
      <c r="CO1269">
        <v>0</v>
      </c>
      <c r="CP1269" t="str">
        <f>IF(BN1269&lt;BM1269,"refNeedCorrection","refOK")</f>
        <v>refOK</v>
      </c>
      <c r="CQ1269">
        <f>IF($CP1269="refOK",$BM1269,$BN1269)</f>
        <v>34.049999999999997</v>
      </c>
      <c r="CR1269">
        <f>IF($CP1269="refOK",$BN1269,$BM1269)</f>
        <v>64.510000000000005</v>
      </c>
      <c r="CS1269">
        <f>IF($CP1269="refOK",$BQ1269,-$BQ1269)</f>
        <v>6.216326530612247E-2</v>
      </c>
      <c r="CT1269">
        <f>IF(BI1269="Roundwood",$CS1269/2,$CS1269)</f>
        <v>6.216326530612247E-2</v>
      </c>
      <c r="CU1269">
        <f>IF($CP1269="refOK",$BU1269,$BV1269)*IF($BR1269="Emissions positive",-1,1)</f>
        <v>0</v>
      </c>
      <c r="CV1269">
        <f>IF($CP1269="refOK",$BV1269,$BU1269)*IF($BR1269="Emissions positive",-1,1)</f>
        <v>0</v>
      </c>
      <c r="CW1269">
        <f>IF($CP1269="refNeedCorrection",-BZ1269,BZ1269)*IF($BR1269="Emissions positive",-1,1)</f>
        <v>4.7380000000000005E-2</v>
      </c>
      <c r="CX1269">
        <f>IFERROR($CW1269/$CS1269,"")</f>
        <v>0.76218647406434648</v>
      </c>
      <c r="CY1269">
        <f>IFERROR($CW1269/$CS1269,"")</f>
        <v>0.76218647406434648</v>
      </c>
      <c r="CZ1269">
        <f>IFERROR($CW1269/$CT1269,"")</f>
        <v>0.76218647406434648</v>
      </c>
      <c r="DA1269" s="2" t="str">
        <f>IFERROR((CV1269-CU1269)/ABS(CU1269),"")</f>
        <v/>
      </c>
      <c r="DB1269" s="1" t="s">
        <v>1078</v>
      </c>
      <c r="DC1269" s="317" t="str">
        <f>IF(OR($DB1269="prd",$DB1269="std",$DB1269="cit"),"loc",IF(OR($DB1269="eur",$DB1269="reg",$DB1269="coy"),"reg",$DB1269))</f>
        <v>reg</v>
      </c>
      <c r="DD1269" t="s">
        <v>677</v>
      </c>
      <c r="DE1269">
        <v>2019</v>
      </c>
      <c r="DG1269">
        <v>0</v>
      </c>
      <c r="DH1269" t="str">
        <f>IF(DG1269=0,"0",IF(AND(DG1269&gt;=1,DG1269&lt;=30),"1-30",IF(AND(DG1269&gt;30,DG1269&lt;=70),"31-70",IF(AND(DG1269&gt;70,DG1269&lt;=100),"71-100",IF(DG1269&gt;100,"+100")))))</f>
        <v>0</v>
      </c>
      <c r="DI1269">
        <v>0</v>
      </c>
      <c r="DJ1269">
        <v>0</v>
      </c>
      <c r="DK1269">
        <v>0</v>
      </c>
      <c r="DL1269">
        <v>1</v>
      </c>
      <c r="DN1269">
        <f>SUM(DI1269:DL1269)</f>
        <v>1</v>
      </c>
      <c r="DO1269" t="str">
        <f>IF(DN1269=1,INDEX($DI$7:$DL$7,MATCH(1,$DI1269:$DL1269,0)),"mixedProduct")</f>
        <v>TimberInput</v>
      </c>
      <c r="DP1269">
        <f>IF(DI1269=1,DP$7,0)</f>
        <v>0</v>
      </c>
      <c r="DQ1269">
        <f>IF(DJ1269=1,DQ$7,0)</f>
        <v>0</v>
      </c>
      <c r="DR1269">
        <f>IF(DK1269=1,DR$7,0)</f>
        <v>0</v>
      </c>
      <c r="DS1269" t="str">
        <f>IF(DL1269=1,DS$7,0)</f>
        <v>Timber</v>
      </c>
      <c r="DT1269">
        <v>1</v>
      </c>
      <c r="DU1269">
        <v>0</v>
      </c>
      <c r="DV1269">
        <v>0</v>
      </c>
      <c r="DW1269">
        <v>0</v>
      </c>
      <c r="DX1269">
        <v>0</v>
      </c>
      <c r="DY1269">
        <f>SUM(DT1269:DU1269)</f>
        <v>1</v>
      </c>
      <c r="DZ1269" s="143" t="str">
        <f>IF(DT1269=1,"self-calculated DF",IF(DU1269=1,"external DF used","explicit C balance"))</f>
        <v>self-calculated DF</v>
      </c>
      <c r="EA1269">
        <v>0</v>
      </c>
      <c r="EB1269">
        <v>0</v>
      </c>
      <c r="EC1269">
        <v>0</v>
      </c>
      <c r="ED1269">
        <v>0</v>
      </c>
      <c r="EE1269">
        <v>0</v>
      </c>
      <c r="EF1269" s="143">
        <v>1</v>
      </c>
      <c r="EG1269">
        <v>0</v>
      </c>
      <c r="EH1269">
        <v>1</v>
      </c>
      <c r="EI1269">
        <v>0</v>
      </c>
      <c r="EJ1269">
        <v>0</v>
      </c>
      <c r="EK1269">
        <v>0</v>
      </c>
      <c r="EL1269">
        <v>0</v>
      </c>
      <c r="EM1269">
        <v>0</v>
      </c>
      <c r="EN1269" s="2">
        <v>0</v>
      </c>
      <c r="EP1269" t="str">
        <f>IF(AND(AND(AND(OR($EC1269=1,$EB1269=1),OR($EH1269=1,$EF1269=1)),SUM($EA1269:$EE1269,$EK1269)&gt;=3),SUM($EF1269:$EJ1269)&gt;=2),"Whole sector approach","")</f>
        <v/>
      </c>
      <c r="EQ1269" t="str">
        <f>IF(AND(AND(OR($EC1269=1,$EB1269=1),AND($EH1269=0,$EF1269=0)),SUM($EA1269:$EE1269,$EK1269)&gt;=3),"Ecosystem approach","")</f>
        <v/>
      </c>
      <c r="ER1269" s="2" t="str">
        <f>IF(AND(AND(AND($EC1269=0,$EB1269=0),OR($EH1269=1,$EF1269=1)),SUM($EG1269:$EJ1269)&gt;=2),"Technology approach","")</f>
        <v/>
      </c>
      <c r="ES1269" t="str">
        <f>IF(AND($EC1269+$EB1269+$EE1269+$EA1269+$ED1269+$EG1269=0,$N1269="included"),"C neutral forest and HWP assumption","")</f>
        <v>C neutral forest and HWP assumption</v>
      </c>
      <c r="ET1269" t="str">
        <f>IF(AND(AND(AND(AND($EC1269=1,$EB1269+$EA1269+$EG1269&gt;=1),$EF1269=1),$EH1269+$EI1269+$ED1269+$EE1269&gt;=2),$N1269="included"),"All C pools assumption","")</f>
        <v/>
      </c>
      <c r="EU1269" t="str">
        <f>IF(AND($ED1269+$EE1269+$EI1269+$EH1269+$EF1269=0,$N1269="included"),"In-situ only assumption","")</f>
        <v/>
      </c>
      <c r="EW1269" t="s">
        <v>1474</v>
      </c>
      <c r="EY1269" t="str">
        <f>IF(ISNUMBER(BW1269),IF(ABS(BW1269-[4]QC_indicators!$B$2)&gt;3*[4]QC_indicators!$C$2,"C ratio",IF(ISNUMBER(CA1269),IF(ABS(CA1269-[4]QC_indicators!$B$1)&gt;3*[4]QC_indicators!$C$1,"DF","no"))),IF(ISNUMBER(CA1269),IF(ABS(CA1269-[4]QC_indicators!$B$1)&gt;3*[4]QC_indicators!$C$1,"DF","no")))</f>
        <v>no</v>
      </c>
      <c r="FA1269" t="str">
        <f>IF(LEN($CY1269)=0,"",IF(AND($CY1269&lt;(-0.05),$ES1269="C neutral forest and HWP assumption"),"Cneutral paradox",IF(AND($CY1269&gt;0.05,$EU1269="In-situ only assumption"),"In-situ only paradox","")))</f>
        <v/>
      </c>
      <c r="FB1269" t="s">
        <v>1475</v>
      </c>
    </row>
    <row r="1270" spans="1:161" hidden="1">
      <c r="A1270" s="1" t="s">
        <v>849</v>
      </c>
      <c r="B1270" t="s">
        <v>1552</v>
      </c>
      <c r="C1270" t="s">
        <v>531</v>
      </c>
      <c r="D1270" t="s">
        <v>1553</v>
      </c>
      <c r="E1270" t="s">
        <v>1554</v>
      </c>
      <c r="F1270" t="s">
        <v>1555</v>
      </c>
      <c r="G1270" t="s">
        <v>1059</v>
      </c>
      <c r="H1270" t="s">
        <v>254</v>
      </c>
      <c r="I1270">
        <v>2021</v>
      </c>
      <c r="J1270">
        <v>8</v>
      </c>
      <c r="K1270" t="s">
        <v>1556</v>
      </c>
      <c r="M1270" t="str">
        <f>LEFT($D1270,FIND(",",$D1270)-1)&amp;"_"&amp;I1270&amp;L1270</f>
        <v>Hart_2021</v>
      </c>
      <c r="N1270" s="317" t="s">
        <v>222</v>
      </c>
      <c r="O1270" s="171" t="s">
        <v>225</v>
      </c>
      <c r="P1270" t="s">
        <v>924</v>
      </c>
      <c r="Q1270" s="317" t="s">
        <v>389</v>
      </c>
      <c r="R1270" s="318" t="s">
        <v>1029</v>
      </c>
      <c r="S1270" s="322" t="s">
        <v>1557</v>
      </c>
      <c r="T1270" t="s">
        <v>1558</v>
      </c>
      <c r="U1270" t="s">
        <v>1559</v>
      </c>
      <c r="V1270" s="253">
        <v>0</v>
      </c>
      <c r="W1270" s="253">
        <v>0</v>
      </c>
      <c r="X1270">
        <v>0</v>
      </c>
      <c r="Y1270">
        <v>0</v>
      </c>
      <c r="Z1270">
        <v>0</v>
      </c>
      <c r="AA1270">
        <v>0</v>
      </c>
      <c r="AB1270">
        <v>0</v>
      </c>
      <c r="AC1270">
        <v>0</v>
      </c>
      <c r="AD1270">
        <v>0</v>
      </c>
      <c r="AE1270">
        <v>0</v>
      </c>
      <c r="AF1270">
        <v>0</v>
      </c>
      <c r="AG1270">
        <v>0</v>
      </c>
      <c r="AH1270">
        <v>0</v>
      </c>
      <c r="AI1270">
        <v>0</v>
      </c>
      <c r="AJ1270">
        <v>0</v>
      </c>
      <c r="AK1270">
        <v>0</v>
      </c>
      <c r="AL1270">
        <v>0</v>
      </c>
      <c r="AM1270">
        <v>1</v>
      </c>
      <c r="AN1270">
        <v>0</v>
      </c>
      <c r="AO1270">
        <v>0</v>
      </c>
      <c r="AP1270">
        <v>0</v>
      </c>
      <c r="AQ1270">
        <v>0</v>
      </c>
      <c r="AR1270">
        <v>0</v>
      </c>
      <c r="AS1270">
        <v>0</v>
      </c>
      <c r="AT1270">
        <v>0</v>
      </c>
      <c r="AU1270">
        <v>0</v>
      </c>
      <c r="AV1270">
        <v>0</v>
      </c>
      <c r="AW1270">
        <v>0</v>
      </c>
      <c r="AX1270">
        <v>0</v>
      </c>
      <c r="AY1270">
        <v>0</v>
      </c>
      <c r="AZ1270" s="141">
        <f>COUNTIF(X1270:AY1270,"&lt;&gt;0")</f>
        <v>1</v>
      </c>
      <c r="BA1270" s="141">
        <f>COUNTIF(X1270:AN1270,"&lt;&gt;0")</f>
        <v>1</v>
      </c>
      <c r="BB1270">
        <f>COUNTIF(X1270:AE1270,"&lt;&gt;0")</f>
        <v>0</v>
      </c>
      <c r="BC1270">
        <f>COUNTIF(AF1270:AK1270,"&lt;&gt;0")</f>
        <v>0</v>
      </c>
      <c r="BD1270">
        <f>COUNTIF(AL1270:AN1270,"&lt;&gt;0")</f>
        <v>1</v>
      </c>
      <c r="BE1270">
        <f>COUNTIF(AU1270:AY1270,"&lt;&gt;0")</f>
        <v>0</v>
      </c>
      <c r="BF1270">
        <f>COUNTIF(AO1270:AT1270,"&lt;&gt;0")</f>
        <v>0</v>
      </c>
      <c r="BG1270" t="str" cm="1">
        <f t="array" ref="BG1270">IF(BA1270=1,INDEX($X$7:$AN$7,MATCH(TRUE,INDEX($X1270:$AY1270&lt;&gt;0,),0)),IF(BA1270=0,INDEX($AO$7:$AY$7,MATCH(1,$AO1270:$AY1270,0)),IF(BH1270="Multiple strategies","mixed drivers",IF(BH1270="Supply chain","multiple supply","multiple silviculture"))))</f>
        <v>technologies/design switch</v>
      </c>
      <c r="BH1270" s="2" t="str" cm="1">
        <f t="array" ref="BH1270">IF(COUNTIF(BB1270:BD1270,"&lt;&gt;0")=1,INDEX($X$4:$AY$4,MATCH(TRUE,INDEX($X1270:$AY1270&lt;&gt;0,),0)),IF(COUNTIF(BB1270:BD1270,"&lt;&gt;0")=0,INDEX($AO$4:$AY$4,MATCH(1,$AO1270:$AY1270,0)),"Multiple strategies"))</f>
        <v>Technology</v>
      </c>
      <c r="BI1270" s="323" t="s">
        <v>229</v>
      </c>
      <c r="BJ1270" s="321" t="s">
        <v>1560</v>
      </c>
      <c r="BK1270" s="321" t="s">
        <v>4979</v>
      </c>
      <c r="BL1270" s="321" t="s">
        <v>1561</v>
      </c>
      <c r="BM1270">
        <v>0</v>
      </c>
      <c r="BN1270">
        <v>7.314381831917062E-2</v>
      </c>
      <c r="BO1270" t="s">
        <v>531</v>
      </c>
      <c r="BP1270">
        <f>BN1270-BM1270</f>
        <v>7.314381831917062E-2</v>
      </c>
      <c r="BQ1270" s="317">
        <f>BP1270*t_to_m3</f>
        <v>0.1492730986105523</v>
      </c>
      <c r="BR1270" s="317" t="s">
        <v>232</v>
      </c>
      <c r="BS1270" s="155" t="s">
        <v>1562</v>
      </c>
      <c r="BT1270" s="317" t="s">
        <v>1563</v>
      </c>
      <c r="BU1270">
        <v>-234.55431683971065</v>
      </c>
      <c r="BV1270">
        <v>-119.35798727672741</v>
      </c>
      <c r="BW1270" s="144">
        <f>IFERROR(BV1270/BU1270,"")</f>
        <v>0.50887141573392602</v>
      </c>
      <c r="BX1270">
        <f>BV1270-BU1270</f>
        <v>115.19632956298324</v>
      </c>
      <c r="BZ1270">
        <f>BX1270/1000</f>
        <v>0.11519632956298324</v>
      </c>
      <c r="CA1270">
        <f>IFERROR(BZ1270/BQ1270,"")</f>
        <v>0.77171526976555893</v>
      </c>
      <c r="CB1270">
        <v>0</v>
      </c>
      <c r="CC1270">
        <v>0</v>
      </c>
      <c r="CD1270">
        <v>0</v>
      </c>
      <c r="CE1270">
        <v>0</v>
      </c>
      <c r="CF1270">
        <v>0</v>
      </c>
      <c r="CG1270">
        <v>0</v>
      </c>
      <c r="CH1270">
        <v>0</v>
      </c>
      <c r="CI1270">
        <v>0</v>
      </c>
      <c r="CJ1270">
        <v>0</v>
      </c>
      <c r="CK1270">
        <v>0</v>
      </c>
      <c r="CL1270">
        <v>0</v>
      </c>
      <c r="CM1270">
        <v>0</v>
      </c>
      <c r="CN1270">
        <v>0</v>
      </c>
      <c r="CO1270">
        <v>0</v>
      </c>
      <c r="CP1270" t="str">
        <f>IF($BN1270&lt;$BM1270,"refNeedCorrection","refOK")</f>
        <v>refOK</v>
      </c>
      <c r="CQ1270">
        <f>IF($CP1270="refOK",$BM1270,$BN1270)</f>
        <v>0</v>
      </c>
      <c r="CR1270">
        <f>IF($CP1270="refOK",$BN1270,$BM1270)</f>
        <v>7.314381831917062E-2</v>
      </c>
      <c r="CS1270">
        <f>IF($CP1270="refOK",$BQ1270,-$BQ1270)</f>
        <v>0.1492730986105523</v>
      </c>
      <c r="CT1270">
        <f>IF(BI1270="Roundwood",$CS1270/2,$CS1270)</f>
        <v>0.1492730986105523</v>
      </c>
      <c r="CU1270">
        <f>IF($CP1270="refOK",$BU1270,$BV1270)*IF($BR1270="Emissions positive",-1,1)</f>
        <v>-234.55431683971065</v>
      </c>
      <c r="CV1270">
        <f>IF($CP1270="refOK",$BV1270,$BU1270)*IF($BR1270="Emissions positive",-1,1)</f>
        <v>-119.35798727672741</v>
      </c>
      <c r="CW1270">
        <f>IF($CP1270="refNeedCorrection",-BZ1270,BZ1270)*IF($BR1270="Emissions positive",-1,1)</f>
        <v>0.11519632956298324</v>
      </c>
      <c r="CX1270">
        <f>IFERROR($CW1270/$CS1270,"")</f>
        <v>0.77171526976555893</v>
      </c>
      <c r="CY1270">
        <f>IFERROR($CW1270/$CS1270,"")</f>
        <v>0.77171526976555893</v>
      </c>
      <c r="CZ1270">
        <f>IFERROR($CW1270/$CT1270,"")</f>
        <v>0.77171526976555893</v>
      </c>
      <c r="DA1270" s="2">
        <f>IFERROR((CV1270-CU1270)/ABS(CU1270),"")</f>
        <v>0.49112858426607392</v>
      </c>
      <c r="DB1270" s="320" t="s">
        <v>1078</v>
      </c>
      <c r="DC1270" s="317" t="str">
        <f>IF(OR($DB1270="prd",$DB1270="std",$DB1270="cit"),"loc",IF(OR($DB1270="eur",$DB1270="reg",$DB1270="coy"),"reg",$DB1270))</f>
        <v>reg</v>
      </c>
      <c r="DD1270" s="296" t="s">
        <v>3098</v>
      </c>
      <c r="DE1270">
        <v>0</v>
      </c>
      <c r="DF1270">
        <v>0</v>
      </c>
      <c r="DG1270">
        <v>0</v>
      </c>
      <c r="DH1270" t="str">
        <f>IF(DG1270=0,"0",IF(AND(DG1270&gt;=1,DG1270&lt;=30),"1-30",IF(AND(DG1270&gt;30,DG1270&lt;=70),"31-70",IF(AND(DG1270&gt;70,DG1270&lt;=100),"71-100",IF(DG1270&gt;100,"+100")))))</f>
        <v>0</v>
      </c>
      <c r="DI1270">
        <v>0</v>
      </c>
      <c r="DJ1270">
        <v>0</v>
      </c>
      <c r="DK1270">
        <v>0</v>
      </c>
      <c r="DL1270">
        <v>1</v>
      </c>
      <c r="DM1270">
        <v>0</v>
      </c>
      <c r="DN1270">
        <v>1</v>
      </c>
      <c r="DO1270" t="str">
        <f>IF(DN1270=1,INDEX($DI$7:$DL$7,MATCH(1,$DI1270:$DL1270,0)),"mixedProduct")</f>
        <v>TimberInput</v>
      </c>
      <c r="DP1270">
        <f>IF(DI1270=1,DP$7,0)</f>
        <v>0</v>
      </c>
      <c r="DQ1270">
        <f>IF(DJ1270=1,DQ$7,0)</f>
        <v>0</v>
      </c>
      <c r="DR1270">
        <f>IF(DK1270=1,DR$7,0)</f>
        <v>0</v>
      </c>
      <c r="DS1270" t="str">
        <f>IF(DL1270=1,DS$7,0)</f>
        <v>Timber</v>
      </c>
      <c r="DT1270">
        <v>0</v>
      </c>
      <c r="DU1270">
        <v>0</v>
      </c>
      <c r="DV1270">
        <v>0</v>
      </c>
      <c r="DW1270">
        <v>0</v>
      </c>
      <c r="DX1270">
        <v>0</v>
      </c>
      <c r="DY1270">
        <f>SUM(DT1270:DU1270)</f>
        <v>0</v>
      </c>
      <c r="DZ1270" s="143" t="s">
        <v>926</v>
      </c>
      <c r="EA1270">
        <v>0</v>
      </c>
      <c r="EB1270">
        <v>0</v>
      </c>
      <c r="EC1270">
        <v>0</v>
      </c>
      <c r="ED1270">
        <v>0</v>
      </c>
      <c r="EE1270">
        <v>0</v>
      </c>
      <c r="EF1270" s="143">
        <v>1</v>
      </c>
      <c r="EG1270">
        <v>0</v>
      </c>
      <c r="EH1270">
        <v>1</v>
      </c>
      <c r="EI1270">
        <v>1</v>
      </c>
      <c r="EJ1270">
        <v>1</v>
      </c>
      <c r="EK1270">
        <v>0</v>
      </c>
      <c r="EL1270">
        <v>0</v>
      </c>
      <c r="EM1270">
        <v>0</v>
      </c>
      <c r="EN1270" s="2">
        <v>0</v>
      </c>
      <c r="EP1270" t="str">
        <f>IF(AND(AND(AND(OR($EC1270=1,$EB1270=1),OR($EH1270=1,$EF1270=1)),SUM($EA1270:$EE1270,$EK1270)&gt;=3),SUM($EF1270:$EJ1270)&gt;=2),"Whole sector approach","")</f>
        <v/>
      </c>
      <c r="EQ1270" t="str">
        <f>IF(AND(AND(OR($EC1270=1,$EB1270=1),AND($EH1270=0,$EF1270=0)),SUM($EA1270:$EE1270,$EK1270)&gt;=3),"Ecosystem approach","")</f>
        <v/>
      </c>
      <c r="ER1270" s="2" t="str">
        <f>IF(AND(AND(AND($EC1270=0,$EB1270=0),OR($EH1270=1,$EF1270=1)),SUM($EG1270:$EJ1270)&gt;=2),"Technology approach","")</f>
        <v>Technology approach</v>
      </c>
      <c r="ES1270" t="str">
        <f>IF(AND($EC1270+$EB1270+$EE1270+$EA1270+$ED1270+$EG1270=0,$N1270="included"),"C neutral forest and HWP assumption","")</f>
        <v>C neutral forest and HWP assumption</v>
      </c>
      <c r="ET1270" t="str">
        <f>IF(AND(AND(AND(AND($EC1270=1,$EB1270+$EA1270+$EG1270&gt;=1),$EF1270=1),$EH1270+$EI1270+$ED1270+$EE1270&gt;=2),$N1270="included"),"All C pools assumption","")</f>
        <v/>
      </c>
      <c r="EU1270" t="str">
        <f>IF(AND($ED1270+$EE1270+$EI1270+$EH1270+$EF1270=0,$N1270="included"),"In-situ only assumption","")</f>
        <v/>
      </c>
      <c r="EY1270" t="str">
        <f>IF(ISNUMBER(BW1270),IF(ABS(BW1270-[4]QC_indicators!$B$2)&gt;3*[4]QC_indicators!$C$2,"C ratio",IF(ISNUMBER(CA1270),IF(ABS(CA1270-[4]QC_indicators!$B$1)&gt;3*[4]QC_indicators!$C$1,"DF","no"))),IF(ISNUMBER(CA1270),IF(ABS(CA1270-[4]QC_indicators!$B$1)&gt;3*[4]QC_indicators!$C$1,"DF","no")))</f>
        <v>no</v>
      </c>
      <c r="FA1270" t="str">
        <f>IF(LEN($CY1270)=0,"",IF(AND($CY1270&lt;(-0.05),$ES1270="C neutral forest and HWP assumption"),"Cneutral paradox",IF(AND($CY1270&gt;0.05,$EU1270="In-situ only assumption"),"In-situ only paradox","")))</f>
        <v/>
      </c>
      <c r="FD1270" t="s">
        <v>4980</v>
      </c>
    </row>
    <row r="1271" spans="1:161" ht="15" hidden="1" customHeight="1">
      <c r="D1271" t="s">
        <v>927</v>
      </c>
      <c r="E1271" t="s">
        <v>949</v>
      </c>
      <c r="G1271" t="s">
        <v>950</v>
      </c>
      <c r="I1271">
        <v>2004</v>
      </c>
      <c r="K1271" t="s">
        <v>951</v>
      </c>
      <c r="M1271" t="str">
        <f>LEFT($D1271,FIND(",",$D1271)-1)&amp;"_"&amp;I1271&amp;L1271</f>
        <v>Petersen_2004</v>
      </c>
      <c r="N1271" t="s">
        <v>222</v>
      </c>
      <c r="O1271" s="171" t="s">
        <v>508</v>
      </c>
      <c r="P1271" s="141" t="s">
        <v>225</v>
      </c>
      <c r="Q1271" t="s">
        <v>389</v>
      </c>
      <c r="R1271" s="258" t="s">
        <v>223</v>
      </c>
      <c r="S1271" s="1" t="s">
        <v>938</v>
      </c>
      <c r="T1271" t="s">
        <v>963</v>
      </c>
      <c r="U1271" t="s">
        <v>962</v>
      </c>
      <c r="V1271" s="253">
        <v>0</v>
      </c>
      <c r="W1271" s="253">
        <v>0</v>
      </c>
      <c r="X1271">
        <v>0</v>
      </c>
      <c r="Y1271">
        <v>0</v>
      </c>
      <c r="Z1271">
        <v>0</v>
      </c>
      <c r="AA1271">
        <v>0</v>
      </c>
      <c r="AB1271">
        <v>0</v>
      </c>
      <c r="AC1271">
        <v>0</v>
      </c>
      <c r="AD1271">
        <v>0</v>
      </c>
      <c r="AE1271">
        <v>0</v>
      </c>
      <c r="AF1271">
        <v>0</v>
      </c>
      <c r="AG1271">
        <v>0</v>
      </c>
      <c r="AH1271">
        <v>0</v>
      </c>
      <c r="AI1271">
        <v>0</v>
      </c>
      <c r="AJ1271">
        <v>0</v>
      </c>
      <c r="AK1271">
        <v>0</v>
      </c>
      <c r="AL1271">
        <v>0</v>
      </c>
      <c r="AM1271">
        <v>1</v>
      </c>
      <c r="AN1271">
        <v>0</v>
      </c>
      <c r="AO1271">
        <v>0</v>
      </c>
      <c r="AP1271">
        <v>0</v>
      </c>
      <c r="AQ1271">
        <v>0</v>
      </c>
      <c r="AR1271">
        <v>0</v>
      </c>
      <c r="AS1271">
        <v>0</v>
      </c>
      <c r="AT1271">
        <v>0</v>
      </c>
      <c r="AU1271">
        <v>0</v>
      </c>
      <c r="AV1271">
        <v>0</v>
      </c>
      <c r="AW1271">
        <v>0</v>
      </c>
      <c r="AX1271">
        <v>0</v>
      </c>
      <c r="AY1271">
        <v>0</v>
      </c>
      <c r="AZ1271" s="141">
        <f>COUNTIF(X1271:AY1271,"&lt;&gt;0")</f>
        <v>1</v>
      </c>
      <c r="BA1271" s="141">
        <f>COUNTIF(X1271:AN1271,"&lt;&gt;0")</f>
        <v>1</v>
      </c>
      <c r="BB1271">
        <f>COUNTIF(X1271:AE1271,"&lt;&gt;0")</f>
        <v>0</v>
      </c>
      <c r="BC1271">
        <f>COUNTIF(AF1271:AK1271,"&lt;&gt;0")</f>
        <v>0</v>
      </c>
      <c r="BD1271">
        <f>COUNTIF(AL1271:AN1271,"&lt;&gt;0")</f>
        <v>1</v>
      </c>
      <c r="BE1271">
        <f>COUNTIF(AU1271:AY1271,"&lt;&gt;0")</f>
        <v>0</v>
      </c>
      <c r="BF1271">
        <f>COUNTIF(AO1271:AT1271,"&lt;&gt;0")</f>
        <v>0</v>
      </c>
      <c r="BG1271" t="str">
        <f t="array" ref="BG1271">IF(BA1271=1,INDEX($X$7:$AN$7,MATCH(TRUE,INDEX($X1271:$AY1271&lt;&gt;0,),0)),IF(BA1271=0,INDEX($AO$7:$AY$7,MATCH(1,$AO1271:$AY1271,0)),IF(BH1271="Multiple strategies","mixed drivers",IF(BH1271="Supply chain","multiple supply","multiple silviculture"))))</f>
        <v>technologies/design switch</v>
      </c>
      <c r="BH1271" s="2" t="str" cm="1">
        <f t="array" ref="BH1271">IF(COUNTIF(BB1271:BD1271,"&lt;&gt;0")=1,INDEX($X$4:$AY$4,MATCH(TRUE,INDEX($X1271:$AY1271&lt;&gt;0,),0)),IF(COUNTIF(BB1271:BD1271,"&lt;&gt;0")=0,INDEX($AO$4:$AY$4,MATCH(1,$AO1271:$AY1271,0)),"Multiple strategies"))</f>
        <v>Technology</v>
      </c>
      <c r="BI1271" s="142" t="s">
        <v>229</v>
      </c>
      <c r="BJ1271" t="s">
        <v>933</v>
      </c>
      <c r="BK1271" t="s">
        <v>954</v>
      </c>
      <c r="BL1271" t="s">
        <v>498</v>
      </c>
      <c r="BM1271">
        <v>0</v>
      </c>
      <c r="BN1271" s="143">
        <v>1</v>
      </c>
      <c r="BO1271" t="str">
        <f>IFERROR(BN1271/BM1271,"")</f>
        <v/>
      </c>
      <c r="BP1271">
        <f>BN1271-BM1271</f>
        <v>1</v>
      </c>
      <c r="BQ1271" s="159">
        <v>1</v>
      </c>
      <c r="BR1271" t="s">
        <v>232</v>
      </c>
      <c r="BS1271" t="s">
        <v>955</v>
      </c>
      <c r="BT1271" t="s">
        <v>935</v>
      </c>
      <c r="BW1271" s="144"/>
      <c r="BX1271">
        <v>0.8</v>
      </c>
      <c r="BZ1271">
        <f>BX1271</f>
        <v>0.8</v>
      </c>
      <c r="CA1271">
        <f>IFERROR(BZ1271/BQ1271,"")</f>
        <v>0.8</v>
      </c>
      <c r="CB1271">
        <v>0</v>
      </c>
      <c r="CC1271">
        <v>0</v>
      </c>
      <c r="CD1271">
        <v>0</v>
      </c>
      <c r="CE1271">
        <v>0</v>
      </c>
      <c r="CF1271">
        <v>0</v>
      </c>
      <c r="CG1271">
        <v>0</v>
      </c>
      <c r="CH1271">
        <v>0</v>
      </c>
      <c r="CI1271">
        <v>0</v>
      </c>
      <c r="CJ1271">
        <v>0</v>
      </c>
      <c r="CK1271">
        <v>0</v>
      </c>
      <c r="CL1271">
        <v>0</v>
      </c>
      <c r="CM1271">
        <v>0</v>
      </c>
      <c r="CN1271">
        <v>0</v>
      </c>
      <c r="CO1271">
        <v>0</v>
      </c>
      <c r="CP1271" t="str">
        <f>IF($BN1271&lt;$BM1271,"refNeedCorrection","refOK")</f>
        <v>refOK</v>
      </c>
      <c r="CQ1271">
        <f>IF($CP1271="refOK",$BM1271,$BN1271)</f>
        <v>0</v>
      </c>
      <c r="CR1271">
        <f>IF($CP1271="refOK",$BN1271,$BM1271)</f>
        <v>1</v>
      </c>
      <c r="CS1271">
        <f>IF($CP1271="refOK",$BQ1271,-$BQ1271)</f>
        <v>1</v>
      </c>
      <c r="CT1271">
        <f>IF(BI1271="Roundwood",$CS1271/2,$CS1271)</f>
        <v>1</v>
      </c>
      <c r="CU1271">
        <f>IF($CP1271="refOK",$BU1271,$BV1271)*IF($BR1271="Emissions positive",-1,1)</f>
        <v>0</v>
      </c>
      <c r="CV1271">
        <f>IF($CP1271="refOK",$BV1271,$BU1271)*IF($BR1271="Emissions positive",-1,1)</f>
        <v>0</v>
      </c>
      <c r="CW1271">
        <f>IF($CP1271="refNeedCorrection",-BZ1271,BZ1271)*IF($BR1271="Emissions positive",-1,1)</f>
        <v>0.8</v>
      </c>
      <c r="CX1271">
        <f>IFERROR($CW1271/$CS1271,"")</f>
        <v>0.8</v>
      </c>
      <c r="CY1271">
        <f>IFERROR($CW1271/$CS1271,"")</f>
        <v>0.8</v>
      </c>
      <c r="CZ1271">
        <f>IFERROR($CW1271/$CT1271,"")</f>
        <v>0.8</v>
      </c>
      <c r="DA1271" s="2" t="str">
        <f>IFERROR((CV1271-CU1271)/ABS(CU1271),"")</f>
        <v/>
      </c>
      <c r="DB1271" s="1" t="s">
        <v>263</v>
      </c>
      <c r="DC1271" t="str">
        <f>IF(OR($DB1271="prd",$DB1271="std",$DB1271="cit"),"loc",IF(OR($DB1271="eur",$DB1271="reg",$DB1271="coy"),"reg",$DB1271))</f>
        <v>loc</v>
      </c>
      <c r="DD1271" t="s">
        <v>264</v>
      </c>
      <c r="DF1271" s="143"/>
      <c r="DG1271" s="143">
        <v>45</v>
      </c>
      <c r="DH1271" t="str">
        <f>IF(DG1271=0,"0",IF(AND(DG1271&gt;=1,DG1271&lt;=30),"1-30",IF(AND(DG1271&gt;30,DG1271&lt;=70),"31-70",IF(AND(DG1271&gt;70,DG1271&lt;=100),"71-100",IF(DG1271&gt;100,"+100")))))</f>
        <v>31-70</v>
      </c>
      <c r="DI1271">
        <v>0</v>
      </c>
      <c r="DJ1271">
        <v>0</v>
      </c>
      <c r="DK1271">
        <v>0</v>
      </c>
      <c r="DL1271">
        <v>1</v>
      </c>
      <c r="DM1271">
        <v>0</v>
      </c>
      <c r="DN1271">
        <f>SUM(DI1271:DL1271)</f>
        <v>1</v>
      </c>
      <c r="DO1271" t="str">
        <f>IF(DN1271=1,INDEX($DI$7:$DL$7,MATCH(1,$DI1271:$DL1271,0)),"mixedProduct")</f>
        <v>TimberInput</v>
      </c>
      <c r="DP1271">
        <f>IF(DI1271=1,DP$7,0)</f>
        <v>0</v>
      </c>
      <c r="DQ1271">
        <f>IF(DJ1271=1,DQ$7,0)</f>
        <v>0</v>
      </c>
      <c r="DR1271">
        <f>IF(DK1271=1,DR$7,0)</f>
        <v>0</v>
      </c>
      <c r="DS1271" t="str">
        <f>IF(DL1271=1,DS$7,0)</f>
        <v>Timber</v>
      </c>
      <c r="DT1271">
        <v>1</v>
      </c>
      <c r="DU1271">
        <v>0</v>
      </c>
      <c r="DV1271">
        <v>0</v>
      </c>
      <c r="DW1271">
        <v>0</v>
      </c>
      <c r="DX1271">
        <v>0</v>
      </c>
      <c r="DY1271">
        <f>SUM(DT1271:DU1271)</f>
        <v>1</v>
      </c>
      <c r="DZ1271" s="143" t="str">
        <f>IF(DT1271=1,"self-calculated DF",IF(DU1271=1,"external DF used","explicit C balance"))</f>
        <v>self-calculated DF</v>
      </c>
      <c r="EA1271" s="143">
        <v>0</v>
      </c>
      <c r="EB1271" s="143">
        <v>0</v>
      </c>
      <c r="EC1271" s="143">
        <v>0</v>
      </c>
      <c r="ED1271" s="143">
        <v>0</v>
      </c>
      <c r="EE1271">
        <v>0</v>
      </c>
      <c r="EF1271" s="143">
        <v>1</v>
      </c>
      <c r="EG1271" s="143">
        <v>0</v>
      </c>
      <c r="EH1271" s="143">
        <v>1</v>
      </c>
      <c r="EI1271" s="143">
        <v>0</v>
      </c>
      <c r="EJ1271">
        <v>0</v>
      </c>
      <c r="EK1271">
        <v>0</v>
      </c>
      <c r="EL1271" s="143">
        <v>0</v>
      </c>
      <c r="EM1271" s="143">
        <v>0</v>
      </c>
      <c r="EN1271" s="2">
        <v>0</v>
      </c>
      <c r="EP1271" t="str">
        <f>IF(AND(AND(AND(OR($EC1271=1,$EB1271=1),OR($EH1271=1,$EF1271=1)),SUM($EA1271:$EE1271,$EK1271)&gt;=3),SUM($EF1271:$EJ1271)&gt;=2),"Whole sector approach","")</f>
        <v/>
      </c>
      <c r="EQ1271" t="str">
        <f>IF(AND(AND(OR($EC1271=1,$EB1271=1),AND($EH1271=0,$EF1271=0)),SUM($EA1271:$EE1271,$EK1271)&gt;=4),"Ecosystem approach","")</f>
        <v/>
      </c>
      <c r="ER1271" s="2" t="str">
        <f>IF(AND(AND(AND($EC1271=0,$EB1271=0),OR($EH1271=1,$EF1271=1)),SUM($EG1271:$EJ1271)&gt;=2),"Technology approach","")</f>
        <v/>
      </c>
      <c r="ES1271" t="str">
        <f>IF(AND($EC1271+$EB1271+$EE1271+$EA1271+$ED1271+$EG1271=0,$N1271="included"),"C neutral forest and HWP assumption","")</f>
        <v>C neutral forest and HWP assumption</v>
      </c>
      <c r="ET1271" t="str">
        <f>IF(AND(AND(AND(AND($EC1271=1,$EB1271+$EA1271+$EG1271&gt;=1),$EF1271=1),$EH1271+$EI1271+$ED1271+$EE1271&gt;=2),$N1271="included"),"All C pools assumption","")</f>
        <v/>
      </c>
      <c r="EU1271" t="str">
        <f>IF(AND($ED1271+$EE1271+$EI1271+$EH1271+$EF1271=0,$N1271="included"),"In-situ only assumption","")</f>
        <v/>
      </c>
      <c r="EY1271" t="str">
        <f>IF(ISNUMBER(BW1271),IF(ABS(BW1271-[2]QC_indicators!$B$2)&gt;3*[2]QC_indicators!$C$2,"C ratio",IF(ISNUMBER(CA1271),IF(ABS(CA1271-[2]QC_indicators!$B$1)&gt;3*[2]QC_indicators!$C$1,"DF","no"))),IF(ISNUMBER(CA1271),IF(ABS(CA1271-[2]QC_indicators!$B$1)&gt;3*[2]QC_indicators!$C$1,"DF","no")))</f>
        <v>no</v>
      </c>
      <c r="FA1271" t="str">
        <f>IF(LEN($CY1271)=0,"",IF(AND($CY1271&lt;(-0.05),$ES1271="C neutral forest and HWP assumption"),"Cneutral paradox",IF(AND($CY1271&gt;0.05,$EU1271="In-situ only assumption"),"In-situ only paradox","")))</f>
        <v/>
      </c>
      <c r="FB1271" t="s">
        <v>944</v>
      </c>
      <c r="FD1271" s="260" t="s">
        <v>2887</v>
      </c>
    </row>
    <row r="1272" spans="1:161" ht="18" hidden="1" customHeight="1">
      <c r="A1272" s="1" t="s">
        <v>333</v>
      </c>
      <c r="B1272" t="s">
        <v>874</v>
      </c>
      <c r="C1272" t="s">
        <v>875</v>
      </c>
      <c r="D1272" t="s">
        <v>876</v>
      </c>
      <c r="E1272" t="s">
        <v>877</v>
      </c>
      <c r="F1272" t="s">
        <v>878</v>
      </c>
      <c r="G1272" t="s">
        <v>339</v>
      </c>
      <c r="H1272" t="s">
        <v>254</v>
      </c>
      <c r="I1272">
        <v>2019</v>
      </c>
      <c r="J1272">
        <v>15</v>
      </c>
      <c r="K1272" t="s">
        <v>879</v>
      </c>
      <c r="M1272" t="str">
        <f>LEFT($D1272,FIND(",",$D1272)-1)&amp;"_"&amp;I1272&amp;L1272</f>
        <v>Li_2019</v>
      </c>
      <c r="N1272" t="s">
        <v>222</v>
      </c>
      <c r="O1272" s="145" t="s">
        <v>225</v>
      </c>
      <c r="Q1272" t="s">
        <v>256</v>
      </c>
      <c r="R1272" s="258" t="s">
        <v>223</v>
      </c>
      <c r="S1272" s="1" t="s">
        <v>880</v>
      </c>
      <c r="T1272" t="s">
        <v>884</v>
      </c>
      <c r="U1272" s="143" t="s">
        <v>885</v>
      </c>
      <c r="V1272" s="253">
        <v>0</v>
      </c>
      <c r="W1272" s="253">
        <v>0</v>
      </c>
      <c r="X1272">
        <v>0</v>
      </c>
      <c r="Y1272">
        <v>0</v>
      </c>
      <c r="Z1272">
        <v>0</v>
      </c>
      <c r="AA1272">
        <v>0</v>
      </c>
      <c r="AB1272">
        <v>0</v>
      </c>
      <c r="AC1272">
        <v>0</v>
      </c>
      <c r="AD1272">
        <v>0</v>
      </c>
      <c r="AE1272">
        <v>0</v>
      </c>
      <c r="AF1272">
        <v>0</v>
      </c>
      <c r="AG1272">
        <v>0</v>
      </c>
      <c r="AH1272">
        <v>0</v>
      </c>
      <c r="AI1272">
        <v>0</v>
      </c>
      <c r="AJ1272">
        <v>0</v>
      </c>
      <c r="AK1272">
        <v>0</v>
      </c>
      <c r="AL1272">
        <v>0</v>
      </c>
      <c r="AM1272">
        <v>1</v>
      </c>
      <c r="AN1272">
        <v>0</v>
      </c>
      <c r="AO1272">
        <v>0</v>
      </c>
      <c r="AP1272">
        <v>0</v>
      </c>
      <c r="AQ1272">
        <v>0</v>
      </c>
      <c r="AR1272">
        <v>0</v>
      </c>
      <c r="AS1272">
        <v>0</v>
      </c>
      <c r="AT1272">
        <v>0</v>
      </c>
      <c r="AU1272">
        <v>0</v>
      </c>
      <c r="AV1272">
        <v>0</v>
      </c>
      <c r="AW1272">
        <v>0</v>
      </c>
      <c r="AX1272">
        <v>0</v>
      </c>
      <c r="AY1272">
        <v>0</v>
      </c>
      <c r="AZ1272" s="141">
        <f>COUNTIF(X1272:AY1272,"&lt;&gt;0")</f>
        <v>1</v>
      </c>
      <c r="BA1272" s="141">
        <f>COUNTIF(X1272:AN1272,"&lt;&gt;0")</f>
        <v>1</v>
      </c>
      <c r="BB1272">
        <f>COUNTIF(X1272:AE1272,"&lt;&gt;0")</f>
        <v>0</v>
      </c>
      <c r="BC1272">
        <f>COUNTIF(AF1272:AK1272,"&lt;&gt;0")</f>
        <v>0</v>
      </c>
      <c r="BD1272">
        <f>COUNTIF(AL1272:AN1272,"&lt;&gt;0")</f>
        <v>1</v>
      </c>
      <c r="BE1272">
        <f>COUNTIF(AU1272:AY1272,"&lt;&gt;0")</f>
        <v>0</v>
      </c>
      <c r="BF1272">
        <f>COUNTIF(AO1272:AT1272,"&lt;&gt;0")</f>
        <v>0</v>
      </c>
      <c r="BG1272" t="str">
        <f t="array" ref="BG1272">IF(BA1272=1,INDEX($X$7:$AN$7,MATCH(TRUE,INDEX($X1272:$AY1272&lt;&gt;0,),0)),IF(BA1272=0,INDEX($AO$7:$AY$7,MATCH(1,$AO1272:$AY1272,0)),IF(BH1272="Multiple strategies","mixed drivers",IF(BH1272="Supply chain","multiple supply","multiple silviculture"))))</f>
        <v>technologies/design switch</v>
      </c>
      <c r="BH1272" s="2" t="str" cm="1">
        <f t="array" ref="BH1272">IF(COUNTIF(BB1272:BD1272,"&lt;&gt;0")=1,INDEX($X$4:$AY$4,MATCH(TRUE,INDEX($X1272:$AY1272&lt;&gt;0,),0)),IF(COUNTIF(BB1272:BD1272,"&lt;&gt;0")=0,INDEX($AO$4:$AY$4,MATCH(1,$AO1272:$AY1272,0)),"Multiple strategies"))</f>
        <v>Technology</v>
      </c>
      <c r="BI1272" s="142" t="s">
        <v>229</v>
      </c>
      <c r="BJ1272" t="s">
        <v>883</v>
      </c>
      <c r="BK1272" s="260" t="s">
        <v>2830</v>
      </c>
      <c r="BL1272" s="143" t="s">
        <v>498</v>
      </c>
      <c r="BM1272">
        <v>0</v>
      </c>
      <c r="BN1272" s="143">
        <v>2529</v>
      </c>
      <c r="BO1272" s="163"/>
      <c r="BP1272">
        <f>BN1272-BM1272</f>
        <v>2529</v>
      </c>
      <c r="BQ1272">
        <f>BP1272</f>
        <v>2529</v>
      </c>
      <c r="BR1272" t="s">
        <v>232</v>
      </c>
      <c r="BS1272" s="153" t="s">
        <v>2831</v>
      </c>
      <c r="BT1272" t="s">
        <v>442</v>
      </c>
      <c r="BU1272" s="143">
        <v>-5933.97</v>
      </c>
      <c r="BV1272">
        <v>-2419.67</v>
      </c>
      <c r="BW1272" s="144">
        <f>IFERROR(BV1272/BU1272,"")</f>
        <v>0.40776579591740436</v>
      </c>
      <c r="BX1272">
        <f>BV1272-BU1272</f>
        <v>3514.3</v>
      </c>
      <c r="BZ1272">
        <f>BX1272*C_to_CO2</f>
        <v>12897.481</v>
      </c>
      <c r="CA1272">
        <f>IFERROR(BZ1272/BQ1272,"")</f>
        <v>5.09983432186635</v>
      </c>
      <c r="CB1272">
        <v>0</v>
      </c>
      <c r="CC1272">
        <v>0</v>
      </c>
      <c r="CD1272">
        <v>0</v>
      </c>
      <c r="CE1272">
        <v>0</v>
      </c>
      <c r="CF1272">
        <v>0</v>
      </c>
      <c r="CG1272">
        <v>0</v>
      </c>
      <c r="CH1272">
        <v>0</v>
      </c>
      <c r="CI1272">
        <v>0</v>
      </c>
      <c r="CJ1272">
        <v>0</v>
      </c>
      <c r="CK1272">
        <v>0</v>
      </c>
      <c r="CL1272">
        <v>0</v>
      </c>
      <c r="CM1272">
        <v>0</v>
      </c>
      <c r="CN1272">
        <v>0</v>
      </c>
      <c r="CO1272">
        <v>0</v>
      </c>
      <c r="CP1272" t="str">
        <f>IF($BN1272&lt;$BM1272,"refNeedCorrection","refOK")</f>
        <v>refOK</v>
      </c>
      <c r="CQ1272">
        <f>IF($CP1272="refNeedCorrection",BN1272,BM1272)</f>
        <v>0</v>
      </c>
      <c r="CR1272">
        <f>IF($CP1272="refNeedCorrection",BM1272,BN1272)</f>
        <v>2529</v>
      </c>
      <c r="CS1272">
        <f>IF($CP1272="refOK",$BQ1272,-$BQ1272)</f>
        <v>2529</v>
      </c>
      <c r="CT1272">
        <f>IF(BI1272="Roundwood",$CS1272/2,$CS1272)</f>
        <v>2529</v>
      </c>
      <c r="CU1272">
        <f>IF($CP1272="refOK",$BU1272,$BV1272)*IF($BR1272="Emissions positive",-1,1)</f>
        <v>-5933.97</v>
      </c>
      <c r="CV1272">
        <f>IF($CP1272="refOK",$BV1272,$BU1272)*IF($BR1272="Emissions positive",-1,1)</f>
        <v>-2419.67</v>
      </c>
      <c r="CW1272">
        <f>IF($CP1272="refNeedCorrection",-BZ1272,BZ1272)*IF($BR1272="Emissions positive",-1,1)</f>
        <v>12897.481</v>
      </c>
      <c r="CX1272">
        <f>IFERROR($CW1272/$CS1272,"")</f>
        <v>5.09983432186635</v>
      </c>
      <c r="CY1272">
        <f>IFERROR($CW1272/$CS1272,"")</f>
        <v>5.09983432186635</v>
      </c>
      <c r="CZ1272">
        <f>IFERROR($CW1272/$CT1272,"")</f>
        <v>5.09983432186635</v>
      </c>
      <c r="DA1272" s="2">
        <f>IFERROR((CV1272-CU1272)/ABS(CU1272),"")</f>
        <v>0.59223420408259564</v>
      </c>
      <c r="DB1272" s="1" t="s">
        <v>347</v>
      </c>
      <c r="DC1272" t="str">
        <f>IF(OR($DB1272="prd",$DB1272="std",$DB1272="cit"),"loc",IF(OR($DB1272="eur",$DB1272="reg",$DB1272="coy"),"reg",$DB1272))</f>
        <v>loc</v>
      </c>
      <c r="DD1272" t="s">
        <v>561</v>
      </c>
      <c r="DF1272" s="143"/>
      <c r="DG1272" s="143">
        <v>0</v>
      </c>
      <c r="DH1272" t="str">
        <f>IF(DG1272=0,"0",IF(AND(DG1272&gt;=1,DG1272&lt;=30),"1-30",IF(AND(DG1272&gt;30,DG1272&lt;=70),"31-70",IF(AND(DG1272&gt;70,DG1272&lt;=100),"71-100",IF(DG1272&gt;100,"+100")))))</f>
        <v>0</v>
      </c>
      <c r="DI1272">
        <v>0</v>
      </c>
      <c r="DJ1272">
        <v>0</v>
      </c>
      <c r="DK1272">
        <v>0</v>
      </c>
      <c r="DL1272">
        <v>1</v>
      </c>
      <c r="DN1272">
        <f>SUM(DI1272:DL1272)</f>
        <v>1</v>
      </c>
      <c r="DO1272" t="str">
        <f>IF(DN1272=1,INDEX($DI$7:$DL$7,MATCH(1,$DI1272:$DL1272,0)),"mixedProduct")</f>
        <v>TimberInput</v>
      </c>
      <c r="DP1272">
        <f>IF(DI1272=1,DP$7,0)</f>
        <v>0</v>
      </c>
      <c r="DQ1272">
        <f>IF(DJ1272=1,DQ$7,0)</f>
        <v>0</v>
      </c>
      <c r="DR1272">
        <f>IF(DK1272=1,DR$7,0)</f>
        <v>0</v>
      </c>
      <c r="DS1272" t="str">
        <f>IF(DL1272=1,DS$7,0)</f>
        <v>Timber</v>
      </c>
      <c r="DT1272">
        <v>0</v>
      </c>
      <c r="DU1272" s="143">
        <v>0</v>
      </c>
      <c r="DV1272" s="143">
        <v>0</v>
      </c>
      <c r="DW1272">
        <v>0</v>
      </c>
      <c r="DX1272" s="143">
        <v>0</v>
      </c>
      <c r="DY1272">
        <f>SUM(DT1272:DU1272)</f>
        <v>0</v>
      </c>
      <c r="DZ1272" s="143" t="str">
        <f>IF(DT1272=1,"self-calculated DF",IF(DU1272=1,"external DF used","explicit C balance"))</f>
        <v>explicit C balance</v>
      </c>
      <c r="EA1272" s="143">
        <v>0</v>
      </c>
      <c r="EB1272" s="143">
        <v>0</v>
      </c>
      <c r="EC1272" s="143">
        <v>0</v>
      </c>
      <c r="ED1272" s="143">
        <v>1</v>
      </c>
      <c r="EE1272">
        <v>0</v>
      </c>
      <c r="EF1272" s="143">
        <v>0</v>
      </c>
      <c r="EG1272" s="143">
        <v>0</v>
      </c>
      <c r="EH1272" s="143">
        <v>1</v>
      </c>
      <c r="EI1272" s="143">
        <v>0</v>
      </c>
      <c r="EJ1272">
        <v>0</v>
      </c>
      <c r="EK1272">
        <v>0</v>
      </c>
      <c r="EL1272" s="143">
        <v>0</v>
      </c>
      <c r="EM1272">
        <v>0</v>
      </c>
      <c r="EN1272" s="2">
        <v>0</v>
      </c>
      <c r="EP1272" t="str">
        <f>IF(AND(AND(AND(OR($EC1272=1,$EB1272=1),OR($EH1272=1,$EF1272=1)),SUM($EA1272:$EE1272,$EK1272)&gt;=3),SUM($EF1272:$EJ1272)&gt;=2),"Whole sector approach","")</f>
        <v/>
      </c>
      <c r="EQ1272" t="str">
        <f>IF(AND(AND(OR($EC1272=1,$EB1272=1),AND($EH1272=0,$EF1272=0)),SUM($EA1272:$EE1272,$EK1272)&gt;=4),"Ecosystem approach","")</f>
        <v/>
      </c>
      <c r="ER1272" s="2" t="str">
        <f>IF(AND(AND(AND($EC1272=0,$EB1272=0),OR($EH1272=1,$EF1272=1)),SUM($EG1272:$EJ1272)&gt;=2),"Technology approach","")</f>
        <v/>
      </c>
      <c r="ES1272" t="str">
        <f>IF(AND($EC1272+$EB1272+$EE1272+$EA1272+$ED1272+$EG1272=0,$N1272="included"),"C neutral forest and HWP assumption","")</f>
        <v/>
      </c>
      <c r="ET1272" t="str">
        <f>IF(AND(AND(AND(AND($EC1272=1,$EB1272+$EA1272+$EG1272&gt;=1),$EF1272=1),$EH1272+$EI1272+$ED1272+$EE1272&gt;=2),$N1272="included"),"All C pools assumption","")</f>
        <v/>
      </c>
      <c r="EU1272" t="str">
        <f>IF(AND($ED1272+$EE1272+$EI1272+$EH1272+$EF1272=0,$N1272="included"),"In-situ only assumption","")</f>
        <v/>
      </c>
      <c r="EY1272" t="str">
        <f>IF(ISNUMBER(BW1272),IF(ABS(BW1272-[2]QC_indicators!$B$2)&gt;3*[2]QC_indicators!$C$2,"C ratio",IF(ISNUMBER(CA1272),IF(ABS(CA1272-[2]QC_indicators!$B$1)&gt;3*[2]QC_indicators!$C$1,"DF","no"))),IF(ISNUMBER(CA1272),IF(ABS(CA1272-[2]QC_indicators!$B$1)&gt;3*[2]QC_indicators!$C$1,"DF","no")))</f>
        <v>no</v>
      </c>
      <c r="EZ1272" t="s">
        <v>450</v>
      </c>
      <c r="FA1272" t="str">
        <f>IF(LEN($CY1272)=0,"",IF(AND($CY1272&lt;(-0.05),$ES1272="C neutral forest and HWP assumption"),"Cneutral paradox",IF(AND($CY1272&gt;0.05,$EU1272="In-situ only assumption"),"In-situ only paradox","")))</f>
        <v/>
      </c>
      <c r="FD1272" s="260" t="s">
        <v>2832</v>
      </c>
    </row>
    <row r="1273" spans="1:161" ht="15" hidden="1" customHeight="1">
      <c r="A1273" s="1" t="s">
        <v>333</v>
      </c>
      <c r="B1273" t="s">
        <v>874</v>
      </c>
      <c r="C1273" t="s">
        <v>875</v>
      </c>
      <c r="D1273" t="s">
        <v>876</v>
      </c>
      <c r="E1273" t="s">
        <v>877</v>
      </c>
      <c r="F1273" t="s">
        <v>878</v>
      </c>
      <c r="G1273" t="s">
        <v>339</v>
      </c>
      <c r="H1273" t="s">
        <v>254</v>
      </c>
      <c r="I1273">
        <v>2019</v>
      </c>
      <c r="J1273">
        <v>15</v>
      </c>
      <c r="K1273" t="s">
        <v>879</v>
      </c>
      <c r="M1273" t="str">
        <f>LEFT($D1273,FIND(",",$D1273)-1)&amp;"_"&amp;I1273&amp;L1273</f>
        <v>Li_2019</v>
      </c>
      <c r="N1273" t="s">
        <v>222</v>
      </c>
      <c r="O1273" s="145" t="s">
        <v>225</v>
      </c>
      <c r="Q1273" t="s">
        <v>256</v>
      </c>
      <c r="R1273" s="258" t="s">
        <v>223</v>
      </c>
      <c r="S1273" s="1" t="s">
        <v>880</v>
      </c>
      <c r="T1273" t="s">
        <v>881</v>
      </c>
      <c r="U1273" s="143" t="s">
        <v>882</v>
      </c>
      <c r="V1273" s="253">
        <v>0</v>
      </c>
      <c r="W1273" s="253">
        <v>0</v>
      </c>
      <c r="X1273">
        <v>0</v>
      </c>
      <c r="Y1273">
        <v>0</v>
      </c>
      <c r="Z1273">
        <v>0</v>
      </c>
      <c r="AA1273">
        <v>0</v>
      </c>
      <c r="AB1273">
        <v>0</v>
      </c>
      <c r="AC1273">
        <v>0</v>
      </c>
      <c r="AD1273">
        <v>0</v>
      </c>
      <c r="AE1273">
        <v>0</v>
      </c>
      <c r="AF1273">
        <v>0</v>
      </c>
      <c r="AG1273">
        <v>0</v>
      </c>
      <c r="AH1273">
        <v>0</v>
      </c>
      <c r="AI1273">
        <v>0</v>
      </c>
      <c r="AJ1273">
        <v>0</v>
      </c>
      <c r="AK1273">
        <v>0</v>
      </c>
      <c r="AL1273">
        <v>0</v>
      </c>
      <c r="AM1273">
        <v>1</v>
      </c>
      <c r="AN1273">
        <v>0</v>
      </c>
      <c r="AO1273">
        <v>0</v>
      </c>
      <c r="AP1273">
        <v>0</v>
      </c>
      <c r="AQ1273">
        <v>0</v>
      </c>
      <c r="AR1273">
        <v>0</v>
      </c>
      <c r="AS1273">
        <v>0</v>
      </c>
      <c r="AT1273">
        <v>0</v>
      </c>
      <c r="AU1273">
        <v>0</v>
      </c>
      <c r="AV1273">
        <v>0</v>
      </c>
      <c r="AW1273">
        <v>0</v>
      </c>
      <c r="AX1273">
        <v>0</v>
      </c>
      <c r="AY1273">
        <v>0</v>
      </c>
      <c r="AZ1273" s="141">
        <f>COUNTIF(X1273:AY1273,"&lt;&gt;0")</f>
        <v>1</v>
      </c>
      <c r="BA1273" s="141">
        <f>COUNTIF(X1273:AN1273,"&lt;&gt;0")</f>
        <v>1</v>
      </c>
      <c r="BB1273">
        <f>COUNTIF(X1273:AE1273,"&lt;&gt;0")</f>
        <v>0</v>
      </c>
      <c r="BC1273">
        <f>COUNTIF(AF1273:AK1273,"&lt;&gt;0")</f>
        <v>0</v>
      </c>
      <c r="BD1273">
        <f>COUNTIF(AL1273:AN1273,"&lt;&gt;0")</f>
        <v>1</v>
      </c>
      <c r="BE1273">
        <f>COUNTIF(AU1273:AY1273,"&lt;&gt;0")</f>
        <v>0</v>
      </c>
      <c r="BF1273">
        <f>COUNTIF(AO1273:AT1273,"&lt;&gt;0")</f>
        <v>0</v>
      </c>
      <c r="BG1273" t="str">
        <f t="array" ref="BG1273">IF(BA1273=1,INDEX($X$7:$AN$7,MATCH(TRUE,INDEX($X1273:$AY1273&lt;&gt;0,),0)),IF(BA1273=0,INDEX($AO$7:$AY$7,MATCH(1,$AO1273:$AY1273,0)),IF(BH1273="Multiple strategies","mixed drivers",IF(BH1273="Supply chain","multiple supply","multiple silviculture"))))</f>
        <v>technologies/design switch</v>
      </c>
      <c r="BH1273" s="2" t="str" cm="1">
        <f t="array" ref="BH1273">IF(COUNTIF(BB1273:BD1273,"&lt;&gt;0")=1,INDEX($X$4:$AY$4,MATCH(TRUE,INDEX($X1273:$AY1273&lt;&gt;0,),0)),IF(COUNTIF(BB1273:BD1273,"&lt;&gt;0")=0,INDEX($AO$4:$AY$4,MATCH(1,$AO1273:$AY1273,0)),"Multiple strategies"))</f>
        <v>Technology</v>
      </c>
      <c r="BI1273" s="142" t="s">
        <v>229</v>
      </c>
      <c r="BJ1273" t="s">
        <v>883</v>
      </c>
      <c r="BK1273" s="260" t="s">
        <v>2830</v>
      </c>
      <c r="BL1273" s="143" t="s">
        <v>498</v>
      </c>
      <c r="BM1273">
        <v>0</v>
      </c>
      <c r="BN1273">
        <f>9962+4706</f>
        <v>14668</v>
      </c>
      <c r="BO1273" s="163"/>
      <c r="BP1273">
        <f>BN1273-BM1273</f>
        <v>14668</v>
      </c>
      <c r="BQ1273">
        <f>BP1273</f>
        <v>14668</v>
      </c>
      <c r="BR1273" t="s">
        <v>232</v>
      </c>
      <c r="BS1273" s="153" t="s">
        <v>2831</v>
      </c>
      <c r="BT1273" t="s">
        <v>442</v>
      </c>
      <c r="BU1273" s="143">
        <v>-5933.97</v>
      </c>
      <c r="BV1273">
        <v>9463.36</v>
      </c>
      <c r="BW1273" s="144">
        <f>IFERROR(BV1273/BU1273,"")</f>
        <v>-1.59477718963864</v>
      </c>
      <c r="BX1273">
        <f>BV1273-BU1273</f>
        <v>15397.330000000002</v>
      </c>
      <c r="BZ1273">
        <f>BX1273*C_to_CO2</f>
        <v>56508.201100000006</v>
      </c>
      <c r="CA1273">
        <f>IFERROR(BZ1273/BQ1273,"")</f>
        <v>3.8524816675756752</v>
      </c>
      <c r="CB1273">
        <v>0</v>
      </c>
      <c r="CC1273">
        <v>0</v>
      </c>
      <c r="CD1273">
        <v>0</v>
      </c>
      <c r="CE1273">
        <v>0</v>
      </c>
      <c r="CF1273">
        <v>0</v>
      </c>
      <c r="CG1273">
        <v>0</v>
      </c>
      <c r="CH1273">
        <v>0</v>
      </c>
      <c r="CI1273">
        <v>0</v>
      </c>
      <c r="CJ1273">
        <v>0</v>
      </c>
      <c r="CK1273">
        <v>0</v>
      </c>
      <c r="CL1273">
        <v>0</v>
      </c>
      <c r="CM1273">
        <v>0</v>
      </c>
      <c r="CN1273">
        <v>0</v>
      </c>
      <c r="CO1273">
        <v>0</v>
      </c>
      <c r="CP1273" t="str">
        <f>IF($BN1273&lt;$BM1273,"refNeedCorrection","refOK")</f>
        <v>refOK</v>
      </c>
      <c r="CQ1273">
        <f>IF($CP1273="refNeedCorrection",BN1273,BM1273)</f>
        <v>0</v>
      </c>
      <c r="CR1273">
        <f>IF($CP1273="refNeedCorrection",BM1273,BN1273)</f>
        <v>14668</v>
      </c>
      <c r="CS1273">
        <f>IF($CP1273="refOK",$BQ1273,-$BQ1273)</f>
        <v>14668</v>
      </c>
      <c r="CT1273">
        <f>IF(BI1273="Roundwood",$CS1273/2,$CS1273)</f>
        <v>14668</v>
      </c>
      <c r="CU1273">
        <f>IF($CP1273="refOK",$BU1273,$BV1273)*IF($BR1273="Emissions positive",-1,1)</f>
        <v>-5933.97</v>
      </c>
      <c r="CV1273">
        <f>IF($CP1273="refOK",$BV1273,$BU1273)*IF($BR1273="Emissions positive",-1,1)</f>
        <v>9463.36</v>
      </c>
      <c r="CW1273">
        <f>IF($CP1273="refNeedCorrection",-BZ1273,BZ1273)*IF($BR1273="Emissions positive",-1,1)</f>
        <v>56508.201100000006</v>
      </c>
      <c r="CX1273">
        <f>IFERROR($CW1273/$CS1273,"")</f>
        <v>3.8524816675756752</v>
      </c>
      <c r="CY1273">
        <f>IFERROR($CW1273/$CS1273,"")</f>
        <v>3.8524816675756752</v>
      </c>
      <c r="CZ1273">
        <f>IFERROR($CW1273/$CT1273,"")</f>
        <v>3.8524816675756752</v>
      </c>
      <c r="DA1273" s="2">
        <f>IFERROR((CV1273-CU1273)/ABS(CU1273),"")</f>
        <v>2.59477718963864</v>
      </c>
      <c r="DB1273" s="1" t="s">
        <v>347</v>
      </c>
      <c r="DC1273" t="str">
        <f>IF(OR($DB1273="prd",$DB1273="std",$DB1273="cit"),"loc",IF(OR($DB1273="eur",$DB1273="reg",$DB1273="coy"),"reg",$DB1273))</f>
        <v>loc</v>
      </c>
      <c r="DD1273" t="s">
        <v>561</v>
      </c>
      <c r="DF1273" s="143"/>
      <c r="DG1273" s="143">
        <v>0</v>
      </c>
      <c r="DH1273" t="str">
        <f>IF(DG1273=0,"0",IF(AND(DG1273&gt;=1,DG1273&lt;=30),"1-30",IF(AND(DG1273&gt;30,DG1273&lt;=70),"31-70",IF(AND(DG1273&gt;70,DG1273&lt;=100),"71-100",IF(DG1273&gt;100,"+100")))))</f>
        <v>0</v>
      </c>
      <c r="DI1273">
        <v>0</v>
      </c>
      <c r="DJ1273">
        <v>0</v>
      </c>
      <c r="DK1273">
        <v>0</v>
      </c>
      <c r="DL1273">
        <v>1</v>
      </c>
      <c r="DN1273">
        <f>SUM(DI1273:DL1273)</f>
        <v>1</v>
      </c>
      <c r="DO1273" t="str">
        <f>IF(DN1273=1,INDEX($DI$7:$DL$7,MATCH(1,$DI1273:$DL1273,0)),"mixedProduct")</f>
        <v>TimberInput</v>
      </c>
      <c r="DP1273">
        <f>IF(DI1273=1,DP$7,0)</f>
        <v>0</v>
      </c>
      <c r="DQ1273">
        <f>IF(DJ1273=1,DQ$7,0)</f>
        <v>0</v>
      </c>
      <c r="DR1273">
        <f>IF(DK1273=1,DR$7,0)</f>
        <v>0</v>
      </c>
      <c r="DS1273" t="str">
        <f>IF(DL1273=1,DS$7,0)</f>
        <v>Timber</v>
      </c>
      <c r="DT1273">
        <v>0</v>
      </c>
      <c r="DU1273" s="143">
        <v>0</v>
      </c>
      <c r="DV1273" s="143">
        <v>0</v>
      </c>
      <c r="DW1273">
        <v>0</v>
      </c>
      <c r="DX1273" s="143">
        <v>0</v>
      </c>
      <c r="DY1273">
        <f>SUM(DT1273:DU1273)</f>
        <v>0</v>
      </c>
      <c r="DZ1273" s="143" t="str">
        <f>IF(DT1273=1,"self-calculated DF",IF(DU1273=1,"external DF used","explicit C balance"))</f>
        <v>explicit C balance</v>
      </c>
      <c r="EA1273" s="143">
        <v>0</v>
      </c>
      <c r="EB1273" s="143">
        <v>0</v>
      </c>
      <c r="EC1273" s="143">
        <v>0</v>
      </c>
      <c r="ED1273" s="143">
        <v>1</v>
      </c>
      <c r="EE1273">
        <v>0</v>
      </c>
      <c r="EF1273" s="143">
        <v>0</v>
      </c>
      <c r="EG1273" s="143">
        <v>0</v>
      </c>
      <c r="EH1273" s="143">
        <v>1</v>
      </c>
      <c r="EI1273" s="143">
        <v>0</v>
      </c>
      <c r="EJ1273">
        <v>0</v>
      </c>
      <c r="EK1273">
        <v>0</v>
      </c>
      <c r="EL1273" s="143">
        <v>0</v>
      </c>
      <c r="EM1273">
        <v>0</v>
      </c>
      <c r="EN1273" s="2">
        <v>0</v>
      </c>
      <c r="EP1273" t="str">
        <f>IF(AND(AND(AND(OR($EC1273=1,$EB1273=1),OR($EH1273=1,$EF1273=1)),SUM($EA1273:$EE1273,$EK1273)&gt;=3),SUM($EF1273:$EJ1273)&gt;=2),"Whole sector approach","")</f>
        <v/>
      </c>
      <c r="EQ1273" t="str">
        <f>IF(AND(AND(OR($EC1273=1,$EB1273=1),AND($EH1273=0,$EF1273=0)),SUM($EA1273:$EE1273,$EK1273)&gt;=4),"Ecosystem approach","")</f>
        <v/>
      </c>
      <c r="ER1273" s="2" t="str">
        <f>IF(AND(AND(AND($EC1273=0,$EB1273=0),OR($EH1273=1,$EF1273=1)),SUM($EG1273:$EJ1273)&gt;=2),"Technology approach","")</f>
        <v/>
      </c>
      <c r="ES1273" t="str">
        <f>IF(AND($EC1273+$EB1273+$EE1273+$EA1273+$ED1273+$EG1273=0,$N1273="included"),"C neutral forest and HWP assumption","")</f>
        <v/>
      </c>
      <c r="ET1273" t="str">
        <f>IF(AND(AND(AND(AND($EC1273=1,$EB1273+$EA1273+$EG1273&gt;=1),$EF1273=1),$EH1273+$EI1273+$ED1273+$EE1273&gt;=2),$N1273="included"),"All C pools assumption","")</f>
        <v/>
      </c>
      <c r="EU1273" t="str">
        <f>IF(AND($ED1273+$EE1273+$EI1273+$EH1273+$EF1273=0,$N1273="included"),"In-situ only assumption","")</f>
        <v/>
      </c>
      <c r="EY1273" t="str">
        <f>IF(ISNUMBER(BW1273),IF(ABS(BW1273-[2]QC_indicators!$B$2)&gt;3*[2]QC_indicators!$C$2,"C ratio",IF(ISNUMBER(CA1273),IF(ABS(CA1273-[2]QC_indicators!$B$1)&gt;3*[2]QC_indicators!$C$1,"DF","no"))),IF(ISNUMBER(CA1273),IF(ABS(CA1273-[2]QC_indicators!$B$1)&gt;3*[2]QC_indicators!$C$1,"DF","no")))</f>
        <v>no</v>
      </c>
      <c r="FA1273" t="str">
        <f>IF(LEN($CY1273)=0,"",IF(AND($CY1273&lt;(-0.05),$ES1273="C neutral forest and HWP assumption"),"Cneutral paradox",IF(AND($CY1273&gt;0.05,$EU1273="In-situ only assumption"),"In-situ only paradox","")))</f>
        <v/>
      </c>
      <c r="FD1273" s="260" t="s">
        <v>2832</v>
      </c>
    </row>
    <row r="1274" spans="1:161" ht="15" hidden="1" customHeight="1">
      <c r="A1274" s="1" t="s">
        <v>1251</v>
      </c>
      <c r="B1274" t="s">
        <v>2254</v>
      </c>
      <c r="C1274" t="s">
        <v>2255</v>
      </c>
      <c r="D1274" t="s">
        <v>2256</v>
      </c>
      <c r="E1274" t="s">
        <v>2257</v>
      </c>
      <c r="F1274" t="s">
        <v>2258</v>
      </c>
      <c r="G1274" t="s">
        <v>1257</v>
      </c>
      <c r="H1274" t="s">
        <v>254</v>
      </c>
      <c r="I1274">
        <v>2019</v>
      </c>
      <c r="J1274">
        <v>6</v>
      </c>
      <c r="K1274" t="s">
        <v>2259</v>
      </c>
      <c r="M1274" t="str">
        <f>LEFT($D1274,FIND(",",$D1274)-1)&amp;"_"&amp;I1274&amp;L1274</f>
        <v>Mendelsohn_2019</v>
      </c>
      <c r="N1274" t="s">
        <v>222</v>
      </c>
      <c r="O1274" s="145" t="s">
        <v>225</v>
      </c>
      <c r="Q1274" t="s">
        <v>256</v>
      </c>
      <c r="R1274" s="258" t="s">
        <v>223</v>
      </c>
      <c r="S1274" s="1" t="s">
        <v>2260</v>
      </c>
      <c r="T1274" t="s">
        <v>2261</v>
      </c>
      <c r="U1274" s="143" t="s">
        <v>2262</v>
      </c>
      <c r="V1274" s="143">
        <v>1</v>
      </c>
      <c r="W1274">
        <v>0</v>
      </c>
      <c r="X1274">
        <v>1</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1</v>
      </c>
      <c r="AS1274">
        <v>1</v>
      </c>
      <c r="AT1274">
        <v>0</v>
      </c>
      <c r="AU1274">
        <v>0</v>
      </c>
      <c r="AV1274">
        <v>0</v>
      </c>
      <c r="AW1274">
        <v>1</v>
      </c>
      <c r="AX1274">
        <v>0</v>
      </c>
      <c r="AY1274">
        <v>0</v>
      </c>
      <c r="AZ1274" s="141">
        <f>COUNTIF(X1274:AY1274,"&lt;&gt;0")</f>
        <v>4</v>
      </c>
      <c r="BA1274" s="141">
        <f>COUNTIF(X1274:AN1274,"&lt;&gt;0")</f>
        <v>1</v>
      </c>
      <c r="BB1274">
        <f>COUNTIF(X1274:AE1274,"&lt;&gt;0")</f>
        <v>1</v>
      </c>
      <c r="BC1274">
        <f>COUNTIF(AF1274:AK1274,"&lt;&gt;0")</f>
        <v>0</v>
      </c>
      <c r="BD1274">
        <f>COUNTIF(AL1274:AN1274,"&lt;&gt;0")</f>
        <v>0</v>
      </c>
      <c r="BE1274">
        <f>COUNTIF(AU1274:AY1274,"&lt;&gt;0")</f>
        <v>1</v>
      </c>
      <c r="BF1274">
        <f>COUNTIF(AO1274:AT1274,"&lt;&gt;0")</f>
        <v>2</v>
      </c>
      <c r="BG1274" t="str">
        <f t="array" ref="BG1274">IF(BA1274=1,INDEX($X$7:$AN$7,MATCH(TRUE,INDEX($X1274:$AY1274&lt;&gt;0,),0)),IF(BA1274=0,INDEX($AO$7:$AY$7,MATCH(1,$AO1274:$AY1274,0)),IF(BH1274="Multiple strategies","mixed drivers",IF(BH1274="Supply chain","multiple supply","multiple silviculture"))))</f>
        <v>area subject to harvest</v>
      </c>
      <c r="BH1274" s="2" t="str" cm="1">
        <f t="array" ref="BH1274">IF(COUNTIF(BB1274:BD1274,"&lt;&gt;0")=1,INDEX($X$4:$AY$4,MATCH(TRUE,INDEX($X1274:$AY1274&lt;&gt;0,),0)),IF(COUNTIF(BB1274:BD1274,"&lt;&gt;0")=0,INDEX($AO$4:$AY$4,MATCH(1,$AO1274:$AY1274,0)),"Multiple strategies"))</f>
        <v>Silviculture for removals</v>
      </c>
      <c r="BI1274" s="142" t="s">
        <v>321</v>
      </c>
      <c r="BJ1274" t="s">
        <v>2263</v>
      </c>
      <c r="BK1274" s="260" t="s">
        <v>2294</v>
      </c>
      <c r="BL1274" s="143" t="s">
        <v>1973</v>
      </c>
      <c r="BM1274">
        <v>0</v>
      </c>
      <c r="BN1274" s="143">
        <v>100444.50859993362</v>
      </c>
      <c r="BO1274" s="143"/>
      <c r="BP1274">
        <f>BN1274-BM1274</f>
        <v>100444.50859993362</v>
      </c>
      <c r="BQ1274" s="143">
        <f>BP1274*10^6</f>
        <v>100444508599.93361</v>
      </c>
      <c r="BR1274" t="s">
        <v>232</v>
      </c>
      <c r="BS1274" s="153" t="s">
        <v>424</v>
      </c>
      <c r="BT1274" t="s">
        <v>2264</v>
      </c>
      <c r="BU1274" s="143">
        <v>185.5</v>
      </c>
      <c r="BV1274">
        <v>93.8</v>
      </c>
      <c r="BW1274" s="144">
        <v>0.50566037735849056</v>
      </c>
      <c r="BX1274">
        <f>BV1274-BU1274</f>
        <v>-91.7</v>
      </c>
      <c r="BZ1274">
        <f>BX1274*10^9</f>
        <v>-91700000000</v>
      </c>
      <c r="CA1274">
        <f>IFERROR(BZ1274/BQ1274,"")</f>
        <v>-0.91294189476537113</v>
      </c>
      <c r="CB1274">
        <v>0</v>
      </c>
      <c r="CC1274">
        <v>0</v>
      </c>
      <c r="CD1274">
        <v>0</v>
      </c>
      <c r="CE1274">
        <v>0</v>
      </c>
      <c r="CF1274">
        <v>0</v>
      </c>
      <c r="CG1274">
        <v>0</v>
      </c>
      <c r="CH1274">
        <v>0</v>
      </c>
      <c r="CI1274">
        <v>0</v>
      </c>
      <c r="CJ1274">
        <v>0</v>
      </c>
      <c r="CK1274">
        <v>0</v>
      </c>
      <c r="CL1274">
        <v>0</v>
      </c>
      <c r="CM1274">
        <v>0</v>
      </c>
      <c r="CN1274">
        <v>0</v>
      </c>
      <c r="CO1274">
        <v>0</v>
      </c>
      <c r="CP1274" t="str">
        <f>IF($BN1274&lt;$BM1274,"refNeedCorrection","refOK")</f>
        <v>refOK</v>
      </c>
      <c r="CQ1274">
        <f>IF($CP1274="refNeedCorrection",BN1274,BM1274)</f>
        <v>0</v>
      </c>
      <c r="CR1274">
        <f>IF($CP1274="refNeedCorrection",BM1274,BN1274)</f>
        <v>100444.50859993362</v>
      </c>
      <c r="CS1274">
        <f>IF($CP1274="refOK",$BQ1274,-$BQ1274)</f>
        <v>100444508599.93361</v>
      </c>
      <c r="CT1274">
        <f>IF(BI1274="Roundwood",$CS1274/2,$CS1274)</f>
        <v>50222254299.966805</v>
      </c>
      <c r="CU1274">
        <f>IF($CP1274="refOK",$BU1274,$BV1274)*IF($BR1274="Emissions positive",-1,1)</f>
        <v>185.5</v>
      </c>
      <c r="CV1274">
        <f>IF($CP1274="refOK",$BV1274,$BU1274)*IF($BR1274="Emissions positive",-1,1)</f>
        <v>93.8</v>
      </c>
      <c r="CW1274">
        <f>IF($CP1274="refNeedCorrection",-BZ1274,BZ1274)*IF($BR1274="Emissions positive",-1,1)</f>
        <v>-91700000000</v>
      </c>
      <c r="CX1274">
        <f>IFERROR($CW1274/$CS1274,"")</f>
        <v>-0.91294189476537113</v>
      </c>
      <c r="CY1274">
        <f>IFERROR($CW1274/$CS1274,"")</f>
        <v>-0.91294189476537113</v>
      </c>
      <c r="CZ1274">
        <f>IFERROR($CW1274/$CT1274,"")</f>
        <v>-1.8258837895307423</v>
      </c>
      <c r="DA1274" s="2">
        <f>IFERROR((CV1274-CU1274)/ABS(CU1274),"")</f>
        <v>-0.49433962264150944</v>
      </c>
      <c r="DB1274" s="1" t="s">
        <v>2252</v>
      </c>
      <c r="DC1274" t="str">
        <f>IF(OR($DB1274="prd",$DB1274="std",$DB1274="cit"),"loc",IF(OR($DB1274="eur",$DB1274="reg",$DB1274="coy"),"reg",$DB1274))</f>
        <v>w</v>
      </c>
      <c r="DD1274" t="s">
        <v>2253</v>
      </c>
      <c r="DE1274" s="143">
        <v>1901</v>
      </c>
      <c r="DF1274" s="143">
        <v>2010</v>
      </c>
      <c r="DG1274" s="143">
        <v>110</v>
      </c>
      <c r="DH1274" t="str">
        <f>IF(DG1274=0,"0",IF(AND(DG1274&gt;=1,DG1274&lt;=30),"1-30",IF(AND(DG1274&gt;30,DG1274&lt;=70),"31-70",IF(AND(DG1274&gt;70,DG1274&lt;=100),"71-100",IF(DG1274&gt;100,"+100")))))</f>
        <v>+100</v>
      </c>
      <c r="DI1274">
        <v>1</v>
      </c>
      <c r="DJ1274">
        <v>0</v>
      </c>
      <c r="DK1274">
        <v>0</v>
      </c>
      <c r="DL1274">
        <v>0</v>
      </c>
      <c r="DN1274">
        <f>SUM(DI1274:DL1274)</f>
        <v>1</v>
      </c>
      <c r="DO1274" t="str">
        <f>IF(DN1274=1,INDEX($DI$7:$DL$7,MATCH(1,$DI1274:$DL1274,0)),"mixedProduct")</f>
        <v>UpstreamInput</v>
      </c>
      <c r="DP1274" t="str">
        <f>IF(DI1274=1,DP$7,0)</f>
        <v>Upstream</v>
      </c>
      <c r="DQ1274">
        <f>IF(DJ1274=1,DQ$7,0)</f>
        <v>0</v>
      </c>
      <c r="DR1274">
        <f>IF(DK1274=1,DR$7,0)</f>
        <v>0</v>
      </c>
      <c r="DS1274">
        <f>IF(DL1274=1,DS$7,0)</f>
        <v>0</v>
      </c>
      <c r="DT1274">
        <v>0</v>
      </c>
      <c r="DU1274" s="143">
        <v>0</v>
      </c>
      <c r="DV1274" s="143">
        <v>0</v>
      </c>
      <c r="DW1274">
        <v>0</v>
      </c>
      <c r="DX1274" s="143">
        <v>0</v>
      </c>
      <c r="DY1274">
        <f>SUM(DT1274:DU1274)</f>
        <v>0</v>
      </c>
      <c r="DZ1274" s="143" t="str">
        <f>IF(DT1274=1,"self-calculated DF",IF(DU1274=1,"external DF used","explicit C balance"))</f>
        <v>explicit C balance</v>
      </c>
      <c r="EA1274" s="143">
        <v>1</v>
      </c>
      <c r="EB1274" s="143">
        <v>1</v>
      </c>
      <c r="EC1274" s="143">
        <v>1</v>
      </c>
      <c r="ED1274" s="143">
        <v>1</v>
      </c>
      <c r="EE1274">
        <v>1</v>
      </c>
      <c r="EF1274" s="143">
        <v>0</v>
      </c>
      <c r="EG1274" s="143">
        <v>0</v>
      </c>
      <c r="EH1274">
        <v>0</v>
      </c>
      <c r="EI1274" s="143">
        <v>0</v>
      </c>
      <c r="EJ1274">
        <v>0</v>
      </c>
      <c r="EK1274">
        <v>0</v>
      </c>
      <c r="EL1274" s="143">
        <v>0</v>
      </c>
      <c r="EM1274">
        <v>0</v>
      </c>
      <c r="EN1274" s="2">
        <v>0</v>
      </c>
      <c r="EP1274" t="str">
        <f>IF(AND(AND(AND(OR($EC1274=1,$EB1274=1),OR($EH1274=1,$EF1274=1)),SUM($EA1274:$EE1274,$EK1274)&gt;=3),SUM($EF1274:$EJ1274)&gt;=2),"Whole sector approach","")</f>
        <v/>
      </c>
      <c r="EQ1274" t="str">
        <f>IF(AND(AND(OR($EC1274=1,$EB1274=1),AND($EH1274=0,$EF1274=0)),SUM($EA1274:$EE1274,$EK1274)&gt;=4),"Ecosystem approach","")</f>
        <v>Ecosystem approach</v>
      </c>
      <c r="ER1274" s="2" t="str">
        <f>IF(AND(AND(AND($EC1274=0,$EB1274=0),OR($EH1274=1,$EF1274=1)),SUM($EG1274:$EJ1274)&gt;=2),"Technology approach","")</f>
        <v/>
      </c>
      <c r="ES1274" t="str">
        <f>IF(AND($EC1274+$EB1274+$EE1274+$EA1274+$ED1274+$EG1274=0,$N1274="included"),"C neutral forest and HWP assumption","")</f>
        <v/>
      </c>
      <c r="ET1274" t="str">
        <f>IF(AND(AND(AND(AND($EC1274=1,$EB1274+$EA1274+$EG1274&gt;=1),$EF1274=1),$EH1274+$EI1274+$ED1274+$EE1274&gt;=2),$N1274="included"),"All C pools assumption","")</f>
        <v/>
      </c>
      <c r="EU1274" t="str">
        <f>IF(AND($ED1274+$EE1274+$EI1274+$EH1274+$EF1274=0,$N1274="included"),"In-situ only assumption","")</f>
        <v/>
      </c>
      <c r="EY1274" t="str">
        <f>IF(ISNUMBER(BW1274),IF(ABS(BW1274-[2]QC_indicators!$B$2)&gt;3*[2]QC_indicators!$C$2,"C ratio",IF(ISNUMBER(CA1274),IF(ABS(CA1274-[2]QC_indicators!$B$1)&gt;3*[2]QC_indicators!$C$1,"DF","no"))),IF(ISNUMBER(CA1274),IF(ABS(CA1274-[2]QC_indicators!$B$1)&gt;3*[2]QC_indicators!$C$1,"DF","no")))</f>
        <v>no</v>
      </c>
      <c r="FA1274" t="str">
        <f>IF(LEN($CY1274)=0,"",IF(AND($CY1274&lt;(-0.05),$ES1274="C neutral forest and HWP assumption"),"Cneutral paradox",IF(AND($CY1274&gt;0.05,$EU1274="In-situ only assumption"),"In-situ only paradox","")))</f>
        <v/>
      </c>
      <c r="FB1274" s="149" t="s">
        <v>349</v>
      </c>
      <c r="FD1274" s="260" t="s">
        <v>2853</v>
      </c>
    </row>
    <row r="1275" spans="1:161" hidden="1">
      <c r="A1275" s="1" t="s">
        <v>1016</v>
      </c>
      <c r="B1275" t="s">
        <v>1896</v>
      </c>
      <c r="C1275" t="s">
        <v>1897</v>
      </c>
      <c r="D1275" t="s">
        <v>1898</v>
      </c>
      <c r="E1275" t="s">
        <v>1899</v>
      </c>
      <c r="F1275" t="s">
        <v>1900</v>
      </c>
      <c r="G1275" t="s">
        <v>1017</v>
      </c>
      <c r="H1275" t="s">
        <v>254</v>
      </c>
      <c r="I1275">
        <v>2019</v>
      </c>
      <c r="J1275">
        <v>13</v>
      </c>
      <c r="K1275" t="s">
        <v>1901</v>
      </c>
      <c r="M1275" t="str">
        <f>LEFT($D1275,FIND(",",$D1275)-1)&amp;"_"&amp;I1275&amp;L1275</f>
        <v>Parobek_2019</v>
      </c>
      <c r="N1275" s="349" t="s">
        <v>4058</v>
      </c>
      <c r="O1275" s="157" t="s">
        <v>508</v>
      </c>
      <c r="P1275" s="317" t="s">
        <v>223</v>
      </c>
      <c r="Q1275" s="317" t="s">
        <v>389</v>
      </c>
      <c r="R1275" s="318" t="s">
        <v>1029</v>
      </c>
      <c r="S1275" s="1" t="s">
        <v>4997</v>
      </c>
      <c r="T1275" s="317" t="s">
        <v>1076</v>
      </c>
      <c r="U1275" s="317" t="s">
        <v>1075</v>
      </c>
      <c r="V1275" s="253">
        <v>0</v>
      </c>
      <c r="W1275" s="253">
        <v>0</v>
      </c>
      <c r="X1275">
        <v>0</v>
      </c>
      <c r="Y1275">
        <v>0</v>
      </c>
      <c r="Z1275">
        <v>0</v>
      </c>
      <c r="AA1275">
        <v>0</v>
      </c>
      <c r="AB1275">
        <v>0</v>
      </c>
      <c r="AC1275">
        <v>0</v>
      </c>
      <c r="AD1275">
        <v>0</v>
      </c>
      <c r="AE1275">
        <v>0</v>
      </c>
      <c r="AF1275">
        <v>0</v>
      </c>
      <c r="AG1275">
        <v>0</v>
      </c>
      <c r="AH1275">
        <v>1</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s="141">
        <f>COUNTIF(X1275:AY1275,"&lt;&gt;0")</f>
        <v>1</v>
      </c>
      <c r="BA1275" s="141">
        <f>COUNTIF(X1275:AN1275,"&lt;&gt;0")</f>
        <v>1</v>
      </c>
      <c r="BB1275">
        <f>COUNTIF(X1275:AE1275,"&lt;&gt;0")</f>
        <v>0</v>
      </c>
      <c r="BC1275">
        <f>COUNTIF(AF1275:AK1275,"&lt;&gt;0")</f>
        <v>1</v>
      </c>
      <c r="BD1275">
        <f>COUNTIF(AL1275:AN1275,"&lt;&gt;0")</f>
        <v>0</v>
      </c>
      <c r="BE1275">
        <f>COUNTIF(AU1275:AY1275,"&lt;&gt;0")</f>
        <v>0</v>
      </c>
      <c r="BF1275">
        <f>COUNTIF(AO1275:AT1275,"&lt;&gt;0")</f>
        <v>0</v>
      </c>
      <c r="BG1275" t="str" cm="1">
        <f t="array" ref="BG1275">IF(BA1275=1,INDEX($X$7:$AN$7,MATCH(TRUE,INDEX($X1275:$AY1275&lt;&gt;0,),0)),IF(BA1275=0,INDEX($AO$7:$AY$7,MATCH(1,$AO1275:$AY1275,0)),IF(BH1275="Multiple strategies","mixed drivers",IF(BH1275="Supply chain","multiple supply","multiple silviculture"))))</f>
        <v>supply chain organization</v>
      </c>
      <c r="BH1275" s="2" t="str" cm="1">
        <f t="array" ref="BH1275">IF(COUNTIF(BB1275:BD1275,"&lt;&gt;0")=1,INDEX($X$4:$AY$4,MATCH(TRUE,INDEX($X1275:$AY1275&lt;&gt;0,),0)),IF(COUNTIF(BB1275:BD1275,"&lt;&gt;0")=0,INDEX($AO$4:$AY$4,MATCH(1,$AO1275:$AY1275,0)),"Multiple strategies"))</f>
        <v>Supply chain</v>
      </c>
      <c r="BI1275" s="1" t="s">
        <v>321</v>
      </c>
      <c r="BJ1275" s="317" t="s">
        <v>1902</v>
      </c>
      <c r="BK1275" s="321" t="s">
        <v>4998</v>
      </c>
      <c r="BL1275" s="317" t="s">
        <v>1197</v>
      </c>
      <c r="BM1275">
        <v>8.7200000000000006</v>
      </c>
      <c r="BN1275">
        <v>8.7200000000000006</v>
      </c>
      <c r="BO1275" t="str">
        <f>IFERROR(BM1798/BN1798,"")</f>
        <v/>
      </c>
      <c r="BP1275">
        <f>BN1275-BM1275</f>
        <v>0</v>
      </c>
      <c r="BQ1275">
        <f>BP1275*10^6</f>
        <v>0</v>
      </c>
      <c r="BR1275" s="317" t="s">
        <v>232</v>
      </c>
      <c r="BS1275" s="317" t="s">
        <v>685</v>
      </c>
      <c r="BT1275" s="317" t="s">
        <v>1903</v>
      </c>
      <c r="BU1275">
        <v>1025.71</v>
      </c>
      <c r="BV1275">
        <v>1539.48</v>
      </c>
      <c r="BW1275" s="144">
        <f>BV1275/BU1275</f>
        <v>1.5008920650086282</v>
      </c>
      <c r="BX1275">
        <f>BU1275-BV1275</f>
        <v>-513.77</v>
      </c>
      <c r="BZ1275">
        <f>BX1275*1000</f>
        <v>-513770</v>
      </c>
      <c r="CA1275" t="str">
        <f>IFERROR(BZ1275/BQ1275,"")</f>
        <v/>
      </c>
      <c r="CB1275">
        <v>0</v>
      </c>
      <c r="CC1275">
        <v>0</v>
      </c>
      <c r="CD1275">
        <v>0</v>
      </c>
      <c r="CE1275">
        <v>0</v>
      </c>
      <c r="CF1275">
        <v>0</v>
      </c>
      <c r="CG1275">
        <v>0</v>
      </c>
      <c r="CH1275">
        <v>0</v>
      </c>
      <c r="CI1275">
        <v>0</v>
      </c>
      <c r="CJ1275">
        <v>0</v>
      </c>
      <c r="CK1275">
        <v>0</v>
      </c>
      <c r="CL1275">
        <v>0</v>
      </c>
      <c r="CM1275">
        <v>0</v>
      </c>
      <c r="CN1275">
        <v>0</v>
      </c>
      <c r="CO1275">
        <v>0</v>
      </c>
      <c r="CP1275" t="str">
        <f>IF($BN1798&lt;$BM1798,"refNeedCorrection","refOK")</f>
        <v>refOK</v>
      </c>
      <c r="CQ1275">
        <f>IF($CP1275="refOK",$BN1798,$BM1798)</f>
        <v>0</v>
      </c>
      <c r="CR1275">
        <f>IF($CP1275="refOK",$BM1798,$BN1798)</f>
        <v>0</v>
      </c>
      <c r="CS1275">
        <f>IF($CP1275="refOK",$BQ1275,-$BQ1275)</f>
        <v>0</v>
      </c>
      <c r="CT1275">
        <f>IF(BI1275="Roundwood",$CS1275/2,$CS1275)</f>
        <v>0</v>
      </c>
      <c r="CU1275">
        <f>IF($CP1275="refOK",$BV1275,$BU1275)*IF($BR1275="Emissions positive",-1,1)</f>
        <v>1539.48</v>
      </c>
      <c r="CV1275">
        <f>IF($CP1275="refOK",$BU1275,$BV1275)*IF($BR1275="Emissions positive",-1,1)</f>
        <v>1025.71</v>
      </c>
      <c r="CW1275">
        <f>IF($CP1275="refNeedCorrection",-BZ1275,BZ1275)*IF($BR1275="Emissions positive",-1,1)</f>
        <v>-513770</v>
      </c>
      <c r="CX1275" t="str">
        <f>IFERROR($CW1275/$CS1275,"")</f>
        <v/>
      </c>
      <c r="CY1275" t="str">
        <f>IFERROR($CW1275/$CS1275,"")</f>
        <v/>
      </c>
      <c r="CZ1275" t="str">
        <f>IFERROR($CW1275/$CT1275,"")</f>
        <v/>
      </c>
      <c r="DA1275" s="2">
        <f>IFERROR((CV1275-CU1275)/ABS(CU1275),"")</f>
        <v>-0.3337295710239821</v>
      </c>
      <c r="DB1275" s="320" t="s">
        <v>1078</v>
      </c>
      <c r="DC1275" s="317" t="str">
        <f>IF(OR($DB1275="prd",$DB1275="std",$DB1275="cit"),"loc",IF(OR($DB1275="eur",$DB1275="reg",$DB1275="coy"),"reg",$DB1275))</f>
        <v>reg</v>
      </c>
      <c r="DD1275" s="317" t="s">
        <v>1895</v>
      </c>
      <c r="DG1275">
        <v>1</v>
      </c>
      <c r="DH1275" t="str">
        <f>IF(DG1275=0,"0",IF(AND(DG1275&gt;=1,DG1275&lt;=30),"1-30",IF(AND(DG1275&gt;30,DG1275&lt;=70),"31-70",IF(AND(DG1275&gt;70,DG1275&lt;=100),"71-100",IF(DG1275&gt;100,"+100")))))</f>
        <v>1-30</v>
      </c>
      <c r="DI1275">
        <v>0</v>
      </c>
      <c r="DJ1275">
        <v>0</v>
      </c>
      <c r="DK1275">
        <v>1</v>
      </c>
      <c r="DL1275">
        <v>1</v>
      </c>
      <c r="DM1275">
        <v>0</v>
      </c>
      <c r="DN1275">
        <f>SUM(DI1275:DM1275)</f>
        <v>2</v>
      </c>
      <c r="DO1275" t="str">
        <f>IF(DN1275=1,INDEX($DI$7:$DL$7,MATCH(1,$DI1275:$DL1275,0)),"mixedProduct")</f>
        <v>mixedProduct</v>
      </c>
      <c r="DP1275">
        <f>IF(DI1275=1,DP$7,0)</f>
        <v>0</v>
      </c>
      <c r="DQ1275">
        <f>IF(DJ1275=1,DQ$7,0)</f>
        <v>0</v>
      </c>
      <c r="DR1275" t="str">
        <f>IF(DK1275=1,DR$7,0)</f>
        <v>Pulp/Paper</v>
      </c>
      <c r="DS1275" t="str">
        <f>IF(DL1275=1,DS$7,0)</f>
        <v>Timber</v>
      </c>
      <c r="DT1275">
        <v>0</v>
      </c>
      <c r="DU1275">
        <v>0</v>
      </c>
      <c r="DV1275">
        <v>0</v>
      </c>
      <c r="DW1275">
        <v>0</v>
      </c>
      <c r="DX1275">
        <v>0</v>
      </c>
      <c r="DY1275"/>
      <c r="DZ1275" s="143" t="str">
        <f>IF(DT1275=1,"self-calculated DF",IF(DU1275=1,"external DF used","explicit C balance"))</f>
        <v>explicit C balance</v>
      </c>
      <c r="EA1275">
        <v>0</v>
      </c>
      <c r="EB1275">
        <v>0</v>
      </c>
      <c r="EC1275">
        <v>0</v>
      </c>
      <c r="ED1275">
        <v>1</v>
      </c>
      <c r="EE1275">
        <v>0</v>
      </c>
      <c r="EF1275">
        <v>0</v>
      </c>
      <c r="EG1275">
        <v>0</v>
      </c>
      <c r="EH1275">
        <v>0</v>
      </c>
      <c r="EI1275">
        <v>0</v>
      </c>
      <c r="EJ1275">
        <v>0</v>
      </c>
      <c r="EK1275">
        <v>0</v>
      </c>
      <c r="EL1275">
        <v>0</v>
      </c>
      <c r="EM1275">
        <v>0</v>
      </c>
      <c r="EN1275" s="2">
        <v>0</v>
      </c>
      <c r="EP1275" t="str">
        <f>IF(AND(AND(AND(OR($EC1275=1,$EB1275=1),OR($EH1275=1,$EF1275=1)),SUM($EA1275:$EE1275,$EK1275)&gt;=3),SUM($EF1275:$EJ1275)&gt;=2),"Whole sector approach","")</f>
        <v/>
      </c>
      <c r="EQ1275" t="str">
        <f>IF(AND(AND(OR($EC1275=1,$EB1275=1),AND($EH1275=0,$EF1275=0)),SUM($EA1275:$EE1275,$EK1275)&gt;=3),"Ecosystem approach","")</f>
        <v/>
      </c>
      <c r="ER1275" s="2" t="str">
        <f>IF(AND(AND(AND($EC1275=0,$EB1275=0),OR($EH1275=1,$EF1275=1)),SUM($EG1275:$EJ1275)&gt;=2),"Technology approach","")</f>
        <v/>
      </c>
      <c r="ES1275" t="str">
        <f>IF(AND($EC1275+$EB1275+$EE1275+$EA1275+$ED1275+$EG1275=0,$N1275="included"),"C neutral forest and HWP assumption","")</f>
        <v/>
      </c>
      <c r="ET1275" t="str">
        <f>IF(AND(AND(AND(AND($EC1275=1,$EB1275+$EA1275+$EG1275&gt;=1),$EF1275=1),$EH1275+$EI1275+$ED1275+$EE1275&gt;=2),$N1275="included"),"All C pools assumption","")</f>
        <v/>
      </c>
      <c r="EU1275" t="str">
        <f>IF(AND($ED1275+$EE1275+$EI1275+$EH1275+$EF1275=0,$N1275="included"),"In-situ only assumption","")</f>
        <v/>
      </c>
      <c r="EY1275" t="b">
        <f>IF(ISNUMBER(BW1275),IF(ABS(BW1275-[4]QC_indicators!$B$2)&gt;3*[4]QC_indicators!$C$2,"C ratio",IF(ISNUMBER(CA1275),IF(ABS(CA1275-[4]QC_indicators!$B$1)&gt;3*[4]QC_indicators!$C$1,"DF","no"))),IF(ISNUMBER(CA1275),IF(ABS(CA1275-[4]QC_indicators!$B$1)&gt;3*[4]QC_indicators!$C$1,"DF","no")))</f>
        <v>0</v>
      </c>
      <c r="FA1275" t="str">
        <f>IF(LEN($CY1275)=0,"",IF(AND($CY1275&lt;(-0.05),$ES1275="C neutral forest and HWP assumption"),"Cneutral paradox",IF(AND($CY1275&gt;0.05,$EU1275="In-situ only assumption"),"In-situ only paradox","")))</f>
        <v/>
      </c>
      <c r="FD1275" t="s">
        <v>4999</v>
      </c>
    </row>
    <row r="1276" spans="1:161" ht="15" hidden="1" customHeight="1">
      <c r="D1276" t="s">
        <v>1508</v>
      </c>
      <c r="E1276" t="s">
        <v>1509</v>
      </c>
      <c r="G1276" t="s">
        <v>1510</v>
      </c>
      <c r="I1276">
        <v>2007</v>
      </c>
      <c r="K1276" t="s">
        <v>1511</v>
      </c>
      <c r="M1276" t="str">
        <f>LEFT($D1276,FIND(",",$D1276)-1)&amp;"_"&amp;I1276&amp;L1276</f>
        <v>Gustavsson_2007</v>
      </c>
      <c r="N1276" t="s">
        <v>222</v>
      </c>
      <c r="O1276" t="s">
        <v>223</v>
      </c>
      <c r="Q1276" t="s">
        <v>256</v>
      </c>
      <c r="R1276" s="264" t="s">
        <v>274</v>
      </c>
      <c r="S1276" s="1" t="s">
        <v>1512</v>
      </c>
      <c r="T1276" t="s">
        <v>1524</v>
      </c>
      <c r="U1276" s="143" t="s">
        <v>1530</v>
      </c>
      <c r="V1276" s="253">
        <v>0</v>
      </c>
      <c r="W1276" s="253">
        <v>0</v>
      </c>
      <c r="X1276">
        <v>0</v>
      </c>
      <c r="Y1276">
        <v>0</v>
      </c>
      <c r="Z1276">
        <v>0</v>
      </c>
      <c r="AA1276">
        <v>0</v>
      </c>
      <c r="AB1276">
        <v>0</v>
      </c>
      <c r="AC1276">
        <v>0</v>
      </c>
      <c r="AD1276">
        <v>0</v>
      </c>
      <c r="AE1276">
        <v>0</v>
      </c>
      <c r="AF1276">
        <v>0</v>
      </c>
      <c r="AG1276">
        <v>0</v>
      </c>
      <c r="AH1276">
        <v>0</v>
      </c>
      <c r="AI1276">
        <v>0</v>
      </c>
      <c r="AJ1276">
        <v>0</v>
      </c>
      <c r="AK1276">
        <v>0</v>
      </c>
      <c r="AL1276">
        <v>0</v>
      </c>
      <c r="AM1276">
        <v>1</v>
      </c>
      <c r="AN1276">
        <v>0</v>
      </c>
      <c r="AO1276">
        <v>0</v>
      </c>
      <c r="AP1276">
        <v>0</v>
      </c>
      <c r="AQ1276">
        <v>0</v>
      </c>
      <c r="AR1276">
        <v>0</v>
      </c>
      <c r="AS1276">
        <v>0</v>
      </c>
      <c r="AT1276">
        <v>0</v>
      </c>
      <c r="AU1276">
        <v>0</v>
      </c>
      <c r="AV1276">
        <v>0</v>
      </c>
      <c r="AW1276">
        <v>0</v>
      </c>
      <c r="AX1276">
        <v>0</v>
      </c>
      <c r="AY1276">
        <v>0</v>
      </c>
      <c r="AZ1276" s="141">
        <f>COUNTIF(X1276:AY1276,"&lt;&gt;0")</f>
        <v>1</v>
      </c>
      <c r="BA1276" s="141">
        <f>COUNTIF(X1276:AN1276,"&lt;&gt;0")</f>
        <v>1</v>
      </c>
      <c r="BB1276">
        <f>COUNTIF(X1276:AE1276,"&lt;&gt;0")</f>
        <v>0</v>
      </c>
      <c r="BC1276">
        <f>COUNTIF(AF1276:AK1276,"&lt;&gt;0")</f>
        <v>0</v>
      </c>
      <c r="BD1276">
        <f>COUNTIF(AL1276:AN1276,"&lt;&gt;0")</f>
        <v>1</v>
      </c>
      <c r="BE1276">
        <f>COUNTIF(AU1276:AY1276,"&lt;&gt;0")</f>
        <v>0</v>
      </c>
      <c r="BF1276">
        <f>COUNTIF(AO1276:AT1276,"&lt;&gt;0")</f>
        <v>0</v>
      </c>
      <c r="BG1276" t="str">
        <f t="array" ref="BG1276">IF(BA1276=1,INDEX($X$7:$AN$7,MATCH(TRUE,INDEX($X1276:$AY1276&lt;&gt;0,),0)),IF(BA1276=0,INDEX($AO$7:$AY$7,MATCH(1,$AO1276:$AY1276,0)),IF(BH1276="Multiple strategies","mixed drivers",IF(BH1276="Supply chain","multiple supply","multiple silviculture"))))</f>
        <v>technologies/design switch</v>
      </c>
      <c r="BH1276" s="2" t="str" cm="1">
        <f t="array" ref="BH1276">IF(COUNTIF(BB1276:BD1276,"&lt;&gt;0")=1,INDEX($X$4:$AY$4,MATCH(TRUE,INDEX($X1276:$AY1276&lt;&gt;0,),0)),IF(COUNTIF(BB1276:BD1276,"&lt;&gt;0")=0,INDEX($AO$4:$AY$4,MATCH(1,$AO1276:$AY1276,0)),"Multiple strategies"))</f>
        <v>Technology</v>
      </c>
      <c r="BI1276" s="142" t="s">
        <v>229</v>
      </c>
      <c r="BJ1276" t="s">
        <v>1514</v>
      </c>
      <c r="BK1276" s="260" t="s">
        <v>987</v>
      </c>
      <c r="BL1276" s="143" t="s">
        <v>2940</v>
      </c>
      <c r="BM1276">
        <v>0</v>
      </c>
      <c r="BN1276" s="143">
        <v>27.1</v>
      </c>
      <c r="BO1276" s="143"/>
      <c r="BP1276">
        <f>BN1276-BM1276</f>
        <v>27.1</v>
      </c>
      <c r="BQ1276" s="143">
        <f>1000*BN1276/15.3/400</f>
        <v>4.4281045751633989</v>
      </c>
      <c r="BR1276" t="s">
        <v>232</v>
      </c>
      <c r="BT1276" t="s">
        <v>907</v>
      </c>
      <c r="BU1276" s="143">
        <v>-1</v>
      </c>
      <c r="BV1276" s="151">
        <v>0</v>
      </c>
      <c r="BW1276">
        <v>0</v>
      </c>
      <c r="BX1276">
        <v>1</v>
      </c>
      <c r="BZ1276">
        <f>BX1276*C_to_CO2</f>
        <v>3.67</v>
      </c>
      <c r="CA1276">
        <f>IFERROR(BZ1276/BQ1276,"")</f>
        <v>0.82879704797047959</v>
      </c>
      <c r="CB1276" s="143">
        <v>0</v>
      </c>
      <c r="CC1276" s="143">
        <v>0</v>
      </c>
      <c r="CD1276" s="143">
        <v>0</v>
      </c>
      <c r="CE1276" s="143">
        <v>0</v>
      </c>
      <c r="CF1276" s="143">
        <v>0</v>
      </c>
      <c r="CG1276" s="143">
        <v>0</v>
      </c>
      <c r="CH1276" s="143">
        <v>0</v>
      </c>
      <c r="CI1276" s="143">
        <v>0</v>
      </c>
      <c r="CJ1276" s="143">
        <v>0</v>
      </c>
      <c r="CK1276" s="143">
        <v>0</v>
      </c>
      <c r="CL1276" s="143">
        <v>0</v>
      </c>
      <c r="CM1276" s="143">
        <v>0</v>
      </c>
      <c r="CN1276" s="143">
        <v>0</v>
      </c>
      <c r="CO1276">
        <v>1</v>
      </c>
      <c r="CP1276" t="str">
        <f>IF($BN1276&lt;$BM1276,"refNeedCorrection","refOK")</f>
        <v>refOK</v>
      </c>
      <c r="CQ1276">
        <f>IF($CP1276="refOK",$BM1276,$BN1276)</f>
        <v>0</v>
      </c>
      <c r="CR1276">
        <f>IF($CP1276="refOK",$BN1276,$BM1276)</f>
        <v>27.1</v>
      </c>
      <c r="CS1276">
        <f>IF($CP1276="refOK",$BQ1276,-$BQ1276)</f>
        <v>4.4281045751633989</v>
      </c>
      <c r="CT1276">
        <f>IF(BI1276="Roundwood",$CS1276/2,$CS1276)</f>
        <v>4.4281045751633989</v>
      </c>
      <c r="CU1276">
        <f>IF($CP1276="refOK",$BU1276,$BV1276)*IF($BR1276="Emissions positive",-1,1)</f>
        <v>-1</v>
      </c>
      <c r="CV1276">
        <f>IF($CP1276="refOK",$BV1276,$BU1276)*IF($BR1276="Emissions positive",-1,1)</f>
        <v>0</v>
      </c>
      <c r="CW1276">
        <f>IF($CP1276="refNeedCorrection",-BZ1276,BZ1276)*IF($BR1276="Emissions positive",-1,1)</f>
        <v>3.67</v>
      </c>
      <c r="CX1276">
        <f>IFERROR($CW1276/$CS1276,"")</f>
        <v>0.82879704797047959</v>
      </c>
      <c r="CY1276">
        <f>IFERROR($CW1276/$CS1276,"")</f>
        <v>0.82879704797047959</v>
      </c>
      <c r="CZ1276">
        <f>IFERROR($CW1276/$CT1276,"")</f>
        <v>0.82879704797047959</v>
      </c>
      <c r="DA1276" s="2">
        <f>IFERROR((CV1276-CU1276)/ABS(CU1276),"")</f>
        <v>1</v>
      </c>
      <c r="DB1276" s="1" t="s">
        <v>1078</v>
      </c>
      <c r="DC1276" t="str">
        <f>IF(OR($DB1276="prd",$DB1276="std",$DB1276="cit"),"loc",IF(OR($DB1276="eur",$DB1276="reg",$DB1276="coy"),"reg",$DB1276))</f>
        <v>reg</v>
      </c>
      <c r="DD1276" t="s">
        <v>444</v>
      </c>
      <c r="DF1276" s="143"/>
      <c r="DG1276" s="143">
        <v>0</v>
      </c>
      <c r="DH1276" t="str">
        <f>IF(DG1276=0,"0",IF(AND(DG1276&gt;=1,DG1276&lt;=30),"1-30",IF(AND(DG1276&gt;30,DG1276&lt;=70),"31-70",IF(AND(DG1276&gt;70,DG1276&lt;=100),"71-100",IF(DG1276&gt;100,"+100")))))</f>
        <v>0</v>
      </c>
      <c r="DI1276">
        <v>0</v>
      </c>
      <c r="DJ1276">
        <v>1</v>
      </c>
      <c r="DK1276">
        <v>0</v>
      </c>
      <c r="DL1276">
        <v>0</v>
      </c>
      <c r="DN1276">
        <f>SUM(DI1276:DL1276)</f>
        <v>1</v>
      </c>
      <c r="DO1276" t="str">
        <f>IF(DN1276=1,INDEX($DI$7:$DL$7,MATCH(1,$DI1276:$DL1276,0)),"mixedProduct")</f>
        <v>EnergyInput</v>
      </c>
      <c r="DP1276">
        <f>IF(DI1276=1,DP$7,0)</f>
        <v>0</v>
      </c>
      <c r="DQ1276" t="str">
        <f>IF(DJ1276=1,DQ$7,0)</f>
        <v>Energy</v>
      </c>
      <c r="DR1276">
        <f>IF(DK1276=1,DR$7,0)</f>
        <v>0</v>
      </c>
      <c r="DS1276">
        <f>IF(DL1276=1,DS$7,0)</f>
        <v>0</v>
      </c>
      <c r="DT1276">
        <v>0</v>
      </c>
      <c r="DU1276" s="143">
        <v>0</v>
      </c>
      <c r="DV1276" s="143">
        <v>0</v>
      </c>
      <c r="DW1276">
        <v>0</v>
      </c>
      <c r="DX1276" s="143">
        <v>0</v>
      </c>
      <c r="DY1276">
        <f>SUM(DT1276:DU1276)</f>
        <v>0</v>
      </c>
      <c r="DZ1276" s="143" t="str">
        <f>IF(DT1276=1,"self-calculated DF",IF(DU1276=1,"external DF used","explicit C balance"))</f>
        <v>explicit C balance</v>
      </c>
      <c r="EA1276" s="143">
        <v>0</v>
      </c>
      <c r="EB1276" s="143">
        <v>0</v>
      </c>
      <c r="EC1276" s="143">
        <v>0</v>
      </c>
      <c r="ED1276" s="143">
        <v>0</v>
      </c>
      <c r="EE1276">
        <v>0</v>
      </c>
      <c r="EF1276" s="143">
        <v>0</v>
      </c>
      <c r="EG1276" s="143">
        <v>0</v>
      </c>
      <c r="EH1276" s="143">
        <v>1</v>
      </c>
      <c r="EI1276" s="143">
        <v>0</v>
      </c>
      <c r="EJ1276">
        <v>0</v>
      </c>
      <c r="EK1276">
        <v>0</v>
      </c>
      <c r="EL1276" s="143">
        <v>0</v>
      </c>
      <c r="EM1276" s="143">
        <v>0</v>
      </c>
      <c r="EN1276" s="2">
        <v>0</v>
      </c>
      <c r="EP1276" t="str">
        <f>IF(AND(AND(AND(OR($EC1276=1,$EB1276=1),OR($EH1276=1,$EF1276=1)),SUM($EA1276:$EE1276,$EK1276)&gt;=3),SUM($EF1276:$EJ1276)&gt;=2),"Whole sector approach","")</f>
        <v/>
      </c>
      <c r="EQ1276" t="str">
        <f>IF(AND(AND(OR($EC1276=1,$EB1276=1),AND($EH1276=0,$EF1276=0)),SUM($EA1276:$EE1276,$EK1276)&gt;=4),"Ecosystem approach","")</f>
        <v/>
      </c>
      <c r="ER1276" s="2" t="str">
        <f>IF(AND(AND(AND($EC1276=0,$EB1276=0),OR($EH1276=1,$EF1276=1)),SUM($EG1276:$EJ1276)&gt;=2),"Technology approach","")</f>
        <v/>
      </c>
      <c r="ES1276" t="str">
        <f>IF(AND($EC1276+$EB1276+$EE1276+$EA1276+$ED1276+$EG1276=0,$N1276="included"),"C neutral forest and HWP assumption","")</f>
        <v>C neutral forest and HWP assumption</v>
      </c>
      <c r="ET1276" t="str">
        <f>IF(AND(AND(AND(AND($EC1276=1,$EB1276+$EA1276+$EG1276&gt;=1),$EF1276=1),$EH1276+$EI1276+$ED1276+$EE1276&gt;=2),$N1276="included"),"All C pools assumption","")</f>
        <v/>
      </c>
      <c r="EU1276" t="str">
        <f>IF(AND($ED1276+$EE1276+$EI1276+$EH1276+$EF1276=0,$N1276="included"),"In-situ only assumption","")</f>
        <v/>
      </c>
      <c r="EY1276" t="str">
        <f>IF(ISNUMBER(BW1276),IF(ABS(BW1276-[3]QC_indicators!$B$2)&gt;3*[3]QC_indicators!$C$2,"C ratio",IF(ISNUMBER(CA1276),IF(ABS(CA1276-[3]QC_indicators!$B$1)&gt;3*[3]QC_indicators!$C$1,"DF","no"))),IF(ISNUMBER(CA1276),IF(ABS(CA1276-[3]QC_indicators!$B$1)&gt;3*[3]QC_indicators!$C$1,"DF","no")))</f>
        <v>no</v>
      </c>
      <c r="FA1276" t="str">
        <f>IF(LEN($CY1276)=0,"",IF(AND($CY1276&lt;(-0.05),$ES1276="C neutral forest and HWP assumption"),"Cneutral paradox",IF(AND($CY1276&gt;0.05,$EU1276="In-situ only assumption"),"In-situ only paradox","")))</f>
        <v/>
      </c>
      <c r="FB1276" s="149" t="s">
        <v>349</v>
      </c>
      <c r="FD1276" s="260" t="s">
        <v>2941</v>
      </c>
    </row>
    <row r="1277" spans="1:161" ht="17" hidden="1">
      <c r="D1277" t="s">
        <v>1508</v>
      </c>
      <c r="E1277" t="s">
        <v>1509</v>
      </c>
      <c r="G1277" t="s">
        <v>1510</v>
      </c>
      <c r="I1277">
        <v>2007</v>
      </c>
      <c r="K1277" t="s">
        <v>1511</v>
      </c>
      <c r="M1277" t="str">
        <f>LEFT($D1277,FIND(",",$D1277)-1)&amp;"_"&amp;I1277&amp;L1277</f>
        <v>Gustavsson_2007</v>
      </c>
      <c r="N1277" t="s">
        <v>222</v>
      </c>
      <c r="O1277" t="s">
        <v>223</v>
      </c>
      <c r="Q1277" t="s">
        <v>256</v>
      </c>
      <c r="R1277" s="264" t="s">
        <v>274</v>
      </c>
      <c r="S1277" s="1" t="s">
        <v>1512</v>
      </c>
      <c r="T1277" t="s">
        <v>1526</v>
      </c>
      <c r="U1277" s="143" t="s">
        <v>1530</v>
      </c>
      <c r="V1277" s="253">
        <v>0</v>
      </c>
      <c r="W1277" s="253">
        <v>0</v>
      </c>
      <c r="X1277">
        <v>0</v>
      </c>
      <c r="Y1277">
        <v>0</v>
      </c>
      <c r="Z1277">
        <v>0</v>
      </c>
      <c r="AA1277">
        <v>0</v>
      </c>
      <c r="AB1277">
        <v>0</v>
      </c>
      <c r="AC1277">
        <v>0</v>
      </c>
      <c r="AD1277">
        <v>0</v>
      </c>
      <c r="AE1277">
        <v>0</v>
      </c>
      <c r="AF1277">
        <v>0</v>
      </c>
      <c r="AG1277">
        <v>0</v>
      </c>
      <c r="AH1277">
        <v>0</v>
      </c>
      <c r="AI1277">
        <v>0</v>
      </c>
      <c r="AJ1277">
        <v>0</v>
      </c>
      <c r="AK1277">
        <v>0</v>
      </c>
      <c r="AL1277">
        <v>0</v>
      </c>
      <c r="AM1277">
        <v>1</v>
      </c>
      <c r="AN1277">
        <v>0</v>
      </c>
      <c r="AO1277">
        <v>0</v>
      </c>
      <c r="AP1277">
        <v>0</v>
      </c>
      <c r="AQ1277">
        <v>0</v>
      </c>
      <c r="AR1277">
        <v>0</v>
      </c>
      <c r="AS1277">
        <v>0</v>
      </c>
      <c r="AT1277">
        <v>0</v>
      </c>
      <c r="AU1277">
        <v>0</v>
      </c>
      <c r="AV1277">
        <v>0</v>
      </c>
      <c r="AW1277">
        <v>0</v>
      </c>
      <c r="AX1277">
        <v>0</v>
      </c>
      <c r="AY1277">
        <v>0</v>
      </c>
      <c r="AZ1277" s="141">
        <f>COUNTIF(X1277:AY1277,"&lt;&gt;0")</f>
        <v>1</v>
      </c>
      <c r="BA1277" s="141">
        <f>COUNTIF(X1277:AN1277,"&lt;&gt;0")</f>
        <v>1</v>
      </c>
      <c r="BB1277">
        <f>COUNTIF(X1277:AE1277,"&lt;&gt;0")</f>
        <v>0</v>
      </c>
      <c r="BC1277">
        <f>COUNTIF(AF1277:AK1277,"&lt;&gt;0")</f>
        <v>0</v>
      </c>
      <c r="BD1277">
        <f>COUNTIF(AL1277:AN1277,"&lt;&gt;0")</f>
        <v>1</v>
      </c>
      <c r="BE1277">
        <f>COUNTIF(AU1277:AY1277,"&lt;&gt;0")</f>
        <v>0</v>
      </c>
      <c r="BF1277">
        <f>COUNTIF(AO1277:AT1277,"&lt;&gt;0")</f>
        <v>0</v>
      </c>
      <c r="BG1277" t="str">
        <f t="array" ref="BG1277">IF(BA1277=1,INDEX($X$7:$AN$7,MATCH(TRUE,INDEX($X1277:$AY1277&lt;&gt;0,),0)),IF(BA1277=0,INDEX($AO$7:$AY$7,MATCH(1,$AO1277:$AY1277,0)),IF(BH1277="Multiple strategies","mixed drivers",IF(BH1277="Supply chain","multiple supply","multiple silviculture"))))</f>
        <v>technologies/design switch</v>
      </c>
      <c r="BH1277" s="2" t="str" cm="1">
        <f t="array" ref="BH1277">IF(COUNTIF(BB1277:BD1277,"&lt;&gt;0")=1,INDEX($X$4:$AY$4,MATCH(TRUE,INDEX($X1277:$AY1277&lt;&gt;0,),0)),IF(COUNTIF(BB1277:BD1277,"&lt;&gt;0")=0,INDEX($AO$4:$AY$4,MATCH(1,$AO1277:$AY1277,0)),"Multiple strategies"))</f>
        <v>Technology</v>
      </c>
      <c r="BI1277" s="142" t="s">
        <v>229</v>
      </c>
      <c r="BJ1277" t="s">
        <v>1514</v>
      </c>
      <c r="BK1277" s="260" t="s">
        <v>987</v>
      </c>
      <c r="BL1277" s="143" t="s">
        <v>2940</v>
      </c>
      <c r="BM1277">
        <v>0</v>
      </c>
      <c r="BN1277" s="143">
        <v>25.3</v>
      </c>
      <c r="BO1277" s="143"/>
      <c r="BP1277">
        <f>BN1277-BM1277</f>
        <v>25.3</v>
      </c>
      <c r="BQ1277" s="143">
        <f>1000*BN1277/15.3/400</f>
        <v>4.1339869281045747</v>
      </c>
      <c r="BR1277" t="s">
        <v>232</v>
      </c>
      <c r="BT1277" t="s">
        <v>907</v>
      </c>
      <c r="BU1277" s="143">
        <v>-1</v>
      </c>
      <c r="BV1277" s="151">
        <v>0</v>
      </c>
      <c r="BW1277">
        <v>0</v>
      </c>
      <c r="BX1277">
        <v>1</v>
      </c>
      <c r="BZ1277">
        <f>BX1277*C_to_CO2</f>
        <v>3.67</v>
      </c>
      <c r="CA1277">
        <f>IFERROR(BZ1277/BQ1277,"")</f>
        <v>0.88776284584980247</v>
      </c>
      <c r="CB1277" s="143">
        <v>0</v>
      </c>
      <c r="CC1277" s="143">
        <v>0</v>
      </c>
      <c r="CD1277" s="143">
        <v>0</v>
      </c>
      <c r="CE1277" s="143">
        <v>0</v>
      </c>
      <c r="CF1277" s="143">
        <v>0</v>
      </c>
      <c r="CG1277" s="143">
        <v>0</v>
      </c>
      <c r="CH1277" s="143">
        <v>0</v>
      </c>
      <c r="CI1277" s="143">
        <v>0</v>
      </c>
      <c r="CJ1277" s="143">
        <v>0</v>
      </c>
      <c r="CK1277" s="143">
        <v>0</v>
      </c>
      <c r="CL1277" s="143">
        <v>0</v>
      </c>
      <c r="CM1277" s="143">
        <v>0</v>
      </c>
      <c r="CN1277" s="143">
        <v>0</v>
      </c>
      <c r="CO1277">
        <v>1</v>
      </c>
      <c r="CP1277" t="str">
        <f>IF($BN1277&lt;$BM1277,"refNeedCorrection","refOK")</f>
        <v>refOK</v>
      </c>
      <c r="CQ1277">
        <f>IF($CP1277="refOK",$BM1277,$BN1277)</f>
        <v>0</v>
      </c>
      <c r="CR1277">
        <f>IF($CP1277="refOK",$BN1277,$BM1277)</f>
        <v>25.3</v>
      </c>
      <c r="CS1277">
        <f>IF($CP1277="refOK",$BQ1277,-$BQ1277)</f>
        <v>4.1339869281045747</v>
      </c>
      <c r="CT1277">
        <f>IF(BI1277="Roundwood",$CS1277/2,$CS1277)</f>
        <v>4.1339869281045747</v>
      </c>
      <c r="CU1277">
        <f>IF($CP1277="refOK",$BU1277,$BV1277)*IF($BR1277="Emissions positive",-1,1)</f>
        <v>-1</v>
      </c>
      <c r="CV1277">
        <f>IF($CP1277="refOK",$BV1277,$BU1277)*IF($BR1277="Emissions positive",-1,1)</f>
        <v>0</v>
      </c>
      <c r="CW1277">
        <f>IF($CP1277="refNeedCorrection",-BZ1277,BZ1277)*IF($BR1277="Emissions positive",-1,1)</f>
        <v>3.67</v>
      </c>
      <c r="CX1277">
        <f>IFERROR($CW1277/$CS1277,"")</f>
        <v>0.88776284584980247</v>
      </c>
      <c r="CY1277">
        <f>IFERROR($CW1277/$CS1277,"")</f>
        <v>0.88776284584980247</v>
      </c>
      <c r="CZ1277">
        <f>IFERROR($CW1277/$CT1277,"")</f>
        <v>0.88776284584980247</v>
      </c>
      <c r="DA1277" s="2">
        <f>IFERROR((CV1277-CU1277)/ABS(CU1277),"")</f>
        <v>1</v>
      </c>
      <c r="DB1277" s="1" t="s">
        <v>1078</v>
      </c>
      <c r="DC1277" t="str">
        <f>IF(OR($DB1277="prd",$DB1277="std",$DB1277="cit"),"loc",IF(OR($DB1277="eur",$DB1277="reg",$DB1277="coy"),"reg",$DB1277))</f>
        <v>reg</v>
      </c>
      <c r="DD1277" t="s">
        <v>444</v>
      </c>
      <c r="DF1277" s="143"/>
      <c r="DG1277" s="143">
        <v>0</v>
      </c>
      <c r="DH1277" t="str">
        <f>IF(DG1277=0,"0",IF(AND(DG1277&gt;=1,DG1277&lt;=30),"1-30",IF(AND(DG1277&gt;30,DG1277&lt;=70),"31-70",IF(AND(DG1277&gt;70,DG1277&lt;=100),"71-100",IF(DG1277&gt;100,"+100")))))</f>
        <v>0</v>
      </c>
      <c r="DI1277">
        <v>0</v>
      </c>
      <c r="DJ1277">
        <v>1</v>
      </c>
      <c r="DK1277">
        <v>0</v>
      </c>
      <c r="DL1277">
        <v>0</v>
      </c>
      <c r="DN1277">
        <f>SUM(DI1277:DL1277)</f>
        <v>1</v>
      </c>
      <c r="DO1277" t="str">
        <f>IF(DN1277=1,INDEX($DI$7:$DL$7,MATCH(1,$DI1277:$DL1277,0)),"mixedProduct")</f>
        <v>EnergyInput</v>
      </c>
      <c r="DP1277">
        <f>IF(DI1277=1,DP$7,0)</f>
        <v>0</v>
      </c>
      <c r="DQ1277" t="str">
        <f>IF(DJ1277=1,DQ$7,0)</f>
        <v>Energy</v>
      </c>
      <c r="DR1277">
        <f>IF(DK1277=1,DR$7,0)</f>
        <v>0</v>
      </c>
      <c r="DS1277">
        <f>IF(DL1277=1,DS$7,0)</f>
        <v>0</v>
      </c>
      <c r="DT1277">
        <v>0</v>
      </c>
      <c r="DU1277" s="143">
        <v>0</v>
      </c>
      <c r="DV1277" s="143">
        <v>0</v>
      </c>
      <c r="DW1277">
        <v>0</v>
      </c>
      <c r="DX1277" s="143">
        <v>0</v>
      </c>
      <c r="DY1277">
        <f>SUM(DT1277:DU1277)</f>
        <v>0</v>
      </c>
      <c r="DZ1277" s="143" t="str">
        <f>IF(DT1277=1,"self-calculated DF",IF(DU1277=1,"external DF used","explicit C balance"))</f>
        <v>explicit C balance</v>
      </c>
      <c r="EA1277" s="143">
        <v>0</v>
      </c>
      <c r="EB1277" s="143">
        <v>0</v>
      </c>
      <c r="EC1277" s="143">
        <v>0</v>
      </c>
      <c r="ED1277" s="143">
        <v>0</v>
      </c>
      <c r="EE1277">
        <v>0</v>
      </c>
      <c r="EF1277" s="143">
        <v>0</v>
      </c>
      <c r="EG1277" s="143">
        <v>0</v>
      </c>
      <c r="EH1277" s="143">
        <v>1</v>
      </c>
      <c r="EI1277" s="143">
        <v>0</v>
      </c>
      <c r="EJ1277">
        <v>0</v>
      </c>
      <c r="EK1277">
        <v>0</v>
      </c>
      <c r="EL1277" s="143">
        <v>0</v>
      </c>
      <c r="EM1277" s="143">
        <v>0</v>
      </c>
      <c r="EN1277" s="2">
        <v>0</v>
      </c>
      <c r="EP1277" t="str">
        <f>IF(AND(AND(AND(OR($EC1277=1,$EB1277=1),OR($EH1277=1,$EF1277=1)),SUM($EA1277:$EE1277,$EK1277)&gt;=3),SUM($EF1277:$EJ1277)&gt;=2),"Whole sector approach","")</f>
        <v/>
      </c>
      <c r="EQ1277" t="str">
        <f>IF(AND(AND(OR($EC1277=1,$EB1277=1),AND($EH1277=0,$EF1277=0)),SUM($EA1277:$EE1277,$EK1277)&gt;=4),"Ecosystem approach","")</f>
        <v/>
      </c>
      <c r="ER1277" s="2" t="str">
        <f>IF(AND(AND(AND($EC1277=0,$EB1277=0),OR($EH1277=1,$EF1277=1)),SUM($EG1277:$EJ1277)&gt;=2),"Technology approach","")</f>
        <v/>
      </c>
      <c r="ES1277" t="str">
        <f>IF(AND($EC1277+$EB1277+$EE1277+$EA1277+$ED1277+$EG1277=0,$N1277="included"),"C neutral forest and HWP assumption","")</f>
        <v>C neutral forest and HWP assumption</v>
      </c>
      <c r="ET1277" t="str">
        <f>IF(AND(AND(AND(AND($EC1277=1,$EB1277+$EA1277+$EG1277&gt;=1),$EF1277=1),$EH1277+$EI1277+$ED1277+$EE1277&gt;=2),$N1277="included"),"All C pools assumption","")</f>
        <v/>
      </c>
      <c r="EU1277" t="str">
        <f>IF(AND($ED1277+$EE1277+$EI1277+$EH1277+$EF1277=0,$N1277="included"),"In-situ only assumption","")</f>
        <v/>
      </c>
      <c r="EY1277" t="str">
        <f>IF(ISNUMBER(BW1277),IF(ABS(BW1277-[3]QC_indicators!$B$2)&gt;3*[3]QC_indicators!$C$2,"C ratio",IF(ISNUMBER(CA1277),IF(ABS(CA1277-[3]QC_indicators!$B$1)&gt;3*[3]QC_indicators!$C$1,"DF","no"))),IF(ISNUMBER(CA1277),IF(ABS(CA1277-[3]QC_indicators!$B$1)&gt;3*[3]QC_indicators!$C$1,"DF","no")))</f>
        <v>no</v>
      </c>
      <c r="FA1277" t="str">
        <f>IF(LEN($CY1277)=0,"",IF(AND($CY1277&lt;(-0.05),$ES1277="C neutral forest and HWP assumption"),"Cneutral paradox",IF(AND($CY1277&gt;0.05,$EU1277="In-situ only assumption"),"In-situ only paradox","")))</f>
        <v/>
      </c>
      <c r="FB1277" s="149" t="s">
        <v>349</v>
      </c>
      <c r="FD1277" s="260" t="s">
        <v>2941</v>
      </c>
    </row>
    <row r="1278" spans="1:161" ht="18" hidden="1" customHeight="1">
      <c r="D1278" t="s">
        <v>1508</v>
      </c>
      <c r="E1278" t="s">
        <v>1509</v>
      </c>
      <c r="G1278" t="s">
        <v>1510</v>
      </c>
      <c r="I1278">
        <v>2007</v>
      </c>
      <c r="K1278" t="s">
        <v>1511</v>
      </c>
      <c r="M1278" t="str">
        <f>LEFT($D1278,FIND(",",$D1278)-1)&amp;"_"&amp;I1278&amp;L1278</f>
        <v>Gustavsson_2007</v>
      </c>
      <c r="N1278" t="s">
        <v>222</v>
      </c>
      <c r="O1278" t="s">
        <v>223</v>
      </c>
      <c r="Q1278" t="s">
        <v>256</v>
      </c>
      <c r="R1278" s="264" t="s">
        <v>274</v>
      </c>
      <c r="S1278" s="1" t="s">
        <v>1512</v>
      </c>
      <c r="T1278" t="s">
        <v>1531</v>
      </c>
      <c r="U1278" s="143" t="s">
        <v>1530</v>
      </c>
      <c r="V1278" s="253">
        <v>0</v>
      </c>
      <c r="W1278" s="253">
        <v>0</v>
      </c>
      <c r="X1278">
        <v>0</v>
      </c>
      <c r="Y1278">
        <v>0</v>
      </c>
      <c r="Z1278">
        <v>0</v>
      </c>
      <c r="AA1278">
        <v>0</v>
      </c>
      <c r="AB1278">
        <v>0</v>
      </c>
      <c r="AC1278">
        <v>0</v>
      </c>
      <c r="AD1278">
        <v>0</v>
      </c>
      <c r="AE1278">
        <v>0</v>
      </c>
      <c r="AF1278">
        <v>0</v>
      </c>
      <c r="AG1278">
        <v>0</v>
      </c>
      <c r="AH1278">
        <v>0</v>
      </c>
      <c r="AI1278">
        <v>0</v>
      </c>
      <c r="AJ1278">
        <v>0</v>
      </c>
      <c r="AK1278">
        <v>0</v>
      </c>
      <c r="AL1278">
        <v>0</v>
      </c>
      <c r="AM1278">
        <v>1</v>
      </c>
      <c r="AN1278">
        <v>0</v>
      </c>
      <c r="AO1278">
        <v>0</v>
      </c>
      <c r="AP1278">
        <v>0</v>
      </c>
      <c r="AQ1278">
        <v>0</v>
      </c>
      <c r="AR1278">
        <v>0</v>
      </c>
      <c r="AS1278">
        <v>0</v>
      </c>
      <c r="AT1278">
        <v>0</v>
      </c>
      <c r="AU1278">
        <v>0</v>
      </c>
      <c r="AV1278">
        <v>0</v>
      </c>
      <c r="AW1278">
        <v>0</v>
      </c>
      <c r="AX1278">
        <v>0</v>
      </c>
      <c r="AY1278">
        <v>0</v>
      </c>
      <c r="AZ1278" s="141">
        <f>COUNTIF(X1278:AY1278,"&lt;&gt;0")</f>
        <v>1</v>
      </c>
      <c r="BA1278" s="141">
        <f>COUNTIF(X1278:AN1278,"&lt;&gt;0")</f>
        <v>1</v>
      </c>
      <c r="BB1278">
        <f>COUNTIF(X1278:AE1278,"&lt;&gt;0")</f>
        <v>0</v>
      </c>
      <c r="BC1278">
        <f>COUNTIF(AF1278:AK1278,"&lt;&gt;0")</f>
        <v>0</v>
      </c>
      <c r="BD1278">
        <f>COUNTIF(AL1278:AN1278,"&lt;&gt;0")</f>
        <v>1</v>
      </c>
      <c r="BE1278">
        <f>COUNTIF(AU1278:AY1278,"&lt;&gt;0")</f>
        <v>0</v>
      </c>
      <c r="BF1278">
        <f>COUNTIF(AO1278:AT1278,"&lt;&gt;0")</f>
        <v>0</v>
      </c>
      <c r="BG1278" t="str">
        <f t="array" ref="BG1278">IF(BA1278=1,INDEX($X$7:$AN$7,MATCH(TRUE,INDEX($X1278:$AY1278&lt;&gt;0,),0)),IF(BA1278=0,INDEX($AO$7:$AY$7,MATCH(1,$AO1278:$AY1278,0)),IF(BH1278="Multiple strategies","mixed drivers",IF(BH1278="Supply chain","multiple supply","multiple silviculture"))))</f>
        <v>technologies/design switch</v>
      </c>
      <c r="BH1278" s="2" t="str" cm="1">
        <f t="array" ref="BH1278">IF(COUNTIF(BB1278:BD1278,"&lt;&gt;0")=1,INDEX($X$4:$AY$4,MATCH(TRUE,INDEX($X1278:$AY1278&lt;&gt;0,),0)),IF(COUNTIF(BB1278:BD1278,"&lt;&gt;0")=0,INDEX($AO$4:$AY$4,MATCH(1,$AO1278:$AY1278,0)),"Multiple strategies"))</f>
        <v>Technology</v>
      </c>
      <c r="BI1278" s="142" t="s">
        <v>229</v>
      </c>
      <c r="BJ1278" t="s">
        <v>1514</v>
      </c>
      <c r="BK1278" s="260" t="s">
        <v>987</v>
      </c>
      <c r="BL1278" s="143" t="s">
        <v>2940</v>
      </c>
      <c r="BM1278">
        <v>0</v>
      </c>
      <c r="BN1278" s="143">
        <v>25.2</v>
      </c>
      <c r="BO1278" s="143"/>
      <c r="BP1278">
        <f>BN1278-BM1278</f>
        <v>25.2</v>
      </c>
      <c r="BQ1278" s="143">
        <f>1000*BN1278/15.3/400</f>
        <v>4.117647058823529</v>
      </c>
      <c r="BR1278" t="s">
        <v>232</v>
      </c>
      <c r="BT1278" t="s">
        <v>907</v>
      </c>
      <c r="BU1278" s="143">
        <v>-1</v>
      </c>
      <c r="BV1278" s="151">
        <v>0</v>
      </c>
      <c r="BW1278">
        <v>0</v>
      </c>
      <c r="BX1278">
        <v>1</v>
      </c>
      <c r="BZ1278">
        <f>BX1278*C_to_CO2</f>
        <v>3.67</v>
      </c>
      <c r="CA1278">
        <f>IFERROR(BZ1278/BQ1278,"")</f>
        <v>0.89128571428571435</v>
      </c>
      <c r="CB1278" s="143">
        <v>0</v>
      </c>
      <c r="CC1278" s="143">
        <v>0</v>
      </c>
      <c r="CD1278" s="143">
        <v>0</v>
      </c>
      <c r="CE1278" s="143">
        <v>0</v>
      </c>
      <c r="CF1278" s="143">
        <v>0</v>
      </c>
      <c r="CG1278" s="143">
        <v>0</v>
      </c>
      <c r="CH1278" s="143">
        <v>0</v>
      </c>
      <c r="CI1278" s="143">
        <v>0</v>
      </c>
      <c r="CJ1278" s="143">
        <v>0</v>
      </c>
      <c r="CK1278" s="143">
        <v>0</v>
      </c>
      <c r="CL1278" s="143">
        <v>0</v>
      </c>
      <c r="CM1278" s="143">
        <v>0</v>
      </c>
      <c r="CN1278" s="143">
        <v>0</v>
      </c>
      <c r="CO1278">
        <v>1</v>
      </c>
      <c r="CP1278" t="str">
        <f>IF($BN1278&lt;$BM1278,"refNeedCorrection","refOK")</f>
        <v>refOK</v>
      </c>
      <c r="CQ1278">
        <f>IF($CP1278="refOK",$BM1278,$BN1278)</f>
        <v>0</v>
      </c>
      <c r="CR1278">
        <f>IF($CP1278="refOK",$BN1278,$BM1278)</f>
        <v>25.2</v>
      </c>
      <c r="CS1278">
        <f>IF($CP1278="refOK",$BQ1278,-$BQ1278)</f>
        <v>4.117647058823529</v>
      </c>
      <c r="CT1278">
        <f>IF(BI1278="Roundwood",$CS1278/2,$CS1278)</f>
        <v>4.117647058823529</v>
      </c>
      <c r="CU1278">
        <f>IF($CP1278="refOK",$BU1278,$BV1278)*IF($BR1278="Emissions positive",-1,1)</f>
        <v>-1</v>
      </c>
      <c r="CV1278">
        <f>IF($CP1278="refOK",$BV1278,$BU1278)*IF($BR1278="Emissions positive",-1,1)</f>
        <v>0</v>
      </c>
      <c r="CW1278">
        <f>IF($CP1278="refNeedCorrection",-BZ1278,BZ1278)*IF($BR1278="Emissions positive",-1,1)</f>
        <v>3.67</v>
      </c>
      <c r="CX1278">
        <f>IFERROR($CW1278/$CS1278,"")</f>
        <v>0.89128571428571435</v>
      </c>
      <c r="CY1278">
        <f>IFERROR($CW1278/$CS1278,"")</f>
        <v>0.89128571428571435</v>
      </c>
      <c r="CZ1278">
        <f>IFERROR($CW1278/$CT1278,"")</f>
        <v>0.89128571428571435</v>
      </c>
      <c r="DA1278" s="2">
        <f>IFERROR((CV1278-CU1278)/ABS(CU1278),"")</f>
        <v>1</v>
      </c>
      <c r="DB1278" s="1" t="s">
        <v>1078</v>
      </c>
      <c r="DC1278" t="str">
        <f>IF(OR($DB1278="prd",$DB1278="std",$DB1278="cit"),"loc",IF(OR($DB1278="eur",$DB1278="reg",$DB1278="coy"),"reg",$DB1278))</f>
        <v>reg</v>
      </c>
      <c r="DD1278" t="s">
        <v>444</v>
      </c>
      <c r="DF1278" s="143"/>
      <c r="DG1278" s="143">
        <v>0</v>
      </c>
      <c r="DH1278" t="str">
        <f>IF(DG1278=0,"0",IF(AND(DG1278&gt;=1,DG1278&lt;=30),"1-30",IF(AND(DG1278&gt;30,DG1278&lt;=70),"31-70",IF(AND(DG1278&gt;70,DG1278&lt;=100),"71-100",IF(DG1278&gt;100,"+100")))))</f>
        <v>0</v>
      </c>
      <c r="DI1278">
        <v>0</v>
      </c>
      <c r="DJ1278">
        <v>1</v>
      </c>
      <c r="DK1278">
        <v>0</v>
      </c>
      <c r="DL1278">
        <v>0</v>
      </c>
      <c r="DN1278">
        <f>SUM(DI1278:DL1278)</f>
        <v>1</v>
      </c>
      <c r="DO1278" t="str">
        <f>IF(DN1278=1,INDEX($DI$7:$DL$7,MATCH(1,$DI1278:$DL1278,0)),"mixedProduct")</f>
        <v>EnergyInput</v>
      </c>
      <c r="DP1278">
        <f>IF(DI1278=1,DP$7,0)</f>
        <v>0</v>
      </c>
      <c r="DQ1278" t="str">
        <f>IF(DJ1278=1,DQ$7,0)</f>
        <v>Energy</v>
      </c>
      <c r="DR1278">
        <f>IF(DK1278=1,DR$7,0)</f>
        <v>0</v>
      </c>
      <c r="DS1278">
        <f>IF(DL1278=1,DS$7,0)</f>
        <v>0</v>
      </c>
      <c r="DT1278">
        <v>0</v>
      </c>
      <c r="DU1278" s="143">
        <v>0</v>
      </c>
      <c r="DV1278" s="143">
        <v>0</v>
      </c>
      <c r="DW1278">
        <v>0</v>
      </c>
      <c r="DX1278" s="143">
        <v>0</v>
      </c>
      <c r="DY1278">
        <f>SUM(DT1278:DU1278)</f>
        <v>0</v>
      </c>
      <c r="DZ1278" s="143" t="str">
        <f>IF(DT1278=1,"self-calculated DF",IF(DU1278=1,"external DF used","explicit C balance"))</f>
        <v>explicit C balance</v>
      </c>
      <c r="EA1278" s="143">
        <v>0</v>
      </c>
      <c r="EB1278" s="143">
        <v>0</v>
      </c>
      <c r="EC1278" s="143">
        <v>0</v>
      </c>
      <c r="ED1278" s="143">
        <v>0</v>
      </c>
      <c r="EE1278">
        <v>0</v>
      </c>
      <c r="EF1278" s="143">
        <v>0</v>
      </c>
      <c r="EG1278" s="143">
        <v>0</v>
      </c>
      <c r="EH1278" s="143">
        <v>1</v>
      </c>
      <c r="EI1278" s="143">
        <v>0</v>
      </c>
      <c r="EJ1278">
        <v>0</v>
      </c>
      <c r="EK1278">
        <v>0</v>
      </c>
      <c r="EL1278" s="143">
        <v>0</v>
      </c>
      <c r="EM1278" s="143">
        <v>0</v>
      </c>
      <c r="EN1278" s="2">
        <v>0</v>
      </c>
      <c r="EP1278" t="str">
        <f>IF(AND(AND(AND(OR($EC1278=1,$EB1278=1),OR($EH1278=1,$EF1278=1)),SUM($EA1278:$EE1278,$EK1278)&gt;=3),SUM($EF1278:$EJ1278)&gt;=2),"Whole sector approach","")</f>
        <v/>
      </c>
      <c r="EQ1278" t="str">
        <f>IF(AND(AND(OR($EC1278=1,$EB1278=1),AND($EH1278=0,$EF1278=0)),SUM($EA1278:$EE1278,$EK1278)&gt;=4),"Ecosystem approach","")</f>
        <v/>
      </c>
      <c r="ER1278" s="2" t="str">
        <f>IF(AND(AND(AND($EC1278=0,$EB1278=0),OR($EH1278=1,$EF1278=1)),SUM($EG1278:$EJ1278)&gt;=2),"Technology approach","")</f>
        <v/>
      </c>
      <c r="ES1278" t="str">
        <f>IF(AND($EC1278+$EB1278+$EE1278+$EA1278+$ED1278+$EG1278=0,$N1278="included"),"C neutral forest and HWP assumption","")</f>
        <v>C neutral forest and HWP assumption</v>
      </c>
      <c r="ET1278" t="str">
        <f>IF(AND(AND(AND(AND($EC1278=1,$EB1278+$EA1278+$EG1278&gt;=1),$EF1278=1),$EH1278+$EI1278+$ED1278+$EE1278&gt;=2),$N1278="included"),"All C pools assumption","")</f>
        <v/>
      </c>
      <c r="EU1278" t="str">
        <f>IF(AND($ED1278+$EE1278+$EI1278+$EH1278+$EF1278=0,$N1278="included"),"In-situ only assumption","")</f>
        <v/>
      </c>
      <c r="EY1278" t="str">
        <f>IF(ISNUMBER(BW1278),IF(ABS(BW1278-[3]QC_indicators!$B$2)&gt;3*[3]QC_indicators!$C$2,"C ratio",IF(ISNUMBER(CA1278),IF(ABS(CA1278-[3]QC_indicators!$B$1)&gt;3*[3]QC_indicators!$C$1,"DF","no"))),IF(ISNUMBER(CA1278),IF(ABS(CA1278-[3]QC_indicators!$B$1)&gt;3*[3]QC_indicators!$C$1,"DF","no")))</f>
        <v>no</v>
      </c>
      <c r="FA1278" t="str">
        <f>IF(LEN($CY1278)=0,"",IF(AND($CY1278&lt;(-0.05),$ES1278="C neutral forest and HWP assumption"),"Cneutral paradox",IF(AND($CY1278&gt;0.05,$EU1278="In-situ only assumption"),"In-situ only paradox","")))</f>
        <v/>
      </c>
      <c r="FB1278" s="149" t="s">
        <v>349</v>
      </c>
      <c r="FD1278" s="260" t="s">
        <v>2941</v>
      </c>
    </row>
    <row r="1279" spans="1:161" hidden="1">
      <c r="D1279" t="s">
        <v>1508</v>
      </c>
      <c r="E1279" t="s">
        <v>1509</v>
      </c>
      <c r="G1279" t="s">
        <v>1510</v>
      </c>
      <c r="I1279">
        <v>2007</v>
      </c>
      <c r="K1279" t="s">
        <v>1511</v>
      </c>
      <c r="M1279" t="str">
        <f>LEFT($D1279,FIND(",",$D1279)-1)&amp;"_"&amp;I1279&amp;L1279</f>
        <v>Gustavsson_2007</v>
      </c>
      <c r="N1279" t="s">
        <v>222</v>
      </c>
      <c r="O1279" t="s">
        <v>223</v>
      </c>
      <c r="Q1279" t="s">
        <v>256</v>
      </c>
      <c r="R1279" s="264" t="s">
        <v>274</v>
      </c>
      <c r="S1279" s="1" t="s">
        <v>1512</v>
      </c>
      <c r="T1279" t="s">
        <v>1535</v>
      </c>
      <c r="U1279" s="143" t="s">
        <v>1530</v>
      </c>
      <c r="V1279" s="253">
        <v>0</v>
      </c>
      <c r="W1279" s="253">
        <v>0</v>
      </c>
      <c r="X1279">
        <v>0</v>
      </c>
      <c r="Y1279">
        <v>0</v>
      </c>
      <c r="Z1279">
        <v>0</v>
      </c>
      <c r="AA1279">
        <v>0</v>
      </c>
      <c r="AB1279">
        <v>0</v>
      </c>
      <c r="AC1279">
        <v>0</v>
      </c>
      <c r="AD1279">
        <v>0</v>
      </c>
      <c r="AE1279">
        <v>0</v>
      </c>
      <c r="AF1279">
        <v>0</v>
      </c>
      <c r="AG1279">
        <v>0</v>
      </c>
      <c r="AH1279">
        <v>0</v>
      </c>
      <c r="AI1279">
        <v>0</v>
      </c>
      <c r="AJ1279">
        <v>0</v>
      </c>
      <c r="AK1279">
        <v>0</v>
      </c>
      <c r="AL1279">
        <v>0</v>
      </c>
      <c r="AM1279">
        <v>1</v>
      </c>
      <c r="AN1279">
        <v>0</v>
      </c>
      <c r="AO1279">
        <v>0</v>
      </c>
      <c r="AP1279">
        <v>0</v>
      </c>
      <c r="AQ1279">
        <v>0</v>
      </c>
      <c r="AR1279">
        <v>0</v>
      </c>
      <c r="AS1279">
        <v>0</v>
      </c>
      <c r="AT1279">
        <v>0</v>
      </c>
      <c r="AU1279">
        <v>0</v>
      </c>
      <c r="AV1279">
        <v>0</v>
      </c>
      <c r="AW1279">
        <v>0</v>
      </c>
      <c r="AX1279">
        <v>0</v>
      </c>
      <c r="AY1279">
        <v>0</v>
      </c>
      <c r="AZ1279" s="141">
        <f>COUNTIF(X1279:AY1279,"&lt;&gt;0")</f>
        <v>1</v>
      </c>
      <c r="BA1279" s="141">
        <f>COUNTIF(X1279:AN1279,"&lt;&gt;0")</f>
        <v>1</v>
      </c>
      <c r="BB1279">
        <f>COUNTIF(X1279:AE1279,"&lt;&gt;0")</f>
        <v>0</v>
      </c>
      <c r="BC1279">
        <f>COUNTIF(AF1279:AK1279,"&lt;&gt;0")</f>
        <v>0</v>
      </c>
      <c r="BD1279">
        <f>COUNTIF(AL1279:AN1279,"&lt;&gt;0")</f>
        <v>1</v>
      </c>
      <c r="BE1279">
        <f>COUNTIF(AU1279:AY1279,"&lt;&gt;0")</f>
        <v>0</v>
      </c>
      <c r="BF1279">
        <f>COUNTIF(AO1279:AT1279,"&lt;&gt;0")</f>
        <v>0</v>
      </c>
      <c r="BG1279" t="str">
        <f t="array" ref="BG1279">IF(BA1279=1,INDEX($X$7:$AN$7,MATCH(TRUE,INDEX($X1279:$AY1279&lt;&gt;0,),0)),IF(BA1279=0,INDEX($AO$7:$AY$7,MATCH(1,$AO1279:$AY1279,0)),IF(BH1279="Multiple strategies","mixed drivers",IF(BH1279="Supply chain","multiple supply","multiple silviculture"))))</f>
        <v>technologies/design switch</v>
      </c>
      <c r="BH1279" s="2" t="str" cm="1">
        <f t="array" ref="BH1279">IF(COUNTIF(BB1279:BD1279,"&lt;&gt;0")=1,INDEX($X$4:$AY$4,MATCH(TRUE,INDEX($X1279:$AY1279&lt;&gt;0,),0)),IF(COUNTIF(BB1279:BD1279,"&lt;&gt;0")=0,INDEX($AO$4:$AY$4,MATCH(1,$AO1279:$AY1279,0)),"Multiple strategies"))</f>
        <v>Technology</v>
      </c>
      <c r="BI1279" s="142" t="s">
        <v>229</v>
      </c>
      <c r="BJ1279" t="s">
        <v>1514</v>
      </c>
      <c r="BK1279" s="260" t="s">
        <v>987</v>
      </c>
      <c r="BL1279" s="143" t="s">
        <v>2940</v>
      </c>
      <c r="BM1279">
        <v>0</v>
      </c>
      <c r="BN1279" s="143">
        <v>24.4</v>
      </c>
      <c r="BO1279" s="143"/>
      <c r="BP1279">
        <f>BN1279-BM1279</f>
        <v>24.4</v>
      </c>
      <c r="BQ1279" s="143">
        <f>1000*BN1279/15.3/400</f>
        <v>3.986928104575163</v>
      </c>
      <c r="BR1279" t="s">
        <v>232</v>
      </c>
      <c r="BT1279" t="s">
        <v>907</v>
      </c>
      <c r="BU1279" s="143">
        <v>-1</v>
      </c>
      <c r="BV1279" s="151">
        <v>0</v>
      </c>
      <c r="BW1279">
        <v>0</v>
      </c>
      <c r="BX1279">
        <v>1</v>
      </c>
      <c r="BZ1279">
        <f>BX1279*C_to_CO2</f>
        <v>3.67</v>
      </c>
      <c r="CA1279">
        <f>IFERROR(BZ1279/BQ1279,"")</f>
        <v>0.92050819672131157</v>
      </c>
      <c r="CB1279" s="143">
        <v>0</v>
      </c>
      <c r="CC1279" s="143">
        <v>0</v>
      </c>
      <c r="CD1279" s="143">
        <v>0</v>
      </c>
      <c r="CE1279" s="143">
        <v>0</v>
      </c>
      <c r="CF1279" s="143">
        <v>0</v>
      </c>
      <c r="CG1279" s="143">
        <v>0</v>
      </c>
      <c r="CH1279" s="143">
        <v>0</v>
      </c>
      <c r="CI1279" s="143">
        <v>0</v>
      </c>
      <c r="CJ1279" s="143">
        <v>0</v>
      </c>
      <c r="CK1279" s="143">
        <v>0</v>
      </c>
      <c r="CL1279" s="143">
        <v>0</v>
      </c>
      <c r="CM1279" s="143">
        <v>0</v>
      </c>
      <c r="CN1279" s="143">
        <v>0</v>
      </c>
      <c r="CO1279">
        <v>1</v>
      </c>
      <c r="CP1279" t="str">
        <f>IF($BN1279&lt;$BM1279,"refNeedCorrection","refOK")</f>
        <v>refOK</v>
      </c>
      <c r="CQ1279">
        <f>IF($CP1279="refOK",$BM1279,$BN1279)</f>
        <v>0</v>
      </c>
      <c r="CR1279">
        <f>IF($CP1279="refOK",$BN1279,$BM1279)</f>
        <v>24.4</v>
      </c>
      <c r="CS1279">
        <f>IF($CP1279="refOK",$BQ1279,-$BQ1279)</f>
        <v>3.986928104575163</v>
      </c>
      <c r="CT1279">
        <f>IF(BI1279="Roundwood",$CS1279/2,$CS1279)</f>
        <v>3.986928104575163</v>
      </c>
      <c r="CU1279">
        <f>IF($CP1279="refOK",$BU1279,$BV1279)*IF($BR1279="Emissions positive",-1,1)</f>
        <v>-1</v>
      </c>
      <c r="CV1279">
        <f>IF($CP1279="refOK",$BV1279,$BU1279)*IF($BR1279="Emissions positive",-1,1)</f>
        <v>0</v>
      </c>
      <c r="CW1279">
        <f>IF($CP1279="refNeedCorrection",-BZ1279,BZ1279)*IF($BR1279="Emissions positive",-1,1)</f>
        <v>3.67</v>
      </c>
      <c r="CX1279">
        <f>IFERROR($CW1279/$CS1279,"")</f>
        <v>0.92050819672131157</v>
      </c>
      <c r="CY1279">
        <f>IFERROR($CW1279/$CS1279,"")</f>
        <v>0.92050819672131157</v>
      </c>
      <c r="CZ1279">
        <f>IFERROR($CW1279/$CT1279,"")</f>
        <v>0.92050819672131157</v>
      </c>
      <c r="DA1279" s="2">
        <f>IFERROR((CV1279-CU1279)/ABS(CU1279),"")</f>
        <v>1</v>
      </c>
      <c r="DB1279" s="1" t="s">
        <v>1078</v>
      </c>
      <c r="DC1279" t="str">
        <f>IF(OR($DB1279="prd",$DB1279="std",$DB1279="cit"),"loc",IF(OR($DB1279="eur",$DB1279="reg",$DB1279="coy"),"reg",$DB1279))</f>
        <v>reg</v>
      </c>
      <c r="DD1279" t="s">
        <v>444</v>
      </c>
      <c r="DF1279" s="143"/>
      <c r="DG1279" s="143">
        <v>0</v>
      </c>
      <c r="DH1279" t="str">
        <f>IF(DG1279=0,"0",IF(AND(DG1279&gt;=1,DG1279&lt;=30),"1-30",IF(AND(DG1279&gt;30,DG1279&lt;=70),"31-70",IF(AND(DG1279&gt;70,DG1279&lt;=100),"71-100",IF(DG1279&gt;100,"+100")))))</f>
        <v>0</v>
      </c>
      <c r="DI1279">
        <v>0</v>
      </c>
      <c r="DJ1279">
        <v>1</v>
      </c>
      <c r="DK1279">
        <v>0</v>
      </c>
      <c r="DL1279">
        <v>0</v>
      </c>
      <c r="DN1279">
        <f>SUM(DI1279:DL1279)</f>
        <v>1</v>
      </c>
      <c r="DO1279" t="str">
        <f>IF(DN1279=1,INDEX($DI$7:$DL$7,MATCH(1,$DI1279:$DL1279,0)),"mixedProduct")</f>
        <v>EnergyInput</v>
      </c>
      <c r="DP1279">
        <f>IF(DI1279=1,DP$7,0)</f>
        <v>0</v>
      </c>
      <c r="DQ1279" t="str">
        <f>IF(DJ1279=1,DQ$7,0)</f>
        <v>Energy</v>
      </c>
      <c r="DR1279">
        <f>IF(DK1279=1,DR$7,0)</f>
        <v>0</v>
      </c>
      <c r="DS1279">
        <f>IF(DL1279=1,DS$7,0)</f>
        <v>0</v>
      </c>
      <c r="DT1279">
        <v>0</v>
      </c>
      <c r="DU1279" s="143">
        <v>0</v>
      </c>
      <c r="DV1279" s="143">
        <v>0</v>
      </c>
      <c r="DW1279">
        <v>0</v>
      </c>
      <c r="DX1279" s="143">
        <v>0</v>
      </c>
      <c r="DY1279">
        <f>SUM(DT1279:DU1279)</f>
        <v>0</v>
      </c>
      <c r="DZ1279" s="143" t="str">
        <f>IF(DT1279=1,"self-calculated DF",IF(DU1279=1,"external DF used","explicit C balance"))</f>
        <v>explicit C balance</v>
      </c>
      <c r="EA1279" s="143">
        <v>0</v>
      </c>
      <c r="EB1279" s="143">
        <v>0</v>
      </c>
      <c r="EC1279" s="143">
        <v>0</v>
      </c>
      <c r="ED1279" s="143">
        <v>0</v>
      </c>
      <c r="EE1279">
        <v>0</v>
      </c>
      <c r="EF1279" s="143">
        <v>0</v>
      </c>
      <c r="EG1279" s="143">
        <v>0</v>
      </c>
      <c r="EH1279" s="143">
        <v>1</v>
      </c>
      <c r="EI1279" s="143">
        <v>0</v>
      </c>
      <c r="EJ1279">
        <v>0</v>
      </c>
      <c r="EK1279">
        <v>0</v>
      </c>
      <c r="EL1279" s="143">
        <v>0</v>
      </c>
      <c r="EM1279" s="143">
        <v>0</v>
      </c>
      <c r="EN1279" s="2">
        <v>0</v>
      </c>
      <c r="EP1279" t="str">
        <f>IF(AND(AND(AND(OR($EC1279=1,$EB1279=1),OR($EH1279=1,$EF1279=1)),SUM($EA1279:$EE1279,$EK1279)&gt;=3),SUM($EF1279:$EJ1279)&gt;=2),"Whole sector approach","")</f>
        <v/>
      </c>
      <c r="EQ1279" t="str">
        <f>IF(AND(AND(OR($EC1279=1,$EB1279=1),AND($EH1279=0,$EF1279=0)),SUM($EA1279:$EE1279,$EK1279)&gt;=4),"Ecosystem approach","")</f>
        <v/>
      </c>
      <c r="ER1279" s="2" t="str">
        <f>IF(AND(AND(AND($EC1279=0,$EB1279=0),OR($EH1279=1,$EF1279=1)),SUM($EG1279:$EJ1279)&gt;=2),"Technology approach","")</f>
        <v/>
      </c>
      <c r="ES1279" t="str">
        <f>IF(AND($EC1279+$EB1279+$EE1279+$EA1279+$ED1279+$EG1279=0,$N1279="included"),"C neutral forest and HWP assumption","")</f>
        <v>C neutral forest and HWP assumption</v>
      </c>
      <c r="ET1279" t="str">
        <f>IF(AND(AND(AND(AND($EC1279=1,$EB1279+$EA1279+$EG1279&gt;=1),$EF1279=1),$EH1279+$EI1279+$ED1279+$EE1279&gt;=2),$N1279="included"),"All C pools assumption","")</f>
        <v/>
      </c>
      <c r="EU1279" t="str">
        <f>IF(AND($ED1279+$EE1279+$EI1279+$EH1279+$EF1279=0,$N1279="included"),"In-situ only assumption","")</f>
        <v/>
      </c>
      <c r="EY1279" t="str">
        <f>IF(ISNUMBER(BW1279),IF(ABS(BW1279-[3]QC_indicators!$B$2)&gt;3*[3]QC_indicators!$C$2,"C ratio",IF(ISNUMBER(CA1279),IF(ABS(CA1279-[3]QC_indicators!$B$1)&gt;3*[3]QC_indicators!$C$1,"DF","no"))),IF(ISNUMBER(CA1279),IF(ABS(CA1279-[3]QC_indicators!$B$1)&gt;3*[3]QC_indicators!$C$1,"DF","no")))</f>
        <v>no</v>
      </c>
      <c r="FA1279" t="str">
        <f>IF(LEN($CY1279)=0,"",IF(AND($CY1279&lt;(-0.05),$ES1279="C neutral forest and HWP assumption"),"Cneutral paradox",IF(AND($CY1279&gt;0.05,$EU1279="In-situ only assumption"),"In-situ only paradox","")))</f>
        <v/>
      </c>
      <c r="FB1279" s="149" t="s">
        <v>349</v>
      </c>
      <c r="FD1279" s="260" t="s">
        <v>2941</v>
      </c>
    </row>
    <row r="1280" spans="1:161">
      <c r="A1280" s="1" t="s">
        <v>1295</v>
      </c>
      <c r="B1280" t="s">
        <v>1296</v>
      </c>
      <c r="C1280" t="s">
        <v>1297</v>
      </c>
      <c r="D1280" t="s">
        <v>1298</v>
      </c>
      <c r="E1280" t="s">
        <v>1299</v>
      </c>
      <c r="F1280" t="s">
        <v>1300</v>
      </c>
      <c r="G1280" t="s">
        <v>1301</v>
      </c>
      <c r="H1280" t="s">
        <v>254</v>
      </c>
      <c r="I1280">
        <v>2020</v>
      </c>
      <c r="J1280">
        <v>1</v>
      </c>
      <c r="K1280" t="s">
        <v>1302</v>
      </c>
      <c r="M1280" t="str">
        <f>LEFT($D1280,FIND(",",$D1280)-1)&amp;"_"&amp;I1280&amp;L1280</f>
        <v>Dymond_2020</v>
      </c>
      <c r="N1280" t="s">
        <v>222</v>
      </c>
      <c r="O1280" s="145" t="s">
        <v>274</v>
      </c>
      <c r="Q1280" t="s">
        <v>256</v>
      </c>
      <c r="R1280" s="279" t="s">
        <v>225</v>
      </c>
      <c r="S1280" s="1" t="s">
        <v>1303</v>
      </c>
      <c r="T1280" t="s">
        <v>1304</v>
      </c>
      <c r="U1280" t="s">
        <v>1307</v>
      </c>
      <c r="V1280" s="253">
        <v>0</v>
      </c>
      <c r="W1280" s="253">
        <v>0</v>
      </c>
      <c r="X1280">
        <v>0</v>
      </c>
      <c r="Y1280">
        <v>0</v>
      </c>
      <c r="Z1280">
        <v>0</v>
      </c>
      <c r="AA1280">
        <v>0</v>
      </c>
      <c r="AB1280">
        <v>1</v>
      </c>
      <c r="AC1280">
        <v>0</v>
      </c>
      <c r="AD1280">
        <v>0</v>
      </c>
      <c r="AE1280">
        <v>0</v>
      </c>
      <c r="AF1280">
        <v>0</v>
      </c>
      <c r="AG1280">
        <v>0</v>
      </c>
      <c r="AH1280">
        <v>0</v>
      </c>
      <c r="AI1280">
        <v>0</v>
      </c>
      <c r="AJ1280">
        <v>0</v>
      </c>
      <c r="AK1280">
        <v>0</v>
      </c>
      <c r="AL1280">
        <v>0</v>
      </c>
      <c r="AM1280">
        <v>0</v>
      </c>
      <c r="AN1280">
        <v>0</v>
      </c>
      <c r="AO1280">
        <v>0</v>
      </c>
      <c r="AP1280">
        <v>2</v>
      </c>
      <c r="AQ1280">
        <v>2</v>
      </c>
      <c r="AR1280">
        <v>0</v>
      </c>
      <c r="AS1280">
        <v>0</v>
      </c>
      <c r="AT1280">
        <v>0</v>
      </c>
      <c r="AU1280">
        <v>0</v>
      </c>
      <c r="AV1280">
        <v>0</v>
      </c>
      <c r="AW1280">
        <v>0</v>
      </c>
      <c r="AX1280">
        <v>0</v>
      </c>
      <c r="AY1280">
        <v>0</v>
      </c>
      <c r="AZ1280" s="141">
        <f>COUNTIF(X1280:AY1280,"&lt;&gt;0")</f>
        <v>3</v>
      </c>
      <c r="BA1280" s="141">
        <f>COUNTIF(X1280:AN1280,"&lt;&gt;0")</f>
        <v>1</v>
      </c>
      <c r="BB1280">
        <f>COUNTIF(X1280:AE1280,"&lt;&gt;0")</f>
        <v>1</v>
      </c>
      <c r="BC1280">
        <f>COUNTIF(AF1280:AK1280,"&lt;&gt;0")</f>
        <v>0</v>
      </c>
      <c r="BD1280">
        <f>COUNTIF(AL1280:AN1280,"&lt;&gt;0")</f>
        <v>0</v>
      </c>
      <c r="BE1280">
        <f>COUNTIF(AU1280:AY1280,"&lt;&gt;0")</f>
        <v>0</v>
      </c>
      <c r="BF1280">
        <f>COUNTIF(AO1280:AT1280,"&lt;&gt;0")</f>
        <v>2</v>
      </c>
      <c r="BG1280" t="str">
        <f t="array" ref="BG1280">IF(BA1280=1,INDEX($X$7:$AN$7,MATCH(TRUE,INDEX($X1280:$AY1280&lt;&gt;0,),0)),IF(BA1280=0,INDEX($AO$7:$AY$7,MATCH(1,$AO1280:$AY1280,0)),IF(BH1280="Multiple strategies","mixed drivers",IF(BH1280="Supply chain","multiple supply","multiple silviculture"))))</f>
        <v>species</v>
      </c>
      <c r="BH1280" s="2" t="str" cm="1">
        <f t="array" ref="BH1280">IF(COUNTIF(BB1280:BD1280,"&lt;&gt;0")=1,INDEX($X$4:$AY$4,MATCH(TRUE,INDEX($X1280:$AY1280&lt;&gt;0,),0)),IF(COUNTIF(BB1280:BD1280,"&lt;&gt;0")=0,INDEX($AO$4:$AY$4,MATCH(1,$AO1280:$AY1280,0)),"Multiple strategies"))</f>
        <v>Silviculture for productivity</v>
      </c>
      <c r="BI1280" s="1" t="s">
        <v>321</v>
      </c>
      <c r="BJ1280" t="s">
        <v>1306</v>
      </c>
      <c r="BK1280" s="256" t="s">
        <v>2997</v>
      </c>
      <c r="BL1280" t="s">
        <v>498</v>
      </c>
      <c r="BM1280">
        <f>6657*1000</f>
        <v>6657000</v>
      </c>
      <c r="BN1280">
        <f>8696*1000</f>
        <v>8696000</v>
      </c>
      <c r="BO1280">
        <f>BN1280/BM1280</f>
        <v>1.3062941264834009</v>
      </c>
      <c r="BP1280">
        <f>BN1280-BM1280</f>
        <v>2039000</v>
      </c>
      <c r="BQ1280">
        <f>BP1280</f>
        <v>2039000</v>
      </c>
      <c r="BR1280" t="s">
        <v>232</v>
      </c>
      <c r="BS1280" s="256" t="s">
        <v>2998</v>
      </c>
      <c r="BT1280" t="s">
        <v>805</v>
      </c>
      <c r="BU1280">
        <f>17.4145393233552*1000000</f>
        <v>17414539.323355202</v>
      </c>
      <c r="BV1280">
        <f>20.7797101449275*1000000</f>
        <v>20779710.144927498</v>
      </c>
      <c r="BW1280" s="144">
        <f>IFERROR(BV1280/BU1280,"")</f>
        <v>1.193239152588961</v>
      </c>
      <c r="BX1280" s="152">
        <f>BV1280-BU1280</f>
        <v>3365170.8215722963</v>
      </c>
      <c r="BY1280" s="152"/>
      <c r="BZ1280" s="152">
        <f>BX1280</f>
        <v>3365170.8215722963</v>
      </c>
      <c r="CA1280">
        <f>IFERROR(BZ1280/BQ1280,"")</f>
        <v>1.6504025608495814</v>
      </c>
      <c r="CB1280">
        <v>0</v>
      </c>
      <c r="CC1280">
        <v>0</v>
      </c>
      <c r="CD1280">
        <v>0</v>
      </c>
      <c r="CE1280">
        <v>0</v>
      </c>
      <c r="CF1280">
        <v>0</v>
      </c>
      <c r="CG1280">
        <v>0</v>
      </c>
      <c r="CH1280">
        <v>0</v>
      </c>
      <c r="CI1280">
        <v>0</v>
      </c>
      <c r="CJ1280">
        <v>0</v>
      </c>
      <c r="CK1280">
        <v>0</v>
      </c>
      <c r="CL1280">
        <v>0</v>
      </c>
      <c r="CM1280">
        <v>0</v>
      </c>
      <c r="CN1280">
        <v>0</v>
      </c>
      <c r="CO1280">
        <v>1</v>
      </c>
      <c r="CP1280" t="str">
        <f>IF($BN1280&lt;$BM1280,"refNeedCorrection","refOK")</f>
        <v>refOK</v>
      </c>
      <c r="CQ1280">
        <f>IF($CP1280="refNeedCorrection",BN1280,BM1280)</f>
        <v>6657000</v>
      </c>
      <c r="CR1280">
        <f>IF($CP1280="refNeedCorrection",BM1280,BN1280)</f>
        <v>8696000</v>
      </c>
      <c r="CS1280">
        <f>IF($CP1280="refOK",$BQ1280,-$BQ1280)</f>
        <v>2039000</v>
      </c>
      <c r="CT1280">
        <f>IF(BI1280="Roundwood",$CS1280/2,$CS1280)</f>
        <v>1019500</v>
      </c>
      <c r="CU1280">
        <f>IF($CP1280="refOK",$BU1280,$BV1280)*IF($BR1280="Emissions positive",-1,1)</f>
        <v>17414539.323355202</v>
      </c>
      <c r="CV1280">
        <f>IF($CP1280="refOK",$BV1280,$BU1280)*IF($BR1280="Emissions positive",-1,1)</f>
        <v>20779710.144927498</v>
      </c>
      <c r="CW1280">
        <f>IF($CP1280="refNeedCorrection",-BZ1280,BZ1280)*IF($BR1280="Emissions positive",-1,1)</f>
        <v>3365170.8215722963</v>
      </c>
      <c r="CX1280">
        <f>IFERROR($CW1280/$CS1280,"")</f>
        <v>1.6504025608495814</v>
      </c>
      <c r="CY1280">
        <f>IFERROR($CW1280/$CS1280,"")</f>
        <v>1.6504025608495814</v>
      </c>
      <c r="CZ1280">
        <f>IFERROR($CW1280/$CT1280,"")</f>
        <v>3.3008051216991627</v>
      </c>
      <c r="DA1280" s="2">
        <f>IFERROR((CV1280-CU1280)/ABS(CU1280),"")</f>
        <v>0.19323915258896093</v>
      </c>
      <c r="DB1280" s="1" t="s">
        <v>1074</v>
      </c>
      <c r="DC1280" t="str">
        <f>IF(OR($DB1280="prd",$DB1280="std",$DB1280="cit"),"loc",IF(OR($DB1280="eur",$DB1280="reg",$DB1280="coy"),"reg",$DB1280))</f>
        <v>reg</v>
      </c>
      <c r="DD1280" t="s">
        <v>527</v>
      </c>
      <c r="DG1280">
        <v>100</v>
      </c>
      <c r="DH1280" t="str">
        <f>IF(DG1280=0,"0",IF(AND(DG1280&gt;=1,DG1280&lt;=30),"1-30",IF(AND(DG1280&gt;30,DG1280&lt;=70),"31-70",IF(AND(DG1280&gt;70,DG1280&lt;=100),"71-100",IF(DG1280&gt;100,"+100")))))</f>
        <v>71-100</v>
      </c>
      <c r="DI1280">
        <v>1</v>
      </c>
      <c r="DJ1280">
        <v>0</v>
      </c>
      <c r="DK1280">
        <v>0</v>
      </c>
      <c r="DL1280">
        <v>0</v>
      </c>
      <c r="DN1280">
        <f>SUM(DI1280:DL1280)</f>
        <v>1</v>
      </c>
      <c r="DO1280" t="str">
        <f>IF(DN1280=1,INDEX($DI$7:$DL$7,MATCH(1,$DI1280:$DL1280,0)),"mixedProduct")</f>
        <v>UpstreamInput</v>
      </c>
      <c r="DP1280" t="str">
        <f>IF(DI1280=1,DP$7,0)</f>
        <v>Upstream</v>
      </c>
      <c r="DQ1280">
        <f>IF(DJ1280=1,DQ$7,0)</f>
        <v>0</v>
      </c>
      <c r="DR1280">
        <f>IF(DK1280=1,DR$7,0)</f>
        <v>0</v>
      </c>
      <c r="DS1280">
        <f>IF(DL1280=1,DS$7,0)</f>
        <v>0</v>
      </c>
      <c r="DT1280">
        <v>0</v>
      </c>
      <c r="DU1280">
        <v>0</v>
      </c>
      <c r="DV1280">
        <v>0</v>
      </c>
      <c r="DW1280">
        <v>0</v>
      </c>
      <c r="DX1280">
        <v>0</v>
      </c>
      <c r="DY1280">
        <f>SUM(DT1280:DU1280)</f>
        <v>0</v>
      </c>
      <c r="DZ1280" s="143" t="str">
        <f>IF(DT1280=1,"self-calculated DF",IF(DU1280=1,"external DF used","explicit C balance"))</f>
        <v>explicit C balance</v>
      </c>
      <c r="EA1280">
        <v>1</v>
      </c>
      <c r="EB1280">
        <v>0</v>
      </c>
      <c r="EC1280">
        <v>1</v>
      </c>
      <c r="ED1280">
        <v>0</v>
      </c>
      <c r="EE1280">
        <v>0</v>
      </c>
      <c r="EF1280" s="143">
        <v>0</v>
      </c>
      <c r="EG1280">
        <v>0</v>
      </c>
      <c r="EH1280">
        <v>0</v>
      </c>
      <c r="EI1280">
        <v>0</v>
      </c>
      <c r="EJ1280">
        <v>0</v>
      </c>
      <c r="EK1280">
        <v>1</v>
      </c>
      <c r="EL1280">
        <v>0</v>
      </c>
      <c r="EM1280">
        <v>0</v>
      </c>
      <c r="EN1280" s="2">
        <v>0</v>
      </c>
      <c r="EP1280" t="str">
        <f>IF(AND(AND(AND(OR($EC1280=1,$EB1280=1),OR($EH1280=1,$EF1280=1)),SUM($EA1280:$EE1280,$EK1280)&gt;=3),SUM($EF1280:$EJ1280)&gt;=2),"Whole sector approach","")</f>
        <v/>
      </c>
      <c r="EQ1280" t="str">
        <f>IF(AND(AND(OR($EC1280=1,$EB1280=1),AND($EH1280=0,$EF1280=0)),SUM($EA1280:$EE1280,$EK1280)&gt;=4),"Ecosystem approach","")</f>
        <v/>
      </c>
      <c r="ER1280" s="2" t="str">
        <f>IF(AND(AND(AND($EC1280=0,$EB1280=0),OR($EH1280=1,$EF1280=1)),SUM($EG1280:$EJ1280)&gt;=2),"Technology approach","")</f>
        <v/>
      </c>
      <c r="ES1280" t="str">
        <f>IF(AND($EC1280+$EB1280+$EE1280+$EA1280+$ED1280+$EG1280=0,$N1280="included"),"C neutral forest and HWP assumption","")</f>
        <v/>
      </c>
      <c r="ET1280" t="str">
        <f>IF(AND(AND(AND(AND($EC1280=1,$EB1280+$EA1280+$EG1280&gt;=1),$EF1280=1),$EH1280+$EI1280+$ED1280+$EE1280&gt;=2),$N1280="included"),"All C pools assumption","")</f>
        <v/>
      </c>
      <c r="EU1280" t="str">
        <f>IF(AND($ED1280+$EE1280+$EI1280+$EH1280+$EF1280=0,$N1280="included"),"In-situ only assumption","")</f>
        <v>In-situ only assumption</v>
      </c>
      <c r="EY1280" t="str">
        <f>IF(ISNUMBER(BW1280),IF(ABS(BW1280-[6]QC_indicators!$B$2)&gt;3*[6]QC_indicators!$C$2,"C ratio",IF(ISNUMBER(CA1280),IF(ABS(CA1280-[6]QC_indicators!$B$1)&gt;3*[6]QC_indicators!$C$1,"DF","no"))),IF(ISNUMBER(CA1280),IF(ABS(CA1280-[6]QC_indicators!$B$1)&gt;3*[6]QC_indicators!$C$1,"DF","no")))</f>
        <v>no</v>
      </c>
      <c r="FA1280" t="str">
        <f>IF(LEN($CY1280)=0,"",IF(AND($CY1280&lt;(-0.05),$ES1280="C neutral forest and HWP assumption"),"Cneutral paradox",IF(AND($CY1280&gt;0.05,$EU1280="In-situ only assumption"),"In-situ only paradox","")))</f>
        <v>In-situ only paradox</v>
      </c>
      <c r="FD1280" s="260" t="s">
        <v>2948</v>
      </c>
      <c r="FE1280" s="334" t="s">
        <v>5075</v>
      </c>
    </row>
    <row r="1281" spans="1:161" ht="15" customHeight="1">
      <c r="A1281" s="1" t="s">
        <v>1295</v>
      </c>
      <c r="B1281" t="s">
        <v>1296</v>
      </c>
      <c r="C1281" t="s">
        <v>1297</v>
      </c>
      <c r="D1281" t="s">
        <v>1298</v>
      </c>
      <c r="E1281" t="s">
        <v>1299</v>
      </c>
      <c r="F1281" t="s">
        <v>1300</v>
      </c>
      <c r="G1281" t="s">
        <v>1301</v>
      </c>
      <c r="H1281" t="s">
        <v>254</v>
      </c>
      <c r="I1281">
        <v>2020</v>
      </c>
      <c r="J1281">
        <v>1</v>
      </c>
      <c r="K1281" t="s">
        <v>1302</v>
      </c>
      <c r="M1281" t="str">
        <f>LEFT($D1281,FIND(",",$D1281)-1)&amp;"_"&amp;I1281&amp;L1281</f>
        <v>Dymond_2020</v>
      </c>
      <c r="N1281" t="s">
        <v>222</v>
      </c>
      <c r="O1281" s="145" t="s">
        <v>274</v>
      </c>
      <c r="Q1281" t="s">
        <v>256</v>
      </c>
      <c r="R1281" s="279" t="s">
        <v>225</v>
      </c>
      <c r="S1281" s="1" t="s">
        <v>1303</v>
      </c>
      <c r="T1281" t="s">
        <v>1304</v>
      </c>
      <c r="U1281" t="s">
        <v>1305</v>
      </c>
      <c r="V1281" s="253">
        <v>0</v>
      </c>
      <c r="W1281" s="253">
        <v>0</v>
      </c>
      <c r="X1281">
        <v>0</v>
      </c>
      <c r="Y1281">
        <v>0</v>
      </c>
      <c r="Z1281">
        <v>0</v>
      </c>
      <c r="AA1281">
        <v>0</v>
      </c>
      <c r="AB1281">
        <v>1</v>
      </c>
      <c r="AC1281">
        <v>0</v>
      </c>
      <c r="AD1281">
        <v>0</v>
      </c>
      <c r="AE1281">
        <v>0</v>
      </c>
      <c r="AF1281">
        <v>0</v>
      </c>
      <c r="AG1281">
        <v>0</v>
      </c>
      <c r="AH1281">
        <v>0</v>
      </c>
      <c r="AI1281">
        <v>0</v>
      </c>
      <c r="AJ1281">
        <v>0</v>
      </c>
      <c r="AK1281">
        <v>0</v>
      </c>
      <c r="AL1281">
        <v>0</v>
      </c>
      <c r="AM1281">
        <v>0</v>
      </c>
      <c r="AN1281">
        <v>0</v>
      </c>
      <c r="AO1281">
        <v>0</v>
      </c>
      <c r="AP1281">
        <v>2</v>
      </c>
      <c r="AQ1281">
        <v>2</v>
      </c>
      <c r="AR1281">
        <v>0</v>
      </c>
      <c r="AS1281">
        <v>0</v>
      </c>
      <c r="AT1281">
        <v>0</v>
      </c>
      <c r="AU1281">
        <v>0</v>
      </c>
      <c r="AV1281">
        <v>0</v>
      </c>
      <c r="AW1281">
        <v>0</v>
      </c>
      <c r="AX1281">
        <v>0</v>
      </c>
      <c r="AY1281">
        <v>0</v>
      </c>
      <c r="AZ1281" s="141">
        <f>COUNTIF(X1281:AY1281,"&lt;&gt;0")</f>
        <v>3</v>
      </c>
      <c r="BA1281" s="141">
        <f>COUNTIF(X1281:AN1281,"&lt;&gt;0")</f>
        <v>1</v>
      </c>
      <c r="BB1281">
        <f>COUNTIF(X1281:AE1281,"&lt;&gt;0")</f>
        <v>1</v>
      </c>
      <c r="BC1281">
        <f>COUNTIF(AF1281:AK1281,"&lt;&gt;0")</f>
        <v>0</v>
      </c>
      <c r="BD1281">
        <f>COUNTIF(AL1281:AN1281,"&lt;&gt;0")</f>
        <v>0</v>
      </c>
      <c r="BE1281">
        <f>COUNTIF(AU1281:AY1281,"&lt;&gt;0")</f>
        <v>0</v>
      </c>
      <c r="BF1281">
        <f>COUNTIF(AO1281:AT1281,"&lt;&gt;0")</f>
        <v>2</v>
      </c>
      <c r="BG1281" t="str">
        <f t="array" ref="BG1281">IF(BA1281=1,INDEX($X$7:$AN$7,MATCH(TRUE,INDEX($X1281:$AY1281&lt;&gt;0,),0)),IF(BA1281=0,INDEX($AO$7:$AY$7,MATCH(1,$AO1281:$AY1281,0)),IF(BH1281="Multiple strategies","mixed drivers",IF(BH1281="Supply chain","multiple supply","multiple silviculture"))))</f>
        <v>species</v>
      </c>
      <c r="BH1281" s="2" t="str" cm="1">
        <f t="array" ref="BH1281">IF(COUNTIF(BB1281:BD1281,"&lt;&gt;0")=1,INDEX($X$4:$AY$4,MATCH(TRUE,INDEX($X1281:$AY1281&lt;&gt;0,),0)),IF(COUNTIF(BB1281:BD1281,"&lt;&gt;0")=0,INDEX($AO$4:$AY$4,MATCH(1,$AO1281:$AY1281,0)),"Multiple strategies"))</f>
        <v>Silviculture for productivity</v>
      </c>
      <c r="BI1281" s="1" t="s">
        <v>321</v>
      </c>
      <c r="BJ1281" t="s">
        <v>1306</v>
      </c>
      <c r="BK1281" s="256" t="s">
        <v>2997</v>
      </c>
      <c r="BL1281" t="s">
        <v>498</v>
      </c>
      <c r="BM1281">
        <f>6657*1000</f>
        <v>6657000</v>
      </c>
      <c r="BN1281">
        <f>7628*1000</f>
        <v>7628000</v>
      </c>
      <c r="BO1281">
        <f>BN1281/BM1281</f>
        <v>1.1458614991738021</v>
      </c>
      <c r="BP1281">
        <f>BN1281-BM1281</f>
        <v>971000</v>
      </c>
      <c r="BQ1281">
        <f>BP1281</f>
        <v>971000</v>
      </c>
      <c r="BR1281" t="s">
        <v>232</v>
      </c>
      <c r="BS1281" s="256" t="s">
        <v>2998</v>
      </c>
      <c r="BT1281" t="s">
        <v>805</v>
      </c>
      <c r="BU1281">
        <f>17.4145393233552*1000000</f>
        <v>17414539.323355202</v>
      </c>
      <c r="BV1281">
        <f>18.8541692956031*1000000</f>
        <v>18854169.2956031</v>
      </c>
      <c r="BW1281" s="144">
        <f>IFERROR(BV1281/BU1281,"")</f>
        <v>1.0826682776682564</v>
      </c>
      <c r="BX1281" s="152">
        <f>BV1281-BU1281</f>
        <v>1439629.9722478986</v>
      </c>
      <c r="BY1281" s="152"/>
      <c r="BZ1281" s="152">
        <f>BX1281</f>
        <v>1439629.9722478986</v>
      </c>
      <c r="CA1281">
        <f>IFERROR(BZ1281/BQ1281,"")</f>
        <v>1.4826261300184331</v>
      </c>
      <c r="CB1281">
        <v>0</v>
      </c>
      <c r="CC1281">
        <v>0</v>
      </c>
      <c r="CD1281">
        <v>0</v>
      </c>
      <c r="CE1281">
        <v>0</v>
      </c>
      <c r="CF1281">
        <v>0</v>
      </c>
      <c r="CG1281">
        <v>0</v>
      </c>
      <c r="CH1281">
        <v>0</v>
      </c>
      <c r="CI1281">
        <v>0</v>
      </c>
      <c r="CJ1281">
        <v>0</v>
      </c>
      <c r="CK1281">
        <v>0</v>
      </c>
      <c r="CL1281">
        <v>0</v>
      </c>
      <c r="CM1281">
        <v>0</v>
      </c>
      <c r="CN1281">
        <v>0</v>
      </c>
      <c r="CO1281">
        <v>1</v>
      </c>
      <c r="CP1281" t="str">
        <f>IF($BN1281&lt;$BM1281,"refNeedCorrection","refOK")</f>
        <v>refOK</v>
      </c>
      <c r="CQ1281">
        <f>IF($CP1281="refNeedCorrection",BN1281,BM1281)</f>
        <v>6657000</v>
      </c>
      <c r="CR1281">
        <f>IF($CP1281="refNeedCorrection",BM1281,BN1281)</f>
        <v>7628000</v>
      </c>
      <c r="CS1281">
        <f>IF($CP1281="refOK",$BQ1281,-$BQ1281)</f>
        <v>971000</v>
      </c>
      <c r="CT1281">
        <f>IF(BI1281="Roundwood",$CS1281/2,$CS1281)</f>
        <v>485500</v>
      </c>
      <c r="CU1281">
        <f>IF($CP1281="refOK",$BU1281,$BV1281)*IF($BR1281="Emissions positive",-1,1)</f>
        <v>17414539.323355202</v>
      </c>
      <c r="CV1281">
        <f>IF($CP1281="refOK",$BV1281,$BU1281)*IF($BR1281="Emissions positive",-1,1)</f>
        <v>18854169.2956031</v>
      </c>
      <c r="CW1281">
        <f>IF($CP1281="refNeedCorrection",-BZ1281,BZ1281)*IF($BR1281="Emissions positive",-1,1)</f>
        <v>1439629.9722478986</v>
      </c>
      <c r="CX1281">
        <f>IFERROR($CW1281/$CS1281,"")</f>
        <v>1.4826261300184331</v>
      </c>
      <c r="CY1281">
        <f>IFERROR($CW1281/$CS1281,"")</f>
        <v>1.4826261300184331</v>
      </c>
      <c r="CZ1281">
        <f>IFERROR($CW1281/$CT1281,"")</f>
        <v>2.9652522600368663</v>
      </c>
      <c r="DA1281" s="2">
        <f>IFERROR((CV1281-CU1281)/ABS(CU1281),"")</f>
        <v>8.2668277668256449E-2</v>
      </c>
      <c r="DB1281" s="1" t="s">
        <v>1074</v>
      </c>
      <c r="DC1281" t="str">
        <f>IF(OR($DB1281="prd",$DB1281="std",$DB1281="cit"),"loc",IF(OR($DB1281="eur",$DB1281="reg",$DB1281="coy"),"reg",$DB1281))</f>
        <v>reg</v>
      </c>
      <c r="DD1281" t="s">
        <v>527</v>
      </c>
      <c r="DG1281">
        <v>100</v>
      </c>
      <c r="DH1281" t="str">
        <f>IF(DG1281=0,"0",IF(AND(DG1281&gt;=1,DG1281&lt;=30),"1-30",IF(AND(DG1281&gt;30,DG1281&lt;=70),"31-70",IF(AND(DG1281&gt;70,DG1281&lt;=100),"71-100",IF(DG1281&gt;100,"+100")))))</f>
        <v>71-100</v>
      </c>
      <c r="DI1281">
        <v>1</v>
      </c>
      <c r="DJ1281">
        <v>0</v>
      </c>
      <c r="DK1281">
        <v>0</v>
      </c>
      <c r="DL1281">
        <v>0</v>
      </c>
      <c r="DN1281">
        <f>SUM(DI1281:DL1281)</f>
        <v>1</v>
      </c>
      <c r="DO1281" t="str">
        <f>IF(DN1281=1,INDEX($DI$7:$DL$7,MATCH(1,$DI1281:$DL1281,0)),"mixedProduct")</f>
        <v>UpstreamInput</v>
      </c>
      <c r="DP1281" t="str">
        <f>IF(DI1281=1,DP$7,0)</f>
        <v>Upstream</v>
      </c>
      <c r="DQ1281">
        <f>IF(DJ1281=1,DQ$7,0)</f>
        <v>0</v>
      </c>
      <c r="DR1281">
        <f>IF(DK1281=1,DR$7,0)</f>
        <v>0</v>
      </c>
      <c r="DS1281">
        <f>IF(DL1281=1,DS$7,0)</f>
        <v>0</v>
      </c>
      <c r="DT1281">
        <v>0</v>
      </c>
      <c r="DU1281">
        <v>0</v>
      </c>
      <c r="DV1281">
        <v>0</v>
      </c>
      <c r="DW1281">
        <v>0</v>
      </c>
      <c r="DX1281">
        <v>0</v>
      </c>
      <c r="DY1281">
        <f>SUM(DT1281:DU1281)</f>
        <v>0</v>
      </c>
      <c r="DZ1281" s="143" t="str">
        <f>IF(DT1281=1,"self-calculated DF",IF(DU1281=1,"external DF used","explicit C balance"))</f>
        <v>explicit C balance</v>
      </c>
      <c r="EA1281">
        <v>1</v>
      </c>
      <c r="EB1281">
        <v>0</v>
      </c>
      <c r="EC1281">
        <v>1</v>
      </c>
      <c r="ED1281">
        <v>0</v>
      </c>
      <c r="EE1281">
        <v>0</v>
      </c>
      <c r="EF1281" s="143">
        <v>0</v>
      </c>
      <c r="EG1281">
        <v>0</v>
      </c>
      <c r="EH1281">
        <v>0</v>
      </c>
      <c r="EI1281">
        <v>0</v>
      </c>
      <c r="EJ1281">
        <v>0</v>
      </c>
      <c r="EK1281">
        <v>1</v>
      </c>
      <c r="EL1281">
        <v>0</v>
      </c>
      <c r="EM1281">
        <v>0</v>
      </c>
      <c r="EN1281" s="2">
        <v>0</v>
      </c>
      <c r="EP1281" t="str">
        <f>IF(AND(AND(AND(OR($EC1281=1,$EB1281=1),OR($EH1281=1,$EF1281=1)),SUM($EA1281:$EE1281,$EK1281)&gt;=3),SUM($EF1281:$EJ1281)&gt;=2),"Whole sector approach","")</f>
        <v/>
      </c>
      <c r="EQ1281" t="str">
        <f>IF(AND(AND(OR($EC1281=1,$EB1281=1),AND($EH1281=0,$EF1281=0)),SUM($EA1281:$EE1281,$EK1281)&gt;=4),"Ecosystem approach","")</f>
        <v/>
      </c>
      <c r="ER1281" s="2" t="str">
        <f>IF(AND(AND(AND($EC1281=0,$EB1281=0),OR($EH1281=1,$EF1281=1)),SUM($EG1281:$EJ1281)&gt;=2),"Technology approach","")</f>
        <v/>
      </c>
      <c r="ES1281" t="str">
        <f>IF(AND($EC1281+$EB1281+$EE1281+$EA1281+$ED1281+$EG1281=0,$N1281="included"),"C neutral forest and HWP assumption","")</f>
        <v/>
      </c>
      <c r="ET1281" t="str">
        <f>IF(AND(AND(AND(AND($EC1281=1,$EB1281+$EA1281+$EG1281&gt;=1),$EF1281=1),$EH1281+$EI1281+$ED1281+$EE1281&gt;=2),$N1281="included"),"All C pools assumption","")</f>
        <v/>
      </c>
      <c r="EU1281" t="str">
        <f>IF(AND($ED1281+$EE1281+$EI1281+$EH1281+$EF1281=0,$N1281="included"),"In-situ only assumption","")</f>
        <v>In-situ only assumption</v>
      </c>
      <c r="EY1281" t="str">
        <f>IF(ISNUMBER(BW1281),IF(ABS(BW1281-[6]QC_indicators!$B$2)&gt;3*[6]QC_indicators!$C$2,"C ratio",IF(ISNUMBER(CA1281),IF(ABS(CA1281-[6]QC_indicators!$B$1)&gt;3*[6]QC_indicators!$C$1,"DF","no"))),IF(ISNUMBER(CA1281),IF(ABS(CA1281-[6]QC_indicators!$B$1)&gt;3*[6]QC_indicators!$C$1,"DF","no")))</f>
        <v>no</v>
      </c>
      <c r="FA1281" t="str">
        <f>IF(LEN($CY1281)=0,"",IF(AND($CY1281&lt;(-0.05),$ES1281="C neutral forest and HWP assumption"),"Cneutral paradox",IF(AND($CY1281&gt;0.05,$EU1281="In-situ only assumption"),"In-situ only paradox","")))</f>
        <v>In-situ only paradox</v>
      </c>
      <c r="FD1281" s="260" t="s">
        <v>2948</v>
      </c>
      <c r="FE1281" s="334" t="s">
        <v>5075</v>
      </c>
    </row>
    <row r="1282" spans="1:161" ht="18" hidden="1" customHeight="1">
      <c r="A1282" s="1" t="s">
        <v>500</v>
      </c>
      <c r="B1282" t="s">
        <v>501</v>
      </c>
      <c r="C1282" t="s">
        <v>502</v>
      </c>
      <c r="D1282" t="s">
        <v>503</v>
      </c>
      <c r="E1282" t="s">
        <v>504</v>
      </c>
      <c r="F1282" t="s">
        <v>505</v>
      </c>
      <c r="G1282" t="s">
        <v>506</v>
      </c>
      <c r="H1282" t="s">
        <v>254</v>
      </c>
      <c r="I1282">
        <v>2021</v>
      </c>
      <c r="J1282">
        <v>7</v>
      </c>
      <c r="K1282" t="s">
        <v>507</v>
      </c>
      <c r="M1282" t="str">
        <f>LEFT($D1282,FIND(",",$D1282)-1)&amp;"_"&amp;I1282&amp;L1282</f>
        <v>Caldas_2021</v>
      </c>
      <c r="N1282" t="s">
        <v>222</v>
      </c>
      <c r="O1282" s="145" t="s">
        <v>223</v>
      </c>
      <c r="P1282" t="s">
        <v>508</v>
      </c>
      <c r="Q1282" s="317" t="s">
        <v>256</v>
      </c>
      <c r="R1282" s="318" t="s">
        <v>1029</v>
      </c>
      <c r="S1282" s="1" t="s">
        <v>510</v>
      </c>
      <c r="T1282" t="s">
        <v>4910</v>
      </c>
      <c r="U1282" t="s">
        <v>4911</v>
      </c>
      <c r="V1282" s="253">
        <v>0</v>
      </c>
      <c r="W1282" s="253">
        <v>0</v>
      </c>
      <c r="X1282">
        <v>0</v>
      </c>
      <c r="Y1282">
        <v>0</v>
      </c>
      <c r="Z1282">
        <v>0</v>
      </c>
      <c r="AA1282">
        <v>0</v>
      </c>
      <c r="AB1282">
        <v>0</v>
      </c>
      <c r="AC1282">
        <v>0</v>
      </c>
      <c r="AD1282">
        <v>0</v>
      </c>
      <c r="AE1282">
        <v>0</v>
      </c>
      <c r="AF1282">
        <v>0</v>
      </c>
      <c r="AG1282">
        <v>0</v>
      </c>
      <c r="AH1282">
        <v>0</v>
      </c>
      <c r="AI1282">
        <v>0</v>
      </c>
      <c r="AJ1282">
        <v>0</v>
      </c>
      <c r="AK1282">
        <v>0</v>
      </c>
      <c r="AL1282">
        <v>0</v>
      </c>
      <c r="AM1282">
        <v>1</v>
      </c>
      <c r="AN1282">
        <v>0</v>
      </c>
      <c r="AO1282">
        <v>0</v>
      </c>
      <c r="AP1282">
        <v>0</v>
      </c>
      <c r="AQ1282">
        <v>0</v>
      </c>
      <c r="AR1282">
        <v>0</v>
      </c>
      <c r="AS1282">
        <v>0</v>
      </c>
      <c r="AT1282">
        <v>0</v>
      </c>
      <c r="AU1282">
        <v>0</v>
      </c>
      <c r="AV1282">
        <v>0</v>
      </c>
      <c r="AW1282">
        <v>0</v>
      </c>
      <c r="AX1282">
        <v>0</v>
      </c>
      <c r="AY1282">
        <v>0</v>
      </c>
      <c r="AZ1282" s="141">
        <f>COUNTIF(X1282:AY1282,"&lt;&gt;0")</f>
        <v>1</v>
      </c>
      <c r="BA1282" s="141">
        <f>COUNTIF(X1282:AN1282,"&lt;&gt;0")</f>
        <v>1</v>
      </c>
      <c r="BB1282">
        <f>COUNTIF(X1282:AE1282,"&lt;&gt;0")</f>
        <v>0</v>
      </c>
      <c r="BC1282">
        <f>COUNTIF(AF1282:AK1282,"&lt;&gt;0")</f>
        <v>0</v>
      </c>
      <c r="BD1282">
        <f>COUNTIF(AL1282:AN1282,"&lt;&gt;0")</f>
        <v>1</v>
      </c>
      <c r="BE1282">
        <f>COUNTIF(AU1282:AY1282,"&lt;&gt;0")</f>
        <v>0</v>
      </c>
      <c r="BF1282">
        <f>COUNTIF(AO1282:AT1282,"&lt;&gt;0")</f>
        <v>0</v>
      </c>
      <c r="BG1282" t="str" cm="1">
        <f t="array" ref="BG1282">IF(BA1282=1,INDEX($X$7:$AN$7,MATCH(TRUE,INDEX($X1282:$AY1282&lt;&gt;0,),0)),IF(BA1282=0,INDEX($AO$7:$AY$7,MATCH(1,$AO1282:$AY1282,0)),IF(BH1282="Multiple strategies","mixed drivers",IF(BH1282="Supply chain","multiple supply","multiple silviculture"))))</f>
        <v>technologies/design switch</v>
      </c>
      <c r="BH1282" s="2" t="str" cm="1">
        <f t="array" ref="BH1282">IF(COUNTIF(BB1282:BD1282,"&lt;&gt;0")=1,INDEX($X$4:$AY$4,MATCH(TRUE,INDEX($X1282:$AY1282&lt;&gt;0,),0)),IF(COUNTIF(BB1282:BD1282,"&lt;&gt;0")=0,INDEX($AO$4:$AY$4,MATCH(1,$AO1282:$AY1282,0)),"Multiple strategies"))</f>
        <v>Technology</v>
      </c>
      <c r="BI1282" s="1" t="s">
        <v>229</v>
      </c>
      <c r="BJ1282" t="s">
        <v>510</v>
      </c>
      <c r="BK1282" s="141" t="s">
        <v>2854</v>
      </c>
      <c r="BL1282" t="s">
        <v>511</v>
      </c>
      <c r="BM1282">
        <v>140</v>
      </c>
      <c r="BN1282">
        <v>247</v>
      </c>
      <c r="BP1282">
        <f>BN1282-BM1282</f>
        <v>107</v>
      </c>
      <c r="BQ1282">
        <f>BP1282*kg_to_m3</f>
        <v>0.21836734693877552</v>
      </c>
      <c r="BR1282" s="317" t="s">
        <v>232</v>
      </c>
      <c r="BS1282" s="141" t="s">
        <v>2854</v>
      </c>
      <c r="BT1282" t="s">
        <v>512</v>
      </c>
      <c r="BU1282">
        <f>-287</f>
        <v>-287</v>
      </c>
      <c r="BV1282">
        <f>-79</f>
        <v>-79</v>
      </c>
      <c r="BW1282" s="144">
        <f>IFERROR(BV1282/BU1282,"")</f>
        <v>0.27526132404181186</v>
      </c>
      <c r="BX1282" s="175">
        <f>BV1282-BU1282</f>
        <v>208</v>
      </c>
      <c r="BZ1282">
        <f>BX1282/1000</f>
        <v>0.20799999999999999</v>
      </c>
      <c r="CA1282">
        <f>IFERROR(BZ1282/BQ1282,"")</f>
        <v>0.95252336448598118</v>
      </c>
      <c r="CB1282" s="143">
        <v>0</v>
      </c>
      <c r="CC1282" s="143">
        <v>0</v>
      </c>
      <c r="CD1282" s="143">
        <v>0</v>
      </c>
      <c r="CE1282" s="143">
        <v>0</v>
      </c>
      <c r="CF1282" s="143">
        <v>0</v>
      </c>
      <c r="CG1282" s="143">
        <v>0</v>
      </c>
      <c r="CH1282" s="143">
        <v>0</v>
      </c>
      <c r="CI1282" s="143">
        <v>0</v>
      </c>
      <c r="CJ1282" s="143">
        <v>0</v>
      </c>
      <c r="CK1282" s="143">
        <v>0</v>
      </c>
      <c r="CL1282" s="143">
        <v>0</v>
      </c>
      <c r="CM1282" s="143">
        <v>0</v>
      </c>
      <c r="CN1282" s="143">
        <v>0</v>
      </c>
      <c r="CO1282">
        <v>0</v>
      </c>
      <c r="CP1282" t="str">
        <f>IF($BN1282&lt;$BM1282,"refNeedCorrection","refOK")</f>
        <v>refOK</v>
      </c>
      <c r="CQ1282">
        <f>IF($CP1282="refOK",$BM1282,$BN1282)</f>
        <v>140</v>
      </c>
      <c r="CR1282">
        <f>IF($CP1282="refOK",$BN1282,$BM1282)</f>
        <v>247</v>
      </c>
      <c r="CS1282">
        <f>IF($CP1282="refOK",$BQ1282,-$BQ1282)</f>
        <v>0.21836734693877552</v>
      </c>
      <c r="CT1282">
        <f>IF(BI1282="Roundwood",$CS1282/2,$CS1282)</f>
        <v>0.21836734693877552</v>
      </c>
      <c r="CU1282">
        <f>IF($CP1282="refOK",$BU1282,$BV1282)*IF($BR1282="Emissions positive",-1,1)</f>
        <v>-287</v>
      </c>
      <c r="CV1282">
        <f>IF($CP1282="refOK",$BV1282,$BU1282)*IF($BR1282="Emissions positive",-1,1)</f>
        <v>-79</v>
      </c>
      <c r="CW1282">
        <f>IF($CP1282="refNeedCorrection",-BZ1282,BZ1282)*IF($BR1282="Emissions positive",-1,1)</f>
        <v>0.20799999999999999</v>
      </c>
      <c r="CX1282">
        <f>IFERROR($CW1282/$CS1282,"")</f>
        <v>0.95252336448598118</v>
      </c>
      <c r="CY1282">
        <f>IFERROR($CW1282/$CS1282,"")</f>
        <v>0.95252336448598118</v>
      </c>
      <c r="CZ1282">
        <f>IFERROR($CW1282/$CT1282,"")</f>
        <v>0.95252336448598118</v>
      </c>
      <c r="DA1282" s="2">
        <f>IFERROR((CV1282-CU1282)/ABS(CU1282),"")</f>
        <v>0.72473867595818819</v>
      </c>
      <c r="DB1282" s="1" t="s">
        <v>263</v>
      </c>
      <c r="DC1282" s="317" t="str">
        <f>IF(OR($DB1282="prd",$DB1282="std",$DB1282="cit"),"loc",IF(OR($DB1282="eur",$DB1282="reg",$DB1282="coy"),"reg",$DB1282))</f>
        <v>loc</v>
      </c>
      <c r="DD1282" t="s">
        <v>513</v>
      </c>
      <c r="DE1282">
        <v>2014</v>
      </c>
      <c r="DF1282">
        <v>2014</v>
      </c>
      <c r="DG1282">
        <f>DF1282-DE1282</f>
        <v>0</v>
      </c>
      <c r="DH1282" t="str">
        <f>IF(DG1282=0,"0",IF(AND(DG1282&gt;=1,DG1282&lt;=30),"1-30",IF(AND(DG1282&gt;30,DG1282&lt;=70),"31-70",IF(AND(DG1282&gt;70,DG1282&lt;=100),"71-100",IF(DG1282&gt;100,"+100")))))</f>
        <v>0</v>
      </c>
      <c r="DI1282">
        <v>0</v>
      </c>
      <c r="DJ1282">
        <v>0</v>
      </c>
      <c r="DK1282">
        <v>0</v>
      </c>
      <c r="DL1282">
        <v>1</v>
      </c>
      <c r="DN1282">
        <f>SUM(DI1282:DL1282)</f>
        <v>1</v>
      </c>
      <c r="DO1282" t="str">
        <f>IF(DN1282=1,INDEX($DI$7:$DL$7,MATCH(1,$DI1282:$DL1282,0)),"mixedProduct")</f>
        <v>TimberInput</v>
      </c>
      <c r="DP1282">
        <f>IF(DI1282=1,DP$7,0)</f>
        <v>0</v>
      </c>
      <c r="DQ1282">
        <f>IF(DJ1282=1,DQ$7,0)</f>
        <v>0</v>
      </c>
      <c r="DR1282">
        <f>IF(DK1282=1,DR$7,0)</f>
        <v>0</v>
      </c>
      <c r="DS1282" t="str">
        <f>IF(DL1282=1,DS$7,0)</f>
        <v>Timber</v>
      </c>
      <c r="DT1282">
        <v>0</v>
      </c>
      <c r="DU1282" s="143">
        <v>0</v>
      </c>
      <c r="DV1282" s="143">
        <v>0</v>
      </c>
      <c r="DW1282" s="143">
        <v>0</v>
      </c>
      <c r="DX1282">
        <v>0</v>
      </c>
      <c r="DY1282">
        <f>SUM(DT1282:DU1282)</f>
        <v>0</v>
      </c>
      <c r="DZ1282" s="143" t="str">
        <f>IF(DT1282=1,"self-calculated DF",IF(DU1282=1,"external DF used","explicit C balance"))</f>
        <v>explicit C balance</v>
      </c>
      <c r="EA1282">
        <v>0</v>
      </c>
      <c r="EB1282" s="143">
        <v>0</v>
      </c>
      <c r="EC1282" s="143">
        <v>0</v>
      </c>
      <c r="ED1282" s="143">
        <v>0</v>
      </c>
      <c r="EE1282">
        <v>0</v>
      </c>
      <c r="EF1282" s="143">
        <v>1</v>
      </c>
      <c r="EG1282">
        <v>0</v>
      </c>
      <c r="EH1282" s="143">
        <v>1</v>
      </c>
      <c r="EI1282" s="143">
        <v>0</v>
      </c>
      <c r="EJ1282">
        <v>0</v>
      </c>
      <c r="EK1282">
        <v>0</v>
      </c>
      <c r="EL1282" s="143">
        <v>0</v>
      </c>
      <c r="EM1282" s="143">
        <v>0</v>
      </c>
      <c r="EN1282" s="2">
        <v>0</v>
      </c>
      <c r="EP1282" t="str">
        <f>IF(AND(AND(AND(OR($EC1282=1,$EB1282=1),OR($EH1282=1,$EF1282=1)),SUM($EA1282:$EE1282,$EK1282)&gt;=3),SUM($EF1282:$EJ1282)&gt;=2),"Whole sector approach","")</f>
        <v/>
      </c>
      <c r="EQ1282" t="str">
        <f>IF(AND(AND(OR($EC1282=1,$EB1282=1),AND($EH1282=0,$EF1282=0)),SUM($EA1282:$EE1282,$EK1282)&gt;=3),"Ecosystem approach","")</f>
        <v/>
      </c>
      <c r="ER1282" s="2" t="str">
        <f>IF(AND(AND(AND($EC1282=0,$EB1282=0),OR($EH1282=1,$EF1282=1)),SUM($EG1282:$EJ1282)&gt;=2),"Technology approach","")</f>
        <v/>
      </c>
      <c r="ES1282" t="str">
        <f>IF(AND($EC1282+$EB1282+$EE1282+$EA1282+$ED1282+$EG1282=0,$N1282="included"),"C neutral forest and HWP assumption","")</f>
        <v>C neutral forest and HWP assumption</v>
      </c>
      <c r="ET1282" t="str">
        <f>IF(AND(AND(AND(AND($EC1282=1,$EB1282+$EA1282+$EG1282&gt;=1),$EF1282=1),$EH1282+$EI1282+$ED1282+$EE1282&gt;=2),$N1282="included"),"All C pools assumption","")</f>
        <v/>
      </c>
      <c r="EU1282" t="str">
        <f>IF(AND($ED1282+$EE1282+$EI1282+$EH1282+$EF1282=0,$N1282="included"),"In-situ only assumption","")</f>
        <v/>
      </c>
      <c r="EY1282" t="str">
        <f>IF(ISNUMBER(BW1282),IF(ABS(BW1282-[4]QC_indicators!$B$2)&gt;3*[4]QC_indicators!$C$2,"C ratio",IF(ISNUMBER(CA1282),IF(ABS(CA1282-[4]QC_indicators!$B$1)&gt;3*[4]QC_indicators!$C$1,"DF","no"))),IF(ISNUMBER(CA1282),IF(ABS(CA1282-[4]QC_indicators!$B$1)&gt;3*[4]QC_indicators!$C$1,"DF","no")))</f>
        <v>no</v>
      </c>
      <c r="FA1282" t="str">
        <f>IF(LEN($CY1282)=0,"",IF(AND($CY1282&lt;(-0.05),$ES1282="C neutral forest and HWP assumption"),"Cneutral paradox",IF(AND($CY1282&gt;0.05,$EU1282="In-situ only assumption"),"In-situ only paradox","")))</f>
        <v/>
      </c>
      <c r="FB1282" s="319" t="s">
        <v>349</v>
      </c>
      <c r="FD1282" s="145" t="s">
        <v>4893</v>
      </c>
    </row>
    <row r="1283" spans="1:161" ht="15" hidden="1" customHeight="1">
      <c r="A1283" s="1" t="s">
        <v>849</v>
      </c>
      <c r="B1283" t="s">
        <v>1552</v>
      </c>
      <c r="C1283" t="s">
        <v>531</v>
      </c>
      <c r="D1283" t="s">
        <v>1553</v>
      </c>
      <c r="E1283" t="s">
        <v>1554</v>
      </c>
      <c r="F1283" t="s">
        <v>1555</v>
      </c>
      <c r="G1283" t="s">
        <v>1059</v>
      </c>
      <c r="H1283" t="s">
        <v>254</v>
      </c>
      <c r="I1283">
        <v>2021</v>
      </c>
      <c r="J1283">
        <v>8</v>
      </c>
      <c r="K1283" t="s">
        <v>1556</v>
      </c>
      <c r="M1283" t="str">
        <f>LEFT($D1283,FIND(",",$D1283)-1)&amp;"_"&amp;I1283&amp;L1283</f>
        <v>Hart_2021</v>
      </c>
      <c r="N1283" s="317" t="s">
        <v>222</v>
      </c>
      <c r="O1283" s="171" t="s">
        <v>225</v>
      </c>
      <c r="P1283" t="s">
        <v>924</v>
      </c>
      <c r="Q1283" s="317" t="s">
        <v>389</v>
      </c>
      <c r="R1283" s="318" t="s">
        <v>1029</v>
      </c>
      <c r="S1283" s="322" t="s">
        <v>1557</v>
      </c>
      <c r="T1283" t="s">
        <v>1558</v>
      </c>
      <c r="U1283" t="s">
        <v>1559</v>
      </c>
      <c r="V1283" s="253">
        <v>0</v>
      </c>
      <c r="W1283" s="253">
        <v>0</v>
      </c>
      <c r="X1283">
        <v>0</v>
      </c>
      <c r="Y1283">
        <v>0</v>
      </c>
      <c r="Z1283">
        <v>0</v>
      </c>
      <c r="AA1283">
        <v>0</v>
      </c>
      <c r="AB1283">
        <v>0</v>
      </c>
      <c r="AC1283">
        <v>0</v>
      </c>
      <c r="AD1283">
        <v>0</v>
      </c>
      <c r="AE1283">
        <v>0</v>
      </c>
      <c r="AF1283">
        <v>0</v>
      </c>
      <c r="AG1283">
        <v>0</v>
      </c>
      <c r="AH1283">
        <v>0</v>
      </c>
      <c r="AI1283">
        <v>0</v>
      </c>
      <c r="AJ1283">
        <v>0</v>
      </c>
      <c r="AK1283">
        <v>0</v>
      </c>
      <c r="AL1283">
        <v>0</v>
      </c>
      <c r="AM1283">
        <v>1</v>
      </c>
      <c r="AN1283">
        <v>0</v>
      </c>
      <c r="AO1283">
        <v>0</v>
      </c>
      <c r="AP1283">
        <v>0</v>
      </c>
      <c r="AQ1283">
        <v>0</v>
      </c>
      <c r="AR1283">
        <v>0</v>
      </c>
      <c r="AS1283">
        <v>0</v>
      </c>
      <c r="AT1283">
        <v>0</v>
      </c>
      <c r="AU1283">
        <v>0</v>
      </c>
      <c r="AV1283">
        <v>0</v>
      </c>
      <c r="AW1283">
        <v>0</v>
      </c>
      <c r="AX1283">
        <v>0</v>
      </c>
      <c r="AY1283">
        <v>0</v>
      </c>
      <c r="AZ1283" s="141">
        <f>COUNTIF(X1283:AY1283,"&lt;&gt;0")</f>
        <v>1</v>
      </c>
      <c r="BA1283" s="141">
        <f>COUNTIF(X1283:AN1283,"&lt;&gt;0")</f>
        <v>1</v>
      </c>
      <c r="BB1283">
        <f>COUNTIF(X1283:AE1283,"&lt;&gt;0")</f>
        <v>0</v>
      </c>
      <c r="BC1283">
        <f>COUNTIF(AF1283:AK1283,"&lt;&gt;0")</f>
        <v>0</v>
      </c>
      <c r="BD1283">
        <f>COUNTIF(AL1283:AN1283,"&lt;&gt;0")</f>
        <v>1</v>
      </c>
      <c r="BE1283">
        <f>COUNTIF(AU1283:AY1283,"&lt;&gt;0")</f>
        <v>0</v>
      </c>
      <c r="BF1283">
        <f>COUNTIF(AO1283:AT1283,"&lt;&gt;0")</f>
        <v>0</v>
      </c>
      <c r="BG1283" t="str" cm="1">
        <f t="array" ref="BG1283">IF(BA1283=1,INDEX($X$7:$AN$7,MATCH(TRUE,INDEX($X1283:$AY1283&lt;&gt;0,),0)),IF(BA1283=0,INDEX($AO$7:$AY$7,MATCH(1,$AO1283:$AY1283,0)),IF(BH1283="Multiple strategies","mixed drivers",IF(BH1283="Supply chain","multiple supply","multiple silviculture"))))</f>
        <v>technologies/design switch</v>
      </c>
      <c r="BH1283" s="2" t="str" cm="1">
        <f t="array" ref="BH1283">IF(COUNTIF(BB1283:BD1283,"&lt;&gt;0")=1,INDEX($X$4:$AY$4,MATCH(TRUE,INDEX($X1283:$AY1283&lt;&gt;0,),0)),IF(COUNTIF(BB1283:BD1283,"&lt;&gt;0")=0,INDEX($AO$4:$AY$4,MATCH(1,$AO1283:$AY1283,0)),"Multiple strategies"))</f>
        <v>Technology</v>
      </c>
      <c r="BI1283" s="323" t="s">
        <v>229</v>
      </c>
      <c r="BJ1283" s="321" t="s">
        <v>1560</v>
      </c>
      <c r="BK1283" s="321" t="s">
        <v>4979</v>
      </c>
      <c r="BL1283" s="321" t="s">
        <v>1561</v>
      </c>
      <c r="BM1283">
        <v>0</v>
      </c>
      <c r="BN1283">
        <v>7.314381831917062E-2</v>
      </c>
      <c r="BO1283" t="s">
        <v>531</v>
      </c>
      <c r="BP1283">
        <f>BN1283-BM1283</f>
        <v>7.314381831917062E-2</v>
      </c>
      <c r="BQ1283" s="317">
        <f>BP1283*t_to_m3</f>
        <v>0.1492730986105523</v>
      </c>
      <c r="BR1283" s="317" t="s">
        <v>232</v>
      </c>
      <c r="BS1283" s="155" t="s">
        <v>1562</v>
      </c>
      <c r="BT1283" s="317" t="s">
        <v>1563</v>
      </c>
      <c r="BU1283">
        <v>-222.9409446307707</v>
      </c>
      <c r="BV1283">
        <v>-80.733700144141935</v>
      </c>
      <c r="BW1283" s="144">
        <f>IFERROR(BV1283/BU1283,"")</f>
        <v>0.36213043000177064</v>
      </c>
      <c r="BX1283">
        <f>BV1283-BU1283</f>
        <v>142.20724448662878</v>
      </c>
      <c r="BZ1283">
        <f>BX1283/1000</f>
        <v>0.14220724448662878</v>
      </c>
      <c r="CA1283">
        <f>IFERROR(BZ1283/BQ1283,"")</f>
        <v>0.95266491960243915</v>
      </c>
      <c r="CB1283">
        <v>0</v>
      </c>
      <c r="CC1283">
        <v>0</v>
      </c>
      <c r="CD1283">
        <v>0</v>
      </c>
      <c r="CE1283">
        <v>0</v>
      </c>
      <c r="CF1283">
        <v>0</v>
      </c>
      <c r="CG1283">
        <v>0</v>
      </c>
      <c r="CH1283">
        <v>0</v>
      </c>
      <c r="CI1283">
        <v>0</v>
      </c>
      <c r="CJ1283">
        <v>0</v>
      </c>
      <c r="CK1283">
        <v>0</v>
      </c>
      <c r="CL1283">
        <v>0</v>
      </c>
      <c r="CM1283">
        <v>0</v>
      </c>
      <c r="CN1283">
        <v>0</v>
      </c>
      <c r="CO1283">
        <v>0</v>
      </c>
      <c r="CP1283" t="str">
        <f>IF($BN1283&lt;$BM1283,"refNeedCorrection","refOK")</f>
        <v>refOK</v>
      </c>
      <c r="CQ1283">
        <f>IF($CP1283="refOK",$BM1283,$BN1283)</f>
        <v>0</v>
      </c>
      <c r="CR1283">
        <f>IF($CP1283="refOK",$BN1283,$BM1283)</f>
        <v>7.314381831917062E-2</v>
      </c>
      <c r="CS1283">
        <f>IF($CP1283="refOK",$BQ1283,-$BQ1283)</f>
        <v>0.1492730986105523</v>
      </c>
      <c r="CT1283">
        <f>IF(BI1283="Roundwood",$CS1283/2,$CS1283)</f>
        <v>0.1492730986105523</v>
      </c>
      <c r="CU1283">
        <f>IF($CP1283="refOK",$BU1283,$BV1283)*IF($BR1283="Emissions positive",-1,1)</f>
        <v>-222.9409446307707</v>
      </c>
      <c r="CV1283">
        <f>IF($CP1283="refOK",$BV1283,$BU1283)*IF($BR1283="Emissions positive",-1,1)</f>
        <v>-80.733700144141935</v>
      </c>
      <c r="CW1283">
        <f>IF($CP1283="refNeedCorrection",-BZ1283,BZ1283)*IF($BR1283="Emissions positive",-1,1)</f>
        <v>0.14220724448662878</v>
      </c>
      <c r="CX1283">
        <f>IFERROR($CW1283/$CS1283,"")</f>
        <v>0.95266491960243915</v>
      </c>
      <c r="CY1283">
        <f>IFERROR($CW1283/$CS1283,"")</f>
        <v>0.95266491960243915</v>
      </c>
      <c r="CZ1283">
        <f>IFERROR($CW1283/$CT1283,"")</f>
        <v>0.95266491960243915</v>
      </c>
      <c r="DA1283" s="2">
        <f>IFERROR((CV1283-CU1283)/ABS(CU1283),"")</f>
        <v>0.63786956999822941</v>
      </c>
      <c r="DB1283" s="320" t="s">
        <v>1078</v>
      </c>
      <c r="DC1283" s="317" t="str">
        <f>IF(OR($DB1283="prd",$DB1283="std",$DB1283="cit"),"loc",IF(OR($DB1283="eur",$DB1283="reg",$DB1283="coy"),"reg",$DB1283))</f>
        <v>reg</v>
      </c>
      <c r="DD1283" s="296" t="s">
        <v>3098</v>
      </c>
      <c r="DE1283">
        <v>0</v>
      </c>
      <c r="DF1283">
        <v>0</v>
      </c>
      <c r="DG1283">
        <v>0</v>
      </c>
      <c r="DH1283" t="str">
        <f>IF(DG1283=0,"0",IF(AND(DG1283&gt;=1,DG1283&lt;=30),"1-30",IF(AND(DG1283&gt;30,DG1283&lt;=70),"31-70",IF(AND(DG1283&gt;70,DG1283&lt;=100),"71-100",IF(DG1283&gt;100,"+100")))))</f>
        <v>0</v>
      </c>
      <c r="DI1283">
        <v>0</v>
      </c>
      <c r="DJ1283">
        <v>0</v>
      </c>
      <c r="DK1283">
        <v>0</v>
      </c>
      <c r="DL1283">
        <v>1</v>
      </c>
      <c r="DM1283">
        <v>0</v>
      </c>
      <c r="DN1283">
        <v>1</v>
      </c>
      <c r="DO1283" t="str">
        <f>IF(DN1283=1,INDEX($DI$7:$DL$7,MATCH(1,$DI1283:$DL1283,0)),"mixedProduct")</f>
        <v>TimberInput</v>
      </c>
      <c r="DP1283">
        <f>IF(DI1283=1,DP$7,0)</f>
        <v>0</v>
      </c>
      <c r="DQ1283">
        <f>IF(DJ1283=1,DQ$7,0)</f>
        <v>0</v>
      </c>
      <c r="DR1283">
        <f>IF(DK1283=1,DR$7,0)</f>
        <v>0</v>
      </c>
      <c r="DS1283" t="str">
        <f>IF(DL1283=1,DS$7,0)</f>
        <v>Timber</v>
      </c>
      <c r="DT1283">
        <v>0</v>
      </c>
      <c r="DU1283">
        <v>0</v>
      </c>
      <c r="DV1283">
        <v>0</v>
      </c>
      <c r="DW1283">
        <v>0</v>
      </c>
      <c r="DX1283">
        <v>0</v>
      </c>
      <c r="DY1283">
        <f>SUM(DT1283:DU1283)</f>
        <v>0</v>
      </c>
      <c r="DZ1283" s="143" t="s">
        <v>926</v>
      </c>
      <c r="EA1283">
        <v>0</v>
      </c>
      <c r="EB1283">
        <v>0</v>
      </c>
      <c r="EC1283">
        <v>0</v>
      </c>
      <c r="ED1283">
        <v>0</v>
      </c>
      <c r="EE1283">
        <v>0</v>
      </c>
      <c r="EF1283" s="143">
        <v>1</v>
      </c>
      <c r="EG1283">
        <v>0</v>
      </c>
      <c r="EH1283">
        <v>1</v>
      </c>
      <c r="EI1283">
        <v>1</v>
      </c>
      <c r="EJ1283">
        <v>0</v>
      </c>
      <c r="EK1283">
        <v>0</v>
      </c>
      <c r="EL1283">
        <v>0</v>
      </c>
      <c r="EM1283">
        <v>0</v>
      </c>
      <c r="EN1283" s="2">
        <v>0</v>
      </c>
      <c r="EP1283" t="str">
        <f>IF(AND(AND(AND(OR($EC1283=1,$EB1283=1),OR($EH1283=1,$EF1283=1)),SUM($EA1283:$EE1283,$EK1283)&gt;=3),SUM($EF1283:$EJ1283)&gt;=2),"Whole sector approach","")</f>
        <v/>
      </c>
      <c r="EQ1283" t="str">
        <f>IF(AND(AND(OR($EC1283=1,$EB1283=1),AND($EH1283=0,$EF1283=0)),SUM($EA1283:$EE1283,$EK1283)&gt;=3),"Ecosystem approach","")</f>
        <v/>
      </c>
      <c r="ER1283" s="2" t="str">
        <f>IF(AND(AND(AND($EC1283=0,$EB1283=0),OR($EH1283=1,$EF1283=1)),SUM($EG1283:$EJ1283)&gt;=2),"Technology approach","")</f>
        <v>Technology approach</v>
      </c>
      <c r="ES1283" t="str">
        <f>IF(AND($EC1283+$EB1283+$EE1283+$EA1283+$ED1283+$EG1283=0,$N1283="included"),"C neutral forest and HWP assumption","")</f>
        <v>C neutral forest and HWP assumption</v>
      </c>
      <c r="ET1283" t="str">
        <f>IF(AND(AND(AND(AND($EC1283=1,$EB1283+$EA1283+$EG1283&gt;=1),$EF1283=1),$EH1283+$EI1283+$ED1283+$EE1283&gt;=2),$N1283="included"),"All C pools assumption","")</f>
        <v/>
      </c>
      <c r="EU1283" t="str">
        <f>IF(AND($ED1283+$EE1283+$EI1283+$EH1283+$EF1283=0,$N1283="included"),"In-situ only assumption","")</f>
        <v/>
      </c>
      <c r="EY1283" t="str">
        <f>IF(ISNUMBER(BW1283),IF(ABS(BW1283-[4]QC_indicators!$B$2)&gt;3*[4]QC_indicators!$C$2,"C ratio",IF(ISNUMBER(CA1283),IF(ABS(CA1283-[4]QC_indicators!$B$1)&gt;3*[4]QC_indicators!$C$1,"DF","no"))),IF(ISNUMBER(CA1283),IF(ABS(CA1283-[4]QC_indicators!$B$1)&gt;3*[4]QC_indicators!$C$1,"DF","no")))</f>
        <v>no</v>
      </c>
      <c r="FA1283" t="str">
        <f>IF(LEN($CY1283)=0,"",IF(AND($CY1283&lt;(-0.05),$ES1283="C neutral forest and HWP assumption"),"Cneutral paradox",IF(AND($CY1283&gt;0.05,$EU1283="In-situ only assumption"),"In-situ only paradox","")))</f>
        <v/>
      </c>
      <c r="FD1283" t="s">
        <v>4980</v>
      </c>
    </row>
    <row r="1284" spans="1:161" ht="15" hidden="1" customHeight="1">
      <c r="A1284" s="1" t="s">
        <v>849</v>
      </c>
      <c r="B1284" t="s">
        <v>1552</v>
      </c>
      <c r="C1284" t="s">
        <v>531</v>
      </c>
      <c r="D1284" t="s">
        <v>1553</v>
      </c>
      <c r="E1284" t="s">
        <v>1554</v>
      </c>
      <c r="F1284" t="s">
        <v>1555</v>
      </c>
      <c r="G1284" t="s">
        <v>1059</v>
      </c>
      <c r="H1284" t="s">
        <v>254</v>
      </c>
      <c r="I1284">
        <v>2021</v>
      </c>
      <c r="J1284">
        <v>8</v>
      </c>
      <c r="K1284" t="s">
        <v>1556</v>
      </c>
      <c r="M1284" t="str">
        <f>LEFT($D1284,FIND(",",$D1284)-1)&amp;"_"&amp;I1284&amp;L1284</f>
        <v>Hart_2021</v>
      </c>
      <c r="N1284" s="317" t="s">
        <v>222</v>
      </c>
      <c r="O1284" s="171" t="s">
        <v>225</v>
      </c>
      <c r="P1284" t="s">
        <v>924</v>
      </c>
      <c r="Q1284" s="317" t="s">
        <v>389</v>
      </c>
      <c r="R1284" s="318" t="s">
        <v>1029</v>
      </c>
      <c r="S1284" s="322" t="s">
        <v>1557</v>
      </c>
      <c r="T1284" t="s">
        <v>1558</v>
      </c>
      <c r="U1284" t="s">
        <v>1559</v>
      </c>
      <c r="V1284" s="253">
        <v>0</v>
      </c>
      <c r="W1284" s="253">
        <v>0</v>
      </c>
      <c r="X1284">
        <v>0</v>
      </c>
      <c r="Y1284">
        <v>0</v>
      </c>
      <c r="Z1284">
        <v>0</v>
      </c>
      <c r="AA1284">
        <v>0</v>
      </c>
      <c r="AB1284">
        <v>0</v>
      </c>
      <c r="AC1284">
        <v>0</v>
      </c>
      <c r="AD1284">
        <v>0</v>
      </c>
      <c r="AE1284">
        <v>0</v>
      </c>
      <c r="AF1284">
        <v>0</v>
      </c>
      <c r="AG1284">
        <v>0</v>
      </c>
      <c r="AH1284">
        <v>0</v>
      </c>
      <c r="AI1284">
        <v>0</v>
      </c>
      <c r="AJ1284">
        <v>0</v>
      </c>
      <c r="AK1284">
        <v>0</v>
      </c>
      <c r="AL1284">
        <v>0</v>
      </c>
      <c r="AM1284">
        <v>1</v>
      </c>
      <c r="AN1284">
        <v>0</v>
      </c>
      <c r="AO1284">
        <v>0</v>
      </c>
      <c r="AP1284">
        <v>0</v>
      </c>
      <c r="AQ1284">
        <v>0</v>
      </c>
      <c r="AR1284">
        <v>0</v>
      </c>
      <c r="AS1284">
        <v>0</v>
      </c>
      <c r="AT1284">
        <v>0</v>
      </c>
      <c r="AU1284">
        <v>0</v>
      </c>
      <c r="AV1284">
        <v>0</v>
      </c>
      <c r="AW1284">
        <v>0</v>
      </c>
      <c r="AX1284">
        <v>0</v>
      </c>
      <c r="AY1284">
        <v>0</v>
      </c>
      <c r="AZ1284" s="141">
        <f>COUNTIF(X1284:AY1284,"&lt;&gt;0")</f>
        <v>1</v>
      </c>
      <c r="BA1284" s="141">
        <f>COUNTIF(X1284:AN1284,"&lt;&gt;0")</f>
        <v>1</v>
      </c>
      <c r="BB1284">
        <f>COUNTIF(X1284:AE1284,"&lt;&gt;0")</f>
        <v>0</v>
      </c>
      <c r="BC1284">
        <f>COUNTIF(AF1284:AK1284,"&lt;&gt;0")</f>
        <v>0</v>
      </c>
      <c r="BD1284">
        <f>COUNTIF(AL1284:AN1284,"&lt;&gt;0")</f>
        <v>1</v>
      </c>
      <c r="BE1284">
        <f>COUNTIF(AU1284:AY1284,"&lt;&gt;0")</f>
        <v>0</v>
      </c>
      <c r="BF1284">
        <f>COUNTIF(AO1284:AT1284,"&lt;&gt;0")</f>
        <v>0</v>
      </c>
      <c r="BG1284" t="str" cm="1">
        <f t="array" ref="BG1284">IF(BA1284=1,INDEX($X$7:$AN$7,MATCH(TRUE,INDEX($X1284:$AY1284&lt;&gt;0,),0)),IF(BA1284=0,INDEX($AO$7:$AY$7,MATCH(1,$AO1284:$AY1284,0)),IF(BH1284="Multiple strategies","mixed drivers",IF(BH1284="Supply chain","multiple supply","multiple silviculture"))))</f>
        <v>technologies/design switch</v>
      </c>
      <c r="BH1284" s="2" t="str" cm="1">
        <f t="array" ref="BH1284">IF(COUNTIF(BB1284:BD1284,"&lt;&gt;0")=1,INDEX($X$4:$AY$4,MATCH(TRUE,INDEX($X1284:$AY1284&lt;&gt;0,),0)),IF(COUNTIF(BB1284:BD1284,"&lt;&gt;0")=0,INDEX($AO$4:$AY$4,MATCH(1,$AO1284:$AY1284,0)),"Multiple strategies"))</f>
        <v>Technology</v>
      </c>
      <c r="BI1284" s="323" t="s">
        <v>229</v>
      </c>
      <c r="BJ1284" s="321" t="s">
        <v>1560</v>
      </c>
      <c r="BK1284" s="321" t="s">
        <v>4979</v>
      </c>
      <c r="BL1284" s="321" t="s">
        <v>1561</v>
      </c>
      <c r="BM1284">
        <v>0</v>
      </c>
      <c r="BN1284">
        <v>7.314381831917062E-2</v>
      </c>
      <c r="BO1284" t="s">
        <v>531</v>
      </c>
      <c r="BP1284">
        <f>BN1284-BM1284</f>
        <v>7.314381831917062E-2</v>
      </c>
      <c r="BQ1284" s="317">
        <f>BP1284*t_to_m3</f>
        <v>0.1492730986105523</v>
      </c>
      <c r="BR1284" s="317" t="s">
        <v>232</v>
      </c>
      <c r="BS1284" s="155" t="s">
        <v>1562</v>
      </c>
      <c r="BT1284" s="317" t="s">
        <v>1563</v>
      </c>
      <c r="BU1284">
        <v>-226.40900983112437</v>
      </c>
      <c r="BV1284">
        <v>-80.733700144141935</v>
      </c>
      <c r="BW1284" s="144">
        <f>IFERROR(BV1284/BU1284,"")</f>
        <v>0.35658342485734196</v>
      </c>
      <c r="BX1284">
        <f>BV1284-BU1284</f>
        <v>145.67530968698242</v>
      </c>
      <c r="BZ1284">
        <f>BX1284/1000</f>
        <v>0.14567530968698242</v>
      </c>
      <c r="CA1284">
        <f>IFERROR(BZ1284/BQ1284,"")</f>
        <v>0.97589794171181254</v>
      </c>
      <c r="CB1284">
        <v>0</v>
      </c>
      <c r="CC1284">
        <v>0</v>
      </c>
      <c r="CD1284">
        <v>0</v>
      </c>
      <c r="CE1284">
        <v>0</v>
      </c>
      <c r="CF1284">
        <v>0</v>
      </c>
      <c r="CG1284">
        <v>0</v>
      </c>
      <c r="CH1284">
        <v>0</v>
      </c>
      <c r="CI1284">
        <v>0</v>
      </c>
      <c r="CJ1284">
        <v>0</v>
      </c>
      <c r="CK1284">
        <v>0</v>
      </c>
      <c r="CL1284">
        <v>0</v>
      </c>
      <c r="CM1284">
        <v>0</v>
      </c>
      <c r="CN1284">
        <v>0</v>
      </c>
      <c r="CO1284">
        <v>0</v>
      </c>
      <c r="CP1284" t="str">
        <f>IF($BN1284&lt;$BM1284,"refNeedCorrection","refOK")</f>
        <v>refOK</v>
      </c>
      <c r="CQ1284">
        <f>IF($CP1284="refOK",$BM1284,$BN1284)</f>
        <v>0</v>
      </c>
      <c r="CR1284">
        <f>IF($CP1284="refOK",$BN1284,$BM1284)</f>
        <v>7.314381831917062E-2</v>
      </c>
      <c r="CS1284">
        <f>IF($CP1284="refOK",$BQ1284,-$BQ1284)</f>
        <v>0.1492730986105523</v>
      </c>
      <c r="CT1284">
        <f>IF(BI1284="Roundwood",$CS1284/2,$CS1284)</f>
        <v>0.1492730986105523</v>
      </c>
      <c r="CU1284">
        <f>IF($CP1284="refOK",$BU1284,$BV1284)*IF($BR1284="Emissions positive",-1,1)</f>
        <v>-226.40900983112437</v>
      </c>
      <c r="CV1284">
        <f>IF($CP1284="refOK",$BV1284,$BU1284)*IF($BR1284="Emissions positive",-1,1)</f>
        <v>-80.733700144141935</v>
      </c>
      <c r="CW1284">
        <f>IF($CP1284="refNeedCorrection",-BZ1284,BZ1284)*IF($BR1284="Emissions positive",-1,1)</f>
        <v>0.14567530968698242</v>
      </c>
      <c r="CX1284">
        <f>IFERROR($CW1284/$CS1284,"")</f>
        <v>0.97589794171181254</v>
      </c>
      <c r="CY1284">
        <f>IFERROR($CW1284/$CS1284,"")</f>
        <v>0.97589794171181254</v>
      </c>
      <c r="CZ1284">
        <f>IFERROR($CW1284/$CT1284,"")</f>
        <v>0.97589794171181254</v>
      </c>
      <c r="DA1284" s="2">
        <f>IFERROR((CV1284-CU1284)/ABS(CU1284),"")</f>
        <v>0.64341657514265793</v>
      </c>
      <c r="DB1284" s="320" t="s">
        <v>1078</v>
      </c>
      <c r="DC1284" s="317" t="str">
        <f>IF(OR($DB1284="prd",$DB1284="std",$DB1284="cit"),"loc",IF(OR($DB1284="eur",$DB1284="reg",$DB1284="coy"),"reg",$DB1284))</f>
        <v>reg</v>
      </c>
      <c r="DD1284" s="296" t="s">
        <v>3098</v>
      </c>
      <c r="DE1284">
        <v>0</v>
      </c>
      <c r="DF1284">
        <v>0</v>
      </c>
      <c r="DG1284">
        <v>0</v>
      </c>
      <c r="DH1284" t="str">
        <f>IF(DG1284=0,"0",IF(AND(DG1284&gt;=1,DG1284&lt;=30),"1-30",IF(AND(DG1284&gt;30,DG1284&lt;=70),"31-70",IF(AND(DG1284&gt;70,DG1284&lt;=100),"71-100",IF(DG1284&gt;100,"+100")))))</f>
        <v>0</v>
      </c>
      <c r="DI1284">
        <v>0</v>
      </c>
      <c r="DJ1284">
        <v>0</v>
      </c>
      <c r="DK1284">
        <v>0</v>
      </c>
      <c r="DL1284">
        <v>1</v>
      </c>
      <c r="DM1284">
        <v>0</v>
      </c>
      <c r="DN1284">
        <v>1</v>
      </c>
      <c r="DO1284" t="str">
        <f>IF(DN1284=1,INDEX($DI$7:$DL$7,MATCH(1,$DI1284:$DL1284,0)),"mixedProduct")</f>
        <v>TimberInput</v>
      </c>
      <c r="DP1284">
        <f>IF(DI1284=1,DP$7,0)</f>
        <v>0</v>
      </c>
      <c r="DQ1284">
        <f>IF(DJ1284=1,DQ$7,0)</f>
        <v>0</v>
      </c>
      <c r="DR1284">
        <f>IF(DK1284=1,DR$7,0)</f>
        <v>0</v>
      </c>
      <c r="DS1284" t="str">
        <f>IF(DL1284=1,DS$7,0)</f>
        <v>Timber</v>
      </c>
      <c r="DT1284">
        <v>0</v>
      </c>
      <c r="DU1284">
        <v>0</v>
      </c>
      <c r="DV1284">
        <v>0</v>
      </c>
      <c r="DW1284">
        <v>0</v>
      </c>
      <c r="DX1284">
        <v>0</v>
      </c>
      <c r="DY1284">
        <f>SUM(DT1284:DU1284)</f>
        <v>0</v>
      </c>
      <c r="DZ1284" s="143" t="s">
        <v>926</v>
      </c>
      <c r="EA1284">
        <v>0</v>
      </c>
      <c r="EB1284">
        <v>0</v>
      </c>
      <c r="EC1284">
        <v>0</v>
      </c>
      <c r="ED1284">
        <v>0</v>
      </c>
      <c r="EE1284">
        <v>0</v>
      </c>
      <c r="EF1284" s="143">
        <v>1</v>
      </c>
      <c r="EG1284">
        <v>0</v>
      </c>
      <c r="EH1284">
        <v>1</v>
      </c>
      <c r="EI1284">
        <v>0</v>
      </c>
      <c r="EJ1284">
        <v>0</v>
      </c>
      <c r="EK1284">
        <v>0</v>
      </c>
      <c r="EL1284">
        <v>0</v>
      </c>
      <c r="EM1284">
        <v>0</v>
      </c>
      <c r="EN1284" s="2">
        <v>0</v>
      </c>
      <c r="EP1284" t="str">
        <f>IF(AND(AND(AND(OR($EC1284=1,$EB1284=1),OR($EH1284=1,$EF1284=1)),SUM($EA1284:$EE1284,$EK1284)&gt;=3),SUM($EF1284:$EJ1284)&gt;=2),"Whole sector approach","")</f>
        <v/>
      </c>
      <c r="EQ1284" t="str">
        <f>IF(AND(AND(OR($EC1284=1,$EB1284=1),AND($EH1284=0,$EF1284=0)),SUM($EA1284:$EE1284,$EK1284)&gt;=3),"Ecosystem approach","")</f>
        <v/>
      </c>
      <c r="ER1284" s="2" t="str">
        <f>IF(AND(AND(AND($EC1284=0,$EB1284=0),OR($EH1284=1,$EF1284=1)),SUM($EG1284:$EJ1284)&gt;=2),"Technology approach","")</f>
        <v/>
      </c>
      <c r="ES1284" t="str">
        <f>IF(AND($EC1284+$EB1284+$EE1284+$EA1284+$ED1284+$EG1284=0,$N1284="included"),"C neutral forest and HWP assumption","")</f>
        <v>C neutral forest and HWP assumption</v>
      </c>
      <c r="ET1284" t="str">
        <f>IF(AND(AND(AND(AND($EC1284=1,$EB1284+$EA1284+$EG1284&gt;=1),$EF1284=1),$EH1284+$EI1284+$ED1284+$EE1284&gt;=2),$N1284="included"),"All C pools assumption","")</f>
        <v/>
      </c>
      <c r="EU1284" t="str">
        <f>IF(AND($ED1284+$EE1284+$EI1284+$EH1284+$EF1284=0,$N1284="included"),"In-situ only assumption","")</f>
        <v/>
      </c>
      <c r="EY1284" t="str">
        <f>IF(ISNUMBER(BW1284),IF(ABS(BW1284-[4]QC_indicators!$B$2)&gt;3*[4]QC_indicators!$C$2,"C ratio",IF(ISNUMBER(CA1284),IF(ABS(CA1284-[4]QC_indicators!$B$1)&gt;3*[4]QC_indicators!$C$1,"DF","no"))),IF(ISNUMBER(CA1284),IF(ABS(CA1284-[4]QC_indicators!$B$1)&gt;3*[4]QC_indicators!$C$1,"DF","no")))</f>
        <v>no</v>
      </c>
      <c r="FA1284" t="str">
        <f>IF(LEN($CY1284)=0,"",IF(AND($CY1284&lt;(-0.05),$ES1284="C neutral forest and HWP assumption"),"Cneutral paradox",IF(AND($CY1284&gt;0.05,$EU1284="In-situ only assumption"),"In-situ only paradox","")))</f>
        <v/>
      </c>
      <c r="FD1284" t="s">
        <v>4980</v>
      </c>
    </row>
    <row r="1285" spans="1:161" hidden="1">
      <c r="D1285" t="s">
        <v>1508</v>
      </c>
      <c r="E1285" t="s">
        <v>1509</v>
      </c>
      <c r="G1285" t="s">
        <v>1510</v>
      </c>
      <c r="I1285">
        <v>2007</v>
      </c>
      <c r="K1285" t="s">
        <v>1511</v>
      </c>
      <c r="M1285" t="str">
        <f>LEFT($D1285,FIND(",",$D1285)-1)&amp;"_"&amp;I1285&amp;L1285</f>
        <v>Gustavsson_2007</v>
      </c>
      <c r="N1285" t="s">
        <v>222</v>
      </c>
      <c r="O1285" t="s">
        <v>223</v>
      </c>
      <c r="Q1285" t="s">
        <v>256</v>
      </c>
      <c r="R1285" s="264" t="s">
        <v>274</v>
      </c>
      <c r="S1285" s="1" t="s">
        <v>1512</v>
      </c>
      <c r="T1285" t="s">
        <v>1536</v>
      </c>
      <c r="U1285" s="143" t="s">
        <v>1527</v>
      </c>
      <c r="V1285" s="253">
        <v>0</v>
      </c>
      <c r="W1285" s="253">
        <v>0</v>
      </c>
      <c r="X1285">
        <v>0</v>
      </c>
      <c r="Y1285">
        <v>0</v>
      </c>
      <c r="Z1285">
        <v>0</v>
      </c>
      <c r="AA1285">
        <v>0</v>
      </c>
      <c r="AB1285">
        <v>0</v>
      </c>
      <c r="AC1285">
        <v>0</v>
      </c>
      <c r="AD1285">
        <v>0</v>
      </c>
      <c r="AE1285">
        <v>0</v>
      </c>
      <c r="AF1285">
        <v>0</v>
      </c>
      <c r="AG1285">
        <v>0</v>
      </c>
      <c r="AH1285">
        <v>0</v>
      </c>
      <c r="AI1285">
        <v>0</v>
      </c>
      <c r="AJ1285">
        <v>0</v>
      </c>
      <c r="AK1285">
        <v>0</v>
      </c>
      <c r="AL1285">
        <v>0</v>
      </c>
      <c r="AM1285">
        <v>1</v>
      </c>
      <c r="AN1285">
        <v>0</v>
      </c>
      <c r="AO1285">
        <v>0</v>
      </c>
      <c r="AP1285">
        <v>0</v>
      </c>
      <c r="AQ1285">
        <v>0</v>
      </c>
      <c r="AR1285">
        <v>0</v>
      </c>
      <c r="AS1285">
        <v>0</v>
      </c>
      <c r="AT1285">
        <v>0</v>
      </c>
      <c r="AU1285">
        <v>0</v>
      </c>
      <c r="AV1285">
        <v>0</v>
      </c>
      <c r="AW1285">
        <v>0</v>
      </c>
      <c r="AX1285">
        <v>0</v>
      </c>
      <c r="AY1285">
        <v>0</v>
      </c>
      <c r="AZ1285" s="141">
        <f>COUNTIF(X1285:AY1285,"&lt;&gt;0")</f>
        <v>1</v>
      </c>
      <c r="BA1285" s="141">
        <f>COUNTIF(X1285:AN1285,"&lt;&gt;0")</f>
        <v>1</v>
      </c>
      <c r="BB1285">
        <f>COUNTIF(X1285:AE1285,"&lt;&gt;0")</f>
        <v>0</v>
      </c>
      <c r="BC1285">
        <f>COUNTIF(AF1285:AK1285,"&lt;&gt;0")</f>
        <v>0</v>
      </c>
      <c r="BD1285">
        <f>COUNTIF(AL1285:AN1285,"&lt;&gt;0")</f>
        <v>1</v>
      </c>
      <c r="BE1285">
        <f>COUNTIF(AU1285:AY1285,"&lt;&gt;0")</f>
        <v>0</v>
      </c>
      <c r="BF1285">
        <f>COUNTIF(AO1285:AT1285,"&lt;&gt;0")</f>
        <v>0</v>
      </c>
      <c r="BG1285" t="str">
        <f t="array" ref="BG1285">IF(BA1285=1,INDEX($X$7:$AN$7,MATCH(TRUE,INDEX($X1285:$AY1285&lt;&gt;0,),0)),IF(BA1285=0,INDEX($AO$7:$AY$7,MATCH(1,$AO1285:$AY1285,0)),IF(BH1285="Multiple strategies","mixed drivers",IF(BH1285="Supply chain","multiple supply","multiple silviculture"))))</f>
        <v>technologies/design switch</v>
      </c>
      <c r="BH1285" s="2" t="str" cm="1">
        <f t="array" ref="BH1285">IF(COUNTIF(BB1285:BD1285,"&lt;&gt;0")=1,INDEX($X$4:$AY$4,MATCH(TRUE,INDEX($X1285:$AY1285&lt;&gt;0,),0)),IF(COUNTIF(BB1285:BD1285,"&lt;&gt;0")=0,INDEX($AO$4:$AY$4,MATCH(1,$AO1285:$AY1285,0)),"Multiple strategies"))</f>
        <v>Technology</v>
      </c>
      <c r="BI1285" s="142" t="s">
        <v>229</v>
      </c>
      <c r="BJ1285" t="s">
        <v>1514</v>
      </c>
      <c r="BK1285" s="260" t="s">
        <v>987</v>
      </c>
      <c r="BL1285" s="143" t="s">
        <v>2940</v>
      </c>
      <c r="BM1285">
        <v>0</v>
      </c>
      <c r="BN1285" s="143">
        <v>19.3</v>
      </c>
      <c r="BO1285" s="143"/>
      <c r="BP1285">
        <f>BN1285-BM1285</f>
        <v>19.3</v>
      </c>
      <c r="BQ1285" s="143">
        <f>1000*BN1285/15.3/400</f>
        <v>3.15359477124183</v>
      </c>
      <c r="BR1285" t="s">
        <v>232</v>
      </c>
      <c r="BT1285" t="s">
        <v>907</v>
      </c>
      <c r="BU1285" s="143">
        <v>-1</v>
      </c>
      <c r="BV1285" s="151">
        <v>0</v>
      </c>
      <c r="BW1285">
        <v>0</v>
      </c>
      <c r="BX1285">
        <v>1</v>
      </c>
      <c r="BZ1285">
        <f>BX1285*C_to_CO2</f>
        <v>3.67</v>
      </c>
      <c r="CA1285">
        <f>IFERROR(BZ1285/BQ1285,"")</f>
        <v>1.1637512953367877</v>
      </c>
      <c r="CB1285" s="143">
        <v>0</v>
      </c>
      <c r="CC1285" s="143">
        <v>0</v>
      </c>
      <c r="CD1285" s="143">
        <v>0</v>
      </c>
      <c r="CE1285" s="143">
        <v>0</v>
      </c>
      <c r="CF1285" s="143">
        <v>0</v>
      </c>
      <c r="CG1285" s="143">
        <v>0</v>
      </c>
      <c r="CH1285" s="143">
        <v>0</v>
      </c>
      <c r="CI1285" s="143">
        <v>0</v>
      </c>
      <c r="CJ1285" s="143">
        <v>0</v>
      </c>
      <c r="CK1285" s="143">
        <v>0</v>
      </c>
      <c r="CL1285" s="143">
        <v>0</v>
      </c>
      <c r="CM1285" s="143">
        <v>0</v>
      </c>
      <c r="CN1285" s="143">
        <v>0</v>
      </c>
      <c r="CO1285">
        <v>1</v>
      </c>
      <c r="CP1285" t="str">
        <f>IF($BN1285&lt;$BM1285,"refNeedCorrection","refOK")</f>
        <v>refOK</v>
      </c>
      <c r="CQ1285">
        <f>IF($CP1285="refOK",$BM1285,$BN1285)</f>
        <v>0</v>
      </c>
      <c r="CR1285">
        <f>IF($CP1285="refOK",$BN1285,$BM1285)</f>
        <v>19.3</v>
      </c>
      <c r="CS1285">
        <f>IF($CP1285="refOK",$BQ1285,-$BQ1285)</f>
        <v>3.15359477124183</v>
      </c>
      <c r="CT1285">
        <f>IF(BI1285="Roundwood",$CS1285/2,$CS1285)</f>
        <v>3.15359477124183</v>
      </c>
      <c r="CU1285">
        <f>IF($CP1285="refOK",$BU1285,$BV1285)*IF($BR1285="Emissions positive",-1,1)</f>
        <v>-1</v>
      </c>
      <c r="CV1285">
        <f>IF($CP1285="refOK",$BV1285,$BU1285)*IF($BR1285="Emissions positive",-1,1)</f>
        <v>0</v>
      </c>
      <c r="CW1285">
        <f>IF($CP1285="refNeedCorrection",-BZ1285,BZ1285)*IF($BR1285="Emissions positive",-1,1)</f>
        <v>3.67</v>
      </c>
      <c r="CX1285">
        <f>IFERROR($CW1285/$CS1285,"")</f>
        <v>1.1637512953367877</v>
      </c>
      <c r="CY1285">
        <f>IFERROR($CW1285/$CS1285,"")</f>
        <v>1.1637512953367877</v>
      </c>
      <c r="CZ1285">
        <f>IFERROR($CW1285/$CT1285,"")</f>
        <v>1.1637512953367877</v>
      </c>
      <c r="DA1285" s="2">
        <f>IFERROR((CV1285-CU1285)/ABS(CU1285),"")</f>
        <v>1</v>
      </c>
      <c r="DB1285" s="1" t="s">
        <v>1078</v>
      </c>
      <c r="DC1285" t="str">
        <f>IF(OR($DB1285="prd",$DB1285="std",$DB1285="cit"),"loc",IF(OR($DB1285="eur",$DB1285="reg",$DB1285="coy"),"reg",$DB1285))</f>
        <v>reg</v>
      </c>
      <c r="DD1285" t="s">
        <v>444</v>
      </c>
      <c r="DF1285" s="143"/>
      <c r="DG1285" s="143">
        <v>0</v>
      </c>
      <c r="DH1285" t="str">
        <f>IF(DG1285=0,"0",IF(AND(DG1285&gt;=1,DG1285&lt;=30),"1-30",IF(AND(DG1285&gt;30,DG1285&lt;=70),"31-70",IF(AND(DG1285&gt;70,DG1285&lt;=100),"71-100",IF(DG1285&gt;100,"+100")))))</f>
        <v>0</v>
      </c>
      <c r="DI1285">
        <v>0</v>
      </c>
      <c r="DJ1285">
        <v>1</v>
      </c>
      <c r="DK1285">
        <v>0</v>
      </c>
      <c r="DL1285">
        <v>0</v>
      </c>
      <c r="DN1285">
        <f>SUM(DI1285:DL1285)</f>
        <v>1</v>
      </c>
      <c r="DO1285" t="str">
        <f>IF(DN1285=1,INDEX($DI$7:$DL$7,MATCH(1,$DI1285:$DL1285,0)),"mixedProduct")</f>
        <v>EnergyInput</v>
      </c>
      <c r="DP1285">
        <f>IF(DI1285=1,DP$7,0)</f>
        <v>0</v>
      </c>
      <c r="DQ1285" t="str">
        <f>IF(DJ1285=1,DQ$7,0)</f>
        <v>Energy</v>
      </c>
      <c r="DR1285">
        <f>IF(DK1285=1,DR$7,0)</f>
        <v>0</v>
      </c>
      <c r="DS1285">
        <f>IF(DL1285=1,DS$7,0)</f>
        <v>0</v>
      </c>
      <c r="DT1285">
        <v>0</v>
      </c>
      <c r="DU1285" s="143">
        <v>0</v>
      </c>
      <c r="DV1285" s="143">
        <v>0</v>
      </c>
      <c r="DW1285">
        <v>0</v>
      </c>
      <c r="DX1285" s="143">
        <v>0</v>
      </c>
      <c r="DY1285">
        <f>SUM(DT1285:DU1285)</f>
        <v>0</v>
      </c>
      <c r="DZ1285" s="143" t="str">
        <f>IF(DT1285=1,"self-calculated DF",IF(DU1285=1,"external DF used","explicit C balance"))</f>
        <v>explicit C balance</v>
      </c>
      <c r="EA1285" s="143">
        <v>0</v>
      </c>
      <c r="EB1285" s="143">
        <v>0</v>
      </c>
      <c r="EC1285" s="143">
        <v>0</v>
      </c>
      <c r="ED1285" s="143">
        <v>0</v>
      </c>
      <c r="EE1285">
        <v>0</v>
      </c>
      <c r="EF1285" s="143">
        <v>0</v>
      </c>
      <c r="EG1285" s="143">
        <v>0</v>
      </c>
      <c r="EH1285" s="143">
        <v>1</v>
      </c>
      <c r="EI1285" s="143">
        <v>0</v>
      </c>
      <c r="EJ1285">
        <v>0</v>
      </c>
      <c r="EK1285">
        <v>0</v>
      </c>
      <c r="EL1285" s="143">
        <v>0</v>
      </c>
      <c r="EM1285" s="143">
        <v>0</v>
      </c>
      <c r="EN1285" s="2">
        <v>0</v>
      </c>
      <c r="EP1285" t="str">
        <f>IF(AND(AND(AND(OR($EC1285=1,$EB1285=1),OR($EH1285=1,$EF1285=1)),SUM($EA1285:$EE1285,$EK1285)&gt;=3),SUM($EF1285:$EJ1285)&gt;=2),"Whole sector approach","")</f>
        <v/>
      </c>
      <c r="EQ1285" t="str">
        <f>IF(AND(AND(OR($EC1285=1,$EB1285=1),AND($EH1285=0,$EF1285=0)),SUM($EA1285:$EE1285,$EK1285)&gt;=4),"Ecosystem approach","")</f>
        <v/>
      </c>
      <c r="ER1285" s="2" t="str">
        <f>IF(AND(AND(AND($EC1285=0,$EB1285=0),OR($EH1285=1,$EF1285=1)),SUM($EG1285:$EJ1285)&gt;=2),"Technology approach","")</f>
        <v/>
      </c>
      <c r="ES1285" t="str">
        <f>IF(AND($EC1285+$EB1285+$EE1285+$EA1285+$ED1285+$EG1285=0,$N1285="included"),"C neutral forest and HWP assumption","")</f>
        <v>C neutral forest and HWP assumption</v>
      </c>
      <c r="ET1285" t="str">
        <f>IF(AND(AND(AND(AND($EC1285=1,$EB1285+$EA1285+$EG1285&gt;=1),$EF1285=1),$EH1285+$EI1285+$ED1285+$EE1285&gt;=2),$N1285="included"),"All C pools assumption","")</f>
        <v/>
      </c>
      <c r="EU1285" t="str">
        <f>IF(AND($ED1285+$EE1285+$EI1285+$EH1285+$EF1285=0,$N1285="included"),"In-situ only assumption","")</f>
        <v/>
      </c>
      <c r="EY1285" t="str">
        <f>IF(ISNUMBER(BW1285),IF(ABS(BW1285-[3]QC_indicators!$B$2)&gt;3*[3]QC_indicators!$C$2,"C ratio",IF(ISNUMBER(CA1285),IF(ABS(CA1285-[3]QC_indicators!$B$1)&gt;3*[3]QC_indicators!$C$1,"DF","no"))),IF(ISNUMBER(CA1285),IF(ABS(CA1285-[3]QC_indicators!$B$1)&gt;3*[3]QC_indicators!$C$1,"DF","no")))</f>
        <v>no</v>
      </c>
      <c r="FA1285" t="str">
        <f>IF(LEN($CY1285)=0,"",IF(AND($CY1285&lt;(-0.05),$ES1285="C neutral forest and HWP assumption"),"Cneutral paradox",IF(AND($CY1285&gt;0.05,$EU1285="In-situ only assumption"),"In-situ only paradox","")))</f>
        <v/>
      </c>
      <c r="FB1285" s="149" t="s">
        <v>349</v>
      </c>
      <c r="FD1285" s="260" t="s">
        <v>2941</v>
      </c>
    </row>
    <row r="1286" spans="1:161" ht="15" hidden="1" customHeight="1">
      <c r="D1286" t="s">
        <v>927</v>
      </c>
      <c r="E1286" t="s">
        <v>949</v>
      </c>
      <c r="G1286" t="s">
        <v>950</v>
      </c>
      <c r="I1286">
        <v>2004</v>
      </c>
      <c r="K1286" t="s">
        <v>951</v>
      </c>
      <c r="M1286" t="str">
        <f>LEFT($D1286,FIND(",",$D1286)-1)&amp;"_"&amp;I1286&amp;L1286</f>
        <v>Petersen_2004</v>
      </c>
      <c r="N1286" t="s">
        <v>222</v>
      </c>
      <c r="O1286" s="171" t="s">
        <v>508</v>
      </c>
      <c r="P1286" s="141" t="s">
        <v>225</v>
      </c>
      <c r="Q1286" t="s">
        <v>389</v>
      </c>
      <c r="R1286" s="258" t="s">
        <v>223</v>
      </c>
      <c r="S1286" s="1" t="s">
        <v>956</v>
      </c>
      <c r="T1286" t="s">
        <v>964</v>
      </c>
      <c r="U1286" t="s">
        <v>958</v>
      </c>
      <c r="V1286" s="253">
        <v>0</v>
      </c>
      <c r="W1286" s="253">
        <v>0</v>
      </c>
      <c r="X1286">
        <v>0</v>
      </c>
      <c r="Y1286">
        <v>0</v>
      </c>
      <c r="Z1286">
        <v>0</v>
      </c>
      <c r="AA1286">
        <v>0</v>
      </c>
      <c r="AB1286">
        <v>0</v>
      </c>
      <c r="AC1286">
        <v>0</v>
      </c>
      <c r="AD1286">
        <v>0</v>
      </c>
      <c r="AE1286">
        <v>0</v>
      </c>
      <c r="AF1286">
        <v>0</v>
      </c>
      <c r="AG1286">
        <v>0</v>
      </c>
      <c r="AH1286">
        <v>0</v>
      </c>
      <c r="AI1286">
        <v>0</v>
      </c>
      <c r="AJ1286">
        <v>0</v>
      </c>
      <c r="AK1286">
        <v>0</v>
      </c>
      <c r="AL1286">
        <v>0</v>
      </c>
      <c r="AM1286">
        <v>1</v>
      </c>
      <c r="AN1286">
        <v>0</v>
      </c>
      <c r="AO1286">
        <v>0</v>
      </c>
      <c r="AP1286">
        <v>0</v>
      </c>
      <c r="AQ1286">
        <v>0</v>
      </c>
      <c r="AR1286">
        <v>0</v>
      </c>
      <c r="AS1286">
        <v>0</v>
      </c>
      <c r="AT1286">
        <v>0</v>
      </c>
      <c r="AU1286">
        <v>0</v>
      </c>
      <c r="AV1286">
        <v>0</v>
      </c>
      <c r="AW1286">
        <v>0</v>
      </c>
      <c r="AX1286">
        <v>0</v>
      </c>
      <c r="AY1286">
        <v>0</v>
      </c>
      <c r="AZ1286" s="141">
        <f>COUNTIF(X1286:AY1286,"&lt;&gt;0")</f>
        <v>1</v>
      </c>
      <c r="BA1286" s="141">
        <f>COUNTIF(X1286:AN1286,"&lt;&gt;0")</f>
        <v>1</v>
      </c>
      <c r="BB1286">
        <f>COUNTIF(X1286:AE1286,"&lt;&gt;0")</f>
        <v>0</v>
      </c>
      <c r="BC1286">
        <f>COUNTIF(AF1286:AK1286,"&lt;&gt;0")</f>
        <v>0</v>
      </c>
      <c r="BD1286">
        <f>COUNTIF(AL1286:AN1286,"&lt;&gt;0")</f>
        <v>1</v>
      </c>
      <c r="BE1286">
        <f>COUNTIF(AU1286:AY1286,"&lt;&gt;0")</f>
        <v>0</v>
      </c>
      <c r="BF1286">
        <f>COUNTIF(AO1286:AT1286,"&lt;&gt;0")</f>
        <v>0</v>
      </c>
      <c r="BG1286" t="str">
        <f t="array" ref="BG1286">IF(BA1286=1,INDEX($X$7:$AN$7,MATCH(TRUE,INDEX($X1286:$AY1286&lt;&gt;0,),0)),IF(BA1286=0,INDEX($AO$7:$AY$7,MATCH(1,$AO1286:$AY1286,0)),IF(BH1286="Multiple strategies","mixed drivers",IF(BH1286="Supply chain","multiple supply","multiple silviculture"))))</f>
        <v>technologies/design switch</v>
      </c>
      <c r="BH1286" s="2" t="str" cm="1">
        <f t="array" ref="BH1286">IF(COUNTIF(BB1286:BD1286,"&lt;&gt;0")=1,INDEX($X$4:$AY$4,MATCH(TRUE,INDEX($X1286:$AY1286&lt;&gt;0,),0)),IF(COUNTIF(BB1286:BD1286,"&lt;&gt;0")=0,INDEX($AO$4:$AY$4,MATCH(1,$AO1286:$AY1286,0)),"Multiple strategies"))</f>
        <v>Technology</v>
      </c>
      <c r="BI1286" s="142" t="s">
        <v>229</v>
      </c>
      <c r="BJ1286" t="s">
        <v>933</v>
      </c>
      <c r="BK1286" t="s">
        <v>954</v>
      </c>
      <c r="BL1286" t="s">
        <v>498</v>
      </c>
      <c r="BM1286">
        <v>0</v>
      </c>
      <c r="BN1286" s="143">
        <v>1</v>
      </c>
      <c r="BO1286" t="str">
        <f>IFERROR(BN1286/BM1286,"")</f>
        <v/>
      </c>
      <c r="BP1286">
        <f>BN1286-BM1286</f>
        <v>1</v>
      </c>
      <c r="BQ1286" s="159">
        <v>1</v>
      </c>
      <c r="BR1286" t="s">
        <v>232</v>
      </c>
      <c r="BS1286" t="s">
        <v>955</v>
      </c>
      <c r="BT1286" t="s">
        <v>946</v>
      </c>
      <c r="BW1286" s="144"/>
      <c r="BX1286">
        <v>1.2</v>
      </c>
      <c r="BZ1286">
        <f>BX1286</f>
        <v>1.2</v>
      </c>
      <c r="CA1286">
        <f>IFERROR(BZ1286/BQ1286,"")</f>
        <v>1.2</v>
      </c>
      <c r="CB1286">
        <v>0</v>
      </c>
      <c r="CC1286">
        <v>0</v>
      </c>
      <c r="CD1286">
        <v>0</v>
      </c>
      <c r="CE1286">
        <v>0</v>
      </c>
      <c r="CF1286">
        <v>0</v>
      </c>
      <c r="CG1286">
        <v>0</v>
      </c>
      <c r="CH1286">
        <v>0</v>
      </c>
      <c r="CI1286">
        <v>0</v>
      </c>
      <c r="CJ1286">
        <v>0</v>
      </c>
      <c r="CK1286">
        <v>0</v>
      </c>
      <c r="CL1286">
        <v>0</v>
      </c>
      <c r="CM1286">
        <v>0</v>
      </c>
      <c r="CN1286">
        <v>0</v>
      </c>
      <c r="CO1286">
        <v>0</v>
      </c>
      <c r="CP1286" t="str">
        <f>IF($BN1286&lt;$BM1286,"refNeedCorrection","refOK")</f>
        <v>refOK</v>
      </c>
      <c r="CQ1286">
        <f>IF($CP1286="refOK",$BM1286,$BN1286)</f>
        <v>0</v>
      </c>
      <c r="CR1286">
        <f>IF($CP1286="refOK",$BN1286,$BM1286)</f>
        <v>1</v>
      </c>
      <c r="CS1286">
        <f>IF($CP1286="refOK",$BQ1286,-$BQ1286)</f>
        <v>1</v>
      </c>
      <c r="CT1286">
        <f>IF(BI1286="Roundwood",$CS1286/2,$CS1286)</f>
        <v>1</v>
      </c>
      <c r="CU1286">
        <f>IF($CP1286="refOK",$BU1286,$BV1286)*IF($BR1286="Emissions positive",-1,1)</f>
        <v>0</v>
      </c>
      <c r="CV1286">
        <f>IF($CP1286="refOK",$BV1286,$BU1286)*IF($BR1286="Emissions positive",-1,1)</f>
        <v>0</v>
      </c>
      <c r="CW1286">
        <f>IF($CP1286="refNeedCorrection",-BZ1286,BZ1286)*IF($BR1286="Emissions positive",-1,1)</f>
        <v>1.2</v>
      </c>
      <c r="CX1286">
        <f>IFERROR($CW1286/$CS1286,"")</f>
        <v>1.2</v>
      </c>
      <c r="CY1286">
        <f>IFERROR($CW1286/$CS1286,"")</f>
        <v>1.2</v>
      </c>
      <c r="CZ1286">
        <f>IFERROR($CW1286/$CT1286,"")</f>
        <v>1.2</v>
      </c>
      <c r="DA1286" s="2" t="str">
        <f>IFERROR((CV1286-CU1286)/ABS(CU1286),"")</f>
        <v/>
      </c>
      <c r="DB1286" s="1" t="s">
        <v>263</v>
      </c>
      <c r="DC1286" t="str">
        <f>IF(OR($DB1286="prd",$DB1286="std",$DB1286="cit"),"loc",IF(OR($DB1286="eur",$DB1286="reg",$DB1286="coy"),"reg",$DB1286))</f>
        <v>loc</v>
      </c>
      <c r="DD1286" t="s">
        <v>264</v>
      </c>
      <c r="DF1286" s="143"/>
      <c r="DG1286" s="143">
        <v>45</v>
      </c>
      <c r="DH1286" t="str">
        <f>IF(DG1286=0,"0",IF(AND(DG1286&gt;=1,DG1286&lt;=30),"1-30",IF(AND(DG1286&gt;30,DG1286&lt;=70),"31-70",IF(AND(DG1286&gt;70,DG1286&lt;=100),"71-100",IF(DG1286&gt;100,"+100")))))</f>
        <v>31-70</v>
      </c>
      <c r="DI1286">
        <v>0</v>
      </c>
      <c r="DJ1286">
        <v>0</v>
      </c>
      <c r="DK1286">
        <v>0</v>
      </c>
      <c r="DL1286">
        <v>1</v>
      </c>
      <c r="DM1286">
        <v>0</v>
      </c>
      <c r="DN1286">
        <f>SUM(DI1286:DL1286)</f>
        <v>1</v>
      </c>
      <c r="DO1286" t="str">
        <f>IF(DN1286=1,INDEX($DI$7:$DL$7,MATCH(1,$DI1286:$DL1286,0)),"mixedProduct")</f>
        <v>TimberInput</v>
      </c>
      <c r="DP1286">
        <f>IF(DI1286=1,DP$7,0)</f>
        <v>0</v>
      </c>
      <c r="DQ1286">
        <f>IF(DJ1286=1,DQ$7,0)</f>
        <v>0</v>
      </c>
      <c r="DR1286">
        <f>IF(DK1286=1,DR$7,0)</f>
        <v>0</v>
      </c>
      <c r="DS1286" t="str">
        <f>IF(DL1286=1,DS$7,0)</f>
        <v>Timber</v>
      </c>
      <c r="DT1286">
        <v>1</v>
      </c>
      <c r="DU1286">
        <v>0</v>
      </c>
      <c r="DV1286">
        <v>0</v>
      </c>
      <c r="DW1286">
        <v>0</v>
      </c>
      <c r="DX1286">
        <v>0</v>
      </c>
      <c r="DY1286">
        <f>SUM(DT1286:DU1286)</f>
        <v>1</v>
      </c>
      <c r="DZ1286" s="143" t="str">
        <f>IF(DT1286=1,"self-calculated DF",IF(DU1286=1,"external DF used","explicit C balance"))</f>
        <v>self-calculated DF</v>
      </c>
      <c r="EA1286" s="143">
        <v>0</v>
      </c>
      <c r="EB1286" s="143">
        <v>0</v>
      </c>
      <c r="EC1286" s="143">
        <v>0</v>
      </c>
      <c r="ED1286" s="143">
        <v>0</v>
      </c>
      <c r="EE1286">
        <v>0</v>
      </c>
      <c r="EF1286" s="143">
        <v>0</v>
      </c>
      <c r="EG1286" s="143">
        <v>0</v>
      </c>
      <c r="EH1286" s="143">
        <v>1</v>
      </c>
      <c r="EI1286" s="143">
        <v>0</v>
      </c>
      <c r="EJ1286">
        <v>0</v>
      </c>
      <c r="EK1286">
        <v>0</v>
      </c>
      <c r="EL1286" s="143">
        <v>0</v>
      </c>
      <c r="EM1286" s="143">
        <v>0</v>
      </c>
      <c r="EN1286" s="2">
        <v>0</v>
      </c>
      <c r="EP1286" t="str">
        <f>IF(AND(AND(AND(OR($EC1286=1,$EB1286=1),OR($EH1286=1,$EF1286=1)),SUM($EA1286:$EE1286,$EK1286)&gt;=3),SUM($EF1286:$EJ1286)&gt;=2),"Whole sector approach","")</f>
        <v/>
      </c>
      <c r="EQ1286" t="str">
        <f>IF(AND(AND(OR($EC1286=1,$EB1286=1),AND($EH1286=0,$EF1286=0)),SUM($EA1286:$EE1286,$EK1286)&gt;=4),"Ecosystem approach","")</f>
        <v/>
      </c>
      <c r="ER1286" s="2" t="str">
        <f>IF(AND(AND(AND($EC1286=0,$EB1286=0),OR($EH1286=1,$EF1286=1)),SUM($EG1286:$EJ1286)&gt;=2),"Technology approach","")</f>
        <v/>
      </c>
      <c r="ES1286" t="str">
        <f>IF(AND($EC1286+$EB1286+$EE1286+$EA1286+$ED1286+$EG1286=0,$N1286="included"),"C neutral forest and HWP assumption","")</f>
        <v>C neutral forest and HWP assumption</v>
      </c>
      <c r="ET1286" t="str">
        <f>IF(AND(AND(AND(AND($EC1286=1,$EB1286+$EA1286+$EG1286&gt;=1),$EF1286=1),$EH1286+$EI1286+$ED1286+$EE1286&gt;=2),$N1286="included"),"All C pools assumption","")</f>
        <v/>
      </c>
      <c r="EU1286" t="str">
        <f>IF(AND($ED1286+$EE1286+$EI1286+$EH1286+$EF1286=0,$N1286="included"),"In-situ only assumption","")</f>
        <v/>
      </c>
      <c r="EY1286" t="str">
        <f>IF(ISNUMBER(BW1286),IF(ABS(BW1286-[2]QC_indicators!$B$2)&gt;3*[2]QC_indicators!$C$2,"C ratio",IF(ISNUMBER(CA1286),IF(ABS(CA1286-[2]QC_indicators!$B$1)&gt;3*[2]QC_indicators!$C$1,"DF","no"))),IF(ISNUMBER(CA1286),IF(ABS(CA1286-[2]QC_indicators!$B$1)&gt;3*[2]QC_indicators!$C$1,"DF","no")))</f>
        <v>no</v>
      </c>
      <c r="FA1286" t="str">
        <f>IF(LEN($CY1286)=0,"",IF(AND($CY1286&lt;(-0.05),$ES1286="C neutral forest and HWP assumption"),"Cneutral paradox",IF(AND($CY1286&gt;0.05,$EU1286="In-situ only assumption"),"In-situ only paradox","")))</f>
        <v/>
      </c>
      <c r="FB1286" t="s">
        <v>944</v>
      </c>
      <c r="FD1286" s="260" t="s">
        <v>2887</v>
      </c>
    </row>
    <row r="1287" spans="1:161" ht="15" hidden="1" customHeight="1">
      <c r="D1287" t="s">
        <v>927</v>
      </c>
      <c r="E1287" t="s">
        <v>949</v>
      </c>
      <c r="G1287" t="s">
        <v>950</v>
      </c>
      <c r="I1287">
        <v>2004</v>
      </c>
      <c r="K1287" t="s">
        <v>951</v>
      </c>
      <c r="M1287" t="str">
        <f>LEFT($D1287,FIND(",",$D1287)-1)&amp;"_"&amp;I1287&amp;L1287</f>
        <v>Petersen_2004</v>
      </c>
      <c r="N1287" t="s">
        <v>222</v>
      </c>
      <c r="O1287" s="171" t="s">
        <v>508</v>
      </c>
      <c r="P1287" s="141" t="s">
        <v>225</v>
      </c>
      <c r="Q1287" t="s">
        <v>389</v>
      </c>
      <c r="R1287" s="258" t="s">
        <v>223</v>
      </c>
      <c r="S1287" s="1" t="s">
        <v>938</v>
      </c>
      <c r="T1287" t="s">
        <v>965</v>
      </c>
      <c r="U1287" t="s">
        <v>962</v>
      </c>
      <c r="V1287" s="253">
        <v>0</v>
      </c>
      <c r="W1287" s="253">
        <v>0</v>
      </c>
      <c r="X1287">
        <v>0</v>
      </c>
      <c r="Y1287">
        <v>0</v>
      </c>
      <c r="Z1287">
        <v>0</v>
      </c>
      <c r="AA1287">
        <v>0</v>
      </c>
      <c r="AB1287">
        <v>0</v>
      </c>
      <c r="AC1287">
        <v>0</v>
      </c>
      <c r="AD1287">
        <v>0</v>
      </c>
      <c r="AE1287">
        <v>0</v>
      </c>
      <c r="AF1287">
        <v>0</v>
      </c>
      <c r="AG1287">
        <v>0</v>
      </c>
      <c r="AH1287">
        <v>0</v>
      </c>
      <c r="AI1287">
        <v>0</v>
      </c>
      <c r="AJ1287">
        <v>0</v>
      </c>
      <c r="AK1287">
        <v>0</v>
      </c>
      <c r="AL1287">
        <v>0</v>
      </c>
      <c r="AM1287">
        <v>1</v>
      </c>
      <c r="AN1287">
        <v>0</v>
      </c>
      <c r="AO1287">
        <v>0</v>
      </c>
      <c r="AP1287">
        <v>0</v>
      </c>
      <c r="AQ1287">
        <v>0</v>
      </c>
      <c r="AR1287">
        <v>0</v>
      </c>
      <c r="AS1287">
        <v>0</v>
      </c>
      <c r="AT1287">
        <v>0</v>
      </c>
      <c r="AU1287">
        <v>0</v>
      </c>
      <c r="AV1287">
        <v>0</v>
      </c>
      <c r="AW1287">
        <v>0</v>
      </c>
      <c r="AX1287">
        <v>0</v>
      </c>
      <c r="AY1287">
        <v>0</v>
      </c>
      <c r="AZ1287" s="141">
        <f>COUNTIF(X1287:AY1287,"&lt;&gt;0")</f>
        <v>1</v>
      </c>
      <c r="BA1287" s="141">
        <f>COUNTIF(X1287:AN1287,"&lt;&gt;0")</f>
        <v>1</v>
      </c>
      <c r="BB1287">
        <f>COUNTIF(X1287:AE1287,"&lt;&gt;0")</f>
        <v>0</v>
      </c>
      <c r="BC1287">
        <f>COUNTIF(AF1287:AK1287,"&lt;&gt;0")</f>
        <v>0</v>
      </c>
      <c r="BD1287">
        <f>COUNTIF(AL1287:AN1287,"&lt;&gt;0")</f>
        <v>1</v>
      </c>
      <c r="BE1287">
        <f>COUNTIF(AU1287:AY1287,"&lt;&gt;0")</f>
        <v>0</v>
      </c>
      <c r="BF1287">
        <f>COUNTIF(AO1287:AT1287,"&lt;&gt;0")</f>
        <v>0</v>
      </c>
      <c r="BG1287" t="str">
        <f t="array" ref="BG1287">IF(BA1287=1,INDEX($X$7:$AN$7,MATCH(TRUE,INDEX($X1287:$AY1287&lt;&gt;0,),0)),IF(BA1287=0,INDEX($AO$7:$AY$7,MATCH(1,$AO1287:$AY1287,0)),IF(BH1287="Multiple strategies","mixed drivers",IF(BH1287="Supply chain","multiple supply","multiple silviculture"))))</f>
        <v>technologies/design switch</v>
      </c>
      <c r="BH1287" s="2" t="str" cm="1">
        <f t="array" ref="BH1287">IF(COUNTIF(BB1287:BD1287,"&lt;&gt;0")=1,INDEX($X$4:$AY$4,MATCH(TRUE,INDEX($X1287:$AY1287&lt;&gt;0,),0)),IF(COUNTIF(BB1287:BD1287,"&lt;&gt;0")=0,INDEX($AO$4:$AY$4,MATCH(1,$AO1287:$AY1287,0)),"Multiple strategies"))</f>
        <v>Technology</v>
      </c>
      <c r="BI1287" s="142" t="s">
        <v>229</v>
      </c>
      <c r="BJ1287" t="s">
        <v>933</v>
      </c>
      <c r="BK1287" t="s">
        <v>954</v>
      </c>
      <c r="BL1287" t="s">
        <v>498</v>
      </c>
      <c r="BM1287">
        <v>0</v>
      </c>
      <c r="BN1287" s="143">
        <v>1</v>
      </c>
      <c r="BO1287" t="str">
        <f>IFERROR(BN1287/BM1287,"")</f>
        <v/>
      </c>
      <c r="BP1287">
        <f>BN1287-BM1287</f>
        <v>1</v>
      </c>
      <c r="BQ1287" s="159">
        <v>1</v>
      </c>
      <c r="BR1287" t="s">
        <v>232</v>
      </c>
      <c r="BS1287" t="s">
        <v>955</v>
      </c>
      <c r="BT1287" t="s">
        <v>935</v>
      </c>
      <c r="BW1287" s="144"/>
      <c r="BX1287">
        <v>1.3</v>
      </c>
      <c r="BZ1287">
        <f>BX1287</f>
        <v>1.3</v>
      </c>
      <c r="CA1287">
        <f>IFERROR(BZ1287/BQ1287,"")</f>
        <v>1.3</v>
      </c>
      <c r="CB1287">
        <v>0</v>
      </c>
      <c r="CC1287">
        <v>0</v>
      </c>
      <c r="CD1287">
        <v>0</v>
      </c>
      <c r="CE1287">
        <v>0</v>
      </c>
      <c r="CF1287">
        <v>0</v>
      </c>
      <c r="CG1287">
        <v>0</v>
      </c>
      <c r="CH1287">
        <v>0</v>
      </c>
      <c r="CI1287">
        <v>0</v>
      </c>
      <c r="CJ1287">
        <v>0</v>
      </c>
      <c r="CK1287">
        <v>0</v>
      </c>
      <c r="CL1287">
        <v>0</v>
      </c>
      <c r="CM1287">
        <v>0</v>
      </c>
      <c r="CN1287">
        <v>0</v>
      </c>
      <c r="CO1287">
        <v>0</v>
      </c>
      <c r="CP1287" t="str">
        <f>IF($BN1287&lt;$BM1287,"refNeedCorrection","refOK")</f>
        <v>refOK</v>
      </c>
      <c r="CQ1287">
        <f>IF($CP1287="refOK",$BM1287,$BN1287)</f>
        <v>0</v>
      </c>
      <c r="CR1287">
        <f>IF($CP1287="refOK",$BN1287,$BM1287)</f>
        <v>1</v>
      </c>
      <c r="CS1287">
        <f>IF($CP1287="refOK",$BQ1287,-$BQ1287)</f>
        <v>1</v>
      </c>
      <c r="CT1287">
        <f>IF(BI1287="Roundwood",$CS1287/2,$CS1287)</f>
        <v>1</v>
      </c>
      <c r="CU1287">
        <f>IF($CP1287="refOK",$BU1287,$BV1287)*IF($BR1287="Emissions positive",-1,1)</f>
        <v>0</v>
      </c>
      <c r="CV1287">
        <f>IF($CP1287="refOK",$BV1287,$BU1287)*IF($BR1287="Emissions positive",-1,1)</f>
        <v>0</v>
      </c>
      <c r="CW1287">
        <f>IF($CP1287="refNeedCorrection",-BZ1287,BZ1287)*IF($BR1287="Emissions positive",-1,1)</f>
        <v>1.3</v>
      </c>
      <c r="CX1287">
        <f>IFERROR($CW1287/$CS1287,"")</f>
        <v>1.3</v>
      </c>
      <c r="CY1287">
        <f>IFERROR($CW1287/$CS1287,"")</f>
        <v>1.3</v>
      </c>
      <c r="CZ1287">
        <f>IFERROR($CW1287/$CT1287,"")</f>
        <v>1.3</v>
      </c>
      <c r="DA1287" s="2" t="str">
        <f>IFERROR((CV1287-CU1287)/ABS(CU1287),"")</f>
        <v/>
      </c>
      <c r="DB1287" s="1" t="s">
        <v>263</v>
      </c>
      <c r="DC1287" t="str">
        <f>IF(OR($DB1287="prd",$DB1287="std",$DB1287="cit"),"loc",IF(OR($DB1287="eur",$DB1287="reg",$DB1287="coy"),"reg",$DB1287))</f>
        <v>loc</v>
      </c>
      <c r="DD1287" t="s">
        <v>264</v>
      </c>
      <c r="DF1287" s="143"/>
      <c r="DG1287" s="143">
        <v>45</v>
      </c>
      <c r="DH1287" t="str">
        <f>IF(DG1287=0,"0",IF(AND(DG1287&gt;=1,DG1287&lt;=30),"1-30",IF(AND(DG1287&gt;30,DG1287&lt;=70),"31-70",IF(AND(DG1287&gt;70,DG1287&lt;=100),"71-100",IF(DG1287&gt;100,"+100")))))</f>
        <v>31-70</v>
      </c>
      <c r="DI1287">
        <v>0</v>
      </c>
      <c r="DJ1287">
        <v>0</v>
      </c>
      <c r="DK1287">
        <v>0</v>
      </c>
      <c r="DL1287">
        <v>1</v>
      </c>
      <c r="DM1287">
        <v>0</v>
      </c>
      <c r="DN1287">
        <f>SUM(DI1287:DL1287)</f>
        <v>1</v>
      </c>
      <c r="DO1287" t="str">
        <f>IF(DN1287=1,INDEX($DI$7:$DL$7,MATCH(1,$DI1287:$DL1287,0)),"mixedProduct")</f>
        <v>TimberInput</v>
      </c>
      <c r="DP1287">
        <f>IF(DI1287=1,DP$7,0)</f>
        <v>0</v>
      </c>
      <c r="DQ1287">
        <f>IF(DJ1287=1,DQ$7,0)</f>
        <v>0</v>
      </c>
      <c r="DR1287">
        <f>IF(DK1287=1,DR$7,0)</f>
        <v>0</v>
      </c>
      <c r="DS1287" t="str">
        <f>IF(DL1287=1,DS$7,0)</f>
        <v>Timber</v>
      </c>
      <c r="DT1287">
        <v>1</v>
      </c>
      <c r="DU1287">
        <v>0</v>
      </c>
      <c r="DV1287">
        <v>0</v>
      </c>
      <c r="DW1287">
        <v>0</v>
      </c>
      <c r="DX1287">
        <v>0</v>
      </c>
      <c r="DY1287">
        <f>SUM(DT1287:DU1287)</f>
        <v>1</v>
      </c>
      <c r="DZ1287" s="143" t="str">
        <f>IF(DT1287=1,"self-calculated DF",IF(DU1287=1,"external DF used","explicit C balance"))</f>
        <v>self-calculated DF</v>
      </c>
      <c r="EA1287" s="143">
        <v>0</v>
      </c>
      <c r="EB1287" s="143">
        <v>0</v>
      </c>
      <c r="EC1287" s="143">
        <v>0</v>
      </c>
      <c r="ED1287" s="143">
        <v>0</v>
      </c>
      <c r="EE1287">
        <v>0</v>
      </c>
      <c r="EF1287" s="143">
        <v>1</v>
      </c>
      <c r="EG1287" s="143">
        <v>0</v>
      </c>
      <c r="EH1287" s="143">
        <v>1</v>
      </c>
      <c r="EI1287" s="143">
        <v>0</v>
      </c>
      <c r="EJ1287">
        <v>0</v>
      </c>
      <c r="EK1287">
        <v>0</v>
      </c>
      <c r="EL1287" s="143">
        <v>0</v>
      </c>
      <c r="EM1287" s="143">
        <v>0</v>
      </c>
      <c r="EN1287" s="2">
        <v>0</v>
      </c>
      <c r="EP1287" t="str">
        <f>IF(AND(AND(AND(OR($EC1287=1,$EB1287=1),OR($EH1287=1,$EF1287=1)),SUM($EA1287:$EE1287,$EK1287)&gt;=3),SUM($EF1287:$EJ1287)&gt;=2),"Whole sector approach","")</f>
        <v/>
      </c>
      <c r="EQ1287" t="str">
        <f>IF(AND(AND(OR($EC1287=1,$EB1287=1),AND($EH1287=0,$EF1287=0)),SUM($EA1287:$EE1287,$EK1287)&gt;=4),"Ecosystem approach","")</f>
        <v/>
      </c>
      <c r="ER1287" s="2" t="str">
        <f>IF(AND(AND(AND($EC1287=0,$EB1287=0),OR($EH1287=1,$EF1287=1)),SUM($EG1287:$EJ1287)&gt;=2),"Technology approach","")</f>
        <v/>
      </c>
      <c r="ES1287" t="str">
        <f>IF(AND($EC1287+$EB1287+$EE1287+$EA1287+$ED1287+$EG1287=0,$N1287="included"),"C neutral forest and HWP assumption","")</f>
        <v>C neutral forest and HWP assumption</v>
      </c>
      <c r="ET1287" t="str">
        <f>IF(AND(AND(AND(AND($EC1287=1,$EB1287+$EA1287+$EG1287&gt;=1),$EF1287=1),$EH1287+$EI1287+$ED1287+$EE1287&gt;=2),$N1287="included"),"All C pools assumption","")</f>
        <v/>
      </c>
      <c r="EU1287" t="str">
        <f>IF(AND($ED1287+$EE1287+$EI1287+$EH1287+$EF1287=0,$N1287="included"),"In-situ only assumption","")</f>
        <v/>
      </c>
      <c r="EY1287" t="str">
        <f>IF(ISNUMBER(BW1287),IF(ABS(BW1287-[2]QC_indicators!$B$2)&gt;3*[2]QC_indicators!$C$2,"C ratio",IF(ISNUMBER(CA1287),IF(ABS(CA1287-[2]QC_indicators!$B$1)&gt;3*[2]QC_indicators!$C$1,"DF","no"))),IF(ISNUMBER(CA1287),IF(ABS(CA1287-[2]QC_indicators!$B$1)&gt;3*[2]QC_indicators!$C$1,"DF","no")))</f>
        <v>no</v>
      </c>
      <c r="FA1287" t="str">
        <f>IF(LEN($CY1287)=0,"",IF(AND($CY1287&lt;(-0.05),$ES1287="C neutral forest and HWP assumption"),"Cneutral paradox",IF(AND($CY1287&gt;0.05,$EU1287="In-situ only assumption"),"In-situ only paradox","")))</f>
        <v/>
      </c>
      <c r="FB1287" t="s">
        <v>944</v>
      </c>
      <c r="FD1287" s="260" t="s">
        <v>2887</v>
      </c>
    </row>
    <row r="1288" spans="1:161" ht="18" hidden="1" customHeight="1">
      <c r="D1288" t="s">
        <v>1508</v>
      </c>
      <c r="E1288" t="s">
        <v>1509</v>
      </c>
      <c r="G1288" t="s">
        <v>1510</v>
      </c>
      <c r="I1288">
        <v>2007</v>
      </c>
      <c r="K1288" t="s">
        <v>1511</v>
      </c>
      <c r="M1288" t="str">
        <f>LEFT($D1288,FIND(",",$D1288)-1)&amp;"_"&amp;I1288&amp;L1288</f>
        <v>Gustavsson_2007</v>
      </c>
      <c r="N1288" t="s">
        <v>222</v>
      </c>
      <c r="O1288" t="s">
        <v>223</v>
      </c>
      <c r="Q1288" t="s">
        <v>256</v>
      </c>
      <c r="R1288" s="264" t="s">
        <v>274</v>
      </c>
      <c r="S1288" s="1" t="s">
        <v>1512</v>
      </c>
      <c r="T1288" t="s">
        <v>1537</v>
      </c>
      <c r="U1288" s="143" t="s">
        <v>1530</v>
      </c>
      <c r="V1288" s="253">
        <v>0</v>
      </c>
      <c r="W1288" s="253">
        <v>0</v>
      </c>
      <c r="X1288">
        <v>0</v>
      </c>
      <c r="Y1288">
        <v>0</v>
      </c>
      <c r="Z1288">
        <v>0</v>
      </c>
      <c r="AA1288">
        <v>0</v>
      </c>
      <c r="AB1288">
        <v>0</v>
      </c>
      <c r="AC1288">
        <v>0</v>
      </c>
      <c r="AD1288">
        <v>0</v>
      </c>
      <c r="AE1288">
        <v>0</v>
      </c>
      <c r="AF1288">
        <v>0</v>
      </c>
      <c r="AG1288">
        <v>0</v>
      </c>
      <c r="AH1288">
        <v>0</v>
      </c>
      <c r="AI1288">
        <v>0</v>
      </c>
      <c r="AJ1288">
        <v>0</v>
      </c>
      <c r="AK1288">
        <v>0</v>
      </c>
      <c r="AL1288">
        <v>0</v>
      </c>
      <c r="AM1288">
        <v>1</v>
      </c>
      <c r="AN1288">
        <v>0</v>
      </c>
      <c r="AO1288">
        <v>0</v>
      </c>
      <c r="AP1288">
        <v>0</v>
      </c>
      <c r="AQ1288">
        <v>0</v>
      </c>
      <c r="AR1288">
        <v>0</v>
      </c>
      <c r="AS1288">
        <v>0</v>
      </c>
      <c r="AT1288">
        <v>0</v>
      </c>
      <c r="AU1288">
        <v>0</v>
      </c>
      <c r="AV1288">
        <v>0</v>
      </c>
      <c r="AW1288">
        <v>0</v>
      </c>
      <c r="AX1288">
        <v>0</v>
      </c>
      <c r="AY1288">
        <v>0</v>
      </c>
      <c r="AZ1288" s="141">
        <f>COUNTIF(X1288:AY1288,"&lt;&gt;0")</f>
        <v>1</v>
      </c>
      <c r="BA1288" s="141">
        <f>COUNTIF(X1288:AN1288,"&lt;&gt;0")</f>
        <v>1</v>
      </c>
      <c r="BB1288">
        <f>COUNTIF(X1288:AE1288,"&lt;&gt;0")</f>
        <v>0</v>
      </c>
      <c r="BC1288">
        <f>COUNTIF(AF1288:AK1288,"&lt;&gt;0")</f>
        <v>0</v>
      </c>
      <c r="BD1288">
        <f>COUNTIF(AL1288:AN1288,"&lt;&gt;0")</f>
        <v>1</v>
      </c>
      <c r="BE1288">
        <f>COUNTIF(AU1288:AY1288,"&lt;&gt;0")</f>
        <v>0</v>
      </c>
      <c r="BF1288">
        <f>COUNTIF(AO1288:AT1288,"&lt;&gt;0")</f>
        <v>0</v>
      </c>
      <c r="BG1288" t="str">
        <f t="array" ref="BG1288">IF(BA1288=1,INDEX($X$7:$AN$7,MATCH(TRUE,INDEX($X1288:$AY1288&lt;&gt;0,),0)),IF(BA1288=0,INDEX($AO$7:$AY$7,MATCH(1,$AO1288:$AY1288,0)),IF(BH1288="Multiple strategies","mixed drivers",IF(BH1288="Supply chain","multiple supply","multiple silviculture"))))</f>
        <v>technologies/design switch</v>
      </c>
      <c r="BH1288" s="2" t="str" cm="1">
        <f t="array" ref="BH1288">IF(COUNTIF(BB1288:BD1288,"&lt;&gt;0")=1,INDEX($X$4:$AY$4,MATCH(TRUE,INDEX($X1288:$AY1288&lt;&gt;0,),0)),IF(COUNTIF(BB1288:BD1288,"&lt;&gt;0")=0,INDEX($AO$4:$AY$4,MATCH(1,$AO1288:$AY1288,0)),"Multiple strategies"))</f>
        <v>Technology</v>
      </c>
      <c r="BI1288" s="142" t="s">
        <v>229</v>
      </c>
      <c r="BJ1288" t="s">
        <v>1514</v>
      </c>
      <c r="BK1288" s="260" t="s">
        <v>987</v>
      </c>
      <c r="BL1288" s="143" t="s">
        <v>2940</v>
      </c>
      <c r="BM1288">
        <v>0</v>
      </c>
      <c r="BN1288" s="143">
        <v>16.899999999999999</v>
      </c>
      <c r="BO1288" s="143"/>
      <c r="BP1288">
        <f>BN1288-BM1288</f>
        <v>16.899999999999999</v>
      </c>
      <c r="BQ1288" s="143">
        <f>1000*BN1288/15.3/400</f>
        <v>2.7614379084967315</v>
      </c>
      <c r="BR1288" t="s">
        <v>232</v>
      </c>
      <c r="BT1288" t="s">
        <v>907</v>
      </c>
      <c r="BU1288" s="143">
        <v>-1</v>
      </c>
      <c r="BV1288" s="151">
        <v>0</v>
      </c>
      <c r="BW1288">
        <v>0</v>
      </c>
      <c r="BX1288">
        <v>1</v>
      </c>
      <c r="BZ1288">
        <f>BX1288*C_to_CO2</f>
        <v>3.67</v>
      </c>
      <c r="CA1288">
        <f>IFERROR(BZ1288/BQ1288,"")</f>
        <v>1.3290177514792902</v>
      </c>
      <c r="CB1288" s="143">
        <v>0</v>
      </c>
      <c r="CC1288" s="143">
        <v>0</v>
      </c>
      <c r="CD1288" s="143">
        <v>0</v>
      </c>
      <c r="CE1288" s="143">
        <v>0</v>
      </c>
      <c r="CF1288" s="143">
        <v>0</v>
      </c>
      <c r="CG1288" s="143">
        <v>0</v>
      </c>
      <c r="CH1288" s="143">
        <v>0</v>
      </c>
      <c r="CI1288" s="143">
        <v>0</v>
      </c>
      <c r="CJ1288" s="143">
        <v>0</v>
      </c>
      <c r="CK1288" s="143">
        <v>0</v>
      </c>
      <c r="CL1288" s="143">
        <v>0</v>
      </c>
      <c r="CM1288" s="143">
        <v>0</v>
      </c>
      <c r="CN1288" s="143">
        <v>0</v>
      </c>
      <c r="CO1288">
        <v>1</v>
      </c>
      <c r="CP1288" t="str">
        <f>IF($BN1288&lt;$BM1288,"refNeedCorrection","refOK")</f>
        <v>refOK</v>
      </c>
      <c r="CQ1288">
        <f>IF($CP1288="refOK",$BM1288,$BN1288)</f>
        <v>0</v>
      </c>
      <c r="CR1288">
        <f>IF($CP1288="refOK",$BN1288,$BM1288)</f>
        <v>16.899999999999999</v>
      </c>
      <c r="CS1288">
        <f>IF($CP1288="refOK",$BQ1288,-$BQ1288)</f>
        <v>2.7614379084967315</v>
      </c>
      <c r="CT1288">
        <f>IF(BI1288="Roundwood",$CS1288/2,$CS1288)</f>
        <v>2.7614379084967315</v>
      </c>
      <c r="CU1288">
        <f>IF($CP1288="refOK",$BU1288,$BV1288)*IF($BR1288="Emissions positive",-1,1)</f>
        <v>-1</v>
      </c>
      <c r="CV1288">
        <f>IF($CP1288="refOK",$BV1288,$BU1288)*IF($BR1288="Emissions positive",-1,1)</f>
        <v>0</v>
      </c>
      <c r="CW1288">
        <f>IF($CP1288="refNeedCorrection",-BZ1288,BZ1288)*IF($BR1288="Emissions positive",-1,1)</f>
        <v>3.67</v>
      </c>
      <c r="CX1288">
        <f>IFERROR($CW1288/$CS1288,"")</f>
        <v>1.3290177514792902</v>
      </c>
      <c r="CY1288">
        <f>IFERROR($CW1288/$CS1288,"")</f>
        <v>1.3290177514792902</v>
      </c>
      <c r="CZ1288">
        <f>IFERROR($CW1288/$CT1288,"")</f>
        <v>1.3290177514792902</v>
      </c>
      <c r="DA1288" s="2">
        <f>IFERROR((CV1288-CU1288)/ABS(CU1288),"")</f>
        <v>1</v>
      </c>
      <c r="DB1288" s="1" t="s">
        <v>1078</v>
      </c>
      <c r="DC1288" t="str">
        <f>IF(OR($DB1288="prd",$DB1288="std",$DB1288="cit"),"loc",IF(OR($DB1288="eur",$DB1288="reg",$DB1288="coy"),"reg",$DB1288))</f>
        <v>reg</v>
      </c>
      <c r="DD1288" t="s">
        <v>444</v>
      </c>
      <c r="DF1288" s="143"/>
      <c r="DG1288" s="143">
        <v>0</v>
      </c>
      <c r="DH1288" t="str">
        <f>IF(DG1288=0,"0",IF(AND(DG1288&gt;=1,DG1288&lt;=30),"1-30",IF(AND(DG1288&gt;30,DG1288&lt;=70),"31-70",IF(AND(DG1288&gt;70,DG1288&lt;=100),"71-100",IF(DG1288&gt;100,"+100")))))</f>
        <v>0</v>
      </c>
      <c r="DI1288">
        <v>0</v>
      </c>
      <c r="DJ1288">
        <v>1</v>
      </c>
      <c r="DK1288">
        <v>0</v>
      </c>
      <c r="DL1288">
        <v>0</v>
      </c>
      <c r="DN1288">
        <f>SUM(DI1288:DL1288)</f>
        <v>1</v>
      </c>
      <c r="DO1288" t="str">
        <f>IF(DN1288=1,INDEX($DI$7:$DL$7,MATCH(1,$DI1288:$DL1288,0)),"mixedProduct")</f>
        <v>EnergyInput</v>
      </c>
      <c r="DP1288">
        <f>IF(DI1288=1,DP$7,0)</f>
        <v>0</v>
      </c>
      <c r="DQ1288" t="str">
        <f>IF(DJ1288=1,DQ$7,0)</f>
        <v>Energy</v>
      </c>
      <c r="DR1288">
        <f>IF(DK1288=1,DR$7,0)</f>
        <v>0</v>
      </c>
      <c r="DS1288">
        <f>IF(DL1288=1,DS$7,0)</f>
        <v>0</v>
      </c>
      <c r="DT1288">
        <v>0</v>
      </c>
      <c r="DU1288" s="143">
        <v>0</v>
      </c>
      <c r="DV1288" s="143">
        <v>0</v>
      </c>
      <c r="DW1288">
        <v>0</v>
      </c>
      <c r="DX1288" s="143">
        <v>0</v>
      </c>
      <c r="DY1288">
        <f>SUM(DT1288:DU1288)</f>
        <v>0</v>
      </c>
      <c r="DZ1288" s="143" t="str">
        <f>IF(DT1288=1,"self-calculated DF",IF(DU1288=1,"external DF used","explicit C balance"))</f>
        <v>explicit C balance</v>
      </c>
      <c r="EA1288" s="143">
        <v>0</v>
      </c>
      <c r="EB1288" s="143">
        <v>0</v>
      </c>
      <c r="EC1288" s="143">
        <v>0</v>
      </c>
      <c r="ED1288" s="143">
        <v>0</v>
      </c>
      <c r="EE1288">
        <v>0</v>
      </c>
      <c r="EF1288" s="143">
        <v>0</v>
      </c>
      <c r="EG1288" s="143">
        <v>0</v>
      </c>
      <c r="EH1288" s="143">
        <v>1</v>
      </c>
      <c r="EI1288" s="143">
        <v>0</v>
      </c>
      <c r="EJ1288">
        <v>0</v>
      </c>
      <c r="EK1288">
        <v>0</v>
      </c>
      <c r="EL1288" s="143">
        <v>0</v>
      </c>
      <c r="EM1288" s="143">
        <v>0</v>
      </c>
      <c r="EN1288" s="2">
        <v>0</v>
      </c>
      <c r="EP1288" t="str">
        <f>IF(AND(AND(AND(OR($EC1288=1,$EB1288=1),OR($EH1288=1,$EF1288=1)),SUM($EA1288:$EE1288,$EK1288)&gt;=3),SUM($EF1288:$EJ1288)&gt;=2),"Whole sector approach","")</f>
        <v/>
      </c>
      <c r="EQ1288" t="str">
        <f>IF(AND(AND(OR($EC1288=1,$EB1288=1),AND($EH1288=0,$EF1288=0)),SUM($EA1288:$EE1288,$EK1288)&gt;=4),"Ecosystem approach","")</f>
        <v/>
      </c>
      <c r="ER1288" s="2" t="str">
        <f>IF(AND(AND(AND($EC1288=0,$EB1288=0),OR($EH1288=1,$EF1288=1)),SUM($EG1288:$EJ1288)&gt;=2),"Technology approach","")</f>
        <v/>
      </c>
      <c r="ES1288" t="str">
        <f>IF(AND($EC1288+$EB1288+$EE1288+$EA1288+$ED1288+$EG1288=0,$N1288="included"),"C neutral forest and HWP assumption","")</f>
        <v>C neutral forest and HWP assumption</v>
      </c>
      <c r="ET1288" t="str">
        <f>IF(AND(AND(AND(AND($EC1288=1,$EB1288+$EA1288+$EG1288&gt;=1),$EF1288=1),$EH1288+$EI1288+$ED1288+$EE1288&gt;=2),$N1288="included"),"All C pools assumption","")</f>
        <v/>
      </c>
      <c r="EU1288" t="str">
        <f>IF(AND($ED1288+$EE1288+$EI1288+$EH1288+$EF1288=0,$N1288="included"),"In-situ only assumption","")</f>
        <v/>
      </c>
      <c r="EY1288" t="str">
        <f>IF(ISNUMBER(BW1288),IF(ABS(BW1288-[3]QC_indicators!$B$2)&gt;3*[3]QC_indicators!$C$2,"C ratio",IF(ISNUMBER(CA1288),IF(ABS(CA1288-[3]QC_indicators!$B$1)&gt;3*[3]QC_indicators!$C$1,"DF","no"))),IF(ISNUMBER(CA1288),IF(ABS(CA1288-[3]QC_indicators!$B$1)&gt;3*[3]QC_indicators!$C$1,"DF","no")))</f>
        <v>no</v>
      </c>
      <c r="FA1288" t="str">
        <f>IF(LEN($CY1288)=0,"",IF(AND($CY1288&lt;(-0.05),$ES1288="C neutral forest and HWP assumption"),"Cneutral paradox",IF(AND($CY1288&gt;0.05,$EU1288="In-situ only assumption"),"In-situ only paradox","")))</f>
        <v/>
      </c>
      <c r="FB1288" s="149" t="s">
        <v>349</v>
      </c>
      <c r="FD1288" s="260" t="s">
        <v>2941</v>
      </c>
    </row>
    <row r="1289" spans="1:161" ht="15" hidden="1" customHeight="1">
      <c r="A1289" s="1" t="s">
        <v>549</v>
      </c>
      <c r="B1289" t="s">
        <v>531</v>
      </c>
      <c r="C1289" t="s">
        <v>1465</v>
      </c>
      <c r="D1289" t="s">
        <v>1466</v>
      </c>
      <c r="E1289" t="s">
        <v>1467</v>
      </c>
      <c r="F1289" t="s">
        <v>1468</v>
      </c>
      <c r="G1289" t="s">
        <v>554</v>
      </c>
      <c r="H1289" t="s">
        <v>254</v>
      </c>
      <c r="I1289">
        <v>2019</v>
      </c>
      <c r="J1289">
        <v>15</v>
      </c>
      <c r="K1289" t="s">
        <v>1469</v>
      </c>
      <c r="M1289" t="str">
        <f>LEFT($D1289,FIND(",",$D1289)-1)&amp;"_"&amp;I1289&amp;L1289</f>
        <v>Geng_2019</v>
      </c>
      <c r="N1289" t="s">
        <v>222</v>
      </c>
      <c r="O1289" s="180" t="s">
        <v>225</v>
      </c>
      <c r="Q1289" s="317" t="s">
        <v>256</v>
      </c>
      <c r="R1289" s="318" t="s">
        <v>1029</v>
      </c>
      <c r="S1289" s="1" t="s">
        <v>1470</v>
      </c>
      <c r="T1289" t="s">
        <v>4941</v>
      </c>
      <c r="U1289" t="s">
        <v>4942</v>
      </c>
      <c r="V1289" s="253">
        <v>0</v>
      </c>
      <c r="W1289" s="253">
        <v>0</v>
      </c>
      <c r="X1289">
        <v>0</v>
      </c>
      <c r="Y1289">
        <v>0</v>
      </c>
      <c r="Z1289">
        <v>0</v>
      </c>
      <c r="AA1289">
        <v>0</v>
      </c>
      <c r="AB1289">
        <v>0</v>
      </c>
      <c r="AC1289">
        <v>0</v>
      </c>
      <c r="AD1289">
        <v>0</v>
      </c>
      <c r="AE1289">
        <v>0</v>
      </c>
      <c r="AF1289">
        <v>0</v>
      </c>
      <c r="AG1289">
        <v>0</v>
      </c>
      <c r="AH1289">
        <v>0</v>
      </c>
      <c r="AI1289">
        <v>0</v>
      </c>
      <c r="AJ1289">
        <v>0</v>
      </c>
      <c r="AK1289">
        <v>0</v>
      </c>
      <c r="AL1289">
        <v>0</v>
      </c>
      <c r="AM1289">
        <v>1</v>
      </c>
      <c r="AN1289">
        <v>0</v>
      </c>
      <c r="AO1289">
        <v>0</v>
      </c>
      <c r="AP1289">
        <v>0</v>
      </c>
      <c r="AQ1289">
        <v>0</v>
      </c>
      <c r="AR1289">
        <v>0</v>
      </c>
      <c r="AS1289">
        <v>0</v>
      </c>
      <c r="AT1289">
        <v>0</v>
      </c>
      <c r="AU1289">
        <v>0</v>
      </c>
      <c r="AV1289">
        <v>0</v>
      </c>
      <c r="AW1289">
        <v>0</v>
      </c>
      <c r="AX1289">
        <v>0</v>
      </c>
      <c r="AY1289">
        <v>0</v>
      </c>
      <c r="AZ1289" s="141">
        <f>COUNTIF(X1289:AY1289,"&lt;&gt;0")</f>
        <v>1</v>
      </c>
      <c r="BA1289" s="141">
        <f>COUNTIF(X1289:AN1289,"&lt;&gt;0")</f>
        <v>1</v>
      </c>
      <c r="BB1289">
        <f>COUNTIF(X1289:AE1289,"&lt;&gt;0")</f>
        <v>0</v>
      </c>
      <c r="BC1289">
        <f>COUNTIF(AF1289:AK1289,"&lt;&gt;0")</f>
        <v>0</v>
      </c>
      <c r="BD1289">
        <f>COUNTIF(AL1289:AN1289,"&lt;&gt;0")</f>
        <v>1</v>
      </c>
      <c r="BE1289">
        <f>COUNTIF(AU1289:AY1289,"&lt;&gt;0")</f>
        <v>0</v>
      </c>
      <c r="BF1289">
        <f>COUNTIF(AO1289:AT1289,"&lt;&gt;0")</f>
        <v>0</v>
      </c>
      <c r="BG1289" t="str" cm="1">
        <f t="array" ref="BG1289">IF(BA1289=1,INDEX($X$7:$AN$7,MATCH(TRUE,INDEX($X1289:$AY1289&lt;&gt;0,),0)),IF(BA1289=0,INDEX($AO$7:$AY$7,MATCH(1,$AO1289:$AY1289,0)),IF(BH1289="Multiple strategies","mixed drivers",IF(BH1289="Supply chain","multiple supply","multiple silviculture"))))</f>
        <v>technologies/design switch</v>
      </c>
      <c r="BH1289" s="2" t="str" cm="1">
        <f t="array" ref="BH1289">IF(COUNTIF(BB1289:BD1289,"&lt;&gt;0")=1,INDEX($X$4:$AY$4,MATCH(TRUE,INDEX($X1289:$AY1289&lt;&gt;0,),0)),IF(COUNTIF(BB1289:BD1289,"&lt;&gt;0")=0,INDEX($AO$4:$AY$4,MATCH(1,$AO1289:$AY1289,0)),"Multiple strategies"))</f>
        <v>Technology</v>
      </c>
      <c r="BI1289" s="1" t="s">
        <v>229</v>
      </c>
      <c r="BJ1289" t="s">
        <v>1471</v>
      </c>
      <c r="BK1289" t="s">
        <v>2920</v>
      </c>
      <c r="BL1289" t="s">
        <v>261</v>
      </c>
      <c r="BM1289">
        <v>24</v>
      </c>
      <c r="BN1289">
        <v>85.25</v>
      </c>
      <c r="BO1289">
        <f>BN1289/BM1289</f>
        <v>3.5520833333333335</v>
      </c>
      <c r="BP1289">
        <f>BN1289-BM1289</f>
        <v>61.25</v>
      </c>
      <c r="BQ1289">
        <f>BP1289*kg_to_m3</f>
        <v>0.125</v>
      </c>
      <c r="BR1289" t="s">
        <v>232</v>
      </c>
      <c r="BS1289" t="s">
        <v>2920</v>
      </c>
      <c r="BT1289" t="s">
        <v>1476</v>
      </c>
      <c r="BW1289" s="144" t="str">
        <f>IFERROR(BV1289/BU1289,"")</f>
        <v/>
      </c>
      <c r="BX1289">
        <v>0.17</v>
      </c>
      <c r="BZ1289">
        <f>BX1289</f>
        <v>0.17</v>
      </c>
      <c r="CA1289">
        <f>IFERROR(BZ1289/BQ1289,"")</f>
        <v>1.36</v>
      </c>
      <c r="CB1289">
        <v>0</v>
      </c>
      <c r="CC1289">
        <v>0</v>
      </c>
      <c r="CD1289">
        <v>0</v>
      </c>
      <c r="CE1289">
        <v>0</v>
      </c>
      <c r="CF1289">
        <v>0</v>
      </c>
      <c r="CG1289">
        <v>0</v>
      </c>
      <c r="CH1289">
        <v>0</v>
      </c>
      <c r="CI1289">
        <v>0</v>
      </c>
      <c r="CJ1289">
        <v>0</v>
      </c>
      <c r="CK1289">
        <v>0</v>
      </c>
      <c r="CL1289">
        <v>0</v>
      </c>
      <c r="CM1289">
        <v>0</v>
      </c>
      <c r="CN1289">
        <v>0</v>
      </c>
      <c r="CO1289">
        <v>0</v>
      </c>
      <c r="CP1289" t="str">
        <f>IF(BN1289&lt;BM1289,"refNeedCorrection","refOK")</f>
        <v>refOK</v>
      </c>
      <c r="CQ1289">
        <f>IF($CP1289="refOK",$BM1289,$BN1289)</f>
        <v>24</v>
      </c>
      <c r="CR1289">
        <f>IF($CP1289="refOK",$BN1289,$BM1289)</f>
        <v>85.25</v>
      </c>
      <c r="CS1289">
        <f>IF($CP1289="refOK",$BQ1289,-$BQ1289)</f>
        <v>0.125</v>
      </c>
      <c r="CT1289">
        <f>IF(BI1289="Roundwood",$CS1289/2,$CS1289)</f>
        <v>0.125</v>
      </c>
      <c r="CU1289">
        <f>IF($CP1289="refOK",$BU1289,$BV1289)*IF($BR1289="Emissions positive",-1,1)</f>
        <v>0</v>
      </c>
      <c r="CV1289">
        <f>IF($CP1289="refOK",$BV1289,$BU1289)*IF($BR1289="Emissions positive",-1,1)</f>
        <v>0</v>
      </c>
      <c r="CW1289">
        <f>IF($CP1289="refNeedCorrection",-BZ1289,BZ1289)*IF($BR1289="Emissions positive",-1,1)</f>
        <v>0.17</v>
      </c>
      <c r="CX1289">
        <f>IFERROR($CW1289/$CS1289,"")</f>
        <v>1.36</v>
      </c>
      <c r="CY1289">
        <f>IFERROR($CW1289/$CS1289,"")</f>
        <v>1.36</v>
      </c>
      <c r="CZ1289">
        <f>IFERROR($CW1289/$CT1289,"")</f>
        <v>1.36</v>
      </c>
      <c r="DA1289" s="2" t="str">
        <f>IFERROR((CV1289-CU1289)/ABS(CU1289),"")</f>
        <v/>
      </c>
      <c r="DB1289" s="1" t="s">
        <v>1078</v>
      </c>
      <c r="DC1289" s="317" t="str">
        <f>IF(OR($DB1289="prd",$DB1289="std",$DB1289="cit"),"loc",IF(OR($DB1289="eur",$DB1289="reg",$DB1289="coy"),"reg",$DB1289))</f>
        <v>reg</v>
      </c>
      <c r="DD1289" t="s">
        <v>677</v>
      </c>
      <c r="DE1289">
        <v>2019</v>
      </c>
      <c r="DG1289">
        <v>0</v>
      </c>
      <c r="DH1289" t="str">
        <f>IF(DG1289=0,"0",IF(AND(DG1289&gt;=1,DG1289&lt;=30),"1-30",IF(AND(DG1289&gt;30,DG1289&lt;=70),"31-70",IF(AND(DG1289&gt;70,DG1289&lt;=100),"71-100",IF(DG1289&gt;100,"+100")))))</f>
        <v>0</v>
      </c>
      <c r="DI1289">
        <v>0</v>
      </c>
      <c r="DJ1289">
        <v>0</v>
      </c>
      <c r="DK1289">
        <v>0</v>
      </c>
      <c r="DL1289">
        <v>1</v>
      </c>
      <c r="DN1289">
        <f>SUM(DI1289:DL1289)</f>
        <v>1</v>
      </c>
      <c r="DO1289" t="str">
        <f>IF(DN1289=1,INDEX($DI$7:$DL$7,MATCH(1,$DI1289:$DL1289,0)),"mixedProduct")</f>
        <v>TimberInput</v>
      </c>
      <c r="DP1289">
        <f>IF(DI1289=1,DP$7,0)</f>
        <v>0</v>
      </c>
      <c r="DQ1289">
        <f>IF(DJ1289=1,DQ$7,0)</f>
        <v>0</v>
      </c>
      <c r="DR1289">
        <f>IF(DK1289=1,DR$7,0)</f>
        <v>0</v>
      </c>
      <c r="DS1289" t="str">
        <f>IF(DL1289=1,DS$7,0)</f>
        <v>Timber</v>
      </c>
      <c r="DT1289">
        <v>1</v>
      </c>
      <c r="DU1289">
        <v>0</v>
      </c>
      <c r="DV1289">
        <v>0</v>
      </c>
      <c r="DW1289">
        <v>0</v>
      </c>
      <c r="DX1289">
        <v>0</v>
      </c>
      <c r="DY1289">
        <f>SUM(DT1289:DU1289)</f>
        <v>1</v>
      </c>
      <c r="DZ1289" s="143" t="str">
        <f>IF(DT1289=1,"self-calculated DF",IF(DU1289=1,"external DF used","explicit C balance"))</f>
        <v>self-calculated DF</v>
      </c>
      <c r="EA1289">
        <v>0</v>
      </c>
      <c r="EB1289">
        <v>0</v>
      </c>
      <c r="EC1289">
        <v>0</v>
      </c>
      <c r="ED1289">
        <v>0</v>
      </c>
      <c r="EE1289">
        <v>0</v>
      </c>
      <c r="EF1289" s="143">
        <v>1</v>
      </c>
      <c r="EG1289">
        <v>0</v>
      </c>
      <c r="EH1289">
        <v>1</v>
      </c>
      <c r="EI1289">
        <v>0</v>
      </c>
      <c r="EJ1289">
        <v>0</v>
      </c>
      <c r="EK1289">
        <v>0</v>
      </c>
      <c r="EL1289">
        <v>0</v>
      </c>
      <c r="EM1289">
        <v>0</v>
      </c>
      <c r="EN1289" s="2">
        <v>0</v>
      </c>
      <c r="EP1289" t="str">
        <f>IF(AND(AND(AND(OR($EC1289=1,$EB1289=1),OR($EH1289=1,$EF1289=1)),SUM($EA1289:$EE1289,$EK1289)&gt;=3),SUM($EF1289:$EJ1289)&gt;=2),"Whole sector approach","")</f>
        <v/>
      </c>
      <c r="EQ1289" t="str">
        <f>IF(AND(AND(OR($EC1289=1,$EB1289=1),AND($EH1289=0,$EF1289=0)),SUM($EA1289:$EE1289,$EK1289)&gt;=3),"Ecosystem approach","")</f>
        <v/>
      </c>
      <c r="ER1289" s="2" t="str">
        <f>IF(AND(AND(AND($EC1289=0,$EB1289=0),OR($EH1289=1,$EF1289=1)),SUM($EG1289:$EJ1289)&gt;=2),"Technology approach","")</f>
        <v/>
      </c>
      <c r="ES1289" t="str">
        <f>IF(AND($EC1289+$EB1289+$EE1289+$EA1289+$ED1289+$EG1289=0,$N1289="included"),"C neutral forest and HWP assumption","")</f>
        <v>C neutral forest and HWP assumption</v>
      </c>
      <c r="ET1289" t="str">
        <f>IF(AND(AND(AND(AND($EC1289=1,$EB1289+$EA1289+$EG1289&gt;=1),$EF1289=1),$EH1289+$EI1289+$ED1289+$EE1289&gt;=2),$N1289="included"),"All C pools assumption","")</f>
        <v/>
      </c>
      <c r="EU1289" t="str">
        <f>IF(AND($ED1289+$EE1289+$EI1289+$EH1289+$EF1289=0,$N1289="included"),"In-situ only assumption","")</f>
        <v/>
      </c>
      <c r="EW1289" t="s">
        <v>1474</v>
      </c>
      <c r="EY1289" t="str">
        <f>IF(ISNUMBER(BW1289),IF(ABS(BW1289-[4]QC_indicators!$B$2)&gt;3*[4]QC_indicators!$C$2,"C ratio",IF(ISNUMBER(CA1289),IF(ABS(CA1289-[4]QC_indicators!$B$1)&gt;3*[4]QC_indicators!$C$1,"DF","no"))),IF(ISNUMBER(CA1289),IF(ABS(CA1289-[4]QC_indicators!$B$1)&gt;3*[4]QC_indicators!$C$1,"DF","no")))</f>
        <v>no</v>
      </c>
      <c r="FA1289" t="str">
        <f>IF(LEN($CY1289)=0,"",IF(AND($CY1289&lt;(-0.05),$ES1289="C neutral forest and HWP assumption"),"Cneutral paradox",IF(AND($CY1289&gt;0.05,$EU1289="In-situ only assumption"),"In-situ only paradox","")))</f>
        <v/>
      </c>
      <c r="FB1289" t="s">
        <v>1475</v>
      </c>
    </row>
    <row r="1290" spans="1:161" ht="34" hidden="1">
      <c r="A1290" s="1" t="s">
        <v>549</v>
      </c>
      <c r="B1290" t="s">
        <v>531</v>
      </c>
      <c r="C1290" t="s">
        <v>1465</v>
      </c>
      <c r="D1290" t="s">
        <v>1466</v>
      </c>
      <c r="E1290" t="s">
        <v>1467</v>
      </c>
      <c r="F1290" t="s">
        <v>1468</v>
      </c>
      <c r="G1290" t="s">
        <v>554</v>
      </c>
      <c r="H1290" t="s">
        <v>254</v>
      </c>
      <c r="I1290">
        <v>2019</v>
      </c>
      <c r="J1290">
        <v>15</v>
      </c>
      <c r="K1290" t="s">
        <v>1469</v>
      </c>
      <c r="M1290" t="str">
        <f>LEFT($D1290,FIND(",",$D1290)-1)&amp;"_"&amp;I1290&amp;L1290</f>
        <v>Geng_2019</v>
      </c>
      <c r="N1290" t="s">
        <v>222</v>
      </c>
      <c r="O1290" s="180" t="s">
        <v>225</v>
      </c>
      <c r="Q1290" s="317" t="s">
        <v>256</v>
      </c>
      <c r="R1290" s="318" t="s">
        <v>1029</v>
      </c>
      <c r="S1290" s="1" t="s">
        <v>1470</v>
      </c>
      <c r="T1290" t="s">
        <v>4943</v>
      </c>
      <c r="U1290" t="s">
        <v>4944</v>
      </c>
      <c r="V1290" s="253">
        <v>0</v>
      </c>
      <c r="W1290" s="253">
        <v>0</v>
      </c>
      <c r="X1290">
        <v>0</v>
      </c>
      <c r="Y1290">
        <v>0</v>
      </c>
      <c r="Z1290">
        <v>0</v>
      </c>
      <c r="AA1290">
        <v>0</v>
      </c>
      <c r="AB1290">
        <v>0</v>
      </c>
      <c r="AC1290">
        <v>0</v>
      </c>
      <c r="AD1290">
        <v>0</v>
      </c>
      <c r="AE1290">
        <v>0</v>
      </c>
      <c r="AF1290">
        <v>0</v>
      </c>
      <c r="AG1290">
        <v>0</v>
      </c>
      <c r="AH1290">
        <v>0</v>
      </c>
      <c r="AI1290">
        <v>0</v>
      </c>
      <c r="AJ1290">
        <v>0</v>
      </c>
      <c r="AK1290">
        <v>0</v>
      </c>
      <c r="AL1290">
        <v>0</v>
      </c>
      <c r="AM1290">
        <v>1</v>
      </c>
      <c r="AN1290">
        <v>0</v>
      </c>
      <c r="AO1290">
        <v>0</v>
      </c>
      <c r="AP1290">
        <v>0</v>
      </c>
      <c r="AQ1290">
        <v>0</v>
      </c>
      <c r="AR1290">
        <v>0</v>
      </c>
      <c r="AS1290">
        <v>0</v>
      </c>
      <c r="AT1290">
        <v>0</v>
      </c>
      <c r="AU1290">
        <v>0</v>
      </c>
      <c r="AV1290">
        <v>0</v>
      </c>
      <c r="AW1290">
        <v>0</v>
      </c>
      <c r="AX1290">
        <v>0</v>
      </c>
      <c r="AY1290">
        <v>0</v>
      </c>
      <c r="AZ1290" s="141">
        <f>COUNTIF(X1290:AY1290,"&lt;&gt;0")</f>
        <v>1</v>
      </c>
      <c r="BA1290" s="141">
        <f>COUNTIF(X1290:AN1290,"&lt;&gt;0")</f>
        <v>1</v>
      </c>
      <c r="BB1290">
        <f>COUNTIF(X1290:AE1290,"&lt;&gt;0")</f>
        <v>0</v>
      </c>
      <c r="BC1290">
        <f>COUNTIF(AF1290:AK1290,"&lt;&gt;0")</f>
        <v>0</v>
      </c>
      <c r="BD1290">
        <f>COUNTIF(AL1290:AN1290,"&lt;&gt;0")</f>
        <v>1</v>
      </c>
      <c r="BE1290">
        <f>COUNTIF(AU1290:AY1290,"&lt;&gt;0")</f>
        <v>0</v>
      </c>
      <c r="BF1290">
        <f>COUNTIF(AO1290:AT1290,"&lt;&gt;0")</f>
        <v>0</v>
      </c>
      <c r="BG1290" t="str" cm="1">
        <f t="array" ref="BG1290">IF(BA1290=1,INDEX($X$7:$AN$7,MATCH(TRUE,INDEX($X1290:$AY1290&lt;&gt;0,),0)),IF(BA1290=0,INDEX($AO$7:$AY$7,MATCH(1,$AO1290:$AY1290,0)),IF(BH1290="Multiple strategies","mixed drivers",IF(BH1290="Supply chain","multiple supply","multiple silviculture"))))</f>
        <v>technologies/design switch</v>
      </c>
      <c r="BH1290" s="2" t="str" cm="1">
        <f t="array" ref="BH1290">IF(COUNTIF(BB1290:BD1290,"&lt;&gt;0")=1,INDEX($X$4:$AY$4,MATCH(TRUE,INDEX($X1290:$AY1290&lt;&gt;0,),0)),IF(COUNTIF(BB1290:BD1290,"&lt;&gt;0")=0,INDEX($AO$4:$AY$4,MATCH(1,$AO1290:$AY1290,0)),"Multiple strategies"))</f>
        <v>Technology</v>
      </c>
      <c r="BI1290" s="1" t="s">
        <v>229</v>
      </c>
      <c r="BJ1290" t="s">
        <v>1471</v>
      </c>
      <c r="BK1290" t="s">
        <v>2920</v>
      </c>
      <c r="BL1290" t="s">
        <v>261</v>
      </c>
      <c r="BM1290">
        <v>24</v>
      </c>
      <c r="BN1290">
        <v>85.25</v>
      </c>
      <c r="BO1290">
        <f>BN1290/BM1290</f>
        <v>3.5520833333333335</v>
      </c>
      <c r="BP1290">
        <f>BN1290-BM1290</f>
        <v>61.25</v>
      </c>
      <c r="BQ1290">
        <f>BP1290*kg_to_m3</f>
        <v>0.125</v>
      </c>
      <c r="BR1290" t="s">
        <v>232</v>
      </c>
      <c r="BS1290" t="s">
        <v>2920</v>
      </c>
      <c r="BT1290" t="s">
        <v>1476</v>
      </c>
      <c r="BW1290" s="144" t="str">
        <f>IFERROR(BV1290/BU1290,"")</f>
        <v/>
      </c>
      <c r="BX1290">
        <v>0.17</v>
      </c>
      <c r="BZ1290">
        <f>BX1290</f>
        <v>0.17</v>
      </c>
      <c r="CA1290">
        <f>IFERROR(BZ1290/BQ1290,"")</f>
        <v>1.36</v>
      </c>
      <c r="CB1290">
        <v>0</v>
      </c>
      <c r="CC1290">
        <v>0</v>
      </c>
      <c r="CD1290">
        <v>0</v>
      </c>
      <c r="CE1290">
        <v>0</v>
      </c>
      <c r="CF1290">
        <v>0</v>
      </c>
      <c r="CG1290">
        <v>0</v>
      </c>
      <c r="CH1290">
        <v>0</v>
      </c>
      <c r="CI1290">
        <v>0</v>
      </c>
      <c r="CJ1290">
        <v>0</v>
      </c>
      <c r="CK1290">
        <v>0</v>
      </c>
      <c r="CL1290">
        <v>0</v>
      </c>
      <c r="CM1290">
        <v>0</v>
      </c>
      <c r="CN1290">
        <v>0</v>
      </c>
      <c r="CO1290">
        <v>0</v>
      </c>
      <c r="CP1290" t="str">
        <f>IF(BN1290&lt;BM1290,"refNeedCorrection","refOK")</f>
        <v>refOK</v>
      </c>
      <c r="CQ1290">
        <f>IF($CP1290="refOK",$BM1290,$BN1290)</f>
        <v>24</v>
      </c>
      <c r="CR1290">
        <f>IF($CP1290="refOK",$BN1290,$BM1290)</f>
        <v>85.25</v>
      </c>
      <c r="CS1290">
        <f>IF($CP1290="refOK",$BQ1290,-$BQ1290)</f>
        <v>0.125</v>
      </c>
      <c r="CT1290">
        <f>IF(BI1290="Roundwood",$CS1290/2,$CS1290)</f>
        <v>0.125</v>
      </c>
      <c r="CU1290">
        <f>IF($CP1290="refOK",$BU1290,$BV1290)*IF($BR1290="Emissions positive",-1,1)</f>
        <v>0</v>
      </c>
      <c r="CV1290">
        <f>IF($CP1290="refOK",$BV1290,$BU1290)*IF($BR1290="Emissions positive",-1,1)</f>
        <v>0</v>
      </c>
      <c r="CW1290">
        <f>IF($CP1290="refNeedCorrection",-BZ1290,BZ1290)*IF($BR1290="Emissions positive",-1,1)</f>
        <v>0.17</v>
      </c>
      <c r="CX1290">
        <f>IFERROR($CW1290/$CS1290,"")</f>
        <v>1.36</v>
      </c>
      <c r="CY1290">
        <f>IFERROR($CW1290/$CS1290,"")</f>
        <v>1.36</v>
      </c>
      <c r="CZ1290">
        <f>IFERROR($CW1290/$CT1290,"")</f>
        <v>1.36</v>
      </c>
      <c r="DA1290" s="2" t="str">
        <f>IFERROR((CV1290-CU1290)/ABS(CU1290),"")</f>
        <v/>
      </c>
      <c r="DB1290" s="1" t="s">
        <v>1078</v>
      </c>
      <c r="DC1290" s="317" t="str">
        <f>IF(OR($DB1290="prd",$DB1290="std",$DB1290="cit"),"loc",IF(OR($DB1290="eur",$DB1290="reg",$DB1290="coy"),"reg",$DB1290))</f>
        <v>reg</v>
      </c>
      <c r="DD1290" t="s">
        <v>677</v>
      </c>
      <c r="DE1290">
        <v>2019</v>
      </c>
      <c r="DG1290">
        <v>0</v>
      </c>
      <c r="DH1290" t="str">
        <f>IF(DG1290=0,"0",IF(AND(DG1290&gt;=1,DG1290&lt;=30),"1-30",IF(AND(DG1290&gt;30,DG1290&lt;=70),"31-70",IF(AND(DG1290&gt;70,DG1290&lt;=100),"71-100",IF(DG1290&gt;100,"+100")))))</f>
        <v>0</v>
      </c>
      <c r="DI1290">
        <v>0</v>
      </c>
      <c r="DJ1290">
        <v>0</v>
      </c>
      <c r="DK1290">
        <v>0</v>
      </c>
      <c r="DL1290">
        <v>1</v>
      </c>
      <c r="DN1290">
        <f>SUM(DI1290:DL1290)</f>
        <v>1</v>
      </c>
      <c r="DO1290" t="str">
        <f>IF(DN1290=1,INDEX($DI$7:$DL$7,MATCH(1,$DI1290:$DL1290,0)),"mixedProduct")</f>
        <v>TimberInput</v>
      </c>
      <c r="DP1290">
        <f>IF(DI1290=1,DP$7,0)</f>
        <v>0</v>
      </c>
      <c r="DQ1290">
        <f>IF(DJ1290=1,DQ$7,0)</f>
        <v>0</v>
      </c>
      <c r="DR1290">
        <f>IF(DK1290=1,DR$7,0)</f>
        <v>0</v>
      </c>
      <c r="DS1290" t="str">
        <f>IF(DL1290=1,DS$7,0)</f>
        <v>Timber</v>
      </c>
      <c r="DT1290">
        <v>1</v>
      </c>
      <c r="DU1290">
        <v>0</v>
      </c>
      <c r="DV1290">
        <v>0</v>
      </c>
      <c r="DW1290">
        <v>0</v>
      </c>
      <c r="DX1290">
        <v>0</v>
      </c>
      <c r="DY1290">
        <f>SUM(DT1290:DU1290)</f>
        <v>1</v>
      </c>
      <c r="DZ1290" s="143" t="str">
        <f>IF(DT1290=1,"self-calculated DF",IF(DU1290=1,"external DF used","explicit C balance"))</f>
        <v>self-calculated DF</v>
      </c>
      <c r="EA1290">
        <v>0</v>
      </c>
      <c r="EB1290">
        <v>0</v>
      </c>
      <c r="EC1290">
        <v>0</v>
      </c>
      <c r="ED1290">
        <v>0</v>
      </c>
      <c r="EE1290">
        <v>0</v>
      </c>
      <c r="EF1290" s="143">
        <v>1</v>
      </c>
      <c r="EG1290">
        <v>0</v>
      </c>
      <c r="EH1290">
        <v>1</v>
      </c>
      <c r="EI1290">
        <v>0</v>
      </c>
      <c r="EJ1290">
        <v>0</v>
      </c>
      <c r="EK1290">
        <v>0</v>
      </c>
      <c r="EL1290">
        <v>0</v>
      </c>
      <c r="EM1290">
        <v>0</v>
      </c>
      <c r="EN1290" s="2">
        <v>0</v>
      </c>
      <c r="EP1290" t="str">
        <f>IF(AND(AND(AND(OR($EC1290=1,$EB1290=1),OR($EH1290=1,$EF1290=1)),SUM($EA1290:$EE1290,$EK1290)&gt;=3),SUM($EF1290:$EJ1290)&gt;=2),"Whole sector approach","")</f>
        <v/>
      </c>
      <c r="EQ1290" t="str">
        <f>IF(AND(AND(OR($EC1290=1,$EB1290=1),AND($EH1290=0,$EF1290=0)),SUM($EA1290:$EE1290,$EK1290)&gt;=3),"Ecosystem approach","")</f>
        <v/>
      </c>
      <c r="ER1290" s="2" t="str">
        <f>IF(AND(AND(AND($EC1290=0,$EB1290=0),OR($EH1290=1,$EF1290=1)),SUM($EG1290:$EJ1290)&gt;=2),"Technology approach","")</f>
        <v/>
      </c>
      <c r="ES1290" t="str">
        <f>IF(AND($EC1290+$EB1290+$EE1290+$EA1290+$ED1290+$EG1290=0,$N1290="included"),"C neutral forest and HWP assumption","")</f>
        <v>C neutral forest and HWP assumption</v>
      </c>
      <c r="ET1290" t="str">
        <f>IF(AND(AND(AND(AND($EC1290=1,$EB1290+$EA1290+$EG1290&gt;=1),$EF1290=1),$EH1290+$EI1290+$ED1290+$EE1290&gt;=2),$N1290="included"),"All C pools assumption","")</f>
        <v/>
      </c>
      <c r="EU1290" t="str">
        <f>IF(AND($ED1290+$EE1290+$EI1290+$EH1290+$EF1290=0,$N1290="included"),"In-situ only assumption","")</f>
        <v/>
      </c>
      <c r="EW1290" t="s">
        <v>1474</v>
      </c>
      <c r="EY1290" t="str">
        <f>IF(ISNUMBER(BW1290),IF(ABS(BW1290-[4]QC_indicators!$B$2)&gt;3*[4]QC_indicators!$C$2,"C ratio",IF(ISNUMBER(CA1290),IF(ABS(CA1290-[4]QC_indicators!$B$1)&gt;3*[4]QC_indicators!$C$1,"DF","no"))),IF(ISNUMBER(CA1290),IF(ABS(CA1290-[4]QC_indicators!$B$1)&gt;3*[4]QC_indicators!$C$1,"DF","no")))</f>
        <v>no</v>
      </c>
      <c r="FA1290" t="str">
        <f>IF(LEN($CY1290)=0,"",IF(AND($CY1290&lt;(-0.05),$ES1290="C neutral forest and HWP assumption"),"Cneutral paradox",IF(AND($CY1290&gt;0.05,$EU1290="In-situ only assumption"),"In-situ only paradox","")))</f>
        <v/>
      </c>
      <c r="FB1290" t="s">
        <v>1475</v>
      </c>
    </row>
    <row r="1291" spans="1:161" ht="18" hidden="1" customHeight="1">
      <c r="D1291" t="s">
        <v>1508</v>
      </c>
      <c r="E1291" t="s">
        <v>1509</v>
      </c>
      <c r="G1291" t="s">
        <v>1510</v>
      </c>
      <c r="I1291">
        <v>2007</v>
      </c>
      <c r="K1291" t="s">
        <v>1511</v>
      </c>
      <c r="M1291" t="str">
        <f>LEFT($D1291,FIND(",",$D1291)-1)&amp;"_"&amp;I1291&amp;L1291</f>
        <v>Gustavsson_2007</v>
      </c>
      <c r="N1291" t="s">
        <v>222</v>
      </c>
      <c r="O1291" t="s">
        <v>223</v>
      </c>
      <c r="Q1291" t="s">
        <v>256</v>
      </c>
      <c r="R1291" s="264" t="s">
        <v>274</v>
      </c>
      <c r="S1291" s="1" t="s">
        <v>1512</v>
      </c>
      <c r="T1291" t="s">
        <v>1515</v>
      </c>
      <c r="U1291" s="260" t="s">
        <v>1516</v>
      </c>
      <c r="V1291" s="253">
        <v>0</v>
      </c>
      <c r="W1291" s="253">
        <v>0</v>
      </c>
      <c r="X1291">
        <v>0</v>
      </c>
      <c r="Y1291">
        <v>0</v>
      </c>
      <c r="Z1291">
        <v>0</v>
      </c>
      <c r="AA1291">
        <v>0</v>
      </c>
      <c r="AB1291">
        <v>0</v>
      </c>
      <c r="AC1291">
        <v>0</v>
      </c>
      <c r="AD1291">
        <v>0</v>
      </c>
      <c r="AE1291">
        <v>0</v>
      </c>
      <c r="AF1291">
        <v>0</v>
      </c>
      <c r="AG1291">
        <v>0</v>
      </c>
      <c r="AH1291">
        <v>0</v>
      </c>
      <c r="AI1291">
        <v>0</v>
      </c>
      <c r="AJ1291">
        <v>0</v>
      </c>
      <c r="AK1291">
        <v>0</v>
      </c>
      <c r="AL1291">
        <v>0</v>
      </c>
      <c r="AM1291">
        <v>1</v>
      </c>
      <c r="AN1291">
        <v>0</v>
      </c>
      <c r="AO1291">
        <v>0</v>
      </c>
      <c r="AP1291">
        <v>0</v>
      </c>
      <c r="AQ1291">
        <v>0</v>
      </c>
      <c r="AR1291">
        <v>0</v>
      </c>
      <c r="AS1291">
        <v>0</v>
      </c>
      <c r="AT1291">
        <v>0</v>
      </c>
      <c r="AU1291">
        <v>0</v>
      </c>
      <c r="AV1291">
        <v>0</v>
      </c>
      <c r="AW1291">
        <v>0</v>
      </c>
      <c r="AX1291">
        <v>0</v>
      </c>
      <c r="AY1291">
        <v>0</v>
      </c>
      <c r="AZ1291" s="141">
        <f>COUNTIF(X1291:AY1291,"&lt;&gt;0")</f>
        <v>1</v>
      </c>
      <c r="BA1291" s="141">
        <f>COUNTIF(X1291:AN1291,"&lt;&gt;0")</f>
        <v>1</v>
      </c>
      <c r="BB1291">
        <f>COUNTIF(X1291:AE1291,"&lt;&gt;0")</f>
        <v>0</v>
      </c>
      <c r="BC1291">
        <f>COUNTIF(AF1291:AK1291,"&lt;&gt;0")</f>
        <v>0</v>
      </c>
      <c r="BD1291">
        <f>COUNTIF(AL1291:AN1291,"&lt;&gt;0")</f>
        <v>1</v>
      </c>
      <c r="BE1291">
        <f>COUNTIF(AU1291:AY1291,"&lt;&gt;0")</f>
        <v>0</v>
      </c>
      <c r="BF1291">
        <f>COUNTIF(AO1291:AT1291,"&lt;&gt;0")</f>
        <v>0</v>
      </c>
      <c r="BG1291" t="str">
        <f t="array" ref="BG1291">IF(BA1291=1,INDEX($X$7:$AN$7,MATCH(TRUE,INDEX($X1291:$AY1291&lt;&gt;0,),0)),IF(BA1291=0,INDEX($AO$7:$AY$7,MATCH(1,$AO1291:$AY1291,0)),IF(BH1291="Multiple strategies","mixed drivers",IF(BH1291="Supply chain","multiple supply","multiple silviculture"))))</f>
        <v>technologies/design switch</v>
      </c>
      <c r="BH1291" s="2" t="str" cm="1">
        <f t="array" ref="BH1291">IF(COUNTIF(BB1291:BD1291,"&lt;&gt;0")=1,INDEX($X$4:$AY$4,MATCH(TRUE,INDEX($X1291:$AY1291&lt;&gt;0,),0)),IF(COUNTIF(BB1291:BD1291,"&lt;&gt;0")=0,INDEX($AO$4:$AY$4,MATCH(1,$AO1291:$AY1291,0)),"Multiple strategies"))</f>
        <v>Technology</v>
      </c>
      <c r="BI1291" s="142" t="s">
        <v>229</v>
      </c>
      <c r="BJ1291" t="s">
        <v>1514</v>
      </c>
      <c r="BK1291" s="260" t="s">
        <v>987</v>
      </c>
      <c r="BL1291" s="143" t="s">
        <v>2940</v>
      </c>
      <c r="BM1291" s="143">
        <v>0</v>
      </c>
      <c r="BN1291">
        <v>15.6</v>
      </c>
      <c r="BO1291" t="e">
        <f>BN1291/BM1291</f>
        <v>#DIV/0!</v>
      </c>
      <c r="BP1291">
        <f>BN1291-BM1291</f>
        <v>15.6</v>
      </c>
      <c r="BQ1291" s="143">
        <f>1000*BN1291/15.3/400</f>
        <v>2.5490196078431371</v>
      </c>
      <c r="BR1291" t="s">
        <v>232</v>
      </c>
      <c r="BT1291" t="s">
        <v>907</v>
      </c>
      <c r="BU1291" s="151">
        <v>-1</v>
      </c>
      <c r="BV1291" s="143">
        <v>0</v>
      </c>
      <c r="BW1291" s="144">
        <f>IFERROR(BV1291/BU1291,"")</f>
        <v>0</v>
      </c>
      <c r="BX1291">
        <f>BV1291-BU1291</f>
        <v>1</v>
      </c>
      <c r="BZ1291">
        <f>BX1291*C_to_CO2</f>
        <v>3.67</v>
      </c>
      <c r="CA1291">
        <f>IFERROR(BZ1291/BQ1291,"")</f>
        <v>1.4397692307692309</v>
      </c>
      <c r="CB1291" s="143">
        <v>0</v>
      </c>
      <c r="CC1291" s="143">
        <v>0</v>
      </c>
      <c r="CD1291" s="143">
        <v>0</v>
      </c>
      <c r="CE1291" s="143">
        <v>0</v>
      </c>
      <c r="CF1291" s="143">
        <v>0</v>
      </c>
      <c r="CG1291" s="143">
        <v>0</v>
      </c>
      <c r="CH1291" s="143">
        <v>0</v>
      </c>
      <c r="CI1291" s="143">
        <v>0</v>
      </c>
      <c r="CJ1291" s="143">
        <v>0</v>
      </c>
      <c r="CK1291" s="143">
        <v>0</v>
      </c>
      <c r="CL1291" s="143">
        <v>0</v>
      </c>
      <c r="CM1291" s="143">
        <v>0</v>
      </c>
      <c r="CN1291" s="143">
        <v>0</v>
      </c>
      <c r="CO1291">
        <v>1</v>
      </c>
      <c r="CP1291" t="str">
        <f>IF(BN1291&lt;BM1291,"refNeedCorrection","refOK")</f>
        <v>refOK</v>
      </c>
      <c r="CQ1291">
        <f>IF($CP1291="refOK",$BM1291,$BN1291)</f>
        <v>0</v>
      </c>
      <c r="CR1291">
        <f>IF($CP1291="refOK",$BN1291,$BM1291)</f>
        <v>15.6</v>
      </c>
      <c r="CS1291">
        <f>IF($CP1291="refOK",$BQ1291,-$BQ1291)</f>
        <v>2.5490196078431371</v>
      </c>
      <c r="CT1291">
        <f>IF(BI1291="Roundwood",$CS1291/2,$CS1291)</f>
        <v>2.5490196078431371</v>
      </c>
      <c r="CU1291">
        <f>IF($CP1291="refOK",$BU1291,$BV1291)*IF($BR1291="Emissions positive",-1,1)</f>
        <v>-1</v>
      </c>
      <c r="CV1291">
        <f>IF($CP1291="refOK",$BV1291,$BU1291)*IF($BR1291="Emissions positive",-1,1)</f>
        <v>0</v>
      </c>
      <c r="CW1291">
        <f>IF($CP1291="refNeedCorrection",-BZ1291,BZ1291)*IF($BR1291="Emissions positive",-1,1)</f>
        <v>3.67</v>
      </c>
      <c r="CX1291">
        <f>IFERROR($CW1291/$CS1291,"")</f>
        <v>1.4397692307692309</v>
      </c>
      <c r="CY1291">
        <f>IFERROR($CW1291/$CS1291,"")</f>
        <v>1.4397692307692309</v>
      </c>
      <c r="CZ1291">
        <f>IFERROR($CW1291/$CT1291,"")</f>
        <v>1.4397692307692309</v>
      </c>
      <c r="DA1291" s="2">
        <f>IFERROR((CV1291-CU1291)/ABS(CU1291),"")</f>
        <v>1</v>
      </c>
      <c r="DB1291" s="1" t="s">
        <v>1078</v>
      </c>
      <c r="DC1291" t="str">
        <f>IF(OR($DB1291="prd",$DB1291="std",$DB1291="cit"),"loc",IF(OR($DB1291="eur",$DB1291="reg",$DB1291="coy"),"reg",$DB1291))</f>
        <v>reg</v>
      </c>
      <c r="DD1291" t="s">
        <v>444</v>
      </c>
      <c r="DF1291" s="143"/>
      <c r="DG1291" s="143">
        <v>0</v>
      </c>
      <c r="DH1291" t="str">
        <f>IF(DG1291=0,"0",IF(AND(DG1291&gt;=1,DG1291&lt;=30),"1-30",IF(AND(DG1291&gt;30,DG1291&lt;=70),"31-70",IF(AND(DG1291&gt;70,DG1291&lt;=100),"71-100",IF(DG1291&gt;100,"+100")))))</f>
        <v>0</v>
      </c>
      <c r="DI1291">
        <v>0</v>
      </c>
      <c r="DJ1291">
        <v>1</v>
      </c>
      <c r="DK1291">
        <v>0</v>
      </c>
      <c r="DL1291">
        <v>0</v>
      </c>
      <c r="DN1291">
        <f>SUM(DI1291:DL1291)</f>
        <v>1</v>
      </c>
      <c r="DO1291" t="str">
        <f>IF(DN1291=1,INDEX($DI$7:$DL$7,MATCH(1,$DI1291:$DL1291,0)),"mixedProduct")</f>
        <v>EnergyInput</v>
      </c>
      <c r="DP1291">
        <f>IF(DI1291=1,DP$7,0)</f>
        <v>0</v>
      </c>
      <c r="DQ1291" t="str">
        <f>IF(DJ1291=1,DQ$7,0)</f>
        <v>Energy</v>
      </c>
      <c r="DR1291">
        <f>IF(DK1291=1,DR$7,0)</f>
        <v>0</v>
      </c>
      <c r="DS1291">
        <f>IF(DL1291=1,DS$7,0)</f>
        <v>0</v>
      </c>
      <c r="DT1291">
        <v>0</v>
      </c>
      <c r="DU1291" s="143">
        <v>0</v>
      </c>
      <c r="DV1291" s="143">
        <v>0</v>
      </c>
      <c r="DW1291">
        <v>0</v>
      </c>
      <c r="DX1291" s="143">
        <v>0</v>
      </c>
      <c r="DY1291">
        <f>SUM(DT1291:DU1291)</f>
        <v>0</v>
      </c>
      <c r="DZ1291" s="143" t="str">
        <f>IF(DT1291=1,"self-calculated DF",IF(DU1291=1,"external DF used","explicit C balance"))</f>
        <v>explicit C balance</v>
      </c>
      <c r="EA1291" s="143">
        <v>0</v>
      </c>
      <c r="EB1291" s="143">
        <v>0</v>
      </c>
      <c r="EC1291" s="143">
        <v>0</v>
      </c>
      <c r="ED1291" s="143">
        <v>0</v>
      </c>
      <c r="EE1291">
        <v>0</v>
      </c>
      <c r="EF1291" s="143">
        <v>0</v>
      </c>
      <c r="EG1291" s="143">
        <v>0</v>
      </c>
      <c r="EH1291" s="143">
        <v>1</v>
      </c>
      <c r="EI1291" s="143">
        <v>0</v>
      </c>
      <c r="EJ1291">
        <v>0</v>
      </c>
      <c r="EK1291">
        <v>0</v>
      </c>
      <c r="EL1291" s="143">
        <v>0</v>
      </c>
      <c r="EM1291" s="143">
        <v>0</v>
      </c>
      <c r="EN1291" s="2">
        <v>0</v>
      </c>
      <c r="EP1291" t="str">
        <f>IF(AND(AND(AND(OR($EC1291=1,$EB1291=1),OR($EH1291=1,$EF1291=1)),SUM($EA1291:$EE1291,$EK1291)&gt;=3),SUM($EF1291:$EJ1291)&gt;=2),"Whole sector approach","")</f>
        <v/>
      </c>
      <c r="EQ1291" t="str">
        <f>IF(AND(AND(OR($EC1291=1,$EB1291=1),AND($EH1291=0,$EF1291=0)),SUM($EA1291:$EE1291,$EK1291)&gt;=4),"Ecosystem approach","")</f>
        <v/>
      </c>
      <c r="ER1291" s="2" t="str">
        <f>IF(AND(AND(AND($EC1291=0,$EB1291=0),OR($EH1291=1,$EF1291=1)),SUM($EG1291:$EJ1291)&gt;=2),"Technology approach","")</f>
        <v/>
      </c>
      <c r="ES1291" t="str">
        <f>IF(AND($EC1291+$EB1291+$EE1291+$EA1291+$ED1291+$EG1291=0,$N1291="included"),"C neutral forest and HWP assumption","")</f>
        <v>C neutral forest and HWP assumption</v>
      </c>
      <c r="ET1291" t="str">
        <f>IF(AND(AND(AND(AND($EC1291=1,$EB1291+$EA1291+$EG1291&gt;=1),$EF1291=1),$EH1291+$EI1291+$ED1291+$EE1291&gt;=2),$N1291="included"),"All C pools assumption","")</f>
        <v/>
      </c>
      <c r="EU1291" t="str">
        <f>IF(AND($ED1291+$EE1291+$EI1291+$EH1291+$EF1291=0,$N1291="included"),"In-situ only assumption","")</f>
        <v/>
      </c>
      <c r="EY1291" t="str">
        <f>IF(ISNUMBER(BW1291),IF(ABS(BW1291-[3]QC_indicators!$B$2)&gt;3*[3]QC_indicators!$C$2,"C ratio",IF(ISNUMBER(CA1291),IF(ABS(CA1291-[3]QC_indicators!$B$1)&gt;3*[3]QC_indicators!$C$1,"DF","no"))),IF(ISNUMBER(CA1291),IF(ABS(CA1291-[3]QC_indicators!$B$1)&gt;3*[3]QC_indicators!$C$1,"DF","no")))</f>
        <v>no</v>
      </c>
      <c r="FA1291" t="str">
        <f>IF(LEN($CY1291)=0,"",IF(AND($CY1291&lt;(-0.05),$ES1291="C neutral forest and HWP assumption"),"Cneutral paradox",IF(AND($CY1291&gt;0.05,$EU1291="In-situ only assumption"),"In-situ only paradox","")))</f>
        <v/>
      </c>
      <c r="FB1291" s="149" t="s">
        <v>349</v>
      </c>
      <c r="FD1291" s="260" t="s">
        <v>2941</v>
      </c>
    </row>
    <row r="1292" spans="1:161" ht="15" hidden="1" customHeight="1">
      <c r="A1292" s="1" t="s">
        <v>247</v>
      </c>
      <c r="B1292" t="s">
        <v>248</v>
      </c>
      <c r="C1292" t="s">
        <v>249</v>
      </c>
      <c r="D1292" t="s">
        <v>250</v>
      </c>
      <c r="E1292" t="s">
        <v>251</v>
      </c>
      <c r="F1292" t="s">
        <v>252</v>
      </c>
      <c r="G1292" t="s">
        <v>253</v>
      </c>
      <c r="H1292" t="s">
        <v>254</v>
      </c>
      <c r="I1292">
        <v>2022</v>
      </c>
      <c r="J1292">
        <v>0</v>
      </c>
      <c r="K1292" t="s">
        <v>255</v>
      </c>
      <c r="M1292" t="str">
        <f>LEFT($D1292,FIND(",",$D1292)-1)&amp;"_"&amp;I1292&amp;L1292</f>
        <v>Andersen_2022</v>
      </c>
      <c r="N1292" t="s">
        <v>222</v>
      </c>
      <c r="O1292" s="145" t="s">
        <v>223</v>
      </c>
      <c r="Q1292" t="s">
        <v>256</v>
      </c>
      <c r="R1292" s="264" t="s">
        <v>274</v>
      </c>
      <c r="S1292" s="1" t="s">
        <v>257</v>
      </c>
      <c r="T1292" t="s">
        <v>258</v>
      </c>
      <c r="U1292" t="s">
        <v>259</v>
      </c>
      <c r="V1292" s="253">
        <v>0</v>
      </c>
      <c r="W1292" s="253">
        <v>0</v>
      </c>
      <c r="X1292">
        <v>0</v>
      </c>
      <c r="Y1292">
        <v>0</v>
      </c>
      <c r="Z1292">
        <v>0</v>
      </c>
      <c r="AA1292">
        <v>0</v>
      </c>
      <c r="AB1292">
        <v>0</v>
      </c>
      <c r="AC1292">
        <v>0</v>
      </c>
      <c r="AD1292">
        <v>0</v>
      </c>
      <c r="AE1292">
        <v>0</v>
      </c>
      <c r="AF1292">
        <v>0</v>
      </c>
      <c r="AG1292">
        <v>0</v>
      </c>
      <c r="AH1292">
        <v>0</v>
      </c>
      <c r="AI1292">
        <v>0</v>
      </c>
      <c r="AJ1292">
        <v>0</v>
      </c>
      <c r="AK1292">
        <v>0</v>
      </c>
      <c r="AL1292">
        <v>0</v>
      </c>
      <c r="AM1292">
        <v>1</v>
      </c>
      <c r="AN1292">
        <v>0</v>
      </c>
      <c r="AO1292">
        <v>0</v>
      </c>
      <c r="AP1292">
        <v>0</v>
      </c>
      <c r="AQ1292">
        <v>0</v>
      </c>
      <c r="AR1292">
        <v>0</v>
      </c>
      <c r="AS1292">
        <v>0</v>
      </c>
      <c r="AT1292">
        <v>0</v>
      </c>
      <c r="AU1292">
        <v>0</v>
      </c>
      <c r="AV1292">
        <v>0</v>
      </c>
      <c r="AW1292">
        <v>0</v>
      </c>
      <c r="AX1292">
        <v>0</v>
      </c>
      <c r="AY1292">
        <v>0</v>
      </c>
      <c r="AZ1292" s="141">
        <f>COUNTIF(X1292:AY1292,"&lt;&gt;0")</f>
        <v>1</v>
      </c>
      <c r="BA1292" s="141">
        <f>COUNTIF(X1292:AN1292,"&lt;&gt;0")</f>
        <v>1</v>
      </c>
      <c r="BB1292">
        <f>COUNTIF(X1292:AE1292,"&lt;&gt;0")</f>
        <v>0</v>
      </c>
      <c r="BC1292">
        <f>COUNTIF(AF1292:AK1292,"&lt;&gt;0")</f>
        <v>0</v>
      </c>
      <c r="BD1292">
        <f>COUNTIF(AL1292:AN1292,"&lt;&gt;0")</f>
        <v>1</v>
      </c>
      <c r="BE1292">
        <f>COUNTIF(AU1292:AY1292,"&lt;&gt;0")</f>
        <v>0</v>
      </c>
      <c r="BF1292">
        <f>COUNTIF(AO1292:AT1292,"&lt;&gt;0")</f>
        <v>0</v>
      </c>
      <c r="BG1292" t="str">
        <f t="array" ref="BG1292">IF(BA1292=1,INDEX($X$7:$AN$7,MATCH(TRUE,INDEX($X1292:$AY1292&lt;&gt;0,),0)),IF(BA1292=0,INDEX($AO$7:$AY$7,MATCH(1,$AO1292:$AY1292,0)),IF(BH1292="Multiple strategies","mixed drivers",IF(BH1292="Supply chain","multiple supply","multiple silviculture"))))</f>
        <v>technologies/design switch</v>
      </c>
      <c r="BH1292" s="2" t="str" cm="1">
        <f t="array" ref="BH1292">IF(COUNTIF(BB1292:BD1292,"&lt;&gt;0")=1,INDEX($X$4:$AY$4,MATCH(TRUE,INDEX($X1292:$AY1292&lt;&gt;0,),0)),IF(COUNTIF(BB1292:BD1292,"&lt;&gt;0")=0,INDEX($AO$4:$AY$4,MATCH(1,$AO1292:$AY1292,0)),"Multiple strategies"))</f>
        <v>Technology</v>
      </c>
      <c r="BI1292" s="142" t="s">
        <v>229</v>
      </c>
      <c r="BJ1292" t="s">
        <v>260</v>
      </c>
      <c r="BK1292" s="260" t="s">
        <v>410</v>
      </c>
      <c r="BL1292" s="143" t="s">
        <v>261</v>
      </c>
      <c r="BM1292">
        <v>37.200000000000003</v>
      </c>
      <c r="BN1292">
        <v>188.5</v>
      </c>
      <c r="BO1292" s="143">
        <f>BN1292/BM1292</f>
        <v>5.0672043010752681</v>
      </c>
      <c r="BP1292">
        <f>BN1292-BM1292</f>
        <v>151.30000000000001</v>
      </c>
      <c r="BQ1292">
        <f>BP1292*kg_to_m3</f>
        <v>0.30877551020408167</v>
      </c>
      <c r="BR1292" t="s">
        <v>232</v>
      </c>
      <c r="BS1292" s="346" t="s">
        <v>2936</v>
      </c>
      <c r="BT1292" t="s">
        <v>262</v>
      </c>
      <c r="BU1292">
        <v>-904</v>
      </c>
      <c r="BV1292">
        <v>-454</v>
      </c>
      <c r="BW1292" s="144">
        <f>IFERROR(BV1292/BU1292,"")</f>
        <v>0.50221238938053092</v>
      </c>
      <c r="BX1292">
        <f>BV1292-BU1292</f>
        <v>450</v>
      </c>
      <c r="BZ1292">
        <f>BX1292/1000</f>
        <v>0.45</v>
      </c>
      <c r="CA1292">
        <f>IFERROR(BZ1292/BQ1292,"")</f>
        <v>1.4573694646397883</v>
      </c>
      <c r="CB1292" s="143">
        <v>1</v>
      </c>
      <c r="CC1292" s="143">
        <v>0</v>
      </c>
      <c r="CD1292" s="143">
        <v>0</v>
      </c>
      <c r="CE1292" s="143">
        <v>0</v>
      </c>
      <c r="CF1292" s="143">
        <v>0</v>
      </c>
      <c r="CG1292" s="143">
        <v>0</v>
      </c>
      <c r="CH1292" s="143">
        <v>0</v>
      </c>
      <c r="CI1292" s="143">
        <v>1</v>
      </c>
      <c r="CJ1292" s="143">
        <v>0</v>
      </c>
      <c r="CK1292" s="143">
        <v>1</v>
      </c>
      <c r="CL1292" s="143">
        <v>0</v>
      </c>
      <c r="CM1292" s="143">
        <v>0</v>
      </c>
      <c r="CN1292" s="143">
        <v>0</v>
      </c>
      <c r="CO1292">
        <v>0</v>
      </c>
      <c r="CP1292" t="str">
        <f>IF($BN1292&lt;$BM1292,"refNeedCorrection","refOK")</f>
        <v>refOK</v>
      </c>
      <c r="CQ1292">
        <f>IF($CP1292="refOK",$BM1292,$BN1292)</f>
        <v>37.200000000000003</v>
      </c>
      <c r="CR1292">
        <f>IF($CP1292="refOK",$BN1292,$BM1292)</f>
        <v>188.5</v>
      </c>
      <c r="CS1292">
        <f>IF($CP1292="refOK",$BQ1292,-$BQ1292)</f>
        <v>0.30877551020408167</v>
      </c>
      <c r="CT1292">
        <f>IF(BI1292="Roundwood",$CS1292/2,$CS1292)</f>
        <v>0.30877551020408167</v>
      </c>
      <c r="CU1292">
        <f>IF($CP1292="refOK",$BU1292,$BV1292)*IF($BR1292="Emissions positive",-1,1)</f>
        <v>-904</v>
      </c>
      <c r="CV1292">
        <f>IF($CP1292="refOK",$BV1292,$BU1292)*IF($BR1292="Emissions positive",-1,1)</f>
        <v>-454</v>
      </c>
      <c r="CW1292">
        <f>IF($CP1292="refNeedCorrection",-BZ1292,BZ1292)*IF($BR1292="Emissions positive",-1,1)</f>
        <v>0.45</v>
      </c>
      <c r="CX1292">
        <f>IFERROR($CW1292/$CS1292,"")</f>
        <v>1.4573694646397883</v>
      </c>
      <c r="CY1292">
        <f>IFERROR($CW1292/$CS1292,"")</f>
        <v>1.4573694646397883</v>
      </c>
      <c r="CZ1292">
        <f>IFERROR($CW1292/$CT1292,"")</f>
        <v>1.4573694646397883</v>
      </c>
      <c r="DA1292" s="2">
        <f>IFERROR((CV1292-CU1292)/ABS(CU1292),"")</f>
        <v>0.49778761061946902</v>
      </c>
      <c r="DB1292" s="1" t="s">
        <v>263</v>
      </c>
      <c r="DC1292" t="str">
        <f>IF(OR($DB1292="prd",$DB1292="std",$DB1292="cit"),"loc",IF(OR($DB1292="eur",$DB1292="reg",$DB1292="coy"),"reg",$DB1292))</f>
        <v>loc</v>
      </c>
      <c r="DD1292" t="s">
        <v>264</v>
      </c>
      <c r="DF1292" s="143"/>
      <c r="DG1292">
        <v>100</v>
      </c>
      <c r="DH1292" t="str">
        <f>IF(DG1292=0,"0",IF(AND(DG1292&gt;=1,DG1292&lt;=30),"1-30",IF(AND(DG1292&gt;30,DG1292&lt;=70),"31-70",IF(AND(DG1292&gt;70,DG1292&lt;=100),"71-100",IF(DG1292&gt;100,"+100")))))</f>
        <v>71-100</v>
      </c>
      <c r="DI1292">
        <v>0</v>
      </c>
      <c r="DJ1292">
        <v>0</v>
      </c>
      <c r="DK1292">
        <v>0</v>
      </c>
      <c r="DL1292">
        <v>1</v>
      </c>
      <c r="DN1292">
        <f>SUM(DI1292:DL1292)</f>
        <v>1</v>
      </c>
      <c r="DO1292" t="str">
        <f>IF(DN1292=1,INDEX($DI$7:$DL$7,MATCH(1,$DI1292:$DL1292,0)),"mixedProduct")</f>
        <v>TimberInput</v>
      </c>
      <c r="DP1292">
        <f>IF(DI1292=1,DP$7,0)</f>
        <v>0</v>
      </c>
      <c r="DQ1292">
        <f>IF(DJ1292=1,DQ$7,0)</f>
        <v>0</v>
      </c>
      <c r="DR1292">
        <f>IF(DK1292=1,DR$7,0)</f>
        <v>0</v>
      </c>
      <c r="DS1292" t="str">
        <f>IF(DL1292=1,DS$7,0)</f>
        <v>Timber</v>
      </c>
      <c r="DT1292">
        <v>0</v>
      </c>
      <c r="DU1292" s="143">
        <v>0</v>
      </c>
      <c r="DV1292" s="143">
        <v>0</v>
      </c>
      <c r="DW1292" s="143">
        <v>0</v>
      </c>
      <c r="DX1292">
        <v>0</v>
      </c>
      <c r="DY1292">
        <f>SUM(DT1292:DU1292)</f>
        <v>0</v>
      </c>
      <c r="DZ1292" s="143" t="str">
        <f>IF(DT1292=1,"self-calculated DF",IF(DU1292=1,"external DF used","explicit C balance"))</f>
        <v>explicit C balance</v>
      </c>
      <c r="EA1292">
        <v>0</v>
      </c>
      <c r="EB1292" s="143">
        <v>0</v>
      </c>
      <c r="EC1292" s="143">
        <v>0</v>
      </c>
      <c r="ED1292" s="143">
        <v>0</v>
      </c>
      <c r="EE1292">
        <v>0</v>
      </c>
      <c r="EF1292" s="143">
        <v>0</v>
      </c>
      <c r="EG1292">
        <v>0</v>
      </c>
      <c r="EH1292" s="143">
        <v>1</v>
      </c>
      <c r="EI1292" s="143">
        <v>1</v>
      </c>
      <c r="EJ1292">
        <v>1</v>
      </c>
      <c r="EK1292">
        <v>0</v>
      </c>
      <c r="EL1292" s="143">
        <v>1</v>
      </c>
      <c r="EM1292">
        <v>0</v>
      </c>
      <c r="EN1292" s="2">
        <v>0</v>
      </c>
      <c r="EP1292" t="str">
        <f>IF(AND(AND(AND(OR($EC1292=1,$EB1292=1),OR($EH1292=1,$EF1292=1)),SUM($EA1292:$EE1292,$EK1292)&gt;=3),SUM($EF1292:$EJ1292)&gt;=2),"Whole sector approach","")</f>
        <v/>
      </c>
      <c r="EQ1292" t="str">
        <f>IF(AND(AND(OR($EC1292=1,$EB1292=1),AND($EH1292=0,$EF1292=0)),SUM($EA1292:$EE1292,$EK1292)&gt;=4),"Ecosystem approach","")</f>
        <v/>
      </c>
      <c r="ER1292" s="2" t="str">
        <f>IF(AND(AND(AND($EC1292=0,$EB1292=0),OR($EH1292=1,$EF1292=1)),SUM($EG1292:$EJ1292)&gt;=2),"Technology approach","")</f>
        <v>Technology approach</v>
      </c>
      <c r="ES1292" t="str">
        <f>IF(AND($EC1292+$EB1292+$EE1292+$EA1292+$ED1292+$EG1292=0,$N1292="included"),"C neutral forest and HWP assumption","")</f>
        <v>C neutral forest and HWP assumption</v>
      </c>
      <c r="ET1292" t="str">
        <f>IF(AND(AND(AND(AND($EC1292=1,$EB1292+$EA1292+$EG1292&gt;=1),$EF1292=1),$EH1292+$EI1292+$ED1292+$EE1292&gt;=2),$N1292="included"),"All C pools assumption","")</f>
        <v/>
      </c>
      <c r="EU1292" t="str">
        <f>IF(AND($ED1292+$EE1292+$EI1292+$EH1292+$EF1292=0,$N1292="included"),"In-situ only assumption","")</f>
        <v/>
      </c>
      <c r="EY1292" t="str">
        <f>IF(ISNUMBER(BW1292),IF(ABS(BW1292-[3]QC_indicators!$B$2)&gt;3*[3]QC_indicators!$C$2,"C ratio",IF(ISNUMBER(CA1292),IF(ABS(CA1292-[3]QC_indicators!$B$1)&gt;3*[3]QC_indicators!$C$1,"DF","no"))),IF(ISNUMBER(CA1292),IF(ABS(CA1292-[3]QC_indicators!$B$1)&gt;3*[3]QC_indicators!$C$1,"DF","no")))</f>
        <v>no</v>
      </c>
      <c r="FA1292" t="str">
        <f>IF(LEN($CY1292)=0,"",IF(AND($CY1292&lt;(-0.05),$ES1292="C neutral forest and HWP assumption"),"Cneutral paradox",IF(AND($CY1292&gt;0.05,$EU1292="In-situ only assumption"),"In-situ only paradox","")))</f>
        <v/>
      </c>
      <c r="FD1292" s="260" t="s">
        <v>2937</v>
      </c>
    </row>
    <row r="1293" spans="1:161" ht="15" hidden="1" customHeight="1">
      <c r="D1293" t="s">
        <v>927</v>
      </c>
      <c r="E1293" t="s">
        <v>949</v>
      </c>
      <c r="G1293" t="s">
        <v>950</v>
      </c>
      <c r="I1293">
        <v>2004</v>
      </c>
      <c r="K1293" t="s">
        <v>951</v>
      </c>
      <c r="M1293" t="str">
        <f>LEFT($D1293,FIND(",",$D1293)-1)&amp;"_"&amp;I1293&amp;L1293</f>
        <v>Petersen_2004</v>
      </c>
      <c r="N1293" t="s">
        <v>222</v>
      </c>
      <c r="O1293" s="171" t="s">
        <v>508</v>
      </c>
      <c r="P1293" s="141" t="s">
        <v>225</v>
      </c>
      <c r="Q1293" t="s">
        <v>389</v>
      </c>
      <c r="R1293" s="258" t="s">
        <v>223</v>
      </c>
      <c r="S1293" s="1" t="s">
        <v>938</v>
      </c>
      <c r="T1293" t="s">
        <v>966</v>
      </c>
      <c r="U1293" t="s">
        <v>962</v>
      </c>
      <c r="V1293" s="253">
        <v>0</v>
      </c>
      <c r="W1293" s="253">
        <v>0</v>
      </c>
      <c r="X1293">
        <v>0</v>
      </c>
      <c r="Y1293">
        <v>0</v>
      </c>
      <c r="Z1293">
        <v>0</v>
      </c>
      <c r="AA1293">
        <v>0</v>
      </c>
      <c r="AB1293">
        <v>0</v>
      </c>
      <c r="AC1293">
        <v>0</v>
      </c>
      <c r="AD1293">
        <v>0</v>
      </c>
      <c r="AE1293">
        <v>0</v>
      </c>
      <c r="AF1293">
        <v>0</v>
      </c>
      <c r="AG1293">
        <v>0</v>
      </c>
      <c r="AH1293">
        <v>0</v>
      </c>
      <c r="AI1293">
        <v>0</v>
      </c>
      <c r="AJ1293">
        <v>0</v>
      </c>
      <c r="AK1293">
        <v>0</v>
      </c>
      <c r="AL1293">
        <v>0</v>
      </c>
      <c r="AM1293">
        <v>1</v>
      </c>
      <c r="AN1293">
        <v>0</v>
      </c>
      <c r="AO1293">
        <v>0</v>
      </c>
      <c r="AP1293">
        <v>0</v>
      </c>
      <c r="AQ1293">
        <v>0</v>
      </c>
      <c r="AR1293">
        <v>0</v>
      </c>
      <c r="AS1293">
        <v>0</v>
      </c>
      <c r="AT1293">
        <v>0</v>
      </c>
      <c r="AU1293">
        <v>0</v>
      </c>
      <c r="AV1293">
        <v>0</v>
      </c>
      <c r="AW1293">
        <v>0</v>
      </c>
      <c r="AX1293">
        <v>0</v>
      </c>
      <c r="AY1293">
        <v>0</v>
      </c>
      <c r="AZ1293" s="141">
        <f>COUNTIF(X1293:AY1293,"&lt;&gt;0")</f>
        <v>1</v>
      </c>
      <c r="BA1293" s="141">
        <f>COUNTIF(X1293:AN1293,"&lt;&gt;0")</f>
        <v>1</v>
      </c>
      <c r="BB1293">
        <f>COUNTIF(X1293:AE1293,"&lt;&gt;0")</f>
        <v>0</v>
      </c>
      <c r="BC1293">
        <f>COUNTIF(AF1293:AK1293,"&lt;&gt;0")</f>
        <v>0</v>
      </c>
      <c r="BD1293">
        <f>COUNTIF(AL1293:AN1293,"&lt;&gt;0")</f>
        <v>1</v>
      </c>
      <c r="BE1293">
        <f>COUNTIF(AU1293:AY1293,"&lt;&gt;0")</f>
        <v>0</v>
      </c>
      <c r="BF1293">
        <f>COUNTIF(AO1293:AT1293,"&lt;&gt;0")</f>
        <v>0</v>
      </c>
      <c r="BG1293" t="str">
        <f t="array" ref="BG1293">IF(BA1293=1,INDEX($X$7:$AN$7,MATCH(TRUE,INDEX($X1293:$AY1293&lt;&gt;0,),0)),IF(BA1293=0,INDEX($AO$7:$AY$7,MATCH(1,$AO1293:$AY1293,0)),IF(BH1293="Multiple strategies","mixed drivers",IF(BH1293="Supply chain","multiple supply","multiple silviculture"))))</f>
        <v>technologies/design switch</v>
      </c>
      <c r="BH1293" s="2" t="str" cm="1">
        <f t="array" ref="BH1293">IF(COUNTIF(BB1293:BD1293,"&lt;&gt;0")=1,INDEX($X$4:$AY$4,MATCH(TRUE,INDEX($X1293:$AY1293&lt;&gt;0,),0)),IF(COUNTIF(BB1293:BD1293,"&lt;&gt;0")=0,INDEX($AO$4:$AY$4,MATCH(1,$AO1293:$AY1293,0)),"Multiple strategies"))</f>
        <v>Technology</v>
      </c>
      <c r="BI1293" s="142" t="s">
        <v>229</v>
      </c>
      <c r="BJ1293" t="s">
        <v>933</v>
      </c>
      <c r="BK1293" t="s">
        <v>954</v>
      </c>
      <c r="BL1293" t="s">
        <v>498</v>
      </c>
      <c r="BM1293">
        <v>0</v>
      </c>
      <c r="BN1293" s="143">
        <v>1</v>
      </c>
      <c r="BO1293" t="str">
        <f>IFERROR(BN1293/BM1293,"")</f>
        <v/>
      </c>
      <c r="BP1293">
        <f>BN1293-BM1293</f>
        <v>1</v>
      </c>
      <c r="BQ1293" s="159">
        <v>1</v>
      </c>
      <c r="BR1293" t="s">
        <v>232</v>
      </c>
      <c r="BS1293" t="s">
        <v>955</v>
      </c>
      <c r="BT1293" t="s">
        <v>935</v>
      </c>
      <c r="BW1293" s="144"/>
      <c r="BX1293">
        <v>1.6</v>
      </c>
      <c r="BZ1293">
        <f>BX1293</f>
        <v>1.6</v>
      </c>
      <c r="CA1293">
        <f>IFERROR(BZ1293/BQ1293,"")</f>
        <v>1.6</v>
      </c>
      <c r="CB1293">
        <v>0</v>
      </c>
      <c r="CC1293">
        <v>0</v>
      </c>
      <c r="CD1293">
        <v>0</v>
      </c>
      <c r="CE1293">
        <v>0</v>
      </c>
      <c r="CF1293">
        <v>0</v>
      </c>
      <c r="CG1293">
        <v>0</v>
      </c>
      <c r="CH1293">
        <v>0</v>
      </c>
      <c r="CI1293">
        <v>0</v>
      </c>
      <c r="CJ1293">
        <v>0</v>
      </c>
      <c r="CK1293">
        <v>0</v>
      </c>
      <c r="CL1293">
        <v>0</v>
      </c>
      <c r="CM1293">
        <v>0</v>
      </c>
      <c r="CN1293">
        <v>0</v>
      </c>
      <c r="CO1293">
        <v>0</v>
      </c>
      <c r="CP1293" t="str">
        <f>IF($BN1293&lt;$BM1293,"refNeedCorrection","refOK")</f>
        <v>refOK</v>
      </c>
      <c r="CQ1293">
        <f>IF($CP1293="refOK",$BM1293,$BN1293)</f>
        <v>0</v>
      </c>
      <c r="CR1293">
        <f>IF($CP1293="refOK",$BN1293,$BM1293)</f>
        <v>1</v>
      </c>
      <c r="CS1293">
        <f>IF($CP1293="refOK",$BQ1293,-$BQ1293)</f>
        <v>1</v>
      </c>
      <c r="CT1293">
        <f>IF(BI1293="Roundwood",$CS1293/2,$CS1293)</f>
        <v>1</v>
      </c>
      <c r="CU1293">
        <f>IF($CP1293="refOK",$BU1293,$BV1293)*IF($BR1293="Emissions positive",-1,1)</f>
        <v>0</v>
      </c>
      <c r="CV1293">
        <f>IF($CP1293="refOK",$BV1293,$BU1293)*IF($BR1293="Emissions positive",-1,1)</f>
        <v>0</v>
      </c>
      <c r="CW1293">
        <f>IF($CP1293="refNeedCorrection",-BZ1293,BZ1293)*IF($BR1293="Emissions positive",-1,1)</f>
        <v>1.6</v>
      </c>
      <c r="CX1293">
        <f>IFERROR($CW1293/$CS1293,"")</f>
        <v>1.6</v>
      </c>
      <c r="CY1293">
        <f>IFERROR($CW1293/$CS1293,"")</f>
        <v>1.6</v>
      </c>
      <c r="CZ1293">
        <f>IFERROR($CW1293/$CT1293,"")</f>
        <v>1.6</v>
      </c>
      <c r="DA1293" s="2" t="str">
        <f>IFERROR((CV1293-CU1293)/ABS(CU1293),"")</f>
        <v/>
      </c>
      <c r="DB1293" s="1" t="s">
        <v>263</v>
      </c>
      <c r="DC1293" t="str">
        <f>IF(OR($DB1293="prd",$DB1293="std",$DB1293="cit"),"loc",IF(OR($DB1293="eur",$DB1293="reg",$DB1293="coy"),"reg",$DB1293))</f>
        <v>loc</v>
      </c>
      <c r="DD1293" t="s">
        <v>264</v>
      </c>
      <c r="DF1293" s="143"/>
      <c r="DG1293" s="143">
        <v>45</v>
      </c>
      <c r="DH1293" t="str">
        <f>IF(DG1293=0,"0",IF(AND(DG1293&gt;=1,DG1293&lt;=30),"1-30",IF(AND(DG1293&gt;30,DG1293&lt;=70),"31-70",IF(AND(DG1293&gt;70,DG1293&lt;=100),"71-100",IF(DG1293&gt;100,"+100")))))</f>
        <v>31-70</v>
      </c>
      <c r="DI1293">
        <v>0</v>
      </c>
      <c r="DJ1293">
        <v>0</v>
      </c>
      <c r="DK1293">
        <v>0</v>
      </c>
      <c r="DL1293">
        <v>1</v>
      </c>
      <c r="DM1293">
        <v>0</v>
      </c>
      <c r="DN1293">
        <f>SUM(DI1293:DL1293)</f>
        <v>1</v>
      </c>
      <c r="DO1293" t="str">
        <f>IF(DN1293=1,INDEX($DI$7:$DL$7,MATCH(1,$DI1293:$DL1293,0)),"mixedProduct")</f>
        <v>TimberInput</v>
      </c>
      <c r="DP1293">
        <f>IF(DI1293=1,DP$7,0)</f>
        <v>0</v>
      </c>
      <c r="DQ1293">
        <f>IF(DJ1293=1,DQ$7,0)</f>
        <v>0</v>
      </c>
      <c r="DR1293">
        <f>IF(DK1293=1,DR$7,0)</f>
        <v>0</v>
      </c>
      <c r="DS1293" t="str">
        <f>IF(DL1293=1,DS$7,0)</f>
        <v>Timber</v>
      </c>
      <c r="DT1293">
        <v>1</v>
      </c>
      <c r="DU1293">
        <v>0</v>
      </c>
      <c r="DV1293">
        <v>0</v>
      </c>
      <c r="DW1293">
        <v>0</v>
      </c>
      <c r="DX1293">
        <v>0</v>
      </c>
      <c r="DY1293">
        <f>SUM(DT1293:DU1293)</f>
        <v>1</v>
      </c>
      <c r="DZ1293" s="143" t="str">
        <f>IF(DT1293=1,"self-calculated DF",IF(DU1293=1,"external DF used","explicit C balance"))</f>
        <v>self-calculated DF</v>
      </c>
      <c r="EA1293" s="143">
        <v>0</v>
      </c>
      <c r="EB1293" s="143">
        <v>0</v>
      </c>
      <c r="EC1293" s="143">
        <v>0</v>
      </c>
      <c r="ED1293" s="143">
        <v>0</v>
      </c>
      <c r="EE1293">
        <v>0</v>
      </c>
      <c r="EF1293" s="143">
        <v>1</v>
      </c>
      <c r="EG1293" s="143">
        <v>0</v>
      </c>
      <c r="EH1293" s="143">
        <v>1</v>
      </c>
      <c r="EI1293" s="143">
        <v>0</v>
      </c>
      <c r="EJ1293">
        <v>0</v>
      </c>
      <c r="EK1293">
        <v>0</v>
      </c>
      <c r="EL1293" s="143">
        <v>0</v>
      </c>
      <c r="EM1293" s="143">
        <v>0</v>
      </c>
      <c r="EN1293" s="2">
        <v>0</v>
      </c>
      <c r="EP1293" t="str">
        <f>IF(AND(AND(AND(OR($EC1293=1,$EB1293=1),OR($EH1293=1,$EF1293=1)),SUM($EA1293:$EE1293,$EK1293)&gt;=3),SUM($EF1293:$EJ1293)&gt;=2),"Whole sector approach","")</f>
        <v/>
      </c>
      <c r="EQ1293" t="str">
        <f>IF(AND(AND(OR($EC1293=1,$EB1293=1),AND($EH1293=0,$EF1293=0)),SUM($EA1293:$EE1293,$EK1293)&gt;=4),"Ecosystem approach","")</f>
        <v/>
      </c>
      <c r="ER1293" s="2" t="str">
        <f>IF(AND(AND(AND($EC1293=0,$EB1293=0),OR($EH1293=1,$EF1293=1)),SUM($EG1293:$EJ1293)&gt;=2),"Technology approach","")</f>
        <v/>
      </c>
      <c r="ES1293" t="str">
        <f>IF(AND($EC1293+$EB1293+$EE1293+$EA1293+$ED1293+$EG1293=0,$N1293="included"),"C neutral forest and HWP assumption","")</f>
        <v>C neutral forest and HWP assumption</v>
      </c>
      <c r="ET1293" t="str">
        <f>IF(AND(AND(AND(AND($EC1293=1,$EB1293+$EA1293+$EG1293&gt;=1),$EF1293=1),$EH1293+$EI1293+$ED1293+$EE1293&gt;=2),$N1293="included"),"All C pools assumption","")</f>
        <v/>
      </c>
      <c r="EU1293" t="str">
        <f>IF(AND($ED1293+$EE1293+$EI1293+$EH1293+$EF1293=0,$N1293="included"),"In-situ only assumption","")</f>
        <v/>
      </c>
      <c r="EY1293" t="str">
        <f>IF(ISNUMBER(BW1293),IF(ABS(BW1293-[2]QC_indicators!$B$2)&gt;3*[2]QC_indicators!$C$2,"C ratio",IF(ISNUMBER(CA1293),IF(ABS(CA1293-[2]QC_indicators!$B$1)&gt;3*[2]QC_indicators!$C$1,"DF","no"))),IF(ISNUMBER(CA1293),IF(ABS(CA1293-[2]QC_indicators!$B$1)&gt;3*[2]QC_indicators!$C$1,"DF","no")))</f>
        <v>no</v>
      </c>
      <c r="FA1293" t="str">
        <f>IF(LEN($CY1293)=0,"",IF(AND($CY1293&lt;(-0.05),$ES1293="C neutral forest and HWP assumption"),"Cneutral paradox",IF(AND($CY1293&gt;0.05,$EU1293="In-situ only assumption"),"In-situ only paradox","")))</f>
        <v/>
      </c>
      <c r="FB1293" t="s">
        <v>944</v>
      </c>
      <c r="FD1293" s="260" t="s">
        <v>2887</v>
      </c>
    </row>
    <row r="1294" spans="1:161" ht="15" hidden="1" customHeight="1">
      <c r="D1294" t="s">
        <v>927</v>
      </c>
      <c r="E1294" t="s">
        <v>949</v>
      </c>
      <c r="G1294" t="s">
        <v>950</v>
      </c>
      <c r="I1294">
        <v>2004</v>
      </c>
      <c r="K1294" t="s">
        <v>951</v>
      </c>
      <c r="M1294" t="str">
        <f>LEFT($D1294,FIND(",",$D1294)-1)&amp;"_"&amp;I1294&amp;L1294</f>
        <v>Petersen_2004</v>
      </c>
      <c r="N1294" t="s">
        <v>222</v>
      </c>
      <c r="O1294" s="171" t="s">
        <v>508</v>
      </c>
      <c r="P1294" s="141" t="s">
        <v>225</v>
      </c>
      <c r="Q1294" t="s">
        <v>389</v>
      </c>
      <c r="R1294" s="258" t="s">
        <v>223</v>
      </c>
      <c r="S1294" s="1" t="s">
        <v>956</v>
      </c>
      <c r="T1294" t="s">
        <v>967</v>
      </c>
      <c r="U1294" t="s">
        <v>958</v>
      </c>
      <c r="V1294" s="253">
        <v>0</v>
      </c>
      <c r="W1294" s="253">
        <v>0</v>
      </c>
      <c r="X1294">
        <v>0</v>
      </c>
      <c r="Y1294">
        <v>0</v>
      </c>
      <c r="Z1294">
        <v>0</v>
      </c>
      <c r="AA1294">
        <v>0</v>
      </c>
      <c r="AB1294">
        <v>0</v>
      </c>
      <c r="AC1294">
        <v>0</v>
      </c>
      <c r="AD1294">
        <v>0</v>
      </c>
      <c r="AE1294">
        <v>0</v>
      </c>
      <c r="AF1294">
        <v>0</v>
      </c>
      <c r="AG1294">
        <v>0</v>
      </c>
      <c r="AH1294">
        <v>0</v>
      </c>
      <c r="AI1294">
        <v>0</v>
      </c>
      <c r="AJ1294">
        <v>0</v>
      </c>
      <c r="AK1294">
        <v>0</v>
      </c>
      <c r="AL1294">
        <v>0</v>
      </c>
      <c r="AM1294">
        <v>1</v>
      </c>
      <c r="AN1294">
        <v>0</v>
      </c>
      <c r="AO1294">
        <v>0</v>
      </c>
      <c r="AP1294">
        <v>0</v>
      </c>
      <c r="AQ1294">
        <v>0</v>
      </c>
      <c r="AR1294">
        <v>0</v>
      </c>
      <c r="AS1294">
        <v>0</v>
      </c>
      <c r="AT1294">
        <v>0</v>
      </c>
      <c r="AU1294">
        <v>0</v>
      </c>
      <c r="AV1294">
        <v>0</v>
      </c>
      <c r="AW1294">
        <v>0</v>
      </c>
      <c r="AX1294">
        <v>0</v>
      </c>
      <c r="AY1294">
        <v>0</v>
      </c>
      <c r="AZ1294" s="141">
        <f>COUNTIF(X1294:AY1294,"&lt;&gt;0")</f>
        <v>1</v>
      </c>
      <c r="BA1294" s="141">
        <f>COUNTIF(X1294:AN1294,"&lt;&gt;0")</f>
        <v>1</v>
      </c>
      <c r="BB1294">
        <f>COUNTIF(X1294:AE1294,"&lt;&gt;0")</f>
        <v>0</v>
      </c>
      <c r="BC1294">
        <f>COUNTIF(AF1294:AK1294,"&lt;&gt;0")</f>
        <v>0</v>
      </c>
      <c r="BD1294">
        <f>COUNTIF(AL1294:AN1294,"&lt;&gt;0")</f>
        <v>1</v>
      </c>
      <c r="BE1294">
        <f>COUNTIF(AU1294:AY1294,"&lt;&gt;0")</f>
        <v>0</v>
      </c>
      <c r="BF1294">
        <f>COUNTIF(AO1294:AT1294,"&lt;&gt;0")</f>
        <v>0</v>
      </c>
      <c r="BG1294" t="str">
        <f t="array" ref="BG1294">IF(BA1294=1,INDEX($X$7:$AN$7,MATCH(TRUE,INDEX($X1294:$AY1294&lt;&gt;0,),0)),IF(BA1294=0,INDEX($AO$7:$AY$7,MATCH(1,$AO1294:$AY1294,0)),IF(BH1294="Multiple strategies","mixed drivers",IF(BH1294="Supply chain","multiple supply","multiple silviculture"))))</f>
        <v>technologies/design switch</v>
      </c>
      <c r="BH1294" s="2" t="str" cm="1">
        <f t="array" ref="BH1294">IF(COUNTIF(BB1294:BD1294,"&lt;&gt;0")=1,INDEX($X$4:$AY$4,MATCH(TRUE,INDEX($X1294:$AY1294&lt;&gt;0,),0)),IF(COUNTIF(BB1294:BD1294,"&lt;&gt;0")=0,INDEX($AO$4:$AY$4,MATCH(1,$AO1294:$AY1294,0)),"Multiple strategies"))</f>
        <v>Technology</v>
      </c>
      <c r="BI1294" s="142" t="s">
        <v>229</v>
      </c>
      <c r="BJ1294" t="s">
        <v>933</v>
      </c>
      <c r="BK1294" t="s">
        <v>954</v>
      </c>
      <c r="BL1294" t="s">
        <v>498</v>
      </c>
      <c r="BM1294">
        <v>0</v>
      </c>
      <c r="BN1294" s="143">
        <v>1</v>
      </c>
      <c r="BO1294" t="str">
        <f>IFERROR(BN1294/BM1294,"")</f>
        <v/>
      </c>
      <c r="BP1294">
        <f>BN1294-BM1294</f>
        <v>1</v>
      </c>
      <c r="BQ1294" s="159">
        <v>1</v>
      </c>
      <c r="BR1294" t="s">
        <v>232</v>
      </c>
      <c r="BS1294" t="s">
        <v>955</v>
      </c>
      <c r="BT1294" t="s">
        <v>946</v>
      </c>
      <c r="BW1294" s="144"/>
      <c r="BX1294">
        <v>1.7</v>
      </c>
      <c r="BZ1294">
        <f>BX1294</f>
        <v>1.7</v>
      </c>
      <c r="CA1294">
        <f>IFERROR(BZ1294/BQ1294,"")</f>
        <v>1.7</v>
      </c>
      <c r="CB1294">
        <v>0</v>
      </c>
      <c r="CC1294">
        <v>0</v>
      </c>
      <c r="CD1294">
        <v>0</v>
      </c>
      <c r="CE1294">
        <v>0</v>
      </c>
      <c r="CF1294">
        <v>0</v>
      </c>
      <c r="CG1294">
        <v>0</v>
      </c>
      <c r="CH1294">
        <v>0</v>
      </c>
      <c r="CI1294">
        <v>0</v>
      </c>
      <c r="CJ1294">
        <v>0</v>
      </c>
      <c r="CK1294">
        <v>0</v>
      </c>
      <c r="CL1294">
        <v>0</v>
      </c>
      <c r="CM1294">
        <v>0</v>
      </c>
      <c r="CN1294">
        <v>0</v>
      </c>
      <c r="CO1294">
        <v>0</v>
      </c>
      <c r="CP1294" t="str">
        <f>IF($BN1294&lt;$BM1294,"refNeedCorrection","refOK")</f>
        <v>refOK</v>
      </c>
      <c r="CQ1294">
        <f>IF($CP1294="refOK",$BM1294,$BN1294)</f>
        <v>0</v>
      </c>
      <c r="CR1294">
        <f>IF($CP1294="refOK",$BN1294,$BM1294)</f>
        <v>1</v>
      </c>
      <c r="CS1294">
        <f>IF($CP1294="refOK",$BQ1294,-$BQ1294)</f>
        <v>1</v>
      </c>
      <c r="CT1294">
        <f>IF(BI1294="Roundwood",$CS1294/2,$CS1294)</f>
        <v>1</v>
      </c>
      <c r="CU1294">
        <f>IF($CP1294="refOK",$BU1294,$BV1294)*IF($BR1294="Emissions positive",-1,1)</f>
        <v>0</v>
      </c>
      <c r="CV1294">
        <f>IF($CP1294="refOK",$BV1294,$BU1294)*IF($BR1294="Emissions positive",-1,1)</f>
        <v>0</v>
      </c>
      <c r="CW1294">
        <f>IF($CP1294="refNeedCorrection",-BZ1294,BZ1294)*IF($BR1294="Emissions positive",-1,1)</f>
        <v>1.7</v>
      </c>
      <c r="CX1294">
        <f>IFERROR($CW1294/$CS1294,"")</f>
        <v>1.7</v>
      </c>
      <c r="CY1294">
        <f>IFERROR($CW1294/$CS1294,"")</f>
        <v>1.7</v>
      </c>
      <c r="CZ1294">
        <f>IFERROR($CW1294/$CT1294,"")</f>
        <v>1.7</v>
      </c>
      <c r="DA1294" s="2" t="str">
        <f>IFERROR((CV1294-CU1294)/ABS(CU1294),"")</f>
        <v/>
      </c>
      <c r="DB1294" s="1" t="s">
        <v>263</v>
      </c>
      <c r="DC1294" t="str">
        <f>IF(OR($DB1294="prd",$DB1294="std",$DB1294="cit"),"loc",IF(OR($DB1294="eur",$DB1294="reg",$DB1294="coy"),"reg",$DB1294))</f>
        <v>loc</v>
      </c>
      <c r="DD1294" t="s">
        <v>264</v>
      </c>
      <c r="DF1294" s="143"/>
      <c r="DG1294" s="143">
        <v>45</v>
      </c>
      <c r="DH1294" t="str">
        <f>IF(DG1294=0,"0",IF(AND(DG1294&gt;=1,DG1294&lt;=30),"1-30",IF(AND(DG1294&gt;30,DG1294&lt;=70),"31-70",IF(AND(DG1294&gt;70,DG1294&lt;=100),"71-100",IF(DG1294&gt;100,"+100")))))</f>
        <v>31-70</v>
      </c>
      <c r="DI1294">
        <v>0</v>
      </c>
      <c r="DJ1294">
        <v>0</v>
      </c>
      <c r="DK1294">
        <v>0</v>
      </c>
      <c r="DL1294">
        <v>1</v>
      </c>
      <c r="DM1294">
        <v>0</v>
      </c>
      <c r="DN1294">
        <f>SUM(DI1294:DL1294)</f>
        <v>1</v>
      </c>
      <c r="DO1294" t="str">
        <f>IF(DN1294=1,INDEX($DI$7:$DL$7,MATCH(1,$DI1294:$DL1294,0)),"mixedProduct")</f>
        <v>TimberInput</v>
      </c>
      <c r="DP1294">
        <f>IF(DI1294=1,DP$7,0)</f>
        <v>0</v>
      </c>
      <c r="DQ1294">
        <f>IF(DJ1294=1,DQ$7,0)</f>
        <v>0</v>
      </c>
      <c r="DR1294">
        <f>IF(DK1294=1,DR$7,0)</f>
        <v>0</v>
      </c>
      <c r="DS1294" t="str">
        <f>IF(DL1294=1,DS$7,0)</f>
        <v>Timber</v>
      </c>
      <c r="DT1294">
        <v>1</v>
      </c>
      <c r="DU1294">
        <v>0</v>
      </c>
      <c r="DV1294">
        <v>0</v>
      </c>
      <c r="DW1294">
        <v>0</v>
      </c>
      <c r="DX1294">
        <v>0</v>
      </c>
      <c r="DY1294">
        <f>SUM(DT1294:DU1294)</f>
        <v>1</v>
      </c>
      <c r="DZ1294" s="143" t="str">
        <f>IF(DT1294=1,"self-calculated DF",IF(DU1294=1,"external DF used","explicit C balance"))</f>
        <v>self-calculated DF</v>
      </c>
      <c r="EA1294" s="143">
        <v>0</v>
      </c>
      <c r="EB1294" s="143">
        <v>0</v>
      </c>
      <c r="EC1294" s="143">
        <v>0</v>
      </c>
      <c r="ED1294" s="143">
        <v>0</v>
      </c>
      <c r="EE1294">
        <v>0</v>
      </c>
      <c r="EF1294" s="143">
        <v>0</v>
      </c>
      <c r="EG1294" s="143">
        <v>0</v>
      </c>
      <c r="EH1294" s="143">
        <v>1</v>
      </c>
      <c r="EI1294" s="143">
        <v>0</v>
      </c>
      <c r="EJ1294">
        <v>0</v>
      </c>
      <c r="EK1294">
        <v>0</v>
      </c>
      <c r="EL1294" s="143">
        <v>0</v>
      </c>
      <c r="EM1294" s="143">
        <v>0</v>
      </c>
      <c r="EN1294" s="2">
        <v>0</v>
      </c>
      <c r="EP1294" t="str">
        <f>IF(AND(AND(AND(OR($EC1294=1,$EB1294=1),OR($EH1294=1,$EF1294=1)),SUM($EA1294:$EE1294,$EK1294)&gt;=3),SUM($EF1294:$EJ1294)&gt;=2),"Whole sector approach","")</f>
        <v/>
      </c>
      <c r="EQ1294" t="str">
        <f>IF(AND(AND(OR($EC1294=1,$EB1294=1),AND($EH1294=0,$EF1294=0)),SUM($EA1294:$EE1294,$EK1294)&gt;=4),"Ecosystem approach","")</f>
        <v/>
      </c>
      <c r="ER1294" s="2" t="str">
        <f>IF(AND(AND(AND($EC1294=0,$EB1294=0),OR($EH1294=1,$EF1294=1)),SUM($EG1294:$EJ1294)&gt;=2),"Technology approach","")</f>
        <v/>
      </c>
      <c r="ES1294" t="str">
        <f>IF(AND($EC1294+$EB1294+$EE1294+$EA1294+$ED1294+$EG1294=0,$N1294="included"),"C neutral forest and HWP assumption","")</f>
        <v>C neutral forest and HWP assumption</v>
      </c>
      <c r="ET1294" t="str">
        <f>IF(AND(AND(AND(AND($EC1294=1,$EB1294+$EA1294+$EG1294&gt;=1),$EF1294=1),$EH1294+$EI1294+$ED1294+$EE1294&gt;=2),$N1294="included"),"All C pools assumption","")</f>
        <v/>
      </c>
      <c r="EU1294" t="str">
        <f>IF(AND($ED1294+$EE1294+$EI1294+$EH1294+$EF1294=0,$N1294="included"),"In-situ only assumption","")</f>
        <v/>
      </c>
      <c r="EY1294" t="str">
        <f>IF(ISNUMBER(BW1294),IF(ABS(BW1294-[2]QC_indicators!$B$2)&gt;3*[2]QC_indicators!$C$2,"C ratio",IF(ISNUMBER(CA1294),IF(ABS(CA1294-[2]QC_indicators!$B$1)&gt;3*[2]QC_indicators!$C$1,"DF","no"))),IF(ISNUMBER(CA1294),IF(ABS(CA1294-[2]QC_indicators!$B$1)&gt;3*[2]QC_indicators!$C$1,"DF","no")))</f>
        <v>no</v>
      </c>
      <c r="FA1294" t="str">
        <f>IF(LEN($CY1294)=0,"",IF(AND($CY1294&lt;(-0.05),$ES1294="C neutral forest and HWP assumption"),"Cneutral paradox",IF(AND($CY1294&gt;0.05,$EU1294="In-situ only assumption"),"In-situ only paradox","")))</f>
        <v/>
      </c>
      <c r="FB1294" t="s">
        <v>944</v>
      </c>
      <c r="FD1294" s="260" t="s">
        <v>2887</v>
      </c>
    </row>
    <row r="1295" spans="1:161" ht="15" hidden="1" customHeight="1">
      <c r="A1295" s="1" t="s">
        <v>601</v>
      </c>
      <c r="B1295" t="s">
        <v>602</v>
      </c>
      <c r="C1295" t="s">
        <v>603</v>
      </c>
      <c r="D1295" t="s">
        <v>604</v>
      </c>
      <c r="E1295" t="s">
        <v>605</v>
      </c>
      <c r="F1295" t="s">
        <v>606</v>
      </c>
      <c r="G1295" t="s">
        <v>607</v>
      </c>
      <c r="H1295" t="s">
        <v>254</v>
      </c>
      <c r="I1295">
        <v>2020</v>
      </c>
      <c r="J1295">
        <v>3</v>
      </c>
      <c r="K1295" t="s">
        <v>608</v>
      </c>
      <c r="M1295" t="str">
        <f>LEFT($D1295,FIND(",",$D1295)-1)&amp;"_"&amp;I1295&amp;L1295</f>
        <v>Demertzi_2020</v>
      </c>
      <c r="N1295" t="s">
        <v>222</v>
      </c>
      <c r="O1295" s="145" t="s">
        <v>223</v>
      </c>
      <c r="Q1295" t="s">
        <v>256</v>
      </c>
      <c r="R1295" s="2" t="s">
        <v>274</v>
      </c>
      <c r="S1295" s="1" t="s">
        <v>609</v>
      </c>
      <c r="T1295" t="s">
        <v>614</v>
      </c>
      <c r="U1295" t="s">
        <v>611</v>
      </c>
      <c r="V1295" s="253">
        <v>0</v>
      </c>
      <c r="W1295" s="253">
        <v>0</v>
      </c>
      <c r="X1295">
        <v>0</v>
      </c>
      <c r="Y1295">
        <v>0</v>
      </c>
      <c r="Z1295">
        <v>0</v>
      </c>
      <c r="AA1295">
        <v>0</v>
      </c>
      <c r="AB1295">
        <v>0</v>
      </c>
      <c r="AC1295">
        <v>0</v>
      </c>
      <c r="AD1295">
        <v>0</v>
      </c>
      <c r="AE1295">
        <v>0</v>
      </c>
      <c r="AF1295">
        <v>0</v>
      </c>
      <c r="AG1295">
        <v>0</v>
      </c>
      <c r="AH1295">
        <v>0</v>
      </c>
      <c r="AI1295">
        <v>0</v>
      </c>
      <c r="AJ1295">
        <v>0</v>
      </c>
      <c r="AK1295">
        <v>0</v>
      </c>
      <c r="AL1295">
        <v>0</v>
      </c>
      <c r="AM1295">
        <v>1</v>
      </c>
      <c r="AN1295">
        <v>0</v>
      </c>
      <c r="AO1295">
        <v>0</v>
      </c>
      <c r="AP1295">
        <v>0</v>
      </c>
      <c r="AQ1295">
        <v>0</v>
      </c>
      <c r="AR1295">
        <v>0</v>
      </c>
      <c r="AS1295">
        <v>0</v>
      </c>
      <c r="AT1295">
        <v>0</v>
      </c>
      <c r="AU1295">
        <v>0</v>
      </c>
      <c r="AV1295">
        <v>0</v>
      </c>
      <c r="AW1295">
        <v>0</v>
      </c>
      <c r="AX1295">
        <v>0</v>
      </c>
      <c r="AY1295">
        <v>0</v>
      </c>
      <c r="AZ1295" s="141">
        <f>COUNTIF(X1295:AY1295,"&lt;&gt;0")</f>
        <v>1</v>
      </c>
      <c r="BA1295" s="141">
        <f>COUNTIF(X1295:AN1295,"&lt;&gt;0")</f>
        <v>1</v>
      </c>
      <c r="BB1295">
        <f>COUNTIF(X1295:AE1295,"&lt;&gt;0")</f>
        <v>0</v>
      </c>
      <c r="BC1295">
        <f>COUNTIF(AF1295:AK1295,"&lt;&gt;0")</f>
        <v>0</v>
      </c>
      <c r="BD1295">
        <f>COUNTIF(AL1295:AN1295,"&lt;&gt;0")</f>
        <v>1</v>
      </c>
      <c r="BE1295">
        <f>COUNTIF(AU1295:AY1295,"&lt;&gt;0")</f>
        <v>0</v>
      </c>
      <c r="BF1295">
        <f>COUNTIF(AO1295:AT1295,"&lt;&gt;0")</f>
        <v>0</v>
      </c>
      <c r="BG1295" t="str">
        <f t="array" ref="BG1295">IF(BA1295=1,INDEX($X$7:$AN$7,MATCH(TRUE,INDEX($X1295:$AY1295&lt;&gt;0,),0)),IF(BA1295=0,INDEX($AO$7:$AY$7,MATCH(1,$AO1295:$AY1295,0)),IF(BH1295="Multiple strategies","mixed drivers",IF(BH1295="Supply chain","multiple supply","multiple silviculture"))))</f>
        <v>technologies/design switch</v>
      </c>
      <c r="BH1295" s="2" t="str" cm="1">
        <f t="array" ref="BH1295">IF(COUNTIF(BB1295:BD1295,"&lt;&gt;0")=1,INDEX($X$4:$AY$4,MATCH(TRUE,INDEX($X1295:$AY1295&lt;&gt;0,),0)),IF(COUNTIF(BB1295:BD1295,"&lt;&gt;0")=0,INDEX($AO$4:$AY$4,MATCH(1,$AO1295:$AY1295,0)),"Multiple strategies"))</f>
        <v>Technology</v>
      </c>
      <c r="BI1295" s="1" t="s">
        <v>229</v>
      </c>
      <c r="BJ1295" t="s">
        <v>612</v>
      </c>
      <c r="BL1295" t="s">
        <v>261</v>
      </c>
      <c r="BM1295">
        <v>0</v>
      </c>
      <c r="BN1295">
        <v>54</v>
      </c>
      <c r="BP1295">
        <f>BN1295-BM1295</f>
        <v>54</v>
      </c>
      <c r="BQ1295">
        <f>BP1295*kg_to_m3</f>
        <v>0.11020408163265308</v>
      </c>
      <c r="BR1295" t="s">
        <v>232</v>
      </c>
      <c r="BT1295" t="s">
        <v>397</v>
      </c>
      <c r="BU1295">
        <v>-190</v>
      </c>
      <c r="BV1295">
        <v>-1.36</v>
      </c>
      <c r="BW1295" s="144">
        <v>7.1578947368421061E-3</v>
      </c>
      <c r="BX1295">
        <v>188.64</v>
      </c>
      <c r="BZ1295">
        <f>BX1295/1000</f>
        <v>0.18863999999999997</v>
      </c>
      <c r="CA1295">
        <f>IFERROR(BZ1295/BQ1295,"")</f>
        <v>1.7117333333333329</v>
      </c>
      <c r="CB1295">
        <v>1</v>
      </c>
      <c r="CC1295">
        <v>0</v>
      </c>
      <c r="CD1295">
        <v>0</v>
      </c>
      <c r="CE1295">
        <v>0</v>
      </c>
      <c r="CF1295">
        <v>0</v>
      </c>
      <c r="CG1295">
        <v>0</v>
      </c>
      <c r="CH1295">
        <v>0</v>
      </c>
      <c r="CI1295">
        <v>0</v>
      </c>
      <c r="CJ1295">
        <v>0</v>
      </c>
      <c r="CK1295">
        <v>0</v>
      </c>
      <c r="CL1295">
        <v>0</v>
      </c>
      <c r="CM1295">
        <v>0</v>
      </c>
      <c r="CN1295">
        <v>0</v>
      </c>
      <c r="CO1295">
        <v>0</v>
      </c>
      <c r="CP1295" t="str">
        <f>IF($BN1295&lt;$BM1295,"refNeedCorrection","refOK")</f>
        <v>refOK</v>
      </c>
      <c r="CQ1295">
        <f>IF($CP1295="refOK",$BM1295,$BN1295)</f>
        <v>0</v>
      </c>
      <c r="CR1295">
        <f>IF($CP1295="refOK",$BN1295,$BM1295)</f>
        <v>54</v>
      </c>
      <c r="CS1295">
        <f>IF($CP1295="refOK",$BQ1295,-$BQ1295)</f>
        <v>0.11020408163265308</v>
      </c>
      <c r="CT1295">
        <f>IF(BI1295="Roundwood",$CS1295/2,$CS1295)</f>
        <v>0.11020408163265308</v>
      </c>
      <c r="CU1295">
        <f>IF($CP1295="refOK",$BU1295,$BV1295)*IF($BR1295="Emissions positive",-1,1)</f>
        <v>-190</v>
      </c>
      <c r="CV1295">
        <f>IF($CP1295="refOK",$BV1295,$BU1295)*IF($BR1295="Emissions positive",-1,1)</f>
        <v>-1.36</v>
      </c>
      <c r="CW1295">
        <f>IF($CP1295="refNeedCorrection",-BZ1295,BZ1295)*IF($BR1295="Emissions positive",-1,1)</f>
        <v>0.18863999999999997</v>
      </c>
      <c r="CX1295">
        <f>IFERROR($CW1295/$CS1295,"")</f>
        <v>1.7117333333333329</v>
      </c>
      <c r="CY1295">
        <f>IFERROR($CW1295/$CS1295,"")</f>
        <v>1.7117333333333329</v>
      </c>
      <c r="CZ1295">
        <f>IFERROR($CW1295/$CT1295,"")</f>
        <v>1.7117333333333329</v>
      </c>
      <c r="DA1295" s="2">
        <f>IFERROR((CV1295-CU1295)/ABS(CU1295),"")</f>
        <v>0.99284210526315786</v>
      </c>
      <c r="DB1295" s="1" t="s">
        <v>263</v>
      </c>
      <c r="DC1295" t="str">
        <f>IF(OR($DB1295="prd",$DB1295="std",$DB1295="cit"),"loc",IF(OR($DB1295="eur",$DB1295="reg",$DB1295="coy"),"reg",$DB1295))</f>
        <v>loc</v>
      </c>
      <c r="DD1295" t="s">
        <v>613</v>
      </c>
      <c r="DG1295">
        <v>0</v>
      </c>
      <c r="DH1295" t="str">
        <f>IF(DG1295=0,"0",IF(AND(DG1295&gt;=1,DG1295&lt;=30),"1-30",IF(AND(DG1295&gt;30,DG1295&lt;=70),"31-70",IF(AND(DG1295&gt;70,DG1295&lt;=100),"71-100",IF(DG1295&gt;100,"+100")))))</f>
        <v>0</v>
      </c>
      <c r="DI1295">
        <v>0</v>
      </c>
      <c r="DJ1295">
        <v>0</v>
      </c>
      <c r="DK1295">
        <v>0</v>
      </c>
      <c r="DL1295">
        <v>1</v>
      </c>
      <c r="DN1295">
        <f>SUM(DI1295:DL1295)</f>
        <v>1</v>
      </c>
      <c r="DO1295" t="str">
        <f>IF(DN1295=1,INDEX($DI$7:$DL$7,MATCH(1,$DI1295:$DL1295,0)),"mixedProduct")</f>
        <v>TimberInput</v>
      </c>
      <c r="DP1295">
        <f>IF(DI1295=1,DP$7,0)</f>
        <v>0</v>
      </c>
      <c r="DQ1295">
        <f>IF(DJ1295=1,DQ$7,0)</f>
        <v>0</v>
      </c>
      <c r="DR1295">
        <f>IF(DK1295=1,DR$7,0)</f>
        <v>0</v>
      </c>
      <c r="DS1295" t="str">
        <f>IF(DL1295=1,DS$7,0)</f>
        <v>Timber</v>
      </c>
      <c r="DT1295">
        <v>0</v>
      </c>
      <c r="DU1295">
        <v>0</v>
      </c>
      <c r="DV1295">
        <v>0</v>
      </c>
      <c r="DW1295">
        <v>0</v>
      </c>
      <c r="DX1295">
        <v>0</v>
      </c>
      <c r="DY1295">
        <f>SUM(DT1295:DU1295)</f>
        <v>0</v>
      </c>
      <c r="DZ1295" s="143" t="str">
        <f>IF(DT1295=1,"self-calculated DF",IF(DU1295=1,"external DF used","explicit C balance"))</f>
        <v>explicit C balance</v>
      </c>
      <c r="EA1295">
        <v>0</v>
      </c>
      <c r="EB1295">
        <v>0</v>
      </c>
      <c r="EC1295">
        <v>0</v>
      </c>
      <c r="ED1295">
        <v>0</v>
      </c>
      <c r="EE1295">
        <v>0</v>
      </c>
      <c r="EF1295" s="143">
        <v>0</v>
      </c>
      <c r="EG1295">
        <v>0</v>
      </c>
      <c r="EH1295">
        <v>1</v>
      </c>
      <c r="EI1295">
        <v>0</v>
      </c>
      <c r="EJ1295">
        <v>0</v>
      </c>
      <c r="EK1295">
        <v>0</v>
      </c>
      <c r="EL1295">
        <v>0</v>
      </c>
      <c r="EM1295">
        <v>0</v>
      </c>
      <c r="EN1295" s="2">
        <v>0</v>
      </c>
      <c r="EP1295" t="str">
        <f>IF(AND(AND(AND(OR($EC1295=1,$EB1295=1),OR($EH1295=1,$EF1295=1)),SUM($EA1295:$EE1295,$EK1295)&gt;=3),SUM($EF1295:$EJ1295)&gt;=2),"Whole sector approach","")</f>
        <v/>
      </c>
      <c r="EQ1295" t="str">
        <f>IF(AND(AND(OR($EC1295=1,$EB1295=1),AND($EH1295=0,$EF1295=0)),SUM($EA1295:$EE1295,$EK1295)&gt;=4),"Ecosystem approach","")</f>
        <v/>
      </c>
      <c r="ER1295" s="2" t="str">
        <f>IF(AND(AND(AND($EC1295=0,$EB1295=0),OR($EH1295=1,$EF1295=1)),SUM($EG1295:$EJ1295)&gt;=2),"Technology approach","")</f>
        <v/>
      </c>
      <c r="ES1295" t="str">
        <f>IF(AND($EC1295+$EB1295+$EE1295+$EA1295+$ED1295+$EG1295=0,$N1295="included"),"C neutral forest and HWP assumption","")</f>
        <v>C neutral forest and HWP assumption</v>
      </c>
      <c r="ET1295" t="str">
        <f>IF(AND(AND(AND(AND($EC1295=1,$EB1295+$EA1295+$EG1295&gt;=1),$EF1295=1),$EH1295+$EI1295+$ED1295+$EE1295&gt;=2),$N1295="included"),"All C pools assumption","")</f>
        <v/>
      </c>
      <c r="EU1295" t="str">
        <f>IF(AND($ED1295+$EE1295+$EI1295+$EH1295+$EF1295=0,$N1295="included"),"In-situ only assumption","")</f>
        <v/>
      </c>
      <c r="EY1295" t="str">
        <f>IF(ISNUMBER(BW1295),IF(ABS(BW1295-[3]QC_indicators!$B$2)&gt;3*[3]QC_indicators!$C$2,"C ratio",IF(ISNUMBER(CA1295),IF(ABS(CA1295-[3]QC_indicators!$B$1)&gt;3*[3]QC_indicators!$C$1,"DF","no"))),IF(ISNUMBER(CA1295),IF(ABS(CA1295-[3]QC_indicators!$B$1)&gt;3*[3]QC_indicators!$C$1,"DF","no")))</f>
        <v>no</v>
      </c>
      <c r="FA1295" t="str">
        <f>IF(LEN($CY1295)=0,"",IF(AND($CY1295&lt;(-0.05),$ES1295="C neutral forest and HWP assumption"),"Cneutral paradox",IF(AND($CY1295&gt;0.05,$EU1295="In-situ only assumption"),"In-situ only paradox","")))</f>
        <v/>
      </c>
      <c r="FB1295" s="149" t="s">
        <v>349</v>
      </c>
      <c r="FD1295" s="260" t="s">
        <v>2827</v>
      </c>
    </row>
    <row r="1296" spans="1:161" ht="68" hidden="1">
      <c r="A1296" s="1" t="s">
        <v>549</v>
      </c>
      <c r="B1296" t="s">
        <v>531</v>
      </c>
      <c r="C1296" t="s">
        <v>1465</v>
      </c>
      <c r="D1296" t="s">
        <v>1466</v>
      </c>
      <c r="E1296" t="s">
        <v>1467</v>
      </c>
      <c r="F1296" t="s">
        <v>1468</v>
      </c>
      <c r="G1296" t="s">
        <v>554</v>
      </c>
      <c r="H1296" t="s">
        <v>254</v>
      </c>
      <c r="I1296">
        <v>2019</v>
      </c>
      <c r="J1296">
        <v>15</v>
      </c>
      <c r="K1296" t="s">
        <v>1469</v>
      </c>
      <c r="M1296" t="str">
        <f>LEFT($D1296,FIND(",",$D1296)-1)&amp;"_"&amp;I1296&amp;L1296</f>
        <v>Geng_2019</v>
      </c>
      <c r="N1296" t="s">
        <v>222</v>
      </c>
      <c r="O1296" s="180" t="s">
        <v>225</v>
      </c>
      <c r="Q1296" s="317" t="s">
        <v>256</v>
      </c>
      <c r="R1296" s="318" t="s">
        <v>1029</v>
      </c>
      <c r="S1296" s="1" t="s">
        <v>1470</v>
      </c>
      <c r="T1296" t="s">
        <v>4945</v>
      </c>
      <c r="U1296" t="s">
        <v>4946</v>
      </c>
      <c r="V1296" s="253">
        <v>0</v>
      </c>
      <c r="W1296" s="253">
        <v>0</v>
      </c>
      <c r="X1296">
        <v>0</v>
      </c>
      <c r="Y1296">
        <v>0</v>
      </c>
      <c r="Z1296">
        <v>0</v>
      </c>
      <c r="AA1296">
        <v>0</v>
      </c>
      <c r="AB1296">
        <v>0</v>
      </c>
      <c r="AC1296">
        <v>0</v>
      </c>
      <c r="AD1296">
        <v>0</v>
      </c>
      <c r="AE1296">
        <v>0</v>
      </c>
      <c r="AF1296">
        <v>0</v>
      </c>
      <c r="AG1296">
        <v>0</v>
      </c>
      <c r="AH1296">
        <v>0</v>
      </c>
      <c r="AI1296">
        <v>0</v>
      </c>
      <c r="AJ1296">
        <v>0</v>
      </c>
      <c r="AK1296">
        <v>0</v>
      </c>
      <c r="AL1296">
        <v>0</v>
      </c>
      <c r="AM1296">
        <v>1</v>
      </c>
      <c r="AN1296">
        <v>0</v>
      </c>
      <c r="AO1296">
        <v>0</v>
      </c>
      <c r="AP1296">
        <v>0</v>
      </c>
      <c r="AQ1296">
        <v>0</v>
      </c>
      <c r="AR1296">
        <v>0</v>
      </c>
      <c r="AS1296">
        <v>0</v>
      </c>
      <c r="AT1296">
        <v>0</v>
      </c>
      <c r="AU1296">
        <v>0</v>
      </c>
      <c r="AV1296">
        <v>0</v>
      </c>
      <c r="AW1296">
        <v>0</v>
      </c>
      <c r="AX1296">
        <v>0</v>
      </c>
      <c r="AY1296">
        <v>0</v>
      </c>
      <c r="AZ1296" s="141">
        <f>COUNTIF(X1296:AY1296,"&lt;&gt;0")</f>
        <v>1</v>
      </c>
      <c r="BA1296" s="141">
        <f>COUNTIF(X1296:AN1296,"&lt;&gt;0")</f>
        <v>1</v>
      </c>
      <c r="BB1296">
        <f>COUNTIF(X1296:AE1296,"&lt;&gt;0")</f>
        <v>0</v>
      </c>
      <c r="BC1296">
        <f>COUNTIF(AF1296:AK1296,"&lt;&gt;0")</f>
        <v>0</v>
      </c>
      <c r="BD1296">
        <f>COUNTIF(AL1296:AN1296,"&lt;&gt;0")</f>
        <v>1</v>
      </c>
      <c r="BE1296">
        <f>COUNTIF(AU1296:AY1296,"&lt;&gt;0")</f>
        <v>0</v>
      </c>
      <c r="BF1296">
        <f>COUNTIF(AO1296:AT1296,"&lt;&gt;0")</f>
        <v>0</v>
      </c>
      <c r="BG1296" t="str" cm="1">
        <f t="array" ref="BG1296">IF(BA1296=1,INDEX($X$7:$AN$7,MATCH(TRUE,INDEX($X1296:$AY1296&lt;&gt;0,),0)),IF(BA1296=0,INDEX($AO$7:$AY$7,MATCH(1,$AO1296:$AY1296,0)),IF(BH1296="Multiple strategies","mixed drivers",IF(BH1296="Supply chain","multiple supply","multiple silviculture"))))</f>
        <v>technologies/design switch</v>
      </c>
      <c r="BH1296" s="2" t="str" cm="1">
        <f t="array" ref="BH1296">IF(COUNTIF(BB1296:BD1296,"&lt;&gt;0")=1,INDEX($X$4:$AY$4,MATCH(TRUE,INDEX($X1296:$AY1296&lt;&gt;0,),0)),IF(COUNTIF(BB1296:BD1296,"&lt;&gt;0")=0,INDEX($AO$4:$AY$4,MATCH(1,$AO1296:$AY1296,0)),"Multiple strategies"))</f>
        <v>Technology</v>
      </c>
      <c r="BI1296" s="1" t="s">
        <v>229</v>
      </c>
      <c r="BJ1296" t="s">
        <v>1471</v>
      </c>
      <c r="BK1296" t="s">
        <v>2920</v>
      </c>
      <c r="BL1296" t="s">
        <v>261</v>
      </c>
      <c r="BM1296">
        <v>24</v>
      </c>
      <c r="BN1296">
        <v>82.35</v>
      </c>
      <c r="BO1296">
        <f>BN1296/BM1296</f>
        <v>3.4312499999999999</v>
      </c>
      <c r="BP1296">
        <f>BN1296-BM1296</f>
        <v>58.349999999999994</v>
      </c>
      <c r="BQ1296">
        <f>BP1296*kg_to_m3</f>
        <v>0.11908163265306122</v>
      </c>
      <c r="BR1296" t="s">
        <v>232</v>
      </c>
      <c r="BS1296" t="s">
        <v>2920</v>
      </c>
      <c r="BT1296" t="s">
        <v>1476</v>
      </c>
      <c r="BW1296" s="144" t="str">
        <f>IFERROR(BV1296/BU1296,"")</f>
        <v/>
      </c>
      <c r="BX1296">
        <v>0.20399999999999999</v>
      </c>
      <c r="BZ1296">
        <f>BX1296</f>
        <v>0.20399999999999999</v>
      </c>
      <c r="CA1296">
        <f>IFERROR(BZ1296/BQ1296,"")</f>
        <v>1.7131105398457582</v>
      </c>
      <c r="CB1296">
        <v>0</v>
      </c>
      <c r="CC1296">
        <v>0</v>
      </c>
      <c r="CD1296">
        <v>0</v>
      </c>
      <c r="CE1296">
        <v>0</v>
      </c>
      <c r="CF1296">
        <v>0</v>
      </c>
      <c r="CG1296">
        <v>0</v>
      </c>
      <c r="CH1296">
        <v>0</v>
      </c>
      <c r="CI1296">
        <v>0</v>
      </c>
      <c r="CJ1296">
        <v>0</v>
      </c>
      <c r="CK1296">
        <v>0</v>
      </c>
      <c r="CL1296">
        <v>0</v>
      </c>
      <c r="CM1296">
        <v>0</v>
      </c>
      <c r="CN1296">
        <v>0</v>
      </c>
      <c r="CO1296">
        <v>0</v>
      </c>
      <c r="CP1296" t="str">
        <f>IF(BN1296&lt;BM1296,"refNeedCorrection","refOK")</f>
        <v>refOK</v>
      </c>
      <c r="CQ1296">
        <f>IF($CP1296="refOK",$BM1296,$BN1296)</f>
        <v>24</v>
      </c>
      <c r="CR1296">
        <f>IF($CP1296="refOK",$BN1296,$BM1296)</f>
        <v>82.35</v>
      </c>
      <c r="CS1296">
        <f>IF($CP1296="refOK",$BQ1296,-$BQ1296)</f>
        <v>0.11908163265306122</v>
      </c>
      <c r="CT1296">
        <f>IF(BI1296="Roundwood",$CS1296/2,$CS1296)</f>
        <v>0.11908163265306122</v>
      </c>
      <c r="CU1296">
        <f>IF($CP1296="refOK",$BU1296,$BV1296)*IF($BR1296="Emissions positive",-1,1)</f>
        <v>0</v>
      </c>
      <c r="CV1296">
        <f>IF($CP1296="refOK",$BV1296,$BU1296)*IF($BR1296="Emissions positive",-1,1)</f>
        <v>0</v>
      </c>
      <c r="CW1296">
        <f>IF($CP1296="refNeedCorrection",-BZ1296,BZ1296)*IF($BR1296="Emissions positive",-1,1)</f>
        <v>0.20399999999999999</v>
      </c>
      <c r="CX1296">
        <f>IFERROR($CW1296/$CS1296,"")</f>
        <v>1.7131105398457582</v>
      </c>
      <c r="CY1296">
        <f>IFERROR($CW1296/$CS1296,"")</f>
        <v>1.7131105398457582</v>
      </c>
      <c r="CZ1296">
        <f>IFERROR($CW1296/$CT1296,"")</f>
        <v>1.7131105398457582</v>
      </c>
      <c r="DA1296" s="2" t="str">
        <f>IFERROR((CV1296-CU1296)/ABS(CU1296),"")</f>
        <v/>
      </c>
      <c r="DB1296" s="1" t="s">
        <v>1078</v>
      </c>
      <c r="DC1296" s="317" t="str">
        <f>IF(OR($DB1296="prd",$DB1296="std",$DB1296="cit"),"loc",IF(OR($DB1296="eur",$DB1296="reg",$DB1296="coy"),"reg",$DB1296))</f>
        <v>reg</v>
      </c>
      <c r="DD1296" t="s">
        <v>677</v>
      </c>
      <c r="DE1296">
        <v>2019</v>
      </c>
      <c r="DG1296">
        <v>0</v>
      </c>
      <c r="DH1296" t="str">
        <f>IF(DG1296=0,"0",IF(AND(DG1296&gt;=1,DG1296&lt;=30),"1-30",IF(AND(DG1296&gt;30,DG1296&lt;=70),"31-70",IF(AND(DG1296&gt;70,DG1296&lt;=100),"71-100",IF(DG1296&gt;100,"+100")))))</f>
        <v>0</v>
      </c>
      <c r="DI1296">
        <v>0</v>
      </c>
      <c r="DJ1296">
        <v>0</v>
      </c>
      <c r="DK1296">
        <v>0</v>
      </c>
      <c r="DL1296">
        <v>1</v>
      </c>
      <c r="DN1296">
        <f>SUM(DI1296:DL1296)</f>
        <v>1</v>
      </c>
      <c r="DO1296" t="str">
        <f>IF(DN1296=1,INDEX($DI$7:$DL$7,MATCH(1,$DI1296:$DL1296,0)),"mixedProduct")</f>
        <v>TimberInput</v>
      </c>
      <c r="DP1296">
        <f>IF(DI1296=1,DP$7,0)</f>
        <v>0</v>
      </c>
      <c r="DQ1296">
        <f>IF(DJ1296=1,DQ$7,0)</f>
        <v>0</v>
      </c>
      <c r="DR1296">
        <f>IF(DK1296=1,DR$7,0)</f>
        <v>0</v>
      </c>
      <c r="DS1296" t="str">
        <f>IF(DL1296=1,DS$7,0)</f>
        <v>Timber</v>
      </c>
      <c r="DT1296">
        <v>1</v>
      </c>
      <c r="DU1296">
        <v>0</v>
      </c>
      <c r="DV1296">
        <v>0</v>
      </c>
      <c r="DW1296">
        <v>0</v>
      </c>
      <c r="DX1296">
        <v>0</v>
      </c>
      <c r="DY1296">
        <f>SUM(DT1296:DU1296)</f>
        <v>1</v>
      </c>
      <c r="DZ1296" s="143" t="str">
        <f>IF(DT1296=1,"self-calculated DF",IF(DU1296=1,"external DF used","explicit C balance"))</f>
        <v>self-calculated DF</v>
      </c>
      <c r="EA1296">
        <v>0</v>
      </c>
      <c r="EB1296">
        <v>0</v>
      </c>
      <c r="EC1296">
        <v>0</v>
      </c>
      <c r="ED1296">
        <v>0</v>
      </c>
      <c r="EE1296">
        <v>0</v>
      </c>
      <c r="EF1296" s="143">
        <v>1</v>
      </c>
      <c r="EG1296">
        <v>0</v>
      </c>
      <c r="EH1296">
        <v>1</v>
      </c>
      <c r="EI1296">
        <v>0</v>
      </c>
      <c r="EJ1296">
        <v>0</v>
      </c>
      <c r="EK1296">
        <v>0</v>
      </c>
      <c r="EL1296">
        <v>0</v>
      </c>
      <c r="EM1296">
        <v>0</v>
      </c>
      <c r="EN1296" s="2">
        <v>0</v>
      </c>
      <c r="EP1296" t="str">
        <f>IF(AND(AND(AND(OR($EC1296=1,$EB1296=1),OR($EH1296=1,$EF1296=1)),SUM($EA1296:$EE1296,$EK1296)&gt;=3),SUM($EF1296:$EJ1296)&gt;=2),"Whole sector approach","")</f>
        <v/>
      </c>
      <c r="EQ1296" t="str">
        <f>IF(AND(AND(OR($EC1296=1,$EB1296=1),AND($EH1296=0,$EF1296=0)),SUM($EA1296:$EE1296,$EK1296)&gt;=3),"Ecosystem approach","")</f>
        <v/>
      </c>
      <c r="ER1296" s="2" t="str">
        <f>IF(AND(AND(AND($EC1296=0,$EB1296=0),OR($EH1296=1,$EF1296=1)),SUM($EG1296:$EJ1296)&gt;=2),"Technology approach","")</f>
        <v/>
      </c>
      <c r="ES1296" t="str">
        <f>IF(AND($EC1296+$EB1296+$EE1296+$EA1296+$ED1296+$EG1296=0,$N1296="included"),"C neutral forest and HWP assumption","")</f>
        <v>C neutral forest and HWP assumption</v>
      </c>
      <c r="ET1296" t="str">
        <f>IF(AND(AND(AND(AND($EC1296=1,$EB1296+$EA1296+$EG1296&gt;=1),$EF1296=1),$EH1296+$EI1296+$ED1296+$EE1296&gt;=2),$N1296="included"),"All C pools assumption","")</f>
        <v/>
      </c>
      <c r="EU1296" t="str">
        <f>IF(AND($ED1296+$EE1296+$EI1296+$EH1296+$EF1296=0,$N1296="included"),"In-situ only assumption","")</f>
        <v/>
      </c>
      <c r="EW1296" t="s">
        <v>1474</v>
      </c>
      <c r="EY1296" t="str">
        <f>IF(ISNUMBER(BW1296),IF(ABS(BW1296-[4]QC_indicators!$B$2)&gt;3*[4]QC_indicators!$C$2,"C ratio",IF(ISNUMBER(CA1296),IF(ABS(CA1296-[4]QC_indicators!$B$1)&gt;3*[4]QC_indicators!$C$1,"DF","no"))),IF(ISNUMBER(CA1296),IF(ABS(CA1296-[4]QC_indicators!$B$1)&gt;3*[4]QC_indicators!$C$1,"DF","no")))</f>
        <v>no</v>
      </c>
      <c r="FA1296" t="str">
        <f>IF(LEN($CY1296)=0,"",IF(AND($CY1296&lt;(-0.05),$ES1296="C neutral forest and HWP assumption"),"Cneutral paradox",IF(AND($CY1296&gt;0.05,$EU1296="In-situ only assumption"),"In-situ only paradox","")))</f>
        <v/>
      </c>
      <c r="FB1296" t="s">
        <v>1475</v>
      </c>
    </row>
    <row r="1297" spans="1:158" ht="15" hidden="1" customHeight="1">
      <c r="A1297" s="1" t="s">
        <v>549</v>
      </c>
      <c r="B1297" t="s">
        <v>531</v>
      </c>
      <c r="C1297" t="s">
        <v>1465</v>
      </c>
      <c r="D1297" t="s">
        <v>1466</v>
      </c>
      <c r="E1297" t="s">
        <v>1467</v>
      </c>
      <c r="F1297" t="s">
        <v>1468</v>
      </c>
      <c r="G1297" t="s">
        <v>554</v>
      </c>
      <c r="H1297" t="s">
        <v>254</v>
      </c>
      <c r="I1297">
        <v>2019</v>
      </c>
      <c r="J1297">
        <v>15</v>
      </c>
      <c r="K1297" t="s">
        <v>1469</v>
      </c>
      <c r="M1297" t="str">
        <f>LEFT($D1297,FIND(",",$D1297)-1)&amp;"_"&amp;I1297&amp;L1297</f>
        <v>Geng_2019</v>
      </c>
      <c r="N1297" t="s">
        <v>222</v>
      </c>
      <c r="O1297" s="180" t="s">
        <v>225</v>
      </c>
      <c r="Q1297" s="317" t="s">
        <v>256</v>
      </c>
      <c r="R1297" s="318" t="s">
        <v>1029</v>
      </c>
      <c r="S1297" s="1" t="s">
        <v>1470</v>
      </c>
      <c r="T1297" t="s">
        <v>4947</v>
      </c>
      <c r="U1297" t="s">
        <v>4948</v>
      </c>
      <c r="V1297" s="253">
        <v>0</v>
      </c>
      <c r="W1297" s="253">
        <v>0</v>
      </c>
      <c r="X1297">
        <v>0</v>
      </c>
      <c r="Y1297">
        <v>0</v>
      </c>
      <c r="Z1297">
        <v>0</v>
      </c>
      <c r="AA1297">
        <v>0</v>
      </c>
      <c r="AB1297">
        <v>0</v>
      </c>
      <c r="AC1297">
        <v>0</v>
      </c>
      <c r="AD1297">
        <v>0</v>
      </c>
      <c r="AE1297">
        <v>0</v>
      </c>
      <c r="AF1297">
        <v>0</v>
      </c>
      <c r="AG1297">
        <v>0</v>
      </c>
      <c r="AH1297">
        <v>0</v>
      </c>
      <c r="AI1297">
        <v>0</v>
      </c>
      <c r="AJ1297">
        <v>0</v>
      </c>
      <c r="AK1297">
        <v>0</v>
      </c>
      <c r="AL1297">
        <v>0</v>
      </c>
      <c r="AM1297">
        <v>1</v>
      </c>
      <c r="AN1297">
        <v>0</v>
      </c>
      <c r="AO1297">
        <v>0</v>
      </c>
      <c r="AP1297">
        <v>0</v>
      </c>
      <c r="AQ1297">
        <v>0</v>
      </c>
      <c r="AR1297">
        <v>0</v>
      </c>
      <c r="AS1297">
        <v>0</v>
      </c>
      <c r="AT1297">
        <v>0</v>
      </c>
      <c r="AU1297">
        <v>0</v>
      </c>
      <c r="AV1297">
        <v>0</v>
      </c>
      <c r="AW1297">
        <v>0</v>
      </c>
      <c r="AX1297">
        <v>0</v>
      </c>
      <c r="AY1297">
        <v>0</v>
      </c>
      <c r="AZ1297" s="141">
        <f>COUNTIF(X1297:AY1297,"&lt;&gt;0")</f>
        <v>1</v>
      </c>
      <c r="BA1297" s="141">
        <f>COUNTIF(X1297:AN1297,"&lt;&gt;0")</f>
        <v>1</v>
      </c>
      <c r="BB1297">
        <f>COUNTIF(X1297:AE1297,"&lt;&gt;0")</f>
        <v>0</v>
      </c>
      <c r="BC1297">
        <f>COUNTIF(AF1297:AK1297,"&lt;&gt;0")</f>
        <v>0</v>
      </c>
      <c r="BD1297">
        <f>COUNTIF(AL1297:AN1297,"&lt;&gt;0")</f>
        <v>1</v>
      </c>
      <c r="BE1297">
        <f>COUNTIF(AU1297:AY1297,"&lt;&gt;0")</f>
        <v>0</v>
      </c>
      <c r="BF1297">
        <f>COUNTIF(AO1297:AT1297,"&lt;&gt;0")</f>
        <v>0</v>
      </c>
      <c r="BG1297" t="str" cm="1">
        <f t="array" ref="BG1297">IF(BA1297=1,INDEX($X$7:$AN$7,MATCH(TRUE,INDEX($X1297:$AY1297&lt;&gt;0,),0)),IF(BA1297=0,INDEX($AO$7:$AY$7,MATCH(1,$AO1297:$AY1297,0)),IF(BH1297="Multiple strategies","mixed drivers",IF(BH1297="Supply chain","multiple supply","multiple silviculture"))))</f>
        <v>technologies/design switch</v>
      </c>
      <c r="BH1297" s="2" t="str" cm="1">
        <f t="array" ref="BH1297">IF(COUNTIF(BB1297:BD1297,"&lt;&gt;0")=1,INDEX($X$4:$AY$4,MATCH(TRUE,INDEX($X1297:$AY1297&lt;&gt;0,),0)),IF(COUNTIF(BB1297:BD1297,"&lt;&gt;0")=0,INDEX($AO$4:$AY$4,MATCH(1,$AO1297:$AY1297,0)),"Multiple strategies"))</f>
        <v>Technology</v>
      </c>
      <c r="BI1297" s="1" t="s">
        <v>229</v>
      </c>
      <c r="BJ1297" t="s">
        <v>1471</v>
      </c>
      <c r="BK1297" t="s">
        <v>2920</v>
      </c>
      <c r="BL1297" t="s">
        <v>261</v>
      </c>
      <c r="BM1297">
        <v>24</v>
      </c>
      <c r="BN1297">
        <v>71.62</v>
      </c>
      <c r="BO1297">
        <f>BN1297/BM1297</f>
        <v>2.9841666666666669</v>
      </c>
      <c r="BP1297">
        <f>BN1297-BM1297</f>
        <v>47.620000000000005</v>
      </c>
      <c r="BQ1297">
        <f>BP1297*kg_to_m3</f>
        <v>9.7183673469387777E-2</v>
      </c>
      <c r="BR1297" t="s">
        <v>232</v>
      </c>
      <c r="BS1297" t="s">
        <v>2920</v>
      </c>
      <c r="BT1297" t="s">
        <v>1476</v>
      </c>
      <c r="BW1297" s="144" t="str">
        <f>IFERROR(BV1297/BU1297,"")</f>
        <v/>
      </c>
      <c r="BX1297">
        <v>0.189</v>
      </c>
      <c r="BZ1297">
        <f>BX1297</f>
        <v>0.189</v>
      </c>
      <c r="CA1297">
        <f>IFERROR(BZ1297/BQ1297,"")</f>
        <v>1.9447711045779079</v>
      </c>
      <c r="CB1297">
        <v>0</v>
      </c>
      <c r="CC1297">
        <v>0</v>
      </c>
      <c r="CD1297">
        <v>0</v>
      </c>
      <c r="CE1297">
        <v>0</v>
      </c>
      <c r="CF1297">
        <v>0</v>
      </c>
      <c r="CG1297">
        <v>0</v>
      </c>
      <c r="CH1297">
        <v>0</v>
      </c>
      <c r="CI1297">
        <v>0</v>
      </c>
      <c r="CJ1297">
        <v>0</v>
      </c>
      <c r="CK1297">
        <v>0</v>
      </c>
      <c r="CL1297">
        <v>0</v>
      </c>
      <c r="CM1297">
        <v>0</v>
      </c>
      <c r="CN1297">
        <v>0</v>
      </c>
      <c r="CO1297">
        <v>0</v>
      </c>
      <c r="CP1297" t="str">
        <f>IF(BN1297&lt;BM1297,"refNeedCorrection","refOK")</f>
        <v>refOK</v>
      </c>
      <c r="CQ1297">
        <f>IF($CP1297="refOK",$BM1297,$BN1297)</f>
        <v>24</v>
      </c>
      <c r="CR1297">
        <f>IF($CP1297="refOK",$BN1297,$BM1297)</f>
        <v>71.62</v>
      </c>
      <c r="CS1297">
        <f>IF($CP1297="refOK",$BQ1297,-$BQ1297)</f>
        <v>9.7183673469387777E-2</v>
      </c>
      <c r="CT1297">
        <f>IF(BI1297="Roundwood",$CS1297/2,$CS1297)</f>
        <v>9.7183673469387777E-2</v>
      </c>
      <c r="CU1297">
        <f>IF($CP1297="refOK",$BU1297,$BV1297)*IF($BR1297="Emissions positive",-1,1)</f>
        <v>0</v>
      </c>
      <c r="CV1297">
        <f>IF($CP1297="refOK",$BV1297,$BU1297)*IF($BR1297="Emissions positive",-1,1)</f>
        <v>0</v>
      </c>
      <c r="CW1297">
        <f>IF($CP1297="refNeedCorrection",-BZ1297,BZ1297)*IF($BR1297="Emissions positive",-1,1)</f>
        <v>0.189</v>
      </c>
      <c r="CX1297">
        <f>IFERROR($CW1297/$CS1297,"")</f>
        <v>1.9447711045779079</v>
      </c>
      <c r="CY1297">
        <f>IFERROR($CW1297/$CS1297,"")</f>
        <v>1.9447711045779079</v>
      </c>
      <c r="CZ1297">
        <f>IFERROR($CW1297/$CT1297,"")</f>
        <v>1.9447711045779079</v>
      </c>
      <c r="DA1297" s="2" t="str">
        <f>IFERROR((CV1297-CU1297)/ABS(CU1297),"")</f>
        <v/>
      </c>
      <c r="DB1297" s="1" t="s">
        <v>1078</v>
      </c>
      <c r="DC1297" s="317" t="str">
        <f>IF(OR($DB1297="prd",$DB1297="std",$DB1297="cit"),"loc",IF(OR($DB1297="eur",$DB1297="reg",$DB1297="coy"),"reg",$DB1297))</f>
        <v>reg</v>
      </c>
      <c r="DD1297" t="s">
        <v>677</v>
      </c>
      <c r="DE1297">
        <v>2019</v>
      </c>
      <c r="DG1297">
        <v>0</v>
      </c>
      <c r="DH1297" t="str">
        <f>IF(DG1297=0,"0",IF(AND(DG1297&gt;=1,DG1297&lt;=30),"1-30",IF(AND(DG1297&gt;30,DG1297&lt;=70),"31-70",IF(AND(DG1297&gt;70,DG1297&lt;=100),"71-100",IF(DG1297&gt;100,"+100")))))</f>
        <v>0</v>
      </c>
      <c r="DI1297">
        <v>0</v>
      </c>
      <c r="DJ1297">
        <v>0</v>
      </c>
      <c r="DK1297">
        <v>0</v>
      </c>
      <c r="DL1297">
        <v>1</v>
      </c>
      <c r="DN1297">
        <f>SUM(DI1297:DL1297)</f>
        <v>1</v>
      </c>
      <c r="DO1297" t="str">
        <f>IF(DN1297=1,INDEX($DI$7:$DL$7,MATCH(1,$DI1297:$DL1297,0)),"mixedProduct")</f>
        <v>TimberInput</v>
      </c>
      <c r="DP1297">
        <f>IF(DI1297=1,DP$7,0)</f>
        <v>0</v>
      </c>
      <c r="DQ1297">
        <f>IF(DJ1297=1,DQ$7,0)</f>
        <v>0</v>
      </c>
      <c r="DR1297">
        <f>IF(DK1297=1,DR$7,0)</f>
        <v>0</v>
      </c>
      <c r="DS1297" t="str">
        <f>IF(DL1297=1,DS$7,0)</f>
        <v>Timber</v>
      </c>
      <c r="DT1297">
        <v>1</v>
      </c>
      <c r="DU1297">
        <v>0</v>
      </c>
      <c r="DV1297">
        <v>0</v>
      </c>
      <c r="DW1297">
        <v>0</v>
      </c>
      <c r="DX1297">
        <v>0</v>
      </c>
      <c r="DY1297">
        <f>SUM(DT1297:DU1297)</f>
        <v>1</v>
      </c>
      <c r="DZ1297" s="143" t="str">
        <f>IF(DT1297=1,"self-calculated DF",IF(DU1297=1,"external DF used","explicit C balance"))</f>
        <v>self-calculated DF</v>
      </c>
      <c r="EA1297">
        <v>0</v>
      </c>
      <c r="EB1297">
        <v>0</v>
      </c>
      <c r="EC1297">
        <v>0</v>
      </c>
      <c r="ED1297">
        <v>0</v>
      </c>
      <c r="EE1297">
        <v>0</v>
      </c>
      <c r="EF1297" s="143">
        <v>1</v>
      </c>
      <c r="EG1297">
        <v>0</v>
      </c>
      <c r="EH1297">
        <v>1</v>
      </c>
      <c r="EI1297">
        <v>0</v>
      </c>
      <c r="EJ1297">
        <v>0</v>
      </c>
      <c r="EK1297">
        <v>0</v>
      </c>
      <c r="EL1297">
        <v>0</v>
      </c>
      <c r="EM1297">
        <v>0</v>
      </c>
      <c r="EN1297" s="2">
        <v>0</v>
      </c>
      <c r="EP1297" t="str">
        <f>IF(AND(AND(AND(OR($EC1297=1,$EB1297=1),OR($EH1297=1,$EF1297=1)),SUM($EA1297:$EE1297,$EK1297)&gt;=3),SUM($EF1297:$EJ1297)&gt;=2),"Whole sector approach","")</f>
        <v/>
      </c>
      <c r="EQ1297" t="str">
        <f>IF(AND(AND(OR($EC1297=1,$EB1297=1),AND($EH1297=0,$EF1297=0)),SUM($EA1297:$EE1297,$EK1297)&gt;=3),"Ecosystem approach","")</f>
        <v/>
      </c>
      <c r="ER1297" s="2" t="str">
        <f>IF(AND(AND(AND($EC1297=0,$EB1297=0),OR($EH1297=1,$EF1297=1)),SUM($EG1297:$EJ1297)&gt;=2),"Technology approach","")</f>
        <v/>
      </c>
      <c r="ES1297" t="str">
        <f>IF(AND($EC1297+$EB1297+$EE1297+$EA1297+$ED1297+$EG1297=0,$N1297="included"),"C neutral forest and HWP assumption","")</f>
        <v>C neutral forest and HWP assumption</v>
      </c>
      <c r="ET1297" t="str">
        <f>IF(AND(AND(AND(AND($EC1297=1,$EB1297+$EA1297+$EG1297&gt;=1),$EF1297=1),$EH1297+$EI1297+$ED1297+$EE1297&gt;=2),$N1297="included"),"All C pools assumption","")</f>
        <v/>
      </c>
      <c r="EU1297" t="str">
        <f>IF(AND($ED1297+$EE1297+$EI1297+$EH1297+$EF1297=0,$N1297="included"),"In-situ only assumption","")</f>
        <v/>
      </c>
      <c r="EW1297" t="s">
        <v>1474</v>
      </c>
      <c r="EY1297" t="str">
        <f>IF(ISNUMBER(BW1297),IF(ABS(BW1297-[4]QC_indicators!$B$2)&gt;3*[4]QC_indicators!$C$2,"C ratio",IF(ISNUMBER(CA1297),IF(ABS(CA1297-[4]QC_indicators!$B$1)&gt;3*[4]QC_indicators!$C$1,"DF","no"))),IF(ISNUMBER(CA1297),IF(ABS(CA1297-[4]QC_indicators!$B$1)&gt;3*[4]QC_indicators!$C$1,"DF","no")))</f>
        <v>no</v>
      </c>
      <c r="FA1297" t="str">
        <f>IF(LEN($CY1297)=0,"",IF(AND($CY1297&lt;(-0.05),$ES1297="C neutral forest and HWP assumption"),"Cneutral paradox",IF(AND($CY1297&gt;0.05,$EU1297="In-situ only assumption"),"In-situ only paradox","")))</f>
        <v/>
      </c>
      <c r="FB1297" t="s">
        <v>1475</v>
      </c>
    </row>
    <row r="1298" spans="1:158" ht="170" hidden="1">
      <c r="A1298" s="1" t="s">
        <v>549</v>
      </c>
      <c r="B1298" t="s">
        <v>531</v>
      </c>
      <c r="C1298" t="s">
        <v>1465</v>
      </c>
      <c r="D1298" t="s">
        <v>1466</v>
      </c>
      <c r="E1298" t="s">
        <v>1467</v>
      </c>
      <c r="F1298" t="s">
        <v>1468</v>
      </c>
      <c r="G1298" t="s">
        <v>554</v>
      </c>
      <c r="H1298" t="s">
        <v>254</v>
      </c>
      <c r="I1298">
        <v>2019</v>
      </c>
      <c r="J1298">
        <v>15</v>
      </c>
      <c r="K1298" t="s">
        <v>1469</v>
      </c>
      <c r="M1298" t="str">
        <f>LEFT($D1298,FIND(",",$D1298)-1)&amp;"_"&amp;I1298&amp;L1298</f>
        <v>Geng_2019</v>
      </c>
      <c r="N1298" t="s">
        <v>222</v>
      </c>
      <c r="O1298" s="180" t="s">
        <v>225</v>
      </c>
      <c r="Q1298" s="317" t="s">
        <v>256</v>
      </c>
      <c r="R1298" s="318" t="s">
        <v>1029</v>
      </c>
      <c r="S1298" s="1" t="s">
        <v>1470</v>
      </c>
      <c r="T1298" t="s">
        <v>4949</v>
      </c>
      <c r="U1298" t="s">
        <v>4950</v>
      </c>
      <c r="V1298" s="253">
        <v>0</v>
      </c>
      <c r="W1298" s="253">
        <v>0</v>
      </c>
      <c r="X1298">
        <v>0</v>
      </c>
      <c r="Y1298">
        <v>0</v>
      </c>
      <c r="Z1298">
        <v>0</v>
      </c>
      <c r="AA1298">
        <v>0</v>
      </c>
      <c r="AB1298">
        <v>0</v>
      </c>
      <c r="AC1298">
        <v>0</v>
      </c>
      <c r="AD1298">
        <v>0</v>
      </c>
      <c r="AE1298">
        <v>0</v>
      </c>
      <c r="AF1298">
        <v>0</v>
      </c>
      <c r="AG1298">
        <v>0</v>
      </c>
      <c r="AH1298">
        <v>0</v>
      </c>
      <c r="AI1298">
        <v>0</v>
      </c>
      <c r="AJ1298">
        <v>0</v>
      </c>
      <c r="AK1298">
        <v>0</v>
      </c>
      <c r="AL1298">
        <v>0</v>
      </c>
      <c r="AM1298">
        <v>1</v>
      </c>
      <c r="AN1298">
        <v>0</v>
      </c>
      <c r="AO1298">
        <v>0</v>
      </c>
      <c r="AP1298">
        <v>0</v>
      </c>
      <c r="AQ1298">
        <v>0</v>
      </c>
      <c r="AR1298">
        <v>0</v>
      </c>
      <c r="AS1298">
        <v>0</v>
      </c>
      <c r="AT1298">
        <v>0</v>
      </c>
      <c r="AU1298">
        <v>0</v>
      </c>
      <c r="AV1298">
        <v>0</v>
      </c>
      <c r="AW1298">
        <v>0</v>
      </c>
      <c r="AX1298">
        <v>0</v>
      </c>
      <c r="AY1298">
        <v>0</v>
      </c>
      <c r="AZ1298" s="141">
        <f>COUNTIF(X1298:AY1298,"&lt;&gt;0")</f>
        <v>1</v>
      </c>
      <c r="BA1298" s="141">
        <f>COUNTIF(X1298:AN1298,"&lt;&gt;0")</f>
        <v>1</v>
      </c>
      <c r="BB1298">
        <f>COUNTIF(X1298:AE1298,"&lt;&gt;0")</f>
        <v>0</v>
      </c>
      <c r="BC1298">
        <f>COUNTIF(AF1298:AK1298,"&lt;&gt;0")</f>
        <v>0</v>
      </c>
      <c r="BD1298">
        <f>COUNTIF(AL1298:AN1298,"&lt;&gt;0")</f>
        <v>1</v>
      </c>
      <c r="BE1298">
        <f>COUNTIF(AU1298:AY1298,"&lt;&gt;0")</f>
        <v>0</v>
      </c>
      <c r="BF1298">
        <f>COUNTIF(AO1298:AT1298,"&lt;&gt;0")</f>
        <v>0</v>
      </c>
      <c r="BG1298" t="str" cm="1">
        <f t="array" ref="BG1298">IF(BA1298=1,INDEX($X$7:$AN$7,MATCH(TRUE,INDEX($X1298:$AY1298&lt;&gt;0,),0)),IF(BA1298=0,INDEX($AO$7:$AY$7,MATCH(1,$AO1298:$AY1298,0)),IF(BH1298="Multiple strategies","mixed drivers",IF(BH1298="Supply chain","multiple supply","multiple silviculture"))))</f>
        <v>technologies/design switch</v>
      </c>
      <c r="BH1298" s="2" t="str" cm="1">
        <f t="array" ref="BH1298">IF(COUNTIF(BB1298:BD1298,"&lt;&gt;0")=1,INDEX($X$4:$AY$4,MATCH(TRUE,INDEX($X1298:$AY1298&lt;&gt;0,),0)),IF(COUNTIF(BB1298:BD1298,"&lt;&gt;0")=0,INDEX($AO$4:$AY$4,MATCH(1,$AO1298:$AY1298,0)),"Multiple strategies"))</f>
        <v>Technology</v>
      </c>
      <c r="BI1298" s="1" t="s">
        <v>229</v>
      </c>
      <c r="BJ1298" t="s">
        <v>1471</v>
      </c>
      <c r="BK1298" t="s">
        <v>2920</v>
      </c>
      <c r="BL1298" t="s">
        <v>261</v>
      </c>
      <c r="BM1298">
        <v>24</v>
      </c>
      <c r="BN1298">
        <v>71.62</v>
      </c>
      <c r="BO1298">
        <f>BN1298/BM1298</f>
        <v>2.9841666666666669</v>
      </c>
      <c r="BP1298">
        <f>BN1298-BM1298</f>
        <v>47.620000000000005</v>
      </c>
      <c r="BQ1298">
        <f>BP1298*kg_to_m3</f>
        <v>9.7183673469387777E-2</v>
      </c>
      <c r="BR1298" t="s">
        <v>232</v>
      </c>
      <c r="BS1298" t="s">
        <v>2920</v>
      </c>
      <c r="BT1298" t="s">
        <v>1476</v>
      </c>
      <c r="BW1298" s="144" t="str">
        <f>IFERROR(BV1298/BU1298,"")</f>
        <v/>
      </c>
      <c r="BX1298">
        <v>0.189</v>
      </c>
      <c r="BZ1298">
        <f>BX1298</f>
        <v>0.189</v>
      </c>
      <c r="CA1298">
        <f>IFERROR(BZ1298/BQ1298,"")</f>
        <v>1.9447711045779079</v>
      </c>
      <c r="CB1298">
        <v>0</v>
      </c>
      <c r="CC1298">
        <v>0</v>
      </c>
      <c r="CD1298">
        <v>0</v>
      </c>
      <c r="CE1298">
        <v>0</v>
      </c>
      <c r="CF1298">
        <v>0</v>
      </c>
      <c r="CG1298">
        <v>0</v>
      </c>
      <c r="CH1298">
        <v>0</v>
      </c>
      <c r="CI1298">
        <v>0</v>
      </c>
      <c r="CJ1298">
        <v>0</v>
      </c>
      <c r="CK1298">
        <v>0</v>
      </c>
      <c r="CL1298">
        <v>0</v>
      </c>
      <c r="CM1298">
        <v>0</v>
      </c>
      <c r="CN1298">
        <v>0</v>
      </c>
      <c r="CO1298">
        <v>0</v>
      </c>
      <c r="CP1298" t="str">
        <f>IF(BN1298&lt;BM1298,"refNeedCorrection","refOK")</f>
        <v>refOK</v>
      </c>
      <c r="CQ1298">
        <f>IF($CP1298="refOK",$BM1298,$BN1298)</f>
        <v>24</v>
      </c>
      <c r="CR1298">
        <f>IF($CP1298="refOK",$BN1298,$BM1298)</f>
        <v>71.62</v>
      </c>
      <c r="CS1298">
        <f>IF($CP1298="refOK",$BQ1298,-$BQ1298)</f>
        <v>9.7183673469387777E-2</v>
      </c>
      <c r="CT1298">
        <f>IF(BI1298="Roundwood",$CS1298/2,$CS1298)</f>
        <v>9.7183673469387777E-2</v>
      </c>
      <c r="CU1298">
        <f>IF($CP1298="refOK",$BU1298,$BV1298)*IF($BR1298="Emissions positive",-1,1)</f>
        <v>0</v>
      </c>
      <c r="CV1298">
        <f>IF($CP1298="refOK",$BV1298,$BU1298)*IF($BR1298="Emissions positive",-1,1)</f>
        <v>0</v>
      </c>
      <c r="CW1298">
        <f>IF($CP1298="refNeedCorrection",-BZ1298,BZ1298)*IF($BR1298="Emissions positive",-1,1)</f>
        <v>0.189</v>
      </c>
      <c r="CX1298">
        <f>IFERROR($CW1298/$CS1298,"")</f>
        <v>1.9447711045779079</v>
      </c>
      <c r="CY1298">
        <f>IFERROR($CW1298/$CS1298,"")</f>
        <v>1.9447711045779079</v>
      </c>
      <c r="CZ1298">
        <f>IFERROR($CW1298/$CT1298,"")</f>
        <v>1.9447711045779079</v>
      </c>
      <c r="DA1298" s="2" t="str">
        <f>IFERROR((CV1298-CU1298)/ABS(CU1298),"")</f>
        <v/>
      </c>
      <c r="DB1298" s="1" t="s">
        <v>1078</v>
      </c>
      <c r="DC1298" s="317" t="str">
        <f>IF(OR($DB1298="prd",$DB1298="std",$DB1298="cit"),"loc",IF(OR($DB1298="eur",$DB1298="reg",$DB1298="coy"),"reg",$DB1298))</f>
        <v>reg</v>
      </c>
      <c r="DD1298" t="s">
        <v>677</v>
      </c>
      <c r="DE1298">
        <v>2019</v>
      </c>
      <c r="DG1298">
        <v>0</v>
      </c>
      <c r="DH1298" t="str">
        <f>IF(DG1298=0,"0",IF(AND(DG1298&gt;=1,DG1298&lt;=30),"1-30",IF(AND(DG1298&gt;30,DG1298&lt;=70),"31-70",IF(AND(DG1298&gt;70,DG1298&lt;=100),"71-100",IF(DG1298&gt;100,"+100")))))</f>
        <v>0</v>
      </c>
      <c r="DI1298">
        <v>0</v>
      </c>
      <c r="DJ1298">
        <v>0</v>
      </c>
      <c r="DK1298">
        <v>0</v>
      </c>
      <c r="DL1298">
        <v>1</v>
      </c>
      <c r="DN1298">
        <f>SUM(DI1298:DL1298)</f>
        <v>1</v>
      </c>
      <c r="DO1298" t="str">
        <f>IF(DN1298=1,INDEX($DI$7:$DL$7,MATCH(1,$DI1298:$DL1298,0)),"mixedProduct")</f>
        <v>TimberInput</v>
      </c>
      <c r="DP1298">
        <f>IF(DI1298=1,DP$7,0)</f>
        <v>0</v>
      </c>
      <c r="DQ1298">
        <f>IF(DJ1298=1,DQ$7,0)</f>
        <v>0</v>
      </c>
      <c r="DR1298">
        <f>IF(DK1298=1,DR$7,0)</f>
        <v>0</v>
      </c>
      <c r="DS1298" t="str">
        <f>IF(DL1298=1,DS$7,0)</f>
        <v>Timber</v>
      </c>
      <c r="DT1298">
        <v>1</v>
      </c>
      <c r="DU1298">
        <v>0</v>
      </c>
      <c r="DV1298">
        <v>0</v>
      </c>
      <c r="DW1298">
        <v>0</v>
      </c>
      <c r="DX1298">
        <v>0</v>
      </c>
      <c r="DY1298">
        <f>SUM(DT1298:DU1298)</f>
        <v>1</v>
      </c>
      <c r="DZ1298" s="143" t="str">
        <f>IF(DT1298=1,"self-calculated DF",IF(DU1298=1,"external DF used","explicit C balance"))</f>
        <v>self-calculated DF</v>
      </c>
      <c r="EA1298">
        <v>0</v>
      </c>
      <c r="EB1298">
        <v>0</v>
      </c>
      <c r="EC1298">
        <v>0</v>
      </c>
      <c r="ED1298">
        <v>0</v>
      </c>
      <c r="EE1298">
        <v>0</v>
      </c>
      <c r="EF1298" s="143">
        <v>1</v>
      </c>
      <c r="EG1298">
        <v>0</v>
      </c>
      <c r="EH1298">
        <v>1</v>
      </c>
      <c r="EI1298">
        <v>0</v>
      </c>
      <c r="EJ1298">
        <v>0</v>
      </c>
      <c r="EK1298">
        <v>0</v>
      </c>
      <c r="EL1298">
        <v>0</v>
      </c>
      <c r="EM1298">
        <v>0</v>
      </c>
      <c r="EN1298" s="2">
        <v>0</v>
      </c>
      <c r="EP1298" t="str">
        <f>IF(AND(AND(AND(OR($EC1298=1,$EB1298=1),OR($EH1298=1,$EF1298=1)),SUM($EA1298:$EE1298,$EK1298)&gt;=3),SUM($EF1298:$EJ1298)&gt;=2),"Whole sector approach","")</f>
        <v/>
      </c>
      <c r="EQ1298" t="str">
        <f>IF(AND(AND(OR($EC1298=1,$EB1298=1),AND($EH1298=0,$EF1298=0)),SUM($EA1298:$EE1298,$EK1298)&gt;=3),"Ecosystem approach","")</f>
        <v/>
      </c>
      <c r="ER1298" s="2" t="str">
        <f>IF(AND(AND(AND($EC1298=0,$EB1298=0),OR($EH1298=1,$EF1298=1)),SUM($EG1298:$EJ1298)&gt;=2),"Technology approach","")</f>
        <v/>
      </c>
      <c r="ES1298" t="str">
        <f>IF(AND($EC1298+$EB1298+$EE1298+$EA1298+$ED1298+$EG1298=0,$N1298="included"),"C neutral forest and HWP assumption","")</f>
        <v>C neutral forest and HWP assumption</v>
      </c>
      <c r="ET1298" t="str">
        <f>IF(AND(AND(AND(AND($EC1298=1,$EB1298+$EA1298+$EG1298&gt;=1),$EF1298=1),$EH1298+$EI1298+$ED1298+$EE1298&gt;=2),$N1298="included"),"All C pools assumption","")</f>
        <v/>
      </c>
      <c r="EU1298" t="str">
        <f>IF(AND($ED1298+$EE1298+$EI1298+$EH1298+$EF1298=0,$N1298="included"),"In-situ only assumption","")</f>
        <v/>
      </c>
      <c r="EW1298" t="s">
        <v>1474</v>
      </c>
      <c r="EY1298" t="str">
        <f>IF(ISNUMBER(BW1298),IF(ABS(BW1298-[4]QC_indicators!$B$2)&gt;3*[4]QC_indicators!$C$2,"C ratio",IF(ISNUMBER(CA1298),IF(ABS(CA1298-[4]QC_indicators!$B$1)&gt;3*[4]QC_indicators!$C$1,"DF","no"))),IF(ISNUMBER(CA1298),IF(ABS(CA1298-[4]QC_indicators!$B$1)&gt;3*[4]QC_indicators!$C$1,"DF","no")))</f>
        <v>no</v>
      </c>
      <c r="FA1298" t="str">
        <f>IF(LEN($CY1298)=0,"",IF(AND($CY1298&lt;(-0.05),$ES1298="C neutral forest and HWP assumption"),"Cneutral paradox",IF(AND($CY1298&gt;0.05,$EU1298="In-situ only assumption"),"In-situ only paradox","")))</f>
        <v/>
      </c>
      <c r="FB1298" t="s">
        <v>1475</v>
      </c>
    </row>
    <row r="1299" spans="1:158" ht="15" customHeight="1">
      <c r="A1299" s="1" t="s">
        <v>574</v>
      </c>
      <c r="B1299" t="s">
        <v>1320</v>
      </c>
      <c r="C1299" t="s">
        <v>1321</v>
      </c>
      <c r="D1299" t="s">
        <v>1322</v>
      </c>
      <c r="E1299" t="s">
        <v>1323</v>
      </c>
      <c r="F1299" t="s">
        <v>1324</v>
      </c>
      <c r="G1299" t="s">
        <v>580</v>
      </c>
      <c r="H1299" t="s">
        <v>254</v>
      </c>
      <c r="I1299">
        <v>2020</v>
      </c>
      <c r="J1299">
        <v>12</v>
      </c>
      <c r="K1299" t="s">
        <v>1325</v>
      </c>
      <c r="M1299" t="str">
        <f>LEFT($D1299,FIND(",",$D1299)-1)&amp;"_"&amp;I1299&amp;L1299</f>
        <v>Elisa_2020</v>
      </c>
      <c r="N1299" s="317" t="s">
        <v>222</v>
      </c>
      <c r="O1299" s="171" t="s">
        <v>274</v>
      </c>
      <c r="P1299" t="s">
        <v>223</v>
      </c>
      <c r="Q1299" s="317" t="s">
        <v>389</v>
      </c>
      <c r="R1299" s="318" t="s">
        <v>1029</v>
      </c>
      <c r="S1299" s="154" t="s">
        <v>1326</v>
      </c>
      <c r="T1299" s="319" t="s">
        <v>1327</v>
      </c>
      <c r="U1299" s="143" t="s">
        <v>1340</v>
      </c>
      <c r="V1299" s="253">
        <v>0</v>
      </c>
      <c r="W1299" s="253">
        <v>0</v>
      </c>
      <c r="X1299">
        <v>0</v>
      </c>
      <c r="Y1299">
        <v>0</v>
      </c>
      <c r="Z1299">
        <v>0</v>
      </c>
      <c r="AA1299">
        <v>0</v>
      </c>
      <c r="AB1299">
        <v>0</v>
      </c>
      <c r="AC1299">
        <v>0</v>
      </c>
      <c r="AD1299">
        <v>0</v>
      </c>
      <c r="AE1299">
        <v>0</v>
      </c>
      <c r="AF1299">
        <v>0</v>
      </c>
      <c r="AG1299">
        <v>1</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s="141">
        <f>COUNTIF(X1299:AY1299,"&lt;&gt;0")</f>
        <v>1</v>
      </c>
      <c r="BA1299" s="141">
        <f>COUNTIF(X1299:AN1299,"&lt;&gt;0")</f>
        <v>1</v>
      </c>
      <c r="BB1299">
        <f>COUNTIF(X1299:AE1299,"&lt;&gt;0")</f>
        <v>0</v>
      </c>
      <c r="BC1299">
        <f>COUNTIF(AF1299:AK1299,"&lt;&gt;0")</f>
        <v>1</v>
      </c>
      <c r="BD1299">
        <f>COUNTIF(AL1299:AN1299,"&lt;&gt;0")</f>
        <v>0</v>
      </c>
      <c r="BE1299">
        <f>COUNTIF(AU1299:AY1299,"&lt;&gt;0")</f>
        <v>0</v>
      </c>
      <c r="BF1299">
        <f>COUNTIF(AO1299:AT1299,"&lt;&gt;0")</f>
        <v>0</v>
      </c>
      <c r="BG1299" t="str" cm="1">
        <f t="array" ref="BG1299">IF(BA1299=1,INDEX($X$7:$AN$7,MATCH(TRUE,INDEX($X1299:$AY1299&lt;&gt;0,),0)),IF(BA1299=0,INDEX($AO$7:$AY$7,MATCH(1,$AO1299:$AY1299,0)),IF(BH1299="Multiple strategies","mixed drivers",IF(BH1299="Supply chain","multiple supply","multiple silviculture"))))</f>
        <v>location of industry</v>
      </c>
      <c r="BH1299" s="2" t="str" cm="1">
        <f t="array" ref="BH1299">IF(COUNTIF(BB1299:BD1299,"&lt;&gt;0")=1,INDEX($X$4:$AY$4,MATCH(TRUE,INDEX($X1299:$AY1299&lt;&gt;0,),0)),IF(COUNTIF(BB1299:BD1299,"&lt;&gt;0")=0,INDEX($AO$4:$AY$4,MATCH(1,$AO1299:$AY1299,0)),"Multiple strategies"))</f>
        <v>Supply chain</v>
      </c>
      <c r="BI1299" s="142" t="s">
        <v>321</v>
      </c>
      <c r="BJ1299" s="160" t="s">
        <v>1329</v>
      </c>
      <c r="BK1299" s="160" t="s">
        <v>1330</v>
      </c>
      <c r="BL1299" s="143" t="s">
        <v>498</v>
      </c>
      <c r="BM1299" s="143">
        <v>944</v>
      </c>
      <c r="BN1299" s="143">
        <v>20000</v>
      </c>
      <c r="BO1299">
        <f>IFERROR(BN1300/BM1299,"")</f>
        <v>7.4078389830508478</v>
      </c>
      <c r="BP1299">
        <f>BN1299-BM1299</f>
        <v>19056</v>
      </c>
      <c r="BQ1299" s="159">
        <f>BP1299</f>
        <v>19056</v>
      </c>
      <c r="BR1299" s="155" t="s">
        <v>232</v>
      </c>
      <c r="BS1299" s="155" t="s">
        <v>1331</v>
      </c>
      <c r="BT1299" s="155" t="s">
        <v>805</v>
      </c>
      <c r="BU1299" s="143" t="s">
        <v>1349</v>
      </c>
      <c r="BV1299" t="s">
        <v>1354</v>
      </c>
      <c r="BW1299" s="144">
        <f>BV1299/BU1299</f>
        <v>19.384352950298489</v>
      </c>
      <c r="BX1299">
        <f>BV1299-BU1299</f>
        <v>-1.9758583333333299</v>
      </c>
      <c r="BZ1299">
        <f>BX1299</f>
        <v>-1.9758583333333299</v>
      </c>
      <c r="CA1299">
        <f>IFERROR(BZ1299/BQ1299,"")</f>
        <v>-1.0368694024629145E-4</v>
      </c>
      <c r="CB1299">
        <v>0</v>
      </c>
      <c r="CC1299">
        <v>0</v>
      </c>
      <c r="CD1299">
        <v>0</v>
      </c>
      <c r="CE1299">
        <v>0</v>
      </c>
      <c r="CF1299">
        <v>0</v>
      </c>
      <c r="CG1299">
        <v>0</v>
      </c>
      <c r="CH1299">
        <v>0</v>
      </c>
      <c r="CI1299">
        <v>0</v>
      </c>
      <c r="CJ1299">
        <v>0</v>
      </c>
      <c r="CK1299">
        <v>0</v>
      </c>
      <c r="CL1299">
        <v>0</v>
      </c>
      <c r="CM1299">
        <v>0</v>
      </c>
      <c r="CN1299">
        <v>0</v>
      </c>
      <c r="CO1299">
        <v>0</v>
      </c>
      <c r="CP1299" t="str">
        <f>IF($BN1299&lt;$BM1299,"refNeedCorrection","refOK")</f>
        <v>refOK</v>
      </c>
      <c r="CQ1299">
        <f>IF($CP1299="refOK",$BM1299,$BN1299)</f>
        <v>944</v>
      </c>
      <c r="CR1299">
        <f>IF($CP1299="refOK",$BN1299,$BM1299)</f>
        <v>20000</v>
      </c>
      <c r="CS1299">
        <f>IF($CP1299="refOK",$BQ1299,-$BQ1299)</f>
        <v>19056</v>
      </c>
      <c r="CT1299">
        <f>IF(BI1299="Roundwood",$CS1299/2,$CS1299)</f>
        <v>9528</v>
      </c>
      <c r="CU1299">
        <f>IF($CP1299="refOK",$BU1299,$BV1299)*IF($BR1299="Emissions positive",-1,1)</f>
        <v>-0.107475</v>
      </c>
      <c r="CV1299">
        <f>IF($CP1299="refOK",$BV1299,$BU1299)*IF($BR1299="Emissions positive",-1,1)</f>
        <v>-2.0833333333333299</v>
      </c>
      <c r="CW1299">
        <f>IF($CP1299="refNeedCorrection",-BZ1299,BZ1299)*IF($BR1299="Emissions positive",-1,1)</f>
        <v>-1.9758583333333299</v>
      </c>
      <c r="CX1299">
        <f>IFERROR($CW1299/$CS1299,"")</f>
        <v>-1.0368694024629145E-4</v>
      </c>
      <c r="CY1299">
        <f>IFERROR($CW1299/$CS1299,"")</f>
        <v>-1.0368694024629145E-4</v>
      </c>
      <c r="CZ1299">
        <f>IFERROR($CW1299/$CT1299,"")</f>
        <v>-2.0737388049258291E-4</v>
      </c>
      <c r="DA1299" s="2">
        <f>IFERROR((CV1299-CU1299)/ABS(CU1299),"")</f>
        <v>-18.384352950298489</v>
      </c>
      <c r="DB1299" s="320" t="s">
        <v>1334</v>
      </c>
      <c r="DC1299" s="317" t="str">
        <f>IF(OR($DB1299="prd",$DB1299="std",$DB1299="cit"),"loc",IF(OR($DB1299="eur",$DB1299="reg",$DB1299="coy"),"reg",$DB1299))</f>
        <v>reg</v>
      </c>
      <c r="DD1299" s="321" t="s">
        <v>729</v>
      </c>
      <c r="DF1299" s="143"/>
      <c r="DG1299" s="143">
        <v>0</v>
      </c>
      <c r="DH1299" t="str">
        <f>IF(DG1299=0,"0",IF(AND(DG1299&gt;=1,DG1299&lt;=30),"1-30",IF(AND(DG1299&gt;30,DG1299&lt;=70),"31-70",IF(AND(DG1299&gt;70,DG1299&lt;=100),"71-100",IF(DG1299&gt;100,"+100")))))</f>
        <v>0</v>
      </c>
      <c r="DI1299">
        <v>0</v>
      </c>
      <c r="DJ1299">
        <v>1</v>
      </c>
      <c r="DK1299">
        <v>0</v>
      </c>
      <c r="DL1299">
        <v>0</v>
      </c>
      <c r="DM1299">
        <v>0</v>
      </c>
      <c r="DN1299">
        <f>SUM(DI1299:DM1299)</f>
        <v>1</v>
      </c>
      <c r="DO1299" t="str">
        <f>IF(DN1299=1,INDEX($DI$7:$DL$7,MATCH(1,$DI1299:$DL1299,0)),"mixedProduct")</f>
        <v>EnergyInput</v>
      </c>
      <c r="DP1299">
        <f>IF(DI1299=1,DP$7,0)</f>
        <v>0</v>
      </c>
      <c r="DQ1299" t="str">
        <f>IF(DJ1299=1,DQ$7,0)</f>
        <v>Energy</v>
      </c>
      <c r="DR1299">
        <f>IF(DK1299=1,DR$7,0)</f>
        <v>0</v>
      </c>
      <c r="DS1299">
        <f>IF(DL1299=1,DS$7,0)</f>
        <v>0</v>
      </c>
      <c r="DT1299">
        <v>0</v>
      </c>
      <c r="DU1299" s="143">
        <v>0</v>
      </c>
      <c r="DV1299" s="143">
        <v>0</v>
      </c>
      <c r="DW1299">
        <v>0</v>
      </c>
      <c r="DX1299" s="143">
        <v>0</v>
      </c>
      <c r="DY1299">
        <f>SUM(DT1299:DU1299)</f>
        <v>0</v>
      </c>
      <c r="DZ1299" s="143" t="str">
        <f>IF(DT1299=1,"self-calculated DF",IF(DU1299=1,"external DF used","explicit C balance"))</f>
        <v>explicit C balance</v>
      </c>
      <c r="EA1299" s="143">
        <v>0</v>
      </c>
      <c r="EB1299" s="143">
        <v>0</v>
      </c>
      <c r="EC1299" s="143">
        <v>0</v>
      </c>
      <c r="ED1299" s="143">
        <v>0</v>
      </c>
      <c r="EE1299">
        <v>0</v>
      </c>
      <c r="EF1299" s="143">
        <v>0</v>
      </c>
      <c r="EG1299" s="143">
        <v>1</v>
      </c>
      <c r="EH1299" s="143">
        <v>0</v>
      </c>
      <c r="EI1299" s="143">
        <v>0</v>
      </c>
      <c r="EJ1299">
        <v>0</v>
      </c>
      <c r="EK1299">
        <v>0</v>
      </c>
      <c r="EL1299" s="143">
        <v>0</v>
      </c>
      <c r="EM1299" s="143">
        <v>0</v>
      </c>
      <c r="EN1299" s="2">
        <v>0</v>
      </c>
      <c r="EP1299" t="str">
        <f>IF(AND(AND(AND(OR($EC1299=1,$EB1299=1),OR($EH1299=1,$EF1299=1)),SUM($EA1299:$EE1299,$EK1299)&gt;=3),SUM($EF1299:$EJ1299)&gt;=2),"Whole sector approach","")</f>
        <v/>
      </c>
      <c r="EQ1299" t="str">
        <f>IF(AND(AND(OR($EC1299=1,$EB1299=1),AND($EH1299=0,$EF1299=0)),SUM($EA1299:$EE1299,$EK1299)&gt;=3),"Ecosystem approach","")</f>
        <v/>
      </c>
      <c r="ER1299" s="2" t="str">
        <f>IF(AND(AND(AND($EC1299=0,$EB1299=0),OR($EH1299=1,$EF1299=1)),SUM($EG1299:$EJ1299)&gt;=2),"Technology approach","")</f>
        <v/>
      </c>
      <c r="ES1299" t="str">
        <f>IF(AND($EC1299+$EB1299+$EE1299+$EA1299+$ED1299+$EG1299=0,$N1299="included"),"C neutral forest and HWP assumption","")</f>
        <v/>
      </c>
      <c r="ET1299" t="str">
        <f>IF(AND(AND(AND(AND($EC1299=1,$EB1299+$EA1299+$EG1299&gt;=1),$EF1299=1),$EH1299+$EI1299+$ED1299+$EE1299&gt;=2),$N1299="included"),"All C pools assumption","")</f>
        <v/>
      </c>
      <c r="EU1299" t="str">
        <f>IF(AND($ED1299+$EE1299+$EI1299+$EH1299+$EF1299=0,$N1299="included"),"In-situ only assumption","")</f>
        <v>In-situ only assumption</v>
      </c>
      <c r="EY1299" t="str">
        <f>IF(ISNUMBER(BW1299),IF(ABS(BW1299-[4]QC_indicators!$B$2)&gt;3*[4]QC_indicators!$C$2,"C ratio",IF(ISNUMBER(CA1299),IF(ABS(CA1299-[4]QC_indicators!$B$1)&gt;3*[4]QC_indicators!$C$1,"DF","no"))),IF(ISNUMBER(CA1299),IF(ABS(CA1299-[4]QC_indicators!$B$1)&gt;3*[4]QC_indicators!$C$1,"DF","no")))</f>
        <v>no</v>
      </c>
      <c r="FA1299" t="str">
        <f>IF(LEN($CY1299)=0,"",IF(AND($CY1299&lt;(-0.05),$ES1299="C neutral forest and HWP assumption"),"Cneutral paradox",IF(AND($CY1299&gt;0.05,$EU1299="In-situ only assumption"),"In-situ only paradox","")))</f>
        <v/>
      </c>
      <c r="FB1299" s="149"/>
    </row>
    <row r="1300" spans="1:158" ht="15" customHeight="1">
      <c r="A1300" s="1" t="s">
        <v>574</v>
      </c>
      <c r="B1300" t="s">
        <v>1320</v>
      </c>
      <c r="C1300" t="s">
        <v>1321</v>
      </c>
      <c r="D1300" t="s">
        <v>1322</v>
      </c>
      <c r="E1300" t="s">
        <v>1323</v>
      </c>
      <c r="F1300" t="s">
        <v>1324</v>
      </c>
      <c r="G1300" t="s">
        <v>580</v>
      </c>
      <c r="H1300" t="s">
        <v>254</v>
      </c>
      <c r="I1300">
        <v>2020</v>
      </c>
      <c r="J1300">
        <v>12</v>
      </c>
      <c r="K1300" t="s">
        <v>1325</v>
      </c>
      <c r="M1300" t="str">
        <f>LEFT($D1300,FIND(",",$D1300)-1)&amp;"_"&amp;I1300&amp;L1300</f>
        <v>Elisa_2020</v>
      </c>
      <c r="N1300" s="317" t="s">
        <v>222</v>
      </c>
      <c r="O1300" s="171" t="s">
        <v>274</v>
      </c>
      <c r="P1300" t="s">
        <v>223</v>
      </c>
      <c r="Q1300" s="317" t="s">
        <v>389</v>
      </c>
      <c r="R1300" s="318" t="s">
        <v>1029</v>
      </c>
      <c r="S1300" s="154" t="s">
        <v>1326</v>
      </c>
      <c r="T1300" s="319" t="s">
        <v>1327</v>
      </c>
      <c r="U1300" s="143" t="s">
        <v>1343</v>
      </c>
      <c r="V1300" s="253">
        <v>0</v>
      </c>
      <c r="W1300" s="253">
        <v>0</v>
      </c>
      <c r="X1300">
        <v>0</v>
      </c>
      <c r="Y1300">
        <v>0</v>
      </c>
      <c r="Z1300">
        <v>0</v>
      </c>
      <c r="AA1300">
        <v>0</v>
      </c>
      <c r="AB1300">
        <v>0</v>
      </c>
      <c r="AC1300">
        <v>0</v>
      </c>
      <c r="AD1300">
        <v>0</v>
      </c>
      <c r="AE1300">
        <v>0</v>
      </c>
      <c r="AF1300">
        <v>0</v>
      </c>
      <c r="AG1300">
        <v>1</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s="141">
        <f>COUNTIF(X1300:AY1300,"&lt;&gt;0")</f>
        <v>1</v>
      </c>
      <c r="BA1300" s="141">
        <f>COUNTIF(X1300:AN1300,"&lt;&gt;0")</f>
        <v>1</v>
      </c>
      <c r="BB1300">
        <f>COUNTIF(X1300:AE1300,"&lt;&gt;0")</f>
        <v>0</v>
      </c>
      <c r="BC1300">
        <f>COUNTIF(AF1300:AK1300,"&lt;&gt;0")</f>
        <v>1</v>
      </c>
      <c r="BD1300">
        <f>COUNTIF(AL1300:AN1300,"&lt;&gt;0")</f>
        <v>0</v>
      </c>
      <c r="BE1300">
        <f>COUNTIF(AU1300:AY1300,"&lt;&gt;0")</f>
        <v>0</v>
      </c>
      <c r="BF1300">
        <f>COUNTIF(AO1300:AT1300,"&lt;&gt;0")</f>
        <v>0</v>
      </c>
      <c r="BG1300" t="str" cm="1">
        <f t="array" ref="BG1300">IF(BA1300=1,INDEX($X$7:$AN$7,MATCH(TRUE,INDEX($X1300:$AY1300&lt;&gt;0,),0)),IF(BA1300=0,INDEX($AO$7:$AY$7,MATCH(1,$AO1300:$AY1300,0)),IF(BH1300="Multiple strategies","mixed drivers",IF(BH1300="Supply chain","multiple supply","multiple silviculture"))))</f>
        <v>location of industry</v>
      </c>
      <c r="BH1300" s="2" t="str" cm="1">
        <f t="array" ref="BH1300">IF(COUNTIF(BB1300:BD1300,"&lt;&gt;0")=1,INDEX($X$4:$AY$4,MATCH(TRUE,INDEX($X1300:$AY1300&lt;&gt;0,),0)),IF(COUNTIF(BB1300:BD1300,"&lt;&gt;0")=0,INDEX($AO$4:$AY$4,MATCH(1,$AO1300:$AY1300,0)),"Multiple strategies"))</f>
        <v>Supply chain</v>
      </c>
      <c r="BI1300" s="142" t="s">
        <v>321</v>
      </c>
      <c r="BJ1300" s="160" t="s">
        <v>1329</v>
      </c>
      <c r="BK1300" s="160" t="s">
        <v>1330</v>
      </c>
      <c r="BL1300" s="143" t="s">
        <v>498</v>
      </c>
      <c r="BM1300" s="143">
        <v>944</v>
      </c>
      <c r="BN1300" s="143">
        <v>6993</v>
      </c>
      <c r="BO1300">
        <f>IFERROR(BN1301/BM1300,"")</f>
        <v>1.6949152542372881</v>
      </c>
      <c r="BP1300">
        <f>BN1300-BM1300</f>
        <v>6049</v>
      </c>
      <c r="BQ1300" s="159">
        <f>BP1300</f>
        <v>6049</v>
      </c>
      <c r="BR1300" s="155" t="s">
        <v>232</v>
      </c>
      <c r="BS1300" s="155" t="s">
        <v>1331</v>
      </c>
      <c r="BT1300" s="155" t="s">
        <v>805</v>
      </c>
      <c r="BU1300" s="143" t="s">
        <v>1349</v>
      </c>
      <c r="BV1300" t="s">
        <v>1353</v>
      </c>
      <c r="BW1300" s="144">
        <f>BV1300/BU1300</f>
        <v>7.1075960817761246</v>
      </c>
      <c r="BX1300">
        <f>BV1300-BU1300</f>
        <v>-0.65641388888888896</v>
      </c>
      <c r="BZ1300">
        <f>BX1300</f>
        <v>-0.65641388888888896</v>
      </c>
      <c r="CA1300">
        <f>IFERROR(BZ1300/BQ1300,"")</f>
        <v>-1.0851609999816317E-4</v>
      </c>
      <c r="CB1300">
        <v>0</v>
      </c>
      <c r="CC1300">
        <v>0</v>
      </c>
      <c r="CD1300">
        <v>0</v>
      </c>
      <c r="CE1300">
        <v>0</v>
      </c>
      <c r="CF1300">
        <v>0</v>
      </c>
      <c r="CG1300">
        <v>0</v>
      </c>
      <c r="CH1300">
        <v>0</v>
      </c>
      <c r="CI1300">
        <v>0</v>
      </c>
      <c r="CJ1300">
        <v>0</v>
      </c>
      <c r="CK1300">
        <v>0</v>
      </c>
      <c r="CL1300">
        <v>0</v>
      </c>
      <c r="CM1300">
        <v>0</v>
      </c>
      <c r="CN1300">
        <v>0</v>
      </c>
      <c r="CO1300">
        <v>0</v>
      </c>
      <c r="CP1300" t="str">
        <f>IF($BN1300&lt;$BM1300,"refNeedCorrection","refOK")</f>
        <v>refOK</v>
      </c>
      <c r="CQ1300">
        <f>IF($CP1300="refOK",$BM1300,$BN1300)</f>
        <v>944</v>
      </c>
      <c r="CR1300">
        <f>IF($CP1300="refOK",$BN1300,$BM1300)</f>
        <v>6993</v>
      </c>
      <c r="CS1300">
        <f>IF($CP1300="refOK",$BQ1300,-$BQ1300)</f>
        <v>6049</v>
      </c>
      <c r="CT1300">
        <f>IF(BI1300="Roundwood",$CS1300/2,$CS1300)</f>
        <v>3024.5</v>
      </c>
      <c r="CU1300">
        <f>IF($CP1300="refOK",$BU1300,$BV1300)*IF($BR1300="Emissions positive",-1,1)</f>
        <v>-0.107475</v>
      </c>
      <c r="CV1300">
        <f>IF($CP1300="refOK",$BV1300,$BU1300)*IF($BR1300="Emissions positive",-1,1)</f>
        <v>-0.76388888888888895</v>
      </c>
      <c r="CW1300">
        <f>IF($CP1300="refNeedCorrection",-BZ1300,BZ1300)*IF($BR1300="Emissions positive",-1,1)</f>
        <v>-0.65641388888888896</v>
      </c>
      <c r="CX1300">
        <f>IFERROR($CW1300/$CS1300,"")</f>
        <v>-1.0851609999816317E-4</v>
      </c>
      <c r="CY1300">
        <f>IFERROR($CW1300/$CS1300,"")</f>
        <v>-1.0851609999816317E-4</v>
      </c>
      <c r="CZ1300">
        <f>IFERROR($CW1300/$CT1300,"")</f>
        <v>-2.1703219999632634E-4</v>
      </c>
      <c r="DA1300" s="2">
        <f>IFERROR((CV1300-CU1300)/ABS(CU1300),"")</f>
        <v>-6.1075960817761246</v>
      </c>
      <c r="DB1300" s="320" t="s">
        <v>1334</v>
      </c>
      <c r="DC1300" s="317" t="str">
        <f>IF(OR($DB1300="prd",$DB1300="std",$DB1300="cit"),"loc",IF(OR($DB1300="eur",$DB1300="reg",$DB1300="coy"),"reg",$DB1300))</f>
        <v>reg</v>
      </c>
      <c r="DD1300" s="321" t="s">
        <v>729</v>
      </c>
      <c r="DF1300" s="143"/>
      <c r="DG1300" s="143">
        <v>0</v>
      </c>
      <c r="DH1300" t="str">
        <f>IF(DG1300=0,"0",IF(AND(DG1300&gt;=1,DG1300&lt;=30),"1-30",IF(AND(DG1300&gt;30,DG1300&lt;=70),"31-70",IF(AND(DG1300&gt;70,DG1300&lt;=100),"71-100",IF(DG1300&gt;100,"+100")))))</f>
        <v>0</v>
      </c>
      <c r="DI1300">
        <v>0</v>
      </c>
      <c r="DJ1300">
        <v>1</v>
      </c>
      <c r="DK1300">
        <v>0</v>
      </c>
      <c r="DL1300">
        <v>0</v>
      </c>
      <c r="DM1300">
        <v>0</v>
      </c>
      <c r="DN1300">
        <f>SUM(DI1300:DM1300)</f>
        <v>1</v>
      </c>
      <c r="DO1300" t="str">
        <f>IF(DN1300=1,INDEX($DI$7:$DL$7,MATCH(1,$DI1300:$DL1300,0)),"mixedProduct")</f>
        <v>EnergyInput</v>
      </c>
      <c r="DP1300">
        <f>IF(DI1300=1,DP$7,0)</f>
        <v>0</v>
      </c>
      <c r="DQ1300" t="str">
        <f>IF(DJ1300=1,DQ$7,0)</f>
        <v>Energy</v>
      </c>
      <c r="DR1300">
        <f>IF(DK1300=1,DR$7,0)</f>
        <v>0</v>
      </c>
      <c r="DS1300">
        <f>IF(DL1300=1,DS$7,0)</f>
        <v>0</v>
      </c>
      <c r="DT1300">
        <v>0</v>
      </c>
      <c r="DU1300" s="143">
        <v>0</v>
      </c>
      <c r="DV1300" s="143">
        <v>0</v>
      </c>
      <c r="DW1300">
        <v>0</v>
      </c>
      <c r="DX1300" s="143">
        <v>0</v>
      </c>
      <c r="DY1300">
        <f>SUM(DT1300:DU1300)</f>
        <v>0</v>
      </c>
      <c r="DZ1300" s="143" t="str">
        <f>IF(DT1300=1,"self-calculated DF",IF(DU1300=1,"external DF used","explicit C balance"))</f>
        <v>explicit C balance</v>
      </c>
      <c r="EA1300" s="143">
        <v>0</v>
      </c>
      <c r="EB1300" s="143">
        <v>0</v>
      </c>
      <c r="EC1300" s="143">
        <v>0</v>
      </c>
      <c r="ED1300" s="143">
        <v>0</v>
      </c>
      <c r="EE1300">
        <v>0</v>
      </c>
      <c r="EF1300" s="143">
        <v>0</v>
      </c>
      <c r="EG1300" s="143">
        <v>1</v>
      </c>
      <c r="EH1300" s="143">
        <v>0</v>
      </c>
      <c r="EI1300" s="143">
        <v>0</v>
      </c>
      <c r="EJ1300">
        <v>0</v>
      </c>
      <c r="EK1300">
        <v>0</v>
      </c>
      <c r="EL1300" s="143">
        <v>0</v>
      </c>
      <c r="EM1300" s="143">
        <v>0</v>
      </c>
      <c r="EN1300" s="2">
        <v>0</v>
      </c>
      <c r="EP1300" t="str">
        <f>IF(AND(AND(AND(OR($EC1300=1,$EB1300=1),OR($EH1300=1,$EF1300=1)),SUM($EA1300:$EE1300,$EK1300)&gt;=3),SUM($EF1300:$EJ1300)&gt;=2),"Whole sector approach","")</f>
        <v/>
      </c>
      <c r="EQ1300" t="str">
        <f>IF(AND(AND(OR($EC1300=1,$EB1300=1),AND($EH1300=0,$EF1300=0)),SUM($EA1300:$EE1300,$EK1300)&gt;=3),"Ecosystem approach","")</f>
        <v/>
      </c>
      <c r="ER1300" s="2" t="str">
        <f>IF(AND(AND(AND($EC1300=0,$EB1300=0),OR($EH1300=1,$EF1300=1)),SUM($EG1300:$EJ1300)&gt;=2),"Technology approach","")</f>
        <v/>
      </c>
      <c r="ES1300" t="str">
        <f>IF(AND($EC1300+$EB1300+$EE1300+$EA1300+$ED1300+$EG1300=0,$N1300="included"),"C neutral forest and HWP assumption","")</f>
        <v/>
      </c>
      <c r="ET1300" t="str">
        <f>IF(AND(AND(AND(AND($EC1300=1,$EB1300+$EA1300+$EG1300&gt;=1),$EF1300=1),$EH1300+$EI1300+$ED1300+$EE1300&gt;=2),$N1300="included"),"All C pools assumption","")</f>
        <v/>
      </c>
      <c r="EU1300" t="str">
        <f>IF(AND($ED1300+$EE1300+$EI1300+$EH1300+$EF1300=0,$N1300="included"),"In-situ only assumption","")</f>
        <v>In-situ only assumption</v>
      </c>
      <c r="EY1300" t="str">
        <f>IF(ISNUMBER(BW1300),IF(ABS(BW1300-[4]QC_indicators!$B$2)&gt;3*[4]QC_indicators!$C$2,"C ratio",IF(ISNUMBER(CA1300),IF(ABS(CA1300-[4]QC_indicators!$B$1)&gt;3*[4]QC_indicators!$C$1,"DF","no"))),IF(ISNUMBER(CA1300),IF(ABS(CA1300-[4]QC_indicators!$B$1)&gt;3*[4]QC_indicators!$C$1,"DF","no")))</f>
        <v>no</v>
      </c>
      <c r="FA1300" t="str">
        <f>IF(LEN($CY1300)=0,"",IF(AND($CY1300&lt;(-0.05),$ES1300="C neutral forest and HWP assumption"),"Cneutral paradox",IF(AND($CY1300&gt;0.05,$EU1300="In-situ only assumption"),"In-situ only paradox","")))</f>
        <v/>
      </c>
      <c r="FB1300" s="149"/>
    </row>
    <row r="1301" spans="1:158" ht="15" customHeight="1">
      <c r="A1301" s="1" t="s">
        <v>574</v>
      </c>
      <c r="B1301" t="s">
        <v>1320</v>
      </c>
      <c r="C1301" t="s">
        <v>1321</v>
      </c>
      <c r="D1301" t="s">
        <v>1322</v>
      </c>
      <c r="E1301" t="s">
        <v>1323</v>
      </c>
      <c r="F1301" t="s">
        <v>1324</v>
      </c>
      <c r="G1301" t="s">
        <v>580</v>
      </c>
      <c r="H1301" t="s">
        <v>254</v>
      </c>
      <c r="I1301">
        <v>2020</v>
      </c>
      <c r="J1301">
        <v>12</v>
      </c>
      <c r="K1301" t="s">
        <v>1325</v>
      </c>
      <c r="M1301" t="str">
        <f>LEFT($D1301,FIND(",",$D1301)-1)&amp;"_"&amp;I1301&amp;L1301</f>
        <v>Elisa_2020</v>
      </c>
      <c r="N1301" s="317" t="s">
        <v>222</v>
      </c>
      <c r="O1301" s="171" t="s">
        <v>274</v>
      </c>
      <c r="P1301" t="s">
        <v>223</v>
      </c>
      <c r="Q1301" s="317" t="s">
        <v>389</v>
      </c>
      <c r="R1301" s="318" t="s">
        <v>1029</v>
      </c>
      <c r="S1301" s="154" t="s">
        <v>1326</v>
      </c>
      <c r="T1301" s="319" t="s">
        <v>1327</v>
      </c>
      <c r="U1301" s="143" t="s">
        <v>1328</v>
      </c>
      <c r="V1301" s="253">
        <v>0</v>
      </c>
      <c r="W1301" s="253">
        <v>0</v>
      </c>
      <c r="X1301">
        <v>0</v>
      </c>
      <c r="Y1301">
        <v>0</v>
      </c>
      <c r="Z1301">
        <v>0</v>
      </c>
      <c r="AA1301">
        <v>0</v>
      </c>
      <c r="AB1301">
        <v>0</v>
      </c>
      <c r="AC1301">
        <v>0</v>
      </c>
      <c r="AD1301">
        <v>0</v>
      </c>
      <c r="AE1301">
        <v>0</v>
      </c>
      <c r="AF1301">
        <v>0</v>
      </c>
      <c r="AG1301">
        <v>1</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s="141">
        <f>COUNTIF(X1301:AY1301,"&lt;&gt;0")</f>
        <v>1</v>
      </c>
      <c r="BA1301" s="141">
        <f>COUNTIF(X1301:AN1301,"&lt;&gt;0")</f>
        <v>1</v>
      </c>
      <c r="BB1301">
        <f>COUNTIF(X1301:AE1301,"&lt;&gt;0")</f>
        <v>0</v>
      </c>
      <c r="BC1301">
        <f>COUNTIF(AF1301:AK1301,"&lt;&gt;0")</f>
        <v>1</v>
      </c>
      <c r="BD1301">
        <f>COUNTIF(AL1301:AN1301,"&lt;&gt;0")</f>
        <v>0</v>
      </c>
      <c r="BE1301">
        <f>COUNTIF(AU1301:AY1301,"&lt;&gt;0")</f>
        <v>0</v>
      </c>
      <c r="BF1301">
        <f>COUNTIF(AO1301:AT1301,"&lt;&gt;0")</f>
        <v>0</v>
      </c>
      <c r="BG1301" t="str" cm="1">
        <f t="array" ref="BG1301">IF(BA1301=1,INDEX($X$7:$AN$7,MATCH(TRUE,INDEX($X1301:$AY1301&lt;&gt;0,),0)),IF(BA1301=0,INDEX($AO$7:$AY$7,MATCH(1,$AO1301:$AY1301,0)),IF(BH1301="Multiple strategies","mixed drivers",IF(BH1301="Supply chain","multiple supply","multiple silviculture"))))</f>
        <v>location of industry</v>
      </c>
      <c r="BH1301" s="2" t="str" cm="1">
        <f t="array" ref="BH1301">IF(COUNTIF(BB1301:BD1301,"&lt;&gt;0")=1,INDEX($X$4:$AY$4,MATCH(TRUE,INDEX($X1301:$AY1301&lt;&gt;0,),0)),IF(COUNTIF(BB1301:BD1301,"&lt;&gt;0")=0,INDEX($AO$4:$AY$4,MATCH(1,$AO1301:$AY1301,0)),"Multiple strategies"))</f>
        <v>Supply chain</v>
      </c>
      <c r="BI1301" s="142" t="s">
        <v>321</v>
      </c>
      <c r="BJ1301" s="160" t="s">
        <v>1329</v>
      </c>
      <c r="BK1301" s="160" t="s">
        <v>1330</v>
      </c>
      <c r="BL1301" s="143" t="s">
        <v>498</v>
      </c>
      <c r="BM1301" s="143">
        <v>944</v>
      </c>
      <c r="BN1301" s="143">
        <v>1600</v>
      </c>
      <c r="BO1301">
        <f>IFERROR(BN1302/BM1301,"")</f>
        <v>1.6154661016949152</v>
      </c>
      <c r="BP1301">
        <f>BN1301-BM1301</f>
        <v>656</v>
      </c>
      <c r="BQ1301" s="159">
        <f>BP1301</f>
        <v>656</v>
      </c>
      <c r="BR1301" s="155" t="s">
        <v>232</v>
      </c>
      <c r="BS1301" s="155" t="s">
        <v>1331</v>
      </c>
      <c r="BT1301" s="155" t="s">
        <v>805</v>
      </c>
      <c r="BU1301" s="143" t="s">
        <v>1349</v>
      </c>
      <c r="BV1301" t="s">
        <v>1352</v>
      </c>
      <c r="BW1301" s="144">
        <f>BV1301/BU1301</f>
        <v>1.6872140807939802</v>
      </c>
      <c r="BX1301">
        <f>BV1301-BU1301</f>
        <v>-7.3858333333333012E-2</v>
      </c>
      <c r="BZ1301">
        <f>BX1301</f>
        <v>-7.3858333333333012E-2</v>
      </c>
      <c r="CA1301">
        <f>IFERROR(BZ1301/BQ1301,"")</f>
        <v>-1.1258892276422716E-4</v>
      </c>
      <c r="CB1301">
        <v>0</v>
      </c>
      <c r="CC1301">
        <v>0</v>
      </c>
      <c r="CD1301">
        <v>0</v>
      </c>
      <c r="CE1301">
        <v>0</v>
      </c>
      <c r="CF1301">
        <v>0</v>
      </c>
      <c r="CG1301">
        <v>0</v>
      </c>
      <c r="CH1301">
        <v>0</v>
      </c>
      <c r="CI1301">
        <v>0</v>
      </c>
      <c r="CJ1301">
        <v>0</v>
      </c>
      <c r="CK1301">
        <v>0</v>
      </c>
      <c r="CL1301">
        <v>0</v>
      </c>
      <c r="CM1301">
        <v>0</v>
      </c>
      <c r="CN1301">
        <v>0</v>
      </c>
      <c r="CO1301">
        <v>0</v>
      </c>
      <c r="CP1301" t="str">
        <f>IF($BN1301&lt;$BM1301,"refNeedCorrection","refOK")</f>
        <v>refOK</v>
      </c>
      <c r="CQ1301">
        <f>IF($CP1301="refOK",$BM1301,$BN1301)</f>
        <v>944</v>
      </c>
      <c r="CR1301">
        <f>IF($CP1301="refOK",$BN1301,$BM1301)</f>
        <v>1600</v>
      </c>
      <c r="CS1301">
        <f>IF($CP1301="refOK",$BQ1301,-$BQ1301)</f>
        <v>656</v>
      </c>
      <c r="CT1301">
        <f>IF(BI1301="Roundwood",$CS1301/2,$CS1301)</f>
        <v>328</v>
      </c>
      <c r="CU1301">
        <f>IF($CP1301="refOK",$BU1301,$BV1301)*IF($BR1301="Emissions positive",-1,1)</f>
        <v>-0.107475</v>
      </c>
      <c r="CV1301">
        <f>IF($CP1301="refOK",$BV1301,$BU1301)*IF($BR1301="Emissions positive",-1,1)</f>
        <v>-0.18133333333333301</v>
      </c>
      <c r="CW1301">
        <f>IF($CP1301="refNeedCorrection",-BZ1301,BZ1301)*IF($BR1301="Emissions positive",-1,1)</f>
        <v>-7.3858333333333012E-2</v>
      </c>
      <c r="CX1301">
        <f>IFERROR($CW1301/$CS1301,"")</f>
        <v>-1.1258892276422716E-4</v>
      </c>
      <c r="CY1301">
        <f>IFERROR($CW1301/$CS1301,"")</f>
        <v>-1.1258892276422716E-4</v>
      </c>
      <c r="CZ1301">
        <f>IFERROR($CW1301/$CT1301,"")</f>
        <v>-2.2517784552845432E-4</v>
      </c>
      <c r="DA1301" s="2">
        <f>IFERROR((CV1301-CU1301)/ABS(CU1301),"")</f>
        <v>-0.68721408079398005</v>
      </c>
      <c r="DB1301" s="320" t="s">
        <v>1334</v>
      </c>
      <c r="DC1301" s="317" t="str">
        <f>IF(OR($DB1301="prd",$DB1301="std",$DB1301="cit"),"loc",IF(OR($DB1301="eur",$DB1301="reg",$DB1301="coy"),"reg",$DB1301))</f>
        <v>reg</v>
      </c>
      <c r="DD1301" s="321" t="s">
        <v>729</v>
      </c>
      <c r="DF1301" s="143"/>
      <c r="DG1301" s="143">
        <v>0</v>
      </c>
      <c r="DH1301" t="str">
        <f>IF(DG1301=0,"0",IF(AND(DG1301&gt;=1,DG1301&lt;=30),"1-30",IF(AND(DG1301&gt;30,DG1301&lt;=70),"31-70",IF(AND(DG1301&gt;70,DG1301&lt;=100),"71-100",IF(DG1301&gt;100,"+100")))))</f>
        <v>0</v>
      </c>
      <c r="DI1301">
        <v>0</v>
      </c>
      <c r="DJ1301">
        <v>1</v>
      </c>
      <c r="DK1301">
        <v>0</v>
      </c>
      <c r="DL1301">
        <v>0</v>
      </c>
      <c r="DM1301">
        <v>0</v>
      </c>
      <c r="DN1301">
        <f>SUM(DI1301:DM1301)</f>
        <v>1</v>
      </c>
      <c r="DO1301" t="str">
        <f>IF(DN1301=1,INDEX($DI$7:$DL$7,MATCH(1,$DI1301:$DL1301,0)),"mixedProduct")</f>
        <v>EnergyInput</v>
      </c>
      <c r="DP1301">
        <f>IF(DI1301=1,DP$7,0)</f>
        <v>0</v>
      </c>
      <c r="DQ1301" t="str">
        <f>IF(DJ1301=1,DQ$7,0)</f>
        <v>Energy</v>
      </c>
      <c r="DR1301">
        <f>IF(DK1301=1,DR$7,0)</f>
        <v>0</v>
      </c>
      <c r="DS1301">
        <f>IF(DL1301=1,DS$7,0)</f>
        <v>0</v>
      </c>
      <c r="DT1301">
        <v>0</v>
      </c>
      <c r="DU1301" s="143">
        <v>0</v>
      </c>
      <c r="DV1301" s="143">
        <v>0</v>
      </c>
      <c r="DW1301">
        <v>0</v>
      </c>
      <c r="DX1301" s="143">
        <v>0</v>
      </c>
      <c r="DY1301">
        <f>SUM(DT1301:DU1301)</f>
        <v>0</v>
      </c>
      <c r="DZ1301" s="143" t="str">
        <f>IF(DT1301=1,"self-calculated DF",IF(DU1301=1,"external DF used","explicit C balance"))</f>
        <v>explicit C balance</v>
      </c>
      <c r="EA1301" s="143">
        <v>0</v>
      </c>
      <c r="EB1301" s="143">
        <v>0</v>
      </c>
      <c r="EC1301" s="143">
        <v>0</v>
      </c>
      <c r="ED1301" s="143">
        <v>0</v>
      </c>
      <c r="EE1301">
        <v>0</v>
      </c>
      <c r="EF1301" s="143">
        <v>0</v>
      </c>
      <c r="EG1301" s="143">
        <v>1</v>
      </c>
      <c r="EH1301" s="143">
        <v>0</v>
      </c>
      <c r="EI1301" s="143">
        <v>0</v>
      </c>
      <c r="EJ1301">
        <v>0</v>
      </c>
      <c r="EK1301">
        <v>0</v>
      </c>
      <c r="EL1301" s="143">
        <v>0</v>
      </c>
      <c r="EM1301" s="143">
        <v>0</v>
      </c>
      <c r="EN1301" s="2">
        <v>0</v>
      </c>
      <c r="EP1301" t="str">
        <f>IF(AND(AND(AND(OR($EC1301=1,$EB1301=1),OR($EH1301=1,$EF1301=1)),SUM($EA1301:$EE1301,$EK1301)&gt;=3),SUM($EF1301:$EJ1301)&gt;=2),"Whole sector approach","")</f>
        <v/>
      </c>
      <c r="EQ1301" t="str">
        <f>IF(AND(AND(OR($EC1301=1,$EB1301=1),AND($EH1301=0,$EF1301=0)),SUM($EA1301:$EE1301,$EK1301)&gt;=3),"Ecosystem approach","")</f>
        <v/>
      </c>
      <c r="ER1301" s="2" t="str">
        <f>IF(AND(AND(AND($EC1301=0,$EB1301=0),OR($EH1301=1,$EF1301=1)),SUM($EG1301:$EJ1301)&gt;=2),"Technology approach","")</f>
        <v/>
      </c>
      <c r="ES1301" t="str">
        <f>IF(AND($EC1301+$EB1301+$EE1301+$EA1301+$ED1301+$EG1301=0,$N1301="included"),"C neutral forest and HWP assumption","")</f>
        <v/>
      </c>
      <c r="ET1301" t="str">
        <f>IF(AND(AND(AND(AND($EC1301=1,$EB1301+$EA1301+$EG1301&gt;=1),$EF1301=1),$EH1301+$EI1301+$ED1301+$EE1301&gt;=2),$N1301="included"),"All C pools assumption","")</f>
        <v/>
      </c>
      <c r="EU1301" t="str">
        <f>IF(AND($ED1301+$EE1301+$EI1301+$EH1301+$EF1301=0,$N1301="included"),"In-situ only assumption","")</f>
        <v>In-situ only assumption</v>
      </c>
      <c r="EY1301" t="str">
        <f>IF(ISNUMBER(BW1301),IF(ABS(BW1301-[4]QC_indicators!$B$2)&gt;3*[4]QC_indicators!$C$2,"C ratio",IF(ISNUMBER(CA1301),IF(ABS(CA1301-[4]QC_indicators!$B$1)&gt;3*[4]QC_indicators!$C$1,"DF","no"))),IF(ISNUMBER(CA1301),IF(ABS(CA1301-[4]QC_indicators!$B$1)&gt;3*[4]QC_indicators!$C$1,"DF","no")))</f>
        <v>no</v>
      </c>
      <c r="FA1301" t="str">
        <f>IF(LEN($CY1301)=0,"",IF(AND($CY1301&lt;(-0.05),$ES1301="C neutral forest and HWP assumption"),"Cneutral paradox",IF(AND($CY1301&gt;0.05,$EU1301="In-situ only assumption"),"In-situ only paradox","")))</f>
        <v/>
      </c>
      <c r="FB1301" s="149"/>
    </row>
    <row r="1302" spans="1:158" ht="15" customHeight="1">
      <c r="A1302" s="1" t="s">
        <v>574</v>
      </c>
      <c r="B1302" t="s">
        <v>1320</v>
      </c>
      <c r="C1302" t="s">
        <v>1321</v>
      </c>
      <c r="D1302" t="s">
        <v>1322</v>
      </c>
      <c r="E1302" t="s">
        <v>1323</v>
      </c>
      <c r="F1302" t="s">
        <v>1324</v>
      </c>
      <c r="G1302" t="s">
        <v>580</v>
      </c>
      <c r="H1302" t="s">
        <v>254</v>
      </c>
      <c r="I1302">
        <v>2020</v>
      </c>
      <c r="J1302">
        <v>12</v>
      </c>
      <c r="K1302" t="s">
        <v>1325</v>
      </c>
      <c r="M1302" t="str">
        <f>LEFT($D1302,FIND(",",$D1302)-1)&amp;"_"&amp;I1302&amp;L1302</f>
        <v>Elisa_2020</v>
      </c>
      <c r="N1302" s="317" t="s">
        <v>222</v>
      </c>
      <c r="O1302" s="171" t="s">
        <v>274</v>
      </c>
      <c r="P1302" t="s">
        <v>223</v>
      </c>
      <c r="Q1302" s="317" t="s">
        <v>389</v>
      </c>
      <c r="R1302" s="318" t="s">
        <v>1029</v>
      </c>
      <c r="S1302" s="154" t="s">
        <v>1326</v>
      </c>
      <c r="T1302" s="319" t="s">
        <v>1327</v>
      </c>
      <c r="U1302" s="143" t="s">
        <v>1337</v>
      </c>
      <c r="V1302" s="253">
        <v>0</v>
      </c>
      <c r="W1302" s="253">
        <v>0</v>
      </c>
      <c r="X1302">
        <v>0</v>
      </c>
      <c r="Y1302">
        <v>0</v>
      </c>
      <c r="Z1302">
        <v>0</v>
      </c>
      <c r="AA1302">
        <v>0</v>
      </c>
      <c r="AB1302">
        <v>0</v>
      </c>
      <c r="AC1302">
        <v>0</v>
      </c>
      <c r="AD1302">
        <v>0</v>
      </c>
      <c r="AE1302">
        <v>0</v>
      </c>
      <c r="AF1302">
        <v>0</v>
      </c>
      <c r="AG1302">
        <v>1</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s="141">
        <f>COUNTIF(X1302:AY1302,"&lt;&gt;0")</f>
        <v>1</v>
      </c>
      <c r="BA1302" s="141">
        <f>COUNTIF(X1302:AN1302,"&lt;&gt;0")</f>
        <v>1</v>
      </c>
      <c r="BB1302">
        <f>COUNTIF(X1302:AE1302,"&lt;&gt;0")</f>
        <v>0</v>
      </c>
      <c r="BC1302">
        <f>COUNTIF(AF1302:AK1302,"&lt;&gt;0")</f>
        <v>1</v>
      </c>
      <c r="BD1302">
        <f>COUNTIF(AL1302:AN1302,"&lt;&gt;0")</f>
        <v>0</v>
      </c>
      <c r="BE1302">
        <f>COUNTIF(AU1302:AY1302,"&lt;&gt;0")</f>
        <v>0</v>
      </c>
      <c r="BF1302">
        <f>COUNTIF(AO1302:AT1302,"&lt;&gt;0")</f>
        <v>0</v>
      </c>
      <c r="BG1302" t="str" cm="1">
        <f t="array" ref="BG1302">IF(BA1302=1,INDEX($X$7:$AN$7,MATCH(TRUE,INDEX($X1302:$AY1302&lt;&gt;0,),0)),IF(BA1302=0,INDEX($AO$7:$AY$7,MATCH(1,$AO1302:$AY1302,0)),IF(BH1302="Multiple strategies","mixed drivers",IF(BH1302="Supply chain","multiple supply","multiple silviculture"))))</f>
        <v>location of industry</v>
      </c>
      <c r="BH1302" s="2" t="str" cm="1">
        <f t="array" ref="BH1302">IF(COUNTIF(BB1302:BD1302,"&lt;&gt;0")=1,INDEX($X$4:$AY$4,MATCH(TRUE,INDEX($X1302:$AY1302&lt;&gt;0,),0)),IF(COUNTIF(BB1302:BD1302,"&lt;&gt;0")=0,INDEX($AO$4:$AY$4,MATCH(1,$AO1302:$AY1302,0)),"Multiple strategies"))</f>
        <v>Supply chain</v>
      </c>
      <c r="BI1302" s="142" t="s">
        <v>321</v>
      </c>
      <c r="BJ1302" s="160" t="s">
        <v>1329</v>
      </c>
      <c r="BK1302" s="160" t="s">
        <v>1330</v>
      </c>
      <c r="BL1302" s="143" t="s">
        <v>498</v>
      </c>
      <c r="BM1302" s="143">
        <v>944</v>
      </c>
      <c r="BN1302" s="143">
        <v>1525</v>
      </c>
      <c r="BO1302">
        <f>IFERROR(BN1303/BM1302,"")</f>
        <v>1.6949152542372881</v>
      </c>
      <c r="BP1302">
        <f>BN1302-BM1302</f>
        <v>581</v>
      </c>
      <c r="BQ1302" s="159">
        <f>BP1302</f>
        <v>581</v>
      </c>
      <c r="BR1302" s="155" t="s">
        <v>232</v>
      </c>
      <c r="BS1302" s="155" t="s">
        <v>1331</v>
      </c>
      <c r="BT1302" s="155" t="s">
        <v>805</v>
      </c>
      <c r="BU1302" s="143" t="s">
        <v>1349</v>
      </c>
      <c r="BV1302" t="s">
        <v>1351</v>
      </c>
      <c r="BW1302" s="144">
        <f>BV1302/BU1302</f>
        <v>1.6182450699129007</v>
      </c>
      <c r="BX1302">
        <f>BV1302-BU1302</f>
        <v>-6.6445888888889013E-2</v>
      </c>
      <c r="BZ1302">
        <f>BX1302</f>
        <v>-6.6445888888889013E-2</v>
      </c>
      <c r="CA1302">
        <f>IFERROR(BZ1302/BQ1302,"")</f>
        <v>-1.1436469688276939E-4</v>
      </c>
      <c r="CB1302">
        <v>0</v>
      </c>
      <c r="CC1302">
        <v>0</v>
      </c>
      <c r="CD1302">
        <v>0</v>
      </c>
      <c r="CE1302">
        <v>0</v>
      </c>
      <c r="CF1302">
        <v>0</v>
      </c>
      <c r="CG1302">
        <v>0</v>
      </c>
      <c r="CH1302">
        <v>0</v>
      </c>
      <c r="CI1302">
        <v>0</v>
      </c>
      <c r="CJ1302">
        <v>0</v>
      </c>
      <c r="CK1302">
        <v>0</v>
      </c>
      <c r="CL1302">
        <v>0</v>
      </c>
      <c r="CM1302">
        <v>0</v>
      </c>
      <c r="CN1302">
        <v>0</v>
      </c>
      <c r="CO1302">
        <v>0</v>
      </c>
      <c r="CP1302" t="str">
        <f>IF($BN1302&lt;$BM1302,"refNeedCorrection","refOK")</f>
        <v>refOK</v>
      </c>
      <c r="CQ1302">
        <f>IF($CP1302="refOK",$BM1302,$BN1302)</f>
        <v>944</v>
      </c>
      <c r="CR1302">
        <f>IF($CP1302="refOK",$BN1302,$BM1302)</f>
        <v>1525</v>
      </c>
      <c r="CS1302">
        <f>IF($CP1302="refOK",$BQ1302,-$BQ1302)</f>
        <v>581</v>
      </c>
      <c r="CT1302">
        <f>IF(BI1302="Roundwood",$CS1302/2,$CS1302)</f>
        <v>290.5</v>
      </c>
      <c r="CU1302">
        <f>IF($CP1302="refOK",$BU1302,$BV1302)*IF($BR1302="Emissions positive",-1,1)</f>
        <v>-0.107475</v>
      </c>
      <c r="CV1302">
        <f>IF($CP1302="refOK",$BV1302,$BU1302)*IF($BR1302="Emissions positive",-1,1)</f>
        <v>-0.17392088888888901</v>
      </c>
      <c r="CW1302">
        <f>IF($CP1302="refNeedCorrection",-BZ1302,BZ1302)*IF($BR1302="Emissions positive",-1,1)</f>
        <v>-6.6445888888889013E-2</v>
      </c>
      <c r="CX1302">
        <f>IFERROR($CW1302/$CS1302,"")</f>
        <v>-1.1436469688276939E-4</v>
      </c>
      <c r="CY1302">
        <f>IFERROR($CW1302/$CS1302,"")</f>
        <v>-1.1436469688276939E-4</v>
      </c>
      <c r="CZ1302">
        <f>IFERROR($CW1302/$CT1302,"")</f>
        <v>-2.2872939376553878E-4</v>
      </c>
      <c r="DA1302" s="2">
        <f>IFERROR((CV1302-CU1302)/ABS(CU1302),"")</f>
        <v>-0.61824506991290074</v>
      </c>
      <c r="DB1302" s="320" t="s">
        <v>1334</v>
      </c>
      <c r="DC1302" s="317" t="str">
        <f>IF(OR($DB1302="prd",$DB1302="std",$DB1302="cit"),"loc",IF(OR($DB1302="eur",$DB1302="reg",$DB1302="coy"),"reg",$DB1302))</f>
        <v>reg</v>
      </c>
      <c r="DD1302" s="321" t="s">
        <v>729</v>
      </c>
      <c r="DF1302" s="143"/>
      <c r="DG1302" s="143">
        <v>0</v>
      </c>
      <c r="DH1302" t="str">
        <f>IF(DG1302=0,"0",IF(AND(DG1302&gt;=1,DG1302&lt;=30),"1-30",IF(AND(DG1302&gt;30,DG1302&lt;=70),"31-70",IF(AND(DG1302&gt;70,DG1302&lt;=100),"71-100",IF(DG1302&gt;100,"+100")))))</f>
        <v>0</v>
      </c>
      <c r="DI1302">
        <v>0</v>
      </c>
      <c r="DJ1302">
        <v>1</v>
      </c>
      <c r="DK1302">
        <v>0</v>
      </c>
      <c r="DL1302">
        <v>0</v>
      </c>
      <c r="DM1302">
        <v>0</v>
      </c>
      <c r="DN1302">
        <f>SUM(DI1302:DM1302)</f>
        <v>1</v>
      </c>
      <c r="DO1302" t="str">
        <f>IF(DN1302=1,INDEX($DI$7:$DL$7,MATCH(1,$DI1302:$DL1302,0)),"mixedProduct")</f>
        <v>EnergyInput</v>
      </c>
      <c r="DP1302">
        <f>IF(DI1302=1,DP$7,0)</f>
        <v>0</v>
      </c>
      <c r="DQ1302" t="str">
        <f>IF(DJ1302=1,DQ$7,0)</f>
        <v>Energy</v>
      </c>
      <c r="DR1302">
        <f>IF(DK1302=1,DR$7,0)</f>
        <v>0</v>
      </c>
      <c r="DS1302">
        <f>IF(DL1302=1,DS$7,0)</f>
        <v>0</v>
      </c>
      <c r="DT1302">
        <v>0</v>
      </c>
      <c r="DU1302" s="143">
        <v>0</v>
      </c>
      <c r="DV1302" s="143">
        <v>0</v>
      </c>
      <c r="DW1302">
        <v>0</v>
      </c>
      <c r="DX1302" s="143">
        <v>0</v>
      </c>
      <c r="DY1302">
        <f>SUM(DT1302:DU1302)</f>
        <v>0</v>
      </c>
      <c r="DZ1302" s="143" t="str">
        <f>IF(DT1302=1,"self-calculated DF",IF(DU1302=1,"external DF used","explicit C balance"))</f>
        <v>explicit C balance</v>
      </c>
      <c r="EA1302" s="143">
        <v>0</v>
      </c>
      <c r="EB1302" s="143">
        <v>0</v>
      </c>
      <c r="EC1302" s="143">
        <v>0</v>
      </c>
      <c r="ED1302" s="143">
        <v>0</v>
      </c>
      <c r="EE1302">
        <v>0</v>
      </c>
      <c r="EF1302" s="143">
        <v>0</v>
      </c>
      <c r="EG1302" s="143">
        <v>1</v>
      </c>
      <c r="EH1302" s="143">
        <v>0</v>
      </c>
      <c r="EI1302" s="143">
        <v>0</v>
      </c>
      <c r="EJ1302">
        <v>0</v>
      </c>
      <c r="EK1302">
        <v>0</v>
      </c>
      <c r="EL1302" s="143">
        <v>0</v>
      </c>
      <c r="EM1302" s="143">
        <v>0</v>
      </c>
      <c r="EN1302" s="2">
        <v>0</v>
      </c>
      <c r="EP1302" t="str">
        <f>IF(AND(AND(AND(OR($EC1302=1,$EB1302=1),OR($EH1302=1,$EF1302=1)),SUM($EA1302:$EE1302,$EK1302)&gt;=3),SUM($EF1302:$EJ1302)&gt;=2),"Whole sector approach","")</f>
        <v/>
      </c>
      <c r="EQ1302" t="str">
        <f>IF(AND(AND(OR($EC1302=1,$EB1302=1),AND($EH1302=0,$EF1302=0)),SUM($EA1302:$EE1302,$EK1302)&gt;=3),"Ecosystem approach","")</f>
        <v/>
      </c>
      <c r="ER1302" s="2" t="str">
        <f>IF(AND(AND(AND($EC1302=0,$EB1302=0),OR($EH1302=1,$EF1302=1)),SUM($EG1302:$EJ1302)&gt;=2),"Technology approach","")</f>
        <v/>
      </c>
      <c r="ES1302" t="str">
        <f>IF(AND($EC1302+$EB1302+$EE1302+$EA1302+$ED1302+$EG1302=0,$N1302="included"),"C neutral forest and HWP assumption","")</f>
        <v/>
      </c>
      <c r="ET1302" t="str">
        <f>IF(AND(AND(AND(AND($EC1302=1,$EB1302+$EA1302+$EG1302&gt;=1),$EF1302=1),$EH1302+$EI1302+$ED1302+$EE1302&gt;=2),$N1302="included"),"All C pools assumption","")</f>
        <v/>
      </c>
      <c r="EU1302" t="str">
        <f>IF(AND($ED1302+$EE1302+$EI1302+$EH1302+$EF1302=0,$N1302="included"),"In-situ only assumption","")</f>
        <v>In-situ only assumption</v>
      </c>
      <c r="EY1302" t="str">
        <f>IF(ISNUMBER(BW1302),IF(ABS(BW1302-[4]QC_indicators!$B$2)&gt;3*[4]QC_indicators!$C$2,"C ratio",IF(ISNUMBER(CA1302),IF(ABS(CA1302-[4]QC_indicators!$B$1)&gt;3*[4]QC_indicators!$C$1,"DF","no"))),IF(ISNUMBER(CA1302),IF(ABS(CA1302-[4]QC_indicators!$B$1)&gt;3*[4]QC_indicators!$C$1,"DF","no")))</f>
        <v>no</v>
      </c>
      <c r="FA1302" t="str">
        <f>IF(LEN($CY1302)=0,"",IF(AND($CY1302&lt;(-0.05),$ES1302="C neutral forest and HWP assumption"),"Cneutral paradox",IF(AND($CY1302&gt;0.05,$EU1302="In-situ only assumption"),"In-situ only paradox","")))</f>
        <v/>
      </c>
      <c r="FB1302" s="149"/>
    </row>
    <row r="1303" spans="1:158" ht="15" customHeight="1">
      <c r="A1303" s="1" t="s">
        <v>574</v>
      </c>
      <c r="B1303" t="s">
        <v>1320</v>
      </c>
      <c r="C1303" t="s">
        <v>1321</v>
      </c>
      <c r="D1303" t="s">
        <v>1322</v>
      </c>
      <c r="E1303" t="s">
        <v>1323</v>
      </c>
      <c r="F1303" t="s">
        <v>1324</v>
      </c>
      <c r="G1303" t="s">
        <v>580</v>
      </c>
      <c r="H1303" t="s">
        <v>254</v>
      </c>
      <c r="I1303">
        <v>2020</v>
      </c>
      <c r="J1303">
        <v>12</v>
      </c>
      <c r="K1303" t="s">
        <v>1325</v>
      </c>
      <c r="M1303" t="str">
        <f>LEFT($D1303,FIND(",",$D1303)-1)&amp;"_"&amp;I1303&amp;L1303</f>
        <v>Elisa_2020</v>
      </c>
      <c r="N1303" s="317" t="s">
        <v>222</v>
      </c>
      <c r="O1303" s="171" t="s">
        <v>274</v>
      </c>
      <c r="P1303" t="s">
        <v>223</v>
      </c>
      <c r="Q1303" s="317" t="s">
        <v>389</v>
      </c>
      <c r="R1303" s="318" t="s">
        <v>1029</v>
      </c>
      <c r="S1303" s="154" t="s">
        <v>1326</v>
      </c>
      <c r="T1303" s="319" t="s">
        <v>1327</v>
      </c>
      <c r="U1303" s="143" t="s">
        <v>1346</v>
      </c>
      <c r="V1303" s="253">
        <v>0</v>
      </c>
      <c r="W1303" s="253">
        <v>0</v>
      </c>
      <c r="X1303">
        <v>0</v>
      </c>
      <c r="Y1303">
        <v>0</v>
      </c>
      <c r="Z1303">
        <v>0</v>
      </c>
      <c r="AA1303">
        <v>0</v>
      </c>
      <c r="AB1303">
        <v>0</v>
      </c>
      <c r="AC1303">
        <v>0</v>
      </c>
      <c r="AD1303">
        <v>0</v>
      </c>
      <c r="AE1303">
        <v>0</v>
      </c>
      <c r="AF1303">
        <v>0</v>
      </c>
      <c r="AG1303">
        <v>1</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s="141">
        <f>COUNTIF(X1303:AY1303,"&lt;&gt;0")</f>
        <v>1</v>
      </c>
      <c r="BA1303" s="141">
        <f>COUNTIF(X1303:AN1303,"&lt;&gt;0")</f>
        <v>1</v>
      </c>
      <c r="BB1303">
        <f>COUNTIF(X1303:AE1303,"&lt;&gt;0")</f>
        <v>0</v>
      </c>
      <c r="BC1303">
        <f>COUNTIF(AF1303:AK1303,"&lt;&gt;0")</f>
        <v>1</v>
      </c>
      <c r="BD1303">
        <f>COUNTIF(AL1303:AN1303,"&lt;&gt;0")</f>
        <v>0</v>
      </c>
      <c r="BE1303">
        <f>COUNTIF(AU1303:AY1303,"&lt;&gt;0")</f>
        <v>0</v>
      </c>
      <c r="BF1303">
        <f>COUNTIF(AO1303:AT1303,"&lt;&gt;0")</f>
        <v>0</v>
      </c>
      <c r="BG1303" t="str" cm="1">
        <f t="array" ref="BG1303">IF(BA1303=1,INDEX($X$7:$AN$7,MATCH(TRUE,INDEX($X1303:$AY1303&lt;&gt;0,),0)),IF(BA1303=0,INDEX($AO$7:$AY$7,MATCH(1,$AO1303:$AY1303,0)),IF(BH1303="Multiple strategies","mixed drivers",IF(BH1303="Supply chain","multiple supply","multiple silviculture"))))</f>
        <v>location of industry</v>
      </c>
      <c r="BH1303" s="2" t="str" cm="1">
        <f t="array" ref="BH1303">IF(COUNTIF(BB1303:BD1303,"&lt;&gt;0")=1,INDEX($X$4:$AY$4,MATCH(TRUE,INDEX($X1303:$AY1303&lt;&gt;0,),0)),IF(COUNTIF(BB1303:BD1303,"&lt;&gt;0")=0,INDEX($AO$4:$AY$4,MATCH(1,$AO1303:$AY1303,0)),"Multiple strategies"))</f>
        <v>Supply chain</v>
      </c>
      <c r="BI1303" s="142" t="s">
        <v>321</v>
      </c>
      <c r="BJ1303" s="160" t="s">
        <v>1329</v>
      </c>
      <c r="BK1303" s="160" t="s">
        <v>1330</v>
      </c>
      <c r="BL1303" s="143" t="s">
        <v>498</v>
      </c>
      <c r="BM1303" s="143">
        <v>944</v>
      </c>
      <c r="BN1303" s="143">
        <v>1600</v>
      </c>
      <c r="BO1303">
        <f>IFERROR(BN1304/BM1303,"")</f>
        <v>1.6949152542372881</v>
      </c>
      <c r="BP1303">
        <f>BN1303-BM1303</f>
        <v>656</v>
      </c>
      <c r="BQ1303" s="159">
        <f>BP1303</f>
        <v>656</v>
      </c>
      <c r="BR1303" s="155" t="s">
        <v>232</v>
      </c>
      <c r="BS1303" s="155" t="s">
        <v>1331</v>
      </c>
      <c r="BT1303" s="155" t="s">
        <v>805</v>
      </c>
      <c r="BU1303" s="143" t="s">
        <v>1349</v>
      </c>
      <c r="BV1303" t="s">
        <v>1350</v>
      </c>
      <c r="BW1303" s="144">
        <f>BV1303/BU1303</f>
        <v>2.209816236334031</v>
      </c>
      <c r="BX1303">
        <f>BV1303-BU1303</f>
        <v>-0.130025</v>
      </c>
      <c r="BZ1303">
        <f>BX1303</f>
        <v>-0.130025</v>
      </c>
      <c r="CA1303">
        <f>IFERROR(BZ1303/BQ1303,"")</f>
        <v>-1.9820884146341464E-4</v>
      </c>
      <c r="CB1303">
        <v>0</v>
      </c>
      <c r="CC1303">
        <v>0</v>
      </c>
      <c r="CD1303">
        <v>0</v>
      </c>
      <c r="CE1303">
        <v>0</v>
      </c>
      <c r="CF1303">
        <v>0</v>
      </c>
      <c r="CG1303">
        <v>0</v>
      </c>
      <c r="CH1303">
        <v>0</v>
      </c>
      <c r="CI1303">
        <v>0</v>
      </c>
      <c r="CJ1303">
        <v>0</v>
      </c>
      <c r="CK1303">
        <v>0</v>
      </c>
      <c r="CL1303">
        <v>0</v>
      </c>
      <c r="CM1303">
        <v>0</v>
      </c>
      <c r="CN1303">
        <v>0</v>
      </c>
      <c r="CO1303">
        <v>0</v>
      </c>
      <c r="CP1303" t="str">
        <f>IF($BN1303&lt;$BM1303,"refNeedCorrection","refOK")</f>
        <v>refOK</v>
      </c>
      <c r="CQ1303">
        <f>IF($CP1303="refOK",$BM1303,$BN1303)</f>
        <v>944</v>
      </c>
      <c r="CR1303">
        <f>IF($CP1303="refOK",$BN1303,$BM1303)</f>
        <v>1600</v>
      </c>
      <c r="CS1303">
        <f>IF($CP1303="refOK",$BQ1303,-$BQ1303)</f>
        <v>656</v>
      </c>
      <c r="CT1303">
        <f>IF(BI1303="Roundwood",$CS1303/2,$CS1303)</f>
        <v>328</v>
      </c>
      <c r="CU1303">
        <f>IF($CP1303="refOK",$BU1303,$BV1303)*IF($BR1303="Emissions positive",-1,1)</f>
        <v>-0.107475</v>
      </c>
      <c r="CV1303">
        <f>IF($CP1303="refOK",$BV1303,$BU1303)*IF($BR1303="Emissions positive",-1,1)</f>
        <v>-0.23749999999999999</v>
      </c>
      <c r="CW1303">
        <f>IF($CP1303="refNeedCorrection",-BZ1303,BZ1303)*IF($BR1303="Emissions positive",-1,1)</f>
        <v>-0.130025</v>
      </c>
      <c r="CX1303">
        <f>IFERROR($CW1303/$CS1303,"")</f>
        <v>-1.9820884146341464E-4</v>
      </c>
      <c r="CY1303">
        <f>IFERROR($CW1303/$CS1303,"")</f>
        <v>-1.9820884146341464E-4</v>
      </c>
      <c r="CZ1303">
        <f>IFERROR($CW1303/$CT1303,"")</f>
        <v>-3.9641768292682927E-4</v>
      </c>
      <c r="DA1303" s="2">
        <f>IFERROR((CV1303-CU1303)/ABS(CU1303),"")</f>
        <v>-1.2098162363340312</v>
      </c>
      <c r="DB1303" s="320" t="s">
        <v>1334</v>
      </c>
      <c r="DC1303" s="317" t="str">
        <f>IF(OR($DB1303="prd",$DB1303="std",$DB1303="cit"),"loc",IF(OR($DB1303="eur",$DB1303="reg",$DB1303="coy"),"reg",$DB1303))</f>
        <v>reg</v>
      </c>
      <c r="DD1303" s="321" t="s">
        <v>729</v>
      </c>
      <c r="DF1303" s="143"/>
      <c r="DG1303" s="143">
        <v>0</v>
      </c>
      <c r="DH1303" t="str">
        <f>IF(DG1303=0,"0",IF(AND(DG1303&gt;=1,DG1303&lt;=30),"1-30",IF(AND(DG1303&gt;30,DG1303&lt;=70),"31-70",IF(AND(DG1303&gt;70,DG1303&lt;=100),"71-100",IF(DG1303&gt;100,"+100")))))</f>
        <v>0</v>
      </c>
      <c r="DI1303">
        <v>0</v>
      </c>
      <c r="DJ1303">
        <v>1</v>
      </c>
      <c r="DK1303">
        <v>0</v>
      </c>
      <c r="DL1303">
        <v>0</v>
      </c>
      <c r="DM1303">
        <v>0</v>
      </c>
      <c r="DN1303">
        <f>SUM(DI1303:DM1303)</f>
        <v>1</v>
      </c>
      <c r="DO1303" t="str">
        <f>IF(DN1303=1,INDEX($DI$7:$DL$7,MATCH(1,$DI1303:$DL1303,0)),"mixedProduct")</f>
        <v>EnergyInput</v>
      </c>
      <c r="DP1303">
        <f>IF(DI1303=1,DP$7,0)</f>
        <v>0</v>
      </c>
      <c r="DQ1303" t="str">
        <f>IF(DJ1303=1,DQ$7,0)</f>
        <v>Energy</v>
      </c>
      <c r="DR1303">
        <f>IF(DK1303=1,DR$7,0)</f>
        <v>0</v>
      </c>
      <c r="DS1303">
        <f>IF(DL1303=1,DS$7,0)</f>
        <v>0</v>
      </c>
      <c r="DT1303">
        <v>0</v>
      </c>
      <c r="DU1303" s="143">
        <v>0</v>
      </c>
      <c r="DV1303" s="143">
        <v>0</v>
      </c>
      <c r="DW1303">
        <v>0</v>
      </c>
      <c r="DX1303" s="143">
        <v>0</v>
      </c>
      <c r="DY1303">
        <f>SUM(DT1303:DU1303)</f>
        <v>0</v>
      </c>
      <c r="DZ1303" s="143" t="str">
        <f>IF(DT1303=1,"self-calculated DF",IF(DU1303=1,"external DF used","explicit C balance"))</f>
        <v>explicit C balance</v>
      </c>
      <c r="EA1303" s="143">
        <v>0</v>
      </c>
      <c r="EB1303" s="143">
        <v>0</v>
      </c>
      <c r="EC1303" s="143">
        <v>0</v>
      </c>
      <c r="ED1303" s="143">
        <v>0</v>
      </c>
      <c r="EE1303">
        <v>0</v>
      </c>
      <c r="EF1303" s="143">
        <v>0</v>
      </c>
      <c r="EG1303" s="143">
        <v>1</v>
      </c>
      <c r="EH1303" s="143">
        <v>0</v>
      </c>
      <c r="EI1303" s="143">
        <v>0</v>
      </c>
      <c r="EJ1303">
        <v>0</v>
      </c>
      <c r="EK1303">
        <v>0</v>
      </c>
      <c r="EL1303" s="143">
        <v>0</v>
      </c>
      <c r="EM1303" s="143">
        <v>0</v>
      </c>
      <c r="EN1303" s="2">
        <v>0</v>
      </c>
      <c r="EP1303" t="str">
        <f>IF(AND(AND(AND(OR($EC1303=1,$EB1303=1),OR($EH1303=1,$EF1303=1)),SUM($EA1303:$EE1303,$EK1303)&gt;=3),SUM($EF1303:$EJ1303)&gt;=2),"Whole sector approach","")</f>
        <v/>
      </c>
      <c r="EQ1303" t="str">
        <f>IF(AND(AND(OR($EC1303=1,$EB1303=1),AND($EH1303=0,$EF1303=0)),SUM($EA1303:$EE1303,$EK1303)&gt;=3),"Ecosystem approach","")</f>
        <v/>
      </c>
      <c r="ER1303" s="2" t="str">
        <f>IF(AND(AND(AND($EC1303=0,$EB1303=0),OR($EH1303=1,$EF1303=1)),SUM($EG1303:$EJ1303)&gt;=2),"Technology approach","")</f>
        <v/>
      </c>
      <c r="ES1303" t="str">
        <f>IF(AND($EC1303+$EB1303+$EE1303+$EA1303+$ED1303+$EG1303=0,$N1303="included"),"C neutral forest and HWP assumption","")</f>
        <v/>
      </c>
      <c r="ET1303" t="str">
        <f>IF(AND(AND(AND(AND($EC1303=1,$EB1303+$EA1303+$EG1303&gt;=1),$EF1303=1),$EH1303+$EI1303+$ED1303+$EE1303&gt;=2),$N1303="included"),"All C pools assumption","")</f>
        <v/>
      </c>
      <c r="EU1303" t="str">
        <f>IF(AND($ED1303+$EE1303+$EI1303+$EH1303+$EF1303=0,$N1303="included"),"In-situ only assumption","")</f>
        <v>In-situ only assumption</v>
      </c>
      <c r="EY1303" t="str">
        <f>IF(ISNUMBER(BW1303),IF(ABS(BW1303-[4]QC_indicators!$B$2)&gt;3*[4]QC_indicators!$C$2,"C ratio",IF(ISNUMBER(CA1303),IF(ABS(CA1303-[4]QC_indicators!$B$1)&gt;3*[4]QC_indicators!$C$1,"DF","no"))),IF(ISNUMBER(CA1303),IF(ABS(CA1303-[4]QC_indicators!$B$1)&gt;3*[4]QC_indicators!$C$1,"DF","no")))</f>
        <v>no</v>
      </c>
      <c r="FA1303" t="str">
        <f>IF(LEN($CY1303)=0,"",IF(AND($CY1303&lt;(-0.05),$ES1303="C neutral forest and HWP assumption"),"Cneutral paradox",IF(AND($CY1303&gt;0.05,$EU1303="In-situ only assumption"),"In-situ only paradox","")))</f>
        <v/>
      </c>
      <c r="FB1303" s="149"/>
    </row>
    <row r="1304" spans="1:158" ht="15" hidden="1" customHeight="1">
      <c r="A1304" s="1" t="s">
        <v>574</v>
      </c>
      <c r="B1304" t="s">
        <v>1320</v>
      </c>
      <c r="C1304" t="s">
        <v>1321</v>
      </c>
      <c r="D1304" t="s">
        <v>1322</v>
      </c>
      <c r="E1304" t="s">
        <v>1323</v>
      </c>
      <c r="F1304" t="s">
        <v>1324</v>
      </c>
      <c r="G1304" t="s">
        <v>580</v>
      </c>
      <c r="H1304" t="s">
        <v>254</v>
      </c>
      <c r="I1304">
        <v>2020</v>
      </c>
      <c r="J1304">
        <v>12</v>
      </c>
      <c r="K1304" t="s">
        <v>1325</v>
      </c>
      <c r="M1304" t="str">
        <f>LEFT($D1304,FIND(",",$D1304)-1)&amp;"_"&amp;I1304&amp;L1304</f>
        <v>Elisa_2020</v>
      </c>
      <c r="N1304" s="317" t="s">
        <v>222</v>
      </c>
      <c r="O1304" s="171" t="s">
        <v>274</v>
      </c>
      <c r="P1304" t="s">
        <v>223</v>
      </c>
      <c r="Q1304" s="317" t="s">
        <v>389</v>
      </c>
      <c r="R1304" s="318" t="s">
        <v>1029</v>
      </c>
      <c r="S1304" s="154" t="s">
        <v>1326</v>
      </c>
      <c r="T1304" s="319" t="s">
        <v>1327</v>
      </c>
      <c r="U1304" s="143" t="s">
        <v>1346</v>
      </c>
      <c r="V1304" s="253">
        <v>0</v>
      </c>
      <c r="W1304" s="253">
        <v>0</v>
      </c>
      <c r="X1304">
        <v>0</v>
      </c>
      <c r="Y1304">
        <v>0</v>
      </c>
      <c r="Z1304">
        <v>0</v>
      </c>
      <c r="AA1304">
        <v>0</v>
      </c>
      <c r="AB1304">
        <v>0</v>
      </c>
      <c r="AC1304">
        <v>0</v>
      </c>
      <c r="AD1304">
        <v>0</v>
      </c>
      <c r="AE1304">
        <v>0</v>
      </c>
      <c r="AF1304">
        <v>0</v>
      </c>
      <c r="AG1304">
        <v>1</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s="141">
        <f>COUNTIF(X1304:AY1304,"&lt;&gt;0")</f>
        <v>1</v>
      </c>
      <c r="BA1304" s="141">
        <f>COUNTIF(X1304:AN1304,"&lt;&gt;0")</f>
        <v>1</v>
      </c>
      <c r="BB1304">
        <f>COUNTIF(X1304:AE1304,"&lt;&gt;0")</f>
        <v>0</v>
      </c>
      <c r="BC1304">
        <f>COUNTIF(AF1304:AK1304,"&lt;&gt;0")</f>
        <v>1</v>
      </c>
      <c r="BD1304">
        <f>COUNTIF(AL1304:AN1304,"&lt;&gt;0")</f>
        <v>0</v>
      </c>
      <c r="BE1304">
        <f>COUNTIF(AU1304:AY1304,"&lt;&gt;0")</f>
        <v>0</v>
      </c>
      <c r="BF1304">
        <f>COUNTIF(AO1304:AT1304,"&lt;&gt;0")</f>
        <v>0</v>
      </c>
      <c r="BG1304" t="str" cm="1">
        <f t="array" ref="BG1304">IF(BA1304=1,INDEX($X$7:$AN$7,MATCH(TRUE,INDEX($X1304:$AY1304&lt;&gt;0,),0)),IF(BA1304=0,INDEX($AO$7:$AY$7,MATCH(1,$AO1304:$AY1304,0)),IF(BH1304="Multiple strategies","mixed drivers",IF(BH1304="Supply chain","multiple supply","multiple silviculture"))))</f>
        <v>location of industry</v>
      </c>
      <c r="BH1304" s="2" t="str" cm="1">
        <f t="array" ref="BH1304">IF(COUNTIF(BB1304:BD1304,"&lt;&gt;0")=1,INDEX($X$4:$AY$4,MATCH(TRUE,INDEX($X1304:$AY1304&lt;&gt;0,),0)),IF(COUNTIF(BB1304:BD1304,"&lt;&gt;0")=0,INDEX($AO$4:$AY$4,MATCH(1,$AO1304:$AY1304,0)),"Multiple strategies"))</f>
        <v>Supply chain</v>
      </c>
      <c r="BI1304" s="142" t="s">
        <v>321</v>
      </c>
      <c r="BJ1304" s="160" t="s">
        <v>1329</v>
      </c>
      <c r="BK1304" s="160" t="s">
        <v>1330</v>
      </c>
      <c r="BL1304" s="143" t="s">
        <v>498</v>
      </c>
      <c r="BM1304" s="143">
        <v>944</v>
      </c>
      <c r="BN1304" s="143">
        <v>1600</v>
      </c>
      <c r="BO1304">
        <f>IFERROR(BN1304/BM1304,"")</f>
        <v>1.6949152542372881</v>
      </c>
      <c r="BP1304">
        <f>BN1304-BM1304</f>
        <v>656</v>
      </c>
      <c r="BQ1304" s="159">
        <f>BP1304</f>
        <v>656</v>
      </c>
      <c r="BR1304" s="155" t="s">
        <v>232</v>
      </c>
      <c r="BS1304" s="155" t="s">
        <v>1331</v>
      </c>
      <c r="BT1304" s="155" t="s">
        <v>805</v>
      </c>
      <c r="BU1304" s="143" t="s">
        <v>1332</v>
      </c>
      <c r="BV1304" t="s">
        <v>1347</v>
      </c>
      <c r="BW1304" s="144">
        <f>BV1304/BU1304</f>
        <v>1.5980464530235923</v>
      </c>
      <c r="BX1304">
        <f>BV1304-BU1304</f>
        <v>-4.1971602777778001</v>
      </c>
      <c r="BZ1304">
        <f>BX1304</f>
        <v>-4.1971602777778001</v>
      </c>
      <c r="CA1304">
        <f>IFERROR(BZ1304/BQ1304,"")</f>
        <v>-6.3981101795393298E-3</v>
      </c>
      <c r="CB1304">
        <v>0</v>
      </c>
      <c r="CC1304">
        <v>0</v>
      </c>
      <c r="CD1304">
        <v>0</v>
      </c>
      <c r="CE1304">
        <v>0</v>
      </c>
      <c r="CF1304">
        <v>0</v>
      </c>
      <c r="CG1304">
        <v>0</v>
      </c>
      <c r="CH1304">
        <v>0</v>
      </c>
      <c r="CI1304">
        <v>0</v>
      </c>
      <c r="CJ1304">
        <v>0</v>
      </c>
      <c r="CK1304">
        <v>0</v>
      </c>
      <c r="CL1304">
        <v>0</v>
      </c>
      <c r="CM1304">
        <v>0</v>
      </c>
      <c r="CN1304">
        <v>0</v>
      </c>
      <c r="CO1304">
        <v>0</v>
      </c>
      <c r="CP1304" t="str">
        <f>IF($BN1304&lt;$BM1304,"refNeedCorrection","refOK")</f>
        <v>refOK</v>
      </c>
      <c r="CQ1304">
        <f>IF($CP1304="refOK",$BM1304,$BN1304)</f>
        <v>944</v>
      </c>
      <c r="CR1304">
        <f>IF($CP1304="refOK",$BN1304,$BM1304)</f>
        <v>1600</v>
      </c>
      <c r="CS1304">
        <f>IF($CP1304="refOK",$BQ1304,-$BQ1304)</f>
        <v>656</v>
      </c>
      <c r="CT1304">
        <f>IF(BI1304="Roundwood",$CS1304/2,$CS1304)</f>
        <v>328</v>
      </c>
      <c r="CU1304">
        <f>IF($CP1304="refOK",$BU1304,$BV1304)*IF($BR1304="Emissions positive",-1,1)</f>
        <v>-7.0181174999999998</v>
      </c>
      <c r="CV1304">
        <f>IF($CP1304="refOK",$BV1304,$BU1304)*IF($BR1304="Emissions positive",-1,1)</f>
        <v>-11.2152777777778</v>
      </c>
      <c r="CW1304">
        <f>IF($CP1304="refNeedCorrection",-BZ1304,BZ1304)*IF($BR1304="Emissions positive",-1,1)</f>
        <v>-4.1971602777778001</v>
      </c>
      <c r="CX1304">
        <f>IFERROR($CW1304/$CS1304,"")</f>
        <v>-6.3981101795393298E-3</v>
      </c>
      <c r="CY1304">
        <f>IFERROR($CW1304/$CS1304,"")</f>
        <v>-6.3981101795393298E-3</v>
      </c>
      <c r="CZ1304">
        <f>IFERROR($CW1304/$CT1304,"")</f>
        <v>-1.279622035907866E-2</v>
      </c>
      <c r="DA1304" s="2">
        <f>IFERROR((CV1304-CU1304)/ABS(CU1304),"")</f>
        <v>-0.59804645302359216</v>
      </c>
      <c r="DB1304" s="320" t="s">
        <v>1334</v>
      </c>
      <c r="DC1304" s="317" t="str">
        <f>IF(OR($DB1304="prd",$DB1304="std",$DB1304="cit"),"loc",IF(OR($DB1304="eur",$DB1304="reg",$DB1304="coy"),"reg",$DB1304))</f>
        <v>reg</v>
      </c>
      <c r="DD1304" s="321" t="s">
        <v>729</v>
      </c>
      <c r="DF1304" s="143"/>
      <c r="DG1304" s="143">
        <v>0</v>
      </c>
      <c r="DH1304" t="str">
        <f>IF(DG1304=0,"0",IF(AND(DG1304&gt;=1,DG1304&lt;=30),"1-30",IF(AND(DG1304&gt;30,DG1304&lt;=70),"31-70",IF(AND(DG1304&gt;70,DG1304&lt;=100),"71-100",IF(DG1304&gt;100,"+100")))))</f>
        <v>0</v>
      </c>
      <c r="DI1304">
        <v>0</v>
      </c>
      <c r="DJ1304">
        <v>1</v>
      </c>
      <c r="DK1304">
        <v>0</v>
      </c>
      <c r="DL1304">
        <v>0</v>
      </c>
      <c r="DM1304">
        <v>0</v>
      </c>
      <c r="DN1304">
        <f>SUM(DI1304:DM1304)</f>
        <v>1</v>
      </c>
      <c r="DO1304" t="str">
        <f>IF(DN1304=1,INDEX($DI$7:$DL$7,MATCH(1,$DI1304:$DL1304,0)),"mixedProduct")</f>
        <v>EnergyInput</v>
      </c>
      <c r="DP1304">
        <f>IF(DI1304=1,DP$7,0)</f>
        <v>0</v>
      </c>
      <c r="DQ1304" t="str">
        <f>IF(DJ1304=1,DQ$7,0)</f>
        <v>Energy</v>
      </c>
      <c r="DR1304">
        <f>IF(DK1304=1,DR$7,0)</f>
        <v>0</v>
      </c>
      <c r="DS1304">
        <f>IF(DL1304=1,DS$7,0)</f>
        <v>0</v>
      </c>
      <c r="DT1304">
        <v>0</v>
      </c>
      <c r="DU1304" s="143">
        <v>0</v>
      </c>
      <c r="DV1304" s="143">
        <v>0</v>
      </c>
      <c r="DW1304">
        <v>0</v>
      </c>
      <c r="DX1304" s="143">
        <v>0</v>
      </c>
      <c r="DY1304">
        <f>SUM(DT1304:DU1304)</f>
        <v>0</v>
      </c>
      <c r="DZ1304" s="143" t="str">
        <f>IF(DT1304=1,"self-calculated DF",IF(DU1304=1,"external DF used","explicit C balance"))</f>
        <v>explicit C balance</v>
      </c>
      <c r="EA1304" s="143">
        <v>0</v>
      </c>
      <c r="EB1304" s="143">
        <v>0</v>
      </c>
      <c r="EC1304" s="143">
        <v>0</v>
      </c>
      <c r="ED1304" s="143">
        <v>0</v>
      </c>
      <c r="EE1304">
        <v>0</v>
      </c>
      <c r="EF1304" s="143">
        <v>0</v>
      </c>
      <c r="EG1304" s="143">
        <v>1</v>
      </c>
      <c r="EH1304" s="143">
        <v>1</v>
      </c>
      <c r="EI1304" s="143">
        <v>0</v>
      </c>
      <c r="EJ1304">
        <v>1</v>
      </c>
      <c r="EK1304">
        <v>0</v>
      </c>
      <c r="EL1304" s="143">
        <v>0</v>
      </c>
      <c r="EM1304" s="143">
        <v>0</v>
      </c>
      <c r="EN1304" s="2">
        <v>0</v>
      </c>
      <c r="EP1304" t="str">
        <f>IF(AND(AND(AND(OR($EC1304=1,$EB1304=1),OR($EH1304=1,$EF1304=1)),SUM($EA1304:$EE1304,$EK1304)&gt;=3),SUM($EF1304:$EJ1304)&gt;=2),"Whole sector approach","")</f>
        <v/>
      </c>
      <c r="EQ1304" t="str">
        <f>IF(AND(AND(OR($EC1304=1,$EB1304=1),AND($EH1304=0,$EF1304=0)),SUM($EA1304:$EE1304,$EK1304)&gt;=3),"Ecosystem approach","")</f>
        <v/>
      </c>
      <c r="ER1304" s="2" t="str">
        <f>IF(AND(AND(AND($EC1304=0,$EB1304=0),OR($EH1304=1,$EF1304=1)),SUM($EG1304:$EJ1304)&gt;=2),"Technology approach","")</f>
        <v>Technology approach</v>
      </c>
      <c r="ES1304" t="str">
        <f>IF(AND($EC1304+$EB1304+$EE1304+$EA1304+$ED1304+$EG1304=0,$N1304="included"),"C neutral forest and HWP assumption","")</f>
        <v/>
      </c>
      <c r="ET1304" t="str">
        <f>IF(AND(AND(AND(AND($EC1304=1,$EB1304+$EA1304+$EG1304&gt;=1),$EF1304=1),$EH1304+$EI1304+$ED1304+$EE1304&gt;=2),$N1304="included"),"All C pools assumption","")</f>
        <v/>
      </c>
      <c r="EU1304" t="str">
        <f>IF(AND($ED1304+$EE1304+$EI1304+$EH1304+$EF1304=0,$N1304="included"),"In-situ only assumption","")</f>
        <v/>
      </c>
      <c r="EY1304" t="str">
        <f>IF(ISNUMBER(BW1304),IF(ABS(BW1304-[4]QC_indicators!$B$2)&gt;3*[4]QC_indicators!$C$2,"C ratio",IF(ISNUMBER(CA1304),IF(ABS(CA1304-[4]QC_indicators!$B$1)&gt;3*[4]QC_indicators!$C$1,"DF","no"))),IF(ISNUMBER(CA1304),IF(ABS(CA1304-[4]QC_indicators!$B$1)&gt;3*[4]QC_indicators!$C$1,"DF","no")))</f>
        <v>no</v>
      </c>
      <c r="FA1304" t="str">
        <f>IF(LEN($CY1304)=0,"",IF(AND($CY1304&lt;(-0.05),$ES1304="C neutral forest and HWP assumption"),"Cneutral paradox",IF(AND($CY1304&gt;0.05,$EU1304="In-situ only assumption"),"In-situ only paradox","")))</f>
        <v/>
      </c>
      <c r="FB1304" s="149"/>
    </row>
    <row r="1305" spans="1:158" ht="15" hidden="1" customHeight="1">
      <c r="A1305" s="1" t="s">
        <v>574</v>
      </c>
      <c r="B1305" t="s">
        <v>1320</v>
      </c>
      <c r="C1305" t="s">
        <v>1321</v>
      </c>
      <c r="D1305" t="s">
        <v>1322</v>
      </c>
      <c r="E1305" t="s">
        <v>1323</v>
      </c>
      <c r="F1305" t="s">
        <v>1324</v>
      </c>
      <c r="G1305" t="s">
        <v>580</v>
      </c>
      <c r="H1305" t="s">
        <v>254</v>
      </c>
      <c r="I1305">
        <v>2020</v>
      </c>
      <c r="J1305">
        <v>12</v>
      </c>
      <c r="K1305" t="s">
        <v>1325</v>
      </c>
      <c r="M1305" t="str">
        <f>LEFT($D1305,FIND(",",$D1305)-1)&amp;"_"&amp;I1305&amp;L1305</f>
        <v>Elisa_2020</v>
      </c>
      <c r="N1305" s="317" t="s">
        <v>222</v>
      </c>
      <c r="O1305" s="171" t="s">
        <v>274</v>
      </c>
      <c r="P1305" t="s">
        <v>223</v>
      </c>
      <c r="Q1305" s="317" t="s">
        <v>389</v>
      </c>
      <c r="R1305" s="318" t="s">
        <v>1029</v>
      </c>
      <c r="S1305" s="154" t="s">
        <v>1326</v>
      </c>
      <c r="T1305" s="319" t="s">
        <v>1327</v>
      </c>
      <c r="U1305" s="143" t="s">
        <v>1343</v>
      </c>
      <c r="V1305" s="253">
        <v>0</v>
      </c>
      <c r="W1305" s="253">
        <v>0</v>
      </c>
      <c r="X1305">
        <v>0</v>
      </c>
      <c r="Y1305">
        <v>0</v>
      </c>
      <c r="Z1305">
        <v>0</v>
      </c>
      <c r="AA1305">
        <v>0</v>
      </c>
      <c r="AB1305">
        <v>0</v>
      </c>
      <c r="AC1305">
        <v>0</v>
      </c>
      <c r="AD1305">
        <v>0</v>
      </c>
      <c r="AE1305">
        <v>0</v>
      </c>
      <c r="AF1305">
        <v>0</v>
      </c>
      <c r="AG1305">
        <v>1</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s="141">
        <f>COUNTIF(X1305:AY1305,"&lt;&gt;0")</f>
        <v>1</v>
      </c>
      <c r="BA1305" s="141">
        <f>COUNTIF(X1305:AN1305,"&lt;&gt;0")</f>
        <v>1</v>
      </c>
      <c r="BB1305">
        <f>COUNTIF(X1305:AE1305,"&lt;&gt;0")</f>
        <v>0</v>
      </c>
      <c r="BC1305">
        <f>COUNTIF(AF1305:AK1305,"&lt;&gt;0")</f>
        <v>1</v>
      </c>
      <c r="BD1305">
        <f>COUNTIF(AL1305:AN1305,"&lt;&gt;0")</f>
        <v>0</v>
      </c>
      <c r="BE1305">
        <f>COUNTIF(AU1305:AY1305,"&lt;&gt;0")</f>
        <v>0</v>
      </c>
      <c r="BF1305">
        <f>COUNTIF(AO1305:AT1305,"&lt;&gt;0")</f>
        <v>0</v>
      </c>
      <c r="BG1305" t="str" cm="1">
        <f t="array" ref="BG1305">IF(BA1305=1,INDEX($X$7:$AN$7,MATCH(TRUE,INDEX($X1305:$AY1305&lt;&gt;0,),0)),IF(BA1305=0,INDEX($AO$7:$AY$7,MATCH(1,$AO1305:$AY1305,0)),IF(BH1305="Multiple strategies","mixed drivers",IF(BH1305="Supply chain","multiple supply","multiple silviculture"))))</f>
        <v>location of industry</v>
      </c>
      <c r="BH1305" s="2" t="str" cm="1">
        <f t="array" ref="BH1305">IF(COUNTIF(BB1305:BD1305,"&lt;&gt;0")=1,INDEX($X$4:$AY$4,MATCH(TRUE,INDEX($X1305:$AY1305&lt;&gt;0,),0)),IF(COUNTIF(BB1305:BD1305,"&lt;&gt;0")=0,INDEX($AO$4:$AY$4,MATCH(1,$AO1305:$AY1305,0)),"Multiple strategies"))</f>
        <v>Supply chain</v>
      </c>
      <c r="BI1305" s="142" t="s">
        <v>321</v>
      </c>
      <c r="BJ1305" s="160" t="s">
        <v>1329</v>
      </c>
      <c r="BK1305" s="160" t="s">
        <v>1330</v>
      </c>
      <c r="BL1305" s="143" t="s">
        <v>498</v>
      </c>
      <c r="BM1305" s="143">
        <v>944</v>
      </c>
      <c r="BN1305" s="143">
        <v>6993</v>
      </c>
      <c r="BO1305">
        <f>IFERROR(BN1305/BM1305,"")</f>
        <v>7.4078389830508478</v>
      </c>
      <c r="BP1305">
        <f>BN1305-BM1305</f>
        <v>6049</v>
      </c>
      <c r="BQ1305" s="159">
        <f>BP1305</f>
        <v>6049</v>
      </c>
      <c r="BR1305" s="155" t="s">
        <v>232</v>
      </c>
      <c r="BS1305" s="155" t="s">
        <v>1331</v>
      </c>
      <c r="BT1305" s="155" t="s">
        <v>805</v>
      </c>
      <c r="BU1305" s="143" t="s">
        <v>1332</v>
      </c>
      <c r="BV1305" t="s">
        <v>1344</v>
      </c>
      <c r="BW1305" s="144">
        <f>BV1305/BU1305</f>
        <v>6.6613304778667501</v>
      </c>
      <c r="BX1305">
        <f>BV1305-BU1305</f>
        <v>-39.731882499999998</v>
      </c>
      <c r="BZ1305">
        <f>BX1305</f>
        <v>-39.731882499999998</v>
      </c>
      <c r="CA1305">
        <f>IFERROR(BZ1305/BQ1305,"")</f>
        <v>-6.5683389816498594E-3</v>
      </c>
      <c r="CB1305">
        <v>0</v>
      </c>
      <c r="CC1305">
        <v>0</v>
      </c>
      <c r="CD1305">
        <v>0</v>
      </c>
      <c r="CE1305">
        <v>0</v>
      </c>
      <c r="CF1305">
        <v>0</v>
      </c>
      <c r="CG1305">
        <v>0</v>
      </c>
      <c r="CH1305">
        <v>0</v>
      </c>
      <c r="CI1305">
        <v>0</v>
      </c>
      <c r="CJ1305">
        <v>0</v>
      </c>
      <c r="CK1305">
        <v>0</v>
      </c>
      <c r="CL1305">
        <v>0</v>
      </c>
      <c r="CM1305">
        <v>0</v>
      </c>
      <c r="CN1305">
        <v>0</v>
      </c>
      <c r="CO1305">
        <v>0</v>
      </c>
      <c r="CP1305" t="str">
        <f>IF($BN1305&lt;$BM1305,"refNeedCorrection","refOK")</f>
        <v>refOK</v>
      </c>
      <c r="CQ1305">
        <f>IF($CP1305="refOK",$BM1305,$BN1305)</f>
        <v>944</v>
      </c>
      <c r="CR1305">
        <f>IF($CP1305="refOK",$BN1305,$BM1305)</f>
        <v>6993</v>
      </c>
      <c r="CS1305">
        <f>IF($CP1305="refOK",$BQ1305,-$BQ1305)</f>
        <v>6049</v>
      </c>
      <c r="CT1305">
        <f>IF(BI1305="Roundwood",$CS1305/2,$CS1305)</f>
        <v>3024.5</v>
      </c>
      <c r="CU1305">
        <f>IF($CP1305="refOK",$BU1305,$BV1305)*IF($BR1305="Emissions positive",-1,1)</f>
        <v>-7.0181174999999998</v>
      </c>
      <c r="CV1305">
        <f>IF($CP1305="refOK",$BV1305,$BU1305)*IF($BR1305="Emissions positive",-1,1)</f>
        <v>-46.75</v>
      </c>
      <c r="CW1305">
        <f>IF($CP1305="refNeedCorrection",-BZ1305,BZ1305)*IF($BR1305="Emissions positive",-1,1)</f>
        <v>-39.731882499999998</v>
      </c>
      <c r="CX1305">
        <f>IFERROR($CW1305/$CS1305,"")</f>
        <v>-6.5683389816498594E-3</v>
      </c>
      <c r="CY1305">
        <f>IFERROR($CW1305/$CS1305,"")</f>
        <v>-6.5683389816498594E-3</v>
      </c>
      <c r="CZ1305">
        <f>IFERROR($CW1305/$CT1305,"")</f>
        <v>-1.3136677963299719E-2</v>
      </c>
      <c r="DA1305" s="2">
        <f>IFERROR((CV1305-CU1305)/ABS(CU1305),"")</f>
        <v>-5.6613304778667501</v>
      </c>
      <c r="DB1305" s="320" t="s">
        <v>1334</v>
      </c>
      <c r="DC1305" s="317" t="str">
        <f>IF(OR($DB1305="prd",$DB1305="std",$DB1305="cit"),"loc",IF(OR($DB1305="eur",$DB1305="reg",$DB1305="coy"),"reg",$DB1305))</f>
        <v>reg</v>
      </c>
      <c r="DD1305" s="321" t="s">
        <v>729</v>
      </c>
      <c r="DF1305" s="143"/>
      <c r="DG1305" s="143">
        <v>0</v>
      </c>
      <c r="DH1305" t="str">
        <f>IF(DG1305=0,"0",IF(AND(DG1305&gt;=1,DG1305&lt;=30),"1-30",IF(AND(DG1305&gt;30,DG1305&lt;=70),"31-70",IF(AND(DG1305&gt;70,DG1305&lt;=100),"71-100",IF(DG1305&gt;100,"+100")))))</f>
        <v>0</v>
      </c>
      <c r="DI1305">
        <v>0</v>
      </c>
      <c r="DJ1305">
        <v>1</v>
      </c>
      <c r="DK1305">
        <v>0</v>
      </c>
      <c r="DL1305">
        <v>0</v>
      </c>
      <c r="DM1305">
        <v>0</v>
      </c>
      <c r="DN1305">
        <f>SUM(DI1305:DM1305)</f>
        <v>1</v>
      </c>
      <c r="DO1305" t="str">
        <f>IF(DN1305=1,INDEX($DI$7:$DL$7,MATCH(1,$DI1305:$DL1305,0)),"mixedProduct")</f>
        <v>EnergyInput</v>
      </c>
      <c r="DP1305">
        <f>IF(DI1305=1,DP$7,0)</f>
        <v>0</v>
      </c>
      <c r="DQ1305" t="str">
        <f>IF(DJ1305=1,DQ$7,0)</f>
        <v>Energy</v>
      </c>
      <c r="DR1305">
        <f>IF(DK1305=1,DR$7,0)</f>
        <v>0</v>
      </c>
      <c r="DS1305">
        <f>IF(DL1305=1,DS$7,0)</f>
        <v>0</v>
      </c>
      <c r="DT1305">
        <v>0</v>
      </c>
      <c r="DU1305" s="143">
        <v>0</v>
      </c>
      <c r="DV1305" s="143">
        <v>0</v>
      </c>
      <c r="DW1305">
        <v>0</v>
      </c>
      <c r="DX1305" s="143">
        <v>0</v>
      </c>
      <c r="DY1305">
        <f>SUM(DT1305:DU1305)</f>
        <v>0</v>
      </c>
      <c r="DZ1305" s="143" t="str">
        <f>IF(DT1305=1,"self-calculated DF",IF(DU1305=1,"external DF used","explicit C balance"))</f>
        <v>explicit C balance</v>
      </c>
      <c r="EA1305" s="143">
        <v>0</v>
      </c>
      <c r="EB1305" s="143">
        <v>0</v>
      </c>
      <c r="EC1305" s="143">
        <v>0</v>
      </c>
      <c r="ED1305" s="143">
        <v>0</v>
      </c>
      <c r="EE1305">
        <v>0</v>
      </c>
      <c r="EF1305" s="143">
        <v>0</v>
      </c>
      <c r="EG1305" s="143">
        <v>1</v>
      </c>
      <c r="EH1305" s="143">
        <v>1</v>
      </c>
      <c r="EI1305" s="143">
        <v>0</v>
      </c>
      <c r="EJ1305">
        <v>1</v>
      </c>
      <c r="EK1305">
        <v>0</v>
      </c>
      <c r="EL1305" s="143">
        <v>0</v>
      </c>
      <c r="EM1305" s="143">
        <v>0</v>
      </c>
      <c r="EN1305" s="2">
        <v>0</v>
      </c>
      <c r="EP1305" t="str">
        <f>IF(AND(AND(AND(OR($EC1305=1,$EB1305=1),OR($EH1305=1,$EF1305=1)),SUM($EA1305:$EE1305,$EK1305)&gt;=3),SUM($EF1305:$EJ1305)&gt;=2),"Whole sector approach","")</f>
        <v/>
      </c>
      <c r="EQ1305" t="str">
        <f>IF(AND(AND(OR($EC1305=1,$EB1305=1),AND($EH1305=0,$EF1305=0)),SUM($EA1305:$EE1305,$EK1305)&gt;=3),"Ecosystem approach","")</f>
        <v/>
      </c>
      <c r="ER1305" s="2" t="str">
        <f>IF(AND(AND(AND($EC1305=0,$EB1305=0),OR($EH1305=1,$EF1305=1)),SUM($EG1305:$EJ1305)&gt;=2),"Technology approach","")</f>
        <v>Technology approach</v>
      </c>
      <c r="ES1305" t="str">
        <f>IF(AND($EC1305+$EB1305+$EE1305+$EA1305+$ED1305+$EG1305=0,$N1305="included"),"C neutral forest and HWP assumption","")</f>
        <v/>
      </c>
      <c r="ET1305" t="str">
        <f>IF(AND(AND(AND(AND($EC1305=1,$EB1305+$EA1305+$EG1305&gt;=1),$EF1305=1),$EH1305+$EI1305+$ED1305+$EE1305&gt;=2),$N1305="included"),"All C pools assumption","")</f>
        <v/>
      </c>
      <c r="EU1305" t="str">
        <f>IF(AND($ED1305+$EE1305+$EI1305+$EH1305+$EF1305=0,$N1305="included"),"In-situ only assumption","")</f>
        <v/>
      </c>
      <c r="EY1305" t="str">
        <f>IF(ISNUMBER(BW1305),IF(ABS(BW1305-[4]QC_indicators!$B$2)&gt;3*[4]QC_indicators!$C$2,"C ratio",IF(ISNUMBER(CA1305),IF(ABS(CA1305-[4]QC_indicators!$B$1)&gt;3*[4]QC_indicators!$C$1,"DF","no"))),IF(ISNUMBER(CA1305),IF(ABS(CA1305-[4]QC_indicators!$B$1)&gt;3*[4]QC_indicators!$C$1,"DF","no")))</f>
        <v>no</v>
      </c>
      <c r="FA1305" t="str">
        <f>IF(LEN($CY1305)=0,"",IF(AND($CY1305&lt;(-0.05),$ES1305="C neutral forest and HWP assumption"),"Cneutral paradox",IF(AND($CY1305&gt;0.05,$EU1305="In-situ only assumption"),"In-situ only paradox","")))</f>
        <v/>
      </c>
      <c r="FB1305" s="149"/>
    </row>
    <row r="1306" spans="1:158" ht="15" hidden="1" customHeight="1">
      <c r="A1306" s="1" t="s">
        <v>574</v>
      </c>
      <c r="B1306" t="s">
        <v>1320</v>
      </c>
      <c r="C1306" t="s">
        <v>1321</v>
      </c>
      <c r="D1306" t="s">
        <v>1322</v>
      </c>
      <c r="E1306" t="s">
        <v>1323</v>
      </c>
      <c r="F1306" t="s">
        <v>1324</v>
      </c>
      <c r="G1306" t="s">
        <v>580</v>
      </c>
      <c r="H1306" t="s">
        <v>254</v>
      </c>
      <c r="I1306">
        <v>2020</v>
      </c>
      <c r="J1306">
        <v>12</v>
      </c>
      <c r="K1306" t="s">
        <v>1325</v>
      </c>
      <c r="M1306" t="str">
        <f>LEFT($D1306,FIND(",",$D1306)-1)&amp;"_"&amp;I1306&amp;L1306</f>
        <v>Elisa_2020</v>
      </c>
      <c r="N1306" s="317" t="s">
        <v>222</v>
      </c>
      <c r="O1306" s="171" t="s">
        <v>274</v>
      </c>
      <c r="P1306" t="s">
        <v>223</v>
      </c>
      <c r="Q1306" s="317" t="s">
        <v>389</v>
      </c>
      <c r="R1306" s="318" t="s">
        <v>1029</v>
      </c>
      <c r="S1306" s="154" t="s">
        <v>1326</v>
      </c>
      <c r="T1306" s="319" t="s">
        <v>1327</v>
      </c>
      <c r="U1306" s="143" t="s">
        <v>1340</v>
      </c>
      <c r="V1306" s="253">
        <v>0</v>
      </c>
      <c r="W1306" s="253">
        <v>0</v>
      </c>
      <c r="X1306">
        <v>0</v>
      </c>
      <c r="Y1306">
        <v>0</v>
      </c>
      <c r="Z1306">
        <v>0</v>
      </c>
      <c r="AA1306">
        <v>0</v>
      </c>
      <c r="AB1306">
        <v>0</v>
      </c>
      <c r="AC1306">
        <v>0</v>
      </c>
      <c r="AD1306">
        <v>0</v>
      </c>
      <c r="AE1306">
        <v>0</v>
      </c>
      <c r="AF1306">
        <v>0</v>
      </c>
      <c r="AG1306">
        <v>1</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s="141">
        <f>COUNTIF(X1306:AY1306,"&lt;&gt;0")</f>
        <v>1</v>
      </c>
      <c r="BA1306" s="141">
        <f>COUNTIF(X1306:AN1306,"&lt;&gt;0")</f>
        <v>1</v>
      </c>
      <c r="BB1306">
        <f>COUNTIF(X1306:AE1306,"&lt;&gt;0")</f>
        <v>0</v>
      </c>
      <c r="BC1306">
        <f>COUNTIF(AF1306:AK1306,"&lt;&gt;0")</f>
        <v>1</v>
      </c>
      <c r="BD1306">
        <f>COUNTIF(AL1306:AN1306,"&lt;&gt;0")</f>
        <v>0</v>
      </c>
      <c r="BE1306">
        <f>COUNTIF(AU1306:AY1306,"&lt;&gt;0")</f>
        <v>0</v>
      </c>
      <c r="BF1306">
        <f>COUNTIF(AO1306:AT1306,"&lt;&gt;0")</f>
        <v>0</v>
      </c>
      <c r="BG1306" t="str" cm="1">
        <f t="array" ref="BG1306">IF(BA1306=1,INDEX($X$7:$AN$7,MATCH(TRUE,INDEX($X1306:$AY1306&lt;&gt;0,),0)),IF(BA1306=0,INDEX($AO$7:$AY$7,MATCH(1,$AO1306:$AY1306,0)),IF(BH1306="Multiple strategies","mixed drivers",IF(BH1306="Supply chain","multiple supply","multiple silviculture"))))</f>
        <v>location of industry</v>
      </c>
      <c r="BH1306" s="2" t="str" cm="1">
        <f t="array" ref="BH1306">IF(COUNTIF(BB1306:BD1306,"&lt;&gt;0")=1,INDEX($X$4:$AY$4,MATCH(TRUE,INDEX($X1306:$AY1306&lt;&gt;0,),0)),IF(COUNTIF(BB1306:BD1306,"&lt;&gt;0")=0,INDEX($AO$4:$AY$4,MATCH(1,$AO1306:$AY1306,0)),"Multiple strategies"))</f>
        <v>Supply chain</v>
      </c>
      <c r="BI1306" s="142" t="s">
        <v>321</v>
      </c>
      <c r="BJ1306" s="160" t="s">
        <v>1329</v>
      </c>
      <c r="BK1306" s="160" t="s">
        <v>1330</v>
      </c>
      <c r="BL1306" s="143" t="s">
        <v>498</v>
      </c>
      <c r="BM1306" s="143">
        <v>944</v>
      </c>
      <c r="BN1306" s="143">
        <v>20000</v>
      </c>
      <c r="BO1306">
        <f>IFERROR(BN1306/BM1306,"")</f>
        <v>21.1864406779661</v>
      </c>
      <c r="BP1306">
        <f>BN1306-BM1306</f>
        <v>19056</v>
      </c>
      <c r="BQ1306" s="159">
        <f>BP1306</f>
        <v>19056</v>
      </c>
      <c r="BR1306" s="155" t="s">
        <v>232</v>
      </c>
      <c r="BS1306" s="155" t="s">
        <v>1331</v>
      </c>
      <c r="BT1306" s="155" t="s">
        <v>805</v>
      </c>
      <c r="BU1306" s="143" t="s">
        <v>1332</v>
      </c>
      <c r="BV1306" t="s">
        <v>1341</v>
      </c>
      <c r="BW1306" s="144">
        <f>BV1306/BU1306</f>
        <v>23.5996333774691</v>
      </c>
      <c r="BX1306">
        <f>BV1306-BU1306</f>
        <v>-158.60688250000001</v>
      </c>
      <c r="BZ1306">
        <f>BX1306</f>
        <v>-158.60688250000001</v>
      </c>
      <c r="CA1306">
        <f>IFERROR(BZ1306/BQ1306,"")</f>
        <v>-8.3231991236356016E-3</v>
      </c>
      <c r="CB1306">
        <v>0</v>
      </c>
      <c r="CC1306">
        <v>0</v>
      </c>
      <c r="CD1306">
        <v>0</v>
      </c>
      <c r="CE1306">
        <v>0</v>
      </c>
      <c r="CF1306">
        <v>0</v>
      </c>
      <c r="CG1306">
        <v>0</v>
      </c>
      <c r="CH1306">
        <v>0</v>
      </c>
      <c r="CI1306">
        <v>0</v>
      </c>
      <c r="CJ1306">
        <v>0</v>
      </c>
      <c r="CK1306">
        <v>0</v>
      </c>
      <c r="CL1306">
        <v>0</v>
      </c>
      <c r="CM1306">
        <v>0</v>
      </c>
      <c r="CN1306">
        <v>0</v>
      </c>
      <c r="CO1306">
        <v>0</v>
      </c>
      <c r="CP1306" t="str">
        <f>IF($BN1306&lt;$BM1306,"refNeedCorrection","refOK")</f>
        <v>refOK</v>
      </c>
      <c r="CQ1306">
        <f>IF($CP1306="refOK",$BM1306,$BN1306)</f>
        <v>944</v>
      </c>
      <c r="CR1306">
        <f>IF($CP1306="refOK",$BN1306,$BM1306)</f>
        <v>20000</v>
      </c>
      <c r="CS1306">
        <f>IF($CP1306="refOK",$BQ1306,-$BQ1306)</f>
        <v>19056</v>
      </c>
      <c r="CT1306">
        <f>IF(BI1306="Roundwood",$CS1306/2,$CS1306)</f>
        <v>9528</v>
      </c>
      <c r="CU1306">
        <f>IF($CP1306="refOK",$BU1306,$BV1306)*IF($BR1306="Emissions positive",-1,1)</f>
        <v>-7.0181174999999998</v>
      </c>
      <c r="CV1306">
        <f>IF($CP1306="refOK",$BV1306,$BU1306)*IF($BR1306="Emissions positive",-1,1)</f>
        <v>-165.625</v>
      </c>
      <c r="CW1306">
        <f>IF($CP1306="refNeedCorrection",-BZ1306,BZ1306)*IF($BR1306="Emissions positive",-1,1)</f>
        <v>-158.60688250000001</v>
      </c>
      <c r="CX1306">
        <f>IFERROR($CW1306/$CS1306,"")</f>
        <v>-8.3231991236356016E-3</v>
      </c>
      <c r="CY1306">
        <f>IFERROR($CW1306/$CS1306,"")</f>
        <v>-8.3231991236356016E-3</v>
      </c>
      <c r="CZ1306">
        <f>IFERROR($CW1306/$CT1306,"")</f>
        <v>-1.6646398247271203E-2</v>
      </c>
      <c r="DA1306" s="2">
        <f>IFERROR((CV1306-CU1306)/ABS(CU1306),"")</f>
        <v>-22.599633377469104</v>
      </c>
      <c r="DB1306" s="320" t="s">
        <v>1334</v>
      </c>
      <c r="DC1306" s="317" t="str">
        <f>IF(OR($DB1306="prd",$DB1306="std",$DB1306="cit"),"loc",IF(OR($DB1306="eur",$DB1306="reg",$DB1306="coy"),"reg",$DB1306))</f>
        <v>reg</v>
      </c>
      <c r="DD1306" s="321" t="s">
        <v>729</v>
      </c>
      <c r="DF1306" s="143"/>
      <c r="DG1306" s="143">
        <v>0</v>
      </c>
      <c r="DH1306" t="str">
        <f>IF(DG1306=0,"0",IF(AND(DG1306&gt;=1,DG1306&lt;=30),"1-30",IF(AND(DG1306&gt;30,DG1306&lt;=70),"31-70",IF(AND(DG1306&gt;70,DG1306&lt;=100),"71-100",IF(DG1306&gt;100,"+100")))))</f>
        <v>0</v>
      </c>
      <c r="DI1306">
        <v>0</v>
      </c>
      <c r="DJ1306">
        <v>1</v>
      </c>
      <c r="DK1306">
        <v>0</v>
      </c>
      <c r="DL1306">
        <v>0</v>
      </c>
      <c r="DM1306">
        <v>0</v>
      </c>
      <c r="DN1306">
        <f>SUM(DI1306:DM1306)</f>
        <v>1</v>
      </c>
      <c r="DO1306" t="str">
        <f>IF(DN1306=1,INDEX($DI$7:$DL$7,MATCH(1,$DI1306:$DL1306,0)),"mixedProduct")</f>
        <v>EnergyInput</v>
      </c>
      <c r="DP1306">
        <f>IF(DI1306=1,DP$7,0)</f>
        <v>0</v>
      </c>
      <c r="DQ1306" t="str">
        <f>IF(DJ1306=1,DQ$7,0)</f>
        <v>Energy</v>
      </c>
      <c r="DR1306">
        <f>IF(DK1306=1,DR$7,0)</f>
        <v>0</v>
      </c>
      <c r="DS1306">
        <f>IF(DL1306=1,DS$7,0)</f>
        <v>0</v>
      </c>
      <c r="DT1306">
        <v>0</v>
      </c>
      <c r="DU1306" s="143">
        <v>0</v>
      </c>
      <c r="DV1306" s="143">
        <v>0</v>
      </c>
      <c r="DW1306">
        <v>0</v>
      </c>
      <c r="DX1306" s="143">
        <v>0</v>
      </c>
      <c r="DY1306">
        <f>SUM(DT1306:DU1306)</f>
        <v>0</v>
      </c>
      <c r="DZ1306" s="143" t="str">
        <f>IF(DT1306=1,"self-calculated DF",IF(DU1306=1,"external DF used","explicit C balance"))</f>
        <v>explicit C balance</v>
      </c>
      <c r="EA1306" s="143">
        <v>0</v>
      </c>
      <c r="EB1306" s="143">
        <v>0</v>
      </c>
      <c r="EC1306" s="143">
        <v>0</v>
      </c>
      <c r="ED1306" s="143">
        <v>0</v>
      </c>
      <c r="EE1306">
        <v>0</v>
      </c>
      <c r="EF1306" s="143">
        <v>0</v>
      </c>
      <c r="EG1306" s="143">
        <v>1</v>
      </c>
      <c r="EH1306" s="143">
        <v>1</v>
      </c>
      <c r="EI1306" s="143">
        <v>0</v>
      </c>
      <c r="EJ1306">
        <v>1</v>
      </c>
      <c r="EK1306">
        <v>0</v>
      </c>
      <c r="EL1306" s="143">
        <v>0</v>
      </c>
      <c r="EM1306" s="143">
        <v>0</v>
      </c>
      <c r="EN1306" s="2">
        <v>0</v>
      </c>
      <c r="EP1306" t="str">
        <f>IF(AND(AND(AND(OR($EC1306=1,$EB1306=1),OR($EH1306=1,$EF1306=1)),SUM($EA1306:$EE1306,$EK1306)&gt;=3),SUM($EF1306:$EJ1306)&gt;=2),"Whole sector approach","")</f>
        <v/>
      </c>
      <c r="EQ1306" t="str">
        <f>IF(AND(AND(OR($EC1306=1,$EB1306=1),AND($EH1306=0,$EF1306=0)),SUM($EA1306:$EE1306,$EK1306)&gt;=3),"Ecosystem approach","")</f>
        <v/>
      </c>
      <c r="ER1306" s="2" t="str">
        <f>IF(AND(AND(AND($EC1306=0,$EB1306=0),OR($EH1306=1,$EF1306=1)),SUM($EG1306:$EJ1306)&gt;=2),"Technology approach","")</f>
        <v>Technology approach</v>
      </c>
      <c r="ES1306" t="str">
        <f>IF(AND($EC1306+$EB1306+$EE1306+$EA1306+$ED1306+$EG1306=0,$N1306="included"),"C neutral forest and HWP assumption","")</f>
        <v/>
      </c>
      <c r="ET1306" t="str">
        <f>IF(AND(AND(AND(AND($EC1306=1,$EB1306+$EA1306+$EG1306&gt;=1),$EF1306=1),$EH1306+$EI1306+$ED1306+$EE1306&gt;=2),$N1306="included"),"All C pools assumption","")</f>
        <v/>
      </c>
      <c r="EU1306" t="str">
        <f>IF(AND($ED1306+$EE1306+$EI1306+$EH1306+$EF1306=0,$N1306="included"),"In-situ only assumption","")</f>
        <v/>
      </c>
      <c r="EY1306" t="str">
        <f>IF(ISNUMBER(BW1306),IF(ABS(BW1306-[4]QC_indicators!$B$2)&gt;3*[4]QC_indicators!$C$2,"C ratio",IF(ISNUMBER(CA1306),IF(ABS(CA1306-[4]QC_indicators!$B$1)&gt;3*[4]QC_indicators!$C$1,"DF","no"))),IF(ISNUMBER(CA1306),IF(ABS(CA1306-[4]QC_indicators!$B$1)&gt;3*[4]QC_indicators!$C$1,"DF","no")))</f>
        <v>no</v>
      </c>
      <c r="FA1306" t="str">
        <f>IF(LEN($CY1306)=0,"",IF(AND($CY1306&lt;(-0.05),$ES1306="C neutral forest and HWP assumption"),"Cneutral paradox",IF(AND($CY1306&gt;0.05,$EU1306="In-situ only assumption"),"In-situ only paradox","")))</f>
        <v/>
      </c>
      <c r="FB1306" s="149"/>
    </row>
    <row r="1307" spans="1:158" ht="15" hidden="1" customHeight="1">
      <c r="A1307" s="1" t="s">
        <v>574</v>
      </c>
      <c r="B1307" t="s">
        <v>1320</v>
      </c>
      <c r="C1307" t="s">
        <v>1321</v>
      </c>
      <c r="D1307" t="s">
        <v>1322</v>
      </c>
      <c r="E1307" t="s">
        <v>1323</v>
      </c>
      <c r="F1307" t="s">
        <v>1324</v>
      </c>
      <c r="G1307" t="s">
        <v>580</v>
      </c>
      <c r="H1307" t="s">
        <v>254</v>
      </c>
      <c r="I1307">
        <v>2020</v>
      </c>
      <c r="J1307">
        <v>12</v>
      </c>
      <c r="K1307" t="s">
        <v>1325</v>
      </c>
      <c r="M1307" t="str">
        <f>LEFT($D1307,FIND(",",$D1307)-1)&amp;"_"&amp;I1307&amp;L1307</f>
        <v>Elisa_2020</v>
      </c>
      <c r="N1307" s="317" t="s">
        <v>222</v>
      </c>
      <c r="O1307" s="171" t="s">
        <v>274</v>
      </c>
      <c r="P1307" t="s">
        <v>223</v>
      </c>
      <c r="Q1307" s="317" t="s">
        <v>389</v>
      </c>
      <c r="R1307" s="318" t="s">
        <v>1029</v>
      </c>
      <c r="S1307" s="154" t="s">
        <v>1326</v>
      </c>
      <c r="T1307" s="319" t="s">
        <v>1327</v>
      </c>
      <c r="U1307" s="143" t="s">
        <v>1337</v>
      </c>
      <c r="V1307" s="253">
        <v>0</v>
      </c>
      <c r="W1307" s="253">
        <v>0</v>
      </c>
      <c r="X1307">
        <v>0</v>
      </c>
      <c r="Y1307">
        <v>0</v>
      </c>
      <c r="Z1307">
        <v>0</v>
      </c>
      <c r="AA1307">
        <v>0</v>
      </c>
      <c r="AB1307">
        <v>0</v>
      </c>
      <c r="AC1307">
        <v>0</v>
      </c>
      <c r="AD1307">
        <v>0</v>
      </c>
      <c r="AE1307">
        <v>0</v>
      </c>
      <c r="AF1307">
        <v>0</v>
      </c>
      <c r="AG1307">
        <v>1</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0</v>
      </c>
      <c r="AZ1307" s="141">
        <f>COUNTIF(X1307:AY1307,"&lt;&gt;0")</f>
        <v>1</v>
      </c>
      <c r="BA1307" s="141">
        <f>COUNTIF(X1307:AN1307,"&lt;&gt;0")</f>
        <v>1</v>
      </c>
      <c r="BB1307">
        <f>COUNTIF(X1307:AE1307,"&lt;&gt;0")</f>
        <v>0</v>
      </c>
      <c r="BC1307">
        <f>COUNTIF(AF1307:AK1307,"&lt;&gt;0")</f>
        <v>1</v>
      </c>
      <c r="BD1307">
        <f>COUNTIF(AL1307:AN1307,"&lt;&gt;0")</f>
        <v>0</v>
      </c>
      <c r="BE1307">
        <f>COUNTIF(AU1307:AY1307,"&lt;&gt;0")</f>
        <v>0</v>
      </c>
      <c r="BF1307">
        <f>COUNTIF(AO1307:AT1307,"&lt;&gt;0")</f>
        <v>0</v>
      </c>
      <c r="BG1307" t="str" cm="1">
        <f t="array" ref="BG1307">IF(BA1307=1,INDEX($X$7:$AN$7,MATCH(TRUE,INDEX($X1307:$AY1307&lt;&gt;0,),0)),IF(BA1307=0,INDEX($AO$7:$AY$7,MATCH(1,$AO1307:$AY1307,0)),IF(BH1307="Multiple strategies","mixed drivers",IF(BH1307="Supply chain","multiple supply","multiple silviculture"))))</f>
        <v>location of industry</v>
      </c>
      <c r="BH1307" s="2" t="str" cm="1">
        <f t="array" ref="BH1307">IF(COUNTIF(BB1307:BD1307,"&lt;&gt;0")=1,INDEX($X$4:$AY$4,MATCH(TRUE,INDEX($X1307:$AY1307&lt;&gt;0,),0)),IF(COUNTIF(BB1307:BD1307,"&lt;&gt;0")=0,INDEX($AO$4:$AY$4,MATCH(1,$AO1307:$AY1307,0)),"Multiple strategies"))</f>
        <v>Supply chain</v>
      </c>
      <c r="BI1307" s="142" t="s">
        <v>321</v>
      </c>
      <c r="BJ1307" s="160" t="s">
        <v>1329</v>
      </c>
      <c r="BK1307" s="160" t="s">
        <v>1330</v>
      </c>
      <c r="BL1307" s="143" t="s">
        <v>498</v>
      </c>
      <c r="BM1307" s="143">
        <v>944</v>
      </c>
      <c r="BN1307" s="143">
        <v>1525</v>
      </c>
      <c r="BO1307">
        <f>IFERROR(BN1307/BM1307,"")</f>
        <v>1.6154661016949152</v>
      </c>
      <c r="BP1307">
        <f>BN1307-BM1307</f>
        <v>581</v>
      </c>
      <c r="BQ1307" s="159">
        <f>BP1307</f>
        <v>581</v>
      </c>
      <c r="BR1307" s="155" t="s">
        <v>232</v>
      </c>
      <c r="BS1307" s="155" t="s">
        <v>1331</v>
      </c>
      <c r="BT1307" s="155" t="s">
        <v>805</v>
      </c>
      <c r="BU1307" s="143" t="s">
        <v>1332</v>
      </c>
      <c r="BV1307" t="s">
        <v>1338</v>
      </c>
      <c r="BW1307" s="144">
        <f>BV1307/BU1307</f>
        <v>2.6578374234021163</v>
      </c>
      <c r="BX1307">
        <f>BV1307-BU1307</f>
        <v>-11.634897833333302</v>
      </c>
      <c r="BZ1307">
        <f>BX1307</f>
        <v>-11.634897833333302</v>
      </c>
      <c r="CA1307">
        <f>IFERROR(BZ1307/BQ1307,"")</f>
        <v>-2.0025641709695872E-2</v>
      </c>
      <c r="CB1307">
        <v>1</v>
      </c>
      <c r="CC1307">
        <v>0</v>
      </c>
      <c r="CD1307">
        <v>0</v>
      </c>
      <c r="CE1307">
        <v>0</v>
      </c>
      <c r="CF1307">
        <v>1</v>
      </c>
      <c r="CG1307">
        <v>1</v>
      </c>
      <c r="CH1307">
        <v>0</v>
      </c>
      <c r="CI1307">
        <v>0</v>
      </c>
      <c r="CJ1307">
        <v>0</v>
      </c>
      <c r="CK1307">
        <v>0</v>
      </c>
      <c r="CL1307">
        <v>1</v>
      </c>
      <c r="CM1307">
        <v>0</v>
      </c>
      <c r="CN1307">
        <v>0</v>
      </c>
      <c r="CO1307">
        <v>0</v>
      </c>
      <c r="CP1307" t="str">
        <f>IF($BN1307&lt;$BM1307,"refNeedCorrection","refOK")</f>
        <v>refOK</v>
      </c>
      <c r="CQ1307">
        <f>IF($CP1307="refOK",$BM1307,$BN1307)</f>
        <v>944</v>
      </c>
      <c r="CR1307">
        <f>IF($CP1307="refOK",$BN1307,$BM1307)</f>
        <v>1525</v>
      </c>
      <c r="CS1307">
        <f>IF($CP1307="refOK",$BQ1307,-$BQ1307)</f>
        <v>581</v>
      </c>
      <c r="CT1307">
        <f>IF(BI1307="Roundwood",$CS1307/2,$CS1307)</f>
        <v>290.5</v>
      </c>
      <c r="CU1307">
        <f>IF($CP1307="refOK",$BU1307,$BV1307)*IF($BR1307="Emissions positive",-1,1)</f>
        <v>-7.0181174999999998</v>
      </c>
      <c r="CV1307">
        <f>IF($CP1307="refOK",$BV1307,$BU1307)*IF($BR1307="Emissions positive",-1,1)</f>
        <v>-18.6530153333333</v>
      </c>
      <c r="CW1307">
        <f>IF($CP1307="refNeedCorrection",-BZ1307,BZ1307)*IF($BR1307="Emissions positive",-1,1)</f>
        <v>-11.634897833333302</v>
      </c>
      <c r="CX1307">
        <f>IFERROR($CW1307/$CS1307,"")</f>
        <v>-2.0025641709695872E-2</v>
      </c>
      <c r="CY1307">
        <f>IFERROR($CW1307/$CS1307,"")</f>
        <v>-2.0025641709695872E-2</v>
      </c>
      <c r="CZ1307">
        <f>IFERROR($CW1307/$CT1307,"")</f>
        <v>-4.0051283419391744E-2</v>
      </c>
      <c r="DA1307" s="2">
        <f>IFERROR((CV1307-CU1307)/ABS(CU1307),"")</f>
        <v>-1.6578374234021163</v>
      </c>
      <c r="DB1307" s="320" t="s">
        <v>1334</v>
      </c>
      <c r="DC1307" s="317" t="str">
        <f>IF(OR($DB1307="prd",$DB1307="std",$DB1307="cit"),"loc",IF(OR($DB1307="eur",$DB1307="reg",$DB1307="coy"),"reg",$DB1307))</f>
        <v>reg</v>
      </c>
      <c r="DD1307" s="321" t="s">
        <v>729</v>
      </c>
      <c r="DF1307" s="143"/>
      <c r="DG1307" s="143">
        <v>0</v>
      </c>
      <c r="DH1307" t="str">
        <f>IF(DG1307=0,"0",IF(AND(DG1307&gt;=1,DG1307&lt;=30),"1-30",IF(AND(DG1307&gt;30,DG1307&lt;=70),"31-70",IF(AND(DG1307&gt;70,DG1307&lt;=100),"71-100",IF(DG1307&gt;100,"+100")))))</f>
        <v>0</v>
      </c>
      <c r="DI1307">
        <v>0</v>
      </c>
      <c r="DJ1307">
        <v>1</v>
      </c>
      <c r="DK1307">
        <v>0</v>
      </c>
      <c r="DL1307">
        <v>0</v>
      </c>
      <c r="DM1307">
        <v>0</v>
      </c>
      <c r="DN1307">
        <f>SUM(DI1307:DM1307)</f>
        <v>1</v>
      </c>
      <c r="DO1307" t="str">
        <f>IF(DN1307=1,INDEX($DI$7:$DL$7,MATCH(1,$DI1307:$DL1307,0)),"mixedProduct")</f>
        <v>EnergyInput</v>
      </c>
      <c r="DP1307">
        <f>IF(DI1307=1,DP$7,0)</f>
        <v>0</v>
      </c>
      <c r="DQ1307" t="str">
        <f>IF(DJ1307=1,DQ$7,0)</f>
        <v>Energy</v>
      </c>
      <c r="DR1307">
        <f>IF(DK1307=1,DR$7,0)</f>
        <v>0</v>
      </c>
      <c r="DS1307">
        <f>IF(DL1307=1,DS$7,0)</f>
        <v>0</v>
      </c>
      <c r="DT1307">
        <v>0</v>
      </c>
      <c r="DU1307" s="143">
        <v>0</v>
      </c>
      <c r="DV1307" s="143">
        <v>0</v>
      </c>
      <c r="DW1307">
        <v>0</v>
      </c>
      <c r="DX1307" s="143">
        <v>0</v>
      </c>
      <c r="DY1307">
        <f>SUM(DT1307:DU1307)</f>
        <v>0</v>
      </c>
      <c r="DZ1307" s="143" t="str">
        <f>IF(DT1307=1,"self-calculated DF",IF(DU1307=1,"external DF used","explicit C balance"))</f>
        <v>explicit C balance</v>
      </c>
      <c r="EA1307" s="143">
        <v>0</v>
      </c>
      <c r="EB1307" s="143">
        <v>0</v>
      </c>
      <c r="EC1307" s="143">
        <v>0</v>
      </c>
      <c r="ED1307" s="143">
        <v>0</v>
      </c>
      <c r="EE1307">
        <v>0</v>
      </c>
      <c r="EF1307" s="143">
        <v>0</v>
      </c>
      <c r="EG1307" s="143">
        <v>1</v>
      </c>
      <c r="EH1307" s="143">
        <v>1</v>
      </c>
      <c r="EI1307" s="143">
        <v>0</v>
      </c>
      <c r="EJ1307">
        <v>1</v>
      </c>
      <c r="EK1307">
        <v>0</v>
      </c>
      <c r="EL1307" s="143">
        <v>0</v>
      </c>
      <c r="EM1307" s="143">
        <v>0</v>
      </c>
      <c r="EN1307" s="2">
        <v>0</v>
      </c>
      <c r="EP1307" t="str">
        <f>IF(AND(AND(AND(OR($EC1307=1,$EB1307=1),OR($EH1307=1,$EF1307=1)),SUM($EA1307:$EE1307,$EK1307)&gt;=3),SUM($EF1307:$EJ1307)&gt;=2),"Whole sector approach","")</f>
        <v/>
      </c>
      <c r="EQ1307" t="str">
        <f>IF(AND(AND(OR($EC1307=1,$EB1307=1),AND($EH1307=0,$EF1307=0)),SUM($EA1307:$EE1307,$EK1307)&gt;=3),"Ecosystem approach","")</f>
        <v/>
      </c>
      <c r="ER1307" s="2" t="str">
        <f>IF(AND(AND(AND($EC1307=0,$EB1307=0),OR($EH1307=1,$EF1307=1)),SUM($EG1307:$EJ1307)&gt;=2),"Technology approach","")</f>
        <v>Technology approach</v>
      </c>
      <c r="ES1307" t="str">
        <f>IF(AND($EC1307+$EB1307+$EE1307+$EA1307+$ED1307+$EG1307=0,$N1307="included"),"C neutral forest and HWP assumption","")</f>
        <v/>
      </c>
      <c r="ET1307" t="str">
        <f>IF(AND(AND(AND(AND($EC1307=1,$EB1307+$EA1307+$EG1307&gt;=1),$EF1307=1),$EH1307+$EI1307+$ED1307+$EE1307&gt;=2),$N1307="included"),"All C pools assumption","")</f>
        <v/>
      </c>
      <c r="EU1307" t="str">
        <f>IF(AND($ED1307+$EE1307+$EI1307+$EH1307+$EF1307=0,$N1307="included"),"In-situ only assumption","")</f>
        <v/>
      </c>
      <c r="EY1307" t="str">
        <f>IF(ISNUMBER(BW1307),IF(ABS(BW1307-[4]QC_indicators!$B$2)&gt;3*[4]QC_indicators!$C$2,"C ratio",IF(ISNUMBER(CA1307),IF(ABS(CA1307-[4]QC_indicators!$B$1)&gt;3*[4]QC_indicators!$C$1,"DF","no"))),IF(ISNUMBER(CA1307),IF(ABS(CA1307-[4]QC_indicators!$B$1)&gt;3*[4]QC_indicators!$C$1,"DF","no")))</f>
        <v>no</v>
      </c>
      <c r="FA1307" t="str">
        <f>IF(LEN($CY1307)=0,"",IF(AND($CY1307&lt;(-0.05),$ES1307="C neutral forest and HWP assumption"),"Cneutral paradox",IF(AND($CY1307&gt;0.05,$EU1307="In-situ only assumption"),"In-situ only paradox","")))</f>
        <v/>
      </c>
      <c r="FB1307" s="149"/>
    </row>
    <row r="1308" spans="1:158" ht="15" hidden="1" customHeight="1">
      <c r="A1308" s="1" t="s">
        <v>574</v>
      </c>
      <c r="B1308" t="s">
        <v>1320</v>
      </c>
      <c r="C1308" t="s">
        <v>1321</v>
      </c>
      <c r="D1308" t="s">
        <v>1322</v>
      </c>
      <c r="E1308" t="s">
        <v>1323</v>
      </c>
      <c r="F1308" t="s">
        <v>1324</v>
      </c>
      <c r="G1308" t="s">
        <v>580</v>
      </c>
      <c r="H1308" t="s">
        <v>254</v>
      </c>
      <c r="I1308">
        <v>2020</v>
      </c>
      <c r="J1308">
        <v>12</v>
      </c>
      <c r="K1308" t="s">
        <v>1325</v>
      </c>
      <c r="M1308" t="str">
        <f>LEFT($D1308,FIND(",",$D1308)-1)&amp;"_"&amp;I1308&amp;L1308</f>
        <v>Elisa_2020</v>
      </c>
      <c r="N1308" s="317" t="s">
        <v>222</v>
      </c>
      <c r="O1308" s="171" t="s">
        <v>274</v>
      </c>
      <c r="P1308" t="s">
        <v>223</v>
      </c>
      <c r="Q1308" s="317" t="s">
        <v>389</v>
      </c>
      <c r="R1308" s="318" t="s">
        <v>1029</v>
      </c>
      <c r="S1308" s="154" t="s">
        <v>1326</v>
      </c>
      <c r="T1308" s="319" t="s">
        <v>1327</v>
      </c>
      <c r="U1308" s="143" t="s">
        <v>1328</v>
      </c>
      <c r="V1308" s="253">
        <v>0</v>
      </c>
      <c r="W1308" s="253">
        <v>0</v>
      </c>
      <c r="X1308">
        <v>0</v>
      </c>
      <c r="Y1308">
        <v>0</v>
      </c>
      <c r="Z1308">
        <v>0</v>
      </c>
      <c r="AA1308">
        <v>0</v>
      </c>
      <c r="AB1308">
        <v>0</v>
      </c>
      <c r="AC1308">
        <v>0</v>
      </c>
      <c r="AD1308">
        <v>0</v>
      </c>
      <c r="AE1308">
        <v>0</v>
      </c>
      <c r="AF1308">
        <v>0</v>
      </c>
      <c r="AG1308">
        <v>1</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s="141">
        <f>COUNTIF(X1308:AY1308,"&lt;&gt;0")</f>
        <v>1</v>
      </c>
      <c r="BA1308" s="141">
        <f>COUNTIF(X1308:AN1308,"&lt;&gt;0")</f>
        <v>1</v>
      </c>
      <c r="BB1308">
        <f>COUNTIF(X1308:AE1308,"&lt;&gt;0")</f>
        <v>0</v>
      </c>
      <c r="BC1308">
        <f>COUNTIF(AF1308:AK1308,"&lt;&gt;0")</f>
        <v>1</v>
      </c>
      <c r="BD1308">
        <f>COUNTIF(AL1308:AN1308,"&lt;&gt;0")</f>
        <v>0</v>
      </c>
      <c r="BE1308">
        <f>COUNTIF(AU1308:AY1308,"&lt;&gt;0")</f>
        <v>0</v>
      </c>
      <c r="BF1308">
        <f>COUNTIF(AO1308:AT1308,"&lt;&gt;0")</f>
        <v>0</v>
      </c>
      <c r="BG1308" t="str" cm="1">
        <f t="array" ref="BG1308">IF(BA1308=1,INDEX($X$7:$AN$7,MATCH(TRUE,INDEX($X1308:$AY1308&lt;&gt;0,),0)),IF(BA1308=0,INDEX($AO$7:$AY$7,MATCH(1,$AO1308:$AY1308,0)),IF(BH1308="Multiple strategies","mixed drivers",IF(BH1308="Supply chain","multiple supply","multiple silviculture"))))</f>
        <v>location of industry</v>
      </c>
      <c r="BH1308" s="2" t="str" cm="1">
        <f t="array" ref="BH1308">IF(COUNTIF(BB1308:BD1308,"&lt;&gt;0")=1,INDEX($X$4:$AY$4,MATCH(TRUE,INDEX($X1308:$AY1308&lt;&gt;0,),0)),IF(COUNTIF(BB1308:BD1308,"&lt;&gt;0")=0,INDEX($AO$4:$AY$4,MATCH(1,$AO1308:$AY1308,0)),"Multiple strategies"))</f>
        <v>Supply chain</v>
      </c>
      <c r="BI1308" s="142" t="s">
        <v>321</v>
      </c>
      <c r="BJ1308" s="160" t="s">
        <v>1329</v>
      </c>
      <c r="BK1308" s="160" t="s">
        <v>1330</v>
      </c>
      <c r="BL1308" s="143" t="s">
        <v>498</v>
      </c>
      <c r="BM1308" s="143">
        <v>944</v>
      </c>
      <c r="BN1308" s="143">
        <v>1600</v>
      </c>
      <c r="BO1308">
        <f>IFERROR(BN1308/BM1308,"")</f>
        <v>1.6949152542372881</v>
      </c>
      <c r="BP1308">
        <f>BN1308-BM1308</f>
        <v>656</v>
      </c>
      <c r="BQ1308" s="159">
        <f>BP1308</f>
        <v>656</v>
      </c>
      <c r="BR1308" s="155" t="s">
        <v>232</v>
      </c>
      <c r="BS1308" s="155" t="s">
        <v>1331</v>
      </c>
      <c r="BT1308" s="155" t="s">
        <v>805</v>
      </c>
      <c r="BU1308" s="143" t="s">
        <v>1332</v>
      </c>
      <c r="BV1308" t="s">
        <v>1333</v>
      </c>
      <c r="BW1308" s="144">
        <f>BV1308/BU1308</f>
        <v>2.9358300142452731</v>
      </c>
      <c r="BX1308">
        <f>BV1308-BU1308</f>
        <v>-13.5858825</v>
      </c>
      <c r="BZ1308">
        <f>BX1308</f>
        <v>-13.5858825</v>
      </c>
      <c r="CA1308">
        <f>IFERROR(BZ1308/BQ1308,"")</f>
        <v>-2.0710186737804878E-2</v>
      </c>
      <c r="CB1308">
        <v>0</v>
      </c>
      <c r="CC1308">
        <v>0</v>
      </c>
      <c r="CD1308">
        <v>0</v>
      </c>
      <c r="CE1308">
        <v>0</v>
      </c>
      <c r="CF1308">
        <v>0</v>
      </c>
      <c r="CG1308">
        <v>0</v>
      </c>
      <c r="CH1308">
        <v>0</v>
      </c>
      <c r="CI1308">
        <v>0</v>
      </c>
      <c r="CJ1308">
        <v>0</v>
      </c>
      <c r="CK1308">
        <v>0</v>
      </c>
      <c r="CL1308">
        <v>0</v>
      </c>
      <c r="CM1308">
        <v>0</v>
      </c>
      <c r="CN1308">
        <v>0</v>
      </c>
      <c r="CO1308">
        <v>0</v>
      </c>
      <c r="CP1308" t="str">
        <f>IF($BN1308&lt;$BM1308,"refNeedCorrection","refOK")</f>
        <v>refOK</v>
      </c>
      <c r="CQ1308">
        <f>IF($CP1308="refOK",$BM1308,$BN1308)</f>
        <v>944</v>
      </c>
      <c r="CR1308">
        <f>IF($CP1308="refOK",$BN1308,$BM1308)</f>
        <v>1600</v>
      </c>
      <c r="CS1308">
        <f>IF($CP1308="refOK",$BQ1308,-$BQ1308)</f>
        <v>656</v>
      </c>
      <c r="CT1308">
        <f>IF(BI1308="Roundwood",$CS1308/2,$CS1308)</f>
        <v>328</v>
      </c>
      <c r="CU1308">
        <f>IF($CP1308="refOK",$BU1308,$BV1308)*IF($BR1308="Emissions positive",-1,1)</f>
        <v>-7.0181174999999998</v>
      </c>
      <c r="CV1308">
        <f>IF($CP1308="refOK",$BV1308,$BU1308)*IF($BR1308="Emissions positive",-1,1)</f>
        <v>-20.603999999999999</v>
      </c>
      <c r="CW1308">
        <f>IF($CP1308="refNeedCorrection",-BZ1308,BZ1308)*IF($BR1308="Emissions positive",-1,1)</f>
        <v>-13.5858825</v>
      </c>
      <c r="CX1308">
        <f>IFERROR($CW1308/$CS1308,"")</f>
        <v>-2.0710186737804878E-2</v>
      </c>
      <c r="CY1308">
        <f>IFERROR($CW1308/$CS1308,"")</f>
        <v>-2.0710186737804878E-2</v>
      </c>
      <c r="CZ1308">
        <f>IFERROR($CW1308/$CT1308,"")</f>
        <v>-4.1420373475609756E-2</v>
      </c>
      <c r="DA1308" s="2">
        <f>IFERROR((CV1308-CU1308)/ABS(CU1308),"")</f>
        <v>-1.9358300142452731</v>
      </c>
      <c r="DB1308" s="320" t="s">
        <v>1334</v>
      </c>
      <c r="DC1308" s="317" t="str">
        <f>IF(OR($DB1308="prd",$DB1308="std",$DB1308="cit"),"loc",IF(OR($DB1308="eur",$DB1308="reg",$DB1308="coy"),"reg",$DB1308))</f>
        <v>reg</v>
      </c>
      <c r="DD1308" s="321" t="s">
        <v>729</v>
      </c>
      <c r="DF1308" s="143"/>
      <c r="DG1308" s="143">
        <v>0</v>
      </c>
      <c r="DH1308" t="str">
        <f>IF(DG1308=0,"0",IF(AND(DG1308&gt;=1,DG1308&lt;=30),"1-30",IF(AND(DG1308&gt;30,DG1308&lt;=70),"31-70",IF(AND(DG1308&gt;70,DG1308&lt;=100),"71-100",IF(DG1308&gt;100,"+100")))))</f>
        <v>0</v>
      </c>
      <c r="DI1308">
        <v>0</v>
      </c>
      <c r="DJ1308">
        <v>1</v>
      </c>
      <c r="DK1308">
        <v>0</v>
      </c>
      <c r="DL1308">
        <v>0</v>
      </c>
      <c r="DM1308">
        <v>0</v>
      </c>
      <c r="DN1308">
        <f>SUM(DI1308:DM1308)</f>
        <v>1</v>
      </c>
      <c r="DO1308" t="str">
        <f>IF(DN1308=1,INDEX($DI$7:$DL$7,MATCH(1,$DI1308:$DL1308,0)),"mixedProduct")</f>
        <v>EnergyInput</v>
      </c>
      <c r="DP1308">
        <f>IF(DI1308=1,DP$7,0)</f>
        <v>0</v>
      </c>
      <c r="DQ1308" t="str">
        <f>IF(DJ1308=1,DQ$7,0)</f>
        <v>Energy</v>
      </c>
      <c r="DR1308">
        <f>IF(DK1308=1,DR$7,0)</f>
        <v>0</v>
      </c>
      <c r="DS1308">
        <f>IF(DL1308=1,DS$7,0)</f>
        <v>0</v>
      </c>
      <c r="DT1308">
        <v>0</v>
      </c>
      <c r="DU1308" s="143">
        <v>0</v>
      </c>
      <c r="DV1308" s="143">
        <v>0</v>
      </c>
      <c r="DW1308">
        <v>0</v>
      </c>
      <c r="DX1308" s="143">
        <v>0</v>
      </c>
      <c r="DY1308">
        <f>SUM(DT1308:DU1308)</f>
        <v>0</v>
      </c>
      <c r="DZ1308" s="143" t="str">
        <f>IF(DT1308=1,"self-calculated DF",IF(DU1308=1,"external DF used","explicit C balance"))</f>
        <v>explicit C balance</v>
      </c>
      <c r="EA1308" s="143">
        <v>0</v>
      </c>
      <c r="EB1308" s="143">
        <v>0</v>
      </c>
      <c r="EC1308" s="143">
        <v>0</v>
      </c>
      <c r="ED1308" s="143">
        <v>0</v>
      </c>
      <c r="EE1308">
        <v>0</v>
      </c>
      <c r="EF1308" s="143">
        <v>0</v>
      </c>
      <c r="EG1308" s="143">
        <v>1</v>
      </c>
      <c r="EH1308" s="143">
        <v>1</v>
      </c>
      <c r="EI1308" s="143">
        <v>0</v>
      </c>
      <c r="EJ1308">
        <v>1</v>
      </c>
      <c r="EK1308">
        <v>0</v>
      </c>
      <c r="EL1308" s="143">
        <v>0</v>
      </c>
      <c r="EM1308" s="143">
        <v>0</v>
      </c>
      <c r="EN1308" s="2">
        <v>0</v>
      </c>
      <c r="EP1308" t="str">
        <f>IF(AND(AND(AND(OR($EC1308=1,$EB1308=1),OR($EH1308=1,$EF1308=1)),SUM($EA1308:$EE1308,$EK1308)&gt;=3),SUM($EF1308:$EJ1308)&gt;=2),"Whole sector approach","")</f>
        <v/>
      </c>
      <c r="EQ1308" t="str">
        <f>IF(AND(AND(OR($EC1308=1,$EB1308=1),AND($EH1308=0,$EF1308=0)),SUM($EA1308:$EE1308,$EK1308)&gt;=3),"Ecosystem approach","")</f>
        <v/>
      </c>
      <c r="ER1308" s="2" t="str">
        <f>IF(AND(AND(AND($EC1308=0,$EB1308=0),OR($EH1308=1,$EF1308=1)),SUM($EG1308:$EJ1308)&gt;=2),"Technology approach","")</f>
        <v>Technology approach</v>
      </c>
      <c r="ES1308" t="str">
        <f>IF(AND($EC1308+$EB1308+$EE1308+$EA1308+$ED1308+$EG1308=0,$N1308="included"),"C neutral forest and HWP assumption","")</f>
        <v/>
      </c>
      <c r="ET1308" t="str">
        <f>IF(AND(AND(AND(AND($EC1308=1,$EB1308+$EA1308+$EG1308&gt;=1),$EF1308=1),$EH1308+$EI1308+$ED1308+$EE1308&gt;=2),$N1308="included"),"All C pools assumption","")</f>
        <v/>
      </c>
      <c r="EU1308" t="str">
        <f>IF(AND($ED1308+$EE1308+$EI1308+$EH1308+$EF1308=0,$N1308="included"),"In-situ only assumption","")</f>
        <v/>
      </c>
      <c r="EY1308" t="str">
        <f>IF(ISNUMBER(BW1308),IF(ABS(BW1308-[4]QC_indicators!$B$2)&gt;3*[4]QC_indicators!$C$2,"C ratio",IF(ISNUMBER(CA1308),IF(ABS(CA1308-[4]QC_indicators!$B$1)&gt;3*[4]QC_indicators!$C$1,"DF","no"))),IF(ISNUMBER(CA1308),IF(ABS(CA1308-[4]QC_indicators!$B$1)&gt;3*[4]QC_indicators!$C$1,"DF","no")))</f>
        <v>no</v>
      </c>
      <c r="FA1308" t="str">
        <f>IF(LEN($CY1308)=0,"",IF(AND($CY1308&lt;(-0.05),$ES1308="C neutral forest and HWP assumption"),"Cneutral paradox",IF(AND($CY1308&gt;0.05,$EU1308="In-situ only assumption"),"In-situ only paradox","")))</f>
        <v/>
      </c>
      <c r="FB1308" s="149"/>
    </row>
    <row r="1309" spans="1:158" ht="15" hidden="1" customHeight="1">
      <c r="A1309" s="1" t="s">
        <v>574</v>
      </c>
      <c r="B1309" t="s">
        <v>1320</v>
      </c>
      <c r="C1309" t="s">
        <v>1321</v>
      </c>
      <c r="D1309" t="s">
        <v>1322</v>
      </c>
      <c r="E1309" t="s">
        <v>1323</v>
      </c>
      <c r="F1309" t="s">
        <v>1324</v>
      </c>
      <c r="G1309" t="s">
        <v>580</v>
      </c>
      <c r="H1309" t="s">
        <v>254</v>
      </c>
      <c r="I1309">
        <v>2020</v>
      </c>
      <c r="J1309">
        <v>12</v>
      </c>
      <c r="K1309" t="s">
        <v>1325</v>
      </c>
      <c r="M1309" t="str">
        <f>LEFT($D1309,FIND(",",$D1309)-1)&amp;"_"&amp;I1309&amp;L1309</f>
        <v>Elisa_2020</v>
      </c>
      <c r="N1309" s="317" t="s">
        <v>222</v>
      </c>
      <c r="O1309" s="171" t="s">
        <v>274</v>
      </c>
      <c r="P1309" t="s">
        <v>223</v>
      </c>
      <c r="Q1309" s="317" t="s">
        <v>389</v>
      </c>
      <c r="R1309" s="318" t="s">
        <v>1029</v>
      </c>
      <c r="S1309" s="154" t="s">
        <v>1326</v>
      </c>
      <c r="T1309" s="319" t="s">
        <v>1327</v>
      </c>
      <c r="U1309" s="143" t="s">
        <v>1391</v>
      </c>
      <c r="V1309" s="253">
        <v>0</v>
      </c>
      <c r="W1309" s="253">
        <v>0</v>
      </c>
      <c r="X1309">
        <v>0</v>
      </c>
      <c r="Y1309">
        <v>0</v>
      </c>
      <c r="Z1309">
        <v>0</v>
      </c>
      <c r="AA1309">
        <v>0</v>
      </c>
      <c r="AB1309">
        <v>0</v>
      </c>
      <c r="AC1309">
        <v>0</v>
      </c>
      <c r="AD1309">
        <v>0</v>
      </c>
      <c r="AE1309">
        <v>0</v>
      </c>
      <c r="AF1309">
        <v>0</v>
      </c>
      <c r="AG1309">
        <v>1</v>
      </c>
      <c r="AH1309">
        <v>0</v>
      </c>
      <c r="AI1309">
        <v>0</v>
      </c>
      <c r="AJ1309">
        <v>0</v>
      </c>
      <c r="AK1309">
        <v>0</v>
      </c>
      <c r="AL1309">
        <v>0</v>
      </c>
      <c r="AM1309">
        <v>1</v>
      </c>
      <c r="AN1309">
        <v>0</v>
      </c>
      <c r="AO1309">
        <v>0</v>
      </c>
      <c r="AP1309">
        <v>0</v>
      </c>
      <c r="AQ1309">
        <v>0</v>
      </c>
      <c r="AR1309">
        <v>0</v>
      </c>
      <c r="AS1309">
        <v>0</v>
      </c>
      <c r="AT1309">
        <v>0</v>
      </c>
      <c r="AU1309">
        <v>0</v>
      </c>
      <c r="AV1309">
        <v>0</v>
      </c>
      <c r="AW1309">
        <v>0</v>
      </c>
      <c r="AX1309">
        <v>0</v>
      </c>
      <c r="AY1309">
        <v>0</v>
      </c>
      <c r="AZ1309" s="141">
        <f>COUNTIF(X1309:AY1309,"&lt;&gt;0")</f>
        <v>2</v>
      </c>
      <c r="BA1309" s="141">
        <f>COUNTIF(X1309:AN1309,"&lt;&gt;0")</f>
        <v>2</v>
      </c>
      <c r="BB1309">
        <f>COUNTIF(X1309:AE1309,"&lt;&gt;0")</f>
        <v>0</v>
      </c>
      <c r="BC1309">
        <f>COUNTIF(AF1309:AK1309,"&lt;&gt;0")</f>
        <v>1</v>
      </c>
      <c r="BD1309">
        <f>COUNTIF(AL1309:AN1309,"&lt;&gt;0")</f>
        <v>1</v>
      </c>
      <c r="BE1309">
        <f>COUNTIF(AU1309:AY1309,"&lt;&gt;0")</f>
        <v>0</v>
      </c>
      <c r="BF1309">
        <f>COUNTIF(AO1309:AT1309,"&lt;&gt;0")</f>
        <v>0</v>
      </c>
      <c r="BG1309" t="str" cm="1">
        <f t="array" ref="BG1309">IF(BA1309=1,INDEX($X$7:$AN$7,MATCH(TRUE,INDEX($X1309:$AY1309&lt;&gt;0,),0)),IF(BA1309=0,INDEX($AO$7:$AY$7,MATCH(1,$AO1309:$AY1309,0)),IF(BH1309="Multiple strategies","mixed drivers",IF(BH1309="Supply chain","multiple supply","multiple silviculture"))))</f>
        <v>mixed drivers</v>
      </c>
      <c r="BH1309" s="2" t="str" cm="1">
        <f t="array" ref="BH1309">IF(COUNTIF(BB1309:BD1309,"&lt;&gt;0")=1,INDEX($X$4:$AY$4,MATCH(TRUE,INDEX($X1309:$AY1309&lt;&gt;0,),0)),IF(COUNTIF(BB1309:BD1309,"&lt;&gt;0")=0,INDEX($AO$4:$AY$4,MATCH(1,$AO1309:$AY1309,0)),"Multiple strategies"))</f>
        <v>Multiple strategies</v>
      </c>
      <c r="BI1309" s="142" t="s">
        <v>321</v>
      </c>
      <c r="BJ1309" s="160" t="s">
        <v>1329</v>
      </c>
      <c r="BK1309" s="160" t="s">
        <v>1330</v>
      </c>
      <c r="BL1309" s="143" t="s">
        <v>498</v>
      </c>
      <c r="BM1309" s="143">
        <v>944</v>
      </c>
      <c r="BN1309" s="143">
        <v>2015</v>
      </c>
      <c r="BO1309">
        <f>IFERROR(BN1309/BM1309,"")</f>
        <v>2.1345338983050848</v>
      </c>
      <c r="BP1309">
        <f>BN1309-BM1309</f>
        <v>1071</v>
      </c>
      <c r="BQ1309" s="159">
        <f>BP1309</f>
        <v>1071</v>
      </c>
      <c r="BR1309" s="155" t="s">
        <v>232</v>
      </c>
      <c r="BS1309" s="155" t="s">
        <v>1331</v>
      </c>
      <c r="BT1309" s="155" t="s">
        <v>805</v>
      </c>
      <c r="BU1309" s="143" t="s">
        <v>1332</v>
      </c>
      <c r="BV1309" t="s">
        <v>1400</v>
      </c>
      <c r="BW1309" s="144">
        <f>BV1309/BU1309</f>
        <v>0.36404586652569865</v>
      </c>
      <c r="BX1309">
        <f>BV1309-BU1309</f>
        <v>4.46320083333333</v>
      </c>
      <c r="BZ1309">
        <f>BX1309</f>
        <v>4.46320083333333</v>
      </c>
      <c r="CA1309">
        <f>IFERROR(BZ1309/BQ1309,"")</f>
        <v>4.1673210395269189E-3</v>
      </c>
      <c r="CB1309">
        <v>0</v>
      </c>
      <c r="CC1309">
        <v>0</v>
      </c>
      <c r="CD1309">
        <v>0</v>
      </c>
      <c r="CE1309">
        <v>0</v>
      </c>
      <c r="CF1309">
        <v>0</v>
      </c>
      <c r="CG1309">
        <v>0</v>
      </c>
      <c r="CH1309">
        <v>0</v>
      </c>
      <c r="CI1309">
        <v>0</v>
      </c>
      <c r="CJ1309">
        <v>0</v>
      </c>
      <c r="CK1309">
        <v>0</v>
      </c>
      <c r="CL1309">
        <v>0</v>
      </c>
      <c r="CM1309">
        <v>0</v>
      </c>
      <c r="CN1309">
        <v>0</v>
      </c>
      <c r="CO1309">
        <v>0</v>
      </c>
      <c r="CP1309" t="str">
        <f>IF($BN1309&lt;$BM1309,"refNeedCorrection","refOK")</f>
        <v>refOK</v>
      </c>
      <c r="CQ1309">
        <f>IF($CP1309="refOK",$BM1309,$BN1309)</f>
        <v>944</v>
      </c>
      <c r="CR1309">
        <f>IF($CP1309="refOK",$BN1309,$BM1309)</f>
        <v>2015</v>
      </c>
      <c r="CS1309">
        <f>IF($CP1309="refOK",$BQ1309,-$BQ1309)</f>
        <v>1071</v>
      </c>
      <c r="CT1309">
        <f>IF(BI1309="Roundwood",$CS1309/2,$CS1309)</f>
        <v>535.5</v>
      </c>
      <c r="CU1309">
        <f>IF($CP1309="refOK",$BU1309,$BV1309)*IF($BR1309="Emissions positive",-1,1)</f>
        <v>-7.0181174999999998</v>
      </c>
      <c r="CV1309">
        <f>IF($CP1309="refOK",$BV1309,$BU1309)*IF($BR1309="Emissions positive",-1,1)</f>
        <v>-2.5549166666666698</v>
      </c>
      <c r="CW1309">
        <f>IF($CP1309="refNeedCorrection",-BZ1309,BZ1309)*IF($BR1309="Emissions positive",-1,1)</f>
        <v>4.46320083333333</v>
      </c>
      <c r="CX1309">
        <f>IFERROR($CW1309/$CS1309,"")</f>
        <v>4.1673210395269189E-3</v>
      </c>
      <c r="CY1309">
        <f>IFERROR($CW1309/$CS1309,"")</f>
        <v>4.1673210395269189E-3</v>
      </c>
      <c r="CZ1309">
        <f>IFERROR($CW1309/$CT1309,"")</f>
        <v>8.3346420790538379E-3</v>
      </c>
      <c r="DA1309" s="2">
        <f>IFERROR((CV1309-CU1309)/ABS(CU1309),"")</f>
        <v>0.6359541334743013</v>
      </c>
      <c r="DB1309" s="320" t="s">
        <v>1334</v>
      </c>
      <c r="DC1309" s="317" t="str">
        <f>IF(OR($DB1309="prd",$DB1309="std",$DB1309="cit"),"loc",IF(OR($DB1309="eur",$DB1309="reg",$DB1309="coy"),"reg",$DB1309))</f>
        <v>reg</v>
      </c>
      <c r="DD1309" s="321" t="s">
        <v>729</v>
      </c>
      <c r="DF1309" s="143"/>
      <c r="DG1309" s="143">
        <v>0</v>
      </c>
      <c r="DH1309" t="str">
        <f>IF(DG1309=0,"0",IF(AND(DG1309&gt;=1,DG1309&lt;=30),"1-30",IF(AND(DG1309&gt;30,DG1309&lt;=70),"31-70",IF(AND(DG1309&gt;70,DG1309&lt;=100),"71-100",IF(DG1309&gt;100,"+100")))))</f>
        <v>0</v>
      </c>
      <c r="DI1309">
        <v>0</v>
      </c>
      <c r="DJ1309">
        <v>1</v>
      </c>
      <c r="DK1309">
        <v>0</v>
      </c>
      <c r="DL1309">
        <v>0</v>
      </c>
      <c r="DM1309">
        <v>0</v>
      </c>
      <c r="DN1309">
        <f>SUM(DI1309:DM1309)</f>
        <v>1</v>
      </c>
      <c r="DO1309" t="str">
        <f>IF(DN1309=1,INDEX($DI$7:$DL$7,MATCH(1,$DI1309:$DL1309,0)),"mixedProduct")</f>
        <v>EnergyInput</v>
      </c>
      <c r="DP1309">
        <f>IF(DI1309=1,DP$7,0)</f>
        <v>0</v>
      </c>
      <c r="DQ1309" t="str">
        <f>IF(DJ1309=1,DQ$7,0)</f>
        <v>Energy</v>
      </c>
      <c r="DR1309">
        <f>IF(DK1309=1,DR$7,0)</f>
        <v>0</v>
      </c>
      <c r="DS1309">
        <f>IF(DL1309=1,DS$7,0)</f>
        <v>0</v>
      </c>
      <c r="DT1309">
        <v>0</v>
      </c>
      <c r="DU1309" s="143">
        <v>0</v>
      </c>
      <c r="DV1309" s="143">
        <v>0</v>
      </c>
      <c r="DW1309">
        <v>0</v>
      </c>
      <c r="DX1309" s="143">
        <v>0</v>
      </c>
      <c r="DY1309">
        <f>SUM(DT1309:DU1309)</f>
        <v>0</v>
      </c>
      <c r="DZ1309" s="143" t="str">
        <f>IF(DT1309=1,"self-calculated DF",IF(DU1309=1,"external DF used","explicit C balance"))</f>
        <v>explicit C balance</v>
      </c>
      <c r="EA1309" s="143">
        <v>0</v>
      </c>
      <c r="EB1309" s="143">
        <v>0</v>
      </c>
      <c r="EC1309" s="143">
        <v>0</v>
      </c>
      <c r="ED1309" s="143">
        <v>0</v>
      </c>
      <c r="EE1309">
        <v>0</v>
      </c>
      <c r="EF1309" s="143">
        <v>0</v>
      </c>
      <c r="EG1309" s="143">
        <v>1</v>
      </c>
      <c r="EH1309" s="143">
        <v>1</v>
      </c>
      <c r="EI1309" s="143">
        <v>0</v>
      </c>
      <c r="EJ1309">
        <v>1</v>
      </c>
      <c r="EK1309">
        <v>0</v>
      </c>
      <c r="EL1309" s="143">
        <v>0</v>
      </c>
      <c r="EM1309" s="143">
        <v>0</v>
      </c>
      <c r="EN1309" s="2">
        <v>0</v>
      </c>
      <c r="EP1309" t="str">
        <f>IF(AND(AND(AND(OR($EC1309=1,$EB1309=1),OR($EH1309=1,$EF1309=1)),SUM($EA1309:$EE1309,$EK1309)&gt;=3),SUM($EF1309:$EJ1309)&gt;=2),"Whole sector approach","")</f>
        <v/>
      </c>
      <c r="EQ1309" t="str">
        <f>IF(AND(AND(OR($EC1309=1,$EB1309=1),AND($EH1309=0,$EF1309=0)),SUM($EA1309:$EE1309,$EK1309)&gt;=3),"Ecosystem approach","")</f>
        <v/>
      </c>
      <c r="ER1309" s="2" t="str">
        <f>IF(AND(AND(AND($EC1309=0,$EB1309=0),OR($EH1309=1,$EF1309=1)),SUM($EG1309:$EJ1309)&gt;=2),"Technology approach","")</f>
        <v>Technology approach</v>
      </c>
      <c r="ES1309" t="str">
        <f>IF(AND($EC1309+$EB1309+$EE1309+$EA1309+$ED1309+$EG1309=0,$N1309="included"),"C neutral forest and HWP assumption","")</f>
        <v/>
      </c>
      <c r="ET1309" t="str">
        <f>IF(AND(AND(AND(AND($EC1309=1,$EB1309+$EA1309+$EG1309&gt;=1),$EF1309=1),$EH1309+$EI1309+$ED1309+$EE1309&gt;=2),$N1309="included"),"All C pools assumption","")</f>
        <v/>
      </c>
      <c r="EU1309" t="str">
        <f>IF(AND($ED1309+$EE1309+$EI1309+$EH1309+$EF1309=0,$N1309="included"),"In-situ only assumption","")</f>
        <v/>
      </c>
      <c r="EY1309" t="str">
        <f>IF(ISNUMBER(BW1309),IF(ABS(BW1309-[4]QC_indicators!$B$2)&gt;3*[4]QC_indicators!$C$2,"C ratio",IF(ISNUMBER(CA1309),IF(ABS(CA1309-[4]QC_indicators!$B$1)&gt;3*[4]QC_indicators!$C$1,"DF","no"))),IF(ISNUMBER(CA1309),IF(ABS(CA1309-[4]QC_indicators!$B$1)&gt;3*[4]QC_indicators!$C$1,"DF","no")))</f>
        <v>no</v>
      </c>
      <c r="FA1309" t="str">
        <f>IF(LEN($CY1309)=0,"",IF(AND($CY1309&lt;(-0.05),$ES1309="C neutral forest and HWP assumption"),"Cneutral paradox",IF(AND($CY1309&gt;0.05,$EU1309="In-situ only assumption"),"In-situ only paradox","")))</f>
        <v/>
      </c>
      <c r="FB1309" s="149"/>
    </row>
    <row r="1310" spans="1:158" ht="15" hidden="1" customHeight="1">
      <c r="A1310" s="1" t="s">
        <v>574</v>
      </c>
      <c r="B1310" t="s">
        <v>1320</v>
      </c>
      <c r="C1310" t="s">
        <v>1321</v>
      </c>
      <c r="D1310" t="s">
        <v>1322</v>
      </c>
      <c r="E1310" t="s">
        <v>1323</v>
      </c>
      <c r="F1310" t="s">
        <v>1324</v>
      </c>
      <c r="G1310" t="s">
        <v>580</v>
      </c>
      <c r="H1310" t="s">
        <v>254</v>
      </c>
      <c r="I1310">
        <v>2020</v>
      </c>
      <c r="J1310">
        <v>12</v>
      </c>
      <c r="K1310" t="s">
        <v>1325</v>
      </c>
      <c r="M1310" t="str">
        <f>LEFT($D1310,FIND(",",$D1310)-1)&amp;"_"&amp;I1310&amp;L1310</f>
        <v>Elisa_2020</v>
      </c>
      <c r="N1310" s="317" t="s">
        <v>222</v>
      </c>
      <c r="O1310" s="171" t="s">
        <v>274</v>
      </c>
      <c r="P1310" t="s">
        <v>223</v>
      </c>
      <c r="Q1310" s="317" t="s">
        <v>389</v>
      </c>
      <c r="R1310" s="318" t="s">
        <v>1029</v>
      </c>
      <c r="S1310" s="154" t="s">
        <v>1326</v>
      </c>
      <c r="T1310" s="319" t="s">
        <v>1327</v>
      </c>
      <c r="U1310" s="143" t="s">
        <v>1385</v>
      </c>
      <c r="V1310" s="253">
        <v>0</v>
      </c>
      <c r="W1310" s="253">
        <v>0</v>
      </c>
      <c r="X1310">
        <v>0</v>
      </c>
      <c r="Y1310">
        <v>0</v>
      </c>
      <c r="Z1310">
        <v>0</v>
      </c>
      <c r="AA1310">
        <v>0</v>
      </c>
      <c r="AB1310">
        <v>0</v>
      </c>
      <c r="AC1310">
        <v>0</v>
      </c>
      <c r="AD1310">
        <v>0</v>
      </c>
      <c r="AE1310">
        <v>0</v>
      </c>
      <c r="AF1310">
        <v>0</v>
      </c>
      <c r="AG1310">
        <v>1</v>
      </c>
      <c r="AH1310">
        <v>0</v>
      </c>
      <c r="AI1310">
        <v>0</v>
      </c>
      <c r="AJ1310">
        <v>0</v>
      </c>
      <c r="AK1310">
        <v>0</v>
      </c>
      <c r="AL1310">
        <v>0</v>
      </c>
      <c r="AM1310">
        <v>1</v>
      </c>
      <c r="AN1310">
        <v>0</v>
      </c>
      <c r="AO1310">
        <v>0</v>
      </c>
      <c r="AP1310">
        <v>0</v>
      </c>
      <c r="AQ1310">
        <v>0</v>
      </c>
      <c r="AR1310">
        <v>0</v>
      </c>
      <c r="AS1310">
        <v>0</v>
      </c>
      <c r="AT1310">
        <v>0</v>
      </c>
      <c r="AU1310">
        <v>0</v>
      </c>
      <c r="AV1310">
        <v>0</v>
      </c>
      <c r="AW1310">
        <v>0</v>
      </c>
      <c r="AX1310">
        <v>0</v>
      </c>
      <c r="AY1310">
        <v>0</v>
      </c>
      <c r="AZ1310" s="141">
        <f>COUNTIF(X1310:AY1310,"&lt;&gt;0")</f>
        <v>2</v>
      </c>
      <c r="BA1310" s="141">
        <f>COUNTIF(X1310:AN1310,"&lt;&gt;0")</f>
        <v>2</v>
      </c>
      <c r="BB1310">
        <f>COUNTIF(X1310:AE1310,"&lt;&gt;0")</f>
        <v>0</v>
      </c>
      <c r="BC1310">
        <f>COUNTIF(AF1310:AK1310,"&lt;&gt;0")</f>
        <v>1</v>
      </c>
      <c r="BD1310">
        <f>COUNTIF(AL1310:AN1310,"&lt;&gt;0")</f>
        <v>1</v>
      </c>
      <c r="BE1310">
        <f>COUNTIF(AU1310:AY1310,"&lt;&gt;0")</f>
        <v>0</v>
      </c>
      <c r="BF1310">
        <f>COUNTIF(AO1310:AT1310,"&lt;&gt;0")</f>
        <v>0</v>
      </c>
      <c r="BG1310" t="str" cm="1">
        <f t="array" ref="BG1310">IF(BA1310=1,INDEX($X$7:$AN$7,MATCH(TRUE,INDEX($X1310:$AY1310&lt;&gt;0,),0)),IF(BA1310=0,INDEX($AO$7:$AY$7,MATCH(1,$AO1310:$AY1310,0)),IF(BH1310="Multiple strategies","mixed drivers",IF(BH1310="Supply chain","multiple supply","multiple silviculture"))))</f>
        <v>mixed drivers</v>
      </c>
      <c r="BH1310" s="2" t="str" cm="1">
        <f t="array" ref="BH1310">IF(COUNTIF(BB1310:BD1310,"&lt;&gt;0")=1,INDEX($X$4:$AY$4,MATCH(TRUE,INDEX($X1310:$AY1310&lt;&gt;0,),0)),IF(COUNTIF(BB1310:BD1310,"&lt;&gt;0")=0,INDEX($AO$4:$AY$4,MATCH(1,$AO1310:$AY1310,0)),"Multiple strategies"))</f>
        <v>Multiple strategies</v>
      </c>
      <c r="BI1310" s="142" t="s">
        <v>321</v>
      </c>
      <c r="BJ1310" s="160" t="s">
        <v>1329</v>
      </c>
      <c r="BK1310" s="160" t="s">
        <v>1330</v>
      </c>
      <c r="BL1310" s="143" t="s">
        <v>498</v>
      </c>
      <c r="BM1310" s="143">
        <v>944</v>
      </c>
      <c r="BN1310" s="143">
        <v>2500</v>
      </c>
      <c r="BO1310">
        <f>IFERROR(BN1310/BM1310,"")</f>
        <v>2.6483050847457625</v>
      </c>
      <c r="BP1310">
        <f>BN1310-BM1310</f>
        <v>1556</v>
      </c>
      <c r="BQ1310" s="159">
        <f>BP1310</f>
        <v>1556</v>
      </c>
      <c r="BR1310" s="155" t="s">
        <v>232</v>
      </c>
      <c r="BS1310" s="155" t="s">
        <v>1331</v>
      </c>
      <c r="BT1310" s="155" t="s">
        <v>805</v>
      </c>
      <c r="BU1310" s="143" t="s">
        <v>1332</v>
      </c>
      <c r="BV1310" t="s">
        <v>1398</v>
      </c>
      <c r="BW1310" s="144">
        <f>BV1310/BU1310</f>
        <v>0.42034063977982705</v>
      </c>
      <c r="BX1310">
        <f>BV1310-BU1310</f>
        <v>4.0681174999999996</v>
      </c>
      <c r="BZ1310">
        <f>BX1310</f>
        <v>4.0681174999999996</v>
      </c>
      <c r="CA1310">
        <f>IFERROR(BZ1310/BQ1310,"")</f>
        <v>2.6144714010282776E-3</v>
      </c>
      <c r="CB1310">
        <v>0</v>
      </c>
      <c r="CC1310">
        <v>0</v>
      </c>
      <c r="CD1310">
        <v>0</v>
      </c>
      <c r="CE1310">
        <v>0</v>
      </c>
      <c r="CF1310">
        <v>0</v>
      </c>
      <c r="CG1310">
        <v>0</v>
      </c>
      <c r="CH1310">
        <v>0</v>
      </c>
      <c r="CI1310">
        <v>0</v>
      </c>
      <c r="CJ1310">
        <v>0</v>
      </c>
      <c r="CK1310">
        <v>0</v>
      </c>
      <c r="CL1310">
        <v>0</v>
      </c>
      <c r="CM1310">
        <v>0</v>
      </c>
      <c r="CN1310">
        <v>0</v>
      </c>
      <c r="CO1310">
        <v>0</v>
      </c>
      <c r="CP1310" t="str">
        <f>IF($BN1310&lt;$BM1310,"refNeedCorrection","refOK")</f>
        <v>refOK</v>
      </c>
      <c r="CQ1310">
        <f>IF($CP1310="refOK",$BM1310,$BN1310)</f>
        <v>944</v>
      </c>
      <c r="CR1310">
        <f>IF($CP1310="refOK",$BN1310,$BM1310)</f>
        <v>2500</v>
      </c>
      <c r="CS1310">
        <f>IF($CP1310="refOK",$BQ1310,-$BQ1310)</f>
        <v>1556</v>
      </c>
      <c r="CT1310">
        <f>IF(BI1310="Roundwood",$CS1310/2,$CS1310)</f>
        <v>778</v>
      </c>
      <c r="CU1310">
        <f>IF($CP1310="refOK",$BU1310,$BV1310)*IF($BR1310="Emissions positive",-1,1)</f>
        <v>-7.0181174999999998</v>
      </c>
      <c r="CV1310">
        <f>IF($CP1310="refOK",$BV1310,$BU1310)*IF($BR1310="Emissions positive",-1,1)</f>
        <v>-2.95</v>
      </c>
      <c r="CW1310">
        <f>IF($CP1310="refNeedCorrection",-BZ1310,BZ1310)*IF($BR1310="Emissions positive",-1,1)</f>
        <v>4.0681174999999996</v>
      </c>
      <c r="CX1310">
        <f>IFERROR($CW1310/$CS1310,"")</f>
        <v>2.6144714010282776E-3</v>
      </c>
      <c r="CY1310">
        <f>IFERROR($CW1310/$CS1310,"")</f>
        <v>2.6144714010282776E-3</v>
      </c>
      <c r="CZ1310">
        <f>IFERROR($CW1310/$CT1310,"")</f>
        <v>5.2289428020565552E-3</v>
      </c>
      <c r="DA1310" s="2">
        <f>IFERROR((CV1310-CU1310)/ABS(CU1310),"")</f>
        <v>0.57965936022017295</v>
      </c>
      <c r="DB1310" s="320" t="s">
        <v>1334</v>
      </c>
      <c r="DC1310" s="317" t="str">
        <f>IF(OR($DB1310="prd",$DB1310="std",$DB1310="cit"),"loc",IF(OR($DB1310="eur",$DB1310="reg",$DB1310="coy"),"reg",$DB1310))</f>
        <v>reg</v>
      </c>
      <c r="DD1310" s="321" t="s">
        <v>729</v>
      </c>
      <c r="DF1310" s="143"/>
      <c r="DG1310" s="143">
        <v>0</v>
      </c>
      <c r="DH1310" t="str">
        <f>IF(DG1310=0,"0",IF(AND(DG1310&gt;=1,DG1310&lt;=30),"1-30",IF(AND(DG1310&gt;30,DG1310&lt;=70),"31-70",IF(AND(DG1310&gt;70,DG1310&lt;=100),"71-100",IF(DG1310&gt;100,"+100")))))</f>
        <v>0</v>
      </c>
      <c r="DI1310">
        <v>0</v>
      </c>
      <c r="DJ1310">
        <v>1</v>
      </c>
      <c r="DK1310">
        <v>0</v>
      </c>
      <c r="DL1310">
        <v>0</v>
      </c>
      <c r="DM1310">
        <v>0</v>
      </c>
      <c r="DN1310">
        <f>SUM(DI1310:DM1310)</f>
        <v>1</v>
      </c>
      <c r="DO1310" t="str">
        <f>IF(DN1310=1,INDEX($DI$7:$DL$7,MATCH(1,$DI1310:$DL1310,0)),"mixedProduct")</f>
        <v>EnergyInput</v>
      </c>
      <c r="DP1310">
        <f>IF(DI1310=1,DP$7,0)</f>
        <v>0</v>
      </c>
      <c r="DQ1310" t="str">
        <f>IF(DJ1310=1,DQ$7,0)</f>
        <v>Energy</v>
      </c>
      <c r="DR1310">
        <f>IF(DK1310=1,DR$7,0)</f>
        <v>0</v>
      </c>
      <c r="DS1310">
        <f>IF(DL1310=1,DS$7,0)</f>
        <v>0</v>
      </c>
      <c r="DT1310">
        <v>0</v>
      </c>
      <c r="DU1310" s="143">
        <v>0</v>
      </c>
      <c r="DV1310" s="143">
        <v>0</v>
      </c>
      <c r="DW1310">
        <v>0</v>
      </c>
      <c r="DX1310" s="143">
        <v>0</v>
      </c>
      <c r="DY1310">
        <f>SUM(DT1310:DU1310)</f>
        <v>0</v>
      </c>
      <c r="DZ1310" s="143" t="str">
        <f>IF(DT1310=1,"self-calculated DF",IF(DU1310=1,"external DF used","explicit C balance"))</f>
        <v>explicit C balance</v>
      </c>
      <c r="EA1310" s="143">
        <v>0</v>
      </c>
      <c r="EB1310" s="143">
        <v>0</v>
      </c>
      <c r="EC1310" s="143">
        <v>0</v>
      </c>
      <c r="ED1310" s="143">
        <v>0</v>
      </c>
      <c r="EE1310">
        <v>0</v>
      </c>
      <c r="EF1310" s="143">
        <v>0</v>
      </c>
      <c r="EG1310" s="143">
        <v>1</v>
      </c>
      <c r="EH1310" s="143">
        <v>1</v>
      </c>
      <c r="EI1310" s="143">
        <v>0</v>
      </c>
      <c r="EJ1310">
        <v>1</v>
      </c>
      <c r="EK1310">
        <v>0</v>
      </c>
      <c r="EL1310" s="143">
        <v>0</v>
      </c>
      <c r="EM1310" s="143">
        <v>0</v>
      </c>
      <c r="EN1310" s="2">
        <v>0</v>
      </c>
      <c r="EP1310" t="str">
        <f>IF(AND(AND(AND(OR($EC1310=1,$EB1310=1),OR($EH1310=1,$EF1310=1)),SUM($EA1310:$EE1310,$EK1310)&gt;=3),SUM($EF1310:$EJ1310)&gt;=2),"Whole sector approach","")</f>
        <v/>
      </c>
      <c r="EQ1310" t="str">
        <f>IF(AND(AND(OR($EC1310=1,$EB1310=1),AND($EH1310=0,$EF1310=0)),SUM($EA1310:$EE1310,$EK1310)&gt;=3),"Ecosystem approach","")</f>
        <v/>
      </c>
      <c r="ER1310" s="2" t="str">
        <f>IF(AND(AND(AND($EC1310=0,$EB1310=0),OR($EH1310=1,$EF1310=1)),SUM($EG1310:$EJ1310)&gt;=2),"Technology approach","")</f>
        <v>Technology approach</v>
      </c>
      <c r="ES1310" t="str">
        <f>IF(AND($EC1310+$EB1310+$EE1310+$EA1310+$ED1310+$EG1310=0,$N1310="included"),"C neutral forest and HWP assumption","")</f>
        <v/>
      </c>
      <c r="ET1310" t="str">
        <f>IF(AND(AND(AND(AND($EC1310=1,$EB1310+$EA1310+$EG1310&gt;=1),$EF1310=1),$EH1310+$EI1310+$ED1310+$EE1310&gt;=2),$N1310="included"),"All C pools assumption","")</f>
        <v/>
      </c>
      <c r="EU1310" t="str">
        <f>IF(AND($ED1310+$EE1310+$EI1310+$EH1310+$EF1310=0,$N1310="included"),"In-situ only assumption","")</f>
        <v/>
      </c>
      <c r="EY1310" t="str">
        <f>IF(ISNUMBER(BW1310),IF(ABS(BW1310-[4]QC_indicators!$B$2)&gt;3*[4]QC_indicators!$C$2,"C ratio",IF(ISNUMBER(CA1310),IF(ABS(CA1310-[4]QC_indicators!$B$1)&gt;3*[4]QC_indicators!$C$1,"DF","no"))),IF(ISNUMBER(CA1310),IF(ABS(CA1310-[4]QC_indicators!$B$1)&gt;3*[4]QC_indicators!$C$1,"DF","no")))</f>
        <v>no</v>
      </c>
      <c r="FA1310" t="str">
        <f>IF(LEN($CY1310)=0,"",IF(AND($CY1310&lt;(-0.05),$ES1310="C neutral forest and HWP assumption"),"Cneutral paradox",IF(AND($CY1310&gt;0.05,$EU1310="In-situ only assumption"),"In-situ only paradox","")))</f>
        <v/>
      </c>
      <c r="FB1310" s="149"/>
    </row>
    <row r="1311" spans="1:158" ht="18" customHeight="1">
      <c r="A1311" s="1" t="s">
        <v>574</v>
      </c>
      <c r="B1311" t="s">
        <v>1320</v>
      </c>
      <c r="C1311" t="s">
        <v>1321</v>
      </c>
      <c r="D1311" t="s">
        <v>1322</v>
      </c>
      <c r="E1311" t="s">
        <v>1323</v>
      </c>
      <c r="F1311" t="s">
        <v>1324</v>
      </c>
      <c r="G1311" t="s">
        <v>580</v>
      </c>
      <c r="H1311" t="s">
        <v>254</v>
      </c>
      <c r="I1311">
        <v>2020</v>
      </c>
      <c r="J1311">
        <v>12</v>
      </c>
      <c r="K1311" t="s">
        <v>1325</v>
      </c>
      <c r="M1311" t="str">
        <f>LEFT($D1311,FIND(",",$D1311)-1)&amp;"_"&amp;I1311&amp;L1311</f>
        <v>Elisa_2020</v>
      </c>
      <c r="N1311" s="317" t="s">
        <v>222</v>
      </c>
      <c r="O1311" s="171" t="s">
        <v>274</v>
      </c>
      <c r="P1311" t="s">
        <v>223</v>
      </c>
      <c r="Q1311" s="317" t="s">
        <v>389</v>
      </c>
      <c r="R1311" s="318" t="s">
        <v>1029</v>
      </c>
      <c r="S1311" s="154" t="s">
        <v>1326</v>
      </c>
      <c r="T1311" s="319" t="s">
        <v>1327</v>
      </c>
      <c r="U1311" s="143" t="s">
        <v>1377</v>
      </c>
      <c r="V1311" s="253">
        <v>0</v>
      </c>
      <c r="W1311" s="253">
        <v>0</v>
      </c>
      <c r="X1311">
        <v>0</v>
      </c>
      <c r="Y1311">
        <v>0</v>
      </c>
      <c r="Z1311">
        <v>0</v>
      </c>
      <c r="AA1311">
        <v>0</v>
      </c>
      <c r="AB1311">
        <v>0</v>
      </c>
      <c r="AC1311">
        <v>0</v>
      </c>
      <c r="AD1311">
        <v>0</v>
      </c>
      <c r="AE1311">
        <v>0</v>
      </c>
      <c r="AF1311">
        <v>0</v>
      </c>
      <c r="AG1311">
        <v>1</v>
      </c>
      <c r="AH1311">
        <v>0</v>
      </c>
      <c r="AI1311">
        <v>0</v>
      </c>
      <c r="AJ1311">
        <v>0</v>
      </c>
      <c r="AK1311">
        <v>0</v>
      </c>
      <c r="AL1311">
        <v>0</v>
      </c>
      <c r="AM1311">
        <v>1</v>
      </c>
      <c r="AN1311">
        <v>0</v>
      </c>
      <c r="AO1311">
        <v>0</v>
      </c>
      <c r="AP1311">
        <v>0</v>
      </c>
      <c r="AQ1311">
        <v>0</v>
      </c>
      <c r="AR1311">
        <v>0</v>
      </c>
      <c r="AS1311">
        <v>0</v>
      </c>
      <c r="AT1311">
        <v>0</v>
      </c>
      <c r="AU1311">
        <v>0</v>
      </c>
      <c r="AV1311">
        <v>0</v>
      </c>
      <c r="AW1311">
        <v>0</v>
      </c>
      <c r="AX1311">
        <v>0</v>
      </c>
      <c r="AY1311">
        <v>0</v>
      </c>
      <c r="AZ1311" s="141">
        <f>COUNTIF(X1311:AY1311,"&lt;&gt;0")</f>
        <v>2</v>
      </c>
      <c r="BA1311" s="141">
        <f>COUNTIF(X1311:AN1311,"&lt;&gt;0")</f>
        <v>2</v>
      </c>
      <c r="BB1311">
        <f>COUNTIF(X1311:AE1311,"&lt;&gt;0")</f>
        <v>0</v>
      </c>
      <c r="BC1311">
        <f>COUNTIF(AF1311:AK1311,"&lt;&gt;0")</f>
        <v>1</v>
      </c>
      <c r="BD1311">
        <f>COUNTIF(AL1311:AN1311,"&lt;&gt;0")</f>
        <v>1</v>
      </c>
      <c r="BE1311">
        <f>COUNTIF(AU1311:AY1311,"&lt;&gt;0")</f>
        <v>0</v>
      </c>
      <c r="BF1311">
        <f>COUNTIF(AO1311:AT1311,"&lt;&gt;0")</f>
        <v>0</v>
      </c>
      <c r="BG1311" t="str" cm="1">
        <f t="array" ref="BG1311">IF(BA1311=1,INDEX($X$7:$AN$7,MATCH(TRUE,INDEX($X1311:$AY1311&lt;&gt;0,),0)),IF(BA1311=0,INDEX($AO$7:$AY$7,MATCH(1,$AO1311:$AY1311,0)),IF(BH1311="Multiple strategies","mixed drivers",IF(BH1311="Supply chain","multiple supply","multiple silviculture"))))</f>
        <v>mixed drivers</v>
      </c>
      <c r="BH1311" s="2" t="str" cm="1">
        <f t="array" ref="BH1311">IF(COUNTIF(BB1311:BD1311,"&lt;&gt;0")=1,INDEX($X$4:$AY$4,MATCH(TRUE,INDEX($X1311:$AY1311&lt;&gt;0,),0)),IF(COUNTIF(BB1311:BD1311,"&lt;&gt;0")=0,INDEX($AO$4:$AY$4,MATCH(1,$AO1311:$AY1311,0)),"Multiple strategies"))</f>
        <v>Multiple strategies</v>
      </c>
      <c r="BI1311" s="142" t="s">
        <v>321</v>
      </c>
      <c r="BJ1311" s="160" t="s">
        <v>1329</v>
      </c>
      <c r="BK1311" s="160" t="s">
        <v>1330</v>
      </c>
      <c r="BL1311" s="143" t="s">
        <v>498</v>
      </c>
      <c r="BM1311" s="143">
        <v>944</v>
      </c>
      <c r="BN1311" s="143">
        <v>106341</v>
      </c>
      <c r="BO1311">
        <f>IFERROR(BN1312/BM1311,"")</f>
        <v>143.7415254237288</v>
      </c>
      <c r="BP1311">
        <f>BN1311-BM1311</f>
        <v>105397</v>
      </c>
      <c r="BQ1311" s="159">
        <f>BP1311</f>
        <v>105397</v>
      </c>
      <c r="BR1311" s="155" t="s">
        <v>232</v>
      </c>
      <c r="BS1311" s="155" t="s">
        <v>1331</v>
      </c>
      <c r="BT1311" s="155" t="s">
        <v>805</v>
      </c>
      <c r="BU1311" s="143" t="s">
        <v>1349</v>
      </c>
      <c r="BV1311" t="s">
        <v>1397</v>
      </c>
      <c r="BW1311" s="144">
        <f>BV1311/BU1311</f>
        <v>46.240355689953759</v>
      </c>
      <c r="BX1311">
        <f>BV1311-BU1311</f>
        <v>-4.8622072277777804</v>
      </c>
      <c r="BZ1311">
        <f>BX1311</f>
        <v>-4.8622072277777804</v>
      </c>
      <c r="CA1311">
        <f>IFERROR(BZ1311/BQ1311,"")</f>
        <v>-4.6132311429905788E-5</v>
      </c>
      <c r="CB1311">
        <v>0</v>
      </c>
      <c r="CC1311">
        <v>0</v>
      </c>
      <c r="CD1311">
        <v>0</v>
      </c>
      <c r="CE1311">
        <v>0</v>
      </c>
      <c r="CF1311">
        <v>0</v>
      </c>
      <c r="CG1311">
        <v>0</v>
      </c>
      <c r="CH1311">
        <v>0</v>
      </c>
      <c r="CI1311">
        <v>0</v>
      </c>
      <c r="CJ1311">
        <v>0</v>
      </c>
      <c r="CK1311">
        <v>0</v>
      </c>
      <c r="CL1311">
        <v>0</v>
      </c>
      <c r="CM1311">
        <v>0</v>
      </c>
      <c r="CN1311">
        <v>0</v>
      </c>
      <c r="CO1311">
        <v>0</v>
      </c>
      <c r="CP1311" t="str">
        <f>IF($BN1311&lt;$BM1311,"refNeedCorrection","refOK")</f>
        <v>refOK</v>
      </c>
      <c r="CQ1311">
        <f>IF($CP1311="refOK",$BM1311,$BN1311)</f>
        <v>944</v>
      </c>
      <c r="CR1311">
        <f>IF($CP1311="refOK",$BN1311,$BM1311)</f>
        <v>106341</v>
      </c>
      <c r="CS1311">
        <f>IF($CP1311="refOK",$BQ1311,-$BQ1311)</f>
        <v>105397</v>
      </c>
      <c r="CT1311">
        <f>IF(BI1311="Roundwood",$CS1311/2,$CS1311)</f>
        <v>52698.5</v>
      </c>
      <c r="CU1311">
        <f>IF($CP1311="refOK",$BU1311,$BV1311)*IF($BR1311="Emissions positive",-1,1)</f>
        <v>-0.107475</v>
      </c>
      <c r="CV1311">
        <f>IF($CP1311="refOK",$BV1311,$BU1311)*IF($BR1311="Emissions positive",-1,1)</f>
        <v>-4.9696822277777803</v>
      </c>
      <c r="CW1311">
        <f>IF($CP1311="refNeedCorrection",-BZ1311,BZ1311)*IF($BR1311="Emissions positive",-1,1)</f>
        <v>-4.8622072277777804</v>
      </c>
      <c r="CX1311">
        <f>IFERROR($CW1311/$CS1311,"")</f>
        <v>-4.6132311429905788E-5</v>
      </c>
      <c r="CY1311">
        <f>IFERROR($CW1311/$CS1311,"")</f>
        <v>-4.6132311429905788E-5</v>
      </c>
      <c r="CZ1311">
        <f>IFERROR($CW1311/$CT1311,"")</f>
        <v>-9.2264622859811575E-5</v>
      </c>
      <c r="DA1311" s="2">
        <f>IFERROR((CV1311-CU1311)/ABS(CU1311),"")</f>
        <v>-45.240355689953759</v>
      </c>
      <c r="DB1311" s="320" t="s">
        <v>1334</v>
      </c>
      <c r="DC1311" s="317" t="str">
        <f>IF(OR($DB1311="prd",$DB1311="std",$DB1311="cit"),"loc",IF(OR($DB1311="eur",$DB1311="reg",$DB1311="coy"),"reg",$DB1311))</f>
        <v>reg</v>
      </c>
      <c r="DD1311" s="321" t="s">
        <v>729</v>
      </c>
      <c r="DF1311" s="143"/>
      <c r="DG1311" s="143">
        <v>0</v>
      </c>
      <c r="DH1311" t="str">
        <f>IF(DG1311=0,"0",IF(AND(DG1311&gt;=1,DG1311&lt;=30),"1-30",IF(AND(DG1311&gt;30,DG1311&lt;=70),"31-70",IF(AND(DG1311&gt;70,DG1311&lt;=100),"71-100",IF(DG1311&gt;100,"+100")))))</f>
        <v>0</v>
      </c>
      <c r="DI1311">
        <v>0</v>
      </c>
      <c r="DJ1311">
        <v>1</v>
      </c>
      <c r="DK1311">
        <v>0</v>
      </c>
      <c r="DL1311">
        <v>0</v>
      </c>
      <c r="DM1311">
        <v>0</v>
      </c>
      <c r="DN1311">
        <f>SUM(DI1311:DM1311)</f>
        <v>1</v>
      </c>
      <c r="DO1311" t="str">
        <f>IF(DN1311=1,INDEX($DI$7:$DL$7,MATCH(1,$DI1311:$DL1311,0)),"mixedProduct")</f>
        <v>EnergyInput</v>
      </c>
      <c r="DP1311">
        <f>IF(DI1311=1,DP$7,0)</f>
        <v>0</v>
      </c>
      <c r="DQ1311" t="str">
        <f>IF(DJ1311=1,DQ$7,0)</f>
        <v>Energy</v>
      </c>
      <c r="DR1311">
        <f>IF(DK1311=1,DR$7,0)</f>
        <v>0</v>
      </c>
      <c r="DS1311">
        <f>IF(DL1311=1,DS$7,0)</f>
        <v>0</v>
      </c>
      <c r="DT1311">
        <v>0</v>
      </c>
      <c r="DU1311" s="143">
        <v>0</v>
      </c>
      <c r="DV1311" s="143">
        <v>0</v>
      </c>
      <c r="DW1311">
        <v>0</v>
      </c>
      <c r="DX1311" s="143">
        <v>0</v>
      </c>
      <c r="DY1311">
        <f>SUM(DT1311:DU1311)</f>
        <v>0</v>
      </c>
      <c r="DZ1311" s="143" t="str">
        <f>IF(DT1311=1,"self-calculated DF",IF(DU1311=1,"external DF used","explicit C balance"))</f>
        <v>explicit C balance</v>
      </c>
      <c r="EA1311" s="143">
        <v>0</v>
      </c>
      <c r="EB1311" s="143">
        <v>0</v>
      </c>
      <c r="EC1311" s="143">
        <v>0</v>
      </c>
      <c r="ED1311" s="143">
        <v>0</v>
      </c>
      <c r="EE1311">
        <v>0</v>
      </c>
      <c r="EF1311" s="143">
        <v>0</v>
      </c>
      <c r="EG1311" s="143">
        <v>1</v>
      </c>
      <c r="EH1311" s="143">
        <v>0</v>
      </c>
      <c r="EI1311" s="143">
        <v>0</v>
      </c>
      <c r="EJ1311">
        <v>0</v>
      </c>
      <c r="EK1311">
        <v>0</v>
      </c>
      <c r="EL1311" s="143">
        <v>0</v>
      </c>
      <c r="EM1311" s="143">
        <v>0</v>
      </c>
      <c r="EN1311" s="2">
        <v>0</v>
      </c>
      <c r="EP1311" t="str">
        <f>IF(AND(AND(AND(OR($EC1311=1,$EB1311=1),OR($EH1311=1,$EF1311=1)),SUM($EA1311:$EE1311,$EK1311)&gt;=3),SUM($EF1311:$EJ1311)&gt;=2),"Whole sector approach","")</f>
        <v/>
      </c>
      <c r="EQ1311" t="str">
        <f>IF(AND(AND(OR($EC1311=1,$EB1311=1),AND($EH1311=0,$EF1311=0)),SUM($EA1311:$EE1311,$EK1311)&gt;=3),"Ecosystem approach","")</f>
        <v/>
      </c>
      <c r="ER1311" s="2" t="str">
        <f>IF(AND(AND(AND($EC1311=0,$EB1311=0),OR($EH1311=1,$EF1311=1)),SUM($EG1311:$EJ1311)&gt;=2),"Technology approach","")</f>
        <v/>
      </c>
      <c r="ES1311" t="str">
        <f>IF(AND($EC1311+$EB1311+$EE1311+$EA1311+$ED1311+$EG1311=0,$N1311="included"),"C neutral forest and HWP assumption","")</f>
        <v/>
      </c>
      <c r="ET1311" t="str">
        <f>IF(AND(AND(AND(AND($EC1311=1,$EB1311+$EA1311+$EG1311&gt;=1),$EF1311=1),$EH1311+$EI1311+$ED1311+$EE1311&gt;=2),$N1311="included"),"All C pools assumption","")</f>
        <v/>
      </c>
      <c r="EU1311" t="str">
        <f>IF(AND($ED1311+$EE1311+$EI1311+$EH1311+$EF1311=0,$N1311="included"),"In-situ only assumption","")</f>
        <v>In-situ only assumption</v>
      </c>
      <c r="EY1311" t="str">
        <f>IF(ISNUMBER(BW1311),IF(ABS(BW1311-[4]QC_indicators!$B$2)&gt;3*[4]QC_indicators!$C$2,"C ratio",IF(ISNUMBER(CA1311),IF(ABS(CA1311-[4]QC_indicators!$B$1)&gt;3*[4]QC_indicators!$C$1,"DF","no"))),IF(ISNUMBER(CA1311),IF(ABS(CA1311-[4]QC_indicators!$B$1)&gt;3*[4]QC_indicators!$C$1,"DF","no")))</f>
        <v>C ratio</v>
      </c>
      <c r="FA1311" t="str">
        <f>IF(LEN($CY1311)=0,"",IF(AND($CY1311&lt;(-0.05),$ES1311="C neutral forest and HWP assumption"),"Cneutral paradox",IF(AND($CY1311&gt;0.05,$EU1311="In-situ only assumption"),"In-situ only paradox","")))</f>
        <v/>
      </c>
      <c r="FB1311" s="149"/>
    </row>
    <row r="1312" spans="1:158" ht="170">
      <c r="A1312" s="1" t="s">
        <v>574</v>
      </c>
      <c r="B1312" t="s">
        <v>1320</v>
      </c>
      <c r="C1312" t="s">
        <v>1321</v>
      </c>
      <c r="D1312" t="s">
        <v>1322</v>
      </c>
      <c r="E1312" t="s">
        <v>1323</v>
      </c>
      <c r="F1312" t="s">
        <v>1324</v>
      </c>
      <c r="G1312" t="s">
        <v>580</v>
      </c>
      <c r="H1312" t="s">
        <v>254</v>
      </c>
      <c r="I1312">
        <v>2020</v>
      </c>
      <c r="J1312">
        <v>12</v>
      </c>
      <c r="K1312" t="s">
        <v>1325</v>
      </c>
      <c r="M1312" t="str">
        <f>LEFT($D1312,FIND(",",$D1312)-1)&amp;"_"&amp;I1312&amp;L1312</f>
        <v>Elisa_2020</v>
      </c>
      <c r="N1312" s="317" t="s">
        <v>222</v>
      </c>
      <c r="O1312" s="171" t="s">
        <v>274</v>
      </c>
      <c r="P1312" t="s">
        <v>223</v>
      </c>
      <c r="Q1312" s="317" t="s">
        <v>389</v>
      </c>
      <c r="R1312" s="318" t="s">
        <v>1029</v>
      </c>
      <c r="S1312" s="154" t="s">
        <v>1326</v>
      </c>
      <c r="T1312" s="319" t="s">
        <v>1327</v>
      </c>
      <c r="U1312" s="143" t="s">
        <v>1372</v>
      </c>
      <c r="V1312" s="253">
        <v>0</v>
      </c>
      <c r="W1312" s="253">
        <v>0</v>
      </c>
      <c r="X1312">
        <v>0</v>
      </c>
      <c r="Y1312">
        <v>0</v>
      </c>
      <c r="Z1312">
        <v>0</v>
      </c>
      <c r="AA1312">
        <v>0</v>
      </c>
      <c r="AB1312">
        <v>0</v>
      </c>
      <c r="AC1312">
        <v>0</v>
      </c>
      <c r="AD1312">
        <v>0</v>
      </c>
      <c r="AE1312">
        <v>0</v>
      </c>
      <c r="AF1312">
        <v>0</v>
      </c>
      <c r="AG1312">
        <v>1</v>
      </c>
      <c r="AH1312">
        <v>0</v>
      </c>
      <c r="AI1312">
        <v>0</v>
      </c>
      <c r="AJ1312">
        <v>0</v>
      </c>
      <c r="AK1312">
        <v>0</v>
      </c>
      <c r="AL1312">
        <v>0</v>
      </c>
      <c r="AM1312">
        <v>1</v>
      </c>
      <c r="AN1312">
        <v>0</v>
      </c>
      <c r="AO1312">
        <v>0</v>
      </c>
      <c r="AP1312">
        <v>0</v>
      </c>
      <c r="AQ1312">
        <v>0</v>
      </c>
      <c r="AR1312">
        <v>0</v>
      </c>
      <c r="AS1312">
        <v>0</v>
      </c>
      <c r="AT1312">
        <v>0</v>
      </c>
      <c r="AU1312">
        <v>0</v>
      </c>
      <c r="AV1312">
        <v>0</v>
      </c>
      <c r="AW1312">
        <v>0</v>
      </c>
      <c r="AX1312">
        <v>0</v>
      </c>
      <c r="AY1312">
        <v>0</v>
      </c>
      <c r="AZ1312" s="141">
        <f>COUNTIF(X1312:AY1312,"&lt;&gt;0")</f>
        <v>2</v>
      </c>
      <c r="BA1312" s="141">
        <f>COUNTIF(X1312:AN1312,"&lt;&gt;0")</f>
        <v>2</v>
      </c>
      <c r="BB1312">
        <f>COUNTIF(X1312:AE1312,"&lt;&gt;0")</f>
        <v>0</v>
      </c>
      <c r="BC1312">
        <f>COUNTIF(AF1312:AK1312,"&lt;&gt;0")</f>
        <v>1</v>
      </c>
      <c r="BD1312">
        <f>COUNTIF(AL1312:AN1312,"&lt;&gt;0")</f>
        <v>1</v>
      </c>
      <c r="BE1312">
        <f>COUNTIF(AU1312:AY1312,"&lt;&gt;0")</f>
        <v>0</v>
      </c>
      <c r="BF1312">
        <f>COUNTIF(AO1312:AT1312,"&lt;&gt;0")</f>
        <v>0</v>
      </c>
      <c r="BG1312" t="str" cm="1">
        <f t="array" ref="BG1312">IF(BA1312=1,INDEX($X$7:$AN$7,MATCH(TRUE,INDEX($X1312:$AY1312&lt;&gt;0,),0)),IF(BA1312=0,INDEX($AO$7:$AY$7,MATCH(1,$AO1312:$AY1312,0)),IF(BH1312="Multiple strategies","mixed drivers",IF(BH1312="Supply chain","multiple supply","multiple silviculture"))))</f>
        <v>mixed drivers</v>
      </c>
      <c r="BH1312" s="2" t="str" cm="1">
        <f t="array" ref="BH1312">IF(COUNTIF(BB1312:BD1312,"&lt;&gt;0")=1,INDEX($X$4:$AY$4,MATCH(TRUE,INDEX($X1312:$AY1312&lt;&gt;0,),0)),IF(COUNTIF(BB1312:BD1312,"&lt;&gt;0")=0,INDEX($AO$4:$AY$4,MATCH(1,$AO1312:$AY1312,0)),"Multiple strategies"))</f>
        <v>Multiple strategies</v>
      </c>
      <c r="BI1312" s="142" t="s">
        <v>321</v>
      </c>
      <c r="BJ1312" s="160" t="s">
        <v>1329</v>
      </c>
      <c r="BK1312" s="160" t="s">
        <v>1330</v>
      </c>
      <c r="BL1312" s="143" t="s">
        <v>498</v>
      </c>
      <c r="BM1312" s="143">
        <v>944</v>
      </c>
      <c r="BN1312" s="143">
        <v>135692</v>
      </c>
      <c r="BO1312">
        <f>IFERROR(BN1314/BM1312,"")</f>
        <v>5.1239406779661021</v>
      </c>
      <c r="BP1312">
        <f>BN1312-BM1312</f>
        <v>134748</v>
      </c>
      <c r="BQ1312" s="159">
        <f>BP1312</f>
        <v>134748</v>
      </c>
      <c r="BR1312" s="155" t="s">
        <v>232</v>
      </c>
      <c r="BS1312" s="155" t="s">
        <v>1331</v>
      </c>
      <c r="BT1312" s="155" t="s">
        <v>805</v>
      </c>
      <c r="BU1312" s="143" t="s">
        <v>1349</v>
      </c>
      <c r="BV1312" t="s">
        <v>1396</v>
      </c>
      <c r="BW1312" s="144">
        <f>BV1312/BU1312</f>
        <v>71.598046057222618</v>
      </c>
      <c r="BX1312">
        <f>BV1312-BU1312</f>
        <v>-7.5875250000000003</v>
      </c>
      <c r="BZ1312">
        <f>BX1312</f>
        <v>-7.5875250000000003</v>
      </c>
      <c r="CA1312">
        <f>IFERROR(BZ1312/BQ1312,"")</f>
        <v>-5.6308999020393629E-5</v>
      </c>
      <c r="CB1312">
        <v>0</v>
      </c>
      <c r="CC1312">
        <v>0</v>
      </c>
      <c r="CD1312">
        <v>0</v>
      </c>
      <c r="CE1312">
        <v>0</v>
      </c>
      <c r="CF1312">
        <v>0</v>
      </c>
      <c r="CG1312">
        <v>0</v>
      </c>
      <c r="CH1312">
        <v>0</v>
      </c>
      <c r="CI1312">
        <v>0</v>
      </c>
      <c r="CJ1312">
        <v>0</v>
      </c>
      <c r="CK1312">
        <v>0</v>
      </c>
      <c r="CL1312">
        <v>0</v>
      </c>
      <c r="CM1312">
        <v>0</v>
      </c>
      <c r="CN1312">
        <v>0</v>
      </c>
      <c r="CO1312">
        <v>0</v>
      </c>
      <c r="CP1312" t="str">
        <f>IF($BN1312&lt;$BM1312,"refNeedCorrection","refOK")</f>
        <v>refOK</v>
      </c>
      <c r="CQ1312">
        <f>IF($CP1312="refOK",$BM1312,$BN1312)</f>
        <v>944</v>
      </c>
      <c r="CR1312">
        <f>IF($CP1312="refOK",$BN1312,$BM1312)</f>
        <v>135692</v>
      </c>
      <c r="CS1312">
        <f>IF($CP1312="refOK",$BQ1312,-$BQ1312)</f>
        <v>134748</v>
      </c>
      <c r="CT1312">
        <f>IF(BI1312="Roundwood",$CS1312/2,$CS1312)</f>
        <v>67374</v>
      </c>
      <c r="CU1312">
        <f>IF($CP1312="refOK",$BU1312,$BV1312)*IF($BR1312="Emissions positive",-1,1)</f>
        <v>-0.107475</v>
      </c>
      <c r="CV1312">
        <f>IF($CP1312="refOK",$BV1312,$BU1312)*IF($BR1312="Emissions positive",-1,1)</f>
        <v>-7.6950000000000003</v>
      </c>
      <c r="CW1312">
        <f>IF($CP1312="refNeedCorrection",-BZ1312,BZ1312)*IF($BR1312="Emissions positive",-1,1)</f>
        <v>-7.5875250000000003</v>
      </c>
      <c r="CX1312">
        <f>IFERROR($CW1312/$CS1312,"")</f>
        <v>-5.6308999020393629E-5</v>
      </c>
      <c r="CY1312">
        <f>IFERROR($CW1312/$CS1312,"")</f>
        <v>-5.6308999020393629E-5</v>
      </c>
      <c r="CZ1312">
        <f>IFERROR($CW1312/$CT1312,"")</f>
        <v>-1.1261799804078726E-4</v>
      </c>
      <c r="DA1312" s="2">
        <f>IFERROR((CV1312-CU1312)/ABS(CU1312),"")</f>
        <v>-70.598046057222618</v>
      </c>
      <c r="DB1312" s="320" t="s">
        <v>1334</v>
      </c>
      <c r="DC1312" s="317" t="str">
        <f>IF(OR($DB1312="prd",$DB1312="std",$DB1312="cit"),"loc",IF(OR($DB1312="eur",$DB1312="reg",$DB1312="coy"),"reg",$DB1312))</f>
        <v>reg</v>
      </c>
      <c r="DD1312" s="321" t="s">
        <v>729</v>
      </c>
      <c r="DF1312" s="143"/>
      <c r="DG1312" s="143">
        <v>0</v>
      </c>
      <c r="DH1312" t="str">
        <f>IF(DG1312=0,"0",IF(AND(DG1312&gt;=1,DG1312&lt;=30),"1-30",IF(AND(DG1312&gt;30,DG1312&lt;=70),"31-70",IF(AND(DG1312&gt;70,DG1312&lt;=100),"71-100",IF(DG1312&gt;100,"+100")))))</f>
        <v>0</v>
      </c>
      <c r="DI1312">
        <v>0</v>
      </c>
      <c r="DJ1312">
        <v>1</v>
      </c>
      <c r="DK1312">
        <v>0</v>
      </c>
      <c r="DL1312">
        <v>0</v>
      </c>
      <c r="DM1312">
        <v>0</v>
      </c>
      <c r="DN1312">
        <f>SUM(DI1312:DM1312)</f>
        <v>1</v>
      </c>
      <c r="DO1312" t="str">
        <f>IF(DN1312=1,INDEX($DI$7:$DL$7,MATCH(1,$DI1312:$DL1312,0)),"mixedProduct")</f>
        <v>EnergyInput</v>
      </c>
      <c r="DP1312">
        <f>IF(DI1312=1,DP$7,0)</f>
        <v>0</v>
      </c>
      <c r="DQ1312" t="str">
        <f>IF(DJ1312=1,DQ$7,0)</f>
        <v>Energy</v>
      </c>
      <c r="DR1312">
        <f>IF(DK1312=1,DR$7,0)</f>
        <v>0</v>
      </c>
      <c r="DS1312">
        <f>IF(DL1312=1,DS$7,0)</f>
        <v>0</v>
      </c>
      <c r="DT1312">
        <v>0</v>
      </c>
      <c r="DU1312" s="143">
        <v>0</v>
      </c>
      <c r="DV1312" s="143">
        <v>0</v>
      </c>
      <c r="DW1312">
        <v>0</v>
      </c>
      <c r="DX1312" s="143">
        <v>0</v>
      </c>
      <c r="DY1312">
        <f>SUM(DT1312:DU1312)</f>
        <v>0</v>
      </c>
      <c r="DZ1312" s="143" t="str">
        <f>IF(DT1312=1,"self-calculated DF",IF(DU1312=1,"external DF used","explicit C balance"))</f>
        <v>explicit C balance</v>
      </c>
      <c r="EA1312" s="143">
        <v>0</v>
      </c>
      <c r="EB1312" s="143">
        <v>0</v>
      </c>
      <c r="EC1312" s="143">
        <v>0</v>
      </c>
      <c r="ED1312" s="143">
        <v>0</v>
      </c>
      <c r="EE1312">
        <v>0</v>
      </c>
      <c r="EF1312" s="143">
        <v>0</v>
      </c>
      <c r="EG1312" s="143">
        <v>1</v>
      </c>
      <c r="EH1312" s="143">
        <v>0</v>
      </c>
      <c r="EI1312" s="143">
        <v>0</v>
      </c>
      <c r="EJ1312">
        <v>0</v>
      </c>
      <c r="EK1312">
        <v>0</v>
      </c>
      <c r="EL1312" s="143">
        <v>0</v>
      </c>
      <c r="EM1312" s="143">
        <v>0</v>
      </c>
      <c r="EN1312" s="2">
        <v>0</v>
      </c>
      <c r="EP1312" t="str">
        <f>IF(AND(AND(AND(OR($EC1312=1,$EB1312=1),OR($EH1312=1,$EF1312=1)),SUM($EA1312:$EE1312,$EK1312)&gt;=3),SUM($EF1312:$EJ1312)&gt;=2),"Whole sector approach","")</f>
        <v/>
      </c>
      <c r="EQ1312" t="str">
        <f>IF(AND(AND(OR($EC1312=1,$EB1312=1),AND($EH1312=0,$EF1312=0)),SUM($EA1312:$EE1312,$EK1312)&gt;=3),"Ecosystem approach","")</f>
        <v/>
      </c>
      <c r="ER1312" s="2" t="str">
        <f>IF(AND(AND(AND($EC1312=0,$EB1312=0),OR($EH1312=1,$EF1312=1)),SUM($EG1312:$EJ1312)&gt;=2),"Technology approach","")</f>
        <v/>
      </c>
      <c r="ES1312" t="str">
        <f>IF(AND($EC1312+$EB1312+$EE1312+$EA1312+$ED1312+$EG1312=0,$N1312="included"),"C neutral forest and HWP assumption","")</f>
        <v/>
      </c>
      <c r="ET1312" t="str">
        <f>IF(AND(AND(AND(AND($EC1312=1,$EB1312+$EA1312+$EG1312&gt;=1),$EF1312=1),$EH1312+$EI1312+$ED1312+$EE1312&gt;=2),$N1312="included"),"All C pools assumption","")</f>
        <v/>
      </c>
      <c r="EU1312" t="str">
        <f>IF(AND($ED1312+$EE1312+$EI1312+$EH1312+$EF1312=0,$N1312="included"),"In-situ only assumption","")</f>
        <v>In-situ only assumption</v>
      </c>
      <c r="EY1312" t="str">
        <f>IF(ISNUMBER(BW1312),IF(ABS(BW1312-[4]QC_indicators!$B$2)&gt;3*[4]QC_indicators!$C$2,"C ratio",IF(ISNUMBER(CA1312),IF(ABS(CA1312-[4]QC_indicators!$B$1)&gt;3*[4]QC_indicators!$C$1,"DF","no"))),IF(ISNUMBER(CA1312),IF(ABS(CA1312-[4]QC_indicators!$B$1)&gt;3*[4]QC_indicators!$C$1,"DF","no")))</f>
        <v>C ratio</v>
      </c>
      <c r="FA1312" t="str">
        <f>IF(LEN($CY1312)=0,"",IF(AND($CY1312&lt;(-0.05),$ES1312="C neutral forest and HWP assumption"),"Cneutral paradox",IF(AND($CY1312&gt;0.05,$EU1312="In-situ only assumption"),"In-situ only paradox","")))</f>
        <v/>
      </c>
      <c r="FB1312" s="149"/>
    </row>
    <row r="1313" spans="1:158" ht="170">
      <c r="A1313" s="1" t="s">
        <v>574</v>
      </c>
      <c r="B1313" t="s">
        <v>1320</v>
      </c>
      <c r="C1313" t="s">
        <v>1321</v>
      </c>
      <c r="D1313" t="s">
        <v>1322</v>
      </c>
      <c r="E1313" t="s">
        <v>1323</v>
      </c>
      <c r="F1313" t="s">
        <v>1324</v>
      </c>
      <c r="G1313" t="s">
        <v>580</v>
      </c>
      <c r="H1313" t="s">
        <v>254</v>
      </c>
      <c r="I1313">
        <v>2020</v>
      </c>
      <c r="J1313">
        <v>12</v>
      </c>
      <c r="K1313" t="s">
        <v>1325</v>
      </c>
      <c r="M1313" t="str">
        <f>LEFT($D1313,FIND(",",$D1313)-1)&amp;"_"&amp;I1313&amp;L1313</f>
        <v>Elisa_2020</v>
      </c>
      <c r="N1313" s="317" t="s">
        <v>222</v>
      </c>
      <c r="O1313" s="171" t="s">
        <v>274</v>
      </c>
      <c r="P1313" t="s">
        <v>223</v>
      </c>
      <c r="Q1313" s="317" t="s">
        <v>389</v>
      </c>
      <c r="R1313" s="318" t="s">
        <v>1029</v>
      </c>
      <c r="S1313" s="154" t="s">
        <v>1326</v>
      </c>
      <c r="T1313" s="319" t="s">
        <v>1327</v>
      </c>
      <c r="U1313" s="143" t="s">
        <v>1375</v>
      </c>
      <c r="V1313" s="253">
        <v>0</v>
      </c>
      <c r="W1313" s="253">
        <v>0</v>
      </c>
      <c r="X1313">
        <v>0</v>
      </c>
      <c r="Y1313">
        <v>0</v>
      </c>
      <c r="Z1313">
        <v>0</v>
      </c>
      <c r="AA1313">
        <v>0</v>
      </c>
      <c r="AB1313">
        <v>0</v>
      </c>
      <c r="AC1313">
        <v>0</v>
      </c>
      <c r="AD1313">
        <v>0</v>
      </c>
      <c r="AE1313">
        <v>0</v>
      </c>
      <c r="AF1313">
        <v>0</v>
      </c>
      <c r="AG1313">
        <v>1</v>
      </c>
      <c r="AH1313">
        <v>0</v>
      </c>
      <c r="AI1313">
        <v>0</v>
      </c>
      <c r="AJ1313">
        <v>0</v>
      </c>
      <c r="AK1313">
        <v>0</v>
      </c>
      <c r="AL1313">
        <v>0</v>
      </c>
      <c r="AM1313">
        <v>1</v>
      </c>
      <c r="AN1313">
        <v>0</v>
      </c>
      <c r="AO1313">
        <v>0</v>
      </c>
      <c r="AP1313">
        <v>0</v>
      </c>
      <c r="AQ1313">
        <v>0</v>
      </c>
      <c r="AR1313">
        <v>0</v>
      </c>
      <c r="AS1313">
        <v>0</v>
      </c>
      <c r="AT1313">
        <v>0</v>
      </c>
      <c r="AU1313">
        <v>0</v>
      </c>
      <c r="AV1313">
        <v>0</v>
      </c>
      <c r="AW1313">
        <v>0</v>
      </c>
      <c r="AX1313">
        <v>0</v>
      </c>
      <c r="AY1313">
        <v>0</v>
      </c>
      <c r="AZ1313" s="141">
        <f>COUNTIF(X1313:AY1313,"&lt;&gt;0")</f>
        <v>2</v>
      </c>
      <c r="BA1313" s="141">
        <f>COUNTIF(X1313:AN1313,"&lt;&gt;0")</f>
        <v>2</v>
      </c>
      <c r="BB1313">
        <f>COUNTIF(X1313:AE1313,"&lt;&gt;0")</f>
        <v>0</v>
      </c>
      <c r="BC1313">
        <f>COUNTIF(AF1313:AK1313,"&lt;&gt;0")</f>
        <v>1</v>
      </c>
      <c r="BD1313">
        <f>COUNTIF(AL1313:AN1313,"&lt;&gt;0")</f>
        <v>1</v>
      </c>
      <c r="BE1313">
        <f>COUNTIF(AU1313:AY1313,"&lt;&gt;0")</f>
        <v>0</v>
      </c>
      <c r="BF1313">
        <f>COUNTIF(AO1313:AT1313,"&lt;&gt;0")</f>
        <v>0</v>
      </c>
      <c r="BG1313" t="str" cm="1">
        <f t="array" ref="BG1313">IF(BA1313=1,INDEX($X$7:$AN$7,MATCH(TRUE,INDEX($X1313:$AY1313&lt;&gt;0,),0)),IF(BA1313=0,INDEX($AO$7:$AY$7,MATCH(1,$AO1313:$AY1313,0)),IF(BH1313="Multiple strategies","mixed drivers",IF(BH1313="Supply chain","multiple supply","multiple silviculture"))))</f>
        <v>mixed drivers</v>
      </c>
      <c r="BH1313" s="2" t="str" cm="1">
        <f t="array" ref="BH1313">IF(COUNTIF(BB1313:BD1313,"&lt;&gt;0")=1,INDEX($X$4:$AY$4,MATCH(TRUE,INDEX($X1313:$AY1313&lt;&gt;0,),0)),IF(COUNTIF(BB1313:BD1313,"&lt;&gt;0")=0,INDEX($AO$4:$AY$4,MATCH(1,$AO1313:$AY1313,0)),"Multiple strategies"))</f>
        <v>Multiple strategies</v>
      </c>
      <c r="BI1313" s="142" t="s">
        <v>321</v>
      </c>
      <c r="BJ1313" s="160" t="s">
        <v>1329</v>
      </c>
      <c r="BK1313" s="160" t="s">
        <v>1330</v>
      </c>
      <c r="BL1313" s="143" t="s">
        <v>498</v>
      </c>
      <c r="BM1313" s="143">
        <v>944</v>
      </c>
      <c r="BN1313" s="143">
        <v>170044</v>
      </c>
      <c r="BO1313">
        <f>IFERROR(BN1314/BM1313,"")</f>
        <v>5.1239406779661021</v>
      </c>
      <c r="BP1313">
        <f>BN1313-BM1313</f>
        <v>169100</v>
      </c>
      <c r="BQ1313" s="159">
        <f>BP1313</f>
        <v>169100</v>
      </c>
      <c r="BR1313" s="155" t="s">
        <v>232</v>
      </c>
      <c r="BS1313" s="155" t="s">
        <v>1331</v>
      </c>
      <c r="BT1313" s="155" t="s">
        <v>805</v>
      </c>
      <c r="BU1313" s="143" t="s">
        <v>1349</v>
      </c>
      <c r="BV1313" t="s">
        <v>1395</v>
      </c>
      <c r="BW1313" s="144">
        <f>BV1313/BU1313</f>
        <v>102.3482463622033</v>
      </c>
      <c r="BX1313">
        <f>BV1313-BU1313</f>
        <v>-10.892402777777798</v>
      </c>
      <c r="BZ1313">
        <f>BX1313</f>
        <v>-10.892402777777798</v>
      </c>
      <c r="CA1313">
        <f>IFERROR(BZ1313/BQ1313,"")</f>
        <v>-6.441397266574689E-5</v>
      </c>
      <c r="CB1313">
        <v>0</v>
      </c>
      <c r="CC1313">
        <v>0</v>
      </c>
      <c r="CD1313">
        <v>0</v>
      </c>
      <c r="CE1313">
        <v>0</v>
      </c>
      <c r="CF1313">
        <v>0</v>
      </c>
      <c r="CG1313">
        <v>0</v>
      </c>
      <c r="CH1313">
        <v>0</v>
      </c>
      <c r="CI1313">
        <v>0</v>
      </c>
      <c r="CJ1313">
        <v>0</v>
      </c>
      <c r="CK1313">
        <v>0</v>
      </c>
      <c r="CL1313">
        <v>0</v>
      </c>
      <c r="CM1313">
        <v>0</v>
      </c>
      <c r="CN1313">
        <v>0</v>
      </c>
      <c r="CO1313">
        <v>0</v>
      </c>
      <c r="CP1313" t="str">
        <f>IF($BN1313&lt;$BM1313,"refNeedCorrection","refOK")</f>
        <v>refOK</v>
      </c>
      <c r="CQ1313">
        <f>IF($CP1313="refOK",$BM1313,$BN1313)</f>
        <v>944</v>
      </c>
      <c r="CR1313">
        <f>IF($CP1313="refOK",$BN1313,$BM1313)</f>
        <v>170044</v>
      </c>
      <c r="CS1313">
        <f>IF($CP1313="refOK",$BQ1313,-$BQ1313)</f>
        <v>169100</v>
      </c>
      <c r="CT1313">
        <f>IF(BI1313="Roundwood",$CS1313/2,$CS1313)</f>
        <v>84550</v>
      </c>
      <c r="CU1313">
        <f>IF($CP1313="refOK",$BU1313,$BV1313)*IF($BR1313="Emissions positive",-1,1)</f>
        <v>-0.107475</v>
      </c>
      <c r="CV1313">
        <f>IF($CP1313="refOK",$BV1313,$BU1313)*IF($BR1313="Emissions positive",-1,1)</f>
        <v>-10.999877777777799</v>
      </c>
      <c r="CW1313">
        <f>IF($CP1313="refNeedCorrection",-BZ1313,BZ1313)*IF($BR1313="Emissions positive",-1,1)</f>
        <v>-10.892402777777798</v>
      </c>
      <c r="CX1313">
        <f>IFERROR($CW1313/$CS1313,"")</f>
        <v>-6.441397266574689E-5</v>
      </c>
      <c r="CY1313">
        <f>IFERROR($CW1313/$CS1313,"")</f>
        <v>-6.441397266574689E-5</v>
      </c>
      <c r="CZ1313">
        <f>IFERROR($CW1313/$CT1313,"")</f>
        <v>-1.2882794533149378E-4</v>
      </c>
      <c r="DA1313" s="2">
        <f>IFERROR((CV1313-CU1313)/ABS(CU1313),"")</f>
        <v>-101.34824636220328</v>
      </c>
      <c r="DB1313" s="320" t="s">
        <v>1334</v>
      </c>
      <c r="DC1313" s="317" t="str">
        <f>IF(OR($DB1313="prd",$DB1313="std",$DB1313="cit"),"loc",IF(OR($DB1313="eur",$DB1313="reg",$DB1313="coy"),"reg",$DB1313))</f>
        <v>reg</v>
      </c>
      <c r="DD1313" s="321" t="s">
        <v>729</v>
      </c>
      <c r="DF1313" s="143"/>
      <c r="DG1313" s="143">
        <v>0</v>
      </c>
      <c r="DH1313" t="str">
        <f>IF(DG1313=0,"0",IF(AND(DG1313&gt;=1,DG1313&lt;=30),"1-30",IF(AND(DG1313&gt;30,DG1313&lt;=70),"31-70",IF(AND(DG1313&gt;70,DG1313&lt;=100),"71-100",IF(DG1313&gt;100,"+100")))))</f>
        <v>0</v>
      </c>
      <c r="DI1313">
        <v>0</v>
      </c>
      <c r="DJ1313">
        <v>1</v>
      </c>
      <c r="DK1313">
        <v>0</v>
      </c>
      <c r="DL1313">
        <v>0</v>
      </c>
      <c r="DM1313">
        <v>0</v>
      </c>
      <c r="DN1313">
        <f>SUM(DI1313:DM1313)</f>
        <v>1</v>
      </c>
      <c r="DO1313" t="str">
        <f>IF(DN1313=1,INDEX($DI$7:$DL$7,MATCH(1,$DI1313:$DL1313,0)),"mixedProduct")</f>
        <v>EnergyInput</v>
      </c>
      <c r="DP1313">
        <f>IF(DI1313=1,DP$7,0)</f>
        <v>0</v>
      </c>
      <c r="DQ1313" t="str">
        <f>IF(DJ1313=1,DQ$7,0)</f>
        <v>Energy</v>
      </c>
      <c r="DR1313">
        <f>IF(DK1313=1,DR$7,0)</f>
        <v>0</v>
      </c>
      <c r="DS1313">
        <f>IF(DL1313=1,DS$7,0)</f>
        <v>0</v>
      </c>
      <c r="DT1313">
        <v>0</v>
      </c>
      <c r="DU1313" s="143">
        <v>0</v>
      </c>
      <c r="DV1313" s="143">
        <v>0</v>
      </c>
      <c r="DW1313">
        <v>0</v>
      </c>
      <c r="DX1313" s="143">
        <v>0</v>
      </c>
      <c r="DY1313">
        <f>SUM(DT1313:DU1313)</f>
        <v>0</v>
      </c>
      <c r="DZ1313" s="143" t="str">
        <f>IF(DT1313=1,"self-calculated DF",IF(DU1313=1,"external DF used","explicit C balance"))</f>
        <v>explicit C balance</v>
      </c>
      <c r="EA1313" s="143">
        <v>0</v>
      </c>
      <c r="EB1313" s="143">
        <v>0</v>
      </c>
      <c r="EC1313" s="143">
        <v>0</v>
      </c>
      <c r="ED1313" s="143">
        <v>0</v>
      </c>
      <c r="EE1313">
        <v>0</v>
      </c>
      <c r="EF1313" s="143">
        <v>0</v>
      </c>
      <c r="EG1313" s="143">
        <v>1</v>
      </c>
      <c r="EH1313" s="143">
        <v>0</v>
      </c>
      <c r="EI1313" s="143">
        <v>0</v>
      </c>
      <c r="EJ1313">
        <v>0</v>
      </c>
      <c r="EK1313">
        <v>0</v>
      </c>
      <c r="EL1313" s="143">
        <v>0</v>
      </c>
      <c r="EM1313" s="143">
        <v>0</v>
      </c>
      <c r="EN1313" s="2">
        <v>0</v>
      </c>
      <c r="EP1313" t="str">
        <f>IF(AND(AND(AND(OR($EC1313=1,$EB1313=1),OR($EH1313=1,$EF1313=1)),SUM($EA1313:$EE1313,$EK1313)&gt;=3),SUM($EF1313:$EJ1313)&gt;=2),"Whole sector approach","")</f>
        <v/>
      </c>
      <c r="EQ1313" t="str">
        <f>IF(AND(AND(OR($EC1313=1,$EB1313=1),AND($EH1313=0,$EF1313=0)),SUM($EA1313:$EE1313,$EK1313)&gt;=3),"Ecosystem approach","")</f>
        <v/>
      </c>
      <c r="ER1313" s="2" t="str">
        <f>IF(AND(AND(AND($EC1313=0,$EB1313=0),OR($EH1313=1,$EF1313=1)),SUM($EG1313:$EJ1313)&gt;=2),"Technology approach","")</f>
        <v/>
      </c>
      <c r="ES1313" t="str">
        <f>IF(AND($EC1313+$EB1313+$EE1313+$EA1313+$ED1313+$EG1313=0,$N1313="included"),"C neutral forest and HWP assumption","")</f>
        <v/>
      </c>
      <c r="ET1313" t="str">
        <f>IF(AND(AND(AND(AND($EC1313=1,$EB1313+$EA1313+$EG1313&gt;=1),$EF1313=1),$EH1313+$EI1313+$ED1313+$EE1313&gt;=2),$N1313="included"),"All C pools assumption","")</f>
        <v/>
      </c>
      <c r="EU1313" t="str">
        <f>IF(AND($ED1313+$EE1313+$EI1313+$EH1313+$EF1313=0,$N1313="included"),"In-situ only assumption","")</f>
        <v>In-situ only assumption</v>
      </c>
      <c r="EY1313" t="str">
        <f>IF(ISNUMBER(BW1313),IF(ABS(BW1313-[4]QC_indicators!$B$2)&gt;3*[4]QC_indicators!$C$2,"C ratio",IF(ISNUMBER(CA1313),IF(ABS(CA1313-[4]QC_indicators!$B$1)&gt;3*[4]QC_indicators!$C$1,"DF","no"))),IF(ISNUMBER(CA1313),IF(ABS(CA1313-[4]QC_indicators!$B$1)&gt;3*[4]QC_indicators!$C$1,"DF","no")))</f>
        <v>C ratio</v>
      </c>
      <c r="FA1313" t="str">
        <f>IF(LEN($CY1313)=0,"",IF(AND($CY1313&lt;(-0.05),$ES1313="C neutral forest and HWP assumption"),"Cneutral paradox",IF(AND($CY1313&gt;0.05,$EU1313="In-situ only assumption"),"In-situ only paradox","")))</f>
        <v/>
      </c>
      <c r="FB1313" s="149"/>
    </row>
    <row r="1314" spans="1:158" ht="15" customHeight="1">
      <c r="A1314" s="1" t="s">
        <v>574</v>
      </c>
      <c r="B1314" t="s">
        <v>1320</v>
      </c>
      <c r="C1314" t="s">
        <v>1321</v>
      </c>
      <c r="D1314" t="s">
        <v>1322</v>
      </c>
      <c r="E1314" t="s">
        <v>1323</v>
      </c>
      <c r="F1314" t="s">
        <v>1324</v>
      </c>
      <c r="G1314" t="s">
        <v>580</v>
      </c>
      <c r="H1314" t="s">
        <v>254</v>
      </c>
      <c r="I1314">
        <v>2020</v>
      </c>
      <c r="J1314">
        <v>12</v>
      </c>
      <c r="K1314" t="s">
        <v>1325</v>
      </c>
      <c r="M1314" t="str">
        <f>LEFT($D1314,FIND(",",$D1314)-1)&amp;"_"&amp;I1314&amp;L1314</f>
        <v>Elisa_2020</v>
      </c>
      <c r="N1314" s="317" t="s">
        <v>222</v>
      </c>
      <c r="O1314" s="171" t="s">
        <v>274</v>
      </c>
      <c r="P1314" t="s">
        <v>223</v>
      </c>
      <c r="Q1314" s="317" t="s">
        <v>389</v>
      </c>
      <c r="R1314" s="318" t="s">
        <v>1029</v>
      </c>
      <c r="S1314" s="154" t="s">
        <v>1326</v>
      </c>
      <c r="T1314" s="319" t="s">
        <v>1327</v>
      </c>
      <c r="U1314" s="143" t="s">
        <v>1368</v>
      </c>
      <c r="V1314" s="253">
        <v>0</v>
      </c>
      <c r="W1314" s="253">
        <v>0</v>
      </c>
      <c r="X1314">
        <v>0</v>
      </c>
      <c r="Y1314">
        <v>0</v>
      </c>
      <c r="Z1314">
        <v>0</v>
      </c>
      <c r="AA1314">
        <v>0</v>
      </c>
      <c r="AB1314">
        <v>0</v>
      </c>
      <c r="AC1314">
        <v>0</v>
      </c>
      <c r="AD1314">
        <v>0</v>
      </c>
      <c r="AE1314">
        <v>0</v>
      </c>
      <c r="AF1314">
        <v>0</v>
      </c>
      <c r="AG1314">
        <v>1</v>
      </c>
      <c r="AH1314">
        <v>0</v>
      </c>
      <c r="AI1314">
        <v>0</v>
      </c>
      <c r="AJ1314">
        <v>0</v>
      </c>
      <c r="AK1314">
        <v>0</v>
      </c>
      <c r="AL1314">
        <v>0</v>
      </c>
      <c r="AM1314">
        <v>1</v>
      </c>
      <c r="AN1314">
        <v>0</v>
      </c>
      <c r="AO1314">
        <v>0</v>
      </c>
      <c r="AP1314">
        <v>0</v>
      </c>
      <c r="AQ1314">
        <v>0</v>
      </c>
      <c r="AR1314">
        <v>0</v>
      </c>
      <c r="AS1314">
        <v>0</v>
      </c>
      <c r="AT1314">
        <v>0</v>
      </c>
      <c r="AU1314">
        <v>0</v>
      </c>
      <c r="AV1314">
        <v>0</v>
      </c>
      <c r="AW1314">
        <v>0</v>
      </c>
      <c r="AX1314">
        <v>0</v>
      </c>
      <c r="AY1314">
        <v>0</v>
      </c>
      <c r="AZ1314" s="141">
        <f>COUNTIF(X1314:AY1314,"&lt;&gt;0")</f>
        <v>2</v>
      </c>
      <c r="BA1314" s="141">
        <f>COUNTIF(X1314:AN1314,"&lt;&gt;0")</f>
        <v>2</v>
      </c>
      <c r="BB1314">
        <f>COUNTIF(X1314:AE1314,"&lt;&gt;0")</f>
        <v>0</v>
      </c>
      <c r="BC1314">
        <f>COUNTIF(AF1314:AK1314,"&lt;&gt;0")</f>
        <v>1</v>
      </c>
      <c r="BD1314">
        <f>COUNTIF(AL1314:AN1314,"&lt;&gt;0")</f>
        <v>1</v>
      </c>
      <c r="BE1314">
        <f>COUNTIF(AU1314:AY1314,"&lt;&gt;0")</f>
        <v>0</v>
      </c>
      <c r="BF1314">
        <f>COUNTIF(AO1314:AT1314,"&lt;&gt;0")</f>
        <v>0</v>
      </c>
      <c r="BG1314" t="str" cm="1">
        <f t="array" ref="BG1314">IF(BA1314=1,INDEX($X$7:$AN$7,MATCH(TRUE,INDEX($X1314:$AY1314&lt;&gt;0,),0)),IF(BA1314=0,INDEX($AO$7:$AY$7,MATCH(1,$AO1314:$AY1314,0)),IF(BH1314="Multiple strategies","mixed drivers",IF(BH1314="Supply chain","multiple supply","multiple silviculture"))))</f>
        <v>mixed drivers</v>
      </c>
      <c r="BH1314" s="2" t="str" cm="1">
        <f t="array" ref="BH1314">IF(COUNTIF(BB1314:BD1314,"&lt;&gt;0")=1,INDEX($X$4:$AY$4,MATCH(TRUE,INDEX($X1314:$AY1314&lt;&gt;0,),0)),IF(COUNTIF(BB1314:BD1314,"&lt;&gt;0")=0,INDEX($AO$4:$AY$4,MATCH(1,$AO1314:$AY1314,0)),"Multiple strategies"))</f>
        <v>Multiple strategies</v>
      </c>
      <c r="BI1314" s="142" t="s">
        <v>321</v>
      </c>
      <c r="BJ1314" s="160" t="s">
        <v>1329</v>
      </c>
      <c r="BK1314" s="160" t="s">
        <v>1330</v>
      </c>
      <c r="BL1314" s="143" t="s">
        <v>498</v>
      </c>
      <c r="BM1314" s="143">
        <v>944</v>
      </c>
      <c r="BN1314" s="143">
        <v>4837</v>
      </c>
      <c r="BO1314">
        <f>IFERROR(BN1315/BM1314,"")</f>
        <v>4.2372881355932206</v>
      </c>
      <c r="BP1314">
        <f>BN1314-BM1314</f>
        <v>3893</v>
      </c>
      <c r="BQ1314" s="159">
        <f>BP1314</f>
        <v>3893</v>
      </c>
      <c r="BR1314" s="155" t="s">
        <v>232</v>
      </c>
      <c r="BS1314" s="155" t="s">
        <v>1331</v>
      </c>
      <c r="BT1314" s="155" t="s">
        <v>805</v>
      </c>
      <c r="BU1314" s="143" t="s">
        <v>1349</v>
      </c>
      <c r="BV1314" t="s">
        <v>1394</v>
      </c>
      <c r="BW1314" s="144">
        <f>BV1314/BU1314</f>
        <v>4.4271889586725566</v>
      </c>
      <c r="BX1314">
        <f>BV1314-BU1314</f>
        <v>-0.36833713333333301</v>
      </c>
      <c r="BZ1314">
        <f>BX1314</f>
        <v>-0.36833713333333301</v>
      </c>
      <c r="CA1314">
        <f>IFERROR(BZ1314/BQ1314,"")</f>
        <v>-9.4615241030910103E-5</v>
      </c>
      <c r="CB1314">
        <v>0</v>
      </c>
      <c r="CC1314">
        <v>0</v>
      </c>
      <c r="CD1314">
        <v>0</v>
      </c>
      <c r="CE1314">
        <v>0</v>
      </c>
      <c r="CF1314">
        <v>0</v>
      </c>
      <c r="CG1314">
        <v>0</v>
      </c>
      <c r="CH1314">
        <v>0</v>
      </c>
      <c r="CI1314">
        <v>0</v>
      </c>
      <c r="CJ1314">
        <v>0</v>
      </c>
      <c r="CK1314">
        <v>0</v>
      </c>
      <c r="CL1314">
        <v>0</v>
      </c>
      <c r="CM1314">
        <v>0</v>
      </c>
      <c r="CN1314">
        <v>0</v>
      </c>
      <c r="CO1314">
        <v>0</v>
      </c>
      <c r="CP1314" t="str">
        <f>IF($BN1314&lt;$BM1314,"refNeedCorrection","refOK")</f>
        <v>refOK</v>
      </c>
      <c r="CQ1314">
        <f>IF($CP1314="refOK",$BM1314,$BN1314)</f>
        <v>944</v>
      </c>
      <c r="CR1314">
        <f>IF($CP1314="refOK",$BN1314,$BM1314)</f>
        <v>4837</v>
      </c>
      <c r="CS1314">
        <f>IF($CP1314="refOK",$BQ1314,-$BQ1314)</f>
        <v>3893</v>
      </c>
      <c r="CT1314">
        <f>IF(BI1314="Roundwood",$CS1314/2,$CS1314)</f>
        <v>1946.5</v>
      </c>
      <c r="CU1314">
        <f>IF($CP1314="refOK",$BU1314,$BV1314)*IF($BR1314="Emissions positive",-1,1)</f>
        <v>-0.107475</v>
      </c>
      <c r="CV1314">
        <f>IF($CP1314="refOK",$BV1314,$BU1314)*IF($BR1314="Emissions positive",-1,1)</f>
        <v>-0.475812133333333</v>
      </c>
      <c r="CW1314">
        <f>IF($CP1314="refNeedCorrection",-BZ1314,BZ1314)*IF($BR1314="Emissions positive",-1,1)</f>
        <v>-0.36833713333333301</v>
      </c>
      <c r="CX1314">
        <f>IFERROR($CW1314/$CS1314,"")</f>
        <v>-9.4615241030910103E-5</v>
      </c>
      <c r="CY1314">
        <f>IFERROR($CW1314/$CS1314,"")</f>
        <v>-9.4615241030910103E-5</v>
      </c>
      <c r="CZ1314">
        <f>IFERROR($CW1314/$CT1314,"")</f>
        <v>-1.8923048206182021E-4</v>
      </c>
      <c r="DA1314" s="2">
        <f>IFERROR((CV1314-CU1314)/ABS(CU1314),"")</f>
        <v>-3.4271889586725566</v>
      </c>
      <c r="DB1314" s="320" t="s">
        <v>1334</v>
      </c>
      <c r="DC1314" s="317" t="str">
        <f>IF(OR($DB1314="prd",$DB1314="std",$DB1314="cit"),"loc",IF(OR($DB1314="eur",$DB1314="reg",$DB1314="coy"),"reg",$DB1314))</f>
        <v>reg</v>
      </c>
      <c r="DD1314" s="321" t="s">
        <v>729</v>
      </c>
      <c r="DF1314" s="143"/>
      <c r="DG1314" s="143">
        <v>0</v>
      </c>
      <c r="DH1314" t="str">
        <f>IF(DG1314=0,"0",IF(AND(DG1314&gt;=1,DG1314&lt;=30),"1-30",IF(AND(DG1314&gt;30,DG1314&lt;=70),"31-70",IF(AND(DG1314&gt;70,DG1314&lt;=100),"71-100",IF(DG1314&gt;100,"+100")))))</f>
        <v>0</v>
      </c>
      <c r="DI1314">
        <v>0</v>
      </c>
      <c r="DJ1314">
        <v>1</v>
      </c>
      <c r="DK1314">
        <v>0</v>
      </c>
      <c r="DL1314">
        <v>0</v>
      </c>
      <c r="DM1314">
        <v>0</v>
      </c>
      <c r="DN1314">
        <f>SUM(DI1314:DM1314)</f>
        <v>1</v>
      </c>
      <c r="DO1314" t="str">
        <f>IF(DN1314=1,INDEX($DI$7:$DL$7,MATCH(1,$DI1314:$DL1314,0)),"mixedProduct")</f>
        <v>EnergyInput</v>
      </c>
      <c r="DP1314">
        <f>IF(DI1314=1,DP$7,0)</f>
        <v>0</v>
      </c>
      <c r="DQ1314" t="str">
        <f>IF(DJ1314=1,DQ$7,0)</f>
        <v>Energy</v>
      </c>
      <c r="DR1314">
        <f>IF(DK1314=1,DR$7,0)</f>
        <v>0</v>
      </c>
      <c r="DS1314">
        <f>IF(DL1314=1,DS$7,0)</f>
        <v>0</v>
      </c>
      <c r="DT1314">
        <v>0</v>
      </c>
      <c r="DU1314" s="143">
        <v>0</v>
      </c>
      <c r="DV1314" s="143">
        <v>0</v>
      </c>
      <c r="DW1314">
        <v>0</v>
      </c>
      <c r="DX1314" s="143">
        <v>0</v>
      </c>
      <c r="DY1314">
        <f>SUM(DT1314:DU1314)</f>
        <v>0</v>
      </c>
      <c r="DZ1314" s="143" t="str">
        <f>IF(DT1314=1,"self-calculated DF",IF(DU1314=1,"external DF used","explicit C balance"))</f>
        <v>explicit C balance</v>
      </c>
      <c r="EA1314" s="143">
        <v>0</v>
      </c>
      <c r="EB1314" s="143">
        <v>0</v>
      </c>
      <c r="EC1314" s="143">
        <v>0</v>
      </c>
      <c r="ED1314" s="143">
        <v>0</v>
      </c>
      <c r="EE1314">
        <v>0</v>
      </c>
      <c r="EF1314" s="143">
        <v>0</v>
      </c>
      <c r="EG1314" s="143">
        <v>1</v>
      </c>
      <c r="EH1314" s="143">
        <v>0</v>
      </c>
      <c r="EI1314" s="143">
        <v>0</v>
      </c>
      <c r="EJ1314">
        <v>0</v>
      </c>
      <c r="EK1314">
        <v>0</v>
      </c>
      <c r="EL1314" s="143">
        <v>0</v>
      </c>
      <c r="EM1314" s="143">
        <v>0</v>
      </c>
      <c r="EN1314" s="2">
        <v>0</v>
      </c>
      <c r="EP1314" t="str">
        <f>IF(AND(AND(AND(OR($EC1314=1,$EB1314=1),OR($EH1314=1,$EF1314=1)),SUM($EA1314:$EE1314,$EK1314)&gt;=3),SUM($EF1314:$EJ1314)&gt;=2),"Whole sector approach","")</f>
        <v/>
      </c>
      <c r="EQ1314" t="str">
        <f>IF(AND(AND(OR($EC1314=1,$EB1314=1),AND($EH1314=0,$EF1314=0)),SUM($EA1314:$EE1314,$EK1314)&gt;=3),"Ecosystem approach","")</f>
        <v/>
      </c>
      <c r="ER1314" s="2" t="str">
        <f>IF(AND(AND(AND($EC1314=0,$EB1314=0),OR($EH1314=1,$EF1314=1)),SUM($EG1314:$EJ1314)&gt;=2),"Technology approach","")</f>
        <v/>
      </c>
      <c r="ES1314" t="str">
        <f>IF(AND($EC1314+$EB1314+$EE1314+$EA1314+$ED1314+$EG1314=0,$N1314="included"),"C neutral forest and HWP assumption","")</f>
        <v/>
      </c>
      <c r="ET1314" t="str">
        <f>IF(AND(AND(AND(AND($EC1314=1,$EB1314+$EA1314+$EG1314&gt;=1),$EF1314=1),$EH1314+$EI1314+$ED1314+$EE1314&gt;=2),$N1314="included"),"All C pools assumption","")</f>
        <v/>
      </c>
      <c r="EU1314" t="str">
        <f>IF(AND($ED1314+$EE1314+$EI1314+$EH1314+$EF1314=0,$N1314="included"),"In-situ only assumption","")</f>
        <v>In-situ only assumption</v>
      </c>
      <c r="EY1314" t="str">
        <f>IF(ISNUMBER(BW1314),IF(ABS(BW1314-[4]QC_indicators!$B$2)&gt;3*[4]QC_indicators!$C$2,"C ratio",IF(ISNUMBER(CA1314),IF(ABS(CA1314-[4]QC_indicators!$B$1)&gt;3*[4]QC_indicators!$C$1,"DF","no"))),IF(ISNUMBER(CA1314),IF(ABS(CA1314-[4]QC_indicators!$B$1)&gt;3*[4]QC_indicators!$C$1,"DF","no")))</f>
        <v>no</v>
      </c>
      <c r="FA1314" t="str">
        <f>IF(LEN($CY1314)=0,"",IF(AND($CY1314&lt;(-0.05),$ES1314="C neutral forest and HWP assumption"),"Cneutral paradox",IF(AND($CY1314&gt;0.05,$EU1314="In-situ only assumption"),"In-situ only paradox","")))</f>
        <v/>
      </c>
      <c r="FB1314" s="149"/>
    </row>
    <row r="1315" spans="1:158" ht="15" customHeight="1">
      <c r="A1315" s="1" t="s">
        <v>574</v>
      </c>
      <c r="B1315" t="s">
        <v>1320</v>
      </c>
      <c r="C1315" t="s">
        <v>1321</v>
      </c>
      <c r="D1315" t="s">
        <v>1322</v>
      </c>
      <c r="E1315" t="s">
        <v>1323</v>
      </c>
      <c r="F1315" t="s">
        <v>1324</v>
      </c>
      <c r="G1315" t="s">
        <v>580</v>
      </c>
      <c r="H1315" t="s">
        <v>254</v>
      </c>
      <c r="I1315">
        <v>2020</v>
      </c>
      <c r="J1315">
        <v>12</v>
      </c>
      <c r="K1315" t="s">
        <v>1325</v>
      </c>
      <c r="M1315" t="str">
        <f>LEFT($D1315,FIND(",",$D1315)-1)&amp;"_"&amp;I1315&amp;L1315</f>
        <v>Elisa_2020</v>
      </c>
      <c r="N1315" s="317" t="s">
        <v>222</v>
      </c>
      <c r="O1315" s="171" t="s">
        <v>274</v>
      </c>
      <c r="P1315" t="s">
        <v>223</v>
      </c>
      <c r="Q1315" s="317" t="s">
        <v>389</v>
      </c>
      <c r="R1315" s="318" t="s">
        <v>1029</v>
      </c>
      <c r="S1315" s="154" t="s">
        <v>1326</v>
      </c>
      <c r="T1315" s="319" t="s">
        <v>1327</v>
      </c>
      <c r="U1315" s="143" t="s">
        <v>1360</v>
      </c>
      <c r="V1315" s="253">
        <v>0</v>
      </c>
      <c r="W1315" s="253">
        <v>0</v>
      </c>
      <c r="X1315">
        <v>0</v>
      </c>
      <c r="Y1315">
        <v>0</v>
      </c>
      <c r="Z1315">
        <v>0</v>
      </c>
      <c r="AA1315">
        <v>0</v>
      </c>
      <c r="AB1315">
        <v>0</v>
      </c>
      <c r="AC1315">
        <v>0</v>
      </c>
      <c r="AD1315">
        <v>0</v>
      </c>
      <c r="AE1315">
        <v>0</v>
      </c>
      <c r="AF1315">
        <v>0</v>
      </c>
      <c r="AG1315">
        <v>1</v>
      </c>
      <c r="AH1315">
        <v>0</v>
      </c>
      <c r="AI1315">
        <v>0</v>
      </c>
      <c r="AJ1315">
        <v>0</v>
      </c>
      <c r="AK1315">
        <v>0</v>
      </c>
      <c r="AL1315">
        <v>0</v>
      </c>
      <c r="AM1315">
        <v>1</v>
      </c>
      <c r="AN1315">
        <v>0</v>
      </c>
      <c r="AO1315">
        <v>0</v>
      </c>
      <c r="AP1315">
        <v>0</v>
      </c>
      <c r="AQ1315">
        <v>0</v>
      </c>
      <c r="AR1315">
        <v>0</v>
      </c>
      <c r="AS1315">
        <v>0</v>
      </c>
      <c r="AT1315">
        <v>0</v>
      </c>
      <c r="AU1315">
        <v>0</v>
      </c>
      <c r="AV1315">
        <v>0</v>
      </c>
      <c r="AW1315">
        <v>0</v>
      </c>
      <c r="AX1315">
        <v>0</v>
      </c>
      <c r="AY1315">
        <v>0</v>
      </c>
      <c r="AZ1315" s="141">
        <f>COUNTIF(X1315:AY1315,"&lt;&gt;0")</f>
        <v>2</v>
      </c>
      <c r="BA1315" s="141">
        <f>COUNTIF(X1315:AN1315,"&lt;&gt;0")</f>
        <v>2</v>
      </c>
      <c r="BB1315">
        <f>COUNTIF(X1315:AE1315,"&lt;&gt;0")</f>
        <v>0</v>
      </c>
      <c r="BC1315">
        <f>COUNTIF(AF1315:AK1315,"&lt;&gt;0")</f>
        <v>1</v>
      </c>
      <c r="BD1315">
        <f>COUNTIF(AL1315:AN1315,"&lt;&gt;0")</f>
        <v>1</v>
      </c>
      <c r="BE1315">
        <f>COUNTIF(AU1315:AY1315,"&lt;&gt;0")</f>
        <v>0</v>
      </c>
      <c r="BF1315">
        <f>COUNTIF(AO1315:AT1315,"&lt;&gt;0")</f>
        <v>0</v>
      </c>
      <c r="BG1315" t="str" cm="1">
        <f t="array" ref="BG1315">IF(BA1315=1,INDEX($X$7:$AN$7,MATCH(TRUE,INDEX($X1315:$AY1315&lt;&gt;0,),0)),IF(BA1315=0,INDEX($AO$7:$AY$7,MATCH(1,$AO1315:$AY1315,0)),IF(BH1315="Multiple strategies","mixed drivers",IF(BH1315="Supply chain","multiple supply","multiple silviculture"))))</f>
        <v>mixed drivers</v>
      </c>
      <c r="BH1315" s="2" t="str" cm="1">
        <f t="array" ref="BH1315">IF(COUNTIF(BB1315:BD1315,"&lt;&gt;0")=1,INDEX($X$4:$AY$4,MATCH(TRUE,INDEX($X1315:$AY1315&lt;&gt;0,),0)),IF(COUNTIF(BB1315:BD1315,"&lt;&gt;0")=0,INDEX($AO$4:$AY$4,MATCH(1,$AO1315:$AY1315,0)),"Multiple strategies"))</f>
        <v>Multiple strategies</v>
      </c>
      <c r="BI1315" s="142" t="s">
        <v>321</v>
      </c>
      <c r="BJ1315" s="160" t="s">
        <v>1329</v>
      </c>
      <c r="BK1315" s="160" t="s">
        <v>1330</v>
      </c>
      <c r="BL1315" s="143" t="s">
        <v>498</v>
      </c>
      <c r="BM1315" s="143">
        <v>944</v>
      </c>
      <c r="BN1315" s="143">
        <v>4000</v>
      </c>
      <c r="BO1315">
        <f>IFERROR(BN1316/BM1315,"")</f>
        <v>2.1345338983050848</v>
      </c>
      <c r="BP1315">
        <f>BN1315-BM1315</f>
        <v>3056</v>
      </c>
      <c r="BQ1315" s="159">
        <f>BP1315</f>
        <v>3056</v>
      </c>
      <c r="BR1315" s="155" t="s">
        <v>232</v>
      </c>
      <c r="BS1315" s="155" t="s">
        <v>1331</v>
      </c>
      <c r="BT1315" s="155" t="s">
        <v>805</v>
      </c>
      <c r="BU1315" s="143" t="s">
        <v>1349</v>
      </c>
      <c r="BV1315" t="s">
        <v>1393</v>
      </c>
      <c r="BW1315" s="144">
        <f>BV1315/BU1315</f>
        <v>3.9618378951177298</v>
      </c>
      <c r="BX1315">
        <f>BV1315-BU1315</f>
        <v>-0.318323527777778</v>
      </c>
      <c r="BZ1315">
        <f>BX1315</f>
        <v>-0.318323527777778</v>
      </c>
      <c r="CA1315">
        <f>IFERROR(BZ1315/BQ1315,"")</f>
        <v>-1.0416345804246663E-4</v>
      </c>
      <c r="CB1315">
        <v>0</v>
      </c>
      <c r="CC1315">
        <v>0</v>
      </c>
      <c r="CD1315">
        <v>0</v>
      </c>
      <c r="CE1315">
        <v>0</v>
      </c>
      <c r="CF1315">
        <v>0</v>
      </c>
      <c r="CG1315">
        <v>0</v>
      </c>
      <c r="CH1315">
        <v>0</v>
      </c>
      <c r="CI1315">
        <v>0</v>
      </c>
      <c r="CJ1315">
        <v>0</v>
      </c>
      <c r="CK1315">
        <v>0</v>
      </c>
      <c r="CL1315">
        <v>0</v>
      </c>
      <c r="CM1315">
        <v>0</v>
      </c>
      <c r="CN1315">
        <v>0</v>
      </c>
      <c r="CO1315">
        <v>0</v>
      </c>
      <c r="CP1315" t="str">
        <f>IF($BN1315&lt;$BM1315,"refNeedCorrection","refOK")</f>
        <v>refOK</v>
      </c>
      <c r="CQ1315">
        <f>IF($CP1315="refOK",$BM1315,$BN1315)</f>
        <v>944</v>
      </c>
      <c r="CR1315">
        <f>IF($CP1315="refOK",$BN1315,$BM1315)</f>
        <v>4000</v>
      </c>
      <c r="CS1315">
        <f>IF($CP1315="refOK",$BQ1315,-$BQ1315)</f>
        <v>3056</v>
      </c>
      <c r="CT1315">
        <f>IF(BI1315="Roundwood",$CS1315/2,$CS1315)</f>
        <v>1528</v>
      </c>
      <c r="CU1315">
        <f>IF($CP1315="refOK",$BU1315,$BV1315)*IF($BR1315="Emissions positive",-1,1)</f>
        <v>-0.107475</v>
      </c>
      <c r="CV1315">
        <f>IF($CP1315="refOK",$BV1315,$BU1315)*IF($BR1315="Emissions positive",-1,1)</f>
        <v>-0.42579852777777799</v>
      </c>
      <c r="CW1315">
        <f>IF($CP1315="refNeedCorrection",-BZ1315,BZ1315)*IF($BR1315="Emissions positive",-1,1)</f>
        <v>-0.318323527777778</v>
      </c>
      <c r="CX1315">
        <f>IFERROR($CW1315/$CS1315,"")</f>
        <v>-1.0416345804246663E-4</v>
      </c>
      <c r="CY1315">
        <f>IFERROR($CW1315/$CS1315,"")</f>
        <v>-1.0416345804246663E-4</v>
      </c>
      <c r="CZ1315">
        <f>IFERROR($CW1315/$CT1315,"")</f>
        <v>-2.0832691608493325E-4</v>
      </c>
      <c r="DA1315" s="2">
        <f>IFERROR((CV1315-CU1315)/ABS(CU1315),"")</f>
        <v>-2.9618378951177298</v>
      </c>
      <c r="DB1315" s="320" t="s">
        <v>1334</v>
      </c>
      <c r="DC1315" s="317" t="str">
        <f>IF(OR($DB1315="prd",$DB1315="std",$DB1315="cit"),"loc",IF(OR($DB1315="eur",$DB1315="reg",$DB1315="coy"),"reg",$DB1315))</f>
        <v>reg</v>
      </c>
      <c r="DD1315" s="321" t="s">
        <v>729</v>
      </c>
      <c r="DF1315" s="143"/>
      <c r="DG1315" s="143">
        <v>0</v>
      </c>
      <c r="DH1315" t="str">
        <f>IF(DG1315=0,"0",IF(AND(DG1315&gt;=1,DG1315&lt;=30),"1-30",IF(AND(DG1315&gt;30,DG1315&lt;=70),"31-70",IF(AND(DG1315&gt;70,DG1315&lt;=100),"71-100",IF(DG1315&gt;100,"+100")))))</f>
        <v>0</v>
      </c>
      <c r="DI1315">
        <v>0</v>
      </c>
      <c r="DJ1315">
        <v>1</v>
      </c>
      <c r="DK1315">
        <v>0</v>
      </c>
      <c r="DL1315">
        <v>0</v>
      </c>
      <c r="DM1315">
        <v>0</v>
      </c>
      <c r="DN1315">
        <f>SUM(DI1315:DM1315)</f>
        <v>1</v>
      </c>
      <c r="DO1315" t="str">
        <f>IF(DN1315=1,INDEX($DI$7:$DL$7,MATCH(1,$DI1315:$DL1315,0)),"mixedProduct")</f>
        <v>EnergyInput</v>
      </c>
      <c r="DP1315">
        <f>IF(DI1315=1,DP$7,0)</f>
        <v>0</v>
      </c>
      <c r="DQ1315" t="str">
        <f>IF(DJ1315=1,DQ$7,0)</f>
        <v>Energy</v>
      </c>
      <c r="DR1315">
        <f>IF(DK1315=1,DR$7,0)</f>
        <v>0</v>
      </c>
      <c r="DS1315">
        <f>IF(DL1315=1,DS$7,0)</f>
        <v>0</v>
      </c>
      <c r="DT1315">
        <v>0</v>
      </c>
      <c r="DU1315" s="143">
        <v>0</v>
      </c>
      <c r="DV1315" s="143">
        <v>0</v>
      </c>
      <c r="DW1315">
        <v>0</v>
      </c>
      <c r="DX1315" s="143">
        <v>0</v>
      </c>
      <c r="DY1315">
        <f>SUM(DT1315:DU1315)</f>
        <v>0</v>
      </c>
      <c r="DZ1315" s="143" t="str">
        <f>IF(DT1315=1,"self-calculated DF",IF(DU1315=1,"external DF used","explicit C balance"))</f>
        <v>explicit C balance</v>
      </c>
      <c r="EA1315" s="143">
        <v>0</v>
      </c>
      <c r="EB1315" s="143">
        <v>0</v>
      </c>
      <c r="EC1315" s="143">
        <v>0</v>
      </c>
      <c r="ED1315" s="143">
        <v>0</v>
      </c>
      <c r="EE1315">
        <v>0</v>
      </c>
      <c r="EF1315" s="143">
        <v>0</v>
      </c>
      <c r="EG1315" s="143">
        <v>1</v>
      </c>
      <c r="EH1315" s="143">
        <v>0</v>
      </c>
      <c r="EI1315" s="143">
        <v>0</v>
      </c>
      <c r="EJ1315">
        <v>0</v>
      </c>
      <c r="EK1315">
        <v>0</v>
      </c>
      <c r="EL1315" s="143">
        <v>0</v>
      </c>
      <c r="EM1315" s="143">
        <v>0</v>
      </c>
      <c r="EN1315" s="2">
        <v>0</v>
      </c>
      <c r="EP1315" t="str">
        <f>IF(AND(AND(AND(OR($EC1315=1,$EB1315=1),OR($EH1315=1,$EF1315=1)),SUM($EA1315:$EE1315,$EK1315)&gt;=3),SUM($EF1315:$EJ1315)&gt;=2),"Whole sector approach","")</f>
        <v/>
      </c>
      <c r="EQ1315" t="str">
        <f>IF(AND(AND(OR($EC1315=1,$EB1315=1),AND($EH1315=0,$EF1315=0)),SUM($EA1315:$EE1315,$EK1315)&gt;=3),"Ecosystem approach","")</f>
        <v/>
      </c>
      <c r="ER1315" s="2" t="str">
        <f>IF(AND(AND(AND($EC1315=0,$EB1315=0),OR($EH1315=1,$EF1315=1)),SUM($EG1315:$EJ1315)&gt;=2),"Technology approach","")</f>
        <v/>
      </c>
      <c r="ES1315" t="str">
        <f>IF(AND($EC1315+$EB1315+$EE1315+$EA1315+$ED1315+$EG1315=0,$N1315="included"),"C neutral forest and HWP assumption","")</f>
        <v/>
      </c>
      <c r="ET1315" t="str">
        <f>IF(AND(AND(AND(AND($EC1315=1,$EB1315+$EA1315+$EG1315&gt;=1),$EF1315=1),$EH1315+$EI1315+$ED1315+$EE1315&gt;=2),$N1315="included"),"All C pools assumption","")</f>
        <v/>
      </c>
      <c r="EU1315" t="str">
        <f>IF(AND($ED1315+$EE1315+$EI1315+$EH1315+$EF1315=0,$N1315="included"),"In-situ only assumption","")</f>
        <v>In-situ only assumption</v>
      </c>
      <c r="EY1315" t="str">
        <f>IF(ISNUMBER(BW1315),IF(ABS(BW1315-[4]QC_indicators!$B$2)&gt;3*[4]QC_indicators!$C$2,"C ratio",IF(ISNUMBER(CA1315),IF(ABS(CA1315-[4]QC_indicators!$B$1)&gt;3*[4]QC_indicators!$C$1,"DF","no"))),IF(ISNUMBER(CA1315),IF(ABS(CA1315-[4]QC_indicators!$B$1)&gt;3*[4]QC_indicators!$C$1,"DF","no")))</f>
        <v>no</v>
      </c>
      <c r="FA1315" t="str">
        <f>IF(LEN($CY1315)=0,"",IF(AND($CY1315&lt;(-0.05),$ES1315="C neutral forest and HWP assumption"),"Cneutral paradox",IF(AND($CY1315&gt;0.05,$EU1315="In-situ only assumption"),"In-situ only paradox","")))</f>
        <v/>
      </c>
      <c r="FB1315" s="149"/>
    </row>
    <row r="1316" spans="1:158" ht="15" customHeight="1">
      <c r="A1316" s="1" t="s">
        <v>574</v>
      </c>
      <c r="B1316" t="s">
        <v>1320</v>
      </c>
      <c r="C1316" t="s">
        <v>1321</v>
      </c>
      <c r="D1316" t="s">
        <v>1322</v>
      </c>
      <c r="E1316" t="s">
        <v>1323</v>
      </c>
      <c r="F1316" t="s">
        <v>1324</v>
      </c>
      <c r="G1316" t="s">
        <v>580</v>
      </c>
      <c r="H1316" t="s">
        <v>254</v>
      </c>
      <c r="I1316">
        <v>2020</v>
      </c>
      <c r="J1316">
        <v>12</v>
      </c>
      <c r="K1316" t="s">
        <v>1325</v>
      </c>
      <c r="M1316" t="str">
        <f>LEFT($D1316,FIND(",",$D1316)-1)&amp;"_"&amp;I1316&amp;L1316</f>
        <v>Elisa_2020</v>
      </c>
      <c r="N1316" s="317" t="s">
        <v>222</v>
      </c>
      <c r="O1316" s="171" t="s">
        <v>274</v>
      </c>
      <c r="P1316" t="s">
        <v>223</v>
      </c>
      <c r="Q1316" s="317" t="s">
        <v>389</v>
      </c>
      <c r="R1316" s="318" t="s">
        <v>1029</v>
      </c>
      <c r="S1316" s="154" t="s">
        <v>1326</v>
      </c>
      <c r="T1316" s="319" t="s">
        <v>1327</v>
      </c>
      <c r="U1316" s="143" t="s">
        <v>1391</v>
      </c>
      <c r="V1316" s="253">
        <v>0</v>
      </c>
      <c r="W1316" s="253">
        <v>0</v>
      </c>
      <c r="X1316">
        <v>0</v>
      </c>
      <c r="Y1316">
        <v>0</v>
      </c>
      <c r="Z1316">
        <v>0</v>
      </c>
      <c r="AA1316">
        <v>0</v>
      </c>
      <c r="AB1316">
        <v>0</v>
      </c>
      <c r="AC1316">
        <v>0</v>
      </c>
      <c r="AD1316">
        <v>0</v>
      </c>
      <c r="AE1316">
        <v>0</v>
      </c>
      <c r="AF1316">
        <v>0</v>
      </c>
      <c r="AG1316">
        <v>1</v>
      </c>
      <c r="AH1316">
        <v>0</v>
      </c>
      <c r="AI1316">
        <v>0</v>
      </c>
      <c r="AJ1316">
        <v>0</v>
      </c>
      <c r="AK1316">
        <v>0</v>
      </c>
      <c r="AL1316">
        <v>0</v>
      </c>
      <c r="AM1316">
        <v>1</v>
      </c>
      <c r="AN1316">
        <v>0</v>
      </c>
      <c r="AO1316">
        <v>0</v>
      </c>
      <c r="AP1316">
        <v>0</v>
      </c>
      <c r="AQ1316">
        <v>0</v>
      </c>
      <c r="AR1316">
        <v>0</v>
      </c>
      <c r="AS1316">
        <v>0</v>
      </c>
      <c r="AT1316">
        <v>0</v>
      </c>
      <c r="AU1316">
        <v>0</v>
      </c>
      <c r="AV1316">
        <v>0</v>
      </c>
      <c r="AW1316">
        <v>0</v>
      </c>
      <c r="AX1316">
        <v>0</v>
      </c>
      <c r="AY1316">
        <v>0</v>
      </c>
      <c r="AZ1316" s="141">
        <f>COUNTIF(X1316:AY1316,"&lt;&gt;0")</f>
        <v>2</v>
      </c>
      <c r="BA1316" s="141">
        <f>COUNTIF(X1316:AN1316,"&lt;&gt;0")</f>
        <v>2</v>
      </c>
      <c r="BB1316">
        <f>COUNTIF(X1316:AE1316,"&lt;&gt;0")</f>
        <v>0</v>
      </c>
      <c r="BC1316">
        <f>COUNTIF(AF1316:AK1316,"&lt;&gt;0")</f>
        <v>1</v>
      </c>
      <c r="BD1316">
        <f>COUNTIF(AL1316:AN1316,"&lt;&gt;0")</f>
        <v>1</v>
      </c>
      <c r="BE1316">
        <f>COUNTIF(AU1316:AY1316,"&lt;&gt;0")</f>
        <v>0</v>
      </c>
      <c r="BF1316">
        <f>COUNTIF(AO1316:AT1316,"&lt;&gt;0")</f>
        <v>0</v>
      </c>
      <c r="BG1316" t="str" cm="1">
        <f t="array" ref="BG1316">IF(BA1316=1,INDEX($X$7:$AN$7,MATCH(TRUE,INDEX($X1316:$AY1316&lt;&gt;0,),0)),IF(BA1316=0,INDEX($AO$7:$AY$7,MATCH(1,$AO1316:$AY1316,0)),IF(BH1316="Multiple strategies","mixed drivers",IF(BH1316="Supply chain","multiple supply","multiple silviculture"))))</f>
        <v>mixed drivers</v>
      </c>
      <c r="BH1316" s="2" t="str" cm="1">
        <f t="array" ref="BH1316">IF(COUNTIF(BB1316:BD1316,"&lt;&gt;0")=1,INDEX($X$4:$AY$4,MATCH(TRUE,INDEX($X1316:$AY1316&lt;&gt;0,),0)),IF(COUNTIF(BB1316:BD1316,"&lt;&gt;0")=0,INDEX($AO$4:$AY$4,MATCH(1,$AO1316:$AY1316,0)),"Multiple strategies"))</f>
        <v>Multiple strategies</v>
      </c>
      <c r="BI1316" s="142" t="s">
        <v>321</v>
      </c>
      <c r="BJ1316" s="160" t="s">
        <v>1329</v>
      </c>
      <c r="BK1316" s="160" t="s">
        <v>1330</v>
      </c>
      <c r="BL1316" s="143" t="s">
        <v>498</v>
      </c>
      <c r="BM1316" s="143">
        <v>944</v>
      </c>
      <c r="BN1316" s="143">
        <v>2015</v>
      </c>
      <c r="BO1316">
        <f>IFERROR(BN1317/BM1316,"")</f>
        <v>21.1864406779661</v>
      </c>
      <c r="BP1316">
        <f>BN1316-BM1316</f>
        <v>1071</v>
      </c>
      <c r="BQ1316" s="159">
        <f>BP1316</f>
        <v>1071</v>
      </c>
      <c r="BR1316" s="155" t="s">
        <v>232</v>
      </c>
      <c r="BS1316" s="155" t="s">
        <v>1331</v>
      </c>
      <c r="BT1316" s="155" t="s">
        <v>805</v>
      </c>
      <c r="BU1316" s="143" t="s">
        <v>1349</v>
      </c>
      <c r="BV1316" t="s">
        <v>1392</v>
      </c>
      <c r="BW1316" s="144">
        <f>BV1316/BU1316</f>
        <v>2.044920007236827</v>
      </c>
      <c r="BX1316">
        <f>BV1316-BU1316</f>
        <v>-0.11230277777777799</v>
      </c>
      <c r="BZ1316">
        <f>BX1316</f>
        <v>-0.11230277777777799</v>
      </c>
      <c r="CA1316">
        <f>IFERROR(BZ1316/BQ1316,"")</f>
        <v>-1.0485786907355554E-4</v>
      </c>
      <c r="CB1316">
        <v>0</v>
      </c>
      <c r="CC1316">
        <v>0</v>
      </c>
      <c r="CD1316">
        <v>0</v>
      </c>
      <c r="CE1316">
        <v>0</v>
      </c>
      <c r="CF1316">
        <v>0</v>
      </c>
      <c r="CG1316">
        <v>0</v>
      </c>
      <c r="CH1316">
        <v>0</v>
      </c>
      <c r="CI1316">
        <v>0</v>
      </c>
      <c r="CJ1316">
        <v>0</v>
      </c>
      <c r="CK1316">
        <v>0</v>
      </c>
      <c r="CL1316">
        <v>0</v>
      </c>
      <c r="CM1316">
        <v>0</v>
      </c>
      <c r="CN1316">
        <v>0</v>
      </c>
      <c r="CO1316">
        <v>0</v>
      </c>
      <c r="CP1316" t="str">
        <f>IF($BN1316&lt;$BM1316,"refNeedCorrection","refOK")</f>
        <v>refOK</v>
      </c>
      <c r="CQ1316">
        <f>IF($CP1316="refOK",$BM1316,$BN1316)</f>
        <v>944</v>
      </c>
      <c r="CR1316">
        <f>IF($CP1316="refOK",$BN1316,$BM1316)</f>
        <v>2015</v>
      </c>
      <c r="CS1316">
        <f>IF($CP1316="refOK",$BQ1316,-$BQ1316)</f>
        <v>1071</v>
      </c>
      <c r="CT1316">
        <f>IF(BI1316="Roundwood",$CS1316/2,$CS1316)</f>
        <v>535.5</v>
      </c>
      <c r="CU1316">
        <f>IF($CP1316="refOK",$BU1316,$BV1316)*IF($BR1316="Emissions positive",-1,1)</f>
        <v>-0.107475</v>
      </c>
      <c r="CV1316">
        <f>IF($CP1316="refOK",$BV1316,$BU1316)*IF($BR1316="Emissions positive",-1,1)</f>
        <v>-0.21977777777777799</v>
      </c>
      <c r="CW1316">
        <f>IF($CP1316="refNeedCorrection",-BZ1316,BZ1316)*IF($BR1316="Emissions positive",-1,1)</f>
        <v>-0.11230277777777799</v>
      </c>
      <c r="CX1316">
        <f>IFERROR($CW1316/$CS1316,"")</f>
        <v>-1.0485786907355554E-4</v>
      </c>
      <c r="CY1316">
        <f>IFERROR($CW1316/$CS1316,"")</f>
        <v>-1.0485786907355554E-4</v>
      </c>
      <c r="CZ1316">
        <f>IFERROR($CW1316/$CT1316,"")</f>
        <v>-2.0971573814711108E-4</v>
      </c>
      <c r="DA1316" s="2">
        <f>IFERROR((CV1316-CU1316)/ABS(CU1316),"")</f>
        <v>-1.044920007236827</v>
      </c>
      <c r="DB1316" s="320" t="s">
        <v>1334</v>
      </c>
      <c r="DC1316" s="317" t="str">
        <f>IF(OR($DB1316="prd",$DB1316="std",$DB1316="cit"),"loc",IF(OR($DB1316="eur",$DB1316="reg",$DB1316="coy"),"reg",$DB1316))</f>
        <v>reg</v>
      </c>
      <c r="DD1316" s="321" t="s">
        <v>729</v>
      </c>
      <c r="DF1316" s="143"/>
      <c r="DG1316" s="143">
        <v>0</v>
      </c>
      <c r="DH1316" t="str">
        <f>IF(DG1316=0,"0",IF(AND(DG1316&gt;=1,DG1316&lt;=30),"1-30",IF(AND(DG1316&gt;30,DG1316&lt;=70),"31-70",IF(AND(DG1316&gt;70,DG1316&lt;=100),"71-100",IF(DG1316&gt;100,"+100")))))</f>
        <v>0</v>
      </c>
      <c r="DI1316">
        <v>0</v>
      </c>
      <c r="DJ1316">
        <v>1</v>
      </c>
      <c r="DK1316">
        <v>0</v>
      </c>
      <c r="DL1316">
        <v>0</v>
      </c>
      <c r="DM1316">
        <v>0</v>
      </c>
      <c r="DN1316">
        <f>SUM(DI1316:DM1316)</f>
        <v>1</v>
      </c>
      <c r="DO1316" t="str">
        <f>IF(DN1316=1,INDEX($DI$7:$DL$7,MATCH(1,$DI1316:$DL1316,0)),"mixedProduct")</f>
        <v>EnergyInput</v>
      </c>
      <c r="DP1316">
        <f>IF(DI1316=1,DP$7,0)</f>
        <v>0</v>
      </c>
      <c r="DQ1316" t="str">
        <f>IF(DJ1316=1,DQ$7,0)</f>
        <v>Energy</v>
      </c>
      <c r="DR1316">
        <f>IF(DK1316=1,DR$7,0)</f>
        <v>0</v>
      </c>
      <c r="DS1316">
        <f>IF(DL1316=1,DS$7,0)</f>
        <v>0</v>
      </c>
      <c r="DT1316">
        <v>0</v>
      </c>
      <c r="DU1316" s="143">
        <v>0</v>
      </c>
      <c r="DV1316" s="143">
        <v>0</v>
      </c>
      <c r="DW1316">
        <v>0</v>
      </c>
      <c r="DX1316" s="143">
        <v>0</v>
      </c>
      <c r="DY1316">
        <f>SUM(DT1316:DU1316)</f>
        <v>0</v>
      </c>
      <c r="DZ1316" s="143" t="str">
        <f>IF(DT1316=1,"self-calculated DF",IF(DU1316=1,"external DF used","explicit C balance"))</f>
        <v>explicit C balance</v>
      </c>
      <c r="EA1316" s="143">
        <v>0</v>
      </c>
      <c r="EB1316" s="143">
        <v>0</v>
      </c>
      <c r="EC1316" s="143">
        <v>0</v>
      </c>
      <c r="ED1316" s="143">
        <v>0</v>
      </c>
      <c r="EE1316">
        <v>0</v>
      </c>
      <c r="EF1316" s="143">
        <v>0</v>
      </c>
      <c r="EG1316" s="143">
        <v>1</v>
      </c>
      <c r="EH1316" s="143">
        <v>0</v>
      </c>
      <c r="EI1316" s="143">
        <v>0</v>
      </c>
      <c r="EJ1316">
        <v>0</v>
      </c>
      <c r="EK1316">
        <v>0</v>
      </c>
      <c r="EL1316" s="143">
        <v>0</v>
      </c>
      <c r="EM1316" s="143">
        <v>0</v>
      </c>
      <c r="EN1316" s="2">
        <v>0</v>
      </c>
      <c r="EP1316" t="str">
        <f>IF(AND(AND(AND(OR($EC1316=1,$EB1316=1),OR($EH1316=1,$EF1316=1)),SUM($EA1316:$EE1316,$EK1316)&gt;=3),SUM($EF1316:$EJ1316)&gt;=2),"Whole sector approach","")</f>
        <v/>
      </c>
      <c r="EQ1316" t="str">
        <f>IF(AND(AND(OR($EC1316=1,$EB1316=1),AND($EH1316=0,$EF1316=0)),SUM($EA1316:$EE1316,$EK1316)&gt;=3),"Ecosystem approach","")</f>
        <v/>
      </c>
      <c r="ER1316" s="2" t="str">
        <f>IF(AND(AND(AND($EC1316=0,$EB1316=0),OR($EH1316=1,$EF1316=1)),SUM($EG1316:$EJ1316)&gt;=2),"Technology approach","")</f>
        <v/>
      </c>
      <c r="ES1316" t="str">
        <f>IF(AND($EC1316+$EB1316+$EE1316+$EA1316+$ED1316+$EG1316=0,$N1316="included"),"C neutral forest and HWP assumption","")</f>
        <v/>
      </c>
      <c r="ET1316" t="str">
        <f>IF(AND(AND(AND(AND($EC1316=1,$EB1316+$EA1316+$EG1316&gt;=1),$EF1316=1),$EH1316+$EI1316+$ED1316+$EE1316&gt;=2),$N1316="included"),"All C pools assumption","")</f>
        <v/>
      </c>
      <c r="EU1316" t="str">
        <f>IF(AND($ED1316+$EE1316+$EI1316+$EH1316+$EF1316=0,$N1316="included"),"In-situ only assumption","")</f>
        <v>In-situ only assumption</v>
      </c>
      <c r="EY1316" t="str">
        <f>IF(ISNUMBER(BW1316),IF(ABS(BW1316-[4]QC_indicators!$B$2)&gt;3*[4]QC_indicators!$C$2,"C ratio",IF(ISNUMBER(CA1316),IF(ABS(CA1316-[4]QC_indicators!$B$1)&gt;3*[4]QC_indicators!$C$1,"DF","no"))),IF(ISNUMBER(CA1316),IF(ABS(CA1316-[4]QC_indicators!$B$1)&gt;3*[4]QC_indicators!$C$1,"DF","no")))</f>
        <v>no</v>
      </c>
      <c r="FA1316" t="str">
        <f>IF(LEN($CY1316)=0,"",IF(AND($CY1316&lt;(-0.05),$ES1316="C neutral forest and HWP assumption"),"Cneutral paradox",IF(AND($CY1316&gt;0.05,$EU1316="In-situ only assumption"),"In-situ only paradox","")))</f>
        <v/>
      </c>
      <c r="FB1316" s="149"/>
    </row>
    <row r="1317" spans="1:158" ht="15" customHeight="1">
      <c r="A1317" s="1" t="s">
        <v>574</v>
      </c>
      <c r="B1317" t="s">
        <v>1320</v>
      </c>
      <c r="C1317" t="s">
        <v>1321</v>
      </c>
      <c r="D1317" t="s">
        <v>1322</v>
      </c>
      <c r="E1317" t="s">
        <v>1323</v>
      </c>
      <c r="F1317" t="s">
        <v>1324</v>
      </c>
      <c r="G1317" t="s">
        <v>580</v>
      </c>
      <c r="H1317" t="s">
        <v>254</v>
      </c>
      <c r="I1317">
        <v>2020</v>
      </c>
      <c r="J1317">
        <v>12</v>
      </c>
      <c r="K1317" t="s">
        <v>1325</v>
      </c>
      <c r="M1317" t="str">
        <f>LEFT($D1317,FIND(",",$D1317)-1)&amp;"_"&amp;I1317&amp;L1317</f>
        <v>Elisa_2020</v>
      </c>
      <c r="N1317" s="317" t="s">
        <v>222</v>
      </c>
      <c r="O1317" s="171" t="s">
        <v>274</v>
      </c>
      <c r="P1317" t="s">
        <v>223</v>
      </c>
      <c r="Q1317" s="317" t="s">
        <v>389</v>
      </c>
      <c r="R1317" s="318" t="s">
        <v>1029</v>
      </c>
      <c r="S1317" s="154" t="s">
        <v>1326</v>
      </c>
      <c r="T1317" s="319" t="s">
        <v>1327</v>
      </c>
      <c r="U1317" s="143" t="s">
        <v>1366</v>
      </c>
      <c r="V1317" s="253">
        <v>0</v>
      </c>
      <c r="W1317" s="253">
        <v>0</v>
      </c>
      <c r="X1317">
        <v>0</v>
      </c>
      <c r="Y1317">
        <v>0</v>
      </c>
      <c r="Z1317">
        <v>0</v>
      </c>
      <c r="AA1317">
        <v>0</v>
      </c>
      <c r="AB1317">
        <v>0</v>
      </c>
      <c r="AC1317">
        <v>0</v>
      </c>
      <c r="AD1317">
        <v>0</v>
      </c>
      <c r="AE1317">
        <v>0</v>
      </c>
      <c r="AF1317">
        <v>0</v>
      </c>
      <c r="AG1317">
        <v>1</v>
      </c>
      <c r="AH1317">
        <v>0</v>
      </c>
      <c r="AI1317">
        <v>0</v>
      </c>
      <c r="AJ1317">
        <v>0</v>
      </c>
      <c r="AK1317">
        <v>0</v>
      </c>
      <c r="AL1317">
        <v>0</v>
      </c>
      <c r="AM1317">
        <v>1</v>
      </c>
      <c r="AN1317">
        <v>0</v>
      </c>
      <c r="AO1317">
        <v>0</v>
      </c>
      <c r="AP1317">
        <v>0</v>
      </c>
      <c r="AQ1317">
        <v>0</v>
      </c>
      <c r="AR1317">
        <v>0</v>
      </c>
      <c r="AS1317">
        <v>0</v>
      </c>
      <c r="AT1317">
        <v>0</v>
      </c>
      <c r="AU1317">
        <v>0</v>
      </c>
      <c r="AV1317">
        <v>0</v>
      </c>
      <c r="AW1317">
        <v>0</v>
      </c>
      <c r="AX1317">
        <v>0</v>
      </c>
      <c r="AY1317">
        <v>0</v>
      </c>
      <c r="AZ1317" s="141">
        <f>COUNTIF(X1317:AY1317,"&lt;&gt;0")</f>
        <v>2</v>
      </c>
      <c r="BA1317" s="141">
        <f>COUNTIF(X1317:AN1317,"&lt;&gt;0")</f>
        <v>2</v>
      </c>
      <c r="BB1317">
        <f>COUNTIF(X1317:AE1317,"&lt;&gt;0")</f>
        <v>0</v>
      </c>
      <c r="BC1317">
        <f>COUNTIF(AF1317:AK1317,"&lt;&gt;0")</f>
        <v>1</v>
      </c>
      <c r="BD1317">
        <f>COUNTIF(AL1317:AN1317,"&lt;&gt;0")</f>
        <v>1</v>
      </c>
      <c r="BE1317">
        <f>COUNTIF(AU1317:AY1317,"&lt;&gt;0")</f>
        <v>0</v>
      </c>
      <c r="BF1317">
        <f>COUNTIF(AO1317:AT1317,"&lt;&gt;0")</f>
        <v>0</v>
      </c>
      <c r="BG1317" t="str" cm="1">
        <f t="array" ref="BG1317">IF(BA1317=1,INDEX($X$7:$AN$7,MATCH(TRUE,INDEX($X1317:$AY1317&lt;&gt;0,),0)),IF(BA1317=0,INDEX($AO$7:$AY$7,MATCH(1,$AO1317:$AY1317,0)),IF(BH1317="Multiple strategies","mixed drivers",IF(BH1317="Supply chain","multiple supply","multiple silviculture"))))</f>
        <v>mixed drivers</v>
      </c>
      <c r="BH1317" s="2" t="str" cm="1">
        <f t="array" ref="BH1317">IF(COUNTIF(BB1317:BD1317,"&lt;&gt;0")=1,INDEX($X$4:$AY$4,MATCH(TRUE,INDEX($X1317:$AY1317&lt;&gt;0,),0)),IF(COUNTIF(BB1317:BD1317,"&lt;&gt;0")=0,INDEX($AO$4:$AY$4,MATCH(1,$AO1317:$AY1317,0)),"Multiple strategies"))</f>
        <v>Multiple strategies</v>
      </c>
      <c r="BI1317" s="142" t="s">
        <v>321</v>
      </c>
      <c r="BJ1317" s="160" t="s">
        <v>1329</v>
      </c>
      <c r="BK1317" s="160" t="s">
        <v>1330</v>
      </c>
      <c r="BL1317" s="143" t="s">
        <v>498</v>
      </c>
      <c r="BM1317" s="143">
        <v>944</v>
      </c>
      <c r="BN1317" s="143">
        <v>20000</v>
      </c>
      <c r="BO1317">
        <f>IFERROR(BN1318/BM1317,"")</f>
        <v>13.771186440677965</v>
      </c>
      <c r="BP1317">
        <f>BN1317-BM1317</f>
        <v>19056</v>
      </c>
      <c r="BQ1317" s="159">
        <f>BP1317</f>
        <v>19056</v>
      </c>
      <c r="BR1317" s="155" t="s">
        <v>232</v>
      </c>
      <c r="BS1317" s="155" t="s">
        <v>1331</v>
      </c>
      <c r="BT1317" s="155" t="s">
        <v>805</v>
      </c>
      <c r="BU1317" s="143" t="s">
        <v>1349</v>
      </c>
      <c r="BV1317" t="s">
        <v>1390</v>
      </c>
      <c r="BW1317" s="144">
        <f>BV1317/BU1317</f>
        <v>21.393037140420283</v>
      </c>
      <c r="BX1317">
        <f>BV1317-BU1317</f>
        <v>-2.1917416666666698</v>
      </c>
      <c r="BZ1317">
        <f>BX1317</f>
        <v>-2.1917416666666698</v>
      </c>
      <c r="CA1317">
        <f>IFERROR(BZ1317/BQ1317,"")</f>
        <v>-1.1501583053456496E-4</v>
      </c>
      <c r="CB1317">
        <v>0</v>
      </c>
      <c r="CC1317">
        <v>0</v>
      </c>
      <c r="CD1317">
        <v>0</v>
      </c>
      <c r="CE1317">
        <v>0</v>
      </c>
      <c r="CF1317">
        <v>0</v>
      </c>
      <c r="CG1317">
        <v>0</v>
      </c>
      <c r="CH1317">
        <v>0</v>
      </c>
      <c r="CI1317">
        <v>0</v>
      </c>
      <c r="CJ1317">
        <v>0</v>
      </c>
      <c r="CK1317">
        <v>0</v>
      </c>
      <c r="CL1317">
        <v>0</v>
      </c>
      <c r="CM1317">
        <v>0</v>
      </c>
      <c r="CN1317">
        <v>0</v>
      </c>
      <c r="CO1317">
        <v>0</v>
      </c>
      <c r="CP1317" t="str">
        <f>IF($BN1317&lt;$BM1317,"refNeedCorrection","refOK")</f>
        <v>refOK</v>
      </c>
      <c r="CQ1317">
        <f>IF($CP1317="refOK",$BM1317,$BN1317)</f>
        <v>944</v>
      </c>
      <c r="CR1317">
        <f>IF($CP1317="refOK",$BN1317,$BM1317)</f>
        <v>20000</v>
      </c>
      <c r="CS1317">
        <f>IF($CP1317="refOK",$BQ1317,-$BQ1317)</f>
        <v>19056</v>
      </c>
      <c r="CT1317">
        <f>IF(BI1317="Roundwood",$CS1317/2,$CS1317)</f>
        <v>9528</v>
      </c>
      <c r="CU1317">
        <f>IF($CP1317="refOK",$BU1317,$BV1317)*IF($BR1317="Emissions positive",-1,1)</f>
        <v>-0.107475</v>
      </c>
      <c r="CV1317">
        <f>IF($CP1317="refOK",$BV1317,$BU1317)*IF($BR1317="Emissions positive",-1,1)</f>
        <v>-2.2992166666666698</v>
      </c>
      <c r="CW1317">
        <f>IF($CP1317="refNeedCorrection",-BZ1317,BZ1317)*IF($BR1317="Emissions positive",-1,1)</f>
        <v>-2.1917416666666698</v>
      </c>
      <c r="CX1317">
        <f>IFERROR($CW1317/$CS1317,"")</f>
        <v>-1.1501583053456496E-4</v>
      </c>
      <c r="CY1317">
        <f>IFERROR($CW1317/$CS1317,"")</f>
        <v>-1.1501583053456496E-4</v>
      </c>
      <c r="CZ1317">
        <f>IFERROR($CW1317/$CT1317,"")</f>
        <v>-2.3003166106912992E-4</v>
      </c>
      <c r="DA1317" s="2">
        <f>IFERROR((CV1317-CU1317)/ABS(CU1317),"")</f>
        <v>-20.393037140420283</v>
      </c>
      <c r="DB1317" s="320" t="s">
        <v>1334</v>
      </c>
      <c r="DC1317" s="317" t="str">
        <f>IF(OR($DB1317="prd",$DB1317="std",$DB1317="cit"),"loc",IF(OR($DB1317="eur",$DB1317="reg",$DB1317="coy"),"reg",$DB1317))</f>
        <v>reg</v>
      </c>
      <c r="DD1317" s="321" t="s">
        <v>729</v>
      </c>
      <c r="DF1317" s="143"/>
      <c r="DG1317" s="143">
        <v>0</v>
      </c>
      <c r="DH1317" t="str">
        <f>IF(DG1317=0,"0",IF(AND(DG1317&gt;=1,DG1317&lt;=30),"1-30",IF(AND(DG1317&gt;30,DG1317&lt;=70),"31-70",IF(AND(DG1317&gt;70,DG1317&lt;=100),"71-100",IF(DG1317&gt;100,"+100")))))</f>
        <v>0</v>
      </c>
      <c r="DI1317">
        <v>0</v>
      </c>
      <c r="DJ1317">
        <v>1</v>
      </c>
      <c r="DK1317">
        <v>0</v>
      </c>
      <c r="DL1317">
        <v>0</v>
      </c>
      <c r="DM1317">
        <v>0</v>
      </c>
      <c r="DN1317">
        <f>SUM(DI1317:DM1317)</f>
        <v>1</v>
      </c>
      <c r="DO1317" t="str">
        <f>IF(DN1317=1,INDEX($DI$7:$DL$7,MATCH(1,$DI1317:$DL1317,0)),"mixedProduct")</f>
        <v>EnergyInput</v>
      </c>
      <c r="DP1317">
        <f>IF(DI1317=1,DP$7,0)</f>
        <v>0</v>
      </c>
      <c r="DQ1317" t="str">
        <f>IF(DJ1317=1,DQ$7,0)</f>
        <v>Energy</v>
      </c>
      <c r="DR1317">
        <f>IF(DK1317=1,DR$7,0)</f>
        <v>0</v>
      </c>
      <c r="DS1317">
        <f>IF(DL1317=1,DS$7,0)</f>
        <v>0</v>
      </c>
      <c r="DT1317">
        <v>0</v>
      </c>
      <c r="DU1317" s="143">
        <v>0</v>
      </c>
      <c r="DV1317" s="143">
        <v>0</v>
      </c>
      <c r="DW1317">
        <v>0</v>
      </c>
      <c r="DX1317" s="143">
        <v>0</v>
      </c>
      <c r="DY1317">
        <f>SUM(DT1317:DU1317)</f>
        <v>0</v>
      </c>
      <c r="DZ1317" s="143" t="str">
        <f>IF(DT1317=1,"self-calculated DF",IF(DU1317=1,"external DF used","explicit C balance"))</f>
        <v>explicit C balance</v>
      </c>
      <c r="EA1317" s="143">
        <v>0</v>
      </c>
      <c r="EB1317" s="143">
        <v>0</v>
      </c>
      <c r="EC1317" s="143">
        <v>0</v>
      </c>
      <c r="ED1317" s="143">
        <v>0</v>
      </c>
      <c r="EE1317">
        <v>0</v>
      </c>
      <c r="EF1317" s="143">
        <v>0</v>
      </c>
      <c r="EG1317" s="143">
        <v>1</v>
      </c>
      <c r="EH1317" s="143">
        <v>0</v>
      </c>
      <c r="EI1317" s="143">
        <v>0</v>
      </c>
      <c r="EJ1317">
        <v>0</v>
      </c>
      <c r="EK1317">
        <v>0</v>
      </c>
      <c r="EL1317" s="143">
        <v>0</v>
      </c>
      <c r="EM1317" s="143">
        <v>0</v>
      </c>
      <c r="EN1317" s="2">
        <v>0</v>
      </c>
      <c r="EP1317" t="str">
        <f>IF(AND(AND(AND(OR($EC1317=1,$EB1317=1),OR($EH1317=1,$EF1317=1)),SUM($EA1317:$EE1317,$EK1317)&gt;=3),SUM($EF1317:$EJ1317)&gt;=2),"Whole sector approach","")</f>
        <v/>
      </c>
      <c r="EQ1317" t="str">
        <f>IF(AND(AND(OR($EC1317=1,$EB1317=1),AND($EH1317=0,$EF1317=0)),SUM($EA1317:$EE1317,$EK1317)&gt;=3),"Ecosystem approach","")</f>
        <v/>
      </c>
      <c r="ER1317" s="2" t="str">
        <f>IF(AND(AND(AND($EC1317=0,$EB1317=0),OR($EH1317=1,$EF1317=1)),SUM($EG1317:$EJ1317)&gt;=2),"Technology approach","")</f>
        <v/>
      </c>
      <c r="ES1317" t="str">
        <f>IF(AND($EC1317+$EB1317+$EE1317+$EA1317+$ED1317+$EG1317=0,$N1317="included"),"C neutral forest and HWP assumption","")</f>
        <v/>
      </c>
      <c r="ET1317" t="str">
        <f>IF(AND(AND(AND(AND($EC1317=1,$EB1317+$EA1317+$EG1317&gt;=1),$EF1317=1),$EH1317+$EI1317+$ED1317+$EE1317&gt;=2),$N1317="included"),"All C pools assumption","")</f>
        <v/>
      </c>
      <c r="EU1317" t="str">
        <f>IF(AND($ED1317+$EE1317+$EI1317+$EH1317+$EF1317=0,$N1317="included"),"In-situ only assumption","")</f>
        <v>In-situ only assumption</v>
      </c>
      <c r="EY1317" t="str">
        <f>IF(ISNUMBER(BW1317),IF(ABS(BW1317-[4]QC_indicators!$B$2)&gt;3*[4]QC_indicators!$C$2,"C ratio",IF(ISNUMBER(CA1317),IF(ABS(CA1317-[4]QC_indicators!$B$1)&gt;3*[4]QC_indicators!$C$1,"DF","no"))),IF(ISNUMBER(CA1317),IF(ABS(CA1317-[4]QC_indicators!$B$1)&gt;3*[4]QC_indicators!$C$1,"DF","no")))</f>
        <v>no</v>
      </c>
      <c r="FA1317" t="str">
        <f>IF(LEN($CY1317)=0,"",IF(AND($CY1317&lt;(-0.05),$ES1317="C neutral forest and HWP assumption"),"Cneutral paradox",IF(AND($CY1317&gt;0.05,$EU1317="In-situ only assumption"),"In-situ only paradox","")))</f>
        <v/>
      </c>
      <c r="FB1317" s="149"/>
    </row>
    <row r="1318" spans="1:158" ht="14" customHeight="1">
      <c r="A1318" s="1" t="s">
        <v>574</v>
      </c>
      <c r="B1318" t="s">
        <v>1320</v>
      </c>
      <c r="C1318" t="s">
        <v>1321</v>
      </c>
      <c r="D1318" t="s">
        <v>1322</v>
      </c>
      <c r="E1318" t="s">
        <v>1323</v>
      </c>
      <c r="F1318" t="s">
        <v>1324</v>
      </c>
      <c r="G1318" t="s">
        <v>580</v>
      </c>
      <c r="H1318" t="s">
        <v>254</v>
      </c>
      <c r="I1318">
        <v>2020</v>
      </c>
      <c r="J1318">
        <v>12</v>
      </c>
      <c r="K1318" t="s">
        <v>1325</v>
      </c>
      <c r="M1318" t="str">
        <f>LEFT($D1318,FIND(",",$D1318)-1)&amp;"_"&amp;I1318&amp;L1318</f>
        <v>Elisa_2020</v>
      </c>
      <c r="N1318" s="317" t="s">
        <v>222</v>
      </c>
      <c r="O1318" s="171" t="s">
        <v>274</v>
      </c>
      <c r="P1318" t="s">
        <v>223</v>
      </c>
      <c r="Q1318" s="317" t="s">
        <v>389</v>
      </c>
      <c r="R1318" s="318" t="s">
        <v>1029</v>
      </c>
      <c r="S1318" s="154" t="s">
        <v>1326</v>
      </c>
      <c r="T1318" s="319" t="s">
        <v>1327</v>
      </c>
      <c r="U1318" s="143" t="s">
        <v>1381</v>
      </c>
      <c r="V1318" s="253">
        <v>0</v>
      </c>
      <c r="W1318" s="253">
        <v>0</v>
      </c>
      <c r="X1318">
        <v>0</v>
      </c>
      <c r="Y1318">
        <v>0</v>
      </c>
      <c r="Z1318">
        <v>0</v>
      </c>
      <c r="AA1318">
        <v>0</v>
      </c>
      <c r="AB1318">
        <v>0</v>
      </c>
      <c r="AC1318">
        <v>0</v>
      </c>
      <c r="AD1318">
        <v>0</v>
      </c>
      <c r="AE1318">
        <v>0</v>
      </c>
      <c r="AF1318">
        <v>0</v>
      </c>
      <c r="AG1318">
        <v>1</v>
      </c>
      <c r="AH1318">
        <v>0</v>
      </c>
      <c r="AI1318">
        <v>0</v>
      </c>
      <c r="AJ1318">
        <v>0</v>
      </c>
      <c r="AK1318">
        <v>0</v>
      </c>
      <c r="AL1318">
        <v>0</v>
      </c>
      <c r="AM1318">
        <v>1</v>
      </c>
      <c r="AN1318">
        <v>0</v>
      </c>
      <c r="AO1318">
        <v>0</v>
      </c>
      <c r="AP1318">
        <v>0</v>
      </c>
      <c r="AQ1318">
        <v>0</v>
      </c>
      <c r="AR1318">
        <v>0</v>
      </c>
      <c r="AS1318">
        <v>0</v>
      </c>
      <c r="AT1318">
        <v>0</v>
      </c>
      <c r="AU1318">
        <v>0</v>
      </c>
      <c r="AV1318">
        <v>0</v>
      </c>
      <c r="AW1318">
        <v>0</v>
      </c>
      <c r="AX1318">
        <v>0</v>
      </c>
      <c r="AY1318">
        <v>0</v>
      </c>
      <c r="AZ1318" s="141">
        <f>COUNTIF(X1318:AY1318,"&lt;&gt;0")</f>
        <v>2</v>
      </c>
      <c r="BA1318" s="141">
        <f>COUNTIF(X1318:AN1318,"&lt;&gt;0")</f>
        <v>2</v>
      </c>
      <c r="BB1318">
        <f>COUNTIF(X1318:AE1318,"&lt;&gt;0")</f>
        <v>0</v>
      </c>
      <c r="BC1318">
        <f>COUNTIF(AF1318:AK1318,"&lt;&gt;0")</f>
        <v>1</v>
      </c>
      <c r="BD1318">
        <f>COUNTIF(AL1318:AN1318,"&lt;&gt;0")</f>
        <v>1</v>
      </c>
      <c r="BE1318">
        <f>COUNTIF(AU1318:AY1318,"&lt;&gt;0")</f>
        <v>0</v>
      </c>
      <c r="BF1318">
        <f>COUNTIF(AO1318:AT1318,"&lt;&gt;0")</f>
        <v>0</v>
      </c>
      <c r="BG1318" t="str" cm="1">
        <f t="array" ref="BG1318">IF(BA1318=1,INDEX($X$7:$AN$7,MATCH(TRUE,INDEX($X1318:$AY1318&lt;&gt;0,),0)),IF(BA1318=0,INDEX($AO$7:$AY$7,MATCH(1,$AO1318:$AY1318,0)),IF(BH1318="Multiple strategies","mixed drivers",IF(BH1318="Supply chain","multiple supply","multiple silviculture"))))</f>
        <v>mixed drivers</v>
      </c>
      <c r="BH1318" s="2" t="str" cm="1">
        <f t="array" ref="BH1318">IF(COUNTIF(BB1318:BD1318,"&lt;&gt;0")=1,INDEX($X$4:$AY$4,MATCH(TRUE,INDEX($X1318:$AY1318&lt;&gt;0,),0)),IF(COUNTIF(BB1318:BD1318,"&lt;&gt;0")=0,INDEX($AO$4:$AY$4,MATCH(1,$AO1318:$AY1318,0)),"Multiple strategies"))</f>
        <v>Multiple strategies</v>
      </c>
      <c r="BI1318" s="142" t="s">
        <v>321</v>
      </c>
      <c r="BJ1318" s="160" t="s">
        <v>1329</v>
      </c>
      <c r="BK1318" s="160" t="s">
        <v>1330</v>
      </c>
      <c r="BL1318" s="143" t="s">
        <v>498</v>
      </c>
      <c r="BM1318" s="143">
        <v>944</v>
      </c>
      <c r="BN1318" s="143">
        <v>13000</v>
      </c>
      <c r="BO1318">
        <f>IFERROR(BN1319/BM1318,"")</f>
        <v>4.7669491525423728</v>
      </c>
      <c r="BP1318">
        <f>BN1318-BM1318</f>
        <v>12056</v>
      </c>
      <c r="BQ1318" s="159">
        <f>BP1318</f>
        <v>12056</v>
      </c>
      <c r="BR1318" s="155" t="s">
        <v>232</v>
      </c>
      <c r="BS1318" s="155" t="s">
        <v>1331</v>
      </c>
      <c r="BT1318" s="155" t="s">
        <v>805</v>
      </c>
      <c r="BU1318" s="143" t="s">
        <v>1349</v>
      </c>
      <c r="BV1318" t="s">
        <v>1389</v>
      </c>
      <c r="BW1318" s="144">
        <f>BV1318/BU1318</f>
        <v>14.060117339949848</v>
      </c>
      <c r="BX1318">
        <f>BV1318-BU1318</f>
        <v>-1.40363611111111</v>
      </c>
      <c r="BZ1318">
        <f>BX1318</f>
        <v>-1.40363611111111</v>
      </c>
      <c r="CA1318">
        <f>IFERROR(BZ1318/BQ1318,"")</f>
        <v>-1.1642635294551343E-4</v>
      </c>
      <c r="CB1318">
        <v>0</v>
      </c>
      <c r="CC1318">
        <v>0</v>
      </c>
      <c r="CD1318">
        <v>0</v>
      </c>
      <c r="CE1318">
        <v>0</v>
      </c>
      <c r="CF1318">
        <v>0</v>
      </c>
      <c r="CG1318">
        <v>0</v>
      </c>
      <c r="CH1318">
        <v>0</v>
      </c>
      <c r="CI1318">
        <v>0</v>
      </c>
      <c r="CJ1318">
        <v>0</v>
      </c>
      <c r="CK1318">
        <v>0</v>
      </c>
      <c r="CL1318">
        <v>0</v>
      </c>
      <c r="CM1318">
        <v>0</v>
      </c>
      <c r="CN1318">
        <v>0</v>
      </c>
      <c r="CO1318">
        <v>0</v>
      </c>
      <c r="CP1318" t="str">
        <f>IF($BN1318&lt;$BM1318,"refNeedCorrection","refOK")</f>
        <v>refOK</v>
      </c>
      <c r="CQ1318">
        <f>IF($CP1318="refOK",$BM1318,$BN1318)</f>
        <v>944</v>
      </c>
      <c r="CR1318">
        <f>IF($CP1318="refOK",$BN1318,$BM1318)</f>
        <v>13000</v>
      </c>
      <c r="CS1318">
        <f>IF($CP1318="refOK",$BQ1318,-$BQ1318)</f>
        <v>12056</v>
      </c>
      <c r="CT1318">
        <f>IF(BI1318="Roundwood",$CS1318/2,$CS1318)</f>
        <v>6028</v>
      </c>
      <c r="CU1318">
        <f>IF($CP1318="refOK",$BU1318,$BV1318)*IF($BR1318="Emissions positive",-1,1)</f>
        <v>-0.107475</v>
      </c>
      <c r="CV1318">
        <f>IF($CP1318="refOK",$BV1318,$BU1318)*IF($BR1318="Emissions positive",-1,1)</f>
        <v>-1.51111111111111</v>
      </c>
      <c r="CW1318">
        <f>IF($CP1318="refNeedCorrection",-BZ1318,BZ1318)*IF($BR1318="Emissions positive",-1,1)</f>
        <v>-1.40363611111111</v>
      </c>
      <c r="CX1318">
        <f>IFERROR($CW1318/$CS1318,"")</f>
        <v>-1.1642635294551343E-4</v>
      </c>
      <c r="CY1318">
        <f>IFERROR($CW1318/$CS1318,"")</f>
        <v>-1.1642635294551343E-4</v>
      </c>
      <c r="CZ1318">
        <f>IFERROR($CW1318/$CT1318,"")</f>
        <v>-2.3285270589102686E-4</v>
      </c>
      <c r="DA1318" s="2">
        <f>IFERROR((CV1318-CU1318)/ABS(CU1318),"")</f>
        <v>-13.060117339949848</v>
      </c>
      <c r="DB1318" s="320" t="s">
        <v>1334</v>
      </c>
      <c r="DC1318" s="317" t="str">
        <f>IF(OR($DB1318="prd",$DB1318="std",$DB1318="cit"),"loc",IF(OR($DB1318="eur",$DB1318="reg",$DB1318="coy"),"reg",$DB1318))</f>
        <v>reg</v>
      </c>
      <c r="DD1318" s="321" t="s">
        <v>729</v>
      </c>
      <c r="DF1318" s="143"/>
      <c r="DG1318" s="143">
        <v>0</v>
      </c>
      <c r="DH1318" t="str">
        <f>IF(DG1318=0,"0",IF(AND(DG1318&gt;=1,DG1318&lt;=30),"1-30",IF(AND(DG1318&gt;30,DG1318&lt;=70),"31-70",IF(AND(DG1318&gt;70,DG1318&lt;=100),"71-100",IF(DG1318&gt;100,"+100")))))</f>
        <v>0</v>
      </c>
      <c r="DI1318">
        <v>0</v>
      </c>
      <c r="DJ1318">
        <v>1</v>
      </c>
      <c r="DK1318">
        <v>0</v>
      </c>
      <c r="DL1318">
        <v>0</v>
      </c>
      <c r="DM1318">
        <v>0</v>
      </c>
      <c r="DN1318">
        <f>SUM(DI1318:DM1318)</f>
        <v>1</v>
      </c>
      <c r="DO1318" t="str">
        <f>IF(DN1318=1,INDEX($DI$7:$DL$7,MATCH(1,$DI1318:$DL1318,0)),"mixedProduct")</f>
        <v>EnergyInput</v>
      </c>
      <c r="DP1318">
        <f>IF(DI1318=1,DP$7,0)</f>
        <v>0</v>
      </c>
      <c r="DQ1318" t="str">
        <f>IF(DJ1318=1,DQ$7,0)</f>
        <v>Energy</v>
      </c>
      <c r="DR1318">
        <f>IF(DK1318=1,DR$7,0)</f>
        <v>0</v>
      </c>
      <c r="DS1318">
        <f>IF(DL1318=1,DS$7,0)</f>
        <v>0</v>
      </c>
      <c r="DT1318">
        <v>0</v>
      </c>
      <c r="DU1318" s="143">
        <v>0</v>
      </c>
      <c r="DV1318" s="143">
        <v>0</v>
      </c>
      <c r="DW1318">
        <v>0</v>
      </c>
      <c r="DX1318" s="143">
        <v>0</v>
      </c>
      <c r="DY1318">
        <f>SUM(DT1318:DU1318)</f>
        <v>0</v>
      </c>
      <c r="DZ1318" s="143" t="str">
        <f>IF(DT1318=1,"self-calculated DF",IF(DU1318=1,"external DF used","explicit C balance"))</f>
        <v>explicit C balance</v>
      </c>
      <c r="EA1318" s="143">
        <v>0</v>
      </c>
      <c r="EB1318" s="143">
        <v>0</v>
      </c>
      <c r="EC1318" s="143">
        <v>0</v>
      </c>
      <c r="ED1318" s="143">
        <v>0</v>
      </c>
      <c r="EE1318">
        <v>0</v>
      </c>
      <c r="EF1318" s="143">
        <v>0</v>
      </c>
      <c r="EG1318" s="143">
        <v>1</v>
      </c>
      <c r="EH1318" s="143">
        <v>0</v>
      </c>
      <c r="EI1318" s="143">
        <v>0</v>
      </c>
      <c r="EJ1318">
        <v>0</v>
      </c>
      <c r="EK1318">
        <v>0</v>
      </c>
      <c r="EL1318" s="143">
        <v>0</v>
      </c>
      <c r="EM1318" s="143">
        <v>0</v>
      </c>
      <c r="EN1318" s="2">
        <v>0</v>
      </c>
      <c r="EP1318" t="str">
        <f>IF(AND(AND(AND(OR($EC1318=1,$EB1318=1),OR($EH1318=1,$EF1318=1)),SUM($EA1318:$EE1318,$EK1318)&gt;=3),SUM($EF1318:$EJ1318)&gt;=2),"Whole sector approach","")</f>
        <v/>
      </c>
      <c r="EQ1318" t="str">
        <f>IF(AND(AND(OR($EC1318=1,$EB1318=1),AND($EH1318=0,$EF1318=0)),SUM($EA1318:$EE1318,$EK1318)&gt;=3),"Ecosystem approach","")</f>
        <v/>
      </c>
      <c r="ER1318" s="2" t="str">
        <f>IF(AND(AND(AND($EC1318=0,$EB1318=0),OR($EH1318=1,$EF1318=1)),SUM($EG1318:$EJ1318)&gt;=2),"Technology approach","")</f>
        <v/>
      </c>
      <c r="ES1318" t="str">
        <f>IF(AND($EC1318+$EB1318+$EE1318+$EA1318+$ED1318+$EG1318=0,$N1318="included"),"C neutral forest and HWP assumption","")</f>
        <v/>
      </c>
      <c r="ET1318" t="str">
        <f>IF(AND(AND(AND(AND($EC1318=1,$EB1318+$EA1318+$EG1318&gt;=1),$EF1318=1),$EH1318+$EI1318+$ED1318+$EE1318&gt;=2),$N1318="included"),"All C pools assumption","")</f>
        <v/>
      </c>
      <c r="EU1318" t="str">
        <f>IF(AND($ED1318+$EE1318+$EI1318+$EH1318+$EF1318=0,$N1318="included"),"In-situ only assumption","")</f>
        <v>In-situ only assumption</v>
      </c>
      <c r="EY1318" t="str">
        <f>IF(ISNUMBER(BW1318),IF(ABS(BW1318-[4]QC_indicators!$B$2)&gt;3*[4]QC_indicators!$C$2,"C ratio",IF(ISNUMBER(CA1318),IF(ABS(CA1318-[4]QC_indicators!$B$1)&gt;3*[4]QC_indicators!$C$1,"DF","no"))),IF(ISNUMBER(CA1318),IF(ABS(CA1318-[4]QC_indicators!$B$1)&gt;3*[4]QC_indicators!$C$1,"DF","no")))</f>
        <v>no</v>
      </c>
      <c r="FA1318" t="str">
        <f>IF(LEN($CY1318)=0,"",IF(AND($CY1318&lt;(-0.05),$ES1318="C neutral forest and HWP assumption"),"Cneutral paradox",IF(AND($CY1318&gt;0.05,$EU1318="In-situ only assumption"),"In-situ only paradox","")))</f>
        <v/>
      </c>
      <c r="FB1318" s="149"/>
    </row>
    <row r="1319" spans="1:158" ht="15" customHeight="1">
      <c r="A1319" s="1" t="s">
        <v>574</v>
      </c>
      <c r="B1319" t="s">
        <v>1320</v>
      </c>
      <c r="C1319" t="s">
        <v>1321</v>
      </c>
      <c r="D1319" t="s">
        <v>1322</v>
      </c>
      <c r="E1319" t="s">
        <v>1323</v>
      </c>
      <c r="F1319" t="s">
        <v>1324</v>
      </c>
      <c r="G1319" t="s">
        <v>580</v>
      </c>
      <c r="H1319" t="s">
        <v>254</v>
      </c>
      <c r="I1319">
        <v>2020</v>
      </c>
      <c r="J1319">
        <v>12</v>
      </c>
      <c r="K1319" t="s">
        <v>1325</v>
      </c>
      <c r="M1319" t="str">
        <f>LEFT($D1319,FIND(",",$D1319)-1)&amp;"_"&amp;I1319&amp;L1319</f>
        <v>Elisa_2020</v>
      </c>
      <c r="N1319" s="317" t="s">
        <v>222</v>
      </c>
      <c r="O1319" s="171" t="s">
        <v>274</v>
      </c>
      <c r="P1319" t="s">
        <v>223</v>
      </c>
      <c r="Q1319" s="317" t="s">
        <v>389</v>
      </c>
      <c r="R1319" s="318" t="s">
        <v>1029</v>
      </c>
      <c r="S1319" s="154" t="s">
        <v>1326</v>
      </c>
      <c r="T1319" s="319" t="s">
        <v>1327</v>
      </c>
      <c r="U1319" s="143" t="s">
        <v>1362</v>
      </c>
      <c r="V1319" s="253">
        <v>0</v>
      </c>
      <c r="W1319" s="253">
        <v>0</v>
      </c>
      <c r="X1319">
        <v>0</v>
      </c>
      <c r="Y1319">
        <v>0</v>
      </c>
      <c r="Z1319">
        <v>0</v>
      </c>
      <c r="AA1319">
        <v>0</v>
      </c>
      <c r="AB1319">
        <v>0</v>
      </c>
      <c r="AC1319">
        <v>0</v>
      </c>
      <c r="AD1319">
        <v>0</v>
      </c>
      <c r="AE1319">
        <v>0</v>
      </c>
      <c r="AF1319">
        <v>0</v>
      </c>
      <c r="AG1319">
        <v>1</v>
      </c>
      <c r="AH1319">
        <v>0</v>
      </c>
      <c r="AI1319">
        <v>0</v>
      </c>
      <c r="AJ1319">
        <v>0</v>
      </c>
      <c r="AK1319">
        <v>0</v>
      </c>
      <c r="AL1319">
        <v>0</v>
      </c>
      <c r="AM1319">
        <v>1</v>
      </c>
      <c r="AN1319">
        <v>0</v>
      </c>
      <c r="AO1319">
        <v>0</v>
      </c>
      <c r="AP1319">
        <v>0</v>
      </c>
      <c r="AQ1319">
        <v>0</v>
      </c>
      <c r="AR1319">
        <v>0</v>
      </c>
      <c r="AS1319">
        <v>0</v>
      </c>
      <c r="AT1319">
        <v>0</v>
      </c>
      <c r="AU1319">
        <v>0</v>
      </c>
      <c r="AV1319">
        <v>0</v>
      </c>
      <c r="AW1319">
        <v>0</v>
      </c>
      <c r="AX1319">
        <v>0</v>
      </c>
      <c r="AY1319">
        <v>0</v>
      </c>
      <c r="AZ1319" s="141">
        <f>COUNTIF(X1319:AY1319,"&lt;&gt;0")</f>
        <v>2</v>
      </c>
      <c r="BA1319" s="141">
        <f>COUNTIF(X1319:AN1319,"&lt;&gt;0")</f>
        <v>2</v>
      </c>
      <c r="BB1319">
        <f>COUNTIF(X1319:AE1319,"&lt;&gt;0")</f>
        <v>0</v>
      </c>
      <c r="BC1319">
        <f>COUNTIF(AF1319:AK1319,"&lt;&gt;0")</f>
        <v>1</v>
      </c>
      <c r="BD1319">
        <f>COUNTIF(AL1319:AN1319,"&lt;&gt;0")</f>
        <v>1</v>
      </c>
      <c r="BE1319">
        <f>COUNTIF(AU1319:AY1319,"&lt;&gt;0")</f>
        <v>0</v>
      </c>
      <c r="BF1319">
        <f>COUNTIF(AO1319:AT1319,"&lt;&gt;0")</f>
        <v>0</v>
      </c>
      <c r="BG1319" t="str" cm="1">
        <f t="array" ref="BG1319">IF(BA1319=1,INDEX($X$7:$AN$7,MATCH(TRUE,INDEX($X1319:$AY1319&lt;&gt;0,),0)),IF(BA1319=0,INDEX($AO$7:$AY$7,MATCH(1,$AO1319:$AY1319,0)),IF(BH1319="Multiple strategies","mixed drivers",IF(BH1319="Supply chain","multiple supply","multiple silviculture"))))</f>
        <v>mixed drivers</v>
      </c>
      <c r="BH1319" s="2" t="str" cm="1">
        <f t="array" ref="BH1319">IF(COUNTIF(BB1319:BD1319,"&lt;&gt;0")=1,INDEX($X$4:$AY$4,MATCH(TRUE,INDEX($X1319:$AY1319&lt;&gt;0,),0)),IF(COUNTIF(BB1319:BD1319,"&lt;&gt;0")=0,INDEX($AO$4:$AY$4,MATCH(1,$AO1319:$AY1319,0)),"Multiple strategies"))</f>
        <v>Multiple strategies</v>
      </c>
      <c r="BI1319" s="142" t="s">
        <v>321</v>
      </c>
      <c r="BJ1319" s="160" t="s">
        <v>1329</v>
      </c>
      <c r="BK1319" s="160" t="s">
        <v>1330</v>
      </c>
      <c r="BL1319" s="143" t="s">
        <v>498</v>
      </c>
      <c r="BM1319" s="143">
        <v>944</v>
      </c>
      <c r="BN1319" s="143">
        <v>4500</v>
      </c>
      <c r="BO1319">
        <f>IFERROR(BN1320/BM1319,"")</f>
        <v>14.03072033898305</v>
      </c>
      <c r="BP1319">
        <f>BN1319-BM1319</f>
        <v>3556</v>
      </c>
      <c r="BQ1319" s="159">
        <f>BP1319</f>
        <v>3556</v>
      </c>
      <c r="BR1319" s="155" t="s">
        <v>232</v>
      </c>
      <c r="BS1319" s="155" t="s">
        <v>1331</v>
      </c>
      <c r="BT1319" s="155" t="s">
        <v>805</v>
      </c>
      <c r="BU1319" s="143" t="s">
        <v>1349</v>
      </c>
      <c r="BV1319" t="s">
        <v>1388</v>
      </c>
      <c r="BW1319" s="144">
        <f>BV1319/BU1319</f>
        <v>4.8588819105218244</v>
      </c>
      <c r="BX1319">
        <f>BV1319-BU1319</f>
        <v>-0.41473333333333307</v>
      </c>
      <c r="BZ1319">
        <f>BX1319</f>
        <v>-0.41473333333333307</v>
      </c>
      <c r="CA1319">
        <f>IFERROR(BZ1319/BQ1319,"")</f>
        <v>-1.1662917135358072E-4</v>
      </c>
      <c r="CB1319">
        <v>0</v>
      </c>
      <c r="CC1319">
        <v>0</v>
      </c>
      <c r="CD1319">
        <v>0</v>
      </c>
      <c r="CE1319">
        <v>0</v>
      </c>
      <c r="CF1319">
        <v>0</v>
      </c>
      <c r="CG1319">
        <v>0</v>
      </c>
      <c r="CH1319">
        <v>0</v>
      </c>
      <c r="CI1319">
        <v>0</v>
      </c>
      <c r="CJ1319">
        <v>0</v>
      </c>
      <c r="CK1319">
        <v>0</v>
      </c>
      <c r="CL1319">
        <v>0</v>
      </c>
      <c r="CM1319">
        <v>0</v>
      </c>
      <c r="CN1319">
        <v>0</v>
      </c>
      <c r="CO1319">
        <v>0</v>
      </c>
      <c r="CP1319" t="str">
        <f>IF($BN1319&lt;$BM1319,"refNeedCorrection","refOK")</f>
        <v>refOK</v>
      </c>
      <c r="CQ1319">
        <f>IF($CP1319="refOK",$BM1319,$BN1319)</f>
        <v>944</v>
      </c>
      <c r="CR1319">
        <f>IF($CP1319="refOK",$BN1319,$BM1319)</f>
        <v>4500</v>
      </c>
      <c r="CS1319">
        <f>IF($CP1319="refOK",$BQ1319,-$BQ1319)</f>
        <v>3556</v>
      </c>
      <c r="CT1319">
        <f>IF(BI1319="Roundwood",$CS1319/2,$CS1319)</f>
        <v>1778</v>
      </c>
      <c r="CU1319">
        <f>IF($CP1319="refOK",$BU1319,$BV1319)*IF($BR1319="Emissions positive",-1,1)</f>
        <v>-0.107475</v>
      </c>
      <c r="CV1319">
        <f>IF($CP1319="refOK",$BV1319,$BU1319)*IF($BR1319="Emissions positive",-1,1)</f>
        <v>-0.52220833333333305</v>
      </c>
      <c r="CW1319">
        <f>IF($CP1319="refNeedCorrection",-BZ1319,BZ1319)*IF($BR1319="Emissions positive",-1,1)</f>
        <v>-0.41473333333333307</v>
      </c>
      <c r="CX1319">
        <f>IFERROR($CW1319/$CS1319,"")</f>
        <v>-1.1662917135358072E-4</v>
      </c>
      <c r="CY1319">
        <f>IFERROR($CW1319/$CS1319,"")</f>
        <v>-1.1662917135358072E-4</v>
      </c>
      <c r="CZ1319">
        <f>IFERROR($CW1319/$CT1319,"")</f>
        <v>-2.3325834270716145E-4</v>
      </c>
      <c r="DA1319" s="2">
        <f>IFERROR((CV1319-CU1319)/ABS(CU1319),"")</f>
        <v>-3.8588819105218244</v>
      </c>
      <c r="DB1319" s="320" t="s">
        <v>1334</v>
      </c>
      <c r="DC1319" s="317" t="str">
        <f>IF(OR($DB1319="prd",$DB1319="std",$DB1319="cit"),"loc",IF(OR($DB1319="eur",$DB1319="reg",$DB1319="coy"),"reg",$DB1319))</f>
        <v>reg</v>
      </c>
      <c r="DD1319" s="321" t="s">
        <v>729</v>
      </c>
      <c r="DF1319" s="143"/>
      <c r="DG1319" s="143">
        <v>0</v>
      </c>
      <c r="DH1319" t="str">
        <f>IF(DG1319=0,"0",IF(AND(DG1319&gt;=1,DG1319&lt;=30),"1-30",IF(AND(DG1319&gt;30,DG1319&lt;=70),"31-70",IF(AND(DG1319&gt;70,DG1319&lt;=100),"71-100",IF(DG1319&gt;100,"+100")))))</f>
        <v>0</v>
      </c>
      <c r="DI1319">
        <v>0</v>
      </c>
      <c r="DJ1319">
        <v>1</v>
      </c>
      <c r="DK1319">
        <v>0</v>
      </c>
      <c r="DL1319">
        <v>0</v>
      </c>
      <c r="DM1319">
        <v>0</v>
      </c>
      <c r="DN1319">
        <f>SUM(DI1319:DM1319)</f>
        <v>1</v>
      </c>
      <c r="DO1319" t="str">
        <f>IF(DN1319=1,INDEX($DI$7:$DL$7,MATCH(1,$DI1319:$DL1319,0)),"mixedProduct")</f>
        <v>EnergyInput</v>
      </c>
      <c r="DP1319">
        <f>IF(DI1319=1,DP$7,0)</f>
        <v>0</v>
      </c>
      <c r="DQ1319" t="str">
        <f>IF(DJ1319=1,DQ$7,0)</f>
        <v>Energy</v>
      </c>
      <c r="DR1319">
        <f>IF(DK1319=1,DR$7,0)</f>
        <v>0</v>
      </c>
      <c r="DS1319">
        <f>IF(DL1319=1,DS$7,0)</f>
        <v>0</v>
      </c>
      <c r="DT1319">
        <v>0</v>
      </c>
      <c r="DU1319" s="143">
        <v>0</v>
      </c>
      <c r="DV1319" s="143">
        <v>0</v>
      </c>
      <c r="DW1319">
        <v>0</v>
      </c>
      <c r="DX1319" s="143">
        <v>0</v>
      </c>
      <c r="DY1319">
        <f>SUM(DT1319:DU1319)</f>
        <v>0</v>
      </c>
      <c r="DZ1319" s="143" t="str">
        <f>IF(DT1319=1,"self-calculated DF",IF(DU1319=1,"external DF used","explicit C balance"))</f>
        <v>explicit C balance</v>
      </c>
      <c r="EA1319" s="143">
        <v>0</v>
      </c>
      <c r="EB1319" s="143">
        <v>0</v>
      </c>
      <c r="EC1319" s="143">
        <v>0</v>
      </c>
      <c r="ED1319" s="143">
        <v>0</v>
      </c>
      <c r="EE1319">
        <v>0</v>
      </c>
      <c r="EF1319" s="143">
        <v>0</v>
      </c>
      <c r="EG1319" s="143">
        <v>1</v>
      </c>
      <c r="EH1319" s="143">
        <v>0</v>
      </c>
      <c r="EI1319" s="143">
        <v>0</v>
      </c>
      <c r="EJ1319">
        <v>0</v>
      </c>
      <c r="EK1319">
        <v>0</v>
      </c>
      <c r="EL1319" s="143">
        <v>0</v>
      </c>
      <c r="EM1319" s="143">
        <v>0</v>
      </c>
      <c r="EN1319" s="2">
        <v>0</v>
      </c>
      <c r="EP1319" t="str">
        <f>IF(AND(AND(AND(OR($EC1319=1,$EB1319=1),OR($EH1319=1,$EF1319=1)),SUM($EA1319:$EE1319,$EK1319)&gt;=3),SUM($EF1319:$EJ1319)&gt;=2),"Whole sector approach","")</f>
        <v/>
      </c>
      <c r="EQ1319" t="str">
        <f>IF(AND(AND(OR($EC1319=1,$EB1319=1),AND($EH1319=0,$EF1319=0)),SUM($EA1319:$EE1319,$EK1319)&gt;=3),"Ecosystem approach","")</f>
        <v/>
      </c>
      <c r="ER1319" s="2" t="str">
        <f>IF(AND(AND(AND($EC1319=0,$EB1319=0),OR($EH1319=1,$EF1319=1)),SUM($EG1319:$EJ1319)&gt;=2),"Technology approach","")</f>
        <v/>
      </c>
      <c r="ES1319" t="str">
        <f>IF(AND($EC1319+$EB1319+$EE1319+$EA1319+$ED1319+$EG1319=0,$N1319="included"),"C neutral forest and HWP assumption","")</f>
        <v/>
      </c>
      <c r="ET1319" t="str">
        <f>IF(AND(AND(AND(AND($EC1319=1,$EB1319+$EA1319+$EG1319&gt;=1),$EF1319=1),$EH1319+$EI1319+$ED1319+$EE1319&gt;=2),$N1319="included"),"All C pools assumption","")</f>
        <v/>
      </c>
      <c r="EU1319" t="str">
        <f>IF(AND($ED1319+$EE1319+$EI1319+$EH1319+$EF1319=0,$N1319="included"),"In-situ only assumption","")</f>
        <v>In-situ only assumption</v>
      </c>
      <c r="EY1319" t="str">
        <f>IF(ISNUMBER(BW1319),IF(ABS(BW1319-[4]QC_indicators!$B$2)&gt;3*[4]QC_indicators!$C$2,"C ratio",IF(ISNUMBER(CA1319),IF(ABS(CA1319-[4]QC_indicators!$B$1)&gt;3*[4]QC_indicators!$C$1,"DF","no"))),IF(ISNUMBER(CA1319),IF(ABS(CA1319-[4]QC_indicators!$B$1)&gt;3*[4]QC_indicators!$C$1,"DF","no")))</f>
        <v>no</v>
      </c>
      <c r="FA1319" t="str">
        <f>IF(LEN($CY1319)=0,"",IF(AND($CY1319&lt;(-0.05),$ES1319="C neutral forest and HWP assumption"),"Cneutral paradox",IF(AND($CY1319&gt;0.05,$EU1319="In-situ only assumption"),"In-situ only paradox","")))</f>
        <v/>
      </c>
      <c r="FB1319" s="149"/>
    </row>
    <row r="1320" spans="1:158" ht="15" customHeight="1">
      <c r="A1320" s="1" t="s">
        <v>574</v>
      </c>
      <c r="B1320" t="s">
        <v>1320</v>
      </c>
      <c r="C1320" t="s">
        <v>1321</v>
      </c>
      <c r="D1320" t="s">
        <v>1322</v>
      </c>
      <c r="E1320" t="s">
        <v>1323</v>
      </c>
      <c r="F1320" t="s">
        <v>1324</v>
      </c>
      <c r="G1320" t="s">
        <v>580</v>
      </c>
      <c r="H1320" t="s">
        <v>254</v>
      </c>
      <c r="I1320">
        <v>2020</v>
      </c>
      <c r="J1320">
        <v>12</v>
      </c>
      <c r="K1320" t="s">
        <v>1325</v>
      </c>
      <c r="M1320" t="str">
        <f>LEFT($D1320,FIND(",",$D1320)-1)&amp;"_"&amp;I1320&amp;L1320</f>
        <v>Elisa_2020</v>
      </c>
      <c r="N1320" s="317" t="s">
        <v>222</v>
      </c>
      <c r="O1320" s="171" t="s">
        <v>274</v>
      </c>
      <c r="P1320" t="s">
        <v>223</v>
      </c>
      <c r="Q1320" s="317" t="s">
        <v>389</v>
      </c>
      <c r="R1320" s="318" t="s">
        <v>1029</v>
      </c>
      <c r="S1320" s="154" t="s">
        <v>1326</v>
      </c>
      <c r="T1320" s="319" t="s">
        <v>1327</v>
      </c>
      <c r="U1320" s="143" t="s">
        <v>985</v>
      </c>
      <c r="V1320" s="253">
        <v>0</v>
      </c>
      <c r="W1320" s="253">
        <v>0</v>
      </c>
      <c r="X1320">
        <v>0</v>
      </c>
      <c r="Y1320">
        <v>0</v>
      </c>
      <c r="Z1320">
        <v>0</v>
      </c>
      <c r="AA1320">
        <v>0</v>
      </c>
      <c r="AB1320">
        <v>0</v>
      </c>
      <c r="AC1320">
        <v>0</v>
      </c>
      <c r="AD1320">
        <v>0</v>
      </c>
      <c r="AE1320">
        <v>0</v>
      </c>
      <c r="AF1320">
        <v>0</v>
      </c>
      <c r="AG1320">
        <v>1</v>
      </c>
      <c r="AH1320">
        <v>0</v>
      </c>
      <c r="AI1320">
        <v>0</v>
      </c>
      <c r="AJ1320">
        <v>0</v>
      </c>
      <c r="AK1320">
        <v>0</v>
      </c>
      <c r="AL1320">
        <v>0</v>
      </c>
      <c r="AM1320">
        <v>1</v>
      </c>
      <c r="AN1320">
        <v>0</v>
      </c>
      <c r="AO1320">
        <v>0</v>
      </c>
      <c r="AP1320">
        <v>0</v>
      </c>
      <c r="AQ1320">
        <v>0</v>
      </c>
      <c r="AR1320">
        <v>0</v>
      </c>
      <c r="AS1320">
        <v>0</v>
      </c>
      <c r="AT1320">
        <v>0</v>
      </c>
      <c r="AU1320">
        <v>0</v>
      </c>
      <c r="AV1320">
        <v>0</v>
      </c>
      <c r="AW1320">
        <v>0</v>
      </c>
      <c r="AX1320">
        <v>0</v>
      </c>
      <c r="AY1320">
        <v>0</v>
      </c>
      <c r="AZ1320" s="141">
        <f>COUNTIF(X1320:AY1320,"&lt;&gt;0")</f>
        <v>2</v>
      </c>
      <c r="BA1320" s="141">
        <f>COUNTIF(X1320:AN1320,"&lt;&gt;0")</f>
        <v>2</v>
      </c>
      <c r="BB1320">
        <f>COUNTIF(X1320:AE1320,"&lt;&gt;0")</f>
        <v>0</v>
      </c>
      <c r="BC1320">
        <f>COUNTIF(AF1320:AK1320,"&lt;&gt;0")</f>
        <v>1</v>
      </c>
      <c r="BD1320">
        <f>COUNTIF(AL1320:AN1320,"&lt;&gt;0")</f>
        <v>1</v>
      </c>
      <c r="BE1320">
        <f>COUNTIF(AU1320:AY1320,"&lt;&gt;0")</f>
        <v>0</v>
      </c>
      <c r="BF1320">
        <f>COUNTIF(AO1320:AT1320,"&lt;&gt;0")</f>
        <v>0</v>
      </c>
      <c r="BG1320" t="str" cm="1">
        <f t="array" ref="BG1320">IF(BA1320=1,INDEX($X$7:$AN$7,MATCH(TRUE,INDEX($X1320:$AY1320&lt;&gt;0,),0)),IF(BA1320=0,INDEX($AO$7:$AY$7,MATCH(1,$AO1320:$AY1320,0)),IF(BH1320="Multiple strategies","mixed drivers",IF(BH1320="Supply chain","multiple supply","multiple silviculture"))))</f>
        <v>mixed drivers</v>
      </c>
      <c r="BH1320" s="2" t="str" cm="1">
        <f t="array" ref="BH1320">IF(COUNTIF(BB1320:BD1320,"&lt;&gt;0")=1,INDEX($X$4:$AY$4,MATCH(TRUE,INDEX($X1320:$AY1320&lt;&gt;0,),0)),IF(COUNTIF(BB1320:BD1320,"&lt;&gt;0")=0,INDEX($AO$4:$AY$4,MATCH(1,$AO1320:$AY1320,0)),"Multiple strategies"))</f>
        <v>Multiple strategies</v>
      </c>
      <c r="BI1320" s="142" t="s">
        <v>321</v>
      </c>
      <c r="BJ1320" s="160" t="s">
        <v>1329</v>
      </c>
      <c r="BK1320" s="160" t="s">
        <v>1330</v>
      </c>
      <c r="BL1320" s="143" t="s">
        <v>498</v>
      </c>
      <c r="BM1320" s="143">
        <v>944</v>
      </c>
      <c r="BN1320" s="143">
        <v>13245</v>
      </c>
      <c r="BO1320">
        <f>IFERROR(BN1321/BM1320,"")</f>
        <v>2.6483050847457625</v>
      </c>
      <c r="BP1320">
        <f>BN1320-BM1320</f>
        <v>12301</v>
      </c>
      <c r="BQ1320" s="159">
        <f>BP1320</f>
        <v>12301</v>
      </c>
      <c r="BR1320" s="155" t="s">
        <v>232</v>
      </c>
      <c r="BS1320" s="155" t="s">
        <v>1331</v>
      </c>
      <c r="BT1320" s="155" t="s">
        <v>805</v>
      </c>
      <c r="BU1320" s="143" t="s">
        <v>1349</v>
      </c>
      <c r="BV1320" t="s">
        <v>1387</v>
      </c>
      <c r="BW1320" s="144">
        <f>BV1320/BU1320</f>
        <v>14.383189889121471</v>
      </c>
      <c r="BX1320">
        <f>BV1320-BU1320</f>
        <v>-1.4383583333333301</v>
      </c>
      <c r="BZ1320">
        <f>BX1320</f>
        <v>-1.4383583333333301</v>
      </c>
      <c r="CA1320">
        <f>IFERROR(BZ1320/BQ1320,"")</f>
        <v>-1.1693019537706935E-4</v>
      </c>
      <c r="CB1320">
        <v>0</v>
      </c>
      <c r="CC1320">
        <v>0</v>
      </c>
      <c r="CD1320">
        <v>0</v>
      </c>
      <c r="CE1320">
        <v>0</v>
      </c>
      <c r="CF1320">
        <v>0</v>
      </c>
      <c r="CG1320">
        <v>0</v>
      </c>
      <c r="CH1320">
        <v>0</v>
      </c>
      <c r="CI1320">
        <v>0</v>
      </c>
      <c r="CJ1320">
        <v>0</v>
      </c>
      <c r="CK1320">
        <v>0</v>
      </c>
      <c r="CL1320">
        <v>0</v>
      </c>
      <c r="CM1320">
        <v>0</v>
      </c>
      <c r="CN1320">
        <v>0</v>
      </c>
      <c r="CO1320">
        <v>0</v>
      </c>
      <c r="CP1320" t="str">
        <f>IF($BN1320&lt;$BM1320,"refNeedCorrection","refOK")</f>
        <v>refOK</v>
      </c>
      <c r="CQ1320">
        <f>IF($CP1320="refOK",$BM1320,$BN1320)</f>
        <v>944</v>
      </c>
      <c r="CR1320">
        <f>IF($CP1320="refOK",$BN1320,$BM1320)</f>
        <v>13245</v>
      </c>
      <c r="CS1320">
        <f>IF($CP1320="refOK",$BQ1320,-$BQ1320)</f>
        <v>12301</v>
      </c>
      <c r="CT1320">
        <f>IF(BI1320="Roundwood",$CS1320/2,$CS1320)</f>
        <v>6150.5</v>
      </c>
      <c r="CU1320">
        <f>IF($CP1320="refOK",$BU1320,$BV1320)*IF($BR1320="Emissions positive",-1,1)</f>
        <v>-0.107475</v>
      </c>
      <c r="CV1320">
        <f>IF($CP1320="refOK",$BV1320,$BU1320)*IF($BR1320="Emissions positive",-1,1)</f>
        <v>-1.5458333333333301</v>
      </c>
      <c r="CW1320">
        <f>IF($CP1320="refNeedCorrection",-BZ1320,BZ1320)*IF($BR1320="Emissions positive",-1,1)</f>
        <v>-1.4383583333333301</v>
      </c>
      <c r="CX1320">
        <f>IFERROR($CW1320/$CS1320,"")</f>
        <v>-1.1693019537706935E-4</v>
      </c>
      <c r="CY1320">
        <f>IFERROR($CW1320/$CS1320,"")</f>
        <v>-1.1693019537706935E-4</v>
      </c>
      <c r="CZ1320">
        <f>IFERROR($CW1320/$CT1320,"")</f>
        <v>-2.338603907541387E-4</v>
      </c>
      <c r="DA1320" s="2">
        <f>IFERROR((CV1320-CU1320)/ABS(CU1320),"")</f>
        <v>-13.383189889121471</v>
      </c>
      <c r="DB1320" s="320" t="s">
        <v>1334</v>
      </c>
      <c r="DC1320" s="317" t="str">
        <f>IF(OR($DB1320="prd",$DB1320="std",$DB1320="cit"),"loc",IF(OR($DB1320="eur",$DB1320="reg",$DB1320="coy"),"reg",$DB1320))</f>
        <v>reg</v>
      </c>
      <c r="DD1320" s="321" t="s">
        <v>729</v>
      </c>
      <c r="DF1320" s="143"/>
      <c r="DG1320" s="143">
        <v>0</v>
      </c>
      <c r="DH1320" t="str">
        <f>IF(DG1320=0,"0",IF(AND(DG1320&gt;=1,DG1320&lt;=30),"1-30",IF(AND(DG1320&gt;30,DG1320&lt;=70),"31-70",IF(AND(DG1320&gt;70,DG1320&lt;=100),"71-100",IF(DG1320&gt;100,"+100")))))</f>
        <v>0</v>
      </c>
      <c r="DI1320">
        <v>0</v>
      </c>
      <c r="DJ1320">
        <v>1</v>
      </c>
      <c r="DK1320">
        <v>0</v>
      </c>
      <c r="DL1320">
        <v>0</v>
      </c>
      <c r="DM1320">
        <v>0</v>
      </c>
      <c r="DN1320">
        <f>SUM(DI1320:DM1320)</f>
        <v>1</v>
      </c>
      <c r="DO1320" t="str">
        <f>IF(DN1320=1,INDEX($DI$7:$DL$7,MATCH(1,$DI1320:$DL1320,0)),"mixedProduct")</f>
        <v>EnergyInput</v>
      </c>
      <c r="DP1320">
        <f>IF(DI1320=1,DP$7,0)</f>
        <v>0</v>
      </c>
      <c r="DQ1320" t="str">
        <f>IF(DJ1320=1,DQ$7,0)</f>
        <v>Energy</v>
      </c>
      <c r="DR1320">
        <f>IF(DK1320=1,DR$7,0)</f>
        <v>0</v>
      </c>
      <c r="DS1320">
        <f>IF(DL1320=1,DS$7,0)</f>
        <v>0</v>
      </c>
      <c r="DT1320">
        <v>0</v>
      </c>
      <c r="DU1320" s="143">
        <v>0</v>
      </c>
      <c r="DV1320" s="143">
        <v>0</v>
      </c>
      <c r="DW1320">
        <v>0</v>
      </c>
      <c r="DX1320" s="143">
        <v>0</v>
      </c>
      <c r="DY1320">
        <f>SUM(DT1320:DU1320)</f>
        <v>0</v>
      </c>
      <c r="DZ1320" s="143" t="str">
        <f>IF(DT1320=1,"self-calculated DF",IF(DU1320=1,"external DF used","explicit C balance"))</f>
        <v>explicit C balance</v>
      </c>
      <c r="EA1320" s="143">
        <v>0</v>
      </c>
      <c r="EB1320" s="143">
        <v>0</v>
      </c>
      <c r="EC1320" s="143">
        <v>0</v>
      </c>
      <c r="ED1320" s="143">
        <v>0</v>
      </c>
      <c r="EE1320">
        <v>0</v>
      </c>
      <c r="EF1320" s="143">
        <v>0</v>
      </c>
      <c r="EG1320" s="143">
        <v>1</v>
      </c>
      <c r="EH1320" s="143">
        <v>0</v>
      </c>
      <c r="EI1320" s="143">
        <v>0</v>
      </c>
      <c r="EJ1320">
        <v>0</v>
      </c>
      <c r="EK1320">
        <v>0</v>
      </c>
      <c r="EL1320" s="143">
        <v>0</v>
      </c>
      <c r="EM1320" s="143">
        <v>0</v>
      </c>
      <c r="EN1320" s="2">
        <v>0</v>
      </c>
      <c r="EP1320" t="str">
        <f>IF(AND(AND(AND(OR($EC1320=1,$EB1320=1),OR($EH1320=1,$EF1320=1)),SUM($EA1320:$EE1320,$EK1320)&gt;=3),SUM($EF1320:$EJ1320)&gt;=2),"Whole sector approach","")</f>
        <v/>
      </c>
      <c r="EQ1320" t="str">
        <f>IF(AND(AND(OR($EC1320=1,$EB1320=1),AND($EH1320=0,$EF1320=0)),SUM($EA1320:$EE1320,$EK1320)&gt;=3),"Ecosystem approach","")</f>
        <v/>
      </c>
      <c r="ER1320" s="2" t="str">
        <f>IF(AND(AND(AND($EC1320=0,$EB1320=0),OR($EH1320=1,$EF1320=1)),SUM($EG1320:$EJ1320)&gt;=2),"Technology approach","")</f>
        <v/>
      </c>
      <c r="ES1320" t="str">
        <f>IF(AND($EC1320+$EB1320+$EE1320+$EA1320+$ED1320+$EG1320=0,$N1320="included"),"C neutral forest and HWP assumption","")</f>
        <v/>
      </c>
      <c r="ET1320" t="str">
        <f>IF(AND(AND(AND(AND($EC1320=1,$EB1320+$EA1320+$EG1320&gt;=1),$EF1320=1),$EH1320+$EI1320+$ED1320+$EE1320&gt;=2),$N1320="included"),"All C pools assumption","")</f>
        <v/>
      </c>
      <c r="EU1320" t="str">
        <f>IF(AND($ED1320+$EE1320+$EI1320+$EH1320+$EF1320=0,$N1320="included"),"In-situ only assumption","")</f>
        <v>In-situ only assumption</v>
      </c>
      <c r="EY1320" t="str">
        <f>IF(ISNUMBER(BW1320),IF(ABS(BW1320-[4]QC_indicators!$B$2)&gt;3*[4]QC_indicators!$C$2,"C ratio",IF(ISNUMBER(CA1320),IF(ABS(CA1320-[4]QC_indicators!$B$1)&gt;3*[4]QC_indicators!$C$1,"DF","no"))),IF(ISNUMBER(CA1320),IF(ABS(CA1320-[4]QC_indicators!$B$1)&gt;3*[4]QC_indicators!$C$1,"DF","no")))</f>
        <v>no</v>
      </c>
      <c r="FA1320" t="str">
        <f>IF(LEN($CY1320)=0,"",IF(AND($CY1320&lt;(-0.05),$ES1320="C neutral forest and HWP assumption"),"Cneutral paradox",IF(AND($CY1320&gt;0.05,$EU1320="In-situ only assumption"),"In-situ only paradox","")))</f>
        <v/>
      </c>
      <c r="FB1320" s="149"/>
    </row>
    <row r="1321" spans="1:158" ht="15" customHeight="1">
      <c r="A1321" s="1" t="s">
        <v>574</v>
      </c>
      <c r="B1321" t="s">
        <v>1320</v>
      </c>
      <c r="C1321" t="s">
        <v>1321</v>
      </c>
      <c r="D1321" t="s">
        <v>1322</v>
      </c>
      <c r="E1321" t="s">
        <v>1323</v>
      </c>
      <c r="F1321" t="s">
        <v>1324</v>
      </c>
      <c r="G1321" t="s">
        <v>580</v>
      </c>
      <c r="H1321" t="s">
        <v>254</v>
      </c>
      <c r="I1321">
        <v>2020</v>
      </c>
      <c r="J1321">
        <v>12</v>
      </c>
      <c r="K1321" t="s">
        <v>1325</v>
      </c>
      <c r="M1321" t="str">
        <f>LEFT($D1321,FIND(",",$D1321)-1)&amp;"_"&amp;I1321&amp;L1321</f>
        <v>Elisa_2020</v>
      </c>
      <c r="N1321" s="317" t="s">
        <v>222</v>
      </c>
      <c r="O1321" s="171" t="s">
        <v>274</v>
      </c>
      <c r="P1321" t="s">
        <v>223</v>
      </c>
      <c r="Q1321" s="317" t="s">
        <v>389</v>
      </c>
      <c r="R1321" s="318" t="s">
        <v>1029</v>
      </c>
      <c r="S1321" s="154" t="s">
        <v>1326</v>
      </c>
      <c r="T1321" s="319" t="s">
        <v>1327</v>
      </c>
      <c r="U1321" s="143" t="s">
        <v>1385</v>
      </c>
      <c r="V1321" s="253">
        <v>0</v>
      </c>
      <c r="W1321" s="253">
        <v>0</v>
      </c>
      <c r="X1321">
        <v>0</v>
      </c>
      <c r="Y1321">
        <v>0</v>
      </c>
      <c r="Z1321">
        <v>0</v>
      </c>
      <c r="AA1321">
        <v>0</v>
      </c>
      <c r="AB1321">
        <v>0</v>
      </c>
      <c r="AC1321">
        <v>0</v>
      </c>
      <c r="AD1321">
        <v>0</v>
      </c>
      <c r="AE1321">
        <v>0</v>
      </c>
      <c r="AF1321">
        <v>0</v>
      </c>
      <c r="AG1321">
        <v>1</v>
      </c>
      <c r="AH1321">
        <v>0</v>
      </c>
      <c r="AI1321">
        <v>0</v>
      </c>
      <c r="AJ1321">
        <v>0</v>
      </c>
      <c r="AK1321">
        <v>0</v>
      </c>
      <c r="AL1321">
        <v>0</v>
      </c>
      <c r="AM1321">
        <v>1</v>
      </c>
      <c r="AN1321">
        <v>0</v>
      </c>
      <c r="AO1321">
        <v>0</v>
      </c>
      <c r="AP1321">
        <v>0</v>
      </c>
      <c r="AQ1321">
        <v>0</v>
      </c>
      <c r="AR1321">
        <v>0</v>
      </c>
      <c r="AS1321">
        <v>0</v>
      </c>
      <c r="AT1321">
        <v>0</v>
      </c>
      <c r="AU1321">
        <v>0</v>
      </c>
      <c r="AV1321">
        <v>0</v>
      </c>
      <c r="AW1321">
        <v>0</v>
      </c>
      <c r="AX1321">
        <v>0</v>
      </c>
      <c r="AY1321">
        <v>0</v>
      </c>
      <c r="AZ1321" s="141">
        <f>COUNTIF(X1321:AY1321,"&lt;&gt;0")</f>
        <v>2</v>
      </c>
      <c r="BA1321" s="141">
        <f>COUNTIF(X1321:AN1321,"&lt;&gt;0")</f>
        <v>2</v>
      </c>
      <c r="BB1321">
        <f>COUNTIF(X1321:AE1321,"&lt;&gt;0")</f>
        <v>0</v>
      </c>
      <c r="BC1321">
        <f>COUNTIF(AF1321:AK1321,"&lt;&gt;0")</f>
        <v>1</v>
      </c>
      <c r="BD1321">
        <f>COUNTIF(AL1321:AN1321,"&lt;&gt;0")</f>
        <v>1</v>
      </c>
      <c r="BE1321">
        <f>COUNTIF(AU1321:AY1321,"&lt;&gt;0")</f>
        <v>0</v>
      </c>
      <c r="BF1321">
        <f>COUNTIF(AO1321:AT1321,"&lt;&gt;0")</f>
        <v>0</v>
      </c>
      <c r="BG1321" t="str" cm="1">
        <f t="array" ref="BG1321">IF(BA1321=1,INDEX($X$7:$AN$7,MATCH(TRUE,INDEX($X1321:$AY1321&lt;&gt;0,),0)),IF(BA1321=0,INDEX($AO$7:$AY$7,MATCH(1,$AO1321:$AY1321,0)),IF(BH1321="Multiple strategies","mixed drivers",IF(BH1321="Supply chain","multiple supply","multiple silviculture"))))</f>
        <v>mixed drivers</v>
      </c>
      <c r="BH1321" s="2" t="str" cm="1">
        <f t="array" ref="BH1321">IF(COUNTIF(BB1321:BD1321,"&lt;&gt;0")=1,INDEX($X$4:$AY$4,MATCH(TRUE,INDEX($X1321:$AY1321&lt;&gt;0,),0)),IF(COUNTIF(BB1321:BD1321,"&lt;&gt;0")=0,INDEX($AO$4:$AY$4,MATCH(1,$AO1321:$AY1321,0)),"Multiple strategies"))</f>
        <v>Multiple strategies</v>
      </c>
      <c r="BI1321" s="142" t="s">
        <v>321</v>
      </c>
      <c r="BJ1321" s="160" t="s">
        <v>1329</v>
      </c>
      <c r="BK1321" s="160" t="s">
        <v>1330</v>
      </c>
      <c r="BL1321" s="143" t="s">
        <v>498</v>
      </c>
      <c r="BM1321" s="143">
        <v>944</v>
      </c>
      <c r="BN1321" s="143">
        <v>2500</v>
      </c>
      <c r="BO1321">
        <f>IFERROR(BN1322/BM1321,"")</f>
        <v>12.471398305084746</v>
      </c>
      <c r="BP1321">
        <f>BN1321-BM1321</f>
        <v>1556</v>
      </c>
      <c r="BQ1321" s="159">
        <f>BP1321</f>
        <v>1556</v>
      </c>
      <c r="BR1321" s="155" t="s">
        <v>232</v>
      </c>
      <c r="BS1321" s="155" t="s">
        <v>1331</v>
      </c>
      <c r="BT1321" s="155" t="s">
        <v>805</v>
      </c>
      <c r="BU1321" s="143" t="s">
        <v>1349</v>
      </c>
      <c r="BV1321" t="s">
        <v>1386</v>
      </c>
      <c r="BW1321" s="144">
        <f>BV1321/BU1321</f>
        <v>3.153188079915227</v>
      </c>
      <c r="BX1321">
        <f>BV1321-BU1321</f>
        <v>-0.23141388888888903</v>
      </c>
      <c r="BZ1321">
        <f>BX1321</f>
        <v>-0.23141388888888903</v>
      </c>
      <c r="CA1321">
        <f>IFERROR(BZ1321/BQ1321,"")</f>
        <v>-1.4872357897743511E-4</v>
      </c>
      <c r="CB1321">
        <v>0</v>
      </c>
      <c r="CC1321">
        <v>0</v>
      </c>
      <c r="CD1321">
        <v>0</v>
      </c>
      <c r="CE1321">
        <v>0</v>
      </c>
      <c r="CF1321">
        <v>0</v>
      </c>
      <c r="CG1321">
        <v>0</v>
      </c>
      <c r="CH1321">
        <v>0</v>
      </c>
      <c r="CI1321">
        <v>0</v>
      </c>
      <c r="CJ1321">
        <v>0</v>
      </c>
      <c r="CK1321">
        <v>0</v>
      </c>
      <c r="CL1321">
        <v>0</v>
      </c>
      <c r="CM1321">
        <v>0</v>
      </c>
      <c r="CN1321">
        <v>0</v>
      </c>
      <c r="CO1321">
        <v>0</v>
      </c>
      <c r="CP1321" t="str">
        <f>IF($BN1321&lt;$BM1321,"refNeedCorrection","refOK")</f>
        <v>refOK</v>
      </c>
      <c r="CQ1321">
        <f>IF($CP1321="refOK",$BM1321,$BN1321)</f>
        <v>944</v>
      </c>
      <c r="CR1321">
        <f>IF($CP1321="refOK",$BN1321,$BM1321)</f>
        <v>2500</v>
      </c>
      <c r="CS1321">
        <f>IF($CP1321="refOK",$BQ1321,-$BQ1321)</f>
        <v>1556</v>
      </c>
      <c r="CT1321">
        <f>IF(BI1321="Roundwood",$CS1321/2,$CS1321)</f>
        <v>778</v>
      </c>
      <c r="CU1321">
        <f>IF($CP1321="refOK",$BU1321,$BV1321)*IF($BR1321="Emissions positive",-1,1)</f>
        <v>-0.107475</v>
      </c>
      <c r="CV1321">
        <f>IF($CP1321="refOK",$BV1321,$BU1321)*IF($BR1321="Emissions positive",-1,1)</f>
        <v>-0.33888888888888902</v>
      </c>
      <c r="CW1321">
        <f>IF($CP1321="refNeedCorrection",-BZ1321,BZ1321)*IF($BR1321="Emissions positive",-1,1)</f>
        <v>-0.23141388888888903</v>
      </c>
      <c r="CX1321">
        <f>IFERROR($CW1321/$CS1321,"")</f>
        <v>-1.4872357897743511E-4</v>
      </c>
      <c r="CY1321">
        <f>IFERROR($CW1321/$CS1321,"")</f>
        <v>-1.4872357897743511E-4</v>
      </c>
      <c r="CZ1321">
        <f>IFERROR($CW1321/$CT1321,"")</f>
        <v>-2.9744715795487021E-4</v>
      </c>
      <c r="DA1321" s="2">
        <f>IFERROR((CV1321-CU1321)/ABS(CU1321),"")</f>
        <v>-2.153188079915227</v>
      </c>
      <c r="DB1321" s="320" t="s">
        <v>1334</v>
      </c>
      <c r="DC1321" s="317" t="str">
        <f>IF(OR($DB1321="prd",$DB1321="std",$DB1321="cit"),"loc",IF(OR($DB1321="eur",$DB1321="reg",$DB1321="coy"),"reg",$DB1321))</f>
        <v>reg</v>
      </c>
      <c r="DD1321" s="321" t="s">
        <v>729</v>
      </c>
      <c r="DF1321" s="143"/>
      <c r="DG1321" s="143">
        <v>0</v>
      </c>
      <c r="DH1321" t="str">
        <f>IF(DG1321=0,"0",IF(AND(DG1321&gt;=1,DG1321&lt;=30),"1-30",IF(AND(DG1321&gt;30,DG1321&lt;=70),"31-70",IF(AND(DG1321&gt;70,DG1321&lt;=100),"71-100",IF(DG1321&gt;100,"+100")))))</f>
        <v>0</v>
      </c>
      <c r="DI1321">
        <v>0</v>
      </c>
      <c r="DJ1321">
        <v>1</v>
      </c>
      <c r="DK1321">
        <v>0</v>
      </c>
      <c r="DL1321">
        <v>0</v>
      </c>
      <c r="DM1321">
        <v>0</v>
      </c>
      <c r="DN1321">
        <f>SUM(DI1321:DM1321)</f>
        <v>1</v>
      </c>
      <c r="DO1321" t="str">
        <f>IF(DN1321=1,INDEX($DI$7:$DL$7,MATCH(1,$DI1321:$DL1321,0)),"mixedProduct")</f>
        <v>EnergyInput</v>
      </c>
      <c r="DP1321">
        <f>IF(DI1321=1,DP$7,0)</f>
        <v>0</v>
      </c>
      <c r="DQ1321" t="str">
        <f>IF(DJ1321=1,DQ$7,0)</f>
        <v>Energy</v>
      </c>
      <c r="DR1321">
        <f>IF(DK1321=1,DR$7,0)</f>
        <v>0</v>
      </c>
      <c r="DS1321">
        <f>IF(DL1321=1,DS$7,0)</f>
        <v>0</v>
      </c>
      <c r="DT1321">
        <v>0</v>
      </c>
      <c r="DU1321" s="143">
        <v>0</v>
      </c>
      <c r="DV1321" s="143">
        <v>0</v>
      </c>
      <c r="DW1321">
        <v>0</v>
      </c>
      <c r="DX1321" s="143">
        <v>0</v>
      </c>
      <c r="DY1321">
        <f>SUM(DT1321:DU1321)</f>
        <v>0</v>
      </c>
      <c r="DZ1321" s="143" t="str">
        <f>IF(DT1321=1,"self-calculated DF",IF(DU1321=1,"external DF used","explicit C balance"))</f>
        <v>explicit C balance</v>
      </c>
      <c r="EA1321" s="143">
        <v>0</v>
      </c>
      <c r="EB1321" s="143">
        <v>0</v>
      </c>
      <c r="EC1321" s="143">
        <v>0</v>
      </c>
      <c r="ED1321" s="143">
        <v>0</v>
      </c>
      <c r="EE1321">
        <v>0</v>
      </c>
      <c r="EF1321" s="143">
        <v>0</v>
      </c>
      <c r="EG1321" s="143">
        <v>1</v>
      </c>
      <c r="EH1321" s="143">
        <v>0</v>
      </c>
      <c r="EI1321" s="143">
        <v>0</v>
      </c>
      <c r="EJ1321">
        <v>0</v>
      </c>
      <c r="EK1321">
        <v>0</v>
      </c>
      <c r="EL1321" s="143">
        <v>0</v>
      </c>
      <c r="EM1321" s="143">
        <v>0</v>
      </c>
      <c r="EN1321" s="2">
        <v>0</v>
      </c>
      <c r="EP1321" t="str">
        <f>IF(AND(AND(AND(OR($EC1321=1,$EB1321=1),OR($EH1321=1,$EF1321=1)),SUM($EA1321:$EE1321,$EK1321)&gt;=3),SUM($EF1321:$EJ1321)&gt;=2),"Whole sector approach","")</f>
        <v/>
      </c>
      <c r="EQ1321" t="str">
        <f>IF(AND(AND(OR($EC1321=1,$EB1321=1),AND($EH1321=0,$EF1321=0)),SUM($EA1321:$EE1321,$EK1321)&gt;=3),"Ecosystem approach","")</f>
        <v/>
      </c>
      <c r="ER1321" s="2" t="str">
        <f>IF(AND(AND(AND($EC1321=0,$EB1321=0),OR($EH1321=1,$EF1321=1)),SUM($EG1321:$EJ1321)&gt;=2),"Technology approach","")</f>
        <v/>
      </c>
      <c r="ES1321" t="str">
        <f>IF(AND($EC1321+$EB1321+$EE1321+$EA1321+$ED1321+$EG1321=0,$N1321="included"),"C neutral forest and HWP assumption","")</f>
        <v/>
      </c>
      <c r="ET1321" t="str">
        <f>IF(AND(AND(AND(AND($EC1321=1,$EB1321+$EA1321+$EG1321&gt;=1),$EF1321=1),$EH1321+$EI1321+$ED1321+$EE1321&gt;=2),$N1321="included"),"All C pools assumption","")</f>
        <v/>
      </c>
      <c r="EU1321" t="str">
        <f>IF(AND($ED1321+$EE1321+$EI1321+$EH1321+$EF1321=0,$N1321="included"),"In-situ only assumption","")</f>
        <v>In-situ only assumption</v>
      </c>
      <c r="EY1321" t="str">
        <f>IF(ISNUMBER(BW1321),IF(ABS(BW1321-[4]QC_indicators!$B$2)&gt;3*[4]QC_indicators!$C$2,"C ratio",IF(ISNUMBER(CA1321),IF(ABS(CA1321-[4]QC_indicators!$B$1)&gt;3*[4]QC_indicators!$C$1,"DF","no"))),IF(ISNUMBER(CA1321),IF(ABS(CA1321-[4]QC_indicators!$B$1)&gt;3*[4]QC_indicators!$C$1,"DF","no")))</f>
        <v>no</v>
      </c>
      <c r="FA1321" t="str">
        <f>IF(LEN($CY1321)=0,"",IF(AND($CY1321&lt;(-0.05),$ES1321="C neutral forest and HWP assumption"),"Cneutral paradox",IF(AND($CY1321&gt;0.05,$EU1321="In-situ only assumption"),"In-situ only paradox","")))</f>
        <v/>
      </c>
      <c r="FB1321" s="149"/>
    </row>
    <row r="1322" spans="1:158" ht="15" customHeight="1">
      <c r="A1322" s="1" t="s">
        <v>574</v>
      </c>
      <c r="B1322" t="s">
        <v>1320</v>
      </c>
      <c r="C1322" t="s">
        <v>1321</v>
      </c>
      <c r="D1322" t="s">
        <v>1322</v>
      </c>
      <c r="E1322" t="s">
        <v>1323</v>
      </c>
      <c r="F1322" t="s">
        <v>1324</v>
      </c>
      <c r="G1322" t="s">
        <v>580</v>
      </c>
      <c r="H1322" t="s">
        <v>254</v>
      </c>
      <c r="I1322">
        <v>2020</v>
      </c>
      <c r="J1322">
        <v>12</v>
      </c>
      <c r="K1322" t="s">
        <v>1325</v>
      </c>
      <c r="M1322" t="str">
        <f>LEFT($D1322,FIND(",",$D1322)-1)&amp;"_"&amp;I1322&amp;L1322</f>
        <v>Elisa_2020</v>
      </c>
      <c r="N1322" s="317" t="s">
        <v>222</v>
      </c>
      <c r="O1322" s="171" t="s">
        <v>274</v>
      </c>
      <c r="P1322" t="s">
        <v>223</v>
      </c>
      <c r="Q1322" s="317" t="s">
        <v>389</v>
      </c>
      <c r="R1322" s="318" t="s">
        <v>1029</v>
      </c>
      <c r="S1322" s="154" t="s">
        <v>1326</v>
      </c>
      <c r="T1322" s="319" t="s">
        <v>1327</v>
      </c>
      <c r="U1322" s="143" t="s">
        <v>1355</v>
      </c>
      <c r="V1322" s="253">
        <v>0</v>
      </c>
      <c r="W1322" s="253">
        <v>0</v>
      </c>
      <c r="X1322">
        <v>0</v>
      </c>
      <c r="Y1322">
        <v>0</v>
      </c>
      <c r="Z1322">
        <v>0</v>
      </c>
      <c r="AA1322">
        <v>0</v>
      </c>
      <c r="AB1322">
        <v>0</v>
      </c>
      <c r="AC1322">
        <v>0</v>
      </c>
      <c r="AD1322">
        <v>0</v>
      </c>
      <c r="AE1322">
        <v>0</v>
      </c>
      <c r="AF1322">
        <v>0</v>
      </c>
      <c r="AG1322">
        <v>1</v>
      </c>
      <c r="AH1322">
        <v>0</v>
      </c>
      <c r="AI1322">
        <v>0</v>
      </c>
      <c r="AJ1322">
        <v>0</v>
      </c>
      <c r="AK1322">
        <v>0</v>
      </c>
      <c r="AL1322">
        <v>0</v>
      </c>
      <c r="AM1322">
        <v>1</v>
      </c>
      <c r="AN1322">
        <v>0</v>
      </c>
      <c r="AO1322">
        <v>0</v>
      </c>
      <c r="AP1322">
        <v>0</v>
      </c>
      <c r="AQ1322">
        <v>0</v>
      </c>
      <c r="AR1322">
        <v>0</v>
      </c>
      <c r="AS1322">
        <v>0</v>
      </c>
      <c r="AT1322">
        <v>0</v>
      </c>
      <c r="AU1322">
        <v>0</v>
      </c>
      <c r="AV1322">
        <v>0</v>
      </c>
      <c r="AW1322">
        <v>0</v>
      </c>
      <c r="AX1322">
        <v>0</v>
      </c>
      <c r="AY1322">
        <v>0</v>
      </c>
      <c r="AZ1322" s="141">
        <f>COUNTIF(X1322:AY1322,"&lt;&gt;0")</f>
        <v>2</v>
      </c>
      <c r="BA1322" s="141">
        <f>COUNTIF(X1322:AN1322,"&lt;&gt;0")</f>
        <v>2</v>
      </c>
      <c r="BB1322">
        <f>COUNTIF(X1322:AE1322,"&lt;&gt;0")</f>
        <v>0</v>
      </c>
      <c r="BC1322">
        <f>COUNTIF(AF1322:AK1322,"&lt;&gt;0")</f>
        <v>1</v>
      </c>
      <c r="BD1322">
        <f>COUNTIF(AL1322:AN1322,"&lt;&gt;0")</f>
        <v>1</v>
      </c>
      <c r="BE1322">
        <f>COUNTIF(AU1322:AY1322,"&lt;&gt;0")</f>
        <v>0</v>
      </c>
      <c r="BF1322">
        <f>COUNTIF(AO1322:AT1322,"&lt;&gt;0")</f>
        <v>0</v>
      </c>
      <c r="BG1322" t="str" cm="1">
        <f t="array" ref="BG1322">IF(BA1322=1,INDEX($X$7:$AN$7,MATCH(TRUE,INDEX($X1322:$AY1322&lt;&gt;0,),0)),IF(BA1322=0,INDEX($AO$7:$AY$7,MATCH(1,$AO1322:$AY1322,0)),IF(BH1322="Multiple strategies","mixed drivers",IF(BH1322="Supply chain","multiple supply","multiple silviculture"))))</f>
        <v>mixed drivers</v>
      </c>
      <c r="BH1322" s="2" t="str" cm="1">
        <f t="array" ref="BH1322">IF(COUNTIF(BB1322:BD1322,"&lt;&gt;0")=1,INDEX($X$4:$AY$4,MATCH(TRUE,INDEX($X1322:$AY1322&lt;&gt;0,),0)),IF(COUNTIF(BB1322:BD1322,"&lt;&gt;0")=0,INDEX($AO$4:$AY$4,MATCH(1,$AO1322:$AY1322,0)),"Multiple strategies"))</f>
        <v>Multiple strategies</v>
      </c>
      <c r="BI1322" s="142" t="s">
        <v>321</v>
      </c>
      <c r="BJ1322" s="160" t="s">
        <v>1329</v>
      </c>
      <c r="BK1322" s="160" t="s">
        <v>1330</v>
      </c>
      <c r="BL1322" s="143" t="s">
        <v>498</v>
      </c>
      <c r="BM1322" s="143">
        <v>944</v>
      </c>
      <c r="BN1322" s="143">
        <v>11773</v>
      </c>
      <c r="BO1322">
        <f>IFERROR(BN1323/BM1322,"")</f>
        <v>13.771186440677965</v>
      </c>
      <c r="BP1322">
        <f>BN1322-BM1322</f>
        <v>10829</v>
      </c>
      <c r="BQ1322" s="159">
        <f>BP1322</f>
        <v>10829</v>
      </c>
      <c r="BR1322" s="155" t="s">
        <v>232</v>
      </c>
      <c r="BS1322" s="155" t="s">
        <v>1331</v>
      </c>
      <c r="BT1322" s="155" t="s">
        <v>805</v>
      </c>
      <c r="BU1322" s="143" t="s">
        <v>1349</v>
      </c>
      <c r="BV1322" t="s">
        <v>1384</v>
      </c>
      <c r="BW1322" s="144">
        <f>BV1322/BU1322</f>
        <v>18.872295882763435</v>
      </c>
      <c r="BX1322">
        <f>BV1322-BU1322</f>
        <v>-1.9208250000000002</v>
      </c>
      <c r="BZ1322">
        <f>BX1322</f>
        <v>-1.9208250000000002</v>
      </c>
      <c r="CA1322">
        <f>IFERROR(BZ1322/BQ1322,"")</f>
        <v>-1.7737787422661375E-4</v>
      </c>
      <c r="CB1322">
        <v>0</v>
      </c>
      <c r="CC1322">
        <v>0</v>
      </c>
      <c r="CD1322">
        <v>0</v>
      </c>
      <c r="CE1322">
        <v>0</v>
      </c>
      <c r="CF1322">
        <v>0</v>
      </c>
      <c r="CG1322">
        <v>0</v>
      </c>
      <c r="CH1322">
        <v>0</v>
      </c>
      <c r="CI1322">
        <v>0</v>
      </c>
      <c r="CJ1322">
        <v>0</v>
      </c>
      <c r="CK1322">
        <v>0</v>
      </c>
      <c r="CL1322">
        <v>0</v>
      </c>
      <c r="CM1322">
        <v>0</v>
      </c>
      <c r="CN1322">
        <v>0</v>
      </c>
      <c r="CO1322">
        <v>0</v>
      </c>
      <c r="CP1322" t="str">
        <f>IF($BN1322&lt;$BM1322,"refNeedCorrection","refOK")</f>
        <v>refOK</v>
      </c>
      <c r="CQ1322">
        <f>IF($CP1322="refOK",$BM1322,$BN1322)</f>
        <v>944</v>
      </c>
      <c r="CR1322">
        <f>IF($CP1322="refOK",$BN1322,$BM1322)</f>
        <v>11773</v>
      </c>
      <c r="CS1322">
        <f>IF($CP1322="refOK",$BQ1322,-$BQ1322)</f>
        <v>10829</v>
      </c>
      <c r="CT1322">
        <f>IF(BI1322="Roundwood",$CS1322/2,$CS1322)</f>
        <v>5414.5</v>
      </c>
      <c r="CU1322">
        <f>IF($CP1322="refOK",$BU1322,$BV1322)*IF($BR1322="Emissions positive",-1,1)</f>
        <v>-0.107475</v>
      </c>
      <c r="CV1322">
        <f>IF($CP1322="refOK",$BV1322,$BU1322)*IF($BR1322="Emissions positive",-1,1)</f>
        <v>-2.0283000000000002</v>
      </c>
      <c r="CW1322">
        <f>IF($CP1322="refNeedCorrection",-BZ1322,BZ1322)*IF($BR1322="Emissions positive",-1,1)</f>
        <v>-1.9208250000000002</v>
      </c>
      <c r="CX1322">
        <f>IFERROR($CW1322/$CS1322,"")</f>
        <v>-1.7737787422661375E-4</v>
      </c>
      <c r="CY1322">
        <f>IFERROR($CW1322/$CS1322,"")</f>
        <v>-1.7737787422661375E-4</v>
      </c>
      <c r="CZ1322">
        <f>IFERROR($CW1322/$CT1322,"")</f>
        <v>-3.5475574845322751E-4</v>
      </c>
      <c r="DA1322" s="2">
        <f>IFERROR((CV1322-CU1322)/ABS(CU1322),"")</f>
        <v>-17.872295882763435</v>
      </c>
      <c r="DB1322" s="320" t="s">
        <v>1334</v>
      </c>
      <c r="DC1322" s="317" t="str">
        <f>IF(OR($DB1322="prd",$DB1322="std",$DB1322="cit"),"loc",IF(OR($DB1322="eur",$DB1322="reg",$DB1322="coy"),"reg",$DB1322))</f>
        <v>reg</v>
      </c>
      <c r="DD1322" s="321" t="s">
        <v>729</v>
      </c>
      <c r="DF1322" s="143"/>
      <c r="DG1322" s="143">
        <v>0</v>
      </c>
      <c r="DH1322" t="str">
        <f>IF(DG1322=0,"0",IF(AND(DG1322&gt;=1,DG1322&lt;=30),"1-30",IF(AND(DG1322&gt;30,DG1322&lt;=70),"31-70",IF(AND(DG1322&gt;70,DG1322&lt;=100),"71-100",IF(DG1322&gt;100,"+100")))))</f>
        <v>0</v>
      </c>
      <c r="DI1322">
        <v>0</v>
      </c>
      <c r="DJ1322">
        <v>1</v>
      </c>
      <c r="DK1322">
        <v>0</v>
      </c>
      <c r="DL1322">
        <v>0</v>
      </c>
      <c r="DM1322">
        <v>0</v>
      </c>
      <c r="DN1322">
        <f>SUM(DI1322:DM1322)</f>
        <v>1</v>
      </c>
      <c r="DO1322" t="str">
        <f>IF(DN1322=1,INDEX($DI$7:$DL$7,MATCH(1,$DI1322:$DL1322,0)),"mixedProduct")</f>
        <v>EnergyInput</v>
      </c>
      <c r="DP1322">
        <f>IF(DI1322=1,DP$7,0)</f>
        <v>0</v>
      </c>
      <c r="DQ1322" t="str">
        <f>IF(DJ1322=1,DQ$7,0)</f>
        <v>Energy</v>
      </c>
      <c r="DR1322">
        <f>IF(DK1322=1,DR$7,0)</f>
        <v>0</v>
      </c>
      <c r="DS1322">
        <f>IF(DL1322=1,DS$7,0)</f>
        <v>0</v>
      </c>
      <c r="DT1322">
        <v>0</v>
      </c>
      <c r="DU1322" s="143">
        <v>0</v>
      </c>
      <c r="DV1322" s="143">
        <v>0</v>
      </c>
      <c r="DW1322">
        <v>0</v>
      </c>
      <c r="DX1322" s="143">
        <v>0</v>
      </c>
      <c r="DY1322">
        <f>SUM(DT1322:DU1322)</f>
        <v>0</v>
      </c>
      <c r="DZ1322" s="143" t="str">
        <f>IF(DT1322=1,"self-calculated DF",IF(DU1322=1,"external DF used","explicit C balance"))</f>
        <v>explicit C balance</v>
      </c>
      <c r="EA1322" s="143">
        <v>0</v>
      </c>
      <c r="EB1322" s="143">
        <v>0</v>
      </c>
      <c r="EC1322" s="143">
        <v>0</v>
      </c>
      <c r="ED1322" s="143">
        <v>0</v>
      </c>
      <c r="EE1322">
        <v>0</v>
      </c>
      <c r="EF1322" s="143">
        <v>0</v>
      </c>
      <c r="EG1322" s="143">
        <v>1</v>
      </c>
      <c r="EH1322" s="143">
        <v>0</v>
      </c>
      <c r="EI1322" s="143">
        <v>0</v>
      </c>
      <c r="EJ1322">
        <v>0</v>
      </c>
      <c r="EK1322">
        <v>0</v>
      </c>
      <c r="EL1322" s="143">
        <v>0</v>
      </c>
      <c r="EM1322" s="143">
        <v>0</v>
      </c>
      <c r="EN1322" s="2">
        <v>0</v>
      </c>
      <c r="EP1322" t="str">
        <f>IF(AND(AND(AND(OR($EC1322=1,$EB1322=1),OR($EH1322=1,$EF1322=1)),SUM($EA1322:$EE1322,$EK1322)&gt;=3),SUM($EF1322:$EJ1322)&gt;=2),"Whole sector approach","")</f>
        <v/>
      </c>
      <c r="EQ1322" t="str">
        <f>IF(AND(AND(OR($EC1322=1,$EB1322=1),AND($EH1322=0,$EF1322=0)),SUM($EA1322:$EE1322,$EK1322)&gt;=3),"Ecosystem approach","")</f>
        <v/>
      </c>
      <c r="ER1322" s="2" t="str">
        <f>IF(AND(AND(AND($EC1322=0,$EB1322=0),OR($EH1322=1,$EF1322=1)),SUM($EG1322:$EJ1322)&gt;=2),"Technology approach","")</f>
        <v/>
      </c>
      <c r="ES1322" t="str">
        <f>IF(AND($EC1322+$EB1322+$EE1322+$EA1322+$ED1322+$EG1322=0,$N1322="included"),"C neutral forest and HWP assumption","")</f>
        <v/>
      </c>
      <c r="ET1322" t="str">
        <f>IF(AND(AND(AND(AND($EC1322=1,$EB1322+$EA1322+$EG1322&gt;=1),$EF1322=1),$EH1322+$EI1322+$ED1322+$EE1322&gt;=2),$N1322="included"),"All C pools assumption","")</f>
        <v/>
      </c>
      <c r="EU1322" t="str">
        <f>IF(AND($ED1322+$EE1322+$EI1322+$EH1322+$EF1322=0,$N1322="included"),"In-situ only assumption","")</f>
        <v>In-situ only assumption</v>
      </c>
      <c r="EY1322" t="str">
        <f>IF(ISNUMBER(BW1322),IF(ABS(BW1322-[4]QC_indicators!$B$2)&gt;3*[4]QC_indicators!$C$2,"C ratio",IF(ISNUMBER(CA1322),IF(ABS(CA1322-[4]QC_indicators!$B$1)&gt;3*[4]QC_indicators!$C$1,"DF","no"))),IF(ISNUMBER(CA1322),IF(ABS(CA1322-[4]QC_indicators!$B$1)&gt;3*[4]QC_indicators!$C$1,"DF","no")))</f>
        <v>no</v>
      </c>
      <c r="FA1322" t="str">
        <f>IF(LEN($CY1322)=0,"",IF(AND($CY1322&lt;(-0.05),$ES1322="C neutral forest and HWP assumption"),"Cneutral paradox",IF(AND($CY1322&gt;0.05,$EU1322="In-situ only assumption"),"In-situ only paradox","")))</f>
        <v/>
      </c>
      <c r="FB1322" s="149"/>
    </row>
    <row r="1323" spans="1:158" ht="15" hidden="1" customHeight="1">
      <c r="A1323" s="1" t="s">
        <v>574</v>
      </c>
      <c r="B1323" t="s">
        <v>1320</v>
      </c>
      <c r="C1323" t="s">
        <v>1321</v>
      </c>
      <c r="D1323" t="s">
        <v>1322</v>
      </c>
      <c r="E1323" t="s">
        <v>1323</v>
      </c>
      <c r="F1323" t="s">
        <v>1324</v>
      </c>
      <c r="G1323" t="s">
        <v>580</v>
      </c>
      <c r="H1323" t="s">
        <v>254</v>
      </c>
      <c r="I1323">
        <v>2020</v>
      </c>
      <c r="J1323">
        <v>12</v>
      </c>
      <c r="K1323" t="s">
        <v>1325</v>
      </c>
      <c r="M1323" t="str">
        <f>LEFT($D1323,FIND(",",$D1323)-1)&amp;"_"&amp;I1323&amp;L1323</f>
        <v>Elisa_2020</v>
      </c>
      <c r="N1323" s="317" t="s">
        <v>222</v>
      </c>
      <c r="O1323" s="171" t="s">
        <v>274</v>
      </c>
      <c r="P1323" t="s">
        <v>223</v>
      </c>
      <c r="Q1323" s="317" t="s">
        <v>389</v>
      </c>
      <c r="R1323" s="318" t="s">
        <v>1029</v>
      </c>
      <c r="S1323" s="154" t="s">
        <v>1326</v>
      </c>
      <c r="T1323" s="319" t="s">
        <v>1327</v>
      </c>
      <c r="U1323" s="143" t="s">
        <v>1381</v>
      </c>
      <c r="V1323" s="253">
        <v>0</v>
      </c>
      <c r="W1323" s="253">
        <v>0</v>
      </c>
      <c r="X1323">
        <v>0</v>
      </c>
      <c r="Y1323">
        <v>0</v>
      </c>
      <c r="Z1323">
        <v>0</v>
      </c>
      <c r="AA1323">
        <v>0</v>
      </c>
      <c r="AB1323">
        <v>0</v>
      </c>
      <c r="AC1323">
        <v>0</v>
      </c>
      <c r="AD1323">
        <v>0</v>
      </c>
      <c r="AE1323">
        <v>0</v>
      </c>
      <c r="AF1323">
        <v>0</v>
      </c>
      <c r="AG1323">
        <v>1</v>
      </c>
      <c r="AH1323">
        <v>0</v>
      </c>
      <c r="AI1323">
        <v>0</v>
      </c>
      <c r="AJ1323">
        <v>0</v>
      </c>
      <c r="AK1323">
        <v>0</v>
      </c>
      <c r="AL1323">
        <v>0</v>
      </c>
      <c r="AM1323">
        <v>1</v>
      </c>
      <c r="AN1323">
        <v>0</v>
      </c>
      <c r="AO1323">
        <v>0</v>
      </c>
      <c r="AP1323">
        <v>0</v>
      </c>
      <c r="AQ1323">
        <v>0</v>
      </c>
      <c r="AR1323">
        <v>0</v>
      </c>
      <c r="AS1323">
        <v>0</v>
      </c>
      <c r="AT1323">
        <v>0</v>
      </c>
      <c r="AU1323">
        <v>0</v>
      </c>
      <c r="AV1323">
        <v>0</v>
      </c>
      <c r="AW1323">
        <v>0</v>
      </c>
      <c r="AX1323">
        <v>0</v>
      </c>
      <c r="AY1323">
        <v>0</v>
      </c>
      <c r="AZ1323" s="141">
        <f>COUNTIF(X1323:AY1323,"&lt;&gt;0")</f>
        <v>2</v>
      </c>
      <c r="BA1323" s="141">
        <f>COUNTIF(X1323:AN1323,"&lt;&gt;0")</f>
        <v>2</v>
      </c>
      <c r="BB1323">
        <f>COUNTIF(X1323:AE1323,"&lt;&gt;0")</f>
        <v>0</v>
      </c>
      <c r="BC1323">
        <f>COUNTIF(AF1323:AK1323,"&lt;&gt;0")</f>
        <v>1</v>
      </c>
      <c r="BD1323">
        <f>COUNTIF(AL1323:AN1323,"&lt;&gt;0")</f>
        <v>1</v>
      </c>
      <c r="BE1323">
        <f>COUNTIF(AU1323:AY1323,"&lt;&gt;0")</f>
        <v>0</v>
      </c>
      <c r="BF1323">
        <f>COUNTIF(AO1323:AT1323,"&lt;&gt;0")</f>
        <v>0</v>
      </c>
      <c r="BG1323" t="str" cm="1">
        <f t="array" ref="BG1323">IF(BA1323=1,INDEX($X$7:$AN$7,MATCH(TRUE,INDEX($X1323:$AY1323&lt;&gt;0,),0)),IF(BA1323=0,INDEX($AO$7:$AY$7,MATCH(1,$AO1323:$AY1323,0)),IF(BH1323="Multiple strategies","mixed drivers",IF(BH1323="Supply chain","multiple supply","multiple silviculture"))))</f>
        <v>mixed drivers</v>
      </c>
      <c r="BH1323" s="2" t="str" cm="1">
        <f t="array" ref="BH1323">IF(COUNTIF(BB1323:BD1323,"&lt;&gt;0")=1,INDEX($X$4:$AY$4,MATCH(TRUE,INDEX($X1323:$AY1323&lt;&gt;0,),0)),IF(COUNTIF(BB1323:BD1323,"&lt;&gt;0")=0,INDEX($AO$4:$AY$4,MATCH(1,$AO1323:$AY1323,0)),"Multiple strategies"))</f>
        <v>Multiple strategies</v>
      </c>
      <c r="BI1323" s="142" t="s">
        <v>321</v>
      </c>
      <c r="BJ1323" s="160" t="s">
        <v>1329</v>
      </c>
      <c r="BK1323" s="160" t="s">
        <v>1330</v>
      </c>
      <c r="BL1323" s="143" t="s">
        <v>498</v>
      </c>
      <c r="BM1323" s="143">
        <v>944</v>
      </c>
      <c r="BN1323" s="143">
        <v>13000</v>
      </c>
      <c r="BO1323">
        <f>IFERROR(BN1323/BM1323,"")</f>
        <v>13.771186440677965</v>
      </c>
      <c r="BP1323">
        <f>BN1323-BM1323</f>
        <v>12056</v>
      </c>
      <c r="BQ1323" s="159">
        <f>BP1323</f>
        <v>12056</v>
      </c>
      <c r="BR1323" s="155" t="s">
        <v>232</v>
      </c>
      <c r="BS1323" s="155" t="s">
        <v>1331</v>
      </c>
      <c r="BT1323" s="155" t="s">
        <v>805</v>
      </c>
      <c r="BU1323" s="143" t="s">
        <v>1332</v>
      </c>
      <c r="BV1323" t="s">
        <v>1382</v>
      </c>
      <c r="BW1323" s="144">
        <f>BV1323/BU1323</f>
        <v>2.8117701553633578</v>
      </c>
      <c r="BX1323">
        <f>BV1323-BU1323</f>
        <v>-12.7152158333333</v>
      </c>
      <c r="BZ1323">
        <f>BX1323</f>
        <v>-12.7152158333333</v>
      </c>
      <c r="CA1323">
        <f>IFERROR(BZ1323/BQ1323,"")</f>
        <v>-1.0546794818624171E-3</v>
      </c>
      <c r="CB1323">
        <v>0</v>
      </c>
      <c r="CC1323">
        <v>0</v>
      </c>
      <c r="CD1323">
        <v>0</v>
      </c>
      <c r="CE1323">
        <v>0</v>
      </c>
      <c r="CF1323">
        <v>0</v>
      </c>
      <c r="CG1323">
        <v>0</v>
      </c>
      <c r="CH1323">
        <v>0</v>
      </c>
      <c r="CI1323">
        <v>0</v>
      </c>
      <c r="CJ1323">
        <v>0</v>
      </c>
      <c r="CK1323">
        <v>0</v>
      </c>
      <c r="CL1323">
        <v>0</v>
      </c>
      <c r="CM1323">
        <v>0</v>
      </c>
      <c r="CN1323">
        <v>0</v>
      </c>
      <c r="CO1323">
        <v>0</v>
      </c>
      <c r="CP1323" t="str">
        <f>IF($BN1323&lt;$BM1323,"refNeedCorrection","refOK")</f>
        <v>refOK</v>
      </c>
      <c r="CQ1323">
        <f>IF($CP1323="refOK",$BM1323,$BN1323)</f>
        <v>944</v>
      </c>
      <c r="CR1323">
        <f>IF($CP1323="refOK",$BN1323,$BM1323)</f>
        <v>13000</v>
      </c>
      <c r="CS1323">
        <f>IF($CP1323="refOK",$BQ1323,-$BQ1323)</f>
        <v>12056</v>
      </c>
      <c r="CT1323">
        <f>IF(BI1323="Roundwood",$CS1323/2,$CS1323)</f>
        <v>6028</v>
      </c>
      <c r="CU1323">
        <f>IF($CP1323="refOK",$BU1323,$BV1323)*IF($BR1323="Emissions positive",-1,1)</f>
        <v>-7.0181174999999998</v>
      </c>
      <c r="CV1323">
        <f>IF($CP1323="refOK",$BV1323,$BU1323)*IF($BR1323="Emissions positive",-1,1)</f>
        <v>-19.733333333333299</v>
      </c>
      <c r="CW1323">
        <f>IF($CP1323="refNeedCorrection",-BZ1323,BZ1323)*IF($BR1323="Emissions positive",-1,1)</f>
        <v>-12.7152158333333</v>
      </c>
      <c r="CX1323">
        <f>IFERROR($CW1323/$CS1323,"")</f>
        <v>-1.0546794818624171E-3</v>
      </c>
      <c r="CY1323">
        <f>IFERROR($CW1323/$CS1323,"")</f>
        <v>-1.0546794818624171E-3</v>
      </c>
      <c r="CZ1323">
        <f>IFERROR($CW1323/$CT1323,"")</f>
        <v>-2.1093589637248343E-3</v>
      </c>
      <c r="DA1323" s="2">
        <f>IFERROR((CV1323-CU1323)/ABS(CU1323),"")</f>
        <v>-1.8117701553633578</v>
      </c>
      <c r="DB1323" s="320" t="s">
        <v>1334</v>
      </c>
      <c r="DC1323" s="317" t="str">
        <f>IF(OR($DB1323="prd",$DB1323="std",$DB1323="cit"),"loc",IF(OR($DB1323="eur",$DB1323="reg",$DB1323="coy"),"reg",$DB1323))</f>
        <v>reg</v>
      </c>
      <c r="DD1323" s="321" t="s">
        <v>729</v>
      </c>
      <c r="DF1323" s="143"/>
      <c r="DG1323" s="143">
        <v>0</v>
      </c>
      <c r="DH1323" t="str">
        <f>IF(DG1323=0,"0",IF(AND(DG1323&gt;=1,DG1323&lt;=30),"1-30",IF(AND(DG1323&gt;30,DG1323&lt;=70),"31-70",IF(AND(DG1323&gt;70,DG1323&lt;=100),"71-100",IF(DG1323&gt;100,"+100")))))</f>
        <v>0</v>
      </c>
      <c r="DI1323">
        <v>0</v>
      </c>
      <c r="DJ1323">
        <v>1</v>
      </c>
      <c r="DK1323">
        <v>0</v>
      </c>
      <c r="DL1323">
        <v>0</v>
      </c>
      <c r="DM1323">
        <v>0</v>
      </c>
      <c r="DN1323">
        <f>SUM(DI1323:DM1323)</f>
        <v>1</v>
      </c>
      <c r="DO1323" t="str">
        <f>IF(DN1323=1,INDEX($DI$7:$DL$7,MATCH(1,$DI1323:$DL1323,0)),"mixedProduct")</f>
        <v>EnergyInput</v>
      </c>
      <c r="DP1323">
        <f>IF(DI1323=1,DP$7,0)</f>
        <v>0</v>
      </c>
      <c r="DQ1323" t="str">
        <f>IF(DJ1323=1,DQ$7,0)</f>
        <v>Energy</v>
      </c>
      <c r="DR1323">
        <f>IF(DK1323=1,DR$7,0)</f>
        <v>0</v>
      </c>
      <c r="DS1323">
        <f>IF(DL1323=1,DS$7,0)</f>
        <v>0</v>
      </c>
      <c r="DT1323">
        <v>0</v>
      </c>
      <c r="DU1323" s="143">
        <v>0</v>
      </c>
      <c r="DV1323" s="143">
        <v>0</v>
      </c>
      <c r="DW1323">
        <v>0</v>
      </c>
      <c r="DX1323" s="143">
        <v>0</v>
      </c>
      <c r="DY1323">
        <f>SUM(DT1323:DU1323)</f>
        <v>0</v>
      </c>
      <c r="DZ1323" s="143" t="str">
        <f>IF(DT1323=1,"self-calculated DF",IF(DU1323=1,"external DF used","explicit C balance"))</f>
        <v>explicit C balance</v>
      </c>
      <c r="EA1323" s="143">
        <v>0</v>
      </c>
      <c r="EB1323" s="143">
        <v>0</v>
      </c>
      <c r="EC1323" s="143">
        <v>0</v>
      </c>
      <c r="ED1323" s="143">
        <v>0</v>
      </c>
      <c r="EE1323">
        <v>0</v>
      </c>
      <c r="EF1323" s="143">
        <v>0</v>
      </c>
      <c r="EG1323" s="143">
        <v>1</v>
      </c>
      <c r="EH1323" s="143">
        <v>1</v>
      </c>
      <c r="EI1323" s="143">
        <v>0</v>
      </c>
      <c r="EJ1323">
        <v>1</v>
      </c>
      <c r="EK1323">
        <v>0</v>
      </c>
      <c r="EL1323" s="143">
        <v>0</v>
      </c>
      <c r="EM1323" s="143">
        <v>0</v>
      </c>
      <c r="EN1323" s="2">
        <v>0</v>
      </c>
      <c r="EP1323" t="str">
        <f>IF(AND(AND(AND(OR($EC1323=1,$EB1323=1),OR($EH1323=1,$EF1323=1)),SUM($EA1323:$EE1323,$EK1323)&gt;=3),SUM($EF1323:$EJ1323)&gt;=2),"Whole sector approach","")</f>
        <v/>
      </c>
      <c r="EQ1323" t="str">
        <f>IF(AND(AND(OR($EC1323=1,$EB1323=1),AND($EH1323=0,$EF1323=0)),SUM($EA1323:$EE1323,$EK1323)&gt;=3),"Ecosystem approach","")</f>
        <v/>
      </c>
      <c r="ER1323" s="2" t="str">
        <f>IF(AND(AND(AND($EC1323=0,$EB1323=0),OR($EH1323=1,$EF1323=1)),SUM($EG1323:$EJ1323)&gt;=2),"Technology approach","")</f>
        <v>Technology approach</v>
      </c>
      <c r="ES1323" t="str">
        <f>IF(AND($EC1323+$EB1323+$EE1323+$EA1323+$ED1323+$EG1323=0,$N1323="included"),"C neutral forest and HWP assumption","")</f>
        <v/>
      </c>
      <c r="ET1323" t="str">
        <f>IF(AND(AND(AND(AND($EC1323=1,$EB1323+$EA1323+$EG1323&gt;=1),$EF1323=1),$EH1323+$EI1323+$ED1323+$EE1323&gt;=2),$N1323="included"),"All C pools assumption","")</f>
        <v/>
      </c>
      <c r="EU1323" t="str">
        <f>IF(AND($ED1323+$EE1323+$EI1323+$EH1323+$EF1323=0,$N1323="included"),"In-situ only assumption","")</f>
        <v/>
      </c>
      <c r="EY1323" t="str">
        <f>IF(ISNUMBER(BW1323),IF(ABS(BW1323-[4]QC_indicators!$B$2)&gt;3*[4]QC_indicators!$C$2,"C ratio",IF(ISNUMBER(CA1323),IF(ABS(CA1323-[4]QC_indicators!$B$1)&gt;3*[4]QC_indicators!$C$1,"DF","no"))),IF(ISNUMBER(CA1323),IF(ABS(CA1323-[4]QC_indicators!$B$1)&gt;3*[4]QC_indicators!$C$1,"DF","no")))</f>
        <v>no</v>
      </c>
      <c r="FA1323" t="str">
        <f>IF(LEN($CY1323)=0,"",IF(AND($CY1323&lt;(-0.05),$ES1323="C neutral forest and HWP assumption"),"Cneutral paradox",IF(AND($CY1323&gt;0.05,$EU1323="In-situ only assumption"),"In-situ only paradox","")))</f>
        <v/>
      </c>
      <c r="FB1323" s="149"/>
    </row>
    <row r="1324" spans="1:158" ht="15" hidden="1" customHeight="1">
      <c r="A1324" s="1" t="s">
        <v>574</v>
      </c>
      <c r="B1324" t="s">
        <v>1320</v>
      </c>
      <c r="C1324" t="s">
        <v>1321</v>
      </c>
      <c r="D1324" t="s">
        <v>1322</v>
      </c>
      <c r="E1324" t="s">
        <v>1323</v>
      </c>
      <c r="F1324" t="s">
        <v>1324</v>
      </c>
      <c r="G1324" t="s">
        <v>580</v>
      </c>
      <c r="H1324" t="s">
        <v>254</v>
      </c>
      <c r="I1324">
        <v>2020</v>
      </c>
      <c r="J1324">
        <v>12</v>
      </c>
      <c r="K1324" t="s">
        <v>1325</v>
      </c>
      <c r="M1324" t="str">
        <f>LEFT($D1324,FIND(",",$D1324)-1)&amp;"_"&amp;I1324&amp;L1324</f>
        <v>Elisa_2020</v>
      </c>
      <c r="N1324" s="317" t="s">
        <v>222</v>
      </c>
      <c r="O1324" s="171" t="s">
        <v>274</v>
      </c>
      <c r="P1324" t="s">
        <v>223</v>
      </c>
      <c r="Q1324" s="317" t="s">
        <v>389</v>
      </c>
      <c r="R1324" s="318" t="s">
        <v>1029</v>
      </c>
      <c r="S1324" s="154" t="s">
        <v>1326</v>
      </c>
      <c r="T1324" s="319" t="s">
        <v>1327</v>
      </c>
      <c r="U1324" s="143" t="s">
        <v>1377</v>
      </c>
      <c r="V1324" s="253">
        <v>0</v>
      </c>
      <c r="W1324" s="253">
        <v>0</v>
      </c>
      <c r="X1324">
        <v>0</v>
      </c>
      <c r="Y1324">
        <v>0</v>
      </c>
      <c r="Z1324">
        <v>0</v>
      </c>
      <c r="AA1324">
        <v>0</v>
      </c>
      <c r="AB1324">
        <v>0</v>
      </c>
      <c r="AC1324">
        <v>0</v>
      </c>
      <c r="AD1324">
        <v>0</v>
      </c>
      <c r="AE1324">
        <v>0</v>
      </c>
      <c r="AF1324">
        <v>0</v>
      </c>
      <c r="AG1324">
        <v>1</v>
      </c>
      <c r="AH1324">
        <v>0</v>
      </c>
      <c r="AI1324">
        <v>0</v>
      </c>
      <c r="AJ1324">
        <v>0</v>
      </c>
      <c r="AK1324">
        <v>0</v>
      </c>
      <c r="AL1324">
        <v>0</v>
      </c>
      <c r="AM1324">
        <v>1</v>
      </c>
      <c r="AN1324">
        <v>0</v>
      </c>
      <c r="AO1324">
        <v>0</v>
      </c>
      <c r="AP1324">
        <v>0</v>
      </c>
      <c r="AQ1324">
        <v>0</v>
      </c>
      <c r="AR1324">
        <v>0</v>
      </c>
      <c r="AS1324">
        <v>0</v>
      </c>
      <c r="AT1324">
        <v>0</v>
      </c>
      <c r="AU1324">
        <v>0</v>
      </c>
      <c r="AV1324">
        <v>0</v>
      </c>
      <c r="AW1324">
        <v>0</v>
      </c>
      <c r="AX1324">
        <v>0</v>
      </c>
      <c r="AY1324">
        <v>0</v>
      </c>
      <c r="AZ1324" s="141">
        <f>COUNTIF(X1324:AY1324,"&lt;&gt;0")</f>
        <v>2</v>
      </c>
      <c r="BA1324" s="141">
        <f>COUNTIF(X1324:AN1324,"&lt;&gt;0")</f>
        <v>2</v>
      </c>
      <c r="BB1324">
        <f>COUNTIF(X1324:AE1324,"&lt;&gt;0")</f>
        <v>0</v>
      </c>
      <c r="BC1324">
        <f>COUNTIF(AF1324:AK1324,"&lt;&gt;0")</f>
        <v>1</v>
      </c>
      <c r="BD1324">
        <f>COUNTIF(AL1324:AN1324,"&lt;&gt;0")</f>
        <v>1</v>
      </c>
      <c r="BE1324">
        <f>COUNTIF(AU1324:AY1324,"&lt;&gt;0")</f>
        <v>0</v>
      </c>
      <c r="BF1324">
        <f>COUNTIF(AO1324:AT1324,"&lt;&gt;0")</f>
        <v>0</v>
      </c>
      <c r="BG1324" t="str" cm="1">
        <f t="array" ref="BG1324">IF(BA1324=1,INDEX($X$7:$AN$7,MATCH(TRUE,INDEX($X1324:$AY1324&lt;&gt;0,),0)),IF(BA1324=0,INDEX($AO$7:$AY$7,MATCH(1,$AO1324:$AY1324,0)),IF(BH1324="Multiple strategies","mixed drivers",IF(BH1324="Supply chain","multiple supply","multiple silviculture"))))</f>
        <v>mixed drivers</v>
      </c>
      <c r="BH1324" s="2" t="str" cm="1">
        <f t="array" ref="BH1324">IF(COUNTIF(BB1324:BD1324,"&lt;&gt;0")=1,INDEX($X$4:$AY$4,MATCH(TRUE,INDEX($X1324:$AY1324&lt;&gt;0,),0)),IF(COUNTIF(BB1324:BD1324,"&lt;&gt;0")=0,INDEX($AO$4:$AY$4,MATCH(1,$AO1324:$AY1324,0)),"Multiple strategies"))</f>
        <v>Multiple strategies</v>
      </c>
      <c r="BI1324" s="142" t="s">
        <v>321</v>
      </c>
      <c r="BJ1324" s="160" t="s">
        <v>1329</v>
      </c>
      <c r="BK1324" s="160" t="s">
        <v>1330</v>
      </c>
      <c r="BL1324" s="143" t="s">
        <v>498</v>
      </c>
      <c r="BM1324" s="143">
        <v>944</v>
      </c>
      <c r="BN1324" s="143">
        <v>106341</v>
      </c>
      <c r="BO1324">
        <f>IFERROR(BN1324/BM1324,"")</f>
        <v>112.64936440677967</v>
      </c>
      <c r="BP1324">
        <f>BN1324-BM1324</f>
        <v>105397</v>
      </c>
      <c r="BQ1324" s="159">
        <f>BP1324</f>
        <v>105397</v>
      </c>
      <c r="BR1324" s="155" t="s">
        <v>232</v>
      </c>
      <c r="BS1324" s="155" t="s">
        <v>1331</v>
      </c>
      <c r="BT1324" s="155" t="s">
        <v>805</v>
      </c>
      <c r="BU1324" s="143" t="s">
        <v>1332</v>
      </c>
      <c r="BV1324" t="s">
        <v>1378</v>
      </c>
      <c r="BW1324" s="144">
        <f>BV1324/BU1324</f>
        <v>18.200058080627318</v>
      </c>
      <c r="BX1324">
        <f>BV1324-BU1324</f>
        <v>-120.712028616667</v>
      </c>
      <c r="BZ1324">
        <f>BX1324</f>
        <v>-120.712028616667</v>
      </c>
      <c r="CA1324">
        <f>IFERROR(BZ1324/BQ1324,"")</f>
        <v>-1.1453080127201629E-3</v>
      </c>
      <c r="CB1324">
        <v>0</v>
      </c>
      <c r="CC1324">
        <v>0</v>
      </c>
      <c r="CD1324">
        <v>0</v>
      </c>
      <c r="CE1324">
        <v>0</v>
      </c>
      <c r="CF1324">
        <v>0</v>
      </c>
      <c r="CG1324">
        <v>0</v>
      </c>
      <c r="CH1324">
        <v>0</v>
      </c>
      <c r="CI1324">
        <v>0</v>
      </c>
      <c r="CJ1324">
        <v>0</v>
      </c>
      <c r="CK1324">
        <v>0</v>
      </c>
      <c r="CL1324">
        <v>0</v>
      </c>
      <c r="CM1324">
        <v>0</v>
      </c>
      <c r="CN1324">
        <v>0</v>
      </c>
      <c r="CO1324">
        <v>0</v>
      </c>
      <c r="CP1324" t="str">
        <f>IF($BN1324&lt;$BM1324,"refNeedCorrection","refOK")</f>
        <v>refOK</v>
      </c>
      <c r="CQ1324">
        <f>IF($CP1324="refOK",$BM1324,$BN1324)</f>
        <v>944</v>
      </c>
      <c r="CR1324">
        <f>IF($CP1324="refOK",$BN1324,$BM1324)</f>
        <v>106341</v>
      </c>
      <c r="CS1324">
        <f>IF($CP1324="refOK",$BQ1324,-$BQ1324)</f>
        <v>105397</v>
      </c>
      <c r="CT1324">
        <f>IF(BI1324="Roundwood",$CS1324/2,$CS1324)</f>
        <v>52698.5</v>
      </c>
      <c r="CU1324">
        <f>IF($CP1324="refOK",$BU1324,$BV1324)*IF($BR1324="Emissions positive",-1,1)</f>
        <v>-7.0181174999999998</v>
      </c>
      <c r="CV1324">
        <f>IF($CP1324="refOK",$BV1324,$BU1324)*IF($BR1324="Emissions positive",-1,1)</f>
        <v>-127.730146116667</v>
      </c>
      <c r="CW1324">
        <f>IF($CP1324="refNeedCorrection",-BZ1324,BZ1324)*IF($BR1324="Emissions positive",-1,1)</f>
        <v>-120.712028616667</v>
      </c>
      <c r="CX1324">
        <f>IFERROR($CW1324/$CS1324,"")</f>
        <v>-1.1453080127201629E-3</v>
      </c>
      <c r="CY1324">
        <f>IFERROR($CW1324/$CS1324,"")</f>
        <v>-1.1453080127201629E-3</v>
      </c>
      <c r="CZ1324">
        <f>IFERROR($CW1324/$CT1324,"")</f>
        <v>-2.2906160254403257E-3</v>
      </c>
      <c r="DA1324" s="2">
        <f>IFERROR((CV1324-CU1324)/ABS(CU1324),"")</f>
        <v>-17.200058080627318</v>
      </c>
      <c r="DB1324" s="320" t="s">
        <v>1334</v>
      </c>
      <c r="DC1324" s="317" t="str">
        <f>IF(OR($DB1324="prd",$DB1324="std",$DB1324="cit"),"loc",IF(OR($DB1324="eur",$DB1324="reg",$DB1324="coy"),"reg",$DB1324))</f>
        <v>reg</v>
      </c>
      <c r="DD1324" s="321" t="s">
        <v>729</v>
      </c>
      <c r="DF1324" s="143"/>
      <c r="DG1324" s="143">
        <v>0</v>
      </c>
      <c r="DH1324" t="str">
        <f>IF(DG1324=0,"0",IF(AND(DG1324&gt;=1,DG1324&lt;=30),"1-30",IF(AND(DG1324&gt;30,DG1324&lt;=70),"31-70",IF(AND(DG1324&gt;70,DG1324&lt;=100),"71-100",IF(DG1324&gt;100,"+100")))))</f>
        <v>0</v>
      </c>
      <c r="DI1324">
        <v>0</v>
      </c>
      <c r="DJ1324">
        <v>1</v>
      </c>
      <c r="DK1324">
        <v>0</v>
      </c>
      <c r="DL1324">
        <v>0</v>
      </c>
      <c r="DM1324">
        <v>0</v>
      </c>
      <c r="DN1324">
        <f>SUM(DI1324:DM1324)</f>
        <v>1</v>
      </c>
      <c r="DO1324" t="str">
        <f>IF(DN1324=1,INDEX($DI$7:$DL$7,MATCH(1,$DI1324:$DL1324,0)),"mixedProduct")</f>
        <v>EnergyInput</v>
      </c>
      <c r="DP1324">
        <f>IF(DI1324=1,DP$7,0)</f>
        <v>0</v>
      </c>
      <c r="DQ1324" t="str">
        <f>IF(DJ1324=1,DQ$7,0)</f>
        <v>Energy</v>
      </c>
      <c r="DR1324">
        <f>IF(DK1324=1,DR$7,0)</f>
        <v>0</v>
      </c>
      <c r="DS1324">
        <f>IF(DL1324=1,DS$7,0)</f>
        <v>0</v>
      </c>
      <c r="DT1324">
        <v>0</v>
      </c>
      <c r="DU1324" s="143">
        <v>0</v>
      </c>
      <c r="DV1324" s="143">
        <v>0</v>
      </c>
      <c r="DW1324">
        <v>0</v>
      </c>
      <c r="DX1324" s="143">
        <v>0</v>
      </c>
      <c r="DY1324">
        <f>SUM(DT1324:DU1324)</f>
        <v>0</v>
      </c>
      <c r="DZ1324" s="143" t="str">
        <f>IF(DT1324=1,"self-calculated DF",IF(DU1324=1,"external DF used","explicit C balance"))</f>
        <v>explicit C balance</v>
      </c>
      <c r="EA1324" s="143">
        <v>0</v>
      </c>
      <c r="EB1324" s="143">
        <v>0</v>
      </c>
      <c r="EC1324" s="143">
        <v>0</v>
      </c>
      <c r="ED1324" s="143">
        <v>0</v>
      </c>
      <c r="EE1324">
        <v>0</v>
      </c>
      <c r="EF1324" s="143">
        <v>0</v>
      </c>
      <c r="EG1324" s="143">
        <v>1</v>
      </c>
      <c r="EH1324" s="143">
        <v>1</v>
      </c>
      <c r="EI1324" s="143">
        <v>0</v>
      </c>
      <c r="EJ1324">
        <v>1</v>
      </c>
      <c r="EK1324">
        <v>0</v>
      </c>
      <c r="EL1324" s="143">
        <v>0</v>
      </c>
      <c r="EM1324" s="143">
        <v>0</v>
      </c>
      <c r="EN1324" s="2">
        <v>0</v>
      </c>
      <c r="EP1324" t="str">
        <f>IF(AND(AND(AND(OR($EC1324=1,$EB1324=1),OR($EH1324=1,$EF1324=1)),SUM($EA1324:$EE1324,$EK1324)&gt;=3),SUM($EF1324:$EJ1324)&gt;=2),"Whole sector approach","")</f>
        <v/>
      </c>
      <c r="EQ1324" t="str">
        <f>IF(AND(AND(OR($EC1324=1,$EB1324=1),AND($EH1324=0,$EF1324=0)),SUM($EA1324:$EE1324,$EK1324)&gt;=3),"Ecosystem approach","")</f>
        <v/>
      </c>
      <c r="ER1324" s="2" t="str">
        <f>IF(AND(AND(AND($EC1324=0,$EB1324=0),OR($EH1324=1,$EF1324=1)),SUM($EG1324:$EJ1324)&gt;=2),"Technology approach","")</f>
        <v>Technology approach</v>
      </c>
      <c r="ES1324" t="str">
        <f>IF(AND($EC1324+$EB1324+$EE1324+$EA1324+$ED1324+$EG1324=0,$N1324="included"),"C neutral forest and HWP assumption","")</f>
        <v/>
      </c>
      <c r="ET1324" t="str">
        <f>IF(AND(AND(AND(AND($EC1324=1,$EB1324+$EA1324+$EG1324&gt;=1),$EF1324=1),$EH1324+$EI1324+$ED1324+$EE1324&gt;=2),$N1324="included"),"All C pools assumption","")</f>
        <v/>
      </c>
      <c r="EU1324" t="str">
        <f>IF(AND($ED1324+$EE1324+$EI1324+$EH1324+$EF1324=0,$N1324="included"),"In-situ only assumption","")</f>
        <v/>
      </c>
      <c r="EY1324" t="str">
        <f>IF(ISNUMBER(BW1324),IF(ABS(BW1324-[4]QC_indicators!$B$2)&gt;3*[4]QC_indicators!$C$2,"C ratio",IF(ISNUMBER(CA1324),IF(ABS(CA1324-[4]QC_indicators!$B$1)&gt;3*[4]QC_indicators!$C$1,"DF","no"))),IF(ISNUMBER(CA1324),IF(ABS(CA1324-[4]QC_indicators!$B$1)&gt;3*[4]QC_indicators!$C$1,"DF","no")))</f>
        <v>no</v>
      </c>
      <c r="FA1324" t="str">
        <f>IF(LEN($CY1324)=0,"",IF(AND($CY1324&lt;(-0.05),$ES1324="C neutral forest and HWP assumption"),"Cneutral paradox",IF(AND($CY1324&gt;0.05,$EU1324="In-situ only assumption"),"In-situ only paradox","")))</f>
        <v/>
      </c>
      <c r="FB1324" s="149"/>
    </row>
    <row r="1325" spans="1:158" hidden="1">
      <c r="A1325" s="1" t="s">
        <v>574</v>
      </c>
      <c r="B1325" t="s">
        <v>1320</v>
      </c>
      <c r="C1325" t="s">
        <v>1321</v>
      </c>
      <c r="D1325" t="s">
        <v>1322</v>
      </c>
      <c r="E1325" t="s">
        <v>1323</v>
      </c>
      <c r="F1325" t="s">
        <v>1324</v>
      </c>
      <c r="G1325" t="s">
        <v>580</v>
      </c>
      <c r="H1325" t="s">
        <v>254</v>
      </c>
      <c r="I1325">
        <v>2020</v>
      </c>
      <c r="J1325">
        <v>12</v>
      </c>
      <c r="K1325" t="s">
        <v>1325</v>
      </c>
      <c r="M1325" t="str">
        <f>LEFT($D1325,FIND(",",$D1325)-1)&amp;"_"&amp;I1325&amp;L1325</f>
        <v>Elisa_2020</v>
      </c>
      <c r="N1325" s="317" t="s">
        <v>222</v>
      </c>
      <c r="O1325" s="171" t="s">
        <v>274</v>
      </c>
      <c r="P1325" t="s">
        <v>223</v>
      </c>
      <c r="Q1325" s="317" t="s">
        <v>389</v>
      </c>
      <c r="R1325" s="318" t="s">
        <v>1029</v>
      </c>
      <c r="S1325" s="154" t="s">
        <v>1326</v>
      </c>
      <c r="T1325" s="319" t="s">
        <v>1327</v>
      </c>
      <c r="U1325" s="143" t="s">
        <v>1375</v>
      </c>
      <c r="V1325" s="253">
        <v>0</v>
      </c>
      <c r="W1325" s="253">
        <v>0</v>
      </c>
      <c r="X1325">
        <v>0</v>
      </c>
      <c r="Y1325">
        <v>0</v>
      </c>
      <c r="Z1325">
        <v>0</v>
      </c>
      <c r="AA1325">
        <v>0</v>
      </c>
      <c r="AB1325">
        <v>0</v>
      </c>
      <c r="AC1325">
        <v>0</v>
      </c>
      <c r="AD1325">
        <v>0</v>
      </c>
      <c r="AE1325">
        <v>0</v>
      </c>
      <c r="AF1325">
        <v>0</v>
      </c>
      <c r="AG1325">
        <v>1</v>
      </c>
      <c r="AH1325">
        <v>0</v>
      </c>
      <c r="AI1325">
        <v>0</v>
      </c>
      <c r="AJ1325">
        <v>0</v>
      </c>
      <c r="AK1325">
        <v>0</v>
      </c>
      <c r="AL1325">
        <v>0</v>
      </c>
      <c r="AM1325">
        <v>1</v>
      </c>
      <c r="AN1325">
        <v>0</v>
      </c>
      <c r="AO1325">
        <v>0</v>
      </c>
      <c r="AP1325">
        <v>0</v>
      </c>
      <c r="AQ1325">
        <v>0</v>
      </c>
      <c r="AR1325">
        <v>0</v>
      </c>
      <c r="AS1325">
        <v>0</v>
      </c>
      <c r="AT1325">
        <v>0</v>
      </c>
      <c r="AU1325">
        <v>0</v>
      </c>
      <c r="AV1325">
        <v>0</v>
      </c>
      <c r="AW1325">
        <v>0</v>
      </c>
      <c r="AX1325">
        <v>0</v>
      </c>
      <c r="AY1325">
        <v>0</v>
      </c>
      <c r="AZ1325" s="141">
        <f>COUNTIF(X1325:AY1325,"&lt;&gt;0")</f>
        <v>2</v>
      </c>
      <c r="BA1325" s="141">
        <f>COUNTIF(X1325:AN1325,"&lt;&gt;0")</f>
        <v>2</v>
      </c>
      <c r="BB1325">
        <f>COUNTIF(X1325:AE1325,"&lt;&gt;0")</f>
        <v>0</v>
      </c>
      <c r="BC1325">
        <f>COUNTIF(AF1325:AK1325,"&lt;&gt;0")</f>
        <v>1</v>
      </c>
      <c r="BD1325">
        <f>COUNTIF(AL1325:AN1325,"&lt;&gt;0")</f>
        <v>1</v>
      </c>
      <c r="BE1325">
        <f>COUNTIF(AU1325:AY1325,"&lt;&gt;0")</f>
        <v>0</v>
      </c>
      <c r="BF1325">
        <f>COUNTIF(AO1325:AT1325,"&lt;&gt;0")</f>
        <v>0</v>
      </c>
      <c r="BG1325" t="str" cm="1">
        <f t="array" ref="BG1325">IF(BA1325=1,INDEX($X$7:$AN$7,MATCH(TRUE,INDEX($X1325:$AY1325&lt;&gt;0,),0)),IF(BA1325=0,INDEX($AO$7:$AY$7,MATCH(1,$AO1325:$AY1325,0)),IF(BH1325="Multiple strategies","mixed drivers",IF(BH1325="Supply chain","multiple supply","multiple silviculture"))))</f>
        <v>mixed drivers</v>
      </c>
      <c r="BH1325" s="2" t="str" cm="1">
        <f t="array" ref="BH1325">IF(COUNTIF(BB1325:BD1325,"&lt;&gt;0")=1,INDEX($X$4:$AY$4,MATCH(TRUE,INDEX($X1325:$AY1325&lt;&gt;0,),0)),IF(COUNTIF(BB1325:BD1325,"&lt;&gt;0")=0,INDEX($AO$4:$AY$4,MATCH(1,$AO1325:$AY1325,0)),"Multiple strategies"))</f>
        <v>Multiple strategies</v>
      </c>
      <c r="BI1325" s="142" t="s">
        <v>321</v>
      </c>
      <c r="BJ1325" s="160" t="s">
        <v>1329</v>
      </c>
      <c r="BK1325" s="160" t="s">
        <v>1330</v>
      </c>
      <c r="BL1325" s="143" t="s">
        <v>498</v>
      </c>
      <c r="BM1325" s="143">
        <v>944</v>
      </c>
      <c r="BN1325" s="143">
        <v>170044</v>
      </c>
      <c r="BO1325">
        <f>IFERROR(BN1326/BM1325,"")</f>
        <v>143.7415254237288</v>
      </c>
      <c r="BP1325">
        <f>BN1325-BM1325</f>
        <v>169100</v>
      </c>
      <c r="BQ1325" s="159">
        <f>BP1325</f>
        <v>169100</v>
      </c>
      <c r="BR1325" s="155" t="s">
        <v>232</v>
      </c>
      <c r="BS1325" s="155" t="s">
        <v>1331</v>
      </c>
      <c r="BT1325" s="155" t="s">
        <v>805</v>
      </c>
      <c r="BU1325" s="143" t="s">
        <v>1332</v>
      </c>
      <c r="BV1325" t="s">
        <v>1376</v>
      </c>
      <c r="BW1325" s="144">
        <f>BV1325/BU1325</f>
        <v>29.643443083799468</v>
      </c>
      <c r="BX1325">
        <f>BV1325-BU1325</f>
        <v>-201.02304916666702</v>
      </c>
      <c r="BZ1325">
        <f>BX1325</f>
        <v>-201.02304916666702</v>
      </c>
      <c r="CA1325">
        <f>IFERROR(BZ1325/BQ1325,"")</f>
        <v>-1.1887820766804673E-3</v>
      </c>
      <c r="CB1325">
        <v>0</v>
      </c>
      <c r="CC1325">
        <v>0</v>
      </c>
      <c r="CD1325">
        <v>0</v>
      </c>
      <c r="CE1325">
        <v>0</v>
      </c>
      <c r="CF1325">
        <v>0</v>
      </c>
      <c r="CG1325">
        <v>0</v>
      </c>
      <c r="CH1325">
        <v>0</v>
      </c>
      <c r="CI1325">
        <v>0</v>
      </c>
      <c r="CJ1325">
        <v>0</v>
      </c>
      <c r="CK1325">
        <v>0</v>
      </c>
      <c r="CL1325">
        <v>0</v>
      </c>
      <c r="CM1325">
        <v>0</v>
      </c>
      <c r="CN1325">
        <v>0</v>
      </c>
      <c r="CO1325">
        <v>0</v>
      </c>
      <c r="CP1325" t="str">
        <f>IF($BN1325&lt;$BM1325,"refNeedCorrection","refOK")</f>
        <v>refOK</v>
      </c>
      <c r="CQ1325">
        <f>IF($CP1325="refOK",$BM1325,$BN1325)</f>
        <v>944</v>
      </c>
      <c r="CR1325">
        <f>IF($CP1325="refOK",$BN1325,$BM1325)</f>
        <v>170044</v>
      </c>
      <c r="CS1325">
        <f>IF($CP1325="refOK",$BQ1325,-$BQ1325)</f>
        <v>169100</v>
      </c>
      <c r="CT1325">
        <f>IF(BI1325="Roundwood",$CS1325/2,$CS1325)</f>
        <v>84550</v>
      </c>
      <c r="CU1325">
        <f>IF($CP1325="refOK",$BU1325,$BV1325)*IF($BR1325="Emissions positive",-1,1)</f>
        <v>-7.0181174999999998</v>
      </c>
      <c r="CV1325">
        <f>IF($CP1325="refOK",$BV1325,$BU1325)*IF($BR1325="Emissions positive",-1,1)</f>
        <v>-208.04116666666701</v>
      </c>
      <c r="CW1325">
        <f>IF($CP1325="refNeedCorrection",-BZ1325,BZ1325)*IF($BR1325="Emissions positive",-1,1)</f>
        <v>-201.02304916666702</v>
      </c>
      <c r="CX1325">
        <f>IFERROR($CW1325/$CS1325,"")</f>
        <v>-1.1887820766804673E-3</v>
      </c>
      <c r="CY1325">
        <f>IFERROR($CW1325/$CS1325,"")</f>
        <v>-1.1887820766804673E-3</v>
      </c>
      <c r="CZ1325">
        <f>IFERROR($CW1325/$CT1325,"")</f>
        <v>-2.3775641533609346E-3</v>
      </c>
      <c r="DA1325" s="2">
        <f>IFERROR((CV1325-CU1325)/ABS(CU1325),"")</f>
        <v>-28.643443083799472</v>
      </c>
      <c r="DB1325" s="320" t="s">
        <v>1334</v>
      </c>
      <c r="DC1325" s="317" t="str">
        <f>IF(OR($DB1325="prd",$DB1325="std",$DB1325="cit"),"loc",IF(OR($DB1325="eur",$DB1325="reg",$DB1325="coy"),"reg",$DB1325))</f>
        <v>reg</v>
      </c>
      <c r="DD1325" s="321" t="s">
        <v>729</v>
      </c>
      <c r="DF1325" s="143"/>
      <c r="DG1325" s="143">
        <v>0</v>
      </c>
      <c r="DH1325" t="str">
        <f>IF(DG1325=0,"0",IF(AND(DG1325&gt;=1,DG1325&lt;=30),"1-30",IF(AND(DG1325&gt;30,DG1325&lt;=70),"31-70",IF(AND(DG1325&gt;70,DG1325&lt;=100),"71-100",IF(DG1325&gt;100,"+100")))))</f>
        <v>0</v>
      </c>
      <c r="DI1325">
        <v>0</v>
      </c>
      <c r="DJ1325">
        <v>1</v>
      </c>
      <c r="DK1325">
        <v>0</v>
      </c>
      <c r="DL1325">
        <v>0</v>
      </c>
      <c r="DM1325">
        <v>0</v>
      </c>
      <c r="DN1325">
        <f>SUM(DI1325:DM1325)</f>
        <v>1</v>
      </c>
      <c r="DO1325" t="str">
        <f>IF(DN1325=1,INDEX($DI$7:$DL$7,MATCH(1,$DI1325:$DL1325,0)),"mixedProduct")</f>
        <v>EnergyInput</v>
      </c>
      <c r="DP1325">
        <f>IF(DI1325=1,DP$7,0)</f>
        <v>0</v>
      </c>
      <c r="DQ1325" t="str">
        <f>IF(DJ1325=1,DQ$7,0)</f>
        <v>Energy</v>
      </c>
      <c r="DR1325">
        <f>IF(DK1325=1,DR$7,0)</f>
        <v>0</v>
      </c>
      <c r="DS1325">
        <f>IF(DL1325=1,DS$7,0)</f>
        <v>0</v>
      </c>
      <c r="DT1325">
        <v>0</v>
      </c>
      <c r="DU1325" s="143">
        <v>0</v>
      </c>
      <c r="DV1325" s="143">
        <v>0</v>
      </c>
      <c r="DW1325">
        <v>0</v>
      </c>
      <c r="DX1325" s="143">
        <v>0</v>
      </c>
      <c r="DY1325">
        <f>SUM(DT1325:DU1325)</f>
        <v>0</v>
      </c>
      <c r="DZ1325" s="143" t="str">
        <f>IF(DT1325=1,"self-calculated DF",IF(DU1325=1,"external DF used","explicit C balance"))</f>
        <v>explicit C balance</v>
      </c>
      <c r="EA1325" s="143">
        <v>0</v>
      </c>
      <c r="EB1325" s="143">
        <v>0</v>
      </c>
      <c r="EC1325" s="143">
        <v>0</v>
      </c>
      <c r="ED1325" s="143">
        <v>0</v>
      </c>
      <c r="EE1325">
        <v>0</v>
      </c>
      <c r="EF1325" s="143">
        <v>0</v>
      </c>
      <c r="EG1325" s="143">
        <v>1</v>
      </c>
      <c r="EH1325" s="143">
        <v>1</v>
      </c>
      <c r="EI1325" s="143">
        <v>0</v>
      </c>
      <c r="EJ1325">
        <v>1</v>
      </c>
      <c r="EK1325">
        <v>0</v>
      </c>
      <c r="EL1325" s="143">
        <v>0</v>
      </c>
      <c r="EM1325" s="143">
        <v>0</v>
      </c>
      <c r="EN1325" s="2">
        <v>0</v>
      </c>
      <c r="EP1325" t="str">
        <f>IF(AND(AND(AND(OR($EC1325=1,$EB1325=1),OR($EH1325=1,$EF1325=1)),SUM($EA1325:$EE1325,$EK1325)&gt;=3),SUM($EF1325:$EJ1325)&gt;=2),"Whole sector approach","")</f>
        <v/>
      </c>
      <c r="EQ1325" t="str">
        <f>IF(AND(AND(OR($EC1325=1,$EB1325=1),AND($EH1325=0,$EF1325=0)),SUM($EA1325:$EE1325,$EK1325)&gt;=3),"Ecosystem approach","")</f>
        <v/>
      </c>
      <c r="ER1325" s="2" t="str">
        <f>IF(AND(AND(AND($EC1325=0,$EB1325=0),OR($EH1325=1,$EF1325=1)),SUM($EG1325:$EJ1325)&gt;=2),"Technology approach","")</f>
        <v>Technology approach</v>
      </c>
      <c r="ES1325" t="str">
        <f>IF(AND($EC1325+$EB1325+$EE1325+$EA1325+$ED1325+$EG1325=0,$N1325="included"),"C neutral forest and HWP assumption","")</f>
        <v/>
      </c>
      <c r="ET1325" t="str">
        <f>IF(AND(AND(AND(AND($EC1325=1,$EB1325+$EA1325+$EG1325&gt;=1),$EF1325=1),$EH1325+$EI1325+$ED1325+$EE1325&gt;=2),$N1325="included"),"All C pools assumption","")</f>
        <v/>
      </c>
      <c r="EU1325" t="str">
        <f>IF(AND($ED1325+$EE1325+$EI1325+$EH1325+$EF1325=0,$N1325="included"),"In-situ only assumption","")</f>
        <v/>
      </c>
      <c r="EY1325" t="str">
        <f>IF(ISNUMBER(BW1325),IF(ABS(BW1325-[4]QC_indicators!$B$2)&gt;3*[4]QC_indicators!$C$2,"C ratio",IF(ISNUMBER(CA1325),IF(ABS(CA1325-[4]QC_indicators!$B$1)&gt;3*[4]QC_indicators!$C$1,"DF","no"))),IF(ISNUMBER(CA1325),IF(ABS(CA1325-[4]QC_indicators!$B$1)&gt;3*[4]QC_indicators!$C$1,"DF","no")))</f>
        <v>C ratio</v>
      </c>
      <c r="FA1325" t="str">
        <f>IF(LEN($CY1325)=0,"",IF(AND($CY1325&lt;(-0.05),$ES1325="C neutral forest and HWP assumption"),"Cneutral paradox",IF(AND($CY1325&gt;0.05,$EU1325="In-situ only assumption"),"In-situ only paradox","")))</f>
        <v/>
      </c>
      <c r="FB1325" s="149"/>
    </row>
    <row r="1326" spans="1:158" ht="15" hidden="1" customHeight="1">
      <c r="A1326" s="1" t="s">
        <v>574</v>
      </c>
      <c r="B1326" t="s">
        <v>1320</v>
      </c>
      <c r="C1326" t="s">
        <v>1321</v>
      </c>
      <c r="D1326" t="s">
        <v>1322</v>
      </c>
      <c r="E1326" t="s">
        <v>1323</v>
      </c>
      <c r="F1326" t="s">
        <v>1324</v>
      </c>
      <c r="G1326" t="s">
        <v>580</v>
      </c>
      <c r="H1326" t="s">
        <v>254</v>
      </c>
      <c r="I1326">
        <v>2020</v>
      </c>
      <c r="J1326">
        <v>12</v>
      </c>
      <c r="K1326" t="s">
        <v>1325</v>
      </c>
      <c r="M1326" t="str">
        <f>LEFT($D1326,FIND(",",$D1326)-1)&amp;"_"&amp;I1326&amp;L1326</f>
        <v>Elisa_2020</v>
      </c>
      <c r="N1326" s="317" t="s">
        <v>222</v>
      </c>
      <c r="O1326" s="171" t="s">
        <v>274</v>
      </c>
      <c r="P1326" t="s">
        <v>223</v>
      </c>
      <c r="Q1326" s="317" t="s">
        <v>389</v>
      </c>
      <c r="R1326" s="318" t="s">
        <v>1029</v>
      </c>
      <c r="S1326" s="154" t="s">
        <v>1326</v>
      </c>
      <c r="T1326" s="319" t="s">
        <v>1327</v>
      </c>
      <c r="U1326" s="143" t="s">
        <v>1372</v>
      </c>
      <c r="V1326" s="253">
        <v>0</v>
      </c>
      <c r="W1326" s="253">
        <v>0</v>
      </c>
      <c r="X1326">
        <v>0</v>
      </c>
      <c r="Y1326">
        <v>0</v>
      </c>
      <c r="Z1326">
        <v>0</v>
      </c>
      <c r="AA1326">
        <v>0</v>
      </c>
      <c r="AB1326">
        <v>0</v>
      </c>
      <c r="AC1326">
        <v>0</v>
      </c>
      <c r="AD1326">
        <v>0</v>
      </c>
      <c r="AE1326">
        <v>0</v>
      </c>
      <c r="AF1326">
        <v>0</v>
      </c>
      <c r="AG1326">
        <v>1</v>
      </c>
      <c r="AH1326">
        <v>0</v>
      </c>
      <c r="AI1326">
        <v>0</v>
      </c>
      <c r="AJ1326">
        <v>0</v>
      </c>
      <c r="AK1326">
        <v>0</v>
      </c>
      <c r="AL1326">
        <v>0</v>
      </c>
      <c r="AM1326">
        <v>1</v>
      </c>
      <c r="AN1326">
        <v>0</v>
      </c>
      <c r="AO1326">
        <v>0</v>
      </c>
      <c r="AP1326">
        <v>0</v>
      </c>
      <c r="AQ1326">
        <v>0</v>
      </c>
      <c r="AR1326">
        <v>0</v>
      </c>
      <c r="AS1326">
        <v>0</v>
      </c>
      <c r="AT1326">
        <v>0</v>
      </c>
      <c r="AU1326">
        <v>0</v>
      </c>
      <c r="AV1326">
        <v>0</v>
      </c>
      <c r="AW1326">
        <v>0</v>
      </c>
      <c r="AX1326">
        <v>0</v>
      </c>
      <c r="AY1326">
        <v>0</v>
      </c>
      <c r="AZ1326" s="141">
        <f>COUNTIF(X1326:AY1326,"&lt;&gt;0")</f>
        <v>2</v>
      </c>
      <c r="BA1326" s="141">
        <f>COUNTIF(X1326:AN1326,"&lt;&gt;0")</f>
        <v>2</v>
      </c>
      <c r="BB1326">
        <f>COUNTIF(X1326:AE1326,"&lt;&gt;0")</f>
        <v>0</v>
      </c>
      <c r="BC1326">
        <f>COUNTIF(AF1326:AK1326,"&lt;&gt;0")</f>
        <v>1</v>
      </c>
      <c r="BD1326">
        <f>COUNTIF(AL1326:AN1326,"&lt;&gt;0")</f>
        <v>1</v>
      </c>
      <c r="BE1326">
        <f>COUNTIF(AU1326:AY1326,"&lt;&gt;0")</f>
        <v>0</v>
      </c>
      <c r="BF1326">
        <f>COUNTIF(AO1326:AT1326,"&lt;&gt;0")</f>
        <v>0</v>
      </c>
      <c r="BG1326" t="str" cm="1">
        <f t="array" ref="BG1326">IF(BA1326=1,INDEX($X$7:$AN$7,MATCH(TRUE,INDEX($X1326:$AY1326&lt;&gt;0,),0)),IF(BA1326=0,INDEX($AO$7:$AY$7,MATCH(1,$AO1326:$AY1326,0)),IF(BH1326="Multiple strategies","mixed drivers",IF(BH1326="Supply chain","multiple supply","multiple silviculture"))))</f>
        <v>mixed drivers</v>
      </c>
      <c r="BH1326" s="2" t="str" cm="1">
        <f t="array" ref="BH1326">IF(COUNTIF(BB1326:BD1326,"&lt;&gt;0")=1,INDEX($X$4:$AY$4,MATCH(TRUE,INDEX($X1326:$AY1326&lt;&gt;0,),0)),IF(COUNTIF(BB1326:BD1326,"&lt;&gt;0")=0,INDEX($AO$4:$AY$4,MATCH(1,$AO1326:$AY1326,0)),"Multiple strategies"))</f>
        <v>Multiple strategies</v>
      </c>
      <c r="BI1326" s="142" t="s">
        <v>321</v>
      </c>
      <c r="BJ1326" s="160" t="s">
        <v>1329</v>
      </c>
      <c r="BK1326" s="160" t="s">
        <v>1330</v>
      </c>
      <c r="BL1326" s="143" t="s">
        <v>498</v>
      </c>
      <c r="BM1326" s="143">
        <v>944</v>
      </c>
      <c r="BN1326" s="143">
        <v>135692</v>
      </c>
      <c r="BO1326">
        <f>IFERROR(BN1326/BM1326,"")</f>
        <v>143.7415254237288</v>
      </c>
      <c r="BP1326">
        <f>BN1326-BM1326</f>
        <v>134748</v>
      </c>
      <c r="BQ1326" s="159">
        <f>BP1326</f>
        <v>134748</v>
      </c>
      <c r="BR1326" s="155" t="s">
        <v>232</v>
      </c>
      <c r="BS1326" s="155" t="s">
        <v>1331</v>
      </c>
      <c r="BT1326" s="155" t="s">
        <v>805</v>
      </c>
      <c r="BU1326" s="143" t="s">
        <v>1332</v>
      </c>
      <c r="BV1326" t="s">
        <v>1373</v>
      </c>
      <c r="BW1326" s="144">
        <f>BV1326/BU1326</f>
        <v>62.280946421885929</v>
      </c>
      <c r="BX1326">
        <f>BV1326-BU1326</f>
        <v>-430.07688250000001</v>
      </c>
      <c r="BZ1326">
        <f>BX1326</f>
        <v>-430.07688250000001</v>
      </c>
      <c r="CA1326">
        <f>IFERROR(BZ1326/BQ1326,"")</f>
        <v>-3.1917125486092559E-3</v>
      </c>
      <c r="CB1326">
        <v>0</v>
      </c>
      <c r="CC1326">
        <v>0</v>
      </c>
      <c r="CD1326">
        <v>0</v>
      </c>
      <c r="CE1326">
        <v>0</v>
      </c>
      <c r="CF1326">
        <v>0</v>
      </c>
      <c r="CG1326">
        <v>0</v>
      </c>
      <c r="CH1326">
        <v>0</v>
      </c>
      <c r="CI1326">
        <v>0</v>
      </c>
      <c r="CJ1326">
        <v>0</v>
      </c>
      <c r="CK1326">
        <v>0</v>
      </c>
      <c r="CL1326">
        <v>0</v>
      </c>
      <c r="CM1326">
        <v>0</v>
      </c>
      <c r="CN1326">
        <v>0</v>
      </c>
      <c r="CO1326">
        <v>0</v>
      </c>
      <c r="CP1326" t="str">
        <f>IF($BN1326&lt;$BM1326,"refNeedCorrection","refOK")</f>
        <v>refOK</v>
      </c>
      <c r="CQ1326">
        <f>IF($CP1326="refOK",$BM1326,$BN1326)</f>
        <v>944</v>
      </c>
      <c r="CR1326">
        <f>IF($CP1326="refOK",$BN1326,$BM1326)</f>
        <v>135692</v>
      </c>
      <c r="CS1326">
        <f>IF($CP1326="refOK",$BQ1326,-$BQ1326)</f>
        <v>134748</v>
      </c>
      <c r="CT1326">
        <f>IF(BI1326="Roundwood",$CS1326/2,$CS1326)</f>
        <v>67374</v>
      </c>
      <c r="CU1326">
        <f>IF($CP1326="refOK",$BU1326,$BV1326)*IF($BR1326="Emissions positive",-1,1)</f>
        <v>-7.0181174999999998</v>
      </c>
      <c r="CV1326">
        <f>IF($CP1326="refOK",$BV1326,$BU1326)*IF($BR1326="Emissions positive",-1,1)</f>
        <v>-437.09500000000003</v>
      </c>
      <c r="CW1326">
        <f>IF($CP1326="refNeedCorrection",-BZ1326,BZ1326)*IF($BR1326="Emissions positive",-1,1)</f>
        <v>-430.07688250000001</v>
      </c>
      <c r="CX1326">
        <f>IFERROR($CW1326/$CS1326,"")</f>
        <v>-3.1917125486092559E-3</v>
      </c>
      <c r="CY1326">
        <f>IFERROR($CW1326/$CS1326,"")</f>
        <v>-3.1917125486092559E-3</v>
      </c>
      <c r="CZ1326">
        <f>IFERROR($CW1326/$CT1326,"")</f>
        <v>-6.3834250972185117E-3</v>
      </c>
      <c r="DA1326" s="2">
        <f>IFERROR((CV1326-CU1326)/ABS(CU1326),"")</f>
        <v>-61.280946421885929</v>
      </c>
      <c r="DB1326" s="320" t="s">
        <v>1334</v>
      </c>
      <c r="DC1326" s="317" t="str">
        <f>IF(OR($DB1326="prd",$DB1326="std",$DB1326="cit"),"loc",IF(OR($DB1326="eur",$DB1326="reg",$DB1326="coy"),"reg",$DB1326))</f>
        <v>reg</v>
      </c>
      <c r="DD1326" s="321" t="s">
        <v>729</v>
      </c>
      <c r="DF1326" s="143"/>
      <c r="DG1326" s="143">
        <v>0</v>
      </c>
      <c r="DH1326" t="str">
        <f>IF(DG1326=0,"0",IF(AND(DG1326&gt;=1,DG1326&lt;=30),"1-30",IF(AND(DG1326&gt;30,DG1326&lt;=70),"31-70",IF(AND(DG1326&gt;70,DG1326&lt;=100),"71-100",IF(DG1326&gt;100,"+100")))))</f>
        <v>0</v>
      </c>
      <c r="DI1326">
        <v>0</v>
      </c>
      <c r="DJ1326">
        <v>1</v>
      </c>
      <c r="DK1326">
        <v>0</v>
      </c>
      <c r="DL1326">
        <v>0</v>
      </c>
      <c r="DM1326">
        <v>0</v>
      </c>
      <c r="DN1326">
        <f>SUM(DI1326:DM1326)</f>
        <v>1</v>
      </c>
      <c r="DO1326" t="str">
        <f>IF(DN1326=1,INDEX($DI$7:$DL$7,MATCH(1,$DI1326:$DL1326,0)),"mixedProduct")</f>
        <v>EnergyInput</v>
      </c>
      <c r="DP1326">
        <f>IF(DI1326=1,DP$7,0)</f>
        <v>0</v>
      </c>
      <c r="DQ1326" t="str">
        <f>IF(DJ1326=1,DQ$7,0)</f>
        <v>Energy</v>
      </c>
      <c r="DR1326">
        <f>IF(DK1326=1,DR$7,0)</f>
        <v>0</v>
      </c>
      <c r="DS1326">
        <f>IF(DL1326=1,DS$7,0)</f>
        <v>0</v>
      </c>
      <c r="DT1326">
        <v>0</v>
      </c>
      <c r="DU1326" s="143">
        <v>0</v>
      </c>
      <c r="DV1326" s="143">
        <v>0</v>
      </c>
      <c r="DW1326">
        <v>0</v>
      </c>
      <c r="DX1326" s="143">
        <v>0</v>
      </c>
      <c r="DY1326">
        <f>SUM(DT1326:DU1326)</f>
        <v>0</v>
      </c>
      <c r="DZ1326" s="143" t="str">
        <f>IF(DT1326=1,"self-calculated DF",IF(DU1326=1,"external DF used","explicit C balance"))</f>
        <v>explicit C balance</v>
      </c>
      <c r="EA1326" s="143">
        <v>0</v>
      </c>
      <c r="EB1326" s="143">
        <v>0</v>
      </c>
      <c r="EC1326" s="143">
        <v>0</v>
      </c>
      <c r="ED1326" s="143">
        <v>0</v>
      </c>
      <c r="EE1326">
        <v>0</v>
      </c>
      <c r="EF1326" s="143">
        <v>0</v>
      </c>
      <c r="EG1326" s="143">
        <v>1</v>
      </c>
      <c r="EH1326" s="143">
        <v>1</v>
      </c>
      <c r="EI1326" s="143">
        <v>0</v>
      </c>
      <c r="EJ1326">
        <v>1</v>
      </c>
      <c r="EK1326">
        <v>0</v>
      </c>
      <c r="EL1326" s="143">
        <v>0</v>
      </c>
      <c r="EM1326" s="143">
        <v>0</v>
      </c>
      <c r="EN1326" s="2">
        <v>0</v>
      </c>
      <c r="EP1326" t="str">
        <f>IF(AND(AND(AND(OR($EC1326=1,$EB1326=1),OR($EH1326=1,$EF1326=1)),SUM($EA1326:$EE1326,$EK1326)&gt;=3),SUM($EF1326:$EJ1326)&gt;=2),"Whole sector approach","")</f>
        <v/>
      </c>
      <c r="EQ1326" t="str">
        <f>IF(AND(AND(OR($EC1326=1,$EB1326=1),AND($EH1326=0,$EF1326=0)),SUM($EA1326:$EE1326,$EK1326)&gt;=3),"Ecosystem approach","")</f>
        <v/>
      </c>
      <c r="ER1326" s="2" t="str">
        <f>IF(AND(AND(AND($EC1326=0,$EB1326=0),OR($EH1326=1,$EF1326=1)),SUM($EG1326:$EJ1326)&gt;=2),"Technology approach","")</f>
        <v>Technology approach</v>
      </c>
      <c r="ES1326" t="str">
        <f>IF(AND($EC1326+$EB1326+$EE1326+$EA1326+$ED1326+$EG1326=0,$N1326="included"),"C neutral forest and HWP assumption","")</f>
        <v/>
      </c>
      <c r="ET1326" t="str">
        <f>IF(AND(AND(AND(AND($EC1326=1,$EB1326+$EA1326+$EG1326&gt;=1),$EF1326=1),$EH1326+$EI1326+$ED1326+$EE1326&gt;=2),$N1326="included"),"All C pools assumption","")</f>
        <v/>
      </c>
      <c r="EU1326" t="str">
        <f>IF(AND($ED1326+$EE1326+$EI1326+$EH1326+$EF1326=0,$N1326="included"),"In-situ only assumption","")</f>
        <v/>
      </c>
      <c r="EY1326" t="str">
        <f>IF(ISNUMBER(BW1326),IF(ABS(BW1326-[4]QC_indicators!$B$2)&gt;3*[4]QC_indicators!$C$2,"C ratio",IF(ISNUMBER(CA1326),IF(ABS(CA1326-[4]QC_indicators!$B$1)&gt;3*[4]QC_indicators!$C$1,"DF","no"))),IF(ISNUMBER(CA1326),IF(ABS(CA1326-[4]QC_indicators!$B$1)&gt;3*[4]QC_indicators!$C$1,"DF","no")))</f>
        <v>C ratio</v>
      </c>
      <c r="FA1326" t="str">
        <f>IF(LEN($CY1326)=0,"",IF(AND($CY1326&lt;(-0.05),$ES1326="C neutral forest and HWP assumption"),"Cneutral paradox",IF(AND($CY1326&gt;0.05,$EU1326="In-situ only assumption"),"In-situ only paradox","")))</f>
        <v/>
      </c>
      <c r="FB1326" s="149"/>
    </row>
    <row r="1327" spans="1:158" ht="15" hidden="1" customHeight="1">
      <c r="A1327" s="1" t="s">
        <v>574</v>
      </c>
      <c r="B1327" t="s">
        <v>1320</v>
      </c>
      <c r="C1327" t="s">
        <v>1321</v>
      </c>
      <c r="D1327" t="s">
        <v>1322</v>
      </c>
      <c r="E1327" t="s">
        <v>1323</v>
      </c>
      <c r="F1327" t="s">
        <v>1324</v>
      </c>
      <c r="G1327" t="s">
        <v>580</v>
      </c>
      <c r="H1327" t="s">
        <v>254</v>
      </c>
      <c r="I1327">
        <v>2020</v>
      </c>
      <c r="J1327">
        <v>12</v>
      </c>
      <c r="K1327" t="s">
        <v>1325</v>
      </c>
      <c r="M1327" t="str">
        <f>LEFT($D1327,FIND(",",$D1327)-1)&amp;"_"&amp;I1327&amp;L1327</f>
        <v>Elisa_2020</v>
      </c>
      <c r="N1327" s="317" t="s">
        <v>222</v>
      </c>
      <c r="O1327" s="171" t="s">
        <v>274</v>
      </c>
      <c r="P1327" t="s">
        <v>223</v>
      </c>
      <c r="Q1327" s="317" t="s">
        <v>389</v>
      </c>
      <c r="R1327" s="318" t="s">
        <v>1029</v>
      </c>
      <c r="S1327" s="154" t="s">
        <v>1326</v>
      </c>
      <c r="T1327" s="319" t="s">
        <v>1327</v>
      </c>
      <c r="U1327" s="143" t="s">
        <v>1368</v>
      </c>
      <c r="V1327" s="253">
        <v>0</v>
      </c>
      <c r="W1327" s="253">
        <v>0</v>
      </c>
      <c r="X1327">
        <v>0</v>
      </c>
      <c r="Y1327">
        <v>0</v>
      </c>
      <c r="Z1327">
        <v>0</v>
      </c>
      <c r="AA1327">
        <v>0</v>
      </c>
      <c r="AB1327">
        <v>0</v>
      </c>
      <c r="AC1327">
        <v>0</v>
      </c>
      <c r="AD1327">
        <v>0</v>
      </c>
      <c r="AE1327">
        <v>0</v>
      </c>
      <c r="AF1327">
        <v>0</v>
      </c>
      <c r="AG1327">
        <v>1</v>
      </c>
      <c r="AH1327">
        <v>0</v>
      </c>
      <c r="AI1327">
        <v>0</v>
      </c>
      <c r="AJ1327">
        <v>0</v>
      </c>
      <c r="AK1327">
        <v>0</v>
      </c>
      <c r="AL1327">
        <v>0</v>
      </c>
      <c r="AM1327">
        <v>1</v>
      </c>
      <c r="AN1327">
        <v>0</v>
      </c>
      <c r="AO1327">
        <v>0</v>
      </c>
      <c r="AP1327">
        <v>0</v>
      </c>
      <c r="AQ1327">
        <v>0</v>
      </c>
      <c r="AR1327">
        <v>0</v>
      </c>
      <c r="AS1327">
        <v>0</v>
      </c>
      <c r="AT1327">
        <v>0</v>
      </c>
      <c r="AU1327">
        <v>0</v>
      </c>
      <c r="AV1327">
        <v>0</v>
      </c>
      <c r="AW1327">
        <v>0</v>
      </c>
      <c r="AX1327">
        <v>0</v>
      </c>
      <c r="AY1327">
        <v>0</v>
      </c>
      <c r="AZ1327" s="141">
        <f>COUNTIF(X1327:AY1327,"&lt;&gt;0")</f>
        <v>2</v>
      </c>
      <c r="BA1327" s="141">
        <f>COUNTIF(X1327:AN1327,"&lt;&gt;0")</f>
        <v>2</v>
      </c>
      <c r="BB1327">
        <f>COUNTIF(X1327:AE1327,"&lt;&gt;0")</f>
        <v>0</v>
      </c>
      <c r="BC1327">
        <f>COUNTIF(AF1327:AK1327,"&lt;&gt;0")</f>
        <v>1</v>
      </c>
      <c r="BD1327">
        <f>COUNTIF(AL1327:AN1327,"&lt;&gt;0")</f>
        <v>1</v>
      </c>
      <c r="BE1327">
        <f>COUNTIF(AU1327:AY1327,"&lt;&gt;0")</f>
        <v>0</v>
      </c>
      <c r="BF1327">
        <f>COUNTIF(AO1327:AT1327,"&lt;&gt;0")</f>
        <v>0</v>
      </c>
      <c r="BG1327" t="str" cm="1">
        <f t="array" ref="BG1327">IF(BA1327=1,INDEX($X$7:$AN$7,MATCH(TRUE,INDEX($X1327:$AY1327&lt;&gt;0,),0)),IF(BA1327=0,INDEX($AO$7:$AY$7,MATCH(1,$AO1327:$AY1327,0)),IF(BH1327="Multiple strategies","mixed drivers",IF(BH1327="Supply chain","multiple supply","multiple silviculture"))))</f>
        <v>mixed drivers</v>
      </c>
      <c r="BH1327" s="2" t="str" cm="1">
        <f t="array" ref="BH1327">IF(COUNTIF(BB1327:BD1327,"&lt;&gt;0")=1,INDEX($X$4:$AY$4,MATCH(TRUE,INDEX($X1327:$AY1327&lt;&gt;0,),0)),IF(COUNTIF(BB1327:BD1327,"&lt;&gt;0")=0,INDEX($AO$4:$AY$4,MATCH(1,$AO1327:$AY1327,0)),"Multiple strategies"))</f>
        <v>Multiple strategies</v>
      </c>
      <c r="BI1327" s="142" t="s">
        <v>321</v>
      </c>
      <c r="BJ1327" s="160" t="s">
        <v>1329</v>
      </c>
      <c r="BK1327" s="160" t="s">
        <v>1330</v>
      </c>
      <c r="BL1327" s="143" t="s">
        <v>498</v>
      </c>
      <c r="BM1327" s="143">
        <v>944</v>
      </c>
      <c r="BN1327" s="143">
        <v>4837</v>
      </c>
      <c r="BO1327">
        <f>IFERROR(BN1327/BM1327,"")</f>
        <v>5.1239406779661021</v>
      </c>
      <c r="BP1327">
        <f>BN1327-BM1327</f>
        <v>3893</v>
      </c>
      <c r="BQ1327" s="159">
        <f>BP1327</f>
        <v>3893</v>
      </c>
      <c r="BR1327" s="155" t="s">
        <v>232</v>
      </c>
      <c r="BS1327" s="155" t="s">
        <v>1331</v>
      </c>
      <c r="BT1327" s="155" t="s">
        <v>805</v>
      </c>
      <c r="BU1327" s="143" t="s">
        <v>1332</v>
      </c>
      <c r="BV1327" t="s">
        <v>1369</v>
      </c>
      <c r="BW1327" s="144">
        <f>BV1327/BU1327</f>
        <v>3.6923663361293109</v>
      </c>
      <c r="BX1327">
        <f>BV1327-BU1327</f>
        <v>-18.8953433</v>
      </c>
      <c r="BZ1327">
        <f>BX1327</f>
        <v>-18.8953433</v>
      </c>
      <c r="CA1327">
        <f>IFERROR(BZ1327/BQ1327,"")</f>
        <v>-4.8536715386591316E-3</v>
      </c>
      <c r="CB1327">
        <v>0</v>
      </c>
      <c r="CC1327">
        <v>0</v>
      </c>
      <c r="CD1327">
        <v>0</v>
      </c>
      <c r="CE1327">
        <v>0</v>
      </c>
      <c r="CF1327">
        <v>0</v>
      </c>
      <c r="CG1327">
        <v>0</v>
      </c>
      <c r="CH1327">
        <v>0</v>
      </c>
      <c r="CI1327">
        <v>0</v>
      </c>
      <c r="CJ1327">
        <v>0</v>
      </c>
      <c r="CK1327">
        <v>0</v>
      </c>
      <c r="CL1327">
        <v>0</v>
      </c>
      <c r="CM1327">
        <v>0</v>
      </c>
      <c r="CN1327">
        <v>0</v>
      </c>
      <c r="CO1327">
        <v>0</v>
      </c>
      <c r="CP1327" t="str">
        <f>IF($BN1327&lt;$BM1327,"refNeedCorrection","refOK")</f>
        <v>refOK</v>
      </c>
      <c r="CQ1327">
        <f>IF($CP1327="refOK",$BM1327,$BN1327)</f>
        <v>944</v>
      </c>
      <c r="CR1327">
        <f>IF($CP1327="refOK",$BN1327,$BM1327)</f>
        <v>4837</v>
      </c>
      <c r="CS1327">
        <f>IF($CP1327="refOK",$BQ1327,-$BQ1327)</f>
        <v>3893</v>
      </c>
      <c r="CT1327">
        <f>IF(BI1327="Roundwood",$CS1327/2,$CS1327)</f>
        <v>1946.5</v>
      </c>
      <c r="CU1327">
        <f>IF($CP1327="refOK",$BU1327,$BV1327)*IF($BR1327="Emissions positive",-1,1)</f>
        <v>-7.0181174999999998</v>
      </c>
      <c r="CV1327">
        <f>IF($CP1327="refOK",$BV1327,$BU1327)*IF($BR1327="Emissions positive",-1,1)</f>
        <v>-25.913460799999999</v>
      </c>
      <c r="CW1327">
        <f>IF($CP1327="refNeedCorrection",-BZ1327,BZ1327)*IF($BR1327="Emissions positive",-1,1)</f>
        <v>-18.8953433</v>
      </c>
      <c r="CX1327">
        <f>IFERROR($CW1327/$CS1327,"")</f>
        <v>-4.8536715386591316E-3</v>
      </c>
      <c r="CY1327">
        <f>IFERROR($CW1327/$CS1327,"")</f>
        <v>-4.8536715386591316E-3</v>
      </c>
      <c r="CZ1327">
        <f>IFERROR($CW1327/$CT1327,"")</f>
        <v>-9.7073430773182631E-3</v>
      </c>
      <c r="DA1327" s="2">
        <f>IFERROR((CV1327-CU1327)/ABS(CU1327),"")</f>
        <v>-2.6923663361293113</v>
      </c>
      <c r="DB1327" s="320" t="s">
        <v>1334</v>
      </c>
      <c r="DC1327" s="317" t="str">
        <f>IF(OR($DB1327="prd",$DB1327="std",$DB1327="cit"),"loc",IF(OR($DB1327="eur",$DB1327="reg",$DB1327="coy"),"reg",$DB1327))</f>
        <v>reg</v>
      </c>
      <c r="DD1327" s="321" t="s">
        <v>729</v>
      </c>
      <c r="DF1327" s="143"/>
      <c r="DG1327" s="143">
        <v>0</v>
      </c>
      <c r="DH1327" t="str">
        <f>IF(DG1327=0,"0",IF(AND(DG1327&gt;=1,DG1327&lt;=30),"1-30",IF(AND(DG1327&gt;30,DG1327&lt;=70),"31-70",IF(AND(DG1327&gt;70,DG1327&lt;=100),"71-100",IF(DG1327&gt;100,"+100")))))</f>
        <v>0</v>
      </c>
      <c r="DI1327">
        <v>0</v>
      </c>
      <c r="DJ1327">
        <v>1</v>
      </c>
      <c r="DK1327">
        <v>0</v>
      </c>
      <c r="DL1327">
        <v>0</v>
      </c>
      <c r="DM1327">
        <v>0</v>
      </c>
      <c r="DN1327">
        <f>SUM(DI1327:DM1327)</f>
        <v>1</v>
      </c>
      <c r="DO1327" t="str">
        <f>IF(DN1327=1,INDEX($DI$7:$DL$7,MATCH(1,$DI1327:$DL1327,0)),"mixedProduct")</f>
        <v>EnergyInput</v>
      </c>
      <c r="DP1327">
        <f>IF(DI1327=1,DP$7,0)</f>
        <v>0</v>
      </c>
      <c r="DQ1327" t="str">
        <f>IF(DJ1327=1,DQ$7,0)</f>
        <v>Energy</v>
      </c>
      <c r="DR1327">
        <f>IF(DK1327=1,DR$7,0)</f>
        <v>0</v>
      </c>
      <c r="DS1327">
        <f>IF(DL1327=1,DS$7,0)</f>
        <v>0</v>
      </c>
      <c r="DT1327">
        <v>0</v>
      </c>
      <c r="DU1327" s="143">
        <v>0</v>
      </c>
      <c r="DV1327" s="143">
        <v>0</v>
      </c>
      <c r="DW1327">
        <v>0</v>
      </c>
      <c r="DX1327" s="143">
        <v>0</v>
      </c>
      <c r="DY1327">
        <f>SUM(DT1327:DU1327)</f>
        <v>0</v>
      </c>
      <c r="DZ1327" s="143" t="str">
        <f>IF(DT1327=1,"self-calculated DF",IF(DU1327=1,"external DF used","explicit C balance"))</f>
        <v>explicit C balance</v>
      </c>
      <c r="EA1327" s="143">
        <v>0</v>
      </c>
      <c r="EB1327" s="143">
        <v>0</v>
      </c>
      <c r="EC1327" s="143">
        <v>0</v>
      </c>
      <c r="ED1327" s="143">
        <v>0</v>
      </c>
      <c r="EE1327">
        <v>0</v>
      </c>
      <c r="EF1327" s="143">
        <v>0</v>
      </c>
      <c r="EG1327" s="143">
        <v>1</v>
      </c>
      <c r="EH1327" s="143">
        <v>1</v>
      </c>
      <c r="EI1327" s="143">
        <v>0</v>
      </c>
      <c r="EJ1327">
        <v>1</v>
      </c>
      <c r="EK1327">
        <v>0</v>
      </c>
      <c r="EL1327" s="143">
        <v>0</v>
      </c>
      <c r="EM1327" s="143">
        <v>0</v>
      </c>
      <c r="EN1327" s="2">
        <v>0</v>
      </c>
      <c r="EP1327" t="str">
        <f>IF(AND(AND(AND(OR($EC1327=1,$EB1327=1),OR($EH1327=1,$EF1327=1)),SUM($EA1327:$EE1327,$EK1327)&gt;=3),SUM($EF1327:$EJ1327)&gt;=2),"Whole sector approach","")</f>
        <v/>
      </c>
      <c r="EQ1327" t="str">
        <f>IF(AND(AND(OR($EC1327=1,$EB1327=1),AND($EH1327=0,$EF1327=0)),SUM($EA1327:$EE1327,$EK1327)&gt;=3),"Ecosystem approach","")</f>
        <v/>
      </c>
      <c r="ER1327" s="2" t="str">
        <f>IF(AND(AND(AND($EC1327=0,$EB1327=0),OR($EH1327=1,$EF1327=1)),SUM($EG1327:$EJ1327)&gt;=2),"Technology approach","")</f>
        <v>Technology approach</v>
      </c>
      <c r="ES1327" t="str">
        <f>IF(AND($EC1327+$EB1327+$EE1327+$EA1327+$ED1327+$EG1327=0,$N1327="included"),"C neutral forest and HWP assumption","")</f>
        <v/>
      </c>
      <c r="ET1327" t="str">
        <f>IF(AND(AND(AND(AND($EC1327=1,$EB1327+$EA1327+$EG1327&gt;=1),$EF1327=1),$EH1327+$EI1327+$ED1327+$EE1327&gt;=2),$N1327="included"),"All C pools assumption","")</f>
        <v/>
      </c>
      <c r="EU1327" t="str">
        <f>IF(AND($ED1327+$EE1327+$EI1327+$EH1327+$EF1327=0,$N1327="included"),"In-situ only assumption","")</f>
        <v/>
      </c>
      <c r="EY1327" t="str">
        <f>IF(ISNUMBER(BW1327),IF(ABS(BW1327-[4]QC_indicators!$B$2)&gt;3*[4]QC_indicators!$C$2,"C ratio",IF(ISNUMBER(CA1327),IF(ABS(CA1327-[4]QC_indicators!$B$1)&gt;3*[4]QC_indicators!$C$1,"DF","no"))),IF(ISNUMBER(CA1327),IF(ABS(CA1327-[4]QC_indicators!$B$1)&gt;3*[4]QC_indicators!$C$1,"DF","no")))</f>
        <v>no</v>
      </c>
      <c r="FA1327" t="str">
        <f>IF(LEN($CY1327)=0,"",IF(AND($CY1327&lt;(-0.05),$ES1327="C neutral forest and HWP assumption"),"Cneutral paradox",IF(AND($CY1327&gt;0.05,$EU1327="In-situ only assumption"),"In-situ only paradox","")))</f>
        <v/>
      </c>
      <c r="FB1327" s="149"/>
    </row>
    <row r="1328" spans="1:158" hidden="1">
      <c r="A1328" s="1" t="s">
        <v>574</v>
      </c>
      <c r="B1328" t="s">
        <v>1320</v>
      </c>
      <c r="C1328" t="s">
        <v>1321</v>
      </c>
      <c r="D1328" t="s">
        <v>1322</v>
      </c>
      <c r="E1328" t="s">
        <v>1323</v>
      </c>
      <c r="F1328" t="s">
        <v>1324</v>
      </c>
      <c r="G1328" t="s">
        <v>580</v>
      </c>
      <c r="H1328" t="s">
        <v>254</v>
      </c>
      <c r="I1328">
        <v>2020</v>
      </c>
      <c r="J1328">
        <v>12</v>
      </c>
      <c r="K1328" t="s">
        <v>1325</v>
      </c>
      <c r="M1328" t="str">
        <f>LEFT($D1328,FIND(",",$D1328)-1)&amp;"_"&amp;I1328&amp;L1328</f>
        <v>Elisa_2020</v>
      </c>
      <c r="N1328" s="317" t="s">
        <v>222</v>
      </c>
      <c r="O1328" s="171" t="s">
        <v>274</v>
      </c>
      <c r="P1328" t="s">
        <v>223</v>
      </c>
      <c r="Q1328" s="317" t="s">
        <v>389</v>
      </c>
      <c r="R1328" s="318" t="s">
        <v>1029</v>
      </c>
      <c r="S1328" s="154" t="s">
        <v>1326</v>
      </c>
      <c r="T1328" s="319" t="s">
        <v>1327</v>
      </c>
      <c r="U1328" s="143" t="s">
        <v>1366</v>
      </c>
      <c r="V1328" s="253">
        <v>0</v>
      </c>
      <c r="W1328" s="253">
        <v>0</v>
      </c>
      <c r="X1328">
        <v>0</v>
      </c>
      <c r="Y1328">
        <v>0</v>
      </c>
      <c r="Z1328">
        <v>0</v>
      </c>
      <c r="AA1328">
        <v>0</v>
      </c>
      <c r="AB1328">
        <v>0</v>
      </c>
      <c r="AC1328">
        <v>0</v>
      </c>
      <c r="AD1328">
        <v>0</v>
      </c>
      <c r="AE1328">
        <v>0</v>
      </c>
      <c r="AF1328">
        <v>0</v>
      </c>
      <c r="AG1328">
        <v>1</v>
      </c>
      <c r="AH1328">
        <v>0</v>
      </c>
      <c r="AI1328">
        <v>0</v>
      </c>
      <c r="AJ1328">
        <v>0</v>
      </c>
      <c r="AK1328">
        <v>0</v>
      </c>
      <c r="AL1328">
        <v>0</v>
      </c>
      <c r="AM1328">
        <v>1</v>
      </c>
      <c r="AN1328">
        <v>0</v>
      </c>
      <c r="AO1328">
        <v>0</v>
      </c>
      <c r="AP1328">
        <v>0</v>
      </c>
      <c r="AQ1328">
        <v>0</v>
      </c>
      <c r="AR1328">
        <v>0</v>
      </c>
      <c r="AS1328">
        <v>0</v>
      </c>
      <c r="AT1328">
        <v>0</v>
      </c>
      <c r="AU1328">
        <v>0</v>
      </c>
      <c r="AV1328">
        <v>0</v>
      </c>
      <c r="AW1328">
        <v>0</v>
      </c>
      <c r="AX1328">
        <v>0</v>
      </c>
      <c r="AY1328">
        <v>0</v>
      </c>
      <c r="AZ1328" s="141">
        <f>COUNTIF(X1328:AY1328,"&lt;&gt;0")</f>
        <v>2</v>
      </c>
      <c r="BA1328" s="141">
        <f>COUNTIF(X1328:AN1328,"&lt;&gt;0")</f>
        <v>2</v>
      </c>
      <c r="BB1328">
        <f>COUNTIF(X1328:AE1328,"&lt;&gt;0")</f>
        <v>0</v>
      </c>
      <c r="BC1328">
        <f>COUNTIF(AF1328:AK1328,"&lt;&gt;0")</f>
        <v>1</v>
      </c>
      <c r="BD1328">
        <f>COUNTIF(AL1328:AN1328,"&lt;&gt;0")</f>
        <v>1</v>
      </c>
      <c r="BE1328">
        <f>COUNTIF(AU1328:AY1328,"&lt;&gt;0")</f>
        <v>0</v>
      </c>
      <c r="BF1328">
        <f>COUNTIF(AO1328:AT1328,"&lt;&gt;0")</f>
        <v>0</v>
      </c>
      <c r="BG1328" t="str" cm="1">
        <f t="array" ref="BG1328">IF(BA1328=1,INDEX($X$7:$AN$7,MATCH(TRUE,INDEX($X1328:$AY1328&lt;&gt;0,),0)),IF(BA1328=0,INDEX($AO$7:$AY$7,MATCH(1,$AO1328:$AY1328,0)),IF(BH1328="Multiple strategies","mixed drivers",IF(BH1328="Supply chain","multiple supply","multiple silviculture"))))</f>
        <v>mixed drivers</v>
      </c>
      <c r="BH1328" s="2" t="str" cm="1">
        <f t="array" ref="BH1328">IF(COUNTIF(BB1328:BD1328,"&lt;&gt;0")=1,INDEX($X$4:$AY$4,MATCH(TRUE,INDEX($X1328:$AY1328&lt;&gt;0,),0)),IF(COUNTIF(BB1328:BD1328,"&lt;&gt;0")=0,INDEX($AO$4:$AY$4,MATCH(1,$AO1328:$AY1328,0)),"Multiple strategies"))</f>
        <v>Multiple strategies</v>
      </c>
      <c r="BI1328" s="142" t="s">
        <v>321</v>
      </c>
      <c r="BJ1328" s="160" t="s">
        <v>1329</v>
      </c>
      <c r="BK1328" s="160" t="s">
        <v>1330</v>
      </c>
      <c r="BL1328" s="143" t="s">
        <v>498</v>
      </c>
      <c r="BM1328" s="143">
        <v>944</v>
      </c>
      <c r="BN1328" s="143">
        <v>20000</v>
      </c>
      <c r="BO1328">
        <f>IFERROR(BN1328/BM1328,"")</f>
        <v>21.1864406779661</v>
      </c>
      <c r="BP1328">
        <f>BN1328-BM1328</f>
        <v>19056</v>
      </c>
      <c r="BQ1328" s="159">
        <f>BP1328</f>
        <v>19056</v>
      </c>
      <c r="BR1328" s="155" t="s">
        <v>232</v>
      </c>
      <c r="BS1328" s="155" t="s">
        <v>1331</v>
      </c>
      <c r="BT1328" s="155" t="s">
        <v>805</v>
      </c>
      <c r="BU1328" s="143" t="s">
        <v>1332</v>
      </c>
      <c r="BV1328" t="s">
        <v>1367</v>
      </c>
      <c r="BW1328" s="144">
        <f>BV1328/BU1328</f>
        <v>14.458917698846307</v>
      </c>
      <c r="BX1328">
        <f>BV1328-BU1328</f>
        <v>-94.456265833332992</v>
      </c>
      <c r="BZ1328">
        <f>BX1328</f>
        <v>-94.456265833332992</v>
      </c>
      <c r="CA1328">
        <f>IFERROR(BZ1328/BQ1328,"")</f>
        <v>-4.95677297614048E-3</v>
      </c>
      <c r="CB1328">
        <v>0</v>
      </c>
      <c r="CC1328">
        <v>0</v>
      </c>
      <c r="CD1328">
        <v>0</v>
      </c>
      <c r="CE1328">
        <v>0</v>
      </c>
      <c r="CF1328">
        <v>0</v>
      </c>
      <c r="CG1328">
        <v>0</v>
      </c>
      <c r="CH1328">
        <v>0</v>
      </c>
      <c r="CI1328">
        <v>0</v>
      </c>
      <c r="CJ1328">
        <v>0</v>
      </c>
      <c r="CK1328">
        <v>0</v>
      </c>
      <c r="CL1328">
        <v>0</v>
      </c>
      <c r="CM1328">
        <v>0</v>
      </c>
      <c r="CN1328">
        <v>0</v>
      </c>
      <c r="CO1328">
        <v>0</v>
      </c>
      <c r="CP1328" t="str">
        <f>IF($BN1328&lt;$BM1328,"refNeedCorrection","refOK")</f>
        <v>refOK</v>
      </c>
      <c r="CQ1328">
        <f>IF($CP1328="refOK",$BM1328,$BN1328)</f>
        <v>944</v>
      </c>
      <c r="CR1328">
        <f>IF($CP1328="refOK",$BN1328,$BM1328)</f>
        <v>20000</v>
      </c>
      <c r="CS1328">
        <f>IF($CP1328="refOK",$BQ1328,-$BQ1328)</f>
        <v>19056</v>
      </c>
      <c r="CT1328">
        <f>IF(BI1328="Roundwood",$CS1328/2,$CS1328)</f>
        <v>9528</v>
      </c>
      <c r="CU1328">
        <f>IF($CP1328="refOK",$BU1328,$BV1328)*IF($BR1328="Emissions positive",-1,1)</f>
        <v>-7.0181174999999998</v>
      </c>
      <c r="CV1328">
        <f>IF($CP1328="refOK",$BV1328,$BU1328)*IF($BR1328="Emissions positive",-1,1)</f>
        <v>-101.47438333333299</v>
      </c>
      <c r="CW1328">
        <f>IF($CP1328="refNeedCorrection",-BZ1328,BZ1328)*IF($BR1328="Emissions positive",-1,1)</f>
        <v>-94.456265833332992</v>
      </c>
      <c r="CX1328">
        <f>IFERROR($CW1328/$CS1328,"")</f>
        <v>-4.95677297614048E-3</v>
      </c>
      <c r="CY1328">
        <f>IFERROR($CW1328/$CS1328,"")</f>
        <v>-4.95677297614048E-3</v>
      </c>
      <c r="CZ1328">
        <f>IFERROR($CW1328/$CT1328,"")</f>
        <v>-9.91354595228096E-3</v>
      </c>
      <c r="DA1328" s="2">
        <f>IFERROR((CV1328-CU1328)/ABS(CU1328),"")</f>
        <v>-13.458917698846307</v>
      </c>
      <c r="DB1328" s="320" t="s">
        <v>1334</v>
      </c>
      <c r="DC1328" s="317" t="str">
        <f>IF(OR($DB1328="prd",$DB1328="std",$DB1328="cit"),"loc",IF(OR($DB1328="eur",$DB1328="reg",$DB1328="coy"),"reg",$DB1328))</f>
        <v>reg</v>
      </c>
      <c r="DD1328" s="321" t="s">
        <v>729</v>
      </c>
      <c r="DF1328" s="143"/>
      <c r="DG1328" s="143">
        <v>0</v>
      </c>
      <c r="DH1328" t="str">
        <f>IF(DG1328=0,"0",IF(AND(DG1328&gt;=1,DG1328&lt;=30),"1-30",IF(AND(DG1328&gt;30,DG1328&lt;=70),"31-70",IF(AND(DG1328&gt;70,DG1328&lt;=100),"71-100",IF(DG1328&gt;100,"+100")))))</f>
        <v>0</v>
      </c>
      <c r="DI1328">
        <v>0</v>
      </c>
      <c r="DJ1328">
        <v>1</v>
      </c>
      <c r="DK1328">
        <v>0</v>
      </c>
      <c r="DL1328">
        <v>0</v>
      </c>
      <c r="DM1328">
        <v>0</v>
      </c>
      <c r="DN1328">
        <f>SUM(DI1328:DM1328)</f>
        <v>1</v>
      </c>
      <c r="DO1328" t="str">
        <f>IF(DN1328=1,INDEX($DI$7:$DL$7,MATCH(1,$DI1328:$DL1328,0)),"mixedProduct")</f>
        <v>EnergyInput</v>
      </c>
      <c r="DP1328">
        <f>IF(DI1328=1,DP$7,0)</f>
        <v>0</v>
      </c>
      <c r="DQ1328" t="str">
        <f>IF(DJ1328=1,DQ$7,0)</f>
        <v>Energy</v>
      </c>
      <c r="DR1328">
        <f>IF(DK1328=1,DR$7,0)</f>
        <v>0</v>
      </c>
      <c r="DS1328">
        <f>IF(DL1328=1,DS$7,0)</f>
        <v>0</v>
      </c>
      <c r="DT1328">
        <v>0</v>
      </c>
      <c r="DU1328" s="143">
        <v>0</v>
      </c>
      <c r="DV1328" s="143">
        <v>0</v>
      </c>
      <c r="DW1328">
        <v>0</v>
      </c>
      <c r="DX1328" s="143">
        <v>0</v>
      </c>
      <c r="DY1328">
        <f>SUM(DT1328:DU1328)</f>
        <v>0</v>
      </c>
      <c r="DZ1328" s="143" t="str">
        <f>IF(DT1328=1,"self-calculated DF",IF(DU1328=1,"external DF used","explicit C balance"))</f>
        <v>explicit C balance</v>
      </c>
      <c r="EA1328" s="143">
        <v>0</v>
      </c>
      <c r="EB1328" s="143">
        <v>0</v>
      </c>
      <c r="EC1328" s="143">
        <v>0</v>
      </c>
      <c r="ED1328" s="143">
        <v>0</v>
      </c>
      <c r="EE1328">
        <v>0</v>
      </c>
      <c r="EF1328" s="143">
        <v>0</v>
      </c>
      <c r="EG1328" s="143">
        <v>1</v>
      </c>
      <c r="EH1328" s="143">
        <v>1</v>
      </c>
      <c r="EI1328" s="143">
        <v>0</v>
      </c>
      <c r="EJ1328">
        <v>1</v>
      </c>
      <c r="EK1328">
        <v>0</v>
      </c>
      <c r="EL1328" s="143">
        <v>0</v>
      </c>
      <c r="EM1328" s="143">
        <v>0</v>
      </c>
      <c r="EN1328" s="2">
        <v>0</v>
      </c>
      <c r="EP1328" t="str">
        <f>IF(AND(AND(AND(OR($EC1328=1,$EB1328=1),OR($EH1328=1,$EF1328=1)),SUM($EA1328:$EE1328,$EK1328)&gt;=3),SUM($EF1328:$EJ1328)&gt;=2),"Whole sector approach","")</f>
        <v/>
      </c>
      <c r="EQ1328" t="str">
        <f>IF(AND(AND(OR($EC1328=1,$EB1328=1),AND($EH1328=0,$EF1328=0)),SUM($EA1328:$EE1328,$EK1328)&gt;=3),"Ecosystem approach","")</f>
        <v/>
      </c>
      <c r="ER1328" s="2" t="str">
        <f>IF(AND(AND(AND($EC1328=0,$EB1328=0),OR($EH1328=1,$EF1328=1)),SUM($EG1328:$EJ1328)&gt;=2),"Technology approach","")</f>
        <v>Technology approach</v>
      </c>
      <c r="ES1328" t="str">
        <f>IF(AND($EC1328+$EB1328+$EE1328+$EA1328+$ED1328+$EG1328=0,$N1328="included"),"C neutral forest and HWP assumption","")</f>
        <v/>
      </c>
      <c r="ET1328" t="str">
        <f>IF(AND(AND(AND(AND($EC1328=1,$EB1328+$EA1328+$EG1328&gt;=1),$EF1328=1),$EH1328+$EI1328+$ED1328+$EE1328&gt;=2),$N1328="included"),"All C pools assumption","")</f>
        <v/>
      </c>
      <c r="EU1328" t="str">
        <f>IF(AND($ED1328+$EE1328+$EI1328+$EH1328+$EF1328=0,$N1328="included"),"In-situ only assumption","")</f>
        <v/>
      </c>
      <c r="EY1328" t="str">
        <f>IF(ISNUMBER(BW1328),IF(ABS(BW1328-[4]QC_indicators!$B$2)&gt;3*[4]QC_indicators!$C$2,"C ratio",IF(ISNUMBER(CA1328),IF(ABS(CA1328-[4]QC_indicators!$B$1)&gt;3*[4]QC_indicators!$C$1,"DF","no"))),IF(ISNUMBER(CA1328),IF(ABS(CA1328-[4]QC_indicators!$B$1)&gt;3*[4]QC_indicators!$C$1,"DF","no")))</f>
        <v>no</v>
      </c>
      <c r="FA1328" t="str">
        <f>IF(LEN($CY1328)=0,"",IF(AND($CY1328&lt;(-0.05),$ES1328="C neutral forest and HWP assumption"),"Cneutral paradox",IF(AND($CY1328&gt;0.05,$EU1328="In-situ only assumption"),"In-situ only paradox","")))</f>
        <v/>
      </c>
      <c r="FB1328" s="149"/>
    </row>
    <row r="1329" spans="1:160" ht="15" hidden="1" customHeight="1">
      <c r="A1329" s="1" t="s">
        <v>574</v>
      </c>
      <c r="B1329" t="s">
        <v>1320</v>
      </c>
      <c r="C1329" t="s">
        <v>1321</v>
      </c>
      <c r="D1329" t="s">
        <v>1322</v>
      </c>
      <c r="E1329" t="s">
        <v>1323</v>
      </c>
      <c r="F1329" t="s">
        <v>1324</v>
      </c>
      <c r="G1329" t="s">
        <v>580</v>
      </c>
      <c r="H1329" t="s">
        <v>254</v>
      </c>
      <c r="I1329">
        <v>2020</v>
      </c>
      <c r="J1329">
        <v>12</v>
      </c>
      <c r="K1329" t="s">
        <v>1325</v>
      </c>
      <c r="M1329" t="str">
        <f>LEFT($D1329,FIND(",",$D1329)-1)&amp;"_"&amp;I1329&amp;L1329</f>
        <v>Elisa_2020</v>
      </c>
      <c r="N1329" s="317" t="s">
        <v>222</v>
      </c>
      <c r="O1329" s="171" t="s">
        <v>274</v>
      </c>
      <c r="P1329" t="s">
        <v>223</v>
      </c>
      <c r="Q1329" s="317" t="s">
        <v>389</v>
      </c>
      <c r="R1329" s="318" t="s">
        <v>1029</v>
      </c>
      <c r="S1329" s="154" t="s">
        <v>1326</v>
      </c>
      <c r="T1329" s="319" t="s">
        <v>1327</v>
      </c>
      <c r="U1329" s="143" t="s">
        <v>1362</v>
      </c>
      <c r="V1329" s="253">
        <v>0</v>
      </c>
      <c r="W1329" s="253">
        <v>0</v>
      </c>
      <c r="X1329">
        <v>0</v>
      </c>
      <c r="Y1329">
        <v>0</v>
      </c>
      <c r="Z1329">
        <v>0</v>
      </c>
      <c r="AA1329">
        <v>0</v>
      </c>
      <c r="AB1329">
        <v>0</v>
      </c>
      <c r="AC1329">
        <v>0</v>
      </c>
      <c r="AD1329">
        <v>0</v>
      </c>
      <c r="AE1329">
        <v>0</v>
      </c>
      <c r="AF1329">
        <v>0</v>
      </c>
      <c r="AG1329">
        <v>1</v>
      </c>
      <c r="AH1329">
        <v>0</v>
      </c>
      <c r="AI1329">
        <v>0</v>
      </c>
      <c r="AJ1329">
        <v>0</v>
      </c>
      <c r="AK1329">
        <v>0</v>
      </c>
      <c r="AL1329">
        <v>0</v>
      </c>
      <c r="AM1329">
        <v>1</v>
      </c>
      <c r="AN1329">
        <v>0</v>
      </c>
      <c r="AO1329">
        <v>0</v>
      </c>
      <c r="AP1329">
        <v>0</v>
      </c>
      <c r="AQ1329">
        <v>0</v>
      </c>
      <c r="AR1329">
        <v>0</v>
      </c>
      <c r="AS1329">
        <v>0</v>
      </c>
      <c r="AT1329">
        <v>0</v>
      </c>
      <c r="AU1329">
        <v>0</v>
      </c>
      <c r="AV1329">
        <v>0</v>
      </c>
      <c r="AW1329">
        <v>0</v>
      </c>
      <c r="AX1329">
        <v>0</v>
      </c>
      <c r="AY1329">
        <v>0</v>
      </c>
      <c r="AZ1329" s="141">
        <f>COUNTIF(X1329:AY1329,"&lt;&gt;0")</f>
        <v>2</v>
      </c>
      <c r="BA1329" s="141">
        <f>COUNTIF(X1329:AN1329,"&lt;&gt;0")</f>
        <v>2</v>
      </c>
      <c r="BB1329">
        <f>COUNTIF(X1329:AE1329,"&lt;&gt;0")</f>
        <v>0</v>
      </c>
      <c r="BC1329">
        <f>COUNTIF(AF1329:AK1329,"&lt;&gt;0")</f>
        <v>1</v>
      </c>
      <c r="BD1329">
        <f>COUNTIF(AL1329:AN1329,"&lt;&gt;0")</f>
        <v>1</v>
      </c>
      <c r="BE1329">
        <f>COUNTIF(AU1329:AY1329,"&lt;&gt;0")</f>
        <v>0</v>
      </c>
      <c r="BF1329">
        <f>COUNTIF(AO1329:AT1329,"&lt;&gt;0")</f>
        <v>0</v>
      </c>
      <c r="BG1329" t="str" cm="1">
        <f t="array" ref="BG1329">IF(BA1329=1,INDEX($X$7:$AN$7,MATCH(TRUE,INDEX($X1329:$AY1329&lt;&gt;0,),0)),IF(BA1329=0,INDEX($AO$7:$AY$7,MATCH(1,$AO1329:$AY1329,0)),IF(BH1329="Multiple strategies","mixed drivers",IF(BH1329="Supply chain","multiple supply","multiple silviculture"))))</f>
        <v>mixed drivers</v>
      </c>
      <c r="BH1329" s="2" t="str" cm="1">
        <f t="array" ref="BH1329">IF(COUNTIF(BB1329:BD1329,"&lt;&gt;0")=1,INDEX($X$4:$AY$4,MATCH(TRUE,INDEX($X1329:$AY1329&lt;&gt;0,),0)),IF(COUNTIF(BB1329:BD1329,"&lt;&gt;0")=0,INDEX($AO$4:$AY$4,MATCH(1,$AO1329:$AY1329,0)),"Multiple strategies"))</f>
        <v>Multiple strategies</v>
      </c>
      <c r="BI1329" s="142" t="s">
        <v>321</v>
      </c>
      <c r="BJ1329" s="160" t="s">
        <v>1329</v>
      </c>
      <c r="BK1329" s="160" t="s">
        <v>1330</v>
      </c>
      <c r="BL1329" s="143" t="s">
        <v>498</v>
      </c>
      <c r="BM1329" s="143">
        <v>944</v>
      </c>
      <c r="BN1329" s="143">
        <v>4500</v>
      </c>
      <c r="BO1329">
        <f>IFERROR(BN1329/BM1329,"")</f>
        <v>4.7669491525423728</v>
      </c>
      <c r="BP1329">
        <f>BN1329-BM1329</f>
        <v>3556</v>
      </c>
      <c r="BQ1329" s="159">
        <f>BP1329</f>
        <v>3556</v>
      </c>
      <c r="BR1329" s="155" t="s">
        <v>232</v>
      </c>
      <c r="BS1329" s="155" t="s">
        <v>1331</v>
      </c>
      <c r="BT1329" s="155" t="s">
        <v>805</v>
      </c>
      <c r="BU1329" s="143" t="s">
        <v>1332</v>
      </c>
      <c r="BV1329" t="s">
        <v>1363</v>
      </c>
      <c r="BW1329" s="144">
        <f>BV1329/BU1329</f>
        <v>3.6424356911474765</v>
      </c>
      <c r="BX1329">
        <f>BV1329-BU1329</f>
        <v>-18.5449241666667</v>
      </c>
      <c r="BZ1329">
        <f>BX1329</f>
        <v>-18.5449241666667</v>
      </c>
      <c r="CA1329">
        <f>IFERROR(BZ1329/BQ1329,"")</f>
        <v>-5.2151080333708378E-3</v>
      </c>
      <c r="CB1329">
        <v>0</v>
      </c>
      <c r="CC1329">
        <v>0</v>
      </c>
      <c r="CD1329">
        <v>0</v>
      </c>
      <c r="CE1329">
        <v>0</v>
      </c>
      <c r="CF1329">
        <v>0</v>
      </c>
      <c r="CG1329">
        <v>0</v>
      </c>
      <c r="CH1329">
        <v>0</v>
      </c>
      <c r="CI1329">
        <v>0</v>
      </c>
      <c r="CJ1329">
        <v>0</v>
      </c>
      <c r="CK1329">
        <v>0</v>
      </c>
      <c r="CL1329">
        <v>0</v>
      </c>
      <c r="CM1329">
        <v>0</v>
      </c>
      <c r="CN1329">
        <v>0</v>
      </c>
      <c r="CO1329">
        <v>0</v>
      </c>
      <c r="CP1329" t="str">
        <f>IF($BN1329&lt;$BM1329,"refNeedCorrection","refOK")</f>
        <v>refOK</v>
      </c>
      <c r="CQ1329">
        <f>IF($CP1329="refOK",$BM1329,$BN1329)</f>
        <v>944</v>
      </c>
      <c r="CR1329">
        <f>IF($CP1329="refOK",$BN1329,$BM1329)</f>
        <v>4500</v>
      </c>
      <c r="CS1329">
        <f>IF($CP1329="refOK",$BQ1329,-$BQ1329)</f>
        <v>3556</v>
      </c>
      <c r="CT1329">
        <f>IF(BI1329="Roundwood",$CS1329/2,$CS1329)</f>
        <v>1778</v>
      </c>
      <c r="CU1329">
        <f>IF($CP1329="refOK",$BU1329,$BV1329)*IF($BR1329="Emissions positive",-1,1)</f>
        <v>-7.0181174999999998</v>
      </c>
      <c r="CV1329">
        <f>IF($CP1329="refOK",$BV1329,$BU1329)*IF($BR1329="Emissions positive",-1,1)</f>
        <v>-25.563041666666699</v>
      </c>
      <c r="CW1329">
        <f>IF($CP1329="refNeedCorrection",-BZ1329,BZ1329)*IF($BR1329="Emissions positive",-1,1)</f>
        <v>-18.5449241666667</v>
      </c>
      <c r="CX1329">
        <f>IFERROR($CW1329/$CS1329,"")</f>
        <v>-5.2151080333708378E-3</v>
      </c>
      <c r="CY1329">
        <f>IFERROR($CW1329/$CS1329,"")</f>
        <v>-5.2151080333708378E-3</v>
      </c>
      <c r="CZ1329">
        <f>IFERROR($CW1329/$CT1329,"")</f>
        <v>-1.0430216066741676E-2</v>
      </c>
      <c r="DA1329" s="2">
        <f>IFERROR((CV1329-CU1329)/ABS(CU1329),"")</f>
        <v>-2.6424356911474765</v>
      </c>
      <c r="DB1329" s="320" t="s">
        <v>1334</v>
      </c>
      <c r="DC1329" s="317" t="str">
        <f>IF(OR($DB1329="prd",$DB1329="std",$DB1329="cit"),"loc",IF(OR($DB1329="eur",$DB1329="reg",$DB1329="coy"),"reg",$DB1329))</f>
        <v>reg</v>
      </c>
      <c r="DD1329" s="321" t="s">
        <v>729</v>
      </c>
      <c r="DF1329" s="143"/>
      <c r="DG1329" s="143">
        <v>0</v>
      </c>
      <c r="DH1329" t="str">
        <f>IF(DG1329=0,"0",IF(AND(DG1329&gt;=1,DG1329&lt;=30),"1-30",IF(AND(DG1329&gt;30,DG1329&lt;=70),"31-70",IF(AND(DG1329&gt;70,DG1329&lt;=100),"71-100",IF(DG1329&gt;100,"+100")))))</f>
        <v>0</v>
      </c>
      <c r="DI1329">
        <v>0</v>
      </c>
      <c r="DJ1329">
        <v>1</v>
      </c>
      <c r="DK1329">
        <v>0</v>
      </c>
      <c r="DL1329">
        <v>0</v>
      </c>
      <c r="DM1329">
        <v>0</v>
      </c>
      <c r="DN1329">
        <f>SUM(DI1329:DM1329)</f>
        <v>1</v>
      </c>
      <c r="DO1329" t="str">
        <f>IF(DN1329=1,INDEX($DI$7:$DL$7,MATCH(1,$DI1329:$DL1329,0)),"mixedProduct")</f>
        <v>EnergyInput</v>
      </c>
      <c r="DP1329">
        <f>IF(DI1329=1,DP$7,0)</f>
        <v>0</v>
      </c>
      <c r="DQ1329" t="str">
        <f>IF(DJ1329=1,DQ$7,0)</f>
        <v>Energy</v>
      </c>
      <c r="DR1329">
        <f>IF(DK1329=1,DR$7,0)</f>
        <v>0</v>
      </c>
      <c r="DS1329">
        <f>IF(DL1329=1,DS$7,0)</f>
        <v>0</v>
      </c>
      <c r="DT1329">
        <v>0</v>
      </c>
      <c r="DU1329" s="143">
        <v>0</v>
      </c>
      <c r="DV1329" s="143">
        <v>0</v>
      </c>
      <c r="DW1329">
        <v>0</v>
      </c>
      <c r="DX1329" s="143">
        <v>0</v>
      </c>
      <c r="DY1329">
        <f>SUM(DT1329:DU1329)</f>
        <v>0</v>
      </c>
      <c r="DZ1329" s="143" t="str">
        <f>IF(DT1329=1,"self-calculated DF",IF(DU1329=1,"external DF used","explicit C balance"))</f>
        <v>explicit C balance</v>
      </c>
      <c r="EA1329" s="143">
        <v>0</v>
      </c>
      <c r="EB1329" s="143">
        <v>0</v>
      </c>
      <c r="EC1329" s="143">
        <v>0</v>
      </c>
      <c r="ED1329" s="143">
        <v>0</v>
      </c>
      <c r="EE1329">
        <v>0</v>
      </c>
      <c r="EF1329" s="143">
        <v>0</v>
      </c>
      <c r="EG1329" s="143">
        <v>1</v>
      </c>
      <c r="EH1329" s="143">
        <v>1</v>
      </c>
      <c r="EI1329" s="143">
        <v>0</v>
      </c>
      <c r="EJ1329">
        <v>1</v>
      </c>
      <c r="EK1329">
        <v>0</v>
      </c>
      <c r="EL1329" s="143">
        <v>0</v>
      </c>
      <c r="EM1329" s="143">
        <v>0</v>
      </c>
      <c r="EN1329" s="2">
        <v>0</v>
      </c>
      <c r="EP1329" t="str">
        <f>IF(AND(AND(AND(OR($EC1329=1,$EB1329=1),OR($EH1329=1,$EF1329=1)),SUM($EA1329:$EE1329,$EK1329)&gt;=3),SUM($EF1329:$EJ1329)&gt;=2),"Whole sector approach","")</f>
        <v/>
      </c>
      <c r="EQ1329" t="str">
        <f>IF(AND(AND(OR($EC1329=1,$EB1329=1),AND($EH1329=0,$EF1329=0)),SUM($EA1329:$EE1329,$EK1329)&gt;=3),"Ecosystem approach","")</f>
        <v/>
      </c>
      <c r="ER1329" s="2" t="str">
        <f>IF(AND(AND(AND($EC1329=0,$EB1329=0),OR($EH1329=1,$EF1329=1)),SUM($EG1329:$EJ1329)&gt;=2),"Technology approach","")</f>
        <v>Technology approach</v>
      </c>
      <c r="ES1329" t="str">
        <f>IF(AND($EC1329+$EB1329+$EE1329+$EA1329+$ED1329+$EG1329=0,$N1329="included"),"C neutral forest and HWP assumption","")</f>
        <v/>
      </c>
      <c r="ET1329" t="str">
        <f>IF(AND(AND(AND(AND($EC1329=1,$EB1329+$EA1329+$EG1329&gt;=1),$EF1329=1),$EH1329+$EI1329+$ED1329+$EE1329&gt;=2),$N1329="included"),"All C pools assumption","")</f>
        <v/>
      </c>
      <c r="EU1329" t="str">
        <f>IF(AND($ED1329+$EE1329+$EI1329+$EH1329+$EF1329=0,$N1329="included"),"In-situ only assumption","")</f>
        <v/>
      </c>
      <c r="EY1329" t="str">
        <f>IF(ISNUMBER(BW1329),IF(ABS(BW1329-[4]QC_indicators!$B$2)&gt;3*[4]QC_indicators!$C$2,"C ratio",IF(ISNUMBER(CA1329),IF(ABS(CA1329-[4]QC_indicators!$B$1)&gt;3*[4]QC_indicators!$C$1,"DF","no"))),IF(ISNUMBER(CA1329),IF(ABS(CA1329-[4]QC_indicators!$B$1)&gt;3*[4]QC_indicators!$C$1,"DF","no")))</f>
        <v>no</v>
      </c>
      <c r="FA1329" t="str">
        <f>IF(LEN($CY1329)=0,"",IF(AND($CY1329&lt;(-0.05),$ES1329="C neutral forest and HWP assumption"),"Cneutral paradox",IF(AND($CY1329&gt;0.05,$EU1329="In-situ only assumption"),"In-situ only paradox","")))</f>
        <v/>
      </c>
      <c r="FB1329" s="149"/>
    </row>
    <row r="1330" spans="1:160" ht="15" hidden="1" customHeight="1">
      <c r="A1330" s="1" t="s">
        <v>574</v>
      </c>
      <c r="B1330" t="s">
        <v>1320</v>
      </c>
      <c r="C1330" t="s">
        <v>1321</v>
      </c>
      <c r="D1330" t="s">
        <v>1322</v>
      </c>
      <c r="E1330" t="s">
        <v>1323</v>
      </c>
      <c r="F1330" t="s">
        <v>1324</v>
      </c>
      <c r="G1330" t="s">
        <v>580</v>
      </c>
      <c r="H1330" t="s">
        <v>254</v>
      </c>
      <c r="I1330">
        <v>2020</v>
      </c>
      <c r="J1330">
        <v>12</v>
      </c>
      <c r="K1330" t="s">
        <v>1325</v>
      </c>
      <c r="M1330" t="str">
        <f>LEFT($D1330,FIND(",",$D1330)-1)&amp;"_"&amp;I1330&amp;L1330</f>
        <v>Elisa_2020</v>
      </c>
      <c r="N1330" s="317" t="s">
        <v>222</v>
      </c>
      <c r="O1330" s="171" t="s">
        <v>274</v>
      </c>
      <c r="P1330" t="s">
        <v>223</v>
      </c>
      <c r="Q1330" s="317" t="s">
        <v>389</v>
      </c>
      <c r="R1330" s="318" t="s">
        <v>1029</v>
      </c>
      <c r="S1330" s="154" t="s">
        <v>1326</v>
      </c>
      <c r="T1330" s="319" t="s">
        <v>1327</v>
      </c>
      <c r="U1330" s="143" t="s">
        <v>1360</v>
      </c>
      <c r="V1330" s="253">
        <v>0</v>
      </c>
      <c r="W1330" s="253">
        <v>0</v>
      </c>
      <c r="X1330">
        <v>0</v>
      </c>
      <c r="Y1330">
        <v>0</v>
      </c>
      <c r="Z1330">
        <v>0</v>
      </c>
      <c r="AA1330">
        <v>0</v>
      </c>
      <c r="AB1330">
        <v>0</v>
      </c>
      <c r="AC1330">
        <v>0</v>
      </c>
      <c r="AD1330">
        <v>0</v>
      </c>
      <c r="AE1330">
        <v>0</v>
      </c>
      <c r="AF1330">
        <v>0</v>
      </c>
      <c r="AG1330">
        <v>1</v>
      </c>
      <c r="AH1330">
        <v>0</v>
      </c>
      <c r="AI1330">
        <v>0</v>
      </c>
      <c r="AJ1330">
        <v>0</v>
      </c>
      <c r="AK1330">
        <v>0</v>
      </c>
      <c r="AL1330">
        <v>0</v>
      </c>
      <c r="AM1330">
        <v>1</v>
      </c>
      <c r="AN1330">
        <v>0</v>
      </c>
      <c r="AO1330">
        <v>0</v>
      </c>
      <c r="AP1330">
        <v>0</v>
      </c>
      <c r="AQ1330">
        <v>0</v>
      </c>
      <c r="AR1330">
        <v>0</v>
      </c>
      <c r="AS1330">
        <v>0</v>
      </c>
      <c r="AT1330">
        <v>0</v>
      </c>
      <c r="AU1330">
        <v>0</v>
      </c>
      <c r="AV1330">
        <v>0</v>
      </c>
      <c r="AW1330">
        <v>0</v>
      </c>
      <c r="AX1330">
        <v>0</v>
      </c>
      <c r="AY1330">
        <v>0</v>
      </c>
      <c r="AZ1330" s="141">
        <f>COUNTIF(X1330:AY1330,"&lt;&gt;0")</f>
        <v>2</v>
      </c>
      <c r="BA1330" s="141">
        <f>COUNTIF(X1330:AN1330,"&lt;&gt;0")</f>
        <v>2</v>
      </c>
      <c r="BB1330">
        <f>COUNTIF(X1330:AE1330,"&lt;&gt;0")</f>
        <v>0</v>
      </c>
      <c r="BC1330">
        <f>COUNTIF(AF1330:AK1330,"&lt;&gt;0")</f>
        <v>1</v>
      </c>
      <c r="BD1330">
        <f>COUNTIF(AL1330:AN1330,"&lt;&gt;0")</f>
        <v>1</v>
      </c>
      <c r="BE1330">
        <f>COUNTIF(AU1330:AY1330,"&lt;&gt;0")</f>
        <v>0</v>
      </c>
      <c r="BF1330">
        <f>COUNTIF(AO1330:AT1330,"&lt;&gt;0")</f>
        <v>0</v>
      </c>
      <c r="BG1330" t="str" cm="1">
        <f t="array" ref="BG1330">IF(BA1330=1,INDEX($X$7:$AN$7,MATCH(TRUE,INDEX($X1330:$AY1330&lt;&gt;0,),0)),IF(BA1330=0,INDEX($AO$7:$AY$7,MATCH(1,$AO1330:$AY1330,0)),IF(BH1330="Multiple strategies","mixed drivers",IF(BH1330="Supply chain","multiple supply","multiple silviculture"))))</f>
        <v>mixed drivers</v>
      </c>
      <c r="BH1330" s="2" t="str" cm="1">
        <f t="array" ref="BH1330">IF(COUNTIF(BB1330:BD1330,"&lt;&gt;0")=1,INDEX($X$4:$AY$4,MATCH(TRUE,INDEX($X1330:$AY1330&lt;&gt;0,),0)),IF(COUNTIF(BB1330:BD1330,"&lt;&gt;0")=0,INDEX($AO$4:$AY$4,MATCH(1,$AO1330:$AY1330,0)),"Multiple strategies"))</f>
        <v>Multiple strategies</v>
      </c>
      <c r="BI1330" s="142" t="s">
        <v>321</v>
      </c>
      <c r="BJ1330" s="160" t="s">
        <v>1329</v>
      </c>
      <c r="BK1330" s="160" t="s">
        <v>1330</v>
      </c>
      <c r="BL1330" s="143" t="s">
        <v>498</v>
      </c>
      <c r="BM1330" s="143">
        <v>944</v>
      </c>
      <c r="BN1330" s="143">
        <v>4000</v>
      </c>
      <c r="BO1330">
        <f>IFERROR(BN1330/BM1330,"")</f>
        <v>4.2372881355932206</v>
      </c>
      <c r="BP1330">
        <f>BN1330-BM1330</f>
        <v>3056</v>
      </c>
      <c r="BQ1330" s="159">
        <f>BP1330</f>
        <v>3056</v>
      </c>
      <c r="BR1330" s="155" t="s">
        <v>232</v>
      </c>
      <c r="BS1330" s="155" t="s">
        <v>1331</v>
      </c>
      <c r="BT1330" s="155" t="s">
        <v>805</v>
      </c>
      <c r="BU1330" s="143" t="s">
        <v>1332</v>
      </c>
      <c r="BV1330" t="s">
        <v>1361</v>
      </c>
      <c r="BW1330" s="144">
        <f>BV1330/BU1330</f>
        <v>3.3022538570112716</v>
      </c>
      <c r="BX1330">
        <f>BV1330-BU1330</f>
        <v>-16.157488083333302</v>
      </c>
      <c r="BZ1330">
        <f>BX1330</f>
        <v>-16.157488083333302</v>
      </c>
      <c r="CA1330">
        <f>IFERROR(BZ1330/BQ1330,"")</f>
        <v>-5.2871361529232006E-3</v>
      </c>
      <c r="CB1330">
        <v>0</v>
      </c>
      <c r="CC1330">
        <v>0</v>
      </c>
      <c r="CD1330">
        <v>0</v>
      </c>
      <c r="CE1330">
        <v>0</v>
      </c>
      <c r="CF1330">
        <v>0</v>
      </c>
      <c r="CG1330">
        <v>0</v>
      </c>
      <c r="CH1330">
        <v>0</v>
      </c>
      <c r="CI1330">
        <v>0</v>
      </c>
      <c r="CJ1330">
        <v>0</v>
      </c>
      <c r="CK1330">
        <v>0</v>
      </c>
      <c r="CL1330">
        <v>0</v>
      </c>
      <c r="CM1330">
        <v>0</v>
      </c>
      <c r="CN1330">
        <v>0</v>
      </c>
      <c r="CO1330">
        <v>0</v>
      </c>
      <c r="CP1330" t="str">
        <f>IF($BN1330&lt;$BM1330,"refNeedCorrection","refOK")</f>
        <v>refOK</v>
      </c>
      <c r="CQ1330">
        <f>IF($CP1330="refOK",$BM1330,$BN1330)</f>
        <v>944</v>
      </c>
      <c r="CR1330">
        <f>IF($CP1330="refOK",$BN1330,$BM1330)</f>
        <v>4000</v>
      </c>
      <c r="CS1330">
        <f>IF($CP1330="refOK",$BQ1330,-$BQ1330)</f>
        <v>3056</v>
      </c>
      <c r="CT1330">
        <f>IF(BI1330="Roundwood",$CS1330/2,$CS1330)</f>
        <v>1528</v>
      </c>
      <c r="CU1330">
        <f>IF($CP1330="refOK",$BU1330,$BV1330)*IF($BR1330="Emissions positive",-1,1)</f>
        <v>-7.0181174999999998</v>
      </c>
      <c r="CV1330">
        <f>IF($CP1330="refOK",$BV1330,$BU1330)*IF($BR1330="Emissions positive",-1,1)</f>
        <v>-23.175605583333301</v>
      </c>
      <c r="CW1330">
        <f>IF($CP1330="refNeedCorrection",-BZ1330,BZ1330)*IF($BR1330="Emissions positive",-1,1)</f>
        <v>-16.157488083333302</v>
      </c>
      <c r="CX1330">
        <f>IFERROR($CW1330/$CS1330,"")</f>
        <v>-5.2871361529232006E-3</v>
      </c>
      <c r="CY1330">
        <f>IFERROR($CW1330/$CS1330,"")</f>
        <v>-5.2871361529232006E-3</v>
      </c>
      <c r="CZ1330">
        <f>IFERROR($CW1330/$CT1330,"")</f>
        <v>-1.0574272305846401E-2</v>
      </c>
      <c r="DA1330" s="2">
        <f>IFERROR((CV1330-CU1330)/ABS(CU1330),"")</f>
        <v>-2.3022538570112716</v>
      </c>
      <c r="DB1330" s="320" t="s">
        <v>1334</v>
      </c>
      <c r="DC1330" s="317" t="str">
        <f>IF(OR($DB1330="prd",$DB1330="std",$DB1330="cit"),"loc",IF(OR($DB1330="eur",$DB1330="reg",$DB1330="coy"),"reg",$DB1330))</f>
        <v>reg</v>
      </c>
      <c r="DD1330" s="321" t="s">
        <v>729</v>
      </c>
      <c r="DF1330" s="143"/>
      <c r="DG1330" s="143">
        <v>0</v>
      </c>
      <c r="DH1330" t="str">
        <f>IF(DG1330=0,"0",IF(AND(DG1330&gt;=1,DG1330&lt;=30),"1-30",IF(AND(DG1330&gt;30,DG1330&lt;=70),"31-70",IF(AND(DG1330&gt;70,DG1330&lt;=100),"71-100",IF(DG1330&gt;100,"+100")))))</f>
        <v>0</v>
      </c>
      <c r="DI1330">
        <v>0</v>
      </c>
      <c r="DJ1330">
        <v>1</v>
      </c>
      <c r="DK1330">
        <v>0</v>
      </c>
      <c r="DL1330">
        <v>0</v>
      </c>
      <c r="DM1330">
        <v>0</v>
      </c>
      <c r="DN1330">
        <f>SUM(DI1330:DM1330)</f>
        <v>1</v>
      </c>
      <c r="DO1330" t="str">
        <f>IF(DN1330=1,INDEX($DI$7:$DL$7,MATCH(1,$DI1330:$DL1330,0)),"mixedProduct")</f>
        <v>EnergyInput</v>
      </c>
      <c r="DP1330">
        <f>IF(DI1330=1,DP$7,0)</f>
        <v>0</v>
      </c>
      <c r="DQ1330" t="str">
        <f>IF(DJ1330=1,DQ$7,0)</f>
        <v>Energy</v>
      </c>
      <c r="DR1330">
        <f>IF(DK1330=1,DR$7,0)</f>
        <v>0</v>
      </c>
      <c r="DS1330">
        <f>IF(DL1330=1,DS$7,0)</f>
        <v>0</v>
      </c>
      <c r="DT1330">
        <v>0</v>
      </c>
      <c r="DU1330" s="143">
        <v>0</v>
      </c>
      <c r="DV1330" s="143">
        <v>0</v>
      </c>
      <c r="DW1330">
        <v>0</v>
      </c>
      <c r="DX1330" s="143">
        <v>0</v>
      </c>
      <c r="DY1330">
        <f>SUM(DT1330:DU1330)</f>
        <v>0</v>
      </c>
      <c r="DZ1330" s="143" t="str">
        <f>IF(DT1330=1,"self-calculated DF",IF(DU1330=1,"external DF used","explicit C balance"))</f>
        <v>explicit C balance</v>
      </c>
      <c r="EA1330" s="143">
        <v>0</v>
      </c>
      <c r="EB1330" s="143">
        <v>0</v>
      </c>
      <c r="EC1330" s="143">
        <v>0</v>
      </c>
      <c r="ED1330" s="143">
        <v>0</v>
      </c>
      <c r="EE1330">
        <v>0</v>
      </c>
      <c r="EF1330" s="143">
        <v>0</v>
      </c>
      <c r="EG1330" s="143">
        <v>1</v>
      </c>
      <c r="EH1330" s="143">
        <v>1</v>
      </c>
      <c r="EI1330" s="143">
        <v>0</v>
      </c>
      <c r="EJ1330">
        <v>1</v>
      </c>
      <c r="EK1330">
        <v>0</v>
      </c>
      <c r="EL1330" s="143">
        <v>0</v>
      </c>
      <c r="EM1330" s="143">
        <v>0</v>
      </c>
      <c r="EN1330" s="2">
        <v>0</v>
      </c>
      <c r="EP1330" t="str">
        <f>IF(AND(AND(AND(OR($EC1330=1,$EB1330=1),OR($EH1330=1,$EF1330=1)),SUM($EA1330:$EE1330,$EK1330)&gt;=3),SUM($EF1330:$EJ1330)&gt;=2),"Whole sector approach","")</f>
        <v/>
      </c>
      <c r="EQ1330" t="str">
        <f>IF(AND(AND(OR($EC1330=1,$EB1330=1),AND($EH1330=0,$EF1330=0)),SUM($EA1330:$EE1330,$EK1330)&gt;=3),"Ecosystem approach","")</f>
        <v/>
      </c>
      <c r="ER1330" s="2" t="str">
        <f>IF(AND(AND(AND($EC1330=0,$EB1330=0),OR($EH1330=1,$EF1330=1)),SUM($EG1330:$EJ1330)&gt;=2),"Technology approach","")</f>
        <v>Technology approach</v>
      </c>
      <c r="ES1330" t="str">
        <f>IF(AND($EC1330+$EB1330+$EE1330+$EA1330+$ED1330+$EG1330=0,$N1330="included"),"C neutral forest and HWP assumption","")</f>
        <v/>
      </c>
      <c r="ET1330" t="str">
        <f>IF(AND(AND(AND(AND($EC1330=1,$EB1330+$EA1330+$EG1330&gt;=1),$EF1330=1),$EH1330+$EI1330+$ED1330+$EE1330&gt;=2),$N1330="included"),"All C pools assumption","")</f>
        <v/>
      </c>
      <c r="EU1330" t="str">
        <f>IF(AND($ED1330+$EE1330+$EI1330+$EH1330+$EF1330=0,$N1330="included"),"In-situ only assumption","")</f>
        <v/>
      </c>
      <c r="EY1330" t="str">
        <f>IF(ISNUMBER(BW1330),IF(ABS(BW1330-[4]QC_indicators!$B$2)&gt;3*[4]QC_indicators!$C$2,"C ratio",IF(ISNUMBER(CA1330),IF(ABS(CA1330-[4]QC_indicators!$B$1)&gt;3*[4]QC_indicators!$C$1,"DF","no"))),IF(ISNUMBER(CA1330),IF(ABS(CA1330-[4]QC_indicators!$B$1)&gt;3*[4]QC_indicators!$C$1,"DF","no")))</f>
        <v>no</v>
      </c>
      <c r="FA1330" t="str">
        <f>IF(LEN($CY1330)=0,"",IF(AND($CY1330&lt;(-0.05),$ES1330="C neutral forest and HWP assumption"),"Cneutral paradox",IF(AND($CY1330&gt;0.05,$EU1330="In-situ only assumption"),"In-situ only paradox","")))</f>
        <v/>
      </c>
      <c r="FB1330" s="149"/>
    </row>
    <row r="1331" spans="1:160" ht="15" hidden="1" customHeight="1">
      <c r="A1331" s="1" t="s">
        <v>574</v>
      </c>
      <c r="B1331" t="s">
        <v>1320</v>
      </c>
      <c r="C1331" t="s">
        <v>1321</v>
      </c>
      <c r="D1331" t="s">
        <v>1322</v>
      </c>
      <c r="E1331" t="s">
        <v>1323</v>
      </c>
      <c r="F1331" t="s">
        <v>1324</v>
      </c>
      <c r="G1331" t="s">
        <v>580</v>
      </c>
      <c r="H1331" t="s">
        <v>254</v>
      </c>
      <c r="I1331">
        <v>2020</v>
      </c>
      <c r="J1331">
        <v>12</v>
      </c>
      <c r="K1331" t="s">
        <v>1325</v>
      </c>
      <c r="M1331" t="str">
        <f>LEFT($D1331,FIND(",",$D1331)-1)&amp;"_"&amp;I1331&amp;L1331</f>
        <v>Elisa_2020</v>
      </c>
      <c r="N1331" s="317" t="s">
        <v>222</v>
      </c>
      <c r="O1331" s="171" t="s">
        <v>274</v>
      </c>
      <c r="P1331" t="s">
        <v>223</v>
      </c>
      <c r="Q1331" s="317" t="s">
        <v>389</v>
      </c>
      <c r="R1331" s="318" t="s">
        <v>1029</v>
      </c>
      <c r="S1331" s="154" t="s">
        <v>1326</v>
      </c>
      <c r="T1331" s="319" t="s">
        <v>1327</v>
      </c>
      <c r="U1331" s="143" t="s">
        <v>985</v>
      </c>
      <c r="V1331" s="253">
        <v>0</v>
      </c>
      <c r="W1331" s="253">
        <v>0</v>
      </c>
      <c r="X1331">
        <v>0</v>
      </c>
      <c r="Y1331">
        <v>0</v>
      </c>
      <c r="Z1331">
        <v>0</v>
      </c>
      <c r="AA1331">
        <v>0</v>
      </c>
      <c r="AB1331">
        <v>0</v>
      </c>
      <c r="AC1331">
        <v>0</v>
      </c>
      <c r="AD1331">
        <v>0</v>
      </c>
      <c r="AE1331">
        <v>0</v>
      </c>
      <c r="AF1331">
        <v>0</v>
      </c>
      <c r="AG1331">
        <v>1</v>
      </c>
      <c r="AH1331">
        <v>0</v>
      </c>
      <c r="AI1331">
        <v>0</v>
      </c>
      <c r="AJ1331">
        <v>0</v>
      </c>
      <c r="AK1331">
        <v>0</v>
      </c>
      <c r="AL1331">
        <v>0</v>
      </c>
      <c r="AM1331">
        <v>1</v>
      </c>
      <c r="AN1331">
        <v>0</v>
      </c>
      <c r="AO1331">
        <v>0</v>
      </c>
      <c r="AP1331">
        <v>0</v>
      </c>
      <c r="AQ1331">
        <v>0</v>
      </c>
      <c r="AR1331">
        <v>0</v>
      </c>
      <c r="AS1331">
        <v>0</v>
      </c>
      <c r="AT1331">
        <v>0</v>
      </c>
      <c r="AU1331">
        <v>0</v>
      </c>
      <c r="AV1331">
        <v>0</v>
      </c>
      <c r="AW1331">
        <v>0</v>
      </c>
      <c r="AX1331">
        <v>0</v>
      </c>
      <c r="AY1331">
        <v>0</v>
      </c>
      <c r="AZ1331" s="141">
        <f>COUNTIF(X1331:AY1331,"&lt;&gt;0")</f>
        <v>2</v>
      </c>
      <c r="BA1331" s="141">
        <f>COUNTIF(X1331:AN1331,"&lt;&gt;0")</f>
        <v>2</v>
      </c>
      <c r="BB1331">
        <f>COUNTIF(X1331:AE1331,"&lt;&gt;0")</f>
        <v>0</v>
      </c>
      <c r="BC1331">
        <f>COUNTIF(AF1331:AK1331,"&lt;&gt;0")</f>
        <v>1</v>
      </c>
      <c r="BD1331">
        <f>COUNTIF(AL1331:AN1331,"&lt;&gt;0")</f>
        <v>1</v>
      </c>
      <c r="BE1331">
        <f>COUNTIF(AU1331:AY1331,"&lt;&gt;0")</f>
        <v>0</v>
      </c>
      <c r="BF1331">
        <f>COUNTIF(AO1331:AT1331,"&lt;&gt;0")</f>
        <v>0</v>
      </c>
      <c r="BG1331" t="str" cm="1">
        <f t="array" ref="BG1331">IF(BA1331=1,INDEX($X$7:$AN$7,MATCH(TRUE,INDEX($X1331:$AY1331&lt;&gt;0,),0)),IF(BA1331=0,INDEX($AO$7:$AY$7,MATCH(1,$AO1331:$AY1331,0)),IF(BH1331="Multiple strategies","mixed drivers",IF(BH1331="Supply chain","multiple supply","multiple silviculture"))))</f>
        <v>mixed drivers</v>
      </c>
      <c r="BH1331" s="2" t="str" cm="1">
        <f t="array" ref="BH1331">IF(COUNTIF(BB1331:BD1331,"&lt;&gt;0")=1,INDEX($X$4:$AY$4,MATCH(TRUE,INDEX($X1331:$AY1331&lt;&gt;0,),0)),IF(COUNTIF(BB1331:BD1331,"&lt;&gt;0")=0,INDEX($AO$4:$AY$4,MATCH(1,$AO1331:$AY1331,0)),"Multiple strategies"))</f>
        <v>Multiple strategies</v>
      </c>
      <c r="BI1331" s="142" t="s">
        <v>321</v>
      </c>
      <c r="BJ1331" s="160" t="s">
        <v>1329</v>
      </c>
      <c r="BK1331" s="160" t="s">
        <v>1330</v>
      </c>
      <c r="BL1331" s="143" t="s">
        <v>498</v>
      </c>
      <c r="BM1331" s="143">
        <v>944</v>
      </c>
      <c r="BN1331" s="143">
        <v>13245</v>
      </c>
      <c r="BO1331">
        <f>IFERROR(BN1331/BM1331,"")</f>
        <v>14.03072033898305</v>
      </c>
      <c r="BP1331">
        <f>BN1331-BM1331</f>
        <v>12301</v>
      </c>
      <c r="BQ1331" s="159">
        <f>BP1331</f>
        <v>12301</v>
      </c>
      <c r="BR1331" s="155" t="s">
        <v>232</v>
      </c>
      <c r="BS1331" s="155" t="s">
        <v>1331</v>
      </c>
      <c r="BT1331" s="155" t="s">
        <v>805</v>
      </c>
      <c r="BU1331" s="143" t="s">
        <v>1332</v>
      </c>
      <c r="BV1331" t="s">
        <v>1358</v>
      </c>
      <c r="BW1331" s="144">
        <f>BV1331/BU1331</f>
        <v>11.732134721312375</v>
      </c>
      <c r="BX1331">
        <f>BV1331-BU1331</f>
        <v>-75.319382500000003</v>
      </c>
      <c r="BZ1331">
        <f>BX1331</f>
        <v>-75.319382500000003</v>
      </c>
      <c r="CA1331">
        <f>IFERROR(BZ1331/BQ1331,"")</f>
        <v>-6.1230292252662391E-3</v>
      </c>
      <c r="CB1331">
        <v>0</v>
      </c>
      <c r="CC1331">
        <v>0</v>
      </c>
      <c r="CD1331">
        <v>0</v>
      </c>
      <c r="CE1331">
        <v>0</v>
      </c>
      <c r="CF1331">
        <v>0</v>
      </c>
      <c r="CG1331">
        <v>0</v>
      </c>
      <c r="CH1331">
        <v>0</v>
      </c>
      <c r="CI1331">
        <v>0</v>
      </c>
      <c r="CJ1331">
        <v>0</v>
      </c>
      <c r="CK1331">
        <v>0</v>
      </c>
      <c r="CL1331">
        <v>0</v>
      </c>
      <c r="CM1331">
        <v>0</v>
      </c>
      <c r="CN1331">
        <v>0</v>
      </c>
      <c r="CO1331">
        <v>0</v>
      </c>
      <c r="CP1331" t="str">
        <f>IF($BN1331&lt;$BM1331,"refNeedCorrection","refOK")</f>
        <v>refOK</v>
      </c>
      <c r="CQ1331">
        <f>IF($CP1331="refOK",$BM1331,$BN1331)</f>
        <v>944</v>
      </c>
      <c r="CR1331">
        <f>IF($CP1331="refOK",$BN1331,$BM1331)</f>
        <v>13245</v>
      </c>
      <c r="CS1331">
        <f>IF($CP1331="refOK",$BQ1331,-$BQ1331)</f>
        <v>12301</v>
      </c>
      <c r="CT1331">
        <f>IF(BI1331="Roundwood",$CS1331/2,$CS1331)</f>
        <v>6150.5</v>
      </c>
      <c r="CU1331">
        <f>IF($CP1331="refOK",$BU1331,$BV1331)*IF($BR1331="Emissions positive",-1,1)</f>
        <v>-7.0181174999999998</v>
      </c>
      <c r="CV1331">
        <f>IF($CP1331="refOK",$BV1331,$BU1331)*IF($BR1331="Emissions positive",-1,1)</f>
        <v>-82.337500000000006</v>
      </c>
      <c r="CW1331">
        <f>IF($CP1331="refNeedCorrection",-BZ1331,BZ1331)*IF($BR1331="Emissions positive",-1,1)</f>
        <v>-75.319382500000003</v>
      </c>
      <c r="CX1331">
        <f>IFERROR($CW1331/$CS1331,"")</f>
        <v>-6.1230292252662391E-3</v>
      </c>
      <c r="CY1331">
        <f>IFERROR($CW1331/$CS1331,"")</f>
        <v>-6.1230292252662391E-3</v>
      </c>
      <c r="CZ1331">
        <f>IFERROR($CW1331/$CT1331,"")</f>
        <v>-1.2246058450532478E-2</v>
      </c>
      <c r="DA1331" s="2">
        <f>IFERROR((CV1331-CU1331)/ABS(CU1331),"")</f>
        <v>-10.732134721312375</v>
      </c>
      <c r="DB1331" s="320" t="s">
        <v>1334</v>
      </c>
      <c r="DC1331" s="317" t="str">
        <f>IF(OR($DB1331="prd",$DB1331="std",$DB1331="cit"),"loc",IF(OR($DB1331="eur",$DB1331="reg",$DB1331="coy"),"reg",$DB1331))</f>
        <v>reg</v>
      </c>
      <c r="DD1331" s="321" t="s">
        <v>729</v>
      </c>
      <c r="DF1331" s="143"/>
      <c r="DG1331" s="143">
        <v>0</v>
      </c>
      <c r="DH1331" t="str">
        <f>IF(DG1331=0,"0",IF(AND(DG1331&gt;=1,DG1331&lt;=30),"1-30",IF(AND(DG1331&gt;30,DG1331&lt;=70),"31-70",IF(AND(DG1331&gt;70,DG1331&lt;=100),"71-100",IF(DG1331&gt;100,"+100")))))</f>
        <v>0</v>
      </c>
      <c r="DI1331">
        <v>0</v>
      </c>
      <c r="DJ1331">
        <v>1</v>
      </c>
      <c r="DK1331">
        <v>0</v>
      </c>
      <c r="DL1331">
        <v>0</v>
      </c>
      <c r="DM1331">
        <v>0</v>
      </c>
      <c r="DN1331">
        <f>SUM(DI1331:DM1331)</f>
        <v>1</v>
      </c>
      <c r="DO1331" t="str">
        <f>IF(DN1331=1,INDEX($DI$7:$DL$7,MATCH(1,$DI1331:$DL1331,0)),"mixedProduct")</f>
        <v>EnergyInput</v>
      </c>
      <c r="DP1331">
        <f>IF(DI1331=1,DP$7,0)</f>
        <v>0</v>
      </c>
      <c r="DQ1331" t="str">
        <f>IF(DJ1331=1,DQ$7,0)</f>
        <v>Energy</v>
      </c>
      <c r="DR1331">
        <f>IF(DK1331=1,DR$7,0)</f>
        <v>0</v>
      </c>
      <c r="DS1331">
        <f>IF(DL1331=1,DS$7,0)</f>
        <v>0</v>
      </c>
      <c r="DT1331">
        <v>0</v>
      </c>
      <c r="DU1331" s="143">
        <v>0</v>
      </c>
      <c r="DV1331" s="143">
        <v>0</v>
      </c>
      <c r="DW1331">
        <v>0</v>
      </c>
      <c r="DX1331" s="143">
        <v>0</v>
      </c>
      <c r="DY1331">
        <f>SUM(DT1331:DU1331)</f>
        <v>0</v>
      </c>
      <c r="DZ1331" s="143" t="str">
        <f>IF(DT1331=1,"self-calculated DF",IF(DU1331=1,"external DF used","explicit C balance"))</f>
        <v>explicit C balance</v>
      </c>
      <c r="EA1331" s="143">
        <v>0</v>
      </c>
      <c r="EB1331" s="143">
        <v>0</v>
      </c>
      <c r="EC1331" s="143">
        <v>0</v>
      </c>
      <c r="ED1331" s="143">
        <v>0</v>
      </c>
      <c r="EE1331">
        <v>0</v>
      </c>
      <c r="EF1331" s="143">
        <v>0</v>
      </c>
      <c r="EG1331" s="143">
        <v>1</v>
      </c>
      <c r="EH1331" s="143">
        <v>1</v>
      </c>
      <c r="EI1331" s="143">
        <v>0</v>
      </c>
      <c r="EJ1331">
        <v>1</v>
      </c>
      <c r="EK1331">
        <v>0</v>
      </c>
      <c r="EL1331" s="143">
        <v>0</v>
      </c>
      <c r="EM1331" s="143">
        <v>0</v>
      </c>
      <c r="EN1331" s="2">
        <v>0</v>
      </c>
      <c r="EP1331" t="str">
        <f>IF(AND(AND(AND(OR($EC1331=1,$EB1331=1),OR($EH1331=1,$EF1331=1)),SUM($EA1331:$EE1331,$EK1331)&gt;=3),SUM($EF1331:$EJ1331)&gt;=2),"Whole sector approach","")</f>
        <v/>
      </c>
      <c r="EQ1331" t="str">
        <f>IF(AND(AND(OR($EC1331=1,$EB1331=1),AND($EH1331=0,$EF1331=0)),SUM($EA1331:$EE1331,$EK1331)&gt;=3),"Ecosystem approach","")</f>
        <v/>
      </c>
      <c r="ER1331" s="2" t="str">
        <f>IF(AND(AND(AND($EC1331=0,$EB1331=0),OR($EH1331=1,$EF1331=1)),SUM($EG1331:$EJ1331)&gt;=2),"Technology approach","")</f>
        <v>Technology approach</v>
      </c>
      <c r="ES1331" t="str">
        <f>IF(AND($EC1331+$EB1331+$EE1331+$EA1331+$ED1331+$EG1331=0,$N1331="included"),"C neutral forest and HWP assumption","")</f>
        <v/>
      </c>
      <c r="ET1331" t="str">
        <f>IF(AND(AND(AND(AND($EC1331=1,$EB1331+$EA1331+$EG1331&gt;=1),$EF1331=1),$EH1331+$EI1331+$ED1331+$EE1331&gt;=2),$N1331="included"),"All C pools assumption","")</f>
        <v/>
      </c>
      <c r="EU1331" t="str">
        <f>IF(AND($ED1331+$EE1331+$EI1331+$EH1331+$EF1331=0,$N1331="included"),"In-situ only assumption","")</f>
        <v/>
      </c>
      <c r="EY1331" t="str">
        <f>IF(ISNUMBER(BW1331),IF(ABS(BW1331-[4]QC_indicators!$B$2)&gt;3*[4]QC_indicators!$C$2,"C ratio",IF(ISNUMBER(CA1331),IF(ABS(CA1331-[4]QC_indicators!$B$1)&gt;3*[4]QC_indicators!$C$1,"DF","no"))),IF(ISNUMBER(CA1331),IF(ABS(CA1331-[4]QC_indicators!$B$1)&gt;3*[4]QC_indicators!$C$1,"DF","no")))</f>
        <v>no</v>
      </c>
      <c r="FA1331" t="str">
        <f>IF(LEN($CY1331)=0,"",IF(AND($CY1331&lt;(-0.05),$ES1331="C neutral forest and HWP assumption"),"Cneutral paradox",IF(AND($CY1331&gt;0.05,$EU1331="In-situ only assumption"),"In-situ only paradox","")))</f>
        <v/>
      </c>
      <c r="FB1331" s="149"/>
    </row>
    <row r="1332" spans="1:160" ht="15" hidden="1" customHeight="1">
      <c r="A1332" s="1" t="s">
        <v>574</v>
      </c>
      <c r="B1332" t="s">
        <v>1320</v>
      </c>
      <c r="C1332" t="s">
        <v>1321</v>
      </c>
      <c r="D1332" t="s">
        <v>1322</v>
      </c>
      <c r="E1332" t="s">
        <v>1323</v>
      </c>
      <c r="F1332" t="s">
        <v>1324</v>
      </c>
      <c r="G1332" t="s">
        <v>580</v>
      </c>
      <c r="H1332" t="s">
        <v>254</v>
      </c>
      <c r="I1332">
        <v>2020</v>
      </c>
      <c r="J1332">
        <v>12</v>
      </c>
      <c r="K1332" t="s">
        <v>1325</v>
      </c>
      <c r="M1332" t="str">
        <f>LEFT($D1332,FIND(",",$D1332)-1)&amp;"_"&amp;I1332&amp;L1332</f>
        <v>Elisa_2020</v>
      </c>
      <c r="N1332" s="317" t="s">
        <v>222</v>
      </c>
      <c r="O1332" s="171" t="s">
        <v>274</v>
      </c>
      <c r="P1332" t="s">
        <v>223</v>
      </c>
      <c r="Q1332" s="317" t="s">
        <v>389</v>
      </c>
      <c r="R1332" s="318" t="s">
        <v>1029</v>
      </c>
      <c r="S1332" s="154" t="s">
        <v>1326</v>
      </c>
      <c r="T1332" s="319" t="s">
        <v>1327</v>
      </c>
      <c r="U1332" s="143" t="s">
        <v>1355</v>
      </c>
      <c r="V1332" s="253">
        <v>0</v>
      </c>
      <c r="W1332" s="253">
        <v>0</v>
      </c>
      <c r="X1332">
        <v>0</v>
      </c>
      <c r="Y1332">
        <v>0</v>
      </c>
      <c r="Z1332">
        <v>0</v>
      </c>
      <c r="AA1332">
        <v>0</v>
      </c>
      <c r="AB1332">
        <v>0</v>
      </c>
      <c r="AC1332">
        <v>0</v>
      </c>
      <c r="AD1332">
        <v>0</v>
      </c>
      <c r="AE1332">
        <v>0</v>
      </c>
      <c r="AF1332">
        <v>0</v>
      </c>
      <c r="AG1332">
        <v>1</v>
      </c>
      <c r="AH1332">
        <v>0</v>
      </c>
      <c r="AI1332">
        <v>0</v>
      </c>
      <c r="AJ1332">
        <v>0</v>
      </c>
      <c r="AK1332">
        <v>0</v>
      </c>
      <c r="AL1332">
        <v>0</v>
      </c>
      <c r="AM1332">
        <v>1</v>
      </c>
      <c r="AN1332">
        <v>0</v>
      </c>
      <c r="AO1332">
        <v>0</v>
      </c>
      <c r="AP1332">
        <v>0</v>
      </c>
      <c r="AQ1332">
        <v>0</v>
      </c>
      <c r="AR1332">
        <v>0</v>
      </c>
      <c r="AS1332">
        <v>0</v>
      </c>
      <c r="AT1332">
        <v>0</v>
      </c>
      <c r="AU1332">
        <v>0</v>
      </c>
      <c r="AV1332">
        <v>0</v>
      </c>
      <c r="AW1332">
        <v>0</v>
      </c>
      <c r="AX1332">
        <v>0</v>
      </c>
      <c r="AY1332">
        <v>0</v>
      </c>
      <c r="AZ1332" s="141">
        <f>COUNTIF(X1332:AY1332,"&lt;&gt;0")</f>
        <v>2</v>
      </c>
      <c r="BA1332" s="141">
        <f>COUNTIF(X1332:AN1332,"&lt;&gt;0")</f>
        <v>2</v>
      </c>
      <c r="BB1332">
        <f>COUNTIF(X1332:AE1332,"&lt;&gt;0")</f>
        <v>0</v>
      </c>
      <c r="BC1332">
        <f>COUNTIF(AF1332:AK1332,"&lt;&gt;0")</f>
        <v>1</v>
      </c>
      <c r="BD1332">
        <f>COUNTIF(AL1332:AN1332,"&lt;&gt;0")</f>
        <v>1</v>
      </c>
      <c r="BE1332">
        <f>COUNTIF(AU1332:AY1332,"&lt;&gt;0")</f>
        <v>0</v>
      </c>
      <c r="BF1332">
        <f>COUNTIF(AO1332:AT1332,"&lt;&gt;0")</f>
        <v>0</v>
      </c>
      <c r="BG1332" t="str" cm="1">
        <f t="array" ref="BG1332">IF(BA1332=1,INDEX($X$7:$AN$7,MATCH(TRUE,INDEX($X1332:$AY1332&lt;&gt;0,),0)),IF(BA1332=0,INDEX($AO$7:$AY$7,MATCH(1,$AO1332:$AY1332,0)),IF(BH1332="Multiple strategies","mixed drivers",IF(BH1332="Supply chain","multiple supply","multiple silviculture"))))</f>
        <v>mixed drivers</v>
      </c>
      <c r="BH1332" s="2" t="str" cm="1">
        <f t="array" ref="BH1332">IF(COUNTIF(BB1332:BD1332,"&lt;&gt;0")=1,INDEX($X$4:$AY$4,MATCH(TRUE,INDEX($X1332:$AY1332&lt;&gt;0,),0)),IF(COUNTIF(BB1332:BD1332,"&lt;&gt;0")=0,INDEX($AO$4:$AY$4,MATCH(1,$AO1332:$AY1332,0)),"Multiple strategies"))</f>
        <v>Multiple strategies</v>
      </c>
      <c r="BI1332" s="142" t="s">
        <v>321</v>
      </c>
      <c r="BJ1332" s="160" t="s">
        <v>1329</v>
      </c>
      <c r="BK1332" s="160" t="s">
        <v>1330</v>
      </c>
      <c r="BL1332" s="143" t="s">
        <v>498</v>
      </c>
      <c r="BM1332" s="143">
        <v>944</v>
      </c>
      <c r="BN1332" s="143">
        <v>11773</v>
      </c>
      <c r="BO1332">
        <f>IFERROR(BN1332/BM1332,"")</f>
        <v>12.471398305084746</v>
      </c>
      <c r="BP1332">
        <f>BN1332-BM1332</f>
        <v>10829</v>
      </c>
      <c r="BQ1332" s="159">
        <f>BP1332</f>
        <v>10829</v>
      </c>
      <c r="BR1332" s="155" t="s">
        <v>232</v>
      </c>
      <c r="BS1332" s="155" t="s">
        <v>1331</v>
      </c>
      <c r="BT1332" s="155" t="s">
        <v>805</v>
      </c>
      <c r="BU1332" s="143" t="s">
        <v>1332</v>
      </c>
      <c r="BV1332" t="s">
        <v>1356</v>
      </c>
      <c r="BW1332" s="144">
        <f>BV1332/BU1332</f>
        <v>15.863389767032684</v>
      </c>
      <c r="BX1332">
        <f>BV1332-BU1332</f>
        <v>-104.313015833333</v>
      </c>
      <c r="BZ1332">
        <f>BX1332</f>
        <v>-104.313015833333</v>
      </c>
      <c r="CA1332">
        <f>IFERROR(BZ1332/BQ1332,"")</f>
        <v>-9.6327468679779302E-3</v>
      </c>
      <c r="CB1332">
        <v>0</v>
      </c>
      <c r="CC1332">
        <v>0</v>
      </c>
      <c r="CD1332">
        <v>0</v>
      </c>
      <c r="CE1332">
        <v>0</v>
      </c>
      <c r="CF1332">
        <v>0</v>
      </c>
      <c r="CG1332">
        <v>0</v>
      </c>
      <c r="CH1332">
        <v>0</v>
      </c>
      <c r="CI1332">
        <v>0</v>
      </c>
      <c r="CJ1332">
        <v>0</v>
      </c>
      <c r="CK1332">
        <v>0</v>
      </c>
      <c r="CL1332">
        <v>0</v>
      </c>
      <c r="CM1332">
        <v>0</v>
      </c>
      <c r="CN1332">
        <v>0</v>
      </c>
      <c r="CO1332">
        <v>0</v>
      </c>
      <c r="CP1332" t="str">
        <f>IF($BN1332&lt;$BM1332,"refNeedCorrection","refOK")</f>
        <v>refOK</v>
      </c>
      <c r="CQ1332">
        <f>IF($CP1332="refOK",$BM1332,$BN1332)</f>
        <v>944</v>
      </c>
      <c r="CR1332">
        <f>IF($CP1332="refOK",$BN1332,$BM1332)</f>
        <v>11773</v>
      </c>
      <c r="CS1332">
        <f>IF($CP1332="refOK",$BQ1332,-$BQ1332)</f>
        <v>10829</v>
      </c>
      <c r="CT1332">
        <f>IF(BI1332="Roundwood",$CS1332/2,$CS1332)</f>
        <v>5414.5</v>
      </c>
      <c r="CU1332">
        <f>IF($CP1332="refOK",$BU1332,$BV1332)*IF($BR1332="Emissions positive",-1,1)</f>
        <v>-7.0181174999999998</v>
      </c>
      <c r="CV1332">
        <f>IF($CP1332="refOK",$BV1332,$BU1332)*IF($BR1332="Emissions positive",-1,1)</f>
        <v>-111.331133333333</v>
      </c>
      <c r="CW1332">
        <f>IF($CP1332="refNeedCorrection",-BZ1332,BZ1332)*IF($BR1332="Emissions positive",-1,1)</f>
        <v>-104.313015833333</v>
      </c>
      <c r="CX1332">
        <f>IFERROR($CW1332/$CS1332,"")</f>
        <v>-9.6327468679779302E-3</v>
      </c>
      <c r="CY1332">
        <f>IFERROR($CW1332/$CS1332,"")</f>
        <v>-9.6327468679779302E-3</v>
      </c>
      <c r="CZ1332">
        <f>IFERROR($CW1332/$CT1332,"")</f>
        <v>-1.926549373595586E-2</v>
      </c>
      <c r="DA1332" s="2">
        <f>IFERROR((CV1332-CU1332)/ABS(CU1332),"")</f>
        <v>-14.863389767032684</v>
      </c>
      <c r="DB1332" s="320" t="s">
        <v>1334</v>
      </c>
      <c r="DC1332" s="317" t="str">
        <f>IF(OR($DB1332="prd",$DB1332="std",$DB1332="cit"),"loc",IF(OR($DB1332="eur",$DB1332="reg",$DB1332="coy"),"reg",$DB1332))</f>
        <v>reg</v>
      </c>
      <c r="DD1332" s="321" t="s">
        <v>729</v>
      </c>
      <c r="DF1332" s="143"/>
      <c r="DG1332" s="143">
        <v>0</v>
      </c>
      <c r="DH1332" t="str">
        <f>IF(DG1332=0,"0",IF(AND(DG1332&gt;=1,DG1332&lt;=30),"1-30",IF(AND(DG1332&gt;30,DG1332&lt;=70),"31-70",IF(AND(DG1332&gt;70,DG1332&lt;=100),"71-100",IF(DG1332&gt;100,"+100")))))</f>
        <v>0</v>
      </c>
      <c r="DI1332">
        <v>0</v>
      </c>
      <c r="DJ1332">
        <v>1</v>
      </c>
      <c r="DK1332">
        <v>0</v>
      </c>
      <c r="DL1332">
        <v>0</v>
      </c>
      <c r="DM1332">
        <v>0</v>
      </c>
      <c r="DN1332">
        <f>SUM(DI1332:DM1332)</f>
        <v>1</v>
      </c>
      <c r="DO1332" t="str">
        <f>IF(DN1332=1,INDEX($DI$7:$DL$7,MATCH(1,$DI1332:$DL1332,0)),"mixedProduct")</f>
        <v>EnergyInput</v>
      </c>
      <c r="DP1332">
        <f>IF(DI1332=1,DP$7,0)</f>
        <v>0</v>
      </c>
      <c r="DQ1332" t="str">
        <f>IF(DJ1332=1,DQ$7,0)</f>
        <v>Energy</v>
      </c>
      <c r="DR1332">
        <f>IF(DK1332=1,DR$7,0)</f>
        <v>0</v>
      </c>
      <c r="DS1332">
        <f>IF(DL1332=1,DS$7,0)</f>
        <v>0</v>
      </c>
      <c r="DT1332">
        <v>0</v>
      </c>
      <c r="DU1332" s="143">
        <v>0</v>
      </c>
      <c r="DV1332" s="143">
        <v>0</v>
      </c>
      <c r="DW1332">
        <v>0</v>
      </c>
      <c r="DX1332" s="143">
        <v>0</v>
      </c>
      <c r="DY1332">
        <f>SUM(DT1332:DU1332)</f>
        <v>0</v>
      </c>
      <c r="DZ1332" s="143" t="str">
        <f>IF(DT1332=1,"self-calculated DF",IF(DU1332=1,"external DF used","explicit C balance"))</f>
        <v>explicit C balance</v>
      </c>
      <c r="EA1332" s="143">
        <v>0</v>
      </c>
      <c r="EB1332" s="143">
        <v>0</v>
      </c>
      <c r="EC1332" s="143">
        <v>0</v>
      </c>
      <c r="ED1332" s="143">
        <v>0</v>
      </c>
      <c r="EE1332">
        <v>0</v>
      </c>
      <c r="EF1332" s="143">
        <v>0</v>
      </c>
      <c r="EG1332" s="143">
        <v>1</v>
      </c>
      <c r="EH1332" s="143">
        <v>1</v>
      </c>
      <c r="EI1332" s="143">
        <v>0</v>
      </c>
      <c r="EJ1332">
        <v>1</v>
      </c>
      <c r="EK1332">
        <v>0</v>
      </c>
      <c r="EL1332" s="143">
        <v>0</v>
      </c>
      <c r="EM1332" s="143">
        <v>0</v>
      </c>
      <c r="EN1332" s="2">
        <v>0</v>
      </c>
      <c r="EP1332" t="str">
        <f>IF(AND(AND(AND(OR($EC1332=1,$EB1332=1),OR($EH1332=1,$EF1332=1)),SUM($EA1332:$EE1332,$EK1332)&gt;=3),SUM($EF1332:$EJ1332)&gt;=2),"Whole sector approach","")</f>
        <v/>
      </c>
      <c r="EQ1332" t="str">
        <f>IF(AND(AND(OR($EC1332=1,$EB1332=1),AND($EH1332=0,$EF1332=0)),SUM($EA1332:$EE1332,$EK1332)&gt;=3),"Ecosystem approach","")</f>
        <v/>
      </c>
      <c r="ER1332" s="2" t="str">
        <f>IF(AND(AND(AND($EC1332=0,$EB1332=0),OR($EH1332=1,$EF1332=1)),SUM($EG1332:$EJ1332)&gt;=2),"Technology approach","")</f>
        <v>Technology approach</v>
      </c>
      <c r="ES1332" t="str">
        <f>IF(AND($EC1332+$EB1332+$EE1332+$EA1332+$ED1332+$EG1332=0,$N1332="included"),"C neutral forest and HWP assumption","")</f>
        <v/>
      </c>
      <c r="ET1332" t="str">
        <f>IF(AND(AND(AND(AND($EC1332=1,$EB1332+$EA1332+$EG1332&gt;=1),$EF1332=1),$EH1332+$EI1332+$ED1332+$EE1332&gt;=2),$N1332="included"),"All C pools assumption","")</f>
        <v/>
      </c>
      <c r="EU1332" t="str">
        <f>IF(AND($ED1332+$EE1332+$EI1332+$EH1332+$EF1332=0,$N1332="included"),"In-situ only assumption","")</f>
        <v/>
      </c>
      <c r="EY1332" t="str">
        <f>IF(ISNUMBER(BW1332),IF(ABS(BW1332-[4]QC_indicators!$B$2)&gt;3*[4]QC_indicators!$C$2,"C ratio",IF(ISNUMBER(CA1332),IF(ABS(CA1332-[4]QC_indicators!$B$1)&gt;3*[4]QC_indicators!$C$1,"DF","no"))),IF(ISNUMBER(CA1332),IF(ABS(CA1332-[4]QC_indicators!$B$1)&gt;3*[4]QC_indicators!$C$1,"DF","no")))</f>
        <v>no</v>
      </c>
      <c r="FA1332" t="str">
        <f>IF(LEN($CY1332)=0,"",IF(AND($CY1332&lt;(-0.05),$ES1332="C neutral forest and HWP assumption"),"Cneutral paradox",IF(AND($CY1332&gt;0.05,$EU1332="In-situ only assumption"),"In-situ only paradox","")))</f>
        <v/>
      </c>
      <c r="FB1332" s="149"/>
    </row>
    <row r="1333" spans="1:160" ht="15" hidden="1" customHeight="1">
      <c r="A1333" s="1" t="s">
        <v>1016</v>
      </c>
      <c r="B1333" t="s">
        <v>1450</v>
      </c>
      <c r="C1333" t="s">
        <v>1451</v>
      </c>
      <c r="D1333" t="s">
        <v>1452</v>
      </c>
      <c r="E1333" t="s">
        <v>1453</v>
      </c>
      <c r="F1333" t="s">
        <v>1454</v>
      </c>
      <c r="G1333" t="s">
        <v>1017</v>
      </c>
      <c r="H1333" t="s">
        <v>254</v>
      </c>
      <c r="I1333">
        <v>2020</v>
      </c>
      <c r="J1333">
        <v>4</v>
      </c>
      <c r="K1333" t="s">
        <v>1455</v>
      </c>
      <c r="M1333" t="str">
        <f>LEFT($D1333,FIND(",",$D1333)-1)&amp;"_"&amp;I1333&amp;L1333</f>
        <v>Ganguly_2020</v>
      </c>
      <c r="N1333" t="s">
        <v>222</v>
      </c>
      <c r="O1333" s="145" t="s">
        <v>274</v>
      </c>
      <c r="Q1333" s="260" t="s">
        <v>256</v>
      </c>
      <c r="R1333" s="264" t="s">
        <v>341</v>
      </c>
      <c r="S1333" s="1" t="s">
        <v>1456</v>
      </c>
      <c r="T1333" t="s">
        <v>1464</v>
      </c>
      <c r="U1333" t="s">
        <v>1458</v>
      </c>
      <c r="V1333" s="253">
        <v>0</v>
      </c>
      <c r="W1333" s="253">
        <v>0</v>
      </c>
      <c r="X1333">
        <v>0</v>
      </c>
      <c r="Y1333">
        <v>0</v>
      </c>
      <c r="Z1333">
        <v>0</v>
      </c>
      <c r="AA1333">
        <v>0</v>
      </c>
      <c r="AB1333">
        <v>0</v>
      </c>
      <c r="AC1333">
        <v>0</v>
      </c>
      <c r="AD1333">
        <v>0</v>
      </c>
      <c r="AE1333">
        <v>0</v>
      </c>
      <c r="AF1333">
        <v>0</v>
      </c>
      <c r="AG1333">
        <v>1</v>
      </c>
      <c r="AH1333">
        <v>0</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s="141">
        <f>COUNTIF(X1333:AY1333,"&lt;&gt;0")</f>
        <v>1</v>
      </c>
      <c r="BA1333" s="141">
        <f>COUNTIF(X1333:AN1333,"&lt;&gt;0")</f>
        <v>1</v>
      </c>
      <c r="BB1333">
        <f>COUNTIF(X1333:AE1333,"&lt;&gt;0")</f>
        <v>0</v>
      </c>
      <c r="BC1333">
        <f>COUNTIF(AF1333:AK1333,"&lt;&gt;0")</f>
        <v>1</v>
      </c>
      <c r="BD1333">
        <f>COUNTIF(AL1333:AN1333,"&lt;&gt;0")</f>
        <v>0</v>
      </c>
      <c r="BE1333">
        <f>COUNTIF(AU1333:AY1333,"&lt;&gt;0")</f>
        <v>0</v>
      </c>
      <c r="BF1333">
        <f>COUNTIF(AO1333:AT1333,"&lt;&gt;0")</f>
        <v>0</v>
      </c>
      <c r="BG1333" t="str" cm="1">
        <f t="array" ref="BG1333">IF(BA1333=1,INDEX($X$7:$AN$7,MATCH(TRUE,INDEX($X1333:$AY1333&lt;&gt;0,),0)),IF(BA1333=0,INDEX($AO$7:$AY$7,MATCH(1,$AO1333:$AY1333,0)),IF(BH1333="Multiple strategies","mixed drivers",IF(BH1333="Supply chain","multiple supply","multiple silviculture"))))</f>
        <v>location of industry</v>
      </c>
      <c r="BH1333" s="2" t="str" cm="1">
        <f t="array" ref="BH1333">IF(COUNTIF(BB1333:BD1333,"&lt;&gt;0")=1,INDEX($X$4:$AY$4,MATCH(TRUE,INDEX($X1333:$AY1333&lt;&gt;0,),0)),IF(COUNTIF(BB1333:BD1333,"&lt;&gt;0")=0,INDEX($AO$4:$AY$4,MATCH(1,$AO1333:$AY1333,0)),"Multiple strategies"))</f>
        <v>Supply chain</v>
      </c>
      <c r="BI1333" s="1" t="s">
        <v>321</v>
      </c>
      <c r="BJ1333" t="s">
        <v>1459</v>
      </c>
      <c r="BK1333" s="160" t="s">
        <v>1460</v>
      </c>
      <c r="BL1333" t="s">
        <v>1461</v>
      </c>
      <c r="BM1333">
        <v>779369</v>
      </c>
      <c r="BN1333">
        <v>3760725</v>
      </c>
      <c r="BO1333">
        <f>BN1333/BM1333</f>
        <v>4.8253458887895206</v>
      </c>
      <c r="BP1333">
        <f>BN1333-BM1333</f>
        <v>2981356</v>
      </c>
      <c r="BQ1333">
        <f>BP1333*t_to_m3</f>
        <v>6084400</v>
      </c>
      <c r="BR1333" t="s">
        <v>232</v>
      </c>
      <c r="BS1333" s="160" t="s">
        <v>1462</v>
      </c>
      <c r="BT1333" t="s">
        <v>526</v>
      </c>
      <c r="BU1333">
        <v>465273</v>
      </c>
      <c r="BV1333">
        <v>2224329</v>
      </c>
      <c r="BW1333" s="144">
        <f>IFERROR(BV1333/BU1333,"")</f>
        <v>4.7806964943162402</v>
      </c>
      <c r="BX1333">
        <f>BV1333-BU1333</f>
        <v>1759056</v>
      </c>
      <c r="BZ1333">
        <f>BX1333</f>
        <v>1759056</v>
      </c>
      <c r="CA1333">
        <f>IFERROR(BZ1333/BQ1333,"")</f>
        <v>0.28910919729143381</v>
      </c>
      <c r="CB1333">
        <v>0</v>
      </c>
      <c r="CC1333">
        <v>0</v>
      </c>
      <c r="CD1333">
        <v>0</v>
      </c>
      <c r="CE1333">
        <v>0</v>
      </c>
      <c r="CF1333">
        <v>0</v>
      </c>
      <c r="CG1333">
        <v>0</v>
      </c>
      <c r="CH1333">
        <v>0</v>
      </c>
      <c r="CI1333">
        <v>0</v>
      </c>
      <c r="CJ1333">
        <v>0</v>
      </c>
      <c r="CK1333">
        <v>0</v>
      </c>
      <c r="CL1333">
        <v>0</v>
      </c>
      <c r="CM1333">
        <v>0</v>
      </c>
      <c r="CN1333">
        <v>0</v>
      </c>
      <c r="CO1333">
        <v>0</v>
      </c>
      <c r="CP1333" t="str">
        <f>IF($BN1333&lt;$BM1333,"refNeedCorrection","refOK")</f>
        <v>refOK</v>
      </c>
      <c r="CQ1333">
        <f>IF($CP1333="refNeedCorrection",BN1333,BM1333)</f>
        <v>779369</v>
      </c>
      <c r="CR1333">
        <f>IF($CP1333="refNeedCorrection",BM1333,BN1333)</f>
        <v>3760725</v>
      </c>
      <c r="CS1333">
        <f>IF($CP1333="refOK",$BQ1333,-$BQ1333)</f>
        <v>6084400</v>
      </c>
      <c r="CT1333">
        <f>IF(BI1333="Roundwood",$CS1333/2,$CS1333)</f>
        <v>3042200</v>
      </c>
      <c r="CU1333">
        <f>IF($CP1333="refOK",$BU1333,$BV1333)*IF($BR1333="Emissions positive",-1,1)</f>
        <v>465273</v>
      </c>
      <c r="CV1333">
        <f>IF($CP1333="refOK",$BV1333,$BU1333)*IF($BR1333="Emissions positive",-1,1)</f>
        <v>2224329</v>
      </c>
      <c r="CW1333">
        <f>IF($CP1333="refNeedCorrection",-BZ1333,BZ1333)*IF($BR1333="Emissions positive",-1,1)</f>
        <v>1759056</v>
      </c>
      <c r="CX1333">
        <f>IFERROR($CW1333/$CS1333,"")</f>
        <v>0.28910919729143381</v>
      </c>
      <c r="CY1333">
        <f>IFERROR($CW1333/$CS1333,"")</f>
        <v>0.28910919729143381</v>
      </c>
      <c r="CZ1333">
        <f>IFERROR($CW1333/$CT1333,"")</f>
        <v>0.57821839458286761</v>
      </c>
      <c r="DA1333" s="2">
        <f>IFERROR((CV1333-CU1333)/ABS(CU1333),"")</f>
        <v>3.7806964943162402</v>
      </c>
      <c r="DB1333" s="1" t="s">
        <v>1074</v>
      </c>
      <c r="DC1333" s="260" t="str">
        <f>IF(OR($DB1333="prd",$DB1333="std",$DB1333="cit"),"loc",IF(OR($DB1333="eur",$DB1333="reg",$DB1333="coy"),"reg",$DB1333))</f>
        <v>reg</v>
      </c>
      <c r="DD1333" t="s">
        <v>428</v>
      </c>
      <c r="DG1333">
        <v>100</v>
      </c>
      <c r="DH1333" t="str">
        <f>IF(DG1333=0,"0",IF(AND(DG1333&gt;=1,DG1333&lt;=30),"1-30",IF(AND(DG1333&gt;30,DG1333&lt;=70),"31-70",IF(AND(DG1333&gt;70,DG1333&lt;=100),"71-100",IF(DG1333&gt;100,"+100")))))</f>
        <v>71-100</v>
      </c>
      <c r="DI1333">
        <v>0</v>
      </c>
      <c r="DJ1333">
        <v>0</v>
      </c>
      <c r="DK1333">
        <v>1</v>
      </c>
      <c r="DL1333">
        <v>1</v>
      </c>
      <c r="DN1333">
        <f>SUM(DI1333:DL1333)</f>
        <v>2</v>
      </c>
      <c r="DO1333" t="str">
        <f>IF(DN1333=1,INDEX($DI$7:$DL$7,MATCH(1,$DI1333:$DL1333,0)),"mixedProduct")</f>
        <v>mixedProduct</v>
      </c>
      <c r="DP1333">
        <f>IF(DI1333=1,DP$7,0)</f>
        <v>0</v>
      </c>
      <c r="DQ1333">
        <f>IF(DJ1333=1,DQ$7,0)</f>
        <v>0</v>
      </c>
      <c r="DR1333" t="str">
        <f>IF(DK1333=1,DR$7,0)</f>
        <v>Pulp/Paper</v>
      </c>
      <c r="DS1333" t="str">
        <f>IF(DL1333=1,DS$7,0)</f>
        <v>Timber</v>
      </c>
      <c r="DT1333">
        <v>0</v>
      </c>
      <c r="DU1333">
        <v>0</v>
      </c>
      <c r="DV1333">
        <v>0</v>
      </c>
      <c r="DW1333">
        <v>0</v>
      </c>
      <c r="DX1333">
        <v>0</v>
      </c>
      <c r="DY1333">
        <f>SUM(DT1333:DU1333)</f>
        <v>0</v>
      </c>
      <c r="DZ1333" s="143" t="str">
        <f>IF(DT1333=1,"self-calculated DF",IF(DU1333=1,"external DF used","explicit C balance"))</f>
        <v>explicit C balance</v>
      </c>
      <c r="EA1333">
        <v>0</v>
      </c>
      <c r="EB1333">
        <v>0</v>
      </c>
      <c r="EC1333">
        <v>0</v>
      </c>
      <c r="ED1333">
        <v>1</v>
      </c>
      <c r="EE1333">
        <v>0</v>
      </c>
      <c r="EF1333" s="143">
        <v>0</v>
      </c>
      <c r="EG1333">
        <v>0</v>
      </c>
      <c r="EH1333">
        <v>0</v>
      </c>
      <c r="EI1333">
        <v>0</v>
      </c>
      <c r="EJ1333">
        <v>0</v>
      </c>
      <c r="EK1333">
        <v>0</v>
      </c>
      <c r="EL1333">
        <v>1</v>
      </c>
      <c r="EM1333">
        <v>0</v>
      </c>
      <c r="EN1333" s="2">
        <v>0</v>
      </c>
      <c r="EP1333" t="str">
        <f>IF(AND(AND(AND(OR($EC1333=1,$EB1333=1),OR($EH1333=1,$EF1333=1)),SUM($EA1333:$EE1333,$EK1333)&gt;=3),SUM($EF1333:$EJ1333)&gt;=2),"Whole sector approach","")</f>
        <v/>
      </c>
      <c r="EQ1333" t="str">
        <f>IF(AND(AND(OR($EC1333=1,$EB1333=1),AND($EH1333=0,$EF1333=0)),SUM($EA1333:$EE1333,$EK1333)&gt;=4),"Ecosystem approach","")</f>
        <v/>
      </c>
      <c r="ER1333" s="2" t="str">
        <f>IF(AND(AND(AND($EC1333=0,$EB1333=0),OR($EH1333=1,$EF1333=1)),SUM($EG1333:$EJ1333)&gt;=2),"Technology approach","")</f>
        <v/>
      </c>
      <c r="ES1333" t="str">
        <f>IF(AND($EC1333+$EB1333+$EE1333+$EA1333+$ED1333+$EG1333=0,$N1333="included"),"C neutral forest and HWP assumption","")</f>
        <v/>
      </c>
      <c r="ET1333" t="str">
        <f>IF(AND(AND(AND(AND($EC1333=1,$EB1333+$EA1333+$EG1333&gt;=1),$EF1333=1),$EH1333+$EI1333+$ED1333+$EE1333&gt;=2),$N1333="included"),"All C pools assumption","")</f>
        <v/>
      </c>
      <c r="EU1333" t="str">
        <f>IF(AND($ED1333+$EE1333+$EI1333+$EH1333+$EF1333=0,$N1333="included"),"In-situ only assumption","")</f>
        <v/>
      </c>
      <c r="EY1333" t="str">
        <f>IF(ISNUMBER(BW1333),IF(ABS(BW1333-[5]QC_indicators!$B$2)&gt;3*[5]QC_indicators!$C$2,"C ratio",IF(ISNUMBER(CA1333),IF(ABS(CA1333-[5]QC_indicators!$B$1)&gt;3*[5]QC_indicators!$C$1,"DF","no"))),IF(ISNUMBER(CA1333),IF(ABS(CA1333-[5]QC_indicators!$B$1)&gt;3*[5]QC_indicators!$C$1,"DF","no")))</f>
        <v>no</v>
      </c>
      <c r="FA1333" t="str">
        <f>IF(LEN($CY1333)=0,"",IF(AND($CY1333&lt;(-0.05),$ES1333="C neutral forest and HWP assumption"),"Cneutral paradox",IF(AND($CY1333&gt;0.05,$EU1333="In-situ only assumption"),"In-situ only paradox","")))</f>
        <v/>
      </c>
      <c r="FB1333" t="s">
        <v>1463</v>
      </c>
      <c r="FD1333" s="260" t="s">
        <v>3082</v>
      </c>
    </row>
    <row r="1334" spans="1:160" hidden="1">
      <c r="A1334" s="1" t="s">
        <v>1016</v>
      </c>
      <c r="B1334" t="s">
        <v>1450</v>
      </c>
      <c r="C1334" t="s">
        <v>1451</v>
      </c>
      <c r="D1334" t="s">
        <v>1452</v>
      </c>
      <c r="E1334" t="s">
        <v>1453</v>
      </c>
      <c r="F1334" t="s">
        <v>1454</v>
      </c>
      <c r="G1334" t="s">
        <v>1017</v>
      </c>
      <c r="H1334" t="s">
        <v>254</v>
      </c>
      <c r="I1334">
        <v>2020</v>
      </c>
      <c r="J1334">
        <v>4</v>
      </c>
      <c r="K1334" t="s">
        <v>1455</v>
      </c>
      <c r="M1334" t="str">
        <f>LEFT($D1334,FIND(",",$D1334)-1)&amp;"_"&amp;I1334&amp;L1334</f>
        <v>Ganguly_2020</v>
      </c>
      <c r="N1334" t="s">
        <v>222</v>
      </c>
      <c r="O1334" s="145" t="s">
        <v>274</v>
      </c>
      <c r="Q1334" s="260" t="s">
        <v>256</v>
      </c>
      <c r="R1334" s="264" t="s">
        <v>341</v>
      </c>
      <c r="S1334" s="1" t="s">
        <v>1456</v>
      </c>
      <c r="T1334" t="s">
        <v>1464</v>
      </c>
      <c r="U1334" t="s">
        <v>1458</v>
      </c>
      <c r="V1334" s="253">
        <v>0</v>
      </c>
      <c r="W1334" s="253">
        <v>0</v>
      </c>
      <c r="X1334">
        <v>0</v>
      </c>
      <c r="Y1334">
        <v>0</v>
      </c>
      <c r="Z1334">
        <v>0</v>
      </c>
      <c r="AA1334">
        <v>0</v>
      </c>
      <c r="AB1334">
        <v>0</v>
      </c>
      <c r="AC1334">
        <v>0</v>
      </c>
      <c r="AD1334">
        <v>0</v>
      </c>
      <c r="AE1334">
        <v>0</v>
      </c>
      <c r="AF1334">
        <v>0</v>
      </c>
      <c r="AG1334">
        <v>1</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s="141">
        <f>COUNTIF(X1334:AY1334,"&lt;&gt;0")</f>
        <v>1</v>
      </c>
      <c r="BA1334" s="141">
        <f>COUNTIF(X1334:AN1334,"&lt;&gt;0")</f>
        <v>1</v>
      </c>
      <c r="BB1334">
        <f>COUNTIF(X1334:AE1334,"&lt;&gt;0")</f>
        <v>0</v>
      </c>
      <c r="BC1334">
        <f>COUNTIF(AF1334:AK1334,"&lt;&gt;0")</f>
        <v>1</v>
      </c>
      <c r="BD1334">
        <f>COUNTIF(AL1334:AN1334,"&lt;&gt;0")</f>
        <v>0</v>
      </c>
      <c r="BE1334">
        <f>COUNTIF(AU1334:AY1334,"&lt;&gt;0")</f>
        <v>0</v>
      </c>
      <c r="BF1334">
        <f>COUNTIF(AO1334:AT1334,"&lt;&gt;0")</f>
        <v>0</v>
      </c>
      <c r="BG1334" t="str" cm="1">
        <f t="array" ref="BG1334">IF(BA1334=1,INDEX($X$7:$AN$7,MATCH(TRUE,INDEX($X1334:$AY1334&lt;&gt;0,),0)),IF(BA1334=0,INDEX($AO$7:$AY$7,MATCH(1,$AO1334:$AY1334,0)),IF(BH1334="Multiple strategies","mixed drivers",IF(BH1334="Supply chain","multiple supply","multiple silviculture"))))</f>
        <v>location of industry</v>
      </c>
      <c r="BH1334" s="2" t="str" cm="1">
        <f t="array" ref="BH1334">IF(COUNTIF(BB1334:BD1334,"&lt;&gt;0")=1,INDEX($X$4:$AY$4,MATCH(TRUE,INDEX($X1334:$AY1334&lt;&gt;0,),0)),IF(COUNTIF(BB1334:BD1334,"&lt;&gt;0")=0,INDEX($AO$4:$AY$4,MATCH(1,$AO1334:$AY1334,0)),"Multiple strategies"))</f>
        <v>Supply chain</v>
      </c>
      <c r="BI1334" s="1" t="s">
        <v>321</v>
      </c>
      <c r="BJ1334" t="s">
        <v>1459</v>
      </c>
      <c r="BK1334" s="160" t="s">
        <v>1460</v>
      </c>
      <c r="BL1334" t="s">
        <v>1461</v>
      </c>
      <c r="BM1334">
        <v>779369</v>
      </c>
      <c r="BN1334">
        <v>3760725</v>
      </c>
      <c r="BO1334">
        <f>BN1334/BM1334</f>
        <v>4.8253458887895206</v>
      </c>
      <c r="BP1334">
        <f>BN1334-BM1334</f>
        <v>2981356</v>
      </c>
      <c r="BQ1334">
        <f>BP1334*t_to_m3</f>
        <v>6084400</v>
      </c>
      <c r="BR1334" t="s">
        <v>232</v>
      </c>
      <c r="BS1334" s="160" t="s">
        <v>1462</v>
      </c>
      <c r="BT1334" t="s">
        <v>526</v>
      </c>
      <c r="BU1334">
        <v>173114</v>
      </c>
      <c r="BV1334">
        <v>736474</v>
      </c>
      <c r="BW1334" s="144">
        <f>IFERROR(BV1334/BU1334,"")</f>
        <v>4.2542717515625545</v>
      </c>
      <c r="BX1334">
        <f>BV1334-BU1334</f>
        <v>563360</v>
      </c>
      <c r="BZ1334">
        <f>BX1334</f>
        <v>563360</v>
      </c>
      <c r="CA1334">
        <f>IFERROR(BZ1334/BQ1334,"")</f>
        <v>9.2590888173032668E-2</v>
      </c>
      <c r="CB1334">
        <v>0</v>
      </c>
      <c r="CC1334">
        <v>0</v>
      </c>
      <c r="CD1334">
        <v>0</v>
      </c>
      <c r="CE1334">
        <v>0</v>
      </c>
      <c r="CF1334">
        <v>0</v>
      </c>
      <c r="CG1334">
        <v>0</v>
      </c>
      <c r="CH1334">
        <v>0</v>
      </c>
      <c r="CI1334">
        <v>0</v>
      </c>
      <c r="CJ1334">
        <v>0</v>
      </c>
      <c r="CK1334">
        <v>0</v>
      </c>
      <c r="CL1334">
        <v>0</v>
      </c>
      <c r="CM1334">
        <v>0</v>
      </c>
      <c r="CN1334">
        <v>0</v>
      </c>
      <c r="CO1334">
        <v>0</v>
      </c>
      <c r="CP1334" t="str">
        <f>IF($BN1334&lt;$BM1334,"refNeedCorrection","refOK")</f>
        <v>refOK</v>
      </c>
      <c r="CQ1334">
        <f>IF($CP1334="refNeedCorrection",BN1334,BM1334)</f>
        <v>779369</v>
      </c>
      <c r="CR1334">
        <f>IF($CP1334="refNeedCorrection",BM1334,BN1334)</f>
        <v>3760725</v>
      </c>
      <c r="CS1334">
        <f>IF($CP1334="refOK",$BQ1334,-$BQ1334)</f>
        <v>6084400</v>
      </c>
      <c r="CT1334">
        <f>IF(BI1334="Roundwood",$CS1334/2,$CS1334)</f>
        <v>3042200</v>
      </c>
      <c r="CU1334">
        <f>IF($CP1334="refOK",$BU1334,$BV1334)*IF($BR1334="Emissions positive",-1,1)</f>
        <v>173114</v>
      </c>
      <c r="CV1334">
        <f>IF($CP1334="refOK",$BV1334,$BU1334)*IF($BR1334="Emissions positive",-1,1)</f>
        <v>736474</v>
      </c>
      <c r="CW1334">
        <f>IF($CP1334="refNeedCorrection",-BZ1334,BZ1334)*IF($BR1334="Emissions positive",-1,1)</f>
        <v>563360</v>
      </c>
      <c r="CX1334">
        <f>IFERROR($CW1334/$CS1334,"")</f>
        <v>9.2590888173032668E-2</v>
      </c>
      <c r="CY1334">
        <f>IFERROR($CW1334/$CS1334,"")</f>
        <v>9.2590888173032668E-2</v>
      </c>
      <c r="CZ1334">
        <f>IFERROR($CW1334/$CT1334,"")</f>
        <v>0.18518177634606534</v>
      </c>
      <c r="DA1334" s="2">
        <f>IFERROR((CV1334-CU1334)/ABS(CU1334),"")</f>
        <v>3.2542717515625541</v>
      </c>
      <c r="DB1334" s="1" t="s">
        <v>1074</v>
      </c>
      <c r="DC1334" s="260" t="str">
        <f>IF(OR($DB1334="prd",$DB1334="std",$DB1334="cit"),"loc",IF(OR($DB1334="eur",$DB1334="reg",$DB1334="coy"),"reg",$DB1334))</f>
        <v>reg</v>
      </c>
      <c r="DD1334" t="s">
        <v>428</v>
      </c>
      <c r="DG1334">
        <v>100</v>
      </c>
      <c r="DH1334" t="str">
        <f>IF(DG1334=0,"0",IF(AND(DG1334&gt;=1,DG1334&lt;=30),"1-30",IF(AND(DG1334&gt;30,DG1334&lt;=70),"31-70",IF(AND(DG1334&gt;70,DG1334&lt;=100),"71-100",IF(DG1334&gt;100,"+100")))))</f>
        <v>71-100</v>
      </c>
      <c r="DI1334">
        <v>0</v>
      </c>
      <c r="DJ1334">
        <v>0</v>
      </c>
      <c r="DK1334">
        <v>1</v>
      </c>
      <c r="DL1334">
        <v>1</v>
      </c>
      <c r="DN1334">
        <f>SUM(DI1334:DL1334)</f>
        <v>2</v>
      </c>
      <c r="DO1334" t="str">
        <f>IF(DN1334=1,INDEX($DI$7:$DL$7,MATCH(1,$DI1334:$DL1334,0)),"mixedProduct")</f>
        <v>mixedProduct</v>
      </c>
      <c r="DP1334">
        <f>IF(DI1334=1,DP$7,0)</f>
        <v>0</v>
      </c>
      <c r="DQ1334">
        <f>IF(DJ1334=1,DQ$7,0)</f>
        <v>0</v>
      </c>
      <c r="DR1334" t="str">
        <f>IF(DK1334=1,DR$7,0)</f>
        <v>Pulp/Paper</v>
      </c>
      <c r="DS1334" t="str">
        <f>IF(DL1334=1,DS$7,0)</f>
        <v>Timber</v>
      </c>
      <c r="DT1334">
        <v>0</v>
      </c>
      <c r="DU1334">
        <v>0</v>
      </c>
      <c r="DV1334">
        <v>0</v>
      </c>
      <c r="DW1334">
        <v>0</v>
      </c>
      <c r="DX1334">
        <v>0</v>
      </c>
      <c r="DY1334">
        <f>SUM(DT1334:DU1334)</f>
        <v>0</v>
      </c>
      <c r="DZ1334" s="143" t="str">
        <f>IF(DT1334=1,"self-calculated DF",IF(DU1334=1,"external DF used","explicit C balance"))</f>
        <v>explicit C balance</v>
      </c>
      <c r="EA1334">
        <v>0</v>
      </c>
      <c r="EB1334">
        <v>0</v>
      </c>
      <c r="EC1334">
        <v>0</v>
      </c>
      <c r="ED1334">
        <v>1</v>
      </c>
      <c r="EE1334">
        <v>0</v>
      </c>
      <c r="EF1334" s="143">
        <v>0</v>
      </c>
      <c r="EG1334">
        <v>1</v>
      </c>
      <c r="EH1334">
        <v>1</v>
      </c>
      <c r="EI1334">
        <v>0</v>
      </c>
      <c r="EJ1334">
        <v>0</v>
      </c>
      <c r="EK1334">
        <v>0</v>
      </c>
      <c r="EL1334">
        <v>1</v>
      </c>
      <c r="EM1334">
        <v>0</v>
      </c>
      <c r="EN1334" s="2">
        <v>0</v>
      </c>
      <c r="EP1334" t="str">
        <f>IF(AND(AND(AND(OR($EC1334=1,$EB1334=1),OR($EH1334=1,$EF1334=1)),SUM($EA1334:$EE1334,$EK1334)&gt;=3),SUM($EF1334:$EJ1334)&gt;=2),"Whole sector approach","")</f>
        <v/>
      </c>
      <c r="EQ1334" t="str">
        <f>IF(AND(AND(OR($EC1334=1,$EB1334=1),AND($EH1334=0,$EF1334=0)),SUM($EA1334:$EE1334,$EK1334)&gt;=4),"Ecosystem approach","")</f>
        <v/>
      </c>
      <c r="ER1334" s="2" t="str">
        <f>IF(AND(AND(AND($EC1334=0,$EB1334=0),OR($EH1334=1,$EF1334=1)),SUM($EG1334:$EJ1334)&gt;=2),"Technology approach","")</f>
        <v>Technology approach</v>
      </c>
      <c r="ES1334" t="str">
        <f>IF(AND($EC1334+$EB1334+$EE1334+$EA1334+$ED1334+$EG1334=0,$N1334="included"),"C neutral forest and HWP assumption","")</f>
        <v/>
      </c>
      <c r="ET1334" t="str">
        <f>IF(AND(AND(AND(AND($EC1334=1,$EB1334+$EA1334+$EG1334&gt;=1),$EF1334=1),$EH1334+$EI1334+$ED1334+$EE1334&gt;=2),$N1334="included"),"All C pools assumption","")</f>
        <v/>
      </c>
      <c r="EU1334" t="str">
        <f>IF(AND($ED1334+$EE1334+$EI1334+$EH1334+$EF1334=0,$N1334="included"),"In-situ only assumption","")</f>
        <v/>
      </c>
      <c r="EY1334" t="str">
        <f>IF(ISNUMBER(BW1334),IF(ABS(BW1334-[5]QC_indicators!$B$2)&gt;3*[5]QC_indicators!$C$2,"C ratio",IF(ISNUMBER(CA1334),IF(ABS(CA1334-[5]QC_indicators!$B$1)&gt;3*[5]QC_indicators!$C$1,"DF","no"))),IF(ISNUMBER(CA1334),IF(ABS(CA1334-[5]QC_indicators!$B$1)&gt;3*[5]QC_indicators!$C$1,"DF","no")))</f>
        <v>no</v>
      </c>
      <c r="EZ1334" t="s">
        <v>1039</v>
      </c>
      <c r="FA1334" t="str">
        <f>IF(LEN($CY1334)=0,"",IF(AND($CY1334&lt;(-0.05),$ES1334="C neutral forest and HWP assumption"),"Cneutral paradox",IF(AND($CY1334&gt;0.05,$EU1334="In-situ only assumption"),"In-situ only paradox","")))</f>
        <v/>
      </c>
      <c r="FB1334" t="s">
        <v>1463</v>
      </c>
      <c r="FD1334" s="260" t="s">
        <v>3082</v>
      </c>
    </row>
    <row r="1335" spans="1:160" ht="15" hidden="1" customHeight="1">
      <c r="A1335" s="1" t="s">
        <v>1016</v>
      </c>
      <c r="B1335" t="s">
        <v>1450</v>
      </c>
      <c r="C1335" t="s">
        <v>1451</v>
      </c>
      <c r="D1335" t="s">
        <v>1452</v>
      </c>
      <c r="E1335" t="s">
        <v>1453</v>
      </c>
      <c r="F1335" t="s">
        <v>1454</v>
      </c>
      <c r="G1335" t="s">
        <v>1017</v>
      </c>
      <c r="H1335" t="s">
        <v>254</v>
      </c>
      <c r="I1335">
        <v>2020</v>
      </c>
      <c r="J1335">
        <v>4</v>
      </c>
      <c r="K1335" t="s">
        <v>1455</v>
      </c>
      <c r="M1335" t="str">
        <f>LEFT($D1335,FIND(",",$D1335)-1)&amp;"_"&amp;I1335&amp;L1335</f>
        <v>Ganguly_2020</v>
      </c>
      <c r="N1335" t="s">
        <v>222</v>
      </c>
      <c r="O1335" s="145" t="s">
        <v>274</v>
      </c>
      <c r="Q1335" s="260" t="s">
        <v>256</v>
      </c>
      <c r="R1335" s="264" t="s">
        <v>341</v>
      </c>
      <c r="S1335" s="1" t="s">
        <v>1456</v>
      </c>
      <c r="T1335" t="s">
        <v>1457</v>
      </c>
      <c r="U1335" t="s">
        <v>1458</v>
      </c>
      <c r="V1335" s="253">
        <v>0</v>
      </c>
      <c r="W1335" s="253">
        <v>0</v>
      </c>
      <c r="X1335">
        <v>0</v>
      </c>
      <c r="Y1335">
        <v>0</v>
      </c>
      <c r="Z1335">
        <v>0</v>
      </c>
      <c r="AA1335">
        <v>0</v>
      </c>
      <c r="AB1335">
        <v>0</v>
      </c>
      <c r="AC1335">
        <v>0</v>
      </c>
      <c r="AD1335">
        <v>0</v>
      </c>
      <c r="AE1335">
        <v>0</v>
      </c>
      <c r="AF1335">
        <v>0</v>
      </c>
      <c r="AG1335">
        <v>1</v>
      </c>
      <c r="AH1335">
        <v>0</v>
      </c>
      <c r="AI1335">
        <v>0</v>
      </c>
      <c r="AJ1335">
        <v>0</v>
      </c>
      <c r="AK1335">
        <v>0</v>
      </c>
      <c r="AL1335">
        <v>0</v>
      </c>
      <c r="AM1335">
        <v>0</v>
      </c>
      <c r="AN1335">
        <v>0</v>
      </c>
      <c r="AO1335">
        <v>0</v>
      </c>
      <c r="AP1335">
        <v>0</v>
      </c>
      <c r="AQ1335">
        <v>0</v>
      </c>
      <c r="AR1335">
        <v>0</v>
      </c>
      <c r="AS1335">
        <v>0</v>
      </c>
      <c r="AT1335">
        <v>0</v>
      </c>
      <c r="AU1335">
        <v>0</v>
      </c>
      <c r="AV1335">
        <v>0</v>
      </c>
      <c r="AW1335">
        <v>0</v>
      </c>
      <c r="AX1335">
        <v>0</v>
      </c>
      <c r="AY1335">
        <v>0</v>
      </c>
      <c r="AZ1335" s="141">
        <f>COUNTIF(X1335:AY1335,"&lt;&gt;0")</f>
        <v>1</v>
      </c>
      <c r="BA1335" s="141">
        <f>COUNTIF(X1335:AN1335,"&lt;&gt;0")</f>
        <v>1</v>
      </c>
      <c r="BB1335">
        <f>COUNTIF(X1335:AE1335,"&lt;&gt;0")</f>
        <v>0</v>
      </c>
      <c r="BC1335">
        <f>COUNTIF(AF1335:AK1335,"&lt;&gt;0")</f>
        <v>1</v>
      </c>
      <c r="BD1335">
        <f>COUNTIF(AL1335:AN1335,"&lt;&gt;0")</f>
        <v>0</v>
      </c>
      <c r="BE1335">
        <f>COUNTIF(AU1335:AY1335,"&lt;&gt;0")</f>
        <v>0</v>
      </c>
      <c r="BF1335">
        <f>COUNTIF(AO1335:AT1335,"&lt;&gt;0")</f>
        <v>0</v>
      </c>
      <c r="BG1335" t="str" cm="1">
        <f t="array" ref="BG1335">IF(BA1335=1,INDEX($X$7:$AN$7,MATCH(TRUE,INDEX($X1335:$AY1335&lt;&gt;0,),0)),IF(BA1335=0,INDEX($AO$7:$AY$7,MATCH(1,$AO1335:$AY1335,0)),IF(BH1335="Multiple strategies","mixed drivers",IF(BH1335="Supply chain","multiple supply","multiple silviculture"))))</f>
        <v>location of industry</v>
      </c>
      <c r="BH1335" s="2" t="str" cm="1">
        <f t="array" ref="BH1335">IF(COUNTIF(BB1335:BD1335,"&lt;&gt;0")=1,INDEX($X$4:$AY$4,MATCH(TRUE,INDEX($X1335:$AY1335&lt;&gt;0,),0)),IF(COUNTIF(BB1335:BD1335,"&lt;&gt;0")=0,INDEX($AO$4:$AY$4,MATCH(1,$AO1335:$AY1335,0)),"Multiple strategies"))</f>
        <v>Supply chain</v>
      </c>
      <c r="BI1335" s="1" t="s">
        <v>321</v>
      </c>
      <c r="BJ1335" t="s">
        <v>1459</v>
      </c>
      <c r="BK1335" s="160" t="s">
        <v>1460</v>
      </c>
      <c r="BL1335" t="s">
        <v>1461</v>
      </c>
      <c r="BM1335">
        <v>1329670</v>
      </c>
      <c r="BN1335">
        <v>3760725</v>
      </c>
      <c r="BO1335">
        <f>BN1335/BM1335</f>
        <v>2.8283145442102176</v>
      </c>
      <c r="BP1335">
        <f>BN1335-BM1335</f>
        <v>2431055</v>
      </c>
      <c r="BQ1335">
        <f>BP1335*t_to_m3</f>
        <v>4961336.7346938774</v>
      </c>
      <c r="BR1335" t="s">
        <v>232</v>
      </c>
      <c r="BS1335" s="160" t="s">
        <v>1462</v>
      </c>
      <c r="BT1335" t="s">
        <v>526</v>
      </c>
      <c r="BU1335">
        <v>448669</v>
      </c>
      <c r="BV1335">
        <v>736474</v>
      </c>
      <c r="BW1335" s="144">
        <f>IFERROR(BV1335/BU1335,"")</f>
        <v>1.641463974555853</v>
      </c>
      <c r="BX1335">
        <f>BV1335-BU1335</f>
        <v>287805</v>
      </c>
      <c r="BZ1335">
        <f>BX1335</f>
        <v>287805</v>
      </c>
      <c r="CA1335">
        <f>IFERROR(BZ1335/BQ1335,"")</f>
        <v>5.8009567862512365E-2</v>
      </c>
      <c r="CB1335">
        <v>0</v>
      </c>
      <c r="CC1335">
        <v>0</v>
      </c>
      <c r="CD1335">
        <v>0</v>
      </c>
      <c r="CE1335">
        <v>0</v>
      </c>
      <c r="CF1335">
        <v>0</v>
      </c>
      <c r="CG1335">
        <v>0</v>
      </c>
      <c r="CH1335">
        <v>0</v>
      </c>
      <c r="CI1335">
        <v>0</v>
      </c>
      <c r="CJ1335">
        <v>0</v>
      </c>
      <c r="CK1335">
        <v>0</v>
      </c>
      <c r="CL1335">
        <v>0</v>
      </c>
      <c r="CM1335">
        <v>0</v>
      </c>
      <c r="CN1335">
        <v>0</v>
      </c>
      <c r="CO1335">
        <v>0</v>
      </c>
      <c r="CP1335" t="str">
        <f>IF($BN1335&lt;$BM1335,"refNeedCorrection","refOK")</f>
        <v>refOK</v>
      </c>
      <c r="CQ1335">
        <f>IF($CP1335="refNeedCorrection",BN1335,BM1335)</f>
        <v>1329670</v>
      </c>
      <c r="CR1335">
        <f>IF($CP1335="refNeedCorrection",BM1335,BN1335)</f>
        <v>3760725</v>
      </c>
      <c r="CS1335">
        <f>IF($CP1335="refOK",$BQ1335,-$BQ1335)</f>
        <v>4961336.7346938774</v>
      </c>
      <c r="CT1335">
        <f>IF(BI1335="Roundwood",$CS1335/2,$CS1335)</f>
        <v>2480668.3673469387</v>
      </c>
      <c r="CU1335">
        <f>IF($CP1335="refOK",$BU1335,$BV1335)*IF($BR1335="Emissions positive",-1,1)</f>
        <v>448669</v>
      </c>
      <c r="CV1335">
        <f>IF($CP1335="refOK",$BV1335,$BU1335)*IF($BR1335="Emissions positive",-1,1)</f>
        <v>736474</v>
      </c>
      <c r="CW1335">
        <f>IF($CP1335="refNeedCorrection",-BZ1335,BZ1335)*IF($BR1335="Emissions positive",-1,1)</f>
        <v>287805</v>
      </c>
      <c r="CX1335">
        <f>IFERROR($CW1335/$CS1335,"")</f>
        <v>5.8009567862512365E-2</v>
      </c>
      <c r="CY1335">
        <f>IFERROR($CW1335/$CS1335,"")</f>
        <v>5.8009567862512365E-2</v>
      </c>
      <c r="CZ1335">
        <f>IFERROR($CW1335/$CT1335,"")</f>
        <v>0.11601913572502473</v>
      </c>
      <c r="DA1335" s="2">
        <f>IFERROR((CV1335-CU1335)/ABS(CU1335),"")</f>
        <v>0.64146397455585302</v>
      </c>
      <c r="DB1335" s="1" t="s">
        <v>1074</v>
      </c>
      <c r="DC1335" s="260" t="str">
        <f>IF(OR($DB1335="prd",$DB1335="std",$DB1335="cit"),"loc",IF(OR($DB1335="eur",$DB1335="reg",$DB1335="coy"),"reg",$DB1335))</f>
        <v>reg</v>
      </c>
      <c r="DD1335" t="s">
        <v>428</v>
      </c>
      <c r="DG1335">
        <v>100</v>
      </c>
      <c r="DH1335" t="str">
        <f>IF(DG1335=0,"0",IF(AND(DG1335&gt;=1,DG1335&lt;=30),"1-30",IF(AND(DG1335&gt;30,DG1335&lt;=70),"31-70",IF(AND(DG1335&gt;70,DG1335&lt;=100),"71-100",IF(DG1335&gt;100,"+100")))))</f>
        <v>71-100</v>
      </c>
      <c r="DI1335">
        <v>0</v>
      </c>
      <c r="DJ1335">
        <v>0</v>
      </c>
      <c r="DK1335">
        <v>1</v>
      </c>
      <c r="DL1335">
        <v>1</v>
      </c>
      <c r="DN1335">
        <f>SUM(DI1335:DL1335)</f>
        <v>2</v>
      </c>
      <c r="DO1335" t="str">
        <f>IF(DN1335=1,INDEX($DI$7:$DL$7,MATCH(1,$DI1335:$DL1335,0)),"mixedProduct")</f>
        <v>mixedProduct</v>
      </c>
      <c r="DP1335">
        <f>IF(DI1335=1,DP$7,0)</f>
        <v>0</v>
      </c>
      <c r="DQ1335">
        <f>IF(DJ1335=1,DQ$7,0)</f>
        <v>0</v>
      </c>
      <c r="DR1335" t="str">
        <f>IF(DK1335=1,DR$7,0)</f>
        <v>Pulp/Paper</v>
      </c>
      <c r="DS1335" t="str">
        <f>IF(DL1335=1,DS$7,0)</f>
        <v>Timber</v>
      </c>
      <c r="DT1335">
        <v>0</v>
      </c>
      <c r="DU1335">
        <v>0</v>
      </c>
      <c r="DV1335">
        <v>0</v>
      </c>
      <c r="DW1335">
        <v>0</v>
      </c>
      <c r="DX1335">
        <v>0</v>
      </c>
      <c r="DY1335">
        <f>SUM(DT1335:DU1335)</f>
        <v>0</v>
      </c>
      <c r="DZ1335" s="143" t="str">
        <f>IF(DT1335=1,"self-calculated DF",IF(DU1335=1,"external DF used","explicit C balance"))</f>
        <v>explicit C balance</v>
      </c>
      <c r="EA1335">
        <v>0</v>
      </c>
      <c r="EB1335">
        <v>0</v>
      </c>
      <c r="EC1335">
        <v>0</v>
      </c>
      <c r="ED1335">
        <v>1</v>
      </c>
      <c r="EE1335">
        <v>0</v>
      </c>
      <c r="EF1335" s="143">
        <v>0</v>
      </c>
      <c r="EG1335">
        <v>1</v>
      </c>
      <c r="EH1335">
        <v>1</v>
      </c>
      <c r="EI1335">
        <v>0</v>
      </c>
      <c r="EJ1335">
        <v>0</v>
      </c>
      <c r="EK1335">
        <v>0</v>
      </c>
      <c r="EL1335">
        <v>1</v>
      </c>
      <c r="EM1335">
        <v>0</v>
      </c>
      <c r="EN1335" s="2">
        <v>0</v>
      </c>
      <c r="EP1335" t="str">
        <f>IF(AND(AND(AND(OR($EC1335=1,$EB1335=1),OR($EH1335=1,$EF1335=1)),SUM($EA1335:$EE1335,$EK1335)&gt;=3),SUM($EF1335:$EJ1335)&gt;=2),"Whole sector approach","")</f>
        <v/>
      </c>
      <c r="EQ1335" t="str">
        <f>IF(AND(AND(OR($EC1335=1,$EB1335=1),AND($EH1335=0,$EF1335=0)),SUM($EA1335:$EE1335,$EK1335)&gt;=4),"Ecosystem approach","")</f>
        <v/>
      </c>
      <c r="ER1335" s="2" t="str">
        <f>IF(AND(AND(AND($EC1335=0,$EB1335=0),OR($EH1335=1,$EF1335=1)),SUM($EG1335:$EJ1335)&gt;=2),"Technology approach","")</f>
        <v>Technology approach</v>
      </c>
      <c r="ES1335" t="str">
        <f>IF(AND($EC1335+$EB1335+$EE1335+$EA1335+$ED1335+$EG1335=0,$N1335="included"),"C neutral forest and HWP assumption","")</f>
        <v/>
      </c>
      <c r="ET1335" t="str">
        <f>IF(AND(AND(AND(AND($EC1335=1,$EB1335+$EA1335+$EG1335&gt;=1),$EF1335=1),$EH1335+$EI1335+$ED1335+$EE1335&gt;=2),$N1335="included"),"All C pools assumption","")</f>
        <v/>
      </c>
      <c r="EU1335" t="str">
        <f>IF(AND($ED1335+$EE1335+$EI1335+$EH1335+$EF1335=0,$N1335="included"),"In-situ only assumption","")</f>
        <v/>
      </c>
      <c r="EY1335" t="str">
        <f>IF(ISNUMBER(BW1335),IF(ABS(BW1335-[5]QC_indicators!$B$2)&gt;3*[5]QC_indicators!$C$2,"C ratio",IF(ISNUMBER(CA1335),IF(ABS(CA1335-[5]QC_indicators!$B$1)&gt;3*[5]QC_indicators!$C$1,"DF","no"))),IF(ISNUMBER(CA1335),IF(ABS(CA1335-[5]QC_indicators!$B$1)&gt;3*[5]QC_indicators!$C$1,"DF","no")))</f>
        <v>no</v>
      </c>
      <c r="FA1335" t="str">
        <f>IF(LEN($CY1335)=0,"",IF(AND($CY1335&lt;(-0.05),$ES1335="C neutral forest and HWP assumption"),"Cneutral paradox",IF(AND($CY1335&gt;0.05,$EU1335="In-situ only assumption"),"In-situ only paradox","")))</f>
        <v/>
      </c>
      <c r="FB1335" t="s">
        <v>1463</v>
      </c>
      <c r="FD1335" s="260" t="s">
        <v>3082</v>
      </c>
    </row>
    <row r="1336" spans="1:160" hidden="1">
      <c r="A1336" s="1" t="s">
        <v>1016</v>
      </c>
      <c r="B1336" t="s">
        <v>1450</v>
      </c>
      <c r="C1336" t="s">
        <v>1451</v>
      </c>
      <c r="D1336" t="s">
        <v>1452</v>
      </c>
      <c r="E1336" t="s">
        <v>1453</v>
      </c>
      <c r="F1336" t="s">
        <v>1454</v>
      </c>
      <c r="G1336" t="s">
        <v>1017</v>
      </c>
      <c r="H1336" t="s">
        <v>254</v>
      </c>
      <c r="I1336">
        <v>2020</v>
      </c>
      <c r="J1336">
        <v>4</v>
      </c>
      <c r="K1336" t="s">
        <v>1455</v>
      </c>
      <c r="M1336" t="str">
        <f>LEFT($D1336,FIND(",",$D1336)-1)&amp;"_"&amp;I1336&amp;L1336</f>
        <v>Ganguly_2020</v>
      </c>
      <c r="N1336" t="s">
        <v>222</v>
      </c>
      <c r="O1336" s="145" t="s">
        <v>274</v>
      </c>
      <c r="Q1336" s="260" t="s">
        <v>256</v>
      </c>
      <c r="R1336" s="264" t="s">
        <v>341</v>
      </c>
      <c r="S1336" s="1" t="s">
        <v>1456</v>
      </c>
      <c r="T1336" t="s">
        <v>1457</v>
      </c>
      <c r="U1336" t="s">
        <v>1458</v>
      </c>
      <c r="V1336" s="253">
        <v>0</v>
      </c>
      <c r="W1336" s="253">
        <v>0</v>
      </c>
      <c r="X1336">
        <v>0</v>
      </c>
      <c r="Y1336">
        <v>0</v>
      </c>
      <c r="Z1336">
        <v>0</v>
      </c>
      <c r="AA1336">
        <v>0</v>
      </c>
      <c r="AB1336">
        <v>0</v>
      </c>
      <c r="AC1336">
        <v>0</v>
      </c>
      <c r="AD1336">
        <v>0</v>
      </c>
      <c r="AE1336">
        <v>0</v>
      </c>
      <c r="AF1336">
        <v>0</v>
      </c>
      <c r="AG1336">
        <v>1</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s="141">
        <f>COUNTIF(X1336:AY1336,"&lt;&gt;0")</f>
        <v>1</v>
      </c>
      <c r="BA1336" s="141">
        <f>COUNTIF(X1336:AN1336,"&lt;&gt;0")</f>
        <v>1</v>
      </c>
      <c r="BB1336">
        <f>COUNTIF(X1336:AE1336,"&lt;&gt;0")</f>
        <v>0</v>
      </c>
      <c r="BC1336">
        <f>COUNTIF(AF1336:AK1336,"&lt;&gt;0")</f>
        <v>1</v>
      </c>
      <c r="BD1336">
        <f>COUNTIF(AL1336:AN1336,"&lt;&gt;0")</f>
        <v>0</v>
      </c>
      <c r="BE1336">
        <f>COUNTIF(AU1336:AY1336,"&lt;&gt;0")</f>
        <v>0</v>
      </c>
      <c r="BF1336">
        <f>COUNTIF(AO1336:AT1336,"&lt;&gt;0")</f>
        <v>0</v>
      </c>
      <c r="BG1336" t="str" cm="1">
        <f t="array" ref="BG1336">IF(BA1336=1,INDEX($X$7:$AN$7,MATCH(TRUE,INDEX($X1336:$AY1336&lt;&gt;0,),0)),IF(BA1336=0,INDEX($AO$7:$AY$7,MATCH(1,$AO1336:$AY1336,0)),IF(BH1336="Multiple strategies","mixed drivers",IF(BH1336="Supply chain","multiple supply","multiple silviculture"))))</f>
        <v>location of industry</v>
      </c>
      <c r="BH1336" s="2" t="str" cm="1">
        <f t="array" ref="BH1336">IF(COUNTIF(BB1336:BD1336,"&lt;&gt;0")=1,INDEX($X$4:$AY$4,MATCH(TRUE,INDEX($X1336:$AY1336&lt;&gt;0,),0)),IF(COUNTIF(BB1336:BD1336,"&lt;&gt;0")=0,INDEX($AO$4:$AY$4,MATCH(1,$AO1336:$AY1336,0)),"Multiple strategies"))</f>
        <v>Supply chain</v>
      </c>
      <c r="BI1336" s="1" t="s">
        <v>321</v>
      </c>
      <c r="BJ1336" s="260" t="s">
        <v>1459</v>
      </c>
      <c r="BK1336" s="160" t="s">
        <v>1460</v>
      </c>
      <c r="BL1336" t="s">
        <v>1461</v>
      </c>
      <c r="BM1336">
        <v>1329670</v>
      </c>
      <c r="BN1336">
        <v>3760725</v>
      </c>
      <c r="BO1336">
        <f>BN1336/BM1336</f>
        <v>2.8283145442102176</v>
      </c>
      <c r="BP1336">
        <f>BN1336-BM1336</f>
        <v>2431055</v>
      </c>
      <c r="BQ1336">
        <f>BP1336*t_to_m3</f>
        <v>4961336.7346938774</v>
      </c>
      <c r="BR1336" t="s">
        <v>232</v>
      </c>
      <c r="BS1336" s="160" t="s">
        <v>1462</v>
      </c>
      <c r="BT1336" t="s">
        <v>526</v>
      </c>
      <c r="BU1336">
        <v>842957</v>
      </c>
      <c r="BV1336">
        <v>736474</v>
      </c>
      <c r="BW1336" s="144">
        <f>IFERROR(BV1336/BU1336,"")</f>
        <v>0.87367920309102365</v>
      </c>
      <c r="BX1336">
        <f>BV1336-BU1336</f>
        <v>-106483</v>
      </c>
      <c r="BZ1336">
        <f>BX1336</f>
        <v>-106483</v>
      </c>
      <c r="CA1336">
        <f>IFERROR(BZ1336/BQ1336,"")</f>
        <v>-2.1462562550004012E-2</v>
      </c>
      <c r="CB1336">
        <v>0</v>
      </c>
      <c r="CC1336">
        <v>0</v>
      </c>
      <c r="CD1336">
        <v>0</v>
      </c>
      <c r="CE1336">
        <v>0</v>
      </c>
      <c r="CF1336">
        <v>0</v>
      </c>
      <c r="CG1336">
        <v>0</v>
      </c>
      <c r="CH1336">
        <v>0</v>
      </c>
      <c r="CI1336">
        <v>0</v>
      </c>
      <c r="CJ1336">
        <v>0</v>
      </c>
      <c r="CK1336">
        <v>0</v>
      </c>
      <c r="CL1336">
        <v>0</v>
      </c>
      <c r="CM1336">
        <v>0</v>
      </c>
      <c r="CN1336">
        <v>0</v>
      </c>
      <c r="CO1336">
        <v>0</v>
      </c>
      <c r="CP1336" t="str">
        <f>IF($BN1336&lt;$BM1336,"refNeedCorrection","refOK")</f>
        <v>refOK</v>
      </c>
      <c r="CQ1336">
        <f>IF($CP1336="refNeedCorrection",BN1336,BM1336)</f>
        <v>1329670</v>
      </c>
      <c r="CR1336">
        <f>IF($CP1336="refNeedCorrection",BM1336,BN1336)</f>
        <v>3760725</v>
      </c>
      <c r="CS1336">
        <f>IF($CP1336="refOK",$BQ1336,-$BQ1336)</f>
        <v>4961336.7346938774</v>
      </c>
      <c r="CT1336">
        <f>IF(BI1336="Roundwood",$CS1336/2,$CS1336)</f>
        <v>2480668.3673469387</v>
      </c>
      <c r="CU1336">
        <f>IF($CP1336="refOK",$BU1336,$BV1336)*IF($BR1336="Emissions positive",-1,1)</f>
        <v>842957</v>
      </c>
      <c r="CV1336">
        <f>IF($CP1336="refOK",$BV1336,$BU1336)*IF($BR1336="Emissions positive",-1,1)</f>
        <v>736474</v>
      </c>
      <c r="CW1336">
        <f>IF($CP1336="refNeedCorrection",-BZ1336,BZ1336)*IF($BR1336="Emissions positive",-1,1)</f>
        <v>-106483</v>
      </c>
      <c r="CX1336">
        <f>IFERROR($CW1336/$CS1336,"")</f>
        <v>-2.1462562550004012E-2</v>
      </c>
      <c r="CY1336">
        <f>IFERROR($CW1336/$CS1336,"")</f>
        <v>-2.1462562550004012E-2</v>
      </c>
      <c r="CZ1336">
        <f>IFERROR($CW1336/$CT1336,"")</f>
        <v>-4.2925125100008024E-2</v>
      </c>
      <c r="DA1336" s="2">
        <f>IFERROR((CV1336-CU1336)/ABS(CU1336),"")</f>
        <v>-0.12632079690897638</v>
      </c>
      <c r="DB1336" s="1" t="s">
        <v>1074</v>
      </c>
      <c r="DC1336" s="260" t="str">
        <f>IF(OR($DB1336="prd",$DB1336="std",$DB1336="cit"),"loc",IF(OR($DB1336="eur",$DB1336="reg",$DB1336="coy"),"reg",$DB1336))</f>
        <v>reg</v>
      </c>
      <c r="DD1336" t="s">
        <v>428</v>
      </c>
      <c r="DG1336">
        <v>100</v>
      </c>
      <c r="DH1336" t="str">
        <f>IF(DG1336=0,"0",IF(AND(DG1336&gt;=1,DG1336&lt;=30),"1-30",IF(AND(DG1336&gt;30,DG1336&lt;=70),"31-70",IF(AND(DG1336&gt;70,DG1336&lt;=100),"71-100",IF(DG1336&gt;100,"+100")))))</f>
        <v>71-100</v>
      </c>
      <c r="DI1336">
        <v>0</v>
      </c>
      <c r="DJ1336">
        <v>0</v>
      </c>
      <c r="DK1336">
        <v>1</v>
      </c>
      <c r="DL1336">
        <v>1</v>
      </c>
      <c r="DN1336">
        <f>SUM(DI1336:DL1336)</f>
        <v>2</v>
      </c>
      <c r="DO1336" t="str">
        <f>IF(DN1336=1,INDEX($DI$7:$DL$7,MATCH(1,$DI1336:$DL1336,0)),"mixedProduct")</f>
        <v>mixedProduct</v>
      </c>
      <c r="DP1336">
        <f>IF(DI1336=1,DP$7,0)</f>
        <v>0</v>
      </c>
      <c r="DQ1336">
        <f>IF(DJ1336=1,DQ$7,0)</f>
        <v>0</v>
      </c>
      <c r="DR1336" t="str">
        <f>IF(DK1336=1,DR$7,0)</f>
        <v>Pulp/Paper</v>
      </c>
      <c r="DS1336" t="str">
        <f>IF(DL1336=1,DS$7,0)</f>
        <v>Timber</v>
      </c>
      <c r="DT1336">
        <v>0</v>
      </c>
      <c r="DU1336">
        <v>0</v>
      </c>
      <c r="DV1336">
        <v>0</v>
      </c>
      <c r="DW1336">
        <v>0</v>
      </c>
      <c r="DX1336">
        <v>0</v>
      </c>
      <c r="DY1336">
        <f>SUM(DT1336:DU1336)</f>
        <v>0</v>
      </c>
      <c r="DZ1336" s="143" t="str">
        <f>IF(DT1336=1,"self-calculated DF",IF(DU1336=1,"external DF used","explicit C balance"))</f>
        <v>explicit C balance</v>
      </c>
      <c r="EA1336">
        <v>0</v>
      </c>
      <c r="EB1336">
        <v>0</v>
      </c>
      <c r="EC1336">
        <v>0</v>
      </c>
      <c r="ED1336">
        <v>1</v>
      </c>
      <c r="EE1336">
        <v>0</v>
      </c>
      <c r="EF1336" s="143">
        <v>0</v>
      </c>
      <c r="EG1336">
        <v>0</v>
      </c>
      <c r="EH1336">
        <v>0</v>
      </c>
      <c r="EI1336">
        <v>0</v>
      </c>
      <c r="EJ1336">
        <v>0</v>
      </c>
      <c r="EK1336">
        <v>0</v>
      </c>
      <c r="EL1336">
        <v>1</v>
      </c>
      <c r="EM1336">
        <v>0</v>
      </c>
      <c r="EN1336" s="2">
        <v>0</v>
      </c>
      <c r="EP1336" t="str">
        <f>IF(AND(AND(AND(OR($EC1336=1,$EB1336=1),OR($EH1336=1,$EF1336=1)),SUM($EA1336:$EE1336,$EK1336)&gt;=3),SUM($EF1336:$EJ1336)&gt;=2),"Whole sector approach","")</f>
        <v/>
      </c>
      <c r="EQ1336" t="str">
        <f>IF(AND(AND(OR($EC1336=1,$EB1336=1),AND($EH1336=0,$EF1336=0)),SUM($EA1336:$EE1336,$EK1336)&gt;=4),"Ecosystem approach","")</f>
        <v/>
      </c>
      <c r="ER1336" s="2" t="str">
        <f>IF(AND(AND(AND($EC1336=0,$EB1336=0),OR($EH1336=1,$EF1336=1)),SUM($EG1336:$EJ1336)&gt;=2),"Technology approach","")</f>
        <v/>
      </c>
      <c r="ES1336" t="str">
        <f>IF(AND($EC1336+$EB1336+$EE1336+$EA1336+$ED1336+$EG1336=0,$N1336="included"),"C neutral forest and HWP assumption","")</f>
        <v/>
      </c>
      <c r="ET1336" t="str">
        <f>IF(AND(AND(AND(AND($EC1336=1,$EB1336+$EA1336+$EG1336&gt;=1),$EF1336=1),$EH1336+$EI1336+$ED1336+$EE1336&gt;=2),$N1336="included"),"All C pools assumption","")</f>
        <v/>
      </c>
      <c r="EU1336" t="str">
        <f>IF(AND($ED1336+$EE1336+$EI1336+$EH1336+$EF1336=0,$N1336="included"),"In-situ only assumption","")</f>
        <v/>
      </c>
      <c r="EY1336" t="str">
        <f>IF(ISNUMBER(BW1336),IF(ABS(BW1336-[5]QC_indicators!$B$2)&gt;3*[5]QC_indicators!$C$2,"C ratio",IF(ISNUMBER(CA1336),IF(ABS(CA1336-[5]QC_indicators!$B$1)&gt;3*[5]QC_indicators!$C$1,"DF","no"))),IF(ISNUMBER(CA1336),IF(ABS(CA1336-[5]QC_indicators!$B$1)&gt;3*[5]QC_indicators!$C$1,"DF","no")))</f>
        <v>no</v>
      </c>
      <c r="FA1336" t="str">
        <f>IF(LEN($CY1336)=0,"",IF(AND($CY1336&lt;(-0.05),$ES1336="C neutral forest and HWP assumption"),"Cneutral paradox",IF(AND($CY1336&gt;0.05,$EU1336="In-situ only assumption"),"In-situ only paradox","")))</f>
        <v/>
      </c>
      <c r="FB1336" t="s">
        <v>1463</v>
      </c>
      <c r="FD1336" s="260" t="s">
        <v>3082</v>
      </c>
    </row>
    <row r="1337" spans="1:160" ht="18" customHeight="1">
      <c r="A1337" s="1" t="s">
        <v>1016</v>
      </c>
      <c r="B1337" t="s">
        <v>1538</v>
      </c>
      <c r="C1337" t="s">
        <v>1539</v>
      </c>
      <c r="D1337" t="s">
        <v>1540</v>
      </c>
      <c r="E1337" t="s">
        <v>1541</v>
      </c>
      <c r="F1337" t="s">
        <v>1542</v>
      </c>
      <c r="G1337" t="s">
        <v>1017</v>
      </c>
      <c r="H1337" t="s">
        <v>254</v>
      </c>
      <c r="I1337">
        <v>2020</v>
      </c>
      <c r="J1337">
        <v>4</v>
      </c>
      <c r="K1337" t="s">
        <v>1543</v>
      </c>
      <c r="M1337" t="str">
        <f>LEFT($D1337,FIND(",",$D1337)-1)&amp;"_"&amp;I1337&amp;L1337</f>
        <v>Gusti_2020</v>
      </c>
      <c r="N1337" t="s">
        <v>222</v>
      </c>
      <c r="O1337" s="180" t="s">
        <v>341</v>
      </c>
      <c r="Q1337" t="s">
        <v>256</v>
      </c>
      <c r="R1337" s="276" t="s">
        <v>225</v>
      </c>
      <c r="S1337" s="1" t="s">
        <v>1544</v>
      </c>
      <c r="T1337" s="151" t="s">
        <v>1003</v>
      </c>
      <c r="U1337" t="s">
        <v>2759</v>
      </c>
      <c r="V1337" s="253">
        <v>0</v>
      </c>
      <c r="W1337" s="253">
        <v>0</v>
      </c>
      <c r="X1337">
        <v>0</v>
      </c>
      <c r="Y1337">
        <v>0</v>
      </c>
      <c r="Z1337">
        <v>1</v>
      </c>
      <c r="AA1337">
        <v>1</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s="141">
        <f>COUNTIF(X1337:AY1337,"&lt;&gt;0")</f>
        <v>2</v>
      </c>
      <c r="BA1337" s="141">
        <f>COUNTIF(X1337:AN1337,"&lt;&gt;0")</f>
        <v>2</v>
      </c>
      <c r="BB1337">
        <f>COUNTIF(X1337:AE1337,"&lt;&gt;0")</f>
        <v>2</v>
      </c>
      <c r="BC1337">
        <f>COUNTIF(AF1337:AK1337,"&lt;&gt;0")</f>
        <v>0</v>
      </c>
      <c r="BD1337">
        <f>COUNTIF(AL1337:AN1337,"&lt;&gt;0")</f>
        <v>0</v>
      </c>
      <c r="BE1337">
        <f>COUNTIF(AU1337:AY1337,"&lt;&gt;0")</f>
        <v>0</v>
      </c>
      <c r="BF1337">
        <f>COUNTIF(AO1337:AT1337,"&lt;&gt;0")</f>
        <v>0</v>
      </c>
      <c r="BG1337" t="str">
        <f t="array" ref="BG1337">IF(BA1337=1,INDEX($X$7:$AN$7,MATCH(TRUE,INDEX($X1337:$AY1337&lt;&gt;0,),0)),IF(BA1337=0,INDEX($AO$7:$AY$7,MATCH(1,$AO1337:$AY1337,0)),IF(BH1337="Multiple strategies","mixed drivers",IF(BH1337="Supply chain","multiple supply","multiple silviculture"))))</f>
        <v>multiple silviculture</v>
      </c>
      <c r="BH1337" s="2" t="str" cm="1">
        <f t="array" ref="BH1337">IF(COUNTIF(BB1337:BD1337,"&lt;&gt;0")=1,INDEX($X$4:$AY$4,MATCH(TRUE,INDEX($X1337:$AY1337&lt;&gt;0,),0)),IF(COUNTIF(BB1337:BD1337,"&lt;&gt;0")=0,INDEX($AO$4:$AY$4,MATCH(1,$AO1337:$AY1337,0)),"Multiple strategies"))</f>
        <v>Silviculture for removals</v>
      </c>
      <c r="BI1337" s="1" t="s">
        <v>321</v>
      </c>
      <c r="BJ1337" t="s">
        <v>1196</v>
      </c>
      <c r="BK1337" t="s">
        <v>568</v>
      </c>
      <c r="BL1337" t="s">
        <v>1197</v>
      </c>
      <c r="BM1337" s="151">
        <v>9999</v>
      </c>
      <c r="BN1337" s="151">
        <v>9999</v>
      </c>
      <c r="BO1337">
        <f>BN1337/BM1337</f>
        <v>1</v>
      </c>
      <c r="BP1337">
        <f>BN1337-BM1337</f>
        <v>0</v>
      </c>
      <c r="BQ1337">
        <f>BP1337*10^6</f>
        <v>0</v>
      </c>
      <c r="BR1337" t="s">
        <v>232</v>
      </c>
      <c r="BS1337" t="s">
        <v>568</v>
      </c>
      <c r="BT1337" t="s">
        <v>1546</v>
      </c>
      <c r="BU1337">
        <v>426</v>
      </c>
      <c r="BV1337">
        <v>366</v>
      </c>
      <c r="BW1337" s="144">
        <f>IFERROR(BV1337/BU1337,"")</f>
        <v>0.85915492957746475</v>
      </c>
      <c r="BX1337" s="151">
        <v>-36</v>
      </c>
      <c r="BZ1337">
        <f>BX1337*10^6</f>
        <v>-36000000</v>
      </c>
      <c r="CA1337" t="str">
        <f>IFERROR(BZ1337/BQ1337,"")</f>
        <v/>
      </c>
      <c r="CB1337">
        <v>0</v>
      </c>
      <c r="CC1337">
        <v>0</v>
      </c>
      <c r="CD1337">
        <v>0</v>
      </c>
      <c r="CE1337">
        <v>0</v>
      </c>
      <c r="CF1337">
        <v>0</v>
      </c>
      <c r="CG1337">
        <v>0</v>
      </c>
      <c r="CH1337">
        <v>0</v>
      </c>
      <c r="CI1337">
        <v>0</v>
      </c>
      <c r="CJ1337">
        <v>0</v>
      </c>
      <c r="CK1337">
        <v>0</v>
      </c>
      <c r="CL1337">
        <v>0</v>
      </c>
      <c r="CM1337">
        <v>0</v>
      </c>
      <c r="CN1337">
        <v>0</v>
      </c>
      <c r="CO1337">
        <v>0</v>
      </c>
      <c r="CP1337" t="str">
        <f>IF($BN1337&lt;$BM1337,"refNeedCorrection","refOK")</f>
        <v>refOK</v>
      </c>
      <c r="CQ1337">
        <f>IF($CP1337="refNeedCorrection",BM1337,BN1337)</f>
        <v>9999</v>
      </c>
      <c r="CR1337">
        <f>IF($CP1337="refNeedCorrection",BN1337,BM1337)</f>
        <v>9999</v>
      </c>
      <c r="CS1337">
        <f>IF($CP1337="refOK",$BQ1337,-$BQ1337)</f>
        <v>0</v>
      </c>
      <c r="CT1337">
        <f>IF(BI1337="Roundwood",$CS1337/2,$CS1337)</f>
        <v>0</v>
      </c>
      <c r="CU1337">
        <f>IF($CP1337="refOK",$BU1337,$BV1337)*IF($BR1337="Emissions positive",-1,1)</f>
        <v>426</v>
      </c>
      <c r="CV1337">
        <f>IF($CP1337="refOK",$BV1337,$BU1337)*IF($BR1337="Emissions positive",-1,1)</f>
        <v>366</v>
      </c>
      <c r="CW1337">
        <f>IF($CP1337="refNeedCorrection",-BZ1337,BZ1337)*IF($BR1337="Emissions positive",-1,1)</f>
        <v>-36000000</v>
      </c>
      <c r="CX1337" t="str">
        <f>IFERROR($CW1337/$CS1337,"")</f>
        <v/>
      </c>
      <c r="CY1337" t="str">
        <f>IFERROR($CW1337/$CS1337,"")</f>
        <v/>
      </c>
      <c r="CZ1337" t="str">
        <f>IFERROR($CW1337/$CT1337,"")</f>
        <v/>
      </c>
      <c r="DA1337" s="2">
        <f>IFERROR((CV1337-CU1337)/ABS(CU1337),"")</f>
        <v>-0.14084507042253522</v>
      </c>
      <c r="DB1337" s="1" t="s">
        <v>1106</v>
      </c>
      <c r="DC1337" t="str">
        <f>IF(OR($DB1337="prd",$DB1337="std",$DB1337="cit"),"loc",IF(OR($DB1337="eur",$DB1337="reg",$DB1337="coy"),"reg",$DB1337))</f>
        <v>reg</v>
      </c>
      <c r="DD1337" t="s">
        <v>729</v>
      </c>
      <c r="DE1337">
        <v>2026</v>
      </c>
      <c r="DF1337">
        <v>2030</v>
      </c>
      <c r="DG1337">
        <v>5</v>
      </c>
      <c r="DH1337" t="str">
        <f>IF(DG1337=0,"0",IF(AND(DG1337&gt;=1,DG1337&lt;=30),"1-30",IF(AND(DG1337&gt;30,DG1337&lt;=70),"31-70",IF(AND(DG1337&gt;70,DG1337&lt;=100),"71-100",IF(DG1337&gt;100,"+100")))))</f>
        <v>1-30</v>
      </c>
      <c r="DI1337">
        <v>1</v>
      </c>
      <c r="DJ1337">
        <v>0</v>
      </c>
      <c r="DK1337">
        <v>0</v>
      </c>
      <c r="DL1337">
        <v>0</v>
      </c>
      <c r="DN1337">
        <f>SUM(DI1337:DL1337)</f>
        <v>1</v>
      </c>
      <c r="DO1337" t="str">
        <f>IF(DN1337=1,INDEX($DI$7:$DL$7,MATCH(1,$DI1337:$DL1337,0)),"mixedProduct")</f>
        <v>UpstreamInput</v>
      </c>
      <c r="DP1337" t="str">
        <f>IF(DI1337=1,DP$7,0)</f>
        <v>Upstream</v>
      </c>
      <c r="DQ1337">
        <f>IF(DJ1337=1,DQ$7,0)</f>
        <v>0</v>
      </c>
      <c r="DR1337">
        <f>IF(DK1337=1,DR$7,0)</f>
        <v>0</v>
      </c>
      <c r="DS1337">
        <f>IF(DL1337=1,DS$7,0)</f>
        <v>0</v>
      </c>
      <c r="DT1337">
        <v>0</v>
      </c>
      <c r="DU1337">
        <v>0</v>
      </c>
      <c r="DV1337">
        <v>0</v>
      </c>
      <c r="DW1337">
        <v>0</v>
      </c>
      <c r="DX1337">
        <v>0</v>
      </c>
      <c r="DY1337">
        <f>SUM(DT1337:DU1337)</f>
        <v>0</v>
      </c>
      <c r="DZ1337" s="143" t="str">
        <f>IF(DT1337=1,"self-calculated DF",IF(DU1337=1,"external DF used","explicit C balance"))</f>
        <v>explicit C balance</v>
      </c>
      <c r="EA1337">
        <v>1</v>
      </c>
      <c r="EB1337">
        <v>0</v>
      </c>
      <c r="EC1337">
        <v>1</v>
      </c>
      <c r="ED1337">
        <v>0</v>
      </c>
      <c r="EE1337">
        <v>0</v>
      </c>
      <c r="EF1337" s="143">
        <v>0</v>
      </c>
      <c r="EG1337">
        <v>0</v>
      </c>
      <c r="EH1337">
        <v>0</v>
      </c>
      <c r="EI1337">
        <v>0</v>
      </c>
      <c r="EJ1337">
        <v>0</v>
      </c>
      <c r="EK1337">
        <v>1</v>
      </c>
      <c r="EL1337">
        <v>0</v>
      </c>
      <c r="EM1337">
        <v>0</v>
      </c>
      <c r="EN1337" s="2">
        <v>0</v>
      </c>
      <c r="EP1337" t="str">
        <f>IF(AND(AND(AND(OR($EC1337=1,$EB1337=1),OR($EH1337=1,$EF1337=1)),SUM($EA1337:$EE1337,$EK1337)&gt;=3),SUM($EF1337:$EJ1337)&gt;=2),"Whole sector approach","")</f>
        <v/>
      </c>
      <c r="EQ1337" t="str">
        <f>IF(AND(AND(OR($EC1337=1,$EB1337=1),AND($EH1337=0,$EF1337=0)),SUM($EA1337:$EE1337,$EK1337)&gt;=4),"Ecosystem approach","")</f>
        <v/>
      </c>
      <c r="ER1337" s="2" t="str">
        <f>IF(AND(AND(AND($EC1337=0,$EB1337=0),OR($EH1337=1,$EF1337=1)),SUM($EG1337:$EJ1337)&gt;=2),"Technology approach","")</f>
        <v/>
      </c>
      <c r="ES1337" t="str">
        <f>IF(AND($EC1337+$EB1337+$EE1337+$EA1337+$ED1337+$EG1337=0,$N1337="included"),"C neutral forest and HWP assumption","")</f>
        <v/>
      </c>
      <c r="ET1337" t="str">
        <f>IF(AND(AND(AND(AND($EC1337=1,$EB1337+$EA1337+$EG1337&gt;=1),$EF1337=1),$EH1337+$EI1337+$ED1337+$EE1337&gt;=2),$N1337="included"),"All C pools assumption","")</f>
        <v/>
      </c>
      <c r="EU1337" t="str">
        <f>IF(AND($ED1337+$EE1337+$EI1337+$EH1337+$EF1337=0,$N1337="included"),"In-situ only assumption","")</f>
        <v>In-situ only assumption</v>
      </c>
      <c r="EW1337" s="149" t="s">
        <v>1547</v>
      </c>
      <c r="EY1337" t="b">
        <f>IF(ISNUMBER(BW1337),IF(ABS(BW1337-[6]QC_indicators!$B$2)&gt;3*[6]QC_indicators!$C$2,"C ratio",IF(ISNUMBER(CA1337),IF(ABS(CA1337-[6]QC_indicators!$B$1)&gt;3*[6]QC_indicators!$C$1,"DF","no"))),IF(ISNUMBER(CA1337),IF(ABS(CA1337-[6]QC_indicators!$B$1)&gt;3*[6]QC_indicators!$C$1,"DF","no")))</f>
        <v>0</v>
      </c>
      <c r="FA1337" t="str">
        <f>IF(LEN($CY1337)=0,"",IF(AND($CY1337&lt;(-0.05),$ES1337="C neutral forest and HWP assumption"),"Cneutral paradox",IF(AND($CY1337&gt;0.05,$EU1337="In-situ only assumption"),"In-situ only paradox","")))</f>
        <v/>
      </c>
      <c r="FB1337" s="149" t="s">
        <v>349</v>
      </c>
      <c r="FD1337" s="260" t="s">
        <v>2948</v>
      </c>
    </row>
    <row r="1338" spans="1:160" ht="15" customHeight="1">
      <c r="A1338" s="1" t="s">
        <v>1016</v>
      </c>
      <c r="B1338" t="s">
        <v>1538</v>
      </c>
      <c r="C1338" t="s">
        <v>1539</v>
      </c>
      <c r="D1338" t="s">
        <v>1540</v>
      </c>
      <c r="E1338" t="s">
        <v>1541</v>
      </c>
      <c r="F1338" t="s">
        <v>1542</v>
      </c>
      <c r="G1338" t="s">
        <v>1017</v>
      </c>
      <c r="H1338" t="s">
        <v>254</v>
      </c>
      <c r="I1338">
        <v>2020</v>
      </c>
      <c r="J1338">
        <v>4</v>
      </c>
      <c r="K1338" t="s">
        <v>1543</v>
      </c>
      <c r="M1338" t="str">
        <f>LEFT($D1338,FIND(",",$D1338)-1)&amp;"_"&amp;I1338&amp;L1338</f>
        <v>Gusti_2020</v>
      </c>
      <c r="N1338" t="s">
        <v>222</v>
      </c>
      <c r="O1338" s="180" t="s">
        <v>341</v>
      </c>
      <c r="Q1338" t="s">
        <v>256</v>
      </c>
      <c r="R1338" s="276" t="s">
        <v>225</v>
      </c>
      <c r="S1338" s="1" t="s">
        <v>1548</v>
      </c>
      <c r="T1338" s="151" t="s">
        <v>1003</v>
      </c>
      <c r="U1338" t="s">
        <v>2760</v>
      </c>
      <c r="V1338" s="253">
        <v>0</v>
      </c>
      <c r="W1338" s="253">
        <v>0</v>
      </c>
      <c r="X1338">
        <v>0</v>
      </c>
      <c r="Y1338">
        <v>0</v>
      </c>
      <c r="Z1338">
        <v>1</v>
      </c>
      <c r="AA1338">
        <v>1</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0</v>
      </c>
      <c r="AV1338">
        <v>0</v>
      </c>
      <c r="AW1338">
        <v>0</v>
      </c>
      <c r="AX1338">
        <v>0</v>
      </c>
      <c r="AY1338">
        <v>0</v>
      </c>
      <c r="AZ1338" s="141">
        <f>COUNTIF(X1338:AY1338,"&lt;&gt;0")</f>
        <v>2</v>
      </c>
      <c r="BA1338" s="141">
        <f>COUNTIF(X1338:AN1338,"&lt;&gt;0")</f>
        <v>2</v>
      </c>
      <c r="BB1338">
        <f>COUNTIF(X1338:AE1338,"&lt;&gt;0")</f>
        <v>2</v>
      </c>
      <c r="BC1338">
        <f>COUNTIF(AF1338:AK1338,"&lt;&gt;0")</f>
        <v>0</v>
      </c>
      <c r="BD1338">
        <f>COUNTIF(AL1338:AN1338,"&lt;&gt;0")</f>
        <v>0</v>
      </c>
      <c r="BE1338">
        <f>COUNTIF(AU1338:AY1338,"&lt;&gt;0")</f>
        <v>0</v>
      </c>
      <c r="BF1338">
        <f>COUNTIF(AO1338:AT1338,"&lt;&gt;0")</f>
        <v>0</v>
      </c>
      <c r="BG1338" t="str">
        <f t="array" ref="BG1338">IF(BA1338=1,INDEX($X$7:$AN$7,MATCH(TRUE,INDEX($X1338:$AY1338&lt;&gt;0,),0)),IF(BA1338=0,INDEX($AO$7:$AY$7,MATCH(1,$AO1338:$AY1338,0)),IF(BH1338="Multiple strategies","mixed drivers",IF(BH1338="Supply chain","multiple supply","multiple silviculture"))))</f>
        <v>multiple silviculture</v>
      </c>
      <c r="BH1338" s="2" t="str" cm="1">
        <f t="array" ref="BH1338">IF(COUNTIF(BB1338:BD1338,"&lt;&gt;0")=1,INDEX($X$4:$AY$4,MATCH(TRUE,INDEX($X1338:$AY1338&lt;&gt;0,),0)),IF(COUNTIF(BB1338:BD1338,"&lt;&gt;0")=0,INDEX($AO$4:$AY$4,MATCH(1,$AO1338:$AY1338,0)),"Multiple strategies"))</f>
        <v>Silviculture for removals</v>
      </c>
      <c r="BI1338" s="1" t="s">
        <v>321</v>
      </c>
      <c r="BJ1338" t="s">
        <v>1196</v>
      </c>
      <c r="BK1338" t="s">
        <v>568</v>
      </c>
      <c r="BL1338" t="s">
        <v>1197</v>
      </c>
      <c r="BM1338" s="151">
        <v>9999</v>
      </c>
      <c r="BN1338" s="151">
        <v>9999</v>
      </c>
      <c r="BO1338">
        <f>BN1338/BM1338</f>
        <v>1</v>
      </c>
      <c r="BP1338">
        <f>BN1338-BM1338</f>
        <v>0</v>
      </c>
      <c r="BQ1338">
        <f>BP1338*10^6</f>
        <v>0</v>
      </c>
      <c r="BR1338" t="s">
        <v>232</v>
      </c>
      <c r="BS1338" t="s">
        <v>568</v>
      </c>
      <c r="BT1338" t="s">
        <v>1546</v>
      </c>
      <c r="BU1338">
        <v>402</v>
      </c>
      <c r="BV1338">
        <v>366</v>
      </c>
      <c r="BW1338" s="144">
        <f>IFERROR(BV1338/BU1338,"")</f>
        <v>0.91044776119402981</v>
      </c>
      <c r="BX1338" s="151">
        <v>-60</v>
      </c>
      <c r="BZ1338">
        <f>BX1338*10^6</f>
        <v>-60000000</v>
      </c>
      <c r="CA1338" t="str">
        <f>IFERROR(BZ1338/BQ1338,"")</f>
        <v/>
      </c>
      <c r="CB1338">
        <v>0</v>
      </c>
      <c r="CC1338">
        <v>0</v>
      </c>
      <c r="CD1338">
        <v>0</v>
      </c>
      <c r="CE1338">
        <v>0</v>
      </c>
      <c r="CF1338">
        <v>0</v>
      </c>
      <c r="CG1338">
        <v>0</v>
      </c>
      <c r="CH1338">
        <v>0</v>
      </c>
      <c r="CI1338">
        <v>0</v>
      </c>
      <c r="CJ1338">
        <v>0</v>
      </c>
      <c r="CK1338">
        <v>0</v>
      </c>
      <c r="CL1338">
        <v>0</v>
      </c>
      <c r="CM1338">
        <v>0</v>
      </c>
      <c r="CN1338">
        <v>0</v>
      </c>
      <c r="CO1338">
        <v>0</v>
      </c>
      <c r="CP1338" t="str">
        <f>IF($BN1338&lt;$BM1338,"refNeedCorrection","refOK")</f>
        <v>refOK</v>
      </c>
      <c r="CQ1338">
        <f>IF($CP1338="refNeedCorrection",BM1338,BN1338)</f>
        <v>9999</v>
      </c>
      <c r="CR1338">
        <f>IF($CP1338="refNeedCorrection",BN1338,BM1338)</f>
        <v>9999</v>
      </c>
      <c r="CS1338">
        <f>IF($CP1338="refOK",$BQ1338,-$BQ1338)</f>
        <v>0</v>
      </c>
      <c r="CT1338">
        <f>IF(BI1338="Roundwood",$CS1338/2,$CS1338)</f>
        <v>0</v>
      </c>
      <c r="CU1338">
        <f>IF($CP1338="refOK",$BU1338,$BV1338)*IF($BR1338="Emissions positive",-1,1)</f>
        <v>402</v>
      </c>
      <c r="CV1338">
        <f>IF($CP1338="refOK",$BV1338,$BU1338)*IF($BR1338="Emissions positive",-1,1)</f>
        <v>366</v>
      </c>
      <c r="CW1338">
        <f>IF($CP1338="refNeedCorrection",-BZ1338,BZ1338)*IF($BR1338="Emissions positive",-1,1)</f>
        <v>-60000000</v>
      </c>
      <c r="CX1338" t="str">
        <f>IFERROR($CW1338/$CS1338,"")</f>
        <v/>
      </c>
      <c r="CY1338" t="str">
        <f>IFERROR($CW1338/$CS1338,"")</f>
        <v/>
      </c>
      <c r="CZ1338" t="str">
        <f>IFERROR($CW1338/$CT1338,"")</f>
        <v/>
      </c>
      <c r="DA1338" s="2">
        <f>IFERROR((CV1338-CU1338)/ABS(CU1338),"")</f>
        <v>-8.9552238805970144E-2</v>
      </c>
      <c r="DB1338" s="1" t="s">
        <v>1106</v>
      </c>
      <c r="DC1338" t="str">
        <f>IF(OR($DB1338="prd",$DB1338="std",$DB1338="cit"),"loc",IF(OR($DB1338="eur",$DB1338="reg",$DB1338="coy"),"reg",$DB1338))</f>
        <v>reg</v>
      </c>
      <c r="DD1338" t="s">
        <v>729</v>
      </c>
      <c r="DE1338">
        <v>2026</v>
      </c>
      <c r="DF1338">
        <v>2030</v>
      </c>
      <c r="DG1338">
        <v>5</v>
      </c>
      <c r="DH1338" t="str">
        <f>IF(DG1338=0,"0",IF(AND(DG1338&gt;=1,DG1338&lt;=30),"1-30",IF(AND(DG1338&gt;30,DG1338&lt;=70),"31-70",IF(AND(DG1338&gt;70,DG1338&lt;=100),"71-100",IF(DG1338&gt;100,"+100")))))</f>
        <v>1-30</v>
      </c>
      <c r="DI1338">
        <v>1</v>
      </c>
      <c r="DJ1338">
        <v>0</v>
      </c>
      <c r="DK1338">
        <v>0</v>
      </c>
      <c r="DL1338">
        <v>0</v>
      </c>
      <c r="DN1338">
        <f>SUM(DI1338:DL1338)</f>
        <v>1</v>
      </c>
      <c r="DO1338" t="str">
        <f>IF(DN1338=1,INDEX($DI$7:$DL$7,MATCH(1,$DI1338:$DL1338,0)),"mixedProduct")</f>
        <v>UpstreamInput</v>
      </c>
      <c r="DP1338" t="str">
        <f>IF(DI1338=1,DP$7,0)</f>
        <v>Upstream</v>
      </c>
      <c r="DQ1338">
        <f>IF(DJ1338=1,DQ$7,0)</f>
        <v>0</v>
      </c>
      <c r="DR1338">
        <f>IF(DK1338=1,DR$7,0)</f>
        <v>0</v>
      </c>
      <c r="DS1338">
        <f>IF(DL1338=1,DS$7,0)</f>
        <v>0</v>
      </c>
      <c r="DT1338">
        <v>0</v>
      </c>
      <c r="DU1338">
        <v>0</v>
      </c>
      <c r="DV1338">
        <v>0</v>
      </c>
      <c r="DW1338">
        <v>0</v>
      </c>
      <c r="DX1338">
        <v>0</v>
      </c>
      <c r="DY1338">
        <f>SUM(DT1338:DU1338)</f>
        <v>0</v>
      </c>
      <c r="DZ1338" s="143" t="str">
        <f>IF(DT1338=1,"self-calculated DF",IF(DU1338=1,"external DF used","explicit C balance"))</f>
        <v>explicit C balance</v>
      </c>
      <c r="EA1338">
        <v>1</v>
      </c>
      <c r="EB1338">
        <v>0</v>
      </c>
      <c r="EC1338">
        <v>1</v>
      </c>
      <c r="ED1338">
        <v>0</v>
      </c>
      <c r="EE1338">
        <v>0</v>
      </c>
      <c r="EF1338" s="143">
        <v>0</v>
      </c>
      <c r="EG1338">
        <v>0</v>
      </c>
      <c r="EH1338">
        <v>0</v>
      </c>
      <c r="EI1338">
        <v>0</v>
      </c>
      <c r="EJ1338">
        <v>0</v>
      </c>
      <c r="EK1338">
        <v>1</v>
      </c>
      <c r="EL1338">
        <v>0</v>
      </c>
      <c r="EM1338">
        <v>0</v>
      </c>
      <c r="EN1338" s="2">
        <v>0</v>
      </c>
      <c r="EP1338" t="str">
        <f>IF(AND(AND(AND(OR($EC1338=1,$EB1338=1),OR($EH1338=1,$EF1338=1)),SUM($EA1338:$EE1338,$EK1338)&gt;=3),SUM($EF1338:$EJ1338)&gt;=2),"Whole sector approach","")</f>
        <v/>
      </c>
      <c r="EQ1338" t="str">
        <f>IF(AND(AND(OR($EC1338=1,$EB1338=1),AND($EH1338=0,$EF1338=0)),SUM($EA1338:$EE1338,$EK1338)&gt;=4),"Ecosystem approach","")</f>
        <v/>
      </c>
      <c r="ER1338" s="2" t="str">
        <f>IF(AND(AND(AND($EC1338=0,$EB1338=0),OR($EH1338=1,$EF1338=1)),SUM($EG1338:$EJ1338)&gt;=2),"Technology approach","")</f>
        <v/>
      </c>
      <c r="ES1338" t="str">
        <f>IF(AND($EC1338+$EB1338+$EE1338+$EA1338+$ED1338+$EG1338=0,$N1338="included"),"C neutral forest and HWP assumption","")</f>
        <v/>
      </c>
      <c r="ET1338" t="str">
        <f>IF(AND(AND(AND(AND($EC1338=1,$EB1338+$EA1338+$EG1338&gt;=1),$EF1338=1),$EH1338+$EI1338+$ED1338+$EE1338&gt;=2),$N1338="included"),"All C pools assumption","")</f>
        <v/>
      </c>
      <c r="EU1338" t="str">
        <f>IF(AND($ED1338+$EE1338+$EI1338+$EH1338+$EF1338=0,$N1338="included"),"In-situ only assumption","")</f>
        <v>In-situ only assumption</v>
      </c>
      <c r="EW1338" s="149" t="s">
        <v>1549</v>
      </c>
      <c r="EY1338" t="b">
        <f>IF(ISNUMBER(BW1338),IF(ABS(BW1338-[6]QC_indicators!$B$2)&gt;3*[6]QC_indicators!$C$2,"C ratio",IF(ISNUMBER(CA1338),IF(ABS(CA1338-[6]QC_indicators!$B$1)&gt;3*[6]QC_indicators!$C$1,"DF","no"))),IF(ISNUMBER(CA1338),IF(ABS(CA1338-[6]QC_indicators!$B$1)&gt;3*[6]QC_indicators!$C$1,"DF","no")))</f>
        <v>0</v>
      </c>
      <c r="FA1338" t="str">
        <f>IF(LEN($CY1338)=0,"",IF(AND($CY1338&lt;(-0.05),$ES1338="C neutral forest and HWP assumption"),"Cneutral paradox",IF(AND($CY1338&gt;0.05,$EU1338="In-situ only assumption"),"In-situ only paradox","")))</f>
        <v/>
      </c>
      <c r="FB1338" s="149" t="s">
        <v>349</v>
      </c>
      <c r="FD1338" s="260" t="s">
        <v>2948</v>
      </c>
    </row>
    <row r="1339" spans="1:160" ht="15" customHeight="1">
      <c r="A1339" s="1" t="s">
        <v>1016</v>
      </c>
      <c r="B1339" t="s">
        <v>1538</v>
      </c>
      <c r="C1339" t="s">
        <v>1539</v>
      </c>
      <c r="D1339" t="s">
        <v>1540</v>
      </c>
      <c r="E1339" t="s">
        <v>1541</v>
      </c>
      <c r="F1339" t="s">
        <v>1542</v>
      </c>
      <c r="G1339" t="s">
        <v>1017</v>
      </c>
      <c r="H1339" t="s">
        <v>254</v>
      </c>
      <c r="I1339">
        <v>2020</v>
      </c>
      <c r="J1339">
        <v>4</v>
      </c>
      <c r="K1339" t="s">
        <v>1543</v>
      </c>
      <c r="M1339" t="str">
        <f>LEFT($D1339,FIND(",",$D1339)-1)&amp;"_"&amp;I1339&amp;L1339</f>
        <v>Gusti_2020</v>
      </c>
      <c r="N1339" t="s">
        <v>222</v>
      </c>
      <c r="O1339" s="180" t="s">
        <v>341</v>
      </c>
      <c r="Q1339" t="s">
        <v>256</v>
      </c>
      <c r="R1339" s="276" t="s">
        <v>225</v>
      </c>
      <c r="S1339" s="1" t="s">
        <v>1551</v>
      </c>
      <c r="T1339" s="151" t="s">
        <v>1003</v>
      </c>
      <c r="U1339" t="s">
        <v>1663</v>
      </c>
      <c r="V1339" s="253">
        <v>0</v>
      </c>
      <c r="W1339" s="253">
        <v>0</v>
      </c>
      <c r="X1339">
        <v>0</v>
      </c>
      <c r="Y1339">
        <v>0</v>
      </c>
      <c r="Z1339">
        <v>1</v>
      </c>
      <c r="AA1339">
        <v>1</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s="141">
        <f>COUNTIF(X1339:AY1339,"&lt;&gt;0")</f>
        <v>2</v>
      </c>
      <c r="BA1339" s="141">
        <f>COUNTIF(X1339:AN1339,"&lt;&gt;0")</f>
        <v>2</v>
      </c>
      <c r="BB1339">
        <f>COUNTIF(X1339:AE1339,"&lt;&gt;0")</f>
        <v>2</v>
      </c>
      <c r="BC1339">
        <f>COUNTIF(AF1339:AK1339,"&lt;&gt;0")</f>
        <v>0</v>
      </c>
      <c r="BD1339">
        <f>COUNTIF(AL1339:AN1339,"&lt;&gt;0")</f>
        <v>0</v>
      </c>
      <c r="BE1339">
        <f>COUNTIF(AU1339:AY1339,"&lt;&gt;0")</f>
        <v>0</v>
      </c>
      <c r="BF1339">
        <f>COUNTIF(AO1339:AT1339,"&lt;&gt;0")</f>
        <v>0</v>
      </c>
      <c r="BG1339" t="str">
        <f t="array" ref="BG1339">IF(BA1339=1,INDEX($X$7:$AN$7,MATCH(TRUE,INDEX($X1339:$AY1339&lt;&gt;0,),0)),IF(BA1339=0,INDEX($AO$7:$AY$7,MATCH(1,$AO1339:$AY1339,0)),IF(BH1339="Multiple strategies","mixed drivers",IF(BH1339="Supply chain","multiple supply","multiple silviculture"))))</f>
        <v>multiple silviculture</v>
      </c>
      <c r="BH1339" s="2" t="str" cm="1">
        <f t="array" ref="BH1339">IF(COUNTIF(BB1339:BD1339,"&lt;&gt;0")=1,INDEX($X$4:$AY$4,MATCH(TRUE,INDEX($X1339:$AY1339&lt;&gt;0,),0)),IF(COUNTIF(BB1339:BD1339,"&lt;&gt;0")=0,INDEX($AO$4:$AY$4,MATCH(1,$AO1339:$AY1339,0)),"Multiple strategies"))</f>
        <v>Silviculture for removals</v>
      </c>
      <c r="BI1339" s="1" t="s">
        <v>321</v>
      </c>
      <c r="BJ1339" t="s">
        <v>1196</v>
      </c>
      <c r="BK1339" t="s">
        <v>568</v>
      </c>
      <c r="BL1339" t="s">
        <v>1545</v>
      </c>
      <c r="BM1339">
        <f>BN1339-2774</f>
        <v>527371</v>
      </c>
      <c r="BN1339">
        <v>530145</v>
      </c>
      <c r="BO1339">
        <f>BN1339/BM1339</f>
        <v>1.0052600541174999</v>
      </c>
      <c r="BP1339" s="151">
        <v>2861</v>
      </c>
      <c r="BQ1339">
        <f>BP1339*1000</f>
        <v>2861000</v>
      </c>
      <c r="BR1339" t="s">
        <v>232</v>
      </c>
      <c r="BS1339" t="s">
        <v>568</v>
      </c>
      <c r="BT1339" t="s">
        <v>1546</v>
      </c>
      <c r="BU1339">
        <v>389</v>
      </c>
      <c r="BV1339">
        <v>366</v>
      </c>
      <c r="BW1339" s="144">
        <f>IFERROR(BV1339/BU1339,"")</f>
        <v>0.94087403598971719</v>
      </c>
      <c r="BX1339">
        <f>BV1339-BU1339</f>
        <v>-23</v>
      </c>
      <c r="BZ1339">
        <f>BX1339*10^6</f>
        <v>-23000000</v>
      </c>
      <c r="CA1339">
        <f>IFERROR(BZ1339/BQ1339,"")</f>
        <v>-8.0391471513456825</v>
      </c>
      <c r="CB1339">
        <v>0</v>
      </c>
      <c r="CC1339">
        <v>0</v>
      </c>
      <c r="CD1339">
        <v>0</v>
      </c>
      <c r="CE1339">
        <v>0</v>
      </c>
      <c r="CF1339">
        <v>0</v>
      </c>
      <c r="CG1339">
        <v>0</v>
      </c>
      <c r="CH1339">
        <v>0</v>
      </c>
      <c r="CI1339">
        <v>0</v>
      </c>
      <c r="CJ1339">
        <v>0</v>
      </c>
      <c r="CK1339">
        <v>0</v>
      </c>
      <c r="CL1339">
        <v>0</v>
      </c>
      <c r="CM1339">
        <v>0</v>
      </c>
      <c r="CN1339">
        <v>0</v>
      </c>
      <c r="CO1339">
        <v>0</v>
      </c>
      <c r="CP1339" t="str">
        <f>IF($BN1339&lt;$BM1339,"refNeedCorrection","refOK")</f>
        <v>refOK</v>
      </c>
      <c r="CQ1339">
        <f>IF($CP1339="refNeedCorrection",BM1339,BN1339)</f>
        <v>530145</v>
      </c>
      <c r="CR1339">
        <f>IF($CP1339="refNeedCorrection",BN1339,BM1339)</f>
        <v>527371</v>
      </c>
      <c r="CS1339">
        <f>IF($CP1339="refOK",$BQ1339,-$BQ1339)</f>
        <v>2861000</v>
      </c>
      <c r="CT1339">
        <f>IF(BI1339="Roundwood",$CS1339/2,$CS1339)</f>
        <v>1430500</v>
      </c>
      <c r="CU1339">
        <f>IF($CP1339="refOK",$BU1339,$BV1339)*IF($BR1339="Emissions positive",-1,1)</f>
        <v>389</v>
      </c>
      <c r="CV1339">
        <f>IF($CP1339="refOK",$BV1339,$BU1339)*IF($BR1339="Emissions positive",-1,1)</f>
        <v>366</v>
      </c>
      <c r="CW1339">
        <f>IF($CP1339="refNeedCorrection",-BZ1339,BZ1339)*IF($BR1339="Emissions positive",-1,1)</f>
        <v>-23000000</v>
      </c>
      <c r="CX1339">
        <f>IFERROR($CW1339/$CS1339,"")</f>
        <v>-8.0391471513456825</v>
      </c>
      <c r="CY1339">
        <f>IFERROR($CW1339/$CS1339,"")</f>
        <v>-8.0391471513456825</v>
      </c>
      <c r="CZ1339">
        <f>IFERROR($CW1339/$CT1339,"")</f>
        <v>-16.078294302691365</v>
      </c>
      <c r="DA1339" s="2">
        <f>IFERROR((CV1339-CU1339)/ABS(CU1339),"")</f>
        <v>-5.9125964010282778E-2</v>
      </c>
      <c r="DB1339" s="1" t="s">
        <v>1106</v>
      </c>
      <c r="DC1339" t="str">
        <f>IF(OR($DB1339="prd",$DB1339="std",$DB1339="cit"),"loc",IF(OR($DB1339="eur",$DB1339="reg",$DB1339="coy"),"reg",$DB1339))</f>
        <v>reg</v>
      </c>
      <c r="DD1339" t="s">
        <v>729</v>
      </c>
      <c r="DE1339">
        <v>2026</v>
      </c>
      <c r="DF1339">
        <v>2030</v>
      </c>
      <c r="DG1339">
        <v>5</v>
      </c>
      <c r="DH1339" t="str">
        <f>IF(DG1339=0,"0",IF(AND(DG1339&gt;=1,DG1339&lt;=30),"1-30",IF(AND(DG1339&gt;30,DG1339&lt;=70),"31-70",IF(AND(DG1339&gt;70,DG1339&lt;=100),"71-100",IF(DG1339&gt;100,"+100")))))</f>
        <v>1-30</v>
      </c>
      <c r="DI1339">
        <v>1</v>
      </c>
      <c r="DJ1339">
        <v>0</v>
      </c>
      <c r="DK1339">
        <v>0</v>
      </c>
      <c r="DL1339">
        <v>0</v>
      </c>
      <c r="DN1339">
        <f>SUM(DI1339:DL1339)</f>
        <v>1</v>
      </c>
      <c r="DO1339" t="str">
        <f>IF(DN1339=1,INDEX($DI$7:$DL$7,MATCH(1,$DI1339:$DL1339,0)),"mixedProduct")</f>
        <v>UpstreamInput</v>
      </c>
      <c r="DP1339" t="str">
        <f>IF(DI1339=1,DP$7,0)</f>
        <v>Upstream</v>
      </c>
      <c r="DQ1339">
        <f>IF(DJ1339=1,DQ$7,0)</f>
        <v>0</v>
      </c>
      <c r="DR1339">
        <f>IF(DK1339=1,DR$7,0)</f>
        <v>0</v>
      </c>
      <c r="DS1339">
        <f>IF(DL1339=1,DS$7,0)</f>
        <v>0</v>
      </c>
      <c r="DT1339">
        <v>0</v>
      </c>
      <c r="DU1339">
        <v>0</v>
      </c>
      <c r="DV1339">
        <v>0</v>
      </c>
      <c r="DW1339">
        <v>0</v>
      </c>
      <c r="DX1339">
        <v>0</v>
      </c>
      <c r="DY1339">
        <f>SUM(DT1339:DU1339)</f>
        <v>0</v>
      </c>
      <c r="DZ1339" s="143" t="str">
        <f>IF(DT1339=1,"self-calculated DF",IF(DU1339=1,"external DF used","explicit C balance"))</f>
        <v>explicit C balance</v>
      </c>
      <c r="EA1339">
        <v>1</v>
      </c>
      <c r="EB1339">
        <v>0</v>
      </c>
      <c r="EC1339">
        <v>1</v>
      </c>
      <c r="ED1339">
        <v>0</v>
      </c>
      <c r="EE1339">
        <v>0</v>
      </c>
      <c r="EF1339" s="143">
        <v>0</v>
      </c>
      <c r="EG1339">
        <v>0</v>
      </c>
      <c r="EH1339">
        <v>0</v>
      </c>
      <c r="EI1339">
        <v>0</v>
      </c>
      <c r="EJ1339">
        <v>0</v>
      </c>
      <c r="EK1339">
        <v>1</v>
      </c>
      <c r="EL1339">
        <v>0</v>
      </c>
      <c r="EM1339">
        <v>0</v>
      </c>
      <c r="EN1339" s="2">
        <v>0</v>
      </c>
      <c r="EP1339" t="str">
        <f>IF(AND(AND(AND(OR($EC1339=1,$EB1339=1),OR($EH1339=1,$EF1339=1)),SUM($EA1339:$EE1339,$EK1339)&gt;=3),SUM($EF1339:$EJ1339)&gt;=2),"Whole sector approach","")</f>
        <v/>
      </c>
      <c r="EQ1339" t="str">
        <f>IF(AND(AND(OR($EC1339=1,$EB1339=1),AND($EH1339=0,$EF1339=0)),SUM($EA1339:$EE1339,$EK1339)&gt;=4),"Ecosystem approach","")</f>
        <v/>
      </c>
      <c r="ER1339" s="2" t="str">
        <f>IF(AND(AND(AND($EC1339=0,$EB1339=0),OR($EH1339=1,$EF1339=1)),SUM($EG1339:$EJ1339)&gt;=2),"Technology approach","")</f>
        <v/>
      </c>
      <c r="ES1339" t="str">
        <f>IF(AND($EC1339+$EB1339+$EE1339+$EA1339+$ED1339+$EG1339=0,$N1339="included"),"C neutral forest and HWP assumption","")</f>
        <v/>
      </c>
      <c r="ET1339" t="str">
        <f>IF(AND(AND(AND(AND($EC1339=1,$EB1339+$EA1339+$EG1339&gt;=1),$EF1339=1),$EH1339+$EI1339+$ED1339+$EE1339&gt;=2),$N1339="included"),"All C pools assumption","")</f>
        <v/>
      </c>
      <c r="EU1339" t="str">
        <f>IF(AND($ED1339+$EE1339+$EI1339+$EH1339+$EF1339=0,$N1339="included"),"In-situ only assumption","")</f>
        <v>In-situ only assumption</v>
      </c>
      <c r="EW1339" s="149" t="s">
        <v>1549</v>
      </c>
      <c r="EY1339" t="str">
        <f>IF(ISNUMBER(BW1339),IF(ABS(BW1339-[6]QC_indicators!$B$2)&gt;3*[6]QC_indicators!$C$2,"C ratio",IF(ISNUMBER(CA1339),IF(ABS(CA1339-[6]QC_indicators!$B$1)&gt;3*[6]QC_indicators!$C$1,"DF","no"))),IF(ISNUMBER(CA1339),IF(ABS(CA1339-[6]QC_indicators!$B$1)&gt;3*[6]QC_indicators!$C$1,"DF","no")))</f>
        <v>DF</v>
      </c>
      <c r="FA1339" t="str">
        <f>IF(LEN($CY1339)=0,"",IF(AND($CY1339&lt;(-0.05),$ES1339="C neutral forest and HWP assumption"),"Cneutral paradox",IF(AND($CY1339&gt;0.05,$EU1339="In-situ only assumption"),"In-situ only paradox","")))</f>
        <v/>
      </c>
      <c r="FB1339" s="149" t="s">
        <v>349</v>
      </c>
      <c r="FD1339" s="260" t="s">
        <v>2948</v>
      </c>
    </row>
    <row r="1340" spans="1:160" ht="15" customHeight="1">
      <c r="A1340" s="1" t="s">
        <v>1016</v>
      </c>
      <c r="B1340" t="s">
        <v>1538</v>
      </c>
      <c r="C1340" t="s">
        <v>1539</v>
      </c>
      <c r="D1340" t="s">
        <v>1540</v>
      </c>
      <c r="E1340" t="s">
        <v>1541</v>
      </c>
      <c r="F1340" t="s">
        <v>1542</v>
      </c>
      <c r="G1340" t="s">
        <v>1017</v>
      </c>
      <c r="H1340" t="s">
        <v>254</v>
      </c>
      <c r="I1340">
        <v>2020</v>
      </c>
      <c r="J1340">
        <v>4</v>
      </c>
      <c r="K1340" t="s">
        <v>1543</v>
      </c>
      <c r="M1340" t="str">
        <f>LEFT($D1340,FIND(",",$D1340)-1)&amp;"_"&amp;I1340&amp;L1340</f>
        <v>Gusti_2020</v>
      </c>
      <c r="N1340" t="s">
        <v>222</v>
      </c>
      <c r="O1340" s="180" t="s">
        <v>341</v>
      </c>
      <c r="Q1340" t="s">
        <v>256</v>
      </c>
      <c r="R1340" s="276" t="s">
        <v>225</v>
      </c>
      <c r="S1340" s="1" t="s">
        <v>1550</v>
      </c>
      <c r="T1340" s="151" t="s">
        <v>1003</v>
      </c>
      <c r="U1340" t="s">
        <v>2761</v>
      </c>
      <c r="V1340" s="253">
        <v>0</v>
      </c>
      <c r="W1340" s="253">
        <v>0</v>
      </c>
      <c r="X1340">
        <v>0</v>
      </c>
      <c r="Y1340">
        <v>0</v>
      </c>
      <c r="Z1340">
        <v>1</v>
      </c>
      <c r="AA1340">
        <v>1</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s="141">
        <f>COUNTIF(X1340:AY1340,"&lt;&gt;0")</f>
        <v>2</v>
      </c>
      <c r="BA1340" s="141">
        <f>COUNTIF(X1340:AN1340,"&lt;&gt;0")</f>
        <v>2</v>
      </c>
      <c r="BB1340">
        <f>COUNTIF(X1340:AE1340,"&lt;&gt;0")</f>
        <v>2</v>
      </c>
      <c r="BC1340">
        <f>COUNTIF(AF1340:AK1340,"&lt;&gt;0")</f>
        <v>0</v>
      </c>
      <c r="BD1340">
        <f>COUNTIF(AL1340:AN1340,"&lt;&gt;0")</f>
        <v>0</v>
      </c>
      <c r="BE1340">
        <f>COUNTIF(AU1340:AY1340,"&lt;&gt;0")</f>
        <v>0</v>
      </c>
      <c r="BF1340">
        <f>COUNTIF(AO1340:AT1340,"&lt;&gt;0")</f>
        <v>0</v>
      </c>
      <c r="BG1340" t="str">
        <f t="array" ref="BG1340">IF(BA1340=1,INDEX($X$7:$AN$7,MATCH(TRUE,INDEX($X1340:$AY1340&lt;&gt;0,),0)),IF(BA1340=0,INDEX($AO$7:$AY$7,MATCH(1,$AO1340:$AY1340,0)),IF(BH1340="Multiple strategies","mixed drivers",IF(BH1340="Supply chain","multiple supply","multiple silviculture"))))</f>
        <v>multiple silviculture</v>
      </c>
      <c r="BH1340" s="2" t="str" cm="1">
        <f t="array" ref="BH1340">IF(COUNTIF(BB1340:BD1340,"&lt;&gt;0")=1,INDEX($X$4:$AY$4,MATCH(TRUE,INDEX($X1340:$AY1340&lt;&gt;0,),0)),IF(COUNTIF(BB1340:BD1340,"&lt;&gt;0")=0,INDEX($AO$4:$AY$4,MATCH(1,$AO1340:$AY1340,0)),"Multiple strategies"))</f>
        <v>Silviculture for removals</v>
      </c>
      <c r="BI1340" s="1" t="s">
        <v>321</v>
      </c>
      <c r="BJ1340" t="s">
        <v>1196</v>
      </c>
      <c r="BK1340" t="s">
        <v>568</v>
      </c>
      <c r="BL1340" t="s">
        <v>1545</v>
      </c>
      <c r="BM1340">
        <f>BN1340-2861</f>
        <v>527284</v>
      </c>
      <c r="BN1340">
        <v>530145</v>
      </c>
      <c r="BO1340">
        <f>BN1340/BM1340</f>
        <v>1.0054259184803636</v>
      </c>
      <c r="BP1340" s="151">
        <v>2774</v>
      </c>
      <c r="BQ1340">
        <f>BP1340*1000</f>
        <v>2774000</v>
      </c>
      <c r="BR1340" t="s">
        <v>232</v>
      </c>
      <c r="BS1340" t="s">
        <v>568</v>
      </c>
      <c r="BT1340" t="s">
        <v>1546</v>
      </c>
      <c r="BU1340">
        <v>428</v>
      </c>
      <c r="BV1340">
        <v>366</v>
      </c>
      <c r="BW1340" s="144">
        <f>IFERROR(BV1340/BU1340,"")</f>
        <v>0.85514018691588789</v>
      </c>
      <c r="BX1340">
        <f>BV1340-BU1340</f>
        <v>-62</v>
      </c>
      <c r="BZ1340">
        <f>BX1340*10^6</f>
        <v>-62000000</v>
      </c>
      <c r="CA1340">
        <f>IFERROR(BZ1340/BQ1340,"")</f>
        <v>-22.350396539293438</v>
      </c>
      <c r="CB1340">
        <v>0</v>
      </c>
      <c r="CC1340">
        <v>0</v>
      </c>
      <c r="CD1340">
        <v>0</v>
      </c>
      <c r="CE1340">
        <v>0</v>
      </c>
      <c r="CF1340">
        <v>0</v>
      </c>
      <c r="CG1340">
        <v>0</v>
      </c>
      <c r="CH1340">
        <v>0</v>
      </c>
      <c r="CI1340">
        <v>0</v>
      </c>
      <c r="CJ1340">
        <v>0</v>
      </c>
      <c r="CK1340">
        <v>0</v>
      </c>
      <c r="CL1340">
        <v>0</v>
      </c>
      <c r="CM1340">
        <v>0</v>
      </c>
      <c r="CN1340">
        <v>0</v>
      </c>
      <c r="CO1340">
        <v>0</v>
      </c>
      <c r="CP1340" t="str">
        <f>IF($BN1340&lt;$BM1340,"refNeedCorrection","refOK")</f>
        <v>refOK</v>
      </c>
      <c r="CQ1340">
        <f>IF($CP1340="refNeedCorrection",BM1340,BN1340)</f>
        <v>530145</v>
      </c>
      <c r="CR1340">
        <f>IF($CP1340="refNeedCorrection",BN1340,BM1340)</f>
        <v>527284</v>
      </c>
      <c r="CS1340">
        <f>IF($CP1340="refOK",$BQ1340,-$BQ1340)</f>
        <v>2774000</v>
      </c>
      <c r="CT1340">
        <f>IF(BI1340="Roundwood",$CS1340/2,$CS1340)</f>
        <v>1387000</v>
      </c>
      <c r="CU1340">
        <f>IF($CP1340="refOK",$BU1340,$BV1340)*IF($BR1340="Emissions positive",-1,1)</f>
        <v>428</v>
      </c>
      <c r="CV1340">
        <f>IF($CP1340="refOK",$BV1340,$BU1340)*IF($BR1340="Emissions positive",-1,1)</f>
        <v>366</v>
      </c>
      <c r="CW1340">
        <f>IF($CP1340="refNeedCorrection",-BZ1340,BZ1340)*IF($BR1340="Emissions positive",-1,1)</f>
        <v>-62000000</v>
      </c>
      <c r="CX1340">
        <f>IFERROR($CW1340/$CS1340,"")</f>
        <v>-22.350396539293438</v>
      </c>
      <c r="CY1340">
        <f>IFERROR($CW1340/$CS1340,"")</f>
        <v>-22.350396539293438</v>
      </c>
      <c r="CZ1340">
        <f>IFERROR($CW1340/$CT1340,"")</f>
        <v>-44.700793078586877</v>
      </c>
      <c r="DA1340" s="2">
        <f>IFERROR((CV1340-CU1340)/ABS(CU1340),"")</f>
        <v>-0.14485981308411214</v>
      </c>
      <c r="DB1340" s="1" t="s">
        <v>1106</v>
      </c>
      <c r="DC1340" t="str">
        <f>IF(OR($DB1340="prd",$DB1340="std",$DB1340="cit"),"loc",IF(OR($DB1340="eur",$DB1340="reg",$DB1340="coy"),"reg",$DB1340))</f>
        <v>reg</v>
      </c>
      <c r="DD1340" t="s">
        <v>729</v>
      </c>
      <c r="DE1340">
        <v>2026</v>
      </c>
      <c r="DF1340">
        <v>2030</v>
      </c>
      <c r="DG1340">
        <v>5</v>
      </c>
      <c r="DH1340" t="str">
        <f>IF(DG1340=0,"0",IF(AND(DG1340&gt;=1,DG1340&lt;=30),"1-30",IF(AND(DG1340&gt;30,DG1340&lt;=70),"31-70",IF(AND(DG1340&gt;70,DG1340&lt;=100),"71-100",IF(DG1340&gt;100,"+100")))))</f>
        <v>1-30</v>
      </c>
      <c r="DI1340">
        <v>1</v>
      </c>
      <c r="DJ1340">
        <v>0</v>
      </c>
      <c r="DK1340">
        <v>0</v>
      </c>
      <c r="DL1340">
        <v>0</v>
      </c>
      <c r="DN1340">
        <f>SUM(DI1340:DL1340)</f>
        <v>1</v>
      </c>
      <c r="DO1340" t="str">
        <f>IF(DN1340=1,INDEX($DI$7:$DL$7,MATCH(1,$DI1340:$DL1340,0)),"mixedProduct")</f>
        <v>UpstreamInput</v>
      </c>
      <c r="DP1340" t="str">
        <f>IF(DI1340=1,DP$7,0)</f>
        <v>Upstream</v>
      </c>
      <c r="DQ1340">
        <f>IF(DJ1340=1,DQ$7,0)</f>
        <v>0</v>
      </c>
      <c r="DR1340">
        <f>IF(DK1340=1,DR$7,0)</f>
        <v>0</v>
      </c>
      <c r="DS1340">
        <f>IF(DL1340=1,DS$7,0)</f>
        <v>0</v>
      </c>
      <c r="DT1340">
        <v>0</v>
      </c>
      <c r="DU1340">
        <v>0</v>
      </c>
      <c r="DV1340">
        <v>0</v>
      </c>
      <c r="DW1340">
        <v>0</v>
      </c>
      <c r="DX1340">
        <v>0</v>
      </c>
      <c r="DY1340">
        <f>SUM(DT1340:DU1340)</f>
        <v>0</v>
      </c>
      <c r="DZ1340" s="143" t="str">
        <f>IF(DT1340=1,"self-calculated DF",IF(DU1340=1,"external DF used","explicit C balance"))</f>
        <v>explicit C balance</v>
      </c>
      <c r="EA1340">
        <v>1</v>
      </c>
      <c r="EB1340">
        <v>0</v>
      </c>
      <c r="EC1340">
        <v>1</v>
      </c>
      <c r="ED1340">
        <v>0</v>
      </c>
      <c r="EE1340">
        <v>0</v>
      </c>
      <c r="EF1340" s="143">
        <v>0</v>
      </c>
      <c r="EG1340">
        <v>0</v>
      </c>
      <c r="EH1340">
        <v>0</v>
      </c>
      <c r="EI1340">
        <v>0</v>
      </c>
      <c r="EJ1340">
        <v>0</v>
      </c>
      <c r="EK1340">
        <v>1</v>
      </c>
      <c r="EL1340">
        <v>0</v>
      </c>
      <c r="EM1340">
        <v>0</v>
      </c>
      <c r="EN1340" s="2">
        <v>0</v>
      </c>
      <c r="EP1340" t="str">
        <f>IF(AND(AND(AND(OR($EC1340=1,$EB1340=1),OR($EH1340=1,$EF1340=1)),SUM($EA1340:$EE1340,$EK1340)&gt;=3),SUM($EF1340:$EJ1340)&gt;=2),"Whole sector approach","")</f>
        <v/>
      </c>
      <c r="EQ1340" t="str">
        <f>IF(AND(AND(OR($EC1340=1,$EB1340=1),AND($EH1340=0,$EF1340=0)),SUM($EA1340:$EE1340,$EK1340)&gt;=4),"Ecosystem approach","")</f>
        <v/>
      </c>
      <c r="ER1340" s="2" t="str">
        <f>IF(AND(AND(AND($EC1340=0,$EB1340=0),OR($EH1340=1,$EF1340=1)),SUM($EG1340:$EJ1340)&gt;=2),"Technology approach","")</f>
        <v/>
      </c>
      <c r="ES1340" t="str">
        <f>IF(AND($EC1340+$EB1340+$EE1340+$EA1340+$ED1340+$EG1340=0,$N1340="included"),"C neutral forest and HWP assumption","")</f>
        <v/>
      </c>
      <c r="ET1340" t="str">
        <f>IF(AND(AND(AND(AND($EC1340=1,$EB1340+$EA1340+$EG1340&gt;=1),$EF1340=1),$EH1340+$EI1340+$ED1340+$EE1340&gt;=2),$N1340="included"),"All C pools assumption","")</f>
        <v/>
      </c>
      <c r="EU1340" t="str">
        <f>IF(AND($ED1340+$EE1340+$EI1340+$EH1340+$EF1340=0,$N1340="included"),"In-situ only assumption","")</f>
        <v>In-situ only assumption</v>
      </c>
      <c r="EW1340" s="149" t="s">
        <v>1549</v>
      </c>
      <c r="EY1340" t="str">
        <f>IF(ISNUMBER(BW1340),IF(ABS(BW1340-[6]QC_indicators!$B$2)&gt;3*[6]QC_indicators!$C$2,"C ratio",IF(ISNUMBER(CA1340),IF(ABS(CA1340-[6]QC_indicators!$B$1)&gt;3*[6]QC_indicators!$C$1,"DF","no"))),IF(ISNUMBER(CA1340),IF(ABS(CA1340-[6]QC_indicators!$B$1)&gt;3*[6]QC_indicators!$C$1,"DF","no")))</f>
        <v>DF</v>
      </c>
      <c r="FA1340" t="str">
        <f>IF(LEN($CY1340)=0,"",IF(AND($CY1340&lt;(-0.05),$ES1340="C neutral forest and HWP assumption"),"Cneutral paradox",IF(AND($CY1340&gt;0.05,$EU1340="In-situ only assumption"),"In-situ only paradox","")))</f>
        <v/>
      </c>
      <c r="FB1340" s="149" t="s">
        <v>349</v>
      </c>
      <c r="FD1340" s="260" t="s">
        <v>2948</v>
      </c>
    </row>
    <row r="1341" spans="1:160" ht="15" hidden="1" customHeight="1">
      <c r="D1341" t="s">
        <v>886</v>
      </c>
      <c r="E1341" t="s">
        <v>887</v>
      </c>
      <c r="G1341" t="s">
        <v>888</v>
      </c>
      <c r="I1341">
        <v>2004</v>
      </c>
      <c r="K1341" t="s">
        <v>889</v>
      </c>
      <c r="M1341" t="str">
        <f>LEFT($D1341,FIND(",",$D1341)-1)&amp;"_"&amp;I1341&amp;L1341</f>
        <v>Lippke_2004</v>
      </c>
      <c r="N1341" t="s">
        <v>222</v>
      </c>
      <c r="O1341" t="s">
        <v>223</v>
      </c>
      <c r="Q1341" t="s">
        <v>256</v>
      </c>
      <c r="R1341" s="251" t="s">
        <v>225</v>
      </c>
      <c r="S1341" s="1" t="s">
        <v>738</v>
      </c>
      <c r="T1341" t="s">
        <v>890</v>
      </c>
      <c r="U1341" s="260" t="s">
        <v>891</v>
      </c>
      <c r="V1341" s="253">
        <v>0</v>
      </c>
      <c r="W1341" s="253">
        <v>0</v>
      </c>
      <c r="X1341">
        <v>0</v>
      </c>
      <c r="Y1341">
        <v>0</v>
      </c>
      <c r="Z1341">
        <v>0</v>
      </c>
      <c r="AA1341">
        <v>0</v>
      </c>
      <c r="AB1341">
        <v>0</v>
      </c>
      <c r="AC1341">
        <v>0</v>
      </c>
      <c r="AD1341">
        <v>0</v>
      </c>
      <c r="AE1341">
        <v>0</v>
      </c>
      <c r="AF1341">
        <v>0</v>
      </c>
      <c r="AG1341">
        <v>0</v>
      </c>
      <c r="AH1341">
        <v>0</v>
      </c>
      <c r="AI1341">
        <v>0</v>
      </c>
      <c r="AJ1341">
        <v>0</v>
      </c>
      <c r="AK1341">
        <v>0</v>
      </c>
      <c r="AL1341">
        <v>0</v>
      </c>
      <c r="AM1341">
        <v>1</v>
      </c>
      <c r="AN1341">
        <v>0</v>
      </c>
      <c r="AO1341">
        <v>0</v>
      </c>
      <c r="AP1341">
        <v>0</v>
      </c>
      <c r="AQ1341">
        <v>0</v>
      </c>
      <c r="AR1341">
        <v>0</v>
      </c>
      <c r="AS1341">
        <v>0</v>
      </c>
      <c r="AT1341">
        <v>0</v>
      </c>
      <c r="AU1341">
        <v>0</v>
      </c>
      <c r="AV1341">
        <v>0</v>
      </c>
      <c r="AW1341">
        <v>0</v>
      </c>
      <c r="AX1341">
        <v>0</v>
      </c>
      <c r="AY1341">
        <v>0</v>
      </c>
      <c r="AZ1341" s="141">
        <f>COUNTIF(X1341:AY1341,"&lt;&gt;0")</f>
        <v>1</v>
      </c>
      <c r="BA1341" s="141">
        <f>COUNTIF(X1341:AN1341,"&lt;&gt;0")</f>
        <v>1</v>
      </c>
      <c r="BB1341">
        <f>COUNTIF(X1341:AE1341,"&lt;&gt;0")</f>
        <v>0</v>
      </c>
      <c r="BC1341">
        <f>COUNTIF(AF1341:AK1341,"&lt;&gt;0")</f>
        <v>0</v>
      </c>
      <c r="BD1341">
        <f>COUNTIF(AL1341:AN1341,"&lt;&gt;0")</f>
        <v>1</v>
      </c>
      <c r="BE1341">
        <f>COUNTIF(AU1341:AY1341,"&lt;&gt;0")</f>
        <v>0</v>
      </c>
      <c r="BF1341">
        <f>COUNTIF(AO1341:AT1341,"&lt;&gt;0")</f>
        <v>0</v>
      </c>
      <c r="BG1341" t="str">
        <f t="array" ref="BG1341">IF(BA1341=1,INDEX($X$7:$AN$7,MATCH(TRUE,INDEX($X1341:$AY1341&lt;&gt;0,),0)),IF(BA1341=0,INDEX($AO$7:$AY$7,MATCH(1,$AO1341:$AY1341,0)),IF(BH1341="Multiple strategies","mixed drivers",IF(BH1341="Supply chain","multiple supply","multiple silviculture"))))</f>
        <v>technologies/design switch</v>
      </c>
      <c r="BH1341" s="2" t="str" cm="1">
        <f t="array" ref="BH1341">IF(COUNTIF(BB1341:BD1341,"&lt;&gt;0")=1,INDEX($X$4:$AY$4,MATCH(TRUE,INDEX($X1341:$AY1341&lt;&gt;0,),0)),IF(COUNTIF(BB1341:BD1341,"&lt;&gt;0")=0,INDEX($AO$4:$AY$4,MATCH(1,$AO1341:$AY1341,0)),"Multiple strategies"))</f>
        <v>Technology</v>
      </c>
      <c r="BI1341" s="1" t="s">
        <v>229</v>
      </c>
      <c r="BJ1341" t="s">
        <v>892</v>
      </c>
      <c r="BK1341" s="256" t="s">
        <v>3046</v>
      </c>
      <c r="BL1341" s="260" t="s">
        <v>345</v>
      </c>
      <c r="BM1341">
        <v>8191</v>
      </c>
      <c r="BN1341" s="260">
        <v>9811</v>
      </c>
      <c r="BO1341" s="260">
        <f>BN1341/BM1341</f>
        <v>1.1977780490782566</v>
      </c>
      <c r="BP1341">
        <f>BN1341-BM1341</f>
        <v>1620</v>
      </c>
      <c r="BQ1341" s="260">
        <f>BP1341*kg_to_m3</f>
        <v>3.306122448979592</v>
      </c>
      <c r="BR1341" t="s">
        <v>232</v>
      </c>
      <c r="BS1341" s="256" t="s">
        <v>793</v>
      </c>
      <c r="BT1341" t="s">
        <v>714</v>
      </c>
      <c r="BU1341" s="260">
        <v>-28004</v>
      </c>
      <c r="BV1341">
        <v>-21367</v>
      </c>
      <c r="BW1341" s="144">
        <f>IFERROR(BV1341/BU1341,"")</f>
        <v>0.7629981431224111</v>
      </c>
      <c r="BX1341">
        <f>BV1341-BU1341</f>
        <v>6637</v>
      </c>
      <c r="BZ1341">
        <f>BX1341/1000</f>
        <v>6.6369999999999996</v>
      </c>
      <c r="CA1341">
        <f>IFERROR(BZ1341/BQ1341,"")</f>
        <v>2.0074876543209874</v>
      </c>
      <c r="CB1341">
        <v>0</v>
      </c>
      <c r="CC1341">
        <v>0</v>
      </c>
      <c r="CD1341">
        <v>0</v>
      </c>
      <c r="CE1341">
        <v>0</v>
      </c>
      <c r="CF1341">
        <v>0</v>
      </c>
      <c r="CG1341">
        <v>0</v>
      </c>
      <c r="CH1341">
        <v>0</v>
      </c>
      <c r="CI1341">
        <v>0</v>
      </c>
      <c r="CJ1341">
        <v>0</v>
      </c>
      <c r="CK1341">
        <v>0</v>
      </c>
      <c r="CL1341">
        <v>1</v>
      </c>
      <c r="CM1341">
        <v>0</v>
      </c>
      <c r="CN1341">
        <v>0</v>
      </c>
      <c r="CO1341">
        <v>0</v>
      </c>
      <c r="CP1341" t="str">
        <f>IF($BN1341&lt;$BM1341,"refNeedCorrection","refOK")</f>
        <v>refOK</v>
      </c>
      <c r="CQ1341">
        <f>IF($CP1341="refNeedCorrection",BN1341,BM1341)</f>
        <v>8191</v>
      </c>
      <c r="CR1341">
        <f>IF($CP1341="refNeedCorrection",BM1341,BN1341)</f>
        <v>9811</v>
      </c>
      <c r="CS1341">
        <f>IF($CP1341="refOK",$BQ1341,-$BQ1341)</f>
        <v>3.306122448979592</v>
      </c>
      <c r="CT1341">
        <f>IF(BI1341="Roundwood",$CS1341/2,$CS1341)</f>
        <v>3.306122448979592</v>
      </c>
      <c r="CU1341">
        <f>IF($CP1341="refOK",$BU1341,$BV1341)*IF($BR1341="Emissions positive",-1,1)</f>
        <v>-28004</v>
      </c>
      <c r="CV1341">
        <f>IF($CP1341="refOK",$BV1341,$BU1341)*IF($BR1341="Emissions positive",-1,1)</f>
        <v>-21367</v>
      </c>
      <c r="CW1341">
        <f>IF($CP1341="refNeedCorrection",-BZ1341,BZ1341)*IF($BR1341="Emissions positive",-1,1)</f>
        <v>6.6369999999999996</v>
      </c>
      <c r="CX1341">
        <f>IFERROR($CW1341/$CS1341,"")</f>
        <v>2.0074876543209874</v>
      </c>
      <c r="CY1341">
        <f>IFERROR($CW1341/$CS1341,"")</f>
        <v>2.0074876543209874</v>
      </c>
      <c r="CZ1341">
        <f>IFERROR($CW1341/$CT1341,"")</f>
        <v>2.0074876543209874</v>
      </c>
      <c r="DA1341" s="2">
        <f>IFERROR((CV1341-CU1341)/ABS(CU1341),"")</f>
        <v>0.23700185687758893</v>
      </c>
      <c r="DB1341" s="1" t="s">
        <v>263</v>
      </c>
      <c r="DC1341" t="str">
        <f>IF(OR($DB1341="prd",$DB1341="std",$DB1341="cit"),"loc",IF(OR($DB1341="eur",$DB1341="reg",$DB1341="coy"),"reg",$DB1341))</f>
        <v>loc</v>
      </c>
      <c r="DD1341" t="s">
        <v>428</v>
      </c>
      <c r="DF1341" s="143"/>
      <c r="DG1341" s="260">
        <v>0</v>
      </c>
      <c r="DH1341" t="str">
        <f>IF(DG1341=0,"0",IF(AND(DG1341&gt;=1,DG1341&lt;=30),"1-30",IF(AND(DG1341&gt;30,DG1341&lt;=70),"31-70",IF(AND(DG1341&gt;70,DG1341&lt;=100),"71-100",IF(DG1341&gt;100,"+100")))))</f>
        <v>0</v>
      </c>
      <c r="DI1341">
        <v>0</v>
      </c>
      <c r="DJ1341">
        <v>0</v>
      </c>
      <c r="DK1341">
        <v>0</v>
      </c>
      <c r="DL1341">
        <v>1</v>
      </c>
      <c r="DN1341">
        <f>SUM(DI1341:DL1341)</f>
        <v>1</v>
      </c>
      <c r="DO1341" t="str">
        <f>IF(DN1341=1,INDEX($DI$7:$DL$7,MATCH(1,$DI1341:$DL1341,0)),"mixedProduct")</f>
        <v>TimberInput</v>
      </c>
      <c r="DP1341">
        <f>IF(DI1341=1,DP$7,0)</f>
        <v>0</v>
      </c>
      <c r="DQ1341">
        <f>IF(DJ1341=1,DQ$7,0)</f>
        <v>0</v>
      </c>
      <c r="DR1341">
        <f>IF(DK1341=1,DR$7,0)</f>
        <v>0</v>
      </c>
      <c r="DS1341" t="str">
        <f>IF(DL1341=1,DS$7,0)</f>
        <v>Timber</v>
      </c>
      <c r="DT1341">
        <v>0</v>
      </c>
      <c r="DU1341" s="143">
        <v>0</v>
      </c>
      <c r="DV1341" s="143">
        <v>0</v>
      </c>
      <c r="DW1341">
        <v>0</v>
      </c>
      <c r="DX1341" s="143">
        <v>0</v>
      </c>
      <c r="DY1341">
        <f>SUM(DT1341:DU1341)</f>
        <v>0</v>
      </c>
      <c r="DZ1341" s="143" t="str">
        <f>IF(DT1341=1,"self-calculated DF",IF(DU1341=1,"external DF used","explicit C balance"))</f>
        <v>explicit C balance</v>
      </c>
      <c r="EA1341" s="143">
        <v>0</v>
      </c>
      <c r="EB1341" s="143">
        <v>0</v>
      </c>
      <c r="EC1341">
        <v>0</v>
      </c>
      <c r="ED1341">
        <v>0</v>
      </c>
      <c r="EE1341">
        <v>0</v>
      </c>
      <c r="EF1341" s="143">
        <v>0</v>
      </c>
      <c r="EG1341" s="143">
        <v>0</v>
      </c>
      <c r="EH1341">
        <v>1</v>
      </c>
      <c r="EI1341" s="143">
        <v>0</v>
      </c>
      <c r="EJ1341">
        <v>1</v>
      </c>
      <c r="EK1341">
        <v>0</v>
      </c>
      <c r="EL1341" s="143">
        <v>0</v>
      </c>
      <c r="EM1341">
        <v>0</v>
      </c>
      <c r="EN1341" s="2">
        <v>0</v>
      </c>
      <c r="EP1341" t="str">
        <f>IF(AND(AND(AND(OR($EC1341=1,$EB1341=1),OR($EH1341=1,$EF1341=1)),SUM($EA1341:$EE1341,$EK1341)&gt;=3),SUM($EF1341:$EJ1341)&gt;=2),"Whole sector approach","")</f>
        <v/>
      </c>
      <c r="EQ1341" t="str">
        <f>IF(AND(AND(OR($EC1341=1,$EB1341=1),AND($EH1341=0,$EF1341=0)),SUM($EA1341:$EE1341,$EK1341)&gt;=4),"Ecosystem approach","")</f>
        <v/>
      </c>
      <c r="ER1341" s="2" t="str">
        <f>IF(AND(AND(AND($EC1341=0,$EB1341=0),OR($EH1341=1,$EF1341=1)),SUM($EG1341:$EJ1341)&gt;=2),"Technology approach","")</f>
        <v>Technology approach</v>
      </c>
      <c r="ES1341" t="str">
        <f>IF(AND($EC1341+$EB1341+$EE1341+$EA1341+$ED1341+$EG1341=0,$N1341="included"),"C neutral forest and HWP assumption","")</f>
        <v>C neutral forest and HWP assumption</v>
      </c>
      <c r="ET1341" t="str">
        <f>IF(AND(AND(AND(AND($EC1341=1,$EB1341+$EA1341+$EG1341&gt;=1),$EF1341=1),$EH1341+$EI1341+$ED1341+$EE1341&gt;=2),$N1341="included"),"All C pools assumption","")</f>
        <v/>
      </c>
      <c r="EU1341" t="str">
        <f>IF(AND($ED1341+$EE1341+$EI1341+$EH1341+$EF1341=0,$N1341="included"),"In-situ only assumption","")</f>
        <v/>
      </c>
      <c r="EW1341" s="260" t="s">
        <v>3047</v>
      </c>
      <c r="EY1341" t="str">
        <f>IF(ISNUMBER(BW1341),IF(ABS(BW1341-[6]QC_indicators!$B$2)&gt;3*[6]QC_indicators!$C$2,"C ratio",IF(ISNUMBER(CA1341),IF(ABS(CA1341-[6]QC_indicators!$B$1)&gt;3*[6]QC_indicators!$C$1,"DF","no"))),IF(ISNUMBER(CA1341),IF(ABS(CA1341-[6]QC_indicators!$B$1)&gt;3*[6]QC_indicators!$C$1,"DF","no")))</f>
        <v>no</v>
      </c>
      <c r="FA1341" t="str">
        <f>IF(LEN($CY1341)=0,"",IF(AND($CY1341&lt;(-0.05),$ES1341="C neutral forest and HWP assumption"),"Cneutral paradox",IF(AND($CY1341&gt;0.05,$EU1341="In-situ only assumption"),"In-situ only paradox","")))</f>
        <v/>
      </c>
      <c r="FB1341" s="149" t="s">
        <v>349</v>
      </c>
      <c r="FD1341" s="260" t="s">
        <v>2948</v>
      </c>
    </row>
    <row r="1342" spans="1:160" ht="15" hidden="1" customHeight="1">
      <c r="A1342" s="1" t="s">
        <v>601</v>
      </c>
      <c r="B1342" t="s">
        <v>602</v>
      </c>
      <c r="C1342" t="s">
        <v>603</v>
      </c>
      <c r="D1342" t="s">
        <v>604</v>
      </c>
      <c r="E1342" t="s">
        <v>605</v>
      </c>
      <c r="F1342" t="s">
        <v>606</v>
      </c>
      <c r="G1342" t="s">
        <v>607</v>
      </c>
      <c r="H1342" t="s">
        <v>254</v>
      </c>
      <c r="I1342">
        <v>2020</v>
      </c>
      <c r="J1342">
        <v>3</v>
      </c>
      <c r="K1342" t="s">
        <v>608</v>
      </c>
      <c r="M1342" t="str">
        <f>LEFT($D1342,FIND(",",$D1342)-1)&amp;"_"&amp;I1342&amp;L1342</f>
        <v>Demertzi_2020</v>
      </c>
      <c r="N1342" t="s">
        <v>222</v>
      </c>
      <c r="O1342" s="145" t="s">
        <v>223</v>
      </c>
      <c r="Q1342" t="s">
        <v>256</v>
      </c>
      <c r="R1342" s="2" t="s">
        <v>274</v>
      </c>
      <c r="S1342" s="1" t="s">
        <v>609</v>
      </c>
      <c r="T1342" t="s">
        <v>615</v>
      </c>
      <c r="U1342" t="s">
        <v>611</v>
      </c>
      <c r="V1342" s="253">
        <v>0</v>
      </c>
      <c r="W1342" s="253">
        <v>0</v>
      </c>
      <c r="X1342">
        <v>0</v>
      </c>
      <c r="Y1342">
        <v>0</v>
      </c>
      <c r="Z1342">
        <v>0</v>
      </c>
      <c r="AA1342">
        <v>0</v>
      </c>
      <c r="AB1342">
        <v>0</v>
      </c>
      <c r="AC1342">
        <v>0</v>
      </c>
      <c r="AD1342">
        <v>0</v>
      </c>
      <c r="AE1342">
        <v>0</v>
      </c>
      <c r="AF1342">
        <v>0</v>
      </c>
      <c r="AG1342">
        <v>0</v>
      </c>
      <c r="AH1342">
        <v>0</v>
      </c>
      <c r="AI1342">
        <v>0</v>
      </c>
      <c r="AJ1342">
        <v>0</v>
      </c>
      <c r="AK1342">
        <v>0</v>
      </c>
      <c r="AL1342">
        <v>0</v>
      </c>
      <c r="AM1342">
        <v>1</v>
      </c>
      <c r="AN1342">
        <v>0</v>
      </c>
      <c r="AO1342">
        <v>0</v>
      </c>
      <c r="AP1342">
        <v>0</v>
      </c>
      <c r="AQ1342">
        <v>0</v>
      </c>
      <c r="AR1342">
        <v>0</v>
      </c>
      <c r="AS1342">
        <v>0</v>
      </c>
      <c r="AT1342">
        <v>0</v>
      </c>
      <c r="AU1342">
        <v>0</v>
      </c>
      <c r="AV1342">
        <v>0</v>
      </c>
      <c r="AW1342">
        <v>0</v>
      </c>
      <c r="AX1342">
        <v>0</v>
      </c>
      <c r="AY1342">
        <v>0</v>
      </c>
      <c r="AZ1342" s="141">
        <f>COUNTIF(X1342:AY1342,"&lt;&gt;0")</f>
        <v>1</v>
      </c>
      <c r="BA1342" s="141">
        <f>COUNTIF(X1342:AN1342,"&lt;&gt;0")</f>
        <v>1</v>
      </c>
      <c r="BB1342">
        <f>COUNTIF(X1342:AE1342,"&lt;&gt;0")</f>
        <v>0</v>
      </c>
      <c r="BC1342">
        <f>COUNTIF(AF1342:AK1342,"&lt;&gt;0")</f>
        <v>0</v>
      </c>
      <c r="BD1342">
        <f>COUNTIF(AL1342:AN1342,"&lt;&gt;0")</f>
        <v>1</v>
      </c>
      <c r="BE1342">
        <f>COUNTIF(AU1342:AY1342,"&lt;&gt;0")</f>
        <v>0</v>
      </c>
      <c r="BF1342">
        <f>COUNTIF(AO1342:AT1342,"&lt;&gt;0")</f>
        <v>0</v>
      </c>
      <c r="BG1342" t="str">
        <f t="array" ref="BG1342">IF(BA1342=1,INDEX($X$7:$AN$7,MATCH(TRUE,INDEX($X1342:$AY1342&lt;&gt;0,),0)),IF(BA1342=0,INDEX($AO$7:$AY$7,MATCH(1,$AO1342:$AY1342,0)),IF(BH1342="Multiple strategies","mixed drivers",IF(BH1342="Supply chain","multiple supply","multiple silviculture"))))</f>
        <v>technologies/design switch</v>
      </c>
      <c r="BH1342" s="2" t="str" cm="1">
        <f t="array" ref="BH1342">IF(COUNTIF(BB1342:BD1342,"&lt;&gt;0")=1,INDEX($X$4:$AY$4,MATCH(TRUE,INDEX($X1342:$AY1342&lt;&gt;0,),0)),IF(COUNTIF(BB1342:BD1342,"&lt;&gt;0")=0,INDEX($AO$4:$AY$4,MATCH(1,$AO1342:$AY1342,0)),"Multiple strategies"))</f>
        <v>Technology</v>
      </c>
      <c r="BI1342" s="1" t="s">
        <v>229</v>
      </c>
      <c r="BJ1342" t="s">
        <v>612</v>
      </c>
      <c r="BL1342" t="s">
        <v>261</v>
      </c>
      <c r="BM1342">
        <v>0</v>
      </c>
      <c r="BN1342">
        <v>54</v>
      </c>
      <c r="BP1342">
        <f>BN1342-BM1342</f>
        <v>54</v>
      </c>
      <c r="BQ1342">
        <f>BP1342*kg_to_m3</f>
        <v>0.11020408163265308</v>
      </c>
      <c r="BR1342" t="s">
        <v>232</v>
      </c>
      <c r="BT1342" t="s">
        <v>397</v>
      </c>
      <c r="BU1342">
        <v>-229</v>
      </c>
      <c r="BV1342">
        <v>-1.36</v>
      </c>
      <c r="BW1342" s="144">
        <v>5.9388646288209609E-3</v>
      </c>
      <c r="BX1342">
        <v>227.64</v>
      </c>
      <c r="BZ1342">
        <f>BX1342/1000</f>
        <v>0.22763999999999998</v>
      </c>
      <c r="CA1342">
        <f>IFERROR(BZ1342/BQ1342,"")</f>
        <v>2.0656222222222218</v>
      </c>
      <c r="CB1342">
        <v>1</v>
      </c>
      <c r="CC1342">
        <v>0</v>
      </c>
      <c r="CD1342">
        <v>0</v>
      </c>
      <c r="CE1342">
        <v>0</v>
      </c>
      <c r="CF1342">
        <v>0</v>
      </c>
      <c r="CG1342">
        <v>0</v>
      </c>
      <c r="CH1342">
        <v>0</v>
      </c>
      <c r="CI1342">
        <v>0</v>
      </c>
      <c r="CJ1342">
        <v>0</v>
      </c>
      <c r="CK1342">
        <v>0</v>
      </c>
      <c r="CL1342">
        <v>0</v>
      </c>
      <c r="CM1342">
        <v>0</v>
      </c>
      <c r="CN1342">
        <v>0</v>
      </c>
      <c r="CO1342">
        <v>0</v>
      </c>
      <c r="CP1342" t="str">
        <f>IF($BN1342&lt;$BM1342,"refNeedCorrection","refOK")</f>
        <v>refOK</v>
      </c>
      <c r="CQ1342">
        <f>IF($CP1342="refOK",$BM1342,$BN1342)</f>
        <v>0</v>
      </c>
      <c r="CR1342">
        <f>IF($CP1342="refOK",$BN1342,$BM1342)</f>
        <v>54</v>
      </c>
      <c r="CS1342">
        <f>IF($CP1342="refOK",$BQ1342,-$BQ1342)</f>
        <v>0.11020408163265308</v>
      </c>
      <c r="CT1342">
        <f>IF(BI1342="Roundwood",$CS1342/2,$CS1342)</f>
        <v>0.11020408163265308</v>
      </c>
      <c r="CU1342">
        <f>IF($CP1342="refOK",$BU1342,$BV1342)*IF($BR1342="Emissions positive",-1,1)</f>
        <v>-229</v>
      </c>
      <c r="CV1342">
        <f>IF($CP1342="refOK",$BV1342,$BU1342)*IF($BR1342="Emissions positive",-1,1)</f>
        <v>-1.36</v>
      </c>
      <c r="CW1342">
        <f>IF($CP1342="refNeedCorrection",-BZ1342,BZ1342)*IF($BR1342="Emissions positive",-1,1)</f>
        <v>0.22763999999999998</v>
      </c>
      <c r="CX1342">
        <f>IFERROR($CW1342/$CS1342,"")</f>
        <v>2.0656222222222218</v>
      </c>
      <c r="CY1342">
        <f>IFERROR($CW1342/$CS1342,"")</f>
        <v>2.0656222222222218</v>
      </c>
      <c r="CZ1342">
        <f>IFERROR($CW1342/$CT1342,"")</f>
        <v>2.0656222222222218</v>
      </c>
      <c r="DA1342" s="2">
        <f>IFERROR((CV1342-CU1342)/ABS(CU1342),"")</f>
        <v>0.99406113537117902</v>
      </c>
      <c r="DB1342" s="1" t="s">
        <v>263</v>
      </c>
      <c r="DC1342" t="str">
        <f>IF(OR($DB1342="prd",$DB1342="std",$DB1342="cit"),"loc",IF(OR($DB1342="eur",$DB1342="reg",$DB1342="coy"),"reg",$DB1342))</f>
        <v>loc</v>
      </c>
      <c r="DD1342" t="s">
        <v>613</v>
      </c>
      <c r="DG1342">
        <v>0</v>
      </c>
      <c r="DH1342" t="str">
        <f>IF(DG1342=0,"0",IF(AND(DG1342&gt;=1,DG1342&lt;=30),"1-30",IF(AND(DG1342&gt;30,DG1342&lt;=70),"31-70",IF(AND(DG1342&gt;70,DG1342&lt;=100),"71-100",IF(DG1342&gt;100,"+100")))))</f>
        <v>0</v>
      </c>
      <c r="DI1342">
        <v>0</v>
      </c>
      <c r="DJ1342">
        <v>0</v>
      </c>
      <c r="DK1342">
        <v>0</v>
      </c>
      <c r="DL1342">
        <v>1</v>
      </c>
      <c r="DN1342">
        <f>SUM(DI1342:DL1342)</f>
        <v>1</v>
      </c>
      <c r="DO1342" t="str">
        <f>IF(DN1342=1,INDEX($DI$7:$DL$7,MATCH(1,$DI1342:$DL1342,0)),"mixedProduct")</f>
        <v>TimberInput</v>
      </c>
      <c r="DP1342">
        <f>IF(DI1342=1,DP$7,0)</f>
        <v>0</v>
      </c>
      <c r="DQ1342">
        <f>IF(DJ1342=1,DQ$7,0)</f>
        <v>0</v>
      </c>
      <c r="DR1342">
        <f>IF(DK1342=1,DR$7,0)</f>
        <v>0</v>
      </c>
      <c r="DS1342" t="str">
        <f>IF(DL1342=1,DS$7,0)</f>
        <v>Timber</v>
      </c>
      <c r="DT1342">
        <v>0</v>
      </c>
      <c r="DU1342">
        <v>0</v>
      </c>
      <c r="DV1342">
        <v>0</v>
      </c>
      <c r="DW1342">
        <v>0</v>
      </c>
      <c r="DX1342">
        <v>0</v>
      </c>
      <c r="DY1342">
        <f>SUM(DT1342:DU1342)</f>
        <v>0</v>
      </c>
      <c r="DZ1342" s="143" t="str">
        <f>IF(DT1342=1,"self-calculated DF",IF(DU1342=1,"external DF used","explicit C balance"))</f>
        <v>explicit C balance</v>
      </c>
      <c r="EA1342">
        <v>0</v>
      </c>
      <c r="EB1342">
        <v>0</v>
      </c>
      <c r="EC1342">
        <v>0</v>
      </c>
      <c r="ED1342">
        <v>0</v>
      </c>
      <c r="EE1342">
        <v>0</v>
      </c>
      <c r="EF1342" s="143">
        <v>0</v>
      </c>
      <c r="EG1342">
        <v>0</v>
      </c>
      <c r="EH1342">
        <v>1</v>
      </c>
      <c r="EI1342">
        <v>0</v>
      </c>
      <c r="EJ1342">
        <v>0</v>
      </c>
      <c r="EK1342">
        <v>0</v>
      </c>
      <c r="EL1342">
        <v>0</v>
      </c>
      <c r="EM1342">
        <v>0</v>
      </c>
      <c r="EN1342" s="2">
        <v>0</v>
      </c>
      <c r="EP1342" t="str">
        <f>IF(AND(AND(AND(OR($EC1342=1,$EB1342=1),OR($EH1342=1,$EF1342=1)),SUM($EA1342:$EE1342,$EK1342)&gt;=3),SUM($EF1342:$EJ1342)&gt;=2),"Whole sector approach","")</f>
        <v/>
      </c>
      <c r="EQ1342" t="str">
        <f>IF(AND(AND(OR($EC1342=1,$EB1342=1),AND($EH1342=0,$EF1342=0)),SUM($EA1342:$EE1342,$EK1342)&gt;=4),"Ecosystem approach","")</f>
        <v/>
      </c>
      <c r="ER1342" s="2" t="str">
        <f>IF(AND(AND(AND($EC1342=0,$EB1342=0),OR($EH1342=1,$EF1342=1)),SUM($EG1342:$EJ1342)&gt;=2),"Technology approach","")</f>
        <v/>
      </c>
      <c r="ES1342" t="str">
        <f>IF(AND($EC1342+$EB1342+$EE1342+$EA1342+$ED1342+$EG1342=0,$N1342="included"),"C neutral forest and HWP assumption","")</f>
        <v>C neutral forest and HWP assumption</v>
      </c>
      <c r="ET1342" t="str">
        <f>IF(AND(AND(AND(AND($EC1342=1,$EB1342+$EA1342+$EG1342&gt;=1),$EF1342=1),$EH1342+$EI1342+$ED1342+$EE1342&gt;=2),$N1342="included"),"All C pools assumption","")</f>
        <v/>
      </c>
      <c r="EU1342" t="str">
        <f>IF(AND($ED1342+$EE1342+$EI1342+$EH1342+$EF1342=0,$N1342="included"),"In-situ only assumption","")</f>
        <v/>
      </c>
      <c r="EY1342" t="str">
        <f>IF(ISNUMBER(BW1342),IF(ABS(BW1342-[3]QC_indicators!$B$2)&gt;3*[3]QC_indicators!$C$2,"C ratio",IF(ISNUMBER(CA1342),IF(ABS(CA1342-[3]QC_indicators!$B$1)&gt;3*[3]QC_indicators!$C$1,"DF","no"))),IF(ISNUMBER(CA1342),IF(ABS(CA1342-[3]QC_indicators!$B$1)&gt;3*[3]QC_indicators!$C$1,"DF","no")))</f>
        <v>no</v>
      </c>
      <c r="FA1342" t="str">
        <f>IF(LEN($CY1342)=0,"",IF(AND($CY1342&lt;(-0.05),$ES1342="C neutral forest and HWP assumption"),"Cneutral paradox",IF(AND($CY1342&gt;0.05,$EU1342="In-situ only assumption"),"In-situ only paradox","")))</f>
        <v/>
      </c>
      <c r="FB1342" s="149" t="s">
        <v>349</v>
      </c>
      <c r="FD1342" s="260" t="s">
        <v>2827</v>
      </c>
    </row>
    <row r="1343" spans="1:160" ht="18" hidden="1" customHeight="1">
      <c r="A1343" s="1" t="s">
        <v>549</v>
      </c>
      <c r="B1343" t="s">
        <v>531</v>
      </c>
      <c r="C1343" t="s">
        <v>1465</v>
      </c>
      <c r="D1343" t="s">
        <v>1466</v>
      </c>
      <c r="E1343" t="s">
        <v>1467</v>
      </c>
      <c r="F1343" t="s">
        <v>1468</v>
      </c>
      <c r="G1343" t="s">
        <v>554</v>
      </c>
      <c r="H1343" t="s">
        <v>254</v>
      </c>
      <c r="I1343">
        <v>2019</v>
      </c>
      <c r="J1343">
        <v>15</v>
      </c>
      <c r="K1343" t="s">
        <v>1469</v>
      </c>
      <c r="M1343" t="str">
        <f>LEFT($D1343,FIND(",",$D1343)-1)&amp;"_"&amp;I1343&amp;L1343</f>
        <v>Geng_2019</v>
      </c>
      <c r="N1343" t="s">
        <v>222</v>
      </c>
      <c r="O1343" s="180" t="s">
        <v>225</v>
      </c>
      <c r="Q1343" s="317" t="s">
        <v>256</v>
      </c>
      <c r="R1343" s="318" t="s">
        <v>1029</v>
      </c>
      <c r="S1343" s="1" t="s">
        <v>1470</v>
      </c>
      <c r="T1343" t="s">
        <v>4951</v>
      </c>
      <c r="U1343" t="s">
        <v>4952</v>
      </c>
      <c r="V1343" s="253">
        <v>0</v>
      </c>
      <c r="W1343" s="253">
        <v>0</v>
      </c>
      <c r="X1343">
        <v>0</v>
      </c>
      <c r="Y1343">
        <v>0</v>
      </c>
      <c r="Z1343">
        <v>0</v>
      </c>
      <c r="AA1343">
        <v>0</v>
      </c>
      <c r="AB1343">
        <v>0</v>
      </c>
      <c r="AC1343">
        <v>0</v>
      </c>
      <c r="AD1343">
        <v>0</v>
      </c>
      <c r="AE1343">
        <v>0</v>
      </c>
      <c r="AF1343">
        <v>0</v>
      </c>
      <c r="AG1343">
        <v>0</v>
      </c>
      <c r="AH1343">
        <v>0</v>
      </c>
      <c r="AI1343">
        <v>0</v>
      </c>
      <c r="AJ1343">
        <v>0</v>
      </c>
      <c r="AK1343">
        <v>0</v>
      </c>
      <c r="AL1343">
        <v>0</v>
      </c>
      <c r="AM1343">
        <v>1</v>
      </c>
      <c r="AN1343">
        <v>0</v>
      </c>
      <c r="AO1343">
        <v>0</v>
      </c>
      <c r="AP1343">
        <v>0</v>
      </c>
      <c r="AQ1343">
        <v>0</v>
      </c>
      <c r="AR1343">
        <v>0</v>
      </c>
      <c r="AS1343">
        <v>0</v>
      </c>
      <c r="AT1343">
        <v>0</v>
      </c>
      <c r="AU1343">
        <v>0</v>
      </c>
      <c r="AV1343">
        <v>0</v>
      </c>
      <c r="AW1343">
        <v>0</v>
      </c>
      <c r="AX1343">
        <v>0</v>
      </c>
      <c r="AY1343">
        <v>0</v>
      </c>
      <c r="AZ1343" s="141">
        <f>COUNTIF(X1343:AY1343,"&lt;&gt;0")</f>
        <v>1</v>
      </c>
      <c r="BA1343" s="141">
        <f>COUNTIF(X1343:AN1343,"&lt;&gt;0")</f>
        <v>1</v>
      </c>
      <c r="BB1343">
        <f>COUNTIF(X1343:AE1343,"&lt;&gt;0")</f>
        <v>0</v>
      </c>
      <c r="BC1343">
        <f>COUNTIF(AF1343:AK1343,"&lt;&gt;0")</f>
        <v>0</v>
      </c>
      <c r="BD1343">
        <f>COUNTIF(AL1343:AN1343,"&lt;&gt;0")</f>
        <v>1</v>
      </c>
      <c r="BE1343">
        <f>COUNTIF(AU1343:AY1343,"&lt;&gt;0")</f>
        <v>0</v>
      </c>
      <c r="BF1343">
        <f>COUNTIF(AO1343:AT1343,"&lt;&gt;0")</f>
        <v>0</v>
      </c>
      <c r="BG1343" t="str" cm="1">
        <f t="array" ref="BG1343">IF(BA1343=1,INDEX($X$7:$AN$7,MATCH(TRUE,INDEX($X1343:$AY1343&lt;&gt;0,),0)),IF(BA1343=0,INDEX($AO$7:$AY$7,MATCH(1,$AO1343:$AY1343,0)),IF(BH1343="Multiple strategies","mixed drivers",IF(BH1343="Supply chain","multiple supply","multiple silviculture"))))</f>
        <v>technologies/design switch</v>
      </c>
      <c r="BH1343" s="2" t="str" cm="1">
        <f t="array" ref="BH1343">IF(COUNTIF(BB1343:BD1343,"&lt;&gt;0")=1,INDEX($X$4:$AY$4,MATCH(TRUE,INDEX($X1343:$AY1343&lt;&gt;0,),0)),IF(COUNTIF(BB1343:BD1343,"&lt;&gt;0")=0,INDEX($AO$4:$AY$4,MATCH(1,$AO1343:$AY1343,0)),"Multiple strategies"))</f>
        <v>Technology</v>
      </c>
      <c r="BI1343" s="1" t="s">
        <v>229</v>
      </c>
      <c r="BJ1343" t="s">
        <v>1471</v>
      </c>
      <c r="BK1343" t="s">
        <v>2920</v>
      </c>
      <c r="BL1343" t="s">
        <v>261</v>
      </c>
      <c r="BM1343">
        <v>26</v>
      </c>
      <c r="BN1343">
        <v>85.25</v>
      </c>
      <c r="BO1343">
        <f>BN1343/BM1343</f>
        <v>3.2788461538461537</v>
      </c>
      <c r="BP1343">
        <f>BN1343-BM1343</f>
        <v>59.25</v>
      </c>
      <c r="BQ1343">
        <f>BP1343*kg_to_m3</f>
        <v>0.12091836734693878</v>
      </c>
      <c r="BR1343" t="s">
        <v>232</v>
      </c>
      <c r="BS1343" t="s">
        <v>2920</v>
      </c>
      <c r="BT1343" t="s">
        <v>1476</v>
      </c>
      <c r="BW1343" s="144" t="str">
        <f>IFERROR(BV1343/BU1343,"")</f>
        <v/>
      </c>
      <c r="BX1343">
        <v>0.28000000000000003</v>
      </c>
      <c r="BZ1343">
        <f>BX1343</f>
        <v>0.28000000000000003</v>
      </c>
      <c r="CA1343">
        <f>IFERROR(BZ1343/BQ1343,"")</f>
        <v>2.3156118143459916</v>
      </c>
      <c r="CB1343">
        <v>0</v>
      </c>
      <c r="CC1343">
        <v>0</v>
      </c>
      <c r="CD1343">
        <v>0</v>
      </c>
      <c r="CE1343">
        <v>0</v>
      </c>
      <c r="CF1343">
        <v>0</v>
      </c>
      <c r="CG1343">
        <v>0</v>
      </c>
      <c r="CH1343">
        <v>0</v>
      </c>
      <c r="CI1343">
        <v>0</v>
      </c>
      <c r="CJ1343">
        <v>0</v>
      </c>
      <c r="CK1343">
        <v>0</v>
      </c>
      <c r="CL1343">
        <v>0</v>
      </c>
      <c r="CM1343">
        <v>0</v>
      </c>
      <c r="CN1343">
        <v>0</v>
      </c>
      <c r="CO1343">
        <v>0</v>
      </c>
      <c r="CP1343" t="str">
        <f>IF(BN1343&lt;BM1343,"refNeedCorrection","refOK")</f>
        <v>refOK</v>
      </c>
      <c r="CQ1343">
        <f>IF($CP1343="refOK",$BM1343,$BN1343)</f>
        <v>26</v>
      </c>
      <c r="CR1343">
        <f>IF($CP1343="refOK",$BN1343,$BM1343)</f>
        <v>85.25</v>
      </c>
      <c r="CS1343">
        <f>IF($CP1343="refOK",$BQ1343,-$BQ1343)</f>
        <v>0.12091836734693878</v>
      </c>
      <c r="CT1343">
        <f>IF(BI1343="Roundwood",$CS1343/2,$CS1343)</f>
        <v>0.12091836734693878</v>
      </c>
      <c r="CU1343">
        <f>IF($CP1343="refOK",$BU1343,$BV1343)*IF($BR1343="Emissions positive",-1,1)</f>
        <v>0</v>
      </c>
      <c r="CV1343">
        <f>IF($CP1343="refOK",$BV1343,$BU1343)*IF($BR1343="Emissions positive",-1,1)</f>
        <v>0</v>
      </c>
      <c r="CW1343">
        <f>IF($CP1343="refNeedCorrection",-BZ1343,BZ1343)*IF($BR1343="Emissions positive",-1,1)</f>
        <v>0.28000000000000003</v>
      </c>
      <c r="CX1343">
        <f>IFERROR($CW1343/$CS1343,"")</f>
        <v>2.3156118143459916</v>
      </c>
      <c r="CY1343">
        <f>IFERROR($CW1343/$CS1343,"")</f>
        <v>2.3156118143459916</v>
      </c>
      <c r="CZ1343">
        <f>IFERROR($CW1343/$CT1343,"")</f>
        <v>2.3156118143459916</v>
      </c>
      <c r="DA1343" s="2" t="str">
        <f>IFERROR((CV1343-CU1343)/ABS(CU1343),"")</f>
        <v/>
      </c>
      <c r="DB1343" s="1" t="s">
        <v>1078</v>
      </c>
      <c r="DC1343" s="317" t="str">
        <f>IF(OR($DB1343="prd",$DB1343="std",$DB1343="cit"),"loc",IF(OR($DB1343="eur",$DB1343="reg",$DB1343="coy"),"reg",$DB1343))</f>
        <v>reg</v>
      </c>
      <c r="DD1343" t="s">
        <v>677</v>
      </c>
      <c r="DE1343">
        <v>2019</v>
      </c>
      <c r="DG1343">
        <v>0</v>
      </c>
      <c r="DH1343" t="str">
        <f>IF(DG1343=0,"0",IF(AND(DG1343&gt;=1,DG1343&lt;=30),"1-30",IF(AND(DG1343&gt;30,DG1343&lt;=70),"31-70",IF(AND(DG1343&gt;70,DG1343&lt;=100),"71-100",IF(DG1343&gt;100,"+100")))))</f>
        <v>0</v>
      </c>
      <c r="DI1343">
        <v>0</v>
      </c>
      <c r="DJ1343">
        <v>0</v>
      </c>
      <c r="DK1343">
        <v>0</v>
      </c>
      <c r="DL1343">
        <v>1</v>
      </c>
      <c r="DN1343">
        <f>SUM(DI1343:DL1343)</f>
        <v>1</v>
      </c>
      <c r="DO1343" t="str">
        <f>IF(DN1343=1,INDEX($DI$7:$DL$7,MATCH(1,$DI1343:$DL1343,0)),"mixedProduct")</f>
        <v>TimberInput</v>
      </c>
      <c r="DP1343">
        <f>IF(DI1343=1,DP$7,0)</f>
        <v>0</v>
      </c>
      <c r="DQ1343">
        <f>IF(DJ1343=1,DQ$7,0)</f>
        <v>0</v>
      </c>
      <c r="DR1343">
        <f>IF(DK1343=1,DR$7,0)</f>
        <v>0</v>
      </c>
      <c r="DS1343" t="str">
        <f>IF(DL1343=1,DS$7,0)</f>
        <v>Timber</v>
      </c>
      <c r="DT1343">
        <v>1</v>
      </c>
      <c r="DU1343">
        <v>0</v>
      </c>
      <c r="DV1343">
        <v>0</v>
      </c>
      <c r="DW1343">
        <v>0</v>
      </c>
      <c r="DX1343">
        <v>0</v>
      </c>
      <c r="DY1343">
        <f>SUM(DT1343:DU1343)</f>
        <v>1</v>
      </c>
      <c r="DZ1343" s="143" t="str">
        <f>IF(DT1343=1,"self-calculated DF",IF(DU1343=1,"external DF used","explicit C balance"))</f>
        <v>self-calculated DF</v>
      </c>
      <c r="EA1343">
        <v>0</v>
      </c>
      <c r="EB1343">
        <v>0</v>
      </c>
      <c r="EC1343">
        <v>0</v>
      </c>
      <c r="ED1343">
        <v>0</v>
      </c>
      <c r="EE1343">
        <v>0</v>
      </c>
      <c r="EF1343" s="143">
        <v>1</v>
      </c>
      <c r="EG1343">
        <v>0</v>
      </c>
      <c r="EH1343">
        <v>1</v>
      </c>
      <c r="EI1343">
        <v>0</v>
      </c>
      <c r="EJ1343">
        <v>0</v>
      </c>
      <c r="EK1343">
        <v>0</v>
      </c>
      <c r="EL1343">
        <v>0</v>
      </c>
      <c r="EM1343">
        <v>0</v>
      </c>
      <c r="EN1343" s="2">
        <v>0</v>
      </c>
      <c r="EP1343" t="str">
        <f>IF(AND(AND(AND(OR($EC1343=1,$EB1343=1),OR($EH1343=1,$EF1343=1)),SUM($EA1343:$EE1343,$EK1343)&gt;=3),SUM($EF1343:$EJ1343)&gt;=2),"Whole sector approach","")</f>
        <v/>
      </c>
      <c r="EQ1343" t="str">
        <f>IF(AND(AND(OR($EC1343=1,$EB1343=1),AND($EH1343=0,$EF1343=0)),SUM($EA1343:$EE1343,$EK1343)&gt;=3),"Ecosystem approach","")</f>
        <v/>
      </c>
      <c r="ER1343" s="2" t="str">
        <f>IF(AND(AND(AND($EC1343=0,$EB1343=0),OR($EH1343=1,$EF1343=1)),SUM($EG1343:$EJ1343)&gt;=2),"Technology approach","")</f>
        <v/>
      </c>
      <c r="ES1343" t="str">
        <f>IF(AND($EC1343+$EB1343+$EE1343+$EA1343+$ED1343+$EG1343=0,$N1343="included"),"C neutral forest and HWP assumption","")</f>
        <v>C neutral forest and HWP assumption</v>
      </c>
      <c r="ET1343" t="str">
        <f>IF(AND(AND(AND(AND($EC1343=1,$EB1343+$EA1343+$EG1343&gt;=1),$EF1343=1),$EH1343+$EI1343+$ED1343+$EE1343&gt;=2),$N1343="included"),"All C pools assumption","")</f>
        <v/>
      </c>
      <c r="EU1343" t="str">
        <f>IF(AND($ED1343+$EE1343+$EI1343+$EH1343+$EF1343=0,$N1343="included"),"In-situ only assumption","")</f>
        <v/>
      </c>
      <c r="EW1343" t="s">
        <v>1474</v>
      </c>
      <c r="EY1343" t="str">
        <f>IF(ISNUMBER(BW1343),IF(ABS(BW1343-[4]QC_indicators!$B$2)&gt;3*[4]QC_indicators!$C$2,"C ratio",IF(ISNUMBER(CA1343),IF(ABS(CA1343-[4]QC_indicators!$B$1)&gt;3*[4]QC_indicators!$C$1,"DF","no"))),IF(ISNUMBER(CA1343),IF(ABS(CA1343-[4]QC_indicators!$B$1)&gt;3*[4]QC_indicators!$C$1,"DF","no")))</f>
        <v>no</v>
      </c>
      <c r="FA1343" t="str">
        <f>IF(LEN($CY1343)=0,"",IF(AND($CY1343&lt;(-0.05),$ES1343="C neutral forest and HWP assumption"),"Cneutral paradox",IF(AND($CY1343&gt;0.05,$EU1343="In-situ only assumption"),"In-situ only paradox","")))</f>
        <v/>
      </c>
      <c r="FB1343" t="s">
        <v>1475</v>
      </c>
    </row>
    <row r="1344" spans="1:160" ht="15" hidden="1" customHeight="1">
      <c r="A1344" s="1" t="s">
        <v>247</v>
      </c>
      <c r="B1344" t="s">
        <v>779</v>
      </c>
      <c r="C1344" t="s">
        <v>780</v>
      </c>
      <c r="D1344" t="s">
        <v>781</v>
      </c>
      <c r="E1344" t="s">
        <v>782</v>
      </c>
      <c r="F1344" t="s">
        <v>783</v>
      </c>
      <c r="G1344" t="s">
        <v>253</v>
      </c>
      <c r="H1344" t="s">
        <v>254</v>
      </c>
      <c r="I1344">
        <v>2020</v>
      </c>
      <c r="J1344">
        <v>15</v>
      </c>
      <c r="K1344" t="s">
        <v>784</v>
      </c>
      <c r="M1344" t="str">
        <f>LEFT($D1344,FIND(",",$D1344)-1)&amp;"_"&amp;I1344&amp;L1344</f>
        <v>Jayalath_2020</v>
      </c>
      <c r="N1344" t="s">
        <v>222</v>
      </c>
      <c r="O1344" s="145" t="s">
        <v>508</v>
      </c>
      <c r="Q1344" t="s">
        <v>256</v>
      </c>
      <c r="R1344" s="258" t="s">
        <v>225</v>
      </c>
      <c r="S1344" s="1" t="s">
        <v>789</v>
      </c>
      <c r="T1344" t="s">
        <v>790</v>
      </c>
      <c r="U1344" t="s">
        <v>259</v>
      </c>
      <c r="V1344" s="253">
        <v>0</v>
      </c>
      <c r="W1344" s="253">
        <v>0</v>
      </c>
      <c r="X1344">
        <v>0</v>
      </c>
      <c r="Y1344">
        <v>0</v>
      </c>
      <c r="Z1344">
        <v>0</v>
      </c>
      <c r="AA1344">
        <v>0</v>
      </c>
      <c r="AB1344">
        <v>0</v>
      </c>
      <c r="AC1344">
        <v>0</v>
      </c>
      <c r="AD1344">
        <v>0</v>
      </c>
      <c r="AE1344">
        <v>0</v>
      </c>
      <c r="AF1344">
        <v>0</v>
      </c>
      <c r="AG1344">
        <v>0</v>
      </c>
      <c r="AH1344">
        <v>0</v>
      </c>
      <c r="AI1344">
        <v>0</v>
      </c>
      <c r="AJ1344">
        <v>0</v>
      </c>
      <c r="AK1344">
        <v>0</v>
      </c>
      <c r="AL1344">
        <v>0</v>
      </c>
      <c r="AM1344">
        <v>1</v>
      </c>
      <c r="AN1344">
        <v>0</v>
      </c>
      <c r="AO1344">
        <v>0</v>
      </c>
      <c r="AP1344">
        <v>0</v>
      </c>
      <c r="AQ1344">
        <v>0</v>
      </c>
      <c r="AR1344">
        <v>0</v>
      </c>
      <c r="AS1344">
        <v>0</v>
      </c>
      <c r="AT1344">
        <v>0</v>
      </c>
      <c r="AU1344">
        <v>0</v>
      </c>
      <c r="AV1344">
        <v>0</v>
      </c>
      <c r="AW1344">
        <v>0</v>
      </c>
      <c r="AX1344">
        <v>0</v>
      </c>
      <c r="AY1344">
        <v>0</v>
      </c>
      <c r="AZ1344" s="141">
        <f>COUNTIF(X1344:AY1344,"&lt;&gt;0")</f>
        <v>1</v>
      </c>
      <c r="BA1344" s="141">
        <f>COUNTIF(X1344:AN1344,"&lt;&gt;0")</f>
        <v>1</v>
      </c>
      <c r="BB1344">
        <f>COUNTIF(X1344:AE1344,"&lt;&gt;0")</f>
        <v>0</v>
      </c>
      <c r="BC1344">
        <f>COUNTIF(AF1344:AK1344,"&lt;&gt;0")</f>
        <v>0</v>
      </c>
      <c r="BD1344">
        <f>COUNTIF(AL1344:AN1344,"&lt;&gt;0")</f>
        <v>1</v>
      </c>
      <c r="BE1344">
        <f>COUNTIF(AU1344:AY1344,"&lt;&gt;0")</f>
        <v>0</v>
      </c>
      <c r="BF1344">
        <f>COUNTIF(AO1344:AT1344,"&lt;&gt;0")</f>
        <v>0</v>
      </c>
      <c r="BG1344" t="str">
        <f t="array" ref="BG1344">IF(BA1344=1,INDEX($X$7:$AN$7,MATCH(TRUE,INDEX($X1344:$AY1344&lt;&gt;0,),0)),IF(BA1344=0,INDEX($AO$7:$AY$7,MATCH(1,$AO1344:$AY1344,0)),IF(BH1344="Multiple strategies","mixed drivers",IF(BH1344="Supply chain","multiple supply","multiple silviculture"))))</f>
        <v>technologies/design switch</v>
      </c>
      <c r="BH1344" s="2" t="str" cm="1">
        <f t="array" ref="BH1344">IF(COUNTIF(BB1344:BD1344,"&lt;&gt;0")=1,INDEX($X$4:$AY$4,MATCH(TRUE,INDEX($X1344:$AY1344&lt;&gt;0,),0)),IF(COUNTIF(BB1344:BD1344,"&lt;&gt;0")=0,INDEX($AO$4:$AY$4,MATCH(1,$AO1344:$AY1344,0)),"Multiple strategies"))</f>
        <v>Technology</v>
      </c>
      <c r="BI1344" s="1" t="s">
        <v>229</v>
      </c>
      <c r="BJ1344" t="s">
        <v>788</v>
      </c>
      <c r="BK1344" s="256" t="s">
        <v>3015</v>
      </c>
      <c r="BL1344" t="s">
        <v>345</v>
      </c>
      <c r="BM1344" s="260">
        <v>0</v>
      </c>
      <c r="BN1344" s="260">
        <f>119193+8552+2924</f>
        <v>130669</v>
      </c>
      <c r="BP1344">
        <f>BN1344-BM1344</f>
        <v>130669</v>
      </c>
      <c r="BQ1344">
        <f>BP1344*kg_to_m3</f>
        <v>266.67142857142858</v>
      </c>
      <c r="BR1344" t="s">
        <v>395</v>
      </c>
      <c r="BS1344" s="256" t="s">
        <v>3019</v>
      </c>
      <c r="BT1344" t="s">
        <v>792</v>
      </c>
      <c r="BU1344">
        <f>(1387+293)+35+7-161.49</f>
        <v>1560.51</v>
      </c>
      <c r="BV1344">
        <f>687+353+28+3-64-64</f>
        <v>943</v>
      </c>
      <c r="BW1344" s="144">
        <f>IFERROR(BV1344/BU1344,"")</f>
        <v>0.60428962326418922</v>
      </c>
      <c r="BX1344">
        <f>BV1344-BU1344</f>
        <v>-617.51</v>
      </c>
      <c r="BZ1344">
        <f>BX1344</f>
        <v>-617.51</v>
      </c>
      <c r="CA1344">
        <f>IFERROR(BZ1344/BQ1344,"")</f>
        <v>-2.315621149622328</v>
      </c>
      <c r="CB1344">
        <v>0</v>
      </c>
      <c r="CC1344">
        <v>0</v>
      </c>
      <c r="CD1344">
        <v>0</v>
      </c>
      <c r="CE1344">
        <v>0</v>
      </c>
      <c r="CF1344">
        <v>0</v>
      </c>
      <c r="CG1344">
        <v>0</v>
      </c>
      <c r="CH1344">
        <v>0</v>
      </c>
      <c r="CI1344">
        <v>0</v>
      </c>
      <c r="CJ1344">
        <v>0</v>
      </c>
      <c r="CK1344">
        <v>0</v>
      </c>
      <c r="CL1344">
        <v>0</v>
      </c>
      <c r="CM1344">
        <v>0</v>
      </c>
      <c r="CN1344">
        <v>0</v>
      </c>
      <c r="CO1344">
        <v>1</v>
      </c>
      <c r="CP1344" t="str">
        <f>IF(BN1344&lt;BM1344,"refNeedCorrection","refOK")</f>
        <v>refOK</v>
      </c>
      <c r="CQ1344">
        <f>IF($CP1344="refOK",$BM1344,$BN1344)</f>
        <v>0</v>
      </c>
      <c r="CR1344">
        <f>IF($CP1344="refOK",$BN1344,$BM1344)</f>
        <v>130669</v>
      </c>
      <c r="CS1344">
        <f>IF($CP1344="refOK",$BQ1344,-$BQ1344)</f>
        <v>266.67142857142858</v>
      </c>
      <c r="CT1344">
        <f>IF(BI1344="Roundwood",$CS1344/2,$CS1344)</f>
        <v>266.67142857142858</v>
      </c>
      <c r="CU1344">
        <f>IF($CP1344="refOK",$BU1344,$BV1344)*IF($BR1344="Emissions positive",-1,1)</f>
        <v>-1560.51</v>
      </c>
      <c r="CV1344">
        <f>IF($CP1344="refOK",$BV1344,$BU1344)*IF($BR1344="Emissions positive",-1,1)</f>
        <v>-943</v>
      </c>
      <c r="CW1344">
        <f>IF($CP1344="refNeedCorrection",-BZ1344,BZ1344)*IF($BR1344="Emissions positive",-1,1)</f>
        <v>617.51</v>
      </c>
      <c r="CX1344">
        <f>IFERROR($CW1344/$CS1344,"")</f>
        <v>2.315621149622328</v>
      </c>
      <c r="CY1344">
        <f>IFERROR($CW1344/$CS1344,"")</f>
        <v>2.315621149622328</v>
      </c>
      <c r="CZ1344">
        <f>IFERROR($CW1344/$CT1344,"")</f>
        <v>2.315621149622328</v>
      </c>
      <c r="DA1344" s="2">
        <f>IFERROR((CV1344-CU1344)/ABS(CU1344),"")</f>
        <v>0.39571037673581072</v>
      </c>
      <c r="DB1344" s="1" t="s">
        <v>347</v>
      </c>
      <c r="DC1344" t="str">
        <f>IF(OR($DB1344="prd",$DB1344="std",$DB1344="cit"),"loc",IF(OR($DB1344="eur",$DB1344="reg",$DB1344="coy"),"reg",$DB1344))</f>
        <v>loc</v>
      </c>
      <c r="DD1344" t="s">
        <v>561</v>
      </c>
      <c r="DG1344">
        <v>0</v>
      </c>
      <c r="DH1344" t="str">
        <f>IF(DG1344=0,"0",IF(AND(DG1344&gt;=1,DG1344&lt;=30),"1-30",IF(AND(DG1344&gt;30,DG1344&lt;=70),"31-70",IF(AND(DG1344&gt;70,DG1344&lt;=100),"71-100",IF(DG1344&gt;100,"+100")))))</f>
        <v>0</v>
      </c>
      <c r="DI1344">
        <v>0</v>
      </c>
      <c r="DJ1344">
        <v>0</v>
      </c>
      <c r="DK1344">
        <v>0</v>
      </c>
      <c r="DL1344">
        <v>1</v>
      </c>
      <c r="DN1344">
        <f>SUM(DI1344:DL1344)</f>
        <v>1</v>
      </c>
      <c r="DO1344" t="str">
        <f>IF(DN1344=1,INDEX($DI$7:$DL$7,MATCH(1,$DI1344:$DL1344,0)),"mixedProduct")</f>
        <v>TimberInput</v>
      </c>
      <c r="DP1344">
        <f>IF(DI1344=1,DP$7,0)</f>
        <v>0</v>
      </c>
      <c r="DQ1344">
        <f>IF(DJ1344=1,DQ$7,0)</f>
        <v>0</v>
      </c>
      <c r="DR1344">
        <f>IF(DK1344=1,DR$7,0)</f>
        <v>0</v>
      </c>
      <c r="DS1344" t="str">
        <f>IF(DL1344=1,DS$7,0)</f>
        <v>Timber</v>
      </c>
      <c r="DT1344">
        <v>0</v>
      </c>
      <c r="DU1344">
        <v>0</v>
      </c>
      <c r="DV1344">
        <v>0</v>
      </c>
      <c r="DW1344">
        <v>0</v>
      </c>
      <c r="DX1344">
        <v>0</v>
      </c>
      <c r="DY1344">
        <f>SUM(DT1344:DU1344)</f>
        <v>0</v>
      </c>
      <c r="DZ1344" s="143" t="str">
        <f>IF(DT1344=1,"self-calculated DF",IF(DU1344=1,"external DF used","explicit C balance"))</f>
        <v>explicit C balance</v>
      </c>
      <c r="EA1344">
        <v>0</v>
      </c>
      <c r="EB1344">
        <v>0</v>
      </c>
      <c r="EC1344">
        <v>0</v>
      </c>
      <c r="ED1344">
        <v>0</v>
      </c>
      <c r="EE1344">
        <v>0</v>
      </c>
      <c r="EF1344">
        <v>1</v>
      </c>
      <c r="EG1344">
        <v>0</v>
      </c>
      <c r="EH1344">
        <v>1</v>
      </c>
      <c r="EI1344">
        <v>1</v>
      </c>
      <c r="EJ1344">
        <v>1</v>
      </c>
      <c r="EK1344">
        <v>0</v>
      </c>
      <c r="EL1344">
        <v>0</v>
      </c>
      <c r="EM1344">
        <v>0</v>
      </c>
      <c r="EN1344" s="2">
        <v>0</v>
      </c>
      <c r="EP1344" t="str">
        <f>IF(AND(AND(AND(OR($EC1344=1,$EB1344=1),OR($EH1344=1,$EF1344=1)),SUM($EA1344:$EE1344,$EK1344)&gt;=3),SUM($EF1344:$EJ1344)&gt;=2),"Whole sector approach","")</f>
        <v/>
      </c>
      <c r="EQ1344" t="str">
        <f>IF(AND(AND(OR($EC1344=1,$EB1344=1),AND($EH1344=0,$EF1344=0)),SUM($EA1344:$EE1344,$EK1344)&gt;=4),"Ecosystem approach","")</f>
        <v/>
      </c>
      <c r="ER1344" s="2" t="str">
        <f>IF(AND(AND(AND($EC1344=0,$EB1344=0),OR($EH1344=1,$EF1344=1)),SUM($EG1344:$EJ1344)&gt;=2),"Technology approach","")</f>
        <v>Technology approach</v>
      </c>
      <c r="ES1344" t="str">
        <f>IF(AND($EC1344+$EB1344+$EE1344+$EA1344+$ED1344+$EG1344=0,$N1344="included"),"C neutral forest and HWP assumption","")</f>
        <v>C neutral forest and HWP assumption</v>
      </c>
      <c r="ET1344" t="str">
        <f>IF(AND(AND(AND(AND($EC1344=1,$EB1344+$EA1344+$EG1344&gt;=1),$EF1344=1),$EH1344+$EI1344+$ED1344+$EE1344&gt;=2),$N1344="included"),"All C pools assumption","")</f>
        <v/>
      </c>
      <c r="EU1344" t="str">
        <f>IF(AND($ED1344+$EE1344+$EI1344+$EH1344+$EF1344=0,$N1344="included"),"In-situ only assumption","")</f>
        <v/>
      </c>
      <c r="EY1344" t="str">
        <f>IF(ISNUMBER(BW1344),IF(ABS(BW1344-[6]QC_indicators!$B$2)&gt;3*[6]QC_indicators!$C$2,"C ratio",IF(ISNUMBER(CA1344),IF(ABS(CA1344-[6]QC_indicators!$B$1)&gt;3*[6]QC_indicators!$C$1,"DF","no"))),IF(ISNUMBER(CA1344),IF(ABS(CA1344-[6]QC_indicators!$B$1)&gt;3*[6]QC_indicators!$C$1,"DF","no")))</f>
        <v>no</v>
      </c>
      <c r="FA1344" t="str">
        <f>IF(LEN($CY1344)=0,"",IF(AND($CY1344&lt;(-0.05),$ES1344="C neutral forest and HWP assumption"),"Cneutral paradox",IF(AND($CY1344&gt;0.05,$EU1344="In-situ only assumption"),"In-situ only paradox","")))</f>
        <v/>
      </c>
      <c r="FB1344" s="149" t="s">
        <v>349</v>
      </c>
      <c r="FD1344" s="260" t="s">
        <v>2948</v>
      </c>
    </row>
    <row r="1345" spans="1:160" ht="15" hidden="1" customHeight="1">
      <c r="A1345" s="1" t="s">
        <v>247</v>
      </c>
      <c r="B1345" t="s">
        <v>779</v>
      </c>
      <c r="C1345" t="s">
        <v>780</v>
      </c>
      <c r="D1345" t="s">
        <v>781</v>
      </c>
      <c r="E1345" t="s">
        <v>782</v>
      </c>
      <c r="F1345" t="s">
        <v>783</v>
      </c>
      <c r="G1345" t="s">
        <v>253</v>
      </c>
      <c r="H1345" t="s">
        <v>254</v>
      </c>
      <c r="I1345">
        <v>2020</v>
      </c>
      <c r="J1345">
        <v>15</v>
      </c>
      <c r="K1345" t="s">
        <v>784</v>
      </c>
      <c r="M1345" t="str">
        <f>LEFT($D1345,FIND(",",$D1345)-1)&amp;"_"&amp;I1345&amp;L1345</f>
        <v>Jayalath_2020</v>
      </c>
      <c r="N1345" t="s">
        <v>222</v>
      </c>
      <c r="O1345" s="145" t="s">
        <v>508</v>
      </c>
      <c r="Q1345" t="s">
        <v>256</v>
      </c>
      <c r="R1345" s="258" t="s">
        <v>225</v>
      </c>
      <c r="S1345" s="1" t="s">
        <v>789</v>
      </c>
      <c r="T1345" t="s">
        <v>790</v>
      </c>
      <c r="U1345" t="s">
        <v>259</v>
      </c>
      <c r="V1345" s="253">
        <v>0</v>
      </c>
      <c r="W1345" s="253">
        <v>0</v>
      </c>
      <c r="X1345">
        <v>0</v>
      </c>
      <c r="Y1345">
        <v>0</v>
      </c>
      <c r="Z1345">
        <v>0</v>
      </c>
      <c r="AA1345">
        <v>0</v>
      </c>
      <c r="AB1345">
        <v>0</v>
      </c>
      <c r="AC1345">
        <v>0</v>
      </c>
      <c r="AD1345">
        <v>0</v>
      </c>
      <c r="AE1345">
        <v>0</v>
      </c>
      <c r="AF1345">
        <v>0</v>
      </c>
      <c r="AG1345">
        <v>0</v>
      </c>
      <c r="AH1345">
        <v>0</v>
      </c>
      <c r="AI1345">
        <v>0</v>
      </c>
      <c r="AJ1345">
        <v>0</v>
      </c>
      <c r="AK1345">
        <v>0</v>
      </c>
      <c r="AL1345">
        <v>0</v>
      </c>
      <c r="AM1345">
        <v>1</v>
      </c>
      <c r="AN1345">
        <v>0</v>
      </c>
      <c r="AO1345">
        <v>0</v>
      </c>
      <c r="AP1345">
        <v>0</v>
      </c>
      <c r="AQ1345">
        <v>0</v>
      </c>
      <c r="AR1345">
        <v>0</v>
      </c>
      <c r="AS1345">
        <v>0</v>
      </c>
      <c r="AT1345">
        <v>0</v>
      </c>
      <c r="AU1345">
        <v>0</v>
      </c>
      <c r="AV1345">
        <v>0</v>
      </c>
      <c r="AW1345">
        <v>0</v>
      </c>
      <c r="AX1345">
        <v>0</v>
      </c>
      <c r="AY1345">
        <v>0</v>
      </c>
      <c r="AZ1345" s="141">
        <f>COUNTIF(X1345:AY1345,"&lt;&gt;0")</f>
        <v>1</v>
      </c>
      <c r="BA1345" s="141">
        <f>COUNTIF(X1345:AN1345,"&lt;&gt;0")</f>
        <v>1</v>
      </c>
      <c r="BB1345">
        <f>COUNTIF(X1345:AE1345,"&lt;&gt;0")</f>
        <v>0</v>
      </c>
      <c r="BC1345">
        <f>COUNTIF(AF1345:AK1345,"&lt;&gt;0")</f>
        <v>0</v>
      </c>
      <c r="BD1345">
        <f>COUNTIF(AL1345:AN1345,"&lt;&gt;0")</f>
        <v>1</v>
      </c>
      <c r="BE1345">
        <f>COUNTIF(AU1345:AY1345,"&lt;&gt;0")</f>
        <v>0</v>
      </c>
      <c r="BF1345">
        <f>COUNTIF(AO1345:AT1345,"&lt;&gt;0")</f>
        <v>0</v>
      </c>
      <c r="BG1345" t="str">
        <f t="array" ref="BG1345">IF(BA1345=1,INDEX($X$7:$AN$7,MATCH(TRUE,INDEX($X1345:$AY1345&lt;&gt;0,),0)),IF(BA1345=0,INDEX($AO$7:$AY$7,MATCH(1,$AO1345:$AY1345,0)),IF(BH1345="Multiple strategies","mixed drivers",IF(BH1345="Supply chain","multiple supply","multiple silviculture"))))</f>
        <v>technologies/design switch</v>
      </c>
      <c r="BH1345" s="2" t="str" cm="1">
        <f t="array" ref="BH1345">IF(COUNTIF(BB1345:BD1345,"&lt;&gt;0")=1,INDEX($X$4:$AY$4,MATCH(TRUE,INDEX($X1345:$AY1345&lt;&gt;0,),0)),IF(COUNTIF(BB1345:BD1345,"&lt;&gt;0")=0,INDEX($AO$4:$AY$4,MATCH(1,$AO1345:$AY1345,0)),"Multiple strategies"))</f>
        <v>Technology</v>
      </c>
      <c r="BI1345" s="1" t="s">
        <v>229</v>
      </c>
      <c r="BJ1345" t="s">
        <v>788</v>
      </c>
      <c r="BK1345" s="256" t="s">
        <v>3015</v>
      </c>
      <c r="BL1345" t="s">
        <v>345</v>
      </c>
      <c r="BM1345" s="260">
        <v>0</v>
      </c>
      <c r="BN1345" s="260">
        <v>130669</v>
      </c>
      <c r="BP1345">
        <f>BN1345-BM1345</f>
        <v>130669</v>
      </c>
      <c r="BQ1345">
        <f>BP1345*kg_to_m3</f>
        <v>266.67142857142858</v>
      </c>
      <c r="BR1345" t="s">
        <v>395</v>
      </c>
      <c r="BS1345" s="256" t="s">
        <v>3019</v>
      </c>
      <c r="BT1345" t="s">
        <v>792</v>
      </c>
      <c r="BU1345">
        <f>(1387+293)</f>
        <v>1680</v>
      </c>
      <c r="BV1345">
        <f>687+353</f>
        <v>1040</v>
      </c>
      <c r="BW1345" s="144">
        <f>IFERROR(BV1345/BU1345,"")</f>
        <v>0.61904761904761907</v>
      </c>
      <c r="BX1345">
        <f>BV1345-BU1345</f>
        <v>-640</v>
      </c>
      <c r="BZ1345">
        <f>BX1345</f>
        <v>-640</v>
      </c>
      <c r="CA1345">
        <f>IFERROR(BZ1345/BQ1345,"")</f>
        <v>-2.3999571436224354</v>
      </c>
      <c r="CB1345">
        <v>0</v>
      </c>
      <c r="CC1345">
        <v>0</v>
      </c>
      <c r="CD1345">
        <v>0</v>
      </c>
      <c r="CE1345">
        <v>0</v>
      </c>
      <c r="CF1345">
        <v>0</v>
      </c>
      <c r="CG1345">
        <v>0</v>
      </c>
      <c r="CH1345">
        <v>0</v>
      </c>
      <c r="CI1345">
        <v>0</v>
      </c>
      <c r="CJ1345">
        <v>0</v>
      </c>
      <c r="CK1345">
        <v>0</v>
      </c>
      <c r="CL1345">
        <v>0</v>
      </c>
      <c r="CM1345">
        <v>0</v>
      </c>
      <c r="CN1345">
        <v>0</v>
      </c>
      <c r="CO1345">
        <v>1</v>
      </c>
      <c r="CP1345" t="str">
        <f>IF(BN1345&lt;BM1345,"refNeedCorrection","refOK")</f>
        <v>refOK</v>
      </c>
      <c r="CQ1345">
        <f>IF($CP1345="refOK",$BM1345,$BN1345)</f>
        <v>0</v>
      </c>
      <c r="CR1345">
        <f>IF($CP1345="refOK",$BN1345,$BM1345)</f>
        <v>130669</v>
      </c>
      <c r="CS1345">
        <f>IF($CP1345="refOK",$BQ1345,-$BQ1345)</f>
        <v>266.67142857142858</v>
      </c>
      <c r="CT1345">
        <f>IF(BI1345="Roundwood",$CS1345/2,$CS1345)</f>
        <v>266.67142857142858</v>
      </c>
      <c r="CU1345">
        <f>IF($CP1345="refOK",$BU1345,$BV1345)*IF($BR1345="Emissions positive",-1,1)</f>
        <v>-1680</v>
      </c>
      <c r="CV1345">
        <f>IF($CP1345="refOK",$BV1345,$BU1345)*IF($BR1345="Emissions positive",-1,1)</f>
        <v>-1040</v>
      </c>
      <c r="CW1345">
        <f>IF($CP1345="refNeedCorrection",-BZ1345,BZ1345)*IF($BR1345="Emissions positive",-1,1)</f>
        <v>640</v>
      </c>
      <c r="CX1345">
        <f>IFERROR($CW1345/$CS1345,"")</f>
        <v>2.3999571436224354</v>
      </c>
      <c r="CY1345">
        <f>IFERROR($CW1345/$CS1345,"")</f>
        <v>2.3999571436224354</v>
      </c>
      <c r="CZ1345">
        <f>IFERROR($CW1345/$CT1345,"")</f>
        <v>2.3999571436224354</v>
      </c>
      <c r="DA1345" s="2">
        <f>IFERROR((CV1345-CU1345)/ABS(CU1345),"")</f>
        <v>0.38095238095238093</v>
      </c>
      <c r="DB1345" s="1" t="s">
        <v>347</v>
      </c>
      <c r="DC1345" t="str">
        <f>IF(OR($DB1345="prd",$DB1345="std",$DB1345="cit"),"loc",IF(OR($DB1345="eur",$DB1345="reg",$DB1345="coy"),"reg",$DB1345))</f>
        <v>loc</v>
      </c>
      <c r="DD1345" t="s">
        <v>561</v>
      </c>
      <c r="DG1345">
        <v>0</v>
      </c>
      <c r="DH1345" t="str">
        <f>IF(DG1345=0,"0",IF(AND(DG1345&gt;=1,DG1345&lt;=30),"1-30",IF(AND(DG1345&gt;30,DG1345&lt;=70),"31-70",IF(AND(DG1345&gt;70,DG1345&lt;=100),"71-100",IF(DG1345&gt;100,"+100")))))</f>
        <v>0</v>
      </c>
      <c r="DI1345">
        <v>0</v>
      </c>
      <c r="DJ1345">
        <v>0</v>
      </c>
      <c r="DK1345">
        <v>0</v>
      </c>
      <c r="DL1345">
        <v>1</v>
      </c>
      <c r="DN1345">
        <f>SUM(DI1345:DL1345)</f>
        <v>1</v>
      </c>
      <c r="DO1345" t="str">
        <f>IF(DN1345=1,INDEX($DI$7:$DL$7,MATCH(1,$DI1345:$DL1345,0)),"mixedProduct")</f>
        <v>TimberInput</v>
      </c>
      <c r="DP1345">
        <f>IF(DI1345=1,DP$7,0)</f>
        <v>0</v>
      </c>
      <c r="DQ1345">
        <f>IF(DJ1345=1,DQ$7,0)</f>
        <v>0</v>
      </c>
      <c r="DR1345">
        <f>IF(DK1345=1,DR$7,0)</f>
        <v>0</v>
      </c>
      <c r="DS1345" t="str">
        <f>IF(DL1345=1,DS$7,0)</f>
        <v>Timber</v>
      </c>
      <c r="DT1345">
        <v>0</v>
      </c>
      <c r="DU1345">
        <v>0</v>
      </c>
      <c r="DV1345">
        <v>0</v>
      </c>
      <c r="DW1345">
        <v>0</v>
      </c>
      <c r="DX1345">
        <v>0</v>
      </c>
      <c r="DY1345">
        <f>SUM(DT1345:DU1345)</f>
        <v>0</v>
      </c>
      <c r="DZ1345" s="143" t="str">
        <f>IF(DT1345=1,"self-calculated DF",IF(DU1345=1,"external DF used","explicit C balance"))</f>
        <v>explicit C balance</v>
      </c>
      <c r="EA1345">
        <v>0</v>
      </c>
      <c r="EB1345">
        <v>0</v>
      </c>
      <c r="EC1345">
        <v>0</v>
      </c>
      <c r="ED1345">
        <v>0</v>
      </c>
      <c r="EE1345">
        <v>0</v>
      </c>
      <c r="EF1345">
        <v>0</v>
      </c>
      <c r="EG1345">
        <v>0</v>
      </c>
      <c r="EH1345">
        <v>1</v>
      </c>
      <c r="EI1345">
        <v>1</v>
      </c>
      <c r="EJ1345">
        <v>0</v>
      </c>
      <c r="EK1345">
        <v>0</v>
      </c>
      <c r="EL1345">
        <v>0</v>
      </c>
      <c r="EM1345">
        <v>0</v>
      </c>
      <c r="EN1345" s="2">
        <v>0</v>
      </c>
      <c r="EP1345" t="str">
        <f>IF(AND(AND(AND(OR($EC1345=1,$EB1345=1),OR($EH1345=1,$EF1345=1)),SUM($EA1345:$EE1345,$EK1345)&gt;=3),SUM($EF1345:$EJ1345)&gt;=2),"Whole sector approach","")</f>
        <v/>
      </c>
      <c r="EQ1345" t="str">
        <f>IF(AND(AND(OR($EC1345=1,$EB1345=1),AND($EH1345=0,$EF1345=0)),SUM($EA1345:$EE1345,$EK1345)&gt;=4),"Ecosystem approach","")</f>
        <v/>
      </c>
      <c r="ER1345" s="2" t="str">
        <f>IF(AND(AND(AND($EC1345=0,$EB1345=0),OR($EH1345=1,$EF1345=1)),SUM($EG1345:$EJ1345)&gt;=2),"Technology approach","")</f>
        <v>Technology approach</v>
      </c>
      <c r="ES1345" t="str">
        <f>IF(AND($EC1345+$EB1345+$EE1345+$EA1345+$ED1345+$EG1345=0,$N1345="included"),"C neutral forest and HWP assumption","")</f>
        <v>C neutral forest and HWP assumption</v>
      </c>
      <c r="ET1345" t="str">
        <f>IF(AND(AND(AND(AND($EC1345=1,$EB1345+$EA1345+$EG1345&gt;=1),$EF1345=1),$EH1345+$EI1345+$ED1345+$EE1345&gt;=2),$N1345="included"),"All C pools assumption","")</f>
        <v/>
      </c>
      <c r="EU1345" t="str">
        <f>IF(AND($ED1345+$EE1345+$EI1345+$EH1345+$EF1345=0,$N1345="included"),"In-situ only assumption","")</f>
        <v/>
      </c>
      <c r="EY1345" t="str">
        <f>IF(ISNUMBER(BW1345),IF(ABS(BW1345-[6]QC_indicators!$B$2)&gt;3*[6]QC_indicators!$C$2,"C ratio",IF(ISNUMBER(CA1345),IF(ABS(CA1345-[6]QC_indicators!$B$1)&gt;3*[6]QC_indicators!$C$1,"DF","no"))),IF(ISNUMBER(CA1345),IF(ABS(CA1345-[6]QC_indicators!$B$1)&gt;3*[6]QC_indicators!$C$1,"DF","no")))</f>
        <v>no</v>
      </c>
      <c r="FA1345" t="str">
        <f>IF(LEN($CY1345)=0,"",IF(AND($CY1345&lt;(-0.05),$ES1345="C neutral forest and HWP assumption"),"Cneutral paradox",IF(AND($CY1345&gt;0.05,$EU1345="In-situ only assumption"),"In-situ only paradox","")))</f>
        <v/>
      </c>
      <c r="FB1345" s="149" t="s">
        <v>349</v>
      </c>
      <c r="FD1345" s="260" t="s">
        <v>2948</v>
      </c>
    </row>
    <row r="1346" spans="1:160" ht="15" hidden="1" customHeight="1">
      <c r="A1346" s="1" t="s">
        <v>819</v>
      </c>
      <c r="B1346" t="s">
        <v>820</v>
      </c>
      <c r="C1346" t="s">
        <v>821</v>
      </c>
      <c r="D1346" t="s">
        <v>822</v>
      </c>
      <c r="E1346" t="s">
        <v>823</v>
      </c>
      <c r="F1346" t="s">
        <v>824</v>
      </c>
      <c r="G1346" t="s">
        <v>825</v>
      </c>
      <c r="H1346" t="s">
        <v>254</v>
      </c>
      <c r="I1346">
        <v>2020</v>
      </c>
      <c r="J1346">
        <v>5</v>
      </c>
      <c r="K1346" t="s">
        <v>826</v>
      </c>
      <c r="M1346" t="str">
        <f>LEFT($D1346,FIND(",",$D1346)-1)&amp;"_"&amp;I1346&amp;L1346</f>
        <v>Lan_2020</v>
      </c>
      <c r="N1346" t="s">
        <v>222</v>
      </c>
      <c r="O1346" s="145" t="s">
        <v>225</v>
      </c>
      <c r="Q1346" t="s">
        <v>256</v>
      </c>
      <c r="R1346" s="258" t="s">
        <v>223</v>
      </c>
      <c r="S1346" s="1" t="s">
        <v>95</v>
      </c>
      <c r="T1346" t="s">
        <v>833</v>
      </c>
      <c r="U1346" t="s">
        <v>837</v>
      </c>
      <c r="V1346" s="253">
        <v>0</v>
      </c>
      <c r="W1346" s="253">
        <v>0</v>
      </c>
      <c r="X1346">
        <v>0</v>
      </c>
      <c r="Y1346">
        <v>0</v>
      </c>
      <c r="Z1346">
        <v>0</v>
      </c>
      <c r="AA1346">
        <v>0</v>
      </c>
      <c r="AB1346">
        <v>0</v>
      </c>
      <c r="AC1346">
        <v>0</v>
      </c>
      <c r="AD1346">
        <v>0</v>
      </c>
      <c r="AE1346">
        <v>1</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0</v>
      </c>
      <c r="AY1346">
        <v>0</v>
      </c>
      <c r="AZ1346" s="141">
        <f>COUNTIF(X1346:AY1346,"&lt;&gt;0")</f>
        <v>1</v>
      </c>
      <c r="BA1346" s="141">
        <f>COUNTIF(X1346:AN1346,"&lt;&gt;0")</f>
        <v>1</v>
      </c>
      <c r="BB1346">
        <f>COUNTIF(X1346:AE1346,"&lt;&gt;0")</f>
        <v>1</v>
      </c>
      <c r="BC1346">
        <f>COUNTIF(AF1346:AK1346,"&lt;&gt;0")</f>
        <v>0</v>
      </c>
      <c r="BD1346">
        <f>COUNTIF(AL1346:AN1346,"&lt;&gt;0")</f>
        <v>0</v>
      </c>
      <c r="BE1346">
        <f>COUNTIF(AU1346:AY1346,"&lt;&gt;0")</f>
        <v>0</v>
      </c>
      <c r="BF1346">
        <f>COUNTIF(AO1346:AT1346,"&lt;&gt;0")</f>
        <v>0</v>
      </c>
      <c r="BG1346" t="str">
        <f t="array" ref="BG1346">IF(BA1346=1,INDEX($X$7:$AN$7,MATCH(TRUE,INDEX($X1346:$AY1346&lt;&gt;0,),0)),IF(BA1346=0,INDEX($AO$7:$AY$7,MATCH(1,$AO1346:$AY1346,0)),IF(BH1346="Multiple strategies","mixed drivers",IF(BH1346="Supply chain","multiple supply","multiple silviculture"))))</f>
        <v>site fertility</v>
      </c>
      <c r="BH1346" s="2" t="str" cm="1">
        <f t="array" ref="BH1346">IF(COUNTIF(BB1346:BD1346,"&lt;&gt;0")=1,INDEX($X$4:$AY$4,MATCH(TRUE,INDEX($X1346:$AY1346&lt;&gt;0,),0)),IF(COUNTIF(BB1346:BD1346,"&lt;&gt;0")=0,INDEX($AO$4:$AY$4,MATCH(1,$AO1346:$AY1346,0)),"Multiple strategies"))</f>
        <v>Silviculture for productivity</v>
      </c>
      <c r="BI1346" s="142" t="s">
        <v>321</v>
      </c>
      <c r="BJ1346" t="s">
        <v>838</v>
      </c>
      <c r="BK1346" s="260" t="s">
        <v>687</v>
      </c>
      <c r="BL1346" s="143" t="s">
        <v>839</v>
      </c>
      <c r="BM1346">
        <f>282+71</f>
        <v>353</v>
      </c>
      <c r="BN1346" s="143">
        <f>111+443</f>
        <v>554</v>
      </c>
      <c r="BO1346" s="163">
        <f>BN1346/BM1346</f>
        <v>1.5694050991501416</v>
      </c>
      <c r="BP1346">
        <f>BN1346-BM1346</f>
        <v>201</v>
      </c>
      <c r="BQ1346" s="159">
        <f>BP1346*t_to_m3</f>
        <v>410.20408163265307</v>
      </c>
      <c r="BR1346" t="s">
        <v>232</v>
      </c>
      <c r="BS1346" s="153" t="s">
        <v>429</v>
      </c>
      <c r="BT1346" t="s">
        <v>830</v>
      </c>
      <c r="BU1346">
        <v>829.35699999999997</v>
      </c>
      <c r="BV1346">
        <v>1291.7429999999999</v>
      </c>
      <c r="BW1346" s="144">
        <f>IFERROR(BV1346/BU1346,"")</f>
        <v>1.5575234790325516</v>
      </c>
      <c r="BX1346">
        <f>BV1346-BU1346</f>
        <v>462.38599999999997</v>
      </c>
      <c r="BZ1346">
        <f>BX1346</f>
        <v>462.38599999999997</v>
      </c>
      <c r="CA1346">
        <f>IFERROR(BZ1346/BQ1346,"")</f>
        <v>1.1272096517412935</v>
      </c>
      <c r="CB1346">
        <v>0</v>
      </c>
      <c r="CC1346">
        <v>0</v>
      </c>
      <c r="CD1346">
        <v>0</v>
      </c>
      <c r="CE1346">
        <v>0</v>
      </c>
      <c r="CF1346">
        <v>0</v>
      </c>
      <c r="CG1346">
        <v>0</v>
      </c>
      <c r="CH1346">
        <v>0</v>
      </c>
      <c r="CI1346">
        <v>0</v>
      </c>
      <c r="CJ1346">
        <v>0</v>
      </c>
      <c r="CK1346">
        <v>0</v>
      </c>
      <c r="CL1346">
        <v>0</v>
      </c>
      <c r="CM1346">
        <v>0</v>
      </c>
      <c r="CN1346">
        <v>0</v>
      </c>
      <c r="CO1346">
        <v>0</v>
      </c>
      <c r="CP1346" t="str">
        <f>IF($BN1346&lt;$BM1346,"refNeedCorrection","refOK")</f>
        <v>refOK</v>
      </c>
      <c r="CQ1346">
        <f>IF($CP1346="refNeedCorrection",BN1346,BM1346)</f>
        <v>353</v>
      </c>
      <c r="CR1346">
        <f>IF($CP1346="refNeedCorrection",BM1346,BN1346)</f>
        <v>554</v>
      </c>
      <c r="CS1346">
        <f>IF($CP1346="refOK",$BQ1346,-$BQ1346)</f>
        <v>410.20408163265307</v>
      </c>
      <c r="CT1346">
        <f>IF(BI1346="Roundwood",$CS1346/2,$CS1346)</f>
        <v>205.10204081632654</v>
      </c>
      <c r="CU1346">
        <f>IF($CP1346="refOK",$BU1346,$BV1346)*IF($BR1346="Emissions positive",-1,1)</f>
        <v>829.35699999999997</v>
      </c>
      <c r="CV1346">
        <f>IF($CP1346="refOK",$BV1346,$BU1346)*IF($BR1346="Emissions positive",-1,1)</f>
        <v>1291.7429999999999</v>
      </c>
      <c r="CW1346">
        <f>IF($CP1346="refNeedCorrection",-BZ1346,BZ1346)*IF($BR1346="Emissions positive",-1,1)</f>
        <v>462.38599999999997</v>
      </c>
      <c r="CX1346">
        <f>IFERROR($CW1346/$CS1346,"")</f>
        <v>1.1272096517412935</v>
      </c>
      <c r="CY1346">
        <f>IFERROR($CW1346/$CS1346,"")</f>
        <v>1.1272096517412935</v>
      </c>
      <c r="CZ1346">
        <f>IFERROR($CW1346/$CT1346,"")</f>
        <v>2.254419303482587</v>
      </c>
      <c r="DA1346" s="2">
        <f>IFERROR((CV1346-CU1346)/ABS(CU1346),"")</f>
        <v>0.55752347903255173</v>
      </c>
      <c r="DB1346" s="1" t="s">
        <v>234</v>
      </c>
      <c r="DC1346" t="str">
        <f>IF(OR($DB1346="prd",$DB1346="std",$DB1346="cit"),"loc",IF(OR($DB1346="eur",$DB1346="reg",$DB1346="coy"),"reg",$DB1346))</f>
        <v>loc</v>
      </c>
      <c r="DD1346" t="s">
        <v>428</v>
      </c>
      <c r="DE1346">
        <v>2021</v>
      </c>
      <c r="DF1346" s="143">
        <v>2120</v>
      </c>
      <c r="DG1346" s="143">
        <v>100</v>
      </c>
      <c r="DH1346" t="str">
        <f>IF(DG1346=0,"0",IF(AND(DG1346&gt;=1,DG1346&lt;=30),"1-30",IF(AND(DG1346&gt;30,DG1346&lt;=70),"31-70",IF(AND(DG1346&gt;70,DG1346&lt;=100),"71-100",IF(DG1346&gt;100,"+100")))))</f>
        <v>71-100</v>
      </c>
      <c r="DI1346">
        <v>0</v>
      </c>
      <c r="DJ1346">
        <v>1</v>
      </c>
      <c r="DK1346">
        <v>0</v>
      </c>
      <c r="DL1346">
        <v>1</v>
      </c>
      <c r="DN1346">
        <f>SUM(DI1346:DL1346)</f>
        <v>2</v>
      </c>
      <c r="DO1346" t="str">
        <f>IF(DN1346=1,INDEX($DI$7:$DL$7,MATCH(1,$DI1346:$DL1346,0)),"mixedProduct")</f>
        <v>mixedProduct</v>
      </c>
      <c r="DP1346">
        <f>IF(DI1346=1,DP$7,0)</f>
        <v>0</v>
      </c>
      <c r="DQ1346" t="str">
        <f>IF(DJ1346=1,DQ$7,0)</f>
        <v>Energy</v>
      </c>
      <c r="DR1346">
        <f>IF(DK1346=1,DR$7,0)</f>
        <v>0</v>
      </c>
      <c r="DS1346" t="str">
        <f>IF(DL1346=1,DS$7,0)</f>
        <v>Timber</v>
      </c>
      <c r="DT1346">
        <v>0</v>
      </c>
      <c r="DU1346" s="143">
        <v>0</v>
      </c>
      <c r="DV1346" s="143">
        <v>0</v>
      </c>
      <c r="DW1346">
        <v>0</v>
      </c>
      <c r="DX1346" s="143">
        <v>0</v>
      </c>
      <c r="DY1346">
        <f>SUM(DT1346:DU1346)</f>
        <v>0</v>
      </c>
      <c r="DZ1346" s="143" t="str">
        <f>IF(DT1346=1,"self-calculated DF",IF(DU1346=1,"external DF used","explicit C balance"))</f>
        <v>explicit C balance</v>
      </c>
      <c r="EA1346" s="143">
        <v>0</v>
      </c>
      <c r="EB1346" s="143">
        <v>1</v>
      </c>
      <c r="EC1346" s="143">
        <v>1</v>
      </c>
      <c r="ED1346" s="143">
        <v>1</v>
      </c>
      <c r="EE1346">
        <v>1</v>
      </c>
      <c r="EF1346" s="143">
        <v>0</v>
      </c>
      <c r="EG1346" s="143">
        <v>1</v>
      </c>
      <c r="EH1346" s="143">
        <v>1</v>
      </c>
      <c r="EI1346" s="143">
        <v>1</v>
      </c>
      <c r="EJ1346">
        <v>0</v>
      </c>
      <c r="EK1346">
        <v>1</v>
      </c>
      <c r="EL1346" s="143">
        <v>1</v>
      </c>
      <c r="EM1346">
        <v>0</v>
      </c>
      <c r="EN1346" s="2">
        <v>0</v>
      </c>
      <c r="EP1346" t="str">
        <f>IF(AND(AND(AND(OR($EC1346=1,$EB1346=1),OR($EH1346=1,$EF1346=1)),SUM($EA1346:$EE1346,$EK1346)&gt;=3),SUM($EF1346:$EJ1346)&gt;=2),"Whole sector approach","")</f>
        <v>Whole sector approach</v>
      </c>
      <c r="EQ1346" t="str">
        <f>IF(AND(AND(OR($EC1346=1,$EB1346=1),AND($EH1346=0,$EF1346=0)),SUM($EA1346:$EE1346,$EK1346)&gt;=4),"Ecosystem approach","")</f>
        <v/>
      </c>
      <c r="ER1346" s="2" t="str">
        <f>IF(AND(AND(AND($EC1346=0,$EB1346=0),OR($EH1346=1,$EF1346=1)),SUM($EG1346:$EJ1346)&gt;=2),"Technology approach","")</f>
        <v/>
      </c>
      <c r="ES1346" t="str">
        <f>IF(AND($EC1346+$EB1346+$EE1346+$EA1346+$ED1346+$EG1346=0,$N1346="included"),"C neutral forest and HWP assumption","")</f>
        <v/>
      </c>
      <c r="ET1346" t="str">
        <f>IF(AND(AND(AND(AND($EC1346=1,$EB1346+$EA1346+$EG1346&gt;=1),$EF1346=1),$EH1346+$EI1346+$ED1346+$EE1346&gt;=2),$N1346="included"),"All C pools assumption","")</f>
        <v/>
      </c>
      <c r="EU1346" t="str">
        <f>IF(AND($ED1346+$EE1346+$EI1346+$EH1346+$EF1346=0,$N1346="included"),"In-situ only assumption","")</f>
        <v/>
      </c>
      <c r="EV1346" s="328" t="s">
        <v>5065</v>
      </c>
      <c r="EY1346" t="str">
        <f>IF(ISNUMBER(BW1346),IF(ABS(BW1346-[2]QC_indicators!$B$2)&gt;3*[2]QC_indicators!$C$2,"C ratio",IF(ISNUMBER(CA1346),IF(ABS(CA1346-[2]QC_indicators!$B$1)&gt;3*[2]QC_indicators!$C$1,"DF","no"))),IF(ISNUMBER(CA1346),IF(ABS(CA1346-[2]QC_indicators!$B$1)&gt;3*[2]QC_indicators!$C$1,"DF","no")))</f>
        <v>no</v>
      </c>
      <c r="FA1346" t="str">
        <f>IF(LEN($CY1346)=0,"",IF(AND($CY1346&lt;(-0.05),$ES1346="C neutral forest and HWP assumption"),"Cneutral paradox",IF(AND($CY1346&gt;0.05,$EU1346="In-situ only assumption"),"In-situ only paradox","")))</f>
        <v/>
      </c>
      <c r="FB1346" t="s">
        <v>831</v>
      </c>
      <c r="FD1346" s="260" t="s">
        <v>2827</v>
      </c>
    </row>
    <row r="1347" spans="1:160" ht="15" hidden="1" customHeight="1">
      <c r="A1347" s="1" t="s">
        <v>819</v>
      </c>
      <c r="B1347" t="s">
        <v>820</v>
      </c>
      <c r="C1347" t="s">
        <v>821</v>
      </c>
      <c r="D1347" t="s">
        <v>822</v>
      </c>
      <c r="E1347" t="s">
        <v>823</v>
      </c>
      <c r="F1347" t="s">
        <v>824</v>
      </c>
      <c r="G1347" t="s">
        <v>825</v>
      </c>
      <c r="H1347" t="s">
        <v>254</v>
      </c>
      <c r="I1347">
        <v>2020</v>
      </c>
      <c r="J1347">
        <v>5</v>
      </c>
      <c r="K1347" t="s">
        <v>826</v>
      </c>
      <c r="M1347" t="str">
        <f>LEFT($D1347,FIND(",",$D1347)-1)&amp;"_"&amp;I1347&amp;L1347</f>
        <v>Lan_2020</v>
      </c>
      <c r="N1347" t="s">
        <v>222</v>
      </c>
      <c r="O1347" s="145" t="s">
        <v>225</v>
      </c>
      <c r="Q1347" t="s">
        <v>256</v>
      </c>
      <c r="R1347" s="258" t="s">
        <v>223</v>
      </c>
      <c r="S1347" s="1" t="s">
        <v>95</v>
      </c>
      <c r="T1347" t="s">
        <v>832</v>
      </c>
      <c r="U1347" t="s">
        <v>836</v>
      </c>
      <c r="V1347" s="253">
        <v>0</v>
      </c>
      <c r="W1347" s="253">
        <v>0</v>
      </c>
      <c r="X1347">
        <v>0</v>
      </c>
      <c r="Y1347">
        <v>0</v>
      </c>
      <c r="Z1347">
        <v>0</v>
      </c>
      <c r="AA1347">
        <v>0</v>
      </c>
      <c r="AB1347">
        <v>0</v>
      </c>
      <c r="AC1347">
        <v>0</v>
      </c>
      <c r="AD1347">
        <v>0</v>
      </c>
      <c r="AE1347">
        <v>1</v>
      </c>
      <c r="AF1347">
        <v>0</v>
      </c>
      <c r="AG1347">
        <v>0</v>
      </c>
      <c r="AH1347">
        <v>0</v>
      </c>
      <c r="AI1347">
        <v>0</v>
      </c>
      <c r="AJ1347">
        <v>0</v>
      </c>
      <c r="AK1347">
        <v>0</v>
      </c>
      <c r="AL1347">
        <v>0</v>
      </c>
      <c r="AM1347">
        <v>0</v>
      </c>
      <c r="AN1347">
        <v>0</v>
      </c>
      <c r="AO1347">
        <v>0</v>
      </c>
      <c r="AP1347">
        <v>0</v>
      </c>
      <c r="AQ1347">
        <v>0</v>
      </c>
      <c r="AR1347">
        <v>0</v>
      </c>
      <c r="AS1347">
        <v>0</v>
      </c>
      <c r="AT1347">
        <v>0</v>
      </c>
      <c r="AU1347">
        <v>0</v>
      </c>
      <c r="AV1347">
        <v>0</v>
      </c>
      <c r="AW1347">
        <v>0</v>
      </c>
      <c r="AX1347">
        <v>0</v>
      </c>
      <c r="AY1347">
        <v>0</v>
      </c>
      <c r="AZ1347" s="141">
        <f>COUNTIF(X1347:AY1347,"&lt;&gt;0")</f>
        <v>1</v>
      </c>
      <c r="BA1347" s="141">
        <f>COUNTIF(X1347:AN1347,"&lt;&gt;0")</f>
        <v>1</v>
      </c>
      <c r="BB1347">
        <f>COUNTIF(X1347:AE1347,"&lt;&gt;0")</f>
        <v>1</v>
      </c>
      <c r="BC1347">
        <f>COUNTIF(AF1347:AK1347,"&lt;&gt;0")</f>
        <v>0</v>
      </c>
      <c r="BD1347">
        <f>COUNTIF(AL1347:AN1347,"&lt;&gt;0")</f>
        <v>0</v>
      </c>
      <c r="BE1347">
        <f>COUNTIF(AU1347:AY1347,"&lt;&gt;0")</f>
        <v>0</v>
      </c>
      <c r="BF1347">
        <f>COUNTIF(AO1347:AT1347,"&lt;&gt;0")</f>
        <v>0</v>
      </c>
      <c r="BG1347" t="str">
        <f t="array" ref="BG1347">IF(BA1347=1,INDEX($X$7:$AN$7,MATCH(TRUE,INDEX($X1347:$AY1347&lt;&gt;0,),0)),IF(BA1347=0,INDEX($AO$7:$AY$7,MATCH(1,$AO1347:$AY1347,0)),IF(BH1347="Multiple strategies","mixed drivers",IF(BH1347="Supply chain","multiple supply","multiple silviculture"))))</f>
        <v>site fertility</v>
      </c>
      <c r="BH1347" s="2" t="str" cm="1">
        <f t="array" ref="BH1347">IF(COUNTIF(BB1347:BD1347,"&lt;&gt;0")=1,INDEX($X$4:$AY$4,MATCH(TRUE,INDEX($X1347:$AY1347&lt;&gt;0,),0)),IF(COUNTIF(BB1347:BD1347,"&lt;&gt;0")=0,INDEX($AO$4:$AY$4,MATCH(1,$AO1347:$AY1347,0)),"Multiple strategies"))</f>
        <v>Silviculture for productivity</v>
      </c>
      <c r="BI1347" s="142" t="s">
        <v>321</v>
      </c>
      <c r="BJ1347" t="s">
        <v>838</v>
      </c>
      <c r="BK1347" s="260" t="s">
        <v>687</v>
      </c>
      <c r="BL1347" s="143" t="s">
        <v>839</v>
      </c>
      <c r="BM1347">
        <f>282+71</f>
        <v>353</v>
      </c>
      <c r="BN1347" s="143">
        <f>111+443</f>
        <v>554</v>
      </c>
      <c r="BO1347" s="163">
        <f>BN1347/BM1347</f>
        <v>1.5694050991501416</v>
      </c>
      <c r="BP1347">
        <f>BN1347-BM1347</f>
        <v>201</v>
      </c>
      <c r="BQ1347" s="159">
        <f>BP1347*t_to_m3</f>
        <v>410.20408163265307</v>
      </c>
      <c r="BR1347" t="s">
        <v>232</v>
      </c>
      <c r="BS1347" s="153" t="s">
        <v>429</v>
      </c>
      <c r="BT1347" t="s">
        <v>830</v>
      </c>
      <c r="BU1347">
        <v>816.51300000000003</v>
      </c>
      <c r="BV1347">
        <v>1266.0550000000001</v>
      </c>
      <c r="BW1347" s="144">
        <f>IFERROR(BV1347/BU1347,"")</f>
        <v>1.5505631876038717</v>
      </c>
      <c r="BX1347">
        <f>BV1347-BU1347</f>
        <v>449.54200000000003</v>
      </c>
      <c r="BZ1347">
        <f>BX1347</f>
        <v>449.54200000000003</v>
      </c>
      <c r="CA1347">
        <f>IFERROR(BZ1347/BQ1347,"")</f>
        <v>1.095898407960199</v>
      </c>
      <c r="CB1347">
        <v>0</v>
      </c>
      <c r="CC1347">
        <v>0</v>
      </c>
      <c r="CD1347">
        <v>0</v>
      </c>
      <c r="CE1347">
        <v>0</v>
      </c>
      <c r="CF1347">
        <v>0</v>
      </c>
      <c r="CG1347">
        <v>0</v>
      </c>
      <c r="CH1347">
        <v>0</v>
      </c>
      <c r="CI1347">
        <v>0</v>
      </c>
      <c r="CJ1347">
        <v>0</v>
      </c>
      <c r="CK1347">
        <v>0</v>
      </c>
      <c r="CL1347">
        <v>0</v>
      </c>
      <c r="CM1347">
        <v>0</v>
      </c>
      <c r="CN1347">
        <v>0</v>
      </c>
      <c r="CO1347">
        <v>0</v>
      </c>
      <c r="CP1347" t="str">
        <f>IF($BN1347&lt;$BM1347,"refNeedCorrection","refOK")</f>
        <v>refOK</v>
      </c>
      <c r="CQ1347">
        <f>IF($CP1347="refNeedCorrection",BN1347,BM1347)</f>
        <v>353</v>
      </c>
      <c r="CR1347">
        <f>IF($CP1347="refNeedCorrection",BM1347,BN1347)</f>
        <v>554</v>
      </c>
      <c r="CS1347">
        <f>IF($CP1347="refOK",$BQ1347,-$BQ1347)</f>
        <v>410.20408163265307</v>
      </c>
      <c r="CT1347">
        <f>IF(BI1347="Roundwood",$CS1347/2,$CS1347)</f>
        <v>205.10204081632654</v>
      </c>
      <c r="CU1347">
        <f>IF($CP1347="refOK",$BU1347,$BV1347)*IF($BR1347="Emissions positive",-1,1)</f>
        <v>816.51300000000003</v>
      </c>
      <c r="CV1347">
        <f>IF($CP1347="refOK",$BV1347,$BU1347)*IF($BR1347="Emissions positive",-1,1)</f>
        <v>1266.0550000000001</v>
      </c>
      <c r="CW1347">
        <f>IF($CP1347="refNeedCorrection",-BZ1347,BZ1347)*IF($BR1347="Emissions positive",-1,1)</f>
        <v>449.54200000000003</v>
      </c>
      <c r="CX1347">
        <f>IFERROR($CW1347/$CS1347,"")</f>
        <v>1.095898407960199</v>
      </c>
      <c r="CY1347">
        <f>IFERROR($CW1347/$CS1347,"")</f>
        <v>1.095898407960199</v>
      </c>
      <c r="CZ1347">
        <f>IFERROR($CW1347/$CT1347,"")</f>
        <v>2.191796815920398</v>
      </c>
      <c r="DA1347" s="2">
        <f>IFERROR((CV1347-CU1347)/ABS(CU1347),"")</f>
        <v>0.55056318760387157</v>
      </c>
      <c r="DB1347" s="1" t="s">
        <v>234</v>
      </c>
      <c r="DC1347" t="str">
        <f>IF(OR($DB1347="prd",$DB1347="std",$DB1347="cit"),"loc",IF(OR($DB1347="eur",$DB1347="reg",$DB1347="coy"),"reg",$DB1347))</f>
        <v>loc</v>
      </c>
      <c r="DD1347" t="s">
        <v>428</v>
      </c>
      <c r="DE1347">
        <v>2021</v>
      </c>
      <c r="DF1347" s="143">
        <v>2120</v>
      </c>
      <c r="DG1347" s="143">
        <v>100</v>
      </c>
      <c r="DH1347" t="str">
        <f>IF(DG1347=0,"0",IF(AND(DG1347&gt;=1,DG1347&lt;=30),"1-30",IF(AND(DG1347&gt;30,DG1347&lt;=70),"31-70",IF(AND(DG1347&gt;70,DG1347&lt;=100),"71-100",IF(DG1347&gt;100,"+100")))))</f>
        <v>71-100</v>
      </c>
      <c r="DI1347">
        <v>0</v>
      </c>
      <c r="DJ1347">
        <v>1</v>
      </c>
      <c r="DK1347">
        <v>0</v>
      </c>
      <c r="DL1347">
        <v>1</v>
      </c>
      <c r="DN1347">
        <f>SUM(DI1347:DL1347)</f>
        <v>2</v>
      </c>
      <c r="DO1347" t="str">
        <f>IF(DN1347=1,INDEX($DI$7:$DL$7,MATCH(1,$DI1347:$DL1347,0)),"mixedProduct")</f>
        <v>mixedProduct</v>
      </c>
      <c r="DP1347">
        <f>IF(DI1347=1,DP$7,0)</f>
        <v>0</v>
      </c>
      <c r="DQ1347" t="str">
        <f>IF(DJ1347=1,DQ$7,0)</f>
        <v>Energy</v>
      </c>
      <c r="DR1347">
        <f>IF(DK1347=1,DR$7,0)</f>
        <v>0</v>
      </c>
      <c r="DS1347" t="str">
        <f>IF(DL1347=1,DS$7,0)</f>
        <v>Timber</v>
      </c>
      <c r="DT1347">
        <v>0</v>
      </c>
      <c r="DU1347" s="143">
        <v>0</v>
      </c>
      <c r="DV1347" s="143">
        <v>0</v>
      </c>
      <c r="DW1347">
        <v>0</v>
      </c>
      <c r="DX1347" s="143">
        <v>0</v>
      </c>
      <c r="DY1347">
        <f>SUM(DT1347:DU1347)</f>
        <v>0</v>
      </c>
      <c r="DZ1347" s="143" t="str">
        <f>IF(DT1347=1,"self-calculated DF",IF(DU1347=1,"external DF used","explicit C balance"))</f>
        <v>explicit C balance</v>
      </c>
      <c r="EA1347" s="143">
        <v>0</v>
      </c>
      <c r="EB1347" s="143">
        <v>1</v>
      </c>
      <c r="EC1347" s="143">
        <v>1</v>
      </c>
      <c r="ED1347" s="143">
        <v>1</v>
      </c>
      <c r="EE1347">
        <v>1</v>
      </c>
      <c r="EF1347" s="143">
        <v>0</v>
      </c>
      <c r="EG1347" s="143">
        <v>1</v>
      </c>
      <c r="EH1347" s="143">
        <v>1</v>
      </c>
      <c r="EI1347" s="143">
        <v>1</v>
      </c>
      <c r="EJ1347">
        <v>0</v>
      </c>
      <c r="EK1347">
        <v>1</v>
      </c>
      <c r="EL1347" s="143">
        <v>1</v>
      </c>
      <c r="EM1347">
        <v>0</v>
      </c>
      <c r="EN1347" s="2">
        <v>0</v>
      </c>
      <c r="EP1347" t="str">
        <f>IF(AND(AND(AND(OR($EC1347=1,$EB1347=1),OR($EH1347=1,$EF1347=1)),SUM($EA1347:$EE1347,$EK1347)&gt;=3),SUM($EF1347:$EJ1347)&gt;=2),"Whole sector approach","")</f>
        <v>Whole sector approach</v>
      </c>
      <c r="EQ1347" t="str">
        <f>IF(AND(AND(OR($EC1347=1,$EB1347=1),AND($EH1347=0,$EF1347=0)),SUM($EA1347:$EE1347,$EK1347)&gt;=4),"Ecosystem approach","")</f>
        <v/>
      </c>
      <c r="ER1347" s="2" t="str">
        <f>IF(AND(AND(AND($EC1347=0,$EB1347=0),OR($EH1347=1,$EF1347=1)),SUM($EG1347:$EJ1347)&gt;=2),"Technology approach","")</f>
        <v/>
      </c>
      <c r="ES1347" t="str">
        <f>IF(AND($EC1347+$EB1347+$EE1347+$EA1347+$ED1347+$EG1347=0,$N1347="included"),"C neutral forest and HWP assumption","")</f>
        <v/>
      </c>
      <c r="ET1347" t="str">
        <f>IF(AND(AND(AND(AND($EC1347=1,$EB1347+$EA1347+$EG1347&gt;=1),$EF1347=1),$EH1347+$EI1347+$ED1347+$EE1347&gt;=2),$N1347="included"),"All C pools assumption","")</f>
        <v/>
      </c>
      <c r="EU1347" t="str">
        <f>IF(AND($ED1347+$EE1347+$EI1347+$EH1347+$EF1347=0,$N1347="included"),"In-situ only assumption","")</f>
        <v/>
      </c>
      <c r="EV1347" s="328" t="s">
        <v>5065</v>
      </c>
      <c r="EY1347" t="str">
        <f>IF(ISNUMBER(BW1347),IF(ABS(BW1347-[2]QC_indicators!$B$2)&gt;3*[2]QC_indicators!$C$2,"C ratio",IF(ISNUMBER(CA1347),IF(ABS(CA1347-[2]QC_indicators!$B$1)&gt;3*[2]QC_indicators!$C$1,"DF","no"))),IF(ISNUMBER(CA1347),IF(ABS(CA1347-[2]QC_indicators!$B$1)&gt;3*[2]QC_indicators!$C$1,"DF","no")))</f>
        <v>no</v>
      </c>
      <c r="FA1347" t="str">
        <f>IF(LEN($CY1347)=0,"",IF(AND($CY1347&lt;(-0.05),$ES1347="C neutral forest and HWP assumption"),"Cneutral paradox",IF(AND($CY1347&gt;0.05,$EU1347="In-situ only assumption"),"In-situ only paradox","")))</f>
        <v/>
      </c>
      <c r="FB1347" t="s">
        <v>831</v>
      </c>
      <c r="FD1347" s="260" t="s">
        <v>2827</v>
      </c>
    </row>
    <row r="1348" spans="1:160" ht="15" hidden="1" customHeight="1">
      <c r="A1348" s="1" t="s">
        <v>819</v>
      </c>
      <c r="B1348" t="s">
        <v>820</v>
      </c>
      <c r="C1348" t="s">
        <v>821</v>
      </c>
      <c r="D1348" t="s">
        <v>822</v>
      </c>
      <c r="E1348" t="s">
        <v>823</v>
      </c>
      <c r="F1348" t="s">
        <v>824</v>
      </c>
      <c r="G1348" t="s">
        <v>825</v>
      </c>
      <c r="H1348" t="s">
        <v>254</v>
      </c>
      <c r="I1348">
        <v>2020</v>
      </c>
      <c r="J1348">
        <v>5</v>
      </c>
      <c r="K1348" t="s">
        <v>826</v>
      </c>
      <c r="M1348" t="str">
        <f>LEFT($D1348,FIND(",",$D1348)-1)&amp;"_"&amp;I1348&amp;L1348</f>
        <v>Lan_2020</v>
      </c>
      <c r="N1348" t="s">
        <v>222</v>
      </c>
      <c r="O1348" s="145" t="s">
        <v>225</v>
      </c>
      <c r="Q1348" t="s">
        <v>256</v>
      </c>
      <c r="R1348" s="258" t="s">
        <v>223</v>
      </c>
      <c r="S1348" s="1" t="s">
        <v>95</v>
      </c>
      <c r="T1348" t="s">
        <v>829</v>
      </c>
      <c r="U1348" t="s">
        <v>835</v>
      </c>
      <c r="V1348" s="253">
        <v>0</v>
      </c>
      <c r="W1348" s="253">
        <v>0</v>
      </c>
      <c r="X1348">
        <v>0</v>
      </c>
      <c r="Y1348">
        <v>0</v>
      </c>
      <c r="Z1348">
        <v>0</v>
      </c>
      <c r="AA1348">
        <v>0</v>
      </c>
      <c r="AB1348">
        <v>0</v>
      </c>
      <c r="AC1348">
        <v>0</v>
      </c>
      <c r="AD1348">
        <v>0</v>
      </c>
      <c r="AE1348">
        <v>1</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s="141">
        <f>COUNTIF(X1348:AY1348,"&lt;&gt;0")</f>
        <v>1</v>
      </c>
      <c r="BA1348" s="141">
        <f>COUNTIF(X1348:AN1348,"&lt;&gt;0")</f>
        <v>1</v>
      </c>
      <c r="BB1348">
        <f>COUNTIF(X1348:AE1348,"&lt;&gt;0")</f>
        <v>1</v>
      </c>
      <c r="BC1348">
        <f>COUNTIF(AF1348:AK1348,"&lt;&gt;0")</f>
        <v>0</v>
      </c>
      <c r="BD1348">
        <f>COUNTIF(AL1348:AN1348,"&lt;&gt;0")</f>
        <v>0</v>
      </c>
      <c r="BE1348">
        <f>COUNTIF(AU1348:AY1348,"&lt;&gt;0")</f>
        <v>0</v>
      </c>
      <c r="BF1348">
        <f>COUNTIF(AO1348:AT1348,"&lt;&gt;0")</f>
        <v>0</v>
      </c>
      <c r="BG1348" t="str">
        <f t="array" ref="BG1348">IF(BA1348=1,INDEX($X$7:$AN$7,MATCH(TRUE,INDEX($X1348:$AY1348&lt;&gt;0,),0)),IF(BA1348=0,INDEX($AO$7:$AY$7,MATCH(1,$AO1348:$AY1348,0)),IF(BH1348="Multiple strategies","mixed drivers",IF(BH1348="Supply chain","multiple supply","multiple silviculture"))))</f>
        <v>site fertility</v>
      </c>
      <c r="BH1348" s="2" t="str" cm="1">
        <f t="array" ref="BH1348">IF(COUNTIF(BB1348:BD1348,"&lt;&gt;0")=1,INDEX($X$4:$AY$4,MATCH(TRUE,INDEX($X1348:$AY1348&lt;&gt;0,),0)),IF(COUNTIF(BB1348:BD1348,"&lt;&gt;0")=0,INDEX($AO$4:$AY$4,MATCH(1,$AO1348:$AY1348,0)),"Multiple strategies"))</f>
        <v>Silviculture for productivity</v>
      </c>
      <c r="BI1348" s="142" t="s">
        <v>321</v>
      </c>
      <c r="BJ1348" t="s">
        <v>838</v>
      </c>
      <c r="BK1348" s="260" t="s">
        <v>687</v>
      </c>
      <c r="BL1348" s="143" t="s">
        <v>839</v>
      </c>
      <c r="BM1348">
        <f>282+71</f>
        <v>353</v>
      </c>
      <c r="BN1348" s="143">
        <f>111+443</f>
        <v>554</v>
      </c>
      <c r="BO1348" s="163">
        <f>BN1348/BM1348</f>
        <v>1.5694050991501416</v>
      </c>
      <c r="BP1348">
        <f>BN1348-BM1348</f>
        <v>201</v>
      </c>
      <c r="BQ1348" s="159">
        <f>BP1348*t_to_m3</f>
        <v>410.20408163265307</v>
      </c>
      <c r="BR1348" t="s">
        <v>232</v>
      </c>
      <c r="BS1348" s="153" t="s">
        <v>429</v>
      </c>
      <c r="BT1348" t="s">
        <v>830</v>
      </c>
      <c r="BU1348">
        <v>739.44899999999996</v>
      </c>
      <c r="BV1348">
        <v>1150.4580000000001</v>
      </c>
      <c r="BW1348" s="144">
        <f>IFERROR(BV1348/BU1348,"")</f>
        <v>1.5558314366508037</v>
      </c>
      <c r="BX1348">
        <f>BV1348-BU1348</f>
        <v>411.00900000000013</v>
      </c>
      <c r="BZ1348">
        <f>BX1348</f>
        <v>411.00900000000013</v>
      </c>
      <c r="CA1348">
        <f>IFERROR(BZ1348/BQ1348,"")</f>
        <v>1.0019622388059704</v>
      </c>
      <c r="CB1348">
        <v>0</v>
      </c>
      <c r="CC1348">
        <v>0</v>
      </c>
      <c r="CD1348">
        <v>0</v>
      </c>
      <c r="CE1348">
        <v>0</v>
      </c>
      <c r="CF1348">
        <v>0</v>
      </c>
      <c r="CG1348">
        <v>0</v>
      </c>
      <c r="CH1348">
        <v>0</v>
      </c>
      <c r="CI1348">
        <v>0</v>
      </c>
      <c r="CJ1348">
        <v>0</v>
      </c>
      <c r="CK1348">
        <v>0</v>
      </c>
      <c r="CL1348">
        <v>0</v>
      </c>
      <c r="CM1348">
        <v>0</v>
      </c>
      <c r="CN1348">
        <v>0</v>
      </c>
      <c r="CO1348">
        <v>0</v>
      </c>
      <c r="CP1348" t="str">
        <f>IF($BN1348&lt;$BM1348,"refNeedCorrection","refOK")</f>
        <v>refOK</v>
      </c>
      <c r="CQ1348">
        <f>IF($CP1348="refNeedCorrection",BN1348,BM1348)</f>
        <v>353</v>
      </c>
      <c r="CR1348">
        <f>IF($CP1348="refNeedCorrection",BM1348,BN1348)</f>
        <v>554</v>
      </c>
      <c r="CS1348">
        <f>IF($CP1348="refOK",$BQ1348,-$BQ1348)</f>
        <v>410.20408163265307</v>
      </c>
      <c r="CT1348">
        <f>IF(BI1348="Roundwood",$CS1348/2,$CS1348)</f>
        <v>205.10204081632654</v>
      </c>
      <c r="CU1348">
        <f>IF($CP1348="refOK",$BU1348,$BV1348)*IF($BR1348="Emissions positive",-1,1)</f>
        <v>739.44899999999996</v>
      </c>
      <c r="CV1348">
        <f>IF($CP1348="refOK",$BV1348,$BU1348)*IF($BR1348="Emissions positive",-1,1)</f>
        <v>1150.4580000000001</v>
      </c>
      <c r="CW1348">
        <f>IF($CP1348="refNeedCorrection",-BZ1348,BZ1348)*IF($BR1348="Emissions positive",-1,1)</f>
        <v>411.00900000000013</v>
      </c>
      <c r="CX1348">
        <f>IFERROR($CW1348/$CS1348,"")</f>
        <v>1.0019622388059704</v>
      </c>
      <c r="CY1348">
        <f>IFERROR($CW1348/$CS1348,"")</f>
        <v>1.0019622388059704</v>
      </c>
      <c r="CZ1348">
        <f>IFERROR($CW1348/$CT1348,"")</f>
        <v>2.0039244776119407</v>
      </c>
      <c r="DA1348" s="2">
        <f>IFERROR((CV1348-CU1348)/ABS(CU1348),"")</f>
        <v>0.5558314366508037</v>
      </c>
      <c r="DB1348" s="1" t="s">
        <v>234</v>
      </c>
      <c r="DC1348" t="str">
        <f>IF(OR($DB1348="prd",$DB1348="std",$DB1348="cit"),"loc",IF(OR($DB1348="eur",$DB1348="reg",$DB1348="coy"),"reg",$DB1348))</f>
        <v>loc</v>
      </c>
      <c r="DD1348" t="s">
        <v>428</v>
      </c>
      <c r="DE1348">
        <v>2021</v>
      </c>
      <c r="DF1348" s="143">
        <v>2120</v>
      </c>
      <c r="DG1348" s="143">
        <v>100</v>
      </c>
      <c r="DH1348" t="str">
        <f>IF(DG1348=0,"0",IF(AND(DG1348&gt;=1,DG1348&lt;=30),"1-30",IF(AND(DG1348&gt;30,DG1348&lt;=70),"31-70",IF(AND(DG1348&gt;70,DG1348&lt;=100),"71-100",IF(DG1348&gt;100,"+100")))))</f>
        <v>71-100</v>
      </c>
      <c r="DI1348">
        <v>0</v>
      </c>
      <c r="DJ1348">
        <v>1</v>
      </c>
      <c r="DK1348">
        <v>0</v>
      </c>
      <c r="DL1348">
        <v>1</v>
      </c>
      <c r="DN1348">
        <f>SUM(DI1348:DL1348)</f>
        <v>2</v>
      </c>
      <c r="DO1348" t="str">
        <f>IF(DN1348=1,INDEX($DI$7:$DL$7,MATCH(1,$DI1348:$DL1348,0)),"mixedProduct")</f>
        <v>mixedProduct</v>
      </c>
      <c r="DP1348">
        <f>IF(DI1348=1,DP$7,0)</f>
        <v>0</v>
      </c>
      <c r="DQ1348" t="str">
        <f>IF(DJ1348=1,DQ$7,0)</f>
        <v>Energy</v>
      </c>
      <c r="DR1348">
        <f>IF(DK1348=1,DR$7,0)</f>
        <v>0</v>
      </c>
      <c r="DS1348" t="str">
        <f>IF(DL1348=1,DS$7,0)</f>
        <v>Timber</v>
      </c>
      <c r="DT1348">
        <v>0</v>
      </c>
      <c r="DU1348" s="143">
        <v>0</v>
      </c>
      <c r="DV1348" s="143">
        <v>0</v>
      </c>
      <c r="DW1348">
        <v>0</v>
      </c>
      <c r="DX1348" s="143">
        <v>0</v>
      </c>
      <c r="DY1348">
        <f>SUM(DT1348:DU1348)</f>
        <v>0</v>
      </c>
      <c r="DZ1348" s="143" t="str">
        <f>IF(DT1348=1,"self-calculated DF",IF(DU1348=1,"external DF used","explicit C balance"))</f>
        <v>explicit C balance</v>
      </c>
      <c r="EA1348" s="143">
        <v>0</v>
      </c>
      <c r="EB1348" s="143">
        <v>1</v>
      </c>
      <c r="EC1348" s="143">
        <v>1</v>
      </c>
      <c r="ED1348" s="143">
        <v>1</v>
      </c>
      <c r="EE1348">
        <v>1</v>
      </c>
      <c r="EF1348" s="143">
        <v>0</v>
      </c>
      <c r="EG1348" s="143">
        <v>1</v>
      </c>
      <c r="EH1348" s="143">
        <v>1</v>
      </c>
      <c r="EI1348" s="143">
        <v>1</v>
      </c>
      <c r="EJ1348">
        <v>0</v>
      </c>
      <c r="EK1348">
        <v>1</v>
      </c>
      <c r="EL1348" s="143">
        <v>1</v>
      </c>
      <c r="EM1348">
        <v>0</v>
      </c>
      <c r="EN1348" s="2">
        <v>0</v>
      </c>
      <c r="EP1348" t="str">
        <f>IF(AND(AND(AND(OR($EC1348=1,$EB1348=1),OR($EH1348=1,$EF1348=1)),SUM($EA1348:$EE1348,$EK1348)&gt;=3),SUM($EF1348:$EJ1348)&gt;=2),"Whole sector approach","")</f>
        <v>Whole sector approach</v>
      </c>
      <c r="EQ1348" t="str">
        <f>IF(AND(AND(OR($EC1348=1,$EB1348=1),AND($EH1348=0,$EF1348=0)),SUM($EA1348:$EE1348,$EK1348)&gt;=4),"Ecosystem approach","")</f>
        <v/>
      </c>
      <c r="ER1348" s="2" t="str">
        <f>IF(AND(AND(AND($EC1348=0,$EB1348=0),OR($EH1348=1,$EF1348=1)),SUM($EG1348:$EJ1348)&gt;=2),"Technology approach","")</f>
        <v/>
      </c>
      <c r="ES1348" t="str">
        <f>IF(AND($EC1348+$EB1348+$EE1348+$EA1348+$ED1348+$EG1348=0,$N1348="included"),"C neutral forest and HWP assumption","")</f>
        <v/>
      </c>
      <c r="ET1348" t="str">
        <f>IF(AND(AND(AND(AND($EC1348=1,$EB1348+$EA1348+$EG1348&gt;=1),$EF1348=1),$EH1348+$EI1348+$ED1348+$EE1348&gt;=2),$N1348="included"),"All C pools assumption","")</f>
        <v/>
      </c>
      <c r="EU1348" t="str">
        <f>IF(AND($ED1348+$EE1348+$EI1348+$EH1348+$EF1348=0,$N1348="included"),"In-situ only assumption","")</f>
        <v/>
      </c>
      <c r="EV1348" s="328" t="s">
        <v>5065</v>
      </c>
      <c r="EY1348" t="str">
        <f>IF(ISNUMBER(BW1348),IF(ABS(BW1348-[2]QC_indicators!$B$2)&gt;3*[2]QC_indicators!$C$2,"C ratio",IF(ISNUMBER(CA1348),IF(ABS(CA1348-[2]QC_indicators!$B$1)&gt;3*[2]QC_indicators!$C$1,"DF","no"))),IF(ISNUMBER(CA1348),IF(ABS(CA1348-[2]QC_indicators!$B$1)&gt;3*[2]QC_indicators!$C$1,"DF","no")))</f>
        <v>no</v>
      </c>
      <c r="FA1348" t="str">
        <f>IF(LEN($CY1348)=0,"",IF(AND($CY1348&lt;(-0.05),$ES1348="C neutral forest and HWP assumption"),"Cneutral paradox",IF(AND($CY1348&gt;0.05,$EU1348="In-situ only assumption"),"In-situ only paradox","")))</f>
        <v/>
      </c>
      <c r="FB1348" t="s">
        <v>831</v>
      </c>
      <c r="FD1348" s="260" t="s">
        <v>2827</v>
      </c>
    </row>
    <row r="1349" spans="1:160" ht="15" hidden="1" customHeight="1">
      <c r="A1349" s="1" t="s">
        <v>819</v>
      </c>
      <c r="B1349" t="s">
        <v>820</v>
      </c>
      <c r="C1349" t="s">
        <v>821</v>
      </c>
      <c r="D1349" t="s">
        <v>822</v>
      </c>
      <c r="E1349" t="s">
        <v>823</v>
      </c>
      <c r="F1349" t="s">
        <v>824</v>
      </c>
      <c r="G1349" t="s">
        <v>825</v>
      </c>
      <c r="H1349" t="s">
        <v>254</v>
      </c>
      <c r="I1349">
        <v>2020</v>
      </c>
      <c r="J1349">
        <v>5</v>
      </c>
      <c r="K1349" t="s">
        <v>826</v>
      </c>
      <c r="M1349" t="str">
        <f>LEFT($D1349,FIND(",",$D1349)-1)&amp;"_"&amp;I1349&amp;L1349</f>
        <v>Lan_2020</v>
      </c>
      <c r="N1349" t="s">
        <v>222</v>
      </c>
      <c r="O1349" s="145" t="s">
        <v>225</v>
      </c>
      <c r="Q1349" t="s">
        <v>256</v>
      </c>
      <c r="R1349" s="258" t="s">
        <v>223</v>
      </c>
      <c r="S1349" s="1" t="s">
        <v>95</v>
      </c>
      <c r="T1349" t="s">
        <v>828</v>
      </c>
      <c r="U1349" t="s">
        <v>834</v>
      </c>
      <c r="V1349" s="253">
        <v>0</v>
      </c>
      <c r="W1349" s="253">
        <v>0</v>
      </c>
      <c r="X1349">
        <v>0</v>
      </c>
      <c r="Y1349">
        <v>0</v>
      </c>
      <c r="Z1349">
        <v>0</v>
      </c>
      <c r="AA1349">
        <v>0</v>
      </c>
      <c r="AB1349">
        <v>0</v>
      </c>
      <c r="AC1349">
        <v>0</v>
      </c>
      <c r="AD1349">
        <v>0</v>
      </c>
      <c r="AE1349">
        <v>1</v>
      </c>
      <c r="AF1349">
        <v>0</v>
      </c>
      <c r="AG1349">
        <v>0</v>
      </c>
      <c r="AH1349">
        <v>0</v>
      </c>
      <c r="AI1349">
        <v>0</v>
      </c>
      <c r="AJ1349">
        <v>0</v>
      </c>
      <c r="AK1349">
        <v>0</v>
      </c>
      <c r="AL1349">
        <v>0</v>
      </c>
      <c r="AM1349">
        <v>0</v>
      </c>
      <c r="AN1349">
        <v>0</v>
      </c>
      <c r="AO1349">
        <v>0</v>
      </c>
      <c r="AP1349">
        <v>0</v>
      </c>
      <c r="AQ1349">
        <v>0</v>
      </c>
      <c r="AR1349">
        <v>0</v>
      </c>
      <c r="AS1349">
        <v>0</v>
      </c>
      <c r="AT1349">
        <v>0</v>
      </c>
      <c r="AU1349">
        <v>0</v>
      </c>
      <c r="AV1349">
        <v>0</v>
      </c>
      <c r="AW1349">
        <v>0</v>
      </c>
      <c r="AX1349">
        <v>0</v>
      </c>
      <c r="AY1349">
        <v>0</v>
      </c>
      <c r="AZ1349" s="141">
        <f>COUNTIF(X1349:AY1349,"&lt;&gt;0")</f>
        <v>1</v>
      </c>
      <c r="BA1349" s="141">
        <f>COUNTIF(X1349:AN1349,"&lt;&gt;0")</f>
        <v>1</v>
      </c>
      <c r="BB1349">
        <f>COUNTIF(X1349:AE1349,"&lt;&gt;0")</f>
        <v>1</v>
      </c>
      <c r="BC1349">
        <f>COUNTIF(AF1349:AK1349,"&lt;&gt;0")</f>
        <v>0</v>
      </c>
      <c r="BD1349">
        <f>COUNTIF(AL1349:AN1349,"&lt;&gt;0")</f>
        <v>0</v>
      </c>
      <c r="BE1349">
        <f>COUNTIF(AU1349:AY1349,"&lt;&gt;0")</f>
        <v>0</v>
      </c>
      <c r="BF1349">
        <f>COUNTIF(AO1349:AT1349,"&lt;&gt;0")</f>
        <v>0</v>
      </c>
      <c r="BG1349" t="str">
        <f t="array" ref="BG1349">IF(BA1349=1,INDEX($X$7:$AN$7,MATCH(TRUE,INDEX($X1349:$AY1349&lt;&gt;0,),0)),IF(BA1349=0,INDEX($AO$7:$AY$7,MATCH(1,$AO1349:$AY1349,0)),IF(BH1349="Multiple strategies","mixed drivers",IF(BH1349="Supply chain","multiple supply","multiple silviculture"))))</f>
        <v>site fertility</v>
      </c>
      <c r="BH1349" s="2" t="str" cm="1">
        <f t="array" ref="BH1349">IF(COUNTIF(BB1349:BD1349,"&lt;&gt;0")=1,INDEX($X$4:$AY$4,MATCH(TRUE,INDEX($X1349:$AY1349&lt;&gt;0,),0)),IF(COUNTIF(BB1349:BD1349,"&lt;&gt;0")=0,INDEX($AO$4:$AY$4,MATCH(1,$AO1349:$AY1349,0)),"Multiple strategies"))</f>
        <v>Silviculture for productivity</v>
      </c>
      <c r="BI1349" s="142" t="s">
        <v>321</v>
      </c>
      <c r="BJ1349" t="s">
        <v>838</v>
      </c>
      <c r="BK1349" s="260" t="s">
        <v>687</v>
      </c>
      <c r="BL1349" s="143" t="s">
        <v>839</v>
      </c>
      <c r="BM1349">
        <f>282+71</f>
        <v>353</v>
      </c>
      <c r="BN1349" s="143">
        <f>111+443</f>
        <v>554</v>
      </c>
      <c r="BO1349" s="163">
        <f>BN1349/BM1349</f>
        <v>1.5694050991501416</v>
      </c>
      <c r="BP1349">
        <f>BN1349-BM1349</f>
        <v>201</v>
      </c>
      <c r="BQ1349" s="159">
        <f>BP1349*t_to_m3</f>
        <v>410.20408163265307</v>
      </c>
      <c r="BR1349" t="s">
        <v>232</v>
      </c>
      <c r="BS1349" s="153" t="s">
        <v>429</v>
      </c>
      <c r="BT1349" t="s">
        <v>830</v>
      </c>
      <c r="BU1349">
        <v>726.60500000000002</v>
      </c>
      <c r="BV1349">
        <v>1124.77</v>
      </c>
      <c r="BW1349" s="144">
        <f>IFERROR(BV1349/BU1349,"")</f>
        <v>1.5479799891275177</v>
      </c>
      <c r="BX1349">
        <f>BV1349-BU1349</f>
        <v>398.16499999999996</v>
      </c>
      <c r="BZ1349">
        <f>BX1349</f>
        <v>398.16499999999996</v>
      </c>
      <c r="CA1349">
        <f>IFERROR(BZ1349/BQ1349,"")</f>
        <v>0.97065099502487551</v>
      </c>
      <c r="CB1349">
        <v>0</v>
      </c>
      <c r="CC1349">
        <v>0</v>
      </c>
      <c r="CD1349">
        <v>0</v>
      </c>
      <c r="CE1349">
        <v>0</v>
      </c>
      <c r="CF1349">
        <v>0</v>
      </c>
      <c r="CG1349">
        <v>0</v>
      </c>
      <c r="CH1349">
        <v>0</v>
      </c>
      <c r="CI1349">
        <v>0</v>
      </c>
      <c r="CJ1349">
        <v>0</v>
      </c>
      <c r="CK1349">
        <v>0</v>
      </c>
      <c r="CL1349">
        <v>0</v>
      </c>
      <c r="CM1349">
        <v>0</v>
      </c>
      <c r="CN1349">
        <v>0</v>
      </c>
      <c r="CO1349">
        <v>0</v>
      </c>
      <c r="CP1349" t="str">
        <f>IF($BN1349&lt;$BM1349,"refNeedCorrection","refOK")</f>
        <v>refOK</v>
      </c>
      <c r="CQ1349">
        <f>IF($CP1349="refNeedCorrection",BN1349,BM1349)</f>
        <v>353</v>
      </c>
      <c r="CR1349">
        <f>IF($CP1349="refNeedCorrection",BM1349,BN1349)</f>
        <v>554</v>
      </c>
      <c r="CS1349">
        <f>IF($CP1349="refOK",$BQ1349,-$BQ1349)</f>
        <v>410.20408163265307</v>
      </c>
      <c r="CT1349">
        <f>IF(BI1349="Roundwood",$CS1349/2,$CS1349)</f>
        <v>205.10204081632654</v>
      </c>
      <c r="CU1349">
        <f>IF($CP1349="refOK",$BU1349,$BV1349)*IF($BR1349="Emissions positive",-1,1)</f>
        <v>726.60500000000002</v>
      </c>
      <c r="CV1349">
        <f>IF($CP1349="refOK",$BV1349,$BU1349)*IF($BR1349="Emissions positive",-1,1)</f>
        <v>1124.77</v>
      </c>
      <c r="CW1349">
        <f>IF($CP1349="refNeedCorrection",-BZ1349,BZ1349)*IF($BR1349="Emissions positive",-1,1)</f>
        <v>398.16499999999996</v>
      </c>
      <c r="CX1349">
        <f>IFERROR($CW1349/$CS1349,"")</f>
        <v>0.97065099502487551</v>
      </c>
      <c r="CY1349">
        <f>IFERROR($CW1349/$CS1349,"")</f>
        <v>0.97065099502487551</v>
      </c>
      <c r="CZ1349">
        <f>IFERROR($CW1349/$CT1349,"")</f>
        <v>1.941301990049751</v>
      </c>
      <c r="DA1349" s="2">
        <f>IFERROR((CV1349-CU1349)/ABS(CU1349),"")</f>
        <v>0.54797998912751766</v>
      </c>
      <c r="DB1349" s="1" t="s">
        <v>234</v>
      </c>
      <c r="DC1349" t="str">
        <f>IF(OR($DB1349="prd",$DB1349="std",$DB1349="cit"),"loc",IF(OR($DB1349="eur",$DB1349="reg",$DB1349="coy"),"reg",$DB1349))</f>
        <v>loc</v>
      </c>
      <c r="DD1349" t="s">
        <v>428</v>
      </c>
      <c r="DE1349">
        <v>2021</v>
      </c>
      <c r="DF1349" s="143">
        <v>2120</v>
      </c>
      <c r="DG1349" s="143">
        <v>100</v>
      </c>
      <c r="DH1349" t="str">
        <f>IF(DG1349=0,"0",IF(AND(DG1349&gt;=1,DG1349&lt;=30),"1-30",IF(AND(DG1349&gt;30,DG1349&lt;=70),"31-70",IF(AND(DG1349&gt;70,DG1349&lt;=100),"71-100",IF(DG1349&gt;100,"+100")))))</f>
        <v>71-100</v>
      </c>
      <c r="DI1349">
        <v>0</v>
      </c>
      <c r="DJ1349">
        <v>1</v>
      </c>
      <c r="DK1349">
        <v>0</v>
      </c>
      <c r="DL1349">
        <v>1</v>
      </c>
      <c r="DN1349">
        <f>SUM(DI1349:DL1349)</f>
        <v>2</v>
      </c>
      <c r="DO1349" t="str">
        <f>IF(DN1349=1,INDEX($DI$7:$DL$7,MATCH(1,$DI1349:$DL1349,0)),"mixedProduct")</f>
        <v>mixedProduct</v>
      </c>
      <c r="DP1349">
        <f>IF(DI1349=1,DP$7,0)</f>
        <v>0</v>
      </c>
      <c r="DQ1349" t="str">
        <f>IF(DJ1349=1,DQ$7,0)</f>
        <v>Energy</v>
      </c>
      <c r="DR1349">
        <f>IF(DK1349=1,DR$7,0)</f>
        <v>0</v>
      </c>
      <c r="DS1349" t="str">
        <f>IF(DL1349=1,DS$7,0)</f>
        <v>Timber</v>
      </c>
      <c r="DT1349">
        <v>0</v>
      </c>
      <c r="DU1349" s="143">
        <v>0</v>
      </c>
      <c r="DV1349" s="143">
        <v>0</v>
      </c>
      <c r="DW1349">
        <v>0</v>
      </c>
      <c r="DX1349" s="143">
        <v>0</v>
      </c>
      <c r="DY1349">
        <f>SUM(DT1349:DU1349)</f>
        <v>0</v>
      </c>
      <c r="DZ1349" s="143" t="str">
        <f>IF(DT1349=1,"self-calculated DF",IF(DU1349=1,"external DF used","explicit C balance"))</f>
        <v>explicit C balance</v>
      </c>
      <c r="EA1349" s="143">
        <v>0</v>
      </c>
      <c r="EB1349" s="143">
        <v>1</v>
      </c>
      <c r="EC1349" s="143">
        <v>1</v>
      </c>
      <c r="ED1349" s="143">
        <v>1</v>
      </c>
      <c r="EE1349">
        <v>1</v>
      </c>
      <c r="EF1349" s="143">
        <v>0</v>
      </c>
      <c r="EG1349" s="143">
        <v>1</v>
      </c>
      <c r="EH1349" s="143">
        <v>1</v>
      </c>
      <c r="EI1349" s="143">
        <v>1</v>
      </c>
      <c r="EJ1349">
        <v>0</v>
      </c>
      <c r="EK1349">
        <v>1</v>
      </c>
      <c r="EL1349" s="143">
        <v>1</v>
      </c>
      <c r="EM1349">
        <v>0</v>
      </c>
      <c r="EN1349" s="2">
        <v>0</v>
      </c>
      <c r="EP1349" t="str">
        <f>IF(AND(AND(AND(OR($EC1349=1,$EB1349=1),OR($EH1349=1,$EF1349=1)),SUM($EA1349:$EE1349,$EK1349)&gt;=3),SUM($EF1349:$EJ1349)&gt;=2),"Whole sector approach","")</f>
        <v>Whole sector approach</v>
      </c>
      <c r="EQ1349" t="str">
        <f>IF(AND(AND(OR($EC1349=1,$EB1349=1),AND($EH1349=0,$EF1349=0)),SUM($EA1349:$EE1349,$EK1349)&gt;=4),"Ecosystem approach","")</f>
        <v/>
      </c>
      <c r="ER1349" s="2" t="str">
        <f>IF(AND(AND(AND($EC1349=0,$EB1349=0),OR($EH1349=1,$EF1349=1)),SUM($EG1349:$EJ1349)&gt;=2),"Technology approach","")</f>
        <v/>
      </c>
      <c r="ES1349" t="str">
        <f>IF(AND($EC1349+$EB1349+$EE1349+$EA1349+$ED1349+$EG1349=0,$N1349="included"),"C neutral forest and HWP assumption","")</f>
        <v/>
      </c>
      <c r="ET1349" t="str">
        <f>IF(AND(AND(AND(AND($EC1349=1,$EB1349+$EA1349+$EG1349&gt;=1),$EF1349=1),$EH1349+$EI1349+$ED1349+$EE1349&gt;=2),$N1349="included"),"All C pools assumption","")</f>
        <v/>
      </c>
      <c r="EU1349" t="str">
        <f>IF(AND($ED1349+$EE1349+$EI1349+$EH1349+$EF1349=0,$N1349="included"),"In-situ only assumption","")</f>
        <v/>
      </c>
      <c r="EV1349" s="328" t="s">
        <v>5065</v>
      </c>
      <c r="EY1349" t="str">
        <f>IF(ISNUMBER(BW1349),IF(ABS(BW1349-[2]QC_indicators!$B$2)&gt;3*[2]QC_indicators!$C$2,"C ratio",IF(ISNUMBER(CA1349),IF(ABS(CA1349-[2]QC_indicators!$B$1)&gt;3*[2]QC_indicators!$C$1,"DF","no"))),IF(ISNUMBER(CA1349),IF(ABS(CA1349-[2]QC_indicators!$B$1)&gt;3*[2]QC_indicators!$C$1,"DF","no")))</f>
        <v>no</v>
      </c>
      <c r="FA1349" t="str">
        <f>IF(LEN($CY1349)=0,"",IF(AND($CY1349&lt;(-0.05),$ES1349="C neutral forest and HWP assumption"),"Cneutral paradox",IF(AND($CY1349&gt;0.05,$EU1349="In-situ only assumption"),"In-situ only paradox","")))</f>
        <v/>
      </c>
      <c r="FB1349" t="s">
        <v>831</v>
      </c>
      <c r="FD1349" s="260" t="s">
        <v>2827</v>
      </c>
    </row>
    <row r="1350" spans="1:160" ht="15" hidden="1" customHeight="1">
      <c r="A1350" s="1" t="s">
        <v>819</v>
      </c>
      <c r="B1350" t="s">
        <v>820</v>
      </c>
      <c r="C1350" t="s">
        <v>821</v>
      </c>
      <c r="D1350" t="s">
        <v>822</v>
      </c>
      <c r="E1350" t="s">
        <v>823</v>
      </c>
      <c r="F1350" t="s">
        <v>824</v>
      </c>
      <c r="G1350" t="s">
        <v>825</v>
      </c>
      <c r="H1350" t="s">
        <v>254</v>
      </c>
      <c r="I1350">
        <v>2020</v>
      </c>
      <c r="J1350">
        <v>5</v>
      </c>
      <c r="K1350" t="s">
        <v>826</v>
      </c>
      <c r="M1350" t="str">
        <f>LEFT($D1350,FIND(",",$D1350)-1)&amp;"_"&amp;I1350&amp;L1350</f>
        <v>Lan_2020</v>
      </c>
      <c r="N1350" t="s">
        <v>222</v>
      </c>
      <c r="O1350" s="145" t="s">
        <v>225</v>
      </c>
      <c r="Q1350" t="s">
        <v>256</v>
      </c>
      <c r="R1350" s="258" t="s">
        <v>223</v>
      </c>
      <c r="S1350" s="1" t="s">
        <v>827</v>
      </c>
      <c r="T1350" t="s">
        <v>832</v>
      </c>
      <c r="U1350" t="s">
        <v>833</v>
      </c>
      <c r="V1350" s="253">
        <v>0</v>
      </c>
      <c r="W1350" s="253">
        <v>0</v>
      </c>
      <c r="X1350">
        <v>0</v>
      </c>
      <c r="Y1350">
        <v>0</v>
      </c>
      <c r="Z1350">
        <v>0</v>
      </c>
      <c r="AA1350">
        <v>0</v>
      </c>
      <c r="AB1350">
        <v>0</v>
      </c>
      <c r="AC1350">
        <v>0</v>
      </c>
      <c r="AD1350">
        <v>0</v>
      </c>
      <c r="AE1350">
        <v>0</v>
      </c>
      <c r="AF1350">
        <v>0</v>
      </c>
      <c r="AG1350">
        <v>0</v>
      </c>
      <c r="AH1350">
        <v>0</v>
      </c>
      <c r="AI1350">
        <v>0</v>
      </c>
      <c r="AJ1350">
        <v>1</v>
      </c>
      <c r="AK1350">
        <v>0</v>
      </c>
      <c r="AL1350">
        <v>0</v>
      </c>
      <c r="AM1350">
        <v>0</v>
      </c>
      <c r="AN1350">
        <v>0</v>
      </c>
      <c r="AO1350">
        <v>0</v>
      </c>
      <c r="AP1350">
        <v>0</v>
      </c>
      <c r="AQ1350">
        <v>0</v>
      </c>
      <c r="AR1350">
        <v>0</v>
      </c>
      <c r="AS1350">
        <v>0</v>
      </c>
      <c r="AT1350">
        <v>0</v>
      </c>
      <c r="AU1350">
        <v>0</v>
      </c>
      <c r="AV1350">
        <v>0</v>
      </c>
      <c r="AW1350">
        <v>0</v>
      </c>
      <c r="AX1350">
        <v>0</v>
      </c>
      <c r="AY1350">
        <v>0</v>
      </c>
      <c r="AZ1350" s="141">
        <f>COUNTIF(X1350:AY1350,"&lt;&gt;0")</f>
        <v>1</v>
      </c>
      <c r="BA1350" s="141">
        <f>COUNTIF(X1350:AN1350,"&lt;&gt;0")</f>
        <v>1</v>
      </c>
      <c r="BB1350">
        <f>COUNTIF(X1350:AE1350,"&lt;&gt;0")</f>
        <v>0</v>
      </c>
      <c r="BC1350">
        <f>COUNTIF(AF1350:AK1350,"&lt;&gt;0")</f>
        <v>1</v>
      </c>
      <c r="BD1350">
        <f>COUNTIF(AL1350:AN1350,"&lt;&gt;0")</f>
        <v>0</v>
      </c>
      <c r="BE1350">
        <f>COUNTIF(AU1350:AY1350,"&lt;&gt;0")</f>
        <v>0</v>
      </c>
      <c r="BF1350">
        <f>COUNTIF(AO1350:AT1350,"&lt;&gt;0")</f>
        <v>0</v>
      </c>
      <c r="BG1350" t="str">
        <f t="array" ref="BG1350">IF(BA1350=1,INDEX($X$7:$AN$7,MATCH(TRUE,INDEX($X1350:$AY1350&lt;&gt;0,),0)),IF(BA1350=0,INDEX($AO$7:$AY$7,MATCH(1,$AO1350:$AY1350,0)),IF(BH1350="Multiple strategies","mixed drivers",IF(BH1350="Supply chain","multiple supply","multiple silviculture"))))</f>
        <v xml:space="preserve">end of life disposal </v>
      </c>
      <c r="BH1350" s="2" t="str" cm="1">
        <f t="array" ref="BH1350">IF(COUNTIF(BB1350:BD1350,"&lt;&gt;0")=1,INDEX($X$4:$AY$4,MATCH(TRUE,INDEX($X1350:$AY1350&lt;&gt;0,),0)),IF(COUNTIF(BB1350:BD1350,"&lt;&gt;0")=0,INDEX($AO$4:$AY$4,MATCH(1,$AO1350:$AY1350,0)),"Multiple strategies"))</f>
        <v>Supply chain</v>
      </c>
      <c r="BI1350" s="142"/>
      <c r="BL1350" s="143"/>
      <c r="BN1350" s="143"/>
      <c r="BO1350" s="163"/>
      <c r="BP1350" s="158"/>
      <c r="BQ1350" s="143"/>
      <c r="BR1350" t="s">
        <v>232</v>
      </c>
      <c r="BS1350" s="153" t="s">
        <v>429</v>
      </c>
      <c r="BT1350" t="s">
        <v>830</v>
      </c>
      <c r="BU1350">
        <v>816.51300000000003</v>
      </c>
      <c r="BV1350">
        <v>829.35699999999997</v>
      </c>
      <c r="BW1350" s="144">
        <f>IFERROR(BV1350/BU1350,"")</f>
        <v>1.0157303068046681</v>
      </c>
      <c r="BX1350">
        <f>BV1350-BU1350</f>
        <v>12.843999999999937</v>
      </c>
      <c r="BZ1350">
        <f>BX1350</f>
        <v>12.843999999999937</v>
      </c>
      <c r="CA1350" t="str">
        <f>IFERROR(BZ1350/BQ1350,"")</f>
        <v/>
      </c>
      <c r="CB1350">
        <v>0</v>
      </c>
      <c r="CC1350">
        <v>0</v>
      </c>
      <c r="CD1350">
        <v>0</v>
      </c>
      <c r="CE1350">
        <v>0</v>
      </c>
      <c r="CF1350">
        <v>0</v>
      </c>
      <c r="CG1350">
        <v>0</v>
      </c>
      <c r="CH1350">
        <v>0</v>
      </c>
      <c r="CI1350">
        <v>0</v>
      </c>
      <c r="CJ1350">
        <v>0</v>
      </c>
      <c r="CK1350">
        <v>0</v>
      </c>
      <c r="CL1350">
        <v>0</v>
      </c>
      <c r="CM1350">
        <v>0</v>
      </c>
      <c r="CN1350">
        <v>0</v>
      </c>
      <c r="CO1350">
        <v>0</v>
      </c>
      <c r="CP1350" t="str">
        <f>IF(BN1350&lt;BM1350,"refNeedCorrection","refOK")</f>
        <v>refOK</v>
      </c>
      <c r="CQ1350"/>
      <c r="CR1350"/>
      <c r="CS1350"/>
      <c r="CT1350">
        <f>IF(BI1350="Roundwood",$CS1350/2,$CS1350)</f>
        <v>0</v>
      </c>
      <c r="CU1350">
        <f>IF($CP1350="refOK",$BU1350,$BV1350)*IF($BR1350="Emissions positive",-1,1)</f>
        <v>816.51300000000003</v>
      </c>
      <c r="CV1350">
        <f>IF($CP1350="refOK",$BV1350,$BU1350)*IF($BR1350="Emissions positive",-1,1)</f>
        <v>829.35699999999997</v>
      </c>
      <c r="CW1350">
        <f>IF($CP1350="refNeedCorrection",-BZ1350,BZ1350)*IF($BR1350="Emissions positive",-1,1)</f>
        <v>12.843999999999937</v>
      </c>
      <c r="CX1350" t="str">
        <f>IFERROR($CW1350/$CS1350,"")</f>
        <v/>
      </c>
      <c r="CY1350" t="str">
        <f>IFERROR($CW1350/$CS1350,"")</f>
        <v/>
      </c>
      <c r="CZ1350" t="str">
        <f>IFERROR($CW1350/$CT1350,"")</f>
        <v/>
      </c>
      <c r="DA1350" s="2">
        <f>IFERROR((CV1350-CU1350)/ABS(CU1350),"")</f>
        <v>1.5730306804668068E-2</v>
      </c>
      <c r="DB1350" s="1" t="s">
        <v>234</v>
      </c>
      <c r="DC1350" t="str">
        <f>IF(OR($DB1350="prd",$DB1350="std",$DB1350="cit"),"loc",IF(OR($DB1350="eur",$DB1350="reg",$DB1350="coy"),"reg",$DB1350))</f>
        <v>loc</v>
      </c>
      <c r="DD1350" t="s">
        <v>428</v>
      </c>
      <c r="DE1350">
        <v>2021</v>
      </c>
      <c r="DF1350" s="143">
        <v>2120</v>
      </c>
      <c r="DG1350" s="143">
        <v>100</v>
      </c>
      <c r="DH1350" t="str">
        <f>IF(DG1350=0,"0",IF(AND(DG1350&gt;=1,DG1350&lt;=30),"1-30",IF(AND(DG1350&gt;30,DG1350&lt;=70),"31-70",IF(AND(DG1350&gt;70,DG1350&lt;=100),"71-100",IF(DG1350&gt;100,"+100")))))</f>
        <v>71-100</v>
      </c>
      <c r="DI1350">
        <v>1</v>
      </c>
      <c r="DJ1350">
        <v>1</v>
      </c>
      <c r="DK1350">
        <v>0</v>
      </c>
      <c r="DL1350">
        <v>1</v>
      </c>
      <c r="DN1350">
        <f>SUM(DI1350:DL1350)</f>
        <v>3</v>
      </c>
      <c r="DO1350" t="str">
        <f>IF(DN1350=1,INDEX($DI$7:$DL$7,MATCH(1,$DI1350:$DL1350,0)),"mixedProduct")</f>
        <v>mixedProduct</v>
      </c>
      <c r="DP1350" t="str">
        <f>IF(DI1350=1,DP$7,0)</f>
        <v>Upstream</v>
      </c>
      <c r="DQ1350" t="str">
        <f>IF(DJ1350=1,DQ$7,0)</f>
        <v>Energy</v>
      </c>
      <c r="DR1350">
        <f>IF(DK1350=1,DR$7,0)</f>
        <v>0</v>
      </c>
      <c r="DS1350" t="str">
        <f>IF(DL1350=1,DS$7,0)</f>
        <v>Timber</v>
      </c>
      <c r="DT1350">
        <v>0</v>
      </c>
      <c r="DU1350" s="143">
        <v>0</v>
      </c>
      <c r="DV1350" s="143">
        <v>0</v>
      </c>
      <c r="DW1350">
        <v>0</v>
      </c>
      <c r="DX1350" s="143">
        <v>0</v>
      </c>
      <c r="DY1350">
        <f>SUM(DT1350:DU1350)</f>
        <v>0</v>
      </c>
      <c r="DZ1350" s="143" t="str">
        <f>IF(DT1350=1,"self-calculated DF",IF(DU1350=1,"external DF used","explicit C balance"))</f>
        <v>explicit C balance</v>
      </c>
      <c r="EA1350" s="143">
        <v>0</v>
      </c>
      <c r="EB1350" s="143">
        <v>1</v>
      </c>
      <c r="EC1350" s="143">
        <v>1</v>
      </c>
      <c r="ED1350" s="143">
        <v>1</v>
      </c>
      <c r="EE1350">
        <v>1</v>
      </c>
      <c r="EF1350" s="143">
        <v>0</v>
      </c>
      <c r="EG1350" s="143">
        <v>1</v>
      </c>
      <c r="EH1350" s="143">
        <v>1</v>
      </c>
      <c r="EI1350" s="143">
        <v>1</v>
      </c>
      <c r="EJ1350">
        <v>0</v>
      </c>
      <c r="EK1350">
        <v>1</v>
      </c>
      <c r="EL1350" s="143">
        <v>1</v>
      </c>
      <c r="EM1350">
        <v>0</v>
      </c>
      <c r="EN1350" s="2">
        <v>0</v>
      </c>
      <c r="EP1350" t="str">
        <f>IF(AND(AND(AND(OR($EC1350=1,$EB1350=1),OR($EH1350=1,$EF1350=1)),SUM($EA1350:$EE1350,$EK1350)&gt;=3),SUM($EF1350:$EJ1350)&gt;=2),"Whole sector approach","")</f>
        <v>Whole sector approach</v>
      </c>
      <c r="EQ1350" t="str">
        <f>IF(AND(AND(OR($EC1350=1,$EB1350=1),AND($EH1350=0,$EF1350=0)),SUM($EA1350:$EE1350,$EK1350)&gt;=4),"Ecosystem approach","")</f>
        <v/>
      </c>
      <c r="ER1350" s="2" t="str">
        <f>IF(AND(AND(AND($EC1350=0,$EB1350=0),OR($EH1350=1,$EF1350=1)),SUM($EG1350:$EJ1350)&gt;=2),"Technology approach","")</f>
        <v/>
      </c>
      <c r="ES1350" t="str">
        <f>IF(AND($EC1350+$EB1350+$EE1350+$EA1350+$ED1350+$EG1350=0,$N1350="included"),"C neutral forest and HWP assumption","")</f>
        <v/>
      </c>
      <c r="ET1350" t="str">
        <f>IF(AND(AND(AND(AND($EC1350=1,$EB1350+$EA1350+$EG1350&gt;=1),$EF1350=1),$EH1350+$EI1350+$ED1350+$EE1350&gt;=2),$N1350="included"),"All C pools assumption","")</f>
        <v/>
      </c>
      <c r="EU1350" t="str">
        <f>IF(AND($ED1350+$EE1350+$EI1350+$EH1350+$EF1350=0,$N1350="included"),"In-situ only assumption","")</f>
        <v/>
      </c>
      <c r="EV1350" s="328" t="s">
        <v>5065</v>
      </c>
      <c r="EY1350" t="b">
        <f>IF(ISNUMBER(BW1350),IF(ABS(BW1350-[2]QC_indicators!$B$2)&gt;3*[2]QC_indicators!$C$2,"C ratio",IF(ISNUMBER(CA1350),IF(ABS(CA1350-[2]QC_indicators!$B$1)&gt;3*[2]QC_indicators!$C$1,"DF","no"))),IF(ISNUMBER(CA1350),IF(ABS(CA1350-[2]QC_indicators!$B$1)&gt;3*[2]QC_indicators!$C$1,"DF","no")))</f>
        <v>0</v>
      </c>
      <c r="FA1350" t="str">
        <f>IF(LEN($CY1350)=0,"",IF(AND($CY1350&lt;(-0.05),$ES1350="C neutral forest and HWP assumption"),"Cneutral paradox",IF(AND($CY1350&gt;0.05,$EU1350="In-situ only assumption"),"In-situ only paradox","")))</f>
        <v/>
      </c>
      <c r="FB1350" t="s">
        <v>831</v>
      </c>
      <c r="FD1350" s="260" t="s">
        <v>2827</v>
      </c>
    </row>
    <row r="1351" spans="1:160" ht="15" hidden="1" customHeight="1">
      <c r="A1351" s="1" t="s">
        <v>819</v>
      </c>
      <c r="B1351" t="s">
        <v>820</v>
      </c>
      <c r="C1351" t="s">
        <v>821</v>
      </c>
      <c r="D1351" t="s">
        <v>822</v>
      </c>
      <c r="E1351" t="s">
        <v>823</v>
      </c>
      <c r="F1351" t="s">
        <v>824</v>
      </c>
      <c r="G1351" t="s">
        <v>825</v>
      </c>
      <c r="H1351" t="s">
        <v>254</v>
      </c>
      <c r="I1351">
        <v>2020</v>
      </c>
      <c r="J1351">
        <v>5</v>
      </c>
      <c r="K1351" t="s">
        <v>826</v>
      </c>
      <c r="M1351" t="str">
        <f>LEFT($D1351,FIND(",",$D1351)-1)&amp;"_"&amp;I1351&amp;L1351</f>
        <v>Lan_2020</v>
      </c>
      <c r="N1351" t="s">
        <v>222</v>
      </c>
      <c r="O1351" s="145" t="s">
        <v>225</v>
      </c>
      <c r="Q1351" t="s">
        <v>256</v>
      </c>
      <c r="R1351" s="258" t="s">
        <v>223</v>
      </c>
      <c r="S1351" s="1" t="s">
        <v>827</v>
      </c>
      <c r="T1351" t="s">
        <v>828</v>
      </c>
      <c r="U1351" t="s">
        <v>829</v>
      </c>
      <c r="V1351" s="253">
        <v>0</v>
      </c>
      <c r="W1351" s="253">
        <v>0</v>
      </c>
      <c r="X1351">
        <v>0</v>
      </c>
      <c r="Y1351">
        <v>0</v>
      </c>
      <c r="Z1351">
        <v>0</v>
      </c>
      <c r="AA1351">
        <v>0</v>
      </c>
      <c r="AB1351">
        <v>0</v>
      </c>
      <c r="AC1351">
        <v>0</v>
      </c>
      <c r="AD1351">
        <v>0</v>
      </c>
      <c r="AE1351">
        <v>0</v>
      </c>
      <c r="AF1351">
        <v>0</v>
      </c>
      <c r="AG1351">
        <v>0</v>
      </c>
      <c r="AH1351">
        <v>0</v>
      </c>
      <c r="AI1351">
        <v>0</v>
      </c>
      <c r="AJ1351">
        <v>1</v>
      </c>
      <c r="AK1351">
        <v>0</v>
      </c>
      <c r="AL1351">
        <v>0</v>
      </c>
      <c r="AM1351">
        <v>0</v>
      </c>
      <c r="AN1351">
        <v>0</v>
      </c>
      <c r="AO1351">
        <v>0</v>
      </c>
      <c r="AP1351">
        <v>0</v>
      </c>
      <c r="AQ1351">
        <v>0</v>
      </c>
      <c r="AR1351">
        <v>0</v>
      </c>
      <c r="AS1351">
        <v>0</v>
      </c>
      <c r="AT1351">
        <v>0</v>
      </c>
      <c r="AU1351">
        <v>0</v>
      </c>
      <c r="AV1351">
        <v>0</v>
      </c>
      <c r="AW1351">
        <v>0</v>
      </c>
      <c r="AX1351">
        <v>0</v>
      </c>
      <c r="AY1351">
        <v>0</v>
      </c>
      <c r="AZ1351" s="141">
        <f>COUNTIF(X1351:AY1351,"&lt;&gt;0")</f>
        <v>1</v>
      </c>
      <c r="BA1351" s="141">
        <f>COUNTIF(X1351:AN1351,"&lt;&gt;0")</f>
        <v>1</v>
      </c>
      <c r="BB1351">
        <f>COUNTIF(X1351:AE1351,"&lt;&gt;0")</f>
        <v>0</v>
      </c>
      <c r="BC1351">
        <f>COUNTIF(AF1351:AK1351,"&lt;&gt;0")</f>
        <v>1</v>
      </c>
      <c r="BD1351">
        <f>COUNTIF(AL1351:AN1351,"&lt;&gt;0")</f>
        <v>0</v>
      </c>
      <c r="BE1351">
        <f>COUNTIF(AU1351:AY1351,"&lt;&gt;0")</f>
        <v>0</v>
      </c>
      <c r="BF1351">
        <f>COUNTIF(AO1351:AT1351,"&lt;&gt;0")</f>
        <v>0</v>
      </c>
      <c r="BG1351" t="str">
        <f t="array" ref="BG1351">IF(BA1351=1,INDEX($X$7:$AN$7,MATCH(TRUE,INDEX($X1351:$AY1351&lt;&gt;0,),0)),IF(BA1351=0,INDEX($AO$7:$AY$7,MATCH(1,$AO1351:$AY1351,0)),IF(BH1351="Multiple strategies","mixed drivers",IF(BH1351="Supply chain","multiple supply","multiple silviculture"))))</f>
        <v xml:space="preserve">end of life disposal </v>
      </c>
      <c r="BH1351" s="2" t="str" cm="1">
        <f t="array" ref="BH1351">IF(COUNTIF(BB1351:BD1351,"&lt;&gt;0")=1,INDEX($X$4:$AY$4,MATCH(TRUE,INDEX($X1351:$AY1351&lt;&gt;0,),0)),IF(COUNTIF(BB1351:BD1351,"&lt;&gt;0")=0,INDEX($AO$4:$AY$4,MATCH(1,$AO1351:$AY1351,0)),"Multiple strategies"))</f>
        <v>Supply chain</v>
      </c>
      <c r="BI1351" s="142"/>
      <c r="BL1351" s="143"/>
      <c r="BN1351" s="143"/>
      <c r="BO1351" s="163"/>
      <c r="BP1351" s="158"/>
      <c r="BQ1351" s="143"/>
      <c r="BR1351" t="s">
        <v>232</v>
      </c>
      <c r="BS1351" s="153" t="s">
        <v>429</v>
      </c>
      <c r="BT1351" t="s">
        <v>830</v>
      </c>
      <c r="BU1351">
        <v>726.60500000000002</v>
      </c>
      <c r="BV1351">
        <v>739.44899999999996</v>
      </c>
      <c r="BW1351" s="144">
        <f>IFERROR(BV1351/BU1351,"")</f>
        <v>1.0176767294472235</v>
      </c>
      <c r="BX1351">
        <f>BV1351-BU1351</f>
        <v>12.843999999999937</v>
      </c>
      <c r="BZ1351">
        <f>BX1351</f>
        <v>12.843999999999937</v>
      </c>
      <c r="CA1351" t="str">
        <f>IFERROR(BZ1351/BQ1351,"")</f>
        <v/>
      </c>
      <c r="CB1351">
        <v>0</v>
      </c>
      <c r="CC1351">
        <v>0</v>
      </c>
      <c r="CD1351">
        <v>0</v>
      </c>
      <c r="CE1351">
        <v>0</v>
      </c>
      <c r="CF1351">
        <v>0</v>
      </c>
      <c r="CG1351">
        <v>0</v>
      </c>
      <c r="CH1351">
        <v>0</v>
      </c>
      <c r="CI1351">
        <v>0</v>
      </c>
      <c r="CJ1351">
        <v>0</v>
      </c>
      <c r="CK1351">
        <v>0</v>
      </c>
      <c r="CL1351">
        <v>0</v>
      </c>
      <c r="CM1351">
        <v>0</v>
      </c>
      <c r="CN1351">
        <v>0</v>
      </c>
      <c r="CO1351">
        <v>0</v>
      </c>
      <c r="CP1351" t="str">
        <f>IF(BN1351&lt;BM1351,"refNeedCorrection","refOK")</f>
        <v>refOK</v>
      </c>
      <c r="CQ1351"/>
      <c r="CR1351"/>
      <c r="CS1351"/>
      <c r="CT1351">
        <f>IF(BI1351="Roundwood",$CS1351/2,$CS1351)</f>
        <v>0</v>
      </c>
      <c r="CU1351">
        <f>IF($CP1351="refOK",$BU1351,$BV1351)*IF($BR1351="Emissions positive",-1,1)</f>
        <v>726.60500000000002</v>
      </c>
      <c r="CV1351">
        <f>IF($CP1351="refOK",$BV1351,$BU1351)*IF($BR1351="Emissions positive",-1,1)</f>
        <v>739.44899999999996</v>
      </c>
      <c r="CW1351">
        <f>IF($CP1351="refNeedCorrection",-BZ1351,BZ1351)*IF($BR1351="Emissions positive",-1,1)</f>
        <v>12.843999999999937</v>
      </c>
      <c r="CX1351" t="str">
        <f>IFERROR($CW1351/$CS1351,"")</f>
        <v/>
      </c>
      <c r="CY1351" t="str">
        <f>IFERROR($CW1351/$CS1351,"")</f>
        <v/>
      </c>
      <c r="CZ1351" t="str">
        <f>IFERROR($CW1351/$CT1351,"")</f>
        <v/>
      </c>
      <c r="DA1351" s="2">
        <f>IFERROR((CV1351-CU1351)/ABS(CU1351),"")</f>
        <v>1.7676729447223646E-2</v>
      </c>
      <c r="DB1351" s="1" t="s">
        <v>234</v>
      </c>
      <c r="DC1351" t="str">
        <f>IF(OR($DB1351="prd",$DB1351="std",$DB1351="cit"),"loc",IF(OR($DB1351="eur",$DB1351="reg",$DB1351="coy"),"reg",$DB1351))</f>
        <v>loc</v>
      </c>
      <c r="DD1351" t="s">
        <v>428</v>
      </c>
      <c r="DE1351">
        <v>2021</v>
      </c>
      <c r="DF1351" s="143">
        <v>2120</v>
      </c>
      <c r="DG1351" s="143">
        <v>100</v>
      </c>
      <c r="DH1351" t="str">
        <f>IF(DG1351=0,"0",IF(AND(DG1351&gt;=1,DG1351&lt;=30),"1-30",IF(AND(DG1351&gt;30,DG1351&lt;=70),"31-70",IF(AND(DG1351&gt;70,DG1351&lt;=100),"71-100",IF(DG1351&gt;100,"+100")))))</f>
        <v>71-100</v>
      </c>
      <c r="DI1351">
        <v>1</v>
      </c>
      <c r="DJ1351">
        <v>1</v>
      </c>
      <c r="DK1351">
        <v>0</v>
      </c>
      <c r="DL1351">
        <v>1</v>
      </c>
      <c r="DN1351">
        <f>SUM(DI1351:DL1351)</f>
        <v>3</v>
      </c>
      <c r="DO1351" t="str">
        <f>IF(DN1351=1,INDEX($DI$7:$DL$7,MATCH(1,$DI1351:$DL1351,0)),"mixedProduct")</f>
        <v>mixedProduct</v>
      </c>
      <c r="DP1351" t="str">
        <f>IF(DI1351=1,DP$7,0)</f>
        <v>Upstream</v>
      </c>
      <c r="DQ1351" t="str">
        <f>IF(DJ1351=1,DQ$7,0)</f>
        <v>Energy</v>
      </c>
      <c r="DR1351">
        <f>IF(DK1351=1,DR$7,0)</f>
        <v>0</v>
      </c>
      <c r="DS1351" t="str">
        <f>IF(DL1351=1,DS$7,0)</f>
        <v>Timber</v>
      </c>
      <c r="DT1351">
        <v>0</v>
      </c>
      <c r="DU1351" s="143">
        <v>0</v>
      </c>
      <c r="DV1351" s="143">
        <v>0</v>
      </c>
      <c r="DW1351">
        <v>0</v>
      </c>
      <c r="DX1351" s="143">
        <v>0</v>
      </c>
      <c r="DY1351">
        <f>SUM(DT1351:DU1351)</f>
        <v>0</v>
      </c>
      <c r="DZ1351" s="143" t="str">
        <f>IF(DT1351=1,"self-calculated DF",IF(DU1351=1,"external DF used","explicit C balance"))</f>
        <v>explicit C balance</v>
      </c>
      <c r="EA1351" s="143">
        <v>0</v>
      </c>
      <c r="EB1351" s="143">
        <v>1</v>
      </c>
      <c r="EC1351" s="143">
        <v>1</v>
      </c>
      <c r="ED1351" s="143">
        <v>1</v>
      </c>
      <c r="EE1351">
        <v>1</v>
      </c>
      <c r="EF1351" s="143">
        <v>0</v>
      </c>
      <c r="EG1351" s="143">
        <v>1</v>
      </c>
      <c r="EH1351" s="143">
        <v>1</v>
      </c>
      <c r="EI1351" s="143">
        <v>1</v>
      </c>
      <c r="EJ1351">
        <v>0</v>
      </c>
      <c r="EK1351">
        <v>1</v>
      </c>
      <c r="EL1351" s="143">
        <v>1</v>
      </c>
      <c r="EM1351">
        <v>0</v>
      </c>
      <c r="EN1351" s="2">
        <v>0</v>
      </c>
      <c r="EP1351" t="str">
        <f>IF(AND(AND(AND(OR($EC1351=1,$EB1351=1),OR($EH1351=1,$EF1351=1)),SUM($EA1351:$EE1351,$EK1351)&gt;=3),SUM($EF1351:$EJ1351)&gt;=2),"Whole sector approach","")</f>
        <v>Whole sector approach</v>
      </c>
      <c r="EQ1351" t="str">
        <f>IF(AND(AND(OR($EC1351=1,$EB1351=1),AND($EH1351=0,$EF1351=0)),SUM($EA1351:$EE1351,$EK1351)&gt;=4),"Ecosystem approach","")</f>
        <v/>
      </c>
      <c r="ER1351" s="2" t="str">
        <f>IF(AND(AND(AND($EC1351=0,$EB1351=0),OR($EH1351=1,$EF1351=1)),SUM($EG1351:$EJ1351)&gt;=2),"Technology approach","")</f>
        <v/>
      </c>
      <c r="ES1351" t="str">
        <f>IF(AND($EC1351+$EB1351+$EE1351+$EA1351+$ED1351+$EG1351=0,$N1351="included"),"C neutral forest and HWP assumption","")</f>
        <v/>
      </c>
      <c r="ET1351" t="str">
        <f>IF(AND(AND(AND(AND($EC1351=1,$EB1351+$EA1351+$EG1351&gt;=1),$EF1351=1),$EH1351+$EI1351+$ED1351+$EE1351&gt;=2),$N1351="included"),"All C pools assumption","")</f>
        <v/>
      </c>
      <c r="EU1351" t="str">
        <f>IF(AND($ED1351+$EE1351+$EI1351+$EH1351+$EF1351=0,$N1351="included"),"In-situ only assumption","")</f>
        <v/>
      </c>
      <c r="EV1351" s="328" t="s">
        <v>5065</v>
      </c>
      <c r="EY1351" t="b">
        <f>IF(ISNUMBER(BW1351),IF(ABS(BW1351-[2]QC_indicators!$B$2)&gt;3*[2]QC_indicators!$C$2,"C ratio",IF(ISNUMBER(CA1351),IF(ABS(CA1351-[2]QC_indicators!$B$1)&gt;3*[2]QC_indicators!$C$1,"DF","no"))),IF(ISNUMBER(CA1351),IF(ABS(CA1351-[2]QC_indicators!$B$1)&gt;3*[2]QC_indicators!$C$1,"DF","no")))</f>
        <v>0</v>
      </c>
      <c r="FA1351" t="str">
        <f>IF(LEN($CY1351)=0,"",IF(AND($CY1351&lt;(-0.05),$ES1351="C neutral forest and HWP assumption"),"Cneutral paradox",IF(AND($CY1351&gt;0.05,$EU1351="In-situ only assumption"),"In-situ only paradox","")))</f>
        <v/>
      </c>
      <c r="FB1351" t="s">
        <v>831</v>
      </c>
      <c r="FD1351" s="260" t="s">
        <v>2827</v>
      </c>
    </row>
    <row r="1352" spans="1:160" ht="15" hidden="1" customHeight="1">
      <c r="A1352" s="1" t="s">
        <v>819</v>
      </c>
      <c r="B1352" t="s">
        <v>820</v>
      </c>
      <c r="C1352" t="s">
        <v>821</v>
      </c>
      <c r="D1352" t="s">
        <v>822</v>
      </c>
      <c r="E1352" t="s">
        <v>823</v>
      </c>
      <c r="F1352" t="s">
        <v>824</v>
      </c>
      <c r="G1352" t="s">
        <v>825</v>
      </c>
      <c r="H1352" t="s">
        <v>254</v>
      </c>
      <c r="I1352">
        <v>2020</v>
      </c>
      <c r="J1352">
        <v>5</v>
      </c>
      <c r="K1352" t="s">
        <v>826</v>
      </c>
      <c r="M1352" t="str">
        <f>LEFT($D1352,FIND(",",$D1352)-1)&amp;"_"&amp;I1352&amp;L1352</f>
        <v>Lan_2020</v>
      </c>
      <c r="N1352" t="s">
        <v>222</v>
      </c>
      <c r="O1352" s="145" t="s">
        <v>225</v>
      </c>
      <c r="Q1352" t="s">
        <v>256</v>
      </c>
      <c r="R1352" s="258" t="s">
        <v>223</v>
      </c>
      <c r="S1352" s="1" t="s">
        <v>827</v>
      </c>
      <c r="T1352" t="s">
        <v>836</v>
      </c>
      <c r="U1352" t="s">
        <v>837</v>
      </c>
      <c r="V1352" s="253">
        <v>0</v>
      </c>
      <c r="W1352" s="253">
        <v>0</v>
      </c>
      <c r="X1352">
        <v>0</v>
      </c>
      <c r="Y1352">
        <v>0</v>
      </c>
      <c r="Z1352">
        <v>0</v>
      </c>
      <c r="AA1352">
        <v>0</v>
      </c>
      <c r="AB1352">
        <v>0</v>
      </c>
      <c r="AC1352">
        <v>0</v>
      </c>
      <c r="AD1352">
        <v>0</v>
      </c>
      <c r="AE1352">
        <v>0</v>
      </c>
      <c r="AF1352">
        <v>0</v>
      </c>
      <c r="AG1352">
        <v>0</v>
      </c>
      <c r="AH1352">
        <v>0</v>
      </c>
      <c r="AI1352">
        <v>0</v>
      </c>
      <c r="AJ1352">
        <v>1</v>
      </c>
      <c r="AK1352">
        <v>0</v>
      </c>
      <c r="AL1352">
        <v>0</v>
      </c>
      <c r="AM1352">
        <v>0</v>
      </c>
      <c r="AN1352">
        <v>0</v>
      </c>
      <c r="AO1352">
        <v>0</v>
      </c>
      <c r="AP1352">
        <v>0</v>
      </c>
      <c r="AQ1352">
        <v>0</v>
      </c>
      <c r="AR1352">
        <v>0</v>
      </c>
      <c r="AS1352">
        <v>0</v>
      </c>
      <c r="AT1352">
        <v>0</v>
      </c>
      <c r="AU1352">
        <v>0</v>
      </c>
      <c r="AV1352">
        <v>0</v>
      </c>
      <c r="AW1352">
        <v>0</v>
      </c>
      <c r="AX1352">
        <v>0</v>
      </c>
      <c r="AY1352">
        <v>0</v>
      </c>
      <c r="AZ1352" s="141">
        <f>COUNTIF(X1352:AY1352,"&lt;&gt;0")</f>
        <v>1</v>
      </c>
      <c r="BA1352" s="141">
        <f>COUNTIF(X1352:AN1352,"&lt;&gt;0")</f>
        <v>1</v>
      </c>
      <c r="BB1352">
        <f>COUNTIF(X1352:AE1352,"&lt;&gt;0")</f>
        <v>0</v>
      </c>
      <c r="BC1352">
        <f>COUNTIF(AF1352:AK1352,"&lt;&gt;0")</f>
        <v>1</v>
      </c>
      <c r="BD1352">
        <f>COUNTIF(AL1352:AN1352,"&lt;&gt;0")</f>
        <v>0</v>
      </c>
      <c r="BE1352">
        <f>COUNTIF(AU1352:AY1352,"&lt;&gt;0")</f>
        <v>0</v>
      </c>
      <c r="BF1352">
        <f>COUNTIF(AO1352:AT1352,"&lt;&gt;0")</f>
        <v>0</v>
      </c>
      <c r="BG1352" t="str">
        <f t="array" ref="BG1352">IF(BA1352=1,INDEX($X$7:$AN$7,MATCH(TRUE,INDEX($X1352:$AY1352&lt;&gt;0,),0)),IF(BA1352=0,INDEX($AO$7:$AY$7,MATCH(1,$AO1352:$AY1352,0)),IF(BH1352="Multiple strategies","mixed drivers",IF(BH1352="Supply chain","multiple supply","multiple silviculture"))))</f>
        <v xml:space="preserve">end of life disposal </v>
      </c>
      <c r="BH1352" s="2" t="str" cm="1">
        <f t="array" ref="BH1352">IF(COUNTIF(BB1352:BD1352,"&lt;&gt;0")=1,INDEX($X$4:$AY$4,MATCH(TRUE,INDEX($X1352:$AY1352&lt;&gt;0,),0)),IF(COUNTIF(BB1352:BD1352,"&lt;&gt;0")=0,INDEX($AO$4:$AY$4,MATCH(1,$AO1352:$AY1352,0)),"Multiple strategies"))</f>
        <v>Supply chain</v>
      </c>
      <c r="BO1352" s="163"/>
      <c r="BP1352" s="158"/>
      <c r="BQ1352" s="143"/>
      <c r="BR1352" t="s">
        <v>232</v>
      </c>
      <c r="BS1352" s="153" t="s">
        <v>429</v>
      </c>
      <c r="BT1352" t="s">
        <v>830</v>
      </c>
      <c r="BU1352">
        <v>1266.0550000000001</v>
      </c>
      <c r="BV1352">
        <v>1291.7429999999999</v>
      </c>
      <c r="BW1352" s="144">
        <f>IFERROR(BV1352/BU1352,"")</f>
        <v>1.0202897978365868</v>
      </c>
      <c r="BX1352">
        <f>BV1352-BU1352</f>
        <v>25.687999999999874</v>
      </c>
      <c r="BZ1352">
        <f>BX1352</f>
        <v>25.687999999999874</v>
      </c>
      <c r="CA1352" t="str">
        <f>IFERROR(BZ1352/BQ1352,"")</f>
        <v/>
      </c>
      <c r="CB1352">
        <v>0</v>
      </c>
      <c r="CC1352">
        <v>0</v>
      </c>
      <c r="CD1352">
        <v>0</v>
      </c>
      <c r="CE1352">
        <v>0</v>
      </c>
      <c r="CF1352">
        <v>0</v>
      </c>
      <c r="CG1352">
        <v>0</v>
      </c>
      <c r="CH1352">
        <v>0</v>
      </c>
      <c r="CI1352">
        <v>0</v>
      </c>
      <c r="CJ1352">
        <v>0</v>
      </c>
      <c r="CK1352">
        <v>0</v>
      </c>
      <c r="CL1352">
        <v>0</v>
      </c>
      <c r="CM1352">
        <v>0</v>
      </c>
      <c r="CN1352">
        <v>0</v>
      </c>
      <c r="CO1352">
        <v>0</v>
      </c>
      <c r="CP1352" t="str">
        <f>IF(BN1352&lt;BM1352,"refNeedCorrection","refOK")</f>
        <v>refOK</v>
      </c>
      <c r="CQ1352"/>
      <c r="CR1352"/>
      <c r="CS1352"/>
      <c r="CT1352">
        <f>IF(BI1352="Roundwood",$CS1352/2,$CS1352)</f>
        <v>0</v>
      </c>
      <c r="CU1352">
        <f>IF($CP1352="refOK",$BU1352,$BV1352)*IF($BR1352="Emissions positive",-1,1)</f>
        <v>1266.0550000000001</v>
      </c>
      <c r="CV1352">
        <f>IF($CP1352="refOK",$BV1352,$BU1352)*IF($BR1352="Emissions positive",-1,1)</f>
        <v>1291.7429999999999</v>
      </c>
      <c r="CW1352">
        <f>IF($CP1352="refNeedCorrection",-BZ1352,BZ1352)*IF($BR1352="Emissions positive",-1,1)</f>
        <v>25.687999999999874</v>
      </c>
      <c r="CX1352" t="str">
        <f>IFERROR($CW1352/$CS1352,"")</f>
        <v/>
      </c>
      <c r="CY1352" t="str">
        <f>IFERROR($CW1352/$CS1352,"")</f>
        <v/>
      </c>
      <c r="CZ1352" t="str">
        <f>IFERROR($CW1352/$CT1352,"")</f>
        <v/>
      </c>
      <c r="DA1352" s="2">
        <f>IFERROR((CV1352-CU1352)/ABS(CU1352),"")</f>
        <v>2.0289797836586777E-2</v>
      </c>
      <c r="DB1352" s="1" t="s">
        <v>234</v>
      </c>
      <c r="DC1352" t="str">
        <f>IF(OR($DB1352="prd",$DB1352="std",$DB1352="cit"),"loc",IF(OR($DB1352="eur",$DB1352="reg",$DB1352="coy"),"reg",$DB1352))</f>
        <v>loc</v>
      </c>
      <c r="DD1352" t="s">
        <v>428</v>
      </c>
      <c r="DE1352">
        <v>2021</v>
      </c>
      <c r="DF1352" s="143">
        <v>2120</v>
      </c>
      <c r="DG1352" s="143">
        <v>100</v>
      </c>
      <c r="DH1352" t="str">
        <f>IF(DG1352=0,"0",IF(AND(DG1352&gt;=1,DG1352&lt;=30),"1-30",IF(AND(DG1352&gt;30,DG1352&lt;=70),"31-70",IF(AND(DG1352&gt;70,DG1352&lt;=100),"71-100",IF(DG1352&gt;100,"+100")))))</f>
        <v>71-100</v>
      </c>
      <c r="DI1352">
        <v>1</v>
      </c>
      <c r="DJ1352">
        <v>1</v>
      </c>
      <c r="DK1352">
        <v>0</v>
      </c>
      <c r="DL1352">
        <v>1</v>
      </c>
      <c r="DN1352">
        <f>SUM(DI1352:DL1352)</f>
        <v>3</v>
      </c>
      <c r="DO1352" t="str">
        <f>IF(DN1352=1,INDEX($DI$7:$DL$7,MATCH(1,$DI1352:$DL1352,0)),"mixedProduct")</f>
        <v>mixedProduct</v>
      </c>
      <c r="DP1352" t="str">
        <f>IF(DI1352=1,DP$7,0)</f>
        <v>Upstream</v>
      </c>
      <c r="DQ1352" t="str">
        <f>IF(DJ1352=1,DQ$7,0)</f>
        <v>Energy</v>
      </c>
      <c r="DR1352">
        <f>IF(DK1352=1,DR$7,0)</f>
        <v>0</v>
      </c>
      <c r="DS1352" t="str">
        <f>IF(DL1352=1,DS$7,0)</f>
        <v>Timber</v>
      </c>
      <c r="DT1352">
        <v>0</v>
      </c>
      <c r="DU1352" s="143">
        <v>0</v>
      </c>
      <c r="DV1352" s="143">
        <v>0</v>
      </c>
      <c r="DW1352">
        <v>0</v>
      </c>
      <c r="DX1352" s="143">
        <v>0</v>
      </c>
      <c r="DY1352">
        <f>SUM(DT1352:DU1352)</f>
        <v>0</v>
      </c>
      <c r="DZ1352" s="143" t="str">
        <f>IF(DT1352=1,"self-calculated DF",IF(DU1352=1,"external DF used","explicit C balance"))</f>
        <v>explicit C balance</v>
      </c>
      <c r="EA1352" s="143">
        <v>0</v>
      </c>
      <c r="EB1352" s="143">
        <v>1</v>
      </c>
      <c r="EC1352" s="143">
        <v>1</v>
      </c>
      <c r="ED1352" s="143">
        <v>1</v>
      </c>
      <c r="EE1352">
        <v>1</v>
      </c>
      <c r="EF1352" s="143">
        <v>0</v>
      </c>
      <c r="EG1352" s="143">
        <v>1</v>
      </c>
      <c r="EH1352" s="143">
        <v>1</v>
      </c>
      <c r="EI1352" s="143">
        <v>1</v>
      </c>
      <c r="EJ1352">
        <v>0</v>
      </c>
      <c r="EK1352">
        <v>1</v>
      </c>
      <c r="EL1352" s="143">
        <v>1</v>
      </c>
      <c r="EM1352">
        <v>0</v>
      </c>
      <c r="EN1352" s="2">
        <v>0</v>
      </c>
      <c r="EP1352" t="str">
        <f>IF(AND(AND(AND(OR($EC1352=1,$EB1352=1),OR($EH1352=1,$EF1352=1)),SUM($EA1352:$EE1352,$EK1352)&gt;=3),SUM($EF1352:$EJ1352)&gt;=2),"Whole sector approach","")</f>
        <v>Whole sector approach</v>
      </c>
      <c r="EQ1352" t="str">
        <f>IF(AND(AND(OR($EC1352=1,$EB1352=1),AND($EH1352=0,$EF1352=0)),SUM($EA1352:$EE1352,$EK1352)&gt;=4),"Ecosystem approach","")</f>
        <v/>
      </c>
      <c r="ER1352" s="2" t="str">
        <f>IF(AND(AND(AND($EC1352=0,$EB1352=0),OR($EH1352=1,$EF1352=1)),SUM($EG1352:$EJ1352)&gt;=2),"Technology approach","")</f>
        <v/>
      </c>
      <c r="ES1352" t="str">
        <f>IF(AND($EC1352+$EB1352+$EE1352+$EA1352+$ED1352+$EG1352=0,$N1352="included"),"C neutral forest and HWP assumption","")</f>
        <v/>
      </c>
      <c r="ET1352" t="str">
        <f>IF(AND(AND(AND(AND($EC1352=1,$EB1352+$EA1352+$EG1352&gt;=1),$EF1352=1),$EH1352+$EI1352+$ED1352+$EE1352&gt;=2),$N1352="included"),"All C pools assumption","")</f>
        <v/>
      </c>
      <c r="EU1352" t="str">
        <f>IF(AND($ED1352+$EE1352+$EI1352+$EH1352+$EF1352=0,$N1352="included"),"In-situ only assumption","")</f>
        <v/>
      </c>
      <c r="EV1352" s="328" t="s">
        <v>5065</v>
      </c>
      <c r="EY1352" t="b">
        <f>IF(ISNUMBER(BW1352),IF(ABS(BW1352-[2]QC_indicators!$B$2)&gt;3*[2]QC_indicators!$C$2,"C ratio",IF(ISNUMBER(CA1352),IF(ABS(CA1352-[2]QC_indicators!$B$1)&gt;3*[2]QC_indicators!$C$1,"DF","no"))),IF(ISNUMBER(CA1352),IF(ABS(CA1352-[2]QC_indicators!$B$1)&gt;3*[2]QC_indicators!$C$1,"DF","no")))</f>
        <v>0</v>
      </c>
      <c r="FA1352" t="str">
        <f>IF(LEN($CY1352)=0,"",IF(AND($CY1352&lt;(-0.05),$ES1352="C neutral forest and HWP assumption"),"Cneutral paradox",IF(AND($CY1352&gt;0.05,$EU1352="In-situ only assumption"),"In-situ only paradox","")))</f>
        <v/>
      </c>
      <c r="FB1352" t="s">
        <v>831</v>
      </c>
      <c r="FD1352" s="260" t="s">
        <v>2827</v>
      </c>
    </row>
    <row r="1353" spans="1:160" ht="15" hidden="1" customHeight="1">
      <c r="A1353" s="1" t="s">
        <v>819</v>
      </c>
      <c r="B1353" t="s">
        <v>820</v>
      </c>
      <c r="C1353" t="s">
        <v>821</v>
      </c>
      <c r="D1353" t="s">
        <v>822</v>
      </c>
      <c r="E1353" t="s">
        <v>823</v>
      </c>
      <c r="F1353" t="s">
        <v>824</v>
      </c>
      <c r="G1353" t="s">
        <v>825</v>
      </c>
      <c r="H1353" t="s">
        <v>254</v>
      </c>
      <c r="I1353">
        <v>2020</v>
      </c>
      <c r="J1353">
        <v>5</v>
      </c>
      <c r="K1353" t="s">
        <v>826</v>
      </c>
      <c r="M1353" t="str">
        <f>LEFT($D1353,FIND(",",$D1353)-1)&amp;"_"&amp;I1353&amp;L1353</f>
        <v>Lan_2020</v>
      </c>
      <c r="N1353" t="s">
        <v>222</v>
      </c>
      <c r="O1353" s="145" t="s">
        <v>225</v>
      </c>
      <c r="Q1353" t="s">
        <v>256</v>
      </c>
      <c r="R1353" s="258" t="s">
        <v>223</v>
      </c>
      <c r="S1353" s="1" t="s">
        <v>827</v>
      </c>
      <c r="T1353" t="s">
        <v>834</v>
      </c>
      <c r="U1353" t="s">
        <v>835</v>
      </c>
      <c r="V1353" s="253">
        <v>0</v>
      </c>
      <c r="W1353" s="253">
        <v>0</v>
      </c>
      <c r="X1353">
        <v>0</v>
      </c>
      <c r="Y1353">
        <v>0</v>
      </c>
      <c r="Z1353">
        <v>0</v>
      </c>
      <c r="AA1353">
        <v>0</v>
      </c>
      <c r="AB1353">
        <v>0</v>
      </c>
      <c r="AC1353">
        <v>0</v>
      </c>
      <c r="AD1353">
        <v>0</v>
      </c>
      <c r="AE1353">
        <v>0</v>
      </c>
      <c r="AF1353">
        <v>0</v>
      </c>
      <c r="AG1353">
        <v>0</v>
      </c>
      <c r="AH1353">
        <v>0</v>
      </c>
      <c r="AI1353">
        <v>0</v>
      </c>
      <c r="AJ1353">
        <v>1</v>
      </c>
      <c r="AK1353">
        <v>0</v>
      </c>
      <c r="AL1353">
        <v>0</v>
      </c>
      <c r="AM1353">
        <v>0</v>
      </c>
      <c r="AN1353">
        <v>0</v>
      </c>
      <c r="AO1353">
        <v>0</v>
      </c>
      <c r="AP1353">
        <v>0</v>
      </c>
      <c r="AQ1353">
        <v>0</v>
      </c>
      <c r="AR1353">
        <v>0</v>
      </c>
      <c r="AS1353">
        <v>0</v>
      </c>
      <c r="AT1353">
        <v>0</v>
      </c>
      <c r="AU1353">
        <v>0</v>
      </c>
      <c r="AV1353">
        <v>0</v>
      </c>
      <c r="AW1353">
        <v>0</v>
      </c>
      <c r="AX1353">
        <v>0</v>
      </c>
      <c r="AY1353">
        <v>0</v>
      </c>
      <c r="AZ1353" s="141">
        <f>COUNTIF(X1353:AY1353,"&lt;&gt;0")</f>
        <v>1</v>
      </c>
      <c r="BA1353" s="141">
        <f>COUNTIF(X1353:AN1353,"&lt;&gt;0")</f>
        <v>1</v>
      </c>
      <c r="BB1353">
        <f>COUNTIF(X1353:AE1353,"&lt;&gt;0")</f>
        <v>0</v>
      </c>
      <c r="BC1353">
        <f>COUNTIF(AF1353:AK1353,"&lt;&gt;0")</f>
        <v>1</v>
      </c>
      <c r="BD1353">
        <f>COUNTIF(AL1353:AN1353,"&lt;&gt;0")</f>
        <v>0</v>
      </c>
      <c r="BE1353">
        <f>COUNTIF(AU1353:AY1353,"&lt;&gt;0")</f>
        <v>0</v>
      </c>
      <c r="BF1353">
        <f>COUNTIF(AO1353:AT1353,"&lt;&gt;0")</f>
        <v>0</v>
      </c>
      <c r="BG1353" t="str">
        <f t="array" ref="BG1353">IF(BA1353=1,INDEX($X$7:$AN$7,MATCH(TRUE,INDEX($X1353:$AY1353&lt;&gt;0,),0)),IF(BA1353=0,INDEX($AO$7:$AY$7,MATCH(1,$AO1353:$AY1353,0)),IF(BH1353="Multiple strategies","mixed drivers",IF(BH1353="Supply chain","multiple supply","multiple silviculture"))))</f>
        <v xml:space="preserve">end of life disposal </v>
      </c>
      <c r="BH1353" s="2" t="str" cm="1">
        <f t="array" ref="BH1353">IF(COUNTIF(BB1353:BD1353,"&lt;&gt;0")=1,INDEX($X$4:$AY$4,MATCH(TRUE,INDEX($X1353:$AY1353&lt;&gt;0,),0)),IF(COUNTIF(BB1353:BD1353,"&lt;&gt;0")=0,INDEX($AO$4:$AY$4,MATCH(1,$AO1353:$AY1353,0)),"Multiple strategies"))</f>
        <v>Supply chain</v>
      </c>
      <c r="BI1353" s="142"/>
      <c r="BL1353" s="143"/>
      <c r="BN1353" s="143"/>
      <c r="BO1353" s="163"/>
      <c r="BP1353" s="158"/>
      <c r="BQ1353" s="143"/>
      <c r="BR1353" t="s">
        <v>232</v>
      </c>
      <c r="BS1353" s="153" t="s">
        <v>429</v>
      </c>
      <c r="BT1353" t="s">
        <v>830</v>
      </c>
      <c r="BU1353">
        <v>1124.77</v>
      </c>
      <c r="BV1353">
        <v>1150.4580000000001</v>
      </c>
      <c r="BW1353" s="144">
        <f>IFERROR(BV1353/BU1353,"")</f>
        <v>1.0228384469713809</v>
      </c>
      <c r="BX1353">
        <f>BV1353-BU1353</f>
        <v>25.688000000000102</v>
      </c>
      <c r="BZ1353">
        <f>BX1353</f>
        <v>25.688000000000102</v>
      </c>
      <c r="CA1353" t="str">
        <f>IFERROR(BZ1353/BQ1353,"")</f>
        <v/>
      </c>
      <c r="CB1353">
        <v>0</v>
      </c>
      <c r="CC1353">
        <v>0</v>
      </c>
      <c r="CD1353">
        <v>0</v>
      </c>
      <c r="CE1353">
        <v>0</v>
      </c>
      <c r="CF1353">
        <v>0</v>
      </c>
      <c r="CG1353">
        <v>0</v>
      </c>
      <c r="CH1353">
        <v>0</v>
      </c>
      <c r="CI1353">
        <v>0</v>
      </c>
      <c r="CJ1353">
        <v>0</v>
      </c>
      <c r="CK1353">
        <v>0</v>
      </c>
      <c r="CL1353">
        <v>0</v>
      </c>
      <c r="CM1353">
        <v>0</v>
      </c>
      <c r="CN1353">
        <v>0</v>
      </c>
      <c r="CO1353">
        <v>0</v>
      </c>
      <c r="CP1353" t="str">
        <f>IF(BN1353&lt;BM1353,"refNeedCorrection","refOK")</f>
        <v>refOK</v>
      </c>
      <c r="CQ1353"/>
      <c r="CR1353"/>
      <c r="CS1353"/>
      <c r="CT1353">
        <f>IF(BI1353="Roundwood",$CS1353/2,$CS1353)</f>
        <v>0</v>
      </c>
      <c r="CU1353">
        <f>IF($CP1353="refOK",$BU1353,$BV1353)*IF($BR1353="Emissions positive",-1,1)</f>
        <v>1124.77</v>
      </c>
      <c r="CV1353">
        <f>IF($CP1353="refOK",$BV1353,$BU1353)*IF($BR1353="Emissions positive",-1,1)</f>
        <v>1150.4580000000001</v>
      </c>
      <c r="CW1353">
        <f>IF($CP1353="refNeedCorrection",-BZ1353,BZ1353)*IF($BR1353="Emissions positive",-1,1)</f>
        <v>25.688000000000102</v>
      </c>
      <c r="CX1353" t="str">
        <f>IFERROR($CW1353/$CS1353,"")</f>
        <v/>
      </c>
      <c r="CY1353" t="str">
        <f>IFERROR($CW1353/$CS1353,"")</f>
        <v/>
      </c>
      <c r="CZ1353" t="str">
        <f>IFERROR($CW1353/$CT1353,"")</f>
        <v/>
      </c>
      <c r="DA1353" s="2">
        <f>IFERROR((CV1353-CU1353)/ABS(CU1353),"")</f>
        <v>2.2838446971380908E-2</v>
      </c>
      <c r="DB1353" s="1" t="s">
        <v>234</v>
      </c>
      <c r="DC1353" t="str">
        <f>IF(OR($DB1353="prd",$DB1353="std",$DB1353="cit"),"loc",IF(OR($DB1353="eur",$DB1353="reg",$DB1353="coy"),"reg",$DB1353))</f>
        <v>loc</v>
      </c>
      <c r="DD1353" t="s">
        <v>428</v>
      </c>
      <c r="DE1353">
        <v>2021</v>
      </c>
      <c r="DF1353" s="143">
        <v>2120</v>
      </c>
      <c r="DG1353" s="143">
        <v>100</v>
      </c>
      <c r="DH1353" t="str">
        <f>IF(DG1353=0,"0",IF(AND(DG1353&gt;=1,DG1353&lt;=30),"1-30",IF(AND(DG1353&gt;30,DG1353&lt;=70),"31-70",IF(AND(DG1353&gt;70,DG1353&lt;=100),"71-100",IF(DG1353&gt;100,"+100")))))</f>
        <v>71-100</v>
      </c>
      <c r="DI1353">
        <v>1</v>
      </c>
      <c r="DJ1353">
        <v>1</v>
      </c>
      <c r="DK1353">
        <v>0</v>
      </c>
      <c r="DL1353">
        <v>1</v>
      </c>
      <c r="DN1353">
        <f>SUM(DI1353:DL1353)</f>
        <v>3</v>
      </c>
      <c r="DO1353" t="str">
        <f>IF(DN1353=1,INDEX($DI$7:$DL$7,MATCH(1,$DI1353:$DL1353,0)),"mixedProduct")</f>
        <v>mixedProduct</v>
      </c>
      <c r="DP1353" t="str">
        <f>IF(DI1353=1,DP$7,0)</f>
        <v>Upstream</v>
      </c>
      <c r="DQ1353" t="str">
        <f>IF(DJ1353=1,DQ$7,0)</f>
        <v>Energy</v>
      </c>
      <c r="DR1353">
        <f>IF(DK1353=1,DR$7,0)</f>
        <v>0</v>
      </c>
      <c r="DS1353" t="str">
        <f>IF(DL1353=1,DS$7,0)</f>
        <v>Timber</v>
      </c>
      <c r="DT1353">
        <v>0</v>
      </c>
      <c r="DU1353" s="143">
        <v>0</v>
      </c>
      <c r="DV1353" s="143">
        <v>0</v>
      </c>
      <c r="DW1353">
        <v>0</v>
      </c>
      <c r="DX1353" s="143">
        <v>0</v>
      </c>
      <c r="DY1353">
        <f>SUM(DT1353:DU1353)</f>
        <v>0</v>
      </c>
      <c r="DZ1353" s="143" t="str">
        <f>IF(DT1353=1,"self-calculated DF",IF(DU1353=1,"external DF used","explicit C balance"))</f>
        <v>explicit C balance</v>
      </c>
      <c r="EA1353" s="143">
        <v>0</v>
      </c>
      <c r="EB1353" s="143">
        <v>1</v>
      </c>
      <c r="EC1353" s="143">
        <v>1</v>
      </c>
      <c r="ED1353" s="143">
        <v>1</v>
      </c>
      <c r="EE1353">
        <v>1</v>
      </c>
      <c r="EF1353" s="143">
        <v>0</v>
      </c>
      <c r="EG1353" s="143">
        <v>1</v>
      </c>
      <c r="EH1353" s="143">
        <v>1</v>
      </c>
      <c r="EI1353" s="143">
        <v>1</v>
      </c>
      <c r="EJ1353">
        <v>0</v>
      </c>
      <c r="EK1353">
        <v>1</v>
      </c>
      <c r="EL1353" s="143">
        <v>1</v>
      </c>
      <c r="EM1353">
        <v>0</v>
      </c>
      <c r="EN1353" s="2">
        <v>0</v>
      </c>
      <c r="EP1353" t="str">
        <f>IF(AND(AND(AND(OR($EC1353=1,$EB1353=1),OR($EH1353=1,$EF1353=1)),SUM($EA1353:$EE1353,$EK1353)&gt;=3),SUM($EF1353:$EJ1353)&gt;=2),"Whole sector approach","")</f>
        <v>Whole sector approach</v>
      </c>
      <c r="EQ1353" t="str">
        <f>IF(AND(AND(OR($EC1353=1,$EB1353=1),AND($EH1353=0,$EF1353=0)),SUM($EA1353:$EE1353,$EK1353)&gt;=4),"Ecosystem approach","")</f>
        <v/>
      </c>
      <c r="ER1353" s="2" t="str">
        <f>IF(AND(AND(AND($EC1353=0,$EB1353=0),OR($EH1353=1,$EF1353=1)),SUM($EG1353:$EJ1353)&gt;=2),"Technology approach","")</f>
        <v/>
      </c>
      <c r="ES1353" t="str">
        <f>IF(AND($EC1353+$EB1353+$EE1353+$EA1353+$ED1353+$EG1353=0,$N1353="included"),"C neutral forest and HWP assumption","")</f>
        <v/>
      </c>
      <c r="ET1353" t="str">
        <f>IF(AND(AND(AND(AND($EC1353=1,$EB1353+$EA1353+$EG1353&gt;=1),$EF1353=1),$EH1353+$EI1353+$ED1353+$EE1353&gt;=2),$N1353="included"),"All C pools assumption","")</f>
        <v/>
      </c>
      <c r="EU1353" t="str">
        <f>IF(AND($ED1353+$EE1353+$EI1353+$EH1353+$EF1353=0,$N1353="included"),"In-situ only assumption","")</f>
        <v/>
      </c>
      <c r="EV1353" s="328" t="s">
        <v>5065</v>
      </c>
      <c r="EY1353" t="b">
        <f>IF(ISNUMBER(BW1353),IF(ABS(BW1353-[2]QC_indicators!$B$2)&gt;3*[2]QC_indicators!$C$2,"C ratio",IF(ISNUMBER(CA1353),IF(ABS(CA1353-[2]QC_indicators!$B$1)&gt;3*[2]QC_indicators!$C$1,"DF","no"))),IF(ISNUMBER(CA1353),IF(ABS(CA1353-[2]QC_indicators!$B$1)&gt;3*[2]QC_indicators!$C$1,"DF","no")))</f>
        <v>0</v>
      </c>
      <c r="FA1353" t="str">
        <f>IF(LEN($CY1353)=0,"",IF(AND($CY1353&lt;(-0.05),$ES1353="C neutral forest and HWP assumption"),"Cneutral paradox",IF(AND($CY1353&gt;0.05,$EU1353="In-situ only assumption"),"In-situ only paradox","")))</f>
        <v/>
      </c>
      <c r="FB1353" t="s">
        <v>831</v>
      </c>
      <c r="FD1353" s="260" t="s">
        <v>2827</v>
      </c>
    </row>
    <row r="1354" spans="1:160" ht="15" hidden="1" customHeight="1">
      <c r="A1354" s="1" t="s">
        <v>819</v>
      </c>
      <c r="B1354" t="s">
        <v>820</v>
      </c>
      <c r="C1354" t="s">
        <v>821</v>
      </c>
      <c r="D1354" t="s">
        <v>822</v>
      </c>
      <c r="E1354" t="s">
        <v>823</v>
      </c>
      <c r="F1354" t="s">
        <v>824</v>
      </c>
      <c r="G1354" t="s">
        <v>825</v>
      </c>
      <c r="H1354" t="s">
        <v>254</v>
      </c>
      <c r="I1354">
        <v>2020</v>
      </c>
      <c r="J1354">
        <v>5</v>
      </c>
      <c r="K1354" t="s">
        <v>826</v>
      </c>
      <c r="M1354" t="str">
        <f>LEFT($D1354,FIND(",",$D1354)-1)&amp;"_"&amp;I1354&amp;L1354</f>
        <v>Lan_2020</v>
      </c>
      <c r="N1354" t="s">
        <v>222</v>
      </c>
      <c r="O1354" s="145" t="s">
        <v>225</v>
      </c>
      <c r="Q1354" t="s">
        <v>256</v>
      </c>
      <c r="R1354" s="258" t="s">
        <v>223</v>
      </c>
      <c r="S1354" s="1" t="s">
        <v>840</v>
      </c>
      <c r="T1354" t="s">
        <v>847</v>
      </c>
      <c r="U1354" t="s">
        <v>848</v>
      </c>
      <c r="V1354" s="253">
        <v>0</v>
      </c>
      <c r="W1354" s="253">
        <v>0</v>
      </c>
      <c r="X1354">
        <v>0</v>
      </c>
      <c r="Y1354">
        <v>0</v>
      </c>
      <c r="Z1354">
        <v>0</v>
      </c>
      <c r="AA1354">
        <v>0</v>
      </c>
      <c r="AB1354">
        <v>0</v>
      </c>
      <c r="AC1354">
        <v>0</v>
      </c>
      <c r="AD1354">
        <v>0</v>
      </c>
      <c r="AE1354">
        <v>0</v>
      </c>
      <c r="AF1354">
        <v>0</v>
      </c>
      <c r="AG1354">
        <v>0</v>
      </c>
      <c r="AH1354">
        <v>1</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s="141">
        <f>COUNTIF(X1354:AY1354,"&lt;&gt;0")</f>
        <v>1</v>
      </c>
      <c r="BA1354" s="141">
        <f>COUNTIF(X1354:AN1354,"&lt;&gt;0")</f>
        <v>1</v>
      </c>
      <c r="BB1354">
        <f>COUNTIF(X1354:AE1354,"&lt;&gt;0")</f>
        <v>0</v>
      </c>
      <c r="BC1354">
        <f>COUNTIF(AF1354:AK1354,"&lt;&gt;0")</f>
        <v>1</v>
      </c>
      <c r="BD1354">
        <f>COUNTIF(AL1354:AN1354,"&lt;&gt;0")</f>
        <v>0</v>
      </c>
      <c r="BE1354">
        <f>COUNTIF(AU1354:AY1354,"&lt;&gt;0")</f>
        <v>0</v>
      </c>
      <c r="BF1354">
        <f>COUNTIF(AO1354:AT1354,"&lt;&gt;0")</f>
        <v>0</v>
      </c>
      <c r="BG1354" t="str">
        <f t="array" ref="BG1354">IF(BA1354=1,INDEX($X$7:$AN$7,MATCH(TRUE,INDEX($X1354:$AY1354&lt;&gt;0,),0)),IF(BA1354=0,INDEX($AO$7:$AY$7,MATCH(1,$AO1354:$AY1354,0)),IF(BH1354="Multiple strategies","mixed drivers",IF(BH1354="Supply chain","multiple supply","multiple silviculture"))))</f>
        <v>supply chain organization</v>
      </c>
      <c r="BH1354" s="2" t="str" cm="1">
        <f t="array" ref="BH1354">IF(COUNTIF(BB1354:BD1354,"&lt;&gt;0")=1,INDEX($X$4:$AY$4,MATCH(TRUE,INDEX($X1354:$AY1354&lt;&gt;0,),0)),IF(COUNTIF(BB1354:BD1354,"&lt;&gt;0")=0,INDEX($AO$4:$AY$4,MATCH(1,$AO1354:$AY1354,0)),"Multiple strategies"))</f>
        <v>Supply chain</v>
      </c>
      <c r="BI1354" s="142"/>
      <c r="BJ1354" s="260"/>
      <c r="BK1354" s="260"/>
      <c r="BL1354" s="143"/>
      <c r="BN1354" s="143"/>
      <c r="BO1354" s="163"/>
      <c r="BQ1354" s="159"/>
      <c r="BR1354" t="s">
        <v>232</v>
      </c>
      <c r="BS1354" s="153" t="s">
        <v>429</v>
      </c>
      <c r="BT1354" t="s">
        <v>830</v>
      </c>
      <c r="BU1354">
        <v>829.35699999999997</v>
      </c>
      <c r="BV1354">
        <v>739.44899999999996</v>
      </c>
      <c r="BW1354" s="144">
        <f>IFERROR(BU1354/BV1354,"")</f>
        <v>1.1215878309389831</v>
      </c>
      <c r="BX1354">
        <f>BU1354-BV1354</f>
        <v>89.908000000000015</v>
      </c>
      <c r="BZ1354">
        <f>BX1354</f>
        <v>89.908000000000015</v>
      </c>
      <c r="CA1354" t="str">
        <f>IFERROR(BZ1354/BQ1354,"")</f>
        <v/>
      </c>
      <c r="CB1354">
        <v>0</v>
      </c>
      <c r="CC1354">
        <v>0</v>
      </c>
      <c r="CD1354">
        <v>0</v>
      </c>
      <c r="CE1354">
        <v>0</v>
      </c>
      <c r="CF1354">
        <v>0</v>
      </c>
      <c r="CG1354">
        <v>0</v>
      </c>
      <c r="CH1354">
        <v>0</v>
      </c>
      <c r="CI1354">
        <v>0</v>
      </c>
      <c r="CJ1354">
        <v>0</v>
      </c>
      <c r="CK1354">
        <v>0</v>
      </c>
      <c r="CL1354">
        <v>0</v>
      </c>
      <c r="CM1354">
        <v>0</v>
      </c>
      <c r="CN1354">
        <v>0</v>
      </c>
      <c r="CO1354">
        <v>0</v>
      </c>
      <c r="CP1354" t="str">
        <f>IF(BN1354&lt;BM1354,"refNeedCorrection","refOK")</f>
        <v>refOK</v>
      </c>
      <c r="CQ1354"/>
      <c r="CR1354"/>
      <c r="CS1354"/>
      <c r="CT1354">
        <f>IF(BI1354="Roundwood",$CS1354/2,$CS1354)</f>
        <v>0</v>
      </c>
      <c r="CU1354">
        <f>IF($CP1354="refOK",$BV1354,$BU1354)*IF($BR1354="Emissions positive",-1,1)</f>
        <v>739.44899999999996</v>
      </c>
      <c r="CV1354">
        <f>IF($CP1354="refOK",$BU1354,$BV1354)*IF($BR1354="Emissions positive",-1,1)</f>
        <v>829.35699999999997</v>
      </c>
      <c r="CW1354">
        <f>IF($CP1354="refNeedCorrection",-BZ1354,BZ1354)*IF($BR1354="Emissions positive",-1,1)</f>
        <v>89.908000000000015</v>
      </c>
      <c r="CX1354" t="str">
        <f>IFERROR($CW1354/$CS1354,"")</f>
        <v/>
      </c>
      <c r="CY1354" t="str">
        <f>IFERROR($CW1354/$CS1354,"")</f>
        <v/>
      </c>
      <c r="CZ1354" t="str">
        <f>IFERROR($CW1354/$CT1354,"")</f>
        <v/>
      </c>
      <c r="DA1354" s="2">
        <f>IFERROR((CV1354-CU1354)/ABS(CU1354),"")</f>
        <v>0.12158783093898297</v>
      </c>
      <c r="DB1354" s="1" t="s">
        <v>234</v>
      </c>
      <c r="DC1354" t="str">
        <f>IF(OR($DB1354="prd",$DB1354="std",$DB1354="cit"),"loc",IF(OR($DB1354="eur",$DB1354="reg",$DB1354="coy"),"reg",$DB1354))</f>
        <v>loc</v>
      </c>
      <c r="DD1354" t="s">
        <v>428</v>
      </c>
      <c r="DE1354">
        <v>2021</v>
      </c>
      <c r="DF1354" s="143">
        <v>2120</v>
      </c>
      <c r="DG1354" s="143">
        <v>100</v>
      </c>
      <c r="DH1354" t="str">
        <f>IF(DG1354=0,"0",IF(AND(DG1354&gt;=1,DG1354&lt;=30),"1-30",IF(AND(DG1354&gt;30,DG1354&lt;=70),"31-70",IF(AND(DG1354&gt;70,DG1354&lt;=100),"71-100",IF(DG1354&gt;100,"+100")))))</f>
        <v>71-100</v>
      </c>
      <c r="DI1354">
        <v>0</v>
      </c>
      <c r="DJ1354">
        <v>1</v>
      </c>
      <c r="DK1354">
        <v>0</v>
      </c>
      <c r="DL1354">
        <v>0</v>
      </c>
      <c r="DN1354">
        <f>SUM(DI1354:DL1354)</f>
        <v>1</v>
      </c>
      <c r="DO1354" t="str">
        <f>IF(DN1354=1,INDEX($DI$7:$DL$7,MATCH(1,$DI1354:$DL1354,0)),"mixedProduct")</f>
        <v>EnergyInput</v>
      </c>
      <c r="DP1354">
        <f>IF(DI1354=1,DP$7,0)</f>
        <v>0</v>
      </c>
      <c r="DQ1354" t="str">
        <f>IF(DJ1354=1,DQ$7,0)</f>
        <v>Energy</v>
      </c>
      <c r="DR1354">
        <f>IF(DK1354=1,DR$7,0)</f>
        <v>0</v>
      </c>
      <c r="DS1354">
        <f>IF(DL1354=1,DS$7,0)</f>
        <v>0</v>
      </c>
      <c r="DT1354">
        <v>0</v>
      </c>
      <c r="DU1354" s="143">
        <v>0</v>
      </c>
      <c r="DV1354" s="143">
        <v>0</v>
      </c>
      <c r="DW1354">
        <v>0</v>
      </c>
      <c r="DX1354" s="143">
        <v>0</v>
      </c>
      <c r="DY1354">
        <f>SUM(DT1354:DU1354)</f>
        <v>0</v>
      </c>
      <c r="DZ1354" s="143" t="str">
        <f>IF(DT1354=1,"self-calculated DF",IF(DU1354=1,"external DF used","explicit C balance"))</f>
        <v>explicit C balance</v>
      </c>
      <c r="EA1354" s="143">
        <v>0</v>
      </c>
      <c r="EB1354" s="143">
        <v>1</v>
      </c>
      <c r="EC1354" s="143">
        <v>1</v>
      </c>
      <c r="ED1354" s="143">
        <v>1</v>
      </c>
      <c r="EE1354">
        <v>1</v>
      </c>
      <c r="EF1354" s="143">
        <v>0</v>
      </c>
      <c r="EG1354" s="143">
        <v>1</v>
      </c>
      <c r="EH1354" s="143">
        <v>1</v>
      </c>
      <c r="EI1354" s="143">
        <v>1</v>
      </c>
      <c r="EJ1354">
        <v>0</v>
      </c>
      <c r="EK1354">
        <v>1</v>
      </c>
      <c r="EL1354" s="143">
        <v>1</v>
      </c>
      <c r="EM1354">
        <v>0</v>
      </c>
      <c r="EN1354" s="2">
        <v>0</v>
      </c>
      <c r="EP1354" t="str">
        <f>IF(AND(AND(AND(OR($EC1354=1,$EB1354=1),OR($EH1354=1,$EF1354=1)),SUM($EA1354:$EE1354,$EK1354)&gt;=3),SUM($EF1354:$EJ1354)&gt;=2),"Whole sector approach","")</f>
        <v>Whole sector approach</v>
      </c>
      <c r="EQ1354" t="str">
        <f>IF(AND(AND(OR($EC1354=1,$EB1354=1),AND($EH1354=0,$EF1354=0)),SUM($EA1354:$EE1354,$EK1354)&gt;=4),"Ecosystem approach","")</f>
        <v/>
      </c>
      <c r="ER1354" s="2" t="str">
        <f>IF(AND(AND(AND($EC1354=0,$EB1354=0),OR($EH1354=1,$EF1354=1)),SUM($EG1354:$EJ1354)&gt;=2),"Technology approach","")</f>
        <v/>
      </c>
      <c r="ES1354" t="str">
        <f>IF(AND($EC1354+$EB1354+$EE1354+$EA1354+$ED1354+$EG1354=0,$N1354="included"),"C neutral forest and HWP assumption","")</f>
        <v/>
      </c>
      <c r="ET1354" t="str">
        <f>IF(AND(AND(AND(AND($EC1354=1,$EB1354+$EA1354+$EG1354&gt;=1),$EF1354=1),$EH1354+$EI1354+$ED1354+$EE1354&gt;=2),$N1354="included"),"All C pools assumption","")</f>
        <v/>
      </c>
      <c r="EU1354" t="str">
        <f>IF(AND($ED1354+$EE1354+$EI1354+$EH1354+$EF1354=0,$N1354="included"),"In-situ only assumption","")</f>
        <v/>
      </c>
      <c r="EV1354" s="328" t="s">
        <v>5065</v>
      </c>
      <c r="EY1354" t="b">
        <f>IF(ISNUMBER(BW1354),IF(ABS(BW1354-[2]QC_indicators!$B$2)&gt;3*[2]QC_indicators!$C$2,"C ratio",IF(ISNUMBER(CA1354),IF(ABS(CA1354-[2]QC_indicators!$B$1)&gt;3*[2]QC_indicators!$C$1,"DF","no"))),IF(ISNUMBER(CA1354),IF(ABS(CA1354-[2]QC_indicators!$B$1)&gt;3*[2]QC_indicators!$C$1,"DF","no")))</f>
        <v>0</v>
      </c>
      <c r="FA1354" t="str">
        <f>IF(LEN($CY1354)=0,"",IF(AND($CY1354&lt;(-0.05),$ES1354="C neutral forest and HWP assumption"),"Cneutral paradox",IF(AND($CY1354&gt;0.05,$EU1354="In-situ only assumption"),"In-situ only paradox","")))</f>
        <v/>
      </c>
      <c r="FB1354" s="260" t="s">
        <v>2828</v>
      </c>
      <c r="FD1354" s="260" t="s">
        <v>2829</v>
      </c>
    </row>
    <row r="1355" spans="1:160" ht="15" hidden="1" customHeight="1">
      <c r="A1355" s="1" t="s">
        <v>819</v>
      </c>
      <c r="B1355" t="s">
        <v>820</v>
      </c>
      <c r="C1355" t="s">
        <v>821</v>
      </c>
      <c r="D1355" t="s">
        <v>822</v>
      </c>
      <c r="E1355" t="s">
        <v>823</v>
      </c>
      <c r="F1355" t="s">
        <v>824</v>
      </c>
      <c r="G1355" t="s">
        <v>825</v>
      </c>
      <c r="H1355" t="s">
        <v>254</v>
      </c>
      <c r="I1355">
        <v>2020</v>
      </c>
      <c r="J1355">
        <v>5</v>
      </c>
      <c r="K1355" t="s">
        <v>826</v>
      </c>
      <c r="M1355" t="str">
        <f>LEFT($D1355,FIND(",",$D1355)-1)&amp;"_"&amp;I1355&amp;L1355</f>
        <v>Lan_2020</v>
      </c>
      <c r="N1355" t="s">
        <v>222</v>
      </c>
      <c r="O1355" s="145" t="s">
        <v>225</v>
      </c>
      <c r="Q1355" t="s">
        <v>256</v>
      </c>
      <c r="R1355" s="258" t="s">
        <v>223</v>
      </c>
      <c r="S1355" s="1" t="s">
        <v>840</v>
      </c>
      <c r="T1355" t="s">
        <v>843</v>
      </c>
      <c r="U1355" t="s">
        <v>844</v>
      </c>
      <c r="V1355" s="253">
        <v>0</v>
      </c>
      <c r="W1355" s="253">
        <v>0</v>
      </c>
      <c r="X1355">
        <v>0</v>
      </c>
      <c r="Y1355">
        <v>0</v>
      </c>
      <c r="Z1355">
        <v>0</v>
      </c>
      <c r="AA1355">
        <v>0</v>
      </c>
      <c r="AB1355">
        <v>0</v>
      </c>
      <c r="AC1355">
        <v>0</v>
      </c>
      <c r="AD1355">
        <v>0</v>
      </c>
      <c r="AE1355">
        <v>0</v>
      </c>
      <c r="AF1355">
        <v>0</v>
      </c>
      <c r="AG1355">
        <v>0</v>
      </c>
      <c r="AH1355">
        <v>1</v>
      </c>
      <c r="AI1355">
        <v>0</v>
      </c>
      <c r="AJ1355">
        <v>0</v>
      </c>
      <c r="AK1355">
        <v>0</v>
      </c>
      <c r="AL1355">
        <v>0</v>
      </c>
      <c r="AM1355">
        <v>0</v>
      </c>
      <c r="AN1355">
        <v>0</v>
      </c>
      <c r="AO1355">
        <v>0</v>
      </c>
      <c r="AP1355">
        <v>0</v>
      </c>
      <c r="AQ1355">
        <v>0</v>
      </c>
      <c r="AR1355">
        <v>0</v>
      </c>
      <c r="AS1355">
        <v>0</v>
      </c>
      <c r="AT1355">
        <v>0</v>
      </c>
      <c r="AU1355">
        <v>0</v>
      </c>
      <c r="AV1355">
        <v>0</v>
      </c>
      <c r="AW1355">
        <v>0</v>
      </c>
      <c r="AX1355">
        <v>0</v>
      </c>
      <c r="AY1355">
        <v>0</v>
      </c>
      <c r="AZ1355" s="141">
        <f>COUNTIF(X1355:AY1355,"&lt;&gt;0")</f>
        <v>1</v>
      </c>
      <c r="BA1355" s="141">
        <f>COUNTIF(X1355:AN1355,"&lt;&gt;0")</f>
        <v>1</v>
      </c>
      <c r="BB1355">
        <f>COUNTIF(X1355:AE1355,"&lt;&gt;0")</f>
        <v>0</v>
      </c>
      <c r="BC1355">
        <f>COUNTIF(AF1355:AK1355,"&lt;&gt;0")</f>
        <v>1</v>
      </c>
      <c r="BD1355">
        <f>COUNTIF(AL1355:AN1355,"&lt;&gt;0")</f>
        <v>0</v>
      </c>
      <c r="BE1355">
        <f>COUNTIF(AU1355:AY1355,"&lt;&gt;0")</f>
        <v>0</v>
      </c>
      <c r="BF1355">
        <f>COUNTIF(AO1355:AT1355,"&lt;&gt;0")</f>
        <v>0</v>
      </c>
      <c r="BG1355" t="str">
        <f t="array" ref="BG1355">IF(BA1355=1,INDEX($X$7:$AN$7,MATCH(TRUE,INDEX($X1355:$AY1355&lt;&gt;0,),0)),IF(BA1355=0,INDEX($AO$7:$AY$7,MATCH(1,$AO1355:$AY1355,0)),IF(BH1355="Multiple strategies","mixed drivers",IF(BH1355="Supply chain","multiple supply","multiple silviculture"))))</f>
        <v>supply chain organization</v>
      </c>
      <c r="BH1355" s="2" t="str" cm="1">
        <f t="array" ref="BH1355">IF(COUNTIF(BB1355:BD1355,"&lt;&gt;0")=1,INDEX($X$4:$AY$4,MATCH(TRUE,INDEX($X1355:$AY1355&lt;&gt;0,),0)),IF(COUNTIF(BB1355:BD1355,"&lt;&gt;0")=0,INDEX($AO$4:$AY$4,MATCH(1,$AO1355:$AY1355,0)),"Multiple strategies"))</f>
        <v>Supply chain</v>
      </c>
      <c r="BI1355" s="142"/>
      <c r="BJ1355" s="260"/>
      <c r="BK1355" s="260"/>
      <c r="BL1355" s="143"/>
      <c r="BN1355" s="143"/>
      <c r="BO1355" s="163"/>
      <c r="BQ1355" s="159"/>
      <c r="BR1355" t="s">
        <v>232</v>
      </c>
      <c r="BS1355" s="153" t="s">
        <v>429</v>
      </c>
      <c r="BT1355" t="s">
        <v>830</v>
      </c>
      <c r="BU1355">
        <v>1291.7429999999999</v>
      </c>
      <c r="BV1355">
        <v>1150.4580000000001</v>
      </c>
      <c r="BW1355" s="144">
        <f>IFERROR(BU1355/BV1355,"")</f>
        <v>1.1228076122726773</v>
      </c>
      <c r="BX1355">
        <f>BU1355-BV1355</f>
        <v>141.28499999999985</v>
      </c>
      <c r="BZ1355">
        <f>BX1355</f>
        <v>141.28499999999985</v>
      </c>
      <c r="CA1355" t="str">
        <f>IFERROR(BZ1355/BQ1355,"")</f>
        <v/>
      </c>
      <c r="CB1355">
        <v>0</v>
      </c>
      <c r="CC1355">
        <v>0</v>
      </c>
      <c r="CD1355">
        <v>0</v>
      </c>
      <c r="CE1355">
        <v>0</v>
      </c>
      <c r="CF1355">
        <v>0</v>
      </c>
      <c r="CG1355">
        <v>0</v>
      </c>
      <c r="CH1355">
        <v>0</v>
      </c>
      <c r="CI1355">
        <v>0</v>
      </c>
      <c r="CJ1355">
        <v>0</v>
      </c>
      <c r="CK1355">
        <v>0</v>
      </c>
      <c r="CL1355">
        <v>0</v>
      </c>
      <c r="CM1355">
        <v>0</v>
      </c>
      <c r="CN1355">
        <v>0</v>
      </c>
      <c r="CO1355">
        <v>0</v>
      </c>
      <c r="CP1355" t="str">
        <f>IF($BN1355&lt;$BM1355,"refNeedCorrection","refOK")</f>
        <v>refOK</v>
      </c>
      <c r="CQ1355"/>
      <c r="CR1355"/>
      <c r="CS1355"/>
      <c r="CT1355">
        <f>IF(BI1355="Roundwood",$CS1355/2,$CS1355)</f>
        <v>0</v>
      </c>
      <c r="CU1355">
        <f>IF($CP1355="refOK",$BV1355,$BU1355)*IF($BR1355="Emissions positive",-1,1)</f>
        <v>1150.4580000000001</v>
      </c>
      <c r="CV1355">
        <f>IF($CP1355="refOK",$BU1355,$BV1355)*IF($BR1355="Emissions positive",-1,1)</f>
        <v>1291.7429999999999</v>
      </c>
      <c r="CW1355">
        <f>IF($CP1355="refNeedCorrection",-BZ1355,BZ1355)*IF($BR1355="Emissions positive",-1,1)</f>
        <v>141.28499999999985</v>
      </c>
      <c r="CX1355" t="str">
        <f>IFERROR($CW1355/$CS1355,"")</f>
        <v/>
      </c>
      <c r="CY1355" t="str">
        <f>IFERROR($CW1355/$CS1355,"")</f>
        <v/>
      </c>
      <c r="CZ1355" t="str">
        <f>IFERROR($CW1355/$CT1355,"")</f>
        <v/>
      </c>
      <c r="DA1355" s="2">
        <f>IFERROR((CV1355-CU1355)/ABS(CU1355),"")</f>
        <v>0.12280761227267735</v>
      </c>
      <c r="DB1355" s="1" t="s">
        <v>234</v>
      </c>
      <c r="DC1355" t="str">
        <f>IF(OR($DB1355="prd",$DB1355="std",$DB1355="cit"),"loc",IF(OR($DB1355="eur",$DB1355="reg",$DB1355="coy"),"reg",$DB1355))</f>
        <v>loc</v>
      </c>
      <c r="DD1355" t="s">
        <v>428</v>
      </c>
      <c r="DE1355">
        <v>2021</v>
      </c>
      <c r="DF1355" s="143">
        <v>2120</v>
      </c>
      <c r="DG1355" s="143">
        <v>100</v>
      </c>
      <c r="DH1355" t="str">
        <f>IF(DG1355=0,"0",IF(AND(DG1355&gt;=1,DG1355&lt;=30),"1-30",IF(AND(DG1355&gt;30,DG1355&lt;=70),"31-70",IF(AND(DG1355&gt;70,DG1355&lt;=100),"71-100",IF(DG1355&gt;100,"+100")))))</f>
        <v>71-100</v>
      </c>
      <c r="DI1355">
        <v>0</v>
      </c>
      <c r="DJ1355">
        <v>1</v>
      </c>
      <c r="DK1355">
        <v>0</v>
      </c>
      <c r="DL1355">
        <v>0</v>
      </c>
      <c r="DN1355">
        <f>SUM(DI1355:DL1355)</f>
        <v>1</v>
      </c>
      <c r="DO1355" t="str">
        <f>IF(DN1355=1,INDEX($DI$7:$DL$7,MATCH(1,$DI1355:$DL1355,0)),"mixedProduct")</f>
        <v>EnergyInput</v>
      </c>
      <c r="DP1355">
        <f>IF(DI1355=1,DP$7,0)</f>
        <v>0</v>
      </c>
      <c r="DQ1355" t="str">
        <f>IF(DJ1355=1,DQ$7,0)</f>
        <v>Energy</v>
      </c>
      <c r="DR1355">
        <f>IF(DK1355=1,DR$7,0)</f>
        <v>0</v>
      </c>
      <c r="DS1355">
        <f>IF(DL1355=1,DS$7,0)</f>
        <v>0</v>
      </c>
      <c r="DT1355">
        <v>0</v>
      </c>
      <c r="DU1355" s="143">
        <v>0</v>
      </c>
      <c r="DV1355" s="143">
        <v>0</v>
      </c>
      <c r="DW1355">
        <v>0</v>
      </c>
      <c r="DX1355" s="143">
        <v>0</v>
      </c>
      <c r="DY1355">
        <f>SUM(DT1355:DU1355)</f>
        <v>0</v>
      </c>
      <c r="DZ1355" s="143" t="str">
        <f>IF(DT1355=1,"self-calculated DF",IF(DU1355=1,"external DF used","explicit C balance"))</f>
        <v>explicit C balance</v>
      </c>
      <c r="EA1355" s="143">
        <v>0</v>
      </c>
      <c r="EB1355" s="143">
        <v>1</v>
      </c>
      <c r="EC1355" s="143">
        <v>1</v>
      </c>
      <c r="ED1355" s="143">
        <v>1</v>
      </c>
      <c r="EE1355">
        <v>1</v>
      </c>
      <c r="EF1355" s="143">
        <v>0</v>
      </c>
      <c r="EG1355" s="143">
        <v>1</v>
      </c>
      <c r="EH1355" s="143">
        <v>1</v>
      </c>
      <c r="EI1355" s="143">
        <v>1</v>
      </c>
      <c r="EJ1355">
        <v>0</v>
      </c>
      <c r="EK1355">
        <v>1</v>
      </c>
      <c r="EL1355" s="143">
        <v>1</v>
      </c>
      <c r="EM1355">
        <v>0</v>
      </c>
      <c r="EN1355" s="2">
        <v>0</v>
      </c>
      <c r="EP1355" t="str">
        <f>IF(AND(AND(AND(OR($EC1355=1,$EB1355=1),OR($EH1355=1,$EF1355=1)),SUM($EA1355:$EE1355,$EK1355)&gt;=3),SUM($EF1355:$EJ1355)&gt;=2),"Whole sector approach","")</f>
        <v>Whole sector approach</v>
      </c>
      <c r="EQ1355" t="str">
        <f>IF(AND(AND(OR($EC1355=1,$EB1355=1),AND($EH1355=0,$EF1355=0)),SUM($EA1355:$EE1355,$EK1355)&gt;=4),"Ecosystem approach","")</f>
        <v/>
      </c>
      <c r="ER1355" s="2" t="str">
        <f>IF(AND(AND(AND($EC1355=0,$EB1355=0),OR($EH1355=1,$EF1355=1)),SUM($EG1355:$EJ1355)&gt;=2),"Technology approach","")</f>
        <v/>
      </c>
      <c r="ES1355" t="str">
        <f>IF(AND($EC1355+$EB1355+$EE1355+$EA1355+$ED1355+$EG1355=0,$N1355="included"),"C neutral forest and HWP assumption","")</f>
        <v/>
      </c>
      <c r="ET1355" t="str">
        <f>IF(AND(AND(AND(AND($EC1355=1,$EB1355+$EA1355+$EG1355&gt;=1),$EF1355=1),$EH1355+$EI1355+$ED1355+$EE1355&gt;=2),$N1355="included"),"All C pools assumption","")</f>
        <v/>
      </c>
      <c r="EU1355" t="str">
        <f>IF(AND($ED1355+$EE1355+$EI1355+$EH1355+$EF1355=0,$N1355="included"),"In-situ only assumption","")</f>
        <v/>
      </c>
      <c r="EV1355" s="328" t="s">
        <v>5065</v>
      </c>
      <c r="EY1355" t="b">
        <f>IF(ISNUMBER(BW1355),IF(ABS(BW1355-[2]QC_indicators!$B$2)&gt;3*[2]QC_indicators!$C$2,"C ratio",IF(ISNUMBER(CA1355),IF(ABS(CA1355-[2]QC_indicators!$B$1)&gt;3*[2]QC_indicators!$C$1,"DF","no"))),IF(ISNUMBER(CA1355),IF(ABS(CA1355-[2]QC_indicators!$B$1)&gt;3*[2]QC_indicators!$C$1,"DF","no")))</f>
        <v>0</v>
      </c>
      <c r="FA1355" t="str">
        <f>IF(LEN($CY1355)=0,"",IF(AND($CY1355&lt;(-0.05),$ES1355="C neutral forest and HWP assumption"),"Cneutral paradox",IF(AND($CY1355&gt;0.05,$EU1355="In-situ only assumption"),"In-situ only paradox","")))</f>
        <v/>
      </c>
      <c r="FB1355" s="260" t="s">
        <v>2828</v>
      </c>
      <c r="FD1355" s="260" t="s">
        <v>2829</v>
      </c>
    </row>
    <row r="1356" spans="1:160" ht="18" hidden="1" customHeight="1">
      <c r="A1356" s="1" t="s">
        <v>819</v>
      </c>
      <c r="B1356" t="s">
        <v>820</v>
      </c>
      <c r="C1356" t="s">
        <v>821</v>
      </c>
      <c r="D1356" t="s">
        <v>822</v>
      </c>
      <c r="E1356" t="s">
        <v>823</v>
      </c>
      <c r="F1356" t="s">
        <v>824</v>
      </c>
      <c r="G1356" t="s">
        <v>825</v>
      </c>
      <c r="H1356" t="s">
        <v>254</v>
      </c>
      <c r="I1356">
        <v>2020</v>
      </c>
      <c r="J1356">
        <v>5</v>
      </c>
      <c r="K1356" t="s">
        <v>826</v>
      </c>
      <c r="M1356" t="str">
        <f>LEFT($D1356,FIND(",",$D1356)-1)&amp;"_"&amp;I1356&amp;L1356</f>
        <v>Lan_2020</v>
      </c>
      <c r="N1356" t="s">
        <v>222</v>
      </c>
      <c r="O1356" s="145" t="s">
        <v>225</v>
      </c>
      <c r="Q1356" t="s">
        <v>256</v>
      </c>
      <c r="R1356" s="258" t="s">
        <v>223</v>
      </c>
      <c r="S1356" s="1" t="s">
        <v>840</v>
      </c>
      <c r="T1356" t="s">
        <v>845</v>
      </c>
      <c r="U1356" t="s">
        <v>846</v>
      </c>
      <c r="V1356" s="253">
        <v>0</v>
      </c>
      <c r="W1356" s="253">
        <v>0</v>
      </c>
      <c r="X1356">
        <v>0</v>
      </c>
      <c r="Y1356">
        <v>0</v>
      </c>
      <c r="Z1356">
        <v>0</v>
      </c>
      <c r="AA1356">
        <v>0</v>
      </c>
      <c r="AB1356">
        <v>0</v>
      </c>
      <c r="AC1356">
        <v>0</v>
      </c>
      <c r="AD1356">
        <v>0</v>
      </c>
      <c r="AE1356">
        <v>0</v>
      </c>
      <c r="AF1356">
        <v>0</v>
      </c>
      <c r="AG1356">
        <v>0</v>
      </c>
      <c r="AH1356">
        <v>1</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s="141">
        <f>COUNTIF(X1356:AY1356,"&lt;&gt;0")</f>
        <v>1</v>
      </c>
      <c r="BA1356" s="141">
        <f>COUNTIF(X1356:AN1356,"&lt;&gt;0")</f>
        <v>1</v>
      </c>
      <c r="BB1356">
        <f>COUNTIF(X1356:AE1356,"&lt;&gt;0")</f>
        <v>0</v>
      </c>
      <c r="BC1356">
        <f>COUNTIF(AF1356:AK1356,"&lt;&gt;0")</f>
        <v>1</v>
      </c>
      <c r="BD1356">
        <f>COUNTIF(AL1356:AN1356,"&lt;&gt;0")</f>
        <v>0</v>
      </c>
      <c r="BE1356">
        <f>COUNTIF(AU1356:AY1356,"&lt;&gt;0")</f>
        <v>0</v>
      </c>
      <c r="BF1356">
        <f>COUNTIF(AO1356:AT1356,"&lt;&gt;0")</f>
        <v>0</v>
      </c>
      <c r="BG1356" t="str">
        <f t="array" ref="BG1356">IF(BA1356=1,INDEX($X$7:$AN$7,MATCH(TRUE,INDEX($X1356:$AY1356&lt;&gt;0,),0)),IF(BA1356=0,INDEX($AO$7:$AY$7,MATCH(1,$AO1356:$AY1356,0)),IF(BH1356="Multiple strategies","mixed drivers",IF(BH1356="Supply chain","multiple supply","multiple silviculture"))))</f>
        <v>supply chain organization</v>
      </c>
      <c r="BH1356" s="2" t="str" cm="1">
        <f t="array" ref="BH1356">IF(COUNTIF(BB1356:BD1356,"&lt;&gt;0")=1,INDEX($X$4:$AY$4,MATCH(TRUE,INDEX($X1356:$AY1356&lt;&gt;0,),0)),IF(COUNTIF(BB1356:BD1356,"&lt;&gt;0")=0,INDEX($AO$4:$AY$4,MATCH(1,$AO1356:$AY1356,0)),"Multiple strategies"))</f>
        <v>Supply chain</v>
      </c>
      <c r="BI1356" s="142"/>
      <c r="BJ1356" s="260"/>
      <c r="BK1356" s="260"/>
      <c r="BL1356" s="143"/>
      <c r="BN1356" s="143"/>
      <c r="BO1356" s="163"/>
      <c r="BQ1356" s="159"/>
      <c r="BR1356" t="s">
        <v>232</v>
      </c>
      <c r="BS1356" s="153" t="s">
        <v>429</v>
      </c>
      <c r="BT1356" t="s">
        <v>830</v>
      </c>
      <c r="BU1356">
        <v>816.51300000000003</v>
      </c>
      <c r="BV1356">
        <v>726.60500000000002</v>
      </c>
      <c r="BW1356" s="144">
        <f>IFERROR(BU1356/BV1356,"")</f>
        <v>1.1237371061305661</v>
      </c>
      <c r="BX1356">
        <f>BU1356-BV1356</f>
        <v>89.908000000000015</v>
      </c>
      <c r="BZ1356">
        <f>BX1356</f>
        <v>89.908000000000015</v>
      </c>
      <c r="CA1356" t="str">
        <f>IFERROR(BZ1356/BQ1356,"")</f>
        <v/>
      </c>
      <c r="CB1356">
        <v>0</v>
      </c>
      <c r="CC1356">
        <v>0</v>
      </c>
      <c r="CD1356">
        <v>0</v>
      </c>
      <c r="CE1356">
        <v>0</v>
      </c>
      <c r="CF1356">
        <v>0</v>
      </c>
      <c r="CG1356">
        <v>0</v>
      </c>
      <c r="CH1356">
        <v>0</v>
      </c>
      <c r="CI1356">
        <v>0</v>
      </c>
      <c r="CJ1356">
        <v>0</v>
      </c>
      <c r="CK1356">
        <v>0</v>
      </c>
      <c r="CL1356">
        <v>0</v>
      </c>
      <c r="CM1356">
        <v>0</v>
      </c>
      <c r="CN1356">
        <v>0</v>
      </c>
      <c r="CO1356">
        <v>0</v>
      </c>
      <c r="CP1356" t="str">
        <f>IF(BN1356&lt;BM1356,"refNeedCorrection","refOK")</f>
        <v>refOK</v>
      </c>
      <c r="CQ1356"/>
      <c r="CR1356"/>
      <c r="CS1356"/>
      <c r="CT1356">
        <f>IF(BI1356="Roundwood",$CS1356/2,$CS1356)</f>
        <v>0</v>
      </c>
      <c r="CU1356">
        <f>IF($CP1356="refOK",$BV1356,$BU1356)*IF($BR1356="Emissions positive",-1,1)</f>
        <v>726.60500000000002</v>
      </c>
      <c r="CV1356">
        <f>IF($CP1356="refOK",$BU1356,$BV1356)*IF($BR1356="Emissions positive",-1,1)</f>
        <v>816.51300000000003</v>
      </c>
      <c r="CW1356">
        <f>IF($CP1356="refNeedCorrection",-BZ1356,BZ1356)*IF($BR1356="Emissions positive",-1,1)</f>
        <v>89.908000000000015</v>
      </c>
      <c r="CX1356" t="str">
        <f>IFERROR($CW1356/$CS1356,"")</f>
        <v/>
      </c>
      <c r="CY1356" t="str">
        <f>IFERROR($CW1356/$CS1356,"")</f>
        <v/>
      </c>
      <c r="CZ1356" t="str">
        <f>IFERROR($CW1356/$CT1356,"")</f>
        <v/>
      </c>
      <c r="DA1356" s="2">
        <f>IFERROR((CV1356-CU1356)/ABS(CU1356),"")</f>
        <v>0.12373710613056614</v>
      </c>
      <c r="DB1356" s="1" t="s">
        <v>234</v>
      </c>
      <c r="DC1356" t="str">
        <f>IF(OR($DB1356="prd",$DB1356="std",$DB1356="cit"),"loc",IF(OR($DB1356="eur",$DB1356="reg",$DB1356="coy"),"reg",$DB1356))</f>
        <v>loc</v>
      </c>
      <c r="DD1356" t="s">
        <v>428</v>
      </c>
      <c r="DE1356">
        <v>2021</v>
      </c>
      <c r="DF1356" s="143">
        <v>2120</v>
      </c>
      <c r="DG1356" s="143">
        <v>100</v>
      </c>
      <c r="DH1356" t="str">
        <f>IF(DG1356=0,"0",IF(AND(DG1356&gt;=1,DG1356&lt;=30),"1-30",IF(AND(DG1356&gt;30,DG1356&lt;=70),"31-70",IF(AND(DG1356&gt;70,DG1356&lt;=100),"71-100",IF(DG1356&gt;100,"+100")))))</f>
        <v>71-100</v>
      </c>
      <c r="DI1356">
        <v>0</v>
      </c>
      <c r="DJ1356">
        <v>1</v>
      </c>
      <c r="DK1356">
        <v>0</v>
      </c>
      <c r="DL1356">
        <v>0</v>
      </c>
      <c r="DN1356">
        <f>SUM(DI1356:DL1356)</f>
        <v>1</v>
      </c>
      <c r="DO1356" t="str">
        <f>IF(DN1356=1,INDEX($DI$7:$DL$7,MATCH(1,$DI1356:$DL1356,0)),"mixedProduct")</f>
        <v>EnergyInput</v>
      </c>
      <c r="DP1356">
        <f>IF(DI1356=1,DP$7,0)</f>
        <v>0</v>
      </c>
      <c r="DQ1356" t="str">
        <f>IF(DJ1356=1,DQ$7,0)</f>
        <v>Energy</v>
      </c>
      <c r="DR1356">
        <f>IF(DK1356=1,DR$7,0)</f>
        <v>0</v>
      </c>
      <c r="DS1356">
        <f>IF(DL1356=1,DS$7,0)</f>
        <v>0</v>
      </c>
      <c r="DT1356">
        <v>0</v>
      </c>
      <c r="DU1356" s="143">
        <v>0</v>
      </c>
      <c r="DV1356" s="143">
        <v>0</v>
      </c>
      <c r="DW1356">
        <v>0</v>
      </c>
      <c r="DX1356" s="143">
        <v>0</v>
      </c>
      <c r="DY1356">
        <f>SUM(DT1356:DU1356)</f>
        <v>0</v>
      </c>
      <c r="DZ1356" s="143" t="str">
        <f>IF(DT1356=1,"self-calculated DF",IF(DU1356=1,"external DF used","explicit C balance"))</f>
        <v>explicit C balance</v>
      </c>
      <c r="EA1356" s="143">
        <v>0</v>
      </c>
      <c r="EB1356" s="143">
        <v>1</v>
      </c>
      <c r="EC1356" s="143">
        <v>1</v>
      </c>
      <c r="ED1356" s="143">
        <v>1</v>
      </c>
      <c r="EE1356">
        <v>1</v>
      </c>
      <c r="EF1356" s="143">
        <v>0</v>
      </c>
      <c r="EG1356" s="143">
        <v>1</v>
      </c>
      <c r="EH1356" s="143">
        <v>1</v>
      </c>
      <c r="EI1356" s="143">
        <v>1</v>
      </c>
      <c r="EJ1356">
        <v>0</v>
      </c>
      <c r="EK1356">
        <v>1</v>
      </c>
      <c r="EL1356" s="143">
        <v>1</v>
      </c>
      <c r="EM1356">
        <v>0</v>
      </c>
      <c r="EN1356" s="2">
        <v>0</v>
      </c>
      <c r="EP1356" t="str">
        <f>IF(AND(AND(AND(OR($EC1356=1,$EB1356=1),OR($EH1356=1,$EF1356=1)),SUM($EA1356:$EE1356,$EK1356)&gt;=3),SUM($EF1356:$EJ1356)&gt;=2),"Whole sector approach","")</f>
        <v>Whole sector approach</v>
      </c>
      <c r="EQ1356" t="str">
        <f>IF(AND(AND(OR($EC1356=1,$EB1356=1),AND($EH1356=0,$EF1356=0)),SUM($EA1356:$EE1356,$EK1356)&gt;=4),"Ecosystem approach","")</f>
        <v/>
      </c>
      <c r="ER1356" s="2" t="str">
        <f>IF(AND(AND(AND($EC1356=0,$EB1356=0),OR($EH1356=1,$EF1356=1)),SUM($EG1356:$EJ1356)&gt;=2),"Technology approach","")</f>
        <v/>
      </c>
      <c r="ES1356" t="str">
        <f>IF(AND($EC1356+$EB1356+$EE1356+$EA1356+$ED1356+$EG1356=0,$N1356="included"),"C neutral forest and HWP assumption","")</f>
        <v/>
      </c>
      <c r="ET1356" t="str">
        <f>IF(AND(AND(AND(AND($EC1356=1,$EB1356+$EA1356+$EG1356&gt;=1),$EF1356=1),$EH1356+$EI1356+$ED1356+$EE1356&gt;=2),$N1356="included"),"All C pools assumption","")</f>
        <v/>
      </c>
      <c r="EU1356" t="str">
        <f>IF(AND($ED1356+$EE1356+$EI1356+$EH1356+$EF1356=0,$N1356="included"),"In-situ only assumption","")</f>
        <v/>
      </c>
      <c r="EV1356" s="328" t="s">
        <v>5065</v>
      </c>
      <c r="EY1356" t="b">
        <f>IF(ISNUMBER(BW1356),IF(ABS(BW1356-[2]QC_indicators!$B$2)&gt;3*[2]QC_indicators!$C$2,"C ratio",IF(ISNUMBER(CA1356),IF(ABS(CA1356-[2]QC_indicators!$B$1)&gt;3*[2]QC_indicators!$C$1,"DF","no"))),IF(ISNUMBER(CA1356),IF(ABS(CA1356-[2]QC_indicators!$B$1)&gt;3*[2]QC_indicators!$C$1,"DF","no")))</f>
        <v>0</v>
      </c>
      <c r="FA1356" t="str">
        <f>IF(LEN($CY1356)=0,"",IF(AND($CY1356&lt;(-0.05),$ES1356="C neutral forest and HWP assumption"),"Cneutral paradox",IF(AND($CY1356&gt;0.05,$EU1356="In-situ only assumption"),"In-situ only paradox","")))</f>
        <v/>
      </c>
      <c r="FB1356" s="260" t="s">
        <v>2828</v>
      </c>
      <c r="FD1356" s="260" t="s">
        <v>2829</v>
      </c>
    </row>
    <row r="1357" spans="1:160" hidden="1">
      <c r="A1357" s="1" t="s">
        <v>819</v>
      </c>
      <c r="B1357" t="s">
        <v>820</v>
      </c>
      <c r="C1357" t="s">
        <v>821</v>
      </c>
      <c r="D1357" t="s">
        <v>822</v>
      </c>
      <c r="E1357" t="s">
        <v>823</v>
      </c>
      <c r="F1357" t="s">
        <v>824</v>
      </c>
      <c r="G1357" t="s">
        <v>825</v>
      </c>
      <c r="H1357" t="s">
        <v>254</v>
      </c>
      <c r="I1357">
        <v>2020</v>
      </c>
      <c r="J1357">
        <v>5</v>
      </c>
      <c r="K1357" t="s">
        <v>826</v>
      </c>
      <c r="M1357" t="str">
        <f>LEFT($D1357,FIND(",",$D1357)-1)&amp;"_"&amp;I1357&amp;L1357</f>
        <v>Lan_2020</v>
      </c>
      <c r="N1357" t="s">
        <v>222</v>
      </c>
      <c r="O1357" s="145" t="s">
        <v>225</v>
      </c>
      <c r="Q1357" t="s">
        <v>256</v>
      </c>
      <c r="R1357" s="258" t="s">
        <v>223</v>
      </c>
      <c r="S1357" s="1" t="s">
        <v>840</v>
      </c>
      <c r="T1357" t="s">
        <v>841</v>
      </c>
      <c r="U1357" t="s">
        <v>842</v>
      </c>
      <c r="V1357" s="253">
        <v>0</v>
      </c>
      <c r="W1357" s="253">
        <v>0</v>
      </c>
      <c r="X1357">
        <v>0</v>
      </c>
      <c r="Y1357">
        <v>0</v>
      </c>
      <c r="Z1357">
        <v>0</v>
      </c>
      <c r="AA1357">
        <v>0</v>
      </c>
      <c r="AB1357">
        <v>0</v>
      </c>
      <c r="AC1357">
        <v>0</v>
      </c>
      <c r="AD1357">
        <v>0</v>
      </c>
      <c r="AE1357">
        <v>0</v>
      </c>
      <c r="AF1357">
        <v>0</v>
      </c>
      <c r="AG1357">
        <v>0</v>
      </c>
      <c r="AH1357">
        <v>1</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s="141">
        <f>COUNTIF(X1357:AY1357,"&lt;&gt;0")</f>
        <v>1</v>
      </c>
      <c r="BA1357" s="141">
        <f>COUNTIF(X1357:AN1357,"&lt;&gt;0")</f>
        <v>1</v>
      </c>
      <c r="BB1357">
        <f>COUNTIF(X1357:AE1357,"&lt;&gt;0")</f>
        <v>0</v>
      </c>
      <c r="BC1357">
        <f>COUNTIF(AF1357:AK1357,"&lt;&gt;0")</f>
        <v>1</v>
      </c>
      <c r="BD1357">
        <f>COUNTIF(AL1357:AN1357,"&lt;&gt;0")</f>
        <v>0</v>
      </c>
      <c r="BE1357">
        <f>COUNTIF(AU1357:AY1357,"&lt;&gt;0")</f>
        <v>0</v>
      </c>
      <c r="BF1357">
        <f>COUNTIF(AO1357:AT1357,"&lt;&gt;0")</f>
        <v>0</v>
      </c>
      <c r="BG1357" t="str">
        <f t="array" ref="BG1357">IF(BA1357=1,INDEX($X$7:$AN$7,MATCH(TRUE,INDEX($X1357:$AY1357&lt;&gt;0,),0)),IF(BA1357=0,INDEX($AO$7:$AY$7,MATCH(1,$AO1357:$AY1357,0)),IF(BH1357="Multiple strategies","mixed drivers",IF(BH1357="Supply chain","multiple supply","multiple silviculture"))))</f>
        <v>supply chain organization</v>
      </c>
      <c r="BH1357" s="2" t="str" cm="1">
        <f t="array" ref="BH1357">IF(COUNTIF(BB1357:BD1357,"&lt;&gt;0")=1,INDEX($X$4:$AY$4,MATCH(TRUE,INDEX($X1357:$AY1357&lt;&gt;0,),0)),IF(COUNTIF(BB1357:BD1357,"&lt;&gt;0")=0,INDEX($AO$4:$AY$4,MATCH(1,$AO1357:$AY1357,0)),"Multiple strategies"))</f>
        <v>Supply chain</v>
      </c>
      <c r="BI1357" s="142"/>
      <c r="BJ1357" s="260"/>
      <c r="BK1357" s="260"/>
      <c r="BL1357" s="143"/>
      <c r="BN1357" s="143"/>
      <c r="BO1357" s="163"/>
      <c r="BQ1357" s="159"/>
      <c r="BR1357" t="s">
        <v>232</v>
      </c>
      <c r="BS1357" s="153" t="s">
        <v>429</v>
      </c>
      <c r="BT1357" t="s">
        <v>830</v>
      </c>
      <c r="BU1357">
        <v>1266.0550000000001</v>
      </c>
      <c r="BV1357">
        <v>1124.77</v>
      </c>
      <c r="BW1357" s="144">
        <f>IFERROR(BU1357/BV1357,"")</f>
        <v>1.1256123474132491</v>
      </c>
      <c r="BX1357">
        <f>BU1357-BV1357</f>
        <v>141.28500000000008</v>
      </c>
      <c r="BZ1357">
        <f>BX1357</f>
        <v>141.28500000000008</v>
      </c>
      <c r="CA1357" t="str">
        <f>IFERROR(BZ1357/BQ1357,"")</f>
        <v/>
      </c>
      <c r="CB1357">
        <v>0</v>
      </c>
      <c r="CC1357">
        <v>0</v>
      </c>
      <c r="CD1357">
        <v>0</v>
      </c>
      <c r="CE1357">
        <v>0</v>
      </c>
      <c r="CF1357">
        <v>0</v>
      </c>
      <c r="CG1357">
        <v>0</v>
      </c>
      <c r="CH1357">
        <v>0</v>
      </c>
      <c r="CI1357">
        <v>0</v>
      </c>
      <c r="CJ1357">
        <v>0</v>
      </c>
      <c r="CK1357">
        <v>0</v>
      </c>
      <c r="CL1357">
        <v>0</v>
      </c>
      <c r="CM1357">
        <v>0</v>
      </c>
      <c r="CN1357">
        <v>0</v>
      </c>
      <c r="CO1357">
        <v>0</v>
      </c>
      <c r="CP1357" t="str">
        <f>IF(BN1357&lt;BM1357,"refNeedCorrection","refOK")</f>
        <v>refOK</v>
      </c>
      <c r="CQ1357"/>
      <c r="CR1357"/>
      <c r="CS1357"/>
      <c r="CT1357">
        <f>IF(BI1357="Roundwood",$CS1357/2,$CS1357)</f>
        <v>0</v>
      </c>
      <c r="CU1357">
        <f>IF($CP1357="refOK",$BV1357,$BU1357)*IF($BR1357="Emissions positive",-1,1)</f>
        <v>1124.77</v>
      </c>
      <c r="CV1357">
        <f>IF($CP1357="refOK",$BU1357,$BV1357)*IF($BR1357="Emissions positive",-1,1)</f>
        <v>1266.0550000000001</v>
      </c>
      <c r="CW1357">
        <f>IF($CP1357="refNeedCorrection",-BZ1357,BZ1357)*IF($BR1357="Emissions positive",-1,1)</f>
        <v>141.28500000000008</v>
      </c>
      <c r="CX1357" t="str">
        <f>IFERROR($CW1357/$CS1357,"")</f>
        <v/>
      </c>
      <c r="CY1357" t="str">
        <f>IFERROR($CW1357/$CS1357,"")</f>
        <v/>
      </c>
      <c r="CZ1357" t="str">
        <f>IFERROR($CW1357/$CT1357,"")</f>
        <v/>
      </c>
      <c r="DA1357" s="2">
        <f>IFERROR((CV1357-CU1357)/ABS(CU1357),"")</f>
        <v>0.125612347413249</v>
      </c>
      <c r="DB1357" s="1" t="s">
        <v>234</v>
      </c>
      <c r="DC1357" t="str">
        <f>IF(OR($DB1357="prd",$DB1357="std",$DB1357="cit"),"loc",IF(OR($DB1357="eur",$DB1357="reg",$DB1357="coy"),"reg",$DB1357))</f>
        <v>loc</v>
      </c>
      <c r="DD1357" t="s">
        <v>428</v>
      </c>
      <c r="DE1357">
        <v>2021</v>
      </c>
      <c r="DF1357" s="143">
        <v>2120</v>
      </c>
      <c r="DG1357" s="143">
        <v>100</v>
      </c>
      <c r="DH1357" t="str">
        <f>IF(DG1357=0,"0",IF(AND(DG1357&gt;=1,DG1357&lt;=30),"1-30",IF(AND(DG1357&gt;30,DG1357&lt;=70),"31-70",IF(AND(DG1357&gt;70,DG1357&lt;=100),"71-100",IF(DG1357&gt;100,"+100")))))</f>
        <v>71-100</v>
      </c>
      <c r="DI1357">
        <v>0</v>
      </c>
      <c r="DJ1357">
        <v>1</v>
      </c>
      <c r="DK1357">
        <v>0</v>
      </c>
      <c r="DL1357">
        <v>0</v>
      </c>
      <c r="DN1357">
        <f>SUM(DI1357:DL1357)</f>
        <v>1</v>
      </c>
      <c r="DO1357" t="str">
        <f>IF(DN1357=1,INDEX($DI$7:$DL$7,MATCH(1,$DI1357:$DL1357,0)),"mixedProduct")</f>
        <v>EnergyInput</v>
      </c>
      <c r="DP1357">
        <f>IF(DI1357=1,DP$7,0)</f>
        <v>0</v>
      </c>
      <c r="DQ1357" t="str">
        <f>IF(DJ1357=1,DQ$7,0)</f>
        <v>Energy</v>
      </c>
      <c r="DR1357">
        <f>IF(DK1357=1,DR$7,0)</f>
        <v>0</v>
      </c>
      <c r="DS1357">
        <f>IF(DL1357=1,DS$7,0)</f>
        <v>0</v>
      </c>
      <c r="DT1357">
        <v>0</v>
      </c>
      <c r="DU1357" s="143">
        <v>0</v>
      </c>
      <c r="DV1357" s="143">
        <v>0</v>
      </c>
      <c r="DW1357">
        <v>0</v>
      </c>
      <c r="DX1357" s="143">
        <v>0</v>
      </c>
      <c r="DY1357">
        <f>SUM(DT1357:DU1357)</f>
        <v>0</v>
      </c>
      <c r="DZ1357" s="143" t="str">
        <f>IF(DT1357=1,"self-calculated DF",IF(DU1357=1,"external DF used","explicit C balance"))</f>
        <v>explicit C balance</v>
      </c>
      <c r="EA1357" s="143">
        <v>0</v>
      </c>
      <c r="EB1357" s="143">
        <v>1</v>
      </c>
      <c r="EC1357" s="143">
        <v>1</v>
      </c>
      <c r="ED1357" s="143">
        <v>1</v>
      </c>
      <c r="EE1357">
        <v>1</v>
      </c>
      <c r="EF1357" s="143">
        <v>0</v>
      </c>
      <c r="EG1357" s="143">
        <v>1</v>
      </c>
      <c r="EH1357" s="143">
        <v>1</v>
      </c>
      <c r="EI1357" s="143">
        <v>1</v>
      </c>
      <c r="EJ1357">
        <v>0</v>
      </c>
      <c r="EK1357">
        <v>1</v>
      </c>
      <c r="EL1357" s="143">
        <v>1</v>
      </c>
      <c r="EM1357">
        <v>0</v>
      </c>
      <c r="EN1357" s="2">
        <v>0</v>
      </c>
      <c r="EP1357" t="str">
        <f>IF(AND(AND(AND(OR($EC1357=1,$EB1357=1),OR($EH1357=1,$EF1357=1)),SUM($EA1357:$EE1357,$EK1357)&gt;=3),SUM($EF1357:$EJ1357)&gt;=2),"Whole sector approach","")</f>
        <v>Whole sector approach</v>
      </c>
      <c r="EQ1357" t="str">
        <f>IF(AND(AND(OR($EC1357=1,$EB1357=1),AND($EH1357=0,$EF1357=0)),SUM($EA1357:$EE1357,$EK1357)&gt;=4),"Ecosystem approach","")</f>
        <v/>
      </c>
      <c r="ER1357" s="2" t="str">
        <f>IF(AND(AND(AND($EC1357=0,$EB1357=0),OR($EH1357=1,$EF1357=1)),SUM($EG1357:$EJ1357)&gt;=2),"Technology approach","")</f>
        <v/>
      </c>
      <c r="ES1357" t="str">
        <f>IF(AND($EC1357+$EB1357+$EE1357+$EA1357+$ED1357+$EG1357=0,$N1357="included"),"C neutral forest and HWP assumption","")</f>
        <v/>
      </c>
      <c r="ET1357" t="str">
        <f>IF(AND(AND(AND(AND($EC1357=1,$EB1357+$EA1357+$EG1357&gt;=1),$EF1357=1),$EH1357+$EI1357+$ED1357+$EE1357&gt;=2),$N1357="included"),"All C pools assumption","")</f>
        <v/>
      </c>
      <c r="EU1357" t="str">
        <f>IF(AND($ED1357+$EE1357+$EI1357+$EH1357+$EF1357=0,$N1357="included"),"In-situ only assumption","")</f>
        <v/>
      </c>
      <c r="EV1357" s="328" t="s">
        <v>5065</v>
      </c>
      <c r="EY1357" t="b">
        <f>IF(ISNUMBER(BW1357),IF(ABS(BW1357-[2]QC_indicators!$B$2)&gt;3*[2]QC_indicators!$C$2,"C ratio",IF(ISNUMBER(CA1357),IF(ABS(CA1357-[2]QC_indicators!$B$1)&gt;3*[2]QC_indicators!$C$1,"DF","no"))),IF(ISNUMBER(CA1357),IF(ABS(CA1357-[2]QC_indicators!$B$1)&gt;3*[2]QC_indicators!$C$1,"DF","no")))</f>
        <v>0</v>
      </c>
      <c r="FA1357" t="str">
        <f>IF(LEN($CY1357)=0,"",IF(AND($CY1357&lt;(-0.05),$ES1357="C neutral forest and HWP assumption"),"Cneutral paradox",IF(AND($CY1357&gt;0.05,$EU1357="In-situ only assumption"),"In-situ only paradox","")))</f>
        <v/>
      </c>
      <c r="FB1357" s="260" t="s">
        <v>2828</v>
      </c>
      <c r="FD1357" s="260" t="s">
        <v>2829</v>
      </c>
    </row>
    <row r="1358" spans="1:160" ht="15" hidden="1" customHeight="1">
      <c r="A1358" s="1" t="s">
        <v>849</v>
      </c>
      <c r="D1358" s="260" t="s">
        <v>850</v>
      </c>
      <c r="E1358" s="260" t="s">
        <v>851</v>
      </c>
      <c r="H1358" t="s">
        <v>852</v>
      </c>
      <c r="I1358">
        <v>2020</v>
      </c>
      <c r="J1358">
        <v>8</v>
      </c>
      <c r="K1358" t="s">
        <v>853</v>
      </c>
      <c r="M1358" t="str">
        <f>LEFT($D1358,FIND(",",$D1358)-1)&amp;"_"&amp;I1358&amp;L1358</f>
        <v>Lausselet_2020</v>
      </c>
      <c r="N1358" t="s">
        <v>222</v>
      </c>
      <c r="O1358" s="145" t="s">
        <v>225</v>
      </c>
      <c r="Q1358" s="260" t="s">
        <v>256</v>
      </c>
      <c r="R1358" s="264" t="s">
        <v>341</v>
      </c>
      <c r="S1358" s="1" t="s">
        <v>863</v>
      </c>
      <c r="T1358" t="s">
        <v>856</v>
      </c>
      <c r="U1358" s="143" t="s">
        <v>866</v>
      </c>
      <c r="V1358" s="253">
        <v>0</v>
      </c>
      <c r="W1358" s="253">
        <v>0</v>
      </c>
      <c r="X1358">
        <v>0</v>
      </c>
      <c r="Y1358">
        <v>0</v>
      </c>
      <c r="Z1358">
        <v>0</v>
      </c>
      <c r="AA1358">
        <v>0</v>
      </c>
      <c r="AB1358">
        <v>0</v>
      </c>
      <c r="AC1358">
        <v>0</v>
      </c>
      <c r="AD1358">
        <v>0</v>
      </c>
      <c r="AE1358">
        <v>0</v>
      </c>
      <c r="AF1358">
        <v>0</v>
      </c>
      <c r="AG1358">
        <v>0</v>
      </c>
      <c r="AH1358">
        <v>0</v>
      </c>
      <c r="AI1358">
        <v>0</v>
      </c>
      <c r="AJ1358">
        <v>0</v>
      </c>
      <c r="AK1358">
        <v>1</v>
      </c>
      <c r="AL1358">
        <v>0</v>
      </c>
      <c r="AM1358">
        <v>0</v>
      </c>
      <c r="AN1358">
        <v>0</v>
      </c>
      <c r="AO1358">
        <v>0</v>
      </c>
      <c r="AP1358">
        <v>0</v>
      </c>
      <c r="AQ1358">
        <v>0</v>
      </c>
      <c r="AR1358">
        <v>0</v>
      </c>
      <c r="AS1358">
        <v>0</v>
      </c>
      <c r="AT1358">
        <v>0</v>
      </c>
      <c r="AU1358">
        <v>0</v>
      </c>
      <c r="AV1358">
        <v>0</v>
      </c>
      <c r="AW1358">
        <v>0</v>
      </c>
      <c r="AX1358">
        <v>0</v>
      </c>
      <c r="AY1358">
        <v>0</v>
      </c>
      <c r="AZ1358" s="141">
        <f>COUNTIF(X1358:AY1358,"&lt;&gt;0")</f>
        <v>1</v>
      </c>
      <c r="BA1358" s="141">
        <f>COUNTIF(X1358:AN1358,"&lt;&gt;0")</f>
        <v>1</v>
      </c>
      <c r="BB1358">
        <f>COUNTIF(X1358:AE1358,"&lt;&gt;0")</f>
        <v>0</v>
      </c>
      <c r="BC1358">
        <f>COUNTIF(AF1358:AK1358,"&lt;&gt;0")</f>
        <v>1</v>
      </c>
      <c r="BD1358">
        <f>COUNTIF(AL1358:AN1358,"&lt;&gt;0")</f>
        <v>0</v>
      </c>
      <c r="BE1358">
        <f>COUNTIF(AU1358:AY1358,"&lt;&gt;0")</f>
        <v>0</v>
      </c>
      <c r="BF1358">
        <f>COUNTIF(AO1358:AT1358,"&lt;&gt;0")</f>
        <v>0</v>
      </c>
      <c r="BG1358" t="str" cm="1">
        <f t="array" ref="BG1358">IF(BA1358=1,INDEX($X$7:$AN$7,MATCH(TRUE,INDEX($X1358:$AY1358&lt;&gt;0,),0)),IF(BA1358=0,INDEX($AO$7:$AY$7,MATCH(1,$AO1358:$AY1358,0)),IF(BH1358="Multiple strategies","mixed drivers",IF(BH1358="Supply chain","multiple supply","multiple silviculture"))))</f>
        <v>products lifespan</v>
      </c>
      <c r="BH1358" s="2" t="str" cm="1">
        <f t="array" ref="BH1358">IF(COUNTIF(BB1358:BD1358,"&lt;&gt;0")=1,INDEX($X$4:$AY$4,MATCH(TRUE,INDEX($X1358:$AY1358&lt;&gt;0,),0)),IF(COUNTIF(BB1358:BD1358,"&lt;&gt;0")=0,INDEX($AO$4:$AY$4,MATCH(1,$AO1358:$AY1358,0)),"Multiple strategies"))</f>
        <v>Supply chain</v>
      </c>
      <c r="BI1358" s="164" t="s">
        <v>229</v>
      </c>
      <c r="BJ1358" s="165" t="s">
        <v>3091</v>
      </c>
      <c r="BK1358" s="165" t="s">
        <v>3090</v>
      </c>
      <c r="BL1358" s="166" t="s">
        <v>345</v>
      </c>
      <c r="BM1358" s="167"/>
      <c r="BN1358" s="167"/>
      <c r="BO1358" s="168" t="s">
        <v>857</v>
      </c>
      <c r="BP1358">
        <f>BN1358-BM1358</f>
        <v>0</v>
      </c>
      <c r="BQ1358">
        <f>BP1358*kg_to_m3</f>
        <v>0</v>
      </c>
      <c r="BR1358" s="294" t="s">
        <v>395</v>
      </c>
      <c r="BS1358" s="260" t="s">
        <v>858</v>
      </c>
      <c r="BT1358" s="260" t="s">
        <v>859</v>
      </c>
      <c r="BU1358" s="169">
        <v>81960007.070510104</v>
      </c>
      <c r="BV1358" s="169">
        <v>97621800</v>
      </c>
      <c r="BW1358" s="144">
        <v>1.19</v>
      </c>
      <c r="BX1358">
        <f>BV1358-BU1358</f>
        <v>15661792.929489896</v>
      </c>
      <c r="BZ1358">
        <f>BX1358/1000</f>
        <v>15661.792929489895</v>
      </c>
      <c r="CA1358" t="str">
        <f>IFERROR(BZ1358/BQ1358,"")</f>
        <v/>
      </c>
      <c r="CB1358">
        <v>0</v>
      </c>
      <c r="CC1358">
        <v>0</v>
      </c>
      <c r="CD1358">
        <v>0</v>
      </c>
      <c r="CE1358">
        <v>0</v>
      </c>
      <c r="CF1358">
        <v>0</v>
      </c>
      <c r="CG1358">
        <v>0</v>
      </c>
      <c r="CH1358">
        <v>0</v>
      </c>
      <c r="CI1358">
        <v>0</v>
      </c>
      <c r="CJ1358">
        <v>0</v>
      </c>
      <c r="CK1358">
        <v>0</v>
      </c>
      <c r="CL1358">
        <v>0</v>
      </c>
      <c r="CM1358">
        <v>0</v>
      </c>
      <c r="CN1358">
        <v>0</v>
      </c>
      <c r="CO1358">
        <v>0</v>
      </c>
      <c r="CP1358" t="str">
        <f>IF(BN1358&lt;BM1358,"refNeedCorrection","refOK")</f>
        <v>refOK</v>
      </c>
      <c r="CQ1358"/>
      <c r="CR1358"/>
      <c r="CS1358">
        <f>IF($CP1358="refOK",$BQ1358,-$BQ1358)</f>
        <v>0</v>
      </c>
      <c r="CT1358">
        <f>IF(BI1358="Roundwood",$CS1358/2,$CS1358)</f>
        <v>0</v>
      </c>
      <c r="CU1358">
        <f>IF($CP1358="refOK",$BU1358,$BV1358)*IF($BR1358="Emissions positive",-1,1)</f>
        <v>-81960007.070510104</v>
      </c>
      <c r="CV1358">
        <f>IF($CP1358="refOK",$BV1358,$BU1358)*IF($BR1358="Emissions positive",-1,1)</f>
        <v>-97621800</v>
      </c>
      <c r="CW1358">
        <f>IF($CP1358="refNeedCorrection",-BZ1358,BZ1358)*IF($BR1358="Emissions positive",-1,1)</f>
        <v>-15661.792929489895</v>
      </c>
      <c r="CX1358" t="str">
        <f>IFERROR($CW1358/$CS1358,"")</f>
        <v/>
      </c>
      <c r="CY1358" t="str">
        <f>IFERROR($CW1358/$CS1358,"")</f>
        <v/>
      </c>
      <c r="CZ1358" t="str">
        <f>IFERROR($CW1358/$CT1358,"")</f>
        <v/>
      </c>
      <c r="DA1358" s="2">
        <f>IFERROR((CV1358-CU1358)/ABS(CU1358),"")</f>
        <v>-0.1910906732354973</v>
      </c>
      <c r="DB1358" s="1" t="s">
        <v>347</v>
      </c>
      <c r="DC1358" s="260" t="str">
        <f>IF(OR($DB1358="prd",$DB1358="std",$DB1358="cit"),"loc",IF(OR($DB1358="eur",$DB1358="reg",$DB1358="coy"),"reg",$DB1358))</f>
        <v>loc</v>
      </c>
      <c r="DD1358" t="s">
        <v>264</v>
      </c>
      <c r="DE1358">
        <v>2019</v>
      </c>
      <c r="DF1358" s="143">
        <v>2080</v>
      </c>
      <c r="DG1358" s="143">
        <f>DF1358-DE1358</f>
        <v>61</v>
      </c>
      <c r="DH1358" t="str">
        <f>IF(DG1358=0,"0",IF(AND(DG1358&gt;=1,DG1358&lt;=30),"1-30",IF(AND(DG1358&gt;30,DG1358&lt;=70),"31-70",IF(AND(DG1358&gt;70,DG1358&lt;=100),"71-100",IF(DG1358&gt;100,"+100")))))</f>
        <v>31-70</v>
      </c>
      <c r="DI1358">
        <v>0</v>
      </c>
      <c r="DJ1358">
        <v>0</v>
      </c>
      <c r="DK1358">
        <v>0</v>
      </c>
      <c r="DL1358">
        <v>1</v>
      </c>
      <c r="DN1358">
        <f>SUM(DI1358:DL1358)</f>
        <v>1</v>
      </c>
      <c r="DO1358" t="str">
        <f>IF(DN1358=1,INDEX($DI$7:$DL$7,MATCH(1,$DI1358:$DL1358,0)),"mixedProduct")</f>
        <v>TimberInput</v>
      </c>
      <c r="DP1358">
        <f>IF(DI1358=1,DP$7,0)</f>
        <v>0</v>
      </c>
      <c r="DQ1358">
        <f>IF(DJ1358=1,DQ$7,0)</f>
        <v>0</v>
      </c>
      <c r="DR1358">
        <f>IF(DK1358=1,DR$7,0)</f>
        <v>0</v>
      </c>
      <c r="DS1358" t="str">
        <f>IF(DL1358=1,DS$7,0)</f>
        <v>Timber</v>
      </c>
      <c r="DT1358">
        <v>0</v>
      </c>
      <c r="DU1358" s="143">
        <v>0</v>
      </c>
      <c r="DV1358" s="143">
        <v>0</v>
      </c>
      <c r="DW1358">
        <v>0</v>
      </c>
      <c r="DX1358" s="143">
        <v>0</v>
      </c>
      <c r="DY1358">
        <f>SUM(DT1358:DU1358)</f>
        <v>0</v>
      </c>
      <c r="DZ1358" s="143" t="str">
        <f>IF(DT1358=1,"self-calculated DF",IF(DU1358=1,"external DF used","explicit C balance"))</f>
        <v>explicit C balance</v>
      </c>
      <c r="EA1358" s="143">
        <v>0</v>
      </c>
      <c r="EB1358" s="143">
        <v>0</v>
      </c>
      <c r="EC1358" s="143">
        <v>0</v>
      </c>
      <c r="ED1358" s="143">
        <v>1</v>
      </c>
      <c r="EE1358">
        <v>0</v>
      </c>
      <c r="EF1358" s="143">
        <v>0</v>
      </c>
      <c r="EG1358" s="143">
        <v>1</v>
      </c>
      <c r="EH1358" s="143">
        <v>1</v>
      </c>
      <c r="EI1358" s="143">
        <v>1</v>
      </c>
      <c r="EJ1358">
        <v>0</v>
      </c>
      <c r="EK1358">
        <v>0</v>
      </c>
      <c r="EL1358" s="143">
        <v>0</v>
      </c>
      <c r="EM1358">
        <v>0</v>
      </c>
      <c r="EN1358" s="2">
        <v>0</v>
      </c>
      <c r="EP1358" t="str">
        <f>IF(AND(AND(AND(OR($EC1358=1,$EB1358=1),OR($EH1358=1,$EF1358=1)),SUM($EA1358:$EE1358,$EK1358)&gt;=3),SUM($EF1358:$EJ1358)&gt;=2),"Whole sector approach","")</f>
        <v/>
      </c>
      <c r="EQ1358" t="str">
        <f>IF(AND(AND(OR($EC1358=1,$EB1358=1),AND($EH1358=0,$EF1358=0)),SUM($EA1358:$EE1358,$EK1358)&gt;=4),"Ecosystem approach","")</f>
        <v/>
      </c>
      <c r="ER1358" s="2" t="str">
        <f>IF(AND(AND(AND($EC1358=0,$EB1358=0),OR($EH1358=1,$EF1358=1)),SUM($EG1358:$EJ1358)&gt;=2),"Technology approach","")</f>
        <v>Technology approach</v>
      </c>
      <c r="ES1358" t="str">
        <f>IF(AND($EC1358+$EB1358+$EE1358+$EA1358+$ED1358+$EG1358=0,$N1358="included"),"C neutral forest and HWP assumption","")</f>
        <v/>
      </c>
      <c r="ET1358" t="str">
        <f>IF(AND(AND(AND(AND($EC1358=1,$EB1358+$EA1358+$EG1358&gt;=1),$EF1358=1),$EH1358+$EI1358+$ED1358+$EE1358&gt;=2),$N1358="included"),"All C pools assumption","")</f>
        <v/>
      </c>
      <c r="EU1358" t="str">
        <f>IF(AND($ED1358+$EE1358+$EI1358+$EH1358+$EF1358=0,$N1358="included"),"In-situ only assumption","")</f>
        <v/>
      </c>
      <c r="EY1358" t="b">
        <f>IF(ISNUMBER(BW1358),IF(ABS(BW1358-[5]QC_indicators!$B$2)&gt;3*[5]QC_indicators!$C$2,"C ratio",IF(ISNUMBER(CA1358),IF(ABS(CA1358-[5]QC_indicators!$B$1)&gt;3*[5]QC_indicators!$C$1,"DF","no"))),IF(ISNUMBER(CA1358),IF(ABS(CA1358-[5]QC_indicators!$B$1)&gt;3*[5]QC_indicators!$C$1,"DF","no")))</f>
        <v>0</v>
      </c>
      <c r="FA1358" t="str">
        <f>IF(LEN($CY1358)=0,"",IF(AND($CY1358&lt;(-0.05),$ES1358="C neutral forest and HWP assumption"),"Cneutral paradox",IF(AND($CY1358&gt;0.05,$EU1358="In-situ only assumption"),"In-situ only paradox","")))</f>
        <v/>
      </c>
      <c r="FB1358" s="287" t="s">
        <v>349</v>
      </c>
      <c r="FD1358" s="294" t="s">
        <v>3094</v>
      </c>
    </row>
    <row r="1359" spans="1:160" ht="15" hidden="1" customHeight="1">
      <c r="A1359" s="1" t="s">
        <v>849</v>
      </c>
      <c r="D1359" s="260" t="s">
        <v>850</v>
      </c>
      <c r="E1359" s="260" t="s">
        <v>851</v>
      </c>
      <c r="H1359" t="s">
        <v>852</v>
      </c>
      <c r="I1359">
        <v>2020</v>
      </c>
      <c r="J1359">
        <v>8</v>
      </c>
      <c r="K1359" t="s">
        <v>853</v>
      </c>
      <c r="M1359" t="str">
        <f>LEFT($D1359,FIND(",",$D1359)-1)&amp;"_"&amp;I1359&amp;L1359</f>
        <v>Lausselet_2020</v>
      </c>
      <c r="N1359" t="s">
        <v>222</v>
      </c>
      <c r="O1359" s="145" t="s">
        <v>225</v>
      </c>
      <c r="Q1359" s="260" t="s">
        <v>256</v>
      </c>
      <c r="R1359" s="264" t="s">
        <v>341</v>
      </c>
      <c r="S1359" s="1" t="s">
        <v>863</v>
      </c>
      <c r="T1359" t="s">
        <v>856</v>
      </c>
      <c r="U1359" s="143" t="s">
        <v>864</v>
      </c>
      <c r="V1359" s="253">
        <v>0</v>
      </c>
      <c r="W1359" s="253">
        <v>0</v>
      </c>
      <c r="X1359">
        <v>0</v>
      </c>
      <c r="Y1359">
        <v>0</v>
      </c>
      <c r="Z1359">
        <v>0</v>
      </c>
      <c r="AA1359">
        <v>0</v>
      </c>
      <c r="AB1359">
        <v>0</v>
      </c>
      <c r="AC1359">
        <v>0</v>
      </c>
      <c r="AD1359">
        <v>0</v>
      </c>
      <c r="AE1359">
        <v>0</v>
      </c>
      <c r="AF1359">
        <v>0</v>
      </c>
      <c r="AG1359">
        <v>0</v>
      </c>
      <c r="AH1359">
        <v>0</v>
      </c>
      <c r="AI1359">
        <v>0</v>
      </c>
      <c r="AJ1359">
        <v>0</v>
      </c>
      <c r="AK1359">
        <v>1</v>
      </c>
      <c r="AL1359">
        <v>0</v>
      </c>
      <c r="AM1359">
        <v>0</v>
      </c>
      <c r="AN1359">
        <v>0</v>
      </c>
      <c r="AO1359">
        <v>0</v>
      </c>
      <c r="AP1359">
        <v>0</v>
      </c>
      <c r="AQ1359">
        <v>0</v>
      </c>
      <c r="AR1359">
        <v>0</v>
      </c>
      <c r="AS1359">
        <v>0</v>
      </c>
      <c r="AT1359">
        <v>0</v>
      </c>
      <c r="AU1359">
        <v>0</v>
      </c>
      <c r="AV1359">
        <v>0</v>
      </c>
      <c r="AW1359">
        <v>0</v>
      </c>
      <c r="AX1359">
        <v>0</v>
      </c>
      <c r="AY1359">
        <v>0</v>
      </c>
      <c r="AZ1359" s="141">
        <f>COUNTIF(X1359:AY1359,"&lt;&gt;0")</f>
        <v>1</v>
      </c>
      <c r="BA1359" s="141">
        <f>COUNTIF(X1359:AN1359,"&lt;&gt;0")</f>
        <v>1</v>
      </c>
      <c r="BB1359">
        <f>COUNTIF(X1359:AE1359,"&lt;&gt;0")</f>
        <v>0</v>
      </c>
      <c r="BC1359">
        <f>COUNTIF(AF1359:AK1359,"&lt;&gt;0")</f>
        <v>1</v>
      </c>
      <c r="BD1359">
        <f>COUNTIF(AL1359:AN1359,"&lt;&gt;0")</f>
        <v>0</v>
      </c>
      <c r="BE1359">
        <f>COUNTIF(AU1359:AY1359,"&lt;&gt;0")</f>
        <v>0</v>
      </c>
      <c r="BF1359">
        <f>COUNTIF(AO1359:AT1359,"&lt;&gt;0")</f>
        <v>0</v>
      </c>
      <c r="BG1359" t="str" cm="1">
        <f t="array" ref="BG1359">IF(BA1359=1,INDEX($X$7:$AN$7,MATCH(TRUE,INDEX($X1359:$AY1359&lt;&gt;0,),0)),IF(BA1359=0,INDEX($AO$7:$AY$7,MATCH(1,$AO1359:$AY1359,0)),IF(BH1359="Multiple strategies","mixed drivers",IF(BH1359="Supply chain","multiple supply","multiple silviculture"))))</f>
        <v>products lifespan</v>
      </c>
      <c r="BH1359" s="2" t="str" cm="1">
        <f t="array" ref="BH1359">IF(COUNTIF(BB1359:BD1359,"&lt;&gt;0")=1,INDEX($X$4:$AY$4,MATCH(TRUE,INDEX($X1359:$AY1359&lt;&gt;0,),0)),IF(COUNTIF(BB1359:BD1359,"&lt;&gt;0")=0,INDEX($AO$4:$AY$4,MATCH(1,$AO1359:$AY1359,0)),"Multiple strategies"))</f>
        <v>Supply chain</v>
      </c>
      <c r="BI1359" s="164" t="s">
        <v>229</v>
      </c>
      <c r="BJ1359" s="165" t="s">
        <v>3091</v>
      </c>
      <c r="BK1359" s="165" t="s">
        <v>3090</v>
      </c>
      <c r="BL1359" s="166" t="s">
        <v>345</v>
      </c>
      <c r="BM1359" s="167"/>
      <c r="BN1359" s="167"/>
      <c r="BO1359" s="168" t="s">
        <v>857</v>
      </c>
      <c r="BP1359">
        <f>BN1359-BM1359</f>
        <v>0</v>
      </c>
      <c r="BQ1359">
        <f>BP1359*kg_to_m3</f>
        <v>0</v>
      </c>
      <c r="BR1359" s="294" t="s">
        <v>395</v>
      </c>
      <c r="BS1359" s="260" t="s">
        <v>858</v>
      </c>
      <c r="BT1359" s="260" t="s">
        <v>859</v>
      </c>
      <c r="BU1359" s="169">
        <v>81960007.070510104</v>
      </c>
      <c r="BV1359" s="170">
        <v>75925100</v>
      </c>
      <c r="BW1359" s="144">
        <v>0.93</v>
      </c>
      <c r="BX1359">
        <f>BV1359-BU1359</f>
        <v>-6034907.0705101043</v>
      </c>
      <c r="BZ1359">
        <f>BX1359/1000</f>
        <v>-6034.9070705101039</v>
      </c>
      <c r="CA1359" t="str">
        <f>IFERROR(BZ1359/BQ1359,"")</f>
        <v/>
      </c>
      <c r="CB1359">
        <v>0</v>
      </c>
      <c r="CC1359">
        <v>0</v>
      </c>
      <c r="CD1359">
        <v>0</v>
      </c>
      <c r="CE1359">
        <v>0</v>
      </c>
      <c r="CF1359">
        <v>0</v>
      </c>
      <c r="CG1359">
        <v>0</v>
      </c>
      <c r="CH1359">
        <v>0</v>
      </c>
      <c r="CI1359">
        <v>0</v>
      </c>
      <c r="CJ1359">
        <v>0</v>
      </c>
      <c r="CK1359">
        <v>0</v>
      </c>
      <c r="CL1359">
        <v>0</v>
      </c>
      <c r="CM1359">
        <v>0</v>
      </c>
      <c r="CN1359">
        <v>0</v>
      </c>
      <c r="CO1359">
        <v>0</v>
      </c>
      <c r="CP1359" t="str">
        <f>IF(BN1359&lt;BM1359,"refNeedCorrection","refOK")</f>
        <v>refOK</v>
      </c>
      <c r="CQ1359"/>
      <c r="CR1359"/>
      <c r="CS1359">
        <f>IF($CP1359="refOK",$BQ1359,-$BQ1359)</f>
        <v>0</v>
      </c>
      <c r="CT1359">
        <f>IF(BI1359="Roundwood",$CS1359/2,$CS1359)</f>
        <v>0</v>
      </c>
      <c r="CU1359">
        <f>IF($CP1359="refOK",$BU1359,$BV1359)*IF($BR1359="Emissions positive",-1,1)</f>
        <v>-81960007.070510104</v>
      </c>
      <c r="CV1359">
        <f>IF($CP1359="refOK",$BV1359,$BU1359)*IF($BR1359="Emissions positive",-1,1)</f>
        <v>-75925100</v>
      </c>
      <c r="CW1359">
        <f>IF($CP1359="refNeedCorrection",-BZ1359,BZ1359)*IF($BR1359="Emissions positive",-1,1)</f>
        <v>6034.9070705101039</v>
      </c>
      <c r="CX1359" t="str">
        <f>IFERROR($CW1359/$CS1359,"")</f>
        <v/>
      </c>
      <c r="CY1359" t="str">
        <f>IFERROR($CW1359/$CS1359,"")</f>
        <v/>
      </c>
      <c r="CZ1359" t="str">
        <f>IFERROR($CW1359/$CT1359,"")</f>
        <v/>
      </c>
      <c r="DA1359" s="2">
        <f>IFERROR((CV1359-CU1359)/ABS(CU1359),"")</f>
        <v>7.3632339554562026E-2</v>
      </c>
      <c r="DB1359" s="1" t="s">
        <v>347</v>
      </c>
      <c r="DC1359" s="260" t="str">
        <f>IF(OR($DB1359="prd",$DB1359="std",$DB1359="cit"),"loc",IF(OR($DB1359="eur",$DB1359="reg",$DB1359="coy"),"reg",$DB1359))</f>
        <v>loc</v>
      </c>
      <c r="DD1359" t="s">
        <v>264</v>
      </c>
      <c r="DE1359">
        <v>2019</v>
      </c>
      <c r="DF1359" s="143">
        <v>2080</v>
      </c>
      <c r="DG1359" s="143">
        <f>DF1359-DE1359</f>
        <v>61</v>
      </c>
      <c r="DH1359" t="str">
        <f>IF(DG1359=0,"0",IF(AND(DG1359&gt;=1,DG1359&lt;=30),"1-30",IF(AND(DG1359&gt;30,DG1359&lt;=70),"31-70",IF(AND(DG1359&gt;70,DG1359&lt;=100),"71-100",IF(DG1359&gt;100,"+100")))))</f>
        <v>31-70</v>
      </c>
      <c r="DI1359">
        <v>0</v>
      </c>
      <c r="DJ1359">
        <v>0</v>
      </c>
      <c r="DK1359">
        <v>0</v>
      </c>
      <c r="DL1359">
        <v>1</v>
      </c>
      <c r="DN1359">
        <f>SUM(DI1359:DL1359)</f>
        <v>1</v>
      </c>
      <c r="DO1359" t="str">
        <f>IF(DN1359=1,INDEX($DI$7:$DL$7,MATCH(1,$DI1359:$DL1359,0)),"mixedProduct")</f>
        <v>TimberInput</v>
      </c>
      <c r="DP1359">
        <f>IF(DI1359=1,DP$7,0)</f>
        <v>0</v>
      </c>
      <c r="DQ1359">
        <f>IF(DJ1359=1,DQ$7,0)</f>
        <v>0</v>
      </c>
      <c r="DR1359">
        <f>IF(DK1359=1,DR$7,0)</f>
        <v>0</v>
      </c>
      <c r="DS1359" t="str">
        <f>IF(DL1359=1,DS$7,0)</f>
        <v>Timber</v>
      </c>
      <c r="DT1359">
        <v>0</v>
      </c>
      <c r="DU1359" s="143">
        <v>0</v>
      </c>
      <c r="DV1359" s="143">
        <v>0</v>
      </c>
      <c r="DW1359">
        <v>0</v>
      </c>
      <c r="DX1359" s="143">
        <v>0</v>
      </c>
      <c r="DY1359">
        <f>SUM(DT1359:DU1359)</f>
        <v>0</v>
      </c>
      <c r="DZ1359" s="143" t="str">
        <f>IF(DT1359=1,"self-calculated DF",IF(DU1359=1,"external DF used","explicit C balance"))</f>
        <v>explicit C balance</v>
      </c>
      <c r="EA1359" s="143">
        <v>0</v>
      </c>
      <c r="EB1359" s="143">
        <v>0</v>
      </c>
      <c r="EC1359" s="143">
        <v>0</v>
      </c>
      <c r="ED1359" s="143">
        <v>1</v>
      </c>
      <c r="EE1359">
        <v>0</v>
      </c>
      <c r="EF1359" s="143">
        <v>0</v>
      </c>
      <c r="EG1359" s="143">
        <v>1</v>
      </c>
      <c r="EH1359" s="143">
        <v>1</v>
      </c>
      <c r="EI1359" s="143">
        <v>1</v>
      </c>
      <c r="EJ1359">
        <v>0</v>
      </c>
      <c r="EK1359">
        <v>0</v>
      </c>
      <c r="EL1359" s="143">
        <v>0</v>
      </c>
      <c r="EM1359">
        <v>0</v>
      </c>
      <c r="EN1359" s="2">
        <v>0</v>
      </c>
      <c r="EP1359" t="str">
        <f>IF(AND(AND(AND(OR($EC1359=1,$EB1359=1),OR($EH1359=1,$EF1359=1)),SUM($EA1359:$EE1359,$EK1359)&gt;=3),SUM($EF1359:$EJ1359)&gt;=2),"Whole sector approach","")</f>
        <v/>
      </c>
      <c r="EQ1359" t="str">
        <f>IF(AND(AND(OR($EC1359=1,$EB1359=1),AND($EH1359=0,$EF1359=0)),SUM($EA1359:$EE1359,$EK1359)&gt;=4),"Ecosystem approach","")</f>
        <v/>
      </c>
      <c r="ER1359" s="2" t="str">
        <f>IF(AND(AND(AND($EC1359=0,$EB1359=0),OR($EH1359=1,$EF1359=1)),SUM($EG1359:$EJ1359)&gt;=2),"Technology approach","")</f>
        <v>Technology approach</v>
      </c>
      <c r="ES1359" t="str">
        <f>IF(AND($EC1359+$EB1359+$EE1359+$EA1359+$ED1359+$EG1359=0,$N1359="included"),"C neutral forest and HWP assumption","")</f>
        <v/>
      </c>
      <c r="ET1359" t="str">
        <f>IF(AND(AND(AND(AND($EC1359=1,$EB1359+$EA1359+$EG1359&gt;=1),$EF1359=1),$EH1359+$EI1359+$ED1359+$EE1359&gt;=2),$N1359="included"),"All C pools assumption","")</f>
        <v/>
      </c>
      <c r="EU1359" t="str">
        <f>IF(AND($ED1359+$EE1359+$EI1359+$EH1359+$EF1359=0,$N1359="included"),"In-situ only assumption","")</f>
        <v/>
      </c>
      <c r="EY1359" t="b">
        <f>IF(ISNUMBER(BW1359),IF(ABS(BW1359-[5]QC_indicators!$B$2)&gt;3*[5]QC_indicators!$C$2,"C ratio",IF(ISNUMBER(CA1359),IF(ABS(CA1359-[5]QC_indicators!$B$1)&gt;3*[5]QC_indicators!$C$1,"DF","no"))),IF(ISNUMBER(CA1359),IF(ABS(CA1359-[5]QC_indicators!$B$1)&gt;3*[5]QC_indicators!$C$1,"DF","no")))</f>
        <v>0</v>
      </c>
      <c r="FA1359" t="str">
        <f>IF(LEN($CY1359)=0,"",IF(AND($CY1359&lt;(-0.05),$ES1359="C neutral forest and HWP assumption"),"Cneutral paradox",IF(AND($CY1359&gt;0.05,$EU1359="In-situ only assumption"),"In-situ only paradox","")))</f>
        <v/>
      </c>
      <c r="FB1359" s="287" t="s">
        <v>349</v>
      </c>
      <c r="FD1359" s="294" t="s">
        <v>3094</v>
      </c>
    </row>
    <row r="1360" spans="1:160" ht="15" hidden="1" customHeight="1">
      <c r="A1360" s="1" t="s">
        <v>849</v>
      </c>
      <c r="D1360" s="260" t="s">
        <v>850</v>
      </c>
      <c r="E1360" s="260" t="s">
        <v>851</v>
      </c>
      <c r="H1360" t="s">
        <v>852</v>
      </c>
      <c r="I1360">
        <v>2020</v>
      </c>
      <c r="J1360">
        <v>8</v>
      </c>
      <c r="K1360" t="s">
        <v>853</v>
      </c>
      <c r="M1360" t="str">
        <f>LEFT($D1360,FIND(",",$D1360)-1)&amp;"_"&amp;I1360&amp;L1360</f>
        <v>Lausselet_2020</v>
      </c>
      <c r="N1360" t="s">
        <v>222</v>
      </c>
      <c r="O1360" s="145" t="s">
        <v>225</v>
      </c>
      <c r="Q1360" s="260" t="s">
        <v>256</v>
      </c>
      <c r="R1360" s="264" t="s">
        <v>341</v>
      </c>
      <c r="S1360" s="1" t="s">
        <v>863</v>
      </c>
      <c r="T1360" t="s">
        <v>856</v>
      </c>
      <c r="U1360" s="143" t="s">
        <v>865</v>
      </c>
      <c r="V1360" s="253">
        <v>0</v>
      </c>
      <c r="W1360" s="253">
        <v>0</v>
      </c>
      <c r="X1360">
        <v>0</v>
      </c>
      <c r="Y1360">
        <v>0</v>
      </c>
      <c r="Z1360">
        <v>0</v>
      </c>
      <c r="AA1360">
        <v>0</v>
      </c>
      <c r="AB1360">
        <v>0</v>
      </c>
      <c r="AC1360">
        <v>0</v>
      </c>
      <c r="AD1360">
        <v>0</v>
      </c>
      <c r="AE1360">
        <v>0</v>
      </c>
      <c r="AF1360">
        <v>0</v>
      </c>
      <c r="AG1360">
        <v>0</v>
      </c>
      <c r="AH1360">
        <v>0</v>
      </c>
      <c r="AI1360">
        <v>0</v>
      </c>
      <c r="AJ1360">
        <v>0</v>
      </c>
      <c r="AK1360">
        <v>1</v>
      </c>
      <c r="AL1360">
        <v>0</v>
      </c>
      <c r="AM1360">
        <v>0</v>
      </c>
      <c r="AN1360">
        <v>0</v>
      </c>
      <c r="AO1360">
        <v>0</v>
      </c>
      <c r="AP1360">
        <v>0</v>
      </c>
      <c r="AQ1360">
        <v>0</v>
      </c>
      <c r="AR1360">
        <v>0</v>
      </c>
      <c r="AS1360">
        <v>0</v>
      </c>
      <c r="AT1360">
        <v>0</v>
      </c>
      <c r="AU1360">
        <v>0</v>
      </c>
      <c r="AV1360">
        <v>0</v>
      </c>
      <c r="AW1360">
        <v>0</v>
      </c>
      <c r="AX1360">
        <v>0</v>
      </c>
      <c r="AY1360">
        <v>0</v>
      </c>
      <c r="AZ1360" s="141">
        <f>COUNTIF(X1360:AY1360,"&lt;&gt;0")</f>
        <v>1</v>
      </c>
      <c r="BA1360" s="141">
        <f>COUNTIF(X1360:AN1360,"&lt;&gt;0")</f>
        <v>1</v>
      </c>
      <c r="BB1360">
        <f>COUNTIF(X1360:AE1360,"&lt;&gt;0")</f>
        <v>0</v>
      </c>
      <c r="BC1360">
        <f>COUNTIF(AF1360:AK1360,"&lt;&gt;0")</f>
        <v>1</v>
      </c>
      <c r="BD1360">
        <f>COUNTIF(AL1360:AN1360,"&lt;&gt;0")</f>
        <v>0</v>
      </c>
      <c r="BE1360">
        <f>COUNTIF(AU1360:AY1360,"&lt;&gt;0")</f>
        <v>0</v>
      </c>
      <c r="BF1360">
        <f>COUNTIF(AO1360:AT1360,"&lt;&gt;0")</f>
        <v>0</v>
      </c>
      <c r="BG1360" t="str" cm="1">
        <f t="array" ref="BG1360">IF(BA1360=1,INDEX($X$7:$AN$7,MATCH(TRUE,INDEX($X1360:$AY1360&lt;&gt;0,),0)),IF(BA1360=0,INDEX($AO$7:$AY$7,MATCH(1,$AO1360:$AY1360,0)),IF(BH1360="Multiple strategies","mixed drivers",IF(BH1360="Supply chain","multiple supply","multiple silviculture"))))</f>
        <v>products lifespan</v>
      </c>
      <c r="BH1360" s="2" t="str" cm="1">
        <f t="array" ref="BH1360">IF(COUNTIF(BB1360:BD1360,"&lt;&gt;0")=1,INDEX($X$4:$AY$4,MATCH(TRUE,INDEX($X1360:$AY1360&lt;&gt;0,),0)),IF(COUNTIF(BB1360:BD1360,"&lt;&gt;0")=0,INDEX($AO$4:$AY$4,MATCH(1,$AO1360:$AY1360,0)),"Multiple strategies"))</f>
        <v>Supply chain</v>
      </c>
      <c r="BI1360" s="164" t="s">
        <v>229</v>
      </c>
      <c r="BJ1360" s="165" t="s">
        <v>3091</v>
      </c>
      <c r="BK1360" s="165" t="s">
        <v>3090</v>
      </c>
      <c r="BL1360" s="166" t="s">
        <v>345</v>
      </c>
      <c r="BM1360" s="167"/>
      <c r="BN1360" s="167"/>
      <c r="BO1360" s="168" t="s">
        <v>857</v>
      </c>
      <c r="BP1360">
        <f>BN1360-BM1360</f>
        <v>0</v>
      </c>
      <c r="BQ1360">
        <f>BP1360*kg_to_m3</f>
        <v>0</v>
      </c>
      <c r="BR1360" s="294" t="s">
        <v>395</v>
      </c>
      <c r="BS1360" s="260" t="s">
        <v>858</v>
      </c>
      <c r="BT1360" s="260" t="s">
        <v>859</v>
      </c>
      <c r="BU1360" s="169">
        <v>81960007.070510104</v>
      </c>
      <c r="BV1360" s="169">
        <v>72552900</v>
      </c>
      <c r="BW1360" s="144">
        <v>0.89</v>
      </c>
      <c r="BX1360">
        <f>BV1360-BU1360</f>
        <v>-9407107.0705101043</v>
      </c>
      <c r="BZ1360">
        <f>BX1360/1000</f>
        <v>-9407.1070705101047</v>
      </c>
      <c r="CA1360" t="str">
        <f>IFERROR(BZ1360/BQ1360,"")</f>
        <v/>
      </c>
      <c r="CB1360">
        <v>0</v>
      </c>
      <c r="CC1360">
        <v>0</v>
      </c>
      <c r="CD1360">
        <v>0</v>
      </c>
      <c r="CE1360">
        <v>0</v>
      </c>
      <c r="CF1360">
        <v>0</v>
      </c>
      <c r="CG1360">
        <v>0</v>
      </c>
      <c r="CH1360">
        <v>0</v>
      </c>
      <c r="CI1360">
        <v>0</v>
      </c>
      <c r="CJ1360">
        <v>0</v>
      </c>
      <c r="CK1360">
        <v>0</v>
      </c>
      <c r="CL1360">
        <v>0</v>
      </c>
      <c r="CM1360">
        <v>0</v>
      </c>
      <c r="CN1360">
        <v>0</v>
      </c>
      <c r="CO1360">
        <v>0</v>
      </c>
      <c r="CP1360" t="str">
        <f>IF(BN1360&lt;BM1360,"refNeedCorrection","refOK")</f>
        <v>refOK</v>
      </c>
      <c r="CQ1360"/>
      <c r="CR1360"/>
      <c r="CS1360">
        <f>IF($CP1360="refOK",$BQ1360,-$BQ1360)</f>
        <v>0</v>
      </c>
      <c r="CT1360">
        <f>IF(BI1360="Roundwood",$CS1360/2,$CS1360)</f>
        <v>0</v>
      </c>
      <c r="CU1360">
        <f>IF($CP1360="refOK",$BU1360,$BV1360)*IF($BR1360="Emissions positive",-1,1)</f>
        <v>-81960007.070510104</v>
      </c>
      <c r="CV1360">
        <f>IF($CP1360="refOK",$BV1360,$BU1360)*IF($BR1360="Emissions positive",-1,1)</f>
        <v>-72552900</v>
      </c>
      <c r="CW1360">
        <f>IF($CP1360="refNeedCorrection",-BZ1360,BZ1360)*IF($BR1360="Emissions positive",-1,1)</f>
        <v>9407.1070705101047</v>
      </c>
      <c r="CX1360" t="str">
        <f>IFERROR($CW1360/$CS1360,"")</f>
        <v/>
      </c>
      <c r="CY1360" t="str">
        <f>IFERROR($CW1360/$CS1360,"")</f>
        <v/>
      </c>
      <c r="CZ1360" t="str">
        <f>IFERROR($CW1360/$CT1360,"")</f>
        <v/>
      </c>
      <c r="DA1360" s="2">
        <f>IFERROR((CV1360-CU1360)/ABS(CU1360),"")</f>
        <v>0.11477679671766232</v>
      </c>
      <c r="DB1360" s="1" t="s">
        <v>347</v>
      </c>
      <c r="DC1360" s="260" t="str">
        <f>IF(OR($DB1360="prd",$DB1360="std",$DB1360="cit"),"loc",IF(OR($DB1360="eur",$DB1360="reg",$DB1360="coy"),"reg",$DB1360))</f>
        <v>loc</v>
      </c>
      <c r="DD1360" t="s">
        <v>264</v>
      </c>
      <c r="DE1360">
        <v>2019</v>
      </c>
      <c r="DF1360" s="143">
        <v>2080</v>
      </c>
      <c r="DG1360" s="143">
        <f>DF1360-DE1360</f>
        <v>61</v>
      </c>
      <c r="DH1360" t="str">
        <f>IF(DG1360=0,"0",IF(AND(DG1360&gt;=1,DG1360&lt;=30),"1-30",IF(AND(DG1360&gt;30,DG1360&lt;=70),"31-70",IF(AND(DG1360&gt;70,DG1360&lt;=100),"71-100",IF(DG1360&gt;100,"+100")))))</f>
        <v>31-70</v>
      </c>
      <c r="DI1360">
        <v>0</v>
      </c>
      <c r="DJ1360">
        <v>0</v>
      </c>
      <c r="DK1360">
        <v>0</v>
      </c>
      <c r="DL1360">
        <v>1</v>
      </c>
      <c r="DN1360">
        <f>SUM(DI1360:DL1360)</f>
        <v>1</v>
      </c>
      <c r="DO1360" t="str">
        <f>IF(DN1360=1,INDEX($DI$7:$DL$7,MATCH(1,$DI1360:$DL1360,0)),"mixedProduct")</f>
        <v>TimberInput</v>
      </c>
      <c r="DP1360">
        <f>IF(DI1360=1,DP$7,0)</f>
        <v>0</v>
      </c>
      <c r="DQ1360">
        <f>IF(DJ1360=1,DQ$7,0)</f>
        <v>0</v>
      </c>
      <c r="DR1360">
        <f>IF(DK1360=1,DR$7,0)</f>
        <v>0</v>
      </c>
      <c r="DS1360" t="str">
        <f>IF(DL1360=1,DS$7,0)</f>
        <v>Timber</v>
      </c>
      <c r="DT1360">
        <v>0</v>
      </c>
      <c r="DU1360" s="143">
        <v>0</v>
      </c>
      <c r="DV1360" s="143">
        <v>0</v>
      </c>
      <c r="DW1360">
        <v>0</v>
      </c>
      <c r="DX1360" s="143">
        <v>0</v>
      </c>
      <c r="DY1360">
        <f>SUM(DT1360:DU1360)</f>
        <v>0</v>
      </c>
      <c r="DZ1360" s="143" t="str">
        <f>IF(DT1360=1,"self-calculated DF",IF(DU1360=1,"external DF used","explicit C balance"))</f>
        <v>explicit C balance</v>
      </c>
      <c r="EA1360" s="143">
        <v>0</v>
      </c>
      <c r="EB1360" s="143">
        <v>0</v>
      </c>
      <c r="EC1360" s="143">
        <v>0</v>
      </c>
      <c r="ED1360" s="143">
        <v>1</v>
      </c>
      <c r="EE1360">
        <v>0</v>
      </c>
      <c r="EF1360" s="143">
        <v>0</v>
      </c>
      <c r="EG1360" s="143">
        <v>1</v>
      </c>
      <c r="EH1360" s="143">
        <v>1</v>
      </c>
      <c r="EI1360" s="143">
        <v>1</v>
      </c>
      <c r="EJ1360">
        <v>0</v>
      </c>
      <c r="EK1360">
        <v>0</v>
      </c>
      <c r="EL1360" s="143">
        <v>0</v>
      </c>
      <c r="EM1360">
        <v>0</v>
      </c>
      <c r="EN1360" s="2">
        <v>0</v>
      </c>
      <c r="EP1360" t="str">
        <f>IF(AND(AND(AND(OR($EC1360=1,$EB1360=1),OR($EH1360=1,$EF1360=1)),SUM($EA1360:$EE1360,$EK1360)&gt;=3),SUM($EF1360:$EJ1360)&gt;=2),"Whole sector approach","")</f>
        <v/>
      </c>
      <c r="EQ1360" t="str">
        <f>IF(AND(AND(OR($EC1360=1,$EB1360=1),AND($EH1360=0,$EF1360=0)),SUM($EA1360:$EE1360,$EK1360)&gt;=4),"Ecosystem approach","")</f>
        <v/>
      </c>
      <c r="ER1360" s="2" t="str">
        <f>IF(AND(AND(AND($EC1360=0,$EB1360=0),OR($EH1360=1,$EF1360=1)),SUM($EG1360:$EJ1360)&gt;=2),"Technology approach","")</f>
        <v>Technology approach</v>
      </c>
      <c r="ES1360" t="str">
        <f>IF(AND($EC1360+$EB1360+$EE1360+$EA1360+$ED1360+$EG1360=0,$N1360="included"),"C neutral forest and HWP assumption","")</f>
        <v/>
      </c>
      <c r="ET1360" t="str">
        <f>IF(AND(AND(AND(AND($EC1360=1,$EB1360+$EA1360+$EG1360&gt;=1),$EF1360=1),$EH1360+$EI1360+$ED1360+$EE1360&gt;=2),$N1360="included"),"All C pools assumption","")</f>
        <v/>
      </c>
      <c r="EU1360" t="str">
        <f>IF(AND($ED1360+$EE1360+$EI1360+$EH1360+$EF1360=0,$N1360="included"),"In-situ only assumption","")</f>
        <v/>
      </c>
      <c r="EY1360" t="b">
        <f>IF(ISNUMBER(BW1360),IF(ABS(BW1360-[5]QC_indicators!$B$2)&gt;3*[5]QC_indicators!$C$2,"C ratio",IF(ISNUMBER(CA1360),IF(ABS(CA1360-[5]QC_indicators!$B$1)&gt;3*[5]QC_indicators!$C$1,"DF","no"))),IF(ISNUMBER(CA1360),IF(ABS(CA1360-[5]QC_indicators!$B$1)&gt;3*[5]QC_indicators!$C$1,"DF","no")))</f>
        <v>0</v>
      </c>
      <c r="FA1360" t="str">
        <f>IF(LEN($CY1360)=0,"",IF(AND($CY1360&lt;(-0.05),$ES1360="C neutral forest and HWP assumption"),"Cneutral paradox",IF(AND($CY1360&gt;0.05,$EU1360="In-situ only assumption"),"In-situ only paradox","")))</f>
        <v/>
      </c>
      <c r="FB1360" s="287" t="s">
        <v>349</v>
      </c>
      <c r="FD1360" s="294" t="s">
        <v>3094</v>
      </c>
    </row>
    <row r="1361" spans="1:160" ht="15" hidden="1" customHeight="1">
      <c r="A1361" s="1" t="s">
        <v>849</v>
      </c>
      <c r="D1361" s="260" t="s">
        <v>850</v>
      </c>
      <c r="E1361" s="260" t="s">
        <v>851</v>
      </c>
      <c r="H1361" t="s">
        <v>852</v>
      </c>
      <c r="I1361">
        <v>2020</v>
      </c>
      <c r="J1361">
        <v>8</v>
      </c>
      <c r="K1361" t="s">
        <v>853</v>
      </c>
      <c r="M1361" t="str">
        <f>LEFT($D1361,FIND(",",$D1361)-1)&amp;"_"&amp;I1361&amp;L1361</f>
        <v>Lausselet_2020</v>
      </c>
      <c r="N1361" t="s">
        <v>222</v>
      </c>
      <c r="O1361" s="145" t="s">
        <v>225</v>
      </c>
      <c r="Q1361" s="260" t="s">
        <v>256</v>
      </c>
      <c r="R1361" s="264" t="s">
        <v>341</v>
      </c>
      <c r="S1361" s="1" t="s">
        <v>860</v>
      </c>
      <c r="T1361" t="s">
        <v>856</v>
      </c>
      <c r="U1361" s="143" t="s">
        <v>862</v>
      </c>
      <c r="V1361" s="253">
        <v>0</v>
      </c>
      <c r="W1361" s="253">
        <v>0</v>
      </c>
      <c r="X1361">
        <v>0</v>
      </c>
      <c r="Y1361">
        <v>0</v>
      </c>
      <c r="Z1361">
        <v>0</v>
      </c>
      <c r="AA1361">
        <v>0</v>
      </c>
      <c r="AB1361">
        <v>0</v>
      </c>
      <c r="AC1361">
        <v>0</v>
      </c>
      <c r="AD1361">
        <v>0</v>
      </c>
      <c r="AE1361">
        <v>0</v>
      </c>
      <c r="AF1361">
        <v>0</v>
      </c>
      <c r="AG1361">
        <v>0</v>
      </c>
      <c r="AH1361">
        <v>0</v>
      </c>
      <c r="AI1361">
        <v>0</v>
      </c>
      <c r="AJ1361">
        <v>0</v>
      </c>
      <c r="AK1361">
        <v>0</v>
      </c>
      <c r="AL1361">
        <v>1</v>
      </c>
      <c r="AM1361">
        <v>0</v>
      </c>
      <c r="AN1361">
        <v>0</v>
      </c>
      <c r="AO1361">
        <v>0</v>
      </c>
      <c r="AP1361">
        <v>0</v>
      </c>
      <c r="AQ1361">
        <v>0</v>
      </c>
      <c r="AR1361">
        <v>0</v>
      </c>
      <c r="AS1361">
        <v>0</v>
      </c>
      <c r="AT1361">
        <v>0</v>
      </c>
      <c r="AU1361">
        <v>0</v>
      </c>
      <c r="AV1361">
        <v>0</v>
      </c>
      <c r="AW1361">
        <v>0</v>
      </c>
      <c r="AX1361">
        <v>0</v>
      </c>
      <c r="AY1361">
        <v>0</v>
      </c>
      <c r="AZ1361" s="141">
        <f>COUNTIF(X1361:AY1361,"&lt;&gt;0")</f>
        <v>1</v>
      </c>
      <c r="BA1361" s="141">
        <f>COUNTIF(X1361:AN1361,"&lt;&gt;0")</f>
        <v>1</v>
      </c>
      <c r="BB1361">
        <f>COUNTIF(X1361:AE1361,"&lt;&gt;0")</f>
        <v>0</v>
      </c>
      <c r="BC1361">
        <f>COUNTIF(AF1361:AK1361,"&lt;&gt;0")</f>
        <v>0</v>
      </c>
      <c r="BD1361">
        <f>COUNTIF(AL1361:AN1361,"&lt;&gt;0")</f>
        <v>1</v>
      </c>
      <c r="BE1361">
        <f>COUNTIF(AU1361:AY1361,"&lt;&gt;0")</f>
        <v>0</v>
      </c>
      <c r="BF1361">
        <f>COUNTIF(AO1361:AT1361,"&lt;&gt;0")</f>
        <v>0</v>
      </c>
      <c r="BG1361" t="str" cm="1">
        <f t="array" ref="BG1361">IF(BA1361=1,INDEX($X$7:$AN$7,MATCH(TRUE,INDEX($X1361:$AY1361&lt;&gt;0,),0)),IF(BA1361=0,INDEX($AO$7:$AY$7,MATCH(1,$AO1361:$AY1361,0)),IF(BH1361="Multiple strategies","mixed drivers",IF(BH1361="Supply chain","multiple supply","multiple silviculture"))))</f>
        <v>efficiency improvement</v>
      </c>
      <c r="BH1361" s="2" t="str" cm="1">
        <f t="array" ref="BH1361">IF(COUNTIF(BB1361:BD1361,"&lt;&gt;0")=1,INDEX($X$4:$AY$4,MATCH(TRUE,INDEX($X1361:$AY1361&lt;&gt;0,),0)),IF(COUNTIF(BB1361:BD1361,"&lt;&gt;0")=0,INDEX($AO$4:$AY$4,MATCH(1,$AO1361:$AY1361,0)),"Multiple strategies"))</f>
        <v>Technology</v>
      </c>
      <c r="BI1361" s="164" t="s">
        <v>229</v>
      </c>
      <c r="BJ1361" s="165" t="s">
        <v>3091</v>
      </c>
      <c r="BK1361" s="165" t="s">
        <v>3090</v>
      </c>
      <c r="BL1361" s="166" t="s">
        <v>345</v>
      </c>
      <c r="BM1361" s="167"/>
      <c r="BN1361" s="167"/>
      <c r="BO1361" s="168" t="s">
        <v>857</v>
      </c>
      <c r="BP1361">
        <f>BN1361-BM1361</f>
        <v>0</v>
      </c>
      <c r="BQ1361">
        <f>BP1361*kg_to_m3</f>
        <v>0</v>
      </c>
      <c r="BR1361" s="294" t="s">
        <v>395</v>
      </c>
      <c r="BS1361" s="260" t="s">
        <v>858</v>
      </c>
      <c r="BT1361" s="260" t="s">
        <v>859</v>
      </c>
      <c r="BU1361" s="169">
        <v>81960007.070510104</v>
      </c>
      <c r="BV1361" s="169">
        <v>69008389.932988703</v>
      </c>
      <c r="BW1361" s="144">
        <v>0.83999999999999986</v>
      </c>
      <c r="BX1361">
        <f>BV1361-BU1361</f>
        <v>-12951617.137521401</v>
      </c>
      <c r="BZ1361">
        <f>BX1361/1000</f>
        <v>-12951.617137521402</v>
      </c>
      <c r="CA1361" t="str">
        <f>IFERROR(BZ1361/BQ1361,"")</f>
        <v/>
      </c>
      <c r="CB1361">
        <v>0</v>
      </c>
      <c r="CC1361">
        <v>0</v>
      </c>
      <c r="CD1361">
        <v>0</v>
      </c>
      <c r="CE1361">
        <v>0</v>
      </c>
      <c r="CF1361">
        <v>0</v>
      </c>
      <c r="CG1361">
        <v>0</v>
      </c>
      <c r="CH1361">
        <v>0</v>
      </c>
      <c r="CI1361">
        <v>0</v>
      </c>
      <c r="CJ1361">
        <v>0</v>
      </c>
      <c r="CK1361">
        <v>0</v>
      </c>
      <c r="CL1361">
        <v>0</v>
      </c>
      <c r="CM1361">
        <v>0</v>
      </c>
      <c r="CN1361">
        <v>0</v>
      </c>
      <c r="CO1361">
        <v>0</v>
      </c>
      <c r="CP1361" t="str">
        <f>IF($BN1361&lt;$BM1361,"refNeedCorrection","refOK")</f>
        <v>refOK</v>
      </c>
      <c r="CQ1361"/>
      <c r="CR1361"/>
      <c r="CS1361">
        <f>IF($CP1361="refOK",$BQ1361,-$BQ1361)</f>
        <v>0</v>
      </c>
      <c r="CT1361">
        <f>IF(BI1361="Roundwood",$CS1361/2,$CS1361)</f>
        <v>0</v>
      </c>
      <c r="CU1361">
        <f>IF($CP1361="refOK",$BU1361,$BV1361)*IF($BR1361="Emissions positive",-1,1)</f>
        <v>-81960007.070510104</v>
      </c>
      <c r="CV1361">
        <f>IF($CP1361="refOK",$BV1361,$BU1361)*IF($BR1361="Emissions positive",-1,1)</f>
        <v>-69008389.932988703</v>
      </c>
      <c r="CW1361">
        <f>IF($CP1361="refNeedCorrection",-BZ1361,BZ1361)*IF($BR1361="Emissions positive",-1,1)</f>
        <v>12951.617137521402</v>
      </c>
      <c r="CX1361" t="str">
        <f>IFERROR($CW1361/$CS1361,"")</f>
        <v/>
      </c>
      <c r="CY1361" t="str">
        <f>IFERROR($CW1361/$CS1361,"")</f>
        <v/>
      </c>
      <c r="CZ1361" t="str">
        <f>IFERROR($CW1361/$CT1361,"")</f>
        <v/>
      </c>
      <c r="DA1361" s="2">
        <f>IFERROR((CV1361-CU1361)/ABS(CU1361),"")</f>
        <v>0.15802362152530244</v>
      </c>
      <c r="DB1361" s="1" t="s">
        <v>347</v>
      </c>
      <c r="DC1361" s="260" t="str">
        <f>IF(OR($DB1361="prd",$DB1361="std",$DB1361="cit"),"loc",IF(OR($DB1361="eur",$DB1361="reg",$DB1361="coy"),"reg",$DB1361))</f>
        <v>loc</v>
      </c>
      <c r="DD1361" t="s">
        <v>264</v>
      </c>
      <c r="DE1361">
        <v>2019</v>
      </c>
      <c r="DF1361" s="143">
        <v>2080</v>
      </c>
      <c r="DG1361" s="143">
        <f>DF1361-DE1361</f>
        <v>61</v>
      </c>
      <c r="DH1361" t="str">
        <f>IF(DG1361=0,"0",IF(AND(DG1361&gt;=1,DG1361&lt;=30),"1-30",IF(AND(DG1361&gt;30,DG1361&lt;=70),"31-70",IF(AND(DG1361&gt;70,DG1361&lt;=100),"71-100",IF(DG1361&gt;100,"+100")))))</f>
        <v>31-70</v>
      </c>
      <c r="DI1361">
        <v>0</v>
      </c>
      <c r="DJ1361">
        <v>0</v>
      </c>
      <c r="DK1361">
        <v>0</v>
      </c>
      <c r="DL1361">
        <v>1</v>
      </c>
      <c r="DN1361">
        <f>SUM(DI1361:DL1361)</f>
        <v>1</v>
      </c>
      <c r="DO1361" t="str">
        <f>IF(DN1361=1,INDEX($DI$7:$DL$7,MATCH(1,$DI1361:$DL1361,0)),"mixedProduct")</f>
        <v>TimberInput</v>
      </c>
      <c r="DP1361">
        <f>IF(DI1361=1,DP$7,0)</f>
        <v>0</v>
      </c>
      <c r="DQ1361">
        <f>IF(DJ1361=1,DQ$7,0)</f>
        <v>0</v>
      </c>
      <c r="DR1361">
        <f>IF(DK1361=1,DR$7,0)</f>
        <v>0</v>
      </c>
      <c r="DS1361" t="str">
        <f>IF(DL1361=1,DS$7,0)</f>
        <v>Timber</v>
      </c>
      <c r="DT1361">
        <v>0</v>
      </c>
      <c r="DU1361" s="143">
        <v>0</v>
      </c>
      <c r="DV1361" s="143">
        <v>0</v>
      </c>
      <c r="DW1361">
        <v>0</v>
      </c>
      <c r="DX1361" s="143">
        <v>0</v>
      </c>
      <c r="DY1361">
        <f>SUM(DT1361:DU1361)</f>
        <v>0</v>
      </c>
      <c r="DZ1361" s="143" t="str">
        <f>IF(DT1361=1,"self-calculated DF",IF(DU1361=1,"external DF used","explicit C balance"))</f>
        <v>explicit C balance</v>
      </c>
      <c r="EA1361" s="143">
        <v>0</v>
      </c>
      <c r="EB1361" s="143">
        <v>0</v>
      </c>
      <c r="EC1361" s="143">
        <v>0</v>
      </c>
      <c r="ED1361" s="143">
        <v>1</v>
      </c>
      <c r="EE1361">
        <v>0</v>
      </c>
      <c r="EF1361" s="143">
        <v>0</v>
      </c>
      <c r="EG1361" s="143">
        <v>1</v>
      </c>
      <c r="EH1361" s="143">
        <v>1</v>
      </c>
      <c r="EI1361" s="143">
        <v>1</v>
      </c>
      <c r="EJ1361">
        <v>0</v>
      </c>
      <c r="EK1361">
        <v>0</v>
      </c>
      <c r="EL1361" s="143">
        <v>0</v>
      </c>
      <c r="EM1361">
        <v>0</v>
      </c>
      <c r="EN1361" s="2">
        <v>0</v>
      </c>
      <c r="EP1361" t="str">
        <f>IF(AND(AND(AND(OR($EC1361=1,$EB1361=1),OR($EH1361=1,$EF1361=1)),SUM($EA1361:$EE1361,$EK1361)&gt;=3),SUM($EF1361:$EJ1361)&gt;=2),"Whole sector approach","")</f>
        <v/>
      </c>
      <c r="EQ1361" t="str">
        <f>IF(AND(AND(OR($EC1361=1,$EB1361=1),AND($EH1361=0,$EF1361=0)),SUM($EA1361:$EE1361,$EK1361)&gt;=4),"Ecosystem approach","")</f>
        <v/>
      </c>
      <c r="ER1361" s="2" t="str">
        <f>IF(AND(AND(AND($EC1361=0,$EB1361=0),OR($EH1361=1,$EF1361=1)),SUM($EG1361:$EJ1361)&gt;=2),"Technology approach","")</f>
        <v>Technology approach</v>
      </c>
      <c r="ES1361" t="str">
        <f>IF(AND($EC1361+$EB1361+$EE1361+$EA1361+$ED1361+$EG1361=0,$N1361="included"),"C neutral forest and HWP assumption","")</f>
        <v/>
      </c>
      <c r="ET1361" t="str">
        <f>IF(AND(AND(AND(AND($EC1361=1,$EB1361+$EA1361+$EG1361&gt;=1),$EF1361=1),$EH1361+$EI1361+$ED1361+$EE1361&gt;=2),$N1361="included"),"All C pools assumption","")</f>
        <v/>
      </c>
      <c r="EU1361" t="str">
        <f>IF(AND($ED1361+$EE1361+$EI1361+$EH1361+$EF1361=0,$N1361="included"),"In-situ only assumption","")</f>
        <v/>
      </c>
      <c r="EY1361" t="b">
        <f>IF(ISNUMBER(BW1361),IF(ABS(BW1361-[5]QC_indicators!$B$2)&gt;3*[5]QC_indicators!$C$2,"C ratio",IF(ISNUMBER(CA1361),IF(ABS(CA1361-[5]QC_indicators!$B$1)&gt;3*[5]QC_indicators!$C$1,"DF","no"))),IF(ISNUMBER(CA1361),IF(ABS(CA1361-[5]QC_indicators!$B$1)&gt;3*[5]QC_indicators!$C$1,"DF","no")))</f>
        <v>0</v>
      </c>
      <c r="FA1361" t="str">
        <f>IF(LEN($CY1361)=0,"",IF(AND($CY1361&lt;(-0.05),$ES1361="C neutral forest and HWP assumption"),"Cneutral paradox",IF(AND($CY1361&gt;0.05,$EU1361="In-situ only assumption"),"In-situ only paradox","")))</f>
        <v/>
      </c>
      <c r="FB1361" s="287" t="s">
        <v>349</v>
      </c>
      <c r="FD1361" s="294" t="s">
        <v>3094</v>
      </c>
    </row>
    <row r="1362" spans="1:160" ht="15" hidden="1" customHeight="1">
      <c r="A1362" s="1" t="s">
        <v>849</v>
      </c>
      <c r="D1362" s="260" t="s">
        <v>850</v>
      </c>
      <c r="E1362" s="260" t="s">
        <v>851</v>
      </c>
      <c r="H1362" t="s">
        <v>852</v>
      </c>
      <c r="I1362">
        <v>2020</v>
      </c>
      <c r="J1362">
        <v>8</v>
      </c>
      <c r="K1362" t="s">
        <v>853</v>
      </c>
      <c r="M1362" t="str">
        <f>LEFT($D1362,FIND(",",$D1362)-1)&amp;"_"&amp;I1362&amp;L1362</f>
        <v>Lausselet_2020</v>
      </c>
      <c r="N1362" t="s">
        <v>222</v>
      </c>
      <c r="O1362" s="145" t="s">
        <v>225</v>
      </c>
      <c r="Q1362" s="260" t="s">
        <v>256</v>
      </c>
      <c r="R1362" s="264" t="s">
        <v>341</v>
      </c>
      <c r="S1362" s="1" t="s">
        <v>860</v>
      </c>
      <c r="T1362" t="s">
        <v>856</v>
      </c>
      <c r="U1362" s="143" t="s">
        <v>861</v>
      </c>
      <c r="V1362" s="253">
        <v>0</v>
      </c>
      <c r="W1362" s="253">
        <v>0</v>
      </c>
      <c r="X1362">
        <v>0</v>
      </c>
      <c r="Y1362">
        <v>0</v>
      </c>
      <c r="Z1362">
        <v>0</v>
      </c>
      <c r="AA1362">
        <v>0</v>
      </c>
      <c r="AB1362">
        <v>0</v>
      </c>
      <c r="AC1362">
        <v>0</v>
      </c>
      <c r="AD1362">
        <v>0</v>
      </c>
      <c r="AE1362">
        <v>0</v>
      </c>
      <c r="AF1362">
        <v>0</v>
      </c>
      <c r="AG1362">
        <v>0</v>
      </c>
      <c r="AH1362">
        <v>0</v>
      </c>
      <c r="AI1362">
        <v>0</v>
      </c>
      <c r="AJ1362">
        <v>0</v>
      </c>
      <c r="AK1362">
        <v>0</v>
      </c>
      <c r="AL1362">
        <v>1</v>
      </c>
      <c r="AM1362">
        <v>0</v>
      </c>
      <c r="AN1362">
        <v>0</v>
      </c>
      <c r="AO1362">
        <v>0</v>
      </c>
      <c r="AP1362">
        <v>0</v>
      </c>
      <c r="AQ1362">
        <v>0</v>
      </c>
      <c r="AR1362">
        <v>0</v>
      </c>
      <c r="AS1362">
        <v>0</v>
      </c>
      <c r="AT1362">
        <v>0</v>
      </c>
      <c r="AU1362">
        <v>0</v>
      </c>
      <c r="AV1362">
        <v>0</v>
      </c>
      <c r="AW1362">
        <v>0</v>
      </c>
      <c r="AX1362">
        <v>0</v>
      </c>
      <c r="AY1362">
        <v>0</v>
      </c>
      <c r="AZ1362" s="141">
        <f>COUNTIF(X1362:AY1362,"&lt;&gt;0")</f>
        <v>1</v>
      </c>
      <c r="BA1362" s="141">
        <f>COUNTIF(X1362:AN1362,"&lt;&gt;0")</f>
        <v>1</v>
      </c>
      <c r="BB1362">
        <f>COUNTIF(X1362:AE1362,"&lt;&gt;0")</f>
        <v>0</v>
      </c>
      <c r="BC1362">
        <f>COUNTIF(AF1362:AK1362,"&lt;&gt;0")</f>
        <v>0</v>
      </c>
      <c r="BD1362">
        <f>COUNTIF(AL1362:AN1362,"&lt;&gt;0")</f>
        <v>1</v>
      </c>
      <c r="BE1362">
        <f>COUNTIF(AU1362:AY1362,"&lt;&gt;0")</f>
        <v>0</v>
      </c>
      <c r="BF1362">
        <f>COUNTIF(AO1362:AT1362,"&lt;&gt;0")</f>
        <v>0</v>
      </c>
      <c r="BG1362" t="str" cm="1">
        <f t="array" ref="BG1362">IF(BA1362=1,INDEX($X$7:$AN$7,MATCH(TRUE,INDEX($X1362:$AY1362&lt;&gt;0,),0)),IF(BA1362=0,INDEX($AO$7:$AY$7,MATCH(1,$AO1362:$AY1362,0)),IF(BH1362="Multiple strategies","mixed drivers",IF(BH1362="Supply chain","multiple supply","multiple silviculture"))))</f>
        <v>efficiency improvement</v>
      </c>
      <c r="BH1362" s="2" t="str" cm="1">
        <f t="array" ref="BH1362">IF(COUNTIF(BB1362:BD1362,"&lt;&gt;0")=1,INDEX($X$4:$AY$4,MATCH(TRUE,INDEX($X1362:$AY1362&lt;&gt;0,),0)),IF(COUNTIF(BB1362:BD1362,"&lt;&gt;0")=0,INDEX($AO$4:$AY$4,MATCH(1,$AO1362:$AY1362,0)),"Multiple strategies"))</f>
        <v>Technology</v>
      </c>
      <c r="BI1362" s="164" t="s">
        <v>229</v>
      </c>
      <c r="BJ1362" s="165" t="s">
        <v>3091</v>
      </c>
      <c r="BK1362" s="165" t="s">
        <v>3090</v>
      </c>
      <c r="BL1362" s="166" t="s">
        <v>345</v>
      </c>
      <c r="BM1362" s="167"/>
      <c r="BN1362" s="167"/>
      <c r="BO1362" s="168" t="s">
        <v>857</v>
      </c>
      <c r="BP1362">
        <f>BN1362-BM1362</f>
        <v>0</v>
      </c>
      <c r="BQ1362">
        <f>BP1362*kg_to_m3</f>
        <v>0</v>
      </c>
      <c r="BR1362" s="294" t="s">
        <v>395</v>
      </c>
      <c r="BS1362" s="260" t="s">
        <v>858</v>
      </c>
      <c r="BT1362" s="260" t="s">
        <v>859</v>
      </c>
      <c r="BU1362" s="169">
        <v>81960007.070510104</v>
      </c>
      <c r="BV1362" s="169">
        <v>63759415.453145199</v>
      </c>
      <c r="BW1362" s="144">
        <v>0.78</v>
      </c>
      <c r="BX1362">
        <f>BV1362-BU1362</f>
        <v>-18200591.617364906</v>
      </c>
      <c r="BZ1362">
        <f>BX1362/1000</f>
        <v>-18200.591617364906</v>
      </c>
      <c r="CA1362" t="str">
        <f>IFERROR(BZ1362/BQ1362,"")</f>
        <v/>
      </c>
      <c r="CB1362">
        <v>0</v>
      </c>
      <c r="CC1362">
        <v>0</v>
      </c>
      <c r="CD1362">
        <v>0</v>
      </c>
      <c r="CE1362">
        <v>0</v>
      </c>
      <c r="CF1362">
        <v>0</v>
      </c>
      <c r="CG1362">
        <v>0</v>
      </c>
      <c r="CH1362">
        <v>0</v>
      </c>
      <c r="CI1362">
        <v>0</v>
      </c>
      <c r="CJ1362">
        <v>0</v>
      </c>
      <c r="CK1362">
        <v>0</v>
      </c>
      <c r="CL1362">
        <v>0</v>
      </c>
      <c r="CM1362">
        <v>0</v>
      </c>
      <c r="CN1362">
        <v>0</v>
      </c>
      <c r="CO1362">
        <v>0</v>
      </c>
      <c r="CP1362" t="str">
        <f>IF($BN1362&lt;$BM1362,"refNeedCorrection","refOK")</f>
        <v>refOK</v>
      </c>
      <c r="CQ1362"/>
      <c r="CR1362"/>
      <c r="CS1362">
        <f>IF($CP1362="refOK",$BQ1362,-$BQ1362)</f>
        <v>0</v>
      </c>
      <c r="CT1362">
        <f>IF(BI1362="Roundwood",$CS1362/2,$CS1362)</f>
        <v>0</v>
      </c>
      <c r="CU1362">
        <f>IF($CP1362="refOK",$BU1362,$BV1362)*IF($BR1362="Emissions positive",-1,1)</f>
        <v>-81960007.070510104</v>
      </c>
      <c r="CV1362">
        <f>IF($CP1362="refOK",$BV1362,$BU1362)*IF($BR1362="Emissions positive",-1,1)</f>
        <v>-63759415.453145199</v>
      </c>
      <c r="CW1362">
        <f>IF($CP1362="refNeedCorrection",-BZ1362,BZ1362)*IF($BR1362="Emissions positive",-1,1)</f>
        <v>18200.591617364906</v>
      </c>
      <c r="CX1362" t="str">
        <f>IFERROR($CW1362/$CS1362,"")</f>
        <v/>
      </c>
      <c r="CY1362" t="str">
        <f>IFERROR($CW1362/$CS1362,"")</f>
        <v/>
      </c>
      <c r="CZ1362" t="str">
        <f>IFERROR($CW1362/$CT1362,"")</f>
        <v/>
      </c>
      <c r="DA1362" s="2">
        <f>IFERROR((CV1362-CU1362)/ABS(CU1362),"")</f>
        <v>0.2220667404494848</v>
      </c>
      <c r="DB1362" s="1" t="s">
        <v>347</v>
      </c>
      <c r="DC1362" s="260" t="str">
        <f>IF(OR($DB1362="prd",$DB1362="std",$DB1362="cit"),"loc",IF(OR($DB1362="eur",$DB1362="reg",$DB1362="coy"),"reg",$DB1362))</f>
        <v>loc</v>
      </c>
      <c r="DD1362" t="s">
        <v>264</v>
      </c>
      <c r="DE1362">
        <v>2019</v>
      </c>
      <c r="DF1362" s="143">
        <v>2080</v>
      </c>
      <c r="DG1362" s="143">
        <f>DF1362-DE1362</f>
        <v>61</v>
      </c>
      <c r="DH1362" t="str">
        <f>IF(DG1362=0,"0",IF(AND(DG1362&gt;=1,DG1362&lt;=30),"1-30",IF(AND(DG1362&gt;30,DG1362&lt;=70),"31-70",IF(AND(DG1362&gt;70,DG1362&lt;=100),"71-100",IF(DG1362&gt;100,"+100")))))</f>
        <v>31-70</v>
      </c>
      <c r="DI1362">
        <v>0</v>
      </c>
      <c r="DJ1362">
        <v>0</v>
      </c>
      <c r="DK1362">
        <v>0</v>
      </c>
      <c r="DL1362">
        <v>1</v>
      </c>
      <c r="DN1362">
        <f>SUM(DI1362:DL1362)</f>
        <v>1</v>
      </c>
      <c r="DO1362" t="str">
        <f>IF(DN1362=1,INDEX($DI$7:$DL$7,MATCH(1,$DI1362:$DL1362,0)),"mixedProduct")</f>
        <v>TimberInput</v>
      </c>
      <c r="DP1362">
        <f>IF(DI1362=1,DP$7,0)</f>
        <v>0</v>
      </c>
      <c r="DQ1362">
        <f>IF(DJ1362=1,DQ$7,0)</f>
        <v>0</v>
      </c>
      <c r="DR1362">
        <f>IF(DK1362=1,DR$7,0)</f>
        <v>0</v>
      </c>
      <c r="DS1362" t="str">
        <f>IF(DL1362=1,DS$7,0)</f>
        <v>Timber</v>
      </c>
      <c r="DT1362">
        <v>0</v>
      </c>
      <c r="DU1362" s="143">
        <v>0</v>
      </c>
      <c r="DV1362" s="143">
        <v>0</v>
      </c>
      <c r="DW1362">
        <v>0</v>
      </c>
      <c r="DX1362" s="143">
        <v>0</v>
      </c>
      <c r="DY1362">
        <f>SUM(DT1362:DU1362)</f>
        <v>0</v>
      </c>
      <c r="DZ1362" s="143" t="str">
        <f>IF(DT1362=1,"self-calculated DF",IF(DU1362=1,"external DF used","explicit C balance"))</f>
        <v>explicit C balance</v>
      </c>
      <c r="EA1362" s="143">
        <v>0</v>
      </c>
      <c r="EB1362" s="143">
        <v>0</v>
      </c>
      <c r="EC1362" s="143">
        <v>0</v>
      </c>
      <c r="ED1362" s="143">
        <v>1</v>
      </c>
      <c r="EE1362">
        <v>0</v>
      </c>
      <c r="EF1362" s="143">
        <v>0</v>
      </c>
      <c r="EG1362" s="143">
        <v>1</v>
      </c>
      <c r="EH1362" s="143">
        <v>1</v>
      </c>
      <c r="EI1362" s="143">
        <v>1</v>
      </c>
      <c r="EJ1362">
        <v>0</v>
      </c>
      <c r="EK1362">
        <v>0</v>
      </c>
      <c r="EL1362" s="143">
        <v>0</v>
      </c>
      <c r="EM1362">
        <v>0</v>
      </c>
      <c r="EN1362" s="2">
        <v>0</v>
      </c>
      <c r="EP1362" t="str">
        <f>IF(AND(AND(AND(OR($EC1362=1,$EB1362=1),OR($EH1362=1,$EF1362=1)),SUM($EA1362:$EE1362,$EK1362)&gt;=3),SUM($EF1362:$EJ1362)&gt;=2),"Whole sector approach","")</f>
        <v/>
      </c>
      <c r="EQ1362" t="str">
        <f>IF(AND(AND(OR($EC1362=1,$EB1362=1),AND($EH1362=0,$EF1362=0)),SUM($EA1362:$EE1362,$EK1362)&gt;=4),"Ecosystem approach","")</f>
        <v/>
      </c>
      <c r="ER1362" s="2" t="str">
        <f>IF(AND(AND(AND($EC1362=0,$EB1362=0),OR($EH1362=1,$EF1362=1)),SUM($EG1362:$EJ1362)&gt;=2),"Technology approach","")</f>
        <v>Technology approach</v>
      </c>
      <c r="ES1362" t="str">
        <f>IF(AND($EC1362+$EB1362+$EE1362+$EA1362+$ED1362+$EG1362=0,$N1362="included"),"C neutral forest and HWP assumption","")</f>
        <v/>
      </c>
      <c r="ET1362" t="str">
        <f>IF(AND(AND(AND(AND($EC1362=1,$EB1362+$EA1362+$EG1362&gt;=1),$EF1362=1),$EH1362+$EI1362+$ED1362+$EE1362&gt;=2),$N1362="included"),"All C pools assumption","")</f>
        <v/>
      </c>
      <c r="EU1362" t="str">
        <f>IF(AND($ED1362+$EE1362+$EI1362+$EH1362+$EF1362=0,$N1362="included"),"In-situ only assumption","")</f>
        <v/>
      </c>
      <c r="EY1362" t="b">
        <f>IF(ISNUMBER(BW1362),IF(ABS(BW1362-[5]QC_indicators!$B$2)&gt;3*[5]QC_indicators!$C$2,"C ratio",IF(ISNUMBER(CA1362),IF(ABS(CA1362-[5]QC_indicators!$B$1)&gt;3*[5]QC_indicators!$C$1,"DF","no"))),IF(ISNUMBER(CA1362),IF(ABS(CA1362-[5]QC_indicators!$B$1)&gt;3*[5]QC_indicators!$C$1,"DF","no")))</f>
        <v>0</v>
      </c>
      <c r="FA1362" t="str">
        <f>IF(LEN($CY1362)=0,"",IF(AND($CY1362&lt;(-0.05),$ES1362="C neutral forest and HWP assumption"),"Cneutral paradox",IF(AND($CY1362&gt;0.05,$EU1362="In-situ only assumption"),"In-situ only paradox","")))</f>
        <v/>
      </c>
      <c r="FB1362" s="287" t="s">
        <v>349</v>
      </c>
      <c r="FD1362" s="294" t="s">
        <v>3094</v>
      </c>
    </row>
    <row r="1363" spans="1:160" hidden="1">
      <c r="A1363" s="1" t="s">
        <v>849</v>
      </c>
      <c r="D1363" s="260" t="s">
        <v>850</v>
      </c>
      <c r="E1363" s="260" t="s">
        <v>851</v>
      </c>
      <c r="H1363" t="s">
        <v>852</v>
      </c>
      <c r="I1363">
        <v>2020</v>
      </c>
      <c r="J1363">
        <v>8</v>
      </c>
      <c r="K1363" t="s">
        <v>853</v>
      </c>
      <c r="M1363" t="str">
        <f>LEFT($D1363,FIND(",",$D1363)-1)&amp;"_"&amp;I1363&amp;L1363</f>
        <v>Lausselet_2020</v>
      </c>
      <c r="N1363" t="s">
        <v>222</v>
      </c>
      <c r="O1363" s="145" t="s">
        <v>225</v>
      </c>
      <c r="Q1363" s="260" t="s">
        <v>256</v>
      </c>
      <c r="R1363" s="264" t="s">
        <v>341</v>
      </c>
      <c r="S1363" s="1" t="s">
        <v>854</v>
      </c>
      <c r="T1363" s="143" t="s">
        <v>855</v>
      </c>
      <c r="U1363" t="s">
        <v>856</v>
      </c>
      <c r="V1363" s="253">
        <v>0</v>
      </c>
      <c r="W1363" s="253">
        <v>0</v>
      </c>
      <c r="X1363">
        <v>0</v>
      </c>
      <c r="Y1363">
        <v>1</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0</v>
      </c>
      <c r="AY1363">
        <v>0</v>
      </c>
      <c r="AZ1363" s="141">
        <f>COUNTIF(X1363:AY1363,"&lt;&gt;0")</f>
        <v>1</v>
      </c>
      <c r="BA1363" s="141">
        <f>COUNTIF(X1363:AN1363,"&lt;&gt;0")</f>
        <v>1</v>
      </c>
      <c r="BB1363">
        <f>COUNTIF(X1363:AE1363,"&lt;&gt;0")</f>
        <v>1</v>
      </c>
      <c r="BC1363">
        <f>COUNTIF(AF1363:AK1363,"&lt;&gt;0")</f>
        <v>0</v>
      </c>
      <c r="BD1363">
        <f>COUNTIF(AL1363:AN1363,"&lt;&gt;0")</f>
        <v>0</v>
      </c>
      <c r="BE1363">
        <f>COUNTIF(AU1363:AY1363,"&lt;&gt;0")</f>
        <v>0</v>
      </c>
      <c r="BF1363">
        <f>COUNTIF(AO1363:AT1363,"&lt;&gt;0")</f>
        <v>0</v>
      </c>
      <c r="BG1363" t="str" cm="1">
        <f t="array" ref="BG1363">IF(BA1363=1,INDEX($X$7:$AN$7,MATCH(TRUE,INDEX($X1363:$AY1363&lt;&gt;0,),0)),IF(BA1363=0,INDEX($AO$7:$AY$7,MATCH(1,$AO1363:$AY1363,0)),IF(BH1363="Multiple strategies","mixed drivers",IF(BH1363="Supply chain","multiple supply","multiple silviculture"))))</f>
        <v>unspecified harvest increase</v>
      </c>
      <c r="BH1363" s="2" t="str" cm="1">
        <f t="array" ref="BH1363">IF(COUNTIF(BB1363:BD1363,"&lt;&gt;0")=1,INDEX($X$4:$AY$4,MATCH(TRUE,INDEX($X1363:$AY1363&lt;&gt;0,),0)),IF(COUNTIF(BB1363:BD1363,"&lt;&gt;0")=0,INDEX($AO$4:$AY$4,MATCH(1,$AO1363:$AY1363,0)),"Multiple strategies"))</f>
        <v>Silviculture for removals</v>
      </c>
      <c r="BI1363" s="164" t="s">
        <v>229</v>
      </c>
      <c r="BJ1363" s="165" t="s">
        <v>3091</v>
      </c>
      <c r="BK1363" s="165" t="s">
        <v>3092</v>
      </c>
      <c r="BL1363" s="166" t="s">
        <v>345</v>
      </c>
      <c r="BM1363" s="167">
        <f>BN1363*0.75</f>
        <v>21000000</v>
      </c>
      <c r="BN1363" s="167">
        <f>28000000</f>
        <v>28000000</v>
      </c>
      <c r="BO1363" s="168" t="s">
        <v>857</v>
      </c>
      <c r="BP1363">
        <f>BN1363-BM1363</f>
        <v>7000000</v>
      </c>
      <c r="BQ1363">
        <f>BP1363*kg_to_m3</f>
        <v>14285.714285714286</v>
      </c>
      <c r="BR1363" s="294" t="s">
        <v>395</v>
      </c>
      <c r="BS1363" s="260" t="s">
        <v>858</v>
      </c>
      <c r="BT1363" s="260" t="s">
        <v>859</v>
      </c>
      <c r="BU1363" s="169">
        <v>62317211.173472598</v>
      </c>
      <c r="BV1363" s="169">
        <v>81960007.070510104</v>
      </c>
      <c r="BW1363" s="144">
        <v>1.3157894736842106</v>
      </c>
      <c r="BX1363" s="169">
        <f>BV1363-BU1363</f>
        <v>19642795.897037506</v>
      </c>
      <c r="BZ1363">
        <f>BX1363/1000</f>
        <v>19642.795897037508</v>
      </c>
      <c r="CA1363">
        <f>IFERROR(BZ1363/BQ1363,"")</f>
        <v>1.3749957127926256</v>
      </c>
      <c r="CB1363">
        <v>0</v>
      </c>
      <c r="CC1363">
        <v>0</v>
      </c>
      <c r="CD1363">
        <v>0</v>
      </c>
      <c r="CE1363">
        <v>0</v>
      </c>
      <c r="CF1363">
        <v>0</v>
      </c>
      <c r="CG1363">
        <v>0</v>
      </c>
      <c r="CH1363">
        <v>0</v>
      </c>
      <c r="CI1363">
        <v>0</v>
      </c>
      <c r="CJ1363">
        <v>0</v>
      </c>
      <c r="CK1363">
        <v>0</v>
      </c>
      <c r="CL1363">
        <v>0</v>
      </c>
      <c r="CM1363">
        <v>0</v>
      </c>
      <c r="CN1363">
        <v>0</v>
      </c>
      <c r="CO1363">
        <v>0</v>
      </c>
      <c r="CP1363" t="str">
        <f>IF($BN1363&lt;$BM1363,"refNeedCorrection","refOK")</f>
        <v>refOK</v>
      </c>
      <c r="CQ1363"/>
      <c r="CR1363"/>
      <c r="CS1363">
        <f>IF($CP1363="refOK",$BQ1363,-$BQ1363)</f>
        <v>14285.714285714286</v>
      </c>
      <c r="CT1363">
        <f>IF(BI1363="Roundwood",$CS1363/2,$CS1363)</f>
        <v>14285.714285714286</v>
      </c>
      <c r="CU1363">
        <f>IF($CP1363="refOK",$BU1363,$BV1363)*IF($BR1363="Emissions positive",-1,1)</f>
        <v>-62317211.173472598</v>
      </c>
      <c r="CV1363">
        <f>IF($CP1363="refOK",$BV1363,$BU1363)*IF($BR1363="Emissions positive",-1,1)</f>
        <v>-81960007.070510104</v>
      </c>
      <c r="CW1363">
        <f>IF($CP1363="refNeedCorrection",-BZ1363,BZ1363)*IF($BR1363="Emissions positive",-1,1)</f>
        <v>-19642.795897037508</v>
      </c>
      <c r="CX1363">
        <f>IFERROR($CW1363/$CS1363,"")</f>
        <v>-1.3749957127926256</v>
      </c>
      <c r="CY1363">
        <f>IFERROR($CW1363/$CS1363,"")</f>
        <v>-1.3749957127926256</v>
      </c>
      <c r="CZ1363">
        <f>IFERROR($CW1363/$CT1363,"")</f>
        <v>-1.3749957127926256</v>
      </c>
      <c r="DA1363" s="2">
        <f>IFERROR((CV1363-CU1363)/ABS(CU1363),"")</f>
        <v>-0.31520659424822139</v>
      </c>
      <c r="DB1363" s="1" t="s">
        <v>347</v>
      </c>
      <c r="DC1363" s="260" t="str">
        <f>IF(OR($DB1363="prd",$DB1363="std",$DB1363="cit"),"loc",IF(OR($DB1363="eur",$DB1363="reg",$DB1363="coy"),"reg",$DB1363))</f>
        <v>loc</v>
      </c>
      <c r="DD1363" t="s">
        <v>264</v>
      </c>
      <c r="DE1363">
        <v>2019</v>
      </c>
      <c r="DF1363" s="143">
        <v>2080</v>
      </c>
      <c r="DG1363" s="143">
        <f>DF1363-DE1363</f>
        <v>61</v>
      </c>
      <c r="DH1363" t="str">
        <f>IF(DG1363=0,"0",IF(AND(DG1363&gt;=1,DG1363&lt;=30),"1-30",IF(AND(DG1363&gt;30,DG1363&lt;=70),"31-70",IF(AND(DG1363&gt;70,DG1363&lt;=100),"71-100",IF(DG1363&gt;100,"+100")))))</f>
        <v>31-70</v>
      </c>
      <c r="DI1363">
        <v>0</v>
      </c>
      <c r="DJ1363">
        <v>0</v>
      </c>
      <c r="DK1363">
        <v>0</v>
      </c>
      <c r="DL1363">
        <v>1</v>
      </c>
      <c r="DN1363">
        <f>SUM(DI1363:DL1363)</f>
        <v>1</v>
      </c>
      <c r="DO1363" t="str">
        <f>IF(DN1363=1,INDEX($DI$7:$DL$7,MATCH(1,$DI1363:$DL1363,0)),"mixedProduct")</f>
        <v>TimberInput</v>
      </c>
      <c r="DP1363">
        <f>IF(DI1363=1,DP$7,0)</f>
        <v>0</v>
      </c>
      <c r="DQ1363">
        <f>IF(DJ1363=1,DQ$7,0)</f>
        <v>0</v>
      </c>
      <c r="DR1363">
        <f>IF(DK1363=1,DR$7,0)</f>
        <v>0</v>
      </c>
      <c r="DS1363" t="str">
        <f>IF(DL1363=1,DS$7,0)</f>
        <v>Timber</v>
      </c>
      <c r="DT1363">
        <v>0</v>
      </c>
      <c r="DU1363" s="143">
        <v>0</v>
      </c>
      <c r="DV1363" s="143">
        <v>0</v>
      </c>
      <c r="DW1363">
        <v>0</v>
      </c>
      <c r="DX1363" s="143">
        <v>0</v>
      </c>
      <c r="DY1363">
        <f>SUM(DT1363:DU1363)</f>
        <v>0</v>
      </c>
      <c r="DZ1363" s="143" t="str">
        <f>IF(DT1363=1,"self-calculated DF",IF(DU1363=1,"external DF used","explicit C balance"))</f>
        <v>explicit C balance</v>
      </c>
      <c r="EA1363" s="143">
        <v>0</v>
      </c>
      <c r="EB1363" s="143">
        <v>0</v>
      </c>
      <c r="EC1363" s="143">
        <v>0</v>
      </c>
      <c r="ED1363" s="143">
        <v>1</v>
      </c>
      <c r="EE1363">
        <v>0</v>
      </c>
      <c r="EF1363" s="143">
        <v>0</v>
      </c>
      <c r="EG1363" s="143">
        <v>1</v>
      </c>
      <c r="EH1363" s="143">
        <v>1</v>
      </c>
      <c r="EI1363" s="143">
        <v>1</v>
      </c>
      <c r="EJ1363">
        <v>0</v>
      </c>
      <c r="EK1363">
        <v>0</v>
      </c>
      <c r="EL1363" s="143">
        <v>0</v>
      </c>
      <c r="EM1363">
        <v>0</v>
      </c>
      <c r="EN1363" s="2">
        <v>0</v>
      </c>
      <c r="EP1363" t="str">
        <f>IF(AND(AND(AND(OR($EC1363=1,$EB1363=1),OR($EH1363=1,$EF1363=1)),SUM($EA1363:$EE1363,$EK1363)&gt;=3),SUM($EF1363:$EJ1363)&gt;=2),"Whole sector approach","")</f>
        <v/>
      </c>
      <c r="EQ1363" t="str">
        <f>IF(AND(AND(OR($EC1363=1,$EB1363=1),AND($EH1363=0,$EF1363=0)),SUM($EA1363:$EE1363,$EK1363)&gt;=4),"Ecosystem approach","")</f>
        <v/>
      </c>
      <c r="ER1363" s="2" t="str">
        <f>IF(AND(AND(AND($EC1363=0,$EB1363=0),OR($EH1363=1,$EF1363=1)),SUM($EG1363:$EJ1363)&gt;=2),"Technology approach","")</f>
        <v>Technology approach</v>
      </c>
      <c r="ES1363" t="str">
        <f>IF(AND($EC1363+$EB1363+$EE1363+$EA1363+$ED1363+$EG1363=0,$N1363="included"),"C neutral forest and HWP assumption","")</f>
        <v/>
      </c>
      <c r="ET1363" t="str">
        <f>IF(AND(AND(AND(AND($EC1363=1,$EB1363+$EA1363+$EG1363&gt;=1),$EF1363=1),$EH1363+$EI1363+$ED1363+$EE1363&gt;=2),$N1363="included"),"All C pools assumption","")</f>
        <v/>
      </c>
      <c r="EU1363" t="str">
        <f>IF(AND($ED1363+$EE1363+$EI1363+$EH1363+$EF1363=0,$N1363="included"),"In-situ only assumption","")</f>
        <v/>
      </c>
      <c r="EY1363" t="str">
        <f>IF(ISNUMBER(BW1363),IF(ABS(BW1363-[5]QC_indicators!$B$2)&gt;3*[5]QC_indicators!$C$2,"C ratio",IF(ISNUMBER(CA1363),IF(ABS(CA1363-[5]QC_indicators!$B$1)&gt;3*[5]QC_indicators!$C$1,"DF","no"))),IF(ISNUMBER(CA1363),IF(ABS(CA1363-[5]QC_indicators!$B$1)&gt;3*[5]QC_indicators!$C$1,"DF","no")))</f>
        <v>no</v>
      </c>
      <c r="FA1363" t="str">
        <f>IF(LEN($CY1363)=0,"",IF(AND($CY1363&lt;(-0.05),$ES1363="C neutral forest and HWP assumption"),"Cneutral paradox",IF(AND($CY1363&gt;0.05,$EU1363="In-situ only assumption"),"In-situ only paradox","")))</f>
        <v/>
      </c>
      <c r="FB1363" s="287" t="s">
        <v>349</v>
      </c>
      <c r="FD1363" s="294" t="s">
        <v>3093</v>
      </c>
    </row>
    <row r="1364" spans="1:160" ht="15" customHeight="1">
      <c r="A1364" s="1" t="s">
        <v>819</v>
      </c>
      <c r="B1364" t="s">
        <v>1844</v>
      </c>
      <c r="C1364" t="s">
        <v>1845</v>
      </c>
      <c r="D1364" t="s">
        <v>1846</v>
      </c>
      <c r="E1364" t="s">
        <v>1847</v>
      </c>
      <c r="F1364" t="s">
        <v>1848</v>
      </c>
      <c r="G1364" t="s">
        <v>825</v>
      </c>
      <c r="H1364" t="s">
        <v>254</v>
      </c>
      <c r="I1364">
        <v>2020</v>
      </c>
      <c r="J1364">
        <v>1</v>
      </c>
      <c r="K1364" t="s">
        <v>1849</v>
      </c>
      <c r="M1364" t="str">
        <f>LEFT($D1364,FIND(",",$D1364)-1)&amp;"_"&amp;I1364&amp;L1364</f>
        <v>Numazawa_2020</v>
      </c>
      <c r="N1364" t="s">
        <v>222</v>
      </c>
      <c r="O1364" s="157" t="s">
        <v>274</v>
      </c>
      <c r="P1364" t="s">
        <v>508</v>
      </c>
      <c r="Q1364" t="s">
        <v>389</v>
      </c>
      <c r="R1364" s="251" t="s">
        <v>223</v>
      </c>
      <c r="S1364" s="1" t="s">
        <v>1856</v>
      </c>
      <c r="T1364" t="s">
        <v>1851</v>
      </c>
      <c r="U1364" t="s">
        <v>1858</v>
      </c>
      <c r="V1364" s="253">
        <v>0</v>
      </c>
      <c r="W1364" s="253">
        <v>0</v>
      </c>
      <c r="X1364">
        <v>0</v>
      </c>
      <c r="Y1364">
        <v>0</v>
      </c>
      <c r="Z1364">
        <v>0</v>
      </c>
      <c r="AA1364">
        <v>1</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s="141">
        <f>COUNTIF(X1364:AY1364,"&lt;&gt;0")</f>
        <v>1</v>
      </c>
      <c r="BA1364" s="141">
        <f>COUNTIF(X1364:AN1364,"&lt;&gt;0")</f>
        <v>1</v>
      </c>
      <c r="BB1364">
        <f>COUNTIF(X1364:AE1364,"&lt;&gt;0")</f>
        <v>1</v>
      </c>
      <c r="BC1364">
        <f>COUNTIF(AF1364:AK1364,"&lt;&gt;0")</f>
        <v>0</v>
      </c>
      <c r="BD1364">
        <f>COUNTIF(AL1364:AN1364,"&lt;&gt;0")</f>
        <v>0</v>
      </c>
      <c r="BE1364">
        <f>COUNTIF(AU1364:AY1364,"&lt;&gt;0")</f>
        <v>0</v>
      </c>
      <c r="BF1364">
        <f>COUNTIF(AO1364:AT1364,"&lt;&gt;0")</f>
        <v>0</v>
      </c>
      <c r="BG1364" t="str">
        <f t="array" ref="BG1364">IF(BA1364=1,INDEX($X$7:$AN$7,MATCH(TRUE,INDEX($X1364:$AY1364&lt;&gt;0,),0)),IF(BA1364=0,INDEX($AO$7:$AY$7,MATCH(1,$AO1364:$AY1364,0)),IF(BH1364="Multiple strategies","mixed drivers",IF(BH1364="Supply chain","multiple supply","multiple silviculture"))))</f>
        <v xml:space="preserve">cutting intensity </v>
      </c>
      <c r="BH1364" s="2" t="str" cm="1">
        <f t="array" ref="BH1364">IF(COUNTIF(BB1364:BD1364,"&lt;&gt;0")=1,INDEX($X$4:$AY$4,MATCH(TRUE,INDEX($X1364:$AY1364&lt;&gt;0,),0)),IF(COUNTIF(BB1364:BD1364,"&lt;&gt;0")=0,INDEX($AO$4:$AY$4,MATCH(1,$AO1364:$AY1364,0)),"Multiple strategies"))</f>
        <v>Silviculture for removals</v>
      </c>
      <c r="BI1364" s="1" t="s">
        <v>321</v>
      </c>
      <c r="BJ1364" s="261" t="s">
        <v>2775</v>
      </c>
      <c r="BK1364" s="260" t="s">
        <v>396</v>
      </c>
      <c r="BL1364" t="s">
        <v>1853</v>
      </c>
      <c r="BM1364">
        <v>0</v>
      </c>
      <c r="BN1364">
        <v>28</v>
      </c>
      <c r="BO1364" t="str">
        <f>IFERROR(BN1364/BM1364,"")</f>
        <v/>
      </c>
      <c r="BP1364">
        <f>BN1364-BM1364</f>
        <v>28</v>
      </c>
      <c r="BQ1364">
        <f>BP1364*t_to_m3</f>
        <v>57.142857142857146</v>
      </c>
      <c r="BR1364" t="s">
        <v>232</v>
      </c>
      <c r="BS1364" t="s">
        <v>396</v>
      </c>
      <c r="BT1364" t="s">
        <v>1854</v>
      </c>
      <c r="BU1364">
        <v>125</v>
      </c>
      <c r="BV1364">
        <v>122</v>
      </c>
      <c r="BW1364" s="144">
        <f>BV1364/BU1364</f>
        <v>0.97599999999999998</v>
      </c>
      <c r="BX1364">
        <f>BV1364-BU1364</f>
        <v>-3</v>
      </c>
      <c r="BZ1364">
        <f>BX1364*C_to_CO2</f>
        <v>-11.01</v>
      </c>
      <c r="CA1364">
        <f>IFERROR(BZ1364/BQ1364,"")</f>
        <v>-0.19267499999999999</v>
      </c>
      <c r="CB1364">
        <v>0</v>
      </c>
      <c r="CC1364">
        <v>0</v>
      </c>
      <c r="CD1364">
        <v>0</v>
      </c>
      <c r="CE1364">
        <v>0</v>
      </c>
      <c r="CF1364">
        <v>0</v>
      </c>
      <c r="CG1364">
        <v>0</v>
      </c>
      <c r="CH1364">
        <v>0</v>
      </c>
      <c r="CI1364">
        <v>0</v>
      </c>
      <c r="CJ1364">
        <v>0</v>
      </c>
      <c r="CK1364">
        <v>0</v>
      </c>
      <c r="CL1364">
        <v>0</v>
      </c>
      <c r="CM1364">
        <v>0</v>
      </c>
      <c r="CN1364">
        <v>0</v>
      </c>
      <c r="CO1364">
        <v>1</v>
      </c>
      <c r="CP1364" t="str">
        <f>IF($BN1364&lt;$BM1364,"refNeedCorrection","refOK")</f>
        <v>refOK</v>
      </c>
      <c r="CQ1364">
        <f>IF($CP1364="refOK",$BM1364,$BN1364)</f>
        <v>0</v>
      </c>
      <c r="CR1364">
        <f>IF($CP1364="refOK",$BN1364,$BM1364)</f>
        <v>28</v>
      </c>
      <c r="CS1364">
        <f>IF($CP1364="refOK",$BQ1364,-$BQ1364)</f>
        <v>57.142857142857146</v>
      </c>
      <c r="CT1364">
        <f>IF(BI1364="Roundwood",$CS1364/2,$CS1364)</f>
        <v>28.571428571428573</v>
      </c>
      <c r="CU1364">
        <f>IF($CP1364="refOK",$BU1364,$BV1364)*IF($BR1364="Emissions positive",-1,1)</f>
        <v>125</v>
      </c>
      <c r="CV1364">
        <f>IF($CP1364="refOK",$BV1364,$BU1364)*IF($BR1364="Emissions positive",-1,1)</f>
        <v>122</v>
      </c>
      <c r="CW1364">
        <f>IF($CP1364="refNeedCorrection",-BZ1364,BZ1364)*IF($BR1364="Emissions positive",-1,1)</f>
        <v>-11.01</v>
      </c>
      <c r="CX1364">
        <f>IFERROR($CW1364/$CS1364,"")</f>
        <v>-0.19267499999999999</v>
      </c>
      <c r="CY1364">
        <f>IFERROR($CW1364/$CS1364,"")</f>
        <v>-0.19267499999999999</v>
      </c>
      <c r="CZ1364">
        <f>IFERROR($CW1364/$CT1364,"")</f>
        <v>-0.38534999999999997</v>
      </c>
      <c r="DA1364" s="2">
        <f>IFERROR((CV1364-CU1364)/ABS(CU1364),"")</f>
        <v>-2.4E-2</v>
      </c>
      <c r="DB1364" s="1" t="s">
        <v>1843</v>
      </c>
      <c r="DC1364" t="str">
        <f>IF(OR($DB1364="prd",$DB1364="std",$DB1364="cit"),"loc",IF(OR($DB1364="eur",$DB1364="reg",$DB1364="coy"),"reg",$DB1364))</f>
        <v>reg</v>
      </c>
      <c r="DD1364" t="s">
        <v>513</v>
      </c>
      <c r="DG1364">
        <v>120</v>
      </c>
      <c r="DH1364" t="str">
        <f>IF(DG1364=0,"0",IF(AND(DG1364&gt;=1,DG1364&lt;=30),"1-30",IF(AND(DG1364&gt;30,DG1364&lt;=70),"31-70",IF(AND(DG1364&gt;70,DG1364&lt;=100),"71-100",IF(DG1364&gt;100,"+100")))))</f>
        <v>+100</v>
      </c>
      <c r="DI1364">
        <v>1</v>
      </c>
      <c r="DJ1364">
        <v>0</v>
      </c>
      <c r="DK1364">
        <v>0</v>
      </c>
      <c r="DL1364">
        <v>0</v>
      </c>
      <c r="DM1364">
        <v>0</v>
      </c>
      <c r="DN1364">
        <f>SUM(DI1364:DL1364)</f>
        <v>1</v>
      </c>
      <c r="DO1364" t="str">
        <f>IF(DN1364=1,INDEX($DI$7:$DL$7,MATCH(1,$DI1364:$DL1364,0)),"mixedProduct")</f>
        <v>UpstreamInput</v>
      </c>
      <c r="DP1364" t="str">
        <f>IF(DI1364=1,DP$7,0)</f>
        <v>Upstream</v>
      </c>
      <c r="DQ1364">
        <f>IF(DJ1364=1,DQ$7,0)</f>
        <v>0</v>
      </c>
      <c r="DR1364">
        <f>IF(DK1364=1,DR$7,0)</f>
        <v>0</v>
      </c>
      <c r="DS1364">
        <f>IF(DL1364=1,DS$7,0)</f>
        <v>0</v>
      </c>
      <c r="DT1364">
        <v>0</v>
      </c>
      <c r="DY1364"/>
      <c r="DZ1364" s="143" t="str">
        <f>IF(DT1364=1,"self-calculated DF",IF(DU1364=1,"external DF used","explicit C balance"))</f>
        <v>explicit C balance</v>
      </c>
      <c r="EA1364">
        <v>1</v>
      </c>
      <c r="EB1364">
        <v>1</v>
      </c>
      <c r="EC1364">
        <v>1</v>
      </c>
      <c r="ED1364">
        <v>0</v>
      </c>
      <c r="EE1364">
        <v>0</v>
      </c>
      <c r="EF1364" s="143">
        <v>0</v>
      </c>
      <c r="EG1364">
        <v>0</v>
      </c>
      <c r="EH1364">
        <v>0</v>
      </c>
      <c r="EI1364">
        <v>0</v>
      </c>
      <c r="EJ1364">
        <v>0</v>
      </c>
      <c r="EK1364">
        <v>1</v>
      </c>
      <c r="EL1364">
        <v>0</v>
      </c>
      <c r="EM1364">
        <v>0</v>
      </c>
      <c r="EN1364" s="2">
        <v>0</v>
      </c>
      <c r="EP1364" t="str">
        <f>IF(AND(AND(AND(OR($EC1364=1,$EB1364=1),OR($EH1364=1,$EF1364=1)),SUM($EA1364:$EE1364,$EK1364)&gt;=3),SUM($EF1364:$EJ1364)&gt;=2),"Whole sector approach","")</f>
        <v/>
      </c>
      <c r="EQ1364" t="str">
        <f>IF(AND(AND(OR($EC1364=1,$EB1364=1),AND($EH1364=0,$EF1364=0)),SUM($EA1364:$EE1364,$EK1364)&gt;=4),"Ecosystem approach","")</f>
        <v>Ecosystem approach</v>
      </c>
      <c r="ER1364" s="2" t="str">
        <f>IF(AND(AND(AND($EC1364=0,$EB1364=0),OR($EH1364=1,$EF1364=1)),SUM($EG1364:$EJ1364)&gt;=2),"Technology approach","")</f>
        <v/>
      </c>
      <c r="ES1364" t="str">
        <f>IF(AND($EC1364+$EB1364+$EE1364+$EA1364+$ED1364+$EG1364=0,$N1364="included"),"C neutral forest and HWP assumption","")</f>
        <v/>
      </c>
      <c r="ET1364" t="str">
        <f>IF(AND(AND(AND(AND($EC1364=1,$EB1364+$EA1364+$EG1364&gt;=1),$EF1364=1),$EH1364+$EI1364+$ED1364+$EE1364&gt;=2),$N1364="included"),"All C pools assumption","")</f>
        <v/>
      </c>
      <c r="EU1364" t="str">
        <f>IF(AND($ED1364+$EE1364+$EI1364+$EH1364+$EF1364=0,$N1364="included"),"In-situ only assumption","")</f>
        <v>In-situ only assumption</v>
      </c>
      <c r="EY1364" t="str">
        <f>IF(ISNUMBER(BW1364),IF(ABS(BW1364-[2]QC_indicators!$B$2)&gt;3*[2]QC_indicators!$C$2,"C ratio",IF(ISNUMBER(CA1364),IF(ABS(CA1364-[2]QC_indicators!$B$1)&gt;3*[2]QC_indicators!$C$1,"DF","no"))),IF(ISNUMBER(CA1364),IF(ABS(CA1364-[2]QC_indicators!$B$1)&gt;3*[2]QC_indicators!$C$1,"DF","no")))</f>
        <v>no</v>
      </c>
      <c r="FA1364" t="str">
        <f>IF(LEN($CY1364)=0,"",IF(AND($CY1364&lt;(-0.05),$ES1364="C neutral forest and HWP assumption"),"Cneutral paradox",IF(AND($CY1364&gt;0.05,$EU1364="In-situ only assumption"),"In-situ only paradox","")))</f>
        <v/>
      </c>
      <c r="FD1364" s="260" t="s">
        <v>2776</v>
      </c>
    </row>
    <row r="1365" spans="1:160" ht="15" customHeight="1">
      <c r="A1365" s="1" t="s">
        <v>819</v>
      </c>
      <c r="B1365" t="s">
        <v>1844</v>
      </c>
      <c r="C1365" t="s">
        <v>1845</v>
      </c>
      <c r="D1365" t="s">
        <v>1846</v>
      </c>
      <c r="E1365" t="s">
        <v>1847</v>
      </c>
      <c r="F1365" t="s">
        <v>1848</v>
      </c>
      <c r="G1365" t="s">
        <v>825</v>
      </c>
      <c r="H1365" t="s">
        <v>254</v>
      </c>
      <c r="I1365">
        <v>2020</v>
      </c>
      <c r="J1365">
        <v>1</v>
      </c>
      <c r="K1365" t="s">
        <v>1849</v>
      </c>
      <c r="M1365" t="str">
        <f>LEFT($D1365,FIND(",",$D1365)-1)&amp;"_"&amp;I1365&amp;L1365</f>
        <v>Numazawa_2020</v>
      </c>
      <c r="N1365" t="s">
        <v>222</v>
      </c>
      <c r="O1365" s="157" t="s">
        <v>274</v>
      </c>
      <c r="P1365" t="s">
        <v>508</v>
      </c>
      <c r="Q1365" t="s">
        <v>389</v>
      </c>
      <c r="R1365" s="251" t="s">
        <v>223</v>
      </c>
      <c r="S1365" s="1" t="s">
        <v>1856</v>
      </c>
      <c r="T1365" t="s">
        <v>1851</v>
      </c>
      <c r="U1365" t="s">
        <v>1857</v>
      </c>
      <c r="V1365" s="253">
        <v>0</v>
      </c>
      <c r="W1365" s="253">
        <v>0</v>
      </c>
      <c r="X1365">
        <v>0</v>
      </c>
      <c r="Y1365">
        <v>0</v>
      </c>
      <c r="Z1365">
        <v>0</v>
      </c>
      <c r="AA1365">
        <v>1</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0</v>
      </c>
      <c r="AV1365">
        <v>0</v>
      </c>
      <c r="AW1365">
        <v>0</v>
      </c>
      <c r="AX1365">
        <v>0</v>
      </c>
      <c r="AY1365">
        <v>0</v>
      </c>
      <c r="AZ1365" s="141">
        <f>COUNTIF(X1365:AY1365,"&lt;&gt;0")</f>
        <v>1</v>
      </c>
      <c r="BA1365" s="141">
        <f>COUNTIF(X1365:AN1365,"&lt;&gt;0")</f>
        <v>1</v>
      </c>
      <c r="BB1365">
        <f>COUNTIF(X1365:AE1365,"&lt;&gt;0")</f>
        <v>1</v>
      </c>
      <c r="BC1365">
        <f>COUNTIF(AF1365:AK1365,"&lt;&gt;0")</f>
        <v>0</v>
      </c>
      <c r="BD1365">
        <f>COUNTIF(AL1365:AN1365,"&lt;&gt;0")</f>
        <v>0</v>
      </c>
      <c r="BE1365">
        <f>COUNTIF(AU1365:AY1365,"&lt;&gt;0")</f>
        <v>0</v>
      </c>
      <c r="BF1365">
        <f>COUNTIF(AO1365:AT1365,"&lt;&gt;0")</f>
        <v>0</v>
      </c>
      <c r="BG1365" t="str">
        <f t="array" ref="BG1365">IF(BA1365=1,INDEX($X$7:$AN$7,MATCH(TRUE,INDEX($X1365:$AY1365&lt;&gt;0,),0)),IF(BA1365=0,INDEX($AO$7:$AY$7,MATCH(1,$AO1365:$AY1365,0)),IF(BH1365="Multiple strategies","mixed drivers",IF(BH1365="Supply chain","multiple supply","multiple silviculture"))))</f>
        <v xml:space="preserve">cutting intensity </v>
      </c>
      <c r="BH1365" s="2" t="str" cm="1">
        <f t="array" ref="BH1365">IF(COUNTIF(BB1365:BD1365,"&lt;&gt;0")=1,INDEX($X$4:$AY$4,MATCH(TRUE,INDEX($X1365:$AY1365&lt;&gt;0,),0)),IF(COUNTIF(BB1365:BD1365,"&lt;&gt;0")=0,INDEX($AO$4:$AY$4,MATCH(1,$AO1365:$AY1365,0)),"Multiple strategies"))</f>
        <v>Silviculture for removals</v>
      </c>
      <c r="BI1365" s="1" t="s">
        <v>321</v>
      </c>
      <c r="BJ1365" s="261" t="s">
        <v>2775</v>
      </c>
      <c r="BK1365" s="260" t="s">
        <v>396</v>
      </c>
      <c r="BL1365" t="s">
        <v>1853</v>
      </c>
      <c r="BM1365">
        <v>0</v>
      </c>
      <c r="BN1365">
        <v>84</v>
      </c>
      <c r="BO1365" t="str">
        <f>IFERROR(BN1365/BM1365,"")</f>
        <v/>
      </c>
      <c r="BP1365">
        <f>BN1365-BM1365</f>
        <v>84</v>
      </c>
      <c r="BQ1365">
        <f>BP1365*t_to_m3</f>
        <v>171.42857142857144</v>
      </c>
      <c r="BR1365" t="s">
        <v>232</v>
      </c>
      <c r="BS1365" t="s">
        <v>396</v>
      </c>
      <c r="BT1365" t="s">
        <v>1854</v>
      </c>
      <c r="BU1365">
        <v>125</v>
      </c>
      <c r="BV1365">
        <v>112</v>
      </c>
      <c r="BW1365" s="144">
        <f>BV1365/BU1365</f>
        <v>0.89600000000000002</v>
      </c>
      <c r="BX1365">
        <f>BV1365-BU1365</f>
        <v>-13</v>
      </c>
      <c r="BZ1365">
        <f>BX1365*C_to_CO2</f>
        <v>-47.71</v>
      </c>
      <c r="CA1365">
        <f>IFERROR(BZ1365/BQ1365,"")</f>
        <v>-0.27830833333333332</v>
      </c>
      <c r="CB1365">
        <v>0</v>
      </c>
      <c r="CC1365">
        <v>0</v>
      </c>
      <c r="CD1365">
        <v>0</v>
      </c>
      <c r="CE1365">
        <v>0</v>
      </c>
      <c r="CF1365">
        <v>0</v>
      </c>
      <c r="CG1365">
        <v>0</v>
      </c>
      <c r="CH1365">
        <v>0</v>
      </c>
      <c r="CI1365">
        <v>0</v>
      </c>
      <c r="CJ1365">
        <v>0</v>
      </c>
      <c r="CK1365">
        <v>0</v>
      </c>
      <c r="CL1365">
        <v>0</v>
      </c>
      <c r="CM1365">
        <v>0</v>
      </c>
      <c r="CN1365">
        <v>0</v>
      </c>
      <c r="CO1365">
        <v>1</v>
      </c>
      <c r="CP1365" t="str">
        <f>IF($BN1365&lt;$BM1365,"refNeedCorrection","refOK")</f>
        <v>refOK</v>
      </c>
      <c r="CQ1365">
        <f>IF($CP1365="refOK",$BM1365,$BN1365)</f>
        <v>0</v>
      </c>
      <c r="CR1365">
        <f>IF($CP1365="refOK",$BN1365,$BM1365)</f>
        <v>84</v>
      </c>
      <c r="CS1365">
        <f>IF($CP1365="refOK",$BQ1365,-$BQ1365)</f>
        <v>171.42857142857144</v>
      </c>
      <c r="CT1365">
        <f>IF(BI1365="Roundwood",$CS1365/2,$CS1365)</f>
        <v>85.714285714285722</v>
      </c>
      <c r="CU1365">
        <f>IF($CP1365="refOK",$BU1365,$BV1365)*IF($BR1365="Emissions positive",-1,1)</f>
        <v>125</v>
      </c>
      <c r="CV1365">
        <f>IF($CP1365="refOK",$BV1365,$BU1365)*IF($BR1365="Emissions positive",-1,1)</f>
        <v>112</v>
      </c>
      <c r="CW1365">
        <f>IF($CP1365="refNeedCorrection",-BZ1365,BZ1365)*IF($BR1365="Emissions positive",-1,1)</f>
        <v>-47.71</v>
      </c>
      <c r="CX1365">
        <f>IFERROR($CW1365/$CS1365,"")</f>
        <v>-0.27830833333333332</v>
      </c>
      <c r="CY1365">
        <f>IFERROR($CW1365/$CS1365,"")</f>
        <v>-0.27830833333333332</v>
      </c>
      <c r="CZ1365">
        <f>IFERROR($CW1365/$CT1365,"")</f>
        <v>-0.55661666666666665</v>
      </c>
      <c r="DA1365" s="2">
        <f>IFERROR((CV1365-CU1365)/ABS(CU1365),"")</f>
        <v>-0.104</v>
      </c>
      <c r="DB1365" s="1" t="s">
        <v>1843</v>
      </c>
      <c r="DC1365" t="str">
        <f>IF(OR($DB1365="prd",$DB1365="std",$DB1365="cit"),"loc",IF(OR($DB1365="eur",$DB1365="reg",$DB1365="coy"),"reg",$DB1365))</f>
        <v>reg</v>
      </c>
      <c r="DD1365" t="s">
        <v>513</v>
      </c>
      <c r="DG1365">
        <v>120</v>
      </c>
      <c r="DH1365" t="str">
        <f>IF(DG1365=0,"0",IF(AND(DG1365&gt;=1,DG1365&lt;=30),"1-30",IF(AND(DG1365&gt;30,DG1365&lt;=70),"31-70",IF(AND(DG1365&gt;70,DG1365&lt;=100),"71-100",IF(DG1365&gt;100,"+100")))))</f>
        <v>+100</v>
      </c>
      <c r="DI1365">
        <v>1</v>
      </c>
      <c r="DJ1365">
        <v>0</v>
      </c>
      <c r="DK1365">
        <v>0</v>
      </c>
      <c r="DL1365">
        <v>0</v>
      </c>
      <c r="DM1365">
        <v>0</v>
      </c>
      <c r="DN1365">
        <f>SUM(DI1365:DL1365)</f>
        <v>1</v>
      </c>
      <c r="DO1365" t="str">
        <f>IF(DN1365=1,INDEX($DI$7:$DL$7,MATCH(1,$DI1365:$DL1365,0)),"mixedProduct")</f>
        <v>UpstreamInput</v>
      </c>
      <c r="DP1365" t="str">
        <f>IF(DI1365=1,DP$7,0)</f>
        <v>Upstream</v>
      </c>
      <c r="DQ1365">
        <f>IF(DJ1365=1,DQ$7,0)</f>
        <v>0</v>
      </c>
      <c r="DR1365">
        <f>IF(DK1365=1,DR$7,0)</f>
        <v>0</v>
      </c>
      <c r="DS1365">
        <f>IF(DL1365=1,DS$7,0)</f>
        <v>0</v>
      </c>
      <c r="DT1365">
        <v>0</v>
      </c>
      <c r="DY1365"/>
      <c r="DZ1365" s="143" t="str">
        <f>IF(DT1365=1,"self-calculated DF",IF(DU1365=1,"external DF used","explicit C balance"))</f>
        <v>explicit C balance</v>
      </c>
      <c r="EA1365">
        <v>1</v>
      </c>
      <c r="EB1365">
        <v>1</v>
      </c>
      <c r="EC1365">
        <v>1</v>
      </c>
      <c r="ED1365">
        <v>0</v>
      </c>
      <c r="EE1365">
        <v>0</v>
      </c>
      <c r="EF1365" s="143">
        <v>0</v>
      </c>
      <c r="EG1365">
        <v>0</v>
      </c>
      <c r="EH1365">
        <v>0</v>
      </c>
      <c r="EI1365">
        <v>0</v>
      </c>
      <c r="EJ1365">
        <v>0</v>
      </c>
      <c r="EK1365">
        <v>1</v>
      </c>
      <c r="EL1365">
        <v>0</v>
      </c>
      <c r="EM1365">
        <v>0</v>
      </c>
      <c r="EN1365" s="2">
        <v>0</v>
      </c>
      <c r="EP1365" t="str">
        <f>IF(AND(AND(AND(OR($EC1365=1,$EB1365=1),OR($EH1365=1,$EF1365=1)),SUM($EA1365:$EE1365,$EK1365)&gt;=3),SUM($EF1365:$EJ1365)&gt;=2),"Whole sector approach","")</f>
        <v/>
      </c>
      <c r="EQ1365" t="str">
        <f>IF(AND(AND(OR($EC1365=1,$EB1365=1),AND($EH1365=0,$EF1365=0)),SUM($EA1365:$EE1365,$EK1365)&gt;=4),"Ecosystem approach","")</f>
        <v>Ecosystem approach</v>
      </c>
      <c r="ER1365" s="2" t="str">
        <f>IF(AND(AND(AND($EC1365=0,$EB1365=0),OR($EH1365=1,$EF1365=1)),SUM($EG1365:$EJ1365)&gt;=2),"Technology approach","")</f>
        <v/>
      </c>
      <c r="ES1365" t="str">
        <f>IF(AND($EC1365+$EB1365+$EE1365+$EA1365+$ED1365+$EG1365=0,$N1365="included"),"C neutral forest and HWP assumption","")</f>
        <v/>
      </c>
      <c r="ET1365" t="str">
        <f>IF(AND(AND(AND(AND($EC1365=1,$EB1365+$EA1365+$EG1365&gt;=1),$EF1365=1),$EH1365+$EI1365+$ED1365+$EE1365&gt;=2),$N1365="included"),"All C pools assumption","")</f>
        <v/>
      </c>
      <c r="EU1365" t="str">
        <f>IF(AND($ED1365+$EE1365+$EI1365+$EH1365+$EF1365=0,$N1365="included"),"In-situ only assumption","")</f>
        <v>In-situ only assumption</v>
      </c>
      <c r="EY1365" t="str">
        <f>IF(ISNUMBER(BW1365),IF(ABS(BW1365-[2]QC_indicators!$B$2)&gt;3*[2]QC_indicators!$C$2,"C ratio",IF(ISNUMBER(CA1365),IF(ABS(CA1365-[2]QC_indicators!$B$1)&gt;3*[2]QC_indicators!$C$1,"DF","no"))),IF(ISNUMBER(CA1365),IF(ABS(CA1365-[2]QC_indicators!$B$1)&gt;3*[2]QC_indicators!$C$1,"DF","no")))</f>
        <v>no</v>
      </c>
      <c r="FA1365" t="str">
        <f>IF(LEN($CY1365)=0,"",IF(AND($CY1365&lt;(-0.05),$ES1365="C neutral forest and HWP assumption"),"Cneutral paradox",IF(AND($CY1365&gt;0.05,$EU1365="In-situ only assumption"),"In-situ only paradox","")))</f>
        <v/>
      </c>
      <c r="FD1365" s="260" t="s">
        <v>2776</v>
      </c>
    </row>
    <row r="1366" spans="1:160">
      <c r="A1366" s="1" t="s">
        <v>819</v>
      </c>
      <c r="B1366" t="s">
        <v>1844</v>
      </c>
      <c r="C1366" t="s">
        <v>1845</v>
      </c>
      <c r="D1366" t="s">
        <v>1846</v>
      </c>
      <c r="E1366" t="s">
        <v>1847</v>
      </c>
      <c r="F1366" t="s">
        <v>1848</v>
      </c>
      <c r="G1366" t="s">
        <v>825</v>
      </c>
      <c r="H1366" t="s">
        <v>254</v>
      </c>
      <c r="I1366">
        <v>2020</v>
      </c>
      <c r="J1366">
        <v>1</v>
      </c>
      <c r="K1366" t="s">
        <v>1849</v>
      </c>
      <c r="M1366" t="str">
        <f>LEFT($D1366,FIND(",",$D1366)-1)&amp;"_"&amp;I1366&amp;L1366</f>
        <v>Numazawa_2020</v>
      </c>
      <c r="N1366" t="s">
        <v>222</v>
      </c>
      <c r="O1366" s="157" t="s">
        <v>274</v>
      </c>
      <c r="P1366" t="s">
        <v>508</v>
      </c>
      <c r="Q1366" t="s">
        <v>389</v>
      </c>
      <c r="R1366" s="251" t="s">
        <v>223</v>
      </c>
      <c r="S1366" s="1" t="s">
        <v>1587</v>
      </c>
      <c r="T1366" t="s">
        <v>1851</v>
      </c>
      <c r="U1366" s="260" t="s">
        <v>1855</v>
      </c>
      <c r="V1366" s="253">
        <v>0</v>
      </c>
      <c r="W1366" s="253">
        <v>0</v>
      </c>
      <c r="X1366">
        <v>0</v>
      </c>
      <c r="Y1366">
        <v>0</v>
      </c>
      <c r="Z1366">
        <v>0</v>
      </c>
      <c r="AA1366">
        <v>1</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s="141">
        <f>COUNTIF(X1366:AY1366,"&lt;&gt;0")</f>
        <v>1</v>
      </c>
      <c r="BA1366" s="141">
        <f>COUNTIF(X1366:AN1366,"&lt;&gt;0")</f>
        <v>1</v>
      </c>
      <c r="BB1366">
        <f>COUNTIF(X1366:AE1366,"&lt;&gt;0")</f>
        <v>1</v>
      </c>
      <c r="BC1366">
        <f>COUNTIF(AF1366:AK1366,"&lt;&gt;0")</f>
        <v>0</v>
      </c>
      <c r="BD1366">
        <f>COUNTIF(AL1366:AN1366,"&lt;&gt;0")</f>
        <v>0</v>
      </c>
      <c r="BE1366">
        <f>COUNTIF(AU1366:AY1366,"&lt;&gt;0")</f>
        <v>0</v>
      </c>
      <c r="BF1366">
        <f>COUNTIF(AO1366:AT1366,"&lt;&gt;0")</f>
        <v>0</v>
      </c>
      <c r="BG1366" t="str">
        <f t="array" ref="BG1366">IF(BA1366=1,INDEX($X$7:$AN$7,MATCH(TRUE,INDEX($X1366:$AY1366&lt;&gt;0,),0)),IF(BA1366=0,INDEX($AO$7:$AY$7,MATCH(1,$AO1366:$AY1366,0)),IF(BH1366="Multiple strategies","mixed drivers",IF(BH1366="Supply chain","multiple supply","multiple silviculture"))))</f>
        <v xml:space="preserve">cutting intensity </v>
      </c>
      <c r="BH1366" s="2" t="str" cm="1">
        <f t="array" ref="BH1366">IF(COUNTIF(BB1366:BD1366,"&lt;&gt;0")=1,INDEX($X$4:$AY$4,MATCH(TRUE,INDEX($X1366:$AY1366&lt;&gt;0,),0)),IF(COUNTIF(BB1366:BD1366,"&lt;&gt;0")=0,INDEX($AO$4:$AY$4,MATCH(1,$AO1366:$AY1366,0)),"Multiple strategies"))</f>
        <v>Silviculture for removals</v>
      </c>
      <c r="BI1366" s="1" t="s">
        <v>321</v>
      </c>
      <c r="BJ1366" s="261" t="s">
        <v>2775</v>
      </c>
      <c r="BK1366" s="260" t="s">
        <v>1025</v>
      </c>
      <c r="BL1366" t="s">
        <v>1853</v>
      </c>
      <c r="BM1366">
        <v>0</v>
      </c>
      <c r="BN1366">
        <v>9</v>
      </c>
      <c r="BO1366" t="str">
        <f>IFERROR(BN1366/BM1366,"")</f>
        <v/>
      </c>
      <c r="BP1366">
        <f>BN1366-BM1366</f>
        <v>9</v>
      </c>
      <c r="BQ1366">
        <f>BP1366*t_to_m3</f>
        <v>18.367346938775512</v>
      </c>
      <c r="BR1366" t="s">
        <v>232</v>
      </c>
      <c r="BS1366" t="s">
        <v>396</v>
      </c>
      <c r="BT1366" t="s">
        <v>1854</v>
      </c>
      <c r="BU1366">
        <v>125</v>
      </c>
      <c r="BV1366">
        <v>122</v>
      </c>
      <c r="BW1366" s="144">
        <f>BV1366/BU1366</f>
        <v>0.97599999999999998</v>
      </c>
      <c r="BX1366">
        <f>BV1366-BU1366</f>
        <v>-3</v>
      </c>
      <c r="BZ1366">
        <f>BX1366*C_to_CO2</f>
        <v>-11.01</v>
      </c>
      <c r="CA1366">
        <f>IFERROR(BZ1366/BQ1366,"")</f>
        <v>-0.59943333333333326</v>
      </c>
      <c r="CB1366">
        <v>0</v>
      </c>
      <c r="CC1366">
        <v>0</v>
      </c>
      <c r="CD1366">
        <v>0</v>
      </c>
      <c r="CE1366">
        <v>0</v>
      </c>
      <c r="CF1366">
        <v>0</v>
      </c>
      <c r="CG1366">
        <v>0</v>
      </c>
      <c r="CH1366">
        <v>0</v>
      </c>
      <c r="CI1366">
        <v>0</v>
      </c>
      <c r="CJ1366">
        <v>0</v>
      </c>
      <c r="CK1366">
        <v>0</v>
      </c>
      <c r="CL1366">
        <v>0</v>
      </c>
      <c r="CM1366">
        <v>0</v>
      </c>
      <c r="CN1366">
        <v>0</v>
      </c>
      <c r="CO1366">
        <v>1</v>
      </c>
      <c r="CP1366" t="str">
        <f>IF($BN1366&lt;$BM1366,"refNeedCorrection","refOK")</f>
        <v>refOK</v>
      </c>
      <c r="CQ1366">
        <f>IF($CP1366="refOK",$BM1366,$BN1366)</f>
        <v>0</v>
      </c>
      <c r="CR1366">
        <f>IF($CP1366="refOK",$BN1366,$BM1366)</f>
        <v>9</v>
      </c>
      <c r="CS1366">
        <f>IF($CP1366="refOK",$BQ1366,-$BQ1366)</f>
        <v>18.367346938775512</v>
      </c>
      <c r="CT1366">
        <f>IF(BI1366="Roundwood",$CS1366/2,$CS1366)</f>
        <v>9.183673469387756</v>
      </c>
      <c r="CU1366">
        <f>IF($CP1366="refOK",$BU1366,$BV1366)*IF($BR1366="Emissions positive",-1,1)</f>
        <v>125</v>
      </c>
      <c r="CV1366">
        <f>IF($CP1366="refOK",$BV1366,$BU1366)*IF($BR1366="Emissions positive",-1,1)</f>
        <v>122</v>
      </c>
      <c r="CW1366">
        <f>IF($CP1366="refNeedCorrection",-BZ1366,BZ1366)*IF($BR1366="Emissions positive",-1,1)</f>
        <v>-11.01</v>
      </c>
      <c r="CX1366">
        <f>IFERROR($CW1366/$CS1366,"")</f>
        <v>-0.59943333333333326</v>
      </c>
      <c r="CY1366">
        <f>IFERROR($CW1366/$CS1366,"")</f>
        <v>-0.59943333333333326</v>
      </c>
      <c r="CZ1366">
        <f>IFERROR($CW1366/$CT1366,"")</f>
        <v>-1.1988666666666665</v>
      </c>
      <c r="DA1366" s="2">
        <f>IFERROR((CV1366-CU1366)/ABS(CU1366),"")</f>
        <v>-2.4E-2</v>
      </c>
      <c r="DB1366" s="1" t="s">
        <v>1843</v>
      </c>
      <c r="DC1366" t="str">
        <f>IF(OR($DB1366="prd",$DB1366="std",$DB1366="cit"),"loc",IF(OR($DB1366="eur",$DB1366="reg",$DB1366="coy"),"reg",$DB1366))</f>
        <v>reg</v>
      </c>
      <c r="DD1366" t="s">
        <v>513</v>
      </c>
      <c r="DG1366">
        <v>120</v>
      </c>
      <c r="DH1366" t="str">
        <f>IF(DG1366=0,"0",IF(AND(DG1366&gt;=1,DG1366&lt;=30),"1-30",IF(AND(DG1366&gt;30,DG1366&lt;=70),"31-70",IF(AND(DG1366&gt;70,DG1366&lt;=100),"71-100",IF(DG1366&gt;100,"+100")))))</f>
        <v>+100</v>
      </c>
      <c r="DI1366">
        <v>1</v>
      </c>
      <c r="DJ1366">
        <v>0</v>
      </c>
      <c r="DK1366">
        <v>0</v>
      </c>
      <c r="DL1366">
        <v>0</v>
      </c>
      <c r="DM1366">
        <v>0</v>
      </c>
      <c r="DN1366">
        <f>SUM(DI1366:DM1366)</f>
        <v>1</v>
      </c>
      <c r="DO1366" t="str">
        <f>IF(DN1366=1,INDEX($DI$7:$DL$7,MATCH(1,$DI1366:$DL1366,0)),"mixedProduct")</f>
        <v>UpstreamInput</v>
      </c>
      <c r="DP1366" t="str">
        <f>IF(DI1366=1,DP$7,0)</f>
        <v>Upstream</v>
      </c>
      <c r="DQ1366">
        <f>IF(DJ1366=1,DQ$7,0)</f>
        <v>0</v>
      </c>
      <c r="DR1366">
        <f>IF(DK1366=1,DR$7,0)</f>
        <v>0</v>
      </c>
      <c r="DS1366">
        <f>IF(DL1366=1,DS$7,0)</f>
        <v>0</v>
      </c>
      <c r="DT1366">
        <v>0</v>
      </c>
      <c r="DY1366"/>
      <c r="DZ1366" s="143" t="str">
        <f>IF(DT1366=1,"self-calculated DF",IF(DU1366=1,"external DF used","explicit C balance"))</f>
        <v>explicit C balance</v>
      </c>
      <c r="EA1366">
        <v>1</v>
      </c>
      <c r="EB1366">
        <v>1</v>
      </c>
      <c r="EC1366">
        <v>1</v>
      </c>
      <c r="ED1366">
        <v>0</v>
      </c>
      <c r="EE1366">
        <v>0</v>
      </c>
      <c r="EF1366" s="143">
        <v>0</v>
      </c>
      <c r="EG1366">
        <v>0</v>
      </c>
      <c r="EH1366">
        <v>0</v>
      </c>
      <c r="EI1366">
        <v>0</v>
      </c>
      <c r="EJ1366">
        <v>0</v>
      </c>
      <c r="EK1366">
        <v>1</v>
      </c>
      <c r="EL1366">
        <v>0</v>
      </c>
      <c r="EM1366">
        <v>0</v>
      </c>
      <c r="EN1366" s="2">
        <v>0</v>
      </c>
      <c r="EP1366" t="str">
        <f>IF(AND(AND(AND(OR($EC1366=1,$EB1366=1),OR($EH1366=1,$EF1366=1)),SUM($EA1366:$EE1366,$EK1366)&gt;=3),SUM($EF1366:$EJ1366)&gt;=2),"Whole sector approach","")</f>
        <v/>
      </c>
      <c r="EQ1366" t="str">
        <f>IF(AND(AND(OR($EC1366=1,$EB1366=1),AND($EH1366=0,$EF1366=0)),SUM($EA1366:$EE1366,$EK1366)&gt;=4),"Ecosystem approach","")</f>
        <v>Ecosystem approach</v>
      </c>
      <c r="ER1366" s="2" t="str">
        <f>IF(AND(AND(AND($EC1366=0,$EB1366=0),OR($EH1366=1,$EF1366=1)),SUM($EG1366:$EJ1366)&gt;=2),"Technology approach","")</f>
        <v/>
      </c>
      <c r="ES1366" t="str">
        <f>IF(AND($EC1366+$EB1366+$EE1366+$EA1366+$ED1366+$EG1366=0,$N1366="included"),"C neutral forest and HWP assumption","")</f>
        <v/>
      </c>
      <c r="ET1366" t="str">
        <f>IF(AND(AND(AND(AND($EC1366=1,$EB1366+$EA1366+$EG1366&gt;=1),$EF1366=1),$EH1366+$EI1366+$ED1366+$EE1366&gt;=2),$N1366="included"),"All C pools assumption","")</f>
        <v/>
      </c>
      <c r="EU1366" t="str">
        <f>IF(AND($ED1366+$EE1366+$EI1366+$EH1366+$EF1366=0,$N1366="included"),"In-situ only assumption","")</f>
        <v>In-situ only assumption</v>
      </c>
      <c r="EY1366" t="str">
        <f>IF(ISNUMBER(BW1366),IF(ABS(BW1366-[2]QC_indicators!$B$2)&gt;3*[2]QC_indicators!$C$2,"C ratio",IF(ISNUMBER(CA1366),IF(ABS(CA1366-[2]QC_indicators!$B$1)&gt;3*[2]QC_indicators!$C$1,"DF","no"))),IF(ISNUMBER(CA1366),IF(ABS(CA1366-[2]QC_indicators!$B$1)&gt;3*[2]QC_indicators!$C$1,"DF","no")))</f>
        <v>no</v>
      </c>
      <c r="FA1366" t="str">
        <f>IF(LEN($CY1366)=0,"",IF(AND($CY1366&lt;(-0.05),$ES1366="C neutral forest and HWP assumption"),"Cneutral paradox",IF(AND($CY1366&gt;0.05,$EU1366="In-situ only assumption"),"In-situ only paradox","")))</f>
        <v/>
      </c>
      <c r="FD1366" s="260" t="s">
        <v>2776</v>
      </c>
    </row>
    <row r="1367" spans="1:160" ht="15" customHeight="1">
      <c r="A1367" s="1" t="s">
        <v>819</v>
      </c>
      <c r="B1367" t="s">
        <v>1844</v>
      </c>
      <c r="C1367" t="s">
        <v>1845</v>
      </c>
      <c r="D1367" t="s">
        <v>1846</v>
      </c>
      <c r="E1367" t="s">
        <v>1847</v>
      </c>
      <c r="F1367" t="s">
        <v>1848</v>
      </c>
      <c r="G1367" t="s">
        <v>825</v>
      </c>
      <c r="H1367" t="s">
        <v>254</v>
      </c>
      <c r="I1367">
        <v>2020</v>
      </c>
      <c r="J1367">
        <v>1</v>
      </c>
      <c r="K1367" t="s">
        <v>1849</v>
      </c>
      <c r="M1367" t="str">
        <f>LEFT($D1367,FIND(",",$D1367)-1)&amp;"_"&amp;I1367&amp;L1367</f>
        <v>Numazawa_2020</v>
      </c>
      <c r="N1367" t="s">
        <v>222</v>
      </c>
      <c r="O1367" s="157" t="s">
        <v>274</v>
      </c>
      <c r="P1367" t="s">
        <v>508</v>
      </c>
      <c r="Q1367" t="s">
        <v>389</v>
      </c>
      <c r="R1367" s="251" t="s">
        <v>223</v>
      </c>
      <c r="S1367" s="1" t="s">
        <v>1850</v>
      </c>
      <c r="T1367" t="s">
        <v>1851</v>
      </c>
      <c r="U1367" t="s">
        <v>1852</v>
      </c>
      <c r="V1367" s="253">
        <v>0</v>
      </c>
      <c r="W1367" s="253">
        <v>0</v>
      </c>
      <c r="X1367">
        <v>0</v>
      </c>
      <c r="Y1367">
        <v>0</v>
      </c>
      <c r="Z1367">
        <v>0</v>
      </c>
      <c r="AA1367">
        <v>1</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0</v>
      </c>
      <c r="AW1367">
        <v>0</v>
      </c>
      <c r="AX1367">
        <v>0</v>
      </c>
      <c r="AY1367">
        <v>0</v>
      </c>
      <c r="AZ1367" s="141">
        <f>COUNTIF(X1367:AY1367,"&lt;&gt;0")</f>
        <v>1</v>
      </c>
      <c r="BA1367" s="141">
        <f>COUNTIF(X1367:AN1367,"&lt;&gt;0")</f>
        <v>1</v>
      </c>
      <c r="BB1367">
        <f>COUNTIF(X1367:AE1367,"&lt;&gt;0")</f>
        <v>1</v>
      </c>
      <c r="BC1367">
        <f>COUNTIF(AF1367:AK1367,"&lt;&gt;0")</f>
        <v>0</v>
      </c>
      <c r="BD1367">
        <f>COUNTIF(AL1367:AN1367,"&lt;&gt;0")</f>
        <v>0</v>
      </c>
      <c r="BE1367">
        <f>COUNTIF(AU1367:AY1367,"&lt;&gt;0")</f>
        <v>0</v>
      </c>
      <c r="BF1367">
        <f>COUNTIF(AO1367:AT1367,"&lt;&gt;0")</f>
        <v>0</v>
      </c>
      <c r="BG1367" t="str">
        <f t="array" ref="BG1367">IF(BA1367=1,INDEX($X$7:$AN$7,MATCH(TRUE,INDEX($X1367:$AY1367&lt;&gt;0,),0)),IF(BA1367=0,INDEX($AO$7:$AY$7,MATCH(1,$AO1367:$AY1367,0)),IF(BH1367="Multiple strategies","mixed drivers",IF(BH1367="Supply chain","multiple supply","multiple silviculture"))))</f>
        <v xml:space="preserve">cutting intensity </v>
      </c>
      <c r="BH1367" s="2" t="str" cm="1">
        <f t="array" ref="BH1367">IF(COUNTIF(BB1367:BD1367,"&lt;&gt;0")=1,INDEX($X$4:$AY$4,MATCH(TRUE,INDEX($X1367:$AY1367&lt;&gt;0,),0)),IF(COUNTIF(BB1367:BD1367,"&lt;&gt;0")=0,INDEX($AO$4:$AY$4,MATCH(1,$AO1367:$AY1367,0)),"Multiple strategies"))</f>
        <v>Silviculture for removals</v>
      </c>
      <c r="BI1367" s="1" t="s">
        <v>321</v>
      </c>
      <c r="BJ1367" s="261" t="s">
        <v>2775</v>
      </c>
      <c r="BK1367" s="260" t="s">
        <v>396</v>
      </c>
      <c r="BL1367" t="s">
        <v>1853</v>
      </c>
      <c r="BM1367">
        <v>0</v>
      </c>
      <c r="BN1367">
        <v>27</v>
      </c>
      <c r="BO1367" t="str">
        <f>IFERROR(BN1367/BM1367,"")</f>
        <v/>
      </c>
      <c r="BP1367">
        <f>BN1367-BM1367</f>
        <v>27</v>
      </c>
      <c r="BQ1367">
        <f>BP1367*t_to_m3</f>
        <v>55.102040816326529</v>
      </c>
      <c r="BR1367" t="s">
        <v>232</v>
      </c>
      <c r="BS1367" t="s">
        <v>396</v>
      </c>
      <c r="BT1367" t="s">
        <v>1854</v>
      </c>
      <c r="BU1367">
        <v>125</v>
      </c>
      <c r="BV1367">
        <v>111</v>
      </c>
      <c r="BW1367" s="144">
        <f>BV1367/BU1367</f>
        <v>0.88800000000000001</v>
      </c>
      <c r="BX1367">
        <f>BV1367-BU1367</f>
        <v>-14</v>
      </c>
      <c r="BZ1367">
        <f>BX1367*C_to_CO2</f>
        <v>-51.379999999999995</v>
      </c>
      <c r="CA1367">
        <f>IFERROR(BZ1367/BQ1367,"")</f>
        <v>-0.93245185185185175</v>
      </c>
      <c r="CB1367">
        <v>0</v>
      </c>
      <c r="CC1367">
        <v>0</v>
      </c>
      <c r="CD1367">
        <v>0</v>
      </c>
      <c r="CE1367">
        <v>0</v>
      </c>
      <c r="CF1367">
        <v>0</v>
      </c>
      <c r="CG1367">
        <v>0</v>
      </c>
      <c r="CH1367">
        <v>0</v>
      </c>
      <c r="CI1367">
        <v>0</v>
      </c>
      <c r="CJ1367">
        <v>0</v>
      </c>
      <c r="CK1367">
        <v>0</v>
      </c>
      <c r="CL1367">
        <v>0</v>
      </c>
      <c r="CM1367">
        <v>0</v>
      </c>
      <c r="CN1367">
        <v>0</v>
      </c>
      <c r="CO1367">
        <v>1</v>
      </c>
      <c r="CP1367" t="str">
        <f>IF($BN1367&lt;$BM1367,"refNeedCorrection","refOK")</f>
        <v>refOK</v>
      </c>
      <c r="CQ1367">
        <f>IF($CP1367="refOK",$BM1367,$BN1367)</f>
        <v>0</v>
      </c>
      <c r="CR1367">
        <f>IF($CP1367="refOK",$BN1367,$BM1367)</f>
        <v>27</v>
      </c>
      <c r="CS1367">
        <f>IF($CP1367="refOK",$BQ1367,-$BQ1367)</f>
        <v>55.102040816326529</v>
      </c>
      <c r="CT1367">
        <f>IF(BI1367="Roundwood",$CS1367/2,$CS1367)</f>
        <v>27.551020408163264</v>
      </c>
      <c r="CU1367">
        <f>IF($CP1367="refOK",$BU1367,$BV1367)*IF($BR1367="Emissions positive",-1,1)</f>
        <v>125</v>
      </c>
      <c r="CV1367">
        <f>IF($CP1367="refOK",$BV1367,$BU1367)*IF($BR1367="Emissions positive",-1,1)</f>
        <v>111</v>
      </c>
      <c r="CW1367">
        <f>IF($CP1367="refNeedCorrection",-BZ1367,BZ1367)*IF($BR1367="Emissions positive",-1,1)</f>
        <v>-51.379999999999995</v>
      </c>
      <c r="CX1367">
        <f>IFERROR($CW1367/$CS1367,"")</f>
        <v>-0.93245185185185175</v>
      </c>
      <c r="CY1367">
        <f>IFERROR($CW1367/$CS1367,"")</f>
        <v>-0.93245185185185175</v>
      </c>
      <c r="CZ1367">
        <f>IFERROR($CW1367/$CT1367,"")</f>
        <v>-1.8649037037037035</v>
      </c>
      <c r="DA1367" s="2">
        <f>IFERROR((CV1367-CU1367)/ABS(CU1367),"")</f>
        <v>-0.112</v>
      </c>
      <c r="DB1367" s="1" t="s">
        <v>1843</v>
      </c>
      <c r="DC1367" t="str">
        <f>IF(OR($DB1367="prd",$DB1367="std",$DB1367="cit"),"loc",IF(OR($DB1367="eur",$DB1367="reg",$DB1367="coy"),"reg",$DB1367))</f>
        <v>reg</v>
      </c>
      <c r="DD1367" t="s">
        <v>513</v>
      </c>
      <c r="DG1367">
        <v>120</v>
      </c>
      <c r="DH1367" t="str">
        <f>IF(DG1367=0,"0",IF(AND(DG1367&gt;=1,DG1367&lt;=30),"1-30",IF(AND(DG1367&gt;30,DG1367&lt;=70),"31-70",IF(AND(DG1367&gt;70,DG1367&lt;=100),"71-100",IF(DG1367&gt;100,"+100")))))</f>
        <v>+100</v>
      </c>
      <c r="DI1367">
        <v>1</v>
      </c>
      <c r="DJ1367">
        <v>0</v>
      </c>
      <c r="DK1367">
        <v>0</v>
      </c>
      <c r="DL1367">
        <v>0</v>
      </c>
      <c r="DM1367">
        <v>0</v>
      </c>
      <c r="DN1367">
        <f>SUM(DI1367:DL1367)</f>
        <v>1</v>
      </c>
      <c r="DO1367" t="str">
        <f>IF(DN1367=1,INDEX($DI$7:$DL$7,MATCH(1,$DI1367:$DL1367,0)),"mixedProduct")</f>
        <v>UpstreamInput</v>
      </c>
      <c r="DP1367" t="str">
        <f>IF(DI1367=1,DP$7,0)</f>
        <v>Upstream</v>
      </c>
      <c r="DQ1367">
        <f>IF(DJ1367=1,DQ$7,0)</f>
        <v>0</v>
      </c>
      <c r="DR1367">
        <f>IF(DK1367=1,DR$7,0)</f>
        <v>0</v>
      </c>
      <c r="DS1367">
        <f>IF(DL1367=1,DS$7,0)</f>
        <v>0</v>
      </c>
      <c r="DT1367">
        <v>0</v>
      </c>
      <c r="DY1367"/>
      <c r="DZ1367" s="143" t="str">
        <f>IF(DT1367=1,"self-calculated DF",IF(DU1367=1,"external DF used","explicit C balance"))</f>
        <v>explicit C balance</v>
      </c>
      <c r="EA1367">
        <v>1</v>
      </c>
      <c r="EB1367">
        <v>1</v>
      </c>
      <c r="EC1367">
        <v>1</v>
      </c>
      <c r="ED1367">
        <v>0</v>
      </c>
      <c r="EE1367">
        <v>0</v>
      </c>
      <c r="EF1367" s="143">
        <v>0</v>
      </c>
      <c r="EG1367">
        <v>0</v>
      </c>
      <c r="EH1367">
        <v>0</v>
      </c>
      <c r="EI1367">
        <v>0</v>
      </c>
      <c r="EJ1367">
        <v>0</v>
      </c>
      <c r="EK1367">
        <v>1</v>
      </c>
      <c r="EL1367">
        <v>0</v>
      </c>
      <c r="EM1367">
        <v>0</v>
      </c>
      <c r="EN1367" s="2">
        <v>0</v>
      </c>
      <c r="EP1367" t="str">
        <f>IF(AND(AND(AND(OR($EC1367=1,$EB1367=1),OR($EH1367=1,$EF1367=1)),SUM($EA1367:$EE1367,$EK1367)&gt;=3),SUM($EF1367:$EJ1367)&gt;=2),"Whole sector approach","")</f>
        <v/>
      </c>
      <c r="EQ1367" t="str">
        <f>IF(AND(AND(OR($EC1367=1,$EB1367=1),AND($EH1367=0,$EF1367=0)),SUM($EA1367:$EE1367,$EK1367)&gt;=4),"Ecosystem approach","")</f>
        <v>Ecosystem approach</v>
      </c>
      <c r="ER1367" s="2" t="str">
        <f>IF(AND(AND(AND($EC1367=0,$EB1367=0),OR($EH1367=1,$EF1367=1)),SUM($EG1367:$EJ1367)&gt;=2),"Technology approach","")</f>
        <v/>
      </c>
      <c r="ES1367" t="str">
        <f>IF(AND($EC1367+$EB1367+$EE1367+$EA1367+$ED1367+$EG1367=0,$N1367="included"),"C neutral forest and HWP assumption","")</f>
        <v/>
      </c>
      <c r="ET1367" t="str">
        <f>IF(AND(AND(AND(AND($EC1367=1,$EB1367+$EA1367+$EG1367&gt;=1),$EF1367=1),$EH1367+$EI1367+$ED1367+$EE1367&gt;=2),$N1367="included"),"All C pools assumption","")</f>
        <v/>
      </c>
      <c r="EU1367" t="str">
        <f>IF(AND($ED1367+$EE1367+$EI1367+$EH1367+$EF1367=0,$N1367="included"),"In-situ only assumption","")</f>
        <v>In-situ only assumption</v>
      </c>
      <c r="EY1367" t="str">
        <f>IF(ISNUMBER(BW1367),IF(ABS(BW1367-[2]QC_indicators!$B$2)&gt;3*[2]QC_indicators!$C$2,"C ratio",IF(ISNUMBER(CA1367),IF(ABS(CA1367-[2]QC_indicators!$B$1)&gt;3*[2]QC_indicators!$C$1,"DF","no"))),IF(ISNUMBER(CA1367),IF(ABS(CA1367-[2]QC_indicators!$B$1)&gt;3*[2]QC_indicators!$C$1,"DF","no")))</f>
        <v>no</v>
      </c>
      <c r="FA1367" t="str">
        <f>IF(LEN($CY1367)=0,"",IF(AND($CY1367&lt;(-0.05),$ES1367="C neutral forest and HWP assumption"),"Cneutral paradox",IF(AND($CY1367&gt;0.05,$EU1367="In-situ only assumption"),"In-situ only paradox","")))</f>
        <v/>
      </c>
      <c r="FD1367" s="260" t="s">
        <v>2776</v>
      </c>
    </row>
    <row r="1368" spans="1:160" ht="15" hidden="1" customHeight="1">
      <c r="A1368" s="1" t="s">
        <v>643</v>
      </c>
      <c r="B1368" t="s">
        <v>1887</v>
      </c>
      <c r="C1368" t="s">
        <v>1888</v>
      </c>
      <c r="D1368" t="s">
        <v>1889</v>
      </c>
      <c r="E1368" t="s">
        <v>1890</v>
      </c>
      <c r="F1368" t="s">
        <v>1891</v>
      </c>
      <c r="G1368" t="s">
        <v>649</v>
      </c>
      <c r="H1368" t="s">
        <v>254</v>
      </c>
      <c r="I1368">
        <v>2020</v>
      </c>
      <c r="J1368">
        <v>4</v>
      </c>
      <c r="K1368" t="s">
        <v>1892</v>
      </c>
      <c r="M1368" t="str">
        <f>LEFT($D1368,FIND(",",$D1368)-1)&amp;"_"&amp;I1368&amp;L1368</f>
        <v>Palus_2020</v>
      </c>
      <c r="N1368" t="s">
        <v>222</v>
      </c>
      <c r="O1368" s="157" t="s">
        <v>508</v>
      </c>
      <c r="P1368" t="s">
        <v>223</v>
      </c>
      <c r="Q1368" t="s">
        <v>389</v>
      </c>
      <c r="R1368" s="251" t="s">
        <v>225</v>
      </c>
      <c r="T1368" t="s">
        <v>1076</v>
      </c>
      <c r="U1368" t="s">
        <v>1077</v>
      </c>
      <c r="V1368" s="253">
        <v>0</v>
      </c>
      <c r="W1368" s="253">
        <v>0</v>
      </c>
      <c r="X1368">
        <v>0</v>
      </c>
      <c r="Y1368">
        <v>0</v>
      </c>
      <c r="Z1368">
        <v>0</v>
      </c>
      <c r="AA1368">
        <v>0</v>
      </c>
      <c r="AB1368">
        <v>0</v>
      </c>
      <c r="AC1368">
        <v>0</v>
      </c>
      <c r="AD1368">
        <v>0</v>
      </c>
      <c r="AE1368">
        <v>0</v>
      </c>
      <c r="AF1368">
        <v>0</v>
      </c>
      <c r="AG1368">
        <v>0</v>
      </c>
      <c r="AH1368">
        <v>1</v>
      </c>
      <c r="AI1368">
        <v>0</v>
      </c>
      <c r="AJ1368">
        <v>0</v>
      </c>
      <c r="AK1368">
        <v>0</v>
      </c>
      <c r="AL1368">
        <v>0</v>
      </c>
      <c r="AM1368">
        <v>0</v>
      </c>
      <c r="AN1368">
        <v>0</v>
      </c>
      <c r="AO1368">
        <v>0</v>
      </c>
      <c r="AP1368">
        <v>0</v>
      </c>
      <c r="AQ1368">
        <v>0</v>
      </c>
      <c r="AR1368">
        <v>0</v>
      </c>
      <c r="AS1368">
        <v>0</v>
      </c>
      <c r="AT1368">
        <v>0</v>
      </c>
      <c r="AU1368">
        <v>1</v>
      </c>
      <c r="AV1368">
        <v>0</v>
      </c>
      <c r="AW1368">
        <v>0</v>
      </c>
      <c r="AX1368">
        <v>0</v>
      </c>
      <c r="AY1368">
        <v>0</v>
      </c>
      <c r="AZ1368" s="141">
        <f>COUNTIF(X1368:AY1368,"&lt;&gt;0")</f>
        <v>2</v>
      </c>
      <c r="BA1368" s="141">
        <f>COUNTIF(X1368:AN1368,"&lt;&gt;0")</f>
        <v>1</v>
      </c>
      <c r="BB1368">
        <f>COUNTIF(X1368:AE1368,"&lt;&gt;0")</f>
        <v>0</v>
      </c>
      <c r="BC1368">
        <f>COUNTIF(AF1368:AK1368,"&lt;&gt;0")</f>
        <v>1</v>
      </c>
      <c r="BD1368">
        <f>COUNTIF(AL1368:AN1368,"&lt;&gt;0")</f>
        <v>0</v>
      </c>
      <c r="BE1368">
        <f>COUNTIF(AU1368:AY1368,"&lt;&gt;0")</f>
        <v>1</v>
      </c>
      <c r="BF1368">
        <f>COUNTIF(AO1368:AT1368,"&lt;&gt;0")</f>
        <v>0</v>
      </c>
      <c r="BG1368" t="str">
        <f t="array" ref="BG1368">IF(BA1368=1,INDEX($X$7:$AN$7,MATCH(TRUE,INDEX($X1368:$AY1368&lt;&gt;0,),0)),IF(BA1368=0,INDEX($AO$7:$AY$7,MATCH(1,$AO1368:$AY1368,0)),IF(BH1368="Multiple strategies","mixed drivers",IF(BH1368="Supply chain","multiple supply","multiple silviculture"))))</f>
        <v>supply chain organization</v>
      </c>
      <c r="BH1368" s="2" t="str" cm="1">
        <f t="array" ref="BH1368">IF(COUNTIF(BB1368:BD1368,"&lt;&gt;0")=1,INDEX($X$4:$AY$4,MATCH(TRUE,INDEX($X1368:$AY1368&lt;&gt;0,),0)),IF(COUNTIF(BB1368:BD1368,"&lt;&gt;0")=0,INDEX($AO$4:$AY$4,MATCH(1,$AO1368:$AY1368,0)),"Multiple strategies"))</f>
        <v>Supply chain</v>
      </c>
      <c r="BI1368" s="1" t="s">
        <v>321</v>
      </c>
      <c r="BJ1368" t="s">
        <v>808</v>
      </c>
      <c r="BK1368" t="s">
        <v>685</v>
      </c>
      <c r="BL1368" t="s">
        <v>1893</v>
      </c>
      <c r="BM1368">
        <v>8091.4</v>
      </c>
      <c r="BN1368">
        <v>9602.9</v>
      </c>
      <c r="BO1368">
        <f>IFERROR(BN1368/BM1368,"")</f>
        <v>1.1868032726104258</v>
      </c>
      <c r="BP1368">
        <f>BN1368-BM1368</f>
        <v>1511.5</v>
      </c>
      <c r="BQ1368">
        <f>BP1368*1000</f>
        <v>1511500</v>
      </c>
      <c r="BR1368" t="s">
        <v>395</v>
      </c>
      <c r="BS1368" s="256" t="s">
        <v>3064</v>
      </c>
      <c r="BT1368" t="s">
        <v>1894</v>
      </c>
      <c r="BU1368">
        <v>-1535.25</v>
      </c>
      <c r="BV1368">
        <v>-3609.55</v>
      </c>
      <c r="BW1368" s="144"/>
      <c r="BX1368">
        <f>BV1368-BU1368</f>
        <v>-2074.3000000000002</v>
      </c>
      <c r="BZ1368">
        <f>BX1368*1000</f>
        <v>-2074300.0000000002</v>
      </c>
      <c r="CA1368">
        <f>IFERROR(BZ1368/BQ1368,"")</f>
        <v>-1.3723453522990408</v>
      </c>
      <c r="CB1368">
        <v>0</v>
      </c>
      <c r="CC1368">
        <v>0</v>
      </c>
      <c r="CD1368">
        <v>0</v>
      </c>
      <c r="CE1368">
        <v>0</v>
      </c>
      <c r="CF1368">
        <v>0</v>
      </c>
      <c r="CG1368">
        <v>0</v>
      </c>
      <c r="CH1368">
        <v>0</v>
      </c>
      <c r="CI1368">
        <v>0</v>
      </c>
      <c r="CJ1368">
        <v>0</v>
      </c>
      <c r="CK1368">
        <v>0</v>
      </c>
      <c r="CL1368">
        <v>0</v>
      </c>
      <c r="CM1368">
        <v>0</v>
      </c>
      <c r="CN1368">
        <v>0</v>
      </c>
      <c r="CO1368">
        <v>0</v>
      </c>
      <c r="CP1368" t="str">
        <f>IF($BN1368&lt;$BM1368,"refNeedCorrection","refOK")</f>
        <v>refOK</v>
      </c>
      <c r="CQ1368">
        <f>IF($CP1368="refOK",$BM1368,$BN1368)</f>
        <v>8091.4</v>
      </c>
      <c r="CR1368">
        <f>IF($CP1368="refOK",$BN1368,$BM1368)</f>
        <v>9602.9</v>
      </c>
      <c r="CS1368">
        <f>IF($CP1368="refOK",$BQ1368,-$BQ1368)</f>
        <v>1511500</v>
      </c>
      <c r="CT1368">
        <f>IF(BI1368="Roundwood",$CS1368/2,$CS1368)</f>
        <v>755750</v>
      </c>
      <c r="CU1368">
        <f>IF($CP1368="refOK",$BU1368,$BV1368)*IF($BR1368="Emissions positive",-1,1)</f>
        <v>1535.25</v>
      </c>
      <c r="CV1368">
        <f>IF($CP1368="refOK",$BV1368,$BU1368)*IF($BR1368="Emissions positive",-1,1)</f>
        <v>3609.55</v>
      </c>
      <c r="CW1368">
        <f>IF($CP1368="refNeedCorrection",-BZ1368,BZ1368)*IF($BR1368="Emissions positive",-1,1)</f>
        <v>2074300.0000000002</v>
      </c>
      <c r="CX1368">
        <f>IFERROR($CW1368/$CS1368,"")</f>
        <v>1.3723453522990408</v>
      </c>
      <c r="CY1368">
        <f>IFERROR($CW1368/$CS1368,"")</f>
        <v>1.3723453522990408</v>
      </c>
      <c r="CZ1368">
        <f>IFERROR($CW1368/$CT1368,"")</f>
        <v>2.7446907045980815</v>
      </c>
      <c r="DA1368" s="2">
        <f>IFERROR((CV1368-CU1368)/ABS(CU1368),"")</f>
        <v>1.3511154535092005</v>
      </c>
      <c r="DB1368" s="1" t="s">
        <v>1078</v>
      </c>
      <c r="DC1368" t="str">
        <f>IF(OR($DB1368="prd",$DB1368="std",$DB1368="cit"),"loc",IF(OR($DB1368="eur",$DB1368="reg",$DB1368="coy"),"reg",$DB1368))</f>
        <v>reg</v>
      </c>
      <c r="DD1368" t="s">
        <v>1895</v>
      </c>
      <c r="DE1368">
        <v>2017</v>
      </c>
      <c r="DF1368">
        <v>2017</v>
      </c>
      <c r="DG1368">
        <f>DF1368-DE1368</f>
        <v>0</v>
      </c>
      <c r="DH1368" t="str">
        <f>IF(DG1368=0,"0",IF(AND(DG1368&gt;=1,DG1368&lt;=30),"1-30",IF(AND(DG1368&gt;30,DG1368&lt;=70),"31-70",IF(AND(DG1368&gt;70,DG1368&lt;=100),"71-100",IF(DG1368&gt;100,"+100")))))</f>
        <v>0</v>
      </c>
      <c r="DI1368">
        <v>0</v>
      </c>
      <c r="DJ1368">
        <v>0</v>
      </c>
      <c r="DK1368">
        <v>1</v>
      </c>
      <c r="DL1368">
        <v>1</v>
      </c>
      <c r="DM1368">
        <v>0</v>
      </c>
      <c r="DN1368">
        <f>SUM(DI1368:DM1368)</f>
        <v>2</v>
      </c>
      <c r="DO1368" t="str">
        <f>IF(DN1368=1,INDEX($DI$7:$DL$7,MATCH(1,$DI1368:$DL1368,0)),"mixedProduct")</f>
        <v>mixedProduct</v>
      </c>
      <c r="DP1368">
        <f>IF(DI1368=1,DP$7,0)</f>
        <v>0</v>
      </c>
      <c r="DQ1368">
        <f>IF(DJ1368=1,DQ$7,0)</f>
        <v>0</v>
      </c>
      <c r="DR1368" t="str">
        <f>IF(DK1368=1,DR$7,0)</f>
        <v>Pulp/Paper</v>
      </c>
      <c r="DS1368" t="str">
        <f>IF(DL1368=1,DS$7,0)</f>
        <v>Timber</v>
      </c>
      <c r="DT1368">
        <v>0</v>
      </c>
      <c r="DU1368">
        <v>0</v>
      </c>
      <c r="DV1368">
        <v>0</v>
      </c>
      <c r="DW1368">
        <v>0</v>
      </c>
      <c r="DX1368">
        <v>0</v>
      </c>
      <c r="DY1368"/>
      <c r="DZ1368" s="143" t="str">
        <f>IF(DT1368=1,"self-calculated DF",IF(DU1368=1,"external DF used","explicit C balance"))</f>
        <v>explicit C balance</v>
      </c>
      <c r="EA1368">
        <v>0</v>
      </c>
      <c r="EB1368">
        <v>0</v>
      </c>
      <c r="EC1368">
        <v>0</v>
      </c>
      <c r="ED1368">
        <v>1</v>
      </c>
      <c r="EE1368">
        <v>1</v>
      </c>
      <c r="EF1368">
        <v>0</v>
      </c>
      <c r="EG1368">
        <v>0</v>
      </c>
      <c r="EH1368">
        <v>0</v>
      </c>
      <c r="EI1368">
        <v>0</v>
      </c>
      <c r="EJ1368">
        <v>0</v>
      </c>
      <c r="EK1368">
        <v>1</v>
      </c>
      <c r="EL1368">
        <v>0</v>
      </c>
      <c r="EM1368">
        <v>0</v>
      </c>
      <c r="EN1368" s="2">
        <v>0</v>
      </c>
      <c r="EP1368" t="str">
        <f>IF(AND(AND(AND(OR($EC1368=1,$EB1368=1),OR($EH1368=1,$EF1368=1)),SUM($EA1368:$EE1368,$EK1368)&gt;=3),SUM($EF1368:$EJ1368)&gt;=2),"Whole sector approach","")</f>
        <v/>
      </c>
      <c r="EQ1368" t="str">
        <f>IF(AND(AND(OR($EC1368=1,$EB1368=1),AND($EH1368=0,$EF1368=0)),SUM($EA1368:$EE1368,$EK1368)&gt;=4),"Ecosystem approach","")</f>
        <v/>
      </c>
      <c r="ER1368" s="2" t="str">
        <f>IF(AND(AND(AND($EC1368=0,$EB1368=0),OR($EH1368=1,$EF1368=1)),SUM($EG1368:$EJ1368)&gt;=2),"Technology approach","")</f>
        <v/>
      </c>
      <c r="ES1368" t="str">
        <f>IF(AND($EC1368+$EB1368+$EE1368+$EA1368+$ED1368+$EG1368=0,$N1368="included"),"C neutral forest and HWP assumption","")</f>
        <v/>
      </c>
      <c r="ET1368" t="str">
        <f>IF(AND(AND(AND(AND($EC1368=1,$EB1368+$EA1368+$EG1368&gt;=1),$EF1368=1),$EH1368+$EI1368+$ED1368+$EE1368&gt;=2),$N1368="included"),"All C pools assumption","")</f>
        <v/>
      </c>
      <c r="EU1368" t="str">
        <f>IF(AND($ED1368+$EE1368+$EI1368+$EH1368+$EF1368=0,$N1368="included"),"In-situ only assumption","")</f>
        <v/>
      </c>
      <c r="EY1368" t="str">
        <f>IF(ISNUMBER(BW1368),IF(ABS(BW1368-[6]QC_indicators!$B$2)&gt;3*[6]QC_indicators!$C$2,"C ratio",IF(ISNUMBER(CA1368),IF(ABS(CA1368-[6]QC_indicators!$B$1)&gt;3*[6]QC_indicators!$C$1,"DF","no"))),IF(ISNUMBER(CA1368),IF(ABS(CA1368-[6]QC_indicators!$B$1)&gt;3*[6]QC_indicators!$C$1,"DF","no")))</f>
        <v>no</v>
      </c>
      <c r="FA1368" t="str">
        <f>IF(LEN($CY1368)=0,"",IF(AND($CY1368&lt;(-0.05),$ES1368="C neutral forest and HWP assumption"),"Cneutral paradox",IF(AND($CY1368&gt;0.05,$EU1368="In-situ only assumption"),"In-situ only paradox","")))</f>
        <v/>
      </c>
      <c r="FD1368" s="260" t="s">
        <v>2948</v>
      </c>
    </row>
    <row r="1369" spans="1:160" hidden="1">
      <c r="A1369" s="1" t="s">
        <v>643</v>
      </c>
      <c r="B1369" t="s">
        <v>1887</v>
      </c>
      <c r="C1369" t="s">
        <v>1888</v>
      </c>
      <c r="D1369" t="s">
        <v>1889</v>
      </c>
      <c r="E1369" t="s">
        <v>1890</v>
      </c>
      <c r="F1369" t="s">
        <v>1891</v>
      </c>
      <c r="G1369" t="s">
        <v>649</v>
      </c>
      <c r="H1369" t="s">
        <v>254</v>
      </c>
      <c r="I1369">
        <v>2020</v>
      </c>
      <c r="J1369">
        <v>4</v>
      </c>
      <c r="K1369" t="s">
        <v>1892</v>
      </c>
      <c r="M1369" t="str">
        <f>LEFT($D1369,FIND(",",$D1369)-1)&amp;"_"&amp;I1369&amp;L1369</f>
        <v>Palus_2020</v>
      </c>
      <c r="N1369" t="s">
        <v>222</v>
      </c>
      <c r="O1369" s="157" t="s">
        <v>508</v>
      </c>
      <c r="P1369" t="s">
        <v>223</v>
      </c>
      <c r="Q1369" t="s">
        <v>389</v>
      </c>
      <c r="R1369" s="251" t="s">
        <v>225</v>
      </c>
      <c r="T1369" t="s">
        <v>1076</v>
      </c>
      <c r="U1369" t="s">
        <v>1077</v>
      </c>
      <c r="V1369" s="253">
        <v>0</v>
      </c>
      <c r="W1369" s="253">
        <v>0</v>
      </c>
      <c r="X1369">
        <v>0</v>
      </c>
      <c r="Y1369">
        <v>0</v>
      </c>
      <c r="Z1369">
        <v>0</v>
      </c>
      <c r="AA1369">
        <v>0</v>
      </c>
      <c r="AB1369">
        <v>0</v>
      </c>
      <c r="AC1369">
        <v>0</v>
      </c>
      <c r="AD1369">
        <v>0</v>
      </c>
      <c r="AE1369">
        <v>0</v>
      </c>
      <c r="AF1369">
        <v>0</v>
      </c>
      <c r="AG1369">
        <v>0</v>
      </c>
      <c r="AH1369">
        <v>1</v>
      </c>
      <c r="AI1369">
        <v>0</v>
      </c>
      <c r="AJ1369">
        <v>0</v>
      </c>
      <c r="AK1369">
        <v>0</v>
      </c>
      <c r="AL1369">
        <v>0</v>
      </c>
      <c r="AM1369">
        <v>0</v>
      </c>
      <c r="AN1369">
        <v>0</v>
      </c>
      <c r="AO1369">
        <v>0</v>
      </c>
      <c r="AP1369">
        <v>0</v>
      </c>
      <c r="AQ1369">
        <v>0</v>
      </c>
      <c r="AR1369">
        <v>0</v>
      </c>
      <c r="AS1369">
        <v>0</v>
      </c>
      <c r="AT1369">
        <v>0</v>
      </c>
      <c r="AU1369">
        <v>1</v>
      </c>
      <c r="AV1369">
        <v>0</v>
      </c>
      <c r="AW1369">
        <v>0</v>
      </c>
      <c r="AX1369">
        <v>0</v>
      </c>
      <c r="AY1369">
        <v>0</v>
      </c>
      <c r="AZ1369" s="141">
        <f>COUNTIF(X1369:AY1369,"&lt;&gt;0")</f>
        <v>2</v>
      </c>
      <c r="BA1369" s="141">
        <f>COUNTIF(X1369:AN1369,"&lt;&gt;0")</f>
        <v>1</v>
      </c>
      <c r="BB1369">
        <f>COUNTIF(X1369:AE1369,"&lt;&gt;0")</f>
        <v>0</v>
      </c>
      <c r="BC1369">
        <f>COUNTIF(AF1369:AK1369,"&lt;&gt;0")</f>
        <v>1</v>
      </c>
      <c r="BD1369">
        <f>COUNTIF(AL1369:AN1369,"&lt;&gt;0")</f>
        <v>0</v>
      </c>
      <c r="BE1369">
        <f>COUNTIF(AU1369:AY1369,"&lt;&gt;0")</f>
        <v>1</v>
      </c>
      <c r="BF1369">
        <f>COUNTIF(AO1369:AT1369,"&lt;&gt;0")</f>
        <v>0</v>
      </c>
      <c r="BG1369" t="str">
        <f t="array" ref="BG1369">IF(BA1369=1,INDEX($X$7:$AN$7,MATCH(TRUE,INDEX($X1369:$AY1369&lt;&gt;0,),0)),IF(BA1369=0,INDEX($AO$7:$AY$7,MATCH(1,$AO1369:$AY1369,0)),IF(BH1369="Multiple strategies","mixed drivers",IF(BH1369="Supply chain","multiple supply","multiple silviculture"))))</f>
        <v>supply chain organization</v>
      </c>
      <c r="BH1369" s="2" t="str" cm="1">
        <f t="array" ref="BH1369">IF(COUNTIF(BB1369:BD1369,"&lt;&gt;0")=1,INDEX($X$4:$AY$4,MATCH(TRUE,INDEX($X1369:$AY1369&lt;&gt;0,),0)),IF(COUNTIF(BB1369:BD1369,"&lt;&gt;0")=0,INDEX($AO$4:$AY$4,MATCH(1,$AO1369:$AY1369,0)),"Multiple strategies"))</f>
        <v>Supply chain</v>
      </c>
      <c r="BI1369" s="1" t="s">
        <v>321</v>
      </c>
      <c r="BJ1369" t="s">
        <v>808</v>
      </c>
      <c r="BK1369" t="s">
        <v>685</v>
      </c>
      <c r="BL1369" t="s">
        <v>1893</v>
      </c>
      <c r="BM1369">
        <v>7771.2</v>
      </c>
      <c r="BN1369">
        <v>8988.9</v>
      </c>
      <c r="BO1369">
        <f>IFERROR(BN1369/BM1369,"")</f>
        <v>1.1566939468807906</v>
      </c>
      <c r="BP1369">
        <f>BN1369-BM1369</f>
        <v>1217.6999999999998</v>
      </c>
      <c r="BQ1369">
        <f>BP1369*1000</f>
        <v>1217699.9999999998</v>
      </c>
      <c r="BR1369" t="s">
        <v>395</v>
      </c>
      <c r="BS1369" s="256" t="s">
        <v>3064</v>
      </c>
      <c r="BT1369" t="s">
        <v>1894</v>
      </c>
      <c r="BU1369">
        <v>-547.41</v>
      </c>
      <c r="BV1369">
        <v>-1864.96</v>
      </c>
      <c r="BW1369" s="144"/>
      <c r="BX1369">
        <f>BV1369-BU1369</f>
        <v>-1317.5500000000002</v>
      </c>
      <c r="BZ1369">
        <f>BX1369*1000</f>
        <v>-1317550.0000000002</v>
      </c>
      <c r="CA1369">
        <f>IFERROR(BZ1369/BQ1369,"")</f>
        <v>-1.0819988502915336</v>
      </c>
      <c r="CB1369">
        <v>0</v>
      </c>
      <c r="CC1369">
        <v>0</v>
      </c>
      <c r="CD1369">
        <v>0</v>
      </c>
      <c r="CE1369">
        <v>0</v>
      </c>
      <c r="CF1369">
        <v>0</v>
      </c>
      <c r="CG1369">
        <v>0</v>
      </c>
      <c r="CH1369">
        <v>0</v>
      </c>
      <c r="CI1369">
        <v>0</v>
      </c>
      <c r="CJ1369">
        <v>0</v>
      </c>
      <c r="CK1369">
        <v>0</v>
      </c>
      <c r="CL1369">
        <v>0</v>
      </c>
      <c r="CM1369">
        <v>0</v>
      </c>
      <c r="CN1369">
        <v>0</v>
      </c>
      <c r="CO1369">
        <v>0</v>
      </c>
      <c r="CP1369" t="str">
        <f>IF($BN1369&lt;$BM1369,"refNeedCorrection","refOK")</f>
        <v>refOK</v>
      </c>
      <c r="CQ1369">
        <f>IF($CP1369="refOK",$BM1369,$BN1369)</f>
        <v>7771.2</v>
      </c>
      <c r="CR1369">
        <f>IF($CP1369="refOK",$BN1369,$BM1369)</f>
        <v>8988.9</v>
      </c>
      <c r="CS1369">
        <f>IF($CP1369="refOK",$BQ1369,-$BQ1369)</f>
        <v>1217699.9999999998</v>
      </c>
      <c r="CT1369">
        <f>IF(BI1369="Roundwood",$CS1369/2,$CS1369)</f>
        <v>608849.99999999988</v>
      </c>
      <c r="CU1369">
        <f>IF($CP1369="refOK",$BU1369,$BV1369)*IF($BR1369="Emissions positive",-1,1)</f>
        <v>547.41</v>
      </c>
      <c r="CV1369">
        <f>IF($CP1369="refOK",$BV1369,$BU1369)*IF($BR1369="Emissions positive",-1,1)</f>
        <v>1864.96</v>
      </c>
      <c r="CW1369">
        <f>IF($CP1369="refNeedCorrection",-BZ1369,BZ1369)*IF($BR1369="Emissions positive",-1,1)</f>
        <v>1317550.0000000002</v>
      </c>
      <c r="CX1369">
        <f>IFERROR($CW1369/$CS1369,"")</f>
        <v>1.0819988502915336</v>
      </c>
      <c r="CY1369">
        <f>IFERROR($CW1369/$CS1369,"")</f>
        <v>1.0819988502915336</v>
      </c>
      <c r="CZ1369">
        <f>IFERROR($CW1369/$CT1369,"")</f>
        <v>2.1639977005830673</v>
      </c>
      <c r="DA1369" s="2">
        <f>IFERROR((CV1369-CU1369)/ABS(CU1369),"")</f>
        <v>2.4068796697173971</v>
      </c>
      <c r="DB1369" s="1" t="s">
        <v>1078</v>
      </c>
      <c r="DC1369" t="str">
        <f>IF(OR($DB1369="prd",$DB1369="std",$DB1369="cit"),"loc",IF(OR($DB1369="eur",$DB1369="reg",$DB1369="coy"),"reg",$DB1369))</f>
        <v>reg</v>
      </c>
      <c r="DD1369" t="s">
        <v>1895</v>
      </c>
      <c r="DE1369">
        <v>2017</v>
      </c>
      <c r="DF1369">
        <v>2035</v>
      </c>
      <c r="DG1369">
        <f>DF1369-DE1369</f>
        <v>18</v>
      </c>
      <c r="DH1369" t="str">
        <f>IF(DG1369=0,"0",IF(AND(DG1369&gt;=1,DG1369&lt;=30),"1-30",IF(AND(DG1369&gt;30,DG1369&lt;=70),"31-70",IF(AND(DG1369&gt;70,DG1369&lt;=100),"71-100",IF(DG1369&gt;100,"+100")))))</f>
        <v>1-30</v>
      </c>
      <c r="DI1369">
        <v>0</v>
      </c>
      <c r="DJ1369">
        <v>0</v>
      </c>
      <c r="DK1369">
        <v>1</v>
      </c>
      <c r="DL1369">
        <v>1</v>
      </c>
      <c r="DM1369">
        <v>0</v>
      </c>
      <c r="DN1369">
        <f>SUM(DI1369:DM1369)</f>
        <v>2</v>
      </c>
      <c r="DO1369" t="str">
        <f>IF(DN1369=1,INDEX($DI$7:$DL$7,MATCH(1,$DI1369:$DL1369,0)),"mixedProduct")</f>
        <v>mixedProduct</v>
      </c>
      <c r="DP1369">
        <f>IF(DI1369=1,DP$7,0)</f>
        <v>0</v>
      </c>
      <c r="DQ1369">
        <f>IF(DJ1369=1,DQ$7,0)</f>
        <v>0</v>
      </c>
      <c r="DR1369" t="str">
        <f>IF(DK1369=1,DR$7,0)</f>
        <v>Pulp/Paper</v>
      </c>
      <c r="DS1369" t="str">
        <f>IF(DL1369=1,DS$7,0)</f>
        <v>Timber</v>
      </c>
      <c r="DT1369">
        <v>0</v>
      </c>
      <c r="DU1369">
        <v>0</v>
      </c>
      <c r="DV1369">
        <v>0</v>
      </c>
      <c r="DW1369">
        <v>0</v>
      </c>
      <c r="DX1369">
        <v>0</v>
      </c>
      <c r="DY1369"/>
      <c r="DZ1369" s="143" t="str">
        <f>IF(DT1369=1,"self-calculated DF",IF(DU1369=1,"external DF used","explicit C balance"))</f>
        <v>explicit C balance</v>
      </c>
      <c r="EA1369">
        <v>0</v>
      </c>
      <c r="EB1369">
        <v>0</v>
      </c>
      <c r="EC1369">
        <v>0</v>
      </c>
      <c r="ED1369">
        <v>1</v>
      </c>
      <c r="EE1369">
        <v>1</v>
      </c>
      <c r="EF1369">
        <v>0</v>
      </c>
      <c r="EG1369">
        <v>0</v>
      </c>
      <c r="EH1369">
        <v>0</v>
      </c>
      <c r="EI1369">
        <v>0</v>
      </c>
      <c r="EJ1369">
        <v>0</v>
      </c>
      <c r="EK1369">
        <v>1</v>
      </c>
      <c r="EL1369">
        <v>0</v>
      </c>
      <c r="EM1369">
        <v>0</v>
      </c>
      <c r="EN1369" s="2">
        <v>0</v>
      </c>
      <c r="EP1369" t="str">
        <f>IF(AND(AND(AND(OR($EC1369=1,$EB1369=1),OR($EH1369=1,$EF1369=1)),SUM($EA1369:$EE1369,$EK1369)&gt;=3),SUM($EF1369:$EJ1369)&gt;=2),"Whole sector approach","")</f>
        <v/>
      </c>
      <c r="EQ1369" t="str">
        <f>IF(AND(AND(OR($EC1369=1,$EB1369=1),AND($EH1369=0,$EF1369=0)),SUM($EA1369:$EE1369,$EK1369)&gt;=4),"Ecosystem approach","")</f>
        <v/>
      </c>
      <c r="ER1369" s="2" t="str">
        <f>IF(AND(AND(AND($EC1369=0,$EB1369=0),OR($EH1369=1,$EF1369=1)),SUM($EG1369:$EJ1369)&gt;=2),"Technology approach","")</f>
        <v/>
      </c>
      <c r="ES1369" t="str">
        <f>IF(AND($EC1369+$EB1369+$EE1369+$EA1369+$ED1369+$EG1369=0,$N1369="included"),"C neutral forest and HWP assumption","")</f>
        <v/>
      </c>
      <c r="ET1369" t="str">
        <f>IF(AND(AND(AND(AND($EC1369=1,$EB1369+$EA1369+$EG1369&gt;=1),$EF1369=1),$EH1369+$EI1369+$ED1369+$EE1369&gt;=2),$N1369="included"),"All C pools assumption","")</f>
        <v/>
      </c>
      <c r="EU1369" t="str">
        <f>IF(AND($ED1369+$EE1369+$EI1369+$EH1369+$EF1369=0,$N1369="included"),"In-situ only assumption","")</f>
        <v/>
      </c>
      <c r="EY1369" t="str">
        <f>IF(ISNUMBER(BW1369),IF(ABS(BW1369-[6]QC_indicators!$B$2)&gt;3*[6]QC_indicators!$C$2,"C ratio",IF(ISNUMBER(CA1369),IF(ABS(CA1369-[6]QC_indicators!$B$1)&gt;3*[6]QC_indicators!$C$1,"DF","no"))),IF(ISNUMBER(CA1369),IF(ABS(CA1369-[6]QC_indicators!$B$1)&gt;3*[6]QC_indicators!$C$1,"DF","no")))</f>
        <v>no</v>
      </c>
      <c r="FA1369" t="str">
        <f>IF(LEN($CY1369)=0,"",IF(AND($CY1369&lt;(-0.05),$ES1369="C neutral forest and HWP assumption"),"Cneutral paradox",IF(AND($CY1369&gt;0.05,$EU1369="In-situ only assumption"),"In-situ only paradox","")))</f>
        <v/>
      </c>
      <c r="FD1369" s="260" t="s">
        <v>2948</v>
      </c>
    </row>
    <row r="1370" spans="1:160" ht="15" hidden="1" customHeight="1">
      <c r="A1370" s="1" t="s">
        <v>643</v>
      </c>
      <c r="B1370" t="s">
        <v>1887</v>
      </c>
      <c r="C1370" t="s">
        <v>1888</v>
      </c>
      <c r="D1370" t="s">
        <v>1889</v>
      </c>
      <c r="E1370" t="s">
        <v>1890</v>
      </c>
      <c r="F1370" t="s">
        <v>1891</v>
      </c>
      <c r="G1370" t="s">
        <v>649</v>
      </c>
      <c r="H1370" t="s">
        <v>254</v>
      </c>
      <c r="I1370">
        <v>2020</v>
      </c>
      <c r="J1370">
        <v>4</v>
      </c>
      <c r="K1370" t="s">
        <v>1892</v>
      </c>
      <c r="M1370" t="str">
        <f>LEFT($D1370,FIND(",",$D1370)-1)&amp;"_"&amp;I1370&amp;L1370</f>
        <v>Palus_2020</v>
      </c>
      <c r="N1370" t="s">
        <v>222</v>
      </c>
      <c r="O1370" s="157" t="s">
        <v>508</v>
      </c>
      <c r="P1370" t="s">
        <v>223</v>
      </c>
      <c r="Q1370" t="s">
        <v>389</v>
      </c>
      <c r="R1370" s="251" t="s">
        <v>225</v>
      </c>
      <c r="T1370" t="s">
        <v>1076</v>
      </c>
      <c r="U1370" t="s">
        <v>1075</v>
      </c>
      <c r="V1370" s="253">
        <v>0</v>
      </c>
      <c r="W1370" s="253">
        <v>0</v>
      </c>
      <c r="X1370">
        <v>0</v>
      </c>
      <c r="Y1370">
        <v>0</v>
      </c>
      <c r="Z1370">
        <v>0</v>
      </c>
      <c r="AA1370">
        <v>0</v>
      </c>
      <c r="AB1370">
        <v>0</v>
      </c>
      <c r="AC1370">
        <v>0</v>
      </c>
      <c r="AD1370">
        <v>0</v>
      </c>
      <c r="AE1370">
        <v>0</v>
      </c>
      <c r="AF1370">
        <v>0</v>
      </c>
      <c r="AG1370">
        <v>0</v>
      </c>
      <c r="AH1370">
        <v>1</v>
      </c>
      <c r="AI1370">
        <v>0</v>
      </c>
      <c r="AJ1370">
        <v>0</v>
      </c>
      <c r="AK1370">
        <v>0</v>
      </c>
      <c r="AL1370">
        <v>0</v>
      </c>
      <c r="AM1370">
        <v>0</v>
      </c>
      <c r="AN1370">
        <v>0</v>
      </c>
      <c r="AO1370">
        <v>0</v>
      </c>
      <c r="AP1370">
        <v>0</v>
      </c>
      <c r="AQ1370">
        <v>0</v>
      </c>
      <c r="AR1370">
        <v>0</v>
      </c>
      <c r="AS1370">
        <v>0</v>
      </c>
      <c r="AT1370">
        <v>0</v>
      </c>
      <c r="AU1370">
        <v>1</v>
      </c>
      <c r="AV1370">
        <v>0</v>
      </c>
      <c r="AW1370">
        <v>0</v>
      </c>
      <c r="AX1370">
        <v>0</v>
      </c>
      <c r="AY1370">
        <v>0</v>
      </c>
      <c r="AZ1370" s="141">
        <f>COUNTIF(X1370:AY1370,"&lt;&gt;0")</f>
        <v>2</v>
      </c>
      <c r="BA1370" s="141">
        <f>COUNTIF(X1370:AN1370,"&lt;&gt;0")</f>
        <v>1</v>
      </c>
      <c r="BB1370">
        <f>COUNTIF(X1370:AE1370,"&lt;&gt;0")</f>
        <v>0</v>
      </c>
      <c r="BC1370">
        <f>COUNTIF(AF1370:AK1370,"&lt;&gt;0")</f>
        <v>1</v>
      </c>
      <c r="BD1370">
        <f>COUNTIF(AL1370:AN1370,"&lt;&gt;0")</f>
        <v>0</v>
      </c>
      <c r="BE1370">
        <f>COUNTIF(AU1370:AY1370,"&lt;&gt;0")</f>
        <v>1</v>
      </c>
      <c r="BF1370">
        <f>COUNTIF(AO1370:AT1370,"&lt;&gt;0")</f>
        <v>0</v>
      </c>
      <c r="BG1370" t="str">
        <f t="array" ref="BG1370">IF(BA1370=1,INDEX($X$7:$AN$7,MATCH(TRUE,INDEX($X1370:$AY1370&lt;&gt;0,),0)),IF(BA1370=0,INDEX($AO$7:$AY$7,MATCH(1,$AO1370:$AY1370,0)),IF(BH1370="Multiple strategies","mixed drivers",IF(BH1370="Supply chain","multiple supply","multiple silviculture"))))</f>
        <v>supply chain organization</v>
      </c>
      <c r="BH1370" s="2" t="str" cm="1">
        <f t="array" ref="BH1370">IF(COUNTIF(BB1370:BD1370,"&lt;&gt;0")=1,INDEX($X$4:$AY$4,MATCH(TRUE,INDEX($X1370:$AY1370&lt;&gt;0,),0)),IF(COUNTIF(BB1370:BD1370,"&lt;&gt;0")=0,INDEX($AO$4:$AY$4,MATCH(1,$AO1370:$AY1370,0)),"Multiple strategies"))</f>
        <v>Supply chain</v>
      </c>
      <c r="BI1370" s="1" t="s">
        <v>321</v>
      </c>
      <c r="BJ1370" t="s">
        <v>808</v>
      </c>
      <c r="BK1370" t="s">
        <v>685</v>
      </c>
      <c r="BL1370" t="s">
        <v>1893</v>
      </c>
      <c r="BM1370">
        <v>8091.4</v>
      </c>
      <c r="BN1370">
        <v>9394.9</v>
      </c>
      <c r="BO1370">
        <f>IFERROR(BN1370/BM1370,"")</f>
        <v>1.1610969671503077</v>
      </c>
      <c r="BP1370">
        <f>BN1370-BM1370</f>
        <v>1303.5</v>
      </c>
      <c r="BQ1370">
        <f>BP1370*1000</f>
        <v>1303500</v>
      </c>
      <c r="BR1370" t="s">
        <v>395</v>
      </c>
      <c r="BS1370" s="256" t="s">
        <v>3064</v>
      </c>
      <c r="BT1370" t="s">
        <v>1894</v>
      </c>
      <c r="BU1370">
        <v>-1535.25</v>
      </c>
      <c r="BV1370">
        <v>-2515.0300000000002</v>
      </c>
      <c r="BW1370" s="144"/>
      <c r="BX1370">
        <f>BV1370-BU1370</f>
        <v>-979.7800000000002</v>
      </c>
      <c r="BZ1370">
        <f>BX1370*1000</f>
        <v>-979780.00000000023</v>
      </c>
      <c r="CA1370">
        <f>IFERROR(BZ1370/BQ1370,"")</f>
        <v>-0.75165324127349464</v>
      </c>
      <c r="CB1370">
        <v>0</v>
      </c>
      <c r="CC1370">
        <v>0</v>
      </c>
      <c r="CD1370">
        <v>0</v>
      </c>
      <c r="CE1370">
        <v>0</v>
      </c>
      <c r="CF1370">
        <v>0</v>
      </c>
      <c r="CG1370">
        <v>0</v>
      </c>
      <c r="CH1370">
        <v>0</v>
      </c>
      <c r="CI1370">
        <v>0</v>
      </c>
      <c r="CJ1370">
        <v>0</v>
      </c>
      <c r="CK1370">
        <v>0</v>
      </c>
      <c r="CL1370">
        <v>0</v>
      </c>
      <c r="CM1370">
        <v>0</v>
      </c>
      <c r="CN1370">
        <v>0</v>
      </c>
      <c r="CO1370">
        <v>0</v>
      </c>
      <c r="CP1370" t="str">
        <f>IF($BN1370&lt;$BM1370,"refNeedCorrection","refOK")</f>
        <v>refOK</v>
      </c>
      <c r="CQ1370">
        <f>IF($CP1370="refOK",$BM1370,$BN1370)</f>
        <v>8091.4</v>
      </c>
      <c r="CR1370">
        <f>IF($CP1370="refOK",$BN1370,$BM1370)</f>
        <v>9394.9</v>
      </c>
      <c r="CS1370">
        <f>IF($CP1370="refOK",$BQ1370,-$BQ1370)</f>
        <v>1303500</v>
      </c>
      <c r="CT1370">
        <f>IF(BI1370="Roundwood",$CS1370/2,$CS1370)</f>
        <v>651750</v>
      </c>
      <c r="CU1370">
        <f>IF($CP1370="refOK",$BU1370,$BV1370)*IF($BR1370="Emissions positive",-1,1)</f>
        <v>1535.25</v>
      </c>
      <c r="CV1370">
        <f>IF($CP1370="refOK",$BV1370,$BU1370)*IF($BR1370="Emissions positive",-1,1)</f>
        <v>2515.0300000000002</v>
      </c>
      <c r="CW1370">
        <f>IF($CP1370="refNeedCorrection",-BZ1370,BZ1370)*IF($BR1370="Emissions positive",-1,1)</f>
        <v>979780.00000000023</v>
      </c>
      <c r="CX1370">
        <f>IFERROR($CW1370/$CS1370,"")</f>
        <v>0.75165324127349464</v>
      </c>
      <c r="CY1370">
        <f>IFERROR($CW1370/$CS1370,"")</f>
        <v>0.75165324127349464</v>
      </c>
      <c r="CZ1370">
        <f>IFERROR($CW1370/$CT1370,"")</f>
        <v>1.5033064825469893</v>
      </c>
      <c r="DA1370" s="2">
        <f>IFERROR((CV1370-CU1370)/ABS(CU1370),"")</f>
        <v>0.63818921999674338</v>
      </c>
      <c r="DB1370" s="1" t="s">
        <v>1078</v>
      </c>
      <c r="DC1370" t="str">
        <f>IF(OR($DB1370="prd",$DB1370="std",$DB1370="cit"),"loc",IF(OR($DB1370="eur",$DB1370="reg",$DB1370="coy"),"reg",$DB1370))</f>
        <v>reg</v>
      </c>
      <c r="DD1370" t="s">
        <v>1895</v>
      </c>
      <c r="DE1370">
        <v>2017</v>
      </c>
      <c r="DF1370">
        <v>2017</v>
      </c>
      <c r="DG1370">
        <f>DF1370-DE1370</f>
        <v>0</v>
      </c>
      <c r="DH1370" t="str">
        <f>IF(DG1370=0,"0",IF(AND(DG1370&gt;=1,DG1370&lt;=30),"1-30",IF(AND(DG1370&gt;30,DG1370&lt;=70),"31-70",IF(AND(DG1370&gt;70,DG1370&lt;=100),"71-100",IF(DG1370&gt;100,"+100")))))</f>
        <v>0</v>
      </c>
      <c r="DI1370">
        <v>0</v>
      </c>
      <c r="DJ1370">
        <v>0</v>
      </c>
      <c r="DK1370">
        <v>1</v>
      </c>
      <c r="DL1370">
        <v>1</v>
      </c>
      <c r="DM1370">
        <v>0</v>
      </c>
      <c r="DN1370">
        <f>SUM(DI1370:DM1370)</f>
        <v>2</v>
      </c>
      <c r="DO1370" t="str">
        <f>IF(DN1370=1,INDEX($DI$7:$DL$7,MATCH(1,$DI1370:$DL1370,0)),"mixedProduct")</f>
        <v>mixedProduct</v>
      </c>
      <c r="DP1370">
        <f>IF(DI1370=1,DP$7,0)</f>
        <v>0</v>
      </c>
      <c r="DQ1370">
        <f>IF(DJ1370=1,DQ$7,0)</f>
        <v>0</v>
      </c>
      <c r="DR1370" t="str">
        <f>IF(DK1370=1,DR$7,0)</f>
        <v>Pulp/Paper</v>
      </c>
      <c r="DS1370" t="str">
        <f>IF(DL1370=1,DS$7,0)</f>
        <v>Timber</v>
      </c>
      <c r="DT1370">
        <v>0</v>
      </c>
      <c r="DU1370">
        <v>0</v>
      </c>
      <c r="DV1370">
        <v>0</v>
      </c>
      <c r="DW1370">
        <v>0</v>
      </c>
      <c r="DX1370">
        <v>0</v>
      </c>
      <c r="DY1370"/>
      <c r="DZ1370" s="143" t="str">
        <f>IF(DT1370=1,"self-calculated DF",IF(DU1370=1,"external DF used","explicit C balance"))</f>
        <v>explicit C balance</v>
      </c>
      <c r="EA1370">
        <v>0</v>
      </c>
      <c r="EB1370">
        <v>0</v>
      </c>
      <c r="EC1370">
        <v>0</v>
      </c>
      <c r="ED1370">
        <v>1</v>
      </c>
      <c r="EE1370">
        <v>1</v>
      </c>
      <c r="EF1370">
        <v>0</v>
      </c>
      <c r="EG1370">
        <v>0</v>
      </c>
      <c r="EH1370">
        <v>0</v>
      </c>
      <c r="EI1370">
        <v>0</v>
      </c>
      <c r="EJ1370">
        <v>0</v>
      </c>
      <c r="EK1370">
        <v>1</v>
      </c>
      <c r="EL1370">
        <v>0</v>
      </c>
      <c r="EM1370">
        <v>0</v>
      </c>
      <c r="EN1370" s="2">
        <v>0</v>
      </c>
      <c r="EP1370" t="str">
        <f>IF(AND(AND(AND(OR($EC1370=1,$EB1370=1),OR($EH1370=1,$EF1370=1)),SUM($EA1370:$EE1370,$EK1370)&gt;=3),SUM($EF1370:$EJ1370)&gt;=2),"Whole sector approach","")</f>
        <v/>
      </c>
      <c r="EQ1370" t="str">
        <f>IF(AND(AND(OR($EC1370=1,$EB1370=1),AND($EH1370=0,$EF1370=0)),SUM($EA1370:$EE1370,$EK1370)&gt;=4),"Ecosystem approach","")</f>
        <v/>
      </c>
      <c r="ER1370" s="2" t="str">
        <f>IF(AND(AND(AND($EC1370=0,$EB1370=0),OR($EH1370=1,$EF1370=1)),SUM($EG1370:$EJ1370)&gt;=2),"Technology approach","")</f>
        <v/>
      </c>
      <c r="ES1370" t="str">
        <f>IF(AND($EC1370+$EB1370+$EE1370+$EA1370+$ED1370+$EG1370=0,$N1370="included"),"C neutral forest and HWP assumption","")</f>
        <v/>
      </c>
      <c r="ET1370" t="str">
        <f>IF(AND(AND(AND(AND($EC1370=1,$EB1370+$EA1370+$EG1370&gt;=1),$EF1370=1),$EH1370+$EI1370+$ED1370+$EE1370&gt;=2),$N1370="included"),"All C pools assumption","")</f>
        <v/>
      </c>
      <c r="EU1370" t="str">
        <f>IF(AND($ED1370+$EE1370+$EI1370+$EH1370+$EF1370=0,$N1370="included"),"In-situ only assumption","")</f>
        <v/>
      </c>
      <c r="EY1370" t="str">
        <f>IF(ISNUMBER(BW1370),IF(ABS(BW1370-[6]QC_indicators!$B$2)&gt;3*[6]QC_indicators!$C$2,"C ratio",IF(ISNUMBER(CA1370),IF(ABS(CA1370-[6]QC_indicators!$B$1)&gt;3*[6]QC_indicators!$C$1,"DF","no"))),IF(ISNUMBER(CA1370),IF(ABS(CA1370-[6]QC_indicators!$B$1)&gt;3*[6]QC_indicators!$C$1,"DF","no")))</f>
        <v>no</v>
      </c>
      <c r="FA1370" t="str">
        <f>IF(LEN($CY1370)=0,"",IF(AND($CY1370&lt;(-0.05),$ES1370="C neutral forest and HWP assumption"),"Cneutral paradox",IF(AND($CY1370&gt;0.05,$EU1370="In-situ only assumption"),"In-situ only paradox","")))</f>
        <v/>
      </c>
      <c r="FD1370" s="260" t="s">
        <v>2948</v>
      </c>
    </row>
    <row r="1371" spans="1:160" ht="15" hidden="1" customHeight="1">
      <c r="A1371" s="1" t="s">
        <v>643</v>
      </c>
      <c r="B1371" t="s">
        <v>1887</v>
      </c>
      <c r="C1371" t="s">
        <v>1888</v>
      </c>
      <c r="D1371" t="s">
        <v>1889</v>
      </c>
      <c r="E1371" t="s">
        <v>1890</v>
      </c>
      <c r="F1371" t="s">
        <v>1891</v>
      </c>
      <c r="G1371" t="s">
        <v>649</v>
      </c>
      <c r="H1371" t="s">
        <v>254</v>
      </c>
      <c r="I1371">
        <v>2020</v>
      </c>
      <c r="J1371">
        <v>4</v>
      </c>
      <c r="K1371" t="s">
        <v>1892</v>
      </c>
      <c r="M1371" t="str">
        <f>LEFT($D1371,FIND(",",$D1371)-1)&amp;"_"&amp;I1371&amp;L1371</f>
        <v>Palus_2020</v>
      </c>
      <c r="N1371" t="s">
        <v>222</v>
      </c>
      <c r="O1371" s="157" t="s">
        <v>508</v>
      </c>
      <c r="P1371" t="s">
        <v>223</v>
      </c>
      <c r="Q1371" t="s">
        <v>389</v>
      </c>
      <c r="R1371" s="251" t="s">
        <v>225</v>
      </c>
      <c r="T1371" t="s">
        <v>1076</v>
      </c>
      <c r="U1371" t="s">
        <v>1075</v>
      </c>
      <c r="V1371" s="253">
        <v>0</v>
      </c>
      <c r="W1371" s="253">
        <v>0</v>
      </c>
      <c r="X1371">
        <v>0</v>
      </c>
      <c r="Y1371">
        <v>0</v>
      </c>
      <c r="Z1371">
        <v>0</v>
      </c>
      <c r="AA1371">
        <v>0</v>
      </c>
      <c r="AB1371">
        <v>0</v>
      </c>
      <c r="AC1371">
        <v>0</v>
      </c>
      <c r="AD1371">
        <v>0</v>
      </c>
      <c r="AE1371">
        <v>0</v>
      </c>
      <c r="AF1371">
        <v>0</v>
      </c>
      <c r="AG1371">
        <v>0</v>
      </c>
      <c r="AH1371">
        <v>1</v>
      </c>
      <c r="AI1371">
        <v>0</v>
      </c>
      <c r="AJ1371">
        <v>0</v>
      </c>
      <c r="AK1371">
        <v>0</v>
      </c>
      <c r="AL1371">
        <v>0</v>
      </c>
      <c r="AM1371">
        <v>0</v>
      </c>
      <c r="AN1371">
        <v>0</v>
      </c>
      <c r="AO1371">
        <v>0</v>
      </c>
      <c r="AP1371">
        <v>0</v>
      </c>
      <c r="AQ1371">
        <v>0</v>
      </c>
      <c r="AR1371">
        <v>0</v>
      </c>
      <c r="AS1371">
        <v>0</v>
      </c>
      <c r="AT1371">
        <v>0</v>
      </c>
      <c r="AU1371">
        <v>1</v>
      </c>
      <c r="AV1371">
        <v>0</v>
      </c>
      <c r="AW1371">
        <v>0</v>
      </c>
      <c r="AX1371">
        <v>0</v>
      </c>
      <c r="AY1371">
        <v>0</v>
      </c>
      <c r="AZ1371" s="141">
        <f>COUNTIF(X1371:AY1371,"&lt;&gt;0")</f>
        <v>2</v>
      </c>
      <c r="BA1371" s="141">
        <f>COUNTIF(X1371:AN1371,"&lt;&gt;0")</f>
        <v>1</v>
      </c>
      <c r="BB1371">
        <f>COUNTIF(X1371:AE1371,"&lt;&gt;0")</f>
        <v>0</v>
      </c>
      <c r="BC1371">
        <f>COUNTIF(AF1371:AK1371,"&lt;&gt;0")</f>
        <v>1</v>
      </c>
      <c r="BD1371">
        <f>COUNTIF(AL1371:AN1371,"&lt;&gt;0")</f>
        <v>0</v>
      </c>
      <c r="BE1371">
        <f>COUNTIF(AU1371:AY1371,"&lt;&gt;0")</f>
        <v>1</v>
      </c>
      <c r="BF1371">
        <f>COUNTIF(AO1371:AT1371,"&lt;&gt;0")</f>
        <v>0</v>
      </c>
      <c r="BG1371" t="str">
        <f t="array" ref="BG1371">IF(BA1371=1,INDEX($X$7:$AN$7,MATCH(TRUE,INDEX($X1371:$AY1371&lt;&gt;0,),0)),IF(BA1371=0,INDEX($AO$7:$AY$7,MATCH(1,$AO1371:$AY1371,0)),IF(BH1371="Multiple strategies","mixed drivers",IF(BH1371="Supply chain","multiple supply","multiple silviculture"))))</f>
        <v>supply chain organization</v>
      </c>
      <c r="BH1371" s="2" t="str" cm="1">
        <f t="array" ref="BH1371">IF(COUNTIF(BB1371:BD1371,"&lt;&gt;0")=1,INDEX($X$4:$AY$4,MATCH(TRUE,INDEX($X1371:$AY1371&lt;&gt;0,),0)),IF(COUNTIF(BB1371:BD1371,"&lt;&gt;0")=0,INDEX($AO$4:$AY$4,MATCH(1,$AO1371:$AY1371,0)),"Multiple strategies"))</f>
        <v>Supply chain</v>
      </c>
      <c r="BI1371" s="1" t="s">
        <v>321</v>
      </c>
      <c r="BJ1371" t="s">
        <v>808</v>
      </c>
      <c r="BK1371" t="s">
        <v>685</v>
      </c>
      <c r="BL1371" t="s">
        <v>1893</v>
      </c>
      <c r="BM1371">
        <v>7771.2</v>
      </c>
      <c r="BN1371">
        <v>8988.9</v>
      </c>
      <c r="BO1371">
        <f>IFERROR(BN1371/BM1371,"")</f>
        <v>1.1566939468807906</v>
      </c>
      <c r="BP1371">
        <f>BN1371-BM1371</f>
        <v>1217.6999999999998</v>
      </c>
      <c r="BQ1371">
        <f>BP1371*1000</f>
        <v>1217699.9999999998</v>
      </c>
      <c r="BR1371" t="s">
        <v>395</v>
      </c>
      <c r="BS1371" s="256" t="s">
        <v>3064</v>
      </c>
      <c r="BT1371" t="s">
        <v>1894</v>
      </c>
      <c r="BU1371">
        <v>-547.41</v>
      </c>
      <c r="BV1371">
        <v>-1154.32</v>
      </c>
      <c r="BW1371" s="144"/>
      <c r="BX1371">
        <f>BV1371-BU1371</f>
        <v>-606.91</v>
      </c>
      <c r="BZ1371">
        <f>BX1371*1000</f>
        <v>-606910</v>
      </c>
      <c r="CA1371">
        <f>IFERROR(BZ1371/BQ1371,"")</f>
        <v>-0.49840683255317414</v>
      </c>
      <c r="CB1371">
        <v>0</v>
      </c>
      <c r="CC1371">
        <v>0</v>
      </c>
      <c r="CD1371">
        <v>0</v>
      </c>
      <c r="CE1371">
        <v>0</v>
      </c>
      <c r="CF1371">
        <v>0</v>
      </c>
      <c r="CG1371">
        <v>0</v>
      </c>
      <c r="CH1371">
        <v>0</v>
      </c>
      <c r="CI1371">
        <v>0</v>
      </c>
      <c r="CJ1371">
        <v>0</v>
      </c>
      <c r="CK1371">
        <v>0</v>
      </c>
      <c r="CL1371">
        <v>0</v>
      </c>
      <c r="CM1371">
        <v>0</v>
      </c>
      <c r="CN1371">
        <v>0</v>
      </c>
      <c r="CO1371">
        <v>0</v>
      </c>
      <c r="CP1371" t="str">
        <f>IF($BN1371&lt;$BM1371,"refNeedCorrection","refOK")</f>
        <v>refOK</v>
      </c>
      <c r="CQ1371">
        <f>IF($CP1371="refOK",$BM1371,$BN1371)</f>
        <v>7771.2</v>
      </c>
      <c r="CR1371">
        <f>IF($CP1371="refOK",$BN1371,$BM1371)</f>
        <v>8988.9</v>
      </c>
      <c r="CS1371">
        <f>IF($CP1371="refOK",$BQ1371,-$BQ1371)</f>
        <v>1217699.9999999998</v>
      </c>
      <c r="CT1371">
        <f>IF(BI1371="Roundwood",$CS1371/2,$CS1371)</f>
        <v>608849.99999999988</v>
      </c>
      <c r="CU1371">
        <f>IF($CP1371="refOK",$BU1371,$BV1371)*IF($BR1371="Emissions positive",-1,1)</f>
        <v>547.41</v>
      </c>
      <c r="CV1371">
        <f>IF($CP1371="refOK",$BV1371,$BU1371)*IF($BR1371="Emissions positive",-1,1)</f>
        <v>1154.32</v>
      </c>
      <c r="CW1371">
        <f>IF($CP1371="refNeedCorrection",-BZ1371,BZ1371)*IF($BR1371="Emissions positive",-1,1)</f>
        <v>606910</v>
      </c>
      <c r="CX1371">
        <f>IFERROR($CW1371/$CS1371,"")</f>
        <v>0.49840683255317414</v>
      </c>
      <c r="CY1371">
        <f>IFERROR($CW1371/$CS1371,"")</f>
        <v>0.49840683255317414</v>
      </c>
      <c r="CZ1371">
        <f>IFERROR($CW1371/$CT1371,"")</f>
        <v>0.99681366510634828</v>
      </c>
      <c r="DA1371" s="2">
        <f>IFERROR((CV1371-CU1371)/ABS(CU1371),"")</f>
        <v>1.1086936665387919</v>
      </c>
      <c r="DB1371" s="1" t="s">
        <v>1078</v>
      </c>
      <c r="DC1371" t="str">
        <f>IF(OR($DB1371="prd",$DB1371="std",$DB1371="cit"),"loc",IF(OR($DB1371="eur",$DB1371="reg",$DB1371="coy"),"reg",$DB1371))</f>
        <v>reg</v>
      </c>
      <c r="DD1371" t="s">
        <v>1895</v>
      </c>
      <c r="DE1371">
        <v>2017</v>
      </c>
      <c r="DF1371">
        <v>2035</v>
      </c>
      <c r="DG1371">
        <f>DF1371-DE1371</f>
        <v>18</v>
      </c>
      <c r="DH1371" t="str">
        <f>IF(DG1371=0,"0",IF(AND(DG1371&gt;=1,DG1371&lt;=30),"1-30",IF(AND(DG1371&gt;30,DG1371&lt;=70),"31-70",IF(AND(DG1371&gt;70,DG1371&lt;=100),"71-100",IF(DG1371&gt;100,"+100")))))</f>
        <v>1-30</v>
      </c>
      <c r="DI1371">
        <v>0</v>
      </c>
      <c r="DJ1371">
        <v>0</v>
      </c>
      <c r="DK1371">
        <v>1</v>
      </c>
      <c r="DL1371">
        <v>1</v>
      </c>
      <c r="DM1371">
        <v>0</v>
      </c>
      <c r="DN1371">
        <f>SUM(DI1371:DM1371)</f>
        <v>2</v>
      </c>
      <c r="DO1371" t="str">
        <f>IF(DN1371=1,INDEX($DI$7:$DL$7,MATCH(1,$DI1371:$DL1371,0)),"mixedProduct")</f>
        <v>mixedProduct</v>
      </c>
      <c r="DP1371">
        <f>IF(DI1371=1,DP$7,0)</f>
        <v>0</v>
      </c>
      <c r="DQ1371">
        <f>IF(DJ1371=1,DQ$7,0)</f>
        <v>0</v>
      </c>
      <c r="DR1371" t="str">
        <f>IF(DK1371=1,DR$7,0)</f>
        <v>Pulp/Paper</v>
      </c>
      <c r="DS1371" t="str">
        <f>IF(DL1371=1,DS$7,0)</f>
        <v>Timber</v>
      </c>
      <c r="DT1371">
        <v>0</v>
      </c>
      <c r="DU1371">
        <v>0</v>
      </c>
      <c r="DV1371">
        <v>0</v>
      </c>
      <c r="DW1371">
        <v>0</v>
      </c>
      <c r="DX1371">
        <v>0</v>
      </c>
      <c r="DY1371"/>
      <c r="DZ1371" s="143" t="str">
        <f>IF(DT1371=1,"self-calculated DF",IF(DU1371=1,"external DF used","explicit C balance"))</f>
        <v>explicit C balance</v>
      </c>
      <c r="EA1371">
        <v>0</v>
      </c>
      <c r="EB1371">
        <v>0</v>
      </c>
      <c r="EC1371">
        <v>0</v>
      </c>
      <c r="ED1371">
        <v>1</v>
      </c>
      <c r="EE1371">
        <v>1</v>
      </c>
      <c r="EF1371">
        <v>0</v>
      </c>
      <c r="EG1371">
        <v>0</v>
      </c>
      <c r="EH1371">
        <v>0</v>
      </c>
      <c r="EI1371">
        <v>0</v>
      </c>
      <c r="EJ1371">
        <v>0</v>
      </c>
      <c r="EK1371">
        <v>1</v>
      </c>
      <c r="EL1371">
        <v>0</v>
      </c>
      <c r="EM1371">
        <v>0</v>
      </c>
      <c r="EN1371" s="2">
        <v>0</v>
      </c>
      <c r="EP1371" t="str">
        <f>IF(AND(AND(AND(OR($EC1371=1,$EB1371=1),OR($EH1371=1,$EF1371=1)),SUM($EA1371:$EE1371,$EK1371)&gt;=3),SUM($EF1371:$EJ1371)&gt;=2),"Whole sector approach","")</f>
        <v/>
      </c>
      <c r="EQ1371" t="str">
        <f>IF(AND(AND(OR($EC1371=1,$EB1371=1),AND($EH1371=0,$EF1371=0)),SUM($EA1371:$EE1371,$EK1371)&gt;=4),"Ecosystem approach","")</f>
        <v/>
      </c>
      <c r="ER1371" s="2" t="str">
        <f>IF(AND(AND(AND($EC1371=0,$EB1371=0),OR($EH1371=1,$EF1371=1)),SUM($EG1371:$EJ1371)&gt;=2),"Technology approach","")</f>
        <v/>
      </c>
      <c r="ES1371" t="str">
        <f>IF(AND($EC1371+$EB1371+$EE1371+$EA1371+$ED1371+$EG1371=0,$N1371="included"),"C neutral forest and HWP assumption","")</f>
        <v/>
      </c>
      <c r="ET1371" t="str">
        <f>IF(AND(AND(AND(AND($EC1371=1,$EB1371+$EA1371+$EG1371&gt;=1),$EF1371=1),$EH1371+$EI1371+$ED1371+$EE1371&gt;=2),$N1371="included"),"All C pools assumption","")</f>
        <v/>
      </c>
      <c r="EU1371" t="str">
        <f>IF(AND($ED1371+$EE1371+$EI1371+$EH1371+$EF1371=0,$N1371="included"),"In-situ only assumption","")</f>
        <v/>
      </c>
      <c r="EY1371" t="str">
        <f>IF(ISNUMBER(BW1371),IF(ABS(BW1371-[6]QC_indicators!$B$2)&gt;3*[6]QC_indicators!$C$2,"C ratio",IF(ISNUMBER(CA1371),IF(ABS(CA1371-[6]QC_indicators!$B$1)&gt;3*[6]QC_indicators!$C$1,"DF","no"))),IF(ISNUMBER(CA1371),IF(ABS(CA1371-[6]QC_indicators!$B$1)&gt;3*[6]QC_indicators!$C$1,"DF","no")))</f>
        <v>no</v>
      </c>
      <c r="FA1371" t="str">
        <f>IF(LEN($CY1371)=0,"",IF(AND($CY1371&lt;(-0.05),$ES1371="C neutral forest and HWP assumption"),"Cneutral paradox",IF(AND($CY1371&gt;0.05,$EU1371="In-situ only assumption"),"In-situ only paradox","")))</f>
        <v/>
      </c>
      <c r="FD1371" s="260" t="s">
        <v>2948</v>
      </c>
    </row>
    <row r="1372" spans="1:160" ht="15" hidden="1" customHeight="1">
      <c r="A1372" s="1" t="s">
        <v>643</v>
      </c>
      <c r="B1372" t="s">
        <v>1887</v>
      </c>
      <c r="C1372" t="s">
        <v>1888</v>
      </c>
      <c r="D1372" t="s">
        <v>1889</v>
      </c>
      <c r="E1372" t="s">
        <v>1890</v>
      </c>
      <c r="F1372" t="s">
        <v>1891</v>
      </c>
      <c r="G1372" t="s">
        <v>649</v>
      </c>
      <c r="H1372" t="s">
        <v>254</v>
      </c>
      <c r="I1372">
        <v>2020</v>
      </c>
      <c r="J1372">
        <v>4</v>
      </c>
      <c r="K1372" t="s">
        <v>1892</v>
      </c>
      <c r="M1372" t="str">
        <f>LEFT($D1372,FIND(",",$D1372)-1)&amp;"_"&amp;I1372&amp;L1372</f>
        <v>Palus_2020</v>
      </c>
      <c r="N1372" t="s">
        <v>222</v>
      </c>
      <c r="O1372" s="157" t="s">
        <v>508</v>
      </c>
      <c r="P1372" t="s">
        <v>223</v>
      </c>
      <c r="Q1372" t="s">
        <v>389</v>
      </c>
      <c r="R1372" s="251" t="s">
        <v>225</v>
      </c>
      <c r="T1372" t="s">
        <v>1058</v>
      </c>
      <c r="U1372" t="s">
        <v>1076</v>
      </c>
      <c r="V1372" s="253">
        <v>0</v>
      </c>
      <c r="W1372" s="253">
        <v>0</v>
      </c>
      <c r="X1372">
        <v>0</v>
      </c>
      <c r="Y1372">
        <v>0</v>
      </c>
      <c r="Z1372">
        <v>0</v>
      </c>
      <c r="AA1372">
        <v>0</v>
      </c>
      <c r="AB1372">
        <v>0</v>
      </c>
      <c r="AC1372">
        <v>0</v>
      </c>
      <c r="AD1372">
        <v>0</v>
      </c>
      <c r="AE1372">
        <v>0</v>
      </c>
      <c r="AF1372">
        <v>0</v>
      </c>
      <c r="AG1372">
        <v>0</v>
      </c>
      <c r="AH1372">
        <v>1</v>
      </c>
      <c r="AI1372">
        <v>0</v>
      </c>
      <c r="AJ1372">
        <v>0</v>
      </c>
      <c r="AK1372">
        <v>0</v>
      </c>
      <c r="AL1372">
        <v>0</v>
      </c>
      <c r="AM1372">
        <v>0</v>
      </c>
      <c r="AN1372">
        <v>0</v>
      </c>
      <c r="AO1372">
        <v>0</v>
      </c>
      <c r="AP1372">
        <v>0</v>
      </c>
      <c r="AQ1372">
        <v>0</v>
      </c>
      <c r="AR1372">
        <v>0</v>
      </c>
      <c r="AS1372">
        <v>0</v>
      </c>
      <c r="AT1372">
        <v>0</v>
      </c>
      <c r="AU1372">
        <v>1</v>
      </c>
      <c r="AV1372">
        <v>0</v>
      </c>
      <c r="AW1372">
        <v>0</v>
      </c>
      <c r="AX1372">
        <v>0</v>
      </c>
      <c r="AY1372">
        <v>0</v>
      </c>
      <c r="AZ1372" s="141">
        <f>COUNTIF(X1372:AY1372,"&lt;&gt;0")</f>
        <v>2</v>
      </c>
      <c r="BA1372" s="141">
        <f>COUNTIF(X1372:AN1372,"&lt;&gt;0")</f>
        <v>1</v>
      </c>
      <c r="BB1372">
        <f>COUNTIF(X1372:AE1372,"&lt;&gt;0")</f>
        <v>0</v>
      </c>
      <c r="BC1372">
        <f>COUNTIF(AF1372:AK1372,"&lt;&gt;0")</f>
        <v>1</v>
      </c>
      <c r="BD1372">
        <f>COUNTIF(AL1372:AN1372,"&lt;&gt;0")</f>
        <v>0</v>
      </c>
      <c r="BE1372">
        <f>COUNTIF(AU1372:AY1372,"&lt;&gt;0")</f>
        <v>1</v>
      </c>
      <c r="BF1372">
        <f>COUNTIF(AO1372:AT1372,"&lt;&gt;0")</f>
        <v>0</v>
      </c>
      <c r="BG1372" t="str">
        <f t="array" ref="BG1372">IF(BA1372=1,INDEX($X$7:$AN$7,MATCH(TRUE,INDEX($X1372:$AY1372&lt;&gt;0,),0)),IF(BA1372=0,INDEX($AO$7:$AY$7,MATCH(1,$AO1372:$AY1372,0)),IF(BH1372="Multiple strategies","mixed drivers",IF(BH1372="Supply chain","multiple supply","multiple silviculture"))))</f>
        <v>supply chain organization</v>
      </c>
      <c r="BH1372" s="2" t="str" cm="1">
        <f t="array" ref="BH1372">IF(COUNTIF(BB1372:BD1372,"&lt;&gt;0")=1,INDEX($X$4:$AY$4,MATCH(TRUE,INDEX($X1372:$AY1372&lt;&gt;0,),0)),IF(COUNTIF(BB1372:BD1372,"&lt;&gt;0")=0,INDEX($AO$4:$AY$4,MATCH(1,$AO1372:$AY1372,0)),"Multiple strategies"))</f>
        <v>Supply chain</v>
      </c>
      <c r="BI1372" s="1" t="s">
        <v>321</v>
      </c>
      <c r="BJ1372" t="s">
        <v>808</v>
      </c>
      <c r="BK1372" t="s">
        <v>685</v>
      </c>
      <c r="BL1372" t="s">
        <v>1893</v>
      </c>
      <c r="BM1372">
        <v>7579.5</v>
      </c>
      <c r="BN1372">
        <v>7771.2</v>
      </c>
      <c r="BO1372">
        <f>IFERROR(BM1372/BN1372,"")</f>
        <v>0.97533199505867818</v>
      </c>
      <c r="BP1372" s="256">
        <f>BN1372-BM1372</f>
        <v>191.69999999999982</v>
      </c>
      <c r="BQ1372" s="256">
        <f>BP1372*1000</f>
        <v>191699.99999999983</v>
      </c>
      <c r="BR1372" t="s">
        <v>395</v>
      </c>
      <c r="BS1372" s="256" t="s">
        <v>3064</v>
      </c>
      <c r="BT1372" t="s">
        <v>1894</v>
      </c>
      <c r="BU1372">
        <v>-1153.1500000000001</v>
      </c>
      <c r="BV1372">
        <v>-547.41</v>
      </c>
      <c r="BX1372">
        <f>BV1372-BU1372</f>
        <v>605.74000000000012</v>
      </c>
      <c r="BZ1372">
        <f>BX1372*1000</f>
        <v>605740.00000000012</v>
      </c>
      <c r="CA1372">
        <f>IFERROR(BZ1372/BQ1372,"")</f>
        <v>3.1598330725091324</v>
      </c>
      <c r="CB1372">
        <v>0</v>
      </c>
      <c r="CC1372">
        <v>0</v>
      </c>
      <c r="CD1372">
        <v>0</v>
      </c>
      <c r="CE1372">
        <v>0</v>
      </c>
      <c r="CF1372">
        <v>0</v>
      </c>
      <c r="CG1372">
        <v>0</v>
      </c>
      <c r="CH1372">
        <v>0</v>
      </c>
      <c r="CI1372">
        <v>0</v>
      </c>
      <c r="CJ1372">
        <v>0</v>
      </c>
      <c r="CK1372">
        <v>0</v>
      </c>
      <c r="CL1372">
        <v>0</v>
      </c>
      <c r="CM1372">
        <v>0</v>
      </c>
      <c r="CN1372">
        <v>0</v>
      </c>
      <c r="CO1372">
        <v>0</v>
      </c>
      <c r="CP1372" t="str">
        <f>IF($BN1372&lt;$BM1372,"refNeedCorrection","refOK")</f>
        <v>refOK</v>
      </c>
      <c r="CQ1372">
        <f>IF($CP1372="refOK",$BN1372,$BM1372)</f>
        <v>7771.2</v>
      </c>
      <c r="CR1372">
        <f>IF($CP1372="refOK",$BM1372,$BN1372)</f>
        <v>7579.5</v>
      </c>
      <c r="CS1372">
        <f>IF($CP1372="refOK",$BQ1372,-$BQ1372)</f>
        <v>191699.99999999983</v>
      </c>
      <c r="CT1372">
        <f>IF(BI1372="Roundwood",$CS1372/2,$CS1372)</f>
        <v>95849.999999999913</v>
      </c>
      <c r="CU1372">
        <f>IF($CP1372="refOK",$BW1372,$BV1372)*IF($BR1372="Emissions positive",-1,1)</f>
        <v>0</v>
      </c>
      <c r="CV1372">
        <f>IF($CP1372="refOK",$BV1372,$BW1372)*IF($BR1372="Emissions positive",-1,1)</f>
        <v>547.41</v>
      </c>
      <c r="CW1372">
        <f>IF($CP1372="refNeedCorrection",-BZ1372,BZ1372)*IF($BR1372="Emissions positive",-1,1)</f>
        <v>-605740.00000000012</v>
      </c>
      <c r="CX1372">
        <f>IFERROR($CW1372/$CS1372,"")</f>
        <v>-3.1598330725091324</v>
      </c>
      <c r="CY1372">
        <f>IFERROR($CW1372/$CS1372,"")</f>
        <v>-3.1598330725091324</v>
      </c>
      <c r="CZ1372">
        <f>IFERROR($CW1372/$CT1372,"")</f>
        <v>-6.3196661450182647</v>
      </c>
      <c r="DA1372" s="2" t="str">
        <f>IFERROR((CV1372-CU1372)/ABS(CU1372),"")</f>
        <v/>
      </c>
      <c r="DB1372" s="1" t="s">
        <v>1078</v>
      </c>
      <c r="DC1372" t="str">
        <f>IF(OR($DB1372="prd",$DB1372="std",$DB1372="cit"),"loc",IF(OR($DB1372="eur",$DB1372="reg",$DB1372="coy"),"reg",$DB1372))</f>
        <v>reg</v>
      </c>
      <c r="DD1372" t="s">
        <v>1895</v>
      </c>
      <c r="DE1372">
        <v>2017</v>
      </c>
      <c r="DF1372">
        <v>2035</v>
      </c>
      <c r="DG1372">
        <f>DF1372-DE1372</f>
        <v>18</v>
      </c>
      <c r="DH1372" t="str">
        <f>IF(DG1372=0,"0",IF(AND(DG1372&gt;=1,DG1372&lt;=30),"1-30",IF(AND(DG1372&gt;30,DG1372&lt;=70),"31-70",IF(AND(DG1372&gt;70,DG1372&lt;=100),"71-100",IF(DG1372&gt;100,"+100")))))</f>
        <v>1-30</v>
      </c>
      <c r="DI1372">
        <v>0</v>
      </c>
      <c r="DJ1372">
        <v>0</v>
      </c>
      <c r="DK1372">
        <v>1</v>
      </c>
      <c r="DL1372">
        <v>1</v>
      </c>
      <c r="DM1372">
        <v>0</v>
      </c>
      <c r="DN1372">
        <f>SUM(DI1372:DM1372)</f>
        <v>2</v>
      </c>
      <c r="DO1372" t="str">
        <f>IF(DN1372=1,INDEX($DI$7:$DL$7,MATCH(1,$DI1372:$DL1372,0)),"mixedProduct")</f>
        <v>mixedProduct</v>
      </c>
      <c r="DP1372">
        <f>IF(DI1372=1,DP$7,0)</f>
        <v>0</v>
      </c>
      <c r="DQ1372">
        <f>IF(DJ1372=1,DQ$7,0)</f>
        <v>0</v>
      </c>
      <c r="DR1372" t="str">
        <f>IF(DK1372=1,DR$7,0)</f>
        <v>Pulp/Paper</v>
      </c>
      <c r="DS1372" t="str">
        <f>IF(DL1372=1,DS$7,0)</f>
        <v>Timber</v>
      </c>
      <c r="DT1372">
        <v>0</v>
      </c>
      <c r="DU1372">
        <v>0</v>
      </c>
      <c r="DV1372">
        <v>0</v>
      </c>
      <c r="DW1372">
        <v>0</v>
      </c>
      <c r="DX1372">
        <v>0</v>
      </c>
      <c r="DY1372"/>
      <c r="DZ1372" s="143" t="str">
        <f>IF(DT1372=1,"self-calculated DF",IF(DU1372=1,"external DF used","explicit C balance"))</f>
        <v>explicit C balance</v>
      </c>
      <c r="EA1372">
        <v>0</v>
      </c>
      <c r="EB1372">
        <v>0</v>
      </c>
      <c r="EC1372">
        <v>0</v>
      </c>
      <c r="ED1372">
        <v>1</v>
      </c>
      <c r="EE1372">
        <v>1</v>
      </c>
      <c r="EF1372">
        <v>0</v>
      </c>
      <c r="EG1372">
        <v>0</v>
      </c>
      <c r="EH1372">
        <v>0</v>
      </c>
      <c r="EI1372">
        <v>0</v>
      </c>
      <c r="EJ1372">
        <v>0</v>
      </c>
      <c r="EK1372">
        <v>1</v>
      </c>
      <c r="EL1372">
        <v>0</v>
      </c>
      <c r="EM1372">
        <v>0</v>
      </c>
      <c r="EN1372" s="2">
        <v>0</v>
      </c>
      <c r="EP1372" t="str">
        <f>IF(AND(AND(AND(OR($EC1372=1,$EB1372=1),OR($EH1372=1,$EF1372=1)),SUM($EA1372:$EE1372,$EK1372)&gt;=3),SUM($EF1372:$EJ1372)&gt;=2),"Whole sector approach","")</f>
        <v/>
      </c>
      <c r="EQ1372" t="str">
        <f>IF(AND(AND(OR($EC1372=1,$EB1372=1),AND($EH1372=0,$EF1372=0)),SUM($EA1372:$EE1372,$EK1372)&gt;=4),"Ecosystem approach","")</f>
        <v/>
      </c>
      <c r="ER1372" s="2" t="str">
        <f>IF(AND(AND(AND($EC1372=0,$EB1372=0),OR($EH1372=1,$EF1372=1)),SUM($EG1372:$EJ1372)&gt;=2),"Technology approach","")</f>
        <v/>
      </c>
      <c r="ES1372" t="str">
        <f>IF(AND($EC1372+$EB1372+$EE1372+$EA1372+$ED1372+$EG1372=0,$N1372="included"),"C neutral forest and HWP assumption","")</f>
        <v/>
      </c>
      <c r="ET1372" t="str">
        <f>IF(AND(AND(AND(AND($EC1372=1,$EB1372+$EA1372+$EG1372&gt;=1),$EF1372=1),$EH1372+$EI1372+$ED1372+$EE1372&gt;=2),$N1372="included"),"All C pools assumption","")</f>
        <v/>
      </c>
      <c r="EU1372" t="str">
        <f>IF(AND($ED1372+$EE1372+$EI1372+$EH1372+$EF1372=0,$N1372="included"),"In-situ only assumption","")</f>
        <v/>
      </c>
      <c r="EY1372" t="str">
        <f>IF(ISNUMBER(BW1372),IF(ABS(BW1372-[6]QC_indicators!$B$2)&gt;3*[6]QC_indicators!$C$2,"C ratio",IF(ISNUMBER(CA1372),IF(ABS(CA1372-[6]QC_indicators!$B$1)&gt;3*[6]QC_indicators!$C$1,"DF","no"))),IF(ISNUMBER(CA1372),IF(ABS(CA1372-[6]QC_indicators!$B$1)&gt;3*[6]QC_indicators!$C$1,"DF","no")))</f>
        <v>no</v>
      </c>
      <c r="FA1372" t="str">
        <f>IF(LEN($CY1372)=0,"",IF(AND($CY1372&lt;(-0.05),$ES1372="C neutral forest and HWP assumption"),"Cneutral paradox",IF(AND($CY1372&gt;0.05,$EU1372="In-situ only assumption"),"In-situ only paradox","")))</f>
        <v/>
      </c>
      <c r="FD1372" s="260" t="s">
        <v>2948</v>
      </c>
    </row>
    <row r="1373" spans="1:160" ht="15" hidden="1" customHeight="1">
      <c r="A1373" s="1" t="s">
        <v>643</v>
      </c>
      <c r="B1373" t="s">
        <v>1887</v>
      </c>
      <c r="C1373" t="s">
        <v>1888</v>
      </c>
      <c r="D1373" t="s">
        <v>1889</v>
      </c>
      <c r="E1373" t="s">
        <v>1890</v>
      </c>
      <c r="F1373" t="s">
        <v>1891</v>
      </c>
      <c r="G1373" t="s">
        <v>649</v>
      </c>
      <c r="H1373" t="s">
        <v>254</v>
      </c>
      <c r="I1373">
        <v>2020</v>
      </c>
      <c r="J1373">
        <v>4</v>
      </c>
      <c r="K1373" t="s">
        <v>1892</v>
      </c>
      <c r="M1373" t="str">
        <f>LEFT($D1373,FIND(",",$D1373)-1)&amp;"_"&amp;I1373&amp;L1373</f>
        <v>Palus_2020</v>
      </c>
      <c r="N1373" t="s">
        <v>222</v>
      </c>
      <c r="O1373" s="157" t="s">
        <v>508</v>
      </c>
      <c r="P1373" t="s">
        <v>223</v>
      </c>
      <c r="Q1373" t="s">
        <v>389</v>
      </c>
      <c r="R1373" s="251" t="s">
        <v>225</v>
      </c>
      <c r="T1373" t="s">
        <v>1058</v>
      </c>
      <c r="U1373" t="s">
        <v>1076</v>
      </c>
      <c r="V1373" s="253">
        <v>0</v>
      </c>
      <c r="W1373" s="253">
        <v>0</v>
      </c>
      <c r="X1373">
        <v>0</v>
      </c>
      <c r="Y1373">
        <v>0</v>
      </c>
      <c r="Z1373">
        <v>0</v>
      </c>
      <c r="AA1373">
        <v>0</v>
      </c>
      <c r="AB1373">
        <v>0</v>
      </c>
      <c r="AC1373">
        <v>0</v>
      </c>
      <c r="AD1373">
        <v>0</v>
      </c>
      <c r="AE1373">
        <v>0</v>
      </c>
      <c r="AF1373">
        <v>0</v>
      </c>
      <c r="AG1373">
        <v>0</v>
      </c>
      <c r="AH1373">
        <v>1</v>
      </c>
      <c r="AI1373">
        <v>0</v>
      </c>
      <c r="AJ1373">
        <v>0</v>
      </c>
      <c r="AK1373">
        <v>0</v>
      </c>
      <c r="AL1373">
        <v>0</v>
      </c>
      <c r="AM1373">
        <v>0</v>
      </c>
      <c r="AN1373">
        <v>0</v>
      </c>
      <c r="AO1373">
        <v>0</v>
      </c>
      <c r="AP1373">
        <v>0</v>
      </c>
      <c r="AQ1373">
        <v>0</v>
      </c>
      <c r="AR1373">
        <v>0</v>
      </c>
      <c r="AS1373">
        <v>0</v>
      </c>
      <c r="AT1373">
        <v>0</v>
      </c>
      <c r="AU1373">
        <v>1</v>
      </c>
      <c r="AV1373">
        <v>0</v>
      </c>
      <c r="AW1373">
        <v>0</v>
      </c>
      <c r="AX1373">
        <v>0</v>
      </c>
      <c r="AY1373">
        <v>0</v>
      </c>
      <c r="AZ1373" s="141">
        <f>COUNTIF(X1373:AY1373,"&lt;&gt;0")</f>
        <v>2</v>
      </c>
      <c r="BA1373" s="141">
        <f>COUNTIF(X1373:AN1373,"&lt;&gt;0")</f>
        <v>1</v>
      </c>
      <c r="BB1373">
        <f>COUNTIF(X1373:AE1373,"&lt;&gt;0")</f>
        <v>0</v>
      </c>
      <c r="BC1373">
        <f>COUNTIF(AF1373:AK1373,"&lt;&gt;0")</f>
        <v>1</v>
      </c>
      <c r="BD1373">
        <f>COUNTIF(AL1373:AN1373,"&lt;&gt;0")</f>
        <v>0</v>
      </c>
      <c r="BE1373">
        <f>COUNTIF(AU1373:AY1373,"&lt;&gt;0")</f>
        <v>1</v>
      </c>
      <c r="BF1373">
        <f>COUNTIF(AO1373:AT1373,"&lt;&gt;0")</f>
        <v>0</v>
      </c>
      <c r="BG1373" t="str">
        <f t="array" ref="BG1373">IF(BA1373=1,INDEX($X$7:$AN$7,MATCH(TRUE,INDEX($X1373:$AY1373&lt;&gt;0,),0)),IF(BA1373=0,INDEX($AO$7:$AY$7,MATCH(1,$AO1373:$AY1373,0)),IF(BH1373="Multiple strategies","mixed drivers",IF(BH1373="Supply chain","multiple supply","multiple silviculture"))))</f>
        <v>supply chain organization</v>
      </c>
      <c r="BH1373" s="2" t="str" cm="1">
        <f t="array" ref="BH1373">IF(COUNTIF(BB1373:BD1373,"&lt;&gt;0")=1,INDEX($X$4:$AY$4,MATCH(TRUE,INDEX($X1373:$AY1373&lt;&gt;0,),0)),IF(COUNTIF(BB1373:BD1373,"&lt;&gt;0")=0,INDEX($AO$4:$AY$4,MATCH(1,$AO1373:$AY1373,0)),"Multiple strategies"))</f>
        <v>Supply chain</v>
      </c>
      <c r="BI1373" s="1" t="s">
        <v>321</v>
      </c>
      <c r="BJ1373" t="s">
        <v>808</v>
      </c>
      <c r="BK1373" t="s">
        <v>685</v>
      </c>
      <c r="BL1373" t="s">
        <v>1893</v>
      </c>
      <c r="BM1373">
        <v>7856.3</v>
      </c>
      <c r="BN1373">
        <v>8091.4</v>
      </c>
      <c r="BO1373">
        <f>IFERROR(BM1373/BN1373,"")</f>
        <v>0.97094445954964537</v>
      </c>
      <c r="BP1373" s="256">
        <f>BN1373-BM1373</f>
        <v>235.09999999999945</v>
      </c>
      <c r="BQ1373" s="256">
        <f>BP1373*1000</f>
        <v>235099.99999999945</v>
      </c>
      <c r="BR1373" t="s">
        <v>395</v>
      </c>
      <c r="BS1373" s="256" t="s">
        <v>3064</v>
      </c>
      <c r="BT1373" t="s">
        <v>1894</v>
      </c>
      <c r="BU1373">
        <v>-2445.48</v>
      </c>
      <c r="BV1373">
        <v>-1535.25</v>
      </c>
      <c r="BX1373">
        <f>BV1373-BU1373</f>
        <v>910.23</v>
      </c>
      <c r="BZ1373">
        <f>BX1373*1000</f>
        <v>910230</v>
      </c>
      <c r="CA1373">
        <f>IFERROR(BZ1373/BQ1373,"")</f>
        <v>3.8716716290940116</v>
      </c>
      <c r="CB1373">
        <v>0</v>
      </c>
      <c r="CC1373">
        <v>0</v>
      </c>
      <c r="CD1373">
        <v>0</v>
      </c>
      <c r="CE1373">
        <v>0</v>
      </c>
      <c r="CF1373">
        <v>0</v>
      </c>
      <c r="CG1373">
        <v>0</v>
      </c>
      <c r="CH1373">
        <v>0</v>
      </c>
      <c r="CI1373">
        <v>0</v>
      </c>
      <c r="CJ1373">
        <v>0</v>
      </c>
      <c r="CK1373">
        <v>0</v>
      </c>
      <c r="CL1373">
        <v>0</v>
      </c>
      <c r="CM1373">
        <v>0</v>
      </c>
      <c r="CN1373">
        <v>0</v>
      </c>
      <c r="CO1373">
        <v>0</v>
      </c>
      <c r="CP1373" t="str">
        <f>IF($BN1373&lt;$BM1373,"refNeedCorrection","refOK")</f>
        <v>refOK</v>
      </c>
      <c r="CQ1373">
        <f>IF($CP1373="refOK",$BN1373,$BM1373)</f>
        <v>8091.4</v>
      </c>
      <c r="CR1373">
        <f>IF($CP1373="refOK",$BM1373,$BN1373)</f>
        <v>7856.3</v>
      </c>
      <c r="CS1373">
        <f>IF($CP1373="refOK",$BQ1373,-$BQ1373)</f>
        <v>235099.99999999945</v>
      </c>
      <c r="CT1373">
        <f>IF(BI1373="Roundwood",$CS1373/2,$CS1373)</f>
        <v>117549.99999999972</v>
      </c>
      <c r="CU1373">
        <f>IF($CP1373="refOK",$BW1373,$BV1373)*IF($BR1373="Emissions positive",-1,1)</f>
        <v>0</v>
      </c>
      <c r="CV1373">
        <f>IF($CP1373="refOK",$BV1373,$BW1373)*IF($BR1373="Emissions positive",-1,1)</f>
        <v>1535.25</v>
      </c>
      <c r="CW1373">
        <f>IF($CP1373="refNeedCorrection",-BZ1373,BZ1373)*IF($BR1373="Emissions positive",-1,1)</f>
        <v>-910230</v>
      </c>
      <c r="CX1373">
        <f>IFERROR($CW1373/$CS1373,"")</f>
        <v>-3.8716716290940116</v>
      </c>
      <c r="CY1373">
        <f>IFERROR($CW1373/$CS1373,"")</f>
        <v>-3.8716716290940116</v>
      </c>
      <c r="CZ1373">
        <f>IFERROR($CW1373/$CT1373,"")</f>
        <v>-7.7433432581880233</v>
      </c>
      <c r="DA1373" s="2" t="str">
        <f>IFERROR((CV1373-CU1373)/ABS(CU1373),"")</f>
        <v/>
      </c>
      <c r="DB1373" s="1" t="s">
        <v>1078</v>
      </c>
      <c r="DC1373" t="str">
        <f>IF(OR($DB1373="prd",$DB1373="std",$DB1373="cit"),"loc",IF(OR($DB1373="eur",$DB1373="reg",$DB1373="coy"),"reg",$DB1373))</f>
        <v>reg</v>
      </c>
      <c r="DD1373" t="s">
        <v>1895</v>
      </c>
      <c r="DE1373">
        <v>2017</v>
      </c>
      <c r="DF1373">
        <v>2017</v>
      </c>
      <c r="DG1373">
        <f>DF1373-DE1373</f>
        <v>0</v>
      </c>
      <c r="DH1373" t="str">
        <f>IF(DG1373=0,"0",IF(AND(DG1373&gt;=1,DG1373&lt;=30),"1-30",IF(AND(DG1373&gt;30,DG1373&lt;=70),"31-70",IF(AND(DG1373&gt;70,DG1373&lt;=100),"71-100",IF(DG1373&gt;100,"+100")))))</f>
        <v>0</v>
      </c>
      <c r="DI1373">
        <v>0</v>
      </c>
      <c r="DJ1373">
        <v>0</v>
      </c>
      <c r="DK1373">
        <v>1</v>
      </c>
      <c r="DL1373">
        <v>1</v>
      </c>
      <c r="DM1373">
        <v>0</v>
      </c>
      <c r="DN1373">
        <f>SUM(DI1373:DM1373)</f>
        <v>2</v>
      </c>
      <c r="DO1373" t="str">
        <f>IF(DN1373=1,INDEX($DI$7:$DL$7,MATCH(1,$DI1373:$DL1373,0)),"mixedProduct")</f>
        <v>mixedProduct</v>
      </c>
      <c r="DP1373">
        <f>IF(DI1373=1,DP$7,0)</f>
        <v>0</v>
      </c>
      <c r="DQ1373">
        <f>IF(DJ1373=1,DQ$7,0)</f>
        <v>0</v>
      </c>
      <c r="DR1373" t="str">
        <f>IF(DK1373=1,DR$7,0)</f>
        <v>Pulp/Paper</v>
      </c>
      <c r="DS1373" t="str">
        <f>IF(DL1373=1,DS$7,0)</f>
        <v>Timber</v>
      </c>
      <c r="DT1373">
        <v>0</v>
      </c>
      <c r="DU1373">
        <v>0</v>
      </c>
      <c r="DV1373">
        <v>0</v>
      </c>
      <c r="DW1373">
        <v>0</v>
      </c>
      <c r="DX1373">
        <v>0</v>
      </c>
      <c r="DY1373"/>
      <c r="DZ1373" s="143" t="str">
        <f>IF(DT1373=1,"self-calculated DF",IF(DU1373=1,"external DF used","explicit C balance"))</f>
        <v>explicit C balance</v>
      </c>
      <c r="EA1373">
        <v>0</v>
      </c>
      <c r="EB1373">
        <v>0</v>
      </c>
      <c r="EC1373">
        <v>0</v>
      </c>
      <c r="ED1373">
        <v>1</v>
      </c>
      <c r="EE1373">
        <v>1</v>
      </c>
      <c r="EF1373">
        <v>0</v>
      </c>
      <c r="EG1373">
        <v>0</v>
      </c>
      <c r="EH1373">
        <v>0</v>
      </c>
      <c r="EI1373">
        <v>0</v>
      </c>
      <c r="EJ1373">
        <v>0</v>
      </c>
      <c r="EK1373">
        <v>1</v>
      </c>
      <c r="EL1373">
        <v>0</v>
      </c>
      <c r="EM1373">
        <v>0</v>
      </c>
      <c r="EN1373" s="2">
        <v>0</v>
      </c>
      <c r="EP1373" t="str">
        <f>IF(AND(AND(AND(OR($EC1373=1,$EB1373=1),OR($EH1373=1,$EF1373=1)),SUM($EA1373:$EE1373,$EK1373)&gt;=3),SUM($EF1373:$EJ1373)&gt;=2),"Whole sector approach","")</f>
        <v/>
      </c>
      <c r="EQ1373" t="str">
        <f>IF(AND(AND(OR($EC1373=1,$EB1373=1),AND($EH1373=0,$EF1373=0)),SUM($EA1373:$EE1373,$EK1373)&gt;=4),"Ecosystem approach","")</f>
        <v/>
      </c>
      <c r="ER1373" s="2" t="str">
        <f>IF(AND(AND(AND($EC1373=0,$EB1373=0),OR($EH1373=1,$EF1373=1)),SUM($EG1373:$EJ1373)&gt;=2),"Technology approach","")</f>
        <v/>
      </c>
      <c r="ES1373" t="str">
        <f>IF(AND($EC1373+$EB1373+$EE1373+$EA1373+$ED1373+$EG1373=0,$N1373="included"),"C neutral forest and HWP assumption","")</f>
        <v/>
      </c>
      <c r="ET1373" t="str">
        <f>IF(AND(AND(AND(AND($EC1373=1,$EB1373+$EA1373+$EG1373&gt;=1),$EF1373=1),$EH1373+$EI1373+$ED1373+$EE1373&gt;=2),$N1373="included"),"All C pools assumption","")</f>
        <v/>
      </c>
      <c r="EU1373" t="str">
        <f>IF(AND($ED1373+$EE1373+$EI1373+$EH1373+$EF1373=0,$N1373="included"),"In-situ only assumption","")</f>
        <v/>
      </c>
      <c r="EY1373" t="str">
        <f>IF(ISNUMBER(BW1373),IF(ABS(BW1373-[6]QC_indicators!$B$2)&gt;3*[6]QC_indicators!$C$2,"C ratio",IF(ISNUMBER(CA1373),IF(ABS(CA1373-[6]QC_indicators!$B$1)&gt;3*[6]QC_indicators!$C$1,"DF","no"))),IF(ISNUMBER(CA1373),IF(ABS(CA1373-[6]QC_indicators!$B$1)&gt;3*[6]QC_indicators!$C$1,"DF","no")))</f>
        <v>no</v>
      </c>
      <c r="FA1373" t="str">
        <f>IF(LEN($CY1373)=0,"",IF(AND($CY1373&lt;(-0.05),$ES1373="C neutral forest and HWP assumption"),"Cneutral paradox",IF(AND($CY1373&gt;0.05,$EU1373="In-situ only assumption"),"In-situ only paradox","")))</f>
        <v/>
      </c>
      <c r="FD1373" s="260" t="s">
        <v>2948</v>
      </c>
    </row>
    <row r="1374" spans="1:160" ht="15" hidden="1" customHeight="1">
      <c r="A1374" s="1" t="s">
        <v>1781</v>
      </c>
      <c r="B1374" t="s">
        <v>2060</v>
      </c>
      <c r="C1374" t="s">
        <v>2061</v>
      </c>
      <c r="D1374" t="s">
        <v>2062</v>
      </c>
      <c r="E1374" t="s">
        <v>2063</v>
      </c>
      <c r="F1374" t="s">
        <v>2064</v>
      </c>
      <c r="G1374" t="s">
        <v>1787</v>
      </c>
      <c r="H1374" t="s">
        <v>254</v>
      </c>
      <c r="I1374">
        <v>2020</v>
      </c>
      <c r="J1374">
        <v>7</v>
      </c>
      <c r="K1374" t="s">
        <v>2065</v>
      </c>
      <c r="M1374" t="str">
        <f>LEFT($D1374,FIND(",",$D1374)-1)&amp;"_"&amp;I1374&amp;L1374</f>
        <v>Smyth_2020</v>
      </c>
      <c r="N1374" t="s">
        <v>222</v>
      </c>
      <c r="O1374" s="145" t="s">
        <v>341</v>
      </c>
      <c r="Q1374" t="s">
        <v>256</v>
      </c>
      <c r="R1374" s="283" t="s">
        <v>225</v>
      </c>
      <c r="S1374" s="1" t="s">
        <v>2075</v>
      </c>
      <c r="T1374" t="s">
        <v>2076</v>
      </c>
      <c r="U1374" t="s">
        <v>1030</v>
      </c>
      <c r="V1374">
        <v>1</v>
      </c>
      <c r="W1374">
        <v>0</v>
      </c>
      <c r="X1374">
        <v>1</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s="141">
        <f>COUNTIF(X1374:AY1374,"&lt;&gt;0")</f>
        <v>1</v>
      </c>
      <c r="BA1374" s="141">
        <f>COUNTIF(X1374:AN1374,"&lt;&gt;0")</f>
        <v>1</v>
      </c>
      <c r="BB1374">
        <f>COUNTIF(X1374:AE1374,"&lt;&gt;0")</f>
        <v>1</v>
      </c>
      <c r="BC1374">
        <f>COUNTIF(AF1374:AK1374,"&lt;&gt;0")</f>
        <v>0</v>
      </c>
      <c r="BD1374">
        <f>COUNTIF(AL1374:AN1374,"&lt;&gt;0")</f>
        <v>0</v>
      </c>
      <c r="BE1374">
        <f>COUNTIF(AU1374:AY1374,"&lt;&gt;0")</f>
        <v>0</v>
      </c>
      <c r="BF1374">
        <f>COUNTIF(AO1374:AT1374,"&lt;&gt;0")</f>
        <v>0</v>
      </c>
      <c r="BG1374" t="str">
        <f t="array" ref="BG1374">IF(BA1374=1,INDEX($X$7:$AN$7,MATCH(TRUE,INDEX($X1374:$AY1374&lt;&gt;0,),0)),IF(BA1374=0,INDEX($AO$7:$AY$7,MATCH(1,$AO1374:$AY1374,0)),IF(BH1374="Multiple strategies","mixed drivers",IF(BH1374="Supply chain","multiple supply","multiple silviculture"))))</f>
        <v>area subject to harvest</v>
      </c>
      <c r="BH1374" s="2" t="str" cm="1">
        <f t="array" ref="BH1374">IF(COUNTIF(BB1374:BD1374,"&lt;&gt;0")=1,INDEX($X$4:$AY$4,MATCH(TRUE,INDEX($X1374:$AY1374&lt;&gt;0,),0)),IF(COUNTIF(BB1374:BD1374,"&lt;&gt;0")=0,INDEX($AO$4:$AY$4,MATCH(1,$AO1374:$AY1374,0)),"Multiple strategies"))</f>
        <v>Silviculture for removals</v>
      </c>
      <c r="BI1374" s="1" t="s">
        <v>321</v>
      </c>
      <c r="BJ1374" t="s">
        <v>2068</v>
      </c>
      <c r="BK1374" s="256" t="s">
        <v>3065</v>
      </c>
      <c r="BL1374" t="s">
        <v>1232</v>
      </c>
      <c r="BM1374">
        <v>434</v>
      </c>
      <c r="BN1374">
        <v>457</v>
      </c>
      <c r="BO1374">
        <f>BN1374/BM1374</f>
        <v>1.0529953917050692</v>
      </c>
      <c r="BP1374">
        <f>BN1374-BM1374</f>
        <v>23</v>
      </c>
      <c r="BQ1374">
        <f>BP1374*10^6*tC_to_m3</f>
        <v>99869735.128093794</v>
      </c>
      <c r="BR1374" t="s">
        <v>232</v>
      </c>
      <c r="BS1374" s="256" t="s">
        <v>3067</v>
      </c>
      <c r="BT1374" t="s">
        <v>2069</v>
      </c>
      <c r="BW1374" s="144"/>
      <c r="BX1374">
        <v>-116</v>
      </c>
      <c r="BZ1374">
        <f>BX1374*10^6</f>
        <v>-116000000</v>
      </c>
      <c r="CA1374">
        <f>IFERROR(BZ1374/BQ1374,"")</f>
        <v>-1.1615130434782608</v>
      </c>
      <c r="CB1374">
        <v>0</v>
      </c>
      <c r="CC1374">
        <v>1</v>
      </c>
      <c r="CD1374">
        <v>1</v>
      </c>
      <c r="CE1374">
        <v>1</v>
      </c>
      <c r="CF1374">
        <v>0</v>
      </c>
      <c r="CG1374">
        <v>0</v>
      </c>
      <c r="CH1374">
        <v>0</v>
      </c>
      <c r="CI1374">
        <v>0</v>
      </c>
      <c r="CJ1374">
        <v>0</v>
      </c>
      <c r="CK1374">
        <v>0</v>
      </c>
      <c r="CL1374">
        <v>0</v>
      </c>
      <c r="CM1374">
        <v>0</v>
      </c>
      <c r="CN1374">
        <v>0</v>
      </c>
      <c r="CO1374">
        <v>0</v>
      </c>
      <c r="CP1374" t="str">
        <f>IF(BN1374&lt;BM1374,"refNeedCorrection","refOK")</f>
        <v>refOK</v>
      </c>
      <c r="CQ1374"/>
      <c r="CR1374"/>
      <c r="CS1374">
        <f>IF($CP1374="refOK",$BQ1374,-$BQ1374)</f>
        <v>99869735.128093794</v>
      </c>
      <c r="CT1374">
        <f>IF(BI1374="Roundwood",$CS1374/2,$CS1374)</f>
        <v>49934867.564046897</v>
      </c>
      <c r="CU1374">
        <f>IF($CP1374="refOK",$BU1374,$BV1374)*IF($BR1374="Emissions positive",-1,1)</f>
        <v>0</v>
      </c>
      <c r="CV1374">
        <f>IF($CP1374="refOK",$BV1374,$BU1374)*IF($BR1374="Emissions positive",-1,1)</f>
        <v>0</v>
      </c>
      <c r="CW1374">
        <f>IF($CP1374="refNeedCorrection",-BZ1374,BZ1374)*IF($BR1374="Emissions positive",-1,1)</f>
        <v>-116000000</v>
      </c>
      <c r="CX1374">
        <f>IFERROR($CW1374/$CS1374,"")</f>
        <v>-1.1615130434782608</v>
      </c>
      <c r="CY1374">
        <f>IFERROR($CW1374/$CS1374,"")</f>
        <v>-1.1615130434782608</v>
      </c>
      <c r="CZ1374">
        <f>IFERROR($CW1374/$CT1374,"")</f>
        <v>-2.3230260869565216</v>
      </c>
      <c r="DA1374" s="2" t="str">
        <f>IFERROR((CV1374-CU1374)/ABS(CU1374),"")</f>
        <v/>
      </c>
      <c r="DB1374" s="1" t="s">
        <v>1074</v>
      </c>
      <c r="DC1374" t="str">
        <f>IF(OR($DB1374="prd",$DB1374="std",$DB1374="cit"),"loc",IF(OR($DB1374="eur",$DB1374="reg",$DB1374="coy"),"reg",$DB1374))</f>
        <v>reg</v>
      </c>
      <c r="DD1374" t="s">
        <v>527</v>
      </c>
      <c r="DE1374">
        <v>2015</v>
      </c>
      <c r="DF1374">
        <v>2070</v>
      </c>
      <c r="DG1374">
        <v>45</v>
      </c>
      <c r="DH1374" t="str">
        <f>IF(DG1374=0,"0",IF(AND(DG1374&gt;=1,DG1374&lt;=30),"1-30",IF(AND(DG1374&gt;30,DG1374&lt;=70),"31-70",IF(AND(DG1374&gt;70,DG1374&lt;=100),"71-100",IF(DG1374&gt;100,"+100")))))</f>
        <v>31-70</v>
      </c>
      <c r="DI1374">
        <v>0</v>
      </c>
      <c r="DJ1374">
        <v>1</v>
      </c>
      <c r="DK1374">
        <v>1</v>
      </c>
      <c r="DL1374">
        <v>1</v>
      </c>
      <c r="DN1374">
        <f>SUM(DI1374:DL1374)</f>
        <v>3</v>
      </c>
      <c r="DO1374" t="str">
        <f>IF(DN1374=1,INDEX($DI$7:$DL$7,MATCH(1,$DI1374:$DL1374,0)),"mixedProduct")</f>
        <v>mixedProduct</v>
      </c>
      <c r="DP1374">
        <f>IF(DI1374=1,DP$7,0)</f>
        <v>0</v>
      </c>
      <c r="DQ1374" t="str">
        <f>IF(DJ1374=1,DQ$7,0)</f>
        <v>Energy</v>
      </c>
      <c r="DR1374" t="str">
        <f>IF(DK1374=1,DR$7,0)</f>
        <v>Pulp/Paper</v>
      </c>
      <c r="DS1374" t="str">
        <f>IF(DL1374=1,DS$7,0)</f>
        <v>Timber</v>
      </c>
      <c r="DT1374">
        <v>1</v>
      </c>
      <c r="DU1374">
        <v>1</v>
      </c>
      <c r="DV1374" t="s">
        <v>2059</v>
      </c>
      <c r="DW1374">
        <v>0</v>
      </c>
      <c r="DX1374">
        <v>0</v>
      </c>
      <c r="DY1374">
        <f>SUM(DT1374:DU1374)</f>
        <v>2</v>
      </c>
      <c r="DZ1374" s="143" t="str">
        <f>IF(DT1374=1,"self-calculated DF",IF(DU1374=1,"external DF used","explicit C balance"))</f>
        <v>self-calculated DF</v>
      </c>
      <c r="EA1374">
        <v>1</v>
      </c>
      <c r="EB1374">
        <v>1</v>
      </c>
      <c r="EC1374">
        <v>1</v>
      </c>
      <c r="ED1374">
        <v>1</v>
      </c>
      <c r="EE1374">
        <v>1</v>
      </c>
      <c r="EF1374" s="143">
        <v>1</v>
      </c>
      <c r="EG1374">
        <v>1</v>
      </c>
      <c r="EH1374">
        <v>1</v>
      </c>
      <c r="EI1374">
        <v>1</v>
      </c>
      <c r="EJ1374">
        <v>1</v>
      </c>
      <c r="EK1374">
        <v>1</v>
      </c>
      <c r="EL1374">
        <v>1</v>
      </c>
      <c r="EM1374">
        <v>0</v>
      </c>
      <c r="EN1374" s="2">
        <v>0</v>
      </c>
      <c r="EP1374" t="str">
        <f>IF(AND(AND(AND(OR($EC1374=1,$EB1374=1),OR($EH1374=1,$EF1374=1)),SUM($EA1374:$EE1374,$EK1374)&gt;=3),SUM($EF1374:$EJ1374)&gt;=2),"Whole sector approach","")</f>
        <v>Whole sector approach</v>
      </c>
      <c r="EQ1374" t="str">
        <f>IF(AND(AND(OR($EC1374=1,$EB1374=1),AND($EH1374=0,$EF1374=0)),SUM($EA1374:$EE1374,$EK1374)&gt;=4),"Ecosystem approach","")</f>
        <v/>
      </c>
      <c r="ER1374" s="2" t="str">
        <f>IF(AND(AND(AND($EC1374=0,$EB1374=0),OR($EH1374=1,$EF1374=1)),SUM($EG1374:$EJ1374)&gt;=2),"Technology approach","")</f>
        <v/>
      </c>
      <c r="ES1374" t="str">
        <f>IF(AND($EC1374+$EB1374+$EE1374+$EA1374+$ED1374+$EG1374=0,$N1374="included"),"C neutral forest and HWP assumption","")</f>
        <v/>
      </c>
      <c r="ET1374" t="str">
        <f>IF(AND(AND(AND(AND($EC1374=1,$EB1374+$EA1374+$EG1374&gt;=1),$EF1374=1),$EH1374+$EI1374+$ED1374+$EE1374&gt;=2),$N1374="included"),"All C pools assumption","")</f>
        <v>All C pools assumption</v>
      </c>
      <c r="EU1374" t="str">
        <f>IF(AND($ED1374+$EE1374+$EI1374+$EH1374+$EF1374=0,$N1374="included"),"In-situ only assumption","")</f>
        <v/>
      </c>
      <c r="EV1374" s="328" t="s">
        <v>5064</v>
      </c>
      <c r="EY1374" t="str">
        <f>IF(ISNUMBER(BW1374),IF(ABS(BW1374-[6]QC_indicators!$B$2)&gt;3*[6]QC_indicators!$C$2,"C ratio",IF(ISNUMBER(CA1374),IF(ABS(CA1374-[6]QC_indicators!$B$1)&gt;3*[6]QC_indicators!$C$1,"DF","no"))),IF(ISNUMBER(CA1374),IF(ABS(CA1374-[6]QC_indicators!$B$1)&gt;3*[6]QC_indicators!$C$1,"DF","no")))</f>
        <v>no</v>
      </c>
      <c r="FA1374" t="str">
        <f>IF(LEN($CY1374)=0,"",IF(AND($CY1374&lt;(-0.05),$ES1374="C neutral forest and HWP assumption"),"Cneutral paradox",IF(AND($CY1374&gt;0.05,$EU1374="In-situ only assumption"),"In-situ only paradox","")))</f>
        <v/>
      </c>
      <c r="FB1374" s="149" t="s">
        <v>2070</v>
      </c>
      <c r="FD1374" s="260" t="s">
        <v>2948</v>
      </c>
    </row>
    <row r="1375" spans="1:160" ht="15" hidden="1" customHeight="1">
      <c r="A1375" s="1" t="s">
        <v>1781</v>
      </c>
      <c r="B1375" t="s">
        <v>2060</v>
      </c>
      <c r="C1375" t="s">
        <v>2061</v>
      </c>
      <c r="D1375" t="s">
        <v>2062</v>
      </c>
      <c r="E1375" t="s">
        <v>2063</v>
      </c>
      <c r="F1375" t="s">
        <v>2064</v>
      </c>
      <c r="G1375" t="s">
        <v>1787</v>
      </c>
      <c r="H1375" t="s">
        <v>254</v>
      </c>
      <c r="I1375">
        <v>2020</v>
      </c>
      <c r="J1375">
        <v>7</v>
      </c>
      <c r="K1375" t="s">
        <v>2065</v>
      </c>
      <c r="M1375" t="str">
        <f>LEFT($D1375,FIND(",",$D1375)-1)&amp;"_"&amp;I1375&amp;L1375</f>
        <v>Smyth_2020</v>
      </c>
      <c r="N1375" t="s">
        <v>222</v>
      </c>
      <c r="O1375" s="145" t="s">
        <v>341</v>
      </c>
      <c r="Q1375" t="s">
        <v>256</v>
      </c>
      <c r="R1375" s="283" t="s">
        <v>225</v>
      </c>
      <c r="S1375" s="1" t="s">
        <v>2073</v>
      </c>
      <c r="T1375" t="s">
        <v>2074</v>
      </c>
      <c r="U1375" t="s">
        <v>1030</v>
      </c>
      <c r="V1375">
        <v>1</v>
      </c>
      <c r="W1375">
        <v>0</v>
      </c>
      <c r="X1375">
        <v>1</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v>0</v>
      </c>
      <c r="AS1375">
        <v>0</v>
      </c>
      <c r="AT1375">
        <v>0</v>
      </c>
      <c r="AU1375">
        <v>0</v>
      </c>
      <c r="AV1375">
        <v>0</v>
      </c>
      <c r="AW1375">
        <v>0</v>
      </c>
      <c r="AX1375">
        <v>0</v>
      </c>
      <c r="AY1375">
        <v>0</v>
      </c>
      <c r="AZ1375" s="141">
        <f>COUNTIF(X1375:AY1375,"&lt;&gt;0")</f>
        <v>1</v>
      </c>
      <c r="BA1375" s="141">
        <f>COUNTIF(X1375:AN1375,"&lt;&gt;0")</f>
        <v>1</v>
      </c>
      <c r="BB1375">
        <f>COUNTIF(X1375:AE1375,"&lt;&gt;0")</f>
        <v>1</v>
      </c>
      <c r="BC1375">
        <f>COUNTIF(AF1375:AK1375,"&lt;&gt;0")</f>
        <v>0</v>
      </c>
      <c r="BD1375">
        <f>COUNTIF(AL1375:AN1375,"&lt;&gt;0")</f>
        <v>0</v>
      </c>
      <c r="BE1375">
        <f>COUNTIF(AU1375:AY1375,"&lt;&gt;0")</f>
        <v>0</v>
      </c>
      <c r="BF1375">
        <f>COUNTIF(AO1375:AT1375,"&lt;&gt;0")</f>
        <v>0</v>
      </c>
      <c r="BG1375" t="str">
        <f t="array" ref="BG1375">IF(BA1375=1,INDEX($X$7:$AN$7,MATCH(TRUE,INDEX($X1375:$AY1375&lt;&gt;0,),0)),IF(BA1375=0,INDEX($AO$7:$AY$7,MATCH(1,$AO1375:$AY1375,0)),IF(BH1375="Multiple strategies","mixed drivers",IF(BH1375="Supply chain","multiple supply","multiple silviculture"))))</f>
        <v>area subject to harvest</v>
      </c>
      <c r="BH1375" s="2" t="str" cm="1">
        <f t="array" ref="BH1375">IF(COUNTIF(BB1375:BD1375,"&lt;&gt;0")=1,INDEX($X$4:$AY$4,MATCH(TRUE,INDEX($X1375:$AY1375&lt;&gt;0,),0)),IF(COUNTIF(BB1375:BD1375,"&lt;&gt;0")=0,INDEX($AO$4:$AY$4,MATCH(1,$AO1375:$AY1375,0)),"Multiple strategies"))</f>
        <v>Silviculture for removals</v>
      </c>
      <c r="BI1375" s="1" t="s">
        <v>321</v>
      </c>
      <c r="BJ1375" t="s">
        <v>2068</v>
      </c>
      <c r="BK1375" s="256" t="s">
        <v>3065</v>
      </c>
      <c r="BL1375" t="s">
        <v>1232</v>
      </c>
      <c r="BM1375">
        <v>425</v>
      </c>
      <c r="BN1375">
        <v>457</v>
      </c>
      <c r="BO1375">
        <f>BN1375/BM1375</f>
        <v>1.0752941176470587</v>
      </c>
      <c r="BP1375">
        <f>BN1375-BM1375</f>
        <v>32</v>
      </c>
      <c r="BQ1375">
        <f>BP1375*10^6*tC_to_m3</f>
        <v>138949196.6999566</v>
      </c>
      <c r="BR1375" t="s">
        <v>232</v>
      </c>
      <c r="BS1375" s="256" t="s">
        <v>3067</v>
      </c>
      <c r="BT1375" t="s">
        <v>2069</v>
      </c>
      <c r="BW1375" s="144"/>
      <c r="BX1375">
        <v>-187</v>
      </c>
      <c r="BZ1375">
        <f>BX1375*10^6</f>
        <v>-187000000</v>
      </c>
      <c r="CA1375">
        <f>IFERROR(BZ1375/BQ1375,"")</f>
        <v>-1.3458156249999997</v>
      </c>
      <c r="CB1375">
        <v>0</v>
      </c>
      <c r="CC1375">
        <v>1</v>
      </c>
      <c r="CD1375">
        <v>1</v>
      </c>
      <c r="CE1375">
        <v>1</v>
      </c>
      <c r="CF1375">
        <v>0</v>
      </c>
      <c r="CG1375">
        <v>0</v>
      </c>
      <c r="CH1375">
        <v>0</v>
      </c>
      <c r="CI1375">
        <v>0</v>
      </c>
      <c r="CJ1375">
        <v>0</v>
      </c>
      <c r="CK1375">
        <v>0</v>
      </c>
      <c r="CL1375">
        <v>0</v>
      </c>
      <c r="CM1375">
        <v>0</v>
      </c>
      <c r="CN1375">
        <v>0</v>
      </c>
      <c r="CO1375">
        <v>0</v>
      </c>
      <c r="CP1375" t="str">
        <f>IF(BN1375&lt;BM1375,"refNeedCorrection","refOK")</f>
        <v>refOK</v>
      </c>
      <c r="CQ1375"/>
      <c r="CR1375"/>
      <c r="CS1375">
        <f>IF($CP1375="refOK",$BQ1375,-$BQ1375)</f>
        <v>138949196.6999566</v>
      </c>
      <c r="CT1375">
        <f>IF(BI1375="Roundwood",$CS1375/2,$CS1375)</f>
        <v>69474598.349978298</v>
      </c>
      <c r="CU1375">
        <f>IF($CP1375="refOK",$BU1375,$BV1375)*IF($BR1375="Emissions positive",-1,1)</f>
        <v>0</v>
      </c>
      <c r="CV1375">
        <f>IF($CP1375="refOK",$BV1375,$BU1375)*IF($BR1375="Emissions positive",-1,1)</f>
        <v>0</v>
      </c>
      <c r="CW1375">
        <f>IF($CP1375="refNeedCorrection",-BZ1375,BZ1375)*IF($BR1375="Emissions positive",-1,1)</f>
        <v>-187000000</v>
      </c>
      <c r="CX1375">
        <f>IFERROR($CW1375/$CS1375,"")</f>
        <v>-1.3458156249999997</v>
      </c>
      <c r="CY1375">
        <f>IFERROR($CW1375/$CS1375,"")</f>
        <v>-1.3458156249999997</v>
      </c>
      <c r="CZ1375">
        <f>IFERROR($CW1375/$CT1375,"")</f>
        <v>-2.6916312499999995</v>
      </c>
      <c r="DA1375" s="2" t="str">
        <f>IFERROR((CV1375-CU1375)/ABS(CU1375),"")</f>
        <v/>
      </c>
      <c r="DB1375" s="1" t="s">
        <v>1074</v>
      </c>
      <c r="DC1375" t="str">
        <f>IF(OR($DB1375="prd",$DB1375="std",$DB1375="cit"),"loc",IF(OR($DB1375="eur",$DB1375="reg",$DB1375="coy"),"reg",$DB1375))</f>
        <v>reg</v>
      </c>
      <c r="DD1375" t="s">
        <v>527</v>
      </c>
      <c r="DE1375">
        <v>2015</v>
      </c>
      <c r="DF1375">
        <v>2070</v>
      </c>
      <c r="DG1375">
        <v>45</v>
      </c>
      <c r="DH1375" t="str">
        <f>IF(DG1375=0,"0",IF(AND(DG1375&gt;=1,DG1375&lt;=30),"1-30",IF(AND(DG1375&gt;30,DG1375&lt;=70),"31-70",IF(AND(DG1375&gt;70,DG1375&lt;=100),"71-100",IF(DG1375&gt;100,"+100")))))</f>
        <v>31-70</v>
      </c>
      <c r="DI1375">
        <v>0</v>
      </c>
      <c r="DJ1375">
        <v>1</v>
      </c>
      <c r="DK1375">
        <v>1</v>
      </c>
      <c r="DL1375">
        <v>1</v>
      </c>
      <c r="DN1375">
        <f>SUM(DI1375:DL1375)</f>
        <v>3</v>
      </c>
      <c r="DO1375" t="str">
        <f>IF(DN1375=1,INDEX($DI$7:$DL$7,MATCH(1,$DI1375:$DL1375,0)),"mixedProduct")</f>
        <v>mixedProduct</v>
      </c>
      <c r="DP1375">
        <f>IF(DI1375=1,DP$7,0)</f>
        <v>0</v>
      </c>
      <c r="DQ1375" t="str">
        <f>IF(DJ1375=1,DQ$7,0)</f>
        <v>Energy</v>
      </c>
      <c r="DR1375" t="str">
        <f>IF(DK1375=1,DR$7,0)</f>
        <v>Pulp/Paper</v>
      </c>
      <c r="DS1375" t="str">
        <f>IF(DL1375=1,DS$7,0)</f>
        <v>Timber</v>
      </c>
      <c r="DT1375">
        <v>1</v>
      </c>
      <c r="DU1375">
        <v>1</v>
      </c>
      <c r="DV1375" t="s">
        <v>2059</v>
      </c>
      <c r="DW1375">
        <v>0</v>
      </c>
      <c r="DX1375">
        <v>0</v>
      </c>
      <c r="DY1375">
        <f>SUM(DT1375:DU1375)</f>
        <v>2</v>
      </c>
      <c r="DZ1375" s="143" t="str">
        <f>IF(DT1375=1,"self-calculated DF",IF(DU1375=1,"external DF used","explicit C balance"))</f>
        <v>self-calculated DF</v>
      </c>
      <c r="EA1375">
        <v>1</v>
      </c>
      <c r="EB1375">
        <v>1</v>
      </c>
      <c r="EC1375">
        <v>1</v>
      </c>
      <c r="ED1375">
        <v>1</v>
      </c>
      <c r="EE1375">
        <v>1</v>
      </c>
      <c r="EF1375" s="143">
        <v>1</v>
      </c>
      <c r="EG1375">
        <v>1</v>
      </c>
      <c r="EH1375">
        <v>1</v>
      </c>
      <c r="EI1375">
        <v>1</v>
      </c>
      <c r="EJ1375">
        <v>1</v>
      </c>
      <c r="EK1375">
        <v>1</v>
      </c>
      <c r="EL1375">
        <v>1</v>
      </c>
      <c r="EM1375">
        <v>0</v>
      </c>
      <c r="EN1375" s="2">
        <v>0</v>
      </c>
      <c r="EP1375" t="str">
        <f>IF(AND(AND(AND(OR($EC1375=1,$EB1375=1),OR($EH1375=1,$EF1375=1)),SUM($EA1375:$EE1375,$EK1375)&gt;=3),SUM($EF1375:$EJ1375)&gt;=2),"Whole sector approach","")</f>
        <v>Whole sector approach</v>
      </c>
      <c r="EQ1375" t="str">
        <f>IF(AND(AND(OR($EC1375=1,$EB1375=1),AND($EH1375=0,$EF1375=0)),SUM($EA1375:$EE1375,$EK1375)&gt;=4),"Ecosystem approach","")</f>
        <v/>
      </c>
      <c r="ER1375" s="2" t="str">
        <f>IF(AND(AND(AND($EC1375=0,$EB1375=0),OR($EH1375=1,$EF1375=1)),SUM($EG1375:$EJ1375)&gt;=2),"Technology approach","")</f>
        <v/>
      </c>
      <c r="ES1375" t="str">
        <f>IF(AND($EC1375+$EB1375+$EE1375+$EA1375+$ED1375+$EG1375=0,$N1375="included"),"C neutral forest and HWP assumption","")</f>
        <v/>
      </c>
      <c r="ET1375" t="str">
        <f>IF(AND(AND(AND(AND($EC1375=1,$EB1375+$EA1375+$EG1375&gt;=1),$EF1375=1),$EH1375+$EI1375+$ED1375+$EE1375&gt;=2),$N1375="included"),"All C pools assumption","")</f>
        <v>All C pools assumption</v>
      </c>
      <c r="EU1375" t="str">
        <f>IF(AND($ED1375+$EE1375+$EI1375+$EH1375+$EF1375=0,$N1375="included"),"In-situ only assumption","")</f>
        <v/>
      </c>
      <c r="EV1375" s="328" t="s">
        <v>5064</v>
      </c>
      <c r="EY1375" t="str">
        <f>IF(ISNUMBER(BW1375),IF(ABS(BW1375-[6]QC_indicators!$B$2)&gt;3*[6]QC_indicators!$C$2,"C ratio",IF(ISNUMBER(CA1375),IF(ABS(CA1375-[6]QC_indicators!$B$1)&gt;3*[6]QC_indicators!$C$1,"DF","no"))),IF(ISNUMBER(CA1375),IF(ABS(CA1375-[6]QC_indicators!$B$1)&gt;3*[6]QC_indicators!$C$1,"DF","no")))</f>
        <v>no</v>
      </c>
      <c r="FA1375" t="str">
        <f>IF(LEN($CY1375)=0,"",IF(AND($CY1375&lt;(-0.05),$ES1375="C neutral forest and HWP assumption"),"Cneutral paradox",IF(AND($CY1375&gt;0.05,$EU1375="In-situ only assumption"),"In-situ only paradox","")))</f>
        <v/>
      </c>
      <c r="FB1375" s="149" t="s">
        <v>2070</v>
      </c>
      <c r="FD1375" s="260" t="s">
        <v>2948</v>
      </c>
    </row>
    <row r="1376" spans="1:160" ht="15" hidden="1" customHeight="1">
      <c r="A1376" s="1" t="s">
        <v>1781</v>
      </c>
      <c r="B1376" t="s">
        <v>2060</v>
      </c>
      <c r="C1376" t="s">
        <v>2061</v>
      </c>
      <c r="D1376" t="s">
        <v>2062</v>
      </c>
      <c r="E1376" t="s">
        <v>2063</v>
      </c>
      <c r="F1376" t="s">
        <v>2064</v>
      </c>
      <c r="G1376" t="s">
        <v>1787</v>
      </c>
      <c r="H1376" t="s">
        <v>254</v>
      </c>
      <c r="I1376">
        <v>2020</v>
      </c>
      <c r="J1376">
        <v>7</v>
      </c>
      <c r="K1376" t="s">
        <v>2065</v>
      </c>
      <c r="M1376" t="str">
        <f>LEFT($D1376,FIND(",",$D1376)-1)&amp;"_"&amp;I1376&amp;L1376</f>
        <v>Smyth_2020</v>
      </c>
      <c r="N1376" t="s">
        <v>222</v>
      </c>
      <c r="O1376" s="145" t="s">
        <v>341</v>
      </c>
      <c r="Q1376" t="s">
        <v>256</v>
      </c>
      <c r="R1376" s="283" t="s">
        <v>225</v>
      </c>
      <c r="S1376" s="1" t="s">
        <v>2071</v>
      </c>
      <c r="T1376" t="s">
        <v>2072</v>
      </c>
      <c r="U1376" t="s">
        <v>1030</v>
      </c>
      <c r="V1376">
        <v>1</v>
      </c>
      <c r="W1376">
        <v>0</v>
      </c>
      <c r="X1376">
        <v>1</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s="141">
        <f>COUNTIF(X1376:AY1376,"&lt;&gt;0")</f>
        <v>1</v>
      </c>
      <c r="BA1376" s="141">
        <f>COUNTIF(X1376:AN1376,"&lt;&gt;0")</f>
        <v>1</v>
      </c>
      <c r="BB1376">
        <f>COUNTIF(X1376:AE1376,"&lt;&gt;0")</f>
        <v>1</v>
      </c>
      <c r="BC1376">
        <f>COUNTIF(AF1376:AK1376,"&lt;&gt;0")</f>
        <v>0</v>
      </c>
      <c r="BD1376">
        <f>COUNTIF(AL1376:AN1376,"&lt;&gt;0")</f>
        <v>0</v>
      </c>
      <c r="BE1376">
        <f>COUNTIF(AU1376:AY1376,"&lt;&gt;0")</f>
        <v>0</v>
      </c>
      <c r="BF1376">
        <f>COUNTIF(AO1376:AT1376,"&lt;&gt;0")</f>
        <v>0</v>
      </c>
      <c r="BG1376" t="str">
        <f t="array" ref="BG1376">IF(BA1376=1,INDEX($X$7:$AN$7,MATCH(TRUE,INDEX($X1376:$AY1376&lt;&gt;0,),0)),IF(BA1376=0,INDEX($AO$7:$AY$7,MATCH(1,$AO1376:$AY1376,0)),IF(BH1376="Multiple strategies","mixed drivers",IF(BH1376="Supply chain","multiple supply","multiple silviculture"))))</f>
        <v>area subject to harvest</v>
      </c>
      <c r="BH1376" s="2" t="str" cm="1">
        <f t="array" ref="BH1376">IF(COUNTIF(BB1376:BD1376,"&lt;&gt;0")=1,INDEX($X$4:$AY$4,MATCH(TRUE,INDEX($X1376:$AY1376&lt;&gt;0,),0)),IF(COUNTIF(BB1376:BD1376,"&lt;&gt;0")=0,INDEX($AO$4:$AY$4,MATCH(1,$AO1376:$AY1376,0)),"Multiple strategies"))</f>
        <v>Silviculture for removals</v>
      </c>
      <c r="BI1376" s="1" t="s">
        <v>321</v>
      </c>
      <c r="BJ1376" t="s">
        <v>2068</v>
      </c>
      <c r="BK1376" s="256" t="s">
        <v>3065</v>
      </c>
      <c r="BL1376" t="s">
        <v>1232</v>
      </c>
      <c r="BM1376">
        <v>434</v>
      </c>
      <c r="BN1376">
        <v>457</v>
      </c>
      <c r="BO1376">
        <f>BN1376/BM1376</f>
        <v>1.0529953917050692</v>
      </c>
      <c r="BP1376">
        <f>BN1376-BM1376</f>
        <v>23</v>
      </c>
      <c r="BQ1376">
        <f>BP1376*10^6*tC_to_m3</f>
        <v>99869735.128093794</v>
      </c>
      <c r="BR1376" t="s">
        <v>232</v>
      </c>
      <c r="BS1376" s="256" t="s">
        <v>3066</v>
      </c>
      <c r="BT1376" t="s">
        <v>2069</v>
      </c>
      <c r="BW1376" s="144"/>
      <c r="BX1376">
        <v>-208</v>
      </c>
      <c r="BZ1376">
        <f>BX1376*10^6</f>
        <v>-208000000</v>
      </c>
      <c r="CA1376">
        <f>IFERROR(BZ1376/BQ1376,"")</f>
        <v>-2.0827130434782606</v>
      </c>
      <c r="CB1376">
        <v>0</v>
      </c>
      <c r="CC1376">
        <v>1</v>
      </c>
      <c r="CD1376">
        <v>1</v>
      </c>
      <c r="CE1376">
        <v>1</v>
      </c>
      <c r="CF1376">
        <v>0</v>
      </c>
      <c r="CG1376">
        <v>0</v>
      </c>
      <c r="CH1376">
        <v>0</v>
      </c>
      <c r="CI1376">
        <v>0</v>
      </c>
      <c r="CJ1376">
        <v>0</v>
      </c>
      <c r="CK1376">
        <v>0</v>
      </c>
      <c r="CL1376">
        <v>0</v>
      </c>
      <c r="CM1376">
        <v>0</v>
      </c>
      <c r="CN1376">
        <v>0</v>
      </c>
      <c r="CO1376">
        <v>0</v>
      </c>
      <c r="CP1376" t="str">
        <f>IF(BN1376&lt;BM1376,"refNeedCorrection","refOK")</f>
        <v>refOK</v>
      </c>
      <c r="CQ1376"/>
      <c r="CR1376"/>
      <c r="CS1376">
        <f>IF($CP1376="refOK",$BQ1376,-$BQ1376)</f>
        <v>99869735.128093794</v>
      </c>
      <c r="CT1376">
        <f>IF(BI1376="Roundwood",$CS1376/2,$CS1376)</f>
        <v>49934867.564046897</v>
      </c>
      <c r="CU1376">
        <f>IF($CP1376="refOK",$BU1376,$BV1376)*IF($BR1376="Emissions positive",-1,1)</f>
        <v>0</v>
      </c>
      <c r="CV1376">
        <f>IF($CP1376="refOK",$BV1376,$BU1376)*IF($BR1376="Emissions positive",-1,1)</f>
        <v>0</v>
      </c>
      <c r="CW1376">
        <f>IF($CP1376="refNeedCorrection",-BZ1376,BZ1376)*IF($BR1376="Emissions positive",-1,1)</f>
        <v>-208000000</v>
      </c>
      <c r="CX1376">
        <f>IFERROR($CW1376/$CS1376,"")</f>
        <v>-2.0827130434782606</v>
      </c>
      <c r="CY1376">
        <f>IFERROR($CW1376/$CS1376,"")</f>
        <v>-2.0827130434782606</v>
      </c>
      <c r="CZ1376">
        <f>IFERROR($CW1376/$CT1376,"")</f>
        <v>-4.1654260869565212</v>
      </c>
      <c r="DA1376" s="2" t="str">
        <f>IFERROR((CV1376-CU1376)/ABS(CU1376),"")</f>
        <v/>
      </c>
      <c r="DB1376" s="1" t="s">
        <v>1074</v>
      </c>
      <c r="DC1376" t="str">
        <f>IF(OR($DB1376="prd",$DB1376="std",$DB1376="cit"),"loc",IF(OR($DB1376="eur",$DB1376="reg",$DB1376="coy"),"reg",$DB1376))</f>
        <v>reg</v>
      </c>
      <c r="DD1376" t="s">
        <v>527</v>
      </c>
      <c r="DE1376">
        <v>2015</v>
      </c>
      <c r="DF1376">
        <v>2070</v>
      </c>
      <c r="DG1376">
        <v>45</v>
      </c>
      <c r="DH1376" t="str">
        <f>IF(DG1376=0,"0",IF(AND(DG1376&gt;=1,DG1376&lt;=30),"1-30",IF(AND(DG1376&gt;30,DG1376&lt;=70),"31-70",IF(AND(DG1376&gt;70,DG1376&lt;=100),"71-100",IF(DG1376&gt;100,"+100")))))</f>
        <v>31-70</v>
      </c>
      <c r="DI1376">
        <v>0</v>
      </c>
      <c r="DJ1376">
        <v>1</v>
      </c>
      <c r="DK1376">
        <v>1</v>
      </c>
      <c r="DL1376">
        <v>1</v>
      </c>
      <c r="DN1376">
        <f>SUM(DI1376:DL1376)</f>
        <v>3</v>
      </c>
      <c r="DO1376" t="str">
        <f>IF(DN1376=1,INDEX($DI$7:$DL$7,MATCH(1,$DI1376:$DL1376,0)),"mixedProduct")</f>
        <v>mixedProduct</v>
      </c>
      <c r="DP1376">
        <f>IF(DI1376=1,DP$7,0)</f>
        <v>0</v>
      </c>
      <c r="DQ1376" t="str">
        <f>IF(DJ1376=1,DQ$7,0)</f>
        <v>Energy</v>
      </c>
      <c r="DR1376" t="str">
        <f>IF(DK1376=1,DR$7,0)</f>
        <v>Pulp/Paper</v>
      </c>
      <c r="DS1376" t="str">
        <f>IF(DL1376=1,DS$7,0)</f>
        <v>Timber</v>
      </c>
      <c r="DT1376">
        <v>1</v>
      </c>
      <c r="DU1376">
        <v>1</v>
      </c>
      <c r="DV1376" t="s">
        <v>2059</v>
      </c>
      <c r="DW1376">
        <v>0</v>
      </c>
      <c r="DX1376">
        <v>0</v>
      </c>
      <c r="DY1376">
        <f>SUM(DT1376:DU1376)</f>
        <v>2</v>
      </c>
      <c r="DZ1376" s="143" t="str">
        <f>IF(DT1376=1,"self-calculated DF",IF(DU1376=1,"external DF used","explicit C balance"))</f>
        <v>self-calculated DF</v>
      </c>
      <c r="EA1376">
        <v>1</v>
      </c>
      <c r="EB1376">
        <v>1</v>
      </c>
      <c r="EC1376">
        <v>1</v>
      </c>
      <c r="ED1376">
        <v>1</v>
      </c>
      <c r="EE1376">
        <v>1</v>
      </c>
      <c r="EF1376" s="143">
        <v>1</v>
      </c>
      <c r="EG1376">
        <v>1</v>
      </c>
      <c r="EH1376">
        <v>1</v>
      </c>
      <c r="EI1376">
        <v>1</v>
      </c>
      <c r="EJ1376">
        <v>1</v>
      </c>
      <c r="EK1376">
        <v>1</v>
      </c>
      <c r="EL1376">
        <v>1</v>
      </c>
      <c r="EM1376">
        <v>0</v>
      </c>
      <c r="EN1376" s="2">
        <v>0</v>
      </c>
      <c r="EP1376" t="str">
        <f>IF(AND(AND(AND(OR($EC1376=1,$EB1376=1),OR($EH1376=1,$EF1376=1)),SUM($EA1376:$EE1376,$EK1376)&gt;=3),SUM($EF1376:$EJ1376)&gt;=2),"Whole sector approach","")</f>
        <v>Whole sector approach</v>
      </c>
      <c r="EQ1376" t="str">
        <f>IF(AND(AND(OR($EC1376=1,$EB1376=1),AND($EH1376=0,$EF1376=0)),SUM($EA1376:$EE1376,$EK1376)&gt;=4),"Ecosystem approach","")</f>
        <v/>
      </c>
      <c r="ER1376" s="2" t="str">
        <f>IF(AND(AND(AND($EC1376=0,$EB1376=0),OR($EH1376=1,$EF1376=1)),SUM($EG1376:$EJ1376)&gt;=2),"Technology approach","")</f>
        <v/>
      </c>
      <c r="ES1376" t="str">
        <f>IF(AND($EC1376+$EB1376+$EE1376+$EA1376+$ED1376+$EG1376=0,$N1376="included"),"C neutral forest and HWP assumption","")</f>
        <v/>
      </c>
      <c r="ET1376" t="str">
        <f>IF(AND(AND(AND(AND($EC1376=1,$EB1376+$EA1376+$EG1376&gt;=1),$EF1376=1),$EH1376+$EI1376+$ED1376+$EE1376&gt;=2),$N1376="included"),"All C pools assumption","")</f>
        <v>All C pools assumption</v>
      </c>
      <c r="EU1376" t="str">
        <f>IF(AND($ED1376+$EE1376+$EI1376+$EH1376+$EF1376=0,$N1376="included"),"In-situ only assumption","")</f>
        <v/>
      </c>
      <c r="EV1376" s="328" t="s">
        <v>5064</v>
      </c>
      <c r="EY1376" t="str">
        <f>IF(ISNUMBER(BW1376),IF(ABS(BW1376-[6]QC_indicators!$B$2)&gt;3*[6]QC_indicators!$C$2,"C ratio",IF(ISNUMBER(CA1376),IF(ABS(CA1376-[6]QC_indicators!$B$1)&gt;3*[6]QC_indicators!$C$1,"DF","no"))),IF(ISNUMBER(CA1376),IF(ABS(CA1376-[6]QC_indicators!$B$1)&gt;3*[6]QC_indicators!$C$1,"DF","no")))</f>
        <v>no</v>
      </c>
      <c r="FA1376" t="str">
        <f>IF(LEN($CY1376)=0,"",IF(AND($CY1376&lt;(-0.05),$ES1376="C neutral forest and HWP assumption"),"Cneutral paradox",IF(AND($CY1376&gt;0.05,$EU1376="In-situ only assumption"),"In-situ only paradox","")))</f>
        <v/>
      </c>
      <c r="FB1376" s="149" t="s">
        <v>2070</v>
      </c>
      <c r="FD1376" s="260" t="s">
        <v>2948</v>
      </c>
    </row>
    <row r="1377" spans="1:160" ht="15" hidden="1" customHeight="1">
      <c r="A1377" s="1" t="s">
        <v>1781</v>
      </c>
      <c r="B1377" t="s">
        <v>2060</v>
      </c>
      <c r="C1377" t="s">
        <v>2061</v>
      </c>
      <c r="D1377" t="s">
        <v>2062</v>
      </c>
      <c r="E1377" t="s">
        <v>2063</v>
      </c>
      <c r="F1377" t="s">
        <v>2064</v>
      </c>
      <c r="G1377" t="s">
        <v>1787</v>
      </c>
      <c r="H1377" t="s">
        <v>254</v>
      </c>
      <c r="I1377">
        <v>2020</v>
      </c>
      <c r="J1377">
        <v>7</v>
      </c>
      <c r="K1377" t="s">
        <v>2065</v>
      </c>
      <c r="M1377" t="str">
        <f>LEFT($D1377,FIND(",",$D1377)-1)&amp;"_"&amp;I1377&amp;L1377</f>
        <v>Smyth_2020</v>
      </c>
      <c r="N1377" t="s">
        <v>222</v>
      </c>
      <c r="O1377" s="145" t="s">
        <v>341</v>
      </c>
      <c r="Q1377" t="s">
        <v>256</v>
      </c>
      <c r="R1377" s="283" t="s">
        <v>225</v>
      </c>
      <c r="S1377" s="1" t="s">
        <v>2066</v>
      </c>
      <c r="T1377" t="s">
        <v>2067</v>
      </c>
      <c r="U1377" t="s">
        <v>1030</v>
      </c>
      <c r="V1377">
        <v>1</v>
      </c>
      <c r="W1377">
        <v>0</v>
      </c>
      <c r="X1377">
        <v>1</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0</v>
      </c>
      <c r="AX1377">
        <v>0</v>
      </c>
      <c r="AY1377">
        <v>0</v>
      </c>
      <c r="AZ1377" s="141">
        <f>COUNTIF(X1377:AY1377,"&lt;&gt;0")</f>
        <v>1</v>
      </c>
      <c r="BA1377" s="141">
        <f>COUNTIF(X1377:AN1377,"&lt;&gt;0")</f>
        <v>1</v>
      </c>
      <c r="BB1377">
        <f>COUNTIF(X1377:AE1377,"&lt;&gt;0")</f>
        <v>1</v>
      </c>
      <c r="BC1377">
        <f>COUNTIF(AF1377:AK1377,"&lt;&gt;0")</f>
        <v>0</v>
      </c>
      <c r="BD1377">
        <f>COUNTIF(AL1377:AN1377,"&lt;&gt;0")</f>
        <v>0</v>
      </c>
      <c r="BE1377">
        <f>COUNTIF(AU1377:AY1377,"&lt;&gt;0")</f>
        <v>0</v>
      </c>
      <c r="BF1377">
        <f>COUNTIF(AO1377:AT1377,"&lt;&gt;0")</f>
        <v>0</v>
      </c>
      <c r="BG1377" t="str">
        <f t="array" ref="BG1377">IF(BA1377=1,INDEX($X$7:$AN$7,MATCH(TRUE,INDEX($X1377:$AY1377&lt;&gt;0,),0)),IF(BA1377=0,INDEX($AO$7:$AY$7,MATCH(1,$AO1377:$AY1377,0)),IF(BH1377="Multiple strategies","mixed drivers",IF(BH1377="Supply chain","multiple supply","multiple silviculture"))))</f>
        <v>area subject to harvest</v>
      </c>
      <c r="BH1377" s="2" t="str" cm="1">
        <f t="array" ref="BH1377">IF(COUNTIF(BB1377:BD1377,"&lt;&gt;0")=1,INDEX($X$4:$AY$4,MATCH(TRUE,INDEX($X1377:$AY1377&lt;&gt;0,),0)),IF(COUNTIF(BB1377:BD1377,"&lt;&gt;0")=0,INDEX($AO$4:$AY$4,MATCH(1,$AO1377:$AY1377,0)),"Multiple strategies"))</f>
        <v>Silviculture for removals</v>
      </c>
      <c r="BI1377" s="1" t="s">
        <v>321</v>
      </c>
      <c r="BJ1377" t="s">
        <v>2068</v>
      </c>
      <c r="BK1377" s="256" t="s">
        <v>3065</v>
      </c>
      <c r="BL1377" t="s">
        <v>1232</v>
      </c>
      <c r="BM1377">
        <v>425</v>
      </c>
      <c r="BN1377">
        <v>457</v>
      </c>
      <c r="BO1377">
        <f>BN1377/BM1377</f>
        <v>1.0752941176470587</v>
      </c>
      <c r="BP1377">
        <f>BN1377-BM1377</f>
        <v>32</v>
      </c>
      <c r="BQ1377">
        <f>BP1377*10^6*tC_to_m3</f>
        <v>138949196.6999566</v>
      </c>
      <c r="BR1377" t="s">
        <v>232</v>
      </c>
      <c r="BS1377" s="256" t="s">
        <v>3066</v>
      </c>
      <c r="BT1377" t="s">
        <v>2069</v>
      </c>
      <c r="BW1377" s="144"/>
      <c r="BX1377">
        <v>-300</v>
      </c>
      <c r="BZ1377">
        <f>BX1377*10^6</f>
        <v>-300000000</v>
      </c>
      <c r="CA1377">
        <f>IFERROR(BZ1377/BQ1377,"")</f>
        <v>-2.1590624999999997</v>
      </c>
      <c r="CB1377">
        <v>0</v>
      </c>
      <c r="CC1377">
        <v>1</v>
      </c>
      <c r="CD1377">
        <v>1</v>
      </c>
      <c r="CE1377">
        <v>1</v>
      </c>
      <c r="CF1377">
        <v>0</v>
      </c>
      <c r="CG1377">
        <v>0</v>
      </c>
      <c r="CH1377">
        <v>0</v>
      </c>
      <c r="CI1377">
        <v>0</v>
      </c>
      <c r="CJ1377">
        <v>0</v>
      </c>
      <c r="CK1377">
        <v>0</v>
      </c>
      <c r="CL1377">
        <v>0</v>
      </c>
      <c r="CM1377">
        <v>0</v>
      </c>
      <c r="CN1377">
        <v>0</v>
      </c>
      <c r="CO1377">
        <v>0</v>
      </c>
      <c r="CP1377" t="str">
        <f>IF(BN1377&lt;BM1377,"refNeedCorrection","refOK")</f>
        <v>refOK</v>
      </c>
      <c r="CQ1377"/>
      <c r="CR1377"/>
      <c r="CS1377">
        <f>IF($CP1377="refOK",$BQ1377,-$BQ1377)</f>
        <v>138949196.6999566</v>
      </c>
      <c r="CT1377">
        <f>IF(BI1377="Roundwood",$CS1377/2,$CS1377)</f>
        <v>69474598.349978298</v>
      </c>
      <c r="CU1377">
        <f>IF($CP1377="refOK",$BU1377,$BV1377)*IF($BR1377="Emissions positive",-1,1)</f>
        <v>0</v>
      </c>
      <c r="CV1377">
        <f>IF($CP1377="refOK",$BV1377,$BU1377)*IF($BR1377="Emissions positive",-1,1)</f>
        <v>0</v>
      </c>
      <c r="CW1377">
        <f>IF($CP1377="refNeedCorrection",-BZ1377,BZ1377)*IF($BR1377="Emissions positive",-1,1)</f>
        <v>-300000000</v>
      </c>
      <c r="CX1377">
        <f>IFERROR($CW1377/$CS1377,"")</f>
        <v>-2.1590624999999997</v>
      </c>
      <c r="CY1377">
        <f>IFERROR($CW1377/$CS1377,"")</f>
        <v>-2.1590624999999997</v>
      </c>
      <c r="CZ1377">
        <f>IFERROR($CW1377/$CT1377,"")</f>
        <v>-4.3181249999999993</v>
      </c>
      <c r="DA1377" s="2" t="str">
        <f>IFERROR((CV1377-CU1377)/ABS(CU1377),"")</f>
        <v/>
      </c>
      <c r="DB1377" s="1" t="s">
        <v>1074</v>
      </c>
      <c r="DC1377" t="str">
        <f>IF(OR($DB1377="prd",$DB1377="std",$DB1377="cit"),"loc",IF(OR($DB1377="eur",$DB1377="reg",$DB1377="coy"),"reg",$DB1377))</f>
        <v>reg</v>
      </c>
      <c r="DD1377" t="s">
        <v>527</v>
      </c>
      <c r="DE1377">
        <v>2015</v>
      </c>
      <c r="DF1377">
        <v>2070</v>
      </c>
      <c r="DG1377">
        <v>45</v>
      </c>
      <c r="DH1377" t="str">
        <f>IF(DG1377=0,"0",IF(AND(DG1377&gt;=1,DG1377&lt;=30),"1-30",IF(AND(DG1377&gt;30,DG1377&lt;=70),"31-70",IF(AND(DG1377&gt;70,DG1377&lt;=100),"71-100",IF(DG1377&gt;100,"+100")))))</f>
        <v>31-70</v>
      </c>
      <c r="DI1377">
        <v>0</v>
      </c>
      <c r="DJ1377">
        <v>1</v>
      </c>
      <c r="DK1377">
        <v>1</v>
      </c>
      <c r="DL1377">
        <v>1</v>
      </c>
      <c r="DN1377">
        <f>SUM(DI1377:DL1377)</f>
        <v>3</v>
      </c>
      <c r="DO1377" t="str">
        <f>IF(DN1377=1,INDEX($DI$7:$DL$7,MATCH(1,$DI1377:$DL1377,0)),"mixedProduct")</f>
        <v>mixedProduct</v>
      </c>
      <c r="DP1377">
        <f>IF(DI1377=1,DP$7,0)</f>
        <v>0</v>
      </c>
      <c r="DQ1377" t="str">
        <f>IF(DJ1377=1,DQ$7,0)</f>
        <v>Energy</v>
      </c>
      <c r="DR1377" t="str">
        <f>IF(DK1377=1,DR$7,0)</f>
        <v>Pulp/Paper</v>
      </c>
      <c r="DS1377" t="str">
        <f>IF(DL1377=1,DS$7,0)</f>
        <v>Timber</v>
      </c>
      <c r="DT1377">
        <v>1</v>
      </c>
      <c r="DU1377">
        <v>1</v>
      </c>
      <c r="DV1377" t="s">
        <v>2059</v>
      </c>
      <c r="DW1377">
        <v>0</v>
      </c>
      <c r="DX1377">
        <v>0</v>
      </c>
      <c r="DY1377">
        <f>SUM(DT1377:DU1377)</f>
        <v>2</v>
      </c>
      <c r="DZ1377" s="143" t="str">
        <f>IF(DT1377=1,"self-calculated DF",IF(DU1377=1,"external DF used","explicit C balance"))</f>
        <v>self-calculated DF</v>
      </c>
      <c r="EA1377">
        <v>1</v>
      </c>
      <c r="EB1377">
        <v>1</v>
      </c>
      <c r="EC1377">
        <v>1</v>
      </c>
      <c r="ED1377">
        <v>1</v>
      </c>
      <c r="EE1377">
        <v>1</v>
      </c>
      <c r="EF1377" s="143">
        <v>1</v>
      </c>
      <c r="EG1377">
        <v>1</v>
      </c>
      <c r="EH1377">
        <v>1</v>
      </c>
      <c r="EI1377">
        <v>1</v>
      </c>
      <c r="EJ1377">
        <v>1</v>
      </c>
      <c r="EK1377">
        <v>1</v>
      </c>
      <c r="EL1377">
        <v>1</v>
      </c>
      <c r="EM1377">
        <v>0</v>
      </c>
      <c r="EN1377" s="2">
        <v>0</v>
      </c>
      <c r="EP1377" t="str">
        <f>IF(AND(AND(AND(OR($EC1377=1,$EB1377=1),OR($EH1377=1,$EF1377=1)),SUM($EA1377:$EE1377,$EK1377)&gt;=3),SUM($EF1377:$EJ1377)&gt;=2),"Whole sector approach","")</f>
        <v>Whole sector approach</v>
      </c>
      <c r="EQ1377" t="str">
        <f>IF(AND(AND(OR($EC1377=1,$EB1377=1),AND($EH1377=0,$EF1377=0)),SUM($EA1377:$EE1377,$EK1377)&gt;=4),"Ecosystem approach","")</f>
        <v/>
      </c>
      <c r="ER1377" s="2" t="str">
        <f>IF(AND(AND(AND($EC1377=0,$EB1377=0),OR($EH1377=1,$EF1377=1)),SUM($EG1377:$EJ1377)&gt;=2),"Technology approach","")</f>
        <v/>
      </c>
      <c r="ES1377" t="str">
        <f>IF(AND($EC1377+$EB1377+$EE1377+$EA1377+$ED1377+$EG1377=0,$N1377="included"),"C neutral forest and HWP assumption","")</f>
        <v/>
      </c>
      <c r="ET1377" t="str">
        <f>IF(AND(AND(AND(AND($EC1377=1,$EB1377+$EA1377+$EG1377&gt;=1),$EF1377=1),$EH1377+$EI1377+$ED1377+$EE1377&gt;=2),$N1377="included"),"All C pools assumption","")</f>
        <v>All C pools assumption</v>
      </c>
      <c r="EU1377" t="str">
        <f>IF(AND($ED1377+$EE1377+$EI1377+$EH1377+$EF1377=0,$N1377="included"),"In-situ only assumption","")</f>
        <v/>
      </c>
      <c r="EV1377" s="328" t="s">
        <v>5064</v>
      </c>
      <c r="EY1377" t="str">
        <f>IF(ISNUMBER(BW1377),IF(ABS(BW1377-[6]QC_indicators!$B$2)&gt;3*[6]QC_indicators!$C$2,"C ratio",IF(ISNUMBER(CA1377),IF(ABS(CA1377-[6]QC_indicators!$B$1)&gt;3*[6]QC_indicators!$C$1,"DF","no"))),IF(ISNUMBER(CA1377),IF(ABS(CA1377-[6]QC_indicators!$B$1)&gt;3*[6]QC_indicators!$C$1,"DF","no")))</f>
        <v>no</v>
      </c>
      <c r="FA1377" t="str">
        <f>IF(LEN($CY1377)=0,"",IF(AND($CY1377&lt;(-0.05),$ES1377="C neutral forest and HWP assumption"),"Cneutral paradox",IF(AND($CY1377&gt;0.05,$EU1377="In-situ only assumption"),"In-situ only paradox","")))</f>
        <v/>
      </c>
      <c r="FB1377" s="149" t="s">
        <v>2070</v>
      </c>
      <c r="FD1377" s="260" t="s">
        <v>2948</v>
      </c>
    </row>
    <row r="1378" spans="1:160" ht="15" hidden="1" customHeight="1">
      <c r="A1378" s="1" t="s">
        <v>1781</v>
      </c>
      <c r="B1378" t="s">
        <v>2060</v>
      </c>
      <c r="C1378" t="s">
        <v>2061</v>
      </c>
      <c r="D1378" t="s">
        <v>2062</v>
      </c>
      <c r="E1378" t="s">
        <v>2063</v>
      </c>
      <c r="F1378" t="s">
        <v>2064</v>
      </c>
      <c r="G1378" t="s">
        <v>1787</v>
      </c>
      <c r="H1378" t="s">
        <v>254</v>
      </c>
      <c r="I1378">
        <v>2020</v>
      </c>
      <c r="J1378">
        <v>7</v>
      </c>
      <c r="K1378" t="s">
        <v>2065</v>
      </c>
      <c r="M1378" t="str">
        <f>LEFT($D1378,FIND(",",$D1378)-1)&amp;"_"&amp;I1378&amp;L1378</f>
        <v>Smyth_2020</v>
      </c>
      <c r="N1378" t="s">
        <v>222</v>
      </c>
      <c r="O1378" s="145" t="s">
        <v>341</v>
      </c>
      <c r="Q1378" t="s">
        <v>256</v>
      </c>
      <c r="R1378" s="283" t="s">
        <v>225</v>
      </c>
      <c r="S1378" s="1" t="s">
        <v>2077</v>
      </c>
      <c r="T1378" t="s">
        <v>1030</v>
      </c>
      <c r="U1378" t="s">
        <v>2078</v>
      </c>
      <c r="V1378" s="253">
        <v>0</v>
      </c>
      <c r="W1378" s="253">
        <v>0</v>
      </c>
      <c r="X1378">
        <v>0</v>
      </c>
      <c r="Y1378">
        <v>0</v>
      </c>
      <c r="Z1378">
        <v>0</v>
      </c>
      <c r="AA1378">
        <v>0</v>
      </c>
      <c r="AB1378">
        <v>0</v>
      </c>
      <c r="AC1378">
        <v>0</v>
      </c>
      <c r="AD1378">
        <v>0</v>
      </c>
      <c r="AE1378">
        <v>0</v>
      </c>
      <c r="AF1378">
        <v>0</v>
      </c>
      <c r="AG1378">
        <v>0</v>
      </c>
      <c r="AH1378">
        <v>1</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s="141">
        <f>COUNTIF(X1378:AY1378,"&lt;&gt;0")</f>
        <v>1</v>
      </c>
      <c r="BA1378" s="141">
        <f>COUNTIF(X1378:AN1378,"&lt;&gt;0")</f>
        <v>1</v>
      </c>
      <c r="BB1378">
        <f>COUNTIF(X1378:AE1378,"&lt;&gt;0")</f>
        <v>0</v>
      </c>
      <c r="BC1378">
        <f>COUNTIF(AF1378:AK1378,"&lt;&gt;0")</f>
        <v>1</v>
      </c>
      <c r="BD1378">
        <f>COUNTIF(AL1378:AN1378,"&lt;&gt;0")</f>
        <v>0</v>
      </c>
      <c r="BE1378">
        <f>COUNTIF(AU1378:AY1378,"&lt;&gt;0")</f>
        <v>0</v>
      </c>
      <c r="BF1378">
        <f>COUNTIF(AO1378:AT1378,"&lt;&gt;0")</f>
        <v>0</v>
      </c>
      <c r="BG1378" t="str">
        <f t="array" ref="BG1378">IF(BA1378=1,INDEX($X$7:$AN$7,MATCH(TRUE,INDEX($X1378:$AY1378&lt;&gt;0,),0)),IF(BA1378=0,INDEX($AO$7:$AY$7,MATCH(1,$AO1378:$AY1378,0)),IF(BH1378="Multiple strategies","mixed drivers",IF(BH1378="Supply chain","multiple supply","multiple silviculture"))))</f>
        <v>supply chain organization</v>
      </c>
      <c r="BH1378" s="2" t="str" cm="1">
        <f t="array" ref="BH1378">IF(COUNTIF(BB1378:BD1378,"&lt;&gt;0")=1,INDEX($X$4:$AY$4,MATCH(TRUE,INDEX($X1378:$AY1378&lt;&gt;0,),0)),IF(COUNTIF(BB1378:BD1378,"&lt;&gt;0")=0,INDEX($AO$4:$AY$4,MATCH(1,$AO1378:$AY1378,0)),"Multiple strategies"))</f>
        <v>Supply chain</v>
      </c>
      <c r="BI1378" s="1" t="s">
        <v>321</v>
      </c>
      <c r="BJ1378" t="s">
        <v>2068</v>
      </c>
      <c r="BK1378" s="256" t="s">
        <v>3065</v>
      </c>
      <c r="BL1378" t="s">
        <v>1232</v>
      </c>
      <c r="BM1378">
        <v>457</v>
      </c>
      <c r="BN1378">
        <v>488</v>
      </c>
      <c r="BO1378">
        <f>BN1378/BM1378</f>
        <v>1.0678336980306347</v>
      </c>
      <c r="BP1378">
        <f>BN1378-BM1378</f>
        <v>31</v>
      </c>
      <c r="BQ1378">
        <f>BP1378*10^6*tC_to_m3</f>
        <v>134607034.30308294</v>
      </c>
      <c r="BR1378" t="s">
        <v>232</v>
      </c>
      <c r="BS1378" s="256" t="s">
        <v>3066</v>
      </c>
      <c r="BT1378" t="s">
        <v>2069</v>
      </c>
      <c r="BW1378" s="144"/>
      <c r="BX1378">
        <v>123</v>
      </c>
      <c r="BZ1378">
        <f>BX1378*10^6</f>
        <v>123000000</v>
      </c>
      <c r="CA1378">
        <f>IFERROR(BZ1378/BQ1378,"")</f>
        <v>0.91377096774193545</v>
      </c>
      <c r="CB1378">
        <v>0</v>
      </c>
      <c r="CC1378">
        <v>1</v>
      </c>
      <c r="CD1378">
        <v>1</v>
      </c>
      <c r="CE1378">
        <v>1</v>
      </c>
      <c r="CF1378">
        <v>0</v>
      </c>
      <c r="CG1378">
        <v>0</v>
      </c>
      <c r="CH1378">
        <v>0</v>
      </c>
      <c r="CI1378">
        <v>0</v>
      </c>
      <c r="CJ1378">
        <v>0</v>
      </c>
      <c r="CK1378">
        <v>0</v>
      </c>
      <c r="CL1378">
        <v>0</v>
      </c>
      <c r="CM1378">
        <v>0</v>
      </c>
      <c r="CN1378">
        <v>0</v>
      </c>
      <c r="CO1378">
        <v>0</v>
      </c>
      <c r="CP1378" t="str">
        <f>IF(BN1378&lt;BM1378,"refNeedCorrection","refOK")</f>
        <v>refOK</v>
      </c>
      <c r="CQ1378"/>
      <c r="CR1378"/>
      <c r="CS1378">
        <f>IF($CP1378="refOK",$BQ1378,-$BQ1378)</f>
        <v>134607034.30308294</v>
      </c>
      <c r="CT1378">
        <f>IF(BI1378="Roundwood",$CS1378/2,$CS1378)</f>
        <v>67303517.151541471</v>
      </c>
      <c r="CU1378">
        <f>IF($CP1378="refOK",$BU1378,$BV1378)*IF($BR1378="Emissions positive",-1,1)</f>
        <v>0</v>
      </c>
      <c r="CV1378">
        <f>IF($CP1378="refOK",$BV1378,$BU1378)*IF($BR1378="Emissions positive",-1,1)</f>
        <v>0</v>
      </c>
      <c r="CW1378">
        <f>IF($CP1378="refNeedCorrection",-BZ1378,BZ1378)*IF($BR1378="Emissions positive",-1,1)</f>
        <v>123000000</v>
      </c>
      <c r="CX1378">
        <f>IFERROR($CW1378/$CS1378,"")</f>
        <v>0.91377096774193545</v>
      </c>
      <c r="CY1378">
        <f>IFERROR($CW1378/$CS1378,"")</f>
        <v>0.91377096774193545</v>
      </c>
      <c r="CZ1378">
        <f>IFERROR($CW1378/$CT1378,"")</f>
        <v>1.8275419354838709</v>
      </c>
      <c r="DA1378" s="2" t="str">
        <f>IFERROR((CV1378-CU1378)/ABS(CU1378),"")</f>
        <v/>
      </c>
      <c r="DB1378" s="1" t="s">
        <v>1074</v>
      </c>
      <c r="DC1378" t="str">
        <f>IF(OR($DB1378="prd",$DB1378="std",$DB1378="cit"),"loc",IF(OR($DB1378="eur",$DB1378="reg",$DB1378="coy"),"reg",$DB1378))</f>
        <v>reg</v>
      </c>
      <c r="DD1378" t="s">
        <v>527</v>
      </c>
      <c r="DE1378">
        <v>2015</v>
      </c>
      <c r="DF1378">
        <v>2070</v>
      </c>
      <c r="DG1378">
        <v>45</v>
      </c>
      <c r="DH1378" t="str">
        <f>IF(DG1378=0,"0",IF(AND(DG1378&gt;=1,DG1378&lt;=30),"1-30",IF(AND(DG1378&gt;30,DG1378&lt;=70),"31-70",IF(AND(DG1378&gt;70,DG1378&lt;=100),"71-100",IF(DG1378&gt;100,"+100")))))</f>
        <v>31-70</v>
      </c>
      <c r="DI1378">
        <v>0</v>
      </c>
      <c r="DJ1378">
        <v>1</v>
      </c>
      <c r="DK1378">
        <v>1</v>
      </c>
      <c r="DL1378">
        <v>1</v>
      </c>
      <c r="DN1378">
        <f>SUM(DI1378:DL1378)</f>
        <v>3</v>
      </c>
      <c r="DO1378" t="str">
        <f>IF(DN1378=1,INDEX($DI$7:$DL$7,MATCH(1,$DI1378:$DL1378,0)),"mixedProduct")</f>
        <v>mixedProduct</v>
      </c>
      <c r="DP1378">
        <f>IF(DI1378=1,DP$7,0)</f>
        <v>0</v>
      </c>
      <c r="DQ1378" t="str">
        <f>IF(DJ1378=1,DQ$7,0)</f>
        <v>Energy</v>
      </c>
      <c r="DR1378" t="str">
        <f>IF(DK1378=1,DR$7,0)</f>
        <v>Pulp/Paper</v>
      </c>
      <c r="DS1378" t="str">
        <f>IF(DL1378=1,DS$7,0)</f>
        <v>Timber</v>
      </c>
      <c r="DT1378">
        <v>1</v>
      </c>
      <c r="DU1378">
        <v>1</v>
      </c>
      <c r="DV1378" t="s">
        <v>2059</v>
      </c>
      <c r="DW1378">
        <v>0</v>
      </c>
      <c r="DX1378">
        <v>0</v>
      </c>
      <c r="DY1378">
        <f>SUM(DT1378:DU1378)</f>
        <v>2</v>
      </c>
      <c r="DZ1378" s="143" t="str">
        <f>IF(DT1378=1,"self-calculated DF",IF(DU1378=1,"external DF used","explicit C balance"))</f>
        <v>self-calculated DF</v>
      </c>
      <c r="EA1378">
        <v>1</v>
      </c>
      <c r="EB1378">
        <v>1</v>
      </c>
      <c r="EC1378">
        <v>1</v>
      </c>
      <c r="ED1378">
        <v>1</v>
      </c>
      <c r="EE1378">
        <v>1</v>
      </c>
      <c r="EF1378" s="143">
        <v>1</v>
      </c>
      <c r="EG1378">
        <v>1</v>
      </c>
      <c r="EH1378">
        <v>1</v>
      </c>
      <c r="EI1378">
        <v>1</v>
      </c>
      <c r="EJ1378">
        <v>1</v>
      </c>
      <c r="EK1378">
        <v>1</v>
      </c>
      <c r="EL1378">
        <v>1</v>
      </c>
      <c r="EM1378">
        <v>0</v>
      </c>
      <c r="EN1378" s="2">
        <v>0</v>
      </c>
      <c r="EP1378" t="str">
        <f>IF(AND(AND(AND(OR($EC1378=1,$EB1378=1),OR($EH1378=1,$EF1378=1)),SUM($EA1378:$EE1378,$EK1378)&gt;=3),SUM($EF1378:$EJ1378)&gt;=2),"Whole sector approach","")</f>
        <v>Whole sector approach</v>
      </c>
      <c r="EQ1378" t="str">
        <f>IF(AND(AND(OR($EC1378=1,$EB1378=1),AND($EH1378=0,$EF1378=0)),SUM($EA1378:$EE1378,$EK1378)&gt;=4),"Ecosystem approach","")</f>
        <v/>
      </c>
      <c r="ER1378" s="2" t="str">
        <f>IF(AND(AND(AND($EC1378=0,$EB1378=0),OR($EH1378=1,$EF1378=1)),SUM($EG1378:$EJ1378)&gt;=2),"Technology approach","")</f>
        <v/>
      </c>
      <c r="ES1378" t="str">
        <f>IF(AND($EC1378+$EB1378+$EE1378+$EA1378+$ED1378+$EG1378=0,$N1378="included"),"C neutral forest and HWP assumption","")</f>
        <v/>
      </c>
      <c r="ET1378" t="str">
        <f>IF(AND(AND(AND(AND($EC1378=1,$EB1378+$EA1378+$EG1378&gt;=1),$EF1378=1),$EH1378+$EI1378+$ED1378+$EE1378&gt;=2),$N1378="included"),"All C pools assumption","")</f>
        <v>All C pools assumption</v>
      </c>
      <c r="EU1378" t="str">
        <f>IF(AND($ED1378+$EE1378+$EI1378+$EH1378+$EF1378=0,$N1378="included"),"In-situ only assumption","")</f>
        <v/>
      </c>
      <c r="EV1378" s="328" t="s">
        <v>5064</v>
      </c>
      <c r="EY1378" t="str">
        <f>IF(ISNUMBER(BW1378),IF(ABS(BW1378-[6]QC_indicators!$B$2)&gt;3*[6]QC_indicators!$C$2,"C ratio",IF(ISNUMBER(CA1378),IF(ABS(CA1378-[6]QC_indicators!$B$1)&gt;3*[6]QC_indicators!$C$1,"DF","no"))),IF(ISNUMBER(CA1378),IF(ABS(CA1378-[6]QC_indicators!$B$1)&gt;3*[6]QC_indicators!$C$1,"DF","no")))</f>
        <v>no</v>
      </c>
      <c r="FA1378" t="str">
        <f>IF(LEN($CY1378)=0,"",IF(AND($CY1378&lt;(-0.05),$ES1378="C neutral forest and HWP assumption"),"Cneutral paradox",IF(AND($CY1378&gt;0.05,$EU1378="In-situ only assumption"),"In-situ only paradox","")))</f>
        <v/>
      </c>
      <c r="FB1378" s="149" t="s">
        <v>2070</v>
      </c>
      <c r="FD1378" s="260" t="s">
        <v>2948</v>
      </c>
    </row>
    <row r="1379" spans="1:160" ht="15" hidden="1" customHeight="1">
      <c r="A1379" s="1" t="s">
        <v>1781</v>
      </c>
      <c r="B1379" t="s">
        <v>2060</v>
      </c>
      <c r="C1379" t="s">
        <v>2061</v>
      </c>
      <c r="D1379" t="s">
        <v>2062</v>
      </c>
      <c r="E1379" t="s">
        <v>2063</v>
      </c>
      <c r="F1379" t="s">
        <v>2064</v>
      </c>
      <c r="G1379" t="s">
        <v>1787</v>
      </c>
      <c r="H1379" t="s">
        <v>254</v>
      </c>
      <c r="I1379">
        <v>2020</v>
      </c>
      <c r="J1379">
        <v>7</v>
      </c>
      <c r="K1379" t="s">
        <v>2065</v>
      </c>
      <c r="M1379" t="str">
        <f>LEFT($D1379,FIND(",",$D1379)-1)&amp;"_"&amp;I1379&amp;L1379</f>
        <v>Smyth_2020</v>
      </c>
      <c r="N1379" t="s">
        <v>222</v>
      </c>
      <c r="O1379" s="145" t="s">
        <v>341</v>
      </c>
      <c r="Q1379" t="s">
        <v>256</v>
      </c>
      <c r="R1379" s="283" t="s">
        <v>225</v>
      </c>
      <c r="S1379" s="1" t="s">
        <v>2090</v>
      </c>
      <c r="T1379" t="s">
        <v>1030</v>
      </c>
      <c r="U1379" t="s">
        <v>2091</v>
      </c>
      <c r="V1379" s="253">
        <v>0</v>
      </c>
      <c r="W1379" s="253">
        <v>0</v>
      </c>
      <c r="X1379">
        <v>0</v>
      </c>
      <c r="Y1379">
        <v>0</v>
      </c>
      <c r="Z1379">
        <v>0</v>
      </c>
      <c r="AA1379">
        <v>0</v>
      </c>
      <c r="AB1379">
        <v>0</v>
      </c>
      <c r="AC1379">
        <v>0</v>
      </c>
      <c r="AD1379">
        <v>0</v>
      </c>
      <c r="AE1379">
        <v>0</v>
      </c>
      <c r="AF1379">
        <v>0</v>
      </c>
      <c r="AG1379">
        <v>0</v>
      </c>
      <c r="AH1379">
        <v>1</v>
      </c>
      <c r="AI1379">
        <v>0</v>
      </c>
      <c r="AJ1379">
        <v>0</v>
      </c>
      <c r="AK1379">
        <v>0</v>
      </c>
      <c r="AL1379">
        <v>0</v>
      </c>
      <c r="AM1379">
        <v>0</v>
      </c>
      <c r="AN1379">
        <v>0</v>
      </c>
      <c r="AO1379">
        <v>0</v>
      </c>
      <c r="AP1379">
        <v>0</v>
      </c>
      <c r="AQ1379">
        <v>0</v>
      </c>
      <c r="AR1379">
        <v>0</v>
      </c>
      <c r="AS1379">
        <v>0</v>
      </c>
      <c r="AT1379">
        <v>0</v>
      </c>
      <c r="AU1379">
        <v>0</v>
      </c>
      <c r="AV1379">
        <v>0</v>
      </c>
      <c r="AW1379">
        <v>0</v>
      </c>
      <c r="AX1379">
        <v>0</v>
      </c>
      <c r="AY1379">
        <v>0</v>
      </c>
      <c r="AZ1379" s="141">
        <f>COUNTIF(X1379:AY1379,"&lt;&gt;0")</f>
        <v>1</v>
      </c>
      <c r="BA1379" s="141">
        <f>COUNTIF(X1379:AN1379,"&lt;&gt;0")</f>
        <v>1</v>
      </c>
      <c r="BB1379">
        <f>COUNTIF(X1379:AE1379,"&lt;&gt;0")</f>
        <v>0</v>
      </c>
      <c r="BC1379">
        <f>COUNTIF(AF1379:AK1379,"&lt;&gt;0")</f>
        <v>1</v>
      </c>
      <c r="BD1379">
        <f>COUNTIF(AL1379:AN1379,"&lt;&gt;0")</f>
        <v>0</v>
      </c>
      <c r="BE1379">
        <f>COUNTIF(AU1379:AY1379,"&lt;&gt;0")</f>
        <v>0</v>
      </c>
      <c r="BF1379">
        <f>COUNTIF(AO1379:AT1379,"&lt;&gt;0")</f>
        <v>0</v>
      </c>
      <c r="BG1379" t="str">
        <f t="array" ref="BG1379">IF(BA1379=1,INDEX($X$7:$AN$7,MATCH(TRUE,INDEX($X1379:$AY1379&lt;&gt;0,),0)),IF(BA1379=0,INDEX($AO$7:$AY$7,MATCH(1,$AO1379:$AY1379,0)),IF(BH1379="Multiple strategies","mixed drivers",IF(BH1379="Supply chain","multiple supply","multiple silviculture"))))</f>
        <v>supply chain organization</v>
      </c>
      <c r="BH1379" s="2" t="str" cm="1">
        <f t="array" ref="BH1379">IF(COUNTIF(BB1379:BD1379,"&lt;&gt;0")=1,INDEX($X$4:$AY$4,MATCH(TRUE,INDEX($X1379:$AY1379&lt;&gt;0,),0)),IF(COUNTIF(BB1379:BD1379,"&lt;&gt;0")=0,INDEX($AO$4:$AY$4,MATCH(1,$AO1379:$AY1379,0)),"Multiple strategies"))</f>
        <v>Supply chain</v>
      </c>
      <c r="BI1379" s="1" t="s">
        <v>321</v>
      </c>
      <c r="BJ1379" t="s">
        <v>2068</v>
      </c>
      <c r="BK1379" s="256" t="s">
        <v>3069</v>
      </c>
      <c r="BL1379" t="s">
        <v>1232</v>
      </c>
      <c r="BM1379">
        <v>457</v>
      </c>
      <c r="BN1379" s="284">
        <f>BM1379+(4.2/tC_to_m3*55)</f>
        <v>510.19929999999999</v>
      </c>
      <c r="BO1379">
        <f>BN1379/BM1379</f>
        <v>1.1164098468271335</v>
      </c>
      <c r="BP1379">
        <f>BN1379-BM1379</f>
        <v>53.199299999999994</v>
      </c>
      <c r="BQ1379">
        <f>BP1379*10^6*tC_to_m3</f>
        <v>230999999.99999997</v>
      </c>
      <c r="BR1379" t="s">
        <v>232</v>
      </c>
      <c r="BS1379" s="256" t="s">
        <v>3067</v>
      </c>
      <c r="BT1379" t="s">
        <v>2069</v>
      </c>
      <c r="BW1379" s="144"/>
      <c r="BX1379">
        <v>191</v>
      </c>
      <c r="BZ1379">
        <f>BX1379*10^6</f>
        <v>191000000</v>
      </c>
      <c r="CA1379">
        <f>IFERROR(BZ1379/BQ1379,"")</f>
        <v>0.82683982683982693</v>
      </c>
      <c r="CB1379">
        <v>0</v>
      </c>
      <c r="CC1379">
        <v>1</v>
      </c>
      <c r="CD1379">
        <v>1</v>
      </c>
      <c r="CE1379">
        <v>1</v>
      </c>
      <c r="CF1379">
        <v>0</v>
      </c>
      <c r="CG1379">
        <v>0</v>
      </c>
      <c r="CH1379">
        <v>0</v>
      </c>
      <c r="CI1379">
        <v>0</v>
      </c>
      <c r="CJ1379">
        <v>0</v>
      </c>
      <c r="CK1379">
        <v>0</v>
      </c>
      <c r="CL1379">
        <v>0</v>
      </c>
      <c r="CM1379">
        <v>0</v>
      </c>
      <c r="CN1379">
        <v>0</v>
      </c>
      <c r="CO1379">
        <v>0</v>
      </c>
      <c r="CP1379" t="str">
        <f>IF(BN1379&lt;BM1379,"refNeedCorrection","refOK")</f>
        <v>refOK</v>
      </c>
      <c r="CQ1379"/>
      <c r="CR1379"/>
      <c r="CS1379">
        <f>IF($CP1379="refOK",$BQ1379,-$BQ1379)</f>
        <v>230999999.99999997</v>
      </c>
      <c r="CT1379">
        <f>IF(BI1379="Roundwood",$CS1379/2,$CS1379)</f>
        <v>115499999.99999999</v>
      </c>
      <c r="CU1379">
        <f>IF($CP1379="refOK",$BU1379,$BV1379)*IF($BR1379="Emissions positive",-1,1)</f>
        <v>0</v>
      </c>
      <c r="CV1379">
        <f>IF($CP1379="refOK",$BV1379,$BU1379)*IF($BR1379="Emissions positive",-1,1)</f>
        <v>0</v>
      </c>
      <c r="CW1379">
        <f>IF($CP1379="refNeedCorrection",-BZ1379,BZ1379)*IF($BR1379="Emissions positive",-1,1)</f>
        <v>191000000</v>
      </c>
      <c r="CX1379">
        <f>IFERROR($CW1379/$CS1379,"")</f>
        <v>0.82683982683982693</v>
      </c>
      <c r="CY1379">
        <f>IFERROR($CW1379/$CS1379,"")</f>
        <v>0.82683982683982693</v>
      </c>
      <c r="CZ1379">
        <f>IFERROR($CW1379/$CT1379,"")</f>
        <v>1.6536796536796539</v>
      </c>
      <c r="DA1379" s="2" t="str">
        <f>IFERROR((CV1379-CU1379)/ABS(CU1379),"")</f>
        <v/>
      </c>
      <c r="DB1379" s="1" t="s">
        <v>1074</v>
      </c>
      <c r="DC1379" t="str">
        <f>IF(OR($DB1379="prd",$DB1379="std",$DB1379="cit"),"loc",IF(OR($DB1379="eur",$DB1379="reg",$DB1379="coy"),"reg",$DB1379))</f>
        <v>reg</v>
      </c>
      <c r="DD1379" t="s">
        <v>527</v>
      </c>
      <c r="DE1379">
        <v>2015</v>
      </c>
      <c r="DF1379">
        <v>2070</v>
      </c>
      <c r="DG1379">
        <v>45</v>
      </c>
      <c r="DH1379" t="str">
        <f>IF(DG1379=0,"0",IF(AND(DG1379&gt;=1,DG1379&lt;=30),"1-30",IF(AND(DG1379&gt;30,DG1379&lt;=70),"31-70",IF(AND(DG1379&gt;70,DG1379&lt;=100),"71-100",IF(DG1379&gt;100,"+100")))))</f>
        <v>31-70</v>
      </c>
      <c r="DI1379">
        <v>0</v>
      </c>
      <c r="DJ1379">
        <v>1</v>
      </c>
      <c r="DK1379">
        <v>1</v>
      </c>
      <c r="DL1379">
        <v>1</v>
      </c>
      <c r="DN1379">
        <f>SUM(DI1379:DL1379)</f>
        <v>3</v>
      </c>
      <c r="DO1379" t="str">
        <f>IF(DN1379=1,INDEX($DI$7:$DL$7,MATCH(1,$DI1379:$DL1379,0)),"mixedProduct")</f>
        <v>mixedProduct</v>
      </c>
      <c r="DP1379">
        <f>IF(DI1379=1,DP$7,0)</f>
        <v>0</v>
      </c>
      <c r="DQ1379" t="str">
        <f>IF(DJ1379=1,DQ$7,0)</f>
        <v>Energy</v>
      </c>
      <c r="DR1379" t="str">
        <f>IF(DK1379=1,DR$7,0)</f>
        <v>Pulp/Paper</v>
      </c>
      <c r="DS1379" t="str">
        <f>IF(DL1379=1,DS$7,0)</f>
        <v>Timber</v>
      </c>
      <c r="DT1379">
        <v>1</v>
      </c>
      <c r="DU1379">
        <v>1</v>
      </c>
      <c r="DV1379" t="s">
        <v>2059</v>
      </c>
      <c r="DW1379">
        <v>0</v>
      </c>
      <c r="DX1379">
        <v>0</v>
      </c>
      <c r="DY1379">
        <f>SUM(DT1379:DU1379)</f>
        <v>2</v>
      </c>
      <c r="DZ1379" s="143" t="str">
        <f>IF(DT1379=1,"self-calculated DF",IF(DU1379=1,"external DF used","explicit C balance"))</f>
        <v>self-calculated DF</v>
      </c>
      <c r="EA1379">
        <v>1</v>
      </c>
      <c r="EB1379">
        <v>1</v>
      </c>
      <c r="EC1379">
        <v>1</v>
      </c>
      <c r="ED1379">
        <v>1</v>
      </c>
      <c r="EE1379">
        <v>1</v>
      </c>
      <c r="EF1379" s="143">
        <v>1</v>
      </c>
      <c r="EG1379">
        <v>1</v>
      </c>
      <c r="EH1379">
        <v>1</v>
      </c>
      <c r="EI1379">
        <v>1</v>
      </c>
      <c r="EJ1379">
        <v>1</v>
      </c>
      <c r="EK1379">
        <v>1</v>
      </c>
      <c r="EL1379">
        <v>1</v>
      </c>
      <c r="EM1379">
        <v>0</v>
      </c>
      <c r="EN1379" s="2">
        <v>0</v>
      </c>
      <c r="EP1379" t="str">
        <f>IF(AND(AND(AND(OR($EC1379=1,$EB1379=1),OR($EH1379=1,$EF1379=1)),SUM($EA1379:$EE1379,$EK1379)&gt;=3),SUM($EF1379:$EJ1379)&gt;=2),"Whole sector approach","")</f>
        <v>Whole sector approach</v>
      </c>
      <c r="EQ1379" t="str">
        <f>IF(AND(AND(OR($EC1379=1,$EB1379=1),AND($EH1379=0,$EF1379=0)),SUM($EA1379:$EE1379,$EK1379)&gt;=4),"Ecosystem approach","")</f>
        <v/>
      </c>
      <c r="ER1379" s="2" t="str">
        <f>IF(AND(AND(AND($EC1379=0,$EB1379=0),OR($EH1379=1,$EF1379=1)),SUM($EG1379:$EJ1379)&gt;=2),"Technology approach","")</f>
        <v/>
      </c>
      <c r="ES1379" t="str">
        <f>IF(AND($EC1379+$EB1379+$EE1379+$EA1379+$ED1379+$EG1379=0,$N1379="included"),"C neutral forest and HWP assumption","")</f>
        <v/>
      </c>
      <c r="ET1379" t="str">
        <f>IF(AND(AND(AND(AND($EC1379=1,$EB1379+$EA1379+$EG1379&gt;=1),$EF1379=1),$EH1379+$EI1379+$ED1379+$EE1379&gt;=2),$N1379="included"),"All C pools assumption","")</f>
        <v>All C pools assumption</v>
      </c>
      <c r="EU1379" t="str">
        <f>IF(AND($ED1379+$EE1379+$EI1379+$EH1379+$EF1379=0,$N1379="included"),"In-situ only assumption","")</f>
        <v/>
      </c>
      <c r="EV1379" s="328" t="s">
        <v>5064</v>
      </c>
      <c r="EY1379" t="str">
        <f>IF(ISNUMBER(BW1379),IF(ABS(BW1379-[6]QC_indicators!$B$2)&gt;3*[6]QC_indicators!$C$2,"C ratio",IF(ISNUMBER(CA1379),IF(ABS(CA1379-[6]QC_indicators!$B$1)&gt;3*[6]QC_indicators!$C$1,"DF","no"))),IF(ISNUMBER(CA1379),IF(ABS(CA1379-[6]QC_indicators!$B$1)&gt;3*[6]QC_indicators!$C$1,"DF","no")))</f>
        <v>no</v>
      </c>
      <c r="FA1379" t="str">
        <f>IF(LEN($CY1379)=0,"",IF(AND($CY1379&lt;(-0.05),$ES1379="C neutral forest and HWP assumption"),"Cneutral paradox",IF(AND($CY1379&gt;0.05,$EU1379="In-situ only assumption"),"In-situ only paradox","")))</f>
        <v/>
      </c>
      <c r="FB1379" s="149" t="s">
        <v>2070</v>
      </c>
      <c r="FD1379" s="260" t="s">
        <v>2948</v>
      </c>
    </row>
    <row r="1380" spans="1:160" ht="15" hidden="1" customHeight="1">
      <c r="A1380" s="1" t="s">
        <v>1781</v>
      </c>
      <c r="B1380" t="s">
        <v>2060</v>
      </c>
      <c r="C1380" t="s">
        <v>2061</v>
      </c>
      <c r="D1380" t="s">
        <v>2062</v>
      </c>
      <c r="E1380" t="s">
        <v>2063</v>
      </c>
      <c r="F1380" t="s">
        <v>2064</v>
      </c>
      <c r="G1380" t="s">
        <v>1787</v>
      </c>
      <c r="H1380" t="s">
        <v>254</v>
      </c>
      <c r="I1380">
        <v>2020</v>
      </c>
      <c r="J1380">
        <v>7</v>
      </c>
      <c r="K1380" t="s">
        <v>2065</v>
      </c>
      <c r="M1380" t="str">
        <f>LEFT($D1380,FIND(",",$D1380)-1)&amp;"_"&amp;I1380&amp;L1380</f>
        <v>Smyth_2020</v>
      </c>
      <c r="N1380" t="s">
        <v>222</v>
      </c>
      <c r="O1380" s="145" t="s">
        <v>341</v>
      </c>
      <c r="Q1380" t="s">
        <v>256</v>
      </c>
      <c r="R1380" s="283" t="s">
        <v>225</v>
      </c>
      <c r="S1380" s="1" t="s">
        <v>2088</v>
      </c>
      <c r="T1380" t="s">
        <v>1030</v>
      </c>
      <c r="U1380" t="s">
        <v>2089</v>
      </c>
      <c r="V1380" s="253">
        <v>0</v>
      </c>
      <c r="W1380" s="253">
        <v>0</v>
      </c>
      <c r="X1380">
        <v>0</v>
      </c>
      <c r="Y1380">
        <v>0</v>
      </c>
      <c r="Z1380">
        <v>0</v>
      </c>
      <c r="AA1380">
        <v>0</v>
      </c>
      <c r="AB1380">
        <v>0</v>
      </c>
      <c r="AC1380">
        <v>0</v>
      </c>
      <c r="AD1380">
        <v>0</v>
      </c>
      <c r="AE1380">
        <v>0</v>
      </c>
      <c r="AF1380">
        <v>0</v>
      </c>
      <c r="AG1380">
        <v>0</v>
      </c>
      <c r="AH1380">
        <v>1</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s="141">
        <f>COUNTIF(X1380:AY1380,"&lt;&gt;0")</f>
        <v>1</v>
      </c>
      <c r="BA1380" s="141">
        <f>COUNTIF(X1380:AN1380,"&lt;&gt;0")</f>
        <v>1</v>
      </c>
      <c r="BB1380">
        <f>COUNTIF(X1380:AE1380,"&lt;&gt;0")</f>
        <v>0</v>
      </c>
      <c r="BC1380">
        <f>COUNTIF(AF1380:AK1380,"&lt;&gt;0")</f>
        <v>1</v>
      </c>
      <c r="BD1380">
        <f>COUNTIF(AL1380:AN1380,"&lt;&gt;0")</f>
        <v>0</v>
      </c>
      <c r="BE1380">
        <f>COUNTIF(AU1380:AY1380,"&lt;&gt;0")</f>
        <v>0</v>
      </c>
      <c r="BF1380">
        <f>COUNTIF(AO1380:AT1380,"&lt;&gt;0")</f>
        <v>0</v>
      </c>
      <c r="BG1380" t="str">
        <f t="array" ref="BG1380">IF(BA1380=1,INDEX($X$7:$AN$7,MATCH(TRUE,INDEX($X1380:$AY1380&lt;&gt;0,),0)),IF(BA1380=0,INDEX($AO$7:$AY$7,MATCH(1,$AO1380:$AY1380,0)),IF(BH1380="Multiple strategies","mixed drivers",IF(BH1380="Supply chain","multiple supply","multiple silviculture"))))</f>
        <v>supply chain organization</v>
      </c>
      <c r="BH1380" s="2" t="str" cm="1">
        <f t="array" ref="BH1380">IF(COUNTIF(BB1380:BD1380,"&lt;&gt;0")=1,INDEX($X$4:$AY$4,MATCH(TRUE,INDEX($X1380:$AY1380&lt;&gt;0,),0)),IF(COUNTIF(BB1380:BD1380,"&lt;&gt;0")=0,INDEX($AO$4:$AY$4,MATCH(1,$AO1380:$AY1380,0)),"Multiple strategies"))</f>
        <v>Supply chain</v>
      </c>
      <c r="BI1380" s="1" t="s">
        <v>321</v>
      </c>
      <c r="BJ1380" t="s">
        <v>2068</v>
      </c>
      <c r="BK1380" s="256" t="s">
        <v>3069</v>
      </c>
      <c r="BL1380" t="s">
        <v>1232</v>
      </c>
      <c r="BM1380">
        <v>457</v>
      </c>
      <c r="BN1380" s="284">
        <f>BM1380+(4.2/tC_to_m3*55)</f>
        <v>510.19929999999999</v>
      </c>
      <c r="BO1380">
        <f>BN1380/BM1380</f>
        <v>1.1164098468271335</v>
      </c>
      <c r="BP1380">
        <f>BN1380-BM1380</f>
        <v>53.199299999999994</v>
      </c>
      <c r="BQ1380">
        <f>BP1380*10^6*tC_to_m3</f>
        <v>230999999.99999997</v>
      </c>
      <c r="BR1380" t="s">
        <v>232</v>
      </c>
      <c r="BS1380" s="256" t="s">
        <v>3066</v>
      </c>
      <c r="BT1380" t="s">
        <v>2069</v>
      </c>
      <c r="BW1380" s="144"/>
      <c r="BX1380">
        <v>156</v>
      </c>
      <c r="BZ1380">
        <f>BX1380*10^6</f>
        <v>156000000</v>
      </c>
      <c r="CA1380">
        <f>IFERROR(BZ1380/BQ1380,"")</f>
        <v>0.67532467532467544</v>
      </c>
      <c r="CB1380">
        <v>0</v>
      </c>
      <c r="CC1380">
        <v>1</v>
      </c>
      <c r="CD1380">
        <v>1</v>
      </c>
      <c r="CE1380">
        <v>1</v>
      </c>
      <c r="CF1380">
        <v>0</v>
      </c>
      <c r="CG1380">
        <v>0</v>
      </c>
      <c r="CH1380">
        <v>0</v>
      </c>
      <c r="CI1380">
        <v>0</v>
      </c>
      <c r="CJ1380">
        <v>0</v>
      </c>
      <c r="CK1380">
        <v>0</v>
      </c>
      <c r="CL1380">
        <v>0</v>
      </c>
      <c r="CM1380">
        <v>0</v>
      </c>
      <c r="CN1380">
        <v>0</v>
      </c>
      <c r="CO1380">
        <v>0</v>
      </c>
      <c r="CP1380" t="str">
        <f>IF(BN1380&lt;BM1380,"refNeedCorrection","refOK")</f>
        <v>refOK</v>
      </c>
      <c r="CQ1380"/>
      <c r="CR1380"/>
      <c r="CS1380">
        <f>IF($CP1380="refOK",$BQ1380,-$BQ1380)</f>
        <v>230999999.99999997</v>
      </c>
      <c r="CT1380">
        <f>IF(BI1380="Roundwood",$CS1380/2,$CS1380)</f>
        <v>115499999.99999999</v>
      </c>
      <c r="CU1380">
        <f>IF($CP1380="refOK",$BU1380,$BV1380)*IF($BR1380="Emissions positive",-1,1)</f>
        <v>0</v>
      </c>
      <c r="CV1380">
        <f>IF($CP1380="refOK",$BV1380,$BU1380)*IF($BR1380="Emissions positive",-1,1)</f>
        <v>0</v>
      </c>
      <c r="CW1380">
        <f>IF($CP1380="refNeedCorrection",-BZ1380,BZ1380)*IF($BR1380="Emissions positive",-1,1)</f>
        <v>156000000</v>
      </c>
      <c r="CX1380">
        <f>IFERROR($CW1380/$CS1380,"")</f>
        <v>0.67532467532467544</v>
      </c>
      <c r="CY1380">
        <f>IFERROR($CW1380/$CS1380,"")</f>
        <v>0.67532467532467544</v>
      </c>
      <c r="CZ1380">
        <f>IFERROR($CW1380/$CT1380,"")</f>
        <v>1.3506493506493509</v>
      </c>
      <c r="DA1380" s="2" t="str">
        <f>IFERROR((CV1380-CU1380)/ABS(CU1380),"")</f>
        <v/>
      </c>
      <c r="DB1380" s="1" t="s">
        <v>1074</v>
      </c>
      <c r="DC1380" t="str">
        <f>IF(OR($DB1380="prd",$DB1380="std",$DB1380="cit"),"loc",IF(OR($DB1380="eur",$DB1380="reg",$DB1380="coy"),"reg",$DB1380))</f>
        <v>reg</v>
      </c>
      <c r="DD1380" t="s">
        <v>527</v>
      </c>
      <c r="DE1380">
        <v>2015</v>
      </c>
      <c r="DF1380">
        <v>2070</v>
      </c>
      <c r="DG1380">
        <v>45</v>
      </c>
      <c r="DH1380" t="str">
        <f>IF(DG1380=0,"0",IF(AND(DG1380&gt;=1,DG1380&lt;=30),"1-30",IF(AND(DG1380&gt;30,DG1380&lt;=70),"31-70",IF(AND(DG1380&gt;70,DG1380&lt;=100),"71-100",IF(DG1380&gt;100,"+100")))))</f>
        <v>31-70</v>
      </c>
      <c r="DI1380">
        <v>0</v>
      </c>
      <c r="DJ1380">
        <v>1</v>
      </c>
      <c r="DK1380">
        <v>1</v>
      </c>
      <c r="DL1380">
        <v>1</v>
      </c>
      <c r="DN1380">
        <f>SUM(DI1380:DL1380)</f>
        <v>3</v>
      </c>
      <c r="DO1380" t="str">
        <f>IF(DN1380=1,INDEX($DI$7:$DL$7,MATCH(1,$DI1380:$DL1380,0)),"mixedProduct")</f>
        <v>mixedProduct</v>
      </c>
      <c r="DP1380">
        <f>IF(DI1380=1,DP$7,0)</f>
        <v>0</v>
      </c>
      <c r="DQ1380" t="str">
        <f>IF(DJ1380=1,DQ$7,0)</f>
        <v>Energy</v>
      </c>
      <c r="DR1380" t="str">
        <f>IF(DK1380=1,DR$7,0)</f>
        <v>Pulp/Paper</v>
      </c>
      <c r="DS1380" t="str">
        <f>IF(DL1380=1,DS$7,0)</f>
        <v>Timber</v>
      </c>
      <c r="DT1380">
        <v>1</v>
      </c>
      <c r="DU1380">
        <v>1</v>
      </c>
      <c r="DV1380" t="s">
        <v>2059</v>
      </c>
      <c r="DW1380">
        <v>0</v>
      </c>
      <c r="DX1380">
        <v>0</v>
      </c>
      <c r="DY1380">
        <f>SUM(DT1380:DU1380)</f>
        <v>2</v>
      </c>
      <c r="DZ1380" s="143" t="str">
        <f>IF(DT1380=1,"self-calculated DF",IF(DU1380=1,"external DF used","explicit C balance"))</f>
        <v>self-calculated DF</v>
      </c>
      <c r="EA1380">
        <v>1</v>
      </c>
      <c r="EB1380">
        <v>1</v>
      </c>
      <c r="EC1380">
        <v>1</v>
      </c>
      <c r="ED1380">
        <v>1</v>
      </c>
      <c r="EE1380">
        <v>1</v>
      </c>
      <c r="EF1380" s="143">
        <v>1</v>
      </c>
      <c r="EG1380">
        <v>1</v>
      </c>
      <c r="EH1380">
        <v>1</v>
      </c>
      <c r="EI1380">
        <v>1</v>
      </c>
      <c r="EJ1380">
        <v>1</v>
      </c>
      <c r="EK1380">
        <v>1</v>
      </c>
      <c r="EL1380">
        <v>1</v>
      </c>
      <c r="EM1380">
        <v>0</v>
      </c>
      <c r="EN1380" s="2">
        <v>0</v>
      </c>
      <c r="EP1380" t="str">
        <f>IF(AND(AND(AND(OR($EC1380=1,$EB1380=1),OR($EH1380=1,$EF1380=1)),SUM($EA1380:$EE1380,$EK1380)&gt;=3),SUM($EF1380:$EJ1380)&gt;=2),"Whole sector approach","")</f>
        <v>Whole sector approach</v>
      </c>
      <c r="EQ1380" t="str">
        <f>IF(AND(AND(OR($EC1380=1,$EB1380=1),AND($EH1380=0,$EF1380=0)),SUM($EA1380:$EE1380,$EK1380)&gt;=4),"Ecosystem approach","")</f>
        <v/>
      </c>
      <c r="ER1380" s="2" t="str">
        <f>IF(AND(AND(AND($EC1380=0,$EB1380=0),OR($EH1380=1,$EF1380=1)),SUM($EG1380:$EJ1380)&gt;=2),"Technology approach","")</f>
        <v/>
      </c>
      <c r="ES1380" t="str">
        <f>IF(AND($EC1380+$EB1380+$EE1380+$EA1380+$ED1380+$EG1380=0,$N1380="included"),"C neutral forest and HWP assumption","")</f>
        <v/>
      </c>
      <c r="ET1380" t="str">
        <f>IF(AND(AND(AND(AND($EC1380=1,$EB1380+$EA1380+$EG1380&gt;=1),$EF1380=1),$EH1380+$EI1380+$ED1380+$EE1380&gt;=2),$N1380="included"),"All C pools assumption","")</f>
        <v>All C pools assumption</v>
      </c>
      <c r="EU1380" t="str">
        <f>IF(AND($ED1380+$EE1380+$EI1380+$EH1380+$EF1380=0,$N1380="included"),"In-situ only assumption","")</f>
        <v/>
      </c>
      <c r="EV1380" s="328" t="s">
        <v>5064</v>
      </c>
      <c r="EY1380" t="str">
        <f>IF(ISNUMBER(BW1380),IF(ABS(BW1380-[6]QC_indicators!$B$2)&gt;3*[6]QC_indicators!$C$2,"C ratio",IF(ISNUMBER(CA1380),IF(ABS(CA1380-[6]QC_indicators!$B$1)&gt;3*[6]QC_indicators!$C$1,"DF","no"))),IF(ISNUMBER(CA1380),IF(ABS(CA1380-[6]QC_indicators!$B$1)&gt;3*[6]QC_indicators!$C$1,"DF","no")))</f>
        <v>no</v>
      </c>
      <c r="FA1380" t="str">
        <f>IF(LEN($CY1380)=0,"",IF(AND($CY1380&lt;(-0.05),$ES1380="C neutral forest and HWP assumption"),"Cneutral paradox",IF(AND($CY1380&gt;0.05,$EU1380="In-situ only assumption"),"In-situ only paradox","")))</f>
        <v/>
      </c>
      <c r="FB1380" s="149" t="s">
        <v>2070</v>
      </c>
      <c r="FD1380" s="260" t="s">
        <v>2948</v>
      </c>
    </row>
    <row r="1381" spans="1:160" ht="18" hidden="1" customHeight="1">
      <c r="A1381" s="1" t="s">
        <v>1781</v>
      </c>
      <c r="B1381" t="s">
        <v>2060</v>
      </c>
      <c r="C1381" t="s">
        <v>2061</v>
      </c>
      <c r="D1381" t="s">
        <v>2062</v>
      </c>
      <c r="E1381" t="s">
        <v>2063</v>
      </c>
      <c r="F1381" t="s">
        <v>2064</v>
      </c>
      <c r="G1381" t="s">
        <v>1787</v>
      </c>
      <c r="H1381" t="s">
        <v>254</v>
      </c>
      <c r="I1381">
        <v>2020</v>
      </c>
      <c r="J1381">
        <v>7</v>
      </c>
      <c r="K1381" t="s">
        <v>2065</v>
      </c>
      <c r="M1381" t="str">
        <f>LEFT($D1381,FIND(",",$D1381)-1)&amp;"_"&amp;I1381&amp;L1381</f>
        <v>Smyth_2020</v>
      </c>
      <c r="N1381" t="s">
        <v>222</v>
      </c>
      <c r="O1381" s="145" t="s">
        <v>341</v>
      </c>
      <c r="Q1381" t="s">
        <v>256</v>
      </c>
      <c r="R1381" s="283" t="s">
        <v>225</v>
      </c>
      <c r="S1381" s="1" t="s">
        <v>2087</v>
      </c>
      <c r="T1381" t="s">
        <v>1030</v>
      </c>
      <c r="U1381" t="s">
        <v>2078</v>
      </c>
      <c r="V1381" s="253">
        <v>0</v>
      </c>
      <c r="W1381" s="253">
        <v>0</v>
      </c>
      <c r="X1381">
        <v>0</v>
      </c>
      <c r="Y1381">
        <v>0</v>
      </c>
      <c r="Z1381">
        <v>0</v>
      </c>
      <c r="AA1381">
        <v>0</v>
      </c>
      <c r="AB1381">
        <v>0</v>
      </c>
      <c r="AC1381">
        <v>0</v>
      </c>
      <c r="AD1381">
        <v>0</v>
      </c>
      <c r="AE1381">
        <v>0</v>
      </c>
      <c r="AF1381">
        <v>0</v>
      </c>
      <c r="AG1381">
        <v>0</v>
      </c>
      <c r="AH1381">
        <v>1</v>
      </c>
      <c r="AI1381">
        <v>0</v>
      </c>
      <c r="AJ1381">
        <v>0</v>
      </c>
      <c r="AK1381">
        <v>0</v>
      </c>
      <c r="AL1381">
        <v>0</v>
      </c>
      <c r="AM1381">
        <v>0</v>
      </c>
      <c r="AN1381">
        <v>0</v>
      </c>
      <c r="AO1381">
        <v>0</v>
      </c>
      <c r="AP1381">
        <v>0</v>
      </c>
      <c r="AQ1381">
        <v>0</v>
      </c>
      <c r="AR1381">
        <v>0</v>
      </c>
      <c r="AS1381">
        <v>0</v>
      </c>
      <c r="AT1381">
        <v>0</v>
      </c>
      <c r="AU1381">
        <v>0</v>
      </c>
      <c r="AV1381">
        <v>0</v>
      </c>
      <c r="AW1381">
        <v>0</v>
      </c>
      <c r="AX1381">
        <v>0</v>
      </c>
      <c r="AY1381">
        <v>0</v>
      </c>
      <c r="AZ1381" s="141">
        <f>COUNTIF(X1381:AY1381,"&lt;&gt;0")</f>
        <v>1</v>
      </c>
      <c r="BA1381" s="141">
        <f>COUNTIF(X1381:AN1381,"&lt;&gt;0")</f>
        <v>1</v>
      </c>
      <c r="BB1381">
        <f>COUNTIF(X1381:AE1381,"&lt;&gt;0")</f>
        <v>0</v>
      </c>
      <c r="BC1381">
        <f>COUNTIF(AF1381:AK1381,"&lt;&gt;0")</f>
        <v>1</v>
      </c>
      <c r="BD1381">
        <f>COUNTIF(AL1381:AN1381,"&lt;&gt;0")</f>
        <v>0</v>
      </c>
      <c r="BE1381">
        <f>COUNTIF(AU1381:AY1381,"&lt;&gt;0")</f>
        <v>0</v>
      </c>
      <c r="BF1381">
        <f>COUNTIF(AO1381:AT1381,"&lt;&gt;0")</f>
        <v>0</v>
      </c>
      <c r="BG1381" t="str">
        <f t="array" ref="BG1381">IF(BA1381=1,INDEX($X$7:$AN$7,MATCH(TRUE,INDEX($X1381:$AY1381&lt;&gt;0,),0)),IF(BA1381=0,INDEX($AO$7:$AY$7,MATCH(1,$AO1381:$AY1381,0)),IF(BH1381="Multiple strategies","mixed drivers",IF(BH1381="Supply chain","multiple supply","multiple silviculture"))))</f>
        <v>supply chain organization</v>
      </c>
      <c r="BH1381" s="2" t="str" cm="1">
        <f t="array" ref="BH1381">IF(COUNTIF(BB1381:BD1381,"&lt;&gt;0")=1,INDEX($X$4:$AY$4,MATCH(TRUE,INDEX($X1381:$AY1381&lt;&gt;0,),0)),IF(COUNTIF(BB1381:BD1381,"&lt;&gt;0")=0,INDEX($AO$4:$AY$4,MATCH(1,$AO1381:$AY1381,0)),"Multiple strategies"))</f>
        <v>Supply chain</v>
      </c>
      <c r="BI1381" s="1" t="s">
        <v>321</v>
      </c>
      <c r="BJ1381" t="s">
        <v>2068</v>
      </c>
      <c r="BK1381" s="256" t="s">
        <v>3065</v>
      </c>
      <c r="BL1381" t="s">
        <v>1232</v>
      </c>
      <c r="BM1381">
        <v>457</v>
      </c>
      <c r="BN1381">
        <v>488</v>
      </c>
      <c r="BO1381">
        <f>BN1381/BM1381</f>
        <v>1.0678336980306347</v>
      </c>
      <c r="BP1381">
        <f>BN1381-BM1381</f>
        <v>31</v>
      </c>
      <c r="BQ1381">
        <f>BP1381*10^6*tC_to_m3</f>
        <v>134607034.30308294</v>
      </c>
      <c r="BR1381" t="s">
        <v>232</v>
      </c>
      <c r="BS1381" s="256" t="s">
        <v>3066</v>
      </c>
      <c r="BT1381" t="s">
        <v>1018</v>
      </c>
      <c r="BW1381" s="144"/>
      <c r="BX1381">
        <v>25</v>
      </c>
      <c r="BZ1381">
        <f>BX1381*10^6</f>
        <v>25000000</v>
      </c>
      <c r="CA1381">
        <f>IFERROR(BZ1381/BQ1381,"")</f>
        <v>0.18572580645161288</v>
      </c>
      <c r="CB1381">
        <v>0</v>
      </c>
      <c r="CC1381">
        <v>1</v>
      </c>
      <c r="CD1381">
        <v>1</v>
      </c>
      <c r="CE1381">
        <v>1</v>
      </c>
      <c r="CF1381">
        <v>0</v>
      </c>
      <c r="CG1381">
        <v>0</v>
      </c>
      <c r="CH1381">
        <v>0</v>
      </c>
      <c r="CI1381">
        <v>0</v>
      </c>
      <c r="CJ1381">
        <v>0</v>
      </c>
      <c r="CK1381">
        <v>0</v>
      </c>
      <c r="CL1381">
        <v>0</v>
      </c>
      <c r="CM1381">
        <v>0</v>
      </c>
      <c r="CN1381">
        <v>0</v>
      </c>
      <c r="CO1381">
        <v>0</v>
      </c>
      <c r="CP1381" t="str">
        <f>IF(BN1381&lt;BM1381,"refNeedCorrection","refOK")</f>
        <v>refOK</v>
      </c>
      <c r="CQ1381"/>
      <c r="CR1381"/>
      <c r="CS1381">
        <f>IF($CP1381="refOK",$BQ1381,-$BQ1381)</f>
        <v>134607034.30308294</v>
      </c>
      <c r="CT1381">
        <f>IF(BI1381="Roundwood",$CS1381/2,$CS1381)</f>
        <v>67303517.151541471</v>
      </c>
      <c r="CU1381">
        <f>IF($CP1381="refOK",$BU1381,$BV1381)*IF($BR1381="Emissions positive",-1,1)</f>
        <v>0</v>
      </c>
      <c r="CV1381">
        <f>IF($CP1381="refOK",$BV1381,$BU1381)*IF($BR1381="Emissions positive",-1,1)</f>
        <v>0</v>
      </c>
      <c r="CW1381">
        <f>IF($CP1381="refNeedCorrection",-BZ1381,BZ1381)*IF($BR1381="Emissions positive",-1,1)</f>
        <v>25000000</v>
      </c>
      <c r="CX1381">
        <f>IFERROR($CW1381/$CS1381,"")</f>
        <v>0.18572580645161288</v>
      </c>
      <c r="CY1381">
        <f>IFERROR($CW1381/$CS1381,"")</f>
        <v>0.18572580645161288</v>
      </c>
      <c r="CZ1381">
        <f>IFERROR($CW1381/$CT1381,"")</f>
        <v>0.37145161290322576</v>
      </c>
      <c r="DA1381" s="2" t="str">
        <f>IFERROR((CV1381-CU1381)/ABS(CU1381),"")</f>
        <v/>
      </c>
      <c r="DB1381" s="1" t="s">
        <v>1074</v>
      </c>
      <c r="DC1381" t="str">
        <f>IF(OR($DB1381="prd",$DB1381="std",$DB1381="cit"),"loc",IF(OR($DB1381="eur",$DB1381="reg",$DB1381="coy"),"reg",$DB1381))</f>
        <v>reg</v>
      </c>
      <c r="DD1381" t="s">
        <v>527</v>
      </c>
      <c r="DE1381">
        <v>2015</v>
      </c>
      <c r="DF1381">
        <v>2070</v>
      </c>
      <c r="DG1381">
        <v>45</v>
      </c>
      <c r="DH1381" t="str">
        <f>IF(DG1381=0,"0",IF(AND(DG1381&gt;=1,DG1381&lt;=30),"1-30",IF(AND(DG1381&gt;30,DG1381&lt;=70),"31-70",IF(AND(DG1381&gt;70,DG1381&lt;=100),"71-100",IF(DG1381&gt;100,"+100")))))</f>
        <v>31-70</v>
      </c>
      <c r="DI1381">
        <v>0</v>
      </c>
      <c r="DJ1381">
        <v>1</v>
      </c>
      <c r="DK1381">
        <v>1</v>
      </c>
      <c r="DL1381">
        <v>1</v>
      </c>
      <c r="DN1381">
        <f>SUM(DI1381:DL1381)</f>
        <v>3</v>
      </c>
      <c r="DO1381" t="str">
        <f>IF(DN1381=1,INDEX($DI$7:$DL$7,MATCH(1,$DI1381:$DL1381,0)),"mixedProduct")</f>
        <v>mixedProduct</v>
      </c>
      <c r="DP1381">
        <f>IF(DI1381=1,DP$7,0)</f>
        <v>0</v>
      </c>
      <c r="DQ1381" t="str">
        <f>IF(DJ1381=1,DQ$7,0)</f>
        <v>Energy</v>
      </c>
      <c r="DR1381" t="str">
        <f>IF(DK1381=1,DR$7,0)</f>
        <v>Pulp/Paper</v>
      </c>
      <c r="DS1381" t="str">
        <f>IF(DL1381=1,DS$7,0)</f>
        <v>Timber</v>
      </c>
      <c r="DT1381">
        <v>1</v>
      </c>
      <c r="DU1381">
        <v>1</v>
      </c>
      <c r="DV1381" t="s">
        <v>2059</v>
      </c>
      <c r="DW1381">
        <v>0</v>
      </c>
      <c r="DX1381">
        <v>0</v>
      </c>
      <c r="DY1381">
        <f>SUM(DT1381:DU1381)</f>
        <v>2</v>
      </c>
      <c r="DZ1381" s="143" t="str">
        <f>IF(DT1381=1,"self-calculated DF",IF(DU1381=1,"external DF used","explicit C balance"))</f>
        <v>self-calculated DF</v>
      </c>
      <c r="EA1381">
        <v>1</v>
      </c>
      <c r="EB1381">
        <v>1</v>
      </c>
      <c r="EC1381">
        <v>1</v>
      </c>
      <c r="ED1381">
        <v>1</v>
      </c>
      <c r="EE1381">
        <v>1</v>
      </c>
      <c r="EF1381" s="143">
        <v>1</v>
      </c>
      <c r="EG1381">
        <v>1</v>
      </c>
      <c r="EH1381">
        <v>1</v>
      </c>
      <c r="EI1381">
        <v>1</v>
      </c>
      <c r="EJ1381">
        <v>1</v>
      </c>
      <c r="EK1381">
        <v>1</v>
      </c>
      <c r="EL1381">
        <v>1</v>
      </c>
      <c r="EM1381">
        <v>0</v>
      </c>
      <c r="EN1381" s="2">
        <v>0</v>
      </c>
      <c r="EP1381" t="str">
        <f>IF(AND(AND(AND(OR($EC1381=1,$EB1381=1),OR($EH1381=1,$EF1381=1)),SUM($EA1381:$EE1381,$EK1381)&gt;=3),SUM($EF1381:$EJ1381)&gt;=2),"Whole sector approach","")</f>
        <v>Whole sector approach</v>
      </c>
      <c r="EQ1381" t="str">
        <f>IF(AND(AND(OR($EC1381=1,$EB1381=1),AND($EH1381=0,$EF1381=0)),SUM($EA1381:$EE1381,$EK1381)&gt;=4),"Ecosystem approach","")</f>
        <v/>
      </c>
      <c r="ER1381" s="2" t="str">
        <f>IF(AND(AND(AND($EC1381=0,$EB1381=0),OR($EH1381=1,$EF1381=1)),SUM($EG1381:$EJ1381)&gt;=2),"Technology approach","")</f>
        <v/>
      </c>
      <c r="ES1381" t="str">
        <f>IF(AND($EC1381+$EB1381+$EE1381+$EA1381+$ED1381+$EG1381=0,$N1381="included"),"C neutral forest and HWP assumption","")</f>
        <v/>
      </c>
      <c r="ET1381" t="str">
        <f>IF(AND(AND(AND(AND($EC1381=1,$EB1381+$EA1381+$EG1381&gt;=1),$EF1381=1),$EH1381+$EI1381+$ED1381+$EE1381&gt;=2),$N1381="included"),"All C pools assumption","")</f>
        <v>All C pools assumption</v>
      </c>
      <c r="EU1381" t="str">
        <f>IF(AND($ED1381+$EE1381+$EI1381+$EH1381+$EF1381=0,$N1381="included"),"In-situ only assumption","")</f>
        <v/>
      </c>
      <c r="EV1381" s="328" t="s">
        <v>5064</v>
      </c>
      <c r="EY1381" t="str">
        <f>IF(ISNUMBER(BW1381),IF(ABS(BW1381-[6]QC_indicators!$B$2)&gt;3*[6]QC_indicators!$C$2,"C ratio",IF(ISNUMBER(CA1381),IF(ABS(CA1381-[6]QC_indicators!$B$1)&gt;3*[6]QC_indicators!$C$1,"DF","no"))),IF(ISNUMBER(CA1381),IF(ABS(CA1381-[6]QC_indicators!$B$1)&gt;3*[6]QC_indicators!$C$1,"DF","no")))</f>
        <v>no</v>
      </c>
      <c r="FA1381" t="str">
        <f>IF(LEN($CY1381)=0,"",IF(AND($CY1381&lt;(-0.05),$ES1381="C neutral forest and HWP assumption"),"Cneutral paradox",IF(AND($CY1381&gt;0.05,$EU1381="In-situ only assumption"),"In-situ only paradox","")))</f>
        <v/>
      </c>
      <c r="FB1381" s="149" t="s">
        <v>349</v>
      </c>
      <c r="FD1381" s="260" t="s">
        <v>2948</v>
      </c>
    </row>
    <row r="1382" spans="1:160" ht="15" hidden="1" customHeight="1">
      <c r="A1382" s="1" t="s">
        <v>1781</v>
      </c>
      <c r="B1382" t="s">
        <v>2060</v>
      </c>
      <c r="C1382" t="s">
        <v>2061</v>
      </c>
      <c r="D1382" t="s">
        <v>2062</v>
      </c>
      <c r="E1382" t="s">
        <v>2063</v>
      </c>
      <c r="F1382" t="s">
        <v>2064</v>
      </c>
      <c r="G1382" t="s">
        <v>1787</v>
      </c>
      <c r="H1382" t="s">
        <v>254</v>
      </c>
      <c r="I1382">
        <v>2020</v>
      </c>
      <c r="J1382">
        <v>7</v>
      </c>
      <c r="K1382" t="s">
        <v>2065</v>
      </c>
      <c r="M1382" t="str">
        <f>LEFT($D1382,FIND(",",$D1382)-1)&amp;"_"&amp;I1382&amp;L1382</f>
        <v>Smyth_2020</v>
      </c>
      <c r="N1382" t="s">
        <v>222</v>
      </c>
      <c r="O1382" s="145" t="s">
        <v>341</v>
      </c>
      <c r="Q1382" t="s">
        <v>256</v>
      </c>
      <c r="R1382" s="283" t="s">
        <v>225</v>
      </c>
      <c r="S1382" s="1" t="s">
        <v>2081</v>
      </c>
      <c r="T1382" t="s">
        <v>1030</v>
      </c>
      <c r="U1382" t="s">
        <v>2082</v>
      </c>
      <c r="V1382" s="253">
        <v>0</v>
      </c>
      <c r="W1382" s="253">
        <v>0</v>
      </c>
      <c r="X1382">
        <v>0</v>
      </c>
      <c r="Y1382">
        <v>0</v>
      </c>
      <c r="Z1382">
        <v>0</v>
      </c>
      <c r="AA1382">
        <v>1</v>
      </c>
      <c r="AB1382">
        <v>0</v>
      </c>
      <c r="AC1382">
        <v>0</v>
      </c>
      <c r="AD1382">
        <v>0</v>
      </c>
      <c r="AE1382">
        <v>0</v>
      </c>
      <c r="AF1382">
        <v>0</v>
      </c>
      <c r="AG1382">
        <v>0</v>
      </c>
      <c r="AH1382">
        <v>1</v>
      </c>
      <c r="AI1382">
        <v>0</v>
      </c>
      <c r="AJ1382">
        <v>0</v>
      </c>
      <c r="AK1382">
        <v>1</v>
      </c>
      <c r="AL1382">
        <v>0</v>
      </c>
      <c r="AM1382">
        <v>0</v>
      </c>
      <c r="AN1382">
        <v>0</v>
      </c>
      <c r="AO1382">
        <v>0</v>
      </c>
      <c r="AP1382">
        <v>0</v>
      </c>
      <c r="AQ1382">
        <v>0</v>
      </c>
      <c r="AR1382">
        <v>0</v>
      </c>
      <c r="AS1382">
        <v>0</v>
      </c>
      <c r="AT1382">
        <v>0</v>
      </c>
      <c r="AU1382">
        <v>0</v>
      </c>
      <c r="AV1382">
        <v>0</v>
      </c>
      <c r="AW1382">
        <v>0</v>
      </c>
      <c r="AX1382">
        <v>0</v>
      </c>
      <c r="AY1382">
        <v>0</v>
      </c>
      <c r="AZ1382" s="141">
        <f>COUNTIF(X1382:AY1382,"&lt;&gt;0")</f>
        <v>3</v>
      </c>
      <c r="BA1382" s="141">
        <f>COUNTIF(X1382:AN1382,"&lt;&gt;0")</f>
        <v>3</v>
      </c>
      <c r="BB1382">
        <f>COUNTIF(X1382:AE1382,"&lt;&gt;0")</f>
        <v>1</v>
      </c>
      <c r="BC1382">
        <f>COUNTIF(AF1382:AK1382,"&lt;&gt;0")</f>
        <v>2</v>
      </c>
      <c r="BD1382">
        <f>COUNTIF(AL1382:AN1382,"&lt;&gt;0")</f>
        <v>0</v>
      </c>
      <c r="BE1382">
        <f>COUNTIF(AU1382:AY1382,"&lt;&gt;0")</f>
        <v>0</v>
      </c>
      <c r="BF1382">
        <f>COUNTIF(AO1382:AT1382,"&lt;&gt;0")</f>
        <v>0</v>
      </c>
      <c r="BG1382" t="str">
        <f t="array" ref="BG1382">IF(BA1382=1,INDEX($X$7:$AN$7,MATCH(TRUE,INDEX($X1382:$AY1382&lt;&gt;0,),0)),IF(BA1382=0,INDEX($AO$7:$AY$7,MATCH(1,$AO1382:$AY1382,0)),IF(BH1382="Multiple strategies","mixed drivers",IF(BH1382="Supply chain","multiple supply","multiple silviculture"))))</f>
        <v>mixed drivers</v>
      </c>
      <c r="BH1382" s="2" t="str" cm="1">
        <f t="array" ref="BH1382">IF(COUNTIF(BB1382:BD1382,"&lt;&gt;0")=1,INDEX($X$4:$AY$4,MATCH(TRUE,INDEX($X1382:$AY1382&lt;&gt;0,),0)),IF(COUNTIF(BB1382:BD1382,"&lt;&gt;0")=0,INDEX($AO$4:$AY$4,MATCH(1,$AO1382:$AY1382,0)),"Multiple strategies"))</f>
        <v>Multiple strategies</v>
      </c>
      <c r="BI1382" s="1" t="s">
        <v>321</v>
      </c>
      <c r="BJ1382" t="s">
        <v>2068</v>
      </c>
      <c r="BK1382" s="256" t="s">
        <v>3068</v>
      </c>
      <c r="BL1382" t="s">
        <v>1232</v>
      </c>
      <c r="BM1382">
        <v>457</v>
      </c>
      <c r="BN1382" s="284">
        <f>488+(4.2/tC_to_m3*55)</f>
        <v>541.19929999999999</v>
      </c>
      <c r="BO1382">
        <f>BN1382/BM1382</f>
        <v>1.1842435448577679</v>
      </c>
      <c r="BP1382">
        <f>BN1382-BM1382</f>
        <v>84.199299999999994</v>
      </c>
      <c r="BQ1382">
        <f>BP1382*10^6*tC_to_m3</f>
        <v>365607034.30308294</v>
      </c>
      <c r="BR1382" t="s">
        <v>232</v>
      </c>
      <c r="BS1382" s="256" t="s">
        <v>3067</v>
      </c>
      <c r="BT1382" t="s">
        <v>2069</v>
      </c>
      <c r="BW1382" s="144"/>
      <c r="BX1382">
        <v>527</v>
      </c>
      <c r="BZ1382">
        <f>BX1382*10^6</f>
        <v>527000000</v>
      </c>
      <c r="CA1382">
        <f>IFERROR(BZ1382/BQ1382,"")</f>
        <v>1.4414383492499343</v>
      </c>
      <c r="CB1382">
        <v>0</v>
      </c>
      <c r="CC1382">
        <v>1</v>
      </c>
      <c r="CD1382">
        <v>1</v>
      </c>
      <c r="CE1382">
        <v>1</v>
      </c>
      <c r="CF1382">
        <v>0</v>
      </c>
      <c r="CG1382">
        <v>0</v>
      </c>
      <c r="CH1382">
        <v>0</v>
      </c>
      <c r="CI1382">
        <v>0</v>
      </c>
      <c r="CJ1382">
        <v>0</v>
      </c>
      <c r="CK1382">
        <v>0</v>
      </c>
      <c r="CL1382">
        <v>0</v>
      </c>
      <c r="CM1382">
        <v>0</v>
      </c>
      <c r="CN1382">
        <v>0</v>
      </c>
      <c r="CO1382">
        <v>0</v>
      </c>
      <c r="CP1382" t="str">
        <f>IF(BN1382&lt;BM1382,"refNeedCorrection","refOK")</f>
        <v>refOK</v>
      </c>
      <c r="CQ1382"/>
      <c r="CR1382"/>
      <c r="CS1382">
        <f>IF($CP1382="refOK",$BQ1382,-$BQ1382)</f>
        <v>365607034.30308294</v>
      </c>
      <c r="CT1382">
        <f>IF(BI1382="Roundwood",$CS1382/2,$CS1382)</f>
        <v>182803517.15154147</v>
      </c>
      <c r="CU1382">
        <f>IF($CP1382="refOK",$BU1382,$BV1382)*IF($BR1382="Emissions positive",-1,1)</f>
        <v>0</v>
      </c>
      <c r="CV1382">
        <f>IF($CP1382="refOK",$BV1382,$BU1382)*IF($BR1382="Emissions positive",-1,1)</f>
        <v>0</v>
      </c>
      <c r="CW1382">
        <f>IF($CP1382="refNeedCorrection",-BZ1382,BZ1382)*IF($BR1382="Emissions positive",-1,1)</f>
        <v>527000000</v>
      </c>
      <c r="CX1382">
        <f>IFERROR($CW1382/$CS1382,"")</f>
        <v>1.4414383492499343</v>
      </c>
      <c r="CY1382">
        <f>IFERROR($CW1382/$CS1382,"")</f>
        <v>1.4414383492499343</v>
      </c>
      <c r="CZ1382">
        <f>IFERROR($CW1382/$CT1382,"")</f>
        <v>2.8828766984998686</v>
      </c>
      <c r="DA1382" s="2" t="str">
        <f>IFERROR((CV1382-CU1382)/ABS(CU1382),"")</f>
        <v/>
      </c>
      <c r="DB1382" s="1" t="s">
        <v>1074</v>
      </c>
      <c r="DC1382" t="str">
        <f>IF(OR($DB1382="prd",$DB1382="std",$DB1382="cit"),"loc",IF(OR($DB1382="eur",$DB1382="reg",$DB1382="coy"),"reg",$DB1382))</f>
        <v>reg</v>
      </c>
      <c r="DD1382" t="s">
        <v>527</v>
      </c>
      <c r="DE1382">
        <v>2015</v>
      </c>
      <c r="DF1382">
        <v>2070</v>
      </c>
      <c r="DG1382">
        <v>45</v>
      </c>
      <c r="DH1382" t="str">
        <f>IF(DG1382=0,"0",IF(AND(DG1382&gt;=1,DG1382&lt;=30),"1-30",IF(AND(DG1382&gt;30,DG1382&lt;=70),"31-70",IF(AND(DG1382&gt;70,DG1382&lt;=100),"71-100",IF(DG1382&gt;100,"+100")))))</f>
        <v>31-70</v>
      </c>
      <c r="DI1382">
        <v>0</v>
      </c>
      <c r="DJ1382">
        <v>1</v>
      </c>
      <c r="DK1382">
        <v>1</v>
      </c>
      <c r="DL1382">
        <v>1</v>
      </c>
      <c r="DN1382">
        <f>SUM(DI1382:DL1382)</f>
        <v>3</v>
      </c>
      <c r="DO1382" t="str">
        <f>IF(DN1382=1,INDEX($DI$7:$DL$7,MATCH(1,$DI1382:$DL1382,0)),"mixedProduct")</f>
        <v>mixedProduct</v>
      </c>
      <c r="DP1382">
        <f>IF(DI1382=1,DP$7,0)</f>
        <v>0</v>
      </c>
      <c r="DQ1382" t="str">
        <f>IF(DJ1382=1,DQ$7,0)</f>
        <v>Energy</v>
      </c>
      <c r="DR1382" t="str">
        <f>IF(DK1382=1,DR$7,0)</f>
        <v>Pulp/Paper</v>
      </c>
      <c r="DS1382" t="str">
        <f>IF(DL1382=1,DS$7,0)</f>
        <v>Timber</v>
      </c>
      <c r="DT1382">
        <v>1</v>
      </c>
      <c r="DU1382">
        <v>1</v>
      </c>
      <c r="DV1382" t="s">
        <v>2059</v>
      </c>
      <c r="DW1382">
        <v>0</v>
      </c>
      <c r="DX1382">
        <v>0</v>
      </c>
      <c r="DY1382">
        <f>SUM(DT1382:DU1382)</f>
        <v>2</v>
      </c>
      <c r="DZ1382" s="143" t="str">
        <f>IF(DT1382=1,"self-calculated DF",IF(DU1382=1,"external DF used","explicit C balance"))</f>
        <v>self-calculated DF</v>
      </c>
      <c r="EA1382">
        <v>1</v>
      </c>
      <c r="EB1382">
        <v>1</v>
      </c>
      <c r="EC1382">
        <v>1</v>
      </c>
      <c r="ED1382">
        <v>1</v>
      </c>
      <c r="EE1382">
        <v>1</v>
      </c>
      <c r="EF1382" s="143">
        <v>1</v>
      </c>
      <c r="EG1382">
        <v>1</v>
      </c>
      <c r="EH1382">
        <v>1</v>
      </c>
      <c r="EI1382">
        <v>1</v>
      </c>
      <c r="EJ1382">
        <v>1</v>
      </c>
      <c r="EK1382">
        <v>1</v>
      </c>
      <c r="EL1382">
        <v>1</v>
      </c>
      <c r="EM1382">
        <v>0</v>
      </c>
      <c r="EN1382" s="2">
        <v>0</v>
      </c>
      <c r="EP1382" t="str">
        <f>IF(AND(AND(AND(OR($EC1382=1,$EB1382=1),OR($EH1382=1,$EF1382=1)),SUM($EA1382:$EE1382,$EK1382)&gt;=3),SUM($EF1382:$EJ1382)&gt;=2),"Whole sector approach","")</f>
        <v>Whole sector approach</v>
      </c>
      <c r="EQ1382" t="str">
        <f>IF(AND(AND(OR($EC1382=1,$EB1382=1),AND($EH1382=0,$EF1382=0)),SUM($EA1382:$EE1382,$EK1382)&gt;=4),"Ecosystem approach","")</f>
        <v/>
      </c>
      <c r="ER1382" s="2" t="str">
        <f>IF(AND(AND(AND($EC1382=0,$EB1382=0),OR($EH1382=1,$EF1382=1)),SUM($EG1382:$EJ1382)&gt;=2),"Technology approach","")</f>
        <v/>
      </c>
      <c r="ES1382" t="str">
        <f>IF(AND($EC1382+$EB1382+$EE1382+$EA1382+$ED1382+$EG1382=0,$N1382="included"),"C neutral forest and HWP assumption","")</f>
        <v/>
      </c>
      <c r="ET1382" t="str">
        <f>IF(AND(AND(AND(AND($EC1382=1,$EB1382+$EA1382+$EG1382&gt;=1),$EF1382=1),$EH1382+$EI1382+$ED1382+$EE1382&gt;=2),$N1382="included"),"All C pools assumption","")</f>
        <v>All C pools assumption</v>
      </c>
      <c r="EU1382" t="str">
        <f>IF(AND($ED1382+$EE1382+$EI1382+$EH1382+$EF1382=0,$N1382="included"),"In-situ only assumption","")</f>
        <v/>
      </c>
      <c r="EV1382" s="328" t="s">
        <v>5064</v>
      </c>
      <c r="EY1382" t="str">
        <f>IF(ISNUMBER(BW1382),IF(ABS(BW1382-[6]QC_indicators!$B$2)&gt;3*[6]QC_indicators!$C$2,"C ratio",IF(ISNUMBER(CA1382),IF(ABS(CA1382-[6]QC_indicators!$B$1)&gt;3*[6]QC_indicators!$C$1,"DF","no"))),IF(ISNUMBER(CA1382),IF(ABS(CA1382-[6]QC_indicators!$B$1)&gt;3*[6]QC_indicators!$C$1,"DF","no")))</f>
        <v>no</v>
      </c>
      <c r="FA1382" t="str">
        <f>IF(LEN($CY1382)=0,"",IF(AND($CY1382&lt;(-0.05),$ES1382="C neutral forest and HWP assumption"),"Cneutral paradox",IF(AND($CY1382&gt;0.05,$EU1382="In-situ only assumption"),"In-situ only paradox","")))</f>
        <v/>
      </c>
      <c r="FB1382" s="149" t="s">
        <v>2070</v>
      </c>
      <c r="FD1382" s="260" t="s">
        <v>2948</v>
      </c>
    </row>
    <row r="1383" spans="1:160" ht="15" hidden="1" customHeight="1">
      <c r="A1383" s="1" t="s">
        <v>1781</v>
      </c>
      <c r="B1383" t="s">
        <v>2060</v>
      </c>
      <c r="C1383" t="s">
        <v>2061</v>
      </c>
      <c r="D1383" t="s">
        <v>2062</v>
      </c>
      <c r="E1383" t="s">
        <v>2063</v>
      </c>
      <c r="F1383" t="s">
        <v>2064</v>
      </c>
      <c r="G1383" t="s">
        <v>1787</v>
      </c>
      <c r="H1383" t="s">
        <v>254</v>
      </c>
      <c r="I1383">
        <v>2020</v>
      </c>
      <c r="J1383">
        <v>7</v>
      </c>
      <c r="K1383" t="s">
        <v>2065</v>
      </c>
      <c r="M1383" t="str">
        <f>LEFT($D1383,FIND(",",$D1383)-1)&amp;"_"&amp;I1383&amp;L1383</f>
        <v>Smyth_2020</v>
      </c>
      <c r="N1383" t="s">
        <v>222</v>
      </c>
      <c r="O1383" s="145" t="s">
        <v>341</v>
      </c>
      <c r="Q1383" t="s">
        <v>256</v>
      </c>
      <c r="R1383" s="283" t="s">
        <v>225</v>
      </c>
      <c r="S1383" s="1" t="s">
        <v>2079</v>
      </c>
      <c r="T1383" t="s">
        <v>1030</v>
      </c>
      <c r="U1383" t="s">
        <v>2080</v>
      </c>
      <c r="V1383" s="253">
        <v>0</v>
      </c>
      <c r="W1383" s="253">
        <v>0</v>
      </c>
      <c r="X1383">
        <v>0</v>
      </c>
      <c r="Y1383">
        <v>0</v>
      </c>
      <c r="Z1383">
        <v>0</v>
      </c>
      <c r="AA1383">
        <v>1</v>
      </c>
      <c r="AB1383">
        <v>0</v>
      </c>
      <c r="AC1383">
        <v>0</v>
      </c>
      <c r="AD1383">
        <v>0</v>
      </c>
      <c r="AE1383">
        <v>0</v>
      </c>
      <c r="AF1383">
        <v>0</v>
      </c>
      <c r="AG1383">
        <v>0</v>
      </c>
      <c r="AH1383">
        <v>1</v>
      </c>
      <c r="AI1383">
        <v>0</v>
      </c>
      <c r="AJ1383">
        <v>0</v>
      </c>
      <c r="AK1383">
        <v>1</v>
      </c>
      <c r="AL1383">
        <v>0</v>
      </c>
      <c r="AM1383">
        <v>0</v>
      </c>
      <c r="AN1383">
        <v>0</v>
      </c>
      <c r="AO1383">
        <v>0</v>
      </c>
      <c r="AP1383">
        <v>0</v>
      </c>
      <c r="AQ1383">
        <v>0</v>
      </c>
      <c r="AR1383">
        <v>0</v>
      </c>
      <c r="AS1383">
        <v>0</v>
      </c>
      <c r="AT1383">
        <v>0</v>
      </c>
      <c r="AU1383">
        <v>0</v>
      </c>
      <c r="AV1383">
        <v>0</v>
      </c>
      <c r="AW1383">
        <v>0</v>
      </c>
      <c r="AX1383">
        <v>0</v>
      </c>
      <c r="AY1383">
        <v>0</v>
      </c>
      <c r="AZ1383" s="141">
        <f>COUNTIF(X1383:AY1383,"&lt;&gt;0")</f>
        <v>3</v>
      </c>
      <c r="BA1383" s="141">
        <f>COUNTIF(X1383:AN1383,"&lt;&gt;0")</f>
        <v>3</v>
      </c>
      <c r="BB1383">
        <f>COUNTIF(X1383:AE1383,"&lt;&gt;0")</f>
        <v>1</v>
      </c>
      <c r="BC1383">
        <f>COUNTIF(AF1383:AK1383,"&lt;&gt;0")</f>
        <v>2</v>
      </c>
      <c r="BD1383">
        <f>COUNTIF(AL1383:AN1383,"&lt;&gt;0")</f>
        <v>0</v>
      </c>
      <c r="BE1383">
        <f>COUNTIF(AU1383:AY1383,"&lt;&gt;0")</f>
        <v>0</v>
      </c>
      <c r="BF1383">
        <f>COUNTIF(AO1383:AT1383,"&lt;&gt;0")</f>
        <v>0</v>
      </c>
      <c r="BG1383" t="str">
        <f t="array" ref="BG1383">IF(BA1383=1,INDEX($X$7:$AN$7,MATCH(TRUE,INDEX($X1383:$AY1383&lt;&gt;0,),0)),IF(BA1383=0,INDEX($AO$7:$AY$7,MATCH(1,$AO1383:$AY1383,0)),IF(BH1383="Multiple strategies","mixed drivers",IF(BH1383="Supply chain","multiple supply","multiple silviculture"))))</f>
        <v>mixed drivers</v>
      </c>
      <c r="BH1383" s="2" t="str" cm="1">
        <f t="array" ref="BH1383">IF(COUNTIF(BB1383:BD1383,"&lt;&gt;0")=1,INDEX($X$4:$AY$4,MATCH(TRUE,INDEX($X1383:$AY1383&lt;&gt;0,),0)),IF(COUNTIF(BB1383:BD1383,"&lt;&gt;0")=0,INDEX($AO$4:$AY$4,MATCH(1,$AO1383:$AY1383,0)),"Multiple strategies"))</f>
        <v>Multiple strategies</v>
      </c>
      <c r="BI1383" s="1" t="s">
        <v>321</v>
      </c>
      <c r="BJ1383" t="s">
        <v>2068</v>
      </c>
      <c r="BK1383" s="256" t="s">
        <v>3068</v>
      </c>
      <c r="BL1383" t="s">
        <v>1232</v>
      </c>
      <c r="BM1383">
        <v>457</v>
      </c>
      <c r="BN1383" s="284">
        <f>488+(4.2/tC_to_m3*55)</f>
        <v>541.19929999999999</v>
      </c>
      <c r="BO1383">
        <f>BN1383/BM1383</f>
        <v>1.1842435448577679</v>
      </c>
      <c r="BP1383">
        <f>BN1383-BM1383</f>
        <v>84.199299999999994</v>
      </c>
      <c r="BQ1383">
        <f>BP1383*10^6*tC_to_m3</f>
        <v>365607034.30308294</v>
      </c>
      <c r="BR1383" t="s">
        <v>232</v>
      </c>
      <c r="BS1383" s="256" t="s">
        <v>3066</v>
      </c>
      <c r="BT1383" t="s">
        <v>2069</v>
      </c>
      <c r="BW1383" s="144"/>
      <c r="BX1383">
        <v>268</v>
      </c>
      <c r="BZ1383">
        <f>BX1383*10^6</f>
        <v>268000000</v>
      </c>
      <c r="CA1383">
        <f>IFERROR(BZ1383/BQ1383,"")</f>
        <v>0.7330274717248243</v>
      </c>
      <c r="CB1383">
        <v>0</v>
      </c>
      <c r="CC1383">
        <v>1</v>
      </c>
      <c r="CD1383">
        <v>1</v>
      </c>
      <c r="CE1383">
        <v>1</v>
      </c>
      <c r="CF1383">
        <v>0</v>
      </c>
      <c r="CG1383">
        <v>0</v>
      </c>
      <c r="CH1383">
        <v>0</v>
      </c>
      <c r="CI1383">
        <v>0</v>
      </c>
      <c r="CJ1383">
        <v>0</v>
      </c>
      <c r="CK1383">
        <v>0</v>
      </c>
      <c r="CL1383">
        <v>0</v>
      </c>
      <c r="CM1383">
        <v>0</v>
      </c>
      <c r="CN1383">
        <v>0</v>
      </c>
      <c r="CO1383">
        <v>0</v>
      </c>
      <c r="CP1383" t="str">
        <f>IF(BN1383&lt;BM1383,"refNeedCorrection","refOK")</f>
        <v>refOK</v>
      </c>
      <c r="CQ1383"/>
      <c r="CR1383"/>
      <c r="CS1383">
        <f>IF($CP1383="refOK",$BQ1383,-$BQ1383)</f>
        <v>365607034.30308294</v>
      </c>
      <c r="CT1383">
        <f>IF(BI1383="Roundwood",$CS1383/2,$CS1383)</f>
        <v>182803517.15154147</v>
      </c>
      <c r="CU1383">
        <f>IF($CP1383="refOK",$BU1383,$BV1383)*IF($BR1383="Emissions positive",-1,1)</f>
        <v>0</v>
      </c>
      <c r="CV1383">
        <f>IF($CP1383="refOK",$BV1383,$BU1383)*IF($BR1383="Emissions positive",-1,1)</f>
        <v>0</v>
      </c>
      <c r="CW1383">
        <f>IF($CP1383="refNeedCorrection",-BZ1383,BZ1383)*IF($BR1383="Emissions positive",-1,1)</f>
        <v>268000000</v>
      </c>
      <c r="CX1383">
        <f>IFERROR($CW1383/$CS1383,"")</f>
        <v>0.7330274717248243</v>
      </c>
      <c r="CY1383">
        <f>IFERROR($CW1383/$CS1383,"")</f>
        <v>0.7330274717248243</v>
      </c>
      <c r="CZ1383">
        <f>IFERROR($CW1383/$CT1383,"")</f>
        <v>1.4660549434496486</v>
      </c>
      <c r="DA1383" s="2" t="str">
        <f>IFERROR((CV1383-CU1383)/ABS(CU1383),"")</f>
        <v/>
      </c>
      <c r="DB1383" s="1" t="s">
        <v>1074</v>
      </c>
      <c r="DC1383" t="str">
        <f>IF(OR($DB1383="prd",$DB1383="std",$DB1383="cit"),"loc",IF(OR($DB1383="eur",$DB1383="reg",$DB1383="coy"),"reg",$DB1383))</f>
        <v>reg</v>
      </c>
      <c r="DD1383" t="s">
        <v>527</v>
      </c>
      <c r="DE1383">
        <v>2015</v>
      </c>
      <c r="DF1383">
        <v>2070</v>
      </c>
      <c r="DG1383">
        <v>45</v>
      </c>
      <c r="DH1383" t="str">
        <f>IF(DG1383=0,"0",IF(AND(DG1383&gt;=1,DG1383&lt;=30),"1-30",IF(AND(DG1383&gt;30,DG1383&lt;=70),"31-70",IF(AND(DG1383&gt;70,DG1383&lt;=100),"71-100",IF(DG1383&gt;100,"+100")))))</f>
        <v>31-70</v>
      </c>
      <c r="DI1383">
        <v>0</v>
      </c>
      <c r="DJ1383">
        <v>1</v>
      </c>
      <c r="DK1383">
        <v>1</v>
      </c>
      <c r="DL1383">
        <v>1</v>
      </c>
      <c r="DN1383">
        <f>SUM(DI1383:DL1383)</f>
        <v>3</v>
      </c>
      <c r="DO1383" t="str">
        <f>IF(DN1383=1,INDEX($DI$7:$DL$7,MATCH(1,$DI1383:$DL1383,0)),"mixedProduct")</f>
        <v>mixedProduct</v>
      </c>
      <c r="DP1383">
        <f>IF(DI1383=1,DP$7,0)</f>
        <v>0</v>
      </c>
      <c r="DQ1383" t="str">
        <f>IF(DJ1383=1,DQ$7,0)</f>
        <v>Energy</v>
      </c>
      <c r="DR1383" t="str">
        <f>IF(DK1383=1,DR$7,0)</f>
        <v>Pulp/Paper</v>
      </c>
      <c r="DS1383" t="str">
        <f>IF(DL1383=1,DS$7,0)</f>
        <v>Timber</v>
      </c>
      <c r="DT1383">
        <v>1</v>
      </c>
      <c r="DU1383">
        <v>1</v>
      </c>
      <c r="DV1383" t="s">
        <v>2059</v>
      </c>
      <c r="DW1383">
        <v>0</v>
      </c>
      <c r="DX1383">
        <v>0</v>
      </c>
      <c r="DY1383">
        <f>SUM(DT1383:DU1383)</f>
        <v>2</v>
      </c>
      <c r="DZ1383" s="143" t="str">
        <f>IF(DT1383=1,"self-calculated DF",IF(DU1383=1,"external DF used","explicit C balance"))</f>
        <v>self-calculated DF</v>
      </c>
      <c r="EA1383">
        <v>1</v>
      </c>
      <c r="EB1383">
        <v>1</v>
      </c>
      <c r="EC1383">
        <v>1</v>
      </c>
      <c r="ED1383">
        <v>1</v>
      </c>
      <c r="EE1383">
        <v>1</v>
      </c>
      <c r="EF1383" s="143">
        <v>1</v>
      </c>
      <c r="EG1383">
        <v>1</v>
      </c>
      <c r="EH1383">
        <v>1</v>
      </c>
      <c r="EI1383">
        <v>1</v>
      </c>
      <c r="EJ1383">
        <v>1</v>
      </c>
      <c r="EK1383">
        <v>1</v>
      </c>
      <c r="EL1383">
        <v>1</v>
      </c>
      <c r="EM1383">
        <v>0</v>
      </c>
      <c r="EN1383" s="2">
        <v>0</v>
      </c>
      <c r="EP1383" t="str">
        <f>IF(AND(AND(AND(OR($EC1383=1,$EB1383=1),OR($EH1383=1,$EF1383=1)),SUM($EA1383:$EE1383,$EK1383)&gt;=3),SUM($EF1383:$EJ1383)&gt;=2),"Whole sector approach","")</f>
        <v>Whole sector approach</v>
      </c>
      <c r="EQ1383" t="str">
        <f>IF(AND(AND(OR($EC1383=1,$EB1383=1),AND($EH1383=0,$EF1383=0)),SUM($EA1383:$EE1383,$EK1383)&gt;=4),"Ecosystem approach","")</f>
        <v/>
      </c>
      <c r="ER1383" s="2" t="str">
        <f>IF(AND(AND(AND($EC1383=0,$EB1383=0),OR($EH1383=1,$EF1383=1)),SUM($EG1383:$EJ1383)&gt;=2),"Technology approach","")</f>
        <v/>
      </c>
      <c r="ES1383" t="str">
        <f>IF(AND($EC1383+$EB1383+$EE1383+$EA1383+$ED1383+$EG1383=0,$N1383="included"),"C neutral forest and HWP assumption","")</f>
        <v/>
      </c>
      <c r="ET1383" t="str">
        <f>IF(AND(AND(AND(AND($EC1383=1,$EB1383+$EA1383+$EG1383&gt;=1),$EF1383=1),$EH1383+$EI1383+$ED1383+$EE1383&gt;=2),$N1383="included"),"All C pools assumption","")</f>
        <v>All C pools assumption</v>
      </c>
      <c r="EU1383" t="str">
        <f>IF(AND($ED1383+$EE1383+$EI1383+$EH1383+$EF1383=0,$N1383="included"),"In-situ only assumption","")</f>
        <v/>
      </c>
      <c r="EV1383" s="328" t="s">
        <v>5064</v>
      </c>
      <c r="EY1383" t="str">
        <f>IF(ISNUMBER(BW1383),IF(ABS(BW1383-[6]QC_indicators!$B$2)&gt;3*[6]QC_indicators!$C$2,"C ratio",IF(ISNUMBER(CA1383),IF(ABS(CA1383-[6]QC_indicators!$B$1)&gt;3*[6]QC_indicators!$C$1,"DF","no"))),IF(ISNUMBER(CA1383),IF(ABS(CA1383-[6]QC_indicators!$B$1)&gt;3*[6]QC_indicators!$C$1,"DF","no")))</f>
        <v>no</v>
      </c>
      <c r="FA1383" t="str">
        <f>IF(LEN($CY1383)=0,"",IF(AND($CY1383&lt;(-0.05),$ES1383="C neutral forest and HWP assumption"),"Cneutral paradox",IF(AND($CY1383&gt;0.05,$EU1383="In-situ only assumption"),"In-situ only paradox","")))</f>
        <v/>
      </c>
      <c r="FB1383" s="149" t="s">
        <v>2070</v>
      </c>
      <c r="FD1383" s="260" t="s">
        <v>2948</v>
      </c>
    </row>
    <row r="1384" spans="1:160" ht="15" hidden="1" customHeight="1">
      <c r="A1384" s="1" t="s">
        <v>1781</v>
      </c>
      <c r="B1384" t="s">
        <v>2060</v>
      </c>
      <c r="C1384" t="s">
        <v>2061</v>
      </c>
      <c r="D1384" t="s">
        <v>2062</v>
      </c>
      <c r="E1384" t="s">
        <v>2063</v>
      </c>
      <c r="F1384" t="s">
        <v>2064</v>
      </c>
      <c r="G1384" t="s">
        <v>1787</v>
      </c>
      <c r="H1384" t="s">
        <v>254</v>
      </c>
      <c r="I1384">
        <v>2020</v>
      </c>
      <c r="J1384">
        <v>7</v>
      </c>
      <c r="K1384" t="s">
        <v>2065</v>
      </c>
      <c r="M1384" t="str">
        <f>LEFT($D1384,FIND(",",$D1384)-1)&amp;"_"&amp;I1384&amp;L1384</f>
        <v>Smyth_2020</v>
      </c>
      <c r="N1384" t="s">
        <v>222</v>
      </c>
      <c r="O1384" s="145" t="s">
        <v>341</v>
      </c>
      <c r="Q1384" t="s">
        <v>256</v>
      </c>
      <c r="R1384" s="283" t="s">
        <v>225</v>
      </c>
      <c r="S1384" s="1" t="s">
        <v>2083</v>
      </c>
      <c r="T1384" t="s">
        <v>1030</v>
      </c>
      <c r="U1384" t="s">
        <v>2084</v>
      </c>
      <c r="V1384" s="253">
        <v>0</v>
      </c>
      <c r="W1384" s="253">
        <v>0</v>
      </c>
      <c r="X1384">
        <v>0</v>
      </c>
      <c r="Y1384">
        <v>0</v>
      </c>
      <c r="Z1384">
        <v>0</v>
      </c>
      <c r="AA1384">
        <v>0</v>
      </c>
      <c r="AB1384">
        <v>0</v>
      </c>
      <c r="AC1384">
        <v>0</v>
      </c>
      <c r="AD1384">
        <v>0</v>
      </c>
      <c r="AE1384">
        <v>0</v>
      </c>
      <c r="AF1384">
        <v>0</v>
      </c>
      <c r="AG1384">
        <v>0</v>
      </c>
      <c r="AH1384">
        <v>1</v>
      </c>
      <c r="AI1384">
        <v>0</v>
      </c>
      <c r="AJ1384">
        <v>0</v>
      </c>
      <c r="AK1384">
        <v>1</v>
      </c>
      <c r="AL1384">
        <v>0</v>
      </c>
      <c r="AM1384">
        <v>0</v>
      </c>
      <c r="AN1384">
        <v>0</v>
      </c>
      <c r="AO1384">
        <v>0</v>
      </c>
      <c r="AP1384">
        <v>0</v>
      </c>
      <c r="AQ1384">
        <v>0</v>
      </c>
      <c r="AR1384">
        <v>0</v>
      </c>
      <c r="AS1384">
        <v>0</v>
      </c>
      <c r="AT1384">
        <v>0</v>
      </c>
      <c r="AU1384">
        <v>0</v>
      </c>
      <c r="AV1384">
        <v>0</v>
      </c>
      <c r="AW1384">
        <v>0</v>
      </c>
      <c r="AX1384">
        <v>0</v>
      </c>
      <c r="AY1384">
        <v>0</v>
      </c>
      <c r="AZ1384" s="141">
        <f>COUNTIF(X1384:AY1384,"&lt;&gt;0")</f>
        <v>2</v>
      </c>
      <c r="BA1384" s="141">
        <f>COUNTIF(X1384:AN1384,"&lt;&gt;0")</f>
        <v>2</v>
      </c>
      <c r="BB1384">
        <f>COUNTIF(X1384:AE1384,"&lt;&gt;0")</f>
        <v>0</v>
      </c>
      <c r="BC1384">
        <f>COUNTIF(AF1384:AK1384,"&lt;&gt;0")</f>
        <v>2</v>
      </c>
      <c r="BD1384">
        <f>COUNTIF(AL1384:AN1384,"&lt;&gt;0")</f>
        <v>0</v>
      </c>
      <c r="BE1384">
        <f>COUNTIF(AU1384:AY1384,"&lt;&gt;0")</f>
        <v>0</v>
      </c>
      <c r="BF1384">
        <f>COUNTIF(AO1384:AT1384,"&lt;&gt;0")</f>
        <v>0</v>
      </c>
      <c r="BG1384" t="str">
        <f t="array" ref="BG1384">IF(BA1384=1,INDEX($X$7:$AN$7,MATCH(TRUE,INDEX($X1384:$AY1384&lt;&gt;0,),0)),IF(BA1384=0,INDEX($AO$7:$AY$7,MATCH(1,$AO1384:$AY1384,0)),IF(BH1384="Multiple strategies","mixed drivers",IF(BH1384="Supply chain","multiple supply","multiple silviculture"))))</f>
        <v>multiple supply</v>
      </c>
      <c r="BH1384" s="2" t="str" cm="1">
        <f t="array" ref="BH1384">IF(COUNTIF(BB1384:BD1384,"&lt;&gt;0")=1,INDEX($X$4:$AY$4,MATCH(TRUE,INDEX($X1384:$AY1384&lt;&gt;0,),0)),IF(COUNTIF(BB1384:BD1384,"&lt;&gt;0")=0,INDEX($AO$4:$AY$4,MATCH(1,$AO1384:$AY1384,0)),"Multiple strategies"))</f>
        <v>Supply chain</v>
      </c>
      <c r="BI1384" s="1" t="s">
        <v>321</v>
      </c>
      <c r="BJ1384" t="s">
        <v>2068</v>
      </c>
      <c r="BK1384" s="256" t="s">
        <v>3065</v>
      </c>
      <c r="BL1384" t="s">
        <v>1232</v>
      </c>
      <c r="BM1384">
        <v>457</v>
      </c>
      <c r="BN1384">
        <v>457</v>
      </c>
      <c r="BO1384">
        <f>BN1384/BM1384</f>
        <v>1</v>
      </c>
      <c r="BP1384">
        <f>BN1384-BM1384</f>
        <v>0</v>
      </c>
      <c r="BQ1384">
        <f>BP1384*10^6*tC_to_m3</f>
        <v>0</v>
      </c>
      <c r="BR1384" t="s">
        <v>232</v>
      </c>
      <c r="BS1384" s="256" t="s">
        <v>3066</v>
      </c>
      <c r="BT1384" t="s">
        <v>1018</v>
      </c>
      <c r="BW1384" s="144"/>
      <c r="BX1384">
        <v>71</v>
      </c>
      <c r="BZ1384">
        <f>BX1384*10^6</f>
        <v>71000000</v>
      </c>
      <c r="CA1384" t="str">
        <f>IFERROR(BZ1384/BQ1384,"")</f>
        <v/>
      </c>
      <c r="CB1384">
        <v>0</v>
      </c>
      <c r="CC1384">
        <v>1</v>
      </c>
      <c r="CD1384">
        <v>1</v>
      </c>
      <c r="CE1384">
        <v>1</v>
      </c>
      <c r="CF1384">
        <v>0</v>
      </c>
      <c r="CG1384">
        <v>0</v>
      </c>
      <c r="CH1384">
        <v>0</v>
      </c>
      <c r="CI1384">
        <v>0</v>
      </c>
      <c r="CJ1384">
        <v>0</v>
      </c>
      <c r="CK1384">
        <v>0</v>
      </c>
      <c r="CL1384">
        <v>0</v>
      </c>
      <c r="CM1384">
        <v>0</v>
      </c>
      <c r="CN1384">
        <v>0</v>
      </c>
      <c r="CO1384">
        <v>0</v>
      </c>
      <c r="CP1384" t="str">
        <f>IF(BN1384&lt;BM1384,"refNeedCorrection","refOK")</f>
        <v>refOK</v>
      </c>
      <c r="CQ1384"/>
      <c r="CR1384"/>
      <c r="CS1384">
        <f>IF($CP1384="refOK",$BQ1384,-$BQ1384)</f>
        <v>0</v>
      </c>
      <c r="CT1384">
        <f>IF(BI1384="Roundwood",$CS1384/2,$CS1384)</f>
        <v>0</v>
      </c>
      <c r="CU1384">
        <f>IF($CP1384="refOK",$BU1384,$BV1384)*IF($BR1384="Emissions positive",-1,1)</f>
        <v>0</v>
      </c>
      <c r="CV1384">
        <f>IF($CP1384="refOK",$BV1384,$BU1384)*IF($BR1384="Emissions positive",-1,1)</f>
        <v>0</v>
      </c>
      <c r="CW1384">
        <f>IF($CP1384="refNeedCorrection",-BZ1384,BZ1384)*IF($BR1384="Emissions positive",-1,1)</f>
        <v>71000000</v>
      </c>
      <c r="CX1384" t="str">
        <f>IFERROR($CW1384/$CS1384,"")</f>
        <v/>
      </c>
      <c r="CY1384" t="str">
        <f>IFERROR($CW1384/$CS1384,"")</f>
        <v/>
      </c>
      <c r="CZ1384" t="str">
        <f>IFERROR($CW1384/$CT1384,"")</f>
        <v/>
      </c>
      <c r="DA1384" s="2" t="str">
        <f>IFERROR((CV1384-CU1384)/ABS(CU1384),"")</f>
        <v/>
      </c>
      <c r="DB1384" s="1" t="s">
        <v>1074</v>
      </c>
      <c r="DC1384" t="str">
        <f>IF(OR($DB1384="prd",$DB1384="std",$DB1384="cit"),"loc",IF(OR($DB1384="eur",$DB1384="reg",$DB1384="coy"),"reg",$DB1384))</f>
        <v>reg</v>
      </c>
      <c r="DD1384" t="s">
        <v>527</v>
      </c>
      <c r="DE1384">
        <v>2015</v>
      </c>
      <c r="DF1384">
        <v>2070</v>
      </c>
      <c r="DG1384">
        <v>45</v>
      </c>
      <c r="DH1384" t="str">
        <f>IF(DG1384=0,"0",IF(AND(DG1384&gt;=1,DG1384&lt;=30),"1-30",IF(AND(DG1384&gt;30,DG1384&lt;=70),"31-70",IF(AND(DG1384&gt;70,DG1384&lt;=100),"71-100",IF(DG1384&gt;100,"+100")))))</f>
        <v>31-70</v>
      </c>
      <c r="DI1384">
        <v>0</v>
      </c>
      <c r="DJ1384">
        <v>1</v>
      </c>
      <c r="DK1384">
        <v>1</v>
      </c>
      <c r="DL1384">
        <v>1</v>
      </c>
      <c r="DN1384">
        <f>SUM(DI1384:DL1384)</f>
        <v>3</v>
      </c>
      <c r="DO1384" t="str">
        <f>IF(DN1384=1,INDEX($DI$7:$DL$7,MATCH(1,$DI1384:$DL1384,0)),"mixedProduct")</f>
        <v>mixedProduct</v>
      </c>
      <c r="DP1384">
        <f>IF(DI1384=1,DP$7,0)</f>
        <v>0</v>
      </c>
      <c r="DQ1384" t="str">
        <f>IF(DJ1384=1,DQ$7,0)</f>
        <v>Energy</v>
      </c>
      <c r="DR1384" t="str">
        <f>IF(DK1384=1,DR$7,0)</f>
        <v>Pulp/Paper</v>
      </c>
      <c r="DS1384" t="str">
        <f>IF(DL1384=1,DS$7,0)</f>
        <v>Timber</v>
      </c>
      <c r="DT1384">
        <v>1</v>
      </c>
      <c r="DU1384">
        <v>1</v>
      </c>
      <c r="DV1384" t="s">
        <v>2059</v>
      </c>
      <c r="DW1384">
        <v>0</v>
      </c>
      <c r="DX1384">
        <v>0</v>
      </c>
      <c r="DY1384">
        <f>SUM(DT1384:DU1384)</f>
        <v>2</v>
      </c>
      <c r="DZ1384" s="143" t="str">
        <f>IF(DT1384=1,"self-calculated DF",IF(DU1384=1,"external DF used","explicit C balance"))</f>
        <v>self-calculated DF</v>
      </c>
      <c r="EA1384">
        <v>1</v>
      </c>
      <c r="EB1384">
        <v>1</v>
      </c>
      <c r="EC1384">
        <v>1</v>
      </c>
      <c r="ED1384">
        <v>1</v>
      </c>
      <c r="EE1384">
        <v>1</v>
      </c>
      <c r="EF1384">
        <v>1</v>
      </c>
      <c r="EG1384">
        <v>1</v>
      </c>
      <c r="EH1384">
        <v>1</v>
      </c>
      <c r="EI1384">
        <v>1</v>
      </c>
      <c r="EJ1384">
        <v>1</v>
      </c>
      <c r="EK1384">
        <v>1</v>
      </c>
      <c r="EL1384">
        <v>1</v>
      </c>
      <c r="EM1384">
        <v>0</v>
      </c>
      <c r="EN1384" s="2">
        <v>0</v>
      </c>
      <c r="EP1384" t="str">
        <f>IF(AND(AND(AND(OR($EC1384=1,$EB1384=1),OR($EH1384=1,$EF1384=1)),SUM($EA1384:$EE1384,$EK1384)&gt;=3),SUM($EF1384:$EJ1384)&gt;=2),"Whole sector approach","")</f>
        <v>Whole sector approach</v>
      </c>
      <c r="EQ1384" t="str">
        <f>IF(AND(AND(OR($EC1384=1,$EB1384=1),AND($EH1384=0,$EF1384=0)),SUM($EA1384:$EE1384,$EK1384)&gt;=4),"Ecosystem approach","")</f>
        <v/>
      </c>
      <c r="ER1384" s="2" t="str">
        <f>IF(AND(AND(AND($EC1384=0,$EB1384=0),OR($EH1384=1,$EF1384=1)),SUM($EG1384:$EJ1384)&gt;=2),"Technology approach","")</f>
        <v/>
      </c>
      <c r="ES1384" t="str">
        <f>IF(AND($EC1384+$EB1384+$EE1384+$EA1384+$ED1384+$EG1384=0,$N1384="included"),"C neutral forest and HWP assumption","")</f>
        <v/>
      </c>
      <c r="ET1384" t="str">
        <f>IF(AND(AND(AND(AND($EC1384=1,$EB1384+$EA1384+$EG1384&gt;=1),$EF1384=1),$EH1384+$EI1384+$ED1384+$EE1384&gt;=2),$N1384="included"),"All C pools assumption","")</f>
        <v>All C pools assumption</v>
      </c>
      <c r="EU1384" t="str">
        <f>IF(AND($ED1384+$EE1384+$EI1384+$EH1384+$EF1384=0,$N1384="included"),"In-situ only assumption","")</f>
        <v/>
      </c>
      <c r="EV1384" s="328" t="s">
        <v>5064</v>
      </c>
      <c r="EY1384" t="b">
        <f>IF(ISNUMBER(BW1384),IF(ABS(BW1384-[6]QC_indicators!$B$2)&gt;3*[6]QC_indicators!$C$2,"C ratio",IF(ISNUMBER(CA1384),IF(ABS(CA1384-[6]QC_indicators!$B$1)&gt;3*[6]QC_indicators!$C$1,"DF","no"))),IF(ISNUMBER(CA1384),IF(ABS(CA1384-[6]QC_indicators!$B$1)&gt;3*[6]QC_indicators!$C$1,"DF","no")))</f>
        <v>0</v>
      </c>
      <c r="FA1384" t="str">
        <f>IF(LEN($CY1384)=0,"",IF(AND($CY1384&lt;(-0.05),$ES1384="C neutral forest and HWP assumption"),"Cneutral paradox",IF(AND($CY1384&gt;0.05,$EU1384="In-situ only assumption"),"In-situ only paradox","")))</f>
        <v/>
      </c>
      <c r="FB1384" s="149" t="s">
        <v>349</v>
      </c>
      <c r="FD1384" s="260" t="s">
        <v>2948</v>
      </c>
    </row>
    <row r="1385" spans="1:160" ht="15" hidden="1" customHeight="1">
      <c r="A1385" s="1" t="s">
        <v>1781</v>
      </c>
      <c r="B1385" t="s">
        <v>2060</v>
      </c>
      <c r="C1385" t="s">
        <v>2061</v>
      </c>
      <c r="D1385" t="s">
        <v>2062</v>
      </c>
      <c r="E1385" t="s">
        <v>2063</v>
      </c>
      <c r="F1385" t="s">
        <v>2064</v>
      </c>
      <c r="G1385" t="s">
        <v>1787</v>
      </c>
      <c r="H1385" t="s">
        <v>254</v>
      </c>
      <c r="I1385">
        <v>2020</v>
      </c>
      <c r="J1385">
        <v>7</v>
      </c>
      <c r="K1385" t="s">
        <v>2065</v>
      </c>
      <c r="M1385" t="str">
        <f>LEFT($D1385,FIND(",",$D1385)-1)&amp;"_"&amp;I1385&amp;L1385</f>
        <v>Smyth_2020</v>
      </c>
      <c r="N1385" t="s">
        <v>222</v>
      </c>
      <c r="O1385" s="145" t="s">
        <v>341</v>
      </c>
      <c r="Q1385" t="s">
        <v>256</v>
      </c>
      <c r="R1385" s="283" t="s">
        <v>225</v>
      </c>
      <c r="S1385" s="1" t="s">
        <v>2085</v>
      </c>
      <c r="T1385" t="s">
        <v>1030</v>
      </c>
      <c r="U1385" t="s">
        <v>2086</v>
      </c>
      <c r="V1385" s="253">
        <v>0</v>
      </c>
      <c r="W1385" s="253">
        <v>0</v>
      </c>
      <c r="X1385">
        <v>0</v>
      </c>
      <c r="Y1385">
        <v>0</v>
      </c>
      <c r="Z1385">
        <v>0</v>
      </c>
      <c r="AA1385">
        <v>0</v>
      </c>
      <c r="AB1385">
        <v>0</v>
      </c>
      <c r="AC1385">
        <v>0</v>
      </c>
      <c r="AD1385">
        <v>0</v>
      </c>
      <c r="AE1385">
        <v>0</v>
      </c>
      <c r="AF1385">
        <v>0</v>
      </c>
      <c r="AG1385">
        <v>0</v>
      </c>
      <c r="AH1385">
        <v>1</v>
      </c>
      <c r="AI1385">
        <v>0</v>
      </c>
      <c r="AJ1385">
        <v>0</v>
      </c>
      <c r="AK1385">
        <v>1</v>
      </c>
      <c r="AL1385">
        <v>0</v>
      </c>
      <c r="AM1385">
        <v>0</v>
      </c>
      <c r="AN1385">
        <v>0</v>
      </c>
      <c r="AO1385">
        <v>0</v>
      </c>
      <c r="AP1385">
        <v>0</v>
      </c>
      <c r="AQ1385">
        <v>0</v>
      </c>
      <c r="AR1385">
        <v>0</v>
      </c>
      <c r="AS1385">
        <v>0</v>
      </c>
      <c r="AT1385">
        <v>0</v>
      </c>
      <c r="AU1385">
        <v>0</v>
      </c>
      <c r="AV1385">
        <v>0</v>
      </c>
      <c r="AW1385">
        <v>0</v>
      </c>
      <c r="AX1385">
        <v>0</v>
      </c>
      <c r="AY1385">
        <v>0</v>
      </c>
      <c r="AZ1385" s="141">
        <f>COUNTIF(X1385:AY1385,"&lt;&gt;0")</f>
        <v>2</v>
      </c>
      <c r="BA1385" s="141">
        <f>COUNTIF(X1385:AN1385,"&lt;&gt;0")</f>
        <v>2</v>
      </c>
      <c r="BB1385">
        <f>COUNTIF(X1385:AE1385,"&lt;&gt;0")</f>
        <v>0</v>
      </c>
      <c r="BC1385">
        <f>COUNTIF(AF1385:AK1385,"&lt;&gt;0")</f>
        <v>2</v>
      </c>
      <c r="BD1385">
        <f>COUNTIF(AL1385:AN1385,"&lt;&gt;0")</f>
        <v>0</v>
      </c>
      <c r="BE1385">
        <f>COUNTIF(AU1385:AY1385,"&lt;&gt;0")</f>
        <v>0</v>
      </c>
      <c r="BF1385">
        <f>COUNTIF(AO1385:AT1385,"&lt;&gt;0")</f>
        <v>0</v>
      </c>
      <c r="BG1385" t="str">
        <f t="array" ref="BG1385">IF(BA1385=1,INDEX($X$7:$AN$7,MATCH(TRUE,INDEX($X1385:$AY1385&lt;&gt;0,),0)),IF(BA1385=0,INDEX($AO$7:$AY$7,MATCH(1,$AO1385:$AY1385,0)),IF(BH1385="Multiple strategies","mixed drivers",IF(BH1385="Supply chain","multiple supply","multiple silviculture"))))</f>
        <v>multiple supply</v>
      </c>
      <c r="BH1385" s="2" t="str" cm="1">
        <f t="array" ref="BH1385">IF(COUNTIF(BB1385:BD1385,"&lt;&gt;0")=1,INDEX($X$4:$AY$4,MATCH(TRUE,INDEX($X1385:$AY1385&lt;&gt;0,),0)),IF(COUNTIF(BB1385:BD1385,"&lt;&gt;0")=0,INDEX($AO$4:$AY$4,MATCH(1,$AO1385:$AY1385,0)),"Multiple strategies"))</f>
        <v>Supply chain</v>
      </c>
      <c r="BI1385" s="1" t="s">
        <v>321</v>
      </c>
      <c r="BJ1385" t="s">
        <v>2068</v>
      </c>
      <c r="BK1385" s="256" t="s">
        <v>3065</v>
      </c>
      <c r="BL1385" t="s">
        <v>1232</v>
      </c>
      <c r="BM1385">
        <v>457</v>
      </c>
      <c r="BN1385">
        <v>457</v>
      </c>
      <c r="BO1385">
        <f>BN1385/BM1385</f>
        <v>1</v>
      </c>
      <c r="BP1385">
        <f>BN1385-BM1385</f>
        <v>0</v>
      </c>
      <c r="BQ1385">
        <f>BP1385*10^6*tC_to_m3</f>
        <v>0</v>
      </c>
      <c r="BR1385" t="s">
        <v>232</v>
      </c>
      <c r="BS1385" s="256" t="s">
        <v>3067</v>
      </c>
      <c r="BT1385" t="s">
        <v>2069</v>
      </c>
      <c r="BW1385" s="144"/>
      <c r="BX1385">
        <v>191</v>
      </c>
      <c r="BZ1385">
        <f>BX1385*10^6</f>
        <v>191000000</v>
      </c>
      <c r="CA1385" t="str">
        <f>IFERROR(BZ1385/BQ1385,"")</f>
        <v/>
      </c>
      <c r="CB1385">
        <v>0</v>
      </c>
      <c r="CC1385">
        <v>1</v>
      </c>
      <c r="CD1385">
        <v>1</v>
      </c>
      <c r="CE1385">
        <v>1</v>
      </c>
      <c r="CF1385">
        <v>0</v>
      </c>
      <c r="CG1385">
        <v>0</v>
      </c>
      <c r="CH1385">
        <v>0</v>
      </c>
      <c r="CI1385">
        <v>0</v>
      </c>
      <c r="CJ1385">
        <v>0</v>
      </c>
      <c r="CK1385">
        <v>0</v>
      </c>
      <c r="CL1385">
        <v>0</v>
      </c>
      <c r="CM1385">
        <v>0</v>
      </c>
      <c r="CN1385">
        <v>0</v>
      </c>
      <c r="CO1385">
        <v>0</v>
      </c>
      <c r="CP1385" t="str">
        <f>IF(BN1385&lt;BM1385,"refNeedCorrection","refOK")</f>
        <v>refOK</v>
      </c>
      <c r="CQ1385"/>
      <c r="CR1385"/>
      <c r="CS1385">
        <f>IF($CP1385="refOK",$BQ1385,-$BQ1385)</f>
        <v>0</v>
      </c>
      <c r="CT1385">
        <f>IF(BI1385="Roundwood",$CS1385/2,$CS1385)</f>
        <v>0</v>
      </c>
      <c r="CU1385">
        <f>IF($CP1385="refOK",$BU1385,$BV1385)*IF($BR1385="Emissions positive",-1,1)</f>
        <v>0</v>
      </c>
      <c r="CV1385">
        <f>IF($CP1385="refOK",$BV1385,$BU1385)*IF($BR1385="Emissions positive",-1,1)</f>
        <v>0</v>
      </c>
      <c r="CW1385">
        <f>IF($CP1385="refNeedCorrection",-BZ1385,BZ1385)*IF($BR1385="Emissions positive",-1,1)</f>
        <v>191000000</v>
      </c>
      <c r="CX1385" t="str">
        <f>IFERROR($CW1385/$CS1385,"")</f>
        <v/>
      </c>
      <c r="CY1385" t="str">
        <f>IFERROR($CW1385/$CS1385,"")</f>
        <v/>
      </c>
      <c r="CZ1385" t="str">
        <f>IFERROR($CW1385/$CT1385,"")</f>
        <v/>
      </c>
      <c r="DA1385" s="2" t="str">
        <f>IFERROR((CV1385-CU1385)/ABS(CU1385),"")</f>
        <v/>
      </c>
      <c r="DB1385" s="1" t="s">
        <v>1074</v>
      </c>
      <c r="DC1385" t="str">
        <f>IF(OR($DB1385="prd",$DB1385="std",$DB1385="cit"),"loc",IF(OR($DB1385="eur",$DB1385="reg",$DB1385="coy"),"reg",$DB1385))</f>
        <v>reg</v>
      </c>
      <c r="DD1385" t="s">
        <v>527</v>
      </c>
      <c r="DE1385">
        <v>2015</v>
      </c>
      <c r="DF1385">
        <v>2070</v>
      </c>
      <c r="DG1385">
        <v>45</v>
      </c>
      <c r="DH1385" t="str">
        <f>IF(DG1385=0,"0",IF(AND(DG1385&gt;=1,DG1385&lt;=30),"1-30",IF(AND(DG1385&gt;30,DG1385&lt;=70),"31-70",IF(AND(DG1385&gt;70,DG1385&lt;=100),"71-100",IF(DG1385&gt;100,"+100")))))</f>
        <v>31-70</v>
      </c>
      <c r="DI1385">
        <v>0</v>
      </c>
      <c r="DJ1385">
        <v>1</v>
      </c>
      <c r="DK1385">
        <v>1</v>
      </c>
      <c r="DL1385">
        <v>1</v>
      </c>
      <c r="DN1385">
        <f>SUM(DI1385:DL1385)</f>
        <v>3</v>
      </c>
      <c r="DO1385" t="str">
        <f>IF(DN1385=1,INDEX($DI$7:$DL$7,MATCH(1,$DI1385:$DL1385,0)),"mixedProduct")</f>
        <v>mixedProduct</v>
      </c>
      <c r="DP1385">
        <f>IF(DI1385=1,DP$7,0)</f>
        <v>0</v>
      </c>
      <c r="DQ1385" t="str">
        <f>IF(DJ1385=1,DQ$7,0)</f>
        <v>Energy</v>
      </c>
      <c r="DR1385" t="str">
        <f>IF(DK1385=1,DR$7,0)</f>
        <v>Pulp/Paper</v>
      </c>
      <c r="DS1385" t="str">
        <f>IF(DL1385=1,DS$7,0)</f>
        <v>Timber</v>
      </c>
      <c r="DT1385">
        <v>1</v>
      </c>
      <c r="DU1385">
        <v>1</v>
      </c>
      <c r="DV1385" t="s">
        <v>2059</v>
      </c>
      <c r="DW1385">
        <v>0</v>
      </c>
      <c r="DX1385">
        <v>0</v>
      </c>
      <c r="DY1385">
        <f>SUM(DT1385:DU1385)</f>
        <v>2</v>
      </c>
      <c r="DZ1385" s="143" t="str">
        <f>IF(DT1385=1,"self-calculated DF",IF(DU1385=1,"external DF used","explicit C balance"))</f>
        <v>self-calculated DF</v>
      </c>
      <c r="EA1385">
        <v>1</v>
      </c>
      <c r="EB1385">
        <v>1</v>
      </c>
      <c r="EC1385">
        <v>1</v>
      </c>
      <c r="ED1385">
        <v>1</v>
      </c>
      <c r="EE1385">
        <v>1</v>
      </c>
      <c r="EF1385">
        <v>1</v>
      </c>
      <c r="EG1385">
        <v>1</v>
      </c>
      <c r="EH1385">
        <v>1</v>
      </c>
      <c r="EI1385">
        <v>1</v>
      </c>
      <c r="EJ1385">
        <v>1</v>
      </c>
      <c r="EK1385">
        <v>1</v>
      </c>
      <c r="EL1385">
        <v>1</v>
      </c>
      <c r="EM1385">
        <v>0</v>
      </c>
      <c r="EN1385" s="2">
        <v>0</v>
      </c>
      <c r="EP1385" t="str">
        <f>IF(AND(AND(AND(OR($EC1385=1,$EB1385=1),OR($EH1385=1,$EF1385=1)),SUM($EA1385:$EE1385,$EK1385)&gt;=3),SUM($EF1385:$EJ1385)&gt;=2),"Whole sector approach","")</f>
        <v>Whole sector approach</v>
      </c>
      <c r="EQ1385" t="str">
        <f>IF(AND(AND(OR($EC1385=1,$EB1385=1),AND($EH1385=0,$EF1385=0)),SUM($EA1385:$EE1385,$EK1385)&gt;=4),"Ecosystem approach","")</f>
        <v/>
      </c>
      <c r="ER1385" s="2" t="str">
        <f>IF(AND(AND(AND($EC1385=0,$EB1385=0),OR($EH1385=1,$EF1385=1)),SUM($EG1385:$EJ1385)&gt;=2),"Technology approach","")</f>
        <v/>
      </c>
      <c r="ES1385" t="str">
        <f>IF(AND($EC1385+$EB1385+$EE1385+$EA1385+$ED1385+$EG1385=0,$N1385="included"),"C neutral forest and HWP assumption","")</f>
        <v/>
      </c>
      <c r="ET1385" t="str">
        <f>IF(AND(AND(AND(AND($EC1385=1,$EB1385+$EA1385+$EG1385&gt;=1),$EF1385=1),$EH1385+$EI1385+$ED1385+$EE1385&gt;=2),$N1385="included"),"All C pools assumption","")</f>
        <v>All C pools assumption</v>
      </c>
      <c r="EU1385" t="str">
        <f>IF(AND($ED1385+$EE1385+$EI1385+$EH1385+$EF1385=0,$N1385="included"),"In-situ only assumption","")</f>
        <v/>
      </c>
      <c r="EV1385" s="328" t="s">
        <v>5064</v>
      </c>
      <c r="EY1385" t="b">
        <f>IF(ISNUMBER(BW1385),IF(ABS(BW1385-[6]QC_indicators!$B$2)&gt;3*[6]QC_indicators!$C$2,"C ratio",IF(ISNUMBER(CA1385),IF(ABS(CA1385-[6]QC_indicators!$B$1)&gt;3*[6]QC_indicators!$C$1,"DF","no"))),IF(ISNUMBER(CA1385),IF(ABS(CA1385-[6]QC_indicators!$B$1)&gt;3*[6]QC_indicators!$C$1,"DF","no")))</f>
        <v>0</v>
      </c>
      <c r="FA1385" t="str">
        <f>IF(LEN($CY1385)=0,"",IF(AND($CY1385&lt;(-0.05),$ES1385="C neutral forest and HWP assumption"),"Cneutral paradox",IF(AND($CY1385&gt;0.05,$EU1385="In-situ only assumption"),"In-situ only paradox","")))</f>
        <v/>
      </c>
      <c r="FB1385" s="149" t="s">
        <v>2070</v>
      </c>
      <c r="FD1385" s="260" t="s">
        <v>2948</v>
      </c>
    </row>
    <row r="1386" spans="1:160" ht="15" hidden="1" customHeight="1">
      <c r="A1386" s="1" t="s">
        <v>247</v>
      </c>
      <c r="B1386" t="s">
        <v>779</v>
      </c>
      <c r="C1386" t="s">
        <v>780</v>
      </c>
      <c r="D1386" t="s">
        <v>781</v>
      </c>
      <c r="E1386" t="s">
        <v>782</v>
      </c>
      <c r="F1386" t="s">
        <v>783</v>
      </c>
      <c r="G1386" t="s">
        <v>253</v>
      </c>
      <c r="H1386" t="s">
        <v>254</v>
      </c>
      <c r="I1386">
        <v>2020</v>
      </c>
      <c r="J1386">
        <v>15</v>
      </c>
      <c r="K1386" t="s">
        <v>784</v>
      </c>
      <c r="M1386" t="str">
        <f>LEFT($D1386,FIND(",",$D1386)-1)&amp;"_"&amp;I1386&amp;L1386</f>
        <v>Jayalath_2020</v>
      </c>
      <c r="N1386" t="s">
        <v>222</v>
      </c>
      <c r="O1386" s="145" t="s">
        <v>508</v>
      </c>
      <c r="Q1386" t="s">
        <v>256</v>
      </c>
      <c r="R1386" s="258" t="s">
        <v>225</v>
      </c>
      <c r="S1386" s="1" t="s">
        <v>789</v>
      </c>
      <c r="T1386" t="s">
        <v>790</v>
      </c>
      <c r="U1386" t="s">
        <v>259</v>
      </c>
      <c r="V1386" s="253">
        <v>0</v>
      </c>
      <c r="W1386" s="253">
        <v>0</v>
      </c>
      <c r="X1386">
        <v>0</v>
      </c>
      <c r="Y1386">
        <v>0</v>
      </c>
      <c r="Z1386">
        <v>0</v>
      </c>
      <c r="AA1386">
        <v>0</v>
      </c>
      <c r="AB1386">
        <v>0</v>
      </c>
      <c r="AC1386">
        <v>0</v>
      </c>
      <c r="AD1386">
        <v>0</v>
      </c>
      <c r="AE1386">
        <v>0</v>
      </c>
      <c r="AF1386">
        <v>0</v>
      </c>
      <c r="AG1386">
        <v>0</v>
      </c>
      <c r="AH1386">
        <v>0</v>
      </c>
      <c r="AI1386">
        <v>0</v>
      </c>
      <c r="AJ1386">
        <v>0</v>
      </c>
      <c r="AK1386">
        <v>0</v>
      </c>
      <c r="AL1386">
        <v>0</v>
      </c>
      <c r="AM1386">
        <v>1</v>
      </c>
      <c r="AN1386">
        <v>0</v>
      </c>
      <c r="AO1386">
        <v>0</v>
      </c>
      <c r="AP1386">
        <v>0</v>
      </c>
      <c r="AQ1386">
        <v>0</v>
      </c>
      <c r="AR1386">
        <v>0</v>
      </c>
      <c r="AS1386">
        <v>0</v>
      </c>
      <c r="AT1386">
        <v>0</v>
      </c>
      <c r="AU1386">
        <v>0</v>
      </c>
      <c r="AV1386">
        <v>0</v>
      </c>
      <c r="AW1386">
        <v>0</v>
      </c>
      <c r="AX1386">
        <v>0</v>
      </c>
      <c r="AY1386">
        <v>0</v>
      </c>
      <c r="AZ1386" s="141">
        <f>COUNTIF(X1386:AY1386,"&lt;&gt;0")</f>
        <v>1</v>
      </c>
      <c r="BA1386" s="141">
        <f>COUNTIF(X1386:AN1386,"&lt;&gt;0")</f>
        <v>1</v>
      </c>
      <c r="BB1386">
        <f>COUNTIF(X1386:AE1386,"&lt;&gt;0")</f>
        <v>0</v>
      </c>
      <c r="BC1386">
        <f>COUNTIF(AF1386:AK1386,"&lt;&gt;0")</f>
        <v>0</v>
      </c>
      <c r="BD1386">
        <f>COUNTIF(AL1386:AN1386,"&lt;&gt;0")</f>
        <v>1</v>
      </c>
      <c r="BE1386">
        <f>COUNTIF(AU1386:AY1386,"&lt;&gt;0")</f>
        <v>0</v>
      </c>
      <c r="BF1386">
        <f>COUNTIF(AO1386:AT1386,"&lt;&gt;0")</f>
        <v>0</v>
      </c>
      <c r="BG1386" t="str">
        <f t="array" ref="BG1386">IF(BA1386=1,INDEX($X$7:$AN$7,MATCH(TRUE,INDEX($X1386:$AY1386&lt;&gt;0,),0)),IF(BA1386=0,INDEX($AO$7:$AY$7,MATCH(1,$AO1386:$AY1386,0)),IF(BH1386="Multiple strategies","mixed drivers",IF(BH1386="Supply chain","multiple supply","multiple silviculture"))))</f>
        <v>technologies/design switch</v>
      </c>
      <c r="BH1386" s="2" t="str" cm="1">
        <f t="array" ref="BH1386">IF(COUNTIF(BB1386:BD1386,"&lt;&gt;0")=1,INDEX($X$4:$AY$4,MATCH(TRUE,INDEX($X1386:$AY1386&lt;&gt;0,),0)),IF(COUNTIF(BB1386:BD1386,"&lt;&gt;0")=0,INDEX($AO$4:$AY$4,MATCH(1,$AO1386:$AY1386,0)),"Multiple strategies"))</f>
        <v>Technology</v>
      </c>
      <c r="BI1386" s="1" t="s">
        <v>229</v>
      </c>
      <c r="BJ1386" t="s">
        <v>788</v>
      </c>
      <c r="BK1386" s="256" t="s">
        <v>3015</v>
      </c>
      <c r="BL1386" t="s">
        <v>345</v>
      </c>
      <c r="BM1386" s="260">
        <v>0</v>
      </c>
      <c r="BN1386" s="260">
        <f>119193+8552+2924</f>
        <v>130669</v>
      </c>
      <c r="BP1386">
        <f>BN1386-BM1386</f>
        <v>130669</v>
      </c>
      <c r="BQ1386">
        <f>BP1386*kg_to_m3</f>
        <v>266.67142857142858</v>
      </c>
      <c r="BR1386" t="s">
        <v>395</v>
      </c>
      <c r="BS1386" s="256" t="s">
        <v>3019</v>
      </c>
      <c r="BT1386" t="s">
        <v>792</v>
      </c>
      <c r="BU1386">
        <f>(1387+293)+35+7</f>
        <v>1722</v>
      </c>
      <c r="BV1386">
        <f>687+353+28+3</f>
        <v>1071</v>
      </c>
      <c r="BW1386" s="144">
        <f>IFERROR(BV1386/BU1386,"")</f>
        <v>0.62195121951219512</v>
      </c>
      <c r="BX1386">
        <f>BV1386-BU1386</f>
        <v>-651</v>
      </c>
      <c r="BZ1386">
        <f>BX1386</f>
        <v>-651</v>
      </c>
      <c r="CA1386">
        <f>IFERROR(BZ1386/BQ1386,"")</f>
        <v>-2.4412064070284458</v>
      </c>
      <c r="CB1386">
        <v>0</v>
      </c>
      <c r="CC1386">
        <v>0</v>
      </c>
      <c r="CD1386">
        <v>0</v>
      </c>
      <c r="CE1386">
        <v>0</v>
      </c>
      <c r="CF1386">
        <v>0</v>
      </c>
      <c r="CG1386">
        <v>0</v>
      </c>
      <c r="CH1386">
        <v>0</v>
      </c>
      <c r="CI1386">
        <v>0</v>
      </c>
      <c r="CJ1386">
        <v>0</v>
      </c>
      <c r="CK1386">
        <v>0</v>
      </c>
      <c r="CL1386">
        <v>0</v>
      </c>
      <c r="CM1386">
        <v>0</v>
      </c>
      <c r="CN1386">
        <v>0</v>
      </c>
      <c r="CO1386">
        <v>1</v>
      </c>
      <c r="CP1386" t="str">
        <f>IF(BN1386&lt;BM1386,"refNeedCorrection","refOK")</f>
        <v>refOK</v>
      </c>
      <c r="CQ1386">
        <f>IF($CP1386="refOK",$BM1386,$BN1386)</f>
        <v>0</v>
      </c>
      <c r="CR1386">
        <f>IF($CP1386="refOK",$BN1386,$BM1386)</f>
        <v>130669</v>
      </c>
      <c r="CS1386">
        <f>IF($CP1386="refOK",$BQ1386,-$BQ1386)</f>
        <v>266.67142857142858</v>
      </c>
      <c r="CT1386">
        <f>IF(BI1386="Roundwood",$CS1386/2,$CS1386)</f>
        <v>266.67142857142858</v>
      </c>
      <c r="CU1386">
        <f>IF($CP1386="refOK",$BU1386,$BV1386)*IF($BR1386="Emissions positive",-1,1)</f>
        <v>-1722</v>
      </c>
      <c r="CV1386">
        <f>IF($CP1386="refOK",$BV1386,$BU1386)*IF($BR1386="Emissions positive",-1,1)</f>
        <v>-1071</v>
      </c>
      <c r="CW1386">
        <f>IF($CP1386="refNeedCorrection",-BZ1386,BZ1386)*IF($BR1386="Emissions positive",-1,1)</f>
        <v>651</v>
      </c>
      <c r="CX1386">
        <f>IFERROR($CW1386/$CS1386,"")</f>
        <v>2.4412064070284458</v>
      </c>
      <c r="CY1386">
        <f>IFERROR($CW1386/$CS1386,"")</f>
        <v>2.4412064070284458</v>
      </c>
      <c r="CZ1386">
        <f>IFERROR($CW1386/$CT1386,"")</f>
        <v>2.4412064070284458</v>
      </c>
      <c r="DA1386" s="2">
        <f>IFERROR((CV1386-CU1386)/ABS(CU1386),"")</f>
        <v>0.37804878048780488</v>
      </c>
      <c r="DB1386" s="1" t="s">
        <v>347</v>
      </c>
      <c r="DC1386" t="str">
        <f>IF(OR($DB1386="prd",$DB1386="std",$DB1386="cit"),"loc",IF(OR($DB1386="eur",$DB1386="reg",$DB1386="coy"),"reg",$DB1386))</f>
        <v>loc</v>
      </c>
      <c r="DD1386" t="s">
        <v>561</v>
      </c>
      <c r="DG1386">
        <v>0</v>
      </c>
      <c r="DH1386" t="str">
        <f>IF(DG1386=0,"0",IF(AND(DG1386&gt;=1,DG1386&lt;=30),"1-30",IF(AND(DG1386&gt;30,DG1386&lt;=70),"31-70",IF(AND(DG1386&gt;70,DG1386&lt;=100),"71-100",IF(DG1386&gt;100,"+100")))))</f>
        <v>0</v>
      </c>
      <c r="DI1386">
        <v>0</v>
      </c>
      <c r="DJ1386">
        <v>0</v>
      </c>
      <c r="DK1386">
        <v>0</v>
      </c>
      <c r="DL1386">
        <v>1</v>
      </c>
      <c r="DN1386">
        <f>SUM(DI1386:DL1386)</f>
        <v>1</v>
      </c>
      <c r="DO1386" t="str">
        <f>IF(DN1386=1,INDEX($DI$7:$DL$7,MATCH(1,$DI1386:$DL1386,0)),"mixedProduct")</f>
        <v>TimberInput</v>
      </c>
      <c r="DP1386">
        <f>IF(DI1386=1,DP$7,0)</f>
        <v>0</v>
      </c>
      <c r="DQ1386">
        <f>IF(DJ1386=1,DQ$7,0)</f>
        <v>0</v>
      </c>
      <c r="DR1386">
        <f>IF(DK1386=1,DR$7,0)</f>
        <v>0</v>
      </c>
      <c r="DS1386" t="str">
        <f>IF(DL1386=1,DS$7,0)</f>
        <v>Timber</v>
      </c>
      <c r="DT1386">
        <v>0</v>
      </c>
      <c r="DU1386">
        <v>0</v>
      </c>
      <c r="DV1386">
        <v>0</v>
      </c>
      <c r="DW1386">
        <v>0</v>
      </c>
      <c r="DX1386">
        <v>0</v>
      </c>
      <c r="DY1386">
        <f>SUM(DT1386:DU1386)</f>
        <v>0</v>
      </c>
      <c r="DZ1386" s="143" t="str">
        <f>IF(DT1386=1,"self-calculated DF",IF(DU1386=1,"external DF used","explicit C balance"))</f>
        <v>explicit C balance</v>
      </c>
      <c r="EA1386">
        <v>0</v>
      </c>
      <c r="EB1386">
        <v>0</v>
      </c>
      <c r="EC1386">
        <v>0</v>
      </c>
      <c r="ED1386">
        <v>0</v>
      </c>
      <c r="EE1386">
        <v>0</v>
      </c>
      <c r="EF1386">
        <v>1</v>
      </c>
      <c r="EG1386">
        <v>0</v>
      </c>
      <c r="EH1386">
        <v>1</v>
      </c>
      <c r="EI1386">
        <v>1</v>
      </c>
      <c r="EJ1386">
        <v>1</v>
      </c>
      <c r="EK1386">
        <v>0</v>
      </c>
      <c r="EL1386">
        <v>0</v>
      </c>
      <c r="EM1386">
        <v>0</v>
      </c>
      <c r="EN1386" s="2">
        <v>0</v>
      </c>
      <c r="EP1386" t="str">
        <f>IF(AND(AND(AND(OR($EC1386=1,$EB1386=1),OR($EH1386=1,$EF1386=1)),SUM($EA1386:$EE1386,$EK1386)&gt;=3),SUM($EF1386:$EJ1386)&gt;=2),"Whole sector approach","")</f>
        <v/>
      </c>
      <c r="EQ1386" t="str">
        <f>IF(AND(AND(OR($EC1386=1,$EB1386=1),AND($EH1386=0,$EF1386=0)),SUM($EA1386:$EE1386,$EK1386)&gt;=4),"Ecosystem approach","")</f>
        <v/>
      </c>
      <c r="ER1386" s="2" t="str">
        <f>IF(AND(AND(AND($EC1386=0,$EB1386=0),OR($EH1386=1,$EF1386=1)),SUM($EG1386:$EJ1386)&gt;=2),"Technology approach","")</f>
        <v>Technology approach</v>
      </c>
      <c r="ES1386" t="str">
        <f>IF(AND($EC1386+$EB1386+$EE1386+$EA1386+$ED1386+$EG1386=0,$N1386="included"),"C neutral forest and HWP assumption","")</f>
        <v>C neutral forest and HWP assumption</v>
      </c>
      <c r="ET1386" t="str">
        <f>IF(AND(AND(AND(AND($EC1386=1,$EB1386+$EA1386+$EG1386&gt;=1),$EF1386=1),$EH1386+$EI1386+$ED1386+$EE1386&gt;=2),$N1386="included"),"All C pools assumption","")</f>
        <v/>
      </c>
      <c r="EU1386" t="str">
        <f>IF(AND($ED1386+$EE1386+$EI1386+$EH1386+$EF1386=0,$N1386="included"),"In-situ only assumption","")</f>
        <v/>
      </c>
      <c r="EY1386" t="str">
        <f>IF(ISNUMBER(BW1386),IF(ABS(BW1386-[6]QC_indicators!$B$2)&gt;3*[6]QC_indicators!$C$2,"C ratio",IF(ISNUMBER(CA1386),IF(ABS(CA1386-[6]QC_indicators!$B$1)&gt;3*[6]QC_indicators!$C$1,"DF","no"))),IF(ISNUMBER(CA1386),IF(ABS(CA1386-[6]QC_indicators!$B$1)&gt;3*[6]QC_indicators!$C$1,"DF","no")))</f>
        <v>no</v>
      </c>
      <c r="FA1386" t="str">
        <f>IF(LEN($CY1386)=0,"",IF(AND($CY1386&lt;(-0.05),$ES1386="C neutral forest and HWP assumption"),"Cneutral paradox",IF(AND($CY1386&gt;0.05,$EU1386="In-situ only assumption"),"In-situ only paradox","")))</f>
        <v/>
      </c>
      <c r="FB1386" s="149" t="s">
        <v>349</v>
      </c>
      <c r="FD1386" s="260" t="s">
        <v>2948</v>
      </c>
    </row>
    <row r="1387" spans="1:160" ht="323" hidden="1">
      <c r="A1387" s="1" t="s">
        <v>601</v>
      </c>
      <c r="B1387" t="s">
        <v>602</v>
      </c>
      <c r="C1387" t="s">
        <v>603</v>
      </c>
      <c r="D1387" t="s">
        <v>604</v>
      </c>
      <c r="E1387" t="s">
        <v>605</v>
      </c>
      <c r="F1387" t="s">
        <v>606</v>
      </c>
      <c r="G1387" t="s">
        <v>607</v>
      </c>
      <c r="H1387" t="s">
        <v>254</v>
      </c>
      <c r="I1387">
        <v>2020</v>
      </c>
      <c r="J1387">
        <v>3</v>
      </c>
      <c r="K1387" t="s">
        <v>608</v>
      </c>
      <c r="M1387" t="str">
        <f>LEFT($D1387,FIND(",",$D1387)-1)&amp;"_"&amp;I1387&amp;L1387</f>
        <v>Demertzi_2020</v>
      </c>
      <c r="N1387" t="s">
        <v>222</v>
      </c>
      <c r="O1387" s="145" t="s">
        <v>223</v>
      </c>
      <c r="Q1387" t="s">
        <v>256</v>
      </c>
      <c r="R1387" s="2" t="s">
        <v>274</v>
      </c>
      <c r="S1387" s="1" t="s">
        <v>609</v>
      </c>
      <c r="T1387" t="s">
        <v>616</v>
      </c>
      <c r="U1387" t="s">
        <v>611</v>
      </c>
      <c r="V1387" s="253">
        <v>0</v>
      </c>
      <c r="W1387" s="253">
        <v>0</v>
      </c>
      <c r="X1387">
        <v>0</v>
      </c>
      <c r="Y1387">
        <v>0</v>
      </c>
      <c r="Z1387">
        <v>0</v>
      </c>
      <c r="AA1387">
        <v>0</v>
      </c>
      <c r="AB1387">
        <v>0</v>
      </c>
      <c r="AC1387">
        <v>0</v>
      </c>
      <c r="AD1387">
        <v>0</v>
      </c>
      <c r="AE1387">
        <v>0</v>
      </c>
      <c r="AF1387">
        <v>0</v>
      </c>
      <c r="AG1387">
        <v>0</v>
      </c>
      <c r="AH1387">
        <v>0</v>
      </c>
      <c r="AI1387">
        <v>0</v>
      </c>
      <c r="AJ1387">
        <v>0</v>
      </c>
      <c r="AK1387">
        <v>0</v>
      </c>
      <c r="AL1387">
        <v>0</v>
      </c>
      <c r="AM1387">
        <v>1</v>
      </c>
      <c r="AN1387">
        <v>0</v>
      </c>
      <c r="AO1387">
        <v>0</v>
      </c>
      <c r="AP1387">
        <v>0</v>
      </c>
      <c r="AQ1387">
        <v>0</v>
      </c>
      <c r="AR1387">
        <v>0</v>
      </c>
      <c r="AS1387">
        <v>0</v>
      </c>
      <c r="AT1387">
        <v>0</v>
      </c>
      <c r="AU1387">
        <v>0</v>
      </c>
      <c r="AV1387">
        <v>0</v>
      </c>
      <c r="AW1387">
        <v>0</v>
      </c>
      <c r="AX1387">
        <v>0</v>
      </c>
      <c r="AY1387">
        <v>0</v>
      </c>
      <c r="AZ1387" s="141">
        <f>COUNTIF(X1387:AY1387,"&lt;&gt;0")</f>
        <v>1</v>
      </c>
      <c r="BA1387" s="141">
        <f>COUNTIF(X1387:AN1387,"&lt;&gt;0")</f>
        <v>1</v>
      </c>
      <c r="BB1387">
        <f>COUNTIF(X1387:AE1387,"&lt;&gt;0")</f>
        <v>0</v>
      </c>
      <c r="BC1387">
        <f>COUNTIF(AF1387:AK1387,"&lt;&gt;0")</f>
        <v>0</v>
      </c>
      <c r="BD1387">
        <f>COUNTIF(AL1387:AN1387,"&lt;&gt;0")</f>
        <v>1</v>
      </c>
      <c r="BE1387">
        <f>COUNTIF(AU1387:AY1387,"&lt;&gt;0")</f>
        <v>0</v>
      </c>
      <c r="BF1387">
        <f>COUNTIF(AO1387:AT1387,"&lt;&gt;0")</f>
        <v>0</v>
      </c>
      <c r="BG1387" t="str">
        <f t="array" ref="BG1387">IF(BA1387=1,INDEX($X$7:$AN$7,MATCH(TRUE,INDEX($X1387:$AY1387&lt;&gt;0,),0)),IF(BA1387=0,INDEX($AO$7:$AY$7,MATCH(1,$AO1387:$AY1387,0)),IF(BH1387="Multiple strategies","mixed drivers",IF(BH1387="Supply chain","multiple supply","multiple silviculture"))))</f>
        <v>technologies/design switch</v>
      </c>
      <c r="BH1387" s="2" t="str" cm="1">
        <f t="array" ref="BH1387">IF(COUNTIF(BB1387:BD1387,"&lt;&gt;0")=1,INDEX($X$4:$AY$4,MATCH(TRUE,INDEX($X1387:$AY1387&lt;&gt;0,),0)),IF(COUNTIF(BB1387:BD1387,"&lt;&gt;0")=0,INDEX($AO$4:$AY$4,MATCH(1,$AO1387:$AY1387,0)),"Multiple strategies"))</f>
        <v>Technology</v>
      </c>
      <c r="BI1387" s="1" t="s">
        <v>229</v>
      </c>
      <c r="BJ1387" t="s">
        <v>612</v>
      </c>
      <c r="BL1387" t="s">
        <v>261</v>
      </c>
      <c r="BM1387">
        <v>0</v>
      </c>
      <c r="BN1387">
        <v>54</v>
      </c>
      <c r="BP1387">
        <f>BN1387-BM1387</f>
        <v>54</v>
      </c>
      <c r="BQ1387">
        <f>BP1387*kg_to_m3</f>
        <v>0.11020408163265308</v>
      </c>
      <c r="BR1387" t="s">
        <v>232</v>
      </c>
      <c r="BT1387" t="s">
        <v>397</v>
      </c>
      <c r="BU1387">
        <v>-271</v>
      </c>
      <c r="BV1387">
        <v>-1.36</v>
      </c>
      <c r="BW1387" s="144">
        <v>5.018450184501845E-3</v>
      </c>
      <c r="BX1387">
        <v>269.64</v>
      </c>
      <c r="BZ1387">
        <f>BX1387/1000</f>
        <v>0.26963999999999999</v>
      </c>
      <c r="CA1387">
        <f>IFERROR(BZ1387/BQ1387,"")</f>
        <v>2.446733333333333</v>
      </c>
      <c r="CB1387">
        <v>1</v>
      </c>
      <c r="CC1387">
        <v>0</v>
      </c>
      <c r="CD1387">
        <v>0</v>
      </c>
      <c r="CE1387">
        <v>0</v>
      </c>
      <c r="CF1387">
        <v>0</v>
      </c>
      <c r="CG1387">
        <v>0</v>
      </c>
      <c r="CH1387">
        <v>0</v>
      </c>
      <c r="CI1387">
        <v>0</v>
      </c>
      <c r="CJ1387">
        <v>0</v>
      </c>
      <c r="CK1387">
        <v>0</v>
      </c>
      <c r="CL1387">
        <v>0</v>
      </c>
      <c r="CM1387">
        <v>0</v>
      </c>
      <c r="CN1387">
        <v>0</v>
      </c>
      <c r="CO1387">
        <v>0</v>
      </c>
      <c r="CP1387" t="str">
        <f>IF($BN1387&lt;$BM1387,"refNeedCorrection","refOK")</f>
        <v>refOK</v>
      </c>
      <c r="CQ1387">
        <f>IF($CP1387="refOK",$BM1387,$BN1387)</f>
        <v>0</v>
      </c>
      <c r="CR1387">
        <f>IF($CP1387="refOK",$BN1387,$BM1387)</f>
        <v>54</v>
      </c>
      <c r="CS1387">
        <f>IF($CP1387="refOK",$BQ1387,-$BQ1387)</f>
        <v>0.11020408163265308</v>
      </c>
      <c r="CT1387">
        <f>IF(BI1387="Roundwood",$CS1387/2,$CS1387)</f>
        <v>0.11020408163265308</v>
      </c>
      <c r="CU1387">
        <f>IF($CP1387="refOK",$BU1387,$BV1387)*IF($BR1387="Emissions positive",-1,1)</f>
        <v>-271</v>
      </c>
      <c r="CV1387">
        <f>IF($CP1387="refOK",$BV1387,$BU1387)*IF($BR1387="Emissions positive",-1,1)</f>
        <v>-1.36</v>
      </c>
      <c r="CW1387">
        <f>IF($CP1387="refNeedCorrection",-BZ1387,BZ1387)*IF($BR1387="Emissions positive",-1,1)</f>
        <v>0.26963999999999999</v>
      </c>
      <c r="CX1387">
        <f>IFERROR($CW1387/$CS1387,"")</f>
        <v>2.446733333333333</v>
      </c>
      <c r="CY1387">
        <f>IFERROR($CW1387/$CS1387,"")</f>
        <v>2.446733333333333</v>
      </c>
      <c r="CZ1387">
        <f>IFERROR($CW1387/$CT1387,"")</f>
        <v>2.446733333333333</v>
      </c>
      <c r="DA1387" s="2">
        <f>IFERROR((CV1387-CU1387)/ABS(CU1387),"")</f>
        <v>0.99498154981549813</v>
      </c>
      <c r="DB1387" s="1" t="s">
        <v>263</v>
      </c>
      <c r="DC1387" t="str">
        <f>IF(OR($DB1387="prd",$DB1387="std",$DB1387="cit"),"loc",IF(OR($DB1387="eur",$DB1387="reg",$DB1387="coy"),"reg",$DB1387))</f>
        <v>loc</v>
      </c>
      <c r="DD1387" t="s">
        <v>613</v>
      </c>
      <c r="DG1387">
        <v>0</v>
      </c>
      <c r="DH1387" t="str">
        <f>IF(DG1387=0,"0",IF(AND(DG1387&gt;=1,DG1387&lt;=30),"1-30",IF(AND(DG1387&gt;30,DG1387&lt;=70),"31-70",IF(AND(DG1387&gt;70,DG1387&lt;=100),"71-100",IF(DG1387&gt;100,"+100")))))</f>
        <v>0</v>
      </c>
      <c r="DI1387">
        <v>0</v>
      </c>
      <c r="DJ1387">
        <v>0</v>
      </c>
      <c r="DK1387">
        <v>0</v>
      </c>
      <c r="DL1387">
        <v>1</v>
      </c>
      <c r="DN1387">
        <f>SUM(DI1387:DL1387)</f>
        <v>1</v>
      </c>
      <c r="DO1387" t="str">
        <f>IF(DN1387=1,INDEX($DI$7:$DL$7,MATCH(1,$DI1387:$DL1387,0)),"mixedProduct")</f>
        <v>TimberInput</v>
      </c>
      <c r="DP1387">
        <f>IF(DI1387=1,DP$7,0)</f>
        <v>0</v>
      </c>
      <c r="DQ1387">
        <f>IF(DJ1387=1,DQ$7,0)</f>
        <v>0</v>
      </c>
      <c r="DR1387">
        <f>IF(DK1387=1,DR$7,0)</f>
        <v>0</v>
      </c>
      <c r="DS1387" t="str">
        <f>IF(DL1387=1,DS$7,0)</f>
        <v>Timber</v>
      </c>
      <c r="DT1387">
        <v>0</v>
      </c>
      <c r="DU1387">
        <v>0</v>
      </c>
      <c r="DV1387">
        <v>0</v>
      </c>
      <c r="DW1387">
        <v>0</v>
      </c>
      <c r="DX1387">
        <v>0</v>
      </c>
      <c r="DY1387">
        <f>SUM(DT1387:DU1387)</f>
        <v>0</v>
      </c>
      <c r="DZ1387" s="143" t="str">
        <f>IF(DT1387=1,"self-calculated DF",IF(DU1387=1,"external DF used","explicit C balance"))</f>
        <v>explicit C balance</v>
      </c>
      <c r="EA1387">
        <v>0</v>
      </c>
      <c r="EB1387">
        <v>0</v>
      </c>
      <c r="EC1387">
        <v>0</v>
      </c>
      <c r="ED1387">
        <v>0</v>
      </c>
      <c r="EE1387">
        <v>0</v>
      </c>
      <c r="EF1387" s="143">
        <v>0</v>
      </c>
      <c r="EG1387">
        <v>0</v>
      </c>
      <c r="EH1387">
        <v>1</v>
      </c>
      <c r="EI1387">
        <v>0</v>
      </c>
      <c r="EJ1387">
        <v>0</v>
      </c>
      <c r="EK1387">
        <v>0</v>
      </c>
      <c r="EL1387">
        <v>0</v>
      </c>
      <c r="EM1387">
        <v>0</v>
      </c>
      <c r="EN1387" s="2">
        <v>0</v>
      </c>
      <c r="EP1387" t="str">
        <f>IF(AND(AND(AND(OR($EC1387=1,$EB1387=1),OR($EH1387=1,$EF1387=1)),SUM($EA1387:$EE1387,$EK1387)&gt;=3),SUM($EF1387:$EJ1387)&gt;=2),"Whole sector approach","")</f>
        <v/>
      </c>
      <c r="EQ1387" t="str">
        <f>IF(AND(AND(OR($EC1387=1,$EB1387=1),AND($EH1387=0,$EF1387=0)),SUM($EA1387:$EE1387,$EK1387)&gt;=4),"Ecosystem approach","")</f>
        <v/>
      </c>
      <c r="ER1387" s="2" t="str">
        <f>IF(AND(AND(AND($EC1387=0,$EB1387=0),OR($EH1387=1,$EF1387=1)),SUM($EG1387:$EJ1387)&gt;=2),"Technology approach","")</f>
        <v/>
      </c>
      <c r="ES1387" t="str">
        <f>IF(AND($EC1387+$EB1387+$EE1387+$EA1387+$ED1387+$EG1387=0,$N1387="included"),"C neutral forest and HWP assumption","")</f>
        <v>C neutral forest and HWP assumption</v>
      </c>
      <c r="ET1387" t="str">
        <f>IF(AND(AND(AND(AND($EC1387=1,$EB1387+$EA1387+$EG1387&gt;=1),$EF1387=1),$EH1387+$EI1387+$ED1387+$EE1387&gt;=2),$N1387="included"),"All C pools assumption","")</f>
        <v/>
      </c>
      <c r="EU1387" t="str">
        <f>IF(AND($ED1387+$EE1387+$EI1387+$EH1387+$EF1387=0,$N1387="included"),"In-situ only assumption","")</f>
        <v/>
      </c>
      <c r="EY1387" t="str">
        <f>IF(ISNUMBER(BW1387),IF(ABS(BW1387-[3]QC_indicators!$B$2)&gt;3*[3]QC_indicators!$C$2,"C ratio",IF(ISNUMBER(CA1387),IF(ABS(CA1387-[3]QC_indicators!$B$1)&gt;3*[3]QC_indicators!$C$1,"DF","no"))),IF(ISNUMBER(CA1387),IF(ABS(CA1387-[3]QC_indicators!$B$1)&gt;3*[3]QC_indicators!$C$1,"DF","no")))</f>
        <v>no</v>
      </c>
      <c r="FA1387" t="str">
        <f>IF(LEN($CY1387)=0,"",IF(AND($CY1387&lt;(-0.05),$ES1387="C neutral forest and HWP assumption"),"Cneutral paradox",IF(AND($CY1387&gt;0.05,$EU1387="In-situ only assumption"),"In-situ only paradox","")))</f>
        <v/>
      </c>
      <c r="FB1387" s="149" t="s">
        <v>349</v>
      </c>
      <c r="FD1387" s="260" t="s">
        <v>2827</v>
      </c>
    </row>
    <row r="1388" spans="1:160" ht="15" hidden="1" customHeight="1">
      <c r="A1388" s="1" t="s">
        <v>549</v>
      </c>
      <c r="B1388" t="s">
        <v>531</v>
      </c>
      <c r="C1388" t="s">
        <v>1465</v>
      </c>
      <c r="D1388" t="s">
        <v>1466</v>
      </c>
      <c r="E1388" t="s">
        <v>1467</v>
      </c>
      <c r="F1388" t="s">
        <v>1468</v>
      </c>
      <c r="G1388" t="s">
        <v>554</v>
      </c>
      <c r="H1388" t="s">
        <v>254</v>
      </c>
      <c r="I1388">
        <v>2019</v>
      </c>
      <c r="J1388">
        <v>15</v>
      </c>
      <c r="K1388" t="s">
        <v>1469</v>
      </c>
      <c r="M1388" t="str">
        <f>LEFT($D1388,FIND(",",$D1388)-1)&amp;"_"&amp;I1388&amp;L1388</f>
        <v>Geng_2019</v>
      </c>
      <c r="N1388" t="s">
        <v>222</v>
      </c>
      <c r="O1388" s="180" t="s">
        <v>225</v>
      </c>
      <c r="Q1388" s="317" t="s">
        <v>256</v>
      </c>
      <c r="R1388" s="318" t="s">
        <v>1029</v>
      </c>
      <c r="S1388" s="1" t="s">
        <v>1470</v>
      </c>
      <c r="T1388" t="s">
        <v>4953</v>
      </c>
      <c r="U1388" t="s">
        <v>4954</v>
      </c>
      <c r="V1388" s="253">
        <v>0</v>
      </c>
      <c r="W1388" s="253">
        <v>0</v>
      </c>
      <c r="X1388">
        <v>0</v>
      </c>
      <c r="Y1388">
        <v>0</v>
      </c>
      <c r="Z1388">
        <v>0</v>
      </c>
      <c r="AA1388">
        <v>0</v>
      </c>
      <c r="AB1388">
        <v>0</v>
      </c>
      <c r="AC1388">
        <v>0</v>
      </c>
      <c r="AD1388">
        <v>0</v>
      </c>
      <c r="AE1388">
        <v>0</v>
      </c>
      <c r="AF1388">
        <v>0</v>
      </c>
      <c r="AG1388">
        <v>0</v>
      </c>
      <c r="AH1388">
        <v>0</v>
      </c>
      <c r="AI1388">
        <v>0</v>
      </c>
      <c r="AJ1388">
        <v>0</v>
      </c>
      <c r="AK1388">
        <v>0</v>
      </c>
      <c r="AL1388">
        <v>0</v>
      </c>
      <c r="AM1388">
        <v>1</v>
      </c>
      <c r="AN1388">
        <v>0</v>
      </c>
      <c r="AO1388">
        <v>0</v>
      </c>
      <c r="AP1388">
        <v>0</v>
      </c>
      <c r="AQ1388">
        <v>0</v>
      </c>
      <c r="AR1388">
        <v>0</v>
      </c>
      <c r="AS1388">
        <v>0</v>
      </c>
      <c r="AT1388">
        <v>0</v>
      </c>
      <c r="AU1388">
        <v>0</v>
      </c>
      <c r="AV1388">
        <v>0</v>
      </c>
      <c r="AW1388">
        <v>0</v>
      </c>
      <c r="AX1388">
        <v>0</v>
      </c>
      <c r="AY1388">
        <v>0</v>
      </c>
      <c r="AZ1388" s="141">
        <f>COUNTIF(X1388:AY1388,"&lt;&gt;0")</f>
        <v>1</v>
      </c>
      <c r="BA1388" s="141">
        <f>COUNTIF(X1388:AN1388,"&lt;&gt;0")</f>
        <v>1</v>
      </c>
      <c r="BB1388">
        <f>COUNTIF(X1388:AE1388,"&lt;&gt;0")</f>
        <v>0</v>
      </c>
      <c r="BC1388">
        <f>COUNTIF(AF1388:AK1388,"&lt;&gt;0")</f>
        <v>0</v>
      </c>
      <c r="BD1388">
        <f>COUNTIF(AL1388:AN1388,"&lt;&gt;0")</f>
        <v>1</v>
      </c>
      <c r="BE1388">
        <f>COUNTIF(AU1388:AY1388,"&lt;&gt;0")</f>
        <v>0</v>
      </c>
      <c r="BF1388">
        <f>COUNTIF(AO1388:AT1388,"&lt;&gt;0")</f>
        <v>0</v>
      </c>
      <c r="BG1388" t="str" cm="1">
        <f t="array" ref="BG1388">IF(BA1388=1,INDEX($X$7:$AN$7,MATCH(TRUE,INDEX($X1388:$AY1388&lt;&gt;0,),0)),IF(BA1388=0,INDEX($AO$7:$AY$7,MATCH(1,$AO1388:$AY1388,0)),IF(BH1388="Multiple strategies","mixed drivers",IF(BH1388="Supply chain","multiple supply","multiple silviculture"))))</f>
        <v>technologies/design switch</v>
      </c>
      <c r="BH1388" s="2" t="str" cm="1">
        <f t="array" ref="BH1388">IF(COUNTIF(BB1388:BD1388,"&lt;&gt;0")=1,INDEX($X$4:$AY$4,MATCH(TRUE,INDEX($X1388:$AY1388&lt;&gt;0,),0)),IF(COUNTIF(BB1388:BD1388,"&lt;&gt;0")=0,INDEX($AO$4:$AY$4,MATCH(1,$AO1388:$AY1388,0)),"Multiple strategies"))</f>
        <v>Technology</v>
      </c>
      <c r="BI1388" s="1" t="s">
        <v>229</v>
      </c>
      <c r="BJ1388" t="s">
        <v>1471</v>
      </c>
      <c r="BK1388" t="s">
        <v>424</v>
      </c>
      <c r="BL1388" t="s">
        <v>1472</v>
      </c>
      <c r="BM1388">
        <v>5.61</v>
      </c>
      <c r="BN1388">
        <v>6.38</v>
      </c>
      <c r="BO1388">
        <f>BN1388/BM1388</f>
        <v>1.1372549019607843</v>
      </c>
      <c r="BP1388">
        <f>BN1388-BM1388</f>
        <v>0.76999999999999957</v>
      </c>
      <c r="BQ1388">
        <f>BP1388*kg_to_m3</f>
        <v>1.5714285714285706E-3</v>
      </c>
      <c r="BR1388" t="s">
        <v>232</v>
      </c>
      <c r="BS1388" t="s">
        <v>424</v>
      </c>
      <c r="BT1388" t="s">
        <v>1473</v>
      </c>
      <c r="BW1388" s="144" t="str">
        <f>IFERROR(BV1388/BU1388,"")</f>
        <v/>
      </c>
      <c r="BX1388">
        <v>3.9980000000000002</v>
      </c>
      <c r="BZ1388">
        <f>BX1388/1000</f>
        <v>3.9979999999999998E-3</v>
      </c>
      <c r="CA1388">
        <f>IFERROR(BZ1388/BQ1388,"")</f>
        <v>2.5441818181818192</v>
      </c>
      <c r="CB1388">
        <v>0</v>
      </c>
      <c r="CC1388">
        <v>0</v>
      </c>
      <c r="CD1388">
        <v>0</v>
      </c>
      <c r="CE1388">
        <v>0</v>
      </c>
      <c r="CF1388">
        <v>0</v>
      </c>
      <c r="CG1388">
        <v>0</v>
      </c>
      <c r="CH1388">
        <v>0</v>
      </c>
      <c r="CI1388">
        <v>0</v>
      </c>
      <c r="CJ1388">
        <v>0</v>
      </c>
      <c r="CK1388">
        <v>0</v>
      </c>
      <c r="CL1388">
        <v>0</v>
      </c>
      <c r="CM1388">
        <v>0</v>
      </c>
      <c r="CN1388">
        <v>0</v>
      </c>
      <c r="CO1388">
        <v>0</v>
      </c>
      <c r="CP1388" t="str">
        <f>IF(BN1388&lt;BM1388,"refNeedCorrection","refOK")</f>
        <v>refOK</v>
      </c>
      <c r="CQ1388">
        <f>IF($CP1388="refOK",$BM1388,$BN1388)</f>
        <v>5.61</v>
      </c>
      <c r="CR1388">
        <f>IF($CP1388="refOK",$BN1388,$BM1388)</f>
        <v>6.38</v>
      </c>
      <c r="CS1388">
        <f>IF($CP1388="refOK",$BQ1388,-$BQ1388)</f>
        <v>1.5714285714285706E-3</v>
      </c>
      <c r="CT1388">
        <f>IF(BI1388="Roundwood",$CS1388/2,$CS1388)</f>
        <v>1.5714285714285706E-3</v>
      </c>
      <c r="CU1388">
        <f>IF($CP1388="refOK",$BU1388,$BV1388)*IF($BR1388="Emissions positive",-1,1)</f>
        <v>0</v>
      </c>
      <c r="CV1388">
        <f>IF($CP1388="refOK",$BV1388,$BU1388)*IF($BR1388="Emissions positive",-1,1)</f>
        <v>0</v>
      </c>
      <c r="CW1388">
        <f>IF($CP1388="refNeedCorrection",-BZ1388,BZ1388)*IF($BR1388="Emissions positive",-1,1)</f>
        <v>3.9979999999999998E-3</v>
      </c>
      <c r="CX1388">
        <f>IFERROR($CW1388/$CS1388,"")</f>
        <v>2.5441818181818192</v>
      </c>
      <c r="CY1388">
        <f>IFERROR($CW1388/$CS1388,"")</f>
        <v>2.5441818181818192</v>
      </c>
      <c r="CZ1388">
        <f>IFERROR($CW1388/$CT1388,"")</f>
        <v>2.5441818181818192</v>
      </c>
      <c r="DA1388" s="2" t="str">
        <f>IFERROR((CV1388-CU1388)/ABS(CU1388),"")</f>
        <v/>
      </c>
      <c r="DB1388" s="1" t="s">
        <v>1078</v>
      </c>
      <c r="DC1388" s="317" t="str">
        <f>IF(OR($DB1388="prd",$DB1388="std",$DB1388="cit"),"loc",IF(OR($DB1388="eur",$DB1388="reg",$DB1388="coy"),"reg",$DB1388))</f>
        <v>reg</v>
      </c>
      <c r="DD1388" t="s">
        <v>677</v>
      </c>
      <c r="DE1388">
        <v>2019</v>
      </c>
      <c r="DG1388">
        <v>0</v>
      </c>
      <c r="DH1388" t="str">
        <f>IF(DG1388=0,"0",IF(AND(DG1388&gt;=1,DG1388&lt;=30),"1-30",IF(AND(DG1388&gt;30,DG1388&lt;=70),"31-70",IF(AND(DG1388&gt;70,DG1388&lt;=100),"71-100",IF(DG1388&gt;100,"+100")))))</f>
        <v>0</v>
      </c>
      <c r="DI1388">
        <v>0</v>
      </c>
      <c r="DJ1388">
        <v>0</v>
      </c>
      <c r="DK1388">
        <v>0</v>
      </c>
      <c r="DL1388">
        <v>1</v>
      </c>
      <c r="DN1388">
        <f>SUM(DI1388:DL1388)</f>
        <v>1</v>
      </c>
      <c r="DO1388" t="str">
        <f>IF(DN1388=1,INDEX($DI$7:$DL$7,MATCH(1,$DI1388:$DL1388,0)),"mixedProduct")</f>
        <v>TimberInput</v>
      </c>
      <c r="DP1388">
        <f>IF(DI1388=1,DP$7,0)</f>
        <v>0</v>
      </c>
      <c r="DQ1388">
        <f>IF(DJ1388=1,DQ$7,0)</f>
        <v>0</v>
      </c>
      <c r="DR1388">
        <f>IF(DK1388=1,DR$7,0)</f>
        <v>0</v>
      </c>
      <c r="DS1388" t="str">
        <f>IF(DL1388=1,DS$7,0)</f>
        <v>Timber</v>
      </c>
      <c r="DT1388">
        <v>1</v>
      </c>
      <c r="DU1388">
        <v>0</v>
      </c>
      <c r="DV1388">
        <v>0</v>
      </c>
      <c r="DW1388">
        <v>0</v>
      </c>
      <c r="DX1388">
        <v>0</v>
      </c>
      <c r="DY1388">
        <f>SUM(DT1388:DU1388)</f>
        <v>1</v>
      </c>
      <c r="DZ1388" s="143" t="str">
        <f>IF(DT1388=1,"self-calculated DF",IF(DU1388=1,"external DF used","explicit C balance"))</f>
        <v>self-calculated DF</v>
      </c>
      <c r="EA1388">
        <v>0</v>
      </c>
      <c r="EB1388">
        <v>0</v>
      </c>
      <c r="EC1388">
        <v>0</v>
      </c>
      <c r="ED1388">
        <v>0</v>
      </c>
      <c r="EE1388">
        <v>0</v>
      </c>
      <c r="EF1388" s="143">
        <v>1</v>
      </c>
      <c r="EG1388">
        <v>0</v>
      </c>
      <c r="EH1388">
        <v>1</v>
      </c>
      <c r="EI1388">
        <v>0</v>
      </c>
      <c r="EJ1388">
        <v>0</v>
      </c>
      <c r="EK1388">
        <v>0</v>
      </c>
      <c r="EL1388">
        <v>0</v>
      </c>
      <c r="EM1388">
        <v>0</v>
      </c>
      <c r="EN1388" s="2">
        <v>0</v>
      </c>
      <c r="EP1388" t="str">
        <f>IF(AND(AND(AND(OR($EC1388=1,$EB1388=1),OR($EH1388=1,$EF1388=1)),SUM($EA1388:$EE1388,$EK1388)&gt;=3),SUM($EF1388:$EJ1388)&gt;=2),"Whole sector approach","")</f>
        <v/>
      </c>
      <c r="EQ1388" t="str">
        <f>IF(AND(AND(OR($EC1388=1,$EB1388=1),AND($EH1388=0,$EF1388=0)),SUM($EA1388:$EE1388,$EK1388)&gt;=3),"Ecosystem approach","")</f>
        <v/>
      </c>
      <c r="ER1388" s="2" t="str">
        <f>IF(AND(AND(AND($EC1388=0,$EB1388=0),OR($EH1388=1,$EF1388=1)),SUM($EG1388:$EJ1388)&gt;=2),"Technology approach","")</f>
        <v/>
      </c>
      <c r="ES1388" t="str">
        <f>IF(AND($EC1388+$EB1388+$EE1388+$EA1388+$ED1388+$EG1388=0,$N1388="included"),"C neutral forest and HWP assumption","")</f>
        <v>C neutral forest and HWP assumption</v>
      </c>
      <c r="ET1388" t="str">
        <f>IF(AND(AND(AND(AND($EC1388=1,$EB1388+$EA1388+$EG1388&gt;=1),$EF1388=1),$EH1388+$EI1388+$ED1388+$EE1388&gt;=2),$N1388="included"),"All C pools assumption","")</f>
        <v/>
      </c>
      <c r="EU1388" t="str">
        <f>IF(AND($ED1388+$EE1388+$EI1388+$EH1388+$EF1388=0,$N1388="included"),"In-situ only assumption","")</f>
        <v/>
      </c>
      <c r="EW1388" t="s">
        <v>1474</v>
      </c>
      <c r="EY1388" t="str">
        <f>IF(ISNUMBER(BW1388),IF(ABS(BW1388-[4]QC_indicators!$B$2)&gt;3*[4]QC_indicators!$C$2,"C ratio",IF(ISNUMBER(CA1388),IF(ABS(CA1388-[4]QC_indicators!$B$1)&gt;3*[4]QC_indicators!$C$1,"DF","no"))),IF(ISNUMBER(CA1388),IF(ABS(CA1388-[4]QC_indicators!$B$1)&gt;3*[4]QC_indicators!$C$1,"DF","no")))</f>
        <v>no</v>
      </c>
      <c r="FA1388" t="str">
        <f>IF(LEN($CY1388)=0,"",IF(AND($CY1388&lt;(-0.05),$ES1388="C neutral forest and HWP assumption"),"Cneutral paradox",IF(AND($CY1388&gt;0.05,$EU1388="In-situ only assumption"),"In-situ only paradox","")))</f>
        <v/>
      </c>
      <c r="FB1388" t="s">
        <v>1475</v>
      </c>
    </row>
    <row r="1389" spans="1:160" ht="102" hidden="1">
      <c r="A1389" s="1" t="s">
        <v>247</v>
      </c>
      <c r="B1389" t="s">
        <v>779</v>
      </c>
      <c r="C1389" t="s">
        <v>780</v>
      </c>
      <c r="D1389" t="s">
        <v>781</v>
      </c>
      <c r="E1389" t="s">
        <v>782</v>
      </c>
      <c r="F1389" t="s">
        <v>783</v>
      </c>
      <c r="G1389" t="s">
        <v>253</v>
      </c>
      <c r="H1389" t="s">
        <v>254</v>
      </c>
      <c r="I1389">
        <v>2020</v>
      </c>
      <c r="J1389">
        <v>15</v>
      </c>
      <c r="K1389" t="s">
        <v>784</v>
      </c>
      <c r="M1389" t="str">
        <f>LEFT($D1389,FIND(",",$D1389)-1)&amp;"_"&amp;I1389&amp;L1389</f>
        <v>Jayalath_2020</v>
      </c>
      <c r="N1389" t="s">
        <v>222</v>
      </c>
      <c r="O1389" s="145" t="s">
        <v>508</v>
      </c>
      <c r="Q1389" t="s">
        <v>256</v>
      </c>
      <c r="R1389" s="258" t="s">
        <v>225</v>
      </c>
      <c r="S1389" s="1" t="s">
        <v>789</v>
      </c>
      <c r="T1389" t="s">
        <v>790</v>
      </c>
      <c r="U1389" t="s">
        <v>259</v>
      </c>
      <c r="V1389" s="253">
        <v>0</v>
      </c>
      <c r="W1389" s="253">
        <v>0</v>
      </c>
      <c r="X1389">
        <v>0</v>
      </c>
      <c r="Y1389">
        <v>0</v>
      </c>
      <c r="Z1389">
        <v>0</v>
      </c>
      <c r="AA1389">
        <v>0</v>
      </c>
      <c r="AB1389">
        <v>0</v>
      </c>
      <c r="AC1389">
        <v>0</v>
      </c>
      <c r="AD1389">
        <v>0</v>
      </c>
      <c r="AE1389">
        <v>0</v>
      </c>
      <c r="AF1389">
        <v>0</v>
      </c>
      <c r="AG1389">
        <v>0</v>
      </c>
      <c r="AH1389">
        <v>0</v>
      </c>
      <c r="AI1389">
        <v>0</v>
      </c>
      <c r="AJ1389">
        <v>0</v>
      </c>
      <c r="AK1389">
        <v>0</v>
      </c>
      <c r="AL1389">
        <v>0</v>
      </c>
      <c r="AM1389">
        <v>1</v>
      </c>
      <c r="AN1389">
        <v>0</v>
      </c>
      <c r="AO1389">
        <v>0</v>
      </c>
      <c r="AP1389">
        <v>0</v>
      </c>
      <c r="AQ1389">
        <v>0</v>
      </c>
      <c r="AR1389">
        <v>0</v>
      </c>
      <c r="AS1389">
        <v>0</v>
      </c>
      <c r="AT1389">
        <v>0</v>
      </c>
      <c r="AU1389">
        <v>0</v>
      </c>
      <c r="AV1389">
        <v>0</v>
      </c>
      <c r="AW1389">
        <v>0</v>
      </c>
      <c r="AX1389">
        <v>0</v>
      </c>
      <c r="AY1389">
        <v>0</v>
      </c>
      <c r="AZ1389" s="141">
        <f>COUNTIF(X1389:AY1389,"&lt;&gt;0")</f>
        <v>1</v>
      </c>
      <c r="BA1389" s="141">
        <f>COUNTIF(X1389:AN1389,"&lt;&gt;0")</f>
        <v>1</v>
      </c>
      <c r="BB1389">
        <f>COUNTIF(X1389:AE1389,"&lt;&gt;0")</f>
        <v>0</v>
      </c>
      <c r="BC1389">
        <f>COUNTIF(AF1389:AK1389,"&lt;&gt;0")</f>
        <v>0</v>
      </c>
      <c r="BD1389">
        <f>COUNTIF(AL1389:AN1389,"&lt;&gt;0")</f>
        <v>1</v>
      </c>
      <c r="BE1389">
        <f>COUNTIF(AU1389:AY1389,"&lt;&gt;0")</f>
        <v>0</v>
      </c>
      <c r="BF1389">
        <f>COUNTIF(AO1389:AT1389,"&lt;&gt;0")</f>
        <v>0</v>
      </c>
      <c r="BG1389" t="str">
        <f t="array" ref="BG1389">IF(BA1389=1,INDEX($X$7:$AN$7,MATCH(TRUE,INDEX($X1389:$AY1389&lt;&gt;0,),0)),IF(BA1389=0,INDEX($AO$7:$AY$7,MATCH(1,$AO1389:$AY1389,0)),IF(BH1389="Multiple strategies","mixed drivers",IF(BH1389="Supply chain","multiple supply","multiple silviculture"))))</f>
        <v>technologies/design switch</v>
      </c>
      <c r="BH1389" s="2" t="str" cm="1">
        <f t="array" ref="BH1389">IF(COUNTIF(BB1389:BD1389,"&lt;&gt;0")=1,INDEX($X$4:$AY$4,MATCH(TRUE,INDEX($X1389:$AY1389&lt;&gt;0,),0)),IF(COUNTIF(BB1389:BD1389,"&lt;&gt;0")=0,INDEX($AO$4:$AY$4,MATCH(1,$AO1389:$AY1389,0)),"Multiple strategies"))</f>
        <v>Technology</v>
      </c>
      <c r="BI1389" s="1" t="s">
        <v>229</v>
      </c>
      <c r="BJ1389" t="s">
        <v>788</v>
      </c>
      <c r="BK1389" s="256" t="s">
        <v>3015</v>
      </c>
      <c r="BL1389" t="s">
        <v>345</v>
      </c>
      <c r="BM1389" s="260">
        <v>0</v>
      </c>
      <c r="BN1389" s="260">
        <v>130669</v>
      </c>
      <c r="BP1389">
        <f>BN1389-BM1389</f>
        <v>130669</v>
      </c>
      <c r="BQ1389">
        <f>BP1389*kg_to_m3</f>
        <v>266.67142857142858</v>
      </c>
      <c r="BR1389" t="s">
        <v>395</v>
      </c>
      <c r="BS1389" s="256" t="s">
        <v>3018</v>
      </c>
      <c r="BT1389" t="s">
        <v>792</v>
      </c>
      <c r="BU1389">
        <v>1387</v>
      </c>
      <c r="BV1389">
        <v>686</v>
      </c>
      <c r="BW1389" s="144">
        <f>IFERROR(BV1389/BU1389,"")</f>
        <v>0.49459264599855801</v>
      </c>
      <c r="BX1389">
        <f>BV1389-BU1389</f>
        <v>-701</v>
      </c>
      <c r="BZ1389">
        <f>BX1389</f>
        <v>-701</v>
      </c>
      <c r="CA1389">
        <f>IFERROR(BZ1389/BQ1389,"")</f>
        <v>-2.6287030588739486</v>
      </c>
      <c r="CB1389">
        <v>0</v>
      </c>
      <c r="CC1389">
        <v>0</v>
      </c>
      <c r="CD1389">
        <v>0</v>
      </c>
      <c r="CE1389">
        <v>0</v>
      </c>
      <c r="CF1389">
        <v>0</v>
      </c>
      <c r="CG1389">
        <v>0</v>
      </c>
      <c r="CH1389">
        <v>0</v>
      </c>
      <c r="CI1389">
        <v>0</v>
      </c>
      <c r="CJ1389">
        <v>0</v>
      </c>
      <c r="CK1389">
        <v>0</v>
      </c>
      <c r="CL1389">
        <v>0</v>
      </c>
      <c r="CM1389">
        <v>0</v>
      </c>
      <c r="CN1389">
        <v>0</v>
      </c>
      <c r="CO1389">
        <v>1</v>
      </c>
      <c r="CP1389" t="str">
        <f>IF(BN1389&lt;BM1389,"refNeedCorrection","refOK")</f>
        <v>refOK</v>
      </c>
      <c r="CQ1389">
        <f>IF($CP1389="refOK",$BM1389,$BN1389)</f>
        <v>0</v>
      </c>
      <c r="CR1389">
        <f>IF($CP1389="refOK",$BN1389,$BM1389)</f>
        <v>130669</v>
      </c>
      <c r="CS1389">
        <f>IF($CP1389="refOK",$BQ1389,-$BQ1389)</f>
        <v>266.67142857142858</v>
      </c>
      <c r="CT1389">
        <f>IF(BI1389="Roundwood",$CS1389/2,$CS1389)</f>
        <v>266.67142857142858</v>
      </c>
      <c r="CU1389">
        <f>IF($CP1389="refOK",$BU1389,$BV1389)*IF($BR1389="Emissions positive",-1,1)</f>
        <v>-1387</v>
      </c>
      <c r="CV1389">
        <f>IF($CP1389="refOK",$BV1389,$BU1389)*IF($BR1389="Emissions positive",-1,1)</f>
        <v>-686</v>
      </c>
      <c r="CW1389">
        <f>IF($CP1389="refNeedCorrection",-BZ1389,BZ1389)*IF($BR1389="Emissions positive",-1,1)</f>
        <v>701</v>
      </c>
      <c r="CX1389">
        <f>IFERROR($CW1389/$CS1389,"")</f>
        <v>2.6287030588739486</v>
      </c>
      <c r="CY1389">
        <f>IFERROR($CW1389/$CS1389,"")</f>
        <v>2.6287030588739486</v>
      </c>
      <c r="CZ1389">
        <f>IFERROR($CW1389/$CT1389,"")</f>
        <v>2.6287030588739486</v>
      </c>
      <c r="DA1389" s="2">
        <f>IFERROR((CV1389-CU1389)/ABS(CU1389),"")</f>
        <v>0.50540735400144199</v>
      </c>
      <c r="DB1389" s="1" t="s">
        <v>347</v>
      </c>
      <c r="DC1389" t="str">
        <f>IF(OR($DB1389="prd",$DB1389="std",$DB1389="cit"),"loc",IF(OR($DB1389="eur",$DB1389="reg",$DB1389="coy"),"reg",$DB1389))</f>
        <v>loc</v>
      </c>
      <c r="DD1389" t="s">
        <v>561</v>
      </c>
      <c r="DG1389">
        <v>0</v>
      </c>
      <c r="DH1389" t="str">
        <f>IF(DG1389=0,"0",IF(AND(DG1389&gt;=1,DG1389&lt;=30),"1-30",IF(AND(DG1389&gt;30,DG1389&lt;=70),"31-70",IF(AND(DG1389&gt;70,DG1389&lt;=100),"71-100",IF(DG1389&gt;100,"+100")))))</f>
        <v>0</v>
      </c>
      <c r="DI1389">
        <v>0</v>
      </c>
      <c r="DJ1389">
        <v>0</v>
      </c>
      <c r="DK1389">
        <v>0</v>
      </c>
      <c r="DL1389">
        <v>1</v>
      </c>
      <c r="DN1389">
        <f>SUM(DI1389:DL1389)</f>
        <v>1</v>
      </c>
      <c r="DO1389" t="str">
        <f>IF(DN1389=1,INDEX($DI$7:$DL$7,MATCH(1,$DI1389:$DL1389,0)),"mixedProduct")</f>
        <v>TimberInput</v>
      </c>
      <c r="DP1389">
        <f>IF(DI1389=1,DP$7,0)</f>
        <v>0</v>
      </c>
      <c r="DQ1389">
        <f>IF(DJ1389=1,DQ$7,0)</f>
        <v>0</v>
      </c>
      <c r="DR1389">
        <f>IF(DK1389=1,DR$7,0)</f>
        <v>0</v>
      </c>
      <c r="DS1389" t="str">
        <f>IF(DL1389=1,DS$7,0)</f>
        <v>Timber</v>
      </c>
      <c r="DT1389">
        <v>0</v>
      </c>
      <c r="DU1389">
        <v>0</v>
      </c>
      <c r="DV1389">
        <v>0</v>
      </c>
      <c r="DW1389">
        <v>0</v>
      </c>
      <c r="DX1389">
        <v>0</v>
      </c>
      <c r="DY1389">
        <f>SUM(DT1389:DU1389)</f>
        <v>0</v>
      </c>
      <c r="DZ1389" s="143" t="str">
        <f>IF(DT1389=1,"self-calculated DF",IF(DU1389=1,"external DF used","explicit C balance"))</f>
        <v>explicit C balance</v>
      </c>
      <c r="EA1389">
        <v>0</v>
      </c>
      <c r="EB1389">
        <v>0</v>
      </c>
      <c r="EC1389">
        <v>0</v>
      </c>
      <c r="ED1389">
        <v>0</v>
      </c>
      <c r="EE1389">
        <v>0</v>
      </c>
      <c r="EF1389">
        <v>0</v>
      </c>
      <c r="EG1389">
        <v>0</v>
      </c>
      <c r="EH1389">
        <v>1</v>
      </c>
      <c r="EI1389">
        <v>0</v>
      </c>
      <c r="EJ1389">
        <v>0</v>
      </c>
      <c r="EK1389">
        <v>0</v>
      </c>
      <c r="EL1389">
        <v>0</v>
      </c>
      <c r="EM1389">
        <v>0</v>
      </c>
      <c r="EN1389" s="2">
        <v>0</v>
      </c>
      <c r="EP1389" t="str">
        <f>IF(AND(AND(AND(OR($EC1389=1,$EB1389=1),OR($EH1389=1,$EF1389=1)),SUM($EA1389:$EE1389,$EK1389)&gt;=3),SUM($EF1389:$EJ1389)&gt;=2),"Whole sector approach","")</f>
        <v/>
      </c>
      <c r="EQ1389" t="str">
        <f>IF(AND(AND(OR($EC1389=1,$EB1389=1),AND($EH1389=0,$EF1389=0)),SUM($EA1389:$EE1389,$EK1389)&gt;=4),"Ecosystem approach","")</f>
        <v/>
      </c>
      <c r="ER1389" s="2" t="str">
        <f>IF(AND(AND(AND($EC1389=0,$EB1389=0),OR($EH1389=1,$EF1389=1)),SUM($EG1389:$EJ1389)&gt;=2),"Technology approach","")</f>
        <v/>
      </c>
      <c r="ES1389" t="str">
        <f>IF(AND($EC1389+$EB1389+$EE1389+$EA1389+$ED1389+$EG1389=0,$N1389="included"),"C neutral forest and HWP assumption","")</f>
        <v>C neutral forest and HWP assumption</v>
      </c>
      <c r="ET1389" t="str">
        <f>IF(AND(AND(AND(AND($EC1389=1,$EB1389+$EA1389+$EG1389&gt;=1),$EF1389=1),$EH1389+$EI1389+$ED1389+$EE1389&gt;=2),$N1389="included"),"All C pools assumption","")</f>
        <v/>
      </c>
      <c r="EU1389" t="str">
        <f>IF(AND($ED1389+$EE1389+$EI1389+$EH1389+$EF1389=0,$N1389="included"),"In-situ only assumption","")</f>
        <v/>
      </c>
      <c r="EY1389" t="str">
        <f>IF(ISNUMBER(BW1389),IF(ABS(BW1389-[6]QC_indicators!$B$2)&gt;3*[6]QC_indicators!$C$2,"C ratio",IF(ISNUMBER(CA1389),IF(ABS(CA1389-[6]QC_indicators!$B$1)&gt;3*[6]QC_indicators!$C$1,"DF","no"))),IF(ISNUMBER(CA1389),IF(ABS(CA1389-[6]QC_indicators!$B$1)&gt;3*[6]QC_indicators!$C$1,"DF","no")))</f>
        <v>no</v>
      </c>
      <c r="FA1389" t="str">
        <f>IF(LEN($CY1389)=0,"",IF(AND($CY1389&lt;(-0.05),$ES1389="C neutral forest and HWP assumption"),"Cneutral paradox",IF(AND($CY1389&gt;0.05,$EU1389="In-situ only assumption"),"In-situ only paradox","")))</f>
        <v/>
      </c>
      <c r="FB1389" s="149" t="s">
        <v>349</v>
      </c>
      <c r="FD1389" s="260" t="s">
        <v>2948</v>
      </c>
    </row>
    <row r="1390" spans="1:160" ht="15" hidden="1" customHeight="1">
      <c r="D1390" t="s">
        <v>1508</v>
      </c>
      <c r="E1390" t="s">
        <v>1509</v>
      </c>
      <c r="G1390" t="s">
        <v>1510</v>
      </c>
      <c r="I1390">
        <v>2007</v>
      </c>
      <c r="K1390" t="s">
        <v>1511</v>
      </c>
      <c r="M1390" t="str">
        <f>LEFT($D1390,FIND(",",$D1390)-1)&amp;"_"&amp;I1390&amp;L1390</f>
        <v>Gustavsson_2007</v>
      </c>
      <c r="N1390" t="s">
        <v>222</v>
      </c>
      <c r="O1390" t="s">
        <v>223</v>
      </c>
      <c r="Q1390" t="s">
        <v>256</v>
      </c>
      <c r="R1390" s="264" t="s">
        <v>274</v>
      </c>
      <c r="S1390" s="1" t="s">
        <v>1512</v>
      </c>
      <c r="T1390" t="s">
        <v>1537</v>
      </c>
      <c r="U1390" s="143" t="s">
        <v>1533</v>
      </c>
      <c r="V1390" s="253">
        <v>0</v>
      </c>
      <c r="W1390" s="253">
        <v>0</v>
      </c>
      <c r="X1390">
        <v>0</v>
      </c>
      <c r="Y1390">
        <v>0</v>
      </c>
      <c r="Z1390">
        <v>0</v>
      </c>
      <c r="AA1390">
        <v>0</v>
      </c>
      <c r="AB1390">
        <v>0</v>
      </c>
      <c r="AC1390">
        <v>0</v>
      </c>
      <c r="AD1390">
        <v>0</v>
      </c>
      <c r="AE1390">
        <v>0</v>
      </c>
      <c r="AF1390">
        <v>0</v>
      </c>
      <c r="AG1390">
        <v>0</v>
      </c>
      <c r="AH1390">
        <v>0</v>
      </c>
      <c r="AI1390">
        <v>0</v>
      </c>
      <c r="AJ1390">
        <v>0</v>
      </c>
      <c r="AK1390">
        <v>0</v>
      </c>
      <c r="AL1390">
        <v>0</v>
      </c>
      <c r="AM1390">
        <v>1</v>
      </c>
      <c r="AN1390">
        <v>0</v>
      </c>
      <c r="AO1390">
        <v>0</v>
      </c>
      <c r="AP1390">
        <v>0</v>
      </c>
      <c r="AQ1390">
        <v>0</v>
      </c>
      <c r="AR1390">
        <v>0</v>
      </c>
      <c r="AS1390">
        <v>0</v>
      </c>
      <c r="AT1390">
        <v>0</v>
      </c>
      <c r="AU1390">
        <v>0</v>
      </c>
      <c r="AV1390">
        <v>0</v>
      </c>
      <c r="AW1390">
        <v>0</v>
      </c>
      <c r="AX1390">
        <v>0</v>
      </c>
      <c r="AY1390">
        <v>0</v>
      </c>
      <c r="AZ1390" s="141">
        <f>COUNTIF(X1390:AY1390,"&lt;&gt;0")</f>
        <v>1</v>
      </c>
      <c r="BA1390" s="141">
        <f>COUNTIF(X1390:AN1390,"&lt;&gt;0")</f>
        <v>1</v>
      </c>
      <c r="BB1390">
        <f>COUNTIF(X1390:AE1390,"&lt;&gt;0")</f>
        <v>0</v>
      </c>
      <c r="BC1390">
        <f>COUNTIF(AF1390:AK1390,"&lt;&gt;0")</f>
        <v>0</v>
      </c>
      <c r="BD1390">
        <f>COUNTIF(AL1390:AN1390,"&lt;&gt;0")</f>
        <v>1</v>
      </c>
      <c r="BE1390">
        <f>COUNTIF(AU1390:AY1390,"&lt;&gt;0")</f>
        <v>0</v>
      </c>
      <c r="BF1390">
        <f>COUNTIF(AO1390:AT1390,"&lt;&gt;0")</f>
        <v>0</v>
      </c>
      <c r="BG1390" t="str">
        <f t="array" ref="BG1390">IF(BA1390=1,INDEX($X$7:$AN$7,MATCH(TRUE,INDEX($X1390:$AY1390&lt;&gt;0,),0)),IF(BA1390=0,INDEX($AO$7:$AY$7,MATCH(1,$AO1390:$AY1390,0)),IF(BH1390="Multiple strategies","mixed drivers",IF(BH1390="Supply chain","multiple supply","multiple silviculture"))))</f>
        <v>technologies/design switch</v>
      </c>
      <c r="BH1390" s="2" t="str" cm="1">
        <f t="array" ref="BH1390">IF(COUNTIF(BB1390:BD1390,"&lt;&gt;0")=1,INDEX($X$4:$AY$4,MATCH(TRUE,INDEX($X1390:$AY1390&lt;&gt;0,),0)),IF(COUNTIF(BB1390:BD1390,"&lt;&gt;0")=0,INDEX($AO$4:$AY$4,MATCH(1,$AO1390:$AY1390,0)),"Multiple strategies"))</f>
        <v>Technology</v>
      </c>
      <c r="BI1390" s="142" t="s">
        <v>229</v>
      </c>
      <c r="BJ1390" t="s">
        <v>1514</v>
      </c>
      <c r="BK1390" s="260" t="s">
        <v>987</v>
      </c>
      <c r="BL1390" s="143" t="s">
        <v>2940</v>
      </c>
      <c r="BM1390">
        <v>0</v>
      </c>
      <c r="BN1390" s="143">
        <v>8.5</v>
      </c>
      <c r="BO1390" s="143"/>
      <c r="BP1390">
        <f>BN1390-BM1390</f>
        <v>8.5</v>
      </c>
      <c r="BQ1390" s="143">
        <f>1000*BN1390/15.3/400</f>
        <v>1.3888888888888888</v>
      </c>
      <c r="BR1390" t="s">
        <v>232</v>
      </c>
      <c r="BT1390" t="s">
        <v>907</v>
      </c>
      <c r="BU1390" s="143">
        <v>-1</v>
      </c>
      <c r="BV1390" s="151">
        <v>0</v>
      </c>
      <c r="BW1390">
        <v>0</v>
      </c>
      <c r="BX1390">
        <v>1</v>
      </c>
      <c r="BZ1390">
        <f>BX1390*C_to_CO2</f>
        <v>3.67</v>
      </c>
      <c r="CA1390" s="143">
        <f>1000*BX1390/15.3/400</f>
        <v>0.16339869281045749</v>
      </c>
      <c r="CB1390" s="143">
        <v>0</v>
      </c>
      <c r="CC1390" s="143">
        <v>0</v>
      </c>
      <c r="CD1390" s="143">
        <v>0</v>
      </c>
      <c r="CE1390" s="143">
        <v>0</v>
      </c>
      <c r="CF1390" s="143">
        <v>0</v>
      </c>
      <c r="CG1390" s="143">
        <v>0</v>
      </c>
      <c r="CH1390" s="143">
        <v>0</v>
      </c>
      <c r="CI1390" s="143">
        <v>0</v>
      </c>
      <c r="CJ1390" s="143">
        <v>0</v>
      </c>
      <c r="CK1390" s="143">
        <v>0</v>
      </c>
      <c r="CL1390" s="143">
        <v>0</v>
      </c>
      <c r="CM1390" s="143">
        <v>0</v>
      </c>
      <c r="CN1390" s="143">
        <v>0</v>
      </c>
      <c r="CO1390">
        <v>1</v>
      </c>
      <c r="CP1390" t="str">
        <f>IF($BN1390&lt;$BM1390,"refNeedCorrection","refOK")</f>
        <v>refOK</v>
      </c>
      <c r="CQ1390">
        <f>IF($CP1390="refOK",$BM1390,$BN1390)</f>
        <v>0</v>
      </c>
      <c r="CR1390">
        <f>IF($CP1390="refOK",$BN1390,$BM1390)</f>
        <v>8.5</v>
      </c>
      <c r="CS1390">
        <f>IF($CP1390="refOK",$BQ1390,-$BQ1390)</f>
        <v>1.3888888888888888</v>
      </c>
      <c r="CT1390">
        <f>IF(BI1390="Roundwood",$CS1390/2,$CS1390)</f>
        <v>1.3888888888888888</v>
      </c>
      <c r="CU1390">
        <f>IF($CP1390="refOK",$BU1390,$BV1390)*IF($BR1390="Emissions positive",-1,1)</f>
        <v>-1</v>
      </c>
      <c r="CV1390">
        <f>IF($CP1390="refOK",$BV1390,$BU1390)*IF($BR1390="Emissions positive",-1,1)</f>
        <v>0</v>
      </c>
      <c r="CW1390">
        <f>IF($CP1390="refNeedCorrection",-BZ1390,BZ1390)*IF($BR1390="Emissions positive",-1,1)</f>
        <v>3.67</v>
      </c>
      <c r="CX1390">
        <f>IFERROR($CW1390/$CS1390,"")</f>
        <v>2.6423999999999999</v>
      </c>
      <c r="CY1390">
        <f>IFERROR($CW1390/$CS1390,"")</f>
        <v>2.6423999999999999</v>
      </c>
      <c r="CZ1390">
        <f>IFERROR($CW1390/$CT1390,"")</f>
        <v>2.6423999999999999</v>
      </c>
      <c r="DA1390" s="2">
        <f>IFERROR((CV1390-CU1390)/ABS(CU1390),"")</f>
        <v>1</v>
      </c>
      <c r="DB1390" s="1" t="s">
        <v>1078</v>
      </c>
      <c r="DC1390" t="str">
        <f>IF(OR($DB1390="prd",$DB1390="std",$DB1390="cit"),"loc",IF(OR($DB1390="eur",$DB1390="reg",$DB1390="coy"),"reg",$DB1390))</f>
        <v>reg</v>
      </c>
      <c r="DD1390" t="s">
        <v>444</v>
      </c>
      <c r="DF1390" s="143"/>
      <c r="DG1390" s="143">
        <v>0</v>
      </c>
      <c r="DH1390" t="str">
        <f>IF(DG1390=0,"0",IF(AND(DG1390&gt;=1,DG1390&lt;=30),"1-30",IF(AND(DG1390&gt;30,DG1390&lt;=70),"31-70",IF(AND(DG1390&gt;70,DG1390&lt;=100),"71-100",IF(DG1390&gt;100,"+100")))))</f>
        <v>0</v>
      </c>
      <c r="DI1390">
        <v>0</v>
      </c>
      <c r="DJ1390">
        <v>1</v>
      </c>
      <c r="DK1390">
        <v>0</v>
      </c>
      <c r="DL1390">
        <v>0</v>
      </c>
      <c r="DN1390">
        <f>SUM(DI1390:DL1390)</f>
        <v>1</v>
      </c>
      <c r="DO1390" t="str">
        <f>IF(DN1390=1,INDEX($DI$7:$DL$7,MATCH(1,$DI1390:$DL1390,0)),"mixedProduct")</f>
        <v>EnergyInput</v>
      </c>
      <c r="DP1390">
        <f>IF(DI1390=1,DP$7,0)</f>
        <v>0</v>
      </c>
      <c r="DQ1390" t="str">
        <f>IF(DJ1390=1,DQ$7,0)</f>
        <v>Energy</v>
      </c>
      <c r="DR1390">
        <f>IF(DK1390=1,DR$7,0)</f>
        <v>0</v>
      </c>
      <c r="DS1390">
        <f>IF(DL1390=1,DS$7,0)</f>
        <v>0</v>
      </c>
      <c r="DT1390">
        <v>0</v>
      </c>
      <c r="DU1390" s="143">
        <v>0</v>
      </c>
      <c r="DV1390" s="143">
        <v>0</v>
      </c>
      <c r="DW1390">
        <v>0</v>
      </c>
      <c r="DX1390" s="143">
        <v>0</v>
      </c>
      <c r="DY1390">
        <f>SUM(DT1390:DU1390)</f>
        <v>0</v>
      </c>
      <c r="DZ1390" s="143" t="str">
        <f>IF(DT1390=1,"self-calculated DF",IF(DU1390=1,"external DF used","explicit C balance"))</f>
        <v>explicit C balance</v>
      </c>
      <c r="EA1390" s="143">
        <v>0</v>
      </c>
      <c r="EB1390" s="143">
        <v>0</v>
      </c>
      <c r="EC1390" s="143">
        <v>0</v>
      </c>
      <c r="ED1390" s="143">
        <v>0</v>
      </c>
      <c r="EE1390">
        <v>0</v>
      </c>
      <c r="EF1390" s="143">
        <v>0</v>
      </c>
      <c r="EG1390" s="143">
        <v>0</v>
      </c>
      <c r="EH1390" s="143">
        <v>1</v>
      </c>
      <c r="EI1390" s="143">
        <v>0</v>
      </c>
      <c r="EJ1390">
        <v>0</v>
      </c>
      <c r="EK1390">
        <v>0</v>
      </c>
      <c r="EL1390" s="143">
        <v>0</v>
      </c>
      <c r="EM1390" s="143">
        <v>0</v>
      </c>
      <c r="EN1390" s="2">
        <v>0</v>
      </c>
      <c r="EP1390" t="str">
        <f>IF(AND(AND(AND(OR($EC1390=1,$EB1390=1),OR($EH1390=1,$EF1390=1)),SUM($EA1390:$EE1390,$EK1390)&gt;=3),SUM($EF1390:$EJ1390)&gt;=2),"Whole sector approach","")</f>
        <v/>
      </c>
      <c r="EQ1390" t="str">
        <f>IF(AND(AND(OR($EC1390=1,$EB1390=1),AND($EH1390=0,$EF1390=0)),SUM($EA1390:$EE1390,$EK1390)&gt;=4),"Ecosystem approach","")</f>
        <v/>
      </c>
      <c r="ER1390" s="2" t="str">
        <f>IF(AND(AND(AND($EC1390=0,$EB1390=0),OR($EH1390=1,$EF1390=1)),SUM($EG1390:$EJ1390)&gt;=2),"Technology approach","")</f>
        <v/>
      </c>
      <c r="ES1390" t="str">
        <f>IF(AND($EC1390+$EB1390+$EE1390+$EA1390+$ED1390+$EG1390=0,$N1390="included"),"C neutral forest and HWP assumption","")</f>
        <v>C neutral forest and HWP assumption</v>
      </c>
      <c r="ET1390" t="str">
        <f>IF(AND(AND(AND(AND($EC1390=1,$EB1390+$EA1390+$EG1390&gt;=1),$EF1390=1),$EH1390+$EI1390+$ED1390+$EE1390&gt;=2),$N1390="included"),"All C pools assumption","")</f>
        <v/>
      </c>
      <c r="EU1390" t="str">
        <f>IF(AND($ED1390+$EE1390+$EI1390+$EH1390+$EF1390=0,$N1390="included"),"In-situ only assumption","")</f>
        <v/>
      </c>
      <c r="EY1390" t="str">
        <f>IF(ISNUMBER(BW1390),IF(ABS(BW1390-[3]QC_indicators!$B$2)&gt;3*[3]QC_indicators!$C$2,"C ratio",IF(ISNUMBER(CA1390),IF(ABS(CA1390-[3]QC_indicators!$B$1)&gt;3*[3]QC_indicators!$C$1,"DF","no"))),IF(ISNUMBER(CA1390),IF(ABS(CA1390-[3]QC_indicators!$B$1)&gt;3*[3]QC_indicators!$C$1,"DF","no")))</f>
        <v>no</v>
      </c>
      <c r="FA1390" t="str">
        <f>IF(LEN($CY1390)=0,"",IF(AND($CY1390&lt;(-0.05),$ES1390="C neutral forest and HWP assumption"),"Cneutral paradox",IF(AND($CY1390&gt;0.05,$EU1390="In-situ only assumption"),"In-situ only paradox","")))</f>
        <v/>
      </c>
      <c r="FB1390" s="149" t="s">
        <v>349</v>
      </c>
      <c r="FD1390" s="260" t="s">
        <v>2941</v>
      </c>
    </row>
    <row r="1391" spans="1:160" ht="102" hidden="1">
      <c r="D1391" t="s">
        <v>809</v>
      </c>
      <c r="E1391" t="s">
        <v>810</v>
      </c>
      <c r="G1391" t="s">
        <v>811</v>
      </c>
      <c r="I1391">
        <v>2005</v>
      </c>
      <c r="K1391" t="s">
        <v>812</v>
      </c>
      <c r="M1391" t="str">
        <f>LEFT($D1391,FIND(",",$D1391)-1)&amp;"_"&amp;I1391&amp;L1391</f>
        <v>Knight_2005</v>
      </c>
      <c r="N1391" t="s">
        <v>222</v>
      </c>
      <c r="O1391" t="s">
        <v>223</v>
      </c>
      <c r="Q1391" t="s">
        <v>256</v>
      </c>
      <c r="R1391" s="251" t="s">
        <v>225</v>
      </c>
      <c r="S1391" s="1" t="s">
        <v>813</v>
      </c>
      <c r="T1391" t="s">
        <v>814</v>
      </c>
      <c r="U1391" s="260" t="s">
        <v>815</v>
      </c>
      <c r="V1391" s="253">
        <v>0</v>
      </c>
      <c r="W1391" s="253">
        <v>0</v>
      </c>
      <c r="X1391">
        <v>0</v>
      </c>
      <c r="Y1391">
        <v>0</v>
      </c>
      <c r="Z1391">
        <v>0</v>
      </c>
      <c r="AA1391">
        <v>0</v>
      </c>
      <c r="AB1391">
        <v>0</v>
      </c>
      <c r="AC1391">
        <v>0</v>
      </c>
      <c r="AD1391">
        <v>0</v>
      </c>
      <c r="AE1391">
        <v>0</v>
      </c>
      <c r="AF1391">
        <v>0</v>
      </c>
      <c r="AG1391">
        <v>0</v>
      </c>
      <c r="AH1391">
        <v>0</v>
      </c>
      <c r="AI1391">
        <v>0</v>
      </c>
      <c r="AJ1391">
        <v>0</v>
      </c>
      <c r="AK1391">
        <v>0</v>
      </c>
      <c r="AL1391">
        <v>0</v>
      </c>
      <c r="AM1391">
        <v>1</v>
      </c>
      <c r="AN1391">
        <v>0</v>
      </c>
      <c r="AO1391">
        <v>0</v>
      </c>
      <c r="AP1391">
        <v>0</v>
      </c>
      <c r="AQ1391">
        <v>0</v>
      </c>
      <c r="AR1391">
        <v>0</v>
      </c>
      <c r="AS1391">
        <v>0</v>
      </c>
      <c r="AT1391">
        <v>0</v>
      </c>
      <c r="AU1391">
        <v>0</v>
      </c>
      <c r="AV1391">
        <v>0</v>
      </c>
      <c r="AW1391">
        <v>0</v>
      </c>
      <c r="AX1391">
        <v>0</v>
      </c>
      <c r="AY1391">
        <v>0</v>
      </c>
      <c r="AZ1391" s="141">
        <f>COUNTIF(X1391:AY1391,"&lt;&gt;0")</f>
        <v>1</v>
      </c>
      <c r="BA1391" s="141">
        <f>COUNTIF(X1391:AN1391,"&lt;&gt;0")</f>
        <v>1</v>
      </c>
      <c r="BB1391">
        <f>COUNTIF(X1391:AE1391,"&lt;&gt;0")</f>
        <v>0</v>
      </c>
      <c r="BC1391">
        <f>COUNTIF(AF1391:AK1391,"&lt;&gt;0")</f>
        <v>0</v>
      </c>
      <c r="BD1391">
        <f>COUNTIF(AL1391:AN1391,"&lt;&gt;0")</f>
        <v>1</v>
      </c>
      <c r="BE1391">
        <f>COUNTIF(AU1391:AY1391,"&lt;&gt;0")</f>
        <v>0</v>
      </c>
      <c r="BF1391">
        <f>COUNTIF(AO1391:AT1391,"&lt;&gt;0")</f>
        <v>0</v>
      </c>
      <c r="BG1391" t="str">
        <f t="array" ref="BG1391">IF(BA1391=1,INDEX($X$7:$AN$7,MATCH(TRUE,INDEX($X1391:$AY1391&lt;&gt;0,),0)),IF(BA1391=0,INDEX($AO$7:$AY$7,MATCH(1,$AO1391:$AY1391,0)),IF(BH1391="Multiple strategies","mixed drivers",IF(BH1391="Supply chain","multiple supply","multiple silviculture"))))</f>
        <v>technologies/design switch</v>
      </c>
      <c r="BH1391" s="2" t="str" cm="1">
        <f t="array" ref="BH1391">IF(COUNTIF(BB1391:BD1391,"&lt;&gt;0")=1,INDEX($X$4:$AY$4,MATCH(TRUE,INDEX($X1391:$AY1391&lt;&gt;0,),0)),IF(COUNTIF(BB1391:BD1391,"&lt;&gt;0")=0,INDEX($AO$4:$AY$4,MATCH(1,$AO1391:$AY1391,0)),"Multiple strategies"))</f>
        <v>Technology</v>
      </c>
      <c r="BI1391" s="259" t="s">
        <v>229</v>
      </c>
      <c r="BJ1391" t="s">
        <v>816</v>
      </c>
      <c r="BK1391" s="256" t="s">
        <v>3044</v>
      </c>
      <c r="BL1391" s="260" t="s">
        <v>817</v>
      </c>
      <c r="BM1391">
        <v>0</v>
      </c>
      <c r="BN1391" s="260">
        <v>55</v>
      </c>
      <c r="BO1391" s="143"/>
      <c r="BP1391">
        <f>BN1391-BM1391</f>
        <v>55</v>
      </c>
      <c r="BQ1391" s="260">
        <f>BP1391*0.453592*kg_to_m3</f>
        <v>5.0913387755102041E-2</v>
      </c>
      <c r="BR1391" t="s">
        <v>232</v>
      </c>
      <c r="BS1391" s="256" t="s">
        <v>934</v>
      </c>
      <c r="BT1391" t="s">
        <v>818</v>
      </c>
      <c r="BU1391" s="260">
        <v>-141</v>
      </c>
      <c r="BV1391">
        <v>-5.25</v>
      </c>
      <c r="BW1391" s="144">
        <f>IFERROR(BV1391/BU1391,"")</f>
        <v>3.7234042553191488E-2</v>
      </c>
      <c r="BX1391">
        <f>BV1391-BU1391</f>
        <v>135.75</v>
      </c>
      <c r="BZ1391">
        <f>BX1391/1000</f>
        <v>0.13575000000000001</v>
      </c>
      <c r="CA1391">
        <f>IFERROR(BZ1391/BQ1391,"")</f>
        <v>2.666292815810444</v>
      </c>
      <c r="CB1391" s="143">
        <v>0</v>
      </c>
      <c r="CC1391" s="143">
        <v>0</v>
      </c>
      <c r="CD1391" s="143">
        <v>0</v>
      </c>
      <c r="CE1391" s="143">
        <v>0</v>
      </c>
      <c r="CF1391" s="143">
        <v>0</v>
      </c>
      <c r="CG1391" s="143">
        <v>0</v>
      </c>
      <c r="CH1391" s="143">
        <v>0</v>
      </c>
      <c r="CI1391" s="143">
        <v>0</v>
      </c>
      <c r="CJ1391" s="143">
        <v>0</v>
      </c>
      <c r="CK1391" s="143">
        <v>0</v>
      </c>
      <c r="CL1391" s="143">
        <v>0</v>
      </c>
      <c r="CM1391" s="143">
        <v>0</v>
      </c>
      <c r="CN1391" s="143">
        <v>0</v>
      </c>
      <c r="CO1391">
        <v>0</v>
      </c>
      <c r="CP1391" t="str">
        <f>IF($BN1391&lt;$BM1391,"refNeedCorrection","refOK")</f>
        <v>refOK</v>
      </c>
      <c r="CQ1391">
        <f>IF($CP1391="refOK",$BM1391,$BN1391)</f>
        <v>0</v>
      </c>
      <c r="CR1391">
        <f>IF($CP1391="refOK",$BN1391,$BM1391)</f>
        <v>55</v>
      </c>
      <c r="CS1391">
        <f>IF($CP1391="refOK",$BQ1391,-$BQ1391)</f>
        <v>5.0913387755102041E-2</v>
      </c>
      <c r="CT1391">
        <f>IF(BI1391="Roundwood",$CS1391/2,$CS1391)</f>
        <v>5.0913387755102041E-2</v>
      </c>
      <c r="CU1391">
        <f>IF($CP1391="refOK",$BU1391,$BV1391)*IF($BR1391="Emissions positive",-1,1)</f>
        <v>-141</v>
      </c>
      <c r="CV1391">
        <f>IF($CP1391="refOK",$BV1391,$BU1391)*IF($BR1391="Emissions positive",-1,1)</f>
        <v>-5.25</v>
      </c>
      <c r="CW1391">
        <f>IF($CP1391="refNeedCorrection",-BZ1391,BZ1391)*IF($BR1391="Emissions positive",-1,1)</f>
        <v>0.13575000000000001</v>
      </c>
      <c r="CX1391">
        <f>IFERROR($CW1391/$CS1391,"")</f>
        <v>2.666292815810444</v>
      </c>
      <c r="CY1391">
        <f>IFERROR($CW1391/$CS1391,"")</f>
        <v>2.666292815810444</v>
      </c>
      <c r="CZ1391">
        <f>IFERROR($CW1391/$CT1391,"")</f>
        <v>2.666292815810444</v>
      </c>
      <c r="DA1391" s="2">
        <f>IFERROR((CV1391-CU1391)/ABS(CU1391),"")</f>
        <v>0.96276595744680848</v>
      </c>
      <c r="DB1391" s="1" t="s">
        <v>263</v>
      </c>
      <c r="DC1391" t="str">
        <f>IF(OR($DB1391="prd",$DB1391="std",$DB1391="cit"),"loc",IF(OR($DB1391="eur",$DB1391="reg",$DB1391="coy"),"reg",$DB1391))</f>
        <v>loc</v>
      </c>
      <c r="DD1391" t="s">
        <v>428</v>
      </c>
      <c r="DF1391" s="143"/>
      <c r="DG1391" s="260">
        <v>0</v>
      </c>
      <c r="DH1391" t="str">
        <f>IF(DG1391=0,"0",IF(AND(DG1391&gt;=1,DG1391&lt;=30),"1-30",IF(AND(DG1391&gt;30,DG1391&lt;=70),"31-70",IF(AND(DG1391&gt;70,DG1391&lt;=100),"71-100",IF(DG1391&gt;100,"+100")))))</f>
        <v>0</v>
      </c>
      <c r="DI1391">
        <v>0</v>
      </c>
      <c r="DJ1391">
        <v>0</v>
      </c>
      <c r="DK1391">
        <v>0</v>
      </c>
      <c r="DL1391">
        <v>1</v>
      </c>
      <c r="DN1391">
        <f>SUM(DI1391:DL1391)</f>
        <v>1</v>
      </c>
      <c r="DO1391" t="str">
        <f>IF(DN1391=1,INDEX($DI$7:$DL$7,MATCH(1,$DI1391:$DL1391,0)),"mixedProduct")</f>
        <v>TimberInput</v>
      </c>
      <c r="DP1391">
        <f>IF(DI1391=1,DP$7,0)</f>
        <v>0</v>
      </c>
      <c r="DQ1391">
        <f>IF(DJ1391=1,DQ$7,0)</f>
        <v>0</v>
      </c>
      <c r="DR1391">
        <f>IF(DK1391=1,DR$7,0)</f>
        <v>0</v>
      </c>
      <c r="DS1391" t="str">
        <f>IF(DL1391=1,DS$7,0)</f>
        <v>Timber</v>
      </c>
      <c r="DT1391">
        <v>0</v>
      </c>
      <c r="DU1391" s="143">
        <v>0</v>
      </c>
      <c r="DV1391" s="143">
        <v>0</v>
      </c>
      <c r="DW1391">
        <v>0</v>
      </c>
      <c r="DX1391" s="143">
        <v>0</v>
      </c>
      <c r="DY1391">
        <f>SUM(DT1391:DU1391)</f>
        <v>0</v>
      </c>
      <c r="DZ1391" s="143" t="str">
        <f>IF(DT1391=1,"self-calculated DF",IF(DU1391=1,"external DF used","explicit C balance"))</f>
        <v>explicit C balance</v>
      </c>
      <c r="EA1391" s="143">
        <v>0</v>
      </c>
      <c r="EB1391" s="143">
        <v>0</v>
      </c>
      <c r="EC1391" s="143">
        <v>0</v>
      </c>
      <c r="ED1391" s="143">
        <v>0</v>
      </c>
      <c r="EE1391">
        <v>0</v>
      </c>
      <c r="EF1391" s="143">
        <v>0</v>
      </c>
      <c r="EG1391" s="143">
        <v>0</v>
      </c>
      <c r="EH1391" s="260">
        <v>1</v>
      </c>
      <c r="EI1391" s="143">
        <v>0</v>
      </c>
      <c r="EJ1391">
        <v>0</v>
      </c>
      <c r="EK1391">
        <v>0</v>
      </c>
      <c r="EL1391" s="143">
        <v>0</v>
      </c>
      <c r="EM1391" s="143">
        <v>0</v>
      </c>
      <c r="EN1391" s="2">
        <v>0</v>
      </c>
      <c r="EP1391" t="str">
        <f>IF(AND(AND(AND(OR($EC1391=1,$EB1391=1),OR($EH1391=1,$EF1391=1)),SUM($EA1391:$EE1391,$EK1391)&gt;=3),SUM($EF1391:$EJ1391)&gt;=2),"Whole sector approach","")</f>
        <v/>
      </c>
      <c r="EQ1391" t="str">
        <f>IF(AND(AND(OR($EC1391=1,$EB1391=1),AND($EH1391=0,$EF1391=0)),SUM($EA1391:$EE1391,$EK1391)&gt;=4),"Ecosystem approach","")</f>
        <v/>
      </c>
      <c r="ER1391" s="2" t="str">
        <f>IF(AND(AND(AND($EC1391=0,$EB1391=0),OR($EH1391=1,$EF1391=1)),SUM($EG1391:$EJ1391)&gt;=2),"Technology approach","")</f>
        <v/>
      </c>
      <c r="ES1391" t="str">
        <f>IF(AND($EC1391+$EB1391+$EE1391+$EA1391+$ED1391+$EG1391=0,$N1391="included"),"C neutral forest and HWP assumption","")</f>
        <v>C neutral forest and HWP assumption</v>
      </c>
      <c r="ET1391" t="str">
        <f>IF(AND(AND(AND(AND($EC1391=1,$EB1391+$EA1391+$EG1391&gt;=1),$EF1391=1),$EH1391+$EI1391+$ED1391+$EE1391&gt;=2),$N1391="included"),"All C pools assumption","")</f>
        <v/>
      </c>
      <c r="EU1391" t="str">
        <f>IF(AND($ED1391+$EE1391+$EI1391+$EH1391+$EF1391=0,$N1391="included"),"In-situ only assumption","")</f>
        <v/>
      </c>
      <c r="EV1391" s="328" t="s">
        <v>5065</v>
      </c>
      <c r="EY1391" t="str">
        <f>IF(ISNUMBER(BW1391),IF(ABS(BW1391-[6]QC_indicators!$B$2)&gt;3*[6]QC_indicators!$C$2,"C ratio",IF(ISNUMBER(CA1391),IF(ABS(CA1391-[6]QC_indicators!$B$1)&gt;3*[6]QC_indicators!$C$1,"DF","no"))),IF(ISNUMBER(CA1391),IF(ABS(CA1391-[6]QC_indicators!$B$1)&gt;3*[6]QC_indicators!$C$1,"DF","no")))</f>
        <v>no</v>
      </c>
      <c r="FA1391" t="str">
        <f>IF(LEN($CY1391)=0,"",IF(AND($CY1391&lt;(-0.05),$ES1391="C neutral forest and HWP assumption"),"Cneutral paradox",IF(AND($CY1391&gt;0.05,$EU1391="In-situ only assumption"),"In-situ only paradox","")))</f>
        <v/>
      </c>
      <c r="FB1391" s="149" t="s">
        <v>349</v>
      </c>
      <c r="FD1391" s="260" t="s">
        <v>2948</v>
      </c>
    </row>
    <row r="1392" spans="1:160" ht="102" hidden="1">
      <c r="A1392" s="1" t="s">
        <v>549</v>
      </c>
      <c r="B1392" t="s">
        <v>531</v>
      </c>
      <c r="C1392" t="s">
        <v>1465</v>
      </c>
      <c r="D1392" t="s">
        <v>1466</v>
      </c>
      <c r="E1392" t="s">
        <v>1467</v>
      </c>
      <c r="F1392" t="s">
        <v>1468</v>
      </c>
      <c r="G1392" t="s">
        <v>554</v>
      </c>
      <c r="H1392" t="s">
        <v>254</v>
      </c>
      <c r="I1392">
        <v>2019</v>
      </c>
      <c r="J1392">
        <v>15</v>
      </c>
      <c r="K1392" t="s">
        <v>1469</v>
      </c>
      <c r="M1392" t="str">
        <f>LEFT($D1392,FIND(",",$D1392)-1)&amp;"_"&amp;I1392&amp;L1392</f>
        <v>Geng_2019</v>
      </c>
      <c r="N1392" t="s">
        <v>222</v>
      </c>
      <c r="O1392" s="180" t="s">
        <v>225</v>
      </c>
      <c r="Q1392" s="317" t="s">
        <v>256</v>
      </c>
      <c r="R1392" s="318" t="s">
        <v>1029</v>
      </c>
      <c r="S1392" s="1" t="s">
        <v>1470</v>
      </c>
      <c r="T1392" t="s">
        <v>4955</v>
      </c>
      <c r="U1392" t="s">
        <v>4956</v>
      </c>
      <c r="V1392" s="253">
        <v>0</v>
      </c>
      <c r="W1392" s="253">
        <v>0</v>
      </c>
      <c r="X1392">
        <v>0</v>
      </c>
      <c r="Y1392">
        <v>0</v>
      </c>
      <c r="Z1392">
        <v>0</v>
      </c>
      <c r="AA1392">
        <v>0</v>
      </c>
      <c r="AB1392">
        <v>0</v>
      </c>
      <c r="AC1392">
        <v>0</v>
      </c>
      <c r="AD1392">
        <v>0</v>
      </c>
      <c r="AE1392">
        <v>0</v>
      </c>
      <c r="AF1392">
        <v>0</v>
      </c>
      <c r="AG1392">
        <v>0</v>
      </c>
      <c r="AH1392">
        <v>0</v>
      </c>
      <c r="AI1392">
        <v>0</v>
      </c>
      <c r="AJ1392">
        <v>0</v>
      </c>
      <c r="AK1392">
        <v>0</v>
      </c>
      <c r="AL1392">
        <v>0</v>
      </c>
      <c r="AM1392">
        <v>1</v>
      </c>
      <c r="AN1392">
        <v>0</v>
      </c>
      <c r="AO1392">
        <v>0</v>
      </c>
      <c r="AP1392">
        <v>0</v>
      </c>
      <c r="AQ1392">
        <v>0</v>
      </c>
      <c r="AR1392">
        <v>0</v>
      </c>
      <c r="AS1392">
        <v>0</v>
      </c>
      <c r="AT1392">
        <v>0</v>
      </c>
      <c r="AU1392">
        <v>0</v>
      </c>
      <c r="AV1392">
        <v>0</v>
      </c>
      <c r="AW1392">
        <v>0</v>
      </c>
      <c r="AX1392">
        <v>0</v>
      </c>
      <c r="AY1392">
        <v>0</v>
      </c>
      <c r="AZ1392" s="141">
        <f>COUNTIF(X1392:AY1392,"&lt;&gt;0")</f>
        <v>1</v>
      </c>
      <c r="BA1392" s="141">
        <f>COUNTIF(X1392:AN1392,"&lt;&gt;0")</f>
        <v>1</v>
      </c>
      <c r="BB1392">
        <f>COUNTIF(X1392:AE1392,"&lt;&gt;0")</f>
        <v>0</v>
      </c>
      <c r="BC1392">
        <f>COUNTIF(AF1392:AK1392,"&lt;&gt;0")</f>
        <v>0</v>
      </c>
      <c r="BD1392">
        <f>COUNTIF(AL1392:AN1392,"&lt;&gt;0")</f>
        <v>1</v>
      </c>
      <c r="BE1392">
        <f>COUNTIF(AU1392:AY1392,"&lt;&gt;0")</f>
        <v>0</v>
      </c>
      <c r="BF1392">
        <f>COUNTIF(AO1392:AT1392,"&lt;&gt;0")</f>
        <v>0</v>
      </c>
      <c r="BG1392" t="str" cm="1">
        <f t="array" ref="BG1392">IF(BA1392=1,INDEX($X$7:$AN$7,MATCH(TRUE,INDEX($X1392:$AY1392&lt;&gt;0,),0)),IF(BA1392=0,INDEX($AO$7:$AY$7,MATCH(1,$AO1392:$AY1392,0)),IF(BH1392="Multiple strategies","mixed drivers",IF(BH1392="Supply chain","multiple supply","multiple silviculture"))))</f>
        <v>technologies/design switch</v>
      </c>
      <c r="BH1392" s="2" t="str" cm="1">
        <f t="array" ref="BH1392">IF(COUNTIF(BB1392:BD1392,"&lt;&gt;0")=1,INDEX($X$4:$AY$4,MATCH(TRUE,INDEX($X1392:$AY1392&lt;&gt;0,),0)),IF(COUNTIF(BB1392:BD1392,"&lt;&gt;0")=0,INDEX($AO$4:$AY$4,MATCH(1,$AO1392:$AY1392,0)),"Multiple strategies"))</f>
        <v>Technology</v>
      </c>
      <c r="BI1392" s="1" t="s">
        <v>229</v>
      </c>
      <c r="BJ1392" t="s">
        <v>1471</v>
      </c>
      <c r="BK1392" t="s">
        <v>2920</v>
      </c>
      <c r="BL1392" t="s">
        <v>261</v>
      </c>
      <c r="BM1392">
        <v>34</v>
      </c>
      <c r="BN1392">
        <v>66</v>
      </c>
      <c r="BO1392">
        <f>BN1392/BM1392</f>
        <v>1.9411764705882353</v>
      </c>
      <c r="BP1392">
        <f>BN1392-BM1392</f>
        <v>32</v>
      </c>
      <c r="BQ1392">
        <f>BP1392*kg_to_m3</f>
        <v>6.5306122448979598E-2</v>
      </c>
      <c r="BR1392" t="s">
        <v>232</v>
      </c>
      <c r="BS1392" t="s">
        <v>2920</v>
      </c>
      <c r="BT1392" t="s">
        <v>1476</v>
      </c>
      <c r="BW1392" s="144" t="str">
        <f>IFERROR(BV1392/BU1392,"")</f>
        <v/>
      </c>
      <c r="BX1392">
        <v>0.17599999999999999</v>
      </c>
      <c r="BZ1392">
        <f>BX1392</f>
        <v>0.17599999999999999</v>
      </c>
      <c r="CA1392">
        <f>IFERROR(BZ1392/BQ1392,"")</f>
        <v>2.6949999999999994</v>
      </c>
      <c r="CB1392">
        <v>0</v>
      </c>
      <c r="CC1392">
        <v>0</v>
      </c>
      <c r="CD1392">
        <v>0</v>
      </c>
      <c r="CE1392">
        <v>0</v>
      </c>
      <c r="CF1392">
        <v>0</v>
      </c>
      <c r="CG1392">
        <v>0</v>
      </c>
      <c r="CH1392">
        <v>0</v>
      </c>
      <c r="CI1392">
        <v>0</v>
      </c>
      <c r="CJ1392">
        <v>0</v>
      </c>
      <c r="CK1392">
        <v>0</v>
      </c>
      <c r="CL1392">
        <v>0</v>
      </c>
      <c r="CM1392">
        <v>0</v>
      </c>
      <c r="CN1392">
        <v>0</v>
      </c>
      <c r="CO1392">
        <v>0</v>
      </c>
      <c r="CP1392" t="str">
        <f>IF(BN1392&lt;BM1392,"refNeedCorrection","refOK")</f>
        <v>refOK</v>
      </c>
      <c r="CQ1392">
        <f>IF($CP1392="refOK",$BM1392,$BN1392)</f>
        <v>34</v>
      </c>
      <c r="CR1392">
        <f>IF($CP1392="refOK",$BN1392,$BM1392)</f>
        <v>66</v>
      </c>
      <c r="CS1392">
        <f>IF($CP1392="refOK",$BQ1392,-$BQ1392)</f>
        <v>6.5306122448979598E-2</v>
      </c>
      <c r="CT1392">
        <f>IF(BI1392="Roundwood",$CS1392/2,$CS1392)</f>
        <v>6.5306122448979598E-2</v>
      </c>
      <c r="CU1392">
        <f>IF($CP1392="refOK",$BU1392,$BV1392)*IF($BR1392="Emissions positive",-1,1)</f>
        <v>0</v>
      </c>
      <c r="CV1392">
        <f>IF($CP1392="refOK",$BV1392,$BU1392)*IF($BR1392="Emissions positive",-1,1)</f>
        <v>0</v>
      </c>
      <c r="CW1392">
        <f>IF($CP1392="refNeedCorrection",-BZ1392,BZ1392)*IF($BR1392="Emissions positive",-1,1)</f>
        <v>0.17599999999999999</v>
      </c>
      <c r="CX1392">
        <f>IFERROR($CW1392/$CS1392,"")</f>
        <v>2.6949999999999994</v>
      </c>
      <c r="CY1392">
        <f>IFERROR($CW1392/$CS1392,"")</f>
        <v>2.6949999999999994</v>
      </c>
      <c r="CZ1392">
        <f>IFERROR($CW1392/$CT1392,"")</f>
        <v>2.6949999999999994</v>
      </c>
      <c r="DA1392" s="2" t="str">
        <f>IFERROR((CV1392-CU1392)/ABS(CU1392),"")</f>
        <v/>
      </c>
      <c r="DB1392" s="1" t="s">
        <v>1078</v>
      </c>
      <c r="DC1392" s="317" t="str">
        <f>IF(OR($DB1392="prd",$DB1392="std",$DB1392="cit"),"loc",IF(OR($DB1392="eur",$DB1392="reg",$DB1392="coy"),"reg",$DB1392))</f>
        <v>reg</v>
      </c>
      <c r="DD1392" t="s">
        <v>677</v>
      </c>
      <c r="DE1392">
        <v>2019</v>
      </c>
      <c r="DG1392">
        <v>0</v>
      </c>
      <c r="DH1392" t="str">
        <f>IF(DG1392=0,"0",IF(AND(DG1392&gt;=1,DG1392&lt;=30),"1-30",IF(AND(DG1392&gt;30,DG1392&lt;=70),"31-70",IF(AND(DG1392&gt;70,DG1392&lt;=100),"71-100",IF(DG1392&gt;100,"+100")))))</f>
        <v>0</v>
      </c>
      <c r="DI1392">
        <v>0</v>
      </c>
      <c r="DJ1392">
        <v>0</v>
      </c>
      <c r="DK1392">
        <v>0</v>
      </c>
      <c r="DL1392">
        <v>1</v>
      </c>
      <c r="DN1392">
        <f>SUM(DI1392:DL1392)</f>
        <v>1</v>
      </c>
      <c r="DO1392" t="str">
        <f>IF(DN1392=1,INDEX($DI$7:$DL$7,MATCH(1,$DI1392:$DL1392,0)),"mixedProduct")</f>
        <v>TimberInput</v>
      </c>
      <c r="DP1392">
        <f>IF(DI1392=1,DP$7,0)</f>
        <v>0</v>
      </c>
      <c r="DQ1392">
        <f>IF(DJ1392=1,DQ$7,0)</f>
        <v>0</v>
      </c>
      <c r="DR1392">
        <f>IF(DK1392=1,DR$7,0)</f>
        <v>0</v>
      </c>
      <c r="DS1392" t="str">
        <f>IF(DL1392=1,DS$7,0)</f>
        <v>Timber</v>
      </c>
      <c r="DT1392">
        <v>1</v>
      </c>
      <c r="DU1392">
        <v>0</v>
      </c>
      <c r="DV1392">
        <v>0</v>
      </c>
      <c r="DW1392">
        <v>0</v>
      </c>
      <c r="DX1392">
        <v>0</v>
      </c>
      <c r="DY1392">
        <f>SUM(DT1392:DU1392)</f>
        <v>1</v>
      </c>
      <c r="DZ1392" s="143" t="str">
        <f>IF(DT1392=1,"self-calculated DF",IF(DU1392=1,"external DF used","explicit C balance"))</f>
        <v>self-calculated DF</v>
      </c>
      <c r="EA1392">
        <v>0</v>
      </c>
      <c r="EB1392">
        <v>0</v>
      </c>
      <c r="EC1392">
        <v>0</v>
      </c>
      <c r="ED1392">
        <v>0</v>
      </c>
      <c r="EE1392">
        <v>0</v>
      </c>
      <c r="EF1392" s="143">
        <v>1</v>
      </c>
      <c r="EG1392">
        <v>0</v>
      </c>
      <c r="EH1392">
        <v>1</v>
      </c>
      <c r="EI1392">
        <v>0</v>
      </c>
      <c r="EJ1392">
        <v>0</v>
      </c>
      <c r="EK1392">
        <v>0</v>
      </c>
      <c r="EL1392">
        <v>0</v>
      </c>
      <c r="EM1392">
        <v>0</v>
      </c>
      <c r="EN1392" s="2">
        <v>0</v>
      </c>
      <c r="EP1392" t="str">
        <f>IF(AND(AND(AND(OR($EC1392=1,$EB1392=1),OR($EH1392=1,$EF1392=1)),SUM($EA1392:$EE1392,$EK1392)&gt;=3),SUM($EF1392:$EJ1392)&gt;=2),"Whole sector approach","")</f>
        <v/>
      </c>
      <c r="EQ1392" t="str">
        <f>IF(AND(AND(OR($EC1392=1,$EB1392=1),AND($EH1392=0,$EF1392=0)),SUM($EA1392:$EE1392,$EK1392)&gt;=3),"Ecosystem approach","")</f>
        <v/>
      </c>
      <c r="ER1392" s="2" t="str">
        <f>IF(AND(AND(AND($EC1392=0,$EB1392=0),OR($EH1392=1,$EF1392=1)),SUM($EG1392:$EJ1392)&gt;=2),"Technology approach","")</f>
        <v/>
      </c>
      <c r="ES1392" t="str">
        <f>IF(AND($EC1392+$EB1392+$EE1392+$EA1392+$ED1392+$EG1392=0,$N1392="included"),"C neutral forest and HWP assumption","")</f>
        <v>C neutral forest and HWP assumption</v>
      </c>
      <c r="ET1392" t="str">
        <f>IF(AND(AND(AND(AND($EC1392=1,$EB1392+$EA1392+$EG1392&gt;=1),$EF1392=1),$EH1392+$EI1392+$ED1392+$EE1392&gt;=2),$N1392="included"),"All C pools assumption","")</f>
        <v/>
      </c>
      <c r="EU1392" t="str">
        <f>IF(AND($ED1392+$EE1392+$EI1392+$EH1392+$EF1392=0,$N1392="included"),"In-situ only assumption","")</f>
        <v/>
      </c>
      <c r="EW1392" t="s">
        <v>1474</v>
      </c>
      <c r="EY1392" t="str">
        <f>IF(ISNUMBER(BW1392),IF(ABS(BW1392-[4]QC_indicators!$B$2)&gt;3*[4]QC_indicators!$C$2,"C ratio",IF(ISNUMBER(CA1392),IF(ABS(CA1392-[4]QC_indicators!$B$1)&gt;3*[4]QC_indicators!$C$1,"DF","no"))),IF(ISNUMBER(CA1392),IF(ABS(CA1392-[4]QC_indicators!$B$1)&gt;3*[4]QC_indicators!$C$1,"DF","no")))</f>
        <v>no</v>
      </c>
      <c r="FA1392" t="str">
        <f>IF(LEN($CY1392)=0,"",IF(AND($CY1392&lt;(-0.05),$ES1392="C neutral forest and HWP assumption"),"Cneutral paradox",IF(AND($CY1392&gt;0.05,$EU1392="In-situ only assumption"),"In-situ only paradox","")))</f>
        <v/>
      </c>
      <c r="FB1392" t="s">
        <v>1475</v>
      </c>
    </row>
    <row r="1393" spans="1:160" ht="102" hidden="1">
      <c r="A1393" s="1" t="s">
        <v>549</v>
      </c>
      <c r="B1393" t="s">
        <v>531</v>
      </c>
      <c r="C1393" t="s">
        <v>1465</v>
      </c>
      <c r="D1393" t="s">
        <v>1466</v>
      </c>
      <c r="E1393" t="s">
        <v>1467</v>
      </c>
      <c r="F1393" t="s">
        <v>1468</v>
      </c>
      <c r="G1393" t="s">
        <v>554</v>
      </c>
      <c r="H1393" t="s">
        <v>254</v>
      </c>
      <c r="I1393">
        <v>2019</v>
      </c>
      <c r="J1393">
        <v>15</v>
      </c>
      <c r="K1393" t="s">
        <v>1469</v>
      </c>
      <c r="M1393" t="str">
        <f>LEFT($D1393,FIND(",",$D1393)-1)&amp;"_"&amp;I1393&amp;L1393</f>
        <v>Geng_2019</v>
      </c>
      <c r="N1393" t="s">
        <v>222</v>
      </c>
      <c r="O1393" s="180" t="s">
        <v>225</v>
      </c>
      <c r="Q1393" s="317" t="s">
        <v>256</v>
      </c>
      <c r="R1393" s="318" t="s">
        <v>1029</v>
      </c>
      <c r="S1393" s="1" t="s">
        <v>1470</v>
      </c>
      <c r="T1393" t="s">
        <v>4957</v>
      </c>
      <c r="U1393" t="s">
        <v>4958</v>
      </c>
      <c r="V1393" s="253">
        <v>0</v>
      </c>
      <c r="W1393" s="253">
        <v>0</v>
      </c>
      <c r="X1393">
        <v>0</v>
      </c>
      <c r="Y1393">
        <v>0</v>
      </c>
      <c r="Z1393">
        <v>0</v>
      </c>
      <c r="AA1393">
        <v>0</v>
      </c>
      <c r="AB1393">
        <v>0</v>
      </c>
      <c r="AC1393">
        <v>0</v>
      </c>
      <c r="AD1393">
        <v>0</v>
      </c>
      <c r="AE1393">
        <v>0</v>
      </c>
      <c r="AF1393">
        <v>0</v>
      </c>
      <c r="AG1393">
        <v>0</v>
      </c>
      <c r="AH1393">
        <v>0</v>
      </c>
      <c r="AI1393">
        <v>0</v>
      </c>
      <c r="AJ1393">
        <v>0</v>
      </c>
      <c r="AK1393">
        <v>0</v>
      </c>
      <c r="AL1393">
        <v>0</v>
      </c>
      <c r="AM1393">
        <v>1</v>
      </c>
      <c r="AN1393">
        <v>0</v>
      </c>
      <c r="AO1393">
        <v>0</v>
      </c>
      <c r="AP1393">
        <v>0</v>
      </c>
      <c r="AQ1393">
        <v>0</v>
      </c>
      <c r="AR1393">
        <v>0</v>
      </c>
      <c r="AS1393">
        <v>0</v>
      </c>
      <c r="AT1393">
        <v>0</v>
      </c>
      <c r="AU1393">
        <v>0</v>
      </c>
      <c r="AV1393">
        <v>0</v>
      </c>
      <c r="AW1393">
        <v>0</v>
      </c>
      <c r="AX1393">
        <v>0</v>
      </c>
      <c r="AY1393">
        <v>0</v>
      </c>
      <c r="AZ1393" s="141">
        <f>COUNTIF(X1393:AY1393,"&lt;&gt;0")</f>
        <v>1</v>
      </c>
      <c r="BA1393" s="141">
        <f>COUNTIF(X1393:AN1393,"&lt;&gt;0")</f>
        <v>1</v>
      </c>
      <c r="BB1393">
        <f>COUNTIF(X1393:AE1393,"&lt;&gt;0")</f>
        <v>0</v>
      </c>
      <c r="BC1393">
        <f>COUNTIF(AF1393:AK1393,"&lt;&gt;0")</f>
        <v>0</v>
      </c>
      <c r="BD1393">
        <f>COUNTIF(AL1393:AN1393,"&lt;&gt;0")</f>
        <v>1</v>
      </c>
      <c r="BE1393">
        <f>COUNTIF(AU1393:AY1393,"&lt;&gt;0")</f>
        <v>0</v>
      </c>
      <c r="BF1393">
        <f>COUNTIF(AO1393:AT1393,"&lt;&gt;0")</f>
        <v>0</v>
      </c>
      <c r="BG1393" t="str" cm="1">
        <f t="array" ref="BG1393">IF(BA1393=1,INDEX($X$7:$AN$7,MATCH(TRUE,INDEX($X1393:$AY1393&lt;&gt;0,),0)),IF(BA1393=0,INDEX($AO$7:$AY$7,MATCH(1,$AO1393:$AY1393,0)),IF(BH1393="Multiple strategies","mixed drivers",IF(BH1393="Supply chain","multiple supply","multiple silviculture"))))</f>
        <v>technologies/design switch</v>
      </c>
      <c r="BH1393" s="2" t="str" cm="1">
        <f t="array" ref="BH1393">IF(COUNTIF(BB1393:BD1393,"&lt;&gt;0")=1,INDEX($X$4:$AY$4,MATCH(TRUE,INDEX($X1393:$AY1393&lt;&gt;0,),0)),IF(COUNTIF(BB1393:BD1393,"&lt;&gt;0")=0,INDEX($AO$4:$AY$4,MATCH(1,$AO1393:$AY1393,0)),"Multiple strategies"))</f>
        <v>Technology</v>
      </c>
      <c r="BI1393" s="1" t="s">
        <v>229</v>
      </c>
      <c r="BJ1393" t="s">
        <v>1471</v>
      </c>
      <c r="BK1393" t="s">
        <v>2920</v>
      </c>
      <c r="BL1393" t="s">
        <v>261</v>
      </c>
      <c r="BM1393">
        <v>26</v>
      </c>
      <c r="BN1393">
        <v>82.35</v>
      </c>
      <c r="BO1393">
        <f>BN1393/BM1393</f>
        <v>3.1673076923076922</v>
      </c>
      <c r="BP1393">
        <f>BN1393-BM1393</f>
        <v>56.349999999999994</v>
      </c>
      <c r="BQ1393">
        <f>BP1393*kg_to_m3</f>
        <v>0.115</v>
      </c>
      <c r="BR1393" t="s">
        <v>232</v>
      </c>
      <c r="BS1393" t="s">
        <v>2920</v>
      </c>
      <c r="BT1393" t="s">
        <v>1476</v>
      </c>
      <c r="BW1393" s="144" t="str">
        <f>IFERROR(BV1393/BU1393,"")</f>
        <v/>
      </c>
      <c r="BX1393">
        <v>0.314</v>
      </c>
      <c r="BZ1393">
        <f>BX1393</f>
        <v>0.314</v>
      </c>
      <c r="CA1393">
        <f>IFERROR(BZ1393/BQ1393,"")</f>
        <v>2.7304347826086954</v>
      </c>
      <c r="CB1393">
        <v>0</v>
      </c>
      <c r="CC1393">
        <v>0</v>
      </c>
      <c r="CD1393">
        <v>0</v>
      </c>
      <c r="CE1393">
        <v>0</v>
      </c>
      <c r="CF1393">
        <v>0</v>
      </c>
      <c r="CG1393">
        <v>0</v>
      </c>
      <c r="CH1393">
        <v>0</v>
      </c>
      <c r="CI1393">
        <v>0</v>
      </c>
      <c r="CJ1393">
        <v>0</v>
      </c>
      <c r="CK1393">
        <v>0</v>
      </c>
      <c r="CL1393">
        <v>0</v>
      </c>
      <c r="CM1393">
        <v>0</v>
      </c>
      <c r="CN1393">
        <v>0</v>
      </c>
      <c r="CO1393">
        <v>0</v>
      </c>
      <c r="CP1393" t="str">
        <f>IF(BN1393&lt;BM1393,"refNeedCorrection","refOK")</f>
        <v>refOK</v>
      </c>
      <c r="CQ1393">
        <f>IF($CP1393="refOK",$BM1393,$BN1393)</f>
        <v>26</v>
      </c>
      <c r="CR1393">
        <f>IF($CP1393="refOK",$BN1393,$BM1393)</f>
        <v>82.35</v>
      </c>
      <c r="CS1393">
        <f>IF($CP1393="refOK",$BQ1393,-$BQ1393)</f>
        <v>0.115</v>
      </c>
      <c r="CT1393">
        <f>IF(BI1393="Roundwood",$CS1393/2,$CS1393)</f>
        <v>0.115</v>
      </c>
      <c r="CU1393">
        <f>IF($CP1393="refOK",$BU1393,$BV1393)*IF($BR1393="Emissions positive",-1,1)</f>
        <v>0</v>
      </c>
      <c r="CV1393">
        <f>IF($CP1393="refOK",$BV1393,$BU1393)*IF($BR1393="Emissions positive",-1,1)</f>
        <v>0</v>
      </c>
      <c r="CW1393">
        <f>IF($CP1393="refNeedCorrection",-BZ1393,BZ1393)*IF($BR1393="Emissions positive",-1,1)</f>
        <v>0.314</v>
      </c>
      <c r="CX1393">
        <f>IFERROR($CW1393/$CS1393,"")</f>
        <v>2.7304347826086954</v>
      </c>
      <c r="CY1393">
        <f>IFERROR($CW1393/$CS1393,"")</f>
        <v>2.7304347826086954</v>
      </c>
      <c r="CZ1393">
        <f>IFERROR($CW1393/$CT1393,"")</f>
        <v>2.7304347826086954</v>
      </c>
      <c r="DA1393" s="2" t="str">
        <f>IFERROR((CV1393-CU1393)/ABS(CU1393),"")</f>
        <v/>
      </c>
      <c r="DB1393" s="1" t="s">
        <v>1078</v>
      </c>
      <c r="DC1393" s="317" t="str">
        <f>IF(OR($DB1393="prd",$DB1393="std",$DB1393="cit"),"loc",IF(OR($DB1393="eur",$DB1393="reg",$DB1393="coy"),"reg",$DB1393))</f>
        <v>reg</v>
      </c>
      <c r="DD1393" t="s">
        <v>677</v>
      </c>
      <c r="DE1393">
        <v>2019</v>
      </c>
      <c r="DG1393">
        <v>0</v>
      </c>
      <c r="DH1393" t="str">
        <f>IF(DG1393=0,"0",IF(AND(DG1393&gt;=1,DG1393&lt;=30),"1-30",IF(AND(DG1393&gt;30,DG1393&lt;=70),"31-70",IF(AND(DG1393&gt;70,DG1393&lt;=100),"71-100",IF(DG1393&gt;100,"+100")))))</f>
        <v>0</v>
      </c>
      <c r="DI1393">
        <v>0</v>
      </c>
      <c r="DJ1393">
        <v>0</v>
      </c>
      <c r="DK1393">
        <v>0</v>
      </c>
      <c r="DL1393">
        <v>1</v>
      </c>
      <c r="DN1393">
        <f>SUM(DI1393:DL1393)</f>
        <v>1</v>
      </c>
      <c r="DO1393" t="str">
        <f>IF(DN1393=1,INDEX($DI$7:$DL$7,MATCH(1,$DI1393:$DL1393,0)),"mixedProduct")</f>
        <v>TimberInput</v>
      </c>
      <c r="DP1393">
        <f>IF(DI1393=1,DP$7,0)</f>
        <v>0</v>
      </c>
      <c r="DQ1393">
        <f>IF(DJ1393=1,DQ$7,0)</f>
        <v>0</v>
      </c>
      <c r="DR1393">
        <f>IF(DK1393=1,DR$7,0)</f>
        <v>0</v>
      </c>
      <c r="DS1393" t="str">
        <f>IF(DL1393=1,DS$7,0)</f>
        <v>Timber</v>
      </c>
      <c r="DT1393">
        <v>1</v>
      </c>
      <c r="DU1393">
        <v>0</v>
      </c>
      <c r="DV1393">
        <v>0</v>
      </c>
      <c r="DW1393">
        <v>0</v>
      </c>
      <c r="DX1393">
        <v>0</v>
      </c>
      <c r="DY1393">
        <f>SUM(DT1393:DU1393)</f>
        <v>1</v>
      </c>
      <c r="DZ1393" s="143" t="str">
        <f>IF(DT1393=1,"self-calculated DF",IF(DU1393=1,"external DF used","explicit C balance"))</f>
        <v>self-calculated DF</v>
      </c>
      <c r="EA1393">
        <v>0</v>
      </c>
      <c r="EB1393">
        <v>0</v>
      </c>
      <c r="EC1393">
        <v>0</v>
      </c>
      <c r="ED1393">
        <v>0</v>
      </c>
      <c r="EE1393">
        <v>0</v>
      </c>
      <c r="EF1393" s="143">
        <v>1</v>
      </c>
      <c r="EG1393">
        <v>0</v>
      </c>
      <c r="EH1393">
        <v>1</v>
      </c>
      <c r="EI1393">
        <v>0</v>
      </c>
      <c r="EJ1393">
        <v>0</v>
      </c>
      <c r="EK1393">
        <v>0</v>
      </c>
      <c r="EL1393">
        <v>0</v>
      </c>
      <c r="EM1393">
        <v>0</v>
      </c>
      <c r="EN1393" s="2">
        <v>0</v>
      </c>
      <c r="EP1393" t="str">
        <f>IF(AND(AND(AND(OR($EC1393=1,$EB1393=1),OR($EH1393=1,$EF1393=1)),SUM($EA1393:$EE1393,$EK1393)&gt;=3),SUM($EF1393:$EJ1393)&gt;=2),"Whole sector approach","")</f>
        <v/>
      </c>
      <c r="EQ1393" t="str">
        <f>IF(AND(AND(OR($EC1393=1,$EB1393=1),AND($EH1393=0,$EF1393=0)),SUM($EA1393:$EE1393,$EK1393)&gt;=3),"Ecosystem approach","")</f>
        <v/>
      </c>
      <c r="ER1393" s="2" t="str">
        <f>IF(AND(AND(AND($EC1393=0,$EB1393=0),OR($EH1393=1,$EF1393=1)),SUM($EG1393:$EJ1393)&gt;=2),"Technology approach","")</f>
        <v/>
      </c>
      <c r="ES1393" t="str">
        <f>IF(AND($EC1393+$EB1393+$EE1393+$EA1393+$ED1393+$EG1393=0,$N1393="included"),"C neutral forest and HWP assumption","")</f>
        <v>C neutral forest and HWP assumption</v>
      </c>
      <c r="ET1393" t="str">
        <f>IF(AND(AND(AND(AND($EC1393=1,$EB1393+$EA1393+$EG1393&gt;=1),$EF1393=1),$EH1393+$EI1393+$ED1393+$EE1393&gt;=2),$N1393="included"),"All C pools assumption","")</f>
        <v/>
      </c>
      <c r="EU1393" t="str">
        <f>IF(AND($ED1393+$EE1393+$EI1393+$EH1393+$EF1393=0,$N1393="included"),"In-situ only assumption","")</f>
        <v/>
      </c>
      <c r="EW1393" t="s">
        <v>1474</v>
      </c>
      <c r="EY1393" t="str">
        <f>IF(ISNUMBER(BW1393),IF(ABS(BW1393-[4]QC_indicators!$B$2)&gt;3*[4]QC_indicators!$C$2,"C ratio",IF(ISNUMBER(CA1393),IF(ABS(CA1393-[4]QC_indicators!$B$1)&gt;3*[4]QC_indicators!$C$1,"DF","no"))),IF(ISNUMBER(CA1393),IF(ABS(CA1393-[4]QC_indicators!$B$1)&gt;3*[4]QC_indicators!$C$1,"DF","no")))</f>
        <v>no</v>
      </c>
      <c r="FA1393" t="str">
        <f>IF(LEN($CY1393)=0,"",IF(AND($CY1393&lt;(-0.05),$ES1393="C neutral forest and HWP assumption"),"Cneutral paradox",IF(AND($CY1393&gt;0.05,$EU1393="In-situ only assumption"),"In-situ only paradox","")))</f>
        <v/>
      </c>
      <c r="FB1393" t="s">
        <v>1475</v>
      </c>
    </row>
    <row r="1394" spans="1:160" ht="15" hidden="1" customHeight="1">
      <c r="A1394" s="1" t="s">
        <v>549</v>
      </c>
      <c r="B1394" t="s">
        <v>531</v>
      </c>
      <c r="C1394" t="s">
        <v>1465</v>
      </c>
      <c r="D1394" t="s">
        <v>1466</v>
      </c>
      <c r="E1394" t="s">
        <v>1467</v>
      </c>
      <c r="F1394" t="s">
        <v>1468</v>
      </c>
      <c r="G1394" t="s">
        <v>554</v>
      </c>
      <c r="H1394" t="s">
        <v>254</v>
      </c>
      <c r="I1394">
        <v>2019</v>
      </c>
      <c r="J1394">
        <v>15</v>
      </c>
      <c r="K1394" t="s">
        <v>1469</v>
      </c>
      <c r="M1394" t="str">
        <f>LEFT($D1394,FIND(",",$D1394)-1)&amp;"_"&amp;I1394&amp;L1394</f>
        <v>Geng_2019</v>
      </c>
      <c r="N1394" t="s">
        <v>222</v>
      </c>
      <c r="O1394" s="180" t="s">
        <v>225</v>
      </c>
      <c r="Q1394" s="317" t="s">
        <v>256</v>
      </c>
      <c r="R1394" s="318" t="s">
        <v>1029</v>
      </c>
      <c r="S1394" s="1" t="s">
        <v>1470</v>
      </c>
      <c r="T1394" t="s">
        <v>4959</v>
      </c>
      <c r="U1394" t="s">
        <v>4960</v>
      </c>
      <c r="V1394" s="253">
        <v>0</v>
      </c>
      <c r="W1394" s="253">
        <v>0</v>
      </c>
      <c r="X1394">
        <v>0</v>
      </c>
      <c r="Y1394">
        <v>0</v>
      </c>
      <c r="Z1394">
        <v>0</v>
      </c>
      <c r="AA1394">
        <v>0</v>
      </c>
      <c r="AB1394">
        <v>0</v>
      </c>
      <c r="AC1394">
        <v>0</v>
      </c>
      <c r="AD1394">
        <v>0</v>
      </c>
      <c r="AE1394">
        <v>0</v>
      </c>
      <c r="AF1394">
        <v>0</v>
      </c>
      <c r="AG1394">
        <v>0</v>
      </c>
      <c r="AH1394">
        <v>0</v>
      </c>
      <c r="AI1394">
        <v>0</v>
      </c>
      <c r="AJ1394">
        <v>0</v>
      </c>
      <c r="AK1394">
        <v>0</v>
      </c>
      <c r="AL1394">
        <v>0</v>
      </c>
      <c r="AM1394">
        <v>1</v>
      </c>
      <c r="AN1394">
        <v>0</v>
      </c>
      <c r="AO1394">
        <v>0</v>
      </c>
      <c r="AP1394">
        <v>0</v>
      </c>
      <c r="AQ1394">
        <v>0</v>
      </c>
      <c r="AR1394">
        <v>0</v>
      </c>
      <c r="AS1394">
        <v>0</v>
      </c>
      <c r="AT1394">
        <v>0</v>
      </c>
      <c r="AU1394">
        <v>0</v>
      </c>
      <c r="AV1394">
        <v>0</v>
      </c>
      <c r="AW1394">
        <v>0</v>
      </c>
      <c r="AX1394">
        <v>0</v>
      </c>
      <c r="AY1394">
        <v>0</v>
      </c>
      <c r="AZ1394" s="141">
        <f>COUNTIF(X1394:AY1394,"&lt;&gt;0")</f>
        <v>1</v>
      </c>
      <c r="BA1394" s="141">
        <f>COUNTIF(X1394:AN1394,"&lt;&gt;0")</f>
        <v>1</v>
      </c>
      <c r="BB1394">
        <f>COUNTIF(X1394:AE1394,"&lt;&gt;0")</f>
        <v>0</v>
      </c>
      <c r="BC1394">
        <f>COUNTIF(AF1394:AK1394,"&lt;&gt;0")</f>
        <v>0</v>
      </c>
      <c r="BD1394">
        <f>COUNTIF(AL1394:AN1394,"&lt;&gt;0")</f>
        <v>1</v>
      </c>
      <c r="BE1394">
        <f>COUNTIF(AU1394:AY1394,"&lt;&gt;0")</f>
        <v>0</v>
      </c>
      <c r="BF1394">
        <f>COUNTIF(AO1394:AT1394,"&lt;&gt;0")</f>
        <v>0</v>
      </c>
      <c r="BG1394" t="str" cm="1">
        <f t="array" ref="BG1394">IF(BA1394=1,INDEX($X$7:$AN$7,MATCH(TRUE,INDEX($X1394:$AY1394&lt;&gt;0,),0)),IF(BA1394=0,INDEX($AO$7:$AY$7,MATCH(1,$AO1394:$AY1394,0)),IF(BH1394="Multiple strategies","mixed drivers",IF(BH1394="Supply chain","multiple supply","multiple silviculture"))))</f>
        <v>technologies/design switch</v>
      </c>
      <c r="BH1394" s="2" t="str" cm="1">
        <f t="array" ref="BH1394">IF(COUNTIF(BB1394:BD1394,"&lt;&gt;0")=1,INDEX($X$4:$AY$4,MATCH(TRUE,INDEX($X1394:$AY1394&lt;&gt;0,),0)),IF(COUNTIF(BB1394:BD1394,"&lt;&gt;0")=0,INDEX($AO$4:$AY$4,MATCH(1,$AO1394:$AY1394,0)),"Multiple strategies"))</f>
        <v>Technology</v>
      </c>
      <c r="BI1394" s="1" t="s">
        <v>229</v>
      </c>
      <c r="BJ1394" t="s">
        <v>1471</v>
      </c>
      <c r="BK1394" t="s">
        <v>2920</v>
      </c>
      <c r="BL1394" t="s">
        <v>261</v>
      </c>
      <c r="BM1394">
        <v>26</v>
      </c>
      <c r="BN1394">
        <v>71.62</v>
      </c>
      <c r="BO1394">
        <f>BN1394/BM1394</f>
        <v>2.7546153846153847</v>
      </c>
      <c r="BP1394">
        <f>BN1394-BM1394</f>
        <v>45.620000000000005</v>
      </c>
      <c r="BQ1394">
        <f>BP1394*kg_to_m3</f>
        <v>9.3102040816326545E-2</v>
      </c>
      <c r="BR1394" t="s">
        <v>232</v>
      </c>
      <c r="BS1394" t="s">
        <v>2920</v>
      </c>
      <c r="BT1394" t="s">
        <v>1476</v>
      </c>
      <c r="BW1394" s="144" t="str">
        <f>IFERROR(BV1394/BU1394,"")</f>
        <v/>
      </c>
      <c r="BX1394">
        <v>0.29899999999999999</v>
      </c>
      <c r="BZ1394">
        <f>BX1394</f>
        <v>0.29899999999999999</v>
      </c>
      <c r="CA1394">
        <f>IFERROR(BZ1394/BQ1394,"")</f>
        <v>3.2115300306882939</v>
      </c>
      <c r="CB1394">
        <v>0</v>
      </c>
      <c r="CC1394">
        <v>0</v>
      </c>
      <c r="CD1394">
        <v>0</v>
      </c>
      <c r="CE1394">
        <v>0</v>
      </c>
      <c r="CF1394">
        <v>0</v>
      </c>
      <c r="CG1394">
        <v>0</v>
      </c>
      <c r="CH1394">
        <v>0</v>
      </c>
      <c r="CI1394">
        <v>0</v>
      </c>
      <c r="CJ1394">
        <v>0</v>
      </c>
      <c r="CK1394">
        <v>0</v>
      </c>
      <c r="CL1394">
        <v>0</v>
      </c>
      <c r="CM1394">
        <v>0</v>
      </c>
      <c r="CN1394">
        <v>0</v>
      </c>
      <c r="CO1394">
        <v>0</v>
      </c>
      <c r="CP1394" t="str">
        <f>IF(BN1394&lt;BM1394,"refNeedCorrection","refOK")</f>
        <v>refOK</v>
      </c>
      <c r="CQ1394">
        <f>IF($CP1394="refOK",$BM1394,$BN1394)</f>
        <v>26</v>
      </c>
      <c r="CR1394">
        <f>IF($CP1394="refOK",$BN1394,$BM1394)</f>
        <v>71.62</v>
      </c>
      <c r="CS1394">
        <f>IF($CP1394="refOK",$BQ1394,-$BQ1394)</f>
        <v>9.3102040816326545E-2</v>
      </c>
      <c r="CT1394">
        <f>IF(BI1394="Roundwood",$CS1394/2,$CS1394)</f>
        <v>9.3102040816326545E-2</v>
      </c>
      <c r="CU1394">
        <f>IF($CP1394="refOK",$BU1394,$BV1394)*IF($BR1394="Emissions positive",-1,1)</f>
        <v>0</v>
      </c>
      <c r="CV1394">
        <f>IF($CP1394="refOK",$BV1394,$BU1394)*IF($BR1394="Emissions positive",-1,1)</f>
        <v>0</v>
      </c>
      <c r="CW1394">
        <f>IF($CP1394="refNeedCorrection",-BZ1394,BZ1394)*IF($BR1394="Emissions positive",-1,1)</f>
        <v>0.29899999999999999</v>
      </c>
      <c r="CX1394">
        <f>IFERROR($CW1394/$CS1394,"")</f>
        <v>3.2115300306882939</v>
      </c>
      <c r="CY1394">
        <f>IFERROR($CW1394/$CS1394,"")</f>
        <v>3.2115300306882939</v>
      </c>
      <c r="CZ1394">
        <f>IFERROR($CW1394/$CT1394,"")</f>
        <v>3.2115300306882939</v>
      </c>
      <c r="DA1394" s="2" t="str">
        <f>IFERROR((CV1394-CU1394)/ABS(CU1394),"")</f>
        <v/>
      </c>
      <c r="DB1394" s="1" t="s">
        <v>1078</v>
      </c>
      <c r="DC1394" s="317" t="str">
        <f>IF(OR($DB1394="prd",$DB1394="std",$DB1394="cit"),"loc",IF(OR($DB1394="eur",$DB1394="reg",$DB1394="coy"),"reg",$DB1394))</f>
        <v>reg</v>
      </c>
      <c r="DD1394" t="s">
        <v>677</v>
      </c>
      <c r="DE1394">
        <v>2019</v>
      </c>
      <c r="DG1394">
        <v>0</v>
      </c>
      <c r="DH1394" t="str">
        <f>IF(DG1394=0,"0",IF(AND(DG1394&gt;=1,DG1394&lt;=30),"1-30",IF(AND(DG1394&gt;30,DG1394&lt;=70),"31-70",IF(AND(DG1394&gt;70,DG1394&lt;=100),"71-100",IF(DG1394&gt;100,"+100")))))</f>
        <v>0</v>
      </c>
      <c r="DI1394">
        <v>0</v>
      </c>
      <c r="DJ1394">
        <v>0</v>
      </c>
      <c r="DK1394">
        <v>0</v>
      </c>
      <c r="DL1394">
        <v>1</v>
      </c>
      <c r="DN1394">
        <f>SUM(DI1394:DL1394)</f>
        <v>1</v>
      </c>
      <c r="DO1394" t="str">
        <f>IF(DN1394=1,INDEX($DI$7:$DL$7,MATCH(1,$DI1394:$DL1394,0)),"mixedProduct")</f>
        <v>TimberInput</v>
      </c>
      <c r="DP1394">
        <f>IF(DI1394=1,DP$7,0)</f>
        <v>0</v>
      </c>
      <c r="DQ1394">
        <f>IF(DJ1394=1,DQ$7,0)</f>
        <v>0</v>
      </c>
      <c r="DR1394">
        <f>IF(DK1394=1,DR$7,0)</f>
        <v>0</v>
      </c>
      <c r="DS1394" t="str">
        <f>IF(DL1394=1,DS$7,0)</f>
        <v>Timber</v>
      </c>
      <c r="DT1394">
        <v>1</v>
      </c>
      <c r="DU1394">
        <v>0</v>
      </c>
      <c r="DV1394">
        <v>0</v>
      </c>
      <c r="DW1394">
        <v>0</v>
      </c>
      <c r="DX1394">
        <v>0</v>
      </c>
      <c r="DY1394">
        <f>SUM(DT1394:DU1394)</f>
        <v>1</v>
      </c>
      <c r="DZ1394" s="143" t="str">
        <f>IF(DT1394=1,"self-calculated DF",IF(DU1394=1,"external DF used","explicit C balance"))</f>
        <v>self-calculated DF</v>
      </c>
      <c r="EA1394">
        <v>0</v>
      </c>
      <c r="EB1394">
        <v>0</v>
      </c>
      <c r="EC1394">
        <v>0</v>
      </c>
      <c r="ED1394">
        <v>0</v>
      </c>
      <c r="EE1394">
        <v>0</v>
      </c>
      <c r="EF1394" s="143">
        <v>1</v>
      </c>
      <c r="EG1394">
        <v>0</v>
      </c>
      <c r="EH1394">
        <v>1</v>
      </c>
      <c r="EI1394">
        <v>0</v>
      </c>
      <c r="EJ1394">
        <v>0</v>
      </c>
      <c r="EK1394">
        <v>0</v>
      </c>
      <c r="EL1394">
        <v>0</v>
      </c>
      <c r="EM1394">
        <v>0</v>
      </c>
      <c r="EN1394" s="2">
        <v>0</v>
      </c>
      <c r="EP1394" t="str">
        <f>IF(AND(AND(AND(OR($EC1394=1,$EB1394=1),OR($EH1394=1,$EF1394=1)),SUM($EA1394:$EE1394,$EK1394)&gt;=3),SUM($EF1394:$EJ1394)&gt;=2),"Whole sector approach","")</f>
        <v/>
      </c>
      <c r="EQ1394" t="str">
        <f>IF(AND(AND(OR($EC1394=1,$EB1394=1),AND($EH1394=0,$EF1394=0)),SUM($EA1394:$EE1394,$EK1394)&gt;=3),"Ecosystem approach","")</f>
        <v/>
      </c>
      <c r="ER1394" s="2" t="str">
        <f>IF(AND(AND(AND($EC1394=0,$EB1394=0),OR($EH1394=1,$EF1394=1)),SUM($EG1394:$EJ1394)&gt;=2),"Technology approach","")</f>
        <v/>
      </c>
      <c r="ES1394" t="str">
        <f>IF(AND($EC1394+$EB1394+$EE1394+$EA1394+$ED1394+$EG1394=0,$N1394="included"),"C neutral forest and HWP assumption","")</f>
        <v>C neutral forest and HWP assumption</v>
      </c>
      <c r="ET1394" t="str">
        <f>IF(AND(AND(AND(AND($EC1394=1,$EB1394+$EA1394+$EG1394&gt;=1),$EF1394=1),$EH1394+$EI1394+$ED1394+$EE1394&gt;=2),$N1394="included"),"All C pools assumption","")</f>
        <v/>
      </c>
      <c r="EU1394" t="str">
        <f>IF(AND($ED1394+$EE1394+$EI1394+$EH1394+$EF1394=0,$N1394="included"),"In-situ only assumption","")</f>
        <v/>
      </c>
      <c r="EW1394" t="s">
        <v>1474</v>
      </c>
      <c r="EY1394" t="str">
        <f>IF(ISNUMBER(BW1394),IF(ABS(BW1394-[4]QC_indicators!$B$2)&gt;3*[4]QC_indicators!$C$2,"C ratio",IF(ISNUMBER(CA1394),IF(ABS(CA1394-[4]QC_indicators!$B$1)&gt;3*[4]QC_indicators!$C$1,"DF","no"))),IF(ISNUMBER(CA1394),IF(ABS(CA1394-[4]QC_indicators!$B$1)&gt;3*[4]QC_indicators!$C$1,"DF","no")))</f>
        <v>no</v>
      </c>
      <c r="FA1394" t="str">
        <f>IF(LEN($CY1394)=0,"",IF(AND($CY1394&lt;(-0.05),$ES1394="C neutral forest and HWP assumption"),"Cneutral paradox",IF(AND($CY1394&gt;0.05,$EU1394="In-situ only assumption"),"In-situ only paradox","")))</f>
        <v/>
      </c>
      <c r="FB1394" t="s">
        <v>1475</v>
      </c>
    </row>
    <row r="1395" spans="1:160" ht="102" hidden="1">
      <c r="A1395" s="1" t="s">
        <v>549</v>
      </c>
      <c r="B1395" t="s">
        <v>531</v>
      </c>
      <c r="C1395" t="s">
        <v>1465</v>
      </c>
      <c r="D1395" t="s">
        <v>1466</v>
      </c>
      <c r="E1395" t="s">
        <v>1467</v>
      </c>
      <c r="F1395" t="s">
        <v>1468</v>
      </c>
      <c r="G1395" t="s">
        <v>554</v>
      </c>
      <c r="H1395" t="s">
        <v>254</v>
      </c>
      <c r="I1395">
        <v>2019</v>
      </c>
      <c r="J1395">
        <v>15</v>
      </c>
      <c r="K1395" t="s">
        <v>1469</v>
      </c>
      <c r="M1395" t="str">
        <f>LEFT($D1395,FIND(",",$D1395)-1)&amp;"_"&amp;I1395&amp;L1395</f>
        <v>Geng_2019</v>
      </c>
      <c r="N1395" t="s">
        <v>222</v>
      </c>
      <c r="O1395" s="180" t="s">
        <v>225</v>
      </c>
      <c r="Q1395" s="317" t="s">
        <v>256</v>
      </c>
      <c r="R1395" s="318" t="s">
        <v>1029</v>
      </c>
      <c r="S1395" s="1" t="s">
        <v>1470</v>
      </c>
      <c r="T1395" t="s">
        <v>4961</v>
      </c>
      <c r="U1395" t="s">
        <v>4962</v>
      </c>
      <c r="V1395" s="253">
        <v>0</v>
      </c>
      <c r="W1395" s="253">
        <v>0</v>
      </c>
      <c r="X1395">
        <v>0</v>
      </c>
      <c r="Y1395">
        <v>0</v>
      </c>
      <c r="Z1395">
        <v>0</v>
      </c>
      <c r="AA1395">
        <v>0</v>
      </c>
      <c r="AB1395">
        <v>0</v>
      </c>
      <c r="AC1395">
        <v>0</v>
      </c>
      <c r="AD1395">
        <v>0</v>
      </c>
      <c r="AE1395">
        <v>0</v>
      </c>
      <c r="AF1395">
        <v>0</v>
      </c>
      <c r="AG1395">
        <v>0</v>
      </c>
      <c r="AH1395">
        <v>0</v>
      </c>
      <c r="AI1395">
        <v>0</v>
      </c>
      <c r="AJ1395">
        <v>0</v>
      </c>
      <c r="AK1395">
        <v>0</v>
      </c>
      <c r="AL1395">
        <v>0</v>
      </c>
      <c r="AM1395">
        <v>1</v>
      </c>
      <c r="AN1395">
        <v>0</v>
      </c>
      <c r="AO1395">
        <v>0</v>
      </c>
      <c r="AP1395">
        <v>0</v>
      </c>
      <c r="AQ1395">
        <v>0</v>
      </c>
      <c r="AR1395">
        <v>0</v>
      </c>
      <c r="AS1395">
        <v>0</v>
      </c>
      <c r="AT1395">
        <v>0</v>
      </c>
      <c r="AU1395">
        <v>0</v>
      </c>
      <c r="AV1395">
        <v>0</v>
      </c>
      <c r="AW1395">
        <v>0</v>
      </c>
      <c r="AX1395">
        <v>0</v>
      </c>
      <c r="AY1395">
        <v>0</v>
      </c>
      <c r="AZ1395" s="141">
        <f>COUNTIF(X1395:AY1395,"&lt;&gt;0")</f>
        <v>1</v>
      </c>
      <c r="BA1395" s="141">
        <f>COUNTIF(X1395:AN1395,"&lt;&gt;0")</f>
        <v>1</v>
      </c>
      <c r="BB1395">
        <f>COUNTIF(X1395:AE1395,"&lt;&gt;0")</f>
        <v>0</v>
      </c>
      <c r="BC1395">
        <f>COUNTIF(AF1395:AK1395,"&lt;&gt;0")</f>
        <v>0</v>
      </c>
      <c r="BD1395">
        <f>COUNTIF(AL1395:AN1395,"&lt;&gt;0")</f>
        <v>1</v>
      </c>
      <c r="BE1395">
        <f>COUNTIF(AU1395:AY1395,"&lt;&gt;0")</f>
        <v>0</v>
      </c>
      <c r="BF1395">
        <f>COUNTIF(AO1395:AT1395,"&lt;&gt;0")</f>
        <v>0</v>
      </c>
      <c r="BG1395" t="str" cm="1">
        <f t="array" ref="BG1395">IF(BA1395=1,INDEX($X$7:$AN$7,MATCH(TRUE,INDEX($X1395:$AY1395&lt;&gt;0,),0)),IF(BA1395=0,INDEX($AO$7:$AY$7,MATCH(1,$AO1395:$AY1395,0)),IF(BH1395="Multiple strategies","mixed drivers",IF(BH1395="Supply chain","multiple supply","multiple silviculture"))))</f>
        <v>technologies/design switch</v>
      </c>
      <c r="BH1395" s="2" t="str" cm="1">
        <f t="array" ref="BH1395">IF(COUNTIF(BB1395:BD1395,"&lt;&gt;0")=1,INDEX($X$4:$AY$4,MATCH(TRUE,INDEX($X1395:$AY1395&lt;&gt;0,),0)),IF(COUNTIF(BB1395:BD1395,"&lt;&gt;0")=0,INDEX($AO$4:$AY$4,MATCH(1,$AO1395:$AY1395,0)),"Multiple strategies"))</f>
        <v>Technology</v>
      </c>
      <c r="BI1395" s="1" t="s">
        <v>229</v>
      </c>
      <c r="BJ1395" t="s">
        <v>1471</v>
      </c>
      <c r="BK1395" t="s">
        <v>2920</v>
      </c>
      <c r="BL1395" t="s">
        <v>1472</v>
      </c>
      <c r="BM1395">
        <v>16.46</v>
      </c>
      <c r="BN1395">
        <v>74.150000000000006</v>
      </c>
      <c r="BO1395">
        <f>BN1395/BM1395</f>
        <v>4.5048602673147027</v>
      </c>
      <c r="BP1395">
        <f>BN1395-BM1395</f>
        <v>57.690000000000005</v>
      </c>
      <c r="BQ1395">
        <f>BP1395*kg_to_m3</f>
        <v>0.11773469387755105</v>
      </c>
      <c r="BR1395" t="s">
        <v>232</v>
      </c>
      <c r="BS1395" t="s">
        <v>2920</v>
      </c>
      <c r="BT1395" t="s">
        <v>1473</v>
      </c>
      <c r="BW1395" s="144" t="str">
        <f>IFERROR(BV1395/BU1395,"")</f>
        <v/>
      </c>
      <c r="BX1395">
        <v>655.01</v>
      </c>
      <c r="BZ1395">
        <f>BX1395/1000</f>
        <v>0.65500999999999998</v>
      </c>
      <c r="CA1395">
        <f>IFERROR(BZ1395/BQ1395,"")</f>
        <v>5.5634408042988373</v>
      </c>
      <c r="CB1395">
        <v>0</v>
      </c>
      <c r="CC1395">
        <v>0</v>
      </c>
      <c r="CD1395">
        <v>0</v>
      </c>
      <c r="CE1395">
        <v>0</v>
      </c>
      <c r="CF1395">
        <v>0</v>
      </c>
      <c r="CG1395">
        <v>0</v>
      </c>
      <c r="CH1395">
        <v>0</v>
      </c>
      <c r="CI1395">
        <v>0</v>
      </c>
      <c r="CJ1395">
        <v>0</v>
      </c>
      <c r="CK1395">
        <v>0</v>
      </c>
      <c r="CL1395">
        <v>0</v>
      </c>
      <c r="CM1395">
        <v>0</v>
      </c>
      <c r="CN1395">
        <v>0</v>
      </c>
      <c r="CO1395">
        <v>0</v>
      </c>
      <c r="CP1395" t="str">
        <f>IF(BN1395&lt;BM1395,"refNeedCorrection","refOK")</f>
        <v>refOK</v>
      </c>
      <c r="CQ1395">
        <f>IF($CP1395="refOK",$BM1395,$BN1395)</f>
        <v>16.46</v>
      </c>
      <c r="CR1395">
        <f>IF($CP1395="refOK",$BN1395,$BM1395)</f>
        <v>74.150000000000006</v>
      </c>
      <c r="CS1395">
        <f>IF($CP1395="refOK",$BQ1395,-$BQ1395)</f>
        <v>0.11773469387755105</v>
      </c>
      <c r="CT1395">
        <f>IF(BI1395="Roundwood",$CS1395/2,$CS1395)</f>
        <v>0.11773469387755105</v>
      </c>
      <c r="CU1395">
        <f>IF($CP1395="refOK",$BU1395,$BV1395)*IF($BR1395="Emissions positive",-1,1)</f>
        <v>0</v>
      </c>
      <c r="CV1395">
        <f>IF($CP1395="refOK",$BV1395,$BU1395)*IF($BR1395="Emissions positive",-1,1)</f>
        <v>0</v>
      </c>
      <c r="CW1395">
        <f>IF($CP1395="refNeedCorrection",-BZ1395,BZ1395)*IF($BR1395="Emissions positive",-1,1)</f>
        <v>0.65500999999999998</v>
      </c>
      <c r="CX1395">
        <f>IFERROR($CW1395/$CS1395,"")</f>
        <v>5.5634408042988373</v>
      </c>
      <c r="CY1395">
        <f>IFERROR($CW1395/$CS1395,"")</f>
        <v>5.5634408042988373</v>
      </c>
      <c r="CZ1395">
        <f>IFERROR($CW1395/$CT1395,"")</f>
        <v>5.5634408042988373</v>
      </c>
      <c r="DA1395" s="2" t="str">
        <f>IFERROR((CV1395-CU1395)/ABS(CU1395),"")</f>
        <v/>
      </c>
      <c r="DB1395" s="1" t="s">
        <v>1078</v>
      </c>
      <c r="DC1395" s="317" t="str">
        <f>IF(OR($DB1395="prd",$DB1395="std",$DB1395="cit"),"loc",IF(OR($DB1395="eur",$DB1395="reg",$DB1395="coy"),"reg",$DB1395))</f>
        <v>reg</v>
      </c>
      <c r="DD1395" t="s">
        <v>677</v>
      </c>
      <c r="DE1395">
        <v>2019</v>
      </c>
      <c r="DG1395">
        <v>0</v>
      </c>
      <c r="DH1395" t="str">
        <f>IF(DG1395=0,"0",IF(AND(DG1395&gt;=1,DG1395&lt;=30),"1-30",IF(AND(DG1395&gt;30,DG1395&lt;=70),"31-70",IF(AND(DG1395&gt;70,DG1395&lt;=100),"71-100",IF(DG1395&gt;100,"+100")))))</f>
        <v>0</v>
      </c>
      <c r="DI1395">
        <v>0</v>
      </c>
      <c r="DJ1395">
        <v>0</v>
      </c>
      <c r="DK1395">
        <v>0</v>
      </c>
      <c r="DL1395">
        <v>1</v>
      </c>
      <c r="DN1395">
        <f>SUM(DI1395:DL1395)</f>
        <v>1</v>
      </c>
      <c r="DO1395" t="str">
        <f>IF(DN1395=1,INDEX($DI$7:$DL$7,MATCH(1,$DI1395:$DL1395,0)),"mixedProduct")</f>
        <v>TimberInput</v>
      </c>
      <c r="DP1395">
        <f>IF(DI1395=1,DP$7,0)</f>
        <v>0</v>
      </c>
      <c r="DQ1395">
        <f>IF(DJ1395=1,DQ$7,0)</f>
        <v>0</v>
      </c>
      <c r="DR1395">
        <f>IF(DK1395=1,DR$7,0)</f>
        <v>0</v>
      </c>
      <c r="DS1395" t="str">
        <f>IF(DL1395=1,DS$7,0)</f>
        <v>Timber</v>
      </c>
      <c r="DT1395">
        <v>1</v>
      </c>
      <c r="DU1395">
        <v>0</v>
      </c>
      <c r="DV1395">
        <v>0</v>
      </c>
      <c r="DW1395">
        <v>0</v>
      </c>
      <c r="DX1395">
        <v>0</v>
      </c>
      <c r="DY1395">
        <f>SUM(DT1395:DU1395)</f>
        <v>1</v>
      </c>
      <c r="DZ1395" s="143" t="str">
        <f>IF(DT1395=1,"self-calculated DF",IF(DU1395=1,"external DF used","explicit C balance"))</f>
        <v>self-calculated DF</v>
      </c>
      <c r="EA1395">
        <v>0</v>
      </c>
      <c r="EB1395">
        <v>0</v>
      </c>
      <c r="EC1395">
        <v>0</v>
      </c>
      <c r="ED1395">
        <v>0</v>
      </c>
      <c r="EE1395">
        <v>0</v>
      </c>
      <c r="EF1395" s="143">
        <v>1</v>
      </c>
      <c r="EG1395">
        <v>0</v>
      </c>
      <c r="EH1395">
        <v>1</v>
      </c>
      <c r="EI1395">
        <v>0</v>
      </c>
      <c r="EJ1395">
        <v>0</v>
      </c>
      <c r="EK1395">
        <v>0</v>
      </c>
      <c r="EL1395">
        <v>0</v>
      </c>
      <c r="EM1395">
        <v>0</v>
      </c>
      <c r="EN1395" s="2">
        <v>0</v>
      </c>
      <c r="EP1395" t="str">
        <f>IF(AND(AND(AND(OR($EC1395=1,$EB1395=1),OR($EH1395=1,$EF1395=1)),SUM($EA1395:$EE1395,$EK1395)&gt;=3),SUM($EF1395:$EJ1395)&gt;=2),"Whole sector approach","")</f>
        <v/>
      </c>
      <c r="EQ1395" t="str">
        <f>IF(AND(AND(OR($EC1395=1,$EB1395=1),AND($EH1395=0,$EF1395=0)),SUM($EA1395:$EE1395,$EK1395)&gt;=3),"Ecosystem approach","")</f>
        <v/>
      </c>
      <c r="ER1395" s="2" t="str">
        <f>IF(AND(AND(AND($EC1395=0,$EB1395=0),OR($EH1395=1,$EF1395=1)),SUM($EG1395:$EJ1395)&gt;=2),"Technology approach","")</f>
        <v/>
      </c>
      <c r="ES1395" t="str">
        <f>IF(AND($EC1395+$EB1395+$EE1395+$EA1395+$ED1395+$EG1395=0,$N1395="included"),"C neutral forest and HWP assumption","")</f>
        <v>C neutral forest and HWP assumption</v>
      </c>
      <c r="ET1395" t="str">
        <f>IF(AND(AND(AND(AND($EC1395=1,$EB1395+$EA1395+$EG1395&gt;=1),$EF1395=1),$EH1395+$EI1395+$ED1395+$EE1395&gt;=2),$N1395="included"),"All C pools assumption","")</f>
        <v/>
      </c>
      <c r="EU1395" t="str">
        <f>IF(AND($ED1395+$EE1395+$EI1395+$EH1395+$EF1395=0,$N1395="included"),"In-situ only assumption","")</f>
        <v/>
      </c>
      <c r="EW1395" t="s">
        <v>1474</v>
      </c>
      <c r="EY1395" t="str">
        <f>IF(ISNUMBER(BW1395),IF(ABS(BW1395-[4]QC_indicators!$B$2)&gt;3*[4]QC_indicators!$C$2,"C ratio",IF(ISNUMBER(CA1395),IF(ABS(CA1395-[4]QC_indicators!$B$1)&gt;3*[4]QC_indicators!$C$1,"DF","no"))),IF(ISNUMBER(CA1395),IF(ABS(CA1395-[4]QC_indicators!$B$1)&gt;3*[4]QC_indicators!$C$1,"DF","no")))</f>
        <v>DF</v>
      </c>
      <c r="FA1395" t="str">
        <f>IF(LEN($CY1395)=0,"",IF(AND($CY1395&lt;(-0.05),$ES1395="C neutral forest and HWP assumption"),"Cneutral paradox",IF(AND($CY1395&gt;0.05,$EU1395="In-situ only assumption"),"In-situ only paradox","")))</f>
        <v/>
      </c>
      <c r="FB1395" t="s">
        <v>1475</v>
      </c>
    </row>
    <row r="1396" spans="1:160" ht="15" hidden="1" customHeight="1">
      <c r="A1396" s="1" t="s">
        <v>574</v>
      </c>
      <c r="B1396" t="s">
        <v>575</v>
      </c>
      <c r="C1396" t="s">
        <v>576</v>
      </c>
      <c r="D1396" t="s">
        <v>577</v>
      </c>
      <c r="E1396" t="s">
        <v>578</v>
      </c>
      <c r="F1396" t="s">
        <v>579</v>
      </c>
      <c r="G1396" t="s">
        <v>580</v>
      </c>
      <c r="H1396" t="s">
        <v>254</v>
      </c>
      <c r="I1396">
        <v>2021</v>
      </c>
      <c r="J1396">
        <v>17</v>
      </c>
      <c r="K1396" t="s">
        <v>581</v>
      </c>
      <c r="M1396" t="str">
        <f>LEFT($D1396,FIND(",",$D1396)-1)&amp;"_"&amp;I1396&amp;L1396</f>
        <v>D'Amico_2021</v>
      </c>
      <c r="N1396" t="s">
        <v>222</v>
      </c>
      <c r="O1396" s="145" t="s">
        <v>223</v>
      </c>
      <c r="Q1396" s="317" t="s">
        <v>256</v>
      </c>
      <c r="R1396" s="318" t="s">
        <v>1029</v>
      </c>
      <c r="S1396" s="1" t="s">
        <v>582</v>
      </c>
      <c r="T1396" t="s">
        <v>258</v>
      </c>
      <c r="U1396" t="s">
        <v>259</v>
      </c>
      <c r="V1396" s="253">
        <v>0</v>
      </c>
      <c r="W1396" s="253">
        <v>0</v>
      </c>
      <c r="X1396">
        <v>0</v>
      </c>
      <c r="Y1396">
        <v>0</v>
      </c>
      <c r="Z1396">
        <v>0</v>
      </c>
      <c r="AA1396">
        <v>0</v>
      </c>
      <c r="AB1396">
        <v>0</v>
      </c>
      <c r="AC1396">
        <v>0</v>
      </c>
      <c r="AD1396">
        <v>0</v>
      </c>
      <c r="AE1396">
        <v>0</v>
      </c>
      <c r="AF1396">
        <v>0</v>
      </c>
      <c r="AG1396">
        <v>0</v>
      </c>
      <c r="AH1396">
        <v>0</v>
      </c>
      <c r="AI1396">
        <v>0</v>
      </c>
      <c r="AJ1396">
        <v>0</v>
      </c>
      <c r="AK1396">
        <v>0</v>
      </c>
      <c r="AL1396">
        <v>0</v>
      </c>
      <c r="AM1396">
        <v>1</v>
      </c>
      <c r="AN1396">
        <v>0</v>
      </c>
      <c r="AO1396">
        <v>0</v>
      </c>
      <c r="AP1396">
        <v>0</v>
      </c>
      <c r="AQ1396">
        <v>0</v>
      </c>
      <c r="AR1396">
        <v>0</v>
      </c>
      <c r="AS1396">
        <v>0</v>
      </c>
      <c r="AT1396">
        <v>0</v>
      </c>
      <c r="AU1396">
        <v>0</v>
      </c>
      <c r="AV1396">
        <v>0</v>
      </c>
      <c r="AW1396">
        <v>0</v>
      </c>
      <c r="AX1396">
        <v>0</v>
      </c>
      <c r="AY1396">
        <v>0</v>
      </c>
      <c r="AZ1396" s="141">
        <f>COUNTIF(X1396:AY1396,"&lt;&gt;0")</f>
        <v>1</v>
      </c>
      <c r="BA1396" s="141">
        <f>COUNTIF(X1396:AN1396,"&lt;&gt;0")</f>
        <v>1</v>
      </c>
      <c r="BB1396">
        <f>COUNTIF(X1396:AE1396,"&lt;&gt;0")</f>
        <v>0</v>
      </c>
      <c r="BC1396">
        <f>COUNTIF(AF1396:AK1396,"&lt;&gt;0")</f>
        <v>0</v>
      </c>
      <c r="BD1396">
        <f>COUNTIF(AL1396:AN1396,"&lt;&gt;0")</f>
        <v>1</v>
      </c>
      <c r="BE1396">
        <f>COUNTIF(AU1396:AY1396,"&lt;&gt;0")</f>
        <v>0</v>
      </c>
      <c r="BF1396">
        <f>COUNTIF(AO1396:AT1396,"&lt;&gt;0")</f>
        <v>0</v>
      </c>
      <c r="BG1396" t="str" cm="1">
        <f t="array" ref="BG1396">IF(BA1396=1,INDEX($X$7:$AN$7,MATCH(TRUE,INDEX($X1396:$AY1396&lt;&gt;0,),0)),IF(BA1396=0,INDEX($AO$7:$AY$7,MATCH(1,$AO1396:$AY1396,0)),IF(BH1396="Multiple strategies","mixed drivers",IF(BH1396="Supply chain","multiple supply","multiple silviculture"))))</f>
        <v>technologies/design switch</v>
      </c>
      <c r="BH1396" s="2" t="str" cm="1">
        <f t="array" ref="BH1396">IF(COUNTIF(BB1396:BD1396,"&lt;&gt;0")=1,INDEX($X$4:$AY$4,MATCH(TRUE,INDEX($X1396:$AY1396&lt;&gt;0,),0)),IF(COUNTIF(BB1396:BD1396,"&lt;&gt;0")=0,INDEX($AO$4:$AY$4,MATCH(1,$AO1396:$AY1396,0)),"Multiple strategies"))</f>
        <v>Technology</v>
      </c>
      <c r="BI1396" s="1" t="s">
        <v>229</v>
      </c>
      <c r="BJ1396" t="s">
        <v>583</v>
      </c>
      <c r="BK1396" s="141" t="s">
        <v>4916</v>
      </c>
      <c r="BL1396" t="s">
        <v>584</v>
      </c>
      <c r="BM1396">
        <v>0</v>
      </c>
      <c r="BN1396">
        <v>33</v>
      </c>
      <c r="BP1396">
        <f>BN1396-BM1396</f>
        <v>33</v>
      </c>
      <c r="BQ1396">
        <f>BP1396*10^6*t_to_m3</f>
        <v>67346938.775510207</v>
      </c>
      <c r="BR1396" s="317" t="s">
        <v>232</v>
      </c>
      <c r="BS1396" s="355" t="s">
        <v>2856</v>
      </c>
      <c r="BT1396" t="s">
        <v>585</v>
      </c>
      <c r="BU1396">
        <v>-237</v>
      </c>
      <c r="BV1396">
        <v>-185.5</v>
      </c>
      <c r="BW1396" s="144">
        <v>0.78270042194092826</v>
      </c>
      <c r="BX1396">
        <v>51.5</v>
      </c>
      <c r="BZ1396">
        <f>BX1396*10^6</f>
        <v>51500000</v>
      </c>
      <c r="CA1396">
        <f>IFERROR(BZ1396/BQ1396,"")</f>
        <v>0.76469696969696965</v>
      </c>
      <c r="CB1396">
        <v>0</v>
      </c>
      <c r="CC1396">
        <v>0</v>
      </c>
      <c r="CD1396">
        <v>0</v>
      </c>
      <c r="CE1396">
        <v>0</v>
      </c>
      <c r="CF1396">
        <v>0</v>
      </c>
      <c r="CG1396">
        <v>0</v>
      </c>
      <c r="CH1396">
        <v>0</v>
      </c>
      <c r="CI1396">
        <v>0</v>
      </c>
      <c r="CJ1396">
        <v>0</v>
      </c>
      <c r="CK1396">
        <v>0</v>
      </c>
      <c r="CL1396">
        <v>0</v>
      </c>
      <c r="CM1396">
        <v>0</v>
      </c>
      <c r="CN1396">
        <v>0</v>
      </c>
      <c r="CO1396">
        <v>0</v>
      </c>
      <c r="CP1396" t="str">
        <f>IF($BN1396&lt;$BM1396,"refNeedCorrection","refOK")</f>
        <v>refOK</v>
      </c>
      <c r="CQ1396">
        <f>IF($CP1396="refOK",$BM1396,$BN1396)</f>
        <v>0</v>
      </c>
      <c r="CR1396">
        <f>IF($CP1396="refOK",$BN1396,$BM1396)</f>
        <v>33</v>
      </c>
      <c r="CS1396">
        <f>IF($CP1396="refOK",$BQ1396,-$BQ1396)</f>
        <v>67346938.775510207</v>
      </c>
      <c r="CT1396">
        <f>IF(BI1396="Roundwood",$CS1396/2,$CS1396)</f>
        <v>67346938.775510207</v>
      </c>
      <c r="CU1396">
        <f>IF($CP1396="refOK",$BU1396,$BV1396)*IF($BR1396="Emissions positive",-1,1)</f>
        <v>-237</v>
      </c>
      <c r="CV1396">
        <f>IF($CP1396="refOK",$BV1396,$BU1396)*IF($BR1396="Emissions positive",-1,1)</f>
        <v>-185.5</v>
      </c>
      <c r="CW1396">
        <f>IF($CP1396="refNeedCorrection",-BZ1396,BZ1396)*IF($BR1396="Emissions positive",-1,1)</f>
        <v>51500000</v>
      </c>
      <c r="CX1396">
        <f>IFERROR($CW1396/$CS1396,"")</f>
        <v>0.76469696969696965</v>
      </c>
      <c r="CY1396">
        <f>IFERROR($CW1396/$CS1396,"")</f>
        <v>0.76469696969696965</v>
      </c>
      <c r="CZ1396">
        <f>IFERROR($CW1396/$CT1396,"")</f>
        <v>0.76469696969696965</v>
      </c>
      <c r="DA1396" s="2">
        <f>IFERROR((CV1396-CU1396)/ABS(CU1396),"")</f>
        <v>0.21729957805907174</v>
      </c>
      <c r="DB1396" s="1" t="s">
        <v>263</v>
      </c>
      <c r="DC1396" s="317" t="str">
        <f>IF(OR($DB1396="prd",$DB1396="std",$DB1396="cit"),"loc",IF(OR($DB1396="eur",$DB1396="reg",$DB1396="coy"),"reg",$DB1396))</f>
        <v>loc</v>
      </c>
      <c r="DD1396" s="296" t="s">
        <v>3098</v>
      </c>
      <c r="DE1396">
        <v>2020</v>
      </c>
      <c r="DF1396">
        <v>2050</v>
      </c>
      <c r="DG1396">
        <f>DF1396-DE1396</f>
        <v>30</v>
      </c>
      <c r="DH1396" t="str">
        <f>IF(DG1396=0,"0",IF(AND(DG1396&gt;=1,DG1396&lt;=30),"1-30",IF(AND(DG1396&gt;30,DG1396&lt;=70),"31-70",IF(AND(DG1396&gt;70,DG1396&lt;=100),"71-100",IF(DG1396&gt;100,"+100")))))</f>
        <v>1-30</v>
      </c>
      <c r="DI1396">
        <v>0</v>
      </c>
      <c r="DJ1396">
        <v>0</v>
      </c>
      <c r="DK1396">
        <v>0</v>
      </c>
      <c r="DL1396">
        <v>1</v>
      </c>
      <c r="DN1396">
        <f>SUM(DI1396:DL1396)</f>
        <v>1</v>
      </c>
      <c r="DO1396" t="str">
        <f>IF(DN1396=1,INDEX($DI$7:$DL$7,MATCH(1,$DI1396:$DL1396,0)),"mixedProduct")</f>
        <v>TimberInput</v>
      </c>
      <c r="DP1396">
        <f>IF(DI1396=1,DP$7,0)</f>
        <v>0</v>
      </c>
      <c r="DQ1396">
        <f>IF(DJ1396=1,DQ$7,0)</f>
        <v>0</v>
      </c>
      <c r="DR1396">
        <f>IF(DK1396=1,DR$7,0)</f>
        <v>0</v>
      </c>
      <c r="DS1396" t="str">
        <f>IF(DL1396=1,DS$7,0)</f>
        <v>Timber</v>
      </c>
      <c r="DT1396">
        <v>0</v>
      </c>
      <c r="DU1396">
        <v>0</v>
      </c>
      <c r="DV1396">
        <v>0</v>
      </c>
      <c r="DW1396">
        <v>0</v>
      </c>
      <c r="DX1396">
        <v>0</v>
      </c>
      <c r="DY1396">
        <f>SUM(DT1396:DU1396)</f>
        <v>0</v>
      </c>
      <c r="DZ1396" s="143" t="str">
        <f>IF(DT1396=1,"self-calculated DF",IF(DU1396=1,"external DF used","explicit C balance"))</f>
        <v>explicit C balance</v>
      </c>
      <c r="EA1396">
        <v>0</v>
      </c>
      <c r="EB1396">
        <v>0</v>
      </c>
      <c r="EC1396">
        <v>0</v>
      </c>
      <c r="ED1396">
        <v>0</v>
      </c>
      <c r="EE1396">
        <v>0</v>
      </c>
      <c r="EF1396" s="143">
        <v>1</v>
      </c>
      <c r="EG1396">
        <v>1</v>
      </c>
      <c r="EH1396">
        <v>1</v>
      </c>
      <c r="EI1396">
        <v>0</v>
      </c>
      <c r="EJ1396">
        <v>1</v>
      </c>
      <c r="EK1396">
        <v>0</v>
      </c>
      <c r="EL1396">
        <v>0</v>
      </c>
      <c r="EM1396">
        <v>0</v>
      </c>
      <c r="EN1396" s="2">
        <v>0</v>
      </c>
      <c r="EP1396" t="str">
        <f>IF(AND(AND(AND(OR($EC1396=1,$EB1396=1),OR($EH1396=1,$EF1396=1)),SUM($EA1396:$EE1396,$EK1396)&gt;=3),SUM($EF1396:$EJ1396)&gt;=2),"Whole sector approach","")</f>
        <v/>
      </c>
      <c r="EQ1396" t="str">
        <f>IF(AND(AND(OR($EC1396=1,$EB1396=1),AND($EH1396=0,$EF1396=0)),SUM($EA1396:$EE1396,$EK1396)&gt;=3),"Ecosystem approach","")</f>
        <v/>
      </c>
      <c r="ER1396" s="2" t="str">
        <f>IF(AND(AND(AND($EC1396=0,$EB1396=0),OR($EH1396=1,$EF1396=1)),SUM($EG1396:$EJ1396)&gt;=2),"Technology approach","")</f>
        <v>Technology approach</v>
      </c>
      <c r="ES1396" t="str">
        <f>IF(AND($EC1396+$EB1396+$EE1396+$EA1396+$ED1396+$EG1396=0,$N1396="included"),"C neutral forest and HWP assumption","")</f>
        <v/>
      </c>
      <c r="ET1396" t="str">
        <f>IF(AND(AND(AND(AND($EC1396=1,$EB1396+$EA1396+$EG1396&gt;=1),$EF1396=1),$EH1396+$EI1396+$ED1396+$EE1396&gt;=2),$N1396="included"),"All C pools assumption","")</f>
        <v/>
      </c>
      <c r="EU1396" t="str">
        <f>IF(AND($ED1396+$EE1396+$EI1396+$EH1396+$EF1396=0,$N1396="included"),"In-situ only assumption","")</f>
        <v/>
      </c>
      <c r="EY1396" t="str">
        <f>IF(ISNUMBER(BW1396),IF(ABS(BW1396-[4]QC_indicators!$B$2)&gt;3*[4]QC_indicators!$C$2,"C ratio",IF(ISNUMBER(CA1396),IF(ABS(CA1396-[4]QC_indicators!$B$1)&gt;3*[4]QC_indicators!$C$1,"DF","no"))),IF(ISNUMBER(CA1396),IF(ABS(CA1396-[4]QC_indicators!$B$1)&gt;3*[4]QC_indicators!$C$1,"DF","no")))</f>
        <v>no</v>
      </c>
      <c r="FA1396" t="str">
        <f>IF(LEN($CY1396)=0,"",IF(AND($CY1396&lt;(-0.05),$ES1396="C neutral forest and HWP assumption"),"Cneutral paradox",IF(AND($CY1396&gt;0.05,$EU1396="In-situ only assumption"),"In-situ only paradox","")))</f>
        <v/>
      </c>
      <c r="FB1396" s="319" t="s">
        <v>349</v>
      </c>
    </row>
    <row r="1397" spans="1:160" ht="15" hidden="1" customHeight="1">
      <c r="A1397" s="1" t="s">
        <v>1251</v>
      </c>
      <c r="B1397" t="s">
        <v>1252</v>
      </c>
      <c r="C1397" t="s">
        <v>1253</v>
      </c>
      <c r="D1397" t="s">
        <v>1254</v>
      </c>
      <c r="E1397" t="s">
        <v>1255</v>
      </c>
      <c r="F1397" t="s">
        <v>1256</v>
      </c>
      <c r="G1397" t="s">
        <v>1257</v>
      </c>
      <c r="H1397" t="s">
        <v>254</v>
      </c>
      <c r="I1397">
        <v>2021</v>
      </c>
      <c r="J1397">
        <v>0</v>
      </c>
      <c r="K1397" t="s">
        <v>1258</v>
      </c>
      <c r="M1397" t="str">
        <f>LEFT($D1397,FIND(",",$D1397)-1)&amp;"_"&amp;I1397&amp;L1397</f>
        <v>Delacote_2021</v>
      </c>
      <c r="N1397" t="s">
        <v>222</v>
      </c>
      <c r="O1397" s="145" t="s">
        <v>223</v>
      </c>
      <c r="Q1397" s="317" t="s">
        <v>256</v>
      </c>
      <c r="R1397" s="318" t="s">
        <v>1029</v>
      </c>
      <c r="S1397" s="1" t="s">
        <v>1263</v>
      </c>
      <c r="T1397" t="s">
        <v>1264</v>
      </c>
      <c r="U1397" t="s">
        <v>1260</v>
      </c>
      <c r="V1397" s="253">
        <v>0</v>
      </c>
      <c r="W1397" s="253">
        <v>0</v>
      </c>
      <c r="X1397">
        <v>0</v>
      </c>
      <c r="Y1397">
        <v>0</v>
      </c>
      <c r="Z1397">
        <v>0</v>
      </c>
      <c r="AA1397">
        <v>0</v>
      </c>
      <c r="AB1397">
        <v>2</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1</v>
      </c>
      <c r="AW1397">
        <v>0</v>
      </c>
      <c r="AX1397">
        <v>0</v>
      </c>
      <c r="AY1397">
        <v>0</v>
      </c>
      <c r="AZ1397" s="141">
        <f>COUNTIF(X1397:AY1397,"&lt;&gt;0")</f>
        <v>2</v>
      </c>
      <c r="BA1397" s="141">
        <f>COUNTIF(X1397:AN1397,"&lt;&gt;0")</f>
        <v>1</v>
      </c>
      <c r="BB1397">
        <f>COUNTIF(X1397:AE1397,"&lt;&gt;0")</f>
        <v>1</v>
      </c>
      <c r="BC1397">
        <f>COUNTIF(AF1397:AK1397,"&lt;&gt;0")</f>
        <v>0</v>
      </c>
      <c r="BD1397">
        <f>COUNTIF(AL1397:AN1397,"&lt;&gt;0")</f>
        <v>0</v>
      </c>
      <c r="BE1397">
        <f>COUNTIF(AU1397:AY1397,"&lt;&gt;0")</f>
        <v>1</v>
      </c>
      <c r="BF1397">
        <f>COUNTIF(AO1397:AT1397,"&lt;&gt;0")</f>
        <v>0</v>
      </c>
      <c r="BG1397" t="str" cm="1">
        <f t="array" ref="BG1397">IF(BA1397=1,INDEX($X$7:$AN$7,MATCH(TRUE,INDEX($X1397:$AY1397&lt;&gt;0,),0)),IF(BA1397=0,INDEX($AO$7:$AY$7,MATCH(1,$AO1397:$AY1397,0)),IF(BH1397="Multiple strategies","mixed drivers",IF(BH1397="Supply chain","multiple supply","multiple silviculture"))))</f>
        <v>species</v>
      </c>
      <c r="BH1397" s="2" t="str" cm="1">
        <f t="array" ref="BH1397">IF(COUNTIF(BB1397:BD1397,"&lt;&gt;0")=1,INDEX($X$4:$AY$4,MATCH(TRUE,INDEX($X1397:$AY1397&lt;&gt;0,),0)),IF(COUNTIF(BB1397:BD1397,"&lt;&gt;0")=0,INDEX($AO$4:$AY$4,MATCH(1,$AO1397:$AY1397,0)),"Multiple strategies"))</f>
        <v>Silviculture for productivity</v>
      </c>
      <c r="BI1397" s="1" t="s">
        <v>321</v>
      </c>
      <c r="BJ1397" t="s">
        <v>1172</v>
      </c>
      <c r="BK1397" s="141" t="s">
        <v>4917</v>
      </c>
      <c r="BL1397" t="s">
        <v>1089</v>
      </c>
      <c r="BM1397">
        <f>BN1397*(1-0.06/100)</f>
        <v>58.243033199999999</v>
      </c>
      <c r="BN1397">
        <v>58.277999999999999</v>
      </c>
      <c r="BO1397">
        <f>BM1397/BN1397</f>
        <v>0.99939999999999996</v>
      </c>
      <c r="BP1397">
        <f>BN1397-BM1397</f>
        <v>3.4966799999999409E-2</v>
      </c>
      <c r="BQ1397">
        <f>BP1397*10^6</f>
        <v>34966.799999999406</v>
      </c>
      <c r="BR1397" t="s">
        <v>232</v>
      </c>
      <c r="BS1397" s="141" t="s">
        <v>4918</v>
      </c>
      <c r="BT1397" t="s">
        <v>1105</v>
      </c>
      <c r="BU1397">
        <f>BV1397*(1+0.08/100)</f>
        <v>86.469120000000004</v>
      </c>
      <c r="BV1397">
        <v>86.4</v>
      </c>
      <c r="BW1397" s="144">
        <f>IFERROR(BV1397/BU1397,"")</f>
        <v>0.99920063948840931</v>
      </c>
      <c r="BX1397">
        <f>BV1397-BU1397</f>
        <v>-6.9119999999998072E-2</v>
      </c>
      <c r="BZ1397">
        <f>BX1397*10^6</f>
        <v>-69119.999999998079</v>
      </c>
      <c r="CA1397">
        <f>IFERROR(BZ1397/BQ1397,"")</f>
        <v>-1.9767322145577877</v>
      </c>
      <c r="CB1397">
        <v>0</v>
      </c>
      <c r="CC1397">
        <v>0</v>
      </c>
      <c r="CD1397">
        <v>0</v>
      </c>
      <c r="CE1397">
        <v>0</v>
      </c>
      <c r="CF1397">
        <v>0</v>
      </c>
      <c r="CG1397">
        <v>0</v>
      </c>
      <c r="CH1397">
        <v>0</v>
      </c>
      <c r="CI1397">
        <v>0</v>
      </c>
      <c r="CJ1397">
        <v>0</v>
      </c>
      <c r="CK1397">
        <v>0</v>
      </c>
      <c r="CL1397">
        <v>0</v>
      </c>
      <c r="CM1397">
        <v>0</v>
      </c>
      <c r="CN1397">
        <v>0</v>
      </c>
      <c r="CO1397">
        <v>1</v>
      </c>
      <c r="CP1397" t="str">
        <f>IF($BN1397&lt;$BM1397,"refNeedCorrection","refOK")</f>
        <v>refOK</v>
      </c>
      <c r="CQ1397">
        <f>IF($CP1397="refOK",$BM1397,$BN1397)</f>
        <v>58.243033199999999</v>
      </c>
      <c r="CR1397">
        <f>IF($CP1397="refOK",$BN1397,$BM1397)</f>
        <v>58.277999999999999</v>
      </c>
      <c r="CS1397">
        <f>IF($CP1397="refOK",$BQ1397,-$BQ1397)</f>
        <v>34966.799999999406</v>
      </c>
      <c r="CT1397">
        <f>IF(BI1397="Roundwood",$CS1397/2,$CS1397)</f>
        <v>17483.399999999703</v>
      </c>
      <c r="CU1397">
        <f>IF($CP1397="refOK",$BU1397,$BV1397)*IF($BR1397="Emissions positive",-1,1)</f>
        <v>86.469120000000004</v>
      </c>
      <c r="CV1397">
        <f>IF($CP1397="refOK",$BV1397,$BU1397)*IF($BR1397="Emissions positive",-1,1)</f>
        <v>86.4</v>
      </c>
      <c r="CW1397">
        <f>IF($CP1397="refNeedCorrection",-BZ1397,BZ1397)*IF($BR1397="Emissions positive",-1,1)</f>
        <v>-69119.999999998079</v>
      </c>
      <c r="CX1397">
        <f>IFERROR($CW1397/$CS1397,"")</f>
        <v>-1.9767322145577877</v>
      </c>
      <c r="CY1397">
        <f>IFERROR($CW1397/$CS1397,"")</f>
        <v>-1.9767322145577877</v>
      </c>
      <c r="CZ1397">
        <f>IFERROR($CW1397/$CT1397,"")</f>
        <v>-3.9534644291155754</v>
      </c>
      <c r="DA1397" s="2">
        <f>IFERROR((CV1397-CU1397)/ABS(CU1397),"")</f>
        <v>-7.9936051159070506E-4</v>
      </c>
      <c r="DB1397" s="1" t="s">
        <v>1078</v>
      </c>
      <c r="DC1397" s="317" t="str">
        <f>IF(OR($DB1397="prd",$DB1397="std",$DB1397="cit"),"loc",IF(OR($DB1397="eur",$DB1397="reg",$DB1397="coy"),"reg",$DB1397))</f>
        <v>reg</v>
      </c>
      <c r="DD1397" t="s">
        <v>715</v>
      </c>
      <c r="DE1397">
        <v>2015</v>
      </c>
      <c r="DF1397">
        <v>2100</v>
      </c>
      <c r="DG1397">
        <f>DF1397-DE1397</f>
        <v>85</v>
      </c>
      <c r="DH1397" t="str">
        <f>IF(DG1397=0,"0",IF(AND(DG1397&gt;=1,DG1397&lt;=30),"1-30",IF(AND(DG1397&gt;30,DG1397&lt;=70),"31-70",IF(AND(DG1397&gt;70,DG1397&lt;=100),"71-100",IF(DG1397&gt;100,"+100")))))</f>
        <v>71-100</v>
      </c>
      <c r="DI1397">
        <v>0</v>
      </c>
      <c r="DJ1397">
        <v>1</v>
      </c>
      <c r="DK1397">
        <v>1</v>
      </c>
      <c r="DL1397">
        <v>1</v>
      </c>
      <c r="DN1397">
        <f>SUM(DI1397:DL1397)</f>
        <v>3</v>
      </c>
      <c r="DO1397" t="str">
        <f>IF(DN1397=1,INDEX($DI$7:$DL$7,MATCH(1,$DI1397:$DL1397,0)),"mixedProduct")</f>
        <v>mixedProduct</v>
      </c>
      <c r="DP1397">
        <f>IF(DI1397=1,DP$7,0)</f>
        <v>0</v>
      </c>
      <c r="DQ1397" t="str">
        <f>IF(DJ1397=1,DQ$7,0)</f>
        <v>Energy</v>
      </c>
      <c r="DR1397" t="str">
        <f>IF(DK1397=1,DR$7,0)</f>
        <v>Pulp/Paper</v>
      </c>
      <c r="DS1397" t="str">
        <f>IF(DL1397=1,DS$7,0)</f>
        <v>Timber</v>
      </c>
      <c r="DT1397">
        <v>0</v>
      </c>
      <c r="DU1397">
        <v>1</v>
      </c>
      <c r="DV1397" t="s">
        <v>1262</v>
      </c>
      <c r="DW1397" t="s">
        <v>1262</v>
      </c>
      <c r="DX1397" t="s">
        <v>1262</v>
      </c>
      <c r="DY1397">
        <f>SUM(DT1397:DU1397)</f>
        <v>1</v>
      </c>
      <c r="DZ1397" s="143" t="str">
        <f>IF(DT1397=1,"self-calculated DF",IF(DU1397=1,"external DF used","explicit C balance"))</f>
        <v>external DF used</v>
      </c>
      <c r="EA1397">
        <v>0</v>
      </c>
      <c r="EB1397">
        <v>1</v>
      </c>
      <c r="EC1397">
        <v>1</v>
      </c>
      <c r="ED1397">
        <v>1</v>
      </c>
      <c r="EE1397">
        <v>0</v>
      </c>
      <c r="EF1397">
        <v>1</v>
      </c>
      <c r="EG1397">
        <v>1</v>
      </c>
      <c r="EH1397">
        <v>1</v>
      </c>
      <c r="EI1397">
        <v>0</v>
      </c>
      <c r="EJ1397">
        <v>0</v>
      </c>
      <c r="EK1397">
        <v>1</v>
      </c>
      <c r="EL1397">
        <v>0</v>
      </c>
      <c r="EM1397">
        <v>1</v>
      </c>
      <c r="EN1397" s="2">
        <v>1</v>
      </c>
      <c r="EP1397" t="str">
        <f>IF(AND(AND(AND(OR($EC1397=1,$EB1397=1),OR($EH1397=1,$EF1397=1)),SUM($EA1397:$EE1397,$EK1397)&gt;=3),SUM($EF1397:$EJ1397)&gt;=2),"Whole sector approach","")</f>
        <v>Whole sector approach</v>
      </c>
      <c r="EQ1397" t="str">
        <f>IF(AND(AND(OR($EC1397=1,$EB1397=1),AND($EH1397=0,$EF1397=0)),SUM($EA1397:$EE1397,$EK1397)&gt;=3),"Ecosystem approach","")</f>
        <v/>
      </c>
      <c r="ER1397" s="2" t="str">
        <f>IF(AND(AND(AND($EC1397=0,$EB1397=0),OR($EH1397=1,$EF1397=1)),SUM($EG1397:$EJ1397)&gt;=2),"Technology approach","")</f>
        <v/>
      </c>
      <c r="ES1397" t="str">
        <f>IF(AND($EC1397+$EB1397+$EE1397+$EA1397+$ED1397+$EG1397=0,$N1397="included"),"C neutral forest and HWP assumption","")</f>
        <v/>
      </c>
      <c r="ET1397" t="str">
        <f>IF(AND(AND(AND(AND($EC1397=1,$EB1397+$EA1397+$EG1397&gt;=1),$EF1397=1),$EH1397+$EI1397+$ED1397+$EE1397&gt;=2),$N1397="included"),"All C pools assumption","")</f>
        <v>All C pools assumption</v>
      </c>
      <c r="EU1397" t="str">
        <f>IF(AND($ED1397+$EE1397+$EI1397+$EH1397+$EF1397=0,$N1397="included"),"In-situ only assumption","")</f>
        <v/>
      </c>
      <c r="EY1397" t="str">
        <f>IF(ISNUMBER(BW1397),IF(ABS(BW1397-[4]QC_indicators!$B$2)&gt;3*[4]QC_indicators!$C$2,"C ratio",IF(ISNUMBER(CA1397),IF(ABS(CA1397-[4]QC_indicators!$B$1)&gt;3*[4]QC_indicators!$C$1,"DF","no"))),IF(ISNUMBER(CA1397),IF(ABS(CA1397-[4]QC_indicators!$B$1)&gt;3*[4]QC_indicators!$C$1,"DF","no")))</f>
        <v>no</v>
      </c>
      <c r="FA1397" t="str">
        <f>IF(LEN($CY1397)=0,"",IF(AND($CY1397&lt;(-0.05),$ES1397="C neutral forest and HWP assumption"),"Cneutral paradox",IF(AND($CY1397&gt;0.05,$EU1397="In-situ only assumption"),"In-situ only paradox","")))</f>
        <v/>
      </c>
      <c r="FD1397" s="145" t="s">
        <v>4919</v>
      </c>
    </row>
    <row r="1398" spans="1:160" ht="15" hidden="1" customHeight="1">
      <c r="A1398" s="1" t="s">
        <v>1251</v>
      </c>
      <c r="B1398" t="s">
        <v>1252</v>
      </c>
      <c r="C1398" t="s">
        <v>1253</v>
      </c>
      <c r="D1398" t="s">
        <v>1254</v>
      </c>
      <c r="E1398" t="s">
        <v>1255</v>
      </c>
      <c r="F1398" t="s">
        <v>1256</v>
      </c>
      <c r="G1398" t="s">
        <v>1257</v>
      </c>
      <c r="H1398" t="s">
        <v>254</v>
      </c>
      <c r="I1398">
        <v>2021</v>
      </c>
      <c r="J1398">
        <v>0</v>
      </c>
      <c r="K1398" t="s">
        <v>1258</v>
      </c>
      <c r="M1398" t="str">
        <f>LEFT($D1398,FIND(",",$D1398)-1)&amp;"_"&amp;I1398&amp;L1398</f>
        <v>Delacote_2021</v>
      </c>
      <c r="N1398" t="s">
        <v>222</v>
      </c>
      <c r="O1398" s="145" t="s">
        <v>223</v>
      </c>
      <c r="Q1398" s="317" t="s">
        <v>256</v>
      </c>
      <c r="R1398" s="318" t="s">
        <v>1029</v>
      </c>
      <c r="S1398" s="1" t="s">
        <v>1267</v>
      </c>
      <c r="T1398" t="s">
        <v>1268</v>
      </c>
      <c r="U1398" s="141" t="s">
        <v>1260</v>
      </c>
      <c r="V1398" s="253">
        <v>0</v>
      </c>
      <c r="W1398" s="253">
        <v>0</v>
      </c>
      <c r="X1398">
        <v>0</v>
      </c>
      <c r="Y1398">
        <v>0</v>
      </c>
      <c r="Z1398">
        <v>0</v>
      </c>
      <c r="AA1398">
        <v>0</v>
      </c>
      <c r="AB1398">
        <v>1</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s="141">
        <f>COUNTIF(X1398:AY1398,"&lt;&gt;0")</f>
        <v>1</v>
      </c>
      <c r="BA1398" s="141">
        <f>COUNTIF(X1398:AN1398,"&lt;&gt;0")</f>
        <v>1</v>
      </c>
      <c r="BB1398">
        <f>COUNTIF(X1398:AE1398,"&lt;&gt;0")</f>
        <v>1</v>
      </c>
      <c r="BC1398">
        <f>COUNTIF(AF1398:AK1398,"&lt;&gt;0")</f>
        <v>0</v>
      </c>
      <c r="BD1398">
        <f>COUNTIF(AL1398:AN1398,"&lt;&gt;0")</f>
        <v>0</v>
      </c>
      <c r="BE1398">
        <f>COUNTIF(AU1398:AY1398,"&lt;&gt;0")</f>
        <v>0</v>
      </c>
      <c r="BF1398">
        <f>COUNTIF(AO1398:AT1398,"&lt;&gt;0")</f>
        <v>0</v>
      </c>
      <c r="BG1398" t="str" cm="1">
        <f t="array" ref="BG1398">IF(BA1398=1,INDEX($X$7:$AN$7,MATCH(TRUE,INDEX($X1398:$AY1398&lt;&gt;0,),0)),IF(BA1398=0,INDEX($AO$7:$AY$7,MATCH(1,$AO1398:$AY1398,0)),IF(BH1398="Multiple strategies","mixed drivers",IF(BH1398="Supply chain","multiple supply","multiple silviculture"))))</f>
        <v>species</v>
      </c>
      <c r="BH1398" s="2" t="str" cm="1">
        <f t="array" ref="BH1398">IF(COUNTIF(BB1398:BD1398,"&lt;&gt;0")=1,INDEX($X$4:$AY$4,MATCH(TRUE,INDEX($X1398:$AY1398&lt;&gt;0,),0)),IF(COUNTIF(BB1398:BD1398,"&lt;&gt;0")=0,INDEX($AO$4:$AY$4,MATCH(1,$AO1398:$AY1398,0)),"Multiple strategies"))</f>
        <v>Silviculture for productivity</v>
      </c>
      <c r="BI1398" s="1" t="s">
        <v>321</v>
      </c>
      <c r="BJ1398" t="s">
        <v>1172</v>
      </c>
      <c r="BK1398" s="141" t="s">
        <v>4917</v>
      </c>
      <c r="BL1398" t="s">
        <v>1089</v>
      </c>
      <c r="BM1398">
        <f>BN1398*(1-0.58/100)</f>
        <v>57.939987599999995</v>
      </c>
      <c r="BN1398">
        <v>58.277999999999999</v>
      </c>
      <c r="BO1398">
        <f>BM1398/BN1398</f>
        <v>0.99419999999999997</v>
      </c>
      <c r="BP1398">
        <f>BN1398-BM1398</f>
        <v>0.33801240000000377</v>
      </c>
      <c r="BQ1398">
        <f>BP1398*10^6</f>
        <v>338012.40000000375</v>
      </c>
      <c r="BR1398" t="s">
        <v>232</v>
      </c>
      <c r="BS1398" s="141" t="s">
        <v>4918</v>
      </c>
      <c r="BT1398" t="s">
        <v>1105</v>
      </c>
      <c r="BU1398">
        <f>BV1398*(1-4.94/100)</f>
        <v>82.131840000000011</v>
      </c>
      <c r="BV1398">
        <v>86.4</v>
      </c>
      <c r="BW1398" s="144">
        <f>IFERROR(BV1398/BU1398,"")</f>
        <v>1.0519671786240268</v>
      </c>
      <c r="BX1398">
        <f>BV1398-BU1398</f>
        <v>4.2681599999999946</v>
      </c>
      <c r="BZ1398">
        <f>BX1398*10^6</f>
        <v>4268159.9999999944</v>
      </c>
      <c r="CA1398">
        <f>IFERROR(BZ1398/BQ1398,"")</f>
        <v>12.627229060235504</v>
      </c>
      <c r="CB1398">
        <v>0</v>
      </c>
      <c r="CC1398">
        <v>0</v>
      </c>
      <c r="CD1398">
        <v>0</v>
      </c>
      <c r="CE1398">
        <v>0</v>
      </c>
      <c r="CF1398">
        <v>0</v>
      </c>
      <c r="CG1398">
        <v>0</v>
      </c>
      <c r="CH1398">
        <v>0</v>
      </c>
      <c r="CI1398">
        <v>0</v>
      </c>
      <c r="CJ1398">
        <v>0</v>
      </c>
      <c r="CK1398">
        <v>0</v>
      </c>
      <c r="CL1398">
        <v>0</v>
      </c>
      <c r="CM1398">
        <v>0</v>
      </c>
      <c r="CN1398">
        <v>0</v>
      </c>
      <c r="CO1398">
        <v>1</v>
      </c>
      <c r="CP1398" t="str">
        <f>IF($BN1398&lt;$BM1398,"refNeedCorrection","refOK")</f>
        <v>refOK</v>
      </c>
      <c r="CQ1398">
        <f>IF($CP1398="refOK",$BM1398,$BN1398)</f>
        <v>57.939987599999995</v>
      </c>
      <c r="CR1398">
        <f>IF($CP1398="refOK",$BN1398,$BM1398)</f>
        <v>58.277999999999999</v>
      </c>
      <c r="CS1398">
        <f>IF($CP1398="refOK",$BQ1398,-$BQ1398)</f>
        <v>338012.40000000375</v>
      </c>
      <c r="CT1398">
        <f>IF(BI1398="Roundwood",$CS1398/2,$CS1398)</f>
        <v>169006.20000000187</v>
      </c>
      <c r="CU1398">
        <f>IF($CP1398="refOK",$BU1398,$BV1398)*IF($BR1398="Emissions positive",-1,1)</f>
        <v>82.131840000000011</v>
      </c>
      <c r="CV1398">
        <f>IF($CP1398="refOK",$BV1398,$BU1398)*IF($BR1398="Emissions positive",-1,1)</f>
        <v>86.4</v>
      </c>
      <c r="CW1398">
        <f>IF($CP1398="refNeedCorrection",-BZ1398,BZ1398)*IF($BR1398="Emissions positive",-1,1)</f>
        <v>4268159.9999999944</v>
      </c>
      <c r="CX1398">
        <f>IFERROR($CW1398/$CS1398,"")</f>
        <v>12.627229060235504</v>
      </c>
      <c r="CY1398">
        <f>IFERROR($CW1398/$CS1398,"")</f>
        <v>12.627229060235504</v>
      </c>
      <c r="CZ1398">
        <f>IFERROR($CW1398/$CT1398,"")</f>
        <v>25.254458120471007</v>
      </c>
      <c r="DA1398" s="2">
        <f>IFERROR((CV1398-CU1398)/ABS(CU1398),"")</f>
        <v>5.1967178624026861E-2</v>
      </c>
      <c r="DB1398" s="1" t="s">
        <v>1078</v>
      </c>
      <c r="DC1398" s="317" t="str">
        <f>IF(OR($DB1398="prd",$DB1398="std",$DB1398="cit"),"loc",IF(OR($DB1398="eur",$DB1398="reg",$DB1398="coy"),"reg",$DB1398))</f>
        <v>reg</v>
      </c>
      <c r="DD1398" t="s">
        <v>715</v>
      </c>
      <c r="DE1398">
        <v>2015</v>
      </c>
      <c r="DF1398">
        <v>2100</v>
      </c>
      <c r="DG1398">
        <f>DF1398-DE1398</f>
        <v>85</v>
      </c>
      <c r="DH1398" t="str">
        <f>IF(DG1398=0,"0",IF(AND(DG1398&gt;=1,DG1398&lt;=30),"1-30",IF(AND(DG1398&gt;30,DG1398&lt;=70),"31-70",IF(AND(DG1398&gt;70,DG1398&lt;=100),"71-100",IF(DG1398&gt;100,"+100")))))</f>
        <v>71-100</v>
      </c>
      <c r="DI1398">
        <v>0</v>
      </c>
      <c r="DJ1398">
        <v>1</v>
      </c>
      <c r="DK1398">
        <v>1</v>
      </c>
      <c r="DL1398">
        <v>1</v>
      </c>
      <c r="DN1398">
        <f>SUM(DI1398:DL1398)</f>
        <v>3</v>
      </c>
      <c r="DO1398" t="str">
        <f>IF(DN1398=1,INDEX($DI$7:$DL$7,MATCH(1,$DI1398:$DL1398,0)),"mixedProduct")</f>
        <v>mixedProduct</v>
      </c>
      <c r="DP1398">
        <f>IF(DI1398=1,DP$7,0)</f>
        <v>0</v>
      </c>
      <c r="DQ1398" t="str">
        <f>IF(DJ1398=1,DQ$7,0)</f>
        <v>Energy</v>
      </c>
      <c r="DR1398" t="str">
        <f>IF(DK1398=1,DR$7,0)</f>
        <v>Pulp/Paper</v>
      </c>
      <c r="DS1398" t="str">
        <f>IF(DL1398=1,DS$7,0)</f>
        <v>Timber</v>
      </c>
      <c r="DT1398">
        <v>0</v>
      </c>
      <c r="DU1398">
        <v>1</v>
      </c>
      <c r="DV1398" t="s">
        <v>1262</v>
      </c>
      <c r="DW1398" t="s">
        <v>1262</v>
      </c>
      <c r="DX1398" t="s">
        <v>1262</v>
      </c>
      <c r="DY1398">
        <f>SUM(DT1398:DU1398)</f>
        <v>1</v>
      </c>
      <c r="DZ1398" s="143" t="str">
        <f>IF(DT1398=1,"self-calculated DF",IF(DU1398=1,"external DF used","explicit C balance"))</f>
        <v>external DF used</v>
      </c>
      <c r="EA1398">
        <v>0</v>
      </c>
      <c r="EB1398">
        <v>1</v>
      </c>
      <c r="EC1398">
        <v>1</v>
      </c>
      <c r="ED1398">
        <v>1</v>
      </c>
      <c r="EE1398">
        <v>0</v>
      </c>
      <c r="EF1398">
        <v>1</v>
      </c>
      <c r="EG1398">
        <v>1</v>
      </c>
      <c r="EH1398">
        <v>1</v>
      </c>
      <c r="EI1398">
        <v>0</v>
      </c>
      <c r="EJ1398">
        <v>0</v>
      </c>
      <c r="EK1398">
        <v>1</v>
      </c>
      <c r="EL1398">
        <v>0</v>
      </c>
      <c r="EM1398">
        <v>1</v>
      </c>
      <c r="EN1398" s="2">
        <v>1</v>
      </c>
      <c r="EP1398" t="str">
        <f>IF(AND(AND(AND(OR($EC1398=1,$EB1398=1),OR($EH1398=1,$EF1398=1)),SUM($EA1398:$EE1398,$EK1398)&gt;=3),SUM($EF1398:$EJ1398)&gt;=2),"Whole sector approach","")</f>
        <v>Whole sector approach</v>
      </c>
      <c r="EQ1398" t="str">
        <f>IF(AND(AND(OR($EC1398=1,$EB1398=1),AND($EH1398=0,$EF1398=0)),SUM($EA1398:$EE1398,$EK1398)&gt;=3),"Ecosystem approach","")</f>
        <v/>
      </c>
      <c r="ER1398" s="2" t="str">
        <f>IF(AND(AND(AND($EC1398=0,$EB1398=0),OR($EH1398=1,$EF1398=1)),SUM($EG1398:$EJ1398)&gt;=2),"Technology approach","")</f>
        <v/>
      </c>
      <c r="ES1398" t="str">
        <f>IF(AND($EC1398+$EB1398+$EE1398+$EA1398+$ED1398+$EG1398=0,$N1398="included"),"C neutral forest and HWP assumption","")</f>
        <v/>
      </c>
      <c r="ET1398" t="str">
        <f>IF(AND(AND(AND(AND($EC1398=1,$EB1398+$EA1398+$EG1398&gt;=1),$EF1398=1),$EH1398+$EI1398+$ED1398+$EE1398&gt;=2),$N1398="included"),"All C pools assumption","")</f>
        <v>All C pools assumption</v>
      </c>
      <c r="EU1398" t="str">
        <f>IF(AND($ED1398+$EE1398+$EI1398+$EH1398+$EF1398=0,$N1398="included"),"In-situ only assumption","")</f>
        <v/>
      </c>
      <c r="EX1398" t="s">
        <v>1269</v>
      </c>
      <c r="EY1398" t="str">
        <f>IF(ISNUMBER(BW1398),IF(ABS(BW1398-[4]QC_indicators!$B$2)&gt;3*[4]QC_indicators!$C$2,"C ratio",IF(ISNUMBER(CA1398),IF(ABS(CA1398-[4]QC_indicators!$B$1)&gt;3*[4]QC_indicators!$C$1,"DF","no"))),IF(ISNUMBER(CA1398),IF(ABS(CA1398-[4]QC_indicators!$B$1)&gt;3*[4]QC_indicators!$C$1,"DF","no")))</f>
        <v>DF</v>
      </c>
      <c r="EZ1398" t="s">
        <v>286</v>
      </c>
      <c r="FA1398" t="str">
        <f>IF(LEN($CY1398)=0,"",IF(AND($CY1398&lt;(-0.05),$ES1398="C neutral forest and HWP assumption"),"Cneutral paradox",IF(AND($CY1398&gt;0.05,$EU1398="In-situ only assumption"),"In-situ only paradox","")))</f>
        <v/>
      </c>
      <c r="FD1398" s="145" t="s">
        <v>4919</v>
      </c>
    </row>
    <row r="1399" spans="1:160" ht="18" hidden="1" customHeight="1">
      <c r="A1399" s="1" t="s">
        <v>1251</v>
      </c>
      <c r="B1399" t="s">
        <v>1252</v>
      </c>
      <c r="C1399" t="s">
        <v>1253</v>
      </c>
      <c r="D1399" t="s">
        <v>1254</v>
      </c>
      <c r="E1399" s="317" t="s">
        <v>1255</v>
      </c>
      <c r="F1399" t="s">
        <v>1256</v>
      </c>
      <c r="G1399" t="s">
        <v>1257</v>
      </c>
      <c r="H1399" t="s">
        <v>254</v>
      </c>
      <c r="I1399">
        <v>2021</v>
      </c>
      <c r="J1399">
        <v>0</v>
      </c>
      <c r="K1399" t="s">
        <v>1258</v>
      </c>
      <c r="M1399" t="str">
        <f>LEFT($D1399,FIND(",",$D1399)-1)&amp;"_"&amp;I1399&amp;L1399</f>
        <v>Delacote_2021</v>
      </c>
      <c r="N1399" t="s">
        <v>222</v>
      </c>
      <c r="O1399" s="145" t="s">
        <v>223</v>
      </c>
      <c r="Q1399" s="317" t="s">
        <v>256</v>
      </c>
      <c r="R1399" s="318" t="s">
        <v>1029</v>
      </c>
      <c r="S1399" s="1" t="s">
        <v>1259</v>
      </c>
      <c r="T1399" t="s">
        <v>1260</v>
      </c>
      <c r="U1399" t="s">
        <v>1261</v>
      </c>
      <c r="V1399">
        <v>0</v>
      </c>
      <c r="W1399">
        <v>0</v>
      </c>
      <c r="X1399">
        <v>2</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1</v>
      </c>
      <c r="AZ1399" s="141">
        <f>COUNTIF(X1399:AY1399,"&lt;&gt;0")</f>
        <v>2</v>
      </c>
      <c r="BA1399" s="141">
        <f>COUNTIF(X1399:AN1399,"&lt;&gt;0")</f>
        <v>1</v>
      </c>
      <c r="BB1399">
        <f>COUNTIF(X1399:AE1399,"&lt;&gt;0")</f>
        <v>1</v>
      </c>
      <c r="BC1399">
        <f>COUNTIF(AF1399:AK1399,"&lt;&gt;0")</f>
        <v>0</v>
      </c>
      <c r="BD1399">
        <f>COUNTIF(AL1399:AN1399,"&lt;&gt;0")</f>
        <v>0</v>
      </c>
      <c r="BE1399">
        <f>COUNTIF(AU1399:AY1399,"&lt;&gt;0")</f>
        <v>1</v>
      </c>
      <c r="BF1399">
        <f>COUNTIF(AO1399:AT1399,"&lt;&gt;0")</f>
        <v>0</v>
      </c>
      <c r="BG1399" t="str" cm="1">
        <f t="array" ref="BG1399">IF(BA1399=1,INDEX($X$7:$AN$7,MATCH(TRUE,INDEX($X1399:$AY1399&lt;&gt;0,),0)),IF(BA1399=0,INDEX($AO$7:$AY$7,MATCH(1,$AO1399:$AY1399,0)),IF(BH1399="Multiple strategies","mixed drivers",IF(BH1399="Supply chain","multiple supply","multiple silviculture"))))</f>
        <v>area subject to harvest</v>
      </c>
      <c r="BH1399" s="2" t="str" cm="1">
        <f t="array" ref="BH1399">IF(COUNTIF(BB1399:BD1399,"&lt;&gt;0")=1,INDEX($X$4:$AY$4,MATCH(TRUE,INDEX($X1399:$AY1399&lt;&gt;0,),0)),IF(COUNTIF(BB1399:BD1399,"&lt;&gt;0")=0,INDEX($AO$4:$AY$4,MATCH(1,$AO1399:$AY1399,0)),"Multiple strategies"))</f>
        <v>Silviculture for removals</v>
      </c>
      <c r="BI1399" s="1" t="s">
        <v>321</v>
      </c>
      <c r="BJ1399" t="s">
        <v>1172</v>
      </c>
      <c r="BK1399" s="141" t="s">
        <v>4917</v>
      </c>
      <c r="BL1399" t="s">
        <v>1089</v>
      </c>
      <c r="BM1399">
        <v>58.277999999999999</v>
      </c>
      <c r="BN1399">
        <f>BM1399*(1+1.12/100)</f>
        <v>58.930713600000004</v>
      </c>
      <c r="BO1399">
        <f>BN1399/BM1399</f>
        <v>1.0112000000000001</v>
      </c>
      <c r="BP1399">
        <f>BN1399-BM1399</f>
        <v>0.65271360000000556</v>
      </c>
      <c r="BQ1399">
        <f>BP1399*10^6</f>
        <v>652713.60000000556</v>
      </c>
      <c r="BR1399" t="s">
        <v>232</v>
      </c>
      <c r="BS1399" s="141" t="s">
        <v>4918</v>
      </c>
      <c r="BT1399" t="s">
        <v>1105</v>
      </c>
      <c r="BU1399">
        <v>86.4</v>
      </c>
      <c r="BV1399">
        <f>BU1399*(1+11.98/100)</f>
        <v>96.750720000000001</v>
      </c>
      <c r="BW1399" s="144">
        <f>IFERROR(BV1399/BU1399,"")</f>
        <v>1.1197999999999999</v>
      </c>
      <c r="BX1399">
        <f>BV1399-BU1399</f>
        <v>10.350719999999995</v>
      </c>
      <c r="BZ1399">
        <f>BX1399*10^6</f>
        <v>10350719.999999996</v>
      </c>
      <c r="CA1399">
        <f>IFERROR(BZ1399/BQ1399,"")</f>
        <v>15.857981203394425</v>
      </c>
      <c r="CB1399">
        <v>0</v>
      </c>
      <c r="CC1399">
        <v>0</v>
      </c>
      <c r="CD1399">
        <v>0</v>
      </c>
      <c r="CE1399">
        <v>0</v>
      </c>
      <c r="CF1399">
        <v>0</v>
      </c>
      <c r="CG1399">
        <v>0</v>
      </c>
      <c r="CH1399">
        <v>0</v>
      </c>
      <c r="CI1399">
        <v>0</v>
      </c>
      <c r="CJ1399">
        <v>0</v>
      </c>
      <c r="CK1399">
        <v>0</v>
      </c>
      <c r="CL1399">
        <v>0</v>
      </c>
      <c r="CM1399">
        <v>0</v>
      </c>
      <c r="CN1399">
        <v>0</v>
      </c>
      <c r="CO1399">
        <v>1</v>
      </c>
      <c r="CP1399" t="str">
        <f>IF($BN1399&lt;$BM1399,"refNeedCorrection","refOK")</f>
        <v>refOK</v>
      </c>
      <c r="CQ1399">
        <f>IF($CP1399="refOK",$BM1399,$BN1399)</f>
        <v>58.277999999999999</v>
      </c>
      <c r="CR1399">
        <f>IF($CP1399="refOK",$BN1399,$BM1399)</f>
        <v>58.930713600000004</v>
      </c>
      <c r="CS1399">
        <f>IF($CP1399="refOK",$BQ1399,-$BQ1399)</f>
        <v>652713.60000000556</v>
      </c>
      <c r="CT1399">
        <f>IF(BI1399="Roundwood",$CS1399/2,$CS1399)</f>
        <v>326356.80000000278</v>
      </c>
      <c r="CU1399">
        <f>IF($CP1399="refOK",$BU1399,$BV1399)*IF($BR1399="Emissions positive",-1,1)</f>
        <v>86.4</v>
      </c>
      <c r="CV1399">
        <f>IF($CP1399="refOK",$BV1399,$BU1399)*IF($BR1399="Emissions positive",-1,1)</f>
        <v>96.750720000000001</v>
      </c>
      <c r="CW1399">
        <f>IF($CP1399="refNeedCorrection",-BZ1399,BZ1399)*IF($BR1399="Emissions positive",-1,1)</f>
        <v>10350719.999999996</v>
      </c>
      <c r="CX1399">
        <f>IFERROR($CW1399/$CS1399,"")</f>
        <v>15.857981203394425</v>
      </c>
      <c r="CY1399">
        <f>IFERROR($CW1399/$CS1399,"")</f>
        <v>15.857981203394425</v>
      </c>
      <c r="CZ1399">
        <f>IFERROR($CW1399/$CT1399,"")</f>
        <v>31.715962406788851</v>
      </c>
      <c r="DA1399" s="2">
        <f>IFERROR((CV1399-CU1399)/ABS(CU1399),"")</f>
        <v>0.11979999999999993</v>
      </c>
      <c r="DB1399" s="1" t="s">
        <v>1078</v>
      </c>
      <c r="DC1399" s="317" t="str">
        <f>IF(OR($DB1399="prd",$DB1399="std",$DB1399="cit"),"loc",IF(OR($DB1399="eur",$DB1399="reg",$DB1399="coy"),"reg",$DB1399))</f>
        <v>reg</v>
      </c>
      <c r="DD1399" t="s">
        <v>715</v>
      </c>
      <c r="DE1399">
        <v>2015</v>
      </c>
      <c r="DF1399">
        <v>2100</v>
      </c>
      <c r="DG1399">
        <f>DF1399-DE1399</f>
        <v>85</v>
      </c>
      <c r="DH1399" t="str">
        <f>IF(DG1399=0,"0",IF(AND(DG1399&gt;=1,DG1399&lt;=30),"1-30",IF(AND(DG1399&gt;30,DG1399&lt;=70),"31-70",IF(AND(DG1399&gt;70,DG1399&lt;=100),"71-100",IF(DG1399&gt;100,"+100")))))</f>
        <v>71-100</v>
      </c>
      <c r="DI1399">
        <v>0</v>
      </c>
      <c r="DJ1399">
        <v>1</v>
      </c>
      <c r="DK1399">
        <v>1</v>
      </c>
      <c r="DL1399">
        <v>1</v>
      </c>
      <c r="DN1399">
        <f>SUM(DI1399:DL1399)</f>
        <v>3</v>
      </c>
      <c r="DO1399" t="str">
        <f>IF(DN1399=1,INDEX($DI$7:$DL$7,MATCH(1,$DI1399:$DL1399,0)),"mixedProduct")</f>
        <v>mixedProduct</v>
      </c>
      <c r="DP1399">
        <f>IF(DI1399=1,DP$7,0)</f>
        <v>0</v>
      </c>
      <c r="DQ1399" t="str">
        <f>IF(DJ1399=1,DQ$7,0)</f>
        <v>Energy</v>
      </c>
      <c r="DR1399" t="str">
        <f>IF(DK1399=1,DR$7,0)</f>
        <v>Pulp/Paper</v>
      </c>
      <c r="DS1399" t="str">
        <f>IF(DL1399=1,DS$7,0)</f>
        <v>Timber</v>
      </c>
      <c r="DT1399">
        <v>0</v>
      </c>
      <c r="DU1399">
        <v>1</v>
      </c>
      <c r="DV1399" t="s">
        <v>1262</v>
      </c>
      <c r="DW1399" t="s">
        <v>1262</v>
      </c>
      <c r="DX1399" t="s">
        <v>1262</v>
      </c>
      <c r="DY1399">
        <f>SUM(DT1399:DU1399)</f>
        <v>1</v>
      </c>
      <c r="DZ1399" s="143" t="str">
        <f>IF(DT1399=1,"self-calculated DF",IF(DU1399=1,"external DF used","explicit C balance"))</f>
        <v>external DF used</v>
      </c>
      <c r="EA1399">
        <v>0</v>
      </c>
      <c r="EB1399">
        <v>1</v>
      </c>
      <c r="EC1399">
        <v>1</v>
      </c>
      <c r="ED1399">
        <v>1</v>
      </c>
      <c r="EE1399">
        <v>0</v>
      </c>
      <c r="EF1399">
        <v>1</v>
      </c>
      <c r="EG1399">
        <v>1</v>
      </c>
      <c r="EH1399">
        <v>1</v>
      </c>
      <c r="EI1399">
        <v>0</v>
      </c>
      <c r="EJ1399">
        <v>0</v>
      </c>
      <c r="EK1399">
        <v>1</v>
      </c>
      <c r="EL1399">
        <v>0</v>
      </c>
      <c r="EM1399">
        <v>1</v>
      </c>
      <c r="EN1399" s="2">
        <v>1</v>
      </c>
      <c r="EP1399" t="str">
        <f>IF(AND(AND(AND(OR($EC1399=1,$EB1399=1),OR($EH1399=1,$EF1399=1)),SUM($EA1399:$EE1399,$EK1399)&gt;=3),SUM($EF1399:$EJ1399)&gt;=2),"Whole sector approach","")</f>
        <v>Whole sector approach</v>
      </c>
      <c r="EQ1399" t="str">
        <f>IF(AND(AND(OR($EC1399=1,$EB1399=1),AND($EH1399=0,$EF1399=0)),SUM($EA1399:$EE1399,$EK1399)&gt;=3),"Ecosystem approach","")</f>
        <v/>
      </c>
      <c r="ER1399" s="2" t="str">
        <f>IF(AND(AND(AND($EC1399=0,$EB1399=0),OR($EH1399=1,$EF1399=1)),SUM($EG1399:$EJ1399)&gt;=2),"Technology approach","")</f>
        <v/>
      </c>
      <c r="ES1399" t="str">
        <f>IF(AND($EC1399+$EB1399+$EE1399+$EA1399+$ED1399+$EG1399=0,$N1399="included"),"C neutral forest and HWP assumption","")</f>
        <v/>
      </c>
      <c r="ET1399" t="str">
        <f>IF(AND(AND(AND(AND($EC1399=1,$EB1399+$EA1399+$EG1399&gt;=1),$EF1399=1),$EH1399+$EI1399+$ED1399+$EE1399&gt;=2),$N1399="included"),"All C pools assumption","")</f>
        <v>All C pools assumption</v>
      </c>
      <c r="EU1399" t="str">
        <f>IF(AND($ED1399+$EE1399+$EI1399+$EH1399+$EF1399=0,$N1399="included"),"In-situ only assumption","")</f>
        <v/>
      </c>
      <c r="EY1399" t="str">
        <f>IF(ISNUMBER(BW1399),IF(ABS(BW1399-[4]QC_indicators!$B$2)&gt;3*[4]QC_indicators!$C$2,"C ratio",IF(ISNUMBER(CA1399),IF(ABS(CA1399-[4]QC_indicators!$B$1)&gt;3*[4]QC_indicators!$C$1,"DF","no"))),IF(ISNUMBER(CA1399),IF(ABS(CA1399-[4]QC_indicators!$B$1)&gt;3*[4]QC_indicators!$C$1,"DF","no")))</f>
        <v>DF</v>
      </c>
      <c r="EZ1399" t="s">
        <v>450</v>
      </c>
      <c r="FA1399" t="str">
        <f>IF(LEN($CY1399)=0,"",IF(AND($CY1399&lt;(-0.05),$ES1399="C neutral forest and HWP assumption"),"Cneutral paradox",IF(AND($CY1399&gt;0.05,$EU1399="In-situ only assumption"),"In-situ only paradox","")))</f>
        <v/>
      </c>
      <c r="FD1399" s="145" t="s">
        <v>4919</v>
      </c>
    </row>
    <row r="1400" spans="1:160" ht="102" hidden="1">
      <c r="A1400" s="1" t="s">
        <v>1251</v>
      </c>
      <c r="B1400" t="s">
        <v>1252</v>
      </c>
      <c r="C1400" t="s">
        <v>1253</v>
      </c>
      <c r="D1400" t="s">
        <v>1254</v>
      </c>
      <c r="E1400" t="s">
        <v>1255</v>
      </c>
      <c r="F1400" t="s">
        <v>1256</v>
      </c>
      <c r="G1400" t="s">
        <v>1257</v>
      </c>
      <c r="H1400" t="s">
        <v>254</v>
      </c>
      <c r="I1400">
        <v>2021</v>
      </c>
      <c r="J1400">
        <v>0</v>
      </c>
      <c r="K1400" t="s">
        <v>1258</v>
      </c>
      <c r="M1400" t="str">
        <f>LEFT($D1400,FIND(",",$D1400)-1)&amp;"_"&amp;I1400&amp;L1400</f>
        <v>Delacote_2021</v>
      </c>
      <c r="N1400" t="s">
        <v>222</v>
      </c>
      <c r="O1400" s="145" t="s">
        <v>223</v>
      </c>
      <c r="Q1400" s="317" t="s">
        <v>256</v>
      </c>
      <c r="R1400" s="318" t="s">
        <v>1029</v>
      </c>
      <c r="S1400" s="1" t="s">
        <v>1265</v>
      </c>
      <c r="T1400" t="s">
        <v>1260</v>
      </c>
      <c r="U1400" t="s">
        <v>1266</v>
      </c>
      <c r="V1400" s="253">
        <v>0</v>
      </c>
      <c r="W1400" s="253">
        <v>0</v>
      </c>
      <c r="X1400">
        <v>0</v>
      </c>
      <c r="Y1400">
        <v>0</v>
      </c>
      <c r="Z1400">
        <v>0</v>
      </c>
      <c r="AA1400">
        <v>0</v>
      </c>
      <c r="AB1400">
        <v>2</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1</v>
      </c>
      <c r="AW1400">
        <v>0</v>
      </c>
      <c r="AX1400">
        <v>0</v>
      </c>
      <c r="AY1400">
        <v>0</v>
      </c>
      <c r="AZ1400" s="141">
        <f>COUNTIF(X1400:AY1400,"&lt;&gt;0")</f>
        <v>2</v>
      </c>
      <c r="BA1400" s="141">
        <f>COUNTIF(X1400:AN1400,"&lt;&gt;0")</f>
        <v>1</v>
      </c>
      <c r="BB1400">
        <f>COUNTIF(X1400:AE1400,"&lt;&gt;0")</f>
        <v>1</v>
      </c>
      <c r="BC1400">
        <f>COUNTIF(AF1400:AK1400,"&lt;&gt;0")</f>
        <v>0</v>
      </c>
      <c r="BD1400">
        <f>COUNTIF(AL1400:AN1400,"&lt;&gt;0")</f>
        <v>0</v>
      </c>
      <c r="BE1400">
        <f>COUNTIF(AU1400:AY1400,"&lt;&gt;0")</f>
        <v>1</v>
      </c>
      <c r="BF1400">
        <f>COUNTIF(AO1400:AT1400,"&lt;&gt;0")</f>
        <v>0</v>
      </c>
      <c r="BG1400" t="str" cm="1">
        <f t="array" ref="BG1400">IF(BA1400=1,INDEX($X$7:$AN$7,MATCH(TRUE,INDEX($X1400:$AY1400&lt;&gt;0,),0)),IF(BA1400=0,INDEX($AO$7:$AY$7,MATCH(1,$AO1400:$AY1400,0)),IF(BH1400="Multiple strategies","mixed drivers",IF(BH1400="Supply chain","multiple supply","multiple silviculture"))))</f>
        <v>species</v>
      </c>
      <c r="BH1400" s="2" t="str" cm="1">
        <f t="array" ref="BH1400">IF(COUNTIF(BB1400:BD1400,"&lt;&gt;0")=1,INDEX($X$4:$AY$4,MATCH(TRUE,INDEX($X1400:$AY1400&lt;&gt;0,),0)),IF(COUNTIF(BB1400:BD1400,"&lt;&gt;0")=0,INDEX($AO$4:$AY$4,MATCH(1,$AO1400:$AY1400,0)),"Multiple strategies"))</f>
        <v>Silviculture for productivity</v>
      </c>
      <c r="BI1400" s="1" t="s">
        <v>321</v>
      </c>
      <c r="BJ1400" t="s">
        <v>1172</v>
      </c>
      <c r="BK1400" s="141" t="s">
        <v>4917</v>
      </c>
      <c r="BL1400" t="s">
        <v>1089</v>
      </c>
      <c r="BM1400">
        <v>58.277999999999999</v>
      </c>
      <c r="BN1400">
        <f>BM1400</f>
        <v>58.277999999999999</v>
      </c>
      <c r="BO1400">
        <f>BN1400/BM1400</f>
        <v>1</v>
      </c>
      <c r="BP1400">
        <f>BN1400-BM1400</f>
        <v>0</v>
      </c>
      <c r="BQ1400">
        <f>BP1400*10^6</f>
        <v>0</v>
      </c>
      <c r="BR1400" t="s">
        <v>232</v>
      </c>
      <c r="BS1400" s="141" t="s">
        <v>4918</v>
      </c>
      <c r="BT1400" t="s">
        <v>1105</v>
      </c>
      <c r="BU1400">
        <v>86.4</v>
      </c>
      <c r="BV1400">
        <f>BU1400*(1+0.12/100)</f>
        <v>86.503680000000017</v>
      </c>
      <c r="BW1400" s="144">
        <f>IFERROR(BV1400/BU1400,"")</f>
        <v>1.0012000000000001</v>
      </c>
      <c r="BX1400">
        <f>BV1400-BU1400</f>
        <v>0.10368000000001132</v>
      </c>
      <c r="BZ1400">
        <f>BX1400*10^6</f>
        <v>103680.00000001132</v>
      </c>
      <c r="CA1400" t="str">
        <f>IFERROR(BZ1400/BQ1400,"")</f>
        <v/>
      </c>
      <c r="CB1400">
        <v>0</v>
      </c>
      <c r="CC1400">
        <v>0</v>
      </c>
      <c r="CD1400">
        <v>0</v>
      </c>
      <c r="CE1400">
        <v>0</v>
      </c>
      <c r="CF1400">
        <v>0</v>
      </c>
      <c r="CG1400">
        <v>0</v>
      </c>
      <c r="CH1400">
        <v>0</v>
      </c>
      <c r="CI1400">
        <v>0</v>
      </c>
      <c r="CJ1400">
        <v>0</v>
      </c>
      <c r="CK1400">
        <v>0</v>
      </c>
      <c r="CL1400">
        <v>0</v>
      </c>
      <c r="CM1400">
        <v>0</v>
      </c>
      <c r="CN1400">
        <v>0</v>
      </c>
      <c r="CO1400">
        <v>1</v>
      </c>
      <c r="CP1400" t="str">
        <f>IF($BN1400&lt;$BM1400,"refNeedCorrection","refOK")</f>
        <v>refOK</v>
      </c>
      <c r="CQ1400">
        <f>IF($CP1400="refOK",$BM1400,$BN1400)</f>
        <v>58.277999999999999</v>
      </c>
      <c r="CR1400">
        <f>IF($CP1400="refOK",$BN1400,$BM1400)</f>
        <v>58.277999999999999</v>
      </c>
      <c r="CS1400">
        <f>IF($CP1400="refOK",$BQ1400,-$BQ1400)</f>
        <v>0</v>
      </c>
      <c r="CT1400">
        <f>IF(BI1400="Roundwood",$CS1400/2,$CS1400)</f>
        <v>0</v>
      </c>
      <c r="CU1400">
        <f>IF($CP1400="refOK",$BU1400,$BV1400)*IF($BR1400="Emissions positive",-1,1)</f>
        <v>86.4</v>
      </c>
      <c r="CV1400">
        <f>IF($CP1400="refOK",$BV1400,$BU1400)*IF($BR1400="Emissions positive",-1,1)</f>
        <v>86.503680000000017</v>
      </c>
      <c r="CW1400">
        <f>IF($CP1400="refNeedCorrection",-BZ1400,BZ1400)*IF($BR1400="Emissions positive",-1,1)</f>
        <v>103680.00000001132</v>
      </c>
      <c r="CX1400" t="str">
        <f>IFERROR($CW1400/$CS1400,"")</f>
        <v/>
      </c>
      <c r="CY1400" t="str">
        <f>IFERROR($CW1400/$CS1400,"")</f>
        <v/>
      </c>
      <c r="CZ1400" t="str">
        <f>IFERROR($CW1400/$CT1400,"")</f>
        <v/>
      </c>
      <c r="DA1400" s="2">
        <f>IFERROR((CV1400-CU1400)/ABS(CU1400),"")</f>
        <v>1.2000000000001309E-3</v>
      </c>
      <c r="DB1400" s="1" t="s">
        <v>1078</v>
      </c>
      <c r="DC1400" s="317" t="str">
        <f>IF(OR($DB1400="prd",$DB1400="std",$DB1400="cit"),"loc",IF(OR($DB1400="eur",$DB1400="reg",$DB1400="coy"),"reg",$DB1400))</f>
        <v>reg</v>
      </c>
      <c r="DD1400" t="s">
        <v>715</v>
      </c>
      <c r="DE1400">
        <v>2015</v>
      </c>
      <c r="DF1400">
        <v>2100</v>
      </c>
      <c r="DG1400">
        <f>DF1400-DE1400</f>
        <v>85</v>
      </c>
      <c r="DH1400" t="str">
        <f>IF(DG1400=0,"0",IF(AND(DG1400&gt;=1,DG1400&lt;=30),"1-30",IF(AND(DG1400&gt;30,DG1400&lt;=70),"31-70",IF(AND(DG1400&gt;70,DG1400&lt;=100),"71-100",IF(DG1400&gt;100,"+100")))))</f>
        <v>71-100</v>
      </c>
      <c r="DI1400">
        <v>0</v>
      </c>
      <c r="DJ1400">
        <v>1</v>
      </c>
      <c r="DK1400">
        <v>1</v>
      </c>
      <c r="DL1400">
        <v>1</v>
      </c>
      <c r="DN1400">
        <f>SUM(DI1400:DL1400)</f>
        <v>3</v>
      </c>
      <c r="DO1400" t="str">
        <f>IF(DN1400=1,INDEX($DI$7:$DL$7,MATCH(1,$DI1400:$DL1400,0)),"mixedProduct")</f>
        <v>mixedProduct</v>
      </c>
      <c r="DP1400">
        <f>IF(DI1400=1,DP$7,0)</f>
        <v>0</v>
      </c>
      <c r="DQ1400" t="str">
        <f>IF(DJ1400=1,DQ$7,0)</f>
        <v>Energy</v>
      </c>
      <c r="DR1400" t="str">
        <f>IF(DK1400=1,DR$7,0)</f>
        <v>Pulp/Paper</v>
      </c>
      <c r="DS1400" t="str">
        <f>IF(DL1400=1,DS$7,0)</f>
        <v>Timber</v>
      </c>
      <c r="DT1400">
        <v>0</v>
      </c>
      <c r="DU1400">
        <v>1</v>
      </c>
      <c r="DV1400" t="s">
        <v>1262</v>
      </c>
      <c r="DW1400" t="s">
        <v>1262</v>
      </c>
      <c r="DX1400" t="s">
        <v>1262</v>
      </c>
      <c r="DY1400">
        <f>SUM(DT1400:DU1400)</f>
        <v>1</v>
      </c>
      <c r="DZ1400" s="143" t="str">
        <f>IF(DT1400=1,"self-calculated DF",IF(DU1400=1,"external DF used","explicit C balance"))</f>
        <v>external DF used</v>
      </c>
      <c r="EA1400">
        <v>0</v>
      </c>
      <c r="EB1400">
        <v>1</v>
      </c>
      <c r="EC1400">
        <v>1</v>
      </c>
      <c r="ED1400">
        <v>1</v>
      </c>
      <c r="EE1400">
        <v>0</v>
      </c>
      <c r="EF1400">
        <v>1</v>
      </c>
      <c r="EG1400">
        <v>1</v>
      </c>
      <c r="EH1400">
        <v>1</v>
      </c>
      <c r="EI1400">
        <v>0</v>
      </c>
      <c r="EJ1400">
        <v>0</v>
      </c>
      <c r="EK1400">
        <v>1</v>
      </c>
      <c r="EL1400">
        <v>0</v>
      </c>
      <c r="EM1400">
        <v>1</v>
      </c>
      <c r="EN1400" s="2">
        <v>1</v>
      </c>
      <c r="EP1400" t="str">
        <f>IF(AND(AND(AND(OR($EC1400=1,$EB1400=1),OR($EH1400=1,$EF1400=1)),SUM($EA1400:$EE1400,$EK1400)&gt;=3),SUM($EF1400:$EJ1400)&gt;=2),"Whole sector approach","")</f>
        <v>Whole sector approach</v>
      </c>
      <c r="EQ1400" t="str">
        <f>IF(AND(AND(OR($EC1400=1,$EB1400=1),AND($EH1400=0,$EF1400=0)),SUM($EA1400:$EE1400,$EK1400)&gt;=3),"Ecosystem approach","")</f>
        <v/>
      </c>
      <c r="ER1400" s="2" t="str">
        <f>IF(AND(AND(AND($EC1400=0,$EB1400=0),OR($EH1400=1,$EF1400=1)),SUM($EG1400:$EJ1400)&gt;=2),"Technology approach","")</f>
        <v/>
      </c>
      <c r="ES1400" t="str">
        <f>IF(AND($EC1400+$EB1400+$EE1400+$EA1400+$ED1400+$EG1400=0,$N1400="included"),"C neutral forest and HWP assumption","")</f>
        <v/>
      </c>
      <c r="ET1400" t="str">
        <f>IF(AND(AND(AND(AND($EC1400=1,$EB1400+$EA1400+$EG1400&gt;=1),$EF1400=1),$EH1400+$EI1400+$ED1400+$EE1400&gt;=2),$N1400="included"),"All C pools assumption","")</f>
        <v>All C pools assumption</v>
      </c>
      <c r="EU1400" t="str">
        <f>IF(AND($ED1400+$EE1400+$EI1400+$EH1400+$EF1400=0,$N1400="included"),"In-situ only assumption","")</f>
        <v/>
      </c>
      <c r="EY1400" t="b">
        <f>IF(ISNUMBER(BW1400),IF(ABS(BW1400-[4]QC_indicators!$B$2)&gt;3*[4]QC_indicators!$C$2,"C ratio",IF(ISNUMBER(CA1400),IF(ABS(CA1400-[4]QC_indicators!$B$1)&gt;3*[4]QC_indicators!$C$1,"DF","no"))),IF(ISNUMBER(CA1400),IF(ABS(CA1400-[4]QC_indicators!$B$1)&gt;3*[4]QC_indicators!$C$1,"DF","no")))</f>
        <v>0</v>
      </c>
      <c r="FA1400" t="str">
        <f>IF(LEN($CY1400)=0,"",IF(AND($CY1400&lt;(-0.05),$ES1400="C neutral forest and HWP assumption"),"Cneutral paradox",IF(AND($CY1400&gt;0.05,$EU1400="In-situ only assumption"),"In-situ only paradox","")))</f>
        <v/>
      </c>
      <c r="FD1400" s="145" t="s">
        <v>4919</v>
      </c>
    </row>
    <row r="1401" spans="1:160" ht="15" hidden="1" customHeight="1">
      <c r="A1401" s="1" t="s">
        <v>643</v>
      </c>
      <c r="B1401" t="s">
        <v>644</v>
      </c>
      <c r="C1401" t="s">
        <v>645</v>
      </c>
      <c r="D1401" t="s">
        <v>646</v>
      </c>
      <c r="E1401" t="s">
        <v>647</v>
      </c>
      <c r="F1401" t="s">
        <v>648</v>
      </c>
      <c r="G1401" t="s">
        <v>649</v>
      </c>
      <c r="H1401" t="s">
        <v>254</v>
      </c>
      <c r="I1401">
        <v>2021</v>
      </c>
      <c r="J1401">
        <v>1</v>
      </c>
      <c r="K1401" t="s">
        <v>650</v>
      </c>
      <c r="M1401" t="str">
        <f>LEFT($D1401,FIND(",",$D1401)-1)&amp;"_"&amp;I1401&amp;L1401</f>
        <v>Dolezal_2021</v>
      </c>
      <c r="N1401" t="s">
        <v>222</v>
      </c>
      <c r="O1401" s="145" t="s">
        <v>274</v>
      </c>
      <c r="Q1401" t="s">
        <v>256</v>
      </c>
      <c r="R1401" s="251" t="s">
        <v>225</v>
      </c>
      <c r="S1401" s="1" t="s">
        <v>651</v>
      </c>
      <c r="T1401" t="s">
        <v>652</v>
      </c>
      <c r="U1401" t="s">
        <v>182</v>
      </c>
      <c r="V1401" s="253">
        <v>0</v>
      </c>
      <c r="W1401" s="253">
        <v>0</v>
      </c>
      <c r="X1401">
        <v>0</v>
      </c>
      <c r="Y1401">
        <v>0</v>
      </c>
      <c r="Z1401">
        <v>0</v>
      </c>
      <c r="AA1401">
        <v>0</v>
      </c>
      <c r="AB1401">
        <v>0</v>
      </c>
      <c r="AC1401">
        <v>0</v>
      </c>
      <c r="AD1401">
        <v>0</v>
      </c>
      <c r="AE1401">
        <v>0</v>
      </c>
      <c r="AF1401">
        <v>0</v>
      </c>
      <c r="AG1401">
        <v>0</v>
      </c>
      <c r="AH1401">
        <v>0</v>
      </c>
      <c r="AI1401">
        <v>0</v>
      </c>
      <c r="AJ1401">
        <v>0</v>
      </c>
      <c r="AK1401">
        <v>0</v>
      </c>
      <c r="AL1401">
        <v>0</v>
      </c>
      <c r="AM1401">
        <v>1</v>
      </c>
      <c r="AN1401">
        <v>0</v>
      </c>
      <c r="AO1401">
        <v>0</v>
      </c>
      <c r="AP1401">
        <v>0</v>
      </c>
      <c r="AQ1401">
        <v>0</v>
      </c>
      <c r="AR1401">
        <v>0</v>
      </c>
      <c r="AS1401">
        <v>0</v>
      </c>
      <c r="AT1401">
        <v>0</v>
      </c>
      <c r="AU1401">
        <v>0</v>
      </c>
      <c r="AV1401">
        <v>0</v>
      </c>
      <c r="AW1401">
        <v>0</v>
      </c>
      <c r="AX1401">
        <v>0</v>
      </c>
      <c r="AY1401">
        <v>0</v>
      </c>
      <c r="AZ1401" s="141">
        <f>COUNTIF(X1401:AY1401,"&lt;&gt;0")</f>
        <v>1</v>
      </c>
      <c r="BA1401" s="141">
        <f>COUNTIF(X1401:AN1401,"&lt;&gt;0")</f>
        <v>1</v>
      </c>
      <c r="BB1401">
        <f>COUNTIF(X1401:AE1401,"&lt;&gt;0")</f>
        <v>0</v>
      </c>
      <c r="BC1401">
        <f>COUNTIF(AF1401:AK1401,"&lt;&gt;0")</f>
        <v>0</v>
      </c>
      <c r="BD1401">
        <f>COUNTIF(AL1401:AN1401,"&lt;&gt;0")</f>
        <v>1</v>
      </c>
      <c r="BE1401">
        <f>COUNTIF(AU1401:AY1401,"&lt;&gt;0")</f>
        <v>0</v>
      </c>
      <c r="BF1401">
        <f>COUNTIF(AO1401:AT1401,"&lt;&gt;0")</f>
        <v>0</v>
      </c>
      <c r="BG1401" t="str">
        <f t="array" ref="BG1401">IF(BA1401=1,INDEX($X$7:$AN$7,MATCH(TRUE,INDEX($X1401:$AY1401&lt;&gt;0,),0)),IF(BA1401=0,INDEX($AO$7:$AY$7,MATCH(1,$AO1401:$AY1401,0)),IF(BH1401="Multiple strategies","mixed drivers",IF(BH1401="Supply chain","multiple supply","multiple silviculture"))))</f>
        <v>technologies/design switch</v>
      </c>
      <c r="BH1401" s="2" t="str" cm="1">
        <f t="array" ref="BH1401">IF(COUNTIF(BB1401:BD1401,"&lt;&gt;0")=1,INDEX($X$4:$AY$4,MATCH(TRUE,INDEX($X1401:$AY1401&lt;&gt;0,),0)),IF(COUNTIF(BB1401:BD1401,"&lt;&gt;0")=0,INDEX($AO$4:$AY$4,MATCH(1,$AO1401:$AY1401,0)),"Multiple strategies"))</f>
        <v>Technology</v>
      </c>
      <c r="BI1401" s="1" t="s">
        <v>229</v>
      </c>
      <c r="BJ1401" s="260" t="s">
        <v>259</v>
      </c>
      <c r="BK1401" s="260" t="s">
        <v>2990</v>
      </c>
      <c r="BL1401" s="260" t="s">
        <v>638</v>
      </c>
      <c r="BM1401" s="256">
        <v>0</v>
      </c>
      <c r="BN1401" s="256">
        <v>528</v>
      </c>
      <c r="BO1401" s="257"/>
      <c r="BP1401" s="256">
        <f>BN1401-BM1401</f>
        <v>528</v>
      </c>
      <c r="BQ1401" s="256">
        <f>BP1401*t_to_m3</f>
        <v>1077.5510204081634</v>
      </c>
      <c r="BR1401" s="256" t="s">
        <v>395</v>
      </c>
      <c r="BS1401" s="256" t="s">
        <v>2991</v>
      </c>
      <c r="BT1401" s="256" t="s">
        <v>2989</v>
      </c>
      <c r="BU1401" s="256">
        <f>(186+22+0+57+1942+29-149)*3528.65</f>
        <v>7364292.5499999998</v>
      </c>
      <c r="BV1401" s="256">
        <f>(215+22+15+51+1942+44-71)*3528.65</f>
        <v>7826545.7000000002</v>
      </c>
      <c r="BW1401" s="144">
        <f>IFERROR(BV1401/BU1401,"")</f>
        <v>1.0627695256348826</v>
      </c>
      <c r="BX1401">
        <f>BV1401-BU1401</f>
        <v>462253.15000000037</v>
      </c>
      <c r="BZ1401">
        <f>BX1401/1000</f>
        <v>462.25315000000035</v>
      </c>
      <c r="CA1401">
        <f>IFERROR(BZ1401/BQ1401,"")</f>
        <v>0.42898493087121242</v>
      </c>
      <c r="CB1401">
        <v>0</v>
      </c>
      <c r="CC1401">
        <v>0</v>
      </c>
      <c r="CD1401">
        <v>0</v>
      </c>
      <c r="CE1401">
        <v>0</v>
      </c>
      <c r="CF1401">
        <v>0</v>
      </c>
      <c r="CG1401">
        <v>0</v>
      </c>
      <c r="CH1401">
        <v>0</v>
      </c>
      <c r="CI1401">
        <v>0</v>
      </c>
      <c r="CJ1401">
        <v>0</v>
      </c>
      <c r="CK1401">
        <v>0</v>
      </c>
      <c r="CL1401">
        <v>0</v>
      </c>
      <c r="CM1401">
        <v>0</v>
      </c>
      <c r="CN1401">
        <v>0</v>
      </c>
      <c r="CO1401">
        <v>0</v>
      </c>
      <c r="CP1401" t="str">
        <f>IF($BN1401&lt;$BM1401,"refNeedCorrection","refOK")</f>
        <v>refOK</v>
      </c>
      <c r="CQ1401">
        <f>IF($CP1401="refNeedCorrection",BN1401,BM1401)</f>
        <v>0</v>
      </c>
      <c r="CR1401">
        <f>IF($CP1401="refNeedCorrection",BM1401,BN1401)</f>
        <v>528</v>
      </c>
      <c r="CS1401">
        <f>IF($CP1401="refOK",$BQ1401,-$BQ1401)</f>
        <v>1077.5510204081634</v>
      </c>
      <c r="CT1401">
        <f>IF(BI1401="Roundwood",$CS1401/2,$CS1401)</f>
        <v>1077.5510204081634</v>
      </c>
      <c r="CU1401">
        <f>IF($CP1401="refOK",$BU1402,$BV1402)*IF($BR1401="Emissions positive",-1,1)</f>
        <v>-769245.70000000007</v>
      </c>
      <c r="CV1401">
        <f>IF($CP1401="refOK",$BV1402,$BU1402)*IF($BR1401="Emissions positive",-1,1)</f>
        <v>-938620.9</v>
      </c>
      <c r="CW1401">
        <f>IF($CP1401="refNeedCorrection",-BZ1401,BZ1401)*IF($BR1401="Emissions positive",-1,1)</f>
        <v>-462.25315000000035</v>
      </c>
      <c r="CX1401">
        <f>IFERROR($CW1401/$CS1401,"")</f>
        <v>-0.42898493087121242</v>
      </c>
      <c r="CY1401">
        <f>IFERROR($CW1401/$CS1401,"")</f>
        <v>-0.42898493087121242</v>
      </c>
      <c r="CZ1401">
        <f>IFERROR($CW1401/$CT1401,"")</f>
        <v>-0.42898493087121242</v>
      </c>
      <c r="DA1401" s="2">
        <f>IFERROR((CV1401-CU1401)/ABS(CU1401),"")</f>
        <v>-0.22018348623853204</v>
      </c>
      <c r="DB1401" s="1" t="s">
        <v>263</v>
      </c>
      <c r="DC1401" t="str">
        <f>IF(OR($DB1401="prd",$DB1401="std",$DB1401="cit"),"loc",IF(OR($DB1401="eur",$DB1401="reg",$DB1401="coy"),"reg",$DB1401))</f>
        <v>loc</v>
      </c>
      <c r="DD1401" t="s">
        <v>653</v>
      </c>
      <c r="DG1401">
        <v>100</v>
      </c>
      <c r="DH1401" t="str">
        <f>IF(DG1401=0,"0",IF(AND(DG1401&gt;=1,DG1401&lt;=30),"1-30",IF(AND(DG1401&gt;30,DG1401&lt;=70),"31-70",IF(AND(DG1401&gt;70,DG1401&lt;=100),"71-100",IF(DG1401&gt;100,"+100")))))</f>
        <v>71-100</v>
      </c>
      <c r="DI1401">
        <v>0</v>
      </c>
      <c r="DJ1401">
        <v>0</v>
      </c>
      <c r="DK1401">
        <v>0</v>
      </c>
      <c r="DL1401">
        <v>1</v>
      </c>
      <c r="DN1401">
        <f>SUM(DI1401:DL1401)</f>
        <v>1</v>
      </c>
      <c r="DO1401" t="str">
        <f>IF(DN1401=1,INDEX($DI$7:$DL$7,MATCH(1,$DI1401:$DL1401,0)),"mixedProduct")</f>
        <v>TimberInput</v>
      </c>
      <c r="DP1401">
        <f>IF(DI1401=1,DP$7,0)</f>
        <v>0</v>
      </c>
      <c r="DQ1401">
        <f>IF(DJ1401=1,DQ$7,0)</f>
        <v>0</v>
      </c>
      <c r="DR1401">
        <f>IF(DK1401=1,DR$7,0)</f>
        <v>0</v>
      </c>
      <c r="DS1401" t="str">
        <f>IF(DL1401=1,DS$7,0)</f>
        <v>Timber</v>
      </c>
      <c r="DT1401">
        <v>0</v>
      </c>
      <c r="DU1401">
        <v>0</v>
      </c>
      <c r="DV1401">
        <v>0</v>
      </c>
      <c r="DW1401">
        <v>0</v>
      </c>
      <c r="DX1401">
        <v>0</v>
      </c>
      <c r="DY1401">
        <f>SUM(DT1401:DU1401)</f>
        <v>0</v>
      </c>
      <c r="DZ1401" s="143" t="str">
        <f>IF(DT1401=1,"self-calculated DF",IF(DU1401=1,"external DF used","explicit C balance"))</f>
        <v>explicit C balance</v>
      </c>
      <c r="EA1401">
        <v>0</v>
      </c>
      <c r="EB1401">
        <v>0</v>
      </c>
      <c r="EC1401">
        <v>0</v>
      </c>
      <c r="ED1401">
        <v>1</v>
      </c>
      <c r="EE1401">
        <v>0</v>
      </c>
      <c r="EF1401">
        <v>1</v>
      </c>
      <c r="EG1401">
        <v>0</v>
      </c>
      <c r="EH1401">
        <v>1</v>
      </c>
      <c r="EI1401">
        <v>1</v>
      </c>
      <c r="EJ1401">
        <v>1</v>
      </c>
      <c r="EK1401" s="256">
        <v>0</v>
      </c>
      <c r="EL1401" s="256">
        <v>0</v>
      </c>
      <c r="EM1401">
        <v>0</v>
      </c>
      <c r="EN1401" s="2">
        <v>0</v>
      </c>
      <c r="EP1401" t="str">
        <f>IF(AND(AND(AND(OR($EC1401=1,$EB1401=1),OR($EH1401=1,$EF1401=1)),SUM($EA1401:$EE1401,$EK1401)&gt;=3),SUM($EF1401:$EJ1401)&gt;=2),"Whole sector approach","")</f>
        <v/>
      </c>
      <c r="EQ1401" t="str">
        <f>IF(AND(AND(OR($EC1401=1,$EB1401=1),AND($EH1401=0,$EF1401=0)),SUM($EA1401:$EE1401,$EK1401)&gt;=4),"Ecosystem approach","")</f>
        <v/>
      </c>
      <c r="ER1401" s="2" t="str">
        <f>IF(AND(AND(AND($EC1401=0,$EB1401=0),OR($EH1401=1,$EF1401=1)),SUM($EG1401:$EJ1401)&gt;=2),"Technology approach","")</f>
        <v>Technology approach</v>
      </c>
      <c r="ES1401" t="str">
        <f>IF(AND($EC1401+$EB1401+$EE1401+$EA1401+$ED1401+$EG1401=0,$N1401="included"),"C neutral forest and HWP assumption","")</f>
        <v/>
      </c>
      <c r="ET1401" t="str">
        <f>IF(AND(AND(AND(AND($EC1401=1,$EB1401+$EA1401+$EG1401&gt;=1),$EF1401=1),$EH1401+$EI1401+$ED1401+$EE1401&gt;=2),$N1401="included"),"All C pools assumption","")</f>
        <v/>
      </c>
      <c r="EU1401" t="str">
        <f>IF(AND($ED1401+$EE1401+$EI1401+$EH1401+$EF1401=0,$N1401="included"),"In-situ only assumption","")</f>
        <v/>
      </c>
      <c r="EY1401" t="str">
        <f>IF(ISNUMBER(BW1401),IF(ABS(BW1401-[6]QC_indicators!$B$2)&gt;3*[6]QC_indicators!$C$2,"C ratio",IF(ISNUMBER(CA1401),IF(ABS(CA1401-[6]QC_indicators!$B$1)&gt;3*[6]QC_indicators!$C$1,"DF","no"))),IF(ISNUMBER(CA1401),IF(ABS(CA1401-[6]QC_indicators!$B$1)&gt;3*[6]QC_indicators!$C$1,"DF","no")))</f>
        <v>no</v>
      </c>
      <c r="FA1401" t="str">
        <f>IF(LEN($CY1401)=0,"",IF(AND($CY1401&lt;(-0.05),$ES1401="C neutral forest and HWP assumption"),"Cneutral paradox",IF(AND($CY1401&gt;0.05,$EU1401="In-situ only assumption"),"In-situ only paradox","")))</f>
        <v/>
      </c>
      <c r="FD1401" s="260" t="s">
        <v>2948</v>
      </c>
    </row>
    <row r="1402" spans="1:160" ht="15" hidden="1" customHeight="1">
      <c r="A1402" s="1" t="s">
        <v>643</v>
      </c>
      <c r="B1402" t="s">
        <v>644</v>
      </c>
      <c r="C1402" t="s">
        <v>645</v>
      </c>
      <c r="D1402" t="s">
        <v>646</v>
      </c>
      <c r="E1402" t="s">
        <v>647</v>
      </c>
      <c r="F1402" t="s">
        <v>648</v>
      </c>
      <c r="G1402" t="s">
        <v>649</v>
      </c>
      <c r="H1402" t="s">
        <v>254</v>
      </c>
      <c r="I1402">
        <v>2021</v>
      </c>
      <c r="J1402">
        <v>1</v>
      </c>
      <c r="K1402" t="s">
        <v>650</v>
      </c>
      <c r="M1402" t="str">
        <f>LEFT($D1402,FIND(",",$D1402)-1)&amp;"_"&amp;I1402&amp;L1402</f>
        <v>Dolezal_2021</v>
      </c>
      <c r="N1402" t="s">
        <v>222</v>
      </c>
      <c r="O1402" s="145" t="s">
        <v>274</v>
      </c>
      <c r="Q1402" t="s">
        <v>256</v>
      </c>
      <c r="R1402" s="251" t="s">
        <v>225</v>
      </c>
      <c r="S1402" s="1" t="s">
        <v>651</v>
      </c>
      <c r="T1402" t="s">
        <v>652</v>
      </c>
      <c r="U1402" t="s">
        <v>182</v>
      </c>
      <c r="V1402" s="253">
        <v>0</v>
      </c>
      <c r="W1402" s="253">
        <v>0</v>
      </c>
      <c r="X1402">
        <v>0</v>
      </c>
      <c r="Y1402">
        <v>0</v>
      </c>
      <c r="Z1402">
        <v>0</v>
      </c>
      <c r="AA1402">
        <v>0</v>
      </c>
      <c r="AB1402">
        <v>0</v>
      </c>
      <c r="AC1402">
        <v>0</v>
      </c>
      <c r="AD1402">
        <v>0</v>
      </c>
      <c r="AE1402">
        <v>0</v>
      </c>
      <c r="AF1402">
        <v>0</v>
      </c>
      <c r="AG1402">
        <v>0</v>
      </c>
      <c r="AH1402">
        <v>0</v>
      </c>
      <c r="AI1402">
        <v>0</v>
      </c>
      <c r="AJ1402">
        <v>0</v>
      </c>
      <c r="AK1402">
        <v>0</v>
      </c>
      <c r="AL1402">
        <v>0</v>
      </c>
      <c r="AM1402">
        <v>1</v>
      </c>
      <c r="AN1402">
        <v>0</v>
      </c>
      <c r="AO1402">
        <v>0</v>
      </c>
      <c r="AP1402">
        <v>0</v>
      </c>
      <c r="AQ1402">
        <v>0</v>
      </c>
      <c r="AR1402">
        <v>0</v>
      </c>
      <c r="AS1402">
        <v>0</v>
      </c>
      <c r="AT1402">
        <v>0</v>
      </c>
      <c r="AU1402">
        <v>0</v>
      </c>
      <c r="AV1402">
        <v>0</v>
      </c>
      <c r="AW1402">
        <v>0</v>
      </c>
      <c r="AX1402">
        <v>0</v>
      </c>
      <c r="AY1402">
        <v>0</v>
      </c>
      <c r="AZ1402" s="141">
        <f>COUNTIF(X1402:AY1402,"&lt;&gt;0")</f>
        <v>1</v>
      </c>
      <c r="BA1402" s="141">
        <f>COUNTIF(X1402:AN1402,"&lt;&gt;0")</f>
        <v>1</v>
      </c>
      <c r="BB1402">
        <f>COUNTIF(X1402:AE1402,"&lt;&gt;0")</f>
        <v>0</v>
      </c>
      <c r="BC1402">
        <f>COUNTIF(AF1402:AK1402,"&lt;&gt;0")</f>
        <v>0</v>
      </c>
      <c r="BD1402">
        <f>COUNTIF(AL1402:AN1402,"&lt;&gt;0")</f>
        <v>1</v>
      </c>
      <c r="BE1402">
        <f>COUNTIF(AU1402:AY1402,"&lt;&gt;0")</f>
        <v>0</v>
      </c>
      <c r="BF1402">
        <f>COUNTIF(AO1402:AT1402,"&lt;&gt;0")</f>
        <v>0</v>
      </c>
      <c r="BG1402" t="str">
        <f t="array" ref="BG1402">IF(BA1402=1,INDEX($X$7:$AN$7,MATCH(TRUE,INDEX($X1402:$AY1402&lt;&gt;0,),0)),IF(BA1402=0,INDEX($AO$7:$AY$7,MATCH(1,$AO1402:$AY1402,0)),IF(BH1402="Multiple strategies","mixed drivers",IF(BH1402="Supply chain","multiple supply","multiple silviculture"))))</f>
        <v>technologies/design switch</v>
      </c>
      <c r="BH1402" s="2" t="str" cm="1">
        <f t="array" ref="BH1402">IF(COUNTIF(BB1402:BD1402,"&lt;&gt;0")=1,INDEX($X$4:$AY$4,MATCH(TRUE,INDEX($X1402:$AY1402&lt;&gt;0,),0)),IF(COUNTIF(BB1402:BD1402,"&lt;&gt;0")=0,INDEX($AO$4:$AY$4,MATCH(1,$AO1402:$AY1402,0)),"Multiple strategies"))</f>
        <v>Technology</v>
      </c>
      <c r="BI1402" s="1" t="s">
        <v>229</v>
      </c>
      <c r="BJ1402" s="260" t="s">
        <v>259</v>
      </c>
      <c r="BK1402" s="260" t="s">
        <v>2990</v>
      </c>
      <c r="BL1402" s="260" t="s">
        <v>638</v>
      </c>
      <c r="BM1402" s="256">
        <v>0</v>
      </c>
      <c r="BN1402" s="256">
        <v>528</v>
      </c>
      <c r="BO1402" s="257"/>
      <c r="BP1402" s="256">
        <f>BN1402-BM1402</f>
        <v>528</v>
      </c>
      <c r="BQ1402" s="256">
        <f>BP1402*t_to_m3</f>
        <v>1077.5510204081634</v>
      </c>
      <c r="BR1402" s="256" t="s">
        <v>395</v>
      </c>
      <c r="BS1402" s="256" t="s">
        <v>2992</v>
      </c>
      <c r="BT1402" s="256" t="s">
        <v>2989</v>
      </c>
      <c r="BU1402" s="256">
        <f xml:space="preserve"> 218*3528.65</f>
        <v>769245.70000000007</v>
      </c>
      <c r="BV1402" s="256">
        <f xml:space="preserve"> 266*3528.65</f>
        <v>938620.9</v>
      </c>
      <c r="BW1402" s="144">
        <f>IFERROR(BV1402/BU1402,"")</f>
        <v>1.2201834862385321</v>
      </c>
      <c r="BX1402">
        <f>BV1402-BU1402</f>
        <v>169375.19999999995</v>
      </c>
      <c r="BZ1402">
        <f>BX1402/1000</f>
        <v>169.37519999999995</v>
      </c>
      <c r="CA1402">
        <f>IFERROR(BZ1402/BQ1402,"")</f>
        <v>0.15718531818181811</v>
      </c>
      <c r="CB1402">
        <v>0</v>
      </c>
      <c r="CC1402">
        <v>0</v>
      </c>
      <c r="CD1402">
        <v>0</v>
      </c>
      <c r="CE1402">
        <v>0</v>
      </c>
      <c r="CF1402">
        <v>0</v>
      </c>
      <c r="CG1402">
        <v>0</v>
      </c>
      <c r="CH1402">
        <v>0</v>
      </c>
      <c r="CI1402">
        <v>0</v>
      </c>
      <c r="CJ1402">
        <v>0</v>
      </c>
      <c r="CK1402">
        <v>0</v>
      </c>
      <c r="CL1402">
        <v>0</v>
      </c>
      <c r="CM1402">
        <v>0</v>
      </c>
      <c r="CN1402">
        <v>0</v>
      </c>
      <c r="CO1402">
        <v>0</v>
      </c>
      <c r="CP1402" t="str">
        <f>IF($BN1402&lt;$BM1402,"refNeedCorrection","refOK")</f>
        <v>refOK</v>
      </c>
      <c r="CQ1402">
        <f>IF($CP1402="refNeedCorrection",BN1402,BM1402)</f>
        <v>0</v>
      </c>
      <c r="CR1402">
        <f>IF($CP1402="refNeedCorrection",BM1402,BN1402)</f>
        <v>528</v>
      </c>
      <c r="CS1402">
        <f>IF($CP1402="refOK",$BQ1402,-$BQ1402)</f>
        <v>1077.5510204081634</v>
      </c>
      <c r="CT1402">
        <f>IF(BI1402="Roundwood",$CS1402/2,$CS1402)</f>
        <v>1077.5510204081634</v>
      </c>
      <c r="CU1402" t="e">
        <f>IF($CP1402="refOK",#REF!,#REF!)*IF($BR1402="Emissions positive",-1,1)</f>
        <v>#REF!</v>
      </c>
      <c r="CV1402" t="e">
        <f>IF($CP1402="refOK",#REF!,#REF!)*IF($BR1402="Emissions positive",-1,1)</f>
        <v>#REF!</v>
      </c>
      <c r="CW1402">
        <f>IF($CP1402="refNeedCorrection",-BZ1402,BZ1402)*IF($BR1402="Emissions positive",-1,1)</f>
        <v>-169.37519999999995</v>
      </c>
      <c r="CX1402">
        <f>IFERROR($CW1402/$CS1402,"")</f>
        <v>-0.15718531818181811</v>
      </c>
      <c r="CY1402">
        <f>IFERROR($CW1402/$CS1402,"")</f>
        <v>-0.15718531818181811</v>
      </c>
      <c r="CZ1402">
        <f>IFERROR($CW1402/$CT1402,"")</f>
        <v>-0.15718531818181811</v>
      </c>
      <c r="DA1402" s="2" t="str">
        <f>IFERROR((CV1402-CU1402)/ABS(CU1402),"")</f>
        <v/>
      </c>
      <c r="DB1402" s="1" t="s">
        <v>263</v>
      </c>
      <c r="DC1402" t="str">
        <f>IF(OR($DB1402="prd",$DB1402="std",$DB1402="cit"),"loc",IF(OR($DB1402="eur",$DB1402="reg",$DB1402="coy"),"reg",$DB1402))</f>
        <v>loc</v>
      </c>
      <c r="DD1402" t="s">
        <v>653</v>
      </c>
      <c r="DG1402">
        <v>100</v>
      </c>
      <c r="DH1402" t="str">
        <f>IF(DG1402=0,"0",IF(AND(DG1402&gt;=1,DG1402&lt;=30),"1-30",IF(AND(DG1402&gt;30,DG1402&lt;=70),"31-70",IF(AND(DG1402&gt;70,DG1402&lt;=100),"71-100",IF(DG1402&gt;100,"+100")))))</f>
        <v>71-100</v>
      </c>
      <c r="DI1402">
        <v>0</v>
      </c>
      <c r="DJ1402">
        <v>0</v>
      </c>
      <c r="DK1402">
        <v>0</v>
      </c>
      <c r="DL1402">
        <v>1</v>
      </c>
      <c r="DN1402">
        <f>SUM(DI1402:DL1402)</f>
        <v>1</v>
      </c>
      <c r="DO1402" t="str">
        <f>IF(DN1402=1,INDEX($DI$7:$DL$7,MATCH(1,$DI1402:$DL1402,0)),"mixedProduct")</f>
        <v>TimberInput</v>
      </c>
      <c r="DP1402">
        <f>IF(DI1402=1,DP$7,0)</f>
        <v>0</v>
      </c>
      <c r="DQ1402">
        <f>IF(DJ1402=1,DQ$7,0)</f>
        <v>0</v>
      </c>
      <c r="DR1402">
        <f>IF(DK1402=1,DR$7,0)</f>
        <v>0</v>
      </c>
      <c r="DS1402" t="str">
        <f>IF(DL1402=1,DS$7,0)</f>
        <v>Timber</v>
      </c>
      <c r="DT1402">
        <v>0</v>
      </c>
      <c r="DU1402">
        <v>0</v>
      </c>
      <c r="DV1402">
        <v>0</v>
      </c>
      <c r="DW1402">
        <v>0</v>
      </c>
      <c r="DX1402">
        <v>0</v>
      </c>
      <c r="DY1402">
        <f>SUM(DT1402:DU1402)</f>
        <v>0</v>
      </c>
      <c r="DZ1402" s="143" t="str">
        <f>IF(DT1402=1,"self-calculated DF",IF(DU1402=1,"external DF used","explicit C balance"))</f>
        <v>explicit C balance</v>
      </c>
      <c r="EA1402">
        <v>0</v>
      </c>
      <c r="EB1402">
        <v>0</v>
      </c>
      <c r="EC1402">
        <v>0</v>
      </c>
      <c r="ED1402">
        <v>1</v>
      </c>
      <c r="EE1402">
        <v>0</v>
      </c>
      <c r="EF1402">
        <v>1</v>
      </c>
      <c r="EG1402">
        <v>0</v>
      </c>
      <c r="EH1402">
        <v>1</v>
      </c>
      <c r="EI1402">
        <v>0</v>
      </c>
      <c r="EJ1402">
        <v>1</v>
      </c>
      <c r="EK1402" s="256">
        <v>0</v>
      </c>
      <c r="EL1402" s="256">
        <v>0</v>
      </c>
      <c r="EM1402">
        <v>0</v>
      </c>
      <c r="EN1402" s="2">
        <v>0</v>
      </c>
      <c r="EP1402" t="str">
        <f>IF(AND(AND(AND(OR($EC1402=1,$EB1402=1),OR($EH1402=1,$EF1402=1)),SUM($EA1402:$EE1402,$EK1402)&gt;=3),SUM($EF1402:$EJ1402)&gt;=2),"Whole sector approach","")</f>
        <v/>
      </c>
      <c r="EQ1402" t="str">
        <f>IF(AND(AND(OR($EC1402=1,$EB1402=1),AND($EH1402=0,$EF1402=0)),SUM($EA1402:$EE1402,$EK1402)&gt;=4),"Ecosystem approach","")</f>
        <v/>
      </c>
      <c r="ER1402" s="2" t="str">
        <f>IF(AND(AND(AND($EC1402=0,$EB1402=0),OR($EH1402=1,$EF1402=1)),SUM($EG1402:$EJ1402)&gt;=2),"Technology approach","")</f>
        <v>Technology approach</v>
      </c>
      <c r="ES1402" t="str">
        <f>IF(AND($EC1402+$EB1402+$EE1402+$EA1402+$ED1402+$EG1402=0,$N1402="included"),"C neutral forest and HWP assumption","")</f>
        <v/>
      </c>
      <c r="ET1402" t="str">
        <f>IF(AND(AND(AND(AND($EC1402=1,$EB1402+$EA1402+$EG1402&gt;=1),$EF1402=1),$EH1402+$EI1402+$ED1402+$EE1402&gt;=2),$N1402="included"),"All C pools assumption","")</f>
        <v/>
      </c>
      <c r="EU1402" t="str">
        <f>IF(AND($ED1402+$EE1402+$EI1402+$EH1402+$EF1402=0,$N1402="included"),"In-situ only assumption","")</f>
        <v/>
      </c>
      <c r="EY1402" t="str">
        <f>IF(ISNUMBER(BW1402),IF(ABS(BW1402-[6]QC_indicators!$B$2)&gt;3*[6]QC_indicators!$C$2,"C ratio",IF(ISNUMBER(CA1402),IF(ABS(CA1402-[6]QC_indicators!$B$1)&gt;3*[6]QC_indicators!$C$1,"DF","no"))),IF(ISNUMBER(CA1402),IF(ABS(CA1402-[6]QC_indicators!$B$1)&gt;3*[6]QC_indicators!$C$1,"DF","no")))</f>
        <v>no</v>
      </c>
      <c r="FA1402" t="str">
        <f>IF(LEN($CY1402)=0,"",IF(AND($CY1402&lt;(-0.05),$ES1402="C neutral forest and HWP assumption"),"Cneutral paradox",IF(AND($CY1402&gt;0.05,$EU1402="In-situ only assumption"),"In-situ only paradox","")))</f>
        <v/>
      </c>
      <c r="FD1402" s="260" t="s">
        <v>2948</v>
      </c>
    </row>
    <row r="1403" spans="1:160" ht="15" hidden="1" customHeight="1">
      <c r="A1403" s="1" t="s">
        <v>549</v>
      </c>
      <c r="B1403" t="s">
        <v>531</v>
      </c>
      <c r="C1403" t="s">
        <v>1465</v>
      </c>
      <c r="D1403" t="s">
        <v>1466</v>
      </c>
      <c r="E1403" t="s">
        <v>1467</v>
      </c>
      <c r="F1403" t="s">
        <v>1468</v>
      </c>
      <c r="G1403" t="s">
        <v>554</v>
      </c>
      <c r="H1403" t="s">
        <v>254</v>
      </c>
      <c r="I1403">
        <v>2019</v>
      </c>
      <c r="J1403">
        <v>15</v>
      </c>
      <c r="K1403" t="s">
        <v>1469</v>
      </c>
      <c r="M1403" t="str">
        <f>LEFT($D1403,FIND(",",$D1403)-1)&amp;"_"&amp;I1403&amp;L1403</f>
        <v>Geng_2019</v>
      </c>
      <c r="N1403" t="s">
        <v>222</v>
      </c>
      <c r="O1403" s="180" t="s">
        <v>225</v>
      </c>
      <c r="Q1403" s="317" t="s">
        <v>256</v>
      </c>
      <c r="R1403" s="318" t="s">
        <v>1029</v>
      </c>
      <c r="S1403" s="1" t="s">
        <v>1470</v>
      </c>
      <c r="T1403" t="s">
        <v>4963</v>
      </c>
      <c r="U1403" t="s">
        <v>4964</v>
      </c>
      <c r="V1403" s="253">
        <v>0</v>
      </c>
      <c r="W1403" s="253">
        <v>0</v>
      </c>
      <c r="X1403">
        <v>0</v>
      </c>
      <c r="Y1403">
        <v>0</v>
      </c>
      <c r="Z1403">
        <v>0</v>
      </c>
      <c r="AA1403">
        <v>0</v>
      </c>
      <c r="AB1403">
        <v>0</v>
      </c>
      <c r="AC1403">
        <v>0</v>
      </c>
      <c r="AD1403">
        <v>0</v>
      </c>
      <c r="AE1403">
        <v>0</v>
      </c>
      <c r="AF1403">
        <v>0</v>
      </c>
      <c r="AG1403">
        <v>0</v>
      </c>
      <c r="AH1403">
        <v>0</v>
      </c>
      <c r="AI1403">
        <v>0</v>
      </c>
      <c r="AJ1403">
        <v>0</v>
      </c>
      <c r="AK1403">
        <v>0</v>
      </c>
      <c r="AL1403">
        <v>0</v>
      </c>
      <c r="AM1403">
        <v>1</v>
      </c>
      <c r="AN1403">
        <v>0</v>
      </c>
      <c r="AO1403">
        <v>0</v>
      </c>
      <c r="AP1403">
        <v>0</v>
      </c>
      <c r="AQ1403">
        <v>0</v>
      </c>
      <c r="AR1403">
        <v>0</v>
      </c>
      <c r="AS1403">
        <v>0</v>
      </c>
      <c r="AT1403">
        <v>0</v>
      </c>
      <c r="AU1403">
        <v>0</v>
      </c>
      <c r="AV1403">
        <v>0</v>
      </c>
      <c r="AW1403">
        <v>0</v>
      </c>
      <c r="AX1403">
        <v>0</v>
      </c>
      <c r="AY1403">
        <v>0</v>
      </c>
      <c r="AZ1403" s="141">
        <f>COUNTIF(X1403:AY1403,"&lt;&gt;0")</f>
        <v>1</v>
      </c>
      <c r="BA1403" s="141">
        <f>COUNTIF(X1403:AN1403,"&lt;&gt;0")</f>
        <v>1</v>
      </c>
      <c r="BB1403">
        <f>COUNTIF(X1403:AE1403,"&lt;&gt;0")</f>
        <v>0</v>
      </c>
      <c r="BC1403">
        <f>COUNTIF(AF1403:AK1403,"&lt;&gt;0")</f>
        <v>0</v>
      </c>
      <c r="BD1403">
        <f>COUNTIF(AL1403:AN1403,"&lt;&gt;0")</f>
        <v>1</v>
      </c>
      <c r="BE1403">
        <f>COUNTIF(AU1403:AY1403,"&lt;&gt;0")</f>
        <v>0</v>
      </c>
      <c r="BF1403">
        <f>COUNTIF(AO1403:AT1403,"&lt;&gt;0")</f>
        <v>0</v>
      </c>
      <c r="BG1403" t="str" cm="1">
        <f t="array" ref="BG1403">IF(BA1403=1,INDEX($X$7:$AN$7,MATCH(TRUE,INDEX($X1403:$AY1403&lt;&gt;0,),0)),IF(BA1403=0,INDEX($AO$7:$AY$7,MATCH(1,$AO1403:$AY1403,0)),IF(BH1403="Multiple strategies","mixed drivers",IF(BH1403="Supply chain","multiple supply","multiple silviculture"))))</f>
        <v>technologies/design switch</v>
      </c>
      <c r="BH1403" s="2" t="str" cm="1">
        <f t="array" ref="BH1403">IF(COUNTIF(BB1403:BD1403,"&lt;&gt;0")=1,INDEX($X$4:$AY$4,MATCH(TRUE,INDEX($X1403:$AY1403&lt;&gt;0,),0)),IF(COUNTIF(BB1403:BD1403,"&lt;&gt;0")=0,INDEX($AO$4:$AY$4,MATCH(1,$AO1403:$AY1403,0)),"Multiple strategies"))</f>
        <v>Technology</v>
      </c>
      <c r="BI1403" s="1" t="s">
        <v>229</v>
      </c>
      <c r="BJ1403" t="s">
        <v>1471</v>
      </c>
      <c r="BK1403" t="s">
        <v>2920</v>
      </c>
      <c r="BL1403" t="s">
        <v>261</v>
      </c>
      <c r="BM1403">
        <v>27</v>
      </c>
      <c r="BN1403">
        <v>66</v>
      </c>
      <c r="BO1403">
        <f>BN1403/BM1403</f>
        <v>2.4444444444444446</v>
      </c>
      <c r="BP1403">
        <f>BN1403-BM1403</f>
        <v>39</v>
      </c>
      <c r="BQ1403">
        <f>BP1403*kg_to_m3</f>
        <v>7.9591836734693888E-2</v>
      </c>
      <c r="BR1403" t="s">
        <v>232</v>
      </c>
      <c r="BS1403" t="s">
        <v>2920</v>
      </c>
      <c r="BT1403" t="s">
        <v>1476</v>
      </c>
      <c r="BW1403" s="144" t="str">
        <f>IFERROR(BV1403/BU1403,"")</f>
        <v/>
      </c>
      <c r="BX1403">
        <v>0.48699999999999999</v>
      </c>
      <c r="BZ1403">
        <f>BX1403</f>
        <v>0.48699999999999999</v>
      </c>
      <c r="CA1403">
        <f>IFERROR(BZ1403/BQ1403,"")</f>
        <v>6.1187179487179479</v>
      </c>
      <c r="CB1403">
        <v>0</v>
      </c>
      <c r="CC1403">
        <v>0</v>
      </c>
      <c r="CD1403">
        <v>0</v>
      </c>
      <c r="CE1403">
        <v>0</v>
      </c>
      <c r="CF1403">
        <v>0</v>
      </c>
      <c r="CG1403">
        <v>0</v>
      </c>
      <c r="CH1403">
        <v>0</v>
      </c>
      <c r="CI1403">
        <v>0</v>
      </c>
      <c r="CJ1403">
        <v>0</v>
      </c>
      <c r="CK1403">
        <v>0</v>
      </c>
      <c r="CL1403">
        <v>0</v>
      </c>
      <c r="CM1403">
        <v>0</v>
      </c>
      <c r="CN1403">
        <v>0</v>
      </c>
      <c r="CO1403">
        <v>0</v>
      </c>
      <c r="CP1403" t="str">
        <f>IF(BN1403&lt;BM1403,"refNeedCorrection","refOK")</f>
        <v>refOK</v>
      </c>
      <c r="CQ1403">
        <f>IF($CP1403="refOK",$BM1403,$BN1403)</f>
        <v>27</v>
      </c>
      <c r="CR1403">
        <f>IF($CP1403="refOK",$BN1403,$BM1403)</f>
        <v>66</v>
      </c>
      <c r="CS1403">
        <f>IF($CP1403="refOK",$BQ1403,-$BQ1403)</f>
        <v>7.9591836734693888E-2</v>
      </c>
      <c r="CT1403">
        <f>IF(BI1403="Roundwood",$CS1403/2,$CS1403)</f>
        <v>7.9591836734693888E-2</v>
      </c>
      <c r="CU1403">
        <f>IF($CP1403="refOK",$BU1403,$BV1403)*IF($BR1403="Emissions positive",-1,1)</f>
        <v>0</v>
      </c>
      <c r="CV1403">
        <f>IF($CP1403="refOK",$BV1403,$BU1403)*IF($BR1403="Emissions positive",-1,1)</f>
        <v>0</v>
      </c>
      <c r="CW1403">
        <f>IF($CP1403="refNeedCorrection",-BZ1403,BZ1403)*IF($BR1403="Emissions positive",-1,1)</f>
        <v>0.48699999999999999</v>
      </c>
      <c r="CX1403">
        <f>IFERROR($CW1403/$CS1403,"")</f>
        <v>6.1187179487179479</v>
      </c>
      <c r="CY1403">
        <f>IFERROR($CW1403/$CS1403,"")</f>
        <v>6.1187179487179479</v>
      </c>
      <c r="CZ1403">
        <f>IFERROR($CW1403/$CT1403,"")</f>
        <v>6.1187179487179479</v>
      </c>
      <c r="DA1403" s="2" t="str">
        <f>IFERROR((CV1403-CU1403)/ABS(CU1403),"")</f>
        <v/>
      </c>
      <c r="DB1403" s="1" t="s">
        <v>1078</v>
      </c>
      <c r="DC1403" s="317" t="str">
        <f>IF(OR($DB1403="prd",$DB1403="std",$DB1403="cit"),"loc",IF(OR($DB1403="eur",$DB1403="reg",$DB1403="coy"),"reg",$DB1403))</f>
        <v>reg</v>
      </c>
      <c r="DD1403" t="s">
        <v>677</v>
      </c>
      <c r="DE1403">
        <v>2019</v>
      </c>
      <c r="DG1403">
        <v>0</v>
      </c>
      <c r="DH1403" t="str">
        <f>IF(DG1403=0,"0",IF(AND(DG1403&gt;=1,DG1403&lt;=30),"1-30",IF(AND(DG1403&gt;30,DG1403&lt;=70),"31-70",IF(AND(DG1403&gt;70,DG1403&lt;=100),"71-100",IF(DG1403&gt;100,"+100")))))</f>
        <v>0</v>
      </c>
      <c r="DI1403">
        <v>0</v>
      </c>
      <c r="DJ1403">
        <v>0</v>
      </c>
      <c r="DK1403">
        <v>0</v>
      </c>
      <c r="DL1403">
        <v>1</v>
      </c>
      <c r="DN1403">
        <f>SUM(DI1403:DL1403)</f>
        <v>1</v>
      </c>
      <c r="DO1403" t="str">
        <f>IF(DN1403=1,INDEX($DI$7:$DL$7,MATCH(1,$DI1403:$DL1403,0)),"mixedProduct")</f>
        <v>TimberInput</v>
      </c>
      <c r="DP1403">
        <f>IF(DI1403=1,DP$7,0)</f>
        <v>0</v>
      </c>
      <c r="DQ1403">
        <f>IF(DJ1403=1,DQ$7,0)</f>
        <v>0</v>
      </c>
      <c r="DR1403">
        <f>IF(DK1403=1,DR$7,0)</f>
        <v>0</v>
      </c>
      <c r="DS1403" t="str">
        <f>IF(DL1403=1,DS$7,0)</f>
        <v>Timber</v>
      </c>
      <c r="DT1403">
        <v>1</v>
      </c>
      <c r="DU1403">
        <v>0</v>
      </c>
      <c r="DV1403">
        <v>0</v>
      </c>
      <c r="DW1403">
        <v>0</v>
      </c>
      <c r="DX1403">
        <v>0</v>
      </c>
      <c r="DY1403">
        <f>SUM(DT1403:DU1403)</f>
        <v>1</v>
      </c>
      <c r="DZ1403" s="143" t="str">
        <f>IF(DT1403=1,"self-calculated DF",IF(DU1403=1,"external DF used","explicit C balance"))</f>
        <v>self-calculated DF</v>
      </c>
      <c r="EA1403">
        <v>0</v>
      </c>
      <c r="EB1403">
        <v>0</v>
      </c>
      <c r="EC1403">
        <v>0</v>
      </c>
      <c r="ED1403">
        <v>0</v>
      </c>
      <c r="EE1403">
        <v>0</v>
      </c>
      <c r="EF1403" s="143">
        <v>1</v>
      </c>
      <c r="EG1403">
        <v>0</v>
      </c>
      <c r="EH1403">
        <v>1</v>
      </c>
      <c r="EI1403">
        <v>0</v>
      </c>
      <c r="EJ1403">
        <v>0</v>
      </c>
      <c r="EK1403">
        <v>0</v>
      </c>
      <c r="EL1403">
        <v>0</v>
      </c>
      <c r="EM1403">
        <v>0</v>
      </c>
      <c r="EN1403" s="2">
        <v>0</v>
      </c>
      <c r="EP1403" t="str">
        <f>IF(AND(AND(AND(OR($EC1403=1,$EB1403=1),OR($EH1403=1,$EF1403=1)),SUM($EA1403:$EE1403,$EK1403)&gt;=3),SUM($EF1403:$EJ1403)&gt;=2),"Whole sector approach","")</f>
        <v/>
      </c>
      <c r="EQ1403" t="str">
        <f>IF(AND(AND(OR($EC1403=1,$EB1403=1),AND($EH1403=0,$EF1403=0)),SUM($EA1403:$EE1403,$EK1403)&gt;=3),"Ecosystem approach","")</f>
        <v/>
      </c>
      <c r="ER1403" s="2" t="str">
        <f>IF(AND(AND(AND($EC1403=0,$EB1403=0),OR($EH1403=1,$EF1403=1)),SUM($EG1403:$EJ1403)&gt;=2),"Technology approach","")</f>
        <v/>
      </c>
      <c r="ES1403" t="str">
        <f>IF(AND($EC1403+$EB1403+$EE1403+$EA1403+$ED1403+$EG1403=0,$N1403="included"),"C neutral forest and HWP assumption","")</f>
        <v>C neutral forest and HWP assumption</v>
      </c>
      <c r="ET1403" t="str">
        <f>IF(AND(AND(AND(AND($EC1403=1,$EB1403+$EA1403+$EG1403&gt;=1),$EF1403=1),$EH1403+$EI1403+$ED1403+$EE1403&gt;=2),$N1403="included"),"All C pools assumption","")</f>
        <v/>
      </c>
      <c r="EU1403" t="str">
        <f>IF(AND($ED1403+$EE1403+$EI1403+$EH1403+$EF1403=0,$N1403="included"),"In-situ only assumption","")</f>
        <v/>
      </c>
      <c r="EW1403" t="s">
        <v>1474</v>
      </c>
      <c r="EY1403" t="str">
        <f>IF(ISNUMBER(BW1403),IF(ABS(BW1403-[4]QC_indicators!$B$2)&gt;3*[4]QC_indicators!$C$2,"C ratio",IF(ISNUMBER(CA1403),IF(ABS(CA1403-[4]QC_indicators!$B$1)&gt;3*[4]QC_indicators!$C$1,"DF","no"))),IF(ISNUMBER(CA1403),IF(ABS(CA1403-[4]QC_indicators!$B$1)&gt;3*[4]QC_indicators!$C$1,"DF","no")))</f>
        <v>DF</v>
      </c>
      <c r="FA1403" t="str">
        <f>IF(LEN($CY1403)=0,"",IF(AND($CY1403&lt;(-0.05),$ES1403="C neutral forest and HWP assumption"),"Cneutral paradox",IF(AND($CY1403&gt;0.05,$EU1403="In-situ only assumption"),"In-situ only paradox","")))</f>
        <v/>
      </c>
      <c r="FB1403" t="s">
        <v>1475</v>
      </c>
    </row>
    <row r="1404" spans="1:160" ht="15" hidden="1" customHeight="1">
      <c r="A1404" s="1" t="s">
        <v>1272</v>
      </c>
      <c r="B1404" t="s">
        <v>1273</v>
      </c>
      <c r="C1404" t="s">
        <v>1274</v>
      </c>
      <c r="D1404" t="s">
        <v>1275</v>
      </c>
      <c r="E1404" t="s">
        <v>1276</v>
      </c>
      <c r="F1404" t="s">
        <v>1277</v>
      </c>
      <c r="G1404" t="s">
        <v>1278</v>
      </c>
      <c r="H1404" t="s">
        <v>254</v>
      </c>
      <c r="I1404">
        <v>2021</v>
      </c>
      <c r="J1404">
        <v>0</v>
      </c>
      <c r="K1404" t="s">
        <v>1279</v>
      </c>
      <c r="M1404" t="str">
        <f>LEFT($D1404,FIND(",",$D1404)-1)&amp;"_"&amp;I1404&amp;L1404</f>
        <v>Dugan_2021</v>
      </c>
      <c r="N1404" t="s">
        <v>222</v>
      </c>
      <c r="O1404" s="145" t="s">
        <v>274</v>
      </c>
      <c r="Q1404" t="s">
        <v>256</v>
      </c>
      <c r="R1404" s="251" t="s">
        <v>225</v>
      </c>
      <c r="S1404" s="1" t="s">
        <v>314</v>
      </c>
      <c r="T1404" t="s">
        <v>1285</v>
      </c>
      <c r="U1404" t="s">
        <v>1003</v>
      </c>
      <c r="V1404" s="253">
        <v>0</v>
      </c>
      <c r="W1404" s="253">
        <v>0</v>
      </c>
      <c r="X1404">
        <v>0</v>
      </c>
      <c r="Y1404">
        <v>0</v>
      </c>
      <c r="Z1404">
        <v>1</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s="141">
        <f>COUNTIF(X1404:AY1404,"&lt;&gt;0")</f>
        <v>1</v>
      </c>
      <c r="BA1404" s="141">
        <f>COUNTIF(X1404:AN1404,"&lt;&gt;0")</f>
        <v>1</v>
      </c>
      <c r="BB1404">
        <f>COUNTIF(X1404:AE1404,"&lt;&gt;0")</f>
        <v>1</v>
      </c>
      <c r="BC1404">
        <f>COUNTIF(AF1404:AK1404,"&lt;&gt;0")</f>
        <v>0</v>
      </c>
      <c r="BD1404">
        <f>COUNTIF(AL1404:AN1404,"&lt;&gt;0")</f>
        <v>0</v>
      </c>
      <c r="BE1404">
        <f>COUNTIF(AU1404:AY1404,"&lt;&gt;0")</f>
        <v>0</v>
      </c>
      <c r="BF1404">
        <f>COUNTIF(AO1404:AT1404,"&lt;&gt;0")</f>
        <v>0</v>
      </c>
      <c r="BG1404" t="str">
        <f t="array" ref="BG1404">IF(BA1404=1,INDEX($X$7:$AN$7,MATCH(TRUE,INDEX($X1404:$AY1404&lt;&gt;0,),0)),IF(BA1404=0,INDEX($AO$7:$AY$7,MATCH(1,$AO1404:$AY1404,0)),IF(BH1404="Multiple strategies","mixed drivers",IF(BH1404="Supply chain","multiple supply","multiple silviculture"))))</f>
        <v>rotation length</v>
      </c>
      <c r="BH1404" s="2" t="str" cm="1">
        <f t="array" ref="BH1404">IF(COUNTIF(BB1404:BD1404,"&lt;&gt;0")=1,INDEX($X$4:$AY$4,MATCH(TRUE,INDEX($X1404:$AY1404&lt;&gt;0,),0)),IF(COUNTIF(BB1404:BD1404,"&lt;&gt;0")=0,INDEX($AO$4:$AY$4,MATCH(1,$AO1404:$AY1404,0)),"Multiple strategies"))</f>
        <v>Silviculture for removals</v>
      </c>
      <c r="BI1404" s="1" t="s">
        <v>321</v>
      </c>
      <c r="BJ1404" t="s">
        <v>1282</v>
      </c>
      <c r="BK1404" s="256" t="s">
        <v>2993</v>
      </c>
      <c r="BL1404" t="s">
        <v>1232</v>
      </c>
      <c r="BM1404" s="260">
        <f>0.9*BN1404</f>
        <v>13.148999999999999</v>
      </c>
      <c r="BN1404" s="260">
        <v>14.61</v>
      </c>
      <c r="BP1404" s="223">
        <f>BN1404-BM1404</f>
        <v>1.4610000000000003</v>
      </c>
      <c r="BQ1404">
        <f>BP1404*10^6*tC_to_m3</f>
        <v>6343899.2618323937</v>
      </c>
      <c r="BR1404" t="s">
        <v>232</v>
      </c>
      <c r="BS1404" s="256" t="s">
        <v>2994</v>
      </c>
      <c r="BT1404" t="s">
        <v>1175</v>
      </c>
      <c r="BU1404" s="152"/>
      <c r="BV1404" s="152"/>
      <c r="BW1404" s="144"/>
      <c r="BX1404" s="277">
        <v>-7.9482690622076007</v>
      </c>
      <c r="BZ1404">
        <f>BX1404*10^6</f>
        <v>-7948269.062207601</v>
      </c>
      <c r="CA1404">
        <f>IFERROR(BZ1404/BQ1404,"")</f>
        <v>-1.252899633830534</v>
      </c>
      <c r="CB1404">
        <v>0</v>
      </c>
      <c r="CC1404">
        <v>0</v>
      </c>
      <c r="CD1404">
        <v>0</v>
      </c>
      <c r="CE1404">
        <v>0</v>
      </c>
      <c r="CF1404">
        <v>0</v>
      </c>
      <c r="CG1404">
        <v>0</v>
      </c>
      <c r="CH1404">
        <v>0</v>
      </c>
      <c r="CI1404">
        <v>0</v>
      </c>
      <c r="CJ1404">
        <v>0</v>
      </c>
      <c r="CK1404">
        <v>0</v>
      </c>
      <c r="CL1404">
        <v>0</v>
      </c>
      <c r="CM1404">
        <v>0</v>
      </c>
      <c r="CN1404">
        <v>0</v>
      </c>
      <c r="CO1404">
        <v>0</v>
      </c>
      <c r="CP1404" t="str">
        <f>IF(BN1404&lt;BM1404,"refNeedCorrection","refOK")</f>
        <v>refOK</v>
      </c>
      <c r="CQ1404"/>
      <c r="CR1404"/>
      <c r="CS1404">
        <f>IF($CP1404="refNeedCorrection",-BQ1404,BQ1404)</f>
        <v>6343899.2618323937</v>
      </c>
      <c r="CT1404">
        <f>IF(BI1404="Roundwood",$CS1404/2,$CS1404)</f>
        <v>3171949.6309161969</v>
      </c>
      <c r="CU1404">
        <f>IF($CP1404="refOK",$BU1404,$BV1404)*IF($BR1404="Emissions positive",-1,1)</f>
        <v>0</v>
      </c>
      <c r="CV1404">
        <f>IF($CP1404="refOK",$BV1404,$BU1404)*IF($BR1404="Emissions positive",-1,1)</f>
        <v>0</v>
      </c>
      <c r="CW1404">
        <f>IF($CP1404="refNeedCorrection",-BZ1404,BZ1404)*IF($BR1404="Emissions positive",-1,1)</f>
        <v>-7948269.062207601</v>
      </c>
      <c r="CX1404">
        <f>IFERROR($CW1404/$CS1404,"")</f>
        <v>-1.252899633830534</v>
      </c>
      <c r="CY1404">
        <f>IFERROR($CW1404/$CS1404,"")</f>
        <v>-1.252899633830534</v>
      </c>
      <c r="CZ1404">
        <f>IFERROR($CW1404/$CT1404,"")</f>
        <v>-2.5057992676610681</v>
      </c>
      <c r="DA1404" s="2" t="str">
        <f>IFERROR((CV1404-CU1404)/ABS(CU1404),"")</f>
        <v/>
      </c>
      <c r="DB1404" s="1" t="s">
        <v>1074</v>
      </c>
      <c r="DC1404" t="str">
        <f>IF(OR($DB1404="prd",$DB1404="std",$DB1404="cit"),"loc",IF(OR($DB1404="eur",$DB1404="reg",$DB1404="coy"),"reg",$DB1404))</f>
        <v>reg</v>
      </c>
      <c r="DD1404" t="s">
        <v>428</v>
      </c>
      <c r="DE1404">
        <v>2020</v>
      </c>
      <c r="DF1404">
        <v>2050</v>
      </c>
      <c r="DG1404">
        <v>30</v>
      </c>
      <c r="DH1404" t="str">
        <f>IF(DG1404=0,"0",IF(AND(DG1404&gt;=1,DG1404&lt;=30),"1-30",IF(AND(DG1404&gt;30,DG1404&lt;=70),"31-70",IF(AND(DG1404&gt;70,DG1404&lt;=100),"71-100",IF(DG1404&gt;100,"+100")))))</f>
        <v>1-30</v>
      </c>
      <c r="DI1404">
        <v>0</v>
      </c>
      <c r="DJ1404">
        <v>1</v>
      </c>
      <c r="DK1404">
        <v>1</v>
      </c>
      <c r="DL1404">
        <v>1</v>
      </c>
      <c r="DN1404">
        <f>SUM(DI1404:DL1404)</f>
        <v>3</v>
      </c>
      <c r="DO1404" t="str">
        <f>IF(DN1404=1,INDEX($DI$7:$DL$7,MATCH(1,$DI1404:$DL1404,0)),"mixedProduct")</f>
        <v>mixedProduct</v>
      </c>
      <c r="DP1404">
        <f>IF(DI1404=1,DP$7,0)</f>
        <v>0</v>
      </c>
      <c r="DQ1404" t="str">
        <f>IF(DJ1404=1,DQ$7,0)</f>
        <v>Energy</v>
      </c>
      <c r="DR1404" t="str">
        <f>IF(DK1404=1,DR$7,0)</f>
        <v>Pulp/Paper</v>
      </c>
      <c r="DS1404" t="str">
        <f>IF(DL1404=1,DS$7,0)</f>
        <v>Timber</v>
      </c>
      <c r="DT1404">
        <v>0</v>
      </c>
      <c r="DU1404">
        <v>1</v>
      </c>
      <c r="DV1404" t="s">
        <v>1283</v>
      </c>
      <c r="DW1404" t="s">
        <v>1284</v>
      </c>
      <c r="DX1404">
        <v>0</v>
      </c>
      <c r="DY1404">
        <f>SUM(DT1404:DU1404)</f>
        <v>1</v>
      </c>
      <c r="DZ1404" s="143" t="str">
        <f>IF(DT1404=1,"self-calculated DF",IF(DU1404=1,"external DF used","explicit C balance"))</f>
        <v>external DF used</v>
      </c>
      <c r="EA1404">
        <v>1</v>
      </c>
      <c r="EB1404">
        <v>1</v>
      </c>
      <c r="EC1404">
        <v>1</v>
      </c>
      <c r="ED1404">
        <v>1</v>
      </c>
      <c r="EE1404">
        <v>0</v>
      </c>
      <c r="EF1404" s="143">
        <v>0</v>
      </c>
      <c r="EG1404">
        <v>0</v>
      </c>
      <c r="EH1404">
        <v>0</v>
      </c>
      <c r="EI1404">
        <v>0</v>
      </c>
      <c r="EJ1404">
        <v>0</v>
      </c>
      <c r="EK1404">
        <v>1</v>
      </c>
      <c r="EL1404" s="143">
        <v>0</v>
      </c>
      <c r="EM1404" s="143">
        <v>0</v>
      </c>
      <c r="EN1404" s="2">
        <v>0</v>
      </c>
      <c r="EP1404" t="str">
        <f>IF(AND(AND(AND(OR($EC1404=1,$EB1404=1),OR($EH1404=1,$EF1404=1)),SUM($EA1404:$EE1404,$EK1404)&gt;=3),SUM($EF1404:$EJ1404)&gt;=2),"Whole sector approach","")</f>
        <v/>
      </c>
      <c r="EQ1404" t="str">
        <f>IF(AND(AND(OR($EC1404=1,$EB1404=1),AND($EH1404=0,$EF1404=0)),SUM($EA1404:$EE1404,$EK1404)&gt;=4),"Ecosystem approach","")</f>
        <v>Ecosystem approach</v>
      </c>
      <c r="ER1404" s="2" t="str">
        <f>IF(AND(AND(AND($EC1404=0,$EB1404=0),OR($EH1404=1,$EF1404=1)),SUM($EG1404:$EJ1404)&gt;=2),"Technology approach","")</f>
        <v/>
      </c>
      <c r="ES1404" t="str">
        <f>IF(AND($EC1404+$EB1404+$EE1404+$EA1404+$ED1404+$EG1404=0,$N1404="included"),"C neutral forest and HWP assumption","")</f>
        <v/>
      </c>
      <c r="ET1404" t="str">
        <f>IF(AND(AND(AND(AND($EC1404=1,$EB1404+$EA1404+$EG1404&gt;=1),$EF1404=1),$EH1404+$EI1404+$ED1404+$EE1404&gt;=2),$N1404="included"),"All C pools assumption","")</f>
        <v/>
      </c>
      <c r="EU1404" t="str">
        <f>IF(AND($ED1404+$EE1404+$EI1404+$EH1404+$EF1404=0,$N1404="included"),"In-situ only assumption","")</f>
        <v/>
      </c>
      <c r="EY1404" t="str">
        <f>IF(ISNUMBER(BW1404),IF(ABS(BW1404-[6]QC_indicators!$B$2)&gt;3*[6]QC_indicators!$C$2,"C ratio",IF(ISNUMBER(CA1404),IF(ABS(CA1404-[6]QC_indicators!$B$1)&gt;3*[6]QC_indicators!$C$1,"DF","no"))),IF(ISNUMBER(CA1404),IF(ABS(CA1404-[6]QC_indicators!$B$1)&gt;3*[6]QC_indicators!$C$1,"DF","no")))</f>
        <v>no</v>
      </c>
      <c r="EZ1404" t="s">
        <v>286</v>
      </c>
      <c r="FA1404" t="str">
        <f>IF(LEN($CY1404)=0,"",IF(AND($CY1404&lt;(-0.05),$ES1404="C neutral forest and HWP assumption"),"Cneutral paradox",IF(AND($CY1404&gt;0.05,$EU1404="In-situ only assumption"),"In-situ only paradox","")))</f>
        <v/>
      </c>
      <c r="FB1404" s="149" t="s">
        <v>349</v>
      </c>
      <c r="FD1404" s="260" t="s">
        <v>2948</v>
      </c>
    </row>
    <row r="1405" spans="1:160" ht="102" hidden="1">
      <c r="A1405" s="1" t="s">
        <v>1272</v>
      </c>
      <c r="B1405" t="s">
        <v>1273</v>
      </c>
      <c r="C1405" t="s">
        <v>1274</v>
      </c>
      <c r="D1405" t="s">
        <v>1275</v>
      </c>
      <c r="E1405" t="s">
        <v>1276</v>
      </c>
      <c r="F1405" t="s">
        <v>1277</v>
      </c>
      <c r="G1405" t="s">
        <v>1278</v>
      </c>
      <c r="H1405" t="s">
        <v>254</v>
      </c>
      <c r="I1405">
        <v>2021</v>
      </c>
      <c r="J1405">
        <v>0</v>
      </c>
      <c r="K1405" t="s">
        <v>1279</v>
      </c>
      <c r="M1405" t="str">
        <f>LEFT($D1405,FIND(",",$D1405)-1)&amp;"_"&amp;I1405&amp;L1405</f>
        <v>Dugan_2021</v>
      </c>
      <c r="N1405" t="s">
        <v>222</v>
      </c>
      <c r="O1405" s="145" t="s">
        <v>274</v>
      </c>
      <c r="Q1405" t="s">
        <v>256</v>
      </c>
      <c r="R1405" s="251" t="s">
        <v>225</v>
      </c>
      <c r="S1405" s="1" t="s">
        <v>314</v>
      </c>
      <c r="T1405" t="s">
        <v>1003</v>
      </c>
      <c r="U1405" t="s">
        <v>1286</v>
      </c>
      <c r="V1405" s="253">
        <v>0</v>
      </c>
      <c r="W1405" s="253">
        <v>0</v>
      </c>
      <c r="X1405">
        <v>0</v>
      </c>
      <c r="Y1405">
        <v>0</v>
      </c>
      <c r="Z1405">
        <v>1</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s="141">
        <f>COUNTIF(X1405:AY1405,"&lt;&gt;0")</f>
        <v>1</v>
      </c>
      <c r="BA1405" s="141">
        <f>COUNTIF(X1405:AN1405,"&lt;&gt;0")</f>
        <v>1</v>
      </c>
      <c r="BB1405">
        <f>COUNTIF(X1405:AE1405,"&lt;&gt;0")</f>
        <v>1</v>
      </c>
      <c r="BC1405">
        <f>COUNTIF(AF1405:AK1405,"&lt;&gt;0")</f>
        <v>0</v>
      </c>
      <c r="BD1405">
        <f>COUNTIF(AL1405:AN1405,"&lt;&gt;0")</f>
        <v>0</v>
      </c>
      <c r="BE1405">
        <f>COUNTIF(AU1405:AY1405,"&lt;&gt;0")</f>
        <v>0</v>
      </c>
      <c r="BF1405">
        <f>COUNTIF(AO1405:AT1405,"&lt;&gt;0")</f>
        <v>0</v>
      </c>
      <c r="BG1405" t="str">
        <f t="array" ref="BG1405">IF(BA1405=1,INDEX($X$7:$AN$7,MATCH(TRUE,INDEX($X1405:$AY1405&lt;&gt;0,),0)),IF(BA1405=0,INDEX($AO$7:$AY$7,MATCH(1,$AO1405:$AY1405,0)),IF(BH1405="Multiple strategies","mixed drivers",IF(BH1405="Supply chain","multiple supply","multiple silviculture"))))</f>
        <v>rotation length</v>
      </c>
      <c r="BH1405" s="2" t="str" cm="1">
        <f t="array" ref="BH1405">IF(COUNTIF(BB1405:BD1405,"&lt;&gt;0")=1,INDEX($X$4:$AY$4,MATCH(TRUE,INDEX($X1405:$AY1405&lt;&gt;0,),0)),IF(COUNTIF(BB1405:BD1405,"&lt;&gt;0")=0,INDEX($AO$4:$AY$4,MATCH(1,$AO1405:$AY1405,0)),"Multiple strategies"))</f>
        <v>Silviculture for removals</v>
      </c>
      <c r="BI1405" s="1" t="s">
        <v>321</v>
      </c>
      <c r="BJ1405" t="s">
        <v>1282</v>
      </c>
      <c r="BK1405" s="256" t="s">
        <v>2993</v>
      </c>
      <c r="BL1405" t="s">
        <v>1232</v>
      </c>
      <c r="BM1405" s="260">
        <v>14.61</v>
      </c>
      <c r="BN1405">
        <f>BM1405*1.1</f>
        <v>16.071000000000002</v>
      </c>
      <c r="BP1405" s="223">
        <f>BN1405-BM1405</f>
        <v>1.4610000000000021</v>
      </c>
      <c r="BQ1405">
        <f>BP1405*10^6*tC_to_m3</f>
        <v>6343899.2618324021</v>
      </c>
      <c r="BR1405" t="s">
        <v>232</v>
      </c>
      <c r="BS1405" s="256" t="s">
        <v>2994</v>
      </c>
      <c r="BT1405" t="s">
        <v>1175</v>
      </c>
      <c r="BU1405" s="152"/>
      <c r="BV1405" s="152"/>
      <c r="BW1405" s="144"/>
      <c r="BX1405" s="277">
        <v>-6.2240870021567396</v>
      </c>
      <c r="BZ1405">
        <f>BX1405*10^6</f>
        <v>-6224087.0021567401</v>
      </c>
      <c r="CA1405">
        <f>IFERROR(BZ1405/BQ1405,"")</f>
        <v>-0.98111378274927796</v>
      </c>
      <c r="CB1405">
        <v>0</v>
      </c>
      <c r="CC1405">
        <v>0</v>
      </c>
      <c r="CD1405">
        <v>0</v>
      </c>
      <c r="CE1405">
        <v>0</v>
      </c>
      <c r="CF1405">
        <v>0</v>
      </c>
      <c r="CG1405">
        <v>0</v>
      </c>
      <c r="CH1405">
        <v>0</v>
      </c>
      <c r="CI1405">
        <v>0</v>
      </c>
      <c r="CJ1405">
        <v>0</v>
      </c>
      <c r="CK1405">
        <v>0</v>
      </c>
      <c r="CL1405">
        <v>0</v>
      </c>
      <c r="CM1405">
        <v>0</v>
      </c>
      <c r="CN1405">
        <v>0</v>
      </c>
      <c r="CO1405">
        <v>0</v>
      </c>
      <c r="CP1405" t="str">
        <f>IF(BN1405&lt;BM1405,"refNeedCorrection","refOK")</f>
        <v>refOK</v>
      </c>
      <c r="CQ1405"/>
      <c r="CR1405"/>
      <c r="CS1405">
        <f>IF($CP1405="refNeedCorrection",-BQ1405,BQ1405)</f>
        <v>6343899.2618324021</v>
      </c>
      <c r="CT1405">
        <f>IF(BI1405="Roundwood",$CS1405/2,$CS1405)</f>
        <v>3171949.630916201</v>
      </c>
      <c r="CU1405">
        <f>IF($CP1405="refOK",$BU1405,$BV1405)*IF($BR1405="Emissions positive",-1,1)</f>
        <v>0</v>
      </c>
      <c r="CV1405">
        <f>IF($CP1405="refOK",$BV1405,$BU1405)*IF($BR1405="Emissions positive",-1,1)</f>
        <v>0</v>
      </c>
      <c r="CW1405">
        <f>IF($CP1405="refNeedCorrection",-BZ1405,BZ1405)*IF($BR1405="Emissions positive",-1,1)</f>
        <v>-6224087.0021567401</v>
      </c>
      <c r="CX1405">
        <f>IFERROR($CW1405/$CS1405,"")</f>
        <v>-0.98111378274927796</v>
      </c>
      <c r="CY1405">
        <f>IFERROR($CW1405/$CS1405,"")</f>
        <v>-0.98111378274927796</v>
      </c>
      <c r="CZ1405">
        <f>IFERROR($CW1405/$CT1405,"")</f>
        <v>-1.9622275654985559</v>
      </c>
      <c r="DA1405" s="2" t="str">
        <f>IFERROR((CV1405-CU1405)/ABS(CU1405),"")</f>
        <v/>
      </c>
      <c r="DB1405" s="1" t="s">
        <v>1074</v>
      </c>
      <c r="DC1405" t="str">
        <f>IF(OR($DB1405="prd",$DB1405="std",$DB1405="cit"),"loc",IF(OR($DB1405="eur",$DB1405="reg",$DB1405="coy"),"reg",$DB1405))</f>
        <v>reg</v>
      </c>
      <c r="DD1405" t="s">
        <v>428</v>
      </c>
      <c r="DE1405">
        <v>2020</v>
      </c>
      <c r="DF1405">
        <v>2050</v>
      </c>
      <c r="DG1405">
        <v>30</v>
      </c>
      <c r="DH1405" t="str">
        <f>IF(DG1405=0,"0",IF(AND(DG1405&gt;=1,DG1405&lt;=30),"1-30",IF(AND(DG1405&gt;30,DG1405&lt;=70),"31-70",IF(AND(DG1405&gt;70,DG1405&lt;=100),"71-100",IF(DG1405&gt;100,"+100")))))</f>
        <v>1-30</v>
      </c>
      <c r="DI1405">
        <v>0</v>
      </c>
      <c r="DJ1405">
        <v>1</v>
      </c>
      <c r="DK1405">
        <v>1</v>
      </c>
      <c r="DL1405">
        <v>1</v>
      </c>
      <c r="DN1405">
        <f>SUM(DI1405:DL1405)</f>
        <v>3</v>
      </c>
      <c r="DO1405" t="str">
        <f>IF(DN1405=1,INDEX($DI$7:$DL$7,MATCH(1,$DI1405:$DL1405,0)),"mixedProduct")</f>
        <v>mixedProduct</v>
      </c>
      <c r="DP1405">
        <f>IF(DI1405=1,DP$7,0)</f>
        <v>0</v>
      </c>
      <c r="DQ1405" t="str">
        <f>IF(DJ1405=1,DQ$7,0)</f>
        <v>Energy</v>
      </c>
      <c r="DR1405" t="str">
        <f>IF(DK1405=1,DR$7,0)</f>
        <v>Pulp/Paper</v>
      </c>
      <c r="DS1405" t="str">
        <f>IF(DL1405=1,DS$7,0)</f>
        <v>Timber</v>
      </c>
      <c r="DT1405">
        <v>0</v>
      </c>
      <c r="DU1405">
        <v>1</v>
      </c>
      <c r="DV1405" t="s">
        <v>1283</v>
      </c>
      <c r="DW1405" t="s">
        <v>1284</v>
      </c>
      <c r="DX1405">
        <v>0</v>
      </c>
      <c r="DY1405">
        <f>SUM(DT1405:DU1405)</f>
        <v>1</v>
      </c>
      <c r="DZ1405" s="143" t="str">
        <f>IF(DT1405=1,"self-calculated DF",IF(DU1405=1,"external DF used","explicit C balance"))</f>
        <v>external DF used</v>
      </c>
      <c r="EA1405">
        <v>1</v>
      </c>
      <c r="EB1405">
        <v>1</v>
      </c>
      <c r="EC1405">
        <v>1</v>
      </c>
      <c r="ED1405">
        <v>1</v>
      </c>
      <c r="EE1405">
        <v>0</v>
      </c>
      <c r="EF1405" s="143">
        <v>0</v>
      </c>
      <c r="EG1405">
        <v>0</v>
      </c>
      <c r="EH1405">
        <v>0</v>
      </c>
      <c r="EI1405">
        <v>0</v>
      </c>
      <c r="EJ1405">
        <v>0</v>
      </c>
      <c r="EK1405">
        <v>1</v>
      </c>
      <c r="EL1405" s="143">
        <v>0</v>
      </c>
      <c r="EM1405" s="143">
        <v>0</v>
      </c>
      <c r="EN1405" s="2">
        <v>0</v>
      </c>
      <c r="EP1405" t="str">
        <f>IF(AND(AND(AND(OR($EC1405=1,$EB1405=1),OR($EH1405=1,$EF1405=1)),SUM($EA1405:$EE1405,$EK1405)&gt;=3),SUM($EF1405:$EJ1405)&gt;=2),"Whole sector approach","")</f>
        <v/>
      </c>
      <c r="EQ1405" t="str">
        <f>IF(AND(AND(OR($EC1405=1,$EB1405=1),AND($EH1405=0,$EF1405=0)),SUM($EA1405:$EE1405,$EK1405)&gt;=4),"Ecosystem approach","")</f>
        <v>Ecosystem approach</v>
      </c>
      <c r="ER1405" s="2" t="str">
        <f>IF(AND(AND(AND($EC1405=0,$EB1405=0),OR($EH1405=1,$EF1405=1)),SUM($EG1405:$EJ1405)&gt;=2),"Technology approach","")</f>
        <v/>
      </c>
      <c r="ES1405" t="str">
        <f>IF(AND($EC1405+$EB1405+$EE1405+$EA1405+$ED1405+$EG1405=0,$N1405="included"),"C neutral forest and HWP assumption","")</f>
        <v/>
      </c>
      <c r="ET1405" t="str">
        <f>IF(AND(AND(AND(AND($EC1405=1,$EB1405+$EA1405+$EG1405&gt;=1),$EF1405=1),$EH1405+$EI1405+$ED1405+$EE1405&gt;=2),$N1405="included"),"All C pools assumption","")</f>
        <v/>
      </c>
      <c r="EU1405" t="str">
        <f>IF(AND($ED1405+$EE1405+$EI1405+$EH1405+$EF1405=0,$N1405="included"),"In-situ only assumption","")</f>
        <v/>
      </c>
      <c r="EY1405" t="str">
        <f>IF(ISNUMBER(BW1405),IF(ABS(BW1405-[6]QC_indicators!$B$2)&gt;3*[6]QC_indicators!$C$2,"C ratio",IF(ISNUMBER(CA1405),IF(ABS(CA1405-[6]QC_indicators!$B$1)&gt;3*[6]QC_indicators!$C$1,"DF","no"))),IF(ISNUMBER(CA1405),IF(ABS(CA1405-[6]QC_indicators!$B$1)&gt;3*[6]QC_indicators!$C$1,"DF","no")))</f>
        <v>no</v>
      </c>
      <c r="EZ1405" t="s">
        <v>286</v>
      </c>
      <c r="FA1405" t="str">
        <f>IF(LEN($CY1405)=0,"",IF(AND($CY1405&lt;(-0.05),$ES1405="C neutral forest and HWP assumption"),"Cneutral paradox",IF(AND($CY1405&gt;0.05,$EU1405="In-situ only assumption"),"In-situ only paradox","")))</f>
        <v/>
      </c>
      <c r="FB1405" s="149" t="s">
        <v>349</v>
      </c>
      <c r="FD1405" s="260" t="s">
        <v>2948</v>
      </c>
    </row>
    <row r="1406" spans="1:160" ht="102">
      <c r="A1406" s="1" t="s">
        <v>1272</v>
      </c>
      <c r="B1406" t="s">
        <v>1273</v>
      </c>
      <c r="C1406" t="s">
        <v>1274</v>
      </c>
      <c r="D1406" t="s">
        <v>1275</v>
      </c>
      <c r="E1406" t="s">
        <v>1276</v>
      </c>
      <c r="F1406" t="s">
        <v>1277</v>
      </c>
      <c r="G1406" t="s">
        <v>1278</v>
      </c>
      <c r="H1406" t="s">
        <v>254</v>
      </c>
      <c r="I1406">
        <v>2021</v>
      </c>
      <c r="J1406">
        <v>0</v>
      </c>
      <c r="K1406" t="s">
        <v>1279</v>
      </c>
      <c r="M1406" t="str">
        <f>LEFT($D1406,FIND(",",$D1406)-1)&amp;"_"&amp;I1406&amp;L1406</f>
        <v>Dugan_2021</v>
      </c>
      <c r="N1406" t="s">
        <v>222</v>
      </c>
      <c r="O1406" s="145" t="s">
        <v>274</v>
      </c>
      <c r="Q1406" t="s">
        <v>256</v>
      </c>
      <c r="R1406" s="251" t="s">
        <v>225</v>
      </c>
      <c r="S1406" s="1" t="s">
        <v>314</v>
      </c>
      <c r="T1406" t="s">
        <v>1285</v>
      </c>
      <c r="U1406" t="s">
        <v>1003</v>
      </c>
      <c r="V1406" s="253">
        <v>0</v>
      </c>
      <c r="W1406" s="253">
        <v>0</v>
      </c>
      <c r="X1406">
        <v>0</v>
      </c>
      <c r="Y1406">
        <v>0</v>
      </c>
      <c r="Z1406">
        <v>1</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s="141">
        <f>COUNTIF(X1406:AY1406,"&lt;&gt;0")</f>
        <v>1</v>
      </c>
      <c r="BA1406" s="141">
        <f>COUNTIF(X1406:AN1406,"&lt;&gt;0")</f>
        <v>1</v>
      </c>
      <c r="BB1406">
        <f>COUNTIF(X1406:AE1406,"&lt;&gt;0")</f>
        <v>1</v>
      </c>
      <c r="BC1406">
        <f>COUNTIF(AF1406:AK1406,"&lt;&gt;0")</f>
        <v>0</v>
      </c>
      <c r="BD1406">
        <f>COUNTIF(AL1406:AN1406,"&lt;&gt;0")</f>
        <v>0</v>
      </c>
      <c r="BE1406">
        <f>COUNTIF(AU1406:AY1406,"&lt;&gt;0")</f>
        <v>0</v>
      </c>
      <c r="BF1406">
        <f>COUNTIF(AO1406:AT1406,"&lt;&gt;0")</f>
        <v>0</v>
      </c>
      <c r="BG1406" t="str">
        <f t="array" ref="BG1406">IF(BA1406=1,INDEX($X$7:$AN$7,MATCH(TRUE,INDEX($X1406:$AY1406&lt;&gt;0,),0)),IF(BA1406=0,INDEX($AO$7:$AY$7,MATCH(1,$AO1406:$AY1406,0)),IF(BH1406="Multiple strategies","mixed drivers",IF(BH1406="Supply chain","multiple supply","multiple silviculture"))))</f>
        <v>rotation length</v>
      </c>
      <c r="BH1406" s="2" t="str" cm="1">
        <f t="array" ref="BH1406">IF(COUNTIF(BB1406:BD1406,"&lt;&gt;0")=1,INDEX($X$4:$AY$4,MATCH(TRUE,INDEX($X1406:$AY1406&lt;&gt;0,),0)),IF(COUNTIF(BB1406:BD1406,"&lt;&gt;0")=0,INDEX($AO$4:$AY$4,MATCH(1,$AO1406:$AY1406,0)),"Multiple strategies"))</f>
        <v>Silviculture for removals</v>
      </c>
      <c r="BI1406" s="1" t="s">
        <v>321</v>
      </c>
      <c r="BJ1406" t="s">
        <v>1282</v>
      </c>
      <c r="BK1406" s="256" t="s">
        <v>2993</v>
      </c>
      <c r="BL1406" t="s">
        <v>1232</v>
      </c>
      <c r="BM1406" s="260">
        <f>0.9*BN1406</f>
        <v>13.148999999999999</v>
      </c>
      <c r="BN1406" s="260">
        <v>14.61</v>
      </c>
      <c r="BP1406" s="223">
        <f>BN1406-BM1406</f>
        <v>1.4610000000000003</v>
      </c>
      <c r="BQ1406">
        <f>BP1406*10^6*tC_to_m3</f>
        <v>6343899.2618323937</v>
      </c>
      <c r="BR1406" t="s">
        <v>232</v>
      </c>
      <c r="BS1406" s="256" t="s">
        <v>2996</v>
      </c>
      <c r="BT1406" t="s">
        <v>1175</v>
      </c>
      <c r="BU1406" s="152"/>
      <c r="BV1406" s="152"/>
      <c r="BW1406" s="144"/>
      <c r="BX1406" s="141">
        <v>-4.6286109425494901</v>
      </c>
      <c r="BZ1406">
        <f>BX1406*10^6</f>
        <v>-4628610.9425494904</v>
      </c>
      <c r="CA1406">
        <f>IFERROR(BZ1406/BQ1406,"")</f>
        <v>-0.72961608492070329</v>
      </c>
      <c r="CB1406">
        <v>0</v>
      </c>
      <c r="CC1406">
        <v>0</v>
      </c>
      <c r="CD1406">
        <v>0</v>
      </c>
      <c r="CE1406">
        <v>0</v>
      </c>
      <c r="CF1406">
        <v>0</v>
      </c>
      <c r="CG1406">
        <v>0</v>
      </c>
      <c r="CH1406">
        <v>0</v>
      </c>
      <c r="CI1406">
        <v>0</v>
      </c>
      <c r="CJ1406">
        <v>0</v>
      </c>
      <c r="CK1406">
        <v>0</v>
      </c>
      <c r="CL1406">
        <v>0</v>
      </c>
      <c r="CM1406">
        <v>0</v>
      </c>
      <c r="CN1406">
        <v>0</v>
      </c>
      <c r="CO1406">
        <v>0</v>
      </c>
      <c r="CP1406" t="str">
        <f>IF(BN1406&lt;BM1406,"refNeedCorrection","refOK")</f>
        <v>refOK</v>
      </c>
      <c r="CQ1406"/>
      <c r="CR1406"/>
      <c r="CS1406">
        <f>IF($CP1406="refNeedCorrection",-BQ1406,BQ1406)</f>
        <v>6343899.2618323937</v>
      </c>
      <c r="CT1406">
        <f>IF(BI1406="Roundwood",$CS1406/2,$CS1406)</f>
        <v>3171949.6309161969</v>
      </c>
      <c r="CU1406">
        <f>IF($CP1406="refOK",$BU1406,$BV1406)*IF($BR1406="Emissions positive",-1,1)</f>
        <v>0</v>
      </c>
      <c r="CV1406">
        <f>IF($CP1406="refOK",$BV1406,$BU1406)*IF($BR1406="Emissions positive",-1,1)</f>
        <v>0</v>
      </c>
      <c r="CW1406">
        <f>IF($CP1406="refNeedCorrection",-BZ1406,BZ1406)*IF($BR1406="Emissions positive",-1,1)</f>
        <v>-4628610.9425494904</v>
      </c>
      <c r="CX1406">
        <f>IFERROR($CW1406/$CS1406,"")</f>
        <v>-0.72961608492070329</v>
      </c>
      <c r="CY1406">
        <f>IFERROR($CW1406/$CS1406,"")</f>
        <v>-0.72961608492070329</v>
      </c>
      <c r="CZ1406">
        <f>IFERROR($CW1406/$CT1406,"")</f>
        <v>-1.4592321698414066</v>
      </c>
      <c r="DA1406" s="2" t="str">
        <f>IFERROR((CV1406-CU1406)/ABS(CU1406),"")</f>
        <v/>
      </c>
      <c r="DB1406" s="1" t="s">
        <v>1074</v>
      </c>
      <c r="DC1406" t="str">
        <f>IF(OR($DB1406="prd",$DB1406="std",$DB1406="cit"),"loc",IF(OR($DB1406="eur",$DB1406="reg",$DB1406="coy"),"reg",$DB1406))</f>
        <v>reg</v>
      </c>
      <c r="DD1406" t="s">
        <v>428</v>
      </c>
      <c r="DE1406">
        <v>2020</v>
      </c>
      <c r="DF1406">
        <v>2050</v>
      </c>
      <c r="DG1406">
        <v>30</v>
      </c>
      <c r="DH1406" t="str">
        <f>IF(DG1406=0,"0",IF(AND(DG1406&gt;=1,DG1406&lt;=30),"1-30",IF(AND(DG1406&gt;30,DG1406&lt;=70),"31-70",IF(AND(DG1406&gt;70,DG1406&lt;=100),"71-100",IF(DG1406&gt;100,"+100")))))</f>
        <v>1-30</v>
      </c>
      <c r="DI1406">
        <v>0</v>
      </c>
      <c r="DJ1406">
        <v>1</v>
      </c>
      <c r="DK1406">
        <v>1</v>
      </c>
      <c r="DL1406">
        <v>1</v>
      </c>
      <c r="DN1406">
        <f>SUM(DI1406:DL1406)</f>
        <v>3</v>
      </c>
      <c r="DO1406" t="str">
        <f>IF(DN1406=1,INDEX($DI$7:$DL$7,MATCH(1,$DI1406:$DL1406,0)),"mixedProduct")</f>
        <v>mixedProduct</v>
      </c>
      <c r="DP1406">
        <f>IF(DI1406=1,DP$7,0)</f>
        <v>0</v>
      </c>
      <c r="DQ1406" t="str">
        <f>IF(DJ1406=1,DQ$7,0)</f>
        <v>Energy</v>
      </c>
      <c r="DR1406" t="str">
        <f>IF(DK1406=1,DR$7,0)</f>
        <v>Pulp/Paper</v>
      </c>
      <c r="DS1406" t="str">
        <f>IF(DL1406=1,DS$7,0)</f>
        <v>Timber</v>
      </c>
      <c r="DT1406">
        <v>0</v>
      </c>
      <c r="DU1406">
        <v>1</v>
      </c>
      <c r="DV1406" t="s">
        <v>1283</v>
      </c>
      <c r="DW1406" t="s">
        <v>1284</v>
      </c>
      <c r="DX1406">
        <v>0</v>
      </c>
      <c r="DY1406">
        <f>SUM(DT1406:DU1406)</f>
        <v>1</v>
      </c>
      <c r="DZ1406" s="143" t="str">
        <f>IF(DT1406=1,"self-calculated DF",IF(DU1406=1,"external DF used","explicit C balance"))</f>
        <v>external DF used</v>
      </c>
      <c r="EA1406">
        <v>1</v>
      </c>
      <c r="EB1406">
        <v>1</v>
      </c>
      <c r="EC1406">
        <v>1</v>
      </c>
      <c r="ED1406">
        <v>0</v>
      </c>
      <c r="EE1406">
        <v>0</v>
      </c>
      <c r="EF1406" s="143">
        <v>0</v>
      </c>
      <c r="EG1406">
        <v>0</v>
      </c>
      <c r="EH1406">
        <v>0</v>
      </c>
      <c r="EI1406">
        <v>0</v>
      </c>
      <c r="EJ1406">
        <v>0</v>
      </c>
      <c r="EK1406">
        <v>1</v>
      </c>
      <c r="EL1406" s="143">
        <v>0</v>
      </c>
      <c r="EM1406" s="143">
        <v>0</v>
      </c>
      <c r="EN1406" s="2">
        <v>0</v>
      </c>
      <c r="EP1406" t="str">
        <f>IF(AND(AND(AND(OR($EC1406=1,$EB1406=1),OR($EH1406=1,$EF1406=1)),SUM($EA1406:$EE1406,$EK1406)&gt;=3),SUM($EF1406:$EJ1406)&gt;=2),"Whole sector approach","")</f>
        <v/>
      </c>
      <c r="EQ1406" t="str">
        <f>IF(AND(AND(OR($EC1406=1,$EB1406=1),AND($EH1406=0,$EF1406=0)),SUM($EA1406:$EE1406,$EK1406)&gt;=4),"Ecosystem approach","")</f>
        <v>Ecosystem approach</v>
      </c>
      <c r="ER1406" s="2" t="str">
        <f>IF(AND(AND(AND($EC1406=0,$EB1406=0),OR($EH1406=1,$EF1406=1)),SUM($EG1406:$EJ1406)&gt;=2),"Technology approach","")</f>
        <v/>
      </c>
      <c r="ES1406" t="str">
        <f>IF(AND($EC1406+$EB1406+$EE1406+$EA1406+$ED1406+$EG1406=0,$N1406="included"),"C neutral forest and HWP assumption","")</f>
        <v/>
      </c>
      <c r="ET1406" t="str">
        <f>IF(AND(AND(AND(AND($EC1406=1,$EB1406+$EA1406+$EG1406&gt;=1),$EF1406=1),$EH1406+$EI1406+$ED1406+$EE1406&gt;=2),$N1406="included"),"All C pools assumption","")</f>
        <v/>
      </c>
      <c r="EU1406" t="str">
        <f>IF(AND($ED1406+$EE1406+$EI1406+$EH1406+$EF1406=0,$N1406="included"),"In-situ only assumption","")</f>
        <v>In-situ only assumption</v>
      </c>
      <c r="EY1406" t="str">
        <f>IF(ISNUMBER(BW1406),IF(ABS(BW1406-[6]QC_indicators!$B$2)&gt;3*[6]QC_indicators!$C$2,"C ratio",IF(ISNUMBER(CA1406),IF(ABS(CA1406-[6]QC_indicators!$B$1)&gt;3*[6]QC_indicators!$C$1,"DF","no"))),IF(ISNUMBER(CA1406),IF(ABS(CA1406-[6]QC_indicators!$B$1)&gt;3*[6]QC_indicators!$C$1,"DF","no")))</f>
        <v>no</v>
      </c>
      <c r="EZ1406" t="s">
        <v>286</v>
      </c>
      <c r="FA1406" t="str">
        <f>IF(LEN($CY1406)=0,"",IF(AND($CY1406&lt;(-0.05),$ES1406="C neutral forest and HWP assumption"),"Cneutral paradox",IF(AND($CY1406&gt;0.05,$EU1406="In-situ only assumption"),"In-situ only paradox","")))</f>
        <v/>
      </c>
      <c r="FB1406" s="149" t="s">
        <v>349</v>
      </c>
      <c r="FD1406" s="260" t="s">
        <v>2948</v>
      </c>
    </row>
    <row r="1407" spans="1:160" ht="15" customHeight="1">
      <c r="A1407" s="1" t="s">
        <v>1272</v>
      </c>
      <c r="B1407" t="s">
        <v>1273</v>
      </c>
      <c r="C1407" t="s">
        <v>1274</v>
      </c>
      <c r="D1407" t="s">
        <v>1275</v>
      </c>
      <c r="E1407" t="s">
        <v>1276</v>
      </c>
      <c r="F1407" t="s">
        <v>1277</v>
      </c>
      <c r="G1407" t="s">
        <v>1278</v>
      </c>
      <c r="H1407" t="s">
        <v>254</v>
      </c>
      <c r="I1407">
        <v>2021</v>
      </c>
      <c r="J1407">
        <v>0</v>
      </c>
      <c r="K1407" t="s">
        <v>1279</v>
      </c>
      <c r="M1407" t="str">
        <f>LEFT($D1407,FIND(",",$D1407)-1)&amp;"_"&amp;I1407&amp;L1407</f>
        <v>Dugan_2021</v>
      </c>
      <c r="N1407" t="s">
        <v>222</v>
      </c>
      <c r="O1407" s="145" t="s">
        <v>274</v>
      </c>
      <c r="Q1407" t="s">
        <v>256</v>
      </c>
      <c r="R1407" s="251" t="s">
        <v>225</v>
      </c>
      <c r="S1407" s="1" t="s">
        <v>314</v>
      </c>
      <c r="T1407" t="s">
        <v>1003</v>
      </c>
      <c r="U1407" t="s">
        <v>1286</v>
      </c>
      <c r="V1407" s="253">
        <v>0</v>
      </c>
      <c r="W1407" s="253">
        <v>0</v>
      </c>
      <c r="X1407">
        <v>0</v>
      </c>
      <c r="Y1407">
        <v>0</v>
      </c>
      <c r="Z1407">
        <v>1</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s="141">
        <f>COUNTIF(X1407:AY1407,"&lt;&gt;0")</f>
        <v>1</v>
      </c>
      <c r="BA1407" s="141">
        <f>COUNTIF(X1407:AN1407,"&lt;&gt;0")</f>
        <v>1</v>
      </c>
      <c r="BB1407">
        <f>COUNTIF(X1407:AE1407,"&lt;&gt;0")</f>
        <v>1</v>
      </c>
      <c r="BC1407">
        <f>COUNTIF(AF1407:AK1407,"&lt;&gt;0")</f>
        <v>0</v>
      </c>
      <c r="BD1407">
        <f>COUNTIF(AL1407:AN1407,"&lt;&gt;0")</f>
        <v>0</v>
      </c>
      <c r="BE1407">
        <f>COUNTIF(AU1407:AY1407,"&lt;&gt;0")</f>
        <v>0</v>
      </c>
      <c r="BF1407">
        <f>COUNTIF(AO1407:AT1407,"&lt;&gt;0")</f>
        <v>0</v>
      </c>
      <c r="BG1407" t="str">
        <f t="array" ref="BG1407">IF(BA1407=1,INDEX($X$7:$AN$7,MATCH(TRUE,INDEX($X1407:$AY1407&lt;&gt;0,),0)),IF(BA1407=0,INDEX($AO$7:$AY$7,MATCH(1,$AO1407:$AY1407,0)),IF(BH1407="Multiple strategies","mixed drivers",IF(BH1407="Supply chain","multiple supply","multiple silviculture"))))</f>
        <v>rotation length</v>
      </c>
      <c r="BH1407" s="2" t="str" cm="1">
        <f t="array" ref="BH1407">IF(COUNTIF(BB1407:BD1407,"&lt;&gt;0")=1,INDEX($X$4:$AY$4,MATCH(TRUE,INDEX($X1407:$AY1407&lt;&gt;0,),0)),IF(COUNTIF(BB1407:BD1407,"&lt;&gt;0")=0,INDEX($AO$4:$AY$4,MATCH(1,$AO1407:$AY1407,0)),"Multiple strategies"))</f>
        <v>Silviculture for removals</v>
      </c>
      <c r="BI1407" s="1" t="s">
        <v>321</v>
      </c>
      <c r="BJ1407" t="s">
        <v>1282</v>
      </c>
      <c r="BK1407" s="256" t="s">
        <v>2993</v>
      </c>
      <c r="BL1407" t="s">
        <v>1232</v>
      </c>
      <c r="BM1407" s="260">
        <v>14.61</v>
      </c>
      <c r="BN1407">
        <f>BM1407*1.1</f>
        <v>16.071000000000002</v>
      </c>
      <c r="BP1407" s="223">
        <f>BN1407-BM1407</f>
        <v>1.4610000000000021</v>
      </c>
      <c r="BQ1407">
        <f>BP1407*10^6*tC_to_m3</f>
        <v>6343899.2618324021</v>
      </c>
      <c r="BR1407" t="s">
        <v>232</v>
      </c>
      <c r="BS1407" s="256" t="s">
        <v>2996</v>
      </c>
      <c r="BT1407" t="s">
        <v>1175</v>
      </c>
      <c r="BU1407" s="152"/>
      <c r="BV1407" s="152"/>
      <c r="BW1407" s="144"/>
      <c r="BX1407" s="141">
        <v>-2.93861691668666</v>
      </c>
      <c r="BZ1407">
        <f>BX1407*10^6</f>
        <v>-2938616.9166866601</v>
      </c>
      <c r="CA1407">
        <f>IFERROR(BZ1407/BQ1407,"")</f>
        <v>-0.46321935380762275</v>
      </c>
      <c r="CB1407">
        <v>0</v>
      </c>
      <c r="CC1407">
        <v>0</v>
      </c>
      <c r="CD1407">
        <v>0</v>
      </c>
      <c r="CE1407">
        <v>0</v>
      </c>
      <c r="CF1407">
        <v>0</v>
      </c>
      <c r="CG1407">
        <v>0</v>
      </c>
      <c r="CH1407">
        <v>0</v>
      </c>
      <c r="CI1407">
        <v>0</v>
      </c>
      <c r="CJ1407">
        <v>0</v>
      </c>
      <c r="CK1407">
        <v>0</v>
      </c>
      <c r="CL1407">
        <v>0</v>
      </c>
      <c r="CM1407">
        <v>0</v>
      </c>
      <c r="CN1407">
        <v>0</v>
      </c>
      <c r="CO1407">
        <v>0</v>
      </c>
      <c r="CP1407" t="str">
        <f>IF(BN1407&lt;BM1407,"refNeedCorrection","refOK")</f>
        <v>refOK</v>
      </c>
      <c r="CQ1407"/>
      <c r="CR1407"/>
      <c r="CS1407">
        <f>IF($CP1407="refNeedCorrection",-BQ1407,BQ1407)</f>
        <v>6343899.2618324021</v>
      </c>
      <c r="CT1407">
        <f>IF(BI1407="Roundwood",$CS1407/2,$CS1407)</f>
        <v>3171949.630916201</v>
      </c>
      <c r="CU1407">
        <f>IF($CP1407="refOK",$BU1407,$BV1407)*IF($BR1407="Emissions positive",-1,1)</f>
        <v>0</v>
      </c>
      <c r="CV1407">
        <f>IF($CP1407="refOK",$BV1407,$BU1407)*IF($BR1407="Emissions positive",-1,1)</f>
        <v>0</v>
      </c>
      <c r="CW1407">
        <f>IF($CP1407="refNeedCorrection",-BZ1407,BZ1407)*IF($BR1407="Emissions positive",-1,1)</f>
        <v>-2938616.9166866601</v>
      </c>
      <c r="CX1407">
        <f>IFERROR($CW1407/$CS1407,"")</f>
        <v>-0.46321935380762275</v>
      </c>
      <c r="CY1407">
        <f>IFERROR($CW1407/$CS1407,"")</f>
        <v>-0.46321935380762275</v>
      </c>
      <c r="CZ1407">
        <f>IFERROR($CW1407/$CT1407,"")</f>
        <v>-0.92643870761524549</v>
      </c>
      <c r="DA1407" s="2" t="str">
        <f>IFERROR((CV1407-CU1407)/ABS(CU1407),"")</f>
        <v/>
      </c>
      <c r="DB1407" s="1" t="s">
        <v>1074</v>
      </c>
      <c r="DC1407" t="str">
        <f>IF(OR($DB1407="prd",$DB1407="std",$DB1407="cit"),"loc",IF(OR($DB1407="eur",$DB1407="reg",$DB1407="coy"),"reg",$DB1407))</f>
        <v>reg</v>
      </c>
      <c r="DD1407" t="s">
        <v>428</v>
      </c>
      <c r="DE1407">
        <v>2020</v>
      </c>
      <c r="DF1407">
        <v>2050</v>
      </c>
      <c r="DG1407">
        <v>30</v>
      </c>
      <c r="DH1407" t="str">
        <f>IF(DG1407=0,"0",IF(AND(DG1407&gt;=1,DG1407&lt;=30),"1-30",IF(AND(DG1407&gt;30,DG1407&lt;=70),"31-70",IF(AND(DG1407&gt;70,DG1407&lt;=100),"71-100",IF(DG1407&gt;100,"+100")))))</f>
        <v>1-30</v>
      </c>
      <c r="DI1407">
        <v>0</v>
      </c>
      <c r="DJ1407">
        <v>1</v>
      </c>
      <c r="DK1407">
        <v>1</v>
      </c>
      <c r="DL1407">
        <v>1</v>
      </c>
      <c r="DN1407">
        <f>SUM(DI1407:DL1407)</f>
        <v>3</v>
      </c>
      <c r="DO1407" t="str">
        <f>IF(DN1407=1,INDEX($DI$7:$DL$7,MATCH(1,$DI1407:$DL1407,0)),"mixedProduct")</f>
        <v>mixedProduct</v>
      </c>
      <c r="DP1407">
        <f>IF(DI1407=1,DP$7,0)</f>
        <v>0</v>
      </c>
      <c r="DQ1407" t="str">
        <f>IF(DJ1407=1,DQ$7,0)</f>
        <v>Energy</v>
      </c>
      <c r="DR1407" t="str">
        <f>IF(DK1407=1,DR$7,0)</f>
        <v>Pulp/Paper</v>
      </c>
      <c r="DS1407" t="str">
        <f>IF(DL1407=1,DS$7,0)</f>
        <v>Timber</v>
      </c>
      <c r="DT1407">
        <v>0</v>
      </c>
      <c r="DU1407">
        <v>1</v>
      </c>
      <c r="DV1407" t="s">
        <v>1283</v>
      </c>
      <c r="DW1407" t="s">
        <v>1284</v>
      </c>
      <c r="DX1407">
        <v>0</v>
      </c>
      <c r="DY1407">
        <f>SUM(DT1407:DU1407)</f>
        <v>1</v>
      </c>
      <c r="DZ1407" s="143" t="str">
        <f>IF(DT1407=1,"self-calculated DF",IF(DU1407=1,"external DF used","explicit C balance"))</f>
        <v>external DF used</v>
      </c>
      <c r="EA1407">
        <v>1</v>
      </c>
      <c r="EB1407">
        <v>1</v>
      </c>
      <c r="EC1407">
        <v>1</v>
      </c>
      <c r="ED1407">
        <v>0</v>
      </c>
      <c r="EE1407">
        <v>0</v>
      </c>
      <c r="EF1407" s="143">
        <v>0</v>
      </c>
      <c r="EG1407">
        <v>0</v>
      </c>
      <c r="EH1407">
        <v>0</v>
      </c>
      <c r="EI1407">
        <v>0</v>
      </c>
      <c r="EJ1407">
        <v>0</v>
      </c>
      <c r="EK1407">
        <v>1</v>
      </c>
      <c r="EL1407" s="143">
        <v>0</v>
      </c>
      <c r="EM1407" s="143">
        <v>0</v>
      </c>
      <c r="EN1407" s="2">
        <v>0</v>
      </c>
      <c r="EP1407" t="str">
        <f>IF(AND(AND(AND(OR($EC1407=1,$EB1407=1),OR($EH1407=1,$EF1407=1)),SUM($EA1407:$EE1407,$EK1407)&gt;=3),SUM($EF1407:$EJ1407)&gt;=2),"Whole sector approach","")</f>
        <v/>
      </c>
      <c r="EQ1407" t="str">
        <f>IF(AND(AND(OR($EC1407=1,$EB1407=1),AND($EH1407=0,$EF1407=0)),SUM($EA1407:$EE1407,$EK1407)&gt;=4),"Ecosystem approach","")</f>
        <v>Ecosystem approach</v>
      </c>
      <c r="ER1407" s="2" t="str">
        <f>IF(AND(AND(AND($EC1407=0,$EB1407=0),OR($EH1407=1,$EF1407=1)),SUM($EG1407:$EJ1407)&gt;=2),"Technology approach","")</f>
        <v/>
      </c>
      <c r="ES1407" t="str">
        <f>IF(AND($EC1407+$EB1407+$EE1407+$EA1407+$ED1407+$EG1407=0,$N1407="included"),"C neutral forest and HWP assumption","")</f>
        <v/>
      </c>
      <c r="ET1407" t="str">
        <f>IF(AND(AND(AND(AND($EC1407=1,$EB1407+$EA1407+$EG1407&gt;=1),$EF1407=1),$EH1407+$EI1407+$ED1407+$EE1407&gt;=2),$N1407="included"),"All C pools assumption","")</f>
        <v/>
      </c>
      <c r="EU1407" t="str">
        <f>IF(AND($ED1407+$EE1407+$EI1407+$EH1407+$EF1407=0,$N1407="included"),"In-situ only assumption","")</f>
        <v>In-situ only assumption</v>
      </c>
      <c r="EY1407" t="str">
        <f>IF(ISNUMBER(BW1407),IF(ABS(BW1407-[6]QC_indicators!$B$2)&gt;3*[6]QC_indicators!$C$2,"C ratio",IF(ISNUMBER(CA1407),IF(ABS(CA1407-[6]QC_indicators!$B$1)&gt;3*[6]QC_indicators!$C$1,"DF","no"))),IF(ISNUMBER(CA1407),IF(ABS(CA1407-[6]QC_indicators!$B$1)&gt;3*[6]QC_indicators!$C$1,"DF","no")))</f>
        <v>no</v>
      </c>
      <c r="EZ1407" t="s">
        <v>286</v>
      </c>
      <c r="FA1407" t="str">
        <f>IF(LEN($CY1407)=0,"",IF(AND($CY1407&lt;(-0.05),$ES1407="C neutral forest and HWP assumption"),"Cneutral paradox",IF(AND($CY1407&gt;0.05,$EU1407="In-situ only assumption"),"In-situ only paradox","")))</f>
        <v/>
      </c>
      <c r="FB1407" s="149" t="s">
        <v>349</v>
      </c>
      <c r="FD1407" s="260" t="s">
        <v>2948</v>
      </c>
    </row>
    <row r="1408" spans="1:160" ht="15" hidden="1" customHeight="1">
      <c r="A1408" s="1" t="s">
        <v>1272</v>
      </c>
      <c r="B1408" t="s">
        <v>1273</v>
      </c>
      <c r="C1408" t="s">
        <v>1274</v>
      </c>
      <c r="D1408" t="s">
        <v>1275</v>
      </c>
      <c r="E1408" t="s">
        <v>1276</v>
      </c>
      <c r="F1408" t="s">
        <v>1277</v>
      </c>
      <c r="G1408" t="s">
        <v>1278</v>
      </c>
      <c r="H1408" t="s">
        <v>254</v>
      </c>
      <c r="I1408">
        <v>2021</v>
      </c>
      <c r="J1408">
        <v>0</v>
      </c>
      <c r="K1408" t="s">
        <v>1279</v>
      </c>
      <c r="M1408" t="str">
        <f>LEFT($D1408,FIND(",",$D1408)-1)&amp;"_"&amp;I1408&amp;L1408</f>
        <v>Dugan_2021</v>
      </c>
      <c r="N1408" t="s">
        <v>222</v>
      </c>
      <c r="O1408" s="145" t="s">
        <v>274</v>
      </c>
      <c r="Q1408" t="s">
        <v>256</v>
      </c>
      <c r="R1408" s="251" t="s">
        <v>225</v>
      </c>
      <c r="S1408" s="1" t="s">
        <v>314</v>
      </c>
      <c r="T1408" t="s">
        <v>1003</v>
      </c>
      <c r="U1408" t="s">
        <v>1286</v>
      </c>
      <c r="V1408" s="253">
        <v>0</v>
      </c>
      <c r="W1408" s="253">
        <v>0</v>
      </c>
      <c r="X1408">
        <v>0</v>
      </c>
      <c r="Y1408">
        <v>0</v>
      </c>
      <c r="Z1408">
        <v>1</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s="141">
        <f>COUNTIF(X1408:AY1408,"&lt;&gt;0")</f>
        <v>1</v>
      </c>
      <c r="BA1408" s="141">
        <f>COUNTIF(X1408:AN1408,"&lt;&gt;0")</f>
        <v>1</v>
      </c>
      <c r="BB1408">
        <f>COUNTIF(X1408:AE1408,"&lt;&gt;0")</f>
        <v>1</v>
      </c>
      <c r="BC1408">
        <f>COUNTIF(AF1408:AK1408,"&lt;&gt;0")</f>
        <v>0</v>
      </c>
      <c r="BD1408">
        <f>COUNTIF(AL1408:AN1408,"&lt;&gt;0")</f>
        <v>0</v>
      </c>
      <c r="BE1408">
        <f>COUNTIF(AU1408:AY1408,"&lt;&gt;0")</f>
        <v>0</v>
      </c>
      <c r="BF1408">
        <f>COUNTIF(AO1408:AT1408,"&lt;&gt;0")</f>
        <v>0</v>
      </c>
      <c r="BG1408" t="str">
        <f t="array" ref="BG1408">IF(BA1408=1,INDEX($X$7:$AN$7,MATCH(TRUE,INDEX($X1408:$AY1408&lt;&gt;0,),0)),IF(BA1408=0,INDEX($AO$7:$AY$7,MATCH(1,$AO1408:$AY1408,0)),IF(BH1408="Multiple strategies","mixed drivers",IF(BH1408="Supply chain","multiple supply","multiple silviculture"))))</f>
        <v>rotation length</v>
      </c>
      <c r="BH1408" s="2" t="str" cm="1">
        <f t="array" ref="BH1408">IF(COUNTIF(BB1408:BD1408,"&lt;&gt;0")=1,INDEX($X$4:$AY$4,MATCH(TRUE,INDEX($X1408:$AY1408&lt;&gt;0,),0)),IF(COUNTIF(BB1408:BD1408,"&lt;&gt;0")=0,INDEX($AO$4:$AY$4,MATCH(1,$AO1408:$AY1408,0)),"Multiple strategies"))</f>
        <v>Silviculture for removals</v>
      </c>
      <c r="BI1408" s="1" t="s">
        <v>321</v>
      </c>
      <c r="BJ1408" t="s">
        <v>1282</v>
      </c>
      <c r="BK1408" s="256" t="s">
        <v>2993</v>
      </c>
      <c r="BL1408" t="s">
        <v>1232</v>
      </c>
      <c r="BM1408" s="260">
        <v>14.61</v>
      </c>
      <c r="BN1408">
        <f>BM1408*1.1</f>
        <v>16.071000000000002</v>
      </c>
      <c r="BP1408" s="223">
        <f>BN1408-BM1408</f>
        <v>1.4610000000000021</v>
      </c>
      <c r="BQ1408">
        <f>BP1408*10^6*tC_to_m3</f>
        <v>6343899.2618324021</v>
      </c>
      <c r="BR1408" t="s">
        <v>232</v>
      </c>
      <c r="BS1408" s="256" t="s">
        <v>2995</v>
      </c>
      <c r="BT1408" t="s">
        <v>1175</v>
      </c>
      <c r="BU1408" s="152"/>
      <c r="BV1408" s="152"/>
      <c r="BW1408" s="144"/>
      <c r="BX1408" s="277">
        <v>-1.8383920458338849</v>
      </c>
      <c r="BZ1408">
        <f>BX1408*10^6</f>
        <v>-1838392.045833885</v>
      </c>
      <c r="CA1408">
        <f>IFERROR(BZ1408/BQ1408,"")</f>
        <v>-0.28978897204349285</v>
      </c>
      <c r="CB1408">
        <v>0</v>
      </c>
      <c r="CC1408">
        <v>0</v>
      </c>
      <c r="CD1408">
        <v>0</v>
      </c>
      <c r="CE1408">
        <v>0</v>
      </c>
      <c r="CF1408">
        <v>0</v>
      </c>
      <c r="CG1408">
        <v>0</v>
      </c>
      <c r="CH1408">
        <v>0</v>
      </c>
      <c r="CI1408">
        <v>0</v>
      </c>
      <c r="CJ1408">
        <v>0</v>
      </c>
      <c r="CK1408">
        <v>0</v>
      </c>
      <c r="CL1408">
        <v>0</v>
      </c>
      <c r="CM1408">
        <v>0</v>
      </c>
      <c r="CN1408">
        <v>0</v>
      </c>
      <c r="CO1408">
        <v>0</v>
      </c>
      <c r="CP1408" t="str">
        <f>IF(BN1408&lt;BM1408,"refNeedCorrection","refOK")</f>
        <v>refOK</v>
      </c>
      <c r="CQ1408"/>
      <c r="CR1408"/>
      <c r="CS1408">
        <f>IF($CP1408="refNeedCorrection",-BQ1408,BQ1408)</f>
        <v>6343899.2618324021</v>
      </c>
      <c r="CT1408">
        <f>IF(BI1408="Roundwood",$CS1408/2,$CS1408)</f>
        <v>3171949.630916201</v>
      </c>
      <c r="CU1408">
        <f>IF($CP1408="refOK",$BU1408,$BV1408)*IF($BR1408="Emissions positive",-1,1)</f>
        <v>0</v>
      </c>
      <c r="CV1408">
        <f>IF($CP1408="refOK",$BV1408,$BU1408)*IF($BR1408="Emissions positive",-1,1)</f>
        <v>0</v>
      </c>
      <c r="CW1408">
        <f>IF($CP1408="refNeedCorrection",-BZ1408,BZ1408)*IF($BR1408="Emissions positive",-1,1)</f>
        <v>-1838392.045833885</v>
      </c>
      <c r="CX1408">
        <f>IFERROR($CW1408/$CS1408,"")</f>
        <v>-0.28978897204349285</v>
      </c>
      <c r="CY1408">
        <f>IFERROR($CW1408/$CS1408,"")</f>
        <v>-0.28978897204349285</v>
      </c>
      <c r="CZ1408">
        <f>IFERROR($CW1408/$CT1408,"")</f>
        <v>-0.57957794408698571</v>
      </c>
      <c r="DA1408" s="2" t="str">
        <f>IFERROR((CV1408-CU1408)/ABS(CU1408),"")</f>
        <v/>
      </c>
      <c r="DB1408" s="1" t="s">
        <v>1074</v>
      </c>
      <c r="DC1408" t="str">
        <f>IF(OR($DB1408="prd",$DB1408="std",$DB1408="cit"),"loc",IF(OR($DB1408="eur",$DB1408="reg",$DB1408="coy"),"reg",$DB1408))</f>
        <v>reg</v>
      </c>
      <c r="DD1408" t="s">
        <v>428</v>
      </c>
      <c r="DE1408">
        <v>2020</v>
      </c>
      <c r="DF1408">
        <v>2050</v>
      </c>
      <c r="DG1408">
        <v>30</v>
      </c>
      <c r="DH1408" t="str">
        <f>IF(DG1408=0,"0",IF(AND(DG1408&gt;=1,DG1408&lt;=30),"1-30",IF(AND(DG1408&gt;30,DG1408&lt;=70),"31-70",IF(AND(DG1408&gt;70,DG1408&lt;=100),"71-100",IF(DG1408&gt;100,"+100")))))</f>
        <v>1-30</v>
      </c>
      <c r="DI1408">
        <v>0</v>
      </c>
      <c r="DJ1408">
        <v>1</v>
      </c>
      <c r="DK1408">
        <v>1</v>
      </c>
      <c r="DL1408">
        <v>1</v>
      </c>
      <c r="DN1408">
        <f>SUM(DI1408:DL1408)</f>
        <v>3</v>
      </c>
      <c r="DO1408" t="str">
        <f>IF(DN1408=1,INDEX($DI$7:$DL$7,MATCH(1,$DI1408:$DL1408,0)),"mixedProduct")</f>
        <v>mixedProduct</v>
      </c>
      <c r="DP1408">
        <f>IF(DI1408=1,DP$7,0)</f>
        <v>0</v>
      </c>
      <c r="DQ1408" t="str">
        <f>IF(DJ1408=1,DQ$7,0)</f>
        <v>Energy</v>
      </c>
      <c r="DR1408" t="str">
        <f>IF(DK1408=1,DR$7,0)</f>
        <v>Pulp/Paper</v>
      </c>
      <c r="DS1408" t="str">
        <f>IF(DL1408=1,DS$7,0)</f>
        <v>Timber</v>
      </c>
      <c r="DT1408">
        <v>0</v>
      </c>
      <c r="DU1408">
        <v>1</v>
      </c>
      <c r="DV1408" t="s">
        <v>1283</v>
      </c>
      <c r="DW1408" t="s">
        <v>1284</v>
      </c>
      <c r="DX1408">
        <v>0</v>
      </c>
      <c r="DY1408">
        <f>SUM(DT1408:DU1408)</f>
        <v>1</v>
      </c>
      <c r="DZ1408" s="143" t="str">
        <f>IF(DT1408=1,"self-calculated DF",IF(DU1408=1,"external DF used","explicit C balance"))</f>
        <v>external DF used</v>
      </c>
      <c r="EA1408">
        <v>1</v>
      </c>
      <c r="EB1408">
        <v>1</v>
      </c>
      <c r="EC1408">
        <v>1</v>
      </c>
      <c r="ED1408">
        <v>1</v>
      </c>
      <c r="EE1408">
        <v>0</v>
      </c>
      <c r="EF1408" s="143">
        <v>1</v>
      </c>
      <c r="EG1408">
        <v>0</v>
      </c>
      <c r="EH1408">
        <v>1</v>
      </c>
      <c r="EI1408">
        <v>0</v>
      </c>
      <c r="EJ1408">
        <v>0</v>
      </c>
      <c r="EK1408">
        <v>1</v>
      </c>
      <c r="EL1408" s="143">
        <v>0</v>
      </c>
      <c r="EM1408" s="143">
        <v>0</v>
      </c>
      <c r="EN1408" s="2">
        <v>0</v>
      </c>
      <c r="EP1408" t="str">
        <f>IF(AND(AND(AND(OR($EC1408=1,$EB1408=1),OR($EH1408=1,$EF1408=1)),SUM($EA1408:$EE1408,$EK1408)&gt;=3),SUM($EF1408:$EJ1408)&gt;=2),"Whole sector approach","")</f>
        <v>Whole sector approach</v>
      </c>
      <c r="EQ1408" t="str">
        <f>IF(AND(AND(OR($EC1408=1,$EB1408=1),AND($EH1408=0,$EF1408=0)),SUM($EA1408:$EE1408,$EK1408)&gt;=4),"Ecosystem approach","")</f>
        <v/>
      </c>
      <c r="ER1408" s="2" t="str">
        <f>IF(AND(AND(AND($EC1408=0,$EB1408=0),OR($EH1408=1,$EF1408=1)),SUM($EG1408:$EJ1408)&gt;=2),"Technology approach","")</f>
        <v/>
      </c>
      <c r="ES1408" t="str">
        <f>IF(AND($EC1408+$EB1408+$EE1408+$EA1408+$ED1408+$EG1408=0,$N1408="included"),"C neutral forest and HWP assumption","")</f>
        <v/>
      </c>
      <c r="ET1408" t="str">
        <f>IF(AND(AND(AND(AND($EC1408=1,$EB1408+$EA1408+$EG1408&gt;=1),$EF1408=1),$EH1408+$EI1408+$ED1408+$EE1408&gt;=2),$N1408="included"),"All C pools assumption","")</f>
        <v>All C pools assumption</v>
      </c>
      <c r="EU1408" t="str">
        <f>IF(AND($ED1408+$EE1408+$EI1408+$EH1408+$EF1408=0,$N1408="included"),"In-situ only assumption","")</f>
        <v/>
      </c>
      <c r="EY1408" t="str">
        <f>IF(ISNUMBER(BW1408),IF(ABS(BW1408-[6]QC_indicators!$B$2)&gt;3*[6]QC_indicators!$C$2,"C ratio",IF(ISNUMBER(CA1408),IF(ABS(CA1408-[6]QC_indicators!$B$1)&gt;3*[6]QC_indicators!$C$1,"DF","no"))),IF(ISNUMBER(CA1408),IF(ABS(CA1408-[6]QC_indicators!$B$1)&gt;3*[6]QC_indicators!$C$1,"DF","no")))</f>
        <v>no</v>
      </c>
      <c r="EZ1408" t="s">
        <v>286</v>
      </c>
      <c r="FA1408" t="str">
        <f>IF(LEN($CY1408)=0,"",IF(AND($CY1408&lt;(-0.05),$ES1408="C neutral forest and HWP assumption"),"Cneutral paradox",IF(AND($CY1408&gt;0.05,$EU1408="In-situ only assumption"),"In-situ only paradox","")))</f>
        <v/>
      </c>
      <c r="FB1408" s="149" t="s">
        <v>349</v>
      </c>
      <c r="FD1408" s="260" t="s">
        <v>2948</v>
      </c>
    </row>
    <row r="1409" spans="1:160" ht="102">
      <c r="A1409" s="1" t="s">
        <v>1272</v>
      </c>
      <c r="B1409" t="s">
        <v>1273</v>
      </c>
      <c r="C1409" t="s">
        <v>1274</v>
      </c>
      <c r="D1409" t="s">
        <v>1275</v>
      </c>
      <c r="E1409" t="s">
        <v>1276</v>
      </c>
      <c r="F1409" t="s">
        <v>1277</v>
      </c>
      <c r="G1409" t="s">
        <v>1278</v>
      </c>
      <c r="H1409" t="s">
        <v>254</v>
      </c>
      <c r="I1409">
        <v>2021</v>
      </c>
      <c r="J1409">
        <v>0</v>
      </c>
      <c r="K1409" t="s">
        <v>1279</v>
      </c>
      <c r="M1409" t="str">
        <f>LEFT($D1409,FIND(",",$D1409)-1)&amp;"_"&amp;I1409&amp;L1409</f>
        <v>Dugan_2021</v>
      </c>
      <c r="N1409" t="s">
        <v>222</v>
      </c>
      <c r="O1409" s="145" t="s">
        <v>274</v>
      </c>
      <c r="Q1409" t="s">
        <v>256</v>
      </c>
      <c r="R1409" s="251" t="s">
        <v>225</v>
      </c>
      <c r="S1409" s="1" t="s">
        <v>1289</v>
      </c>
      <c r="T1409" t="s">
        <v>1290</v>
      </c>
      <c r="U1409" t="s">
        <v>1003</v>
      </c>
      <c r="V1409" s="253">
        <v>0</v>
      </c>
      <c r="W1409" s="253">
        <v>0</v>
      </c>
      <c r="X1409">
        <v>0</v>
      </c>
      <c r="Y1409">
        <v>0</v>
      </c>
      <c r="Z1409">
        <v>0</v>
      </c>
      <c r="AA1409">
        <v>0</v>
      </c>
      <c r="AB1409">
        <v>0</v>
      </c>
      <c r="AC1409">
        <v>0</v>
      </c>
      <c r="AD1409">
        <v>0</v>
      </c>
      <c r="AE1409">
        <v>0</v>
      </c>
      <c r="AF1409">
        <v>0</v>
      </c>
      <c r="AG1409">
        <v>0</v>
      </c>
      <c r="AH1409">
        <v>1</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s="141">
        <f>COUNTIF(X1409:AY1409,"&lt;&gt;0")</f>
        <v>1</v>
      </c>
      <c r="BA1409" s="141">
        <f>COUNTIF(X1409:AN1409,"&lt;&gt;0")</f>
        <v>1</v>
      </c>
      <c r="BB1409">
        <f>COUNTIF(X1409:AE1409,"&lt;&gt;0")</f>
        <v>0</v>
      </c>
      <c r="BC1409">
        <f>COUNTIF(AF1409:AK1409,"&lt;&gt;0")</f>
        <v>1</v>
      </c>
      <c r="BD1409">
        <f>COUNTIF(AL1409:AN1409,"&lt;&gt;0")</f>
        <v>0</v>
      </c>
      <c r="BE1409">
        <f>COUNTIF(AU1409:AY1409,"&lt;&gt;0")</f>
        <v>0</v>
      </c>
      <c r="BF1409">
        <f>COUNTIF(AO1409:AT1409,"&lt;&gt;0")</f>
        <v>0</v>
      </c>
      <c r="BG1409" t="str">
        <f t="array" ref="BG1409">IF(BA1409=1,INDEX($X$7:$AN$7,MATCH(TRUE,INDEX($X1409:$AY1409&lt;&gt;0,),0)),IF(BA1409=0,INDEX($AO$7:$AY$7,MATCH(1,$AO1409:$AY1409,0)),IF(BH1409="Multiple strategies","mixed drivers",IF(BH1409="Supply chain","multiple supply","multiple silviculture"))))</f>
        <v>supply chain organization</v>
      </c>
      <c r="BH1409" s="2" t="str" cm="1">
        <f t="array" ref="BH1409">IF(COUNTIF(BB1409:BD1409,"&lt;&gt;0")=1,INDEX($X$4:$AY$4,MATCH(TRUE,INDEX($X1409:$AY1409&lt;&gt;0,),0)),IF(COUNTIF(BB1409:BD1409,"&lt;&gt;0")=0,INDEX($AO$4:$AY$4,MATCH(1,$AO1409:$AY1409,0)),"Multiple strategies"))</f>
        <v>Supply chain</v>
      </c>
      <c r="BI1409" s="1" t="s">
        <v>321</v>
      </c>
      <c r="BJ1409" t="s">
        <v>1282</v>
      </c>
      <c r="BK1409" s="256" t="s">
        <v>2993</v>
      </c>
      <c r="BL1409" t="s">
        <v>1232</v>
      </c>
      <c r="BM1409" s="260">
        <v>14.61</v>
      </c>
      <c r="BN1409" s="260">
        <v>14.61</v>
      </c>
      <c r="BP1409" s="223">
        <f>BN1409-BM1409</f>
        <v>0</v>
      </c>
      <c r="BQ1409">
        <f>BP1409*10^6*tC_to_m3</f>
        <v>0</v>
      </c>
      <c r="BR1409" t="s">
        <v>232</v>
      </c>
      <c r="BS1409" s="256" t="s">
        <v>2996</v>
      </c>
      <c r="BT1409" t="s">
        <v>1175</v>
      </c>
      <c r="BU1409" s="152"/>
      <c r="BV1409" s="152"/>
      <c r="BW1409" s="144"/>
      <c r="BX1409" s="278">
        <v>0</v>
      </c>
      <c r="BZ1409">
        <f>BX1409*10^6</f>
        <v>0</v>
      </c>
      <c r="CA1409" t="str">
        <f>IFERROR(BZ1409/BQ1409,"")</f>
        <v/>
      </c>
      <c r="CB1409">
        <v>0</v>
      </c>
      <c r="CC1409">
        <v>0</v>
      </c>
      <c r="CD1409">
        <v>0</v>
      </c>
      <c r="CE1409">
        <v>0</v>
      </c>
      <c r="CF1409">
        <v>0</v>
      </c>
      <c r="CG1409">
        <v>0</v>
      </c>
      <c r="CH1409">
        <v>0</v>
      </c>
      <c r="CI1409">
        <v>0</v>
      </c>
      <c r="CJ1409">
        <v>0</v>
      </c>
      <c r="CK1409">
        <v>0</v>
      </c>
      <c r="CL1409">
        <v>0</v>
      </c>
      <c r="CM1409">
        <v>0</v>
      </c>
      <c r="CN1409">
        <v>0</v>
      </c>
      <c r="CO1409">
        <v>0</v>
      </c>
      <c r="CP1409" t="str">
        <f>IF(BN1409&lt;BM1409,"refNeedCorrection","refOK")</f>
        <v>refOK</v>
      </c>
      <c r="CQ1409"/>
      <c r="CR1409"/>
      <c r="CS1409">
        <f>IF($CP1409="refNeedCorrection",-BQ1409,BQ1409)</f>
        <v>0</v>
      </c>
      <c r="CT1409">
        <f>IF(BI1409="Roundwood",$CS1409/2,$CS1409)</f>
        <v>0</v>
      </c>
      <c r="CU1409">
        <f>IF($CP1409="refOK",$BU1409,$BV1409)*IF($BR1409="Emissions positive",-1,1)</f>
        <v>0</v>
      </c>
      <c r="CV1409">
        <f>IF($CP1409="refOK",$BV1409,$BU1409)*IF($BR1409="Emissions positive",-1,1)</f>
        <v>0</v>
      </c>
      <c r="CW1409">
        <f>IF($CP1409="refNeedCorrection",-BZ1409,BZ1409)*IF($BR1409="Emissions positive",-1,1)</f>
        <v>0</v>
      </c>
      <c r="CX1409" t="str">
        <f>IFERROR($CW1409/$CS1409,"")</f>
        <v/>
      </c>
      <c r="CY1409" t="str">
        <f>IFERROR($CW1409/$CS1409,"")</f>
        <v/>
      </c>
      <c r="CZ1409" t="str">
        <f>IFERROR($CW1409/$CT1409,"")</f>
        <v/>
      </c>
      <c r="DA1409" s="2" t="str">
        <f>IFERROR((CV1409-CU1409)/ABS(CU1409),"")</f>
        <v/>
      </c>
      <c r="DB1409" s="1" t="s">
        <v>1074</v>
      </c>
      <c r="DC1409" t="str">
        <f>IF(OR($DB1409="prd",$DB1409="std",$DB1409="cit"),"loc",IF(OR($DB1409="eur",$DB1409="reg",$DB1409="coy"),"reg",$DB1409))</f>
        <v>reg</v>
      </c>
      <c r="DD1409" t="s">
        <v>428</v>
      </c>
      <c r="DE1409">
        <v>2020</v>
      </c>
      <c r="DF1409">
        <v>2050</v>
      </c>
      <c r="DG1409">
        <v>30</v>
      </c>
      <c r="DH1409" t="str">
        <f>IF(DG1409=0,"0",IF(AND(DG1409&gt;=1,DG1409&lt;=30),"1-30",IF(AND(DG1409&gt;30,DG1409&lt;=70),"31-70",IF(AND(DG1409&gt;70,DG1409&lt;=100),"71-100",IF(DG1409&gt;100,"+100")))))</f>
        <v>1-30</v>
      </c>
      <c r="DI1409">
        <v>0</v>
      </c>
      <c r="DJ1409">
        <v>1</v>
      </c>
      <c r="DK1409">
        <v>1</v>
      </c>
      <c r="DL1409">
        <v>0</v>
      </c>
      <c r="DN1409">
        <f>SUM(DI1409:DL1409)</f>
        <v>2</v>
      </c>
      <c r="DO1409" t="str">
        <f>IF(DN1409=1,INDEX($DI$7:$DL$7,MATCH(1,$DI1409:$DL1409,0)),"mixedProduct")</f>
        <v>mixedProduct</v>
      </c>
      <c r="DP1409">
        <f>IF(DI1409=1,DP$7,0)</f>
        <v>0</v>
      </c>
      <c r="DQ1409" t="str">
        <f>IF(DJ1409=1,DQ$7,0)</f>
        <v>Energy</v>
      </c>
      <c r="DR1409" t="str">
        <f>IF(DK1409=1,DR$7,0)</f>
        <v>Pulp/Paper</v>
      </c>
      <c r="DS1409">
        <f>IF(DL1409=1,DS$7,0)</f>
        <v>0</v>
      </c>
      <c r="DT1409">
        <v>0</v>
      </c>
      <c r="DU1409">
        <v>1</v>
      </c>
      <c r="DV1409" t="s">
        <v>1283</v>
      </c>
      <c r="DW1409" t="s">
        <v>1284</v>
      </c>
      <c r="DX1409">
        <v>0</v>
      </c>
      <c r="DY1409">
        <f>SUM(DT1409:DU1409)</f>
        <v>1</v>
      </c>
      <c r="DZ1409" s="143" t="str">
        <f>IF(DT1409=1,"self-calculated DF",IF(DU1409=1,"external DF used","explicit C balance"))</f>
        <v>external DF used</v>
      </c>
      <c r="EA1409">
        <v>1</v>
      </c>
      <c r="EB1409">
        <v>1</v>
      </c>
      <c r="EC1409">
        <v>1</v>
      </c>
      <c r="ED1409">
        <v>0</v>
      </c>
      <c r="EE1409">
        <v>0</v>
      </c>
      <c r="EF1409" s="143">
        <v>0</v>
      </c>
      <c r="EG1409">
        <v>0</v>
      </c>
      <c r="EH1409">
        <v>0</v>
      </c>
      <c r="EI1409">
        <v>0</v>
      </c>
      <c r="EJ1409">
        <v>0</v>
      </c>
      <c r="EK1409">
        <v>1</v>
      </c>
      <c r="EL1409" s="143">
        <v>0</v>
      </c>
      <c r="EM1409" s="143">
        <v>0</v>
      </c>
      <c r="EN1409" s="2">
        <v>0</v>
      </c>
      <c r="EP1409" t="str">
        <f>IF(AND(AND(AND(OR($EC1409=1,$EB1409=1),OR($EH1409=1,$EF1409=1)),SUM($EA1409:$EE1409,$EK1409)&gt;=3),SUM($EF1409:$EJ1409)&gt;=2),"Whole sector approach","")</f>
        <v/>
      </c>
      <c r="EQ1409" t="str">
        <f>IF(AND(AND(OR($EC1409=1,$EB1409=1),AND($EH1409=0,$EF1409=0)),SUM($EA1409:$EE1409,$EK1409)&gt;=4),"Ecosystem approach","")</f>
        <v>Ecosystem approach</v>
      </c>
      <c r="ER1409" s="2" t="str">
        <f>IF(AND(AND(AND($EC1409=0,$EB1409=0),OR($EH1409=1,$EF1409=1)),SUM($EG1409:$EJ1409)&gt;=2),"Technology approach","")</f>
        <v/>
      </c>
      <c r="ES1409" t="str">
        <f>IF(AND($EC1409+$EB1409+$EE1409+$EA1409+$ED1409+$EG1409=0,$N1409="included"),"C neutral forest and HWP assumption","")</f>
        <v/>
      </c>
      <c r="ET1409" t="str">
        <f>IF(AND(AND(AND(AND($EC1409=1,$EB1409+$EA1409+$EG1409&gt;=1),$EF1409=1),$EH1409+$EI1409+$ED1409+$EE1409&gt;=2),$N1409="included"),"All C pools assumption","")</f>
        <v/>
      </c>
      <c r="EU1409" t="str">
        <f>IF(AND($ED1409+$EE1409+$EI1409+$EH1409+$EF1409=0,$N1409="included"),"In-situ only assumption","")</f>
        <v>In-situ only assumption</v>
      </c>
      <c r="EY1409" t="b">
        <f>IF(ISNUMBER(BW1409),IF(ABS(BW1409-[6]QC_indicators!$B$2)&gt;3*[6]QC_indicators!$C$2,"C ratio",IF(ISNUMBER(CA1409),IF(ABS(CA1409-[6]QC_indicators!$B$1)&gt;3*[6]QC_indicators!$C$1,"DF","no"))),IF(ISNUMBER(CA1409),IF(ABS(CA1409-[6]QC_indicators!$B$1)&gt;3*[6]QC_indicators!$C$1,"DF","no")))</f>
        <v>0</v>
      </c>
      <c r="EZ1409" t="s">
        <v>286</v>
      </c>
      <c r="FA1409" t="str">
        <f>IF(LEN($CY1409)=0,"",IF(AND($CY1409&lt;(-0.05),$ES1409="C neutral forest and HWP assumption"),"Cneutral paradox",IF(AND($CY1409&gt;0.05,$EU1409="In-situ only assumption"),"In-situ only paradox","")))</f>
        <v/>
      </c>
      <c r="FB1409" s="149" t="s">
        <v>349</v>
      </c>
      <c r="FD1409" s="260" t="s">
        <v>2948</v>
      </c>
    </row>
    <row r="1410" spans="1:160" ht="17">
      <c r="A1410" s="1" t="s">
        <v>1272</v>
      </c>
      <c r="B1410" t="s">
        <v>1273</v>
      </c>
      <c r="C1410" t="s">
        <v>1274</v>
      </c>
      <c r="D1410" t="s">
        <v>1275</v>
      </c>
      <c r="E1410" t="s">
        <v>1276</v>
      </c>
      <c r="F1410" t="s">
        <v>1277</v>
      </c>
      <c r="G1410" t="s">
        <v>1278</v>
      </c>
      <c r="H1410" t="s">
        <v>254</v>
      </c>
      <c r="I1410">
        <v>2021</v>
      </c>
      <c r="J1410">
        <v>0</v>
      </c>
      <c r="K1410" t="s">
        <v>1279</v>
      </c>
      <c r="M1410" t="str">
        <f>LEFT($D1410,FIND(",",$D1410)-1)&amp;"_"&amp;I1410&amp;L1410</f>
        <v>Dugan_2021</v>
      </c>
      <c r="N1410" t="s">
        <v>222</v>
      </c>
      <c r="O1410" s="145" t="s">
        <v>274</v>
      </c>
      <c r="Q1410" t="s">
        <v>256</v>
      </c>
      <c r="R1410" s="251" t="s">
        <v>225</v>
      </c>
      <c r="S1410" s="1" t="s">
        <v>1289</v>
      </c>
      <c r="T1410" t="s">
        <v>1003</v>
      </c>
      <c r="U1410" t="s">
        <v>1271</v>
      </c>
      <c r="V1410" s="253">
        <v>0</v>
      </c>
      <c r="W1410" s="253">
        <v>0</v>
      </c>
      <c r="X1410">
        <v>0</v>
      </c>
      <c r="Y1410">
        <v>0</v>
      </c>
      <c r="Z1410">
        <v>0</v>
      </c>
      <c r="AA1410">
        <v>0</v>
      </c>
      <c r="AB1410">
        <v>0</v>
      </c>
      <c r="AC1410">
        <v>0</v>
      </c>
      <c r="AD1410">
        <v>0</v>
      </c>
      <c r="AE1410">
        <v>0</v>
      </c>
      <c r="AF1410">
        <v>0</v>
      </c>
      <c r="AG1410">
        <v>0</v>
      </c>
      <c r="AH1410">
        <v>1</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s="141">
        <f>COUNTIF(X1410:AY1410,"&lt;&gt;0")</f>
        <v>1</v>
      </c>
      <c r="BA1410" s="141">
        <f>COUNTIF(X1410:AN1410,"&lt;&gt;0")</f>
        <v>1</v>
      </c>
      <c r="BB1410">
        <f>COUNTIF(X1410:AE1410,"&lt;&gt;0")</f>
        <v>0</v>
      </c>
      <c r="BC1410">
        <f>COUNTIF(AF1410:AK1410,"&lt;&gt;0")</f>
        <v>1</v>
      </c>
      <c r="BD1410">
        <f>COUNTIF(AL1410:AN1410,"&lt;&gt;0")</f>
        <v>0</v>
      </c>
      <c r="BE1410">
        <f>COUNTIF(AU1410:AY1410,"&lt;&gt;0")</f>
        <v>0</v>
      </c>
      <c r="BF1410">
        <f>COUNTIF(AO1410:AT1410,"&lt;&gt;0")</f>
        <v>0</v>
      </c>
      <c r="BG1410" t="str">
        <f t="array" ref="BG1410">IF(BA1410=1,INDEX($X$7:$AN$7,MATCH(TRUE,INDEX($X1410:$AY1410&lt;&gt;0,),0)),IF(BA1410=0,INDEX($AO$7:$AY$7,MATCH(1,$AO1410:$AY1410,0)),IF(BH1410="Multiple strategies","mixed drivers",IF(BH1410="Supply chain","multiple supply","multiple silviculture"))))</f>
        <v>supply chain organization</v>
      </c>
      <c r="BH1410" s="2" t="str" cm="1">
        <f t="array" ref="BH1410">IF(COUNTIF(BB1410:BD1410,"&lt;&gt;0")=1,INDEX($X$4:$AY$4,MATCH(TRUE,INDEX($X1410:$AY1410&lt;&gt;0,),0)),IF(COUNTIF(BB1410:BD1410,"&lt;&gt;0")=0,INDEX($AO$4:$AY$4,MATCH(1,$AO1410:$AY1410,0)),"Multiple strategies"))</f>
        <v>Supply chain</v>
      </c>
      <c r="BI1410" s="1" t="s">
        <v>321</v>
      </c>
      <c r="BJ1410" t="s">
        <v>1282</v>
      </c>
      <c r="BK1410" s="256" t="s">
        <v>2993</v>
      </c>
      <c r="BL1410" t="s">
        <v>1232</v>
      </c>
      <c r="BM1410" s="260">
        <v>14.61</v>
      </c>
      <c r="BN1410" s="260">
        <v>14.61</v>
      </c>
      <c r="BP1410" s="223">
        <f>BN1410-BM1410</f>
        <v>0</v>
      </c>
      <c r="BQ1410">
        <f>BP1410*10^6*tC_to_m3</f>
        <v>0</v>
      </c>
      <c r="BR1410" t="s">
        <v>232</v>
      </c>
      <c r="BS1410" s="256" t="s">
        <v>2996</v>
      </c>
      <c r="BT1410" t="s">
        <v>1175</v>
      </c>
      <c r="BU1410" s="152"/>
      <c r="BV1410" s="152"/>
      <c r="BW1410" s="144"/>
      <c r="BX1410" s="278">
        <v>0</v>
      </c>
      <c r="BZ1410">
        <f>BX1410*10^6</f>
        <v>0</v>
      </c>
      <c r="CA1410" t="str">
        <f>IFERROR(BZ1410/BQ1410,"")</f>
        <v/>
      </c>
      <c r="CB1410">
        <v>0</v>
      </c>
      <c r="CC1410">
        <v>0</v>
      </c>
      <c r="CD1410">
        <v>0</v>
      </c>
      <c r="CE1410">
        <v>0</v>
      </c>
      <c r="CF1410">
        <v>0</v>
      </c>
      <c r="CG1410">
        <v>0</v>
      </c>
      <c r="CH1410">
        <v>0</v>
      </c>
      <c r="CI1410">
        <v>0</v>
      </c>
      <c r="CJ1410">
        <v>0</v>
      </c>
      <c r="CK1410">
        <v>0</v>
      </c>
      <c r="CL1410">
        <v>0</v>
      </c>
      <c r="CM1410">
        <v>0</v>
      </c>
      <c r="CN1410">
        <v>0</v>
      </c>
      <c r="CO1410">
        <v>0</v>
      </c>
      <c r="CP1410" t="str">
        <f>IF(BN1410&lt;BM1410,"refNeedCorrection","refOK")</f>
        <v>refOK</v>
      </c>
      <c r="CQ1410"/>
      <c r="CR1410"/>
      <c r="CS1410">
        <f>IF($CP1410="refNeedCorrection",-BQ1410,BQ1410)</f>
        <v>0</v>
      </c>
      <c r="CT1410">
        <f>IF(BI1410="Roundwood",$CS1410/2,$CS1410)</f>
        <v>0</v>
      </c>
      <c r="CU1410">
        <f>IF($CP1410="refOK",$BU1410,$BV1410)*IF($BR1410="Emissions positive",-1,1)</f>
        <v>0</v>
      </c>
      <c r="CV1410">
        <f>IF($CP1410="refOK",$BV1410,$BU1410)*IF($BR1410="Emissions positive",-1,1)</f>
        <v>0</v>
      </c>
      <c r="CW1410">
        <f>IF($CP1410="refNeedCorrection",-BZ1410,BZ1410)*IF($BR1410="Emissions positive",-1,1)</f>
        <v>0</v>
      </c>
      <c r="CX1410" t="str">
        <f>IFERROR($CW1410/$CS1410,"")</f>
        <v/>
      </c>
      <c r="CY1410" t="str">
        <f>IFERROR($CW1410/$CS1410,"")</f>
        <v/>
      </c>
      <c r="CZ1410" t="str">
        <f>IFERROR($CW1410/$CT1410,"")</f>
        <v/>
      </c>
      <c r="DA1410" s="2" t="str">
        <f>IFERROR((CV1410-CU1410)/ABS(CU1410),"")</f>
        <v/>
      </c>
      <c r="DB1410" s="1" t="s">
        <v>1074</v>
      </c>
      <c r="DC1410" t="str">
        <f>IF(OR($DB1410="prd",$DB1410="std",$DB1410="cit"),"loc",IF(OR($DB1410="eur",$DB1410="reg",$DB1410="coy"),"reg",$DB1410))</f>
        <v>reg</v>
      </c>
      <c r="DD1410" t="s">
        <v>428</v>
      </c>
      <c r="DE1410">
        <v>2020</v>
      </c>
      <c r="DF1410">
        <v>2050</v>
      </c>
      <c r="DG1410">
        <v>30</v>
      </c>
      <c r="DH1410" t="str">
        <f>IF(DG1410=0,"0",IF(AND(DG1410&gt;=1,DG1410&lt;=30),"1-30",IF(AND(DG1410&gt;30,DG1410&lt;=70),"31-70",IF(AND(DG1410&gt;70,DG1410&lt;=100),"71-100",IF(DG1410&gt;100,"+100")))))</f>
        <v>1-30</v>
      </c>
      <c r="DI1410">
        <v>0</v>
      </c>
      <c r="DJ1410">
        <v>0</v>
      </c>
      <c r="DK1410">
        <v>1</v>
      </c>
      <c r="DL1410">
        <v>1</v>
      </c>
      <c r="DN1410">
        <f>SUM(DI1410:DL1410)</f>
        <v>2</v>
      </c>
      <c r="DO1410" t="str">
        <f>IF(DN1410=1,INDEX($DI$7:$DL$7,MATCH(1,$DI1410:$DL1410,0)),"mixedProduct")</f>
        <v>mixedProduct</v>
      </c>
      <c r="DP1410">
        <f>IF(DI1410=1,DP$7,0)</f>
        <v>0</v>
      </c>
      <c r="DQ1410">
        <f>IF(DJ1410=1,DQ$7,0)</f>
        <v>0</v>
      </c>
      <c r="DR1410" t="str">
        <f>IF(DK1410=1,DR$7,0)</f>
        <v>Pulp/Paper</v>
      </c>
      <c r="DS1410" t="str">
        <f>IF(DL1410=1,DS$7,0)</f>
        <v>Timber</v>
      </c>
      <c r="DT1410">
        <v>0</v>
      </c>
      <c r="DU1410">
        <v>1</v>
      </c>
      <c r="DV1410" t="s">
        <v>1283</v>
      </c>
      <c r="DW1410" t="s">
        <v>1284</v>
      </c>
      <c r="DX1410">
        <v>0</v>
      </c>
      <c r="DY1410">
        <f>SUM(DT1410:DU1410)</f>
        <v>1</v>
      </c>
      <c r="DZ1410" s="143" t="str">
        <f>IF(DT1410=1,"self-calculated DF",IF(DU1410=1,"external DF used","explicit C balance"))</f>
        <v>external DF used</v>
      </c>
      <c r="EA1410">
        <v>1</v>
      </c>
      <c r="EB1410">
        <v>1</v>
      </c>
      <c r="EC1410">
        <v>1</v>
      </c>
      <c r="ED1410">
        <v>0</v>
      </c>
      <c r="EE1410">
        <v>0</v>
      </c>
      <c r="EF1410" s="143">
        <v>0</v>
      </c>
      <c r="EG1410">
        <v>0</v>
      </c>
      <c r="EH1410">
        <v>0</v>
      </c>
      <c r="EI1410">
        <v>0</v>
      </c>
      <c r="EJ1410">
        <v>0</v>
      </c>
      <c r="EK1410">
        <v>1</v>
      </c>
      <c r="EL1410" s="143">
        <v>0</v>
      </c>
      <c r="EM1410" s="143">
        <v>0</v>
      </c>
      <c r="EN1410" s="2">
        <v>0</v>
      </c>
      <c r="EP1410" t="str">
        <f>IF(AND(AND(AND(OR($EC1410=1,$EB1410=1),OR($EH1410=1,$EF1410=1)),SUM($EA1410:$EE1410,$EK1410)&gt;=3),SUM($EF1410:$EJ1410)&gt;=2),"Whole sector approach","")</f>
        <v/>
      </c>
      <c r="EQ1410" t="str">
        <f>IF(AND(AND(OR($EC1410=1,$EB1410=1),AND($EH1410=0,$EF1410=0)),SUM($EA1410:$EE1410,$EK1410)&gt;=4),"Ecosystem approach","")</f>
        <v>Ecosystem approach</v>
      </c>
      <c r="ER1410" s="2" t="str">
        <f>IF(AND(AND(AND($EC1410=0,$EB1410=0),OR($EH1410=1,$EF1410=1)),SUM($EG1410:$EJ1410)&gt;=2),"Technology approach","")</f>
        <v/>
      </c>
      <c r="ES1410" t="str">
        <f>IF(AND($EC1410+$EB1410+$EE1410+$EA1410+$ED1410+$EG1410=0,$N1410="included"),"C neutral forest and HWP assumption","")</f>
        <v/>
      </c>
      <c r="ET1410" t="str">
        <f>IF(AND(AND(AND(AND($EC1410=1,$EB1410+$EA1410+$EG1410&gt;=1),$EF1410=1),$EH1410+$EI1410+$ED1410+$EE1410&gt;=2),$N1410="included"),"All C pools assumption","")</f>
        <v/>
      </c>
      <c r="EU1410" t="str">
        <f>IF(AND($ED1410+$EE1410+$EI1410+$EH1410+$EF1410=0,$N1410="included"),"In-situ only assumption","")</f>
        <v>In-situ only assumption</v>
      </c>
      <c r="EY1410" t="b">
        <f>IF(ISNUMBER(BW1410),IF(ABS(BW1410-[6]QC_indicators!$B$2)&gt;3*[6]QC_indicators!$C$2,"C ratio",IF(ISNUMBER(CA1410),IF(ABS(CA1410-[6]QC_indicators!$B$1)&gt;3*[6]QC_indicators!$C$1,"DF","no"))),IF(ISNUMBER(CA1410),IF(ABS(CA1410-[6]QC_indicators!$B$1)&gt;3*[6]QC_indicators!$C$1,"DF","no")))</f>
        <v>0</v>
      </c>
      <c r="EZ1410" t="s">
        <v>286</v>
      </c>
      <c r="FA1410" t="str">
        <f>IF(LEN($CY1410)=0,"",IF(AND($CY1410&lt;(-0.05),$ES1410="C neutral forest and HWP assumption"),"Cneutral paradox",IF(AND($CY1410&gt;0.05,$EU1410="In-situ only assumption"),"In-situ only paradox","")))</f>
        <v/>
      </c>
      <c r="FB1410" s="149" t="s">
        <v>349</v>
      </c>
      <c r="FD1410" s="260" t="s">
        <v>2948</v>
      </c>
    </row>
    <row r="1411" spans="1:160" ht="17" hidden="1">
      <c r="A1411" s="1" t="s">
        <v>1272</v>
      </c>
      <c r="B1411" t="s">
        <v>1273</v>
      </c>
      <c r="C1411" t="s">
        <v>1274</v>
      </c>
      <c r="D1411" t="s">
        <v>1275</v>
      </c>
      <c r="E1411" t="s">
        <v>1276</v>
      </c>
      <c r="F1411" t="s">
        <v>1277</v>
      </c>
      <c r="G1411" t="s">
        <v>1278</v>
      </c>
      <c r="H1411" t="s">
        <v>254</v>
      </c>
      <c r="I1411">
        <v>2021</v>
      </c>
      <c r="J1411">
        <v>0</v>
      </c>
      <c r="K1411" t="s">
        <v>1279</v>
      </c>
      <c r="M1411" t="str">
        <f>LEFT($D1411,FIND(",",$D1411)-1)&amp;"_"&amp;I1411&amp;L1411</f>
        <v>Dugan_2021</v>
      </c>
      <c r="N1411" t="s">
        <v>222</v>
      </c>
      <c r="O1411" s="145" t="s">
        <v>274</v>
      </c>
      <c r="Q1411" t="s">
        <v>256</v>
      </c>
      <c r="R1411" s="251" t="s">
        <v>225</v>
      </c>
      <c r="S1411" s="1" t="s">
        <v>1289</v>
      </c>
      <c r="T1411" t="s">
        <v>1290</v>
      </c>
      <c r="U1411" t="s">
        <v>1003</v>
      </c>
      <c r="V1411" s="253">
        <v>0</v>
      </c>
      <c r="W1411" s="253">
        <v>0</v>
      </c>
      <c r="X1411">
        <v>0</v>
      </c>
      <c r="Y1411">
        <v>0</v>
      </c>
      <c r="Z1411">
        <v>0</v>
      </c>
      <c r="AA1411">
        <v>0</v>
      </c>
      <c r="AB1411">
        <v>0</v>
      </c>
      <c r="AC1411">
        <v>0</v>
      </c>
      <c r="AD1411">
        <v>0</v>
      </c>
      <c r="AE1411">
        <v>0</v>
      </c>
      <c r="AF1411">
        <v>0</v>
      </c>
      <c r="AG1411">
        <v>0</v>
      </c>
      <c r="AH1411">
        <v>1</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s="141">
        <f>COUNTIF(X1411:AY1411,"&lt;&gt;0")</f>
        <v>1</v>
      </c>
      <c r="BA1411" s="141">
        <f>COUNTIF(X1411:AN1411,"&lt;&gt;0")</f>
        <v>1</v>
      </c>
      <c r="BB1411">
        <f>COUNTIF(X1411:AE1411,"&lt;&gt;0")</f>
        <v>0</v>
      </c>
      <c r="BC1411">
        <f>COUNTIF(AF1411:AK1411,"&lt;&gt;0")</f>
        <v>1</v>
      </c>
      <c r="BD1411">
        <f>COUNTIF(AL1411:AN1411,"&lt;&gt;0")</f>
        <v>0</v>
      </c>
      <c r="BE1411">
        <f>COUNTIF(AU1411:AY1411,"&lt;&gt;0")</f>
        <v>0</v>
      </c>
      <c r="BF1411">
        <f>COUNTIF(AO1411:AT1411,"&lt;&gt;0")</f>
        <v>0</v>
      </c>
      <c r="BG1411" t="str">
        <f t="array" ref="BG1411">IF(BA1411=1,INDEX($X$7:$AN$7,MATCH(TRUE,INDEX($X1411:$AY1411&lt;&gt;0,),0)),IF(BA1411=0,INDEX($AO$7:$AY$7,MATCH(1,$AO1411:$AY1411,0)),IF(BH1411="Multiple strategies","mixed drivers",IF(BH1411="Supply chain","multiple supply","multiple silviculture"))))</f>
        <v>supply chain organization</v>
      </c>
      <c r="BH1411" s="2" t="str" cm="1">
        <f t="array" ref="BH1411">IF(COUNTIF(BB1411:BD1411,"&lt;&gt;0")=1,INDEX($X$4:$AY$4,MATCH(TRUE,INDEX($X1411:$AY1411&lt;&gt;0,),0)),IF(COUNTIF(BB1411:BD1411,"&lt;&gt;0")=0,INDEX($AO$4:$AY$4,MATCH(1,$AO1411:$AY1411,0)),"Multiple strategies"))</f>
        <v>Supply chain</v>
      </c>
      <c r="BI1411" s="1" t="s">
        <v>321</v>
      </c>
      <c r="BJ1411" t="s">
        <v>1282</v>
      </c>
      <c r="BK1411" s="256" t="s">
        <v>2993</v>
      </c>
      <c r="BL1411" t="s">
        <v>1232</v>
      </c>
      <c r="BM1411" s="260">
        <v>14.61</v>
      </c>
      <c r="BN1411" s="260">
        <v>14.61</v>
      </c>
      <c r="BP1411" s="223">
        <f>BN1411-BM1411</f>
        <v>0</v>
      </c>
      <c r="BQ1411">
        <f>BP1411*10^6*tC_to_m3</f>
        <v>0</v>
      </c>
      <c r="BR1411" t="s">
        <v>232</v>
      </c>
      <c r="BS1411" s="256" t="s">
        <v>2995</v>
      </c>
      <c r="BT1411" t="s">
        <v>1175</v>
      </c>
      <c r="BU1411" s="152"/>
      <c r="BV1411" s="152"/>
      <c r="BW1411" s="144"/>
      <c r="BX1411" s="277">
        <v>4.8799013128910005</v>
      </c>
      <c r="BZ1411">
        <f>BX1411*10^6</f>
        <v>4879901.3128910009</v>
      </c>
      <c r="CA1411" t="str">
        <f>IFERROR(BZ1411/BQ1411,"")</f>
        <v/>
      </c>
      <c r="CB1411">
        <v>0</v>
      </c>
      <c r="CC1411">
        <v>0</v>
      </c>
      <c r="CD1411">
        <v>0</v>
      </c>
      <c r="CE1411">
        <v>0</v>
      </c>
      <c r="CF1411">
        <v>0</v>
      </c>
      <c r="CG1411">
        <v>0</v>
      </c>
      <c r="CH1411">
        <v>0</v>
      </c>
      <c r="CI1411">
        <v>0</v>
      </c>
      <c r="CJ1411">
        <v>0</v>
      </c>
      <c r="CK1411">
        <v>0</v>
      </c>
      <c r="CL1411">
        <v>0</v>
      </c>
      <c r="CM1411">
        <v>0</v>
      </c>
      <c r="CN1411">
        <v>0</v>
      </c>
      <c r="CO1411">
        <v>0</v>
      </c>
      <c r="CP1411" t="str">
        <f>IF($BN1411&lt;$BM1411,"refNeedCorrection","refOK")</f>
        <v>refOK</v>
      </c>
      <c r="CQ1411"/>
      <c r="CR1411"/>
      <c r="CS1411">
        <f>IF($CP1411="refNeedCorrection",-BQ1411,BQ1411)</f>
        <v>0</v>
      </c>
      <c r="CT1411">
        <f>IF(BI1411="Roundwood",$CS1411/2,$CS1411)</f>
        <v>0</v>
      </c>
      <c r="CU1411">
        <f>IF($CP1411="refOK",$BU1411,$BV1411)*IF($BR1411="Emissions positive",-1,1)</f>
        <v>0</v>
      </c>
      <c r="CV1411">
        <f>IF($CP1411="refOK",$BV1411,$BU1411)*IF($BR1411="Emissions positive",-1,1)</f>
        <v>0</v>
      </c>
      <c r="CW1411">
        <f>IF($CP1411="refNeedCorrection",-BZ1411,BZ1411)*IF($BR1411="Emissions positive",-1,1)</f>
        <v>4879901.3128910009</v>
      </c>
      <c r="CX1411" t="str">
        <f>IFERROR($CW1411/$CS1411,"")</f>
        <v/>
      </c>
      <c r="CY1411" t="str">
        <f>IFERROR($CW1411/$CS1411,"")</f>
        <v/>
      </c>
      <c r="CZ1411" t="str">
        <f>IFERROR($CW1411/$CT1411,"")</f>
        <v/>
      </c>
      <c r="DA1411" s="2" t="str">
        <f>IFERROR((CV1411-CU1411)/ABS(CU1411),"")</f>
        <v/>
      </c>
      <c r="DB1411" s="1" t="s">
        <v>1074</v>
      </c>
      <c r="DC1411" t="str">
        <f>IF(OR($DB1411="prd",$DB1411="std",$DB1411="cit"),"loc",IF(OR($DB1411="eur",$DB1411="reg",$DB1411="coy"),"reg",$DB1411))</f>
        <v>reg</v>
      </c>
      <c r="DD1411" t="s">
        <v>428</v>
      </c>
      <c r="DE1411">
        <v>2020</v>
      </c>
      <c r="DF1411">
        <v>2050</v>
      </c>
      <c r="DG1411">
        <v>30</v>
      </c>
      <c r="DH1411" t="str">
        <f>IF(DG1411=0,"0",IF(AND(DG1411&gt;=1,DG1411&lt;=30),"1-30",IF(AND(DG1411&gt;30,DG1411&lt;=70),"31-70",IF(AND(DG1411&gt;70,DG1411&lt;=100),"71-100",IF(DG1411&gt;100,"+100")))))</f>
        <v>1-30</v>
      </c>
      <c r="DI1411">
        <v>0</v>
      </c>
      <c r="DJ1411">
        <v>1</v>
      </c>
      <c r="DK1411">
        <v>1</v>
      </c>
      <c r="DL1411">
        <v>0</v>
      </c>
      <c r="DN1411">
        <f>SUM(DI1411:DL1411)</f>
        <v>2</v>
      </c>
      <c r="DO1411" t="str">
        <f>IF(DN1411=1,INDEX($DI$7:$DL$7,MATCH(1,$DI1411:$DL1411,0)),"mixedProduct")</f>
        <v>mixedProduct</v>
      </c>
      <c r="DP1411">
        <f>IF(DI1411=1,DP$7,0)</f>
        <v>0</v>
      </c>
      <c r="DQ1411" t="str">
        <f>IF(DJ1411=1,DQ$7,0)</f>
        <v>Energy</v>
      </c>
      <c r="DR1411" t="str">
        <f>IF(DK1411=1,DR$7,0)</f>
        <v>Pulp/Paper</v>
      </c>
      <c r="DS1411">
        <f>IF(DL1411=1,DS$7,0)</f>
        <v>0</v>
      </c>
      <c r="DT1411">
        <v>0</v>
      </c>
      <c r="DU1411">
        <v>1</v>
      </c>
      <c r="DV1411" t="s">
        <v>1283</v>
      </c>
      <c r="DW1411" t="s">
        <v>1284</v>
      </c>
      <c r="DX1411">
        <v>0</v>
      </c>
      <c r="DY1411">
        <f>SUM(DT1411:DU1411)</f>
        <v>1</v>
      </c>
      <c r="DZ1411" s="143" t="str">
        <f>IF(DT1411=1,"self-calculated DF",IF(DU1411=1,"external DF used","explicit C balance"))</f>
        <v>external DF used</v>
      </c>
      <c r="EA1411">
        <v>1</v>
      </c>
      <c r="EB1411">
        <v>1</v>
      </c>
      <c r="EC1411">
        <v>1</v>
      </c>
      <c r="ED1411">
        <v>1</v>
      </c>
      <c r="EE1411">
        <v>0</v>
      </c>
      <c r="EF1411" s="143">
        <v>1</v>
      </c>
      <c r="EG1411">
        <v>0</v>
      </c>
      <c r="EH1411">
        <v>1</v>
      </c>
      <c r="EI1411">
        <v>0</v>
      </c>
      <c r="EJ1411">
        <v>0</v>
      </c>
      <c r="EK1411">
        <v>1</v>
      </c>
      <c r="EL1411" s="143">
        <v>0</v>
      </c>
      <c r="EM1411" s="143">
        <v>0</v>
      </c>
      <c r="EN1411" s="2">
        <v>0</v>
      </c>
      <c r="EP1411" t="str">
        <f>IF(AND(AND(AND(OR($EC1411=1,$EB1411=1),OR($EH1411=1,$EF1411=1)),SUM($EA1411:$EE1411,$EK1411)&gt;=3),SUM($EF1411:$EJ1411)&gt;=2),"Whole sector approach","")</f>
        <v>Whole sector approach</v>
      </c>
      <c r="EQ1411" t="str">
        <f>IF(AND(AND(OR($EC1411=1,$EB1411=1),AND($EH1411=0,$EF1411=0)),SUM($EA1411:$EE1411,$EK1411)&gt;=4),"Ecosystem approach","")</f>
        <v/>
      </c>
      <c r="ER1411" s="2" t="str">
        <f>IF(AND(AND(AND($EC1411=0,$EB1411=0),OR($EH1411=1,$EF1411=1)),SUM($EG1411:$EJ1411)&gt;=2),"Technology approach","")</f>
        <v/>
      </c>
      <c r="ES1411" t="str">
        <f>IF(AND($EC1411+$EB1411+$EE1411+$EA1411+$ED1411+$EG1411=0,$N1411="included"),"C neutral forest and HWP assumption","")</f>
        <v/>
      </c>
      <c r="ET1411" t="str">
        <f>IF(AND(AND(AND(AND($EC1411=1,$EB1411+$EA1411+$EG1411&gt;=1),$EF1411=1),$EH1411+$EI1411+$ED1411+$EE1411&gt;=2),$N1411="included"),"All C pools assumption","")</f>
        <v>All C pools assumption</v>
      </c>
      <c r="EU1411" t="str">
        <f>IF(AND($ED1411+$EE1411+$EI1411+$EH1411+$EF1411=0,$N1411="included"),"In-situ only assumption","")</f>
        <v/>
      </c>
      <c r="EY1411" t="b">
        <f>IF(ISNUMBER(BW1411),IF(ABS(BW1411-[6]QC_indicators!$B$2)&gt;3*[6]QC_indicators!$C$2,"C ratio",IF(ISNUMBER(CA1411),IF(ABS(CA1411-[6]QC_indicators!$B$1)&gt;3*[6]QC_indicators!$C$1,"DF","no"))),IF(ISNUMBER(CA1411),IF(ABS(CA1411-[6]QC_indicators!$B$1)&gt;3*[6]QC_indicators!$C$1,"DF","no")))</f>
        <v>0</v>
      </c>
      <c r="EZ1411" t="s">
        <v>286</v>
      </c>
      <c r="FA1411" t="str">
        <f>IF(LEN($CY1411)=0,"",IF(AND($CY1411&lt;(-0.05),$ES1411="C neutral forest and HWP assumption"),"Cneutral paradox",IF(AND($CY1411&gt;0.05,$EU1411="In-situ only assumption"),"In-situ only paradox","")))</f>
        <v/>
      </c>
      <c r="FB1411" s="149" t="s">
        <v>349</v>
      </c>
      <c r="FD1411" s="260" t="s">
        <v>2948</v>
      </c>
    </row>
    <row r="1412" spans="1:160" ht="15" hidden="1" customHeight="1">
      <c r="A1412" s="1" t="s">
        <v>1272</v>
      </c>
      <c r="B1412" t="s">
        <v>1273</v>
      </c>
      <c r="C1412" t="s">
        <v>1274</v>
      </c>
      <c r="D1412" t="s">
        <v>1275</v>
      </c>
      <c r="E1412" t="s">
        <v>1276</v>
      </c>
      <c r="F1412" t="s">
        <v>1277</v>
      </c>
      <c r="G1412" t="s">
        <v>1278</v>
      </c>
      <c r="H1412" t="s">
        <v>254</v>
      </c>
      <c r="I1412">
        <v>2021</v>
      </c>
      <c r="J1412">
        <v>0</v>
      </c>
      <c r="K1412" t="s">
        <v>1279</v>
      </c>
      <c r="M1412" t="str">
        <f>LEFT($D1412,FIND(",",$D1412)-1)&amp;"_"&amp;I1412&amp;L1412</f>
        <v>Dugan_2021</v>
      </c>
      <c r="N1412" t="s">
        <v>222</v>
      </c>
      <c r="O1412" s="145" t="s">
        <v>274</v>
      </c>
      <c r="Q1412" t="s">
        <v>256</v>
      </c>
      <c r="R1412" s="251" t="s">
        <v>225</v>
      </c>
      <c r="S1412" s="1" t="s">
        <v>1289</v>
      </c>
      <c r="T1412" t="s">
        <v>1003</v>
      </c>
      <c r="U1412" t="s">
        <v>1271</v>
      </c>
      <c r="V1412" s="253">
        <v>0</v>
      </c>
      <c r="W1412" s="253">
        <v>0</v>
      </c>
      <c r="X1412">
        <v>0</v>
      </c>
      <c r="Y1412">
        <v>0</v>
      </c>
      <c r="Z1412">
        <v>0</v>
      </c>
      <c r="AA1412">
        <v>0</v>
      </c>
      <c r="AB1412">
        <v>0</v>
      </c>
      <c r="AC1412">
        <v>0</v>
      </c>
      <c r="AD1412">
        <v>0</v>
      </c>
      <c r="AE1412">
        <v>0</v>
      </c>
      <c r="AF1412">
        <v>0</v>
      </c>
      <c r="AG1412">
        <v>0</v>
      </c>
      <c r="AH1412">
        <v>1</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s="141">
        <f>COUNTIF(X1412:AY1412,"&lt;&gt;0")</f>
        <v>1</v>
      </c>
      <c r="BA1412" s="141">
        <f>COUNTIF(X1412:AN1412,"&lt;&gt;0")</f>
        <v>1</v>
      </c>
      <c r="BB1412">
        <f>COUNTIF(X1412:AE1412,"&lt;&gt;0")</f>
        <v>0</v>
      </c>
      <c r="BC1412">
        <f>COUNTIF(AF1412:AK1412,"&lt;&gt;0")</f>
        <v>1</v>
      </c>
      <c r="BD1412">
        <f>COUNTIF(AL1412:AN1412,"&lt;&gt;0")</f>
        <v>0</v>
      </c>
      <c r="BE1412">
        <f>COUNTIF(AU1412:AY1412,"&lt;&gt;0")</f>
        <v>0</v>
      </c>
      <c r="BF1412">
        <f>COUNTIF(AO1412:AT1412,"&lt;&gt;0")</f>
        <v>0</v>
      </c>
      <c r="BG1412" t="str">
        <f t="array" ref="BG1412">IF(BA1412=1,INDEX($X$7:$AN$7,MATCH(TRUE,INDEX($X1412:$AY1412&lt;&gt;0,),0)),IF(BA1412=0,INDEX($AO$7:$AY$7,MATCH(1,$AO1412:$AY1412,0)),IF(BH1412="Multiple strategies","mixed drivers",IF(BH1412="Supply chain","multiple supply","multiple silviculture"))))</f>
        <v>supply chain organization</v>
      </c>
      <c r="BH1412" s="2" t="str" cm="1">
        <f t="array" ref="BH1412">IF(COUNTIF(BB1412:BD1412,"&lt;&gt;0")=1,INDEX($X$4:$AY$4,MATCH(TRUE,INDEX($X1412:$AY1412&lt;&gt;0,),0)),IF(COUNTIF(BB1412:BD1412,"&lt;&gt;0")=0,INDEX($AO$4:$AY$4,MATCH(1,$AO1412:$AY1412,0)),"Multiple strategies"))</f>
        <v>Supply chain</v>
      </c>
      <c r="BI1412" s="1" t="s">
        <v>321</v>
      </c>
      <c r="BJ1412" t="s">
        <v>1282</v>
      </c>
      <c r="BK1412" s="256" t="s">
        <v>2993</v>
      </c>
      <c r="BL1412" t="s">
        <v>1232</v>
      </c>
      <c r="BM1412" s="260">
        <v>14.61</v>
      </c>
      <c r="BN1412" s="260">
        <v>14.61</v>
      </c>
      <c r="BP1412" s="223">
        <f>BN1412-BM1412</f>
        <v>0</v>
      </c>
      <c r="BQ1412">
        <f>BP1412*10^6*tC_to_m3</f>
        <v>0</v>
      </c>
      <c r="BR1412" t="s">
        <v>232</v>
      </c>
      <c r="BS1412" s="256" t="s">
        <v>2995</v>
      </c>
      <c r="BT1412" t="s">
        <v>1175</v>
      </c>
      <c r="BU1412" s="152"/>
      <c r="BV1412" s="152"/>
      <c r="BW1412" s="144"/>
      <c r="BX1412" s="277">
        <v>9.3033695208324332</v>
      </c>
      <c r="BZ1412">
        <f>BX1412*10^6</f>
        <v>9303369.5208324324</v>
      </c>
      <c r="CA1412" t="str">
        <f>IFERROR(BZ1412/BQ1412,"")</f>
        <v/>
      </c>
      <c r="CB1412">
        <v>0</v>
      </c>
      <c r="CC1412">
        <v>0</v>
      </c>
      <c r="CD1412">
        <v>0</v>
      </c>
      <c r="CE1412">
        <v>0</v>
      </c>
      <c r="CF1412">
        <v>0</v>
      </c>
      <c r="CG1412">
        <v>0</v>
      </c>
      <c r="CH1412">
        <v>0</v>
      </c>
      <c r="CI1412">
        <v>0</v>
      </c>
      <c r="CJ1412">
        <v>0</v>
      </c>
      <c r="CK1412">
        <v>0</v>
      </c>
      <c r="CL1412">
        <v>0</v>
      </c>
      <c r="CM1412">
        <v>0</v>
      </c>
      <c r="CN1412">
        <v>0</v>
      </c>
      <c r="CO1412">
        <v>0</v>
      </c>
      <c r="CP1412" t="str">
        <f>IF(BN1412&lt;BM1412,"refNeedCorrection","refOK")</f>
        <v>refOK</v>
      </c>
      <c r="CQ1412"/>
      <c r="CR1412"/>
      <c r="CS1412">
        <f>IF($CP1412="refNeedCorrection",-BQ1412,BQ1412)</f>
        <v>0</v>
      </c>
      <c r="CT1412">
        <f>IF(BI1412="Roundwood",$CS1412/2,$CS1412)</f>
        <v>0</v>
      </c>
      <c r="CU1412">
        <f>IF($CP1412="refOK",$BU1412,$BV1412)*IF($BR1412="Emissions positive",-1,1)</f>
        <v>0</v>
      </c>
      <c r="CV1412">
        <f>IF($CP1412="refOK",$BV1412,$BU1412)*IF($BR1412="Emissions positive",-1,1)</f>
        <v>0</v>
      </c>
      <c r="CW1412">
        <f>IF($CP1412="refNeedCorrection",-BZ1412,BZ1412)*IF($BR1412="Emissions positive",-1,1)</f>
        <v>9303369.5208324324</v>
      </c>
      <c r="CX1412" t="str">
        <f>IFERROR($CW1412/$CS1412,"")</f>
        <v/>
      </c>
      <c r="CY1412" t="str">
        <f>IFERROR($CW1412/$CS1412,"")</f>
        <v/>
      </c>
      <c r="CZ1412" t="str">
        <f>IFERROR($CW1412/$CT1412,"")</f>
        <v/>
      </c>
      <c r="DA1412" s="2" t="str">
        <f>IFERROR((CV1412-CU1412)/ABS(CU1412),"")</f>
        <v/>
      </c>
      <c r="DB1412" s="1" t="s">
        <v>1074</v>
      </c>
      <c r="DC1412" t="str">
        <f>IF(OR($DB1412="prd",$DB1412="std",$DB1412="cit"),"loc",IF(OR($DB1412="eur",$DB1412="reg",$DB1412="coy"),"reg",$DB1412))</f>
        <v>reg</v>
      </c>
      <c r="DD1412" t="s">
        <v>428</v>
      </c>
      <c r="DE1412">
        <v>2020</v>
      </c>
      <c r="DF1412">
        <v>2050</v>
      </c>
      <c r="DG1412">
        <v>30</v>
      </c>
      <c r="DH1412" t="str">
        <f>IF(DG1412=0,"0",IF(AND(DG1412&gt;=1,DG1412&lt;=30),"1-30",IF(AND(DG1412&gt;30,DG1412&lt;=70),"31-70",IF(AND(DG1412&gt;70,DG1412&lt;=100),"71-100",IF(DG1412&gt;100,"+100")))))</f>
        <v>1-30</v>
      </c>
      <c r="DI1412">
        <v>0</v>
      </c>
      <c r="DJ1412">
        <v>0</v>
      </c>
      <c r="DK1412">
        <v>1</v>
      </c>
      <c r="DL1412">
        <v>1</v>
      </c>
      <c r="DN1412">
        <f>SUM(DI1412:DL1412)</f>
        <v>2</v>
      </c>
      <c r="DO1412" t="str">
        <f>IF(DN1412=1,INDEX($DI$7:$DL$7,MATCH(1,$DI1412:$DL1412,0)),"mixedProduct")</f>
        <v>mixedProduct</v>
      </c>
      <c r="DP1412">
        <f>IF(DI1412=1,DP$7,0)</f>
        <v>0</v>
      </c>
      <c r="DQ1412">
        <f>IF(DJ1412=1,DQ$7,0)</f>
        <v>0</v>
      </c>
      <c r="DR1412" t="str">
        <f>IF(DK1412=1,DR$7,0)</f>
        <v>Pulp/Paper</v>
      </c>
      <c r="DS1412" t="str">
        <f>IF(DL1412=1,DS$7,0)</f>
        <v>Timber</v>
      </c>
      <c r="DT1412">
        <v>0</v>
      </c>
      <c r="DU1412">
        <v>1</v>
      </c>
      <c r="DV1412" t="s">
        <v>1283</v>
      </c>
      <c r="DW1412" t="s">
        <v>1284</v>
      </c>
      <c r="DX1412">
        <v>0</v>
      </c>
      <c r="DY1412">
        <f>SUM(DT1412:DU1412)</f>
        <v>1</v>
      </c>
      <c r="DZ1412" s="143" t="str">
        <f>IF(DT1412=1,"self-calculated DF",IF(DU1412=1,"external DF used","explicit C balance"))</f>
        <v>external DF used</v>
      </c>
      <c r="EA1412">
        <v>1</v>
      </c>
      <c r="EB1412">
        <v>1</v>
      </c>
      <c r="EC1412">
        <v>1</v>
      </c>
      <c r="ED1412">
        <v>1</v>
      </c>
      <c r="EE1412">
        <v>0</v>
      </c>
      <c r="EF1412" s="143">
        <v>1</v>
      </c>
      <c r="EG1412">
        <v>0</v>
      </c>
      <c r="EH1412">
        <v>1</v>
      </c>
      <c r="EI1412">
        <v>0</v>
      </c>
      <c r="EJ1412">
        <v>0</v>
      </c>
      <c r="EK1412">
        <v>1</v>
      </c>
      <c r="EL1412" s="143">
        <v>0</v>
      </c>
      <c r="EM1412" s="143">
        <v>0</v>
      </c>
      <c r="EN1412" s="2">
        <v>0</v>
      </c>
      <c r="EP1412" t="str">
        <f>IF(AND(AND(AND(OR($EC1412=1,$EB1412=1),OR($EH1412=1,$EF1412=1)),SUM($EA1412:$EE1412,$EK1412)&gt;=3),SUM($EF1412:$EJ1412)&gt;=2),"Whole sector approach","")</f>
        <v>Whole sector approach</v>
      </c>
      <c r="EQ1412" t="str">
        <f>IF(AND(AND(OR($EC1412=1,$EB1412=1),AND($EH1412=0,$EF1412=0)),SUM($EA1412:$EE1412,$EK1412)&gt;=4),"Ecosystem approach","")</f>
        <v/>
      </c>
      <c r="ER1412" s="2" t="str">
        <f>IF(AND(AND(AND($EC1412=0,$EB1412=0),OR($EH1412=1,$EF1412=1)),SUM($EG1412:$EJ1412)&gt;=2),"Technology approach","")</f>
        <v/>
      </c>
      <c r="ES1412" t="str">
        <f>IF(AND($EC1412+$EB1412+$EE1412+$EA1412+$ED1412+$EG1412=0,$N1412="included"),"C neutral forest and HWP assumption","")</f>
        <v/>
      </c>
      <c r="ET1412" t="str">
        <f>IF(AND(AND(AND(AND($EC1412=1,$EB1412+$EA1412+$EG1412&gt;=1),$EF1412=1),$EH1412+$EI1412+$ED1412+$EE1412&gt;=2),$N1412="included"),"All C pools assumption","")</f>
        <v>All C pools assumption</v>
      </c>
      <c r="EU1412" t="str">
        <f>IF(AND($ED1412+$EE1412+$EI1412+$EH1412+$EF1412=0,$N1412="included"),"In-situ only assumption","")</f>
        <v/>
      </c>
      <c r="EY1412" t="b">
        <f>IF(ISNUMBER(BW1412),IF(ABS(BW1412-[6]QC_indicators!$B$2)&gt;3*[6]QC_indicators!$C$2,"C ratio",IF(ISNUMBER(CA1412),IF(ABS(CA1412-[6]QC_indicators!$B$1)&gt;3*[6]QC_indicators!$C$1,"DF","no"))),IF(ISNUMBER(CA1412),IF(ABS(CA1412-[6]QC_indicators!$B$1)&gt;3*[6]QC_indicators!$C$1,"DF","no")))</f>
        <v>0</v>
      </c>
      <c r="EZ1412" t="s">
        <v>286</v>
      </c>
      <c r="FA1412" t="str">
        <f>IF(LEN($CY1412)=0,"",IF(AND($CY1412&lt;(-0.05),$ES1412="C neutral forest and HWP assumption"),"Cneutral paradox",IF(AND($CY1412&gt;0.05,$EU1412="In-situ only assumption"),"In-situ only paradox","")))</f>
        <v/>
      </c>
      <c r="FB1412" s="149" t="s">
        <v>349</v>
      </c>
      <c r="FD1412" s="260" t="s">
        <v>2948</v>
      </c>
    </row>
    <row r="1413" spans="1:160" ht="17" hidden="1">
      <c r="A1413" s="1" t="s">
        <v>1272</v>
      </c>
      <c r="B1413" t="s">
        <v>1273</v>
      </c>
      <c r="C1413" t="s">
        <v>1274</v>
      </c>
      <c r="D1413" t="s">
        <v>1275</v>
      </c>
      <c r="E1413" t="s">
        <v>1276</v>
      </c>
      <c r="F1413" t="s">
        <v>1277</v>
      </c>
      <c r="G1413" t="s">
        <v>1278</v>
      </c>
      <c r="H1413" t="s">
        <v>254</v>
      </c>
      <c r="I1413">
        <v>2021</v>
      </c>
      <c r="J1413">
        <v>0</v>
      </c>
      <c r="K1413" t="s">
        <v>1279</v>
      </c>
      <c r="M1413" t="str">
        <f>LEFT($D1413,FIND(",",$D1413)-1)&amp;"_"&amp;I1413&amp;L1413</f>
        <v>Dugan_2021</v>
      </c>
      <c r="N1413" t="s">
        <v>222</v>
      </c>
      <c r="O1413" s="145" t="s">
        <v>274</v>
      </c>
      <c r="Q1413" t="s">
        <v>256</v>
      </c>
      <c r="R1413" s="251" t="s">
        <v>225</v>
      </c>
      <c r="S1413" s="1" t="s">
        <v>1289</v>
      </c>
      <c r="T1413" t="s">
        <v>1290</v>
      </c>
      <c r="U1413" t="s">
        <v>1003</v>
      </c>
      <c r="V1413" s="253">
        <v>0</v>
      </c>
      <c r="W1413" s="253">
        <v>0</v>
      </c>
      <c r="X1413">
        <v>0</v>
      </c>
      <c r="Y1413">
        <v>0</v>
      </c>
      <c r="Z1413">
        <v>0</v>
      </c>
      <c r="AA1413">
        <v>0</v>
      </c>
      <c r="AB1413">
        <v>0</v>
      </c>
      <c r="AC1413">
        <v>0</v>
      </c>
      <c r="AD1413">
        <v>0</v>
      </c>
      <c r="AE1413">
        <v>0</v>
      </c>
      <c r="AF1413">
        <v>0</v>
      </c>
      <c r="AG1413">
        <v>0</v>
      </c>
      <c r="AH1413">
        <v>1</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s="141">
        <f>COUNTIF(X1413:AY1413,"&lt;&gt;0")</f>
        <v>1</v>
      </c>
      <c r="BA1413" s="141">
        <f>COUNTIF(X1413:AN1413,"&lt;&gt;0")</f>
        <v>1</v>
      </c>
      <c r="BB1413">
        <f>COUNTIF(X1413:AE1413,"&lt;&gt;0")</f>
        <v>0</v>
      </c>
      <c r="BC1413">
        <f>COUNTIF(AF1413:AK1413,"&lt;&gt;0")</f>
        <v>1</v>
      </c>
      <c r="BD1413">
        <f>COUNTIF(AL1413:AN1413,"&lt;&gt;0")</f>
        <v>0</v>
      </c>
      <c r="BE1413">
        <f>COUNTIF(AU1413:AY1413,"&lt;&gt;0")</f>
        <v>0</v>
      </c>
      <c r="BF1413">
        <f>COUNTIF(AO1413:AT1413,"&lt;&gt;0")</f>
        <v>0</v>
      </c>
      <c r="BG1413" t="str">
        <f t="array" ref="BG1413">IF(BA1413=1,INDEX($X$7:$AN$7,MATCH(TRUE,INDEX($X1413:$AY1413&lt;&gt;0,),0)),IF(BA1413=0,INDEX($AO$7:$AY$7,MATCH(1,$AO1413:$AY1413,0)),IF(BH1413="Multiple strategies","mixed drivers",IF(BH1413="Supply chain","multiple supply","multiple silviculture"))))</f>
        <v>supply chain organization</v>
      </c>
      <c r="BH1413" s="2" t="str" cm="1">
        <f t="array" ref="BH1413">IF(COUNTIF(BB1413:BD1413,"&lt;&gt;0")=1,INDEX($X$4:$AY$4,MATCH(TRUE,INDEX($X1413:$AY1413&lt;&gt;0,),0)),IF(COUNTIF(BB1413:BD1413,"&lt;&gt;0")=0,INDEX($AO$4:$AY$4,MATCH(1,$AO1413:$AY1413,0)),"Multiple strategies"))</f>
        <v>Supply chain</v>
      </c>
      <c r="BI1413" s="1" t="s">
        <v>321</v>
      </c>
      <c r="BJ1413" t="s">
        <v>1282</v>
      </c>
      <c r="BK1413" s="256" t="s">
        <v>2993</v>
      </c>
      <c r="BL1413" t="s">
        <v>1232</v>
      </c>
      <c r="BM1413" s="260">
        <v>14.61</v>
      </c>
      <c r="BN1413" s="260">
        <v>14.61</v>
      </c>
      <c r="BP1413" s="223">
        <f>BN1413-BM1413</f>
        <v>0</v>
      </c>
      <c r="BQ1413">
        <f>BP1413*10^6*tC_to_m3</f>
        <v>0</v>
      </c>
      <c r="BR1413" t="s">
        <v>232</v>
      </c>
      <c r="BS1413" s="256" t="s">
        <v>2994</v>
      </c>
      <c r="BT1413" t="s">
        <v>1175</v>
      </c>
      <c r="BU1413" s="152"/>
      <c r="BV1413" s="152"/>
      <c r="BW1413" s="144"/>
      <c r="BX1413" s="277">
        <v>0.70085470085469903</v>
      </c>
      <c r="BZ1413">
        <f>BX1413*10^6</f>
        <v>700854.70085469901</v>
      </c>
      <c r="CA1413" t="str">
        <f>IFERROR(BZ1413/BQ1413,"")</f>
        <v/>
      </c>
      <c r="CB1413">
        <v>0</v>
      </c>
      <c r="CC1413">
        <v>0</v>
      </c>
      <c r="CD1413">
        <v>0</v>
      </c>
      <c r="CE1413">
        <v>0</v>
      </c>
      <c r="CF1413">
        <v>0</v>
      </c>
      <c r="CG1413">
        <v>0</v>
      </c>
      <c r="CH1413">
        <v>0</v>
      </c>
      <c r="CI1413">
        <v>0</v>
      </c>
      <c r="CJ1413">
        <v>0</v>
      </c>
      <c r="CK1413">
        <v>0</v>
      </c>
      <c r="CL1413">
        <v>0</v>
      </c>
      <c r="CM1413">
        <v>0</v>
      </c>
      <c r="CN1413">
        <v>0</v>
      </c>
      <c r="CO1413">
        <v>0</v>
      </c>
      <c r="CP1413" t="str">
        <f>IF(BN1413&lt;BM1413,"refNeedCorrection","refOK")</f>
        <v>refOK</v>
      </c>
      <c r="CQ1413"/>
      <c r="CR1413"/>
      <c r="CS1413">
        <f>IF($CP1413="refNeedCorrection",-BQ1413,BQ1413)</f>
        <v>0</v>
      </c>
      <c r="CT1413">
        <f>IF(BI1413="Roundwood",$CS1413/2,$CS1413)</f>
        <v>0</v>
      </c>
      <c r="CU1413">
        <f>IF($CP1413="refOK",$BU1413,$BV1413)*IF($BR1413="Emissions positive",-1,1)</f>
        <v>0</v>
      </c>
      <c r="CV1413">
        <f>IF($CP1413="refOK",$BV1413,$BU1413)*IF($BR1413="Emissions positive",-1,1)</f>
        <v>0</v>
      </c>
      <c r="CW1413">
        <f>IF($CP1413="refNeedCorrection",-BZ1413,BZ1413)*IF($BR1413="Emissions positive",-1,1)</f>
        <v>700854.70085469901</v>
      </c>
      <c r="CX1413" t="str">
        <f>IFERROR($CW1413/$CS1413,"")</f>
        <v/>
      </c>
      <c r="CY1413" t="str">
        <f>IFERROR($CW1413/$CS1413,"")</f>
        <v/>
      </c>
      <c r="CZ1413" t="str">
        <f>IFERROR($CW1413/$CT1413,"")</f>
        <v/>
      </c>
      <c r="DA1413" s="2" t="str">
        <f>IFERROR((CV1413-CU1413)/ABS(CU1413),"")</f>
        <v/>
      </c>
      <c r="DB1413" s="1" t="s">
        <v>1074</v>
      </c>
      <c r="DC1413" t="str">
        <f>IF(OR($DB1413="prd",$DB1413="std",$DB1413="cit"),"loc",IF(OR($DB1413="eur",$DB1413="reg",$DB1413="coy"),"reg",$DB1413))</f>
        <v>reg</v>
      </c>
      <c r="DD1413" t="s">
        <v>428</v>
      </c>
      <c r="DE1413">
        <v>2020</v>
      </c>
      <c r="DF1413">
        <v>2050</v>
      </c>
      <c r="DG1413">
        <v>30</v>
      </c>
      <c r="DH1413" t="str">
        <f>IF(DG1413=0,"0",IF(AND(DG1413&gt;=1,DG1413&lt;=30),"1-30",IF(AND(DG1413&gt;30,DG1413&lt;=70),"31-70",IF(AND(DG1413&gt;70,DG1413&lt;=100),"71-100",IF(DG1413&gt;100,"+100")))))</f>
        <v>1-30</v>
      </c>
      <c r="DI1413">
        <v>0</v>
      </c>
      <c r="DJ1413">
        <v>1</v>
      </c>
      <c r="DK1413">
        <v>1</v>
      </c>
      <c r="DL1413">
        <v>0</v>
      </c>
      <c r="DN1413">
        <f>SUM(DI1413:DL1413)</f>
        <v>2</v>
      </c>
      <c r="DO1413" t="str">
        <f>IF(DN1413=1,INDEX($DI$7:$DL$7,MATCH(1,$DI1413:$DL1413,0)),"mixedProduct")</f>
        <v>mixedProduct</v>
      </c>
      <c r="DP1413">
        <f>IF(DI1413=1,DP$7,0)</f>
        <v>0</v>
      </c>
      <c r="DQ1413" t="str">
        <f>IF(DJ1413=1,DQ$7,0)</f>
        <v>Energy</v>
      </c>
      <c r="DR1413" t="str">
        <f>IF(DK1413=1,DR$7,0)</f>
        <v>Pulp/Paper</v>
      </c>
      <c r="DS1413">
        <f>IF(DL1413=1,DS$7,0)</f>
        <v>0</v>
      </c>
      <c r="DT1413">
        <v>0</v>
      </c>
      <c r="DU1413">
        <v>1</v>
      </c>
      <c r="DV1413" t="s">
        <v>1283</v>
      </c>
      <c r="DW1413" t="s">
        <v>1284</v>
      </c>
      <c r="DX1413">
        <v>0</v>
      </c>
      <c r="DY1413">
        <f>SUM(DT1413:DU1413)</f>
        <v>1</v>
      </c>
      <c r="DZ1413" s="143" t="str">
        <f>IF(DT1413=1,"self-calculated DF",IF(DU1413=1,"external DF used","explicit C balance"))</f>
        <v>external DF used</v>
      </c>
      <c r="EA1413">
        <v>1</v>
      </c>
      <c r="EB1413">
        <v>1</v>
      </c>
      <c r="EC1413">
        <v>1</v>
      </c>
      <c r="ED1413">
        <v>1</v>
      </c>
      <c r="EE1413">
        <v>0</v>
      </c>
      <c r="EF1413" s="143">
        <v>0</v>
      </c>
      <c r="EG1413">
        <v>0</v>
      </c>
      <c r="EH1413">
        <v>0</v>
      </c>
      <c r="EI1413">
        <v>0</v>
      </c>
      <c r="EJ1413">
        <v>0</v>
      </c>
      <c r="EK1413">
        <v>1</v>
      </c>
      <c r="EL1413" s="143">
        <v>0</v>
      </c>
      <c r="EM1413" s="143">
        <v>0</v>
      </c>
      <c r="EN1413" s="2">
        <v>0</v>
      </c>
      <c r="EP1413" t="str">
        <f>IF(AND(AND(AND(OR($EC1413=1,$EB1413=1),OR($EH1413=1,$EF1413=1)),SUM($EA1413:$EE1413,$EK1413)&gt;=3),SUM($EF1413:$EJ1413)&gt;=2),"Whole sector approach","")</f>
        <v/>
      </c>
      <c r="EQ1413" t="str">
        <f>IF(AND(AND(OR($EC1413=1,$EB1413=1),AND($EH1413=0,$EF1413=0)),SUM($EA1413:$EE1413,$EK1413)&gt;=4),"Ecosystem approach","")</f>
        <v>Ecosystem approach</v>
      </c>
      <c r="ER1413" s="2" t="str">
        <f>IF(AND(AND(AND($EC1413=0,$EB1413=0),OR($EH1413=1,$EF1413=1)),SUM($EG1413:$EJ1413)&gt;=2),"Technology approach","")</f>
        <v/>
      </c>
      <c r="ES1413" t="str">
        <f>IF(AND($EC1413+$EB1413+$EE1413+$EA1413+$ED1413+$EG1413=0,$N1413="included"),"C neutral forest and HWP assumption","")</f>
        <v/>
      </c>
      <c r="ET1413" t="str">
        <f>IF(AND(AND(AND(AND($EC1413=1,$EB1413+$EA1413+$EG1413&gt;=1),$EF1413=1),$EH1413+$EI1413+$ED1413+$EE1413&gt;=2),$N1413="included"),"All C pools assumption","")</f>
        <v/>
      </c>
      <c r="EU1413" t="str">
        <f>IF(AND($ED1413+$EE1413+$EI1413+$EH1413+$EF1413=0,$N1413="included"),"In-situ only assumption","")</f>
        <v/>
      </c>
      <c r="EY1413" t="b">
        <f>IF(ISNUMBER(BW1413),IF(ABS(BW1413-[6]QC_indicators!$B$2)&gt;3*[6]QC_indicators!$C$2,"C ratio",IF(ISNUMBER(CA1413),IF(ABS(CA1413-[6]QC_indicators!$B$1)&gt;3*[6]QC_indicators!$C$1,"DF","no"))),IF(ISNUMBER(CA1413),IF(ABS(CA1413-[6]QC_indicators!$B$1)&gt;3*[6]QC_indicators!$C$1,"DF","no")))</f>
        <v>0</v>
      </c>
      <c r="EZ1413" t="s">
        <v>286</v>
      </c>
      <c r="FA1413" t="str">
        <f>IF(LEN($CY1413)=0,"",IF(AND($CY1413&lt;(-0.05),$ES1413="C neutral forest and HWP assumption"),"Cneutral paradox",IF(AND($CY1413&gt;0.05,$EU1413="In-situ only assumption"),"In-situ only paradox","")))</f>
        <v/>
      </c>
      <c r="FB1413" s="149" t="s">
        <v>349</v>
      </c>
      <c r="FD1413" s="260" t="s">
        <v>2948</v>
      </c>
    </row>
    <row r="1414" spans="1:160" ht="15" hidden="1" customHeight="1">
      <c r="A1414" s="1" t="s">
        <v>1272</v>
      </c>
      <c r="B1414" t="s">
        <v>1273</v>
      </c>
      <c r="C1414" t="s">
        <v>1274</v>
      </c>
      <c r="D1414" t="s">
        <v>1275</v>
      </c>
      <c r="E1414" t="s">
        <v>1276</v>
      </c>
      <c r="F1414" t="s">
        <v>1277</v>
      </c>
      <c r="G1414" t="s">
        <v>1278</v>
      </c>
      <c r="H1414" t="s">
        <v>254</v>
      </c>
      <c r="I1414">
        <v>2021</v>
      </c>
      <c r="J1414">
        <v>0</v>
      </c>
      <c r="K1414" t="s">
        <v>1279</v>
      </c>
      <c r="M1414" t="str">
        <f>LEFT($D1414,FIND(",",$D1414)-1)&amp;"_"&amp;I1414&amp;L1414</f>
        <v>Dugan_2021</v>
      </c>
      <c r="N1414" t="s">
        <v>222</v>
      </c>
      <c r="O1414" s="145" t="s">
        <v>274</v>
      </c>
      <c r="Q1414" t="s">
        <v>256</v>
      </c>
      <c r="R1414" s="251" t="s">
        <v>225</v>
      </c>
      <c r="S1414" s="1" t="s">
        <v>1289</v>
      </c>
      <c r="T1414" t="s">
        <v>1003</v>
      </c>
      <c r="U1414" t="s">
        <v>1271</v>
      </c>
      <c r="V1414" s="253">
        <v>0</v>
      </c>
      <c r="W1414" s="253">
        <v>0</v>
      </c>
      <c r="X1414">
        <v>0</v>
      </c>
      <c r="Y1414">
        <v>0</v>
      </c>
      <c r="Z1414">
        <v>0</v>
      </c>
      <c r="AA1414">
        <v>0</v>
      </c>
      <c r="AB1414">
        <v>0</v>
      </c>
      <c r="AC1414">
        <v>0</v>
      </c>
      <c r="AD1414">
        <v>0</v>
      </c>
      <c r="AE1414">
        <v>0</v>
      </c>
      <c r="AF1414">
        <v>0</v>
      </c>
      <c r="AG1414">
        <v>0</v>
      </c>
      <c r="AH1414">
        <v>1</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s="141">
        <f>COUNTIF(X1414:AY1414,"&lt;&gt;0")</f>
        <v>1</v>
      </c>
      <c r="BA1414" s="141">
        <f>COUNTIF(X1414:AN1414,"&lt;&gt;0")</f>
        <v>1</v>
      </c>
      <c r="BB1414">
        <f>COUNTIF(X1414:AE1414,"&lt;&gt;0")</f>
        <v>0</v>
      </c>
      <c r="BC1414">
        <f>COUNTIF(AF1414:AK1414,"&lt;&gt;0")</f>
        <v>1</v>
      </c>
      <c r="BD1414">
        <f>COUNTIF(AL1414:AN1414,"&lt;&gt;0")</f>
        <v>0</v>
      </c>
      <c r="BE1414">
        <f>COUNTIF(AU1414:AY1414,"&lt;&gt;0")</f>
        <v>0</v>
      </c>
      <c r="BF1414">
        <f>COUNTIF(AO1414:AT1414,"&lt;&gt;0")</f>
        <v>0</v>
      </c>
      <c r="BG1414" t="str">
        <f t="array" ref="BG1414">IF(BA1414=1,INDEX($X$7:$AN$7,MATCH(TRUE,INDEX($X1414:$AY1414&lt;&gt;0,),0)),IF(BA1414=0,INDEX($AO$7:$AY$7,MATCH(1,$AO1414:$AY1414,0)),IF(BH1414="Multiple strategies","mixed drivers",IF(BH1414="Supply chain","multiple supply","multiple silviculture"))))</f>
        <v>supply chain organization</v>
      </c>
      <c r="BH1414" s="2" t="str" cm="1">
        <f t="array" ref="BH1414">IF(COUNTIF(BB1414:BD1414,"&lt;&gt;0")=1,INDEX($X$4:$AY$4,MATCH(TRUE,INDEX($X1414:$AY1414&lt;&gt;0,),0)),IF(COUNTIF(BB1414:BD1414,"&lt;&gt;0")=0,INDEX($AO$4:$AY$4,MATCH(1,$AO1414:$AY1414,0)),"Multiple strategies"))</f>
        <v>Supply chain</v>
      </c>
      <c r="BI1414" s="1" t="s">
        <v>321</v>
      </c>
      <c r="BJ1414" t="s">
        <v>1282</v>
      </c>
      <c r="BK1414" s="256" t="s">
        <v>2993</v>
      </c>
      <c r="BL1414" t="s">
        <v>1232</v>
      </c>
      <c r="BM1414" s="260">
        <v>14.61</v>
      </c>
      <c r="BN1414" s="260">
        <v>14.61</v>
      </c>
      <c r="BP1414" s="223">
        <f>BN1414-BM1414</f>
        <v>0</v>
      </c>
      <c r="BQ1414">
        <f>BP1414*10^6*tC_to_m3</f>
        <v>0</v>
      </c>
      <c r="BR1414" t="s">
        <v>232</v>
      </c>
      <c r="BS1414" s="256" t="s">
        <v>2994</v>
      </c>
      <c r="BT1414" t="s">
        <v>1175</v>
      </c>
      <c r="BU1414" s="152"/>
      <c r="BV1414" s="152"/>
      <c r="BW1414" s="144"/>
      <c r="BX1414" s="277">
        <v>4.3247863247863201</v>
      </c>
      <c r="BZ1414">
        <f>BX1414*10^6</f>
        <v>4324786.3247863203</v>
      </c>
      <c r="CA1414" t="str">
        <f>IFERROR(BZ1414/BQ1414,"")</f>
        <v/>
      </c>
      <c r="CB1414">
        <v>0</v>
      </c>
      <c r="CC1414">
        <v>0</v>
      </c>
      <c r="CD1414">
        <v>0</v>
      </c>
      <c r="CE1414">
        <v>0</v>
      </c>
      <c r="CF1414">
        <v>0</v>
      </c>
      <c r="CG1414">
        <v>0</v>
      </c>
      <c r="CH1414">
        <v>0</v>
      </c>
      <c r="CI1414">
        <v>0</v>
      </c>
      <c r="CJ1414">
        <v>0</v>
      </c>
      <c r="CK1414">
        <v>0</v>
      </c>
      <c r="CL1414">
        <v>0</v>
      </c>
      <c r="CM1414">
        <v>0</v>
      </c>
      <c r="CN1414">
        <v>0</v>
      </c>
      <c r="CO1414">
        <v>0</v>
      </c>
      <c r="CP1414" t="str">
        <f>IF(BN1414&lt;BM1414,"refNeedCorrection","refOK")</f>
        <v>refOK</v>
      </c>
      <c r="CQ1414"/>
      <c r="CR1414"/>
      <c r="CS1414">
        <f>IF($CP1414="refNeedCorrection",-BQ1414,BQ1414)</f>
        <v>0</v>
      </c>
      <c r="CT1414">
        <f>IF(BI1414="Roundwood",$CS1414/2,$CS1414)</f>
        <v>0</v>
      </c>
      <c r="CU1414">
        <f>IF($CP1414="refOK",$BU1414,$BV1414)*IF($BR1414="Emissions positive",-1,1)</f>
        <v>0</v>
      </c>
      <c r="CV1414">
        <f>IF($CP1414="refOK",$BV1414,$BU1414)*IF($BR1414="Emissions positive",-1,1)</f>
        <v>0</v>
      </c>
      <c r="CW1414">
        <f>IF($CP1414="refNeedCorrection",-BZ1414,BZ1414)*IF($BR1414="Emissions positive",-1,1)</f>
        <v>4324786.3247863203</v>
      </c>
      <c r="CX1414" t="str">
        <f>IFERROR($CW1414/$CS1414,"")</f>
        <v/>
      </c>
      <c r="CY1414" t="str">
        <f>IFERROR($CW1414/$CS1414,"")</f>
        <v/>
      </c>
      <c r="CZ1414" t="str">
        <f>IFERROR($CW1414/$CT1414,"")</f>
        <v/>
      </c>
      <c r="DA1414" s="2" t="str">
        <f>IFERROR((CV1414-CU1414)/ABS(CU1414),"")</f>
        <v/>
      </c>
      <c r="DB1414" s="1" t="s">
        <v>1074</v>
      </c>
      <c r="DC1414" t="str">
        <f>IF(OR($DB1414="prd",$DB1414="std",$DB1414="cit"),"loc",IF(OR($DB1414="eur",$DB1414="reg",$DB1414="coy"),"reg",$DB1414))</f>
        <v>reg</v>
      </c>
      <c r="DD1414" t="s">
        <v>428</v>
      </c>
      <c r="DE1414">
        <v>2020</v>
      </c>
      <c r="DF1414">
        <v>2050</v>
      </c>
      <c r="DG1414">
        <v>30</v>
      </c>
      <c r="DH1414" t="str">
        <f>IF(DG1414=0,"0",IF(AND(DG1414&gt;=1,DG1414&lt;=30),"1-30",IF(AND(DG1414&gt;30,DG1414&lt;=70),"31-70",IF(AND(DG1414&gt;70,DG1414&lt;=100),"71-100",IF(DG1414&gt;100,"+100")))))</f>
        <v>1-30</v>
      </c>
      <c r="DI1414">
        <v>0</v>
      </c>
      <c r="DJ1414">
        <v>0</v>
      </c>
      <c r="DK1414">
        <v>1</v>
      </c>
      <c r="DL1414">
        <v>1</v>
      </c>
      <c r="DN1414">
        <f>SUM(DI1414:DL1414)</f>
        <v>2</v>
      </c>
      <c r="DO1414" t="str">
        <f>IF(DN1414=1,INDEX($DI$7:$DL$7,MATCH(1,$DI1414:$DL1414,0)),"mixedProduct")</f>
        <v>mixedProduct</v>
      </c>
      <c r="DP1414">
        <f>IF(DI1414=1,DP$7,0)</f>
        <v>0</v>
      </c>
      <c r="DQ1414">
        <f>IF(DJ1414=1,DQ$7,0)</f>
        <v>0</v>
      </c>
      <c r="DR1414" t="str">
        <f>IF(DK1414=1,DR$7,0)</f>
        <v>Pulp/Paper</v>
      </c>
      <c r="DS1414" t="str">
        <f>IF(DL1414=1,DS$7,0)</f>
        <v>Timber</v>
      </c>
      <c r="DT1414">
        <v>0</v>
      </c>
      <c r="DU1414">
        <v>1</v>
      </c>
      <c r="DV1414" t="s">
        <v>1283</v>
      </c>
      <c r="DW1414" t="s">
        <v>1284</v>
      </c>
      <c r="DX1414">
        <v>0</v>
      </c>
      <c r="DY1414">
        <f>SUM(DT1414:DU1414)</f>
        <v>1</v>
      </c>
      <c r="DZ1414" s="143" t="str">
        <f>IF(DT1414=1,"self-calculated DF",IF(DU1414=1,"external DF used","explicit C balance"))</f>
        <v>external DF used</v>
      </c>
      <c r="EA1414">
        <v>1</v>
      </c>
      <c r="EB1414">
        <v>1</v>
      </c>
      <c r="EC1414">
        <v>1</v>
      </c>
      <c r="ED1414">
        <v>1</v>
      </c>
      <c r="EE1414">
        <v>0</v>
      </c>
      <c r="EF1414" s="143">
        <v>0</v>
      </c>
      <c r="EG1414">
        <v>0</v>
      </c>
      <c r="EH1414">
        <v>0</v>
      </c>
      <c r="EI1414">
        <v>0</v>
      </c>
      <c r="EJ1414">
        <v>0</v>
      </c>
      <c r="EK1414">
        <v>1</v>
      </c>
      <c r="EL1414" s="143">
        <v>0</v>
      </c>
      <c r="EM1414" s="143">
        <v>0</v>
      </c>
      <c r="EN1414" s="2">
        <v>0</v>
      </c>
      <c r="EP1414" t="str">
        <f>IF(AND(AND(AND(OR($EC1414=1,$EB1414=1),OR($EH1414=1,$EF1414=1)),SUM($EA1414:$EE1414,$EK1414)&gt;=3),SUM($EF1414:$EJ1414)&gt;=2),"Whole sector approach","")</f>
        <v/>
      </c>
      <c r="EQ1414" t="str">
        <f>IF(AND(AND(OR($EC1414=1,$EB1414=1),AND($EH1414=0,$EF1414=0)),SUM($EA1414:$EE1414,$EK1414)&gt;=4),"Ecosystem approach","")</f>
        <v>Ecosystem approach</v>
      </c>
      <c r="ER1414" s="2" t="str">
        <f>IF(AND(AND(AND($EC1414=0,$EB1414=0),OR($EH1414=1,$EF1414=1)),SUM($EG1414:$EJ1414)&gt;=2),"Technology approach","")</f>
        <v/>
      </c>
      <c r="ES1414" t="str">
        <f>IF(AND($EC1414+$EB1414+$EE1414+$EA1414+$ED1414+$EG1414=0,$N1414="included"),"C neutral forest and HWP assumption","")</f>
        <v/>
      </c>
      <c r="ET1414" t="str">
        <f>IF(AND(AND(AND(AND($EC1414=1,$EB1414+$EA1414+$EG1414&gt;=1),$EF1414=1),$EH1414+$EI1414+$ED1414+$EE1414&gt;=2),$N1414="included"),"All C pools assumption","")</f>
        <v/>
      </c>
      <c r="EU1414" t="str">
        <f>IF(AND($ED1414+$EE1414+$EI1414+$EH1414+$EF1414=0,$N1414="included"),"In-situ only assumption","")</f>
        <v/>
      </c>
      <c r="EY1414" t="b">
        <f>IF(ISNUMBER(BW1414),IF(ABS(BW1414-[6]QC_indicators!$B$2)&gt;3*[6]QC_indicators!$C$2,"C ratio",IF(ISNUMBER(CA1414),IF(ABS(CA1414-[6]QC_indicators!$B$1)&gt;3*[6]QC_indicators!$C$1,"DF","no"))),IF(ISNUMBER(CA1414),IF(ABS(CA1414-[6]QC_indicators!$B$1)&gt;3*[6]QC_indicators!$C$1,"DF","no")))</f>
        <v>0</v>
      </c>
      <c r="EZ1414" t="s">
        <v>286</v>
      </c>
      <c r="FA1414" t="str">
        <f>IF(LEN($CY1414)=0,"",IF(AND($CY1414&lt;(-0.05),$ES1414="C neutral forest and HWP assumption"),"Cneutral paradox",IF(AND($CY1414&gt;0.05,$EU1414="In-situ only assumption"),"In-situ only paradox","")))</f>
        <v/>
      </c>
      <c r="FB1414" s="149" t="s">
        <v>349</v>
      </c>
      <c r="FD1414" s="260" t="s">
        <v>2948</v>
      </c>
    </row>
    <row r="1415" spans="1:160" ht="17" hidden="1">
      <c r="A1415" s="1" t="s">
        <v>1272</v>
      </c>
      <c r="B1415" t="s">
        <v>1273</v>
      </c>
      <c r="C1415" t="s">
        <v>1274</v>
      </c>
      <c r="D1415" t="s">
        <v>1275</v>
      </c>
      <c r="E1415" t="s">
        <v>1276</v>
      </c>
      <c r="F1415" t="s">
        <v>1277</v>
      </c>
      <c r="G1415" t="s">
        <v>1278</v>
      </c>
      <c r="H1415" t="s">
        <v>254</v>
      </c>
      <c r="I1415">
        <v>2021</v>
      </c>
      <c r="J1415">
        <v>0</v>
      </c>
      <c r="K1415" t="s">
        <v>1279</v>
      </c>
      <c r="M1415" t="str">
        <f>LEFT($D1415,FIND(",",$D1415)-1)&amp;"_"&amp;I1415&amp;L1415</f>
        <v>Dugan_2021</v>
      </c>
      <c r="N1415" t="s">
        <v>222</v>
      </c>
      <c r="O1415" s="145" t="s">
        <v>274</v>
      </c>
      <c r="Q1415" t="s">
        <v>256</v>
      </c>
      <c r="R1415" s="251" t="s">
        <v>225</v>
      </c>
      <c r="S1415" s="1" t="s">
        <v>1287</v>
      </c>
      <c r="T1415" t="s">
        <v>1003</v>
      </c>
      <c r="U1415" t="s">
        <v>1288</v>
      </c>
      <c r="V1415" s="253">
        <v>0</v>
      </c>
      <c r="W1415" s="253">
        <v>0</v>
      </c>
      <c r="X1415">
        <v>0</v>
      </c>
      <c r="Y1415">
        <v>0</v>
      </c>
      <c r="Z1415">
        <v>0</v>
      </c>
      <c r="AA1415">
        <v>0</v>
      </c>
      <c r="AB1415">
        <v>1</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s="141">
        <f>COUNTIF(X1415:AY1415,"&lt;&gt;0")</f>
        <v>1</v>
      </c>
      <c r="BA1415" s="141">
        <f>COUNTIF(X1415:AN1415,"&lt;&gt;0")</f>
        <v>1</v>
      </c>
      <c r="BB1415">
        <f>COUNTIF(X1415:AE1415,"&lt;&gt;0")</f>
        <v>1</v>
      </c>
      <c r="BC1415">
        <f>COUNTIF(AF1415:AK1415,"&lt;&gt;0")</f>
        <v>0</v>
      </c>
      <c r="BD1415">
        <f>COUNTIF(AL1415:AN1415,"&lt;&gt;0")</f>
        <v>0</v>
      </c>
      <c r="BE1415">
        <f>COUNTIF(AU1415:AY1415,"&lt;&gt;0")</f>
        <v>0</v>
      </c>
      <c r="BF1415">
        <f>COUNTIF(AO1415:AT1415,"&lt;&gt;0")</f>
        <v>0</v>
      </c>
      <c r="BG1415" t="str">
        <f t="array" ref="BG1415">IF(BA1415=1,INDEX($X$7:$AN$7,MATCH(TRUE,INDEX($X1415:$AY1415&lt;&gt;0,),0)),IF(BA1415=0,INDEX($AO$7:$AY$7,MATCH(1,$AO1415:$AY1415,0)),IF(BH1415="Multiple strategies","mixed drivers",IF(BH1415="Supply chain","multiple supply","multiple silviculture"))))</f>
        <v>species</v>
      </c>
      <c r="BH1415" s="2" t="str" cm="1">
        <f t="array" ref="BH1415">IF(COUNTIF(BB1415:BD1415,"&lt;&gt;0")=1,INDEX($X$4:$AY$4,MATCH(TRUE,INDEX($X1415:$AY1415&lt;&gt;0,),0)),IF(COUNTIF(BB1415:BD1415,"&lt;&gt;0")=0,INDEX($AO$4:$AY$4,MATCH(1,$AO1415:$AY1415,0)),"Multiple strategies"))</f>
        <v>Silviculture for productivity</v>
      </c>
      <c r="BI1415" s="1" t="s">
        <v>321</v>
      </c>
      <c r="BJ1415" t="s">
        <v>1282</v>
      </c>
      <c r="BK1415" s="256" t="s">
        <v>2993</v>
      </c>
      <c r="BL1415" t="s">
        <v>1232</v>
      </c>
      <c r="BM1415" s="260">
        <v>14.61</v>
      </c>
      <c r="BN1415">
        <f>BM1415*1.15</f>
        <v>16.801499999999997</v>
      </c>
      <c r="BP1415" s="223">
        <f>BN1415-BM1415</f>
        <v>2.1914999999999978</v>
      </c>
      <c r="BQ1415">
        <f>BP1415*tC_to_m3*10^6</f>
        <v>9515848.8927485794</v>
      </c>
      <c r="BR1415" t="s">
        <v>232</v>
      </c>
      <c r="BS1415" s="256" t="s">
        <v>2995</v>
      </c>
      <c r="BT1415" t="s">
        <v>1175</v>
      </c>
      <c r="BU1415" s="152"/>
      <c r="BV1415" s="152"/>
      <c r="BW1415" s="144"/>
      <c r="BX1415" s="277">
        <v>1.4453648692510654</v>
      </c>
      <c r="BZ1415">
        <f>BX1415*10^6</f>
        <v>1445364.8692510654</v>
      </c>
      <c r="CA1415">
        <f>IFERROR(BZ1415/BQ1415,"")</f>
        <v>0.15189027122451321</v>
      </c>
      <c r="CB1415">
        <v>0</v>
      </c>
      <c r="CC1415">
        <v>0</v>
      </c>
      <c r="CD1415">
        <v>0</v>
      </c>
      <c r="CE1415">
        <v>0</v>
      </c>
      <c r="CF1415">
        <v>0</v>
      </c>
      <c r="CG1415">
        <v>0</v>
      </c>
      <c r="CH1415">
        <v>0</v>
      </c>
      <c r="CI1415">
        <v>0</v>
      </c>
      <c r="CJ1415">
        <v>0</v>
      </c>
      <c r="CK1415">
        <v>0</v>
      </c>
      <c r="CL1415">
        <v>0</v>
      </c>
      <c r="CM1415">
        <v>0</v>
      </c>
      <c r="CN1415">
        <v>0</v>
      </c>
      <c r="CO1415">
        <v>0</v>
      </c>
      <c r="CP1415" t="str">
        <f>IF(BN1415&lt;BM1415,"refNeedCorrection","refOK")</f>
        <v>refOK</v>
      </c>
      <c r="CQ1415"/>
      <c r="CR1415"/>
      <c r="CS1415">
        <f>IF($CP1415="refOK",$BQ1415,-$BQ1415)</f>
        <v>9515848.8927485794</v>
      </c>
      <c r="CT1415">
        <f>IF(BI1415="Roundwood",$CS1415/2,$CS1415)</f>
        <v>4757924.4463742897</v>
      </c>
      <c r="CU1415">
        <f>IF($CP1415="refOK",$BU1415,$BV1415)*IF($BR1415="Emissions positive",-1,1)</f>
        <v>0</v>
      </c>
      <c r="CV1415">
        <f>IF($CP1415="refOK",$BV1415,$BU1415)*IF($BR1415="Emissions positive",-1,1)</f>
        <v>0</v>
      </c>
      <c r="CW1415">
        <f>IF($CP1415="refNeedCorrection",-BZ1415,BZ1415)*IF($BR1415="Emissions positive",-1,1)</f>
        <v>1445364.8692510654</v>
      </c>
      <c r="CX1415">
        <f>IFERROR($CW1415/$CS1415,"")</f>
        <v>0.15189027122451321</v>
      </c>
      <c r="CY1415">
        <f>IFERROR($CW1415/$CS1415,"")</f>
        <v>0.15189027122451321</v>
      </c>
      <c r="CZ1415">
        <f>IFERROR($CW1415/$CT1415,"")</f>
        <v>0.30378054244902641</v>
      </c>
      <c r="DA1415" s="2" t="str">
        <f>IFERROR((CV1415-CU1415)/ABS(CU1415),"")</f>
        <v/>
      </c>
      <c r="DB1415" s="1" t="s">
        <v>1074</v>
      </c>
      <c r="DC1415" t="str">
        <f>IF(OR($DB1415="prd",$DB1415="std",$DB1415="cit"),"loc",IF(OR($DB1415="eur",$DB1415="reg",$DB1415="coy"),"reg",$DB1415))</f>
        <v>reg</v>
      </c>
      <c r="DD1415" t="s">
        <v>428</v>
      </c>
      <c r="DE1415">
        <v>2020</v>
      </c>
      <c r="DF1415">
        <v>2050</v>
      </c>
      <c r="DG1415">
        <v>30</v>
      </c>
      <c r="DH1415" t="str">
        <f>IF(DG1415=0,"0",IF(AND(DG1415&gt;=1,DG1415&lt;=30),"1-30",IF(AND(DG1415&gt;30,DG1415&lt;=70),"31-70",IF(AND(DG1415&gt;70,DG1415&lt;=100),"71-100",IF(DG1415&gt;100,"+100")))))</f>
        <v>1-30</v>
      </c>
      <c r="DI1415">
        <v>0</v>
      </c>
      <c r="DJ1415">
        <v>1</v>
      </c>
      <c r="DK1415">
        <v>1</v>
      </c>
      <c r="DL1415">
        <v>1</v>
      </c>
      <c r="DN1415">
        <f>SUM(DI1415:DL1415)</f>
        <v>3</v>
      </c>
      <c r="DO1415" t="str">
        <f>IF(DN1415=1,INDEX($DI$7:$DL$7,MATCH(1,$DI1415:$DL1415,0)),"mixedProduct")</f>
        <v>mixedProduct</v>
      </c>
      <c r="DP1415">
        <f>IF(DI1415=1,DP$7,0)</f>
        <v>0</v>
      </c>
      <c r="DQ1415" t="str">
        <f>IF(DJ1415=1,DQ$7,0)</f>
        <v>Energy</v>
      </c>
      <c r="DR1415" t="str">
        <f>IF(DK1415=1,DR$7,0)</f>
        <v>Pulp/Paper</v>
      </c>
      <c r="DS1415" t="str">
        <f>IF(DL1415=1,DS$7,0)</f>
        <v>Timber</v>
      </c>
      <c r="DT1415">
        <v>0</v>
      </c>
      <c r="DU1415">
        <v>1</v>
      </c>
      <c r="DV1415" t="s">
        <v>1283</v>
      </c>
      <c r="DW1415" t="s">
        <v>1284</v>
      </c>
      <c r="DX1415">
        <v>0</v>
      </c>
      <c r="DY1415">
        <f>SUM(DT1415:DU1415)</f>
        <v>1</v>
      </c>
      <c r="DZ1415" s="143" t="str">
        <f>IF(DT1415=1,"self-calculated DF",IF(DU1415=1,"external DF used","explicit C balance"))</f>
        <v>external DF used</v>
      </c>
      <c r="EA1415">
        <v>1</v>
      </c>
      <c r="EB1415">
        <v>1</v>
      </c>
      <c r="EC1415">
        <v>1</v>
      </c>
      <c r="ED1415">
        <v>1</v>
      </c>
      <c r="EE1415">
        <v>0</v>
      </c>
      <c r="EF1415" s="143">
        <v>1</v>
      </c>
      <c r="EG1415">
        <v>0</v>
      </c>
      <c r="EH1415">
        <v>1</v>
      </c>
      <c r="EI1415">
        <v>0</v>
      </c>
      <c r="EJ1415">
        <v>0</v>
      </c>
      <c r="EK1415">
        <v>1</v>
      </c>
      <c r="EL1415" s="143">
        <v>0</v>
      </c>
      <c r="EM1415" s="143">
        <v>0</v>
      </c>
      <c r="EN1415" s="2">
        <v>0</v>
      </c>
      <c r="EP1415" t="str">
        <f>IF(AND(AND(AND(OR($EC1415=1,$EB1415=1),OR($EH1415=1,$EF1415=1)),SUM($EA1415:$EE1415,$EK1415)&gt;=3),SUM($EF1415:$EJ1415)&gt;=2),"Whole sector approach","")</f>
        <v>Whole sector approach</v>
      </c>
      <c r="EQ1415" t="str">
        <f>IF(AND(AND(OR($EC1415=1,$EB1415=1),AND($EH1415=0,$EF1415=0)),SUM($EA1415:$EE1415,$EK1415)&gt;=4),"Ecosystem approach","")</f>
        <v/>
      </c>
      <c r="ER1415" s="2" t="str">
        <f>IF(AND(AND(AND($EC1415=0,$EB1415=0),OR($EH1415=1,$EF1415=1)),SUM($EG1415:$EJ1415)&gt;=2),"Technology approach","")</f>
        <v/>
      </c>
      <c r="ES1415" t="str">
        <f>IF(AND($EC1415+$EB1415+$EE1415+$EA1415+$ED1415+$EG1415=0,$N1415="included"),"C neutral forest and HWP assumption","")</f>
        <v/>
      </c>
      <c r="ET1415" t="str">
        <f>IF(AND(AND(AND(AND($EC1415=1,$EB1415+$EA1415+$EG1415&gt;=1),$EF1415=1),$EH1415+$EI1415+$ED1415+$EE1415&gt;=2),$N1415="included"),"All C pools assumption","")</f>
        <v>All C pools assumption</v>
      </c>
      <c r="EU1415" t="str">
        <f>IF(AND($ED1415+$EE1415+$EI1415+$EH1415+$EF1415=0,$N1415="included"),"In-situ only assumption","")</f>
        <v/>
      </c>
      <c r="EY1415" t="str">
        <f>IF(ISNUMBER(BW1415),IF(ABS(BW1415-[6]QC_indicators!$B$2)&gt;3*[6]QC_indicators!$C$2,"C ratio",IF(ISNUMBER(CA1415),IF(ABS(CA1415-[6]QC_indicators!$B$1)&gt;3*[6]QC_indicators!$C$1,"DF","no"))),IF(ISNUMBER(CA1415),IF(ABS(CA1415-[6]QC_indicators!$B$1)&gt;3*[6]QC_indicators!$C$1,"DF","no")))</f>
        <v>no</v>
      </c>
      <c r="EZ1415" t="s">
        <v>286</v>
      </c>
      <c r="FA1415" t="str">
        <f>IF(LEN($CY1415)=0,"",IF(AND($CY1415&lt;(-0.05),$ES1415="C neutral forest and HWP assumption"),"Cneutral paradox",IF(AND($CY1415&gt;0.05,$EU1415="In-situ only assumption"),"In-situ only paradox","")))</f>
        <v/>
      </c>
      <c r="FB1415" s="149" t="s">
        <v>349</v>
      </c>
      <c r="FD1415" s="260" t="s">
        <v>2948</v>
      </c>
    </row>
    <row r="1416" spans="1:160" ht="17" hidden="1">
      <c r="A1416" s="1" t="s">
        <v>1272</v>
      </c>
      <c r="B1416" t="s">
        <v>1273</v>
      </c>
      <c r="C1416" t="s">
        <v>1274</v>
      </c>
      <c r="D1416" t="s">
        <v>1275</v>
      </c>
      <c r="E1416" t="s">
        <v>1276</v>
      </c>
      <c r="F1416" t="s">
        <v>1277</v>
      </c>
      <c r="G1416" t="s">
        <v>1278</v>
      </c>
      <c r="H1416" t="s">
        <v>254</v>
      </c>
      <c r="I1416">
        <v>2021</v>
      </c>
      <c r="J1416">
        <v>0</v>
      </c>
      <c r="K1416" t="s">
        <v>1279</v>
      </c>
      <c r="M1416" t="str">
        <f>LEFT($D1416,FIND(",",$D1416)-1)&amp;"_"&amp;I1416&amp;L1416</f>
        <v>Dugan_2021</v>
      </c>
      <c r="N1416" t="s">
        <v>222</v>
      </c>
      <c r="O1416" s="145" t="s">
        <v>274</v>
      </c>
      <c r="Q1416" t="s">
        <v>256</v>
      </c>
      <c r="R1416" s="251" t="s">
        <v>225</v>
      </c>
      <c r="S1416" s="1" t="s">
        <v>314</v>
      </c>
      <c r="T1416" t="s">
        <v>1285</v>
      </c>
      <c r="U1416" t="s">
        <v>1003</v>
      </c>
      <c r="V1416" s="253">
        <v>0</v>
      </c>
      <c r="W1416" s="253">
        <v>0</v>
      </c>
      <c r="X1416">
        <v>0</v>
      </c>
      <c r="Y1416">
        <v>0</v>
      </c>
      <c r="Z1416">
        <v>1</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s="141">
        <f>COUNTIF(X1416:AY1416,"&lt;&gt;0")</f>
        <v>1</v>
      </c>
      <c r="BA1416" s="141">
        <f>COUNTIF(X1416:AN1416,"&lt;&gt;0")</f>
        <v>1</v>
      </c>
      <c r="BB1416">
        <f>COUNTIF(X1416:AE1416,"&lt;&gt;0")</f>
        <v>1</v>
      </c>
      <c r="BC1416">
        <f>COUNTIF(AF1416:AK1416,"&lt;&gt;0")</f>
        <v>0</v>
      </c>
      <c r="BD1416">
        <f>COUNTIF(AL1416:AN1416,"&lt;&gt;0")</f>
        <v>0</v>
      </c>
      <c r="BE1416">
        <f>COUNTIF(AU1416:AY1416,"&lt;&gt;0")</f>
        <v>0</v>
      </c>
      <c r="BF1416">
        <f>COUNTIF(AO1416:AT1416,"&lt;&gt;0")</f>
        <v>0</v>
      </c>
      <c r="BG1416" t="str">
        <f t="array" ref="BG1416">IF(BA1416=1,INDEX($X$7:$AN$7,MATCH(TRUE,INDEX($X1416:$AY1416&lt;&gt;0,),0)),IF(BA1416=0,INDEX($AO$7:$AY$7,MATCH(1,$AO1416:$AY1416,0)),IF(BH1416="Multiple strategies","mixed drivers",IF(BH1416="Supply chain","multiple supply","multiple silviculture"))))</f>
        <v>rotation length</v>
      </c>
      <c r="BH1416" s="2" t="str" cm="1">
        <f t="array" ref="BH1416">IF(COUNTIF(BB1416:BD1416,"&lt;&gt;0")=1,INDEX($X$4:$AY$4,MATCH(TRUE,INDEX($X1416:$AY1416&lt;&gt;0,),0)),IF(COUNTIF(BB1416:BD1416,"&lt;&gt;0")=0,INDEX($AO$4:$AY$4,MATCH(1,$AO1416:$AY1416,0)),"Multiple strategies"))</f>
        <v>Silviculture for removals</v>
      </c>
      <c r="BI1416" s="1" t="s">
        <v>321</v>
      </c>
      <c r="BJ1416" t="s">
        <v>1282</v>
      </c>
      <c r="BK1416" s="256" t="s">
        <v>2993</v>
      </c>
      <c r="BL1416" t="s">
        <v>1232</v>
      </c>
      <c r="BM1416" s="260">
        <f>0.9*BN1416</f>
        <v>13.148999999999999</v>
      </c>
      <c r="BN1416" s="260">
        <v>14.61</v>
      </c>
      <c r="BP1416" s="223">
        <f>BN1416-BM1416</f>
        <v>1.4610000000000003</v>
      </c>
      <c r="BQ1416">
        <f>BP1416*10^6*tC_to_m3</f>
        <v>6343899.2618323937</v>
      </c>
      <c r="BR1416" t="s">
        <v>232</v>
      </c>
      <c r="BS1416" s="256" t="s">
        <v>2995</v>
      </c>
      <c r="BT1416" t="s">
        <v>1175</v>
      </c>
      <c r="BU1416" s="152"/>
      <c r="BV1416" s="152"/>
      <c r="BW1416" s="144"/>
      <c r="BX1416" s="277">
        <v>3.5012647539369794</v>
      </c>
      <c r="BZ1416">
        <f>BX1416*10^6</f>
        <v>3501264.7539369795</v>
      </c>
      <c r="CA1416">
        <f>IFERROR(BZ1416/BQ1416,"")</f>
        <v>0.55191052212983316</v>
      </c>
      <c r="CB1416">
        <v>0</v>
      </c>
      <c r="CC1416">
        <v>0</v>
      </c>
      <c r="CD1416">
        <v>0</v>
      </c>
      <c r="CE1416">
        <v>0</v>
      </c>
      <c r="CF1416">
        <v>0</v>
      </c>
      <c r="CG1416">
        <v>0</v>
      </c>
      <c r="CH1416">
        <v>0</v>
      </c>
      <c r="CI1416">
        <v>0</v>
      </c>
      <c r="CJ1416">
        <v>0</v>
      </c>
      <c r="CK1416">
        <v>0</v>
      </c>
      <c r="CL1416">
        <v>0</v>
      </c>
      <c r="CM1416">
        <v>0</v>
      </c>
      <c r="CN1416">
        <v>0</v>
      </c>
      <c r="CO1416">
        <v>0</v>
      </c>
      <c r="CP1416" t="str">
        <f>IF(BN1416&lt;BM1416,"refNeedCorrection","refOK")</f>
        <v>refOK</v>
      </c>
      <c r="CQ1416"/>
      <c r="CR1416"/>
      <c r="CS1416">
        <f>IF($CP1416="refNeedCorrection",-BQ1416,BQ1416)</f>
        <v>6343899.2618323937</v>
      </c>
      <c r="CT1416">
        <f>IF(BI1416="Roundwood",$CS1416/2,$CS1416)</f>
        <v>3171949.6309161969</v>
      </c>
      <c r="CU1416">
        <f>IF($CP1416="refOK",$BU1416,$BV1416)*IF($BR1416="Emissions positive",-1,1)</f>
        <v>0</v>
      </c>
      <c r="CV1416">
        <f>IF($CP1416="refOK",$BV1416,$BU1416)*IF($BR1416="Emissions positive",-1,1)</f>
        <v>0</v>
      </c>
      <c r="CW1416">
        <f>IF($CP1416="refNeedCorrection",-BZ1416,BZ1416)*IF($BR1416="Emissions positive",-1,1)</f>
        <v>3501264.7539369795</v>
      </c>
      <c r="CX1416">
        <f>IFERROR($CW1416/$CS1416,"")</f>
        <v>0.55191052212983316</v>
      </c>
      <c r="CY1416">
        <f>IFERROR($CW1416/$CS1416,"")</f>
        <v>0.55191052212983316</v>
      </c>
      <c r="CZ1416">
        <f>IFERROR($CW1416/$CT1416,"")</f>
        <v>1.1038210442596663</v>
      </c>
      <c r="DA1416" s="2" t="str">
        <f>IFERROR((CV1416-CU1416)/ABS(CU1416),"")</f>
        <v/>
      </c>
      <c r="DB1416" s="1" t="s">
        <v>1074</v>
      </c>
      <c r="DC1416" t="str">
        <f>IF(OR($DB1416="prd",$DB1416="std",$DB1416="cit"),"loc",IF(OR($DB1416="eur",$DB1416="reg",$DB1416="coy"),"reg",$DB1416))</f>
        <v>reg</v>
      </c>
      <c r="DD1416" t="s">
        <v>428</v>
      </c>
      <c r="DE1416">
        <v>2020</v>
      </c>
      <c r="DF1416">
        <v>2050</v>
      </c>
      <c r="DG1416">
        <v>30</v>
      </c>
      <c r="DH1416" t="str">
        <f>IF(DG1416=0,"0",IF(AND(DG1416&gt;=1,DG1416&lt;=30),"1-30",IF(AND(DG1416&gt;30,DG1416&lt;=70),"31-70",IF(AND(DG1416&gt;70,DG1416&lt;=100),"71-100",IF(DG1416&gt;100,"+100")))))</f>
        <v>1-30</v>
      </c>
      <c r="DI1416">
        <v>0</v>
      </c>
      <c r="DJ1416">
        <v>1</v>
      </c>
      <c r="DK1416">
        <v>1</v>
      </c>
      <c r="DL1416">
        <v>1</v>
      </c>
      <c r="DN1416">
        <f>SUM(DI1416:DL1416)</f>
        <v>3</v>
      </c>
      <c r="DO1416" t="str">
        <f>IF(DN1416=1,INDEX($DI$7:$DL$7,MATCH(1,$DI1416:$DL1416,0)),"mixedProduct")</f>
        <v>mixedProduct</v>
      </c>
      <c r="DP1416">
        <f>IF(DI1416=1,DP$7,0)</f>
        <v>0</v>
      </c>
      <c r="DQ1416" t="str">
        <f>IF(DJ1416=1,DQ$7,0)</f>
        <v>Energy</v>
      </c>
      <c r="DR1416" t="str">
        <f>IF(DK1416=1,DR$7,0)</f>
        <v>Pulp/Paper</v>
      </c>
      <c r="DS1416" t="str">
        <f>IF(DL1416=1,DS$7,0)</f>
        <v>Timber</v>
      </c>
      <c r="DT1416">
        <v>0</v>
      </c>
      <c r="DU1416">
        <v>1</v>
      </c>
      <c r="DV1416" t="s">
        <v>1283</v>
      </c>
      <c r="DW1416" t="s">
        <v>1284</v>
      </c>
      <c r="DX1416">
        <v>0</v>
      </c>
      <c r="DY1416">
        <f>SUM(DT1416:DU1416)</f>
        <v>1</v>
      </c>
      <c r="DZ1416" s="143" t="str">
        <f>IF(DT1416=1,"self-calculated DF",IF(DU1416=1,"external DF used","explicit C balance"))</f>
        <v>external DF used</v>
      </c>
      <c r="EA1416">
        <v>1</v>
      </c>
      <c r="EB1416">
        <v>1</v>
      </c>
      <c r="EC1416">
        <v>1</v>
      </c>
      <c r="ED1416">
        <v>1</v>
      </c>
      <c r="EE1416">
        <v>0</v>
      </c>
      <c r="EF1416" s="143">
        <v>1</v>
      </c>
      <c r="EG1416">
        <v>0</v>
      </c>
      <c r="EH1416">
        <v>1</v>
      </c>
      <c r="EI1416">
        <v>0</v>
      </c>
      <c r="EJ1416">
        <v>0</v>
      </c>
      <c r="EK1416">
        <v>1</v>
      </c>
      <c r="EL1416" s="143">
        <v>0</v>
      </c>
      <c r="EM1416" s="143">
        <v>0</v>
      </c>
      <c r="EN1416" s="2">
        <v>0</v>
      </c>
      <c r="EP1416" t="str">
        <f>IF(AND(AND(AND(OR($EC1416=1,$EB1416=1),OR($EH1416=1,$EF1416=1)),SUM($EA1416:$EE1416,$EK1416)&gt;=3),SUM($EF1416:$EJ1416)&gt;=2),"Whole sector approach","")</f>
        <v>Whole sector approach</v>
      </c>
      <c r="EQ1416" t="str">
        <f>IF(AND(AND(OR($EC1416=1,$EB1416=1),AND($EH1416=0,$EF1416=0)),SUM($EA1416:$EE1416,$EK1416)&gt;=4),"Ecosystem approach","")</f>
        <v/>
      </c>
      <c r="ER1416" s="2" t="str">
        <f>IF(AND(AND(AND($EC1416=0,$EB1416=0),OR($EH1416=1,$EF1416=1)),SUM($EG1416:$EJ1416)&gt;=2),"Technology approach","")</f>
        <v/>
      </c>
      <c r="ES1416" t="str">
        <f>IF(AND($EC1416+$EB1416+$EE1416+$EA1416+$ED1416+$EG1416=0,$N1416="included"),"C neutral forest and HWP assumption","")</f>
        <v/>
      </c>
      <c r="ET1416" t="str">
        <f>IF(AND(AND(AND(AND($EC1416=1,$EB1416+$EA1416+$EG1416&gt;=1),$EF1416=1),$EH1416+$EI1416+$ED1416+$EE1416&gt;=2),$N1416="included"),"All C pools assumption","")</f>
        <v>All C pools assumption</v>
      </c>
      <c r="EU1416" t="str">
        <f>IF(AND($ED1416+$EE1416+$EI1416+$EH1416+$EF1416=0,$N1416="included"),"In-situ only assumption","")</f>
        <v/>
      </c>
      <c r="EY1416" t="str">
        <f>IF(ISNUMBER(BW1416),IF(ABS(BW1416-[6]QC_indicators!$B$2)&gt;3*[6]QC_indicators!$C$2,"C ratio",IF(ISNUMBER(CA1416),IF(ABS(CA1416-[6]QC_indicators!$B$1)&gt;3*[6]QC_indicators!$C$1,"DF","no"))),IF(ISNUMBER(CA1416),IF(ABS(CA1416-[6]QC_indicators!$B$1)&gt;3*[6]QC_indicators!$C$1,"DF","no")))</f>
        <v>no</v>
      </c>
      <c r="EZ1416" t="s">
        <v>286</v>
      </c>
      <c r="FA1416" t="str">
        <f>IF(LEN($CY1416)=0,"",IF(AND($CY1416&lt;(-0.05),$ES1416="C neutral forest and HWP assumption"),"Cneutral paradox",IF(AND($CY1416&gt;0.05,$EU1416="In-situ only assumption"),"In-situ only paradox","")))</f>
        <v/>
      </c>
      <c r="FB1416" s="149" t="s">
        <v>349</v>
      </c>
      <c r="FD1416" s="260" t="s">
        <v>2948</v>
      </c>
    </row>
    <row r="1417" spans="1:160" ht="15" hidden="1" customHeight="1">
      <c r="A1417" s="1" t="s">
        <v>1272</v>
      </c>
      <c r="B1417" t="s">
        <v>1273</v>
      </c>
      <c r="C1417" t="s">
        <v>1274</v>
      </c>
      <c r="D1417" t="s">
        <v>1275</v>
      </c>
      <c r="E1417" t="s">
        <v>1276</v>
      </c>
      <c r="F1417" t="s">
        <v>1277</v>
      </c>
      <c r="G1417" t="s">
        <v>1278</v>
      </c>
      <c r="H1417" t="s">
        <v>254</v>
      </c>
      <c r="I1417">
        <v>2021</v>
      </c>
      <c r="J1417">
        <v>0</v>
      </c>
      <c r="K1417" t="s">
        <v>1279</v>
      </c>
      <c r="M1417" t="str">
        <f>LEFT($D1417,FIND(",",$D1417)-1)&amp;"_"&amp;I1417&amp;L1417</f>
        <v>Dugan_2021</v>
      </c>
      <c r="N1417" t="s">
        <v>222</v>
      </c>
      <c r="O1417" s="145" t="s">
        <v>274</v>
      </c>
      <c r="Q1417" t="s">
        <v>256</v>
      </c>
      <c r="R1417" s="251" t="s">
        <v>225</v>
      </c>
      <c r="S1417" s="1" t="s">
        <v>1280</v>
      </c>
      <c r="T1417" t="s">
        <v>1003</v>
      </c>
      <c r="U1417" t="s">
        <v>1281</v>
      </c>
      <c r="V1417" s="253">
        <v>0</v>
      </c>
      <c r="W1417" s="253">
        <v>0</v>
      </c>
      <c r="X1417">
        <v>0</v>
      </c>
      <c r="Y1417">
        <v>0</v>
      </c>
      <c r="Z1417">
        <v>2</v>
      </c>
      <c r="AA1417">
        <v>1</v>
      </c>
      <c r="AB1417">
        <v>2</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s="141">
        <f>COUNTIF(X1417:AY1417,"&lt;&gt;0")</f>
        <v>3</v>
      </c>
      <c r="BA1417" s="141">
        <f>COUNTIF(X1417:AN1417,"&lt;&gt;0")</f>
        <v>3</v>
      </c>
      <c r="BB1417">
        <f>COUNTIF(X1417:AE1417,"&lt;&gt;0")</f>
        <v>3</v>
      </c>
      <c r="BC1417">
        <f>COUNTIF(AF1417:AK1417,"&lt;&gt;0")</f>
        <v>0</v>
      </c>
      <c r="BD1417">
        <f>COUNTIF(AL1417:AN1417,"&lt;&gt;0")</f>
        <v>0</v>
      </c>
      <c r="BE1417">
        <f>COUNTIF(AU1417:AY1417,"&lt;&gt;0")</f>
        <v>0</v>
      </c>
      <c r="BF1417">
        <f>COUNTIF(AO1417:AT1417,"&lt;&gt;0")</f>
        <v>0</v>
      </c>
      <c r="BG1417" t="str">
        <f t="array" ref="BG1417">IF(BA1417=1,INDEX($X$7:$AN$7,MATCH(TRUE,INDEX($X1417:$AY1417&lt;&gt;0,),0)),IF(BA1417=0,INDEX($AO$7:$AY$7,MATCH(1,$AO1417:$AY1417,0)),IF(BH1417="Multiple strategies","mixed drivers",IF(BH1417="Supply chain","multiple supply","multiple silviculture"))))</f>
        <v>multiple silviculture</v>
      </c>
      <c r="BH1417" s="2" t="str" cm="1">
        <f t="array" ref="BH1417">IF(COUNTIF(BB1417:BD1417,"&lt;&gt;0")=1,INDEX($X$4:$AY$4,MATCH(TRUE,INDEX($X1417:$AY1417&lt;&gt;0,),0)),IF(COUNTIF(BB1417:BD1417,"&lt;&gt;0")=0,INDEX($AO$4:$AY$4,MATCH(1,$AO1417:$AY1417,0)),"Multiple strategies"))</f>
        <v>Silviculture for removals</v>
      </c>
      <c r="BI1417" s="1" t="s">
        <v>321</v>
      </c>
      <c r="BJ1417" t="s">
        <v>1282</v>
      </c>
      <c r="BK1417" s="256" t="s">
        <v>2993</v>
      </c>
      <c r="BL1417" t="s">
        <v>1232</v>
      </c>
      <c r="BM1417" s="260">
        <v>14.61</v>
      </c>
      <c r="BN1417">
        <f>BM1417*1.1</f>
        <v>16.071000000000002</v>
      </c>
      <c r="BP1417" s="223">
        <f>BN1417-BM1417</f>
        <v>1.4610000000000021</v>
      </c>
      <c r="BQ1417">
        <f>BP1417*10^6*tC_to_m3</f>
        <v>6343899.2618324021</v>
      </c>
      <c r="BR1417" t="s">
        <v>232</v>
      </c>
      <c r="BS1417" s="256" t="s">
        <v>2994</v>
      </c>
      <c r="BT1417" t="s">
        <v>1175</v>
      </c>
      <c r="BU1417" s="152"/>
      <c r="BV1417" s="152"/>
      <c r="BW1417" s="144"/>
      <c r="BX1417" s="277">
        <v>7.0674188796483897</v>
      </c>
      <c r="BZ1417">
        <f>BX1417*10^6</f>
        <v>7067418.8796483893</v>
      </c>
      <c r="CA1417">
        <f>IFERROR(BZ1417/BQ1417,"")</f>
        <v>1.114049670077359</v>
      </c>
      <c r="CB1417">
        <v>0</v>
      </c>
      <c r="CC1417">
        <v>0</v>
      </c>
      <c r="CD1417">
        <v>0</v>
      </c>
      <c r="CE1417">
        <v>0</v>
      </c>
      <c r="CF1417">
        <v>0</v>
      </c>
      <c r="CG1417">
        <v>0</v>
      </c>
      <c r="CH1417">
        <v>0</v>
      </c>
      <c r="CI1417">
        <v>0</v>
      </c>
      <c r="CJ1417">
        <v>0</v>
      </c>
      <c r="CK1417">
        <v>0</v>
      </c>
      <c r="CL1417">
        <v>0</v>
      </c>
      <c r="CM1417">
        <v>0</v>
      </c>
      <c r="CN1417">
        <v>0</v>
      </c>
      <c r="CO1417">
        <v>0</v>
      </c>
      <c r="CP1417" t="str">
        <f>IF(BN1417&lt;BM1417,"refNeedCorrection","refOK")</f>
        <v>refOK</v>
      </c>
      <c r="CQ1417"/>
      <c r="CR1417"/>
      <c r="CS1417">
        <f>IF($CP1417="refNeedCorrection",-BQ1417,BQ1417)</f>
        <v>6343899.2618324021</v>
      </c>
      <c r="CT1417">
        <f>IF(BI1417="Roundwood",$CS1417/2,$CS1417)</f>
        <v>3171949.630916201</v>
      </c>
      <c r="CU1417">
        <f>IF($CP1417="refOK",$BU1417,$BV1417)*IF($BR1417="Emissions positive",-1,1)</f>
        <v>0</v>
      </c>
      <c r="CV1417">
        <f>IF($CP1417="refOK",$BV1417,$BU1417)*IF($BR1417="Emissions positive",-1,1)</f>
        <v>0</v>
      </c>
      <c r="CW1417">
        <f>IF($CP1417="refNeedCorrection",-BZ1417,BZ1417)*IF($BR1417="Emissions positive",-1,1)</f>
        <v>7067418.8796483893</v>
      </c>
      <c r="CX1417">
        <f>IFERROR($CW1417/$CS1417,"")</f>
        <v>1.114049670077359</v>
      </c>
      <c r="CY1417">
        <f>IFERROR($CW1417/$CS1417,"")</f>
        <v>1.114049670077359</v>
      </c>
      <c r="CZ1417">
        <f>IFERROR($CW1417/$CT1417,"")</f>
        <v>2.228099340154718</v>
      </c>
      <c r="DA1417" s="2" t="str">
        <f>IFERROR((CV1417-CU1417)/ABS(CU1417),"")</f>
        <v/>
      </c>
      <c r="DB1417" s="1" t="s">
        <v>1074</v>
      </c>
      <c r="DC1417" t="str">
        <f>IF(OR($DB1417="prd",$DB1417="std",$DB1417="cit"),"loc",IF(OR($DB1417="eur",$DB1417="reg",$DB1417="coy"),"reg",$DB1417))</f>
        <v>reg</v>
      </c>
      <c r="DD1417" t="s">
        <v>428</v>
      </c>
      <c r="DE1417">
        <v>2020</v>
      </c>
      <c r="DF1417">
        <v>2050</v>
      </c>
      <c r="DG1417">
        <v>30</v>
      </c>
      <c r="DH1417" t="str">
        <f>IF(DG1417=0,"0",IF(AND(DG1417&gt;=1,DG1417&lt;=30),"1-30",IF(AND(DG1417&gt;30,DG1417&lt;=70),"31-70",IF(AND(DG1417&gt;70,DG1417&lt;=100),"71-100",IF(DG1417&gt;100,"+100")))))</f>
        <v>1-30</v>
      </c>
      <c r="DI1417">
        <v>0</v>
      </c>
      <c r="DJ1417">
        <v>1</v>
      </c>
      <c r="DK1417">
        <v>1</v>
      </c>
      <c r="DL1417">
        <v>1</v>
      </c>
      <c r="DN1417">
        <f>SUM(DI1417:DL1417)</f>
        <v>3</v>
      </c>
      <c r="DO1417" t="str">
        <f>IF(DN1417=1,INDEX($DI$7:$DL$7,MATCH(1,$DI1417:$DL1417,0)),"mixedProduct")</f>
        <v>mixedProduct</v>
      </c>
      <c r="DP1417">
        <f>IF(DI1417=1,DP$7,0)</f>
        <v>0</v>
      </c>
      <c r="DQ1417" t="str">
        <f>IF(DJ1417=1,DQ$7,0)</f>
        <v>Energy</v>
      </c>
      <c r="DR1417" t="str">
        <f>IF(DK1417=1,DR$7,0)</f>
        <v>Pulp/Paper</v>
      </c>
      <c r="DS1417" t="str">
        <f>IF(DL1417=1,DS$7,0)</f>
        <v>Timber</v>
      </c>
      <c r="DT1417">
        <v>0</v>
      </c>
      <c r="DU1417">
        <v>1</v>
      </c>
      <c r="DV1417" t="s">
        <v>1283</v>
      </c>
      <c r="DW1417" t="s">
        <v>1284</v>
      </c>
      <c r="DX1417">
        <v>0</v>
      </c>
      <c r="DY1417">
        <f>SUM(DT1417:DU1417)</f>
        <v>1</v>
      </c>
      <c r="DZ1417" s="143" t="str">
        <f>IF(DT1417=1,"self-calculated DF",IF(DU1417=1,"external DF used","explicit C balance"))</f>
        <v>external DF used</v>
      </c>
      <c r="EA1417">
        <v>1</v>
      </c>
      <c r="EB1417">
        <v>1</v>
      </c>
      <c r="EC1417">
        <v>1</v>
      </c>
      <c r="ED1417">
        <v>1</v>
      </c>
      <c r="EE1417">
        <v>0</v>
      </c>
      <c r="EF1417" s="143">
        <v>0</v>
      </c>
      <c r="EG1417">
        <v>0</v>
      </c>
      <c r="EH1417">
        <v>0</v>
      </c>
      <c r="EI1417">
        <v>0</v>
      </c>
      <c r="EJ1417">
        <v>0</v>
      </c>
      <c r="EK1417">
        <v>1</v>
      </c>
      <c r="EL1417" s="143">
        <v>0</v>
      </c>
      <c r="EM1417" s="143">
        <v>0</v>
      </c>
      <c r="EN1417" s="2">
        <v>0</v>
      </c>
      <c r="EP1417" t="str">
        <f>IF(AND(AND(AND(OR($EC1417=1,$EB1417=1),OR($EH1417=1,$EF1417=1)),SUM($EA1417:$EE1417,$EK1417)&gt;=3),SUM($EF1417:$EJ1417)&gt;=2),"Whole sector approach","")</f>
        <v/>
      </c>
      <c r="EQ1417" t="str">
        <f>IF(AND(AND(OR($EC1417=1,$EB1417=1),AND($EH1417=0,$EF1417=0)),SUM($EA1417:$EE1417,$EK1417)&gt;=4),"Ecosystem approach","")</f>
        <v>Ecosystem approach</v>
      </c>
      <c r="ER1417" s="2" t="str">
        <f>IF(AND(AND(AND($EC1417=0,$EB1417=0),OR($EH1417=1,$EF1417=1)),SUM($EG1417:$EJ1417)&gt;=2),"Technology approach","")</f>
        <v/>
      </c>
      <c r="ES1417" t="str">
        <f>IF(AND($EC1417+$EB1417+$EE1417+$EA1417+$ED1417+$EG1417=0,$N1417="included"),"C neutral forest and HWP assumption","")</f>
        <v/>
      </c>
      <c r="ET1417" t="str">
        <f>IF(AND(AND(AND(AND($EC1417=1,$EB1417+$EA1417+$EG1417&gt;=1),$EF1417=1),$EH1417+$EI1417+$ED1417+$EE1417&gt;=2),$N1417="included"),"All C pools assumption","")</f>
        <v/>
      </c>
      <c r="EU1417" t="str">
        <f>IF(AND($ED1417+$EE1417+$EI1417+$EH1417+$EF1417=0,$N1417="included"),"In-situ only assumption","")</f>
        <v/>
      </c>
      <c r="EY1417" t="str">
        <f>IF(ISNUMBER(BW1417),IF(ABS(BW1417-[6]QC_indicators!$B$2)&gt;3*[6]QC_indicators!$C$2,"C ratio",IF(ISNUMBER(CA1417),IF(ABS(CA1417-[6]QC_indicators!$B$1)&gt;3*[6]QC_indicators!$C$1,"DF","no"))),IF(ISNUMBER(CA1417),IF(ABS(CA1417-[6]QC_indicators!$B$1)&gt;3*[6]QC_indicators!$C$1,"DF","no")))</f>
        <v>no</v>
      </c>
      <c r="EZ1417" t="s">
        <v>286</v>
      </c>
      <c r="FA1417" t="str">
        <f>IF(LEN($CY1417)=0,"",IF(AND($CY1417&lt;(-0.05),$ES1417="C neutral forest and HWP assumption"),"Cneutral paradox",IF(AND($CY1417&gt;0.05,$EU1417="In-situ only assumption"),"In-situ only paradox","")))</f>
        <v/>
      </c>
      <c r="FB1417" s="149" t="s">
        <v>349</v>
      </c>
      <c r="FD1417" s="260" t="s">
        <v>2948</v>
      </c>
    </row>
    <row r="1418" spans="1:160" ht="15" hidden="1" customHeight="1">
      <c r="A1418" s="1" t="s">
        <v>1272</v>
      </c>
      <c r="B1418" t="s">
        <v>1273</v>
      </c>
      <c r="C1418" t="s">
        <v>1274</v>
      </c>
      <c r="D1418" t="s">
        <v>1275</v>
      </c>
      <c r="E1418" t="s">
        <v>1276</v>
      </c>
      <c r="F1418" t="s">
        <v>1277</v>
      </c>
      <c r="G1418" t="s">
        <v>1278</v>
      </c>
      <c r="H1418" t="s">
        <v>254</v>
      </c>
      <c r="I1418">
        <v>2021</v>
      </c>
      <c r="J1418">
        <v>0</v>
      </c>
      <c r="K1418" t="s">
        <v>1279</v>
      </c>
      <c r="M1418" t="str">
        <f>LEFT($D1418,FIND(",",$D1418)-1)&amp;"_"&amp;I1418&amp;L1418</f>
        <v>Dugan_2021</v>
      </c>
      <c r="N1418" t="s">
        <v>222</v>
      </c>
      <c r="O1418" s="145" t="s">
        <v>274</v>
      </c>
      <c r="Q1418" t="s">
        <v>256</v>
      </c>
      <c r="R1418" s="251" t="s">
        <v>225</v>
      </c>
      <c r="S1418" s="1" t="s">
        <v>1280</v>
      </c>
      <c r="T1418" t="s">
        <v>1003</v>
      </c>
      <c r="U1418" t="s">
        <v>1281</v>
      </c>
      <c r="V1418" s="253">
        <v>0</v>
      </c>
      <c r="W1418" s="253">
        <v>0</v>
      </c>
      <c r="X1418">
        <v>0</v>
      </c>
      <c r="Y1418">
        <v>0</v>
      </c>
      <c r="Z1418">
        <v>2</v>
      </c>
      <c r="AA1418">
        <v>1</v>
      </c>
      <c r="AB1418">
        <v>2</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s="141">
        <f>COUNTIF(X1418:AY1418,"&lt;&gt;0")</f>
        <v>3</v>
      </c>
      <c r="BA1418" s="141">
        <f>COUNTIF(X1418:AN1418,"&lt;&gt;0")</f>
        <v>3</v>
      </c>
      <c r="BB1418">
        <f>COUNTIF(X1418:AE1418,"&lt;&gt;0")</f>
        <v>3</v>
      </c>
      <c r="BC1418">
        <f>COUNTIF(AF1418:AK1418,"&lt;&gt;0")</f>
        <v>0</v>
      </c>
      <c r="BD1418">
        <f>COUNTIF(AL1418:AN1418,"&lt;&gt;0")</f>
        <v>0</v>
      </c>
      <c r="BE1418">
        <f>COUNTIF(AU1418:AY1418,"&lt;&gt;0")</f>
        <v>0</v>
      </c>
      <c r="BF1418">
        <f>COUNTIF(AO1418:AT1418,"&lt;&gt;0")</f>
        <v>0</v>
      </c>
      <c r="BG1418" t="str">
        <f t="array" ref="BG1418">IF(BA1418=1,INDEX($X$7:$AN$7,MATCH(TRUE,INDEX($X1418:$AY1418&lt;&gt;0,),0)),IF(BA1418=0,INDEX($AO$7:$AY$7,MATCH(1,$AO1418:$AY1418,0)),IF(BH1418="Multiple strategies","mixed drivers",IF(BH1418="Supply chain","multiple supply","multiple silviculture"))))</f>
        <v>multiple silviculture</v>
      </c>
      <c r="BH1418" s="2" t="str" cm="1">
        <f t="array" ref="BH1418">IF(COUNTIF(BB1418:BD1418,"&lt;&gt;0")=1,INDEX($X$4:$AY$4,MATCH(TRUE,INDEX($X1418:$AY1418&lt;&gt;0,),0)),IF(COUNTIF(BB1418:BD1418,"&lt;&gt;0")=0,INDEX($AO$4:$AY$4,MATCH(1,$AO1418:$AY1418,0)),"Multiple strategies"))</f>
        <v>Silviculture for removals</v>
      </c>
      <c r="BI1418" s="1" t="s">
        <v>321</v>
      </c>
      <c r="BJ1418" t="s">
        <v>1282</v>
      </c>
      <c r="BK1418" s="256" t="s">
        <v>2993</v>
      </c>
      <c r="BL1418" t="s">
        <v>1232</v>
      </c>
      <c r="BM1418" s="260">
        <v>14.61</v>
      </c>
      <c r="BN1418">
        <f>BM1418*1.1</f>
        <v>16.071000000000002</v>
      </c>
      <c r="BP1418" s="223">
        <f>BN1418-BM1418</f>
        <v>1.4610000000000021</v>
      </c>
      <c r="BQ1418">
        <f>BP1418*10^6*tC_to_m3</f>
        <v>6343899.2618324021</v>
      </c>
      <c r="BR1418" t="s">
        <v>232</v>
      </c>
      <c r="BS1418" s="256" t="s">
        <v>2995</v>
      </c>
      <c r="BT1418" t="s">
        <v>1175</v>
      </c>
      <c r="BU1418" s="152"/>
      <c r="BV1418" s="152"/>
      <c r="BW1418" s="144"/>
      <c r="BX1418" s="277">
        <v>8.3661190387317106</v>
      </c>
      <c r="BZ1418">
        <f>BX1418*10^6</f>
        <v>8366119.038731711</v>
      </c>
      <c r="CA1418">
        <f>IFERROR(BZ1418/BQ1418,"")</f>
        <v>1.3187660606570226</v>
      </c>
      <c r="CB1418">
        <v>0</v>
      </c>
      <c r="CC1418">
        <v>0</v>
      </c>
      <c r="CD1418">
        <v>0</v>
      </c>
      <c r="CE1418">
        <v>0</v>
      </c>
      <c r="CF1418">
        <v>0</v>
      </c>
      <c r="CG1418">
        <v>0</v>
      </c>
      <c r="CH1418">
        <v>0</v>
      </c>
      <c r="CI1418">
        <v>0</v>
      </c>
      <c r="CJ1418">
        <v>0</v>
      </c>
      <c r="CK1418">
        <v>0</v>
      </c>
      <c r="CL1418">
        <v>0</v>
      </c>
      <c r="CM1418">
        <v>0</v>
      </c>
      <c r="CN1418">
        <v>0</v>
      </c>
      <c r="CO1418">
        <v>0</v>
      </c>
      <c r="CP1418" t="str">
        <f>IF(BN1418&lt;BM1418,"refNeedCorrection","refOK")</f>
        <v>refOK</v>
      </c>
      <c r="CQ1418"/>
      <c r="CR1418"/>
      <c r="CS1418">
        <f>IF($CP1418="refNeedCorrection",-BQ1418,BQ1418)</f>
        <v>6343899.2618324021</v>
      </c>
      <c r="CT1418">
        <f>IF(BI1418="Roundwood",$CS1418/2,$CS1418)</f>
        <v>3171949.630916201</v>
      </c>
      <c r="CU1418">
        <f>IF($CP1418="refOK",$BU1418,$BV1418)*IF($BR1418="Emissions positive",-1,1)</f>
        <v>0</v>
      </c>
      <c r="CV1418">
        <f>IF($CP1418="refOK",$BV1418,$BU1418)*IF($BR1418="Emissions positive",-1,1)</f>
        <v>0</v>
      </c>
      <c r="CW1418">
        <f>IF($CP1418="refNeedCorrection",-BZ1418,BZ1418)*IF($BR1418="Emissions positive",-1,1)</f>
        <v>8366119.038731711</v>
      </c>
      <c r="CX1418">
        <f>IFERROR($CW1418/$CS1418,"")</f>
        <v>1.3187660606570226</v>
      </c>
      <c r="CY1418">
        <f>IFERROR($CW1418/$CS1418,"")</f>
        <v>1.3187660606570226</v>
      </c>
      <c r="CZ1418">
        <f>IFERROR($CW1418/$CT1418,"")</f>
        <v>2.6375321213140452</v>
      </c>
      <c r="DA1418" s="2" t="str">
        <f>IFERROR((CV1418-CU1418)/ABS(CU1418),"")</f>
        <v/>
      </c>
      <c r="DB1418" s="1" t="s">
        <v>1074</v>
      </c>
      <c r="DC1418" t="str">
        <f>IF(OR($DB1418="prd",$DB1418="std",$DB1418="cit"),"loc",IF(OR($DB1418="eur",$DB1418="reg",$DB1418="coy"),"reg",$DB1418))</f>
        <v>reg</v>
      </c>
      <c r="DD1418" t="s">
        <v>428</v>
      </c>
      <c r="DE1418">
        <v>2020</v>
      </c>
      <c r="DF1418">
        <v>2050</v>
      </c>
      <c r="DG1418">
        <v>30</v>
      </c>
      <c r="DH1418" t="str">
        <f>IF(DG1418=0,"0",IF(AND(DG1418&gt;=1,DG1418&lt;=30),"1-30",IF(AND(DG1418&gt;30,DG1418&lt;=70),"31-70",IF(AND(DG1418&gt;70,DG1418&lt;=100),"71-100",IF(DG1418&gt;100,"+100")))))</f>
        <v>1-30</v>
      </c>
      <c r="DI1418">
        <v>0</v>
      </c>
      <c r="DJ1418">
        <v>1</v>
      </c>
      <c r="DK1418">
        <v>1</v>
      </c>
      <c r="DL1418">
        <v>1</v>
      </c>
      <c r="DN1418">
        <f>SUM(DI1418:DL1418)</f>
        <v>3</v>
      </c>
      <c r="DO1418" t="str">
        <f>IF(DN1418=1,INDEX($DI$7:$DL$7,MATCH(1,$DI1418:$DL1418,0)),"mixedProduct")</f>
        <v>mixedProduct</v>
      </c>
      <c r="DP1418">
        <f>IF(DI1418=1,DP$7,0)</f>
        <v>0</v>
      </c>
      <c r="DQ1418" t="str">
        <f>IF(DJ1418=1,DQ$7,0)</f>
        <v>Energy</v>
      </c>
      <c r="DR1418" t="str">
        <f>IF(DK1418=1,DR$7,0)</f>
        <v>Pulp/Paper</v>
      </c>
      <c r="DS1418" t="str">
        <f>IF(DL1418=1,DS$7,0)</f>
        <v>Timber</v>
      </c>
      <c r="DT1418">
        <v>0</v>
      </c>
      <c r="DU1418">
        <v>1</v>
      </c>
      <c r="DV1418" t="s">
        <v>1283</v>
      </c>
      <c r="DW1418" t="s">
        <v>1284</v>
      </c>
      <c r="DX1418">
        <v>0</v>
      </c>
      <c r="DY1418">
        <f>SUM(DT1418:DU1418)</f>
        <v>1</v>
      </c>
      <c r="DZ1418" s="143" t="str">
        <f>IF(DT1418=1,"self-calculated DF",IF(DU1418=1,"external DF used","explicit C balance"))</f>
        <v>external DF used</v>
      </c>
      <c r="EA1418">
        <v>1</v>
      </c>
      <c r="EB1418">
        <v>1</v>
      </c>
      <c r="EC1418">
        <v>1</v>
      </c>
      <c r="ED1418">
        <v>1</v>
      </c>
      <c r="EE1418">
        <v>0</v>
      </c>
      <c r="EF1418" s="143">
        <v>1</v>
      </c>
      <c r="EG1418">
        <v>0</v>
      </c>
      <c r="EH1418">
        <v>1</v>
      </c>
      <c r="EI1418">
        <v>0</v>
      </c>
      <c r="EJ1418">
        <v>0</v>
      </c>
      <c r="EK1418">
        <v>1</v>
      </c>
      <c r="EL1418" s="143">
        <v>0</v>
      </c>
      <c r="EM1418" s="143">
        <v>0</v>
      </c>
      <c r="EN1418" s="2">
        <v>0</v>
      </c>
      <c r="EP1418" t="str">
        <f>IF(AND(AND(AND(OR($EC1418=1,$EB1418=1),OR($EH1418=1,$EF1418=1)),SUM($EA1418:$EE1418,$EK1418)&gt;=3),SUM($EF1418:$EJ1418)&gt;=2),"Whole sector approach","")</f>
        <v>Whole sector approach</v>
      </c>
      <c r="EQ1418" t="str">
        <f>IF(AND(AND(OR($EC1418=1,$EB1418=1),AND($EH1418=0,$EF1418=0)),SUM($EA1418:$EE1418,$EK1418)&gt;=4),"Ecosystem approach","")</f>
        <v/>
      </c>
      <c r="ER1418" s="2" t="str">
        <f>IF(AND(AND(AND($EC1418=0,$EB1418=0),OR($EH1418=1,$EF1418=1)),SUM($EG1418:$EJ1418)&gt;=2),"Technology approach","")</f>
        <v/>
      </c>
      <c r="ES1418" t="str">
        <f>IF(AND($EC1418+$EB1418+$EE1418+$EA1418+$ED1418+$EG1418=0,$N1418="included"),"C neutral forest and HWP assumption","")</f>
        <v/>
      </c>
      <c r="ET1418" t="str">
        <f>IF(AND(AND(AND(AND($EC1418=1,$EB1418+$EA1418+$EG1418&gt;=1),$EF1418=1),$EH1418+$EI1418+$ED1418+$EE1418&gt;=2),$N1418="included"),"All C pools assumption","")</f>
        <v>All C pools assumption</v>
      </c>
      <c r="EU1418" t="str">
        <f>IF(AND($ED1418+$EE1418+$EI1418+$EH1418+$EF1418=0,$N1418="included"),"In-situ only assumption","")</f>
        <v/>
      </c>
      <c r="EY1418" t="str">
        <f>IF(ISNUMBER(BW1418),IF(ABS(BW1418-[6]QC_indicators!$B$2)&gt;3*[6]QC_indicators!$C$2,"C ratio",IF(ISNUMBER(CA1418),IF(ABS(CA1418-[6]QC_indicators!$B$1)&gt;3*[6]QC_indicators!$C$1,"DF","no"))),IF(ISNUMBER(CA1418),IF(ABS(CA1418-[6]QC_indicators!$B$1)&gt;3*[6]QC_indicators!$C$1,"DF","no")))</f>
        <v>no</v>
      </c>
      <c r="EZ1418" t="s">
        <v>286</v>
      </c>
      <c r="FA1418" t="str">
        <f>IF(LEN($CY1418)=0,"",IF(AND($CY1418&lt;(-0.05),$ES1418="C neutral forest and HWP assumption"),"Cneutral paradox",IF(AND($CY1418&gt;0.05,$EU1418="In-situ only assumption"),"In-situ only paradox","")))</f>
        <v/>
      </c>
      <c r="FB1418" s="149" t="s">
        <v>349</v>
      </c>
      <c r="FD1418" s="260" t="s">
        <v>2948</v>
      </c>
    </row>
    <row r="1419" spans="1:160" ht="15" customHeight="1">
      <c r="A1419" s="1" t="s">
        <v>1272</v>
      </c>
      <c r="B1419" t="s">
        <v>1273</v>
      </c>
      <c r="C1419" t="s">
        <v>1274</v>
      </c>
      <c r="D1419" t="s">
        <v>1275</v>
      </c>
      <c r="E1419" t="s">
        <v>1276</v>
      </c>
      <c r="F1419" t="s">
        <v>1277</v>
      </c>
      <c r="G1419" t="s">
        <v>1278</v>
      </c>
      <c r="H1419" t="s">
        <v>254</v>
      </c>
      <c r="I1419">
        <v>2021</v>
      </c>
      <c r="J1419">
        <v>0</v>
      </c>
      <c r="K1419" t="s">
        <v>1279</v>
      </c>
      <c r="M1419" t="str">
        <f>LEFT($D1419,FIND(",",$D1419)-1)&amp;"_"&amp;I1419&amp;L1419</f>
        <v>Dugan_2021</v>
      </c>
      <c r="N1419" t="s">
        <v>222</v>
      </c>
      <c r="O1419" s="145" t="s">
        <v>274</v>
      </c>
      <c r="Q1419" t="s">
        <v>256</v>
      </c>
      <c r="R1419" s="251" t="s">
        <v>225</v>
      </c>
      <c r="S1419" s="1" t="s">
        <v>1280</v>
      </c>
      <c r="T1419" t="s">
        <v>1003</v>
      </c>
      <c r="U1419" t="s">
        <v>1281</v>
      </c>
      <c r="V1419" s="253">
        <v>0</v>
      </c>
      <c r="W1419" s="253">
        <v>0</v>
      </c>
      <c r="X1419">
        <v>0</v>
      </c>
      <c r="Y1419">
        <v>0</v>
      </c>
      <c r="Z1419">
        <v>2</v>
      </c>
      <c r="AA1419">
        <v>1</v>
      </c>
      <c r="AB1419">
        <v>2</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s="141">
        <f>COUNTIF(X1419:AY1419,"&lt;&gt;0")</f>
        <v>3</v>
      </c>
      <c r="BA1419" s="141">
        <f>COUNTIF(X1419:AN1419,"&lt;&gt;0")</f>
        <v>3</v>
      </c>
      <c r="BB1419">
        <f>COUNTIF(X1419:AE1419,"&lt;&gt;0")</f>
        <v>3</v>
      </c>
      <c r="BC1419">
        <f>COUNTIF(AF1419:AK1419,"&lt;&gt;0")</f>
        <v>0</v>
      </c>
      <c r="BD1419">
        <f>COUNTIF(AL1419:AN1419,"&lt;&gt;0")</f>
        <v>0</v>
      </c>
      <c r="BE1419">
        <f>COUNTIF(AU1419:AY1419,"&lt;&gt;0")</f>
        <v>0</v>
      </c>
      <c r="BF1419">
        <f>COUNTIF(AO1419:AT1419,"&lt;&gt;0")</f>
        <v>0</v>
      </c>
      <c r="BG1419" t="str">
        <f t="array" ref="BG1419">IF(BA1419=1,INDEX($X$7:$AN$7,MATCH(TRUE,INDEX($X1419:$AY1419&lt;&gt;0,),0)),IF(BA1419=0,INDEX($AO$7:$AY$7,MATCH(1,$AO1419:$AY1419,0)),IF(BH1419="Multiple strategies","mixed drivers",IF(BH1419="Supply chain","multiple supply","multiple silviculture"))))</f>
        <v>multiple silviculture</v>
      </c>
      <c r="BH1419" s="2" t="str" cm="1">
        <f t="array" ref="BH1419">IF(COUNTIF(BB1419:BD1419,"&lt;&gt;0")=1,INDEX($X$4:$AY$4,MATCH(TRUE,INDEX($X1419:$AY1419&lt;&gt;0,),0)),IF(COUNTIF(BB1419:BD1419,"&lt;&gt;0")=0,INDEX($AO$4:$AY$4,MATCH(1,$AO1419:$AY1419,0)),"Multiple strategies"))</f>
        <v>Silviculture for removals</v>
      </c>
      <c r="BI1419" s="1" t="s">
        <v>321</v>
      </c>
      <c r="BJ1419" t="s">
        <v>1282</v>
      </c>
      <c r="BK1419" s="256" t="s">
        <v>2993</v>
      </c>
      <c r="BL1419" t="s">
        <v>1232</v>
      </c>
      <c r="BM1419" s="260">
        <v>14.61</v>
      </c>
      <c r="BN1419">
        <f>BM1419*1.1</f>
        <v>16.071000000000002</v>
      </c>
      <c r="BP1419" s="223">
        <f>BN1419-BM1419</f>
        <v>1.4610000000000021</v>
      </c>
      <c r="BQ1419">
        <f>BP1419*10^6*tC_to_m3</f>
        <v>6343899.2618324021</v>
      </c>
      <c r="BR1419" t="s">
        <v>232</v>
      </c>
      <c r="BS1419" s="256" t="s">
        <v>2996</v>
      </c>
      <c r="BT1419" t="s">
        <v>1175</v>
      </c>
      <c r="BU1419" s="152"/>
      <c r="BV1419" s="152"/>
      <c r="BW1419" s="144"/>
      <c r="BX1419" s="278">
        <v>10.1853675975971</v>
      </c>
      <c r="BZ1419">
        <f>BX1419*10^6</f>
        <v>10185367.5975971</v>
      </c>
      <c r="CA1419">
        <f>IFERROR(BZ1419/BQ1419,"")</f>
        <v>1.6055374111749545</v>
      </c>
      <c r="CB1419">
        <v>0</v>
      </c>
      <c r="CC1419">
        <v>0</v>
      </c>
      <c r="CD1419">
        <v>0</v>
      </c>
      <c r="CE1419">
        <v>0</v>
      </c>
      <c r="CF1419">
        <v>0</v>
      </c>
      <c r="CG1419">
        <v>0</v>
      </c>
      <c r="CH1419">
        <v>0</v>
      </c>
      <c r="CI1419">
        <v>0</v>
      </c>
      <c r="CJ1419">
        <v>0</v>
      </c>
      <c r="CK1419">
        <v>0</v>
      </c>
      <c r="CL1419">
        <v>0</v>
      </c>
      <c r="CM1419">
        <v>0</v>
      </c>
      <c r="CN1419">
        <v>0</v>
      </c>
      <c r="CO1419">
        <v>0</v>
      </c>
      <c r="CP1419" t="str">
        <f>IF(BN1419&lt;BM1419,"refNeedCorrection","refOK")</f>
        <v>refOK</v>
      </c>
      <c r="CQ1419"/>
      <c r="CR1419"/>
      <c r="CS1419">
        <f>IF($CP1419="refNeedCorrection",-BQ1419,BQ1419)</f>
        <v>6343899.2618324021</v>
      </c>
      <c r="CT1419">
        <f>IF(BI1419="Roundwood",$CS1419/2,$CS1419)</f>
        <v>3171949.630916201</v>
      </c>
      <c r="CU1419">
        <f>IF($CP1419="refOK",$BU1419,$BV1419)*IF($BR1419="Emissions positive",-1,1)</f>
        <v>0</v>
      </c>
      <c r="CV1419">
        <f>IF($CP1419="refOK",$BV1419,$BU1419)*IF($BR1419="Emissions positive",-1,1)</f>
        <v>0</v>
      </c>
      <c r="CW1419">
        <f>IF($CP1419="refNeedCorrection",-BZ1419,BZ1419)*IF($BR1419="Emissions positive",-1,1)</f>
        <v>10185367.5975971</v>
      </c>
      <c r="CX1419">
        <f>IFERROR($CW1419/$CS1419,"")</f>
        <v>1.6055374111749545</v>
      </c>
      <c r="CY1419">
        <f>IFERROR($CW1419/$CS1419,"")</f>
        <v>1.6055374111749545</v>
      </c>
      <c r="CZ1419">
        <f>IFERROR($CW1419/$CT1419,"")</f>
        <v>3.211074822349909</v>
      </c>
      <c r="DA1419" s="2" t="str">
        <f>IFERROR((CV1419-CU1419)/ABS(CU1419),"")</f>
        <v/>
      </c>
      <c r="DB1419" s="1" t="s">
        <v>1074</v>
      </c>
      <c r="DC1419" t="str">
        <f>IF(OR($DB1419="prd",$DB1419="std",$DB1419="cit"),"loc",IF(OR($DB1419="eur",$DB1419="reg",$DB1419="coy"),"reg",$DB1419))</f>
        <v>reg</v>
      </c>
      <c r="DD1419" t="s">
        <v>428</v>
      </c>
      <c r="DE1419">
        <v>2020</v>
      </c>
      <c r="DF1419">
        <v>2050</v>
      </c>
      <c r="DG1419">
        <v>30</v>
      </c>
      <c r="DH1419" t="str">
        <f>IF(DG1419=0,"0",IF(AND(DG1419&gt;=1,DG1419&lt;=30),"1-30",IF(AND(DG1419&gt;30,DG1419&lt;=70),"31-70",IF(AND(DG1419&gt;70,DG1419&lt;=100),"71-100",IF(DG1419&gt;100,"+100")))))</f>
        <v>1-30</v>
      </c>
      <c r="DI1419">
        <v>0</v>
      </c>
      <c r="DJ1419">
        <v>1</v>
      </c>
      <c r="DK1419">
        <v>1</v>
      </c>
      <c r="DL1419">
        <v>1</v>
      </c>
      <c r="DN1419">
        <f>SUM(DI1419:DL1419)</f>
        <v>3</v>
      </c>
      <c r="DO1419" t="str">
        <f>IF(DN1419=1,INDEX($DI$7:$DL$7,MATCH(1,$DI1419:$DL1419,0)),"mixedProduct")</f>
        <v>mixedProduct</v>
      </c>
      <c r="DP1419">
        <f>IF(DI1419=1,DP$7,0)</f>
        <v>0</v>
      </c>
      <c r="DQ1419" t="str">
        <f>IF(DJ1419=1,DQ$7,0)</f>
        <v>Energy</v>
      </c>
      <c r="DR1419" t="str">
        <f>IF(DK1419=1,DR$7,0)</f>
        <v>Pulp/Paper</v>
      </c>
      <c r="DS1419" t="str">
        <f>IF(DL1419=1,DS$7,0)</f>
        <v>Timber</v>
      </c>
      <c r="DT1419">
        <v>0</v>
      </c>
      <c r="DU1419">
        <v>1</v>
      </c>
      <c r="DV1419" t="s">
        <v>1283</v>
      </c>
      <c r="DW1419" t="s">
        <v>1284</v>
      </c>
      <c r="DX1419">
        <v>0</v>
      </c>
      <c r="DY1419">
        <f>SUM(DT1419:DU1419)</f>
        <v>1</v>
      </c>
      <c r="DZ1419" s="143" t="str">
        <f>IF(DT1419=1,"self-calculated DF",IF(DU1419=1,"external DF used","explicit C balance"))</f>
        <v>external DF used</v>
      </c>
      <c r="EA1419">
        <v>1</v>
      </c>
      <c r="EB1419">
        <v>1</v>
      </c>
      <c r="EC1419">
        <v>1</v>
      </c>
      <c r="ED1419">
        <v>0</v>
      </c>
      <c r="EE1419">
        <v>0</v>
      </c>
      <c r="EF1419" s="143">
        <v>0</v>
      </c>
      <c r="EG1419">
        <v>0</v>
      </c>
      <c r="EH1419">
        <v>0</v>
      </c>
      <c r="EI1419">
        <v>0</v>
      </c>
      <c r="EJ1419">
        <v>0</v>
      </c>
      <c r="EK1419">
        <v>1</v>
      </c>
      <c r="EL1419" s="143">
        <v>0</v>
      </c>
      <c r="EM1419" s="143">
        <v>0</v>
      </c>
      <c r="EN1419" s="2">
        <v>0</v>
      </c>
      <c r="EP1419" t="str">
        <f>IF(AND(AND(AND(OR($EC1419=1,$EB1419=1),OR($EH1419=1,$EF1419=1)),SUM($EA1419:$EE1419,$EK1419)&gt;=3),SUM($EF1419:$EJ1419)&gt;=2),"Whole sector approach","")</f>
        <v/>
      </c>
      <c r="EQ1419" t="str">
        <f>IF(AND(AND(OR($EC1419=1,$EB1419=1),AND($EH1419=0,$EF1419=0)),SUM($EA1419:$EE1419,$EK1419)&gt;=4),"Ecosystem approach","")</f>
        <v>Ecosystem approach</v>
      </c>
      <c r="ER1419" s="2" t="str">
        <f>IF(AND(AND(AND($EC1419=0,$EB1419=0),OR($EH1419=1,$EF1419=1)),SUM($EG1419:$EJ1419)&gt;=2),"Technology approach","")</f>
        <v/>
      </c>
      <c r="ES1419" t="str">
        <f>IF(AND($EC1419+$EB1419+$EE1419+$EA1419+$ED1419+$EG1419=0,$N1419="included"),"C neutral forest and HWP assumption","")</f>
        <v/>
      </c>
      <c r="ET1419" t="str">
        <f>IF(AND(AND(AND(AND($EC1419=1,$EB1419+$EA1419+$EG1419&gt;=1),$EF1419=1),$EH1419+$EI1419+$ED1419+$EE1419&gt;=2),$N1419="included"),"All C pools assumption","")</f>
        <v/>
      </c>
      <c r="EU1419" t="str">
        <f>IF(AND($ED1419+$EE1419+$EI1419+$EH1419+$EF1419=0,$N1419="included"),"In-situ only assumption","")</f>
        <v>In-situ only assumption</v>
      </c>
      <c r="EY1419" t="str">
        <f>IF(ISNUMBER(BW1419),IF(ABS(BW1419-[6]QC_indicators!$B$2)&gt;3*[6]QC_indicators!$C$2,"C ratio",IF(ISNUMBER(CA1419),IF(ABS(CA1419-[6]QC_indicators!$B$1)&gt;3*[6]QC_indicators!$C$1,"DF","no"))),IF(ISNUMBER(CA1419),IF(ABS(CA1419-[6]QC_indicators!$B$1)&gt;3*[6]QC_indicators!$C$1,"DF","no")))</f>
        <v>no</v>
      </c>
      <c r="EZ1419" t="s">
        <v>286</v>
      </c>
      <c r="FA1419" t="str">
        <f>IF(LEN($CY1419)=0,"",IF(AND($CY1419&lt;(-0.05),$ES1419="C neutral forest and HWP assumption"),"Cneutral paradox",IF(AND($CY1419&gt;0.05,$EU1419="In-situ only assumption"),"In-situ only paradox","")))</f>
        <v>In-situ only paradox</v>
      </c>
      <c r="FB1419" s="149" t="s">
        <v>349</v>
      </c>
      <c r="FD1419" s="260" t="s">
        <v>2948</v>
      </c>
    </row>
    <row r="1420" spans="1:160">
      <c r="A1420" s="1" t="s">
        <v>1272</v>
      </c>
      <c r="B1420" t="s">
        <v>1273</v>
      </c>
      <c r="C1420" t="s">
        <v>1274</v>
      </c>
      <c r="D1420" t="s">
        <v>1275</v>
      </c>
      <c r="E1420" t="s">
        <v>1276</v>
      </c>
      <c r="F1420" t="s">
        <v>1277</v>
      </c>
      <c r="G1420" t="s">
        <v>1278</v>
      </c>
      <c r="H1420" t="s">
        <v>254</v>
      </c>
      <c r="I1420">
        <v>2021</v>
      </c>
      <c r="J1420">
        <v>0</v>
      </c>
      <c r="K1420" t="s">
        <v>1279</v>
      </c>
      <c r="M1420" t="str">
        <f>LEFT($D1420,FIND(",",$D1420)-1)&amp;"_"&amp;I1420&amp;L1420</f>
        <v>Dugan_2021</v>
      </c>
      <c r="N1420" t="s">
        <v>222</v>
      </c>
      <c r="O1420" s="145" t="s">
        <v>274</v>
      </c>
      <c r="Q1420" t="s">
        <v>256</v>
      </c>
      <c r="R1420" s="251" t="s">
        <v>225</v>
      </c>
      <c r="S1420" s="1" t="s">
        <v>1287</v>
      </c>
      <c r="T1420" t="s">
        <v>1003</v>
      </c>
      <c r="U1420" t="s">
        <v>1288</v>
      </c>
      <c r="V1420" s="253">
        <v>0</v>
      </c>
      <c r="W1420" s="253">
        <v>0</v>
      </c>
      <c r="X1420">
        <v>0</v>
      </c>
      <c r="Y1420">
        <v>0</v>
      </c>
      <c r="Z1420">
        <v>0</v>
      </c>
      <c r="AA1420">
        <v>0</v>
      </c>
      <c r="AB1420">
        <v>1</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s="141">
        <f>COUNTIF(X1420:AY1420,"&lt;&gt;0")</f>
        <v>1</v>
      </c>
      <c r="BA1420" s="141">
        <f>COUNTIF(X1420:AN1420,"&lt;&gt;0")</f>
        <v>1</v>
      </c>
      <c r="BB1420">
        <f>COUNTIF(X1420:AE1420,"&lt;&gt;0")</f>
        <v>1</v>
      </c>
      <c r="BC1420">
        <f>COUNTIF(AF1420:AK1420,"&lt;&gt;0")</f>
        <v>0</v>
      </c>
      <c r="BD1420">
        <f>COUNTIF(AL1420:AN1420,"&lt;&gt;0")</f>
        <v>0</v>
      </c>
      <c r="BE1420">
        <f>COUNTIF(AU1420:AY1420,"&lt;&gt;0")</f>
        <v>0</v>
      </c>
      <c r="BF1420">
        <f>COUNTIF(AO1420:AT1420,"&lt;&gt;0")</f>
        <v>0</v>
      </c>
      <c r="BG1420" t="str">
        <f t="array" ref="BG1420">IF(BA1420=1,INDEX($X$7:$AN$7,MATCH(TRUE,INDEX($X1420:$AY1420&lt;&gt;0,),0)),IF(BA1420=0,INDEX($AO$7:$AY$7,MATCH(1,$AO1420:$AY1420,0)),IF(BH1420="Multiple strategies","mixed drivers",IF(BH1420="Supply chain","multiple supply","multiple silviculture"))))</f>
        <v>species</v>
      </c>
      <c r="BH1420" s="2" t="str" cm="1">
        <f t="array" ref="BH1420">IF(COUNTIF(BB1420:BD1420,"&lt;&gt;0")=1,INDEX($X$4:$AY$4,MATCH(TRUE,INDEX($X1420:$AY1420&lt;&gt;0,),0)),IF(COUNTIF(BB1420:BD1420,"&lt;&gt;0")=0,INDEX($AO$4:$AY$4,MATCH(1,$AO1420:$AY1420,0)),"Multiple strategies"))</f>
        <v>Silviculture for productivity</v>
      </c>
      <c r="BI1420" s="1" t="s">
        <v>321</v>
      </c>
      <c r="BJ1420" t="s">
        <v>1282</v>
      </c>
      <c r="BK1420" s="256" t="s">
        <v>2993</v>
      </c>
      <c r="BL1420" t="s">
        <v>1232</v>
      </c>
      <c r="BM1420" s="260">
        <v>14.61</v>
      </c>
      <c r="BN1420">
        <f>BM1420*1.15</f>
        <v>16.801499999999997</v>
      </c>
      <c r="BP1420" s="223">
        <f>BN1420-BM1420</f>
        <v>2.1914999999999978</v>
      </c>
      <c r="BQ1420">
        <f>BP1420*tC_to_m3*10^6</f>
        <v>9515848.8927485794</v>
      </c>
      <c r="BR1420" t="s">
        <v>232</v>
      </c>
      <c r="BS1420" s="256" t="s">
        <v>2994</v>
      </c>
      <c r="BT1420" t="s">
        <v>1175</v>
      </c>
      <c r="BU1420" s="152"/>
      <c r="BV1420" s="152"/>
      <c r="BW1420" s="144"/>
      <c r="BX1420" s="141">
        <v>1.4453648692510599</v>
      </c>
      <c r="BZ1420">
        <f>BX1420*10^6</f>
        <v>1445364.8692510598</v>
      </c>
      <c r="CA1420">
        <f>IFERROR(BZ1420/BQ1420,"")</f>
        <v>0.15189027122451262</v>
      </c>
      <c r="CB1420">
        <v>0</v>
      </c>
      <c r="CC1420">
        <v>0</v>
      </c>
      <c r="CD1420">
        <v>0</v>
      </c>
      <c r="CE1420">
        <v>0</v>
      </c>
      <c r="CF1420">
        <v>0</v>
      </c>
      <c r="CG1420">
        <v>0</v>
      </c>
      <c r="CH1420">
        <v>0</v>
      </c>
      <c r="CI1420">
        <v>0</v>
      </c>
      <c r="CJ1420">
        <v>0</v>
      </c>
      <c r="CK1420">
        <v>0</v>
      </c>
      <c r="CL1420">
        <v>0</v>
      </c>
      <c r="CM1420">
        <v>0</v>
      </c>
      <c r="CN1420">
        <v>0</v>
      </c>
      <c r="CO1420">
        <v>0</v>
      </c>
      <c r="CP1420" t="str">
        <f>IF(BN1420&lt;BM1420,"refNeedCorrection","refOK")</f>
        <v>refOK</v>
      </c>
      <c r="CQ1420"/>
      <c r="CR1420"/>
      <c r="CS1420"/>
      <c r="CT1420">
        <f>IF(BI1420="Roundwood",$CS1420/2,$CS1420)</f>
        <v>0</v>
      </c>
      <c r="CU1420">
        <f>IF($CP1420="refOK",$BU1420,$BV1420)*IF($BR1420="Emissions positive",-1,1)</f>
        <v>0</v>
      </c>
      <c r="CV1420">
        <f>IF($CP1420="refOK",$BV1420,$BU1420)*IF($BR1420="Emissions positive",-1,1)</f>
        <v>0</v>
      </c>
      <c r="CW1420">
        <f>IF($CP1420="refNeedCorrection",-BZ1420,BZ1420)*IF($BR1420="Emissions positive",-1,1)</f>
        <v>1445364.8692510598</v>
      </c>
      <c r="CX1420" t="str">
        <f>IFERROR($CW1420/$CS1420,"")</f>
        <v/>
      </c>
      <c r="CY1420" t="str">
        <f>IFERROR($CW1420/$CS1420,"")</f>
        <v/>
      </c>
      <c r="CZ1420" t="str">
        <f>IFERROR($CW1420/$CT1420,"")</f>
        <v/>
      </c>
      <c r="DA1420" s="2" t="str">
        <f>IFERROR((CV1420-CU1420)/ABS(CU1420),"")</f>
        <v/>
      </c>
      <c r="DB1420" s="1" t="s">
        <v>1074</v>
      </c>
      <c r="DC1420" t="str">
        <f>IF(OR($DB1420="prd",$DB1420="std",$DB1420="cit"),"loc",IF(OR($DB1420="eur",$DB1420="reg",$DB1420="coy"),"reg",$DB1420))</f>
        <v>reg</v>
      </c>
      <c r="DD1420" t="s">
        <v>428</v>
      </c>
      <c r="DE1420">
        <v>2020</v>
      </c>
      <c r="DF1420">
        <v>2050</v>
      </c>
      <c r="DG1420">
        <v>30</v>
      </c>
      <c r="DH1420" t="str">
        <f>IF(DG1420=0,"0",IF(AND(DG1420&gt;=1,DG1420&lt;=30),"1-30",IF(AND(DG1420&gt;30,DG1420&lt;=70),"31-70",IF(AND(DG1420&gt;70,DG1420&lt;=100),"71-100",IF(DG1420&gt;100,"+100")))))</f>
        <v>1-30</v>
      </c>
      <c r="DI1420">
        <v>0</v>
      </c>
      <c r="DJ1420">
        <v>1</v>
      </c>
      <c r="DK1420">
        <v>1</v>
      </c>
      <c r="DL1420">
        <v>1</v>
      </c>
      <c r="DN1420">
        <f>SUM(DI1420:DL1420)</f>
        <v>3</v>
      </c>
      <c r="DO1420" t="str">
        <f>IF(DN1420=1,INDEX($DI$7:$DL$7,MATCH(1,$DI1420:$DL1420,0)),"mixedProduct")</f>
        <v>mixedProduct</v>
      </c>
      <c r="DP1420">
        <f>IF(DI1420=1,DP$7,0)</f>
        <v>0</v>
      </c>
      <c r="DQ1420" t="str">
        <f>IF(DJ1420=1,DQ$7,0)</f>
        <v>Energy</v>
      </c>
      <c r="DR1420" t="str">
        <f>IF(DK1420=1,DR$7,0)</f>
        <v>Pulp/Paper</v>
      </c>
      <c r="DS1420" t="str">
        <f>IF(DL1420=1,DS$7,0)</f>
        <v>Timber</v>
      </c>
      <c r="DT1420">
        <v>0</v>
      </c>
      <c r="DU1420">
        <v>1</v>
      </c>
      <c r="DV1420" t="s">
        <v>1283</v>
      </c>
      <c r="DW1420" t="s">
        <v>1284</v>
      </c>
      <c r="DX1420">
        <v>0</v>
      </c>
      <c r="DY1420">
        <f>SUM(DT1420:DU1420)</f>
        <v>1</v>
      </c>
      <c r="DZ1420" s="143" t="str">
        <f>IF(DT1420=1,"self-calculated DF",IF(DU1420=1,"external DF used","explicit C balance"))</f>
        <v>external DF used</v>
      </c>
      <c r="EA1420">
        <v>1</v>
      </c>
      <c r="EB1420">
        <v>1</v>
      </c>
      <c r="EC1420">
        <v>1</v>
      </c>
      <c r="ED1420">
        <v>0</v>
      </c>
      <c r="EE1420">
        <v>0</v>
      </c>
      <c r="EF1420" s="143">
        <v>0</v>
      </c>
      <c r="EG1420">
        <v>0</v>
      </c>
      <c r="EH1420">
        <v>0</v>
      </c>
      <c r="EI1420">
        <v>0</v>
      </c>
      <c r="EJ1420">
        <v>0</v>
      </c>
      <c r="EK1420">
        <v>1</v>
      </c>
      <c r="EL1420" s="143">
        <v>0</v>
      </c>
      <c r="EM1420" s="143">
        <v>0</v>
      </c>
      <c r="EN1420" s="2">
        <v>0</v>
      </c>
      <c r="EP1420" t="str">
        <f>IF(AND(AND(AND(OR($EC1420=1,$EB1420=1),OR($EH1420=1,$EF1420=1)),SUM($EA1420:$EE1420,$EK1420)&gt;=3),SUM($EF1420:$EJ1420)&gt;=2),"Whole sector approach","")</f>
        <v/>
      </c>
      <c r="EQ1420" t="str">
        <f>IF(AND(AND(OR($EC1420=1,$EB1420=1),AND($EH1420=0,$EF1420=0)),SUM($EA1420:$EE1420,$EK1420)&gt;=4),"Ecosystem approach","")</f>
        <v>Ecosystem approach</v>
      </c>
      <c r="ER1420" s="2" t="str">
        <f>IF(AND(AND(AND($EC1420=0,$EB1420=0),OR($EH1420=1,$EF1420=1)),SUM($EG1420:$EJ1420)&gt;=2),"Technology approach","")</f>
        <v/>
      </c>
      <c r="ES1420" t="str">
        <f>IF(AND($EC1420+$EB1420+$EE1420+$EA1420+$ED1420+$EG1420=0,$N1420="included"),"C neutral forest and HWP assumption","")</f>
        <v/>
      </c>
      <c r="ET1420" t="str">
        <f>IF(AND(AND(AND(AND($EC1420=1,$EB1420+$EA1420+$EG1420&gt;=1),$EF1420=1),$EH1420+$EI1420+$ED1420+$EE1420&gt;=2),$N1420="included"),"All C pools assumption","")</f>
        <v/>
      </c>
      <c r="EU1420" t="str">
        <f>IF(AND($ED1420+$EE1420+$EI1420+$EH1420+$EF1420=0,$N1420="included"),"In-situ only assumption","")</f>
        <v>In-situ only assumption</v>
      </c>
      <c r="EY1420" t="str">
        <f>IF(ISNUMBER(BW1420),IF(ABS(BW1420-[6]QC_indicators!$B$2)&gt;3*[6]QC_indicators!$C$2,"C ratio",IF(ISNUMBER(CA1420),IF(ABS(CA1420-[6]QC_indicators!$B$1)&gt;3*[6]QC_indicators!$C$1,"DF","no"))),IF(ISNUMBER(CA1420),IF(ABS(CA1420-[6]QC_indicators!$B$1)&gt;3*[6]QC_indicators!$C$1,"DF","no")))</f>
        <v>no</v>
      </c>
      <c r="EZ1420" t="s">
        <v>286</v>
      </c>
      <c r="FA1420" t="str">
        <f>IF(LEN($CY1420)=0,"",IF(AND($CY1420&lt;(-0.05),$ES1420="C neutral forest and HWP assumption"),"Cneutral paradox",IF(AND($CY1420&gt;0.05,$EU1420="In-situ only assumption"),"In-situ only paradox","")))</f>
        <v/>
      </c>
      <c r="FB1420" s="149" t="s">
        <v>349</v>
      </c>
      <c r="FD1420" s="260" t="s">
        <v>2948</v>
      </c>
    </row>
    <row r="1421" spans="1:160" ht="15" hidden="1" customHeight="1">
      <c r="A1421" s="1" t="s">
        <v>1272</v>
      </c>
      <c r="B1421" t="s">
        <v>1273</v>
      </c>
      <c r="C1421" t="s">
        <v>1274</v>
      </c>
      <c r="D1421" t="s">
        <v>1275</v>
      </c>
      <c r="E1421" t="s">
        <v>1276</v>
      </c>
      <c r="F1421" t="s">
        <v>1277</v>
      </c>
      <c r="G1421" t="s">
        <v>1278</v>
      </c>
      <c r="H1421" t="s">
        <v>254</v>
      </c>
      <c r="I1421">
        <v>2021</v>
      </c>
      <c r="J1421">
        <v>0</v>
      </c>
      <c r="K1421" t="s">
        <v>1279</v>
      </c>
      <c r="M1421" t="str">
        <f>LEFT($D1421,FIND(",",$D1421)-1)&amp;"_"&amp;I1421&amp;L1421</f>
        <v>Dugan_2021</v>
      </c>
      <c r="N1421" t="s">
        <v>222</v>
      </c>
      <c r="O1421" s="145" t="s">
        <v>274</v>
      </c>
      <c r="Q1421" t="s">
        <v>256</v>
      </c>
      <c r="R1421" s="251" t="s">
        <v>225</v>
      </c>
      <c r="S1421" s="1" t="s">
        <v>1287</v>
      </c>
      <c r="T1421" t="s">
        <v>1003</v>
      </c>
      <c r="U1421" t="s">
        <v>1288</v>
      </c>
      <c r="V1421" s="253">
        <v>0</v>
      </c>
      <c r="W1421" s="253">
        <v>0</v>
      </c>
      <c r="X1421">
        <v>0</v>
      </c>
      <c r="Y1421">
        <v>0</v>
      </c>
      <c r="Z1421">
        <v>0</v>
      </c>
      <c r="AA1421">
        <v>0</v>
      </c>
      <c r="AB1421">
        <v>1</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c r="AV1421">
        <v>0</v>
      </c>
      <c r="AW1421">
        <v>0</v>
      </c>
      <c r="AX1421">
        <v>0</v>
      </c>
      <c r="AY1421">
        <v>0</v>
      </c>
      <c r="AZ1421" s="141">
        <f>COUNTIF(X1421:AY1421,"&lt;&gt;0")</f>
        <v>1</v>
      </c>
      <c r="BA1421" s="141">
        <f>COUNTIF(X1421:AN1421,"&lt;&gt;0")</f>
        <v>1</v>
      </c>
      <c r="BB1421">
        <f>COUNTIF(X1421:AE1421,"&lt;&gt;0")</f>
        <v>1</v>
      </c>
      <c r="BC1421">
        <f>COUNTIF(AF1421:AK1421,"&lt;&gt;0")</f>
        <v>0</v>
      </c>
      <c r="BD1421">
        <f>COUNTIF(AL1421:AN1421,"&lt;&gt;0")</f>
        <v>0</v>
      </c>
      <c r="BE1421">
        <f>COUNTIF(AU1421:AY1421,"&lt;&gt;0")</f>
        <v>0</v>
      </c>
      <c r="BF1421">
        <f>COUNTIF(AO1421:AT1421,"&lt;&gt;0")</f>
        <v>0</v>
      </c>
      <c r="BG1421" t="str">
        <f t="array" ref="BG1421">IF(BA1421=1,INDEX($X$7:$AN$7,MATCH(TRUE,INDEX($X1421:$AY1421&lt;&gt;0,),0)),IF(BA1421=0,INDEX($AO$7:$AY$7,MATCH(1,$AO1421:$AY1421,0)),IF(BH1421="Multiple strategies","mixed drivers",IF(BH1421="Supply chain","multiple supply","multiple silviculture"))))</f>
        <v>species</v>
      </c>
      <c r="BH1421" s="2" t="str" cm="1">
        <f t="array" ref="BH1421">IF(COUNTIF(BB1421:BD1421,"&lt;&gt;0")=1,INDEX($X$4:$AY$4,MATCH(TRUE,INDEX($X1421:$AY1421&lt;&gt;0,),0)),IF(COUNTIF(BB1421:BD1421,"&lt;&gt;0")=0,INDEX($AO$4:$AY$4,MATCH(1,$AO1421:$AY1421,0)),"Multiple strategies"))</f>
        <v>Silviculture for productivity</v>
      </c>
      <c r="BI1421" s="1" t="s">
        <v>321</v>
      </c>
      <c r="BJ1421" t="s">
        <v>1282</v>
      </c>
      <c r="BK1421" s="256" t="s">
        <v>2993</v>
      </c>
      <c r="BL1421" t="s">
        <v>1232</v>
      </c>
      <c r="BM1421" s="260">
        <v>14.61</v>
      </c>
      <c r="BN1421">
        <f>BM1421*1.15</f>
        <v>16.801499999999997</v>
      </c>
      <c r="BP1421" s="223">
        <f>BN1421-BM1421</f>
        <v>2.1914999999999978</v>
      </c>
      <c r="BQ1421">
        <f>BP1421*tC_to_m3*10^6</f>
        <v>9515848.8927485794</v>
      </c>
      <c r="BR1421" t="s">
        <v>232</v>
      </c>
      <c r="BS1421" s="256" t="s">
        <v>2994</v>
      </c>
      <c r="BT1421" t="s">
        <v>1175</v>
      </c>
      <c r="BU1421" s="152"/>
      <c r="BV1421" s="152"/>
      <c r="BW1421" s="144"/>
      <c r="BX1421" s="277">
        <v>1.4453648692510599</v>
      </c>
      <c r="BZ1421">
        <f>BX1421*10^6</f>
        <v>1445364.8692510598</v>
      </c>
      <c r="CA1421">
        <f>IFERROR(BZ1421/BQ1421,"")</f>
        <v>0.15189027122451262</v>
      </c>
      <c r="CB1421">
        <v>0</v>
      </c>
      <c r="CC1421">
        <v>0</v>
      </c>
      <c r="CD1421">
        <v>0</v>
      </c>
      <c r="CE1421">
        <v>0</v>
      </c>
      <c r="CF1421">
        <v>0</v>
      </c>
      <c r="CG1421">
        <v>0</v>
      </c>
      <c r="CH1421">
        <v>0</v>
      </c>
      <c r="CI1421">
        <v>0</v>
      </c>
      <c r="CJ1421">
        <v>0</v>
      </c>
      <c r="CK1421">
        <v>0</v>
      </c>
      <c r="CL1421">
        <v>0</v>
      </c>
      <c r="CM1421">
        <v>0</v>
      </c>
      <c r="CN1421">
        <v>0</v>
      </c>
      <c r="CO1421">
        <v>0</v>
      </c>
      <c r="CP1421" t="str">
        <f>IF(BN1421&lt;BM1421,"refNeedCorrection","refOK")</f>
        <v>refOK</v>
      </c>
      <c r="CQ1421"/>
      <c r="CR1421"/>
      <c r="CS1421"/>
      <c r="CT1421">
        <f>IF(BI1421="Roundwood",$CS1421/2,$CS1421)</f>
        <v>0</v>
      </c>
      <c r="CU1421">
        <f>IF($CP1421="refOK",$BU1421,$BV1421)*IF($BR1421="Emissions positive",-1,1)</f>
        <v>0</v>
      </c>
      <c r="CV1421">
        <f>IF($CP1421="refOK",$BV1421,$BU1421)*IF($BR1421="Emissions positive",-1,1)</f>
        <v>0</v>
      </c>
      <c r="CW1421">
        <f>IF($CP1421="refNeedCorrection",-BZ1421,BZ1421)*IF($BR1421="Emissions positive",-1,1)</f>
        <v>1445364.8692510598</v>
      </c>
      <c r="CX1421" t="str">
        <f>IFERROR($CW1421/$CS1421,"")</f>
        <v/>
      </c>
      <c r="CY1421" t="str">
        <f>IFERROR($CW1421/$CS1421,"")</f>
        <v/>
      </c>
      <c r="CZ1421" t="str">
        <f>IFERROR($CW1421/$CT1421,"")</f>
        <v/>
      </c>
      <c r="DA1421" s="2" t="str">
        <f>IFERROR((CV1421-CU1421)/ABS(CU1421),"")</f>
        <v/>
      </c>
      <c r="DB1421" s="1" t="s">
        <v>1074</v>
      </c>
      <c r="DC1421" t="str">
        <f>IF(OR($DB1421="prd",$DB1421="std",$DB1421="cit"),"loc",IF(OR($DB1421="eur",$DB1421="reg",$DB1421="coy"),"reg",$DB1421))</f>
        <v>reg</v>
      </c>
      <c r="DD1421" t="s">
        <v>428</v>
      </c>
      <c r="DE1421">
        <v>2020</v>
      </c>
      <c r="DF1421">
        <v>2050</v>
      </c>
      <c r="DG1421">
        <v>30</v>
      </c>
      <c r="DH1421" t="str">
        <f>IF(DG1421=0,"0",IF(AND(DG1421&gt;=1,DG1421&lt;=30),"1-30",IF(AND(DG1421&gt;30,DG1421&lt;=70),"31-70",IF(AND(DG1421&gt;70,DG1421&lt;=100),"71-100",IF(DG1421&gt;100,"+100")))))</f>
        <v>1-30</v>
      </c>
      <c r="DI1421">
        <v>0</v>
      </c>
      <c r="DJ1421">
        <v>1</v>
      </c>
      <c r="DK1421">
        <v>1</v>
      </c>
      <c r="DL1421">
        <v>1</v>
      </c>
      <c r="DN1421">
        <f>SUM(DI1421:DL1421)</f>
        <v>3</v>
      </c>
      <c r="DO1421" t="str">
        <f>IF(DN1421=1,INDEX($DI$7:$DL$7,MATCH(1,$DI1421:$DL1421,0)),"mixedProduct")</f>
        <v>mixedProduct</v>
      </c>
      <c r="DP1421">
        <f>IF(DI1421=1,DP$7,0)</f>
        <v>0</v>
      </c>
      <c r="DQ1421" t="str">
        <f>IF(DJ1421=1,DQ$7,0)</f>
        <v>Energy</v>
      </c>
      <c r="DR1421" t="str">
        <f>IF(DK1421=1,DR$7,0)</f>
        <v>Pulp/Paper</v>
      </c>
      <c r="DS1421" t="str">
        <f>IF(DL1421=1,DS$7,0)</f>
        <v>Timber</v>
      </c>
      <c r="DT1421">
        <v>0</v>
      </c>
      <c r="DU1421">
        <v>1</v>
      </c>
      <c r="DV1421" t="s">
        <v>1283</v>
      </c>
      <c r="DW1421" t="s">
        <v>1284</v>
      </c>
      <c r="DX1421">
        <v>0</v>
      </c>
      <c r="DY1421">
        <f>SUM(DT1421:DU1421)</f>
        <v>1</v>
      </c>
      <c r="DZ1421" s="143" t="str">
        <f>IF(DT1421=1,"self-calculated DF",IF(DU1421=1,"external DF used","explicit C balance"))</f>
        <v>external DF used</v>
      </c>
      <c r="EA1421">
        <v>1</v>
      </c>
      <c r="EB1421">
        <v>1</v>
      </c>
      <c r="EC1421">
        <v>1</v>
      </c>
      <c r="ED1421">
        <v>1</v>
      </c>
      <c r="EE1421">
        <v>0</v>
      </c>
      <c r="EF1421" s="143">
        <v>0</v>
      </c>
      <c r="EG1421">
        <v>0</v>
      </c>
      <c r="EH1421">
        <v>0</v>
      </c>
      <c r="EI1421">
        <v>0</v>
      </c>
      <c r="EJ1421">
        <v>0</v>
      </c>
      <c r="EK1421">
        <v>1</v>
      </c>
      <c r="EL1421" s="143">
        <v>0</v>
      </c>
      <c r="EM1421" s="143">
        <v>0</v>
      </c>
      <c r="EN1421" s="2">
        <v>0</v>
      </c>
      <c r="EP1421" t="str">
        <f>IF(AND(AND(AND(OR($EC1421=1,$EB1421=1),OR($EH1421=1,$EF1421=1)),SUM($EA1421:$EE1421,$EK1421)&gt;=3),SUM($EF1421:$EJ1421)&gt;=2),"Whole sector approach","")</f>
        <v/>
      </c>
      <c r="EQ1421" t="str">
        <f>IF(AND(AND(OR($EC1421=1,$EB1421=1),AND($EH1421=0,$EF1421=0)),SUM($EA1421:$EE1421,$EK1421)&gt;=4),"Ecosystem approach","")</f>
        <v>Ecosystem approach</v>
      </c>
      <c r="ER1421" s="2" t="str">
        <f>IF(AND(AND(AND($EC1421=0,$EB1421=0),OR($EH1421=1,$EF1421=1)),SUM($EG1421:$EJ1421)&gt;=2),"Technology approach","")</f>
        <v/>
      </c>
      <c r="ES1421" t="str">
        <f>IF(AND($EC1421+$EB1421+$EE1421+$EA1421+$ED1421+$EG1421=0,$N1421="included"),"C neutral forest and HWP assumption","")</f>
        <v/>
      </c>
      <c r="ET1421" t="str">
        <f>IF(AND(AND(AND(AND($EC1421=1,$EB1421+$EA1421+$EG1421&gt;=1),$EF1421=1),$EH1421+$EI1421+$ED1421+$EE1421&gt;=2),$N1421="included"),"All C pools assumption","")</f>
        <v/>
      </c>
      <c r="EU1421" t="str">
        <f>IF(AND($ED1421+$EE1421+$EI1421+$EH1421+$EF1421=0,$N1421="included"),"In-situ only assumption","")</f>
        <v/>
      </c>
      <c r="EY1421" t="str">
        <f>IF(ISNUMBER(BW1421),IF(ABS(BW1421-[6]QC_indicators!$B$2)&gt;3*[6]QC_indicators!$C$2,"C ratio",IF(ISNUMBER(CA1421),IF(ABS(CA1421-[6]QC_indicators!$B$1)&gt;3*[6]QC_indicators!$C$1,"DF","no"))),IF(ISNUMBER(CA1421),IF(ABS(CA1421-[6]QC_indicators!$B$1)&gt;3*[6]QC_indicators!$C$1,"DF","no")))</f>
        <v>no</v>
      </c>
      <c r="EZ1421" t="s">
        <v>286</v>
      </c>
      <c r="FA1421" t="str">
        <f>IF(LEN($CY1421)=0,"",IF(AND($CY1421&lt;(-0.05),$ES1421="C neutral forest and HWP assumption"),"Cneutral paradox",IF(AND($CY1421&gt;0.05,$EU1421="In-situ only assumption"),"In-situ only paradox","")))</f>
        <v/>
      </c>
      <c r="FB1421" s="149" t="s">
        <v>349</v>
      </c>
      <c r="FD1421" s="260" t="s">
        <v>2948</v>
      </c>
    </row>
    <row r="1422" spans="1:160" ht="15" customHeight="1">
      <c r="A1422" s="1" t="s">
        <v>1272</v>
      </c>
      <c r="B1422" t="s">
        <v>1273</v>
      </c>
      <c r="C1422" t="s">
        <v>1274</v>
      </c>
      <c r="D1422" t="s">
        <v>1275</v>
      </c>
      <c r="E1422" t="s">
        <v>1276</v>
      </c>
      <c r="F1422" t="s">
        <v>1277</v>
      </c>
      <c r="G1422" t="s">
        <v>1278</v>
      </c>
      <c r="H1422" t="s">
        <v>254</v>
      </c>
      <c r="I1422">
        <v>2021</v>
      </c>
      <c r="J1422">
        <v>0</v>
      </c>
      <c r="K1422" t="s">
        <v>1279</v>
      </c>
      <c r="M1422" t="str">
        <f>LEFT($D1422,FIND(",",$D1422)-1)&amp;"_"&amp;I1422&amp;L1422</f>
        <v>Dugan_2021</v>
      </c>
      <c r="N1422" t="s">
        <v>222</v>
      </c>
      <c r="O1422" s="145" t="s">
        <v>274</v>
      </c>
      <c r="Q1422" t="s">
        <v>256</v>
      </c>
      <c r="R1422" s="251" t="s">
        <v>225</v>
      </c>
      <c r="S1422" s="1" t="s">
        <v>1291</v>
      </c>
      <c r="T1422" t="s">
        <v>1003</v>
      </c>
      <c r="U1422" t="s">
        <v>1292</v>
      </c>
      <c r="V1422" s="253">
        <v>0</v>
      </c>
      <c r="W1422" s="253">
        <v>0</v>
      </c>
      <c r="X1422">
        <v>0</v>
      </c>
      <c r="Y1422">
        <v>0</v>
      </c>
      <c r="Z1422">
        <v>0</v>
      </c>
      <c r="AA1422">
        <v>1</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s="141">
        <f>COUNTIF(X1422:AY1422,"&lt;&gt;0")</f>
        <v>1</v>
      </c>
      <c r="BA1422" s="141">
        <f>COUNTIF(X1422:AN1422,"&lt;&gt;0")</f>
        <v>1</v>
      </c>
      <c r="BB1422">
        <f>COUNTIF(X1422:AE1422,"&lt;&gt;0")</f>
        <v>1</v>
      </c>
      <c r="BC1422">
        <f>COUNTIF(AF1422:AK1422,"&lt;&gt;0")</f>
        <v>0</v>
      </c>
      <c r="BD1422">
        <f>COUNTIF(AL1422:AN1422,"&lt;&gt;0")</f>
        <v>0</v>
      </c>
      <c r="BE1422">
        <f>COUNTIF(AU1422:AY1422,"&lt;&gt;0")</f>
        <v>0</v>
      </c>
      <c r="BF1422">
        <f>COUNTIF(AO1422:AT1422,"&lt;&gt;0")</f>
        <v>0</v>
      </c>
      <c r="BG1422" t="str">
        <f t="array" ref="BG1422">IF(BA1422=1,INDEX($X$7:$AN$7,MATCH(TRUE,INDEX($X1422:$AY1422&lt;&gt;0,),0)),IF(BA1422=0,INDEX($AO$7:$AY$7,MATCH(1,$AO1422:$AY1422,0)),IF(BH1422="Multiple strategies","mixed drivers",IF(BH1422="Supply chain","multiple supply","multiple silviculture"))))</f>
        <v xml:space="preserve">cutting intensity </v>
      </c>
      <c r="BH1422" s="2" t="str" cm="1">
        <f t="array" ref="BH1422">IF(COUNTIF(BB1422:BD1422,"&lt;&gt;0")=1,INDEX($X$4:$AY$4,MATCH(TRUE,INDEX($X1422:$AY1422&lt;&gt;0,),0)),IF(COUNTIF(BB1422:BD1422,"&lt;&gt;0")=0,INDEX($AO$4:$AY$4,MATCH(1,$AO1422:$AY1422,0)),"Multiple strategies"))</f>
        <v>Silviculture for removals</v>
      </c>
      <c r="BI1422" s="1" t="s">
        <v>321</v>
      </c>
      <c r="BJ1422" t="s">
        <v>1282</v>
      </c>
      <c r="BK1422" s="256" t="s">
        <v>2993</v>
      </c>
      <c r="BL1422" t="s">
        <v>1232</v>
      </c>
      <c r="BM1422" s="260">
        <v>14.61</v>
      </c>
      <c r="BN1422" s="260">
        <v>14.61</v>
      </c>
      <c r="BP1422" s="223">
        <f>BN1422-BM1422</f>
        <v>0</v>
      </c>
      <c r="BQ1422">
        <f>BP1422*10^6*tC_to_m3</f>
        <v>0</v>
      </c>
      <c r="BR1422" t="s">
        <v>232</v>
      </c>
      <c r="BS1422" s="256" t="s">
        <v>2996</v>
      </c>
      <c r="BT1422" t="s">
        <v>1175</v>
      </c>
      <c r="BU1422" s="152"/>
      <c r="BV1422" s="152"/>
      <c r="BW1422" s="144"/>
      <c r="BX1422" s="141">
        <v>4.7403037872266296</v>
      </c>
      <c r="BZ1422">
        <f>BX1422*10^6</f>
        <v>4740303.7872266294</v>
      </c>
      <c r="CA1422" t="str">
        <f>IFERROR(BZ1422/BQ1422,"")</f>
        <v/>
      </c>
      <c r="CB1422">
        <v>0</v>
      </c>
      <c r="CC1422">
        <v>0</v>
      </c>
      <c r="CD1422">
        <v>0</v>
      </c>
      <c r="CE1422">
        <v>0</v>
      </c>
      <c r="CF1422">
        <v>0</v>
      </c>
      <c r="CG1422">
        <v>0</v>
      </c>
      <c r="CH1422">
        <v>0</v>
      </c>
      <c r="CI1422">
        <v>0</v>
      </c>
      <c r="CJ1422">
        <v>0</v>
      </c>
      <c r="CK1422">
        <v>0</v>
      </c>
      <c r="CL1422">
        <v>0</v>
      </c>
      <c r="CM1422">
        <v>0</v>
      </c>
      <c r="CN1422">
        <v>0</v>
      </c>
      <c r="CO1422">
        <v>0</v>
      </c>
      <c r="CP1422" t="str">
        <f>IF(BN1422&lt;BM1422,"refNeedCorrection","refOK")</f>
        <v>refOK</v>
      </c>
      <c r="CQ1422"/>
      <c r="CR1422"/>
      <c r="CS1422">
        <f>IF($CP1422="refNeedCorrection",-BQ1422,BQ1422)</f>
        <v>0</v>
      </c>
      <c r="CT1422">
        <f>IF(BI1422="Roundwood",$CS1422/2,$CS1422)</f>
        <v>0</v>
      </c>
      <c r="CU1422">
        <f>IF($CP1422="refOK",$BU1422,$BV1422)*IF($BR1422="Emissions positive",-1,1)</f>
        <v>0</v>
      </c>
      <c r="CV1422">
        <f>IF($CP1422="refOK",$BV1422,$BU1422)*IF($BR1422="Emissions positive",-1,1)</f>
        <v>0</v>
      </c>
      <c r="CW1422">
        <f>IF($CP1422="refNeedCorrection",-BZ1422,BZ1422)*IF($BR1422="Emissions positive",-1,1)</f>
        <v>4740303.7872266294</v>
      </c>
      <c r="CX1422" t="str">
        <f>IFERROR($CW1422/$CS1422,"")</f>
        <v/>
      </c>
      <c r="CY1422" t="str">
        <f>IFERROR($CW1422/$CS1422,"")</f>
        <v/>
      </c>
      <c r="CZ1422" t="str">
        <f>IFERROR($CW1422/$CT1422,"")</f>
        <v/>
      </c>
      <c r="DA1422" s="2" t="str">
        <f>IFERROR((CV1422-CU1422)/ABS(CU1422),"")</f>
        <v/>
      </c>
      <c r="DB1422" s="1" t="s">
        <v>1074</v>
      </c>
      <c r="DC1422" t="str">
        <f>IF(OR($DB1422="prd",$DB1422="std",$DB1422="cit"),"loc",IF(OR($DB1422="eur",$DB1422="reg",$DB1422="coy"),"reg",$DB1422))</f>
        <v>reg</v>
      </c>
      <c r="DD1422" t="s">
        <v>428</v>
      </c>
      <c r="DE1422">
        <v>2020</v>
      </c>
      <c r="DF1422">
        <v>2050</v>
      </c>
      <c r="DG1422">
        <v>30</v>
      </c>
      <c r="DH1422" t="str">
        <f>IF(DG1422=0,"0",IF(AND(DG1422&gt;=1,DG1422&lt;=30),"1-30",IF(AND(DG1422&gt;30,DG1422&lt;=70),"31-70",IF(AND(DG1422&gt;70,DG1422&lt;=100),"71-100",IF(DG1422&gt;100,"+100")))))</f>
        <v>1-30</v>
      </c>
      <c r="DI1422">
        <v>0</v>
      </c>
      <c r="DJ1422">
        <v>1</v>
      </c>
      <c r="DK1422">
        <v>0</v>
      </c>
      <c r="DL1422">
        <v>0</v>
      </c>
      <c r="DN1422">
        <f>SUM(DI1422:DL1422)</f>
        <v>1</v>
      </c>
      <c r="DO1422" t="str">
        <f>IF(DN1422=1,INDEX($DI$7:$DL$7,MATCH(1,$DI1422:$DL1422,0)),"mixedProduct")</f>
        <v>EnergyInput</v>
      </c>
      <c r="DP1422">
        <f>IF(DI1422=1,DP$7,0)</f>
        <v>0</v>
      </c>
      <c r="DQ1422" t="str">
        <f>IF(DJ1422=1,DQ$7,0)</f>
        <v>Energy</v>
      </c>
      <c r="DR1422">
        <f>IF(DK1422=1,DR$7,0)</f>
        <v>0</v>
      </c>
      <c r="DS1422">
        <f>IF(DL1422=1,DS$7,0)</f>
        <v>0</v>
      </c>
      <c r="DT1422">
        <v>0</v>
      </c>
      <c r="DU1422">
        <v>1</v>
      </c>
      <c r="DV1422" t="s">
        <v>1283</v>
      </c>
      <c r="DW1422" t="s">
        <v>1284</v>
      </c>
      <c r="DX1422">
        <v>0</v>
      </c>
      <c r="DY1422">
        <f>SUM(DT1422:DU1422)</f>
        <v>1</v>
      </c>
      <c r="DZ1422" s="143" t="str">
        <f>IF(DT1422=1,"self-calculated DF",IF(DU1422=1,"external DF used","explicit C balance"))</f>
        <v>external DF used</v>
      </c>
      <c r="EA1422">
        <v>1</v>
      </c>
      <c r="EB1422">
        <v>1</v>
      </c>
      <c r="EC1422">
        <v>1</v>
      </c>
      <c r="ED1422">
        <v>0</v>
      </c>
      <c r="EE1422">
        <v>0</v>
      </c>
      <c r="EF1422" s="143">
        <v>0</v>
      </c>
      <c r="EG1422">
        <v>0</v>
      </c>
      <c r="EH1422">
        <v>0</v>
      </c>
      <c r="EI1422">
        <v>0</v>
      </c>
      <c r="EJ1422">
        <v>0</v>
      </c>
      <c r="EK1422">
        <v>1</v>
      </c>
      <c r="EL1422" s="143">
        <v>0</v>
      </c>
      <c r="EM1422" s="143">
        <v>0</v>
      </c>
      <c r="EN1422" s="2">
        <v>0</v>
      </c>
      <c r="EP1422" t="str">
        <f>IF(AND(AND(AND(OR($EC1422=1,$EB1422=1),OR($EH1422=1,$EF1422=1)),SUM($EA1422:$EE1422,$EK1422)&gt;=3),SUM($EF1422:$EJ1422)&gt;=2),"Whole sector approach","")</f>
        <v/>
      </c>
      <c r="EQ1422" t="str">
        <f>IF(AND(AND(OR($EC1422=1,$EB1422=1),AND($EH1422=0,$EF1422=0)),SUM($EA1422:$EE1422,$EK1422)&gt;=4),"Ecosystem approach","")</f>
        <v>Ecosystem approach</v>
      </c>
      <c r="ER1422" s="2" t="str">
        <f>IF(AND(AND(AND($EC1422=0,$EB1422=0),OR($EH1422=1,$EF1422=1)),SUM($EG1422:$EJ1422)&gt;=2),"Technology approach","")</f>
        <v/>
      </c>
      <c r="ES1422" t="str">
        <f>IF(AND($EC1422+$EB1422+$EE1422+$EA1422+$ED1422+$EG1422=0,$N1422="included"),"C neutral forest and HWP assumption","")</f>
        <v/>
      </c>
      <c r="ET1422" t="str">
        <f>IF(AND(AND(AND(AND($EC1422=1,$EB1422+$EA1422+$EG1422&gt;=1),$EF1422=1),$EH1422+$EI1422+$ED1422+$EE1422&gt;=2),$N1422="included"),"All C pools assumption","")</f>
        <v/>
      </c>
      <c r="EU1422" t="str">
        <f>IF(AND($ED1422+$EE1422+$EI1422+$EH1422+$EF1422=0,$N1422="included"),"In-situ only assumption","")</f>
        <v>In-situ only assumption</v>
      </c>
      <c r="EY1422" t="b">
        <f>IF(ISNUMBER(BW1422),IF(ABS(BW1422-[6]QC_indicators!$B$2)&gt;3*[6]QC_indicators!$C$2,"C ratio",IF(ISNUMBER(CA1422),IF(ABS(CA1422-[6]QC_indicators!$B$1)&gt;3*[6]QC_indicators!$C$1,"DF","no"))),IF(ISNUMBER(CA1422),IF(ABS(CA1422-[6]QC_indicators!$B$1)&gt;3*[6]QC_indicators!$C$1,"DF","no")))</f>
        <v>0</v>
      </c>
      <c r="EZ1422" t="s">
        <v>286</v>
      </c>
      <c r="FA1422" t="str">
        <f>IF(LEN($CY1422)=0,"",IF(AND($CY1422&lt;(-0.05),$ES1422="C neutral forest and HWP assumption"),"Cneutral paradox",IF(AND($CY1422&gt;0.05,$EU1422="In-situ only assumption"),"In-situ only paradox","")))</f>
        <v/>
      </c>
      <c r="FB1422" s="149" t="s">
        <v>349</v>
      </c>
      <c r="FD1422" s="260" t="s">
        <v>2948</v>
      </c>
    </row>
    <row r="1423" spans="1:160" ht="15" hidden="1" customHeight="1">
      <c r="A1423" s="1" t="s">
        <v>1272</v>
      </c>
      <c r="B1423" t="s">
        <v>1273</v>
      </c>
      <c r="C1423" t="s">
        <v>1274</v>
      </c>
      <c r="D1423" t="s">
        <v>1275</v>
      </c>
      <c r="E1423" t="s">
        <v>1276</v>
      </c>
      <c r="F1423" t="s">
        <v>1277</v>
      </c>
      <c r="G1423" t="s">
        <v>1278</v>
      </c>
      <c r="H1423" t="s">
        <v>254</v>
      </c>
      <c r="I1423">
        <v>2021</v>
      </c>
      <c r="J1423">
        <v>0</v>
      </c>
      <c r="K1423" t="s">
        <v>1279</v>
      </c>
      <c r="M1423" t="str">
        <f>LEFT($D1423,FIND(",",$D1423)-1)&amp;"_"&amp;I1423&amp;L1423</f>
        <v>Dugan_2021</v>
      </c>
      <c r="N1423" t="s">
        <v>222</v>
      </c>
      <c r="O1423" s="145" t="s">
        <v>274</v>
      </c>
      <c r="Q1423" t="s">
        <v>256</v>
      </c>
      <c r="R1423" s="251" t="s">
        <v>225</v>
      </c>
      <c r="S1423" s="1" t="s">
        <v>1291</v>
      </c>
      <c r="T1423" t="s">
        <v>1003</v>
      </c>
      <c r="U1423" t="s">
        <v>1292</v>
      </c>
      <c r="V1423" s="253">
        <v>0</v>
      </c>
      <c r="W1423" s="253">
        <v>0</v>
      </c>
      <c r="X1423">
        <v>0</v>
      </c>
      <c r="Y1423">
        <v>0</v>
      </c>
      <c r="Z1423">
        <v>0</v>
      </c>
      <c r="AA1423">
        <v>1</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s="141">
        <f>COUNTIF(X1423:AY1423,"&lt;&gt;0")</f>
        <v>1</v>
      </c>
      <c r="BA1423" s="141">
        <f>COUNTIF(X1423:AN1423,"&lt;&gt;0")</f>
        <v>1</v>
      </c>
      <c r="BB1423">
        <f>COUNTIF(X1423:AE1423,"&lt;&gt;0")</f>
        <v>1</v>
      </c>
      <c r="BC1423">
        <f>COUNTIF(AF1423:AK1423,"&lt;&gt;0")</f>
        <v>0</v>
      </c>
      <c r="BD1423">
        <f>COUNTIF(AL1423:AN1423,"&lt;&gt;0")</f>
        <v>0</v>
      </c>
      <c r="BE1423">
        <f>COUNTIF(AU1423:AY1423,"&lt;&gt;0")</f>
        <v>0</v>
      </c>
      <c r="BF1423">
        <f>COUNTIF(AO1423:AT1423,"&lt;&gt;0")</f>
        <v>0</v>
      </c>
      <c r="BG1423" t="str">
        <f t="array" ref="BG1423">IF(BA1423=1,INDEX($X$7:$AN$7,MATCH(TRUE,INDEX($X1423:$AY1423&lt;&gt;0,),0)),IF(BA1423=0,INDEX($AO$7:$AY$7,MATCH(1,$AO1423:$AY1423,0)),IF(BH1423="Multiple strategies","mixed drivers",IF(BH1423="Supply chain","multiple supply","multiple silviculture"))))</f>
        <v xml:space="preserve">cutting intensity </v>
      </c>
      <c r="BH1423" s="2" t="str" cm="1">
        <f t="array" ref="BH1423">IF(COUNTIF(BB1423:BD1423,"&lt;&gt;0")=1,INDEX($X$4:$AY$4,MATCH(TRUE,INDEX($X1423:$AY1423&lt;&gt;0,),0)),IF(COUNTIF(BB1423:BD1423,"&lt;&gt;0")=0,INDEX($AO$4:$AY$4,MATCH(1,$AO1423:$AY1423,0)),"Multiple strategies"))</f>
        <v>Silviculture for removals</v>
      </c>
      <c r="BI1423" s="1" t="s">
        <v>321</v>
      </c>
      <c r="BJ1423" t="s">
        <v>1282</v>
      </c>
      <c r="BK1423" s="256" t="s">
        <v>2993</v>
      </c>
      <c r="BL1423" t="s">
        <v>1232</v>
      </c>
      <c r="BM1423" s="260">
        <v>14.61</v>
      </c>
      <c r="BN1423" s="260">
        <v>14.61</v>
      </c>
      <c r="BP1423" s="223">
        <f>BN1423-BM1423</f>
        <v>0</v>
      </c>
      <c r="BQ1423">
        <f>BP1423*10^6*tC_to_m3</f>
        <v>0</v>
      </c>
      <c r="BR1423" t="s">
        <v>232</v>
      </c>
      <c r="BS1423" s="256" t="s">
        <v>2995</v>
      </c>
      <c r="BT1423" t="s">
        <v>1175</v>
      </c>
      <c r="BU1423" s="152"/>
      <c r="BV1423" s="152"/>
      <c r="BW1423" s="144"/>
      <c r="BX1423" s="277">
        <v>3.9411937334774052</v>
      </c>
      <c r="BZ1423">
        <f>BX1423*10^6</f>
        <v>3941193.7334774053</v>
      </c>
      <c r="CA1423" t="str">
        <f>IFERROR(BZ1423/BQ1423,"")</f>
        <v/>
      </c>
      <c r="CB1423">
        <v>0</v>
      </c>
      <c r="CC1423">
        <v>0</v>
      </c>
      <c r="CD1423">
        <v>0</v>
      </c>
      <c r="CE1423">
        <v>0</v>
      </c>
      <c r="CF1423">
        <v>0</v>
      </c>
      <c r="CG1423">
        <v>0</v>
      </c>
      <c r="CH1423">
        <v>0</v>
      </c>
      <c r="CI1423">
        <v>0</v>
      </c>
      <c r="CJ1423">
        <v>0</v>
      </c>
      <c r="CK1423">
        <v>0</v>
      </c>
      <c r="CL1423">
        <v>0</v>
      </c>
      <c r="CM1423">
        <v>0</v>
      </c>
      <c r="CN1423">
        <v>0</v>
      </c>
      <c r="CO1423">
        <v>0</v>
      </c>
      <c r="CP1423" t="str">
        <f>IF(BN1423&lt;BM1423,"refNeedCorrection","refOK")</f>
        <v>refOK</v>
      </c>
      <c r="CQ1423"/>
      <c r="CR1423"/>
      <c r="CS1423">
        <f>IF($CP1423="refNeedCorrection",-BQ1423,BQ1423)</f>
        <v>0</v>
      </c>
      <c r="CT1423">
        <f>IF(BI1423="Roundwood",$CS1423/2,$CS1423)</f>
        <v>0</v>
      </c>
      <c r="CU1423">
        <f>IF($CP1423="refOK",$BU1423,$BV1423)*IF($BR1423="Emissions positive",-1,1)</f>
        <v>0</v>
      </c>
      <c r="CV1423">
        <f>IF($CP1423="refOK",$BV1423,$BU1423)*IF($BR1423="Emissions positive",-1,1)</f>
        <v>0</v>
      </c>
      <c r="CW1423">
        <f>IF($CP1423="refNeedCorrection",-BZ1423,BZ1423)*IF($BR1423="Emissions positive",-1,1)</f>
        <v>3941193.7334774053</v>
      </c>
      <c r="CX1423" t="str">
        <f>IFERROR($CW1423/$CS1423,"")</f>
        <v/>
      </c>
      <c r="CY1423" t="str">
        <f>IFERROR($CW1423/$CS1423,"")</f>
        <v/>
      </c>
      <c r="CZ1423" t="str">
        <f>IFERROR($CW1423/$CT1423,"")</f>
        <v/>
      </c>
      <c r="DA1423" s="2" t="str">
        <f>IFERROR((CV1423-CU1423)/ABS(CU1423),"")</f>
        <v/>
      </c>
      <c r="DB1423" s="1" t="s">
        <v>1074</v>
      </c>
      <c r="DC1423" t="str">
        <f>IF(OR($DB1423="prd",$DB1423="std",$DB1423="cit"),"loc",IF(OR($DB1423="eur",$DB1423="reg",$DB1423="coy"),"reg",$DB1423))</f>
        <v>reg</v>
      </c>
      <c r="DD1423" t="s">
        <v>428</v>
      </c>
      <c r="DE1423">
        <v>2020</v>
      </c>
      <c r="DF1423">
        <v>2050</v>
      </c>
      <c r="DG1423">
        <v>30</v>
      </c>
      <c r="DH1423" t="str">
        <f>IF(DG1423=0,"0",IF(AND(DG1423&gt;=1,DG1423&lt;=30),"1-30",IF(AND(DG1423&gt;30,DG1423&lt;=70),"31-70",IF(AND(DG1423&gt;70,DG1423&lt;=100),"71-100",IF(DG1423&gt;100,"+100")))))</f>
        <v>1-30</v>
      </c>
      <c r="DI1423">
        <v>0</v>
      </c>
      <c r="DJ1423">
        <v>1</v>
      </c>
      <c r="DK1423">
        <v>0</v>
      </c>
      <c r="DL1423">
        <v>0</v>
      </c>
      <c r="DN1423">
        <f>SUM(DI1423:DL1423)</f>
        <v>1</v>
      </c>
      <c r="DO1423" t="str">
        <f>IF(DN1423=1,INDEX($DI$7:$DL$7,MATCH(1,$DI1423:$DL1423,0)),"mixedProduct")</f>
        <v>EnergyInput</v>
      </c>
      <c r="DP1423">
        <f>IF(DI1423=1,DP$7,0)</f>
        <v>0</v>
      </c>
      <c r="DQ1423" t="str">
        <f>IF(DJ1423=1,DQ$7,0)</f>
        <v>Energy</v>
      </c>
      <c r="DR1423">
        <f>IF(DK1423=1,DR$7,0)</f>
        <v>0</v>
      </c>
      <c r="DS1423">
        <f>IF(DL1423=1,DS$7,0)</f>
        <v>0</v>
      </c>
      <c r="DT1423">
        <v>0</v>
      </c>
      <c r="DU1423">
        <v>1</v>
      </c>
      <c r="DV1423" t="s">
        <v>1283</v>
      </c>
      <c r="DW1423" t="s">
        <v>1284</v>
      </c>
      <c r="DX1423">
        <v>0</v>
      </c>
      <c r="DY1423">
        <f>SUM(DT1423:DU1423)</f>
        <v>1</v>
      </c>
      <c r="DZ1423" s="143" t="str">
        <f>IF(DT1423=1,"self-calculated DF",IF(DU1423=1,"external DF used","explicit C balance"))</f>
        <v>external DF used</v>
      </c>
      <c r="EA1423">
        <v>1</v>
      </c>
      <c r="EB1423">
        <v>1</v>
      </c>
      <c r="EC1423">
        <v>1</v>
      </c>
      <c r="ED1423">
        <v>1</v>
      </c>
      <c r="EE1423">
        <v>0</v>
      </c>
      <c r="EF1423" s="143">
        <v>1</v>
      </c>
      <c r="EG1423">
        <v>0</v>
      </c>
      <c r="EH1423">
        <v>1</v>
      </c>
      <c r="EI1423">
        <v>0</v>
      </c>
      <c r="EJ1423">
        <v>0</v>
      </c>
      <c r="EK1423">
        <v>1</v>
      </c>
      <c r="EL1423" s="143">
        <v>0</v>
      </c>
      <c r="EM1423" s="143">
        <v>0</v>
      </c>
      <c r="EN1423" s="2">
        <v>0</v>
      </c>
      <c r="EP1423" t="str">
        <f>IF(AND(AND(AND(OR($EC1423=1,$EB1423=1),OR($EH1423=1,$EF1423=1)),SUM($EA1423:$EE1423,$EK1423)&gt;=3),SUM($EF1423:$EJ1423)&gt;=2),"Whole sector approach","")</f>
        <v>Whole sector approach</v>
      </c>
      <c r="EQ1423" t="str">
        <f>IF(AND(AND(OR($EC1423=1,$EB1423=1),AND($EH1423=0,$EF1423=0)),SUM($EA1423:$EE1423,$EK1423)&gt;=4),"Ecosystem approach","")</f>
        <v/>
      </c>
      <c r="ER1423" s="2" t="str">
        <f>IF(AND(AND(AND($EC1423=0,$EB1423=0),OR($EH1423=1,$EF1423=1)),SUM($EG1423:$EJ1423)&gt;=2),"Technology approach","")</f>
        <v/>
      </c>
      <c r="ES1423" t="str">
        <f>IF(AND($EC1423+$EB1423+$EE1423+$EA1423+$ED1423+$EG1423=0,$N1423="included"),"C neutral forest and HWP assumption","")</f>
        <v/>
      </c>
      <c r="ET1423" t="str">
        <f>IF(AND(AND(AND(AND($EC1423=1,$EB1423+$EA1423+$EG1423&gt;=1),$EF1423=1),$EH1423+$EI1423+$ED1423+$EE1423&gt;=2),$N1423="included"),"All C pools assumption","")</f>
        <v>All C pools assumption</v>
      </c>
      <c r="EU1423" t="str">
        <f>IF(AND($ED1423+$EE1423+$EI1423+$EH1423+$EF1423=0,$N1423="included"),"In-situ only assumption","")</f>
        <v/>
      </c>
      <c r="EY1423" t="b">
        <f>IF(ISNUMBER(BW1423),IF(ABS(BW1423-[6]QC_indicators!$B$2)&gt;3*[6]QC_indicators!$C$2,"C ratio",IF(ISNUMBER(CA1423),IF(ABS(CA1423-[6]QC_indicators!$B$1)&gt;3*[6]QC_indicators!$C$1,"DF","no"))),IF(ISNUMBER(CA1423),IF(ABS(CA1423-[6]QC_indicators!$B$1)&gt;3*[6]QC_indicators!$C$1,"DF","no")))</f>
        <v>0</v>
      </c>
      <c r="EZ1423" t="s">
        <v>286</v>
      </c>
      <c r="FA1423" t="str">
        <f>IF(LEN($CY1423)=0,"",IF(AND($CY1423&lt;(-0.05),$ES1423="C neutral forest and HWP assumption"),"Cneutral paradox",IF(AND($CY1423&gt;0.05,$EU1423="In-situ only assumption"),"In-situ only paradox","")))</f>
        <v/>
      </c>
      <c r="FB1423" s="149" t="s">
        <v>349</v>
      </c>
      <c r="FD1423" s="260" t="s">
        <v>2948</v>
      </c>
    </row>
    <row r="1424" spans="1:160" ht="18" hidden="1" customHeight="1">
      <c r="A1424" s="1" t="s">
        <v>1272</v>
      </c>
      <c r="B1424" t="s">
        <v>1273</v>
      </c>
      <c r="C1424" t="s">
        <v>1274</v>
      </c>
      <c r="D1424" t="s">
        <v>1275</v>
      </c>
      <c r="E1424" t="s">
        <v>1276</v>
      </c>
      <c r="F1424" t="s">
        <v>1277</v>
      </c>
      <c r="G1424" t="s">
        <v>1278</v>
      </c>
      <c r="H1424" t="s">
        <v>254</v>
      </c>
      <c r="I1424">
        <v>2021</v>
      </c>
      <c r="J1424">
        <v>0</v>
      </c>
      <c r="K1424" t="s">
        <v>1279</v>
      </c>
      <c r="M1424" t="str">
        <f>LEFT($D1424,FIND(",",$D1424)-1)&amp;"_"&amp;I1424&amp;L1424</f>
        <v>Dugan_2021</v>
      </c>
      <c r="N1424" t="s">
        <v>222</v>
      </c>
      <c r="O1424" s="145" t="s">
        <v>274</v>
      </c>
      <c r="Q1424" t="s">
        <v>256</v>
      </c>
      <c r="R1424" s="251" t="s">
        <v>225</v>
      </c>
      <c r="S1424" s="1" t="s">
        <v>1291</v>
      </c>
      <c r="T1424" t="s">
        <v>1003</v>
      </c>
      <c r="U1424" t="s">
        <v>1292</v>
      </c>
      <c r="V1424" s="253">
        <v>0</v>
      </c>
      <c r="W1424" s="253">
        <v>0</v>
      </c>
      <c r="X1424">
        <v>0</v>
      </c>
      <c r="Y1424">
        <v>0</v>
      </c>
      <c r="Z1424">
        <v>0</v>
      </c>
      <c r="AA1424">
        <v>1</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s="141">
        <f>COUNTIF(X1424:AY1424,"&lt;&gt;0")</f>
        <v>1</v>
      </c>
      <c r="BA1424" s="141">
        <f>COUNTIF(X1424:AN1424,"&lt;&gt;0")</f>
        <v>1</v>
      </c>
      <c r="BB1424">
        <f>COUNTIF(X1424:AE1424,"&lt;&gt;0")</f>
        <v>1</v>
      </c>
      <c r="BC1424">
        <f>COUNTIF(AF1424:AK1424,"&lt;&gt;0")</f>
        <v>0</v>
      </c>
      <c r="BD1424">
        <f>COUNTIF(AL1424:AN1424,"&lt;&gt;0")</f>
        <v>0</v>
      </c>
      <c r="BE1424">
        <f>COUNTIF(AU1424:AY1424,"&lt;&gt;0")</f>
        <v>0</v>
      </c>
      <c r="BF1424">
        <f>COUNTIF(AO1424:AT1424,"&lt;&gt;0")</f>
        <v>0</v>
      </c>
      <c r="BG1424" t="str">
        <f t="array" ref="BG1424">IF(BA1424=1,INDEX($X$7:$AN$7,MATCH(TRUE,INDEX($X1424:$AY1424&lt;&gt;0,),0)),IF(BA1424=0,INDEX($AO$7:$AY$7,MATCH(1,$AO1424:$AY1424,0)),IF(BH1424="Multiple strategies","mixed drivers",IF(BH1424="Supply chain","multiple supply","multiple silviculture"))))</f>
        <v xml:space="preserve">cutting intensity </v>
      </c>
      <c r="BH1424" s="2" t="str" cm="1">
        <f t="array" ref="BH1424">IF(COUNTIF(BB1424:BD1424,"&lt;&gt;0")=1,INDEX($X$4:$AY$4,MATCH(TRUE,INDEX($X1424:$AY1424&lt;&gt;0,),0)),IF(COUNTIF(BB1424:BD1424,"&lt;&gt;0")=0,INDEX($AO$4:$AY$4,MATCH(1,$AO1424:$AY1424,0)),"Multiple strategies"))</f>
        <v>Silviculture for removals</v>
      </c>
      <c r="BI1424" s="1" t="s">
        <v>321</v>
      </c>
      <c r="BJ1424" t="s">
        <v>1282</v>
      </c>
      <c r="BK1424" s="256" t="s">
        <v>2993</v>
      </c>
      <c r="BL1424" t="s">
        <v>1232</v>
      </c>
      <c r="BM1424" s="260">
        <v>14.61</v>
      </c>
      <c r="BN1424" s="260">
        <v>14.61</v>
      </c>
      <c r="BP1424" s="223">
        <f>BN1424-BM1424</f>
        <v>0</v>
      </c>
      <c r="BQ1424">
        <f>BP1424*10^6*tC_to_m3</f>
        <v>0</v>
      </c>
      <c r="BR1424" t="s">
        <v>232</v>
      </c>
      <c r="BS1424" s="256" t="s">
        <v>2994</v>
      </c>
      <c r="BT1424" t="s">
        <v>1175</v>
      </c>
      <c r="BU1424" s="152"/>
      <c r="BV1424" s="152"/>
      <c r="BW1424" s="144"/>
      <c r="BX1424" s="277">
        <v>-2.56567911875627</v>
      </c>
      <c r="BZ1424">
        <f>BX1424*10^6</f>
        <v>-2565679.11875627</v>
      </c>
      <c r="CA1424" t="str">
        <f>IFERROR(BZ1424/BQ1424,"")</f>
        <v/>
      </c>
      <c r="CB1424">
        <v>0</v>
      </c>
      <c r="CC1424">
        <v>0</v>
      </c>
      <c r="CD1424">
        <v>0</v>
      </c>
      <c r="CE1424">
        <v>0</v>
      </c>
      <c r="CF1424">
        <v>0</v>
      </c>
      <c r="CG1424">
        <v>0</v>
      </c>
      <c r="CH1424">
        <v>0</v>
      </c>
      <c r="CI1424">
        <v>0</v>
      </c>
      <c r="CJ1424">
        <v>0</v>
      </c>
      <c r="CK1424">
        <v>0</v>
      </c>
      <c r="CL1424">
        <v>0</v>
      </c>
      <c r="CM1424">
        <v>0</v>
      </c>
      <c r="CN1424">
        <v>0</v>
      </c>
      <c r="CO1424">
        <v>0</v>
      </c>
      <c r="CP1424" t="str">
        <f>IF(BN1424&lt;BM1424,"refNeedCorrection","refOK")</f>
        <v>refOK</v>
      </c>
      <c r="CQ1424"/>
      <c r="CR1424"/>
      <c r="CS1424">
        <f>IF($CP1424="refNeedCorrection",-BQ1424,BQ1424)</f>
        <v>0</v>
      </c>
      <c r="CT1424">
        <f>IF(BI1424="Roundwood",$CS1424/2,$CS1424)</f>
        <v>0</v>
      </c>
      <c r="CU1424">
        <f>IF($CP1424="refOK",$BU1424,$BV1424)*IF($BR1424="Emissions positive",-1,1)</f>
        <v>0</v>
      </c>
      <c r="CV1424">
        <f>IF($CP1424="refOK",$BV1424,$BU1424)*IF($BR1424="Emissions positive",-1,1)</f>
        <v>0</v>
      </c>
      <c r="CW1424">
        <f>IF($CP1424="refNeedCorrection",-BZ1424,BZ1424)*IF($BR1424="Emissions positive",-1,1)</f>
        <v>-2565679.11875627</v>
      </c>
      <c r="CX1424" t="str">
        <f>IFERROR($CW1424/$CS1424,"")</f>
        <v/>
      </c>
      <c r="CY1424" t="str">
        <f>IFERROR($CW1424/$CS1424,"")</f>
        <v/>
      </c>
      <c r="CZ1424" t="str">
        <f>IFERROR($CW1424/$CT1424,"")</f>
        <v/>
      </c>
      <c r="DA1424" s="2" t="str">
        <f>IFERROR((CV1424-CU1424)/ABS(CU1424),"")</f>
        <v/>
      </c>
      <c r="DB1424" s="1" t="s">
        <v>1074</v>
      </c>
      <c r="DC1424" t="str">
        <f>IF(OR($DB1424="prd",$DB1424="std",$DB1424="cit"),"loc",IF(OR($DB1424="eur",$DB1424="reg",$DB1424="coy"),"reg",$DB1424))</f>
        <v>reg</v>
      </c>
      <c r="DD1424" t="s">
        <v>428</v>
      </c>
      <c r="DE1424">
        <v>2020</v>
      </c>
      <c r="DF1424">
        <v>2050</v>
      </c>
      <c r="DG1424">
        <v>30</v>
      </c>
      <c r="DH1424" t="str">
        <f>IF(DG1424=0,"0",IF(AND(DG1424&gt;=1,DG1424&lt;=30),"1-30",IF(AND(DG1424&gt;30,DG1424&lt;=70),"31-70",IF(AND(DG1424&gt;70,DG1424&lt;=100),"71-100",IF(DG1424&gt;100,"+100")))))</f>
        <v>1-30</v>
      </c>
      <c r="DI1424">
        <v>0</v>
      </c>
      <c r="DJ1424">
        <v>1</v>
      </c>
      <c r="DK1424">
        <v>0</v>
      </c>
      <c r="DL1424">
        <v>0</v>
      </c>
      <c r="DN1424">
        <f>SUM(DI1424:DL1424)</f>
        <v>1</v>
      </c>
      <c r="DO1424" t="str">
        <f>IF(DN1424=1,INDEX($DI$7:$DL$7,MATCH(1,$DI1424:$DL1424,0)),"mixedProduct")</f>
        <v>EnergyInput</v>
      </c>
      <c r="DP1424">
        <f>IF(DI1424=1,DP$7,0)</f>
        <v>0</v>
      </c>
      <c r="DQ1424" t="str">
        <f>IF(DJ1424=1,DQ$7,0)</f>
        <v>Energy</v>
      </c>
      <c r="DR1424">
        <f>IF(DK1424=1,DR$7,0)</f>
        <v>0</v>
      </c>
      <c r="DS1424">
        <f>IF(DL1424=1,DS$7,0)</f>
        <v>0</v>
      </c>
      <c r="DT1424">
        <v>0</v>
      </c>
      <c r="DU1424">
        <v>1</v>
      </c>
      <c r="DV1424" t="s">
        <v>1283</v>
      </c>
      <c r="DW1424" t="s">
        <v>1284</v>
      </c>
      <c r="DX1424">
        <v>0</v>
      </c>
      <c r="DY1424">
        <f>SUM(DT1424:DU1424)</f>
        <v>1</v>
      </c>
      <c r="DZ1424" s="143" t="str">
        <f>IF(DT1424=1,"self-calculated DF",IF(DU1424=1,"external DF used","explicit C balance"))</f>
        <v>external DF used</v>
      </c>
      <c r="EA1424">
        <v>1</v>
      </c>
      <c r="EB1424">
        <v>1</v>
      </c>
      <c r="EC1424">
        <v>1</v>
      </c>
      <c r="ED1424">
        <v>1</v>
      </c>
      <c r="EE1424">
        <v>0</v>
      </c>
      <c r="EF1424" s="143">
        <v>0</v>
      </c>
      <c r="EG1424">
        <v>0</v>
      </c>
      <c r="EH1424">
        <v>0</v>
      </c>
      <c r="EI1424">
        <v>0</v>
      </c>
      <c r="EJ1424">
        <v>0</v>
      </c>
      <c r="EK1424">
        <v>1</v>
      </c>
      <c r="EL1424" s="143">
        <v>0</v>
      </c>
      <c r="EM1424" s="143">
        <v>0</v>
      </c>
      <c r="EN1424" s="2">
        <v>0</v>
      </c>
      <c r="EP1424" t="str">
        <f>IF(AND(AND(AND(OR($EC1424=1,$EB1424=1),OR($EH1424=1,$EF1424=1)),SUM($EA1424:$EE1424,$EK1424)&gt;=3),SUM($EF1424:$EJ1424)&gt;=2),"Whole sector approach","")</f>
        <v/>
      </c>
      <c r="EQ1424" t="str">
        <f>IF(AND(AND(OR($EC1424=1,$EB1424=1),AND($EH1424=0,$EF1424=0)),SUM($EA1424:$EE1424,$EK1424)&gt;=4),"Ecosystem approach","")</f>
        <v>Ecosystem approach</v>
      </c>
      <c r="ER1424" s="2" t="str">
        <f>IF(AND(AND(AND($EC1424=0,$EB1424=0),OR($EH1424=1,$EF1424=1)),SUM($EG1424:$EJ1424)&gt;=2),"Technology approach","")</f>
        <v/>
      </c>
      <c r="ES1424" t="str">
        <f>IF(AND($EC1424+$EB1424+$EE1424+$EA1424+$ED1424+$EG1424=0,$N1424="included"),"C neutral forest and HWP assumption","")</f>
        <v/>
      </c>
      <c r="ET1424" t="str">
        <f>IF(AND(AND(AND(AND($EC1424=1,$EB1424+$EA1424+$EG1424&gt;=1),$EF1424=1),$EH1424+$EI1424+$ED1424+$EE1424&gt;=2),$N1424="included"),"All C pools assumption","")</f>
        <v/>
      </c>
      <c r="EU1424" t="str">
        <f>IF(AND($ED1424+$EE1424+$EI1424+$EH1424+$EF1424=0,$N1424="included"),"In-situ only assumption","")</f>
        <v/>
      </c>
      <c r="EY1424" t="b">
        <f>IF(ISNUMBER(BW1424),IF(ABS(BW1424-[6]QC_indicators!$B$2)&gt;3*[6]QC_indicators!$C$2,"C ratio",IF(ISNUMBER(CA1424),IF(ABS(CA1424-[6]QC_indicators!$B$1)&gt;3*[6]QC_indicators!$C$1,"DF","no"))),IF(ISNUMBER(CA1424),IF(ABS(CA1424-[6]QC_indicators!$B$1)&gt;3*[6]QC_indicators!$C$1,"DF","no")))</f>
        <v>0</v>
      </c>
      <c r="EZ1424" t="s">
        <v>286</v>
      </c>
      <c r="FA1424" t="str">
        <f>IF(LEN($CY1424)=0,"",IF(AND($CY1424&lt;(-0.05),$ES1424="C neutral forest and HWP assumption"),"Cneutral paradox",IF(AND($CY1424&gt;0.05,$EU1424="In-situ only assumption"),"In-situ only paradox","")))</f>
        <v/>
      </c>
      <c r="FB1424" s="149" t="s">
        <v>349</v>
      </c>
      <c r="FD1424" s="260" t="s">
        <v>2948</v>
      </c>
    </row>
    <row r="1425" spans="1:161" ht="15" customHeight="1">
      <c r="A1425" s="1" t="s">
        <v>1272</v>
      </c>
      <c r="B1425" t="s">
        <v>1273</v>
      </c>
      <c r="C1425" t="s">
        <v>1274</v>
      </c>
      <c r="D1425" t="s">
        <v>1275</v>
      </c>
      <c r="E1425" t="s">
        <v>1276</v>
      </c>
      <c r="F1425" t="s">
        <v>1277</v>
      </c>
      <c r="G1425" t="s">
        <v>1278</v>
      </c>
      <c r="H1425" t="s">
        <v>254</v>
      </c>
      <c r="I1425">
        <v>2021</v>
      </c>
      <c r="J1425">
        <v>0</v>
      </c>
      <c r="K1425" t="s">
        <v>1279</v>
      </c>
      <c r="M1425" t="str">
        <f>LEFT($D1425,FIND(",",$D1425)-1)&amp;"_"&amp;I1425&amp;L1425</f>
        <v>Dugan_2021</v>
      </c>
      <c r="N1425" t="s">
        <v>222</v>
      </c>
      <c r="O1425" s="145" t="s">
        <v>274</v>
      </c>
      <c r="Q1425" t="s">
        <v>256</v>
      </c>
      <c r="R1425" s="251" t="s">
        <v>225</v>
      </c>
      <c r="S1425" s="1" t="s">
        <v>1293</v>
      </c>
      <c r="T1425" t="s">
        <v>1294</v>
      </c>
      <c r="U1425" t="s">
        <v>1286</v>
      </c>
      <c r="V1425" s="253">
        <v>0</v>
      </c>
      <c r="W1425" s="253">
        <v>0</v>
      </c>
      <c r="X1425">
        <v>0</v>
      </c>
      <c r="Y1425">
        <v>0</v>
      </c>
      <c r="Z1425">
        <v>0</v>
      </c>
      <c r="AA1425">
        <v>0</v>
      </c>
      <c r="AB1425">
        <v>0</v>
      </c>
      <c r="AC1425">
        <v>0</v>
      </c>
      <c r="AD1425">
        <v>0</v>
      </c>
      <c r="AE1425">
        <v>0</v>
      </c>
      <c r="AF1425">
        <v>0</v>
      </c>
      <c r="AG1425">
        <v>0</v>
      </c>
      <c r="AH1425">
        <v>1</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s="141">
        <f>COUNTIF(X1425:AY1425,"&lt;&gt;0")</f>
        <v>1</v>
      </c>
      <c r="BA1425" s="141">
        <f>COUNTIF(X1425:AN1425,"&lt;&gt;0")</f>
        <v>1</v>
      </c>
      <c r="BB1425">
        <f>COUNTIF(X1425:AE1425,"&lt;&gt;0")</f>
        <v>0</v>
      </c>
      <c r="BC1425">
        <f>COUNTIF(AF1425:AK1425,"&lt;&gt;0")</f>
        <v>1</v>
      </c>
      <c r="BD1425">
        <f>COUNTIF(AL1425:AN1425,"&lt;&gt;0")</f>
        <v>0</v>
      </c>
      <c r="BE1425">
        <f>COUNTIF(AU1425:AY1425,"&lt;&gt;0")</f>
        <v>0</v>
      </c>
      <c r="BF1425">
        <f>COUNTIF(AO1425:AT1425,"&lt;&gt;0")</f>
        <v>0</v>
      </c>
      <c r="BG1425" t="str">
        <f t="array" ref="BG1425">IF(BA1425=1,INDEX($X$7:$AN$7,MATCH(TRUE,INDEX($X1425:$AY1425&lt;&gt;0,),0)),IF(BA1425=0,INDEX($AO$7:$AY$7,MATCH(1,$AO1425:$AY1425,0)),IF(BH1425="Multiple strategies","mixed drivers",IF(BH1425="Supply chain","multiple supply","multiple silviculture"))))</f>
        <v>supply chain organization</v>
      </c>
      <c r="BH1425" s="2" t="str" cm="1">
        <f t="array" ref="BH1425">IF(COUNTIF(BB1425:BD1425,"&lt;&gt;0")=1,INDEX($X$4:$AY$4,MATCH(TRUE,INDEX($X1425:$AY1425&lt;&gt;0,),0)),IF(COUNTIF(BB1425:BD1425,"&lt;&gt;0")=0,INDEX($AO$4:$AY$4,MATCH(1,$AO1425:$AY1425,0)),"Multiple strategies"))</f>
        <v>Supply chain</v>
      </c>
      <c r="BI1425" s="1" t="s">
        <v>321</v>
      </c>
      <c r="BJ1425" t="s">
        <v>1282</v>
      </c>
      <c r="BK1425" s="256" t="s">
        <v>2993</v>
      </c>
      <c r="BL1425" t="s">
        <v>1232</v>
      </c>
      <c r="BM1425" s="260">
        <f>14.61*1.1</f>
        <v>16.071000000000002</v>
      </c>
      <c r="BN1425" s="260">
        <f>14.61*1.1</f>
        <v>16.071000000000002</v>
      </c>
      <c r="BP1425" s="223">
        <f>BN1425-BM1425</f>
        <v>0</v>
      </c>
      <c r="BQ1425">
        <f>BP1425*10^6*tC_to_m3</f>
        <v>0</v>
      </c>
      <c r="BR1425" t="s">
        <v>232</v>
      </c>
      <c r="BS1425" s="256" t="s">
        <v>2996</v>
      </c>
      <c r="BT1425" t="s">
        <v>1175</v>
      </c>
      <c r="BU1425" s="152"/>
      <c r="BV1425" s="152"/>
      <c r="BW1425" s="144"/>
      <c r="BX1425" s="278">
        <v>0</v>
      </c>
      <c r="BZ1425">
        <f>BX1425*10^6</f>
        <v>0</v>
      </c>
      <c r="CA1425" t="str">
        <f>IFERROR(BZ1425/BQ1425,"")</f>
        <v/>
      </c>
      <c r="CB1425">
        <v>0</v>
      </c>
      <c r="CC1425">
        <v>0</v>
      </c>
      <c r="CD1425">
        <v>0</v>
      </c>
      <c r="CE1425">
        <v>0</v>
      </c>
      <c r="CF1425">
        <v>0</v>
      </c>
      <c r="CG1425">
        <v>0</v>
      </c>
      <c r="CH1425">
        <v>0</v>
      </c>
      <c r="CI1425">
        <v>0</v>
      </c>
      <c r="CJ1425">
        <v>0</v>
      </c>
      <c r="CK1425">
        <v>0</v>
      </c>
      <c r="CL1425">
        <v>0</v>
      </c>
      <c r="CM1425">
        <v>0</v>
      </c>
      <c r="CN1425">
        <v>0</v>
      </c>
      <c r="CO1425">
        <v>0</v>
      </c>
      <c r="CP1425" t="str">
        <f>IF(BN1425&lt;BM1425,"refNeedCorrection","refOK")</f>
        <v>refOK</v>
      </c>
      <c r="CQ1425"/>
      <c r="CR1425"/>
      <c r="CS1425">
        <f>IF($CP1425="refNeedCorrection",-BQ1425,BQ1425)</f>
        <v>0</v>
      </c>
      <c r="CT1425">
        <f>IF(BI1425="Roundwood",$CS1425/2,$CS1425)</f>
        <v>0</v>
      </c>
      <c r="CU1425">
        <f>IF($CP1425="refOK",$BU1425,$BV1425)*IF($BR1425="Emissions positive",-1,1)</f>
        <v>0</v>
      </c>
      <c r="CV1425">
        <f>IF($CP1425="refOK",$BV1425,$BU1425)*IF($BR1425="Emissions positive",-1,1)</f>
        <v>0</v>
      </c>
      <c r="CW1425">
        <f>IF($CP1425="refNeedCorrection",-BZ1425,BZ1425)*IF($BR1425="Emissions positive",-1,1)</f>
        <v>0</v>
      </c>
      <c r="CX1425" t="str">
        <f>IFERROR($CW1425/$CS1425,"")</f>
        <v/>
      </c>
      <c r="CY1425" t="str">
        <f>IFERROR($CW1425/$CS1425,"")</f>
        <v/>
      </c>
      <c r="CZ1425" t="str">
        <f>IFERROR($CW1425/$CT1425,"")</f>
        <v/>
      </c>
      <c r="DA1425" s="2" t="str">
        <f>IFERROR((CV1425-CU1425)/ABS(CU1425),"")</f>
        <v/>
      </c>
      <c r="DB1425" s="1" t="s">
        <v>1074</v>
      </c>
      <c r="DC1425" t="str">
        <f>IF(OR($DB1425="prd",$DB1425="std",$DB1425="cit"),"loc",IF(OR($DB1425="eur",$DB1425="reg",$DB1425="coy"),"reg",$DB1425))</f>
        <v>reg</v>
      </c>
      <c r="DD1425" t="s">
        <v>428</v>
      </c>
      <c r="DE1425">
        <v>2020</v>
      </c>
      <c r="DF1425">
        <v>2050</v>
      </c>
      <c r="DG1425">
        <v>30</v>
      </c>
      <c r="DH1425" t="str">
        <f>IF(DG1425=0,"0",IF(AND(DG1425&gt;=1,DG1425&lt;=30),"1-30",IF(AND(DG1425&gt;30,DG1425&lt;=70),"31-70",IF(AND(DG1425&gt;70,DG1425&lt;=100),"71-100",IF(DG1425&gt;100,"+100")))))</f>
        <v>1-30</v>
      </c>
      <c r="DI1425">
        <v>0</v>
      </c>
      <c r="DJ1425">
        <v>1</v>
      </c>
      <c r="DK1425">
        <v>0</v>
      </c>
      <c r="DL1425">
        <v>0</v>
      </c>
      <c r="DN1425">
        <f>SUM(DI1425:DL1425)</f>
        <v>1</v>
      </c>
      <c r="DO1425" t="str">
        <f>IF(DN1425=1,INDEX($DI$7:$DL$7,MATCH(1,$DI1425:$DL1425,0)),"mixedProduct")</f>
        <v>EnergyInput</v>
      </c>
      <c r="DP1425">
        <f>IF(DI1425=1,DP$7,0)</f>
        <v>0</v>
      </c>
      <c r="DQ1425" t="str">
        <f>IF(DJ1425=1,DQ$7,0)</f>
        <v>Energy</v>
      </c>
      <c r="DR1425">
        <f>IF(DK1425=1,DR$7,0)</f>
        <v>0</v>
      </c>
      <c r="DS1425">
        <f>IF(DL1425=1,DS$7,0)</f>
        <v>0</v>
      </c>
      <c r="DT1425">
        <v>0</v>
      </c>
      <c r="DU1425">
        <v>1</v>
      </c>
      <c r="DV1425" t="s">
        <v>1283</v>
      </c>
      <c r="DW1425" t="s">
        <v>1284</v>
      </c>
      <c r="DX1425">
        <v>0</v>
      </c>
      <c r="DY1425">
        <f>SUM(DT1425:DU1425)</f>
        <v>1</v>
      </c>
      <c r="DZ1425" s="143" t="str">
        <f>IF(DT1425=1,"self-calculated DF",IF(DU1425=1,"external DF used","explicit C balance"))</f>
        <v>external DF used</v>
      </c>
      <c r="EA1425">
        <v>1</v>
      </c>
      <c r="EB1425">
        <v>1</v>
      </c>
      <c r="EC1425">
        <v>1</v>
      </c>
      <c r="ED1425">
        <v>0</v>
      </c>
      <c r="EE1425">
        <v>0</v>
      </c>
      <c r="EF1425" s="143">
        <v>0</v>
      </c>
      <c r="EG1425">
        <v>0</v>
      </c>
      <c r="EH1425">
        <v>0</v>
      </c>
      <c r="EI1425">
        <v>0</v>
      </c>
      <c r="EJ1425">
        <v>0</v>
      </c>
      <c r="EK1425">
        <v>1</v>
      </c>
      <c r="EL1425" s="143">
        <v>0</v>
      </c>
      <c r="EM1425" s="143">
        <v>0</v>
      </c>
      <c r="EN1425" s="2">
        <v>0</v>
      </c>
      <c r="EP1425" t="str">
        <f>IF(AND(AND(AND(OR($EC1425=1,$EB1425=1),OR($EH1425=1,$EF1425=1)),SUM($EA1425:$EE1425,$EK1425)&gt;=3),SUM($EF1425:$EJ1425)&gt;=2),"Whole sector approach","")</f>
        <v/>
      </c>
      <c r="EQ1425" t="str">
        <f>IF(AND(AND(OR($EC1425=1,$EB1425=1),AND($EH1425=0,$EF1425=0)),SUM($EA1425:$EE1425,$EK1425)&gt;=4),"Ecosystem approach","")</f>
        <v>Ecosystem approach</v>
      </c>
      <c r="ER1425" s="2" t="str">
        <f>IF(AND(AND(AND($EC1425=0,$EB1425=0),OR($EH1425=1,$EF1425=1)),SUM($EG1425:$EJ1425)&gt;=2),"Technology approach","")</f>
        <v/>
      </c>
      <c r="ES1425" t="str">
        <f>IF(AND($EC1425+$EB1425+$EE1425+$EA1425+$ED1425+$EG1425=0,$N1425="included"),"C neutral forest and HWP assumption","")</f>
        <v/>
      </c>
      <c r="ET1425" t="str">
        <f>IF(AND(AND(AND(AND($EC1425=1,$EB1425+$EA1425+$EG1425&gt;=1),$EF1425=1),$EH1425+$EI1425+$ED1425+$EE1425&gt;=2),$N1425="included"),"All C pools assumption","")</f>
        <v/>
      </c>
      <c r="EU1425" t="str">
        <f>IF(AND($ED1425+$EE1425+$EI1425+$EH1425+$EF1425=0,$N1425="included"),"In-situ only assumption","")</f>
        <v>In-situ only assumption</v>
      </c>
      <c r="EY1425" t="b">
        <f>IF(ISNUMBER(BW1425),IF(ABS(BW1425-[6]QC_indicators!$B$2)&gt;3*[6]QC_indicators!$C$2,"C ratio",IF(ISNUMBER(CA1425),IF(ABS(CA1425-[6]QC_indicators!$B$1)&gt;3*[6]QC_indicators!$C$1,"DF","no"))),IF(ISNUMBER(CA1425),IF(ABS(CA1425-[6]QC_indicators!$B$1)&gt;3*[6]QC_indicators!$C$1,"DF","no")))</f>
        <v>0</v>
      </c>
      <c r="EZ1425" t="s">
        <v>286</v>
      </c>
      <c r="FA1425" t="str">
        <f>IF(LEN($CY1425)=0,"",IF(AND($CY1425&lt;(-0.05),$ES1425="C neutral forest and HWP assumption"),"Cneutral paradox",IF(AND($CY1425&gt;0.05,$EU1425="In-situ only assumption"),"In-situ only paradox","")))</f>
        <v/>
      </c>
      <c r="FB1425" s="149" t="s">
        <v>349</v>
      </c>
      <c r="FD1425" s="260" t="s">
        <v>2948</v>
      </c>
    </row>
    <row r="1426" spans="1:161" ht="15" hidden="1" customHeight="1">
      <c r="A1426" s="1" t="s">
        <v>1272</v>
      </c>
      <c r="B1426" t="s">
        <v>1273</v>
      </c>
      <c r="C1426" t="s">
        <v>1274</v>
      </c>
      <c r="D1426" t="s">
        <v>1275</v>
      </c>
      <c r="E1426" t="s">
        <v>1276</v>
      </c>
      <c r="F1426" t="s">
        <v>1277</v>
      </c>
      <c r="G1426" t="s">
        <v>1278</v>
      </c>
      <c r="H1426" t="s">
        <v>254</v>
      </c>
      <c r="I1426">
        <v>2021</v>
      </c>
      <c r="J1426">
        <v>0</v>
      </c>
      <c r="K1426" t="s">
        <v>1279</v>
      </c>
      <c r="M1426" t="str">
        <f>LEFT($D1426,FIND(",",$D1426)-1)&amp;"_"&amp;I1426&amp;L1426</f>
        <v>Dugan_2021</v>
      </c>
      <c r="N1426" t="s">
        <v>222</v>
      </c>
      <c r="O1426" s="145" t="s">
        <v>274</v>
      </c>
      <c r="Q1426" t="s">
        <v>256</v>
      </c>
      <c r="R1426" s="251" t="s">
        <v>225</v>
      </c>
      <c r="S1426" s="1" t="s">
        <v>1293</v>
      </c>
      <c r="T1426" t="s">
        <v>1294</v>
      </c>
      <c r="U1426" t="s">
        <v>1286</v>
      </c>
      <c r="V1426" s="253">
        <v>0</v>
      </c>
      <c r="W1426" s="253">
        <v>0</v>
      </c>
      <c r="X1426">
        <v>0</v>
      </c>
      <c r="Y1426">
        <v>0</v>
      </c>
      <c r="Z1426">
        <v>0</v>
      </c>
      <c r="AA1426">
        <v>0</v>
      </c>
      <c r="AB1426">
        <v>0</v>
      </c>
      <c r="AC1426">
        <v>0</v>
      </c>
      <c r="AD1426">
        <v>0</v>
      </c>
      <c r="AE1426">
        <v>0</v>
      </c>
      <c r="AF1426">
        <v>0</v>
      </c>
      <c r="AG1426">
        <v>0</v>
      </c>
      <c r="AH1426">
        <v>1</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s="141">
        <f>COUNTIF(X1426:AY1426,"&lt;&gt;0")</f>
        <v>1</v>
      </c>
      <c r="BA1426" s="141">
        <f>COUNTIF(X1426:AN1426,"&lt;&gt;0")</f>
        <v>1</v>
      </c>
      <c r="BB1426">
        <f>COUNTIF(X1426:AE1426,"&lt;&gt;0")</f>
        <v>0</v>
      </c>
      <c r="BC1426">
        <f>COUNTIF(AF1426:AK1426,"&lt;&gt;0")</f>
        <v>1</v>
      </c>
      <c r="BD1426">
        <f>COUNTIF(AL1426:AN1426,"&lt;&gt;0")</f>
        <v>0</v>
      </c>
      <c r="BE1426">
        <f>COUNTIF(AU1426:AY1426,"&lt;&gt;0")</f>
        <v>0</v>
      </c>
      <c r="BF1426">
        <f>COUNTIF(AO1426:AT1426,"&lt;&gt;0")</f>
        <v>0</v>
      </c>
      <c r="BG1426" t="str">
        <f t="array" ref="BG1426">IF(BA1426=1,INDEX($X$7:$AN$7,MATCH(TRUE,INDEX($X1426:$AY1426&lt;&gt;0,),0)),IF(BA1426=0,INDEX($AO$7:$AY$7,MATCH(1,$AO1426:$AY1426,0)),IF(BH1426="Multiple strategies","mixed drivers",IF(BH1426="Supply chain","multiple supply","multiple silviculture"))))</f>
        <v>supply chain organization</v>
      </c>
      <c r="BH1426" s="2" t="str" cm="1">
        <f t="array" ref="BH1426">IF(COUNTIF(BB1426:BD1426,"&lt;&gt;0")=1,INDEX($X$4:$AY$4,MATCH(TRUE,INDEX($X1426:$AY1426&lt;&gt;0,),0)),IF(COUNTIF(BB1426:BD1426,"&lt;&gt;0")=0,INDEX($AO$4:$AY$4,MATCH(1,$AO1426:$AY1426,0)),"Multiple strategies"))</f>
        <v>Supply chain</v>
      </c>
      <c r="BI1426" s="1" t="s">
        <v>321</v>
      </c>
      <c r="BJ1426" t="s">
        <v>1282</v>
      </c>
      <c r="BK1426" s="256" t="s">
        <v>2993</v>
      </c>
      <c r="BL1426" t="s">
        <v>1232</v>
      </c>
      <c r="BM1426" s="260">
        <f>14.61*1.1</f>
        <v>16.071000000000002</v>
      </c>
      <c r="BN1426" s="260">
        <f>14.61*1.1</f>
        <v>16.071000000000002</v>
      </c>
      <c r="BP1426" s="223">
        <f>BN1426-BM1426</f>
        <v>0</v>
      </c>
      <c r="BQ1426">
        <f>BP1426*10^6*tC_to_m3</f>
        <v>0</v>
      </c>
      <c r="BR1426" t="s">
        <v>232</v>
      </c>
      <c r="BS1426" s="256" t="s">
        <v>2995</v>
      </c>
      <c r="BT1426" t="s">
        <v>1175</v>
      </c>
      <c r="BU1426" s="152"/>
      <c r="BV1426" s="152"/>
      <c r="BW1426" s="144"/>
      <c r="BX1426" s="277">
        <v>1.8554103497495831</v>
      </c>
      <c r="BZ1426">
        <f>BX1426*10^6</f>
        <v>1855410.3497495831</v>
      </c>
      <c r="CA1426" t="str">
        <f>IFERROR(BZ1426/BQ1426,"")</f>
        <v/>
      </c>
      <c r="CB1426">
        <v>0</v>
      </c>
      <c r="CC1426">
        <v>0</v>
      </c>
      <c r="CD1426">
        <v>0</v>
      </c>
      <c r="CE1426">
        <v>0</v>
      </c>
      <c r="CF1426">
        <v>0</v>
      </c>
      <c r="CG1426">
        <v>0</v>
      </c>
      <c r="CH1426">
        <v>0</v>
      </c>
      <c r="CI1426">
        <v>0</v>
      </c>
      <c r="CJ1426">
        <v>0</v>
      </c>
      <c r="CK1426">
        <v>0</v>
      </c>
      <c r="CL1426">
        <v>0</v>
      </c>
      <c r="CM1426">
        <v>0</v>
      </c>
      <c r="CN1426">
        <v>0</v>
      </c>
      <c r="CO1426">
        <v>0</v>
      </c>
      <c r="CP1426" t="str">
        <f>IF($BN1426&lt;$BM1426,"refNeedCorrection","refOK")</f>
        <v>refOK</v>
      </c>
      <c r="CQ1426"/>
      <c r="CR1426"/>
      <c r="CS1426">
        <f>IF($CP1426="refNeedCorrection",-BQ1426,BQ1426)</f>
        <v>0</v>
      </c>
      <c r="CT1426">
        <f>IF(BI1426="Roundwood",$CS1426/2,$CS1426)</f>
        <v>0</v>
      </c>
      <c r="CU1426">
        <f>IF($CP1426="refOK",$BU1426,$BV1426)*IF($BR1426="Emissions positive",-1,1)</f>
        <v>0</v>
      </c>
      <c r="CV1426">
        <f>IF($CP1426="refOK",$BV1426,$BU1426)*IF($BR1426="Emissions positive",-1,1)</f>
        <v>0</v>
      </c>
      <c r="CW1426">
        <f>IF($CP1426="refNeedCorrection",-BZ1426,BZ1426)*IF($BR1426="Emissions positive",-1,1)</f>
        <v>1855410.3497495831</v>
      </c>
      <c r="CX1426" t="str">
        <f>IFERROR($CW1426/$CS1426,"")</f>
        <v/>
      </c>
      <c r="CY1426" t="str">
        <f>IFERROR($CW1426/$CS1426,"")</f>
        <v/>
      </c>
      <c r="CZ1426" t="str">
        <f>IFERROR($CW1426/$CT1426,"")</f>
        <v/>
      </c>
      <c r="DA1426" s="2" t="str">
        <f>IFERROR((CV1426-CU1426)/ABS(CU1426),"")</f>
        <v/>
      </c>
      <c r="DB1426" s="1" t="s">
        <v>1074</v>
      </c>
      <c r="DC1426" t="str">
        <f>IF(OR($DB1426="prd",$DB1426="std",$DB1426="cit"),"loc",IF(OR($DB1426="eur",$DB1426="reg",$DB1426="coy"),"reg",$DB1426))</f>
        <v>reg</v>
      </c>
      <c r="DD1426" t="s">
        <v>428</v>
      </c>
      <c r="DE1426">
        <v>2020</v>
      </c>
      <c r="DF1426">
        <v>2050</v>
      </c>
      <c r="DG1426">
        <v>30</v>
      </c>
      <c r="DH1426" t="str">
        <f>IF(DG1426=0,"0",IF(AND(DG1426&gt;=1,DG1426&lt;=30),"1-30",IF(AND(DG1426&gt;30,DG1426&lt;=70),"31-70",IF(AND(DG1426&gt;70,DG1426&lt;=100),"71-100",IF(DG1426&gt;100,"+100")))))</f>
        <v>1-30</v>
      </c>
      <c r="DI1426">
        <v>0</v>
      </c>
      <c r="DJ1426">
        <v>1</v>
      </c>
      <c r="DK1426">
        <v>0</v>
      </c>
      <c r="DL1426">
        <v>0</v>
      </c>
      <c r="DN1426">
        <f>SUM(DI1426:DL1426)</f>
        <v>1</v>
      </c>
      <c r="DO1426" t="str">
        <f>IF(DN1426=1,INDEX($DI$7:$DL$7,MATCH(1,$DI1426:$DL1426,0)),"mixedProduct")</f>
        <v>EnergyInput</v>
      </c>
      <c r="DP1426">
        <f>IF(DI1426=1,DP$7,0)</f>
        <v>0</v>
      </c>
      <c r="DQ1426" t="str">
        <f>IF(DJ1426=1,DQ$7,0)</f>
        <v>Energy</v>
      </c>
      <c r="DR1426">
        <f>IF(DK1426=1,DR$7,0)</f>
        <v>0</v>
      </c>
      <c r="DS1426">
        <f>IF(DL1426=1,DS$7,0)</f>
        <v>0</v>
      </c>
      <c r="DT1426">
        <v>0</v>
      </c>
      <c r="DU1426">
        <v>1</v>
      </c>
      <c r="DV1426" t="s">
        <v>1283</v>
      </c>
      <c r="DW1426" t="s">
        <v>1284</v>
      </c>
      <c r="DX1426">
        <v>0</v>
      </c>
      <c r="DY1426">
        <f>SUM(DT1426:DU1426)</f>
        <v>1</v>
      </c>
      <c r="DZ1426" s="143" t="str">
        <f>IF(DT1426=1,"self-calculated DF",IF(DU1426=1,"external DF used","explicit C balance"))</f>
        <v>external DF used</v>
      </c>
      <c r="EA1426">
        <v>1</v>
      </c>
      <c r="EB1426">
        <v>1</v>
      </c>
      <c r="EC1426">
        <v>1</v>
      </c>
      <c r="ED1426">
        <v>1</v>
      </c>
      <c r="EE1426">
        <v>0</v>
      </c>
      <c r="EF1426" s="143">
        <v>1</v>
      </c>
      <c r="EG1426">
        <v>0</v>
      </c>
      <c r="EH1426">
        <v>1</v>
      </c>
      <c r="EI1426">
        <v>0</v>
      </c>
      <c r="EJ1426">
        <v>0</v>
      </c>
      <c r="EK1426">
        <v>1</v>
      </c>
      <c r="EL1426" s="143">
        <v>0</v>
      </c>
      <c r="EM1426" s="143">
        <v>0</v>
      </c>
      <c r="EN1426" s="2">
        <v>0</v>
      </c>
      <c r="EP1426" t="str">
        <f>IF(AND(AND(AND(OR($EC1426=1,$EB1426=1),OR($EH1426=1,$EF1426=1)),SUM($EA1426:$EE1426,$EK1426)&gt;=3),SUM($EF1426:$EJ1426)&gt;=2),"Whole sector approach","")</f>
        <v>Whole sector approach</v>
      </c>
      <c r="EQ1426" t="str">
        <f>IF(AND(AND(OR($EC1426=1,$EB1426=1),AND($EH1426=0,$EF1426=0)),SUM($EA1426:$EE1426,$EK1426)&gt;=4),"Ecosystem approach","")</f>
        <v/>
      </c>
      <c r="ER1426" s="2" t="str">
        <f>IF(AND(AND(AND($EC1426=0,$EB1426=0),OR($EH1426=1,$EF1426=1)),SUM($EG1426:$EJ1426)&gt;=2),"Technology approach","")</f>
        <v/>
      </c>
      <c r="ES1426" t="str">
        <f>IF(AND($EC1426+$EB1426+$EE1426+$EA1426+$ED1426+$EG1426=0,$N1426="included"),"C neutral forest and HWP assumption","")</f>
        <v/>
      </c>
      <c r="ET1426" t="str">
        <f>IF(AND(AND(AND(AND($EC1426=1,$EB1426+$EA1426+$EG1426&gt;=1),$EF1426=1),$EH1426+$EI1426+$ED1426+$EE1426&gt;=2),$N1426="included"),"All C pools assumption","")</f>
        <v>All C pools assumption</v>
      </c>
      <c r="EU1426" t="str">
        <f>IF(AND($ED1426+$EE1426+$EI1426+$EH1426+$EF1426=0,$N1426="included"),"In-situ only assumption","")</f>
        <v/>
      </c>
      <c r="EY1426" t="b">
        <f>IF(ISNUMBER(BW1426),IF(ABS(BW1426-[6]QC_indicators!$B$2)&gt;3*[6]QC_indicators!$C$2,"C ratio",IF(ISNUMBER(CA1426),IF(ABS(CA1426-[6]QC_indicators!$B$1)&gt;3*[6]QC_indicators!$C$1,"DF","no"))),IF(ISNUMBER(CA1426),IF(ABS(CA1426-[6]QC_indicators!$B$1)&gt;3*[6]QC_indicators!$C$1,"DF","no")))</f>
        <v>0</v>
      </c>
      <c r="EZ1426" t="s">
        <v>286</v>
      </c>
      <c r="FA1426" t="str">
        <f>IF(LEN($CY1426)=0,"",IF(AND($CY1426&lt;(-0.05),$ES1426="C neutral forest and HWP assumption"),"Cneutral paradox",IF(AND($CY1426&gt;0.05,$EU1426="In-situ only assumption"),"In-situ only paradox","")))</f>
        <v/>
      </c>
      <c r="FB1426" s="149" t="s">
        <v>349</v>
      </c>
      <c r="FD1426" s="260" t="s">
        <v>2948</v>
      </c>
    </row>
    <row r="1427" spans="1:161" ht="15" hidden="1" customHeight="1">
      <c r="A1427" s="1" t="s">
        <v>1272</v>
      </c>
      <c r="B1427" t="s">
        <v>1273</v>
      </c>
      <c r="C1427" t="s">
        <v>1274</v>
      </c>
      <c r="D1427" t="s">
        <v>1275</v>
      </c>
      <c r="E1427" t="s">
        <v>1276</v>
      </c>
      <c r="F1427" t="s">
        <v>1277</v>
      </c>
      <c r="G1427" t="s">
        <v>1278</v>
      </c>
      <c r="H1427" t="s">
        <v>254</v>
      </c>
      <c r="I1427">
        <v>2021</v>
      </c>
      <c r="J1427">
        <v>0</v>
      </c>
      <c r="K1427" t="s">
        <v>1279</v>
      </c>
      <c r="M1427" t="str">
        <f>LEFT($D1427,FIND(",",$D1427)-1)&amp;"_"&amp;I1427&amp;L1427</f>
        <v>Dugan_2021</v>
      </c>
      <c r="N1427" t="s">
        <v>222</v>
      </c>
      <c r="O1427" s="145" t="s">
        <v>274</v>
      </c>
      <c r="Q1427" t="s">
        <v>256</v>
      </c>
      <c r="R1427" s="251" t="s">
        <v>225</v>
      </c>
      <c r="S1427" s="1" t="s">
        <v>1293</v>
      </c>
      <c r="T1427" t="s">
        <v>1294</v>
      </c>
      <c r="U1427" t="s">
        <v>1286</v>
      </c>
      <c r="V1427" s="253">
        <v>0</v>
      </c>
      <c r="W1427" s="253">
        <v>0</v>
      </c>
      <c r="X1427">
        <v>0</v>
      </c>
      <c r="Y1427">
        <v>0</v>
      </c>
      <c r="Z1427">
        <v>0</v>
      </c>
      <c r="AA1427">
        <v>0</v>
      </c>
      <c r="AB1427">
        <v>0</v>
      </c>
      <c r="AC1427">
        <v>0</v>
      </c>
      <c r="AD1427">
        <v>0</v>
      </c>
      <c r="AE1427">
        <v>0</v>
      </c>
      <c r="AF1427">
        <v>0</v>
      </c>
      <c r="AG1427">
        <v>0</v>
      </c>
      <c r="AH1427">
        <v>1</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s="141">
        <f>COUNTIF(X1427:AY1427,"&lt;&gt;0")</f>
        <v>1</v>
      </c>
      <c r="BA1427" s="141">
        <f>COUNTIF(X1427:AN1427,"&lt;&gt;0")</f>
        <v>1</v>
      </c>
      <c r="BB1427">
        <f>COUNTIF(X1427:AE1427,"&lt;&gt;0")</f>
        <v>0</v>
      </c>
      <c r="BC1427">
        <f>COUNTIF(AF1427:AK1427,"&lt;&gt;0")</f>
        <v>1</v>
      </c>
      <c r="BD1427">
        <f>COUNTIF(AL1427:AN1427,"&lt;&gt;0")</f>
        <v>0</v>
      </c>
      <c r="BE1427">
        <f>COUNTIF(AU1427:AY1427,"&lt;&gt;0")</f>
        <v>0</v>
      </c>
      <c r="BF1427">
        <f>COUNTIF(AO1427:AT1427,"&lt;&gt;0")</f>
        <v>0</v>
      </c>
      <c r="BG1427" t="str">
        <f t="array" ref="BG1427">IF(BA1427=1,INDEX($X$7:$AN$7,MATCH(TRUE,INDEX($X1427:$AY1427&lt;&gt;0,),0)),IF(BA1427=0,INDEX($AO$7:$AY$7,MATCH(1,$AO1427:$AY1427,0)),IF(BH1427="Multiple strategies","mixed drivers",IF(BH1427="Supply chain","multiple supply","multiple silviculture"))))</f>
        <v>supply chain organization</v>
      </c>
      <c r="BH1427" s="2" t="str" cm="1">
        <f t="array" ref="BH1427">IF(COUNTIF(BB1427:BD1427,"&lt;&gt;0")=1,INDEX($X$4:$AY$4,MATCH(TRUE,INDEX($X1427:$AY1427&lt;&gt;0,),0)),IF(COUNTIF(BB1427:BD1427,"&lt;&gt;0")=0,INDEX($AO$4:$AY$4,MATCH(1,$AO1427:$AY1427,0)),"Multiple strategies"))</f>
        <v>Supply chain</v>
      </c>
      <c r="BI1427" s="1" t="s">
        <v>321</v>
      </c>
      <c r="BJ1427" t="s">
        <v>1282</v>
      </c>
      <c r="BK1427" s="256" t="s">
        <v>2993</v>
      </c>
      <c r="BL1427" t="s">
        <v>1232</v>
      </c>
      <c r="BM1427" s="260">
        <f>14.61*1.1</f>
        <v>16.071000000000002</v>
      </c>
      <c r="BN1427" s="260">
        <f>14.61*1.1</f>
        <v>16.071000000000002</v>
      </c>
      <c r="BP1427" s="223">
        <f>BN1427-BM1427</f>
        <v>0</v>
      </c>
      <c r="BQ1427">
        <f>BP1427*10^6*tC_to_m3</f>
        <v>0</v>
      </c>
      <c r="BR1427" t="s">
        <v>232</v>
      </c>
      <c r="BS1427" s="256" t="s">
        <v>2994</v>
      </c>
      <c r="BT1427" t="s">
        <v>1175</v>
      </c>
      <c r="BU1427" s="152"/>
      <c r="BV1427" s="152"/>
      <c r="BW1427" s="144"/>
      <c r="BX1427" s="277">
        <v>3.54188034188034</v>
      </c>
      <c r="BZ1427">
        <f>BX1427*10^6</f>
        <v>3541880.3418803401</v>
      </c>
      <c r="CA1427" t="str">
        <f>IFERROR(BZ1427/BQ1427,"")</f>
        <v/>
      </c>
      <c r="CB1427">
        <v>0</v>
      </c>
      <c r="CC1427">
        <v>0</v>
      </c>
      <c r="CD1427">
        <v>0</v>
      </c>
      <c r="CE1427">
        <v>0</v>
      </c>
      <c r="CF1427">
        <v>0</v>
      </c>
      <c r="CG1427">
        <v>0</v>
      </c>
      <c r="CH1427">
        <v>0</v>
      </c>
      <c r="CI1427">
        <v>0</v>
      </c>
      <c r="CJ1427">
        <v>0</v>
      </c>
      <c r="CK1427">
        <v>0</v>
      </c>
      <c r="CL1427">
        <v>0</v>
      </c>
      <c r="CM1427">
        <v>0</v>
      </c>
      <c r="CN1427">
        <v>0</v>
      </c>
      <c r="CO1427">
        <v>0</v>
      </c>
      <c r="CP1427" t="str">
        <f>IF(BN1427&lt;BM1427,"refNeedCorrection","refOK")</f>
        <v>refOK</v>
      </c>
      <c r="CQ1427"/>
      <c r="CR1427"/>
      <c r="CS1427">
        <f>IF($CP1427="refNeedCorrection",-BQ1427,BQ1427)</f>
        <v>0</v>
      </c>
      <c r="CT1427">
        <f>IF(BI1427="Roundwood",$CS1427/2,$CS1427)</f>
        <v>0</v>
      </c>
      <c r="CU1427">
        <f>IF($CP1427="refOK",$BU1427,$BV1427)*IF($BR1427="Emissions positive",-1,1)</f>
        <v>0</v>
      </c>
      <c r="CV1427">
        <f>IF($CP1427="refOK",$BV1427,$BU1427)*IF($BR1427="Emissions positive",-1,1)</f>
        <v>0</v>
      </c>
      <c r="CW1427">
        <f>IF($CP1427="refNeedCorrection",-BZ1427,BZ1427)*IF($BR1427="Emissions positive",-1,1)</f>
        <v>3541880.3418803401</v>
      </c>
      <c r="CX1427" t="str">
        <f>IFERROR($CW1427/$CS1427,"")</f>
        <v/>
      </c>
      <c r="CY1427" t="str">
        <f>IFERROR($CW1427/$CS1427,"")</f>
        <v/>
      </c>
      <c r="CZ1427" t="str">
        <f>IFERROR($CW1427/$CT1427,"")</f>
        <v/>
      </c>
      <c r="DA1427" s="2" t="str">
        <f>IFERROR((CV1427-CU1427)/ABS(CU1427),"")</f>
        <v/>
      </c>
      <c r="DB1427" s="1" t="s">
        <v>1074</v>
      </c>
      <c r="DC1427" t="str">
        <f>IF(OR($DB1427="prd",$DB1427="std",$DB1427="cit"),"loc",IF(OR($DB1427="eur",$DB1427="reg",$DB1427="coy"),"reg",$DB1427))</f>
        <v>reg</v>
      </c>
      <c r="DD1427" t="s">
        <v>428</v>
      </c>
      <c r="DE1427">
        <v>2020</v>
      </c>
      <c r="DF1427">
        <v>2050</v>
      </c>
      <c r="DG1427">
        <v>30</v>
      </c>
      <c r="DH1427" t="str">
        <f>IF(DG1427=0,"0",IF(AND(DG1427&gt;=1,DG1427&lt;=30),"1-30",IF(AND(DG1427&gt;30,DG1427&lt;=70),"31-70",IF(AND(DG1427&gt;70,DG1427&lt;=100),"71-100",IF(DG1427&gt;100,"+100")))))</f>
        <v>1-30</v>
      </c>
      <c r="DI1427">
        <v>0</v>
      </c>
      <c r="DJ1427">
        <v>1</v>
      </c>
      <c r="DK1427">
        <v>0</v>
      </c>
      <c r="DL1427">
        <v>0</v>
      </c>
      <c r="DN1427">
        <f>SUM(DI1427:DL1427)</f>
        <v>1</v>
      </c>
      <c r="DO1427" t="str">
        <f>IF(DN1427=1,INDEX($DI$7:$DL$7,MATCH(1,$DI1427:$DL1427,0)),"mixedProduct")</f>
        <v>EnergyInput</v>
      </c>
      <c r="DP1427">
        <f>IF(DI1427=1,DP$7,0)</f>
        <v>0</v>
      </c>
      <c r="DQ1427" t="str">
        <f>IF(DJ1427=1,DQ$7,0)</f>
        <v>Energy</v>
      </c>
      <c r="DR1427">
        <f>IF(DK1427=1,DR$7,0)</f>
        <v>0</v>
      </c>
      <c r="DS1427">
        <f>IF(DL1427=1,DS$7,0)</f>
        <v>0</v>
      </c>
      <c r="DT1427">
        <v>0</v>
      </c>
      <c r="DU1427">
        <v>1</v>
      </c>
      <c r="DV1427" t="s">
        <v>1283</v>
      </c>
      <c r="DW1427" t="s">
        <v>1284</v>
      </c>
      <c r="DX1427">
        <v>0</v>
      </c>
      <c r="DY1427">
        <f>SUM(DT1427:DU1427)</f>
        <v>1</v>
      </c>
      <c r="DZ1427" s="143" t="str">
        <f>IF(DT1427=1,"self-calculated DF",IF(DU1427=1,"external DF used","explicit C balance"))</f>
        <v>external DF used</v>
      </c>
      <c r="EA1427">
        <v>1</v>
      </c>
      <c r="EB1427">
        <v>1</v>
      </c>
      <c r="EC1427">
        <v>1</v>
      </c>
      <c r="ED1427">
        <v>1</v>
      </c>
      <c r="EE1427">
        <v>0</v>
      </c>
      <c r="EF1427" s="143">
        <v>0</v>
      </c>
      <c r="EG1427">
        <v>0</v>
      </c>
      <c r="EH1427">
        <v>0</v>
      </c>
      <c r="EI1427">
        <v>0</v>
      </c>
      <c r="EJ1427">
        <v>0</v>
      </c>
      <c r="EK1427">
        <v>1</v>
      </c>
      <c r="EL1427" s="143">
        <v>0</v>
      </c>
      <c r="EM1427" s="143">
        <v>0</v>
      </c>
      <c r="EN1427" s="2">
        <v>0</v>
      </c>
      <c r="EP1427" t="str">
        <f>IF(AND(AND(AND(OR($EC1427=1,$EB1427=1),OR($EH1427=1,$EF1427=1)),SUM($EA1427:$EE1427,$EK1427)&gt;=3),SUM($EF1427:$EJ1427)&gt;=2),"Whole sector approach","")</f>
        <v/>
      </c>
      <c r="EQ1427" t="str">
        <f>IF(AND(AND(OR($EC1427=1,$EB1427=1),AND($EH1427=0,$EF1427=0)),SUM($EA1427:$EE1427,$EK1427)&gt;=4),"Ecosystem approach","")</f>
        <v>Ecosystem approach</v>
      </c>
      <c r="ER1427" s="2" t="str">
        <f>IF(AND(AND(AND($EC1427=0,$EB1427=0),OR($EH1427=1,$EF1427=1)),SUM($EG1427:$EJ1427)&gt;=2),"Technology approach","")</f>
        <v/>
      </c>
      <c r="ES1427" t="str">
        <f>IF(AND($EC1427+$EB1427+$EE1427+$EA1427+$ED1427+$EG1427=0,$N1427="included"),"C neutral forest and HWP assumption","")</f>
        <v/>
      </c>
      <c r="ET1427" t="str">
        <f>IF(AND(AND(AND(AND($EC1427=1,$EB1427+$EA1427+$EG1427&gt;=1),$EF1427=1),$EH1427+$EI1427+$ED1427+$EE1427&gt;=2),$N1427="included"),"All C pools assumption","")</f>
        <v/>
      </c>
      <c r="EU1427" t="str">
        <f>IF(AND($ED1427+$EE1427+$EI1427+$EH1427+$EF1427=0,$N1427="included"),"In-situ only assumption","")</f>
        <v/>
      </c>
      <c r="EY1427" t="b">
        <f>IF(ISNUMBER(BW1427),IF(ABS(BW1427-[6]QC_indicators!$B$2)&gt;3*[6]QC_indicators!$C$2,"C ratio",IF(ISNUMBER(CA1427),IF(ABS(CA1427-[6]QC_indicators!$B$1)&gt;3*[6]QC_indicators!$C$1,"DF","no"))),IF(ISNUMBER(CA1427),IF(ABS(CA1427-[6]QC_indicators!$B$1)&gt;3*[6]QC_indicators!$C$1,"DF","no")))</f>
        <v>0</v>
      </c>
      <c r="EZ1427" t="s">
        <v>286</v>
      </c>
      <c r="FA1427" t="str">
        <f>IF(LEN($CY1427)=0,"",IF(AND($CY1427&lt;(-0.05),$ES1427="C neutral forest and HWP assumption"),"Cneutral paradox",IF(AND($CY1427&gt;0.05,$EU1427="In-situ only assumption"),"In-situ only paradox","")))</f>
        <v/>
      </c>
      <c r="FB1427" s="149" t="s">
        <v>349</v>
      </c>
      <c r="FD1427" s="260" t="s">
        <v>2948</v>
      </c>
    </row>
    <row r="1428" spans="1:161" hidden="1">
      <c r="D1428" t="s">
        <v>927</v>
      </c>
      <c r="E1428" t="s">
        <v>949</v>
      </c>
      <c r="G1428" t="s">
        <v>950</v>
      </c>
      <c r="I1428">
        <v>2004</v>
      </c>
      <c r="K1428" t="s">
        <v>951</v>
      </c>
      <c r="M1428" t="str">
        <f>LEFT($D1428,FIND(",",$D1428)-1)&amp;"_"&amp;I1428&amp;L1428</f>
        <v>Petersen_2004</v>
      </c>
      <c r="N1428" t="s">
        <v>222</v>
      </c>
      <c r="O1428" s="171" t="s">
        <v>508</v>
      </c>
      <c r="P1428" s="141" t="s">
        <v>225</v>
      </c>
      <c r="Q1428" t="s">
        <v>389</v>
      </c>
      <c r="R1428" s="258" t="s">
        <v>223</v>
      </c>
      <c r="S1428" s="1" t="s">
        <v>956</v>
      </c>
      <c r="T1428" t="s">
        <v>968</v>
      </c>
      <c r="U1428" t="s">
        <v>958</v>
      </c>
      <c r="V1428" s="253">
        <v>0</v>
      </c>
      <c r="W1428" s="253">
        <v>0</v>
      </c>
      <c r="X1428">
        <v>0</v>
      </c>
      <c r="Y1428">
        <v>0</v>
      </c>
      <c r="Z1428">
        <v>0</v>
      </c>
      <c r="AA1428">
        <v>0</v>
      </c>
      <c r="AB1428">
        <v>0</v>
      </c>
      <c r="AC1428">
        <v>0</v>
      </c>
      <c r="AD1428">
        <v>0</v>
      </c>
      <c r="AE1428">
        <v>0</v>
      </c>
      <c r="AF1428">
        <v>0</v>
      </c>
      <c r="AG1428">
        <v>0</v>
      </c>
      <c r="AH1428">
        <v>0</v>
      </c>
      <c r="AI1428">
        <v>0</v>
      </c>
      <c r="AJ1428">
        <v>0</v>
      </c>
      <c r="AK1428">
        <v>0</v>
      </c>
      <c r="AL1428">
        <v>0</v>
      </c>
      <c r="AM1428">
        <v>1</v>
      </c>
      <c r="AN1428">
        <v>0</v>
      </c>
      <c r="AO1428">
        <v>0</v>
      </c>
      <c r="AP1428">
        <v>0</v>
      </c>
      <c r="AQ1428">
        <v>0</v>
      </c>
      <c r="AR1428">
        <v>0</v>
      </c>
      <c r="AS1428">
        <v>0</v>
      </c>
      <c r="AT1428">
        <v>0</v>
      </c>
      <c r="AU1428">
        <v>0</v>
      </c>
      <c r="AV1428">
        <v>0</v>
      </c>
      <c r="AW1428">
        <v>0</v>
      </c>
      <c r="AX1428">
        <v>0</v>
      </c>
      <c r="AY1428">
        <v>0</v>
      </c>
      <c r="AZ1428" s="141">
        <f>COUNTIF(X1428:AY1428,"&lt;&gt;0")</f>
        <v>1</v>
      </c>
      <c r="BA1428" s="141">
        <f>COUNTIF(X1428:AN1428,"&lt;&gt;0")</f>
        <v>1</v>
      </c>
      <c r="BB1428">
        <f>COUNTIF(X1428:AE1428,"&lt;&gt;0")</f>
        <v>0</v>
      </c>
      <c r="BC1428">
        <f>COUNTIF(AF1428:AK1428,"&lt;&gt;0")</f>
        <v>0</v>
      </c>
      <c r="BD1428">
        <f>COUNTIF(AL1428:AN1428,"&lt;&gt;0")</f>
        <v>1</v>
      </c>
      <c r="BE1428">
        <f>COUNTIF(AU1428:AY1428,"&lt;&gt;0")</f>
        <v>0</v>
      </c>
      <c r="BF1428">
        <f>COUNTIF(AO1428:AT1428,"&lt;&gt;0")</f>
        <v>0</v>
      </c>
      <c r="BG1428" t="str">
        <f t="array" ref="BG1428">IF(BA1428=1,INDEX($X$7:$AN$7,MATCH(TRUE,INDEX($X1428:$AY1428&lt;&gt;0,),0)),IF(BA1428=0,INDEX($AO$7:$AY$7,MATCH(1,$AO1428:$AY1428,0)),IF(BH1428="Multiple strategies","mixed drivers",IF(BH1428="Supply chain","multiple supply","multiple silviculture"))))</f>
        <v>technologies/design switch</v>
      </c>
      <c r="BH1428" s="2" t="str" cm="1">
        <f t="array" ref="BH1428">IF(COUNTIF(BB1428:BD1428,"&lt;&gt;0")=1,INDEX($X$4:$AY$4,MATCH(TRUE,INDEX($X1428:$AY1428&lt;&gt;0,),0)),IF(COUNTIF(BB1428:BD1428,"&lt;&gt;0")=0,INDEX($AO$4:$AY$4,MATCH(1,$AO1428:$AY1428,0)),"Multiple strategies"))</f>
        <v>Technology</v>
      </c>
      <c r="BI1428" s="142" t="s">
        <v>229</v>
      </c>
      <c r="BJ1428" t="s">
        <v>933</v>
      </c>
      <c r="BK1428" t="s">
        <v>954</v>
      </c>
      <c r="BL1428" t="s">
        <v>498</v>
      </c>
      <c r="BM1428">
        <v>0</v>
      </c>
      <c r="BN1428" s="143">
        <v>1</v>
      </c>
      <c r="BO1428" t="str">
        <f>IFERROR(BN1428/BM1428,"")</f>
        <v/>
      </c>
      <c r="BP1428">
        <f>BN1428-BM1428</f>
        <v>1</v>
      </c>
      <c r="BQ1428" s="159">
        <v>1</v>
      </c>
      <c r="BR1428" t="s">
        <v>232</v>
      </c>
      <c r="BS1428" t="s">
        <v>955</v>
      </c>
      <c r="BT1428" t="s">
        <v>946</v>
      </c>
      <c r="BW1428" s="144"/>
      <c r="BX1428">
        <v>8.4</v>
      </c>
      <c r="BZ1428">
        <f>BX1428</f>
        <v>8.4</v>
      </c>
      <c r="CA1428">
        <f>IFERROR(BZ1428/BQ1428,"")</f>
        <v>8.4</v>
      </c>
      <c r="CB1428">
        <v>0</v>
      </c>
      <c r="CC1428">
        <v>0</v>
      </c>
      <c r="CD1428">
        <v>0</v>
      </c>
      <c r="CE1428">
        <v>0</v>
      </c>
      <c r="CF1428">
        <v>0</v>
      </c>
      <c r="CG1428">
        <v>0</v>
      </c>
      <c r="CH1428">
        <v>0</v>
      </c>
      <c r="CI1428">
        <v>0</v>
      </c>
      <c r="CJ1428">
        <v>0</v>
      </c>
      <c r="CK1428">
        <v>0</v>
      </c>
      <c r="CL1428">
        <v>0</v>
      </c>
      <c r="CM1428">
        <v>0</v>
      </c>
      <c r="CN1428">
        <v>0</v>
      </c>
      <c r="CO1428">
        <v>0</v>
      </c>
      <c r="CP1428" t="str">
        <f>IF($BN1428&lt;$BM1428,"refNeedCorrection","refOK")</f>
        <v>refOK</v>
      </c>
      <c r="CQ1428">
        <f>IF($CP1428="refOK",$BM1428,$BN1428)</f>
        <v>0</v>
      </c>
      <c r="CR1428">
        <f>IF($CP1428="refOK",$BN1428,$BM1428)</f>
        <v>1</v>
      </c>
      <c r="CS1428">
        <f>IF($CP1428="refOK",$BQ1428,-$BQ1428)</f>
        <v>1</v>
      </c>
      <c r="CT1428">
        <f>IF(BI1428="Roundwood",$CS1428/2,$CS1428)</f>
        <v>1</v>
      </c>
      <c r="CU1428">
        <f>IF($CP1428="refOK",$BU1428,$BV1428)*IF($BR1428="Emissions positive",-1,1)</f>
        <v>0</v>
      </c>
      <c r="CV1428">
        <f>IF($CP1428="refOK",$BV1428,$BU1428)*IF($BR1428="Emissions positive",-1,1)</f>
        <v>0</v>
      </c>
      <c r="CW1428">
        <f>IF($CP1428="refNeedCorrection",-BZ1428,BZ1428)*IF($BR1428="Emissions positive",-1,1)</f>
        <v>8.4</v>
      </c>
      <c r="CX1428">
        <f>IFERROR($CW1428/$CS1428,"")</f>
        <v>8.4</v>
      </c>
      <c r="CY1428">
        <f>IFERROR($CW1428/$CS1428,"")</f>
        <v>8.4</v>
      </c>
      <c r="CZ1428">
        <f>IFERROR($CW1428/$CT1428,"")</f>
        <v>8.4</v>
      </c>
      <c r="DA1428" s="2" t="str">
        <f>IFERROR((CV1428-CU1428)/ABS(CU1428),"")</f>
        <v/>
      </c>
      <c r="DB1428" s="1" t="s">
        <v>263</v>
      </c>
      <c r="DC1428" t="str">
        <f>IF(OR($DB1428="prd",$DB1428="std",$DB1428="cit"),"loc",IF(OR($DB1428="eur",$DB1428="reg",$DB1428="coy"),"reg",$DB1428))</f>
        <v>loc</v>
      </c>
      <c r="DD1428" t="s">
        <v>264</v>
      </c>
      <c r="DF1428" s="143"/>
      <c r="DG1428" s="143">
        <v>45</v>
      </c>
      <c r="DH1428" t="str">
        <f>IF(DG1428=0,"0",IF(AND(DG1428&gt;=1,DG1428&lt;=30),"1-30",IF(AND(DG1428&gt;30,DG1428&lt;=70),"31-70",IF(AND(DG1428&gt;70,DG1428&lt;=100),"71-100",IF(DG1428&gt;100,"+100")))))</f>
        <v>31-70</v>
      </c>
      <c r="DI1428">
        <v>0</v>
      </c>
      <c r="DJ1428">
        <v>0</v>
      </c>
      <c r="DK1428">
        <v>0</v>
      </c>
      <c r="DL1428">
        <v>1</v>
      </c>
      <c r="DM1428">
        <v>0</v>
      </c>
      <c r="DN1428">
        <f>SUM(DI1428:DL1428)</f>
        <v>1</v>
      </c>
      <c r="DO1428" t="str">
        <f>IF(DN1428=1,INDEX($DI$7:$DL$7,MATCH(1,$DI1428:$DL1428,0)),"mixedProduct")</f>
        <v>TimberInput</v>
      </c>
      <c r="DP1428">
        <f>IF(DI1428=1,DP$7,0)</f>
        <v>0</v>
      </c>
      <c r="DQ1428">
        <f>IF(DJ1428=1,DQ$7,0)</f>
        <v>0</v>
      </c>
      <c r="DR1428">
        <f>IF(DK1428=1,DR$7,0)</f>
        <v>0</v>
      </c>
      <c r="DS1428" t="str">
        <f>IF(DL1428=1,DS$7,0)</f>
        <v>Timber</v>
      </c>
      <c r="DT1428">
        <v>1</v>
      </c>
      <c r="DU1428">
        <v>0</v>
      </c>
      <c r="DV1428">
        <v>0</v>
      </c>
      <c r="DW1428">
        <v>0</v>
      </c>
      <c r="DX1428">
        <v>0</v>
      </c>
      <c r="DY1428">
        <f>SUM(DT1428:DU1428)</f>
        <v>1</v>
      </c>
      <c r="DZ1428" s="143" t="str">
        <f>IF(DT1428=1,"self-calculated DF",IF(DU1428=1,"external DF used","explicit C balance"))</f>
        <v>self-calculated DF</v>
      </c>
      <c r="EA1428" s="143">
        <v>0</v>
      </c>
      <c r="EB1428" s="143">
        <v>0</v>
      </c>
      <c r="EC1428" s="143">
        <v>0</v>
      </c>
      <c r="ED1428" s="143">
        <v>0</v>
      </c>
      <c r="EE1428">
        <v>0</v>
      </c>
      <c r="EF1428" s="143">
        <v>0</v>
      </c>
      <c r="EG1428" s="143">
        <v>0</v>
      </c>
      <c r="EH1428" s="143">
        <v>1</v>
      </c>
      <c r="EI1428" s="143">
        <v>0</v>
      </c>
      <c r="EJ1428">
        <v>0</v>
      </c>
      <c r="EK1428">
        <v>0</v>
      </c>
      <c r="EL1428" s="143">
        <v>0</v>
      </c>
      <c r="EM1428" s="143">
        <v>0</v>
      </c>
      <c r="EN1428" s="2">
        <v>0</v>
      </c>
      <c r="EP1428" t="str">
        <f>IF(AND(AND(AND(OR($EC1428=1,$EB1428=1),OR($EH1428=1,$EF1428=1)),SUM($EA1428:$EE1428,$EK1428)&gt;=3),SUM($EF1428:$EJ1428)&gt;=2),"Whole sector approach","")</f>
        <v/>
      </c>
      <c r="EQ1428" t="str">
        <f>IF(AND(AND(OR($EC1428=1,$EB1428=1),AND($EH1428=0,$EF1428=0)),SUM($EA1428:$EE1428,$EK1428)&gt;=4),"Ecosystem approach","")</f>
        <v/>
      </c>
      <c r="ER1428" s="2" t="str">
        <f>IF(AND(AND(AND($EC1428=0,$EB1428=0),OR($EH1428=1,$EF1428=1)),SUM($EG1428:$EJ1428)&gt;=2),"Technology approach","")</f>
        <v/>
      </c>
      <c r="ES1428" t="str">
        <f>IF(AND($EC1428+$EB1428+$EE1428+$EA1428+$ED1428+$EG1428=0,$N1428="included"),"C neutral forest and HWP assumption","")</f>
        <v>C neutral forest and HWP assumption</v>
      </c>
      <c r="ET1428" t="str">
        <f>IF(AND(AND(AND(AND($EC1428=1,$EB1428+$EA1428+$EG1428&gt;=1),$EF1428=1),$EH1428+$EI1428+$ED1428+$EE1428&gt;=2),$N1428="included"),"All C pools assumption","")</f>
        <v/>
      </c>
      <c r="EU1428" t="str">
        <f>IF(AND($ED1428+$EE1428+$EI1428+$EH1428+$EF1428=0,$N1428="included"),"In-situ only assumption","")</f>
        <v/>
      </c>
      <c r="EY1428" t="str">
        <f>IF(ISNUMBER(BW1428),IF(ABS(BW1428-[2]QC_indicators!$B$2)&gt;3*[2]QC_indicators!$C$2,"C ratio",IF(ISNUMBER(CA1428),IF(ABS(CA1428-[2]QC_indicators!$B$1)&gt;3*[2]QC_indicators!$C$1,"DF","no"))),IF(ISNUMBER(CA1428),IF(ABS(CA1428-[2]QC_indicators!$B$1)&gt;3*[2]QC_indicators!$C$1,"DF","no")))</f>
        <v>no</v>
      </c>
      <c r="EZ1428" s="262" t="s">
        <v>2888</v>
      </c>
      <c r="FA1428" t="str">
        <f>IF(LEN($CY1428)=0,"",IF(AND($CY1428&lt;(-0.05),$ES1428="C neutral forest and HWP assumption"),"Cneutral paradox",IF(AND($CY1428&gt;0.05,$EU1428="In-situ only assumption"),"In-situ only paradox","")))</f>
        <v/>
      </c>
      <c r="FB1428" t="s">
        <v>944</v>
      </c>
      <c r="FD1428" s="260" t="s">
        <v>2887</v>
      </c>
    </row>
    <row r="1429" spans="1:161" hidden="1">
      <c r="D1429" t="s">
        <v>927</v>
      </c>
      <c r="E1429" t="s">
        <v>949</v>
      </c>
      <c r="G1429" t="s">
        <v>950</v>
      </c>
      <c r="I1429">
        <v>2004</v>
      </c>
      <c r="K1429" t="s">
        <v>951</v>
      </c>
      <c r="M1429" t="str">
        <f>LEFT($D1429,FIND(",",$D1429)-1)&amp;"_"&amp;I1429&amp;L1429</f>
        <v>Petersen_2004</v>
      </c>
      <c r="N1429" t="s">
        <v>222</v>
      </c>
      <c r="O1429" s="171" t="s">
        <v>508</v>
      </c>
      <c r="P1429" s="141" t="s">
        <v>225</v>
      </c>
      <c r="Q1429" t="s">
        <v>389</v>
      </c>
      <c r="R1429" s="258" t="s">
        <v>223</v>
      </c>
      <c r="S1429" s="1" t="s">
        <v>938</v>
      </c>
      <c r="T1429" t="s">
        <v>969</v>
      </c>
      <c r="U1429" t="s">
        <v>962</v>
      </c>
      <c r="V1429" s="253">
        <v>0</v>
      </c>
      <c r="W1429" s="253">
        <v>0</v>
      </c>
      <c r="X1429">
        <v>0</v>
      </c>
      <c r="Y1429">
        <v>0</v>
      </c>
      <c r="Z1429">
        <v>0</v>
      </c>
      <c r="AA1429">
        <v>0</v>
      </c>
      <c r="AB1429">
        <v>0</v>
      </c>
      <c r="AC1429">
        <v>0</v>
      </c>
      <c r="AD1429">
        <v>0</v>
      </c>
      <c r="AE1429">
        <v>0</v>
      </c>
      <c r="AF1429">
        <v>0</v>
      </c>
      <c r="AG1429">
        <v>0</v>
      </c>
      <c r="AH1429">
        <v>0</v>
      </c>
      <c r="AI1429">
        <v>0</v>
      </c>
      <c r="AJ1429">
        <v>0</v>
      </c>
      <c r="AK1429">
        <v>0</v>
      </c>
      <c r="AL1429">
        <v>0</v>
      </c>
      <c r="AM1429">
        <v>1</v>
      </c>
      <c r="AN1429">
        <v>0</v>
      </c>
      <c r="AO1429">
        <v>0</v>
      </c>
      <c r="AP1429">
        <v>0</v>
      </c>
      <c r="AQ1429">
        <v>0</v>
      </c>
      <c r="AR1429">
        <v>0</v>
      </c>
      <c r="AS1429">
        <v>0</v>
      </c>
      <c r="AT1429">
        <v>0</v>
      </c>
      <c r="AU1429">
        <v>0</v>
      </c>
      <c r="AV1429">
        <v>0</v>
      </c>
      <c r="AW1429">
        <v>0</v>
      </c>
      <c r="AX1429">
        <v>0</v>
      </c>
      <c r="AY1429">
        <v>0</v>
      </c>
      <c r="AZ1429" s="141">
        <f>COUNTIF(X1429:AY1429,"&lt;&gt;0")</f>
        <v>1</v>
      </c>
      <c r="BA1429" s="141">
        <f>COUNTIF(X1429:AN1429,"&lt;&gt;0")</f>
        <v>1</v>
      </c>
      <c r="BB1429">
        <f>COUNTIF(X1429:AE1429,"&lt;&gt;0")</f>
        <v>0</v>
      </c>
      <c r="BC1429">
        <f>COUNTIF(AF1429:AK1429,"&lt;&gt;0")</f>
        <v>0</v>
      </c>
      <c r="BD1429">
        <f>COUNTIF(AL1429:AN1429,"&lt;&gt;0")</f>
        <v>1</v>
      </c>
      <c r="BE1429">
        <f>COUNTIF(AU1429:AY1429,"&lt;&gt;0")</f>
        <v>0</v>
      </c>
      <c r="BF1429">
        <f>COUNTIF(AO1429:AT1429,"&lt;&gt;0")</f>
        <v>0</v>
      </c>
      <c r="BG1429" t="str">
        <f t="array" ref="BG1429">IF(BA1429=1,INDEX($X$7:$AN$7,MATCH(TRUE,INDEX($X1429:$AY1429&lt;&gt;0,),0)),IF(BA1429=0,INDEX($AO$7:$AY$7,MATCH(1,$AO1429:$AY1429,0)),IF(BH1429="Multiple strategies","mixed drivers",IF(BH1429="Supply chain","multiple supply","multiple silviculture"))))</f>
        <v>technologies/design switch</v>
      </c>
      <c r="BH1429" s="2" t="str" cm="1">
        <f t="array" ref="BH1429">IF(COUNTIF(BB1429:BD1429,"&lt;&gt;0")=1,INDEX($X$4:$AY$4,MATCH(TRUE,INDEX($X1429:$AY1429&lt;&gt;0,),0)),IF(COUNTIF(BB1429:BD1429,"&lt;&gt;0")=0,INDEX($AO$4:$AY$4,MATCH(1,$AO1429:$AY1429,0)),"Multiple strategies"))</f>
        <v>Technology</v>
      </c>
      <c r="BI1429" s="142" t="s">
        <v>229</v>
      </c>
      <c r="BJ1429" t="s">
        <v>933</v>
      </c>
      <c r="BK1429" t="s">
        <v>954</v>
      </c>
      <c r="BL1429" t="s">
        <v>498</v>
      </c>
      <c r="BM1429">
        <v>0</v>
      </c>
      <c r="BN1429" s="143">
        <v>1</v>
      </c>
      <c r="BO1429" t="str">
        <f>IFERROR(BN1429/BM1429,"")</f>
        <v/>
      </c>
      <c r="BP1429">
        <f>BN1429-BM1429</f>
        <v>1</v>
      </c>
      <c r="BQ1429" s="159">
        <v>1</v>
      </c>
      <c r="BR1429" t="s">
        <v>232</v>
      </c>
      <c r="BS1429" t="s">
        <v>955</v>
      </c>
      <c r="BT1429" t="s">
        <v>935</v>
      </c>
      <c r="BW1429" s="144"/>
      <c r="BX1429">
        <v>8.4</v>
      </c>
      <c r="BZ1429">
        <f>BX1429</f>
        <v>8.4</v>
      </c>
      <c r="CA1429">
        <f>IFERROR(BZ1429/BQ1429,"")</f>
        <v>8.4</v>
      </c>
      <c r="CB1429">
        <v>0</v>
      </c>
      <c r="CC1429">
        <v>0</v>
      </c>
      <c r="CD1429">
        <v>0</v>
      </c>
      <c r="CE1429">
        <v>0</v>
      </c>
      <c r="CF1429">
        <v>0</v>
      </c>
      <c r="CG1429">
        <v>0</v>
      </c>
      <c r="CH1429">
        <v>0</v>
      </c>
      <c r="CI1429">
        <v>0</v>
      </c>
      <c r="CJ1429">
        <v>0</v>
      </c>
      <c r="CK1429">
        <v>0</v>
      </c>
      <c r="CL1429">
        <v>0</v>
      </c>
      <c r="CM1429">
        <v>0</v>
      </c>
      <c r="CN1429">
        <v>0</v>
      </c>
      <c r="CO1429">
        <v>0</v>
      </c>
      <c r="CP1429" t="str">
        <f>IF($BN1429&lt;$BM1429,"refNeedCorrection","refOK")</f>
        <v>refOK</v>
      </c>
      <c r="CQ1429">
        <f>IF($CP1429="refOK",$BM1429,$BN1429)</f>
        <v>0</v>
      </c>
      <c r="CR1429">
        <f>IF($CP1429="refOK",$BN1429,$BM1429)</f>
        <v>1</v>
      </c>
      <c r="CS1429">
        <f>IF($CP1429="refOK",$BQ1429,-$BQ1429)</f>
        <v>1</v>
      </c>
      <c r="CT1429">
        <f>IF(BI1429="Roundwood",$CS1429/2,$CS1429)</f>
        <v>1</v>
      </c>
      <c r="CU1429">
        <f>IF($CP1429="refOK",$BU1429,$BV1429)*IF($BR1429="Emissions positive",-1,1)</f>
        <v>0</v>
      </c>
      <c r="CV1429">
        <f>IF($CP1429="refOK",$BV1429,$BU1429)*IF($BR1429="Emissions positive",-1,1)</f>
        <v>0</v>
      </c>
      <c r="CW1429">
        <f>IF($CP1429="refNeedCorrection",-BZ1429,BZ1429)*IF($BR1429="Emissions positive",-1,1)</f>
        <v>8.4</v>
      </c>
      <c r="CX1429">
        <f>IFERROR($CW1429/$CS1429,"")</f>
        <v>8.4</v>
      </c>
      <c r="CY1429">
        <f>IFERROR($CW1429/$CS1429,"")</f>
        <v>8.4</v>
      </c>
      <c r="CZ1429">
        <f>IFERROR($CW1429/$CT1429,"")</f>
        <v>8.4</v>
      </c>
      <c r="DA1429" s="2" t="str">
        <f>IFERROR((CV1429-CU1429)/ABS(CU1429),"")</f>
        <v/>
      </c>
      <c r="DB1429" s="1" t="s">
        <v>263</v>
      </c>
      <c r="DC1429" t="str">
        <f>IF(OR($DB1429="prd",$DB1429="std",$DB1429="cit"),"loc",IF(OR($DB1429="eur",$DB1429="reg",$DB1429="coy"),"reg",$DB1429))</f>
        <v>loc</v>
      </c>
      <c r="DD1429" t="s">
        <v>264</v>
      </c>
      <c r="DF1429" s="143"/>
      <c r="DG1429" s="143">
        <v>45</v>
      </c>
      <c r="DH1429" t="str">
        <f>IF(DG1429=0,"0",IF(AND(DG1429&gt;=1,DG1429&lt;=30),"1-30",IF(AND(DG1429&gt;30,DG1429&lt;=70),"31-70",IF(AND(DG1429&gt;70,DG1429&lt;=100),"71-100",IF(DG1429&gt;100,"+100")))))</f>
        <v>31-70</v>
      </c>
      <c r="DI1429">
        <v>0</v>
      </c>
      <c r="DJ1429">
        <v>0</v>
      </c>
      <c r="DK1429">
        <v>0</v>
      </c>
      <c r="DL1429">
        <v>1</v>
      </c>
      <c r="DM1429">
        <v>0</v>
      </c>
      <c r="DN1429">
        <f>SUM(DI1429:DL1429)</f>
        <v>1</v>
      </c>
      <c r="DO1429" t="str">
        <f>IF(DN1429=1,INDEX($DI$7:$DL$7,MATCH(1,$DI1429:$DL1429,0)),"mixedProduct")</f>
        <v>TimberInput</v>
      </c>
      <c r="DP1429">
        <f>IF(DI1429=1,DP$7,0)</f>
        <v>0</v>
      </c>
      <c r="DQ1429">
        <f>IF(DJ1429=1,DQ$7,0)</f>
        <v>0</v>
      </c>
      <c r="DR1429">
        <f>IF(DK1429=1,DR$7,0)</f>
        <v>0</v>
      </c>
      <c r="DS1429" t="str">
        <f>IF(DL1429=1,DS$7,0)</f>
        <v>Timber</v>
      </c>
      <c r="DT1429">
        <v>1</v>
      </c>
      <c r="DU1429">
        <v>0</v>
      </c>
      <c r="DV1429">
        <v>0</v>
      </c>
      <c r="DW1429">
        <v>0</v>
      </c>
      <c r="DX1429">
        <v>0</v>
      </c>
      <c r="DY1429">
        <f>SUM(DT1429:DU1429)</f>
        <v>1</v>
      </c>
      <c r="DZ1429" s="143" t="str">
        <f>IF(DT1429=1,"self-calculated DF",IF(DU1429=1,"external DF used","explicit C balance"))</f>
        <v>self-calculated DF</v>
      </c>
      <c r="EA1429" s="143">
        <v>0</v>
      </c>
      <c r="EB1429" s="143">
        <v>0</v>
      </c>
      <c r="EC1429" s="143">
        <v>0</v>
      </c>
      <c r="ED1429" s="143">
        <v>0</v>
      </c>
      <c r="EE1429">
        <v>0</v>
      </c>
      <c r="EF1429" s="143">
        <v>1</v>
      </c>
      <c r="EG1429" s="143">
        <v>0</v>
      </c>
      <c r="EH1429" s="143">
        <v>1</v>
      </c>
      <c r="EI1429" s="143">
        <v>0</v>
      </c>
      <c r="EJ1429">
        <v>0</v>
      </c>
      <c r="EK1429">
        <v>0</v>
      </c>
      <c r="EL1429" s="143">
        <v>0</v>
      </c>
      <c r="EM1429" s="143">
        <v>0</v>
      </c>
      <c r="EN1429" s="2">
        <v>0</v>
      </c>
      <c r="EP1429" t="str">
        <f>IF(AND(AND(AND(OR($EC1429=1,$EB1429=1),OR($EH1429=1,$EF1429=1)),SUM($EA1429:$EE1429,$EK1429)&gt;=3),SUM($EF1429:$EJ1429)&gt;=2),"Whole sector approach","")</f>
        <v/>
      </c>
      <c r="EQ1429" t="str">
        <f>IF(AND(AND(OR($EC1429=1,$EB1429=1),AND($EH1429=0,$EF1429=0)),SUM($EA1429:$EE1429,$EK1429)&gt;=4),"Ecosystem approach","")</f>
        <v/>
      </c>
      <c r="ER1429" s="2" t="str">
        <f>IF(AND(AND(AND($EC1429=0,$EB1429=0),OR($EH1429=1,$EF1429=1)),SUM($EG1429:$EJ1429)&gt;=2),"Technology approach","")</f>
        <v/>
      </c>
      <c r="ES1429" t="str">
        <f>IF(AND($EC1429+$EB1429+$EE1429+$EA1429+$ED1429+$EG1429=0,$N1429="included"),"C neutral forest and HWP assumption","")</f>
        <v>C neutral forest and HWP assumption</v>
      </c>
      <c r="ET1429" t="str">
        <f>IF(AND(AND(AND(AND($EC1429=1,$EB1429+$EA1429+$EG1429&gt;=1),$EF1429=1),$EH1429+$EI1429+$ED1429+$EE1429&gt;=2),$N1429="included"),"All C pools assumption","")</f>
        <v/>
      </c>
      <c r="EU1429" t="str">
        <f>IF(AND($ED1429+$EE1429+$EI1429+$EH1429+$EF1429=0,$N1429="included"),"In-situ only assumption","")</f>
        <v/>
      </c>
      <c r="EY1429" t="str">
        <f>IF(ISNUMBER(BW1429),IF(ABS(BW1429-[2]QC_indicators!$B$2)&gt;3*[2]QC_indicators!$C$2,"C ratio",IF(ISNUMBER(CA1429),IF(ABS(CA1429-[2]QC_indicators!$B$1)&gt;3*[2]QC_indicators!$C$1,"DF","no"))),IF(ISNUMBER(CA1429),IF(ABS(CA1429-[2]QC_indicators!$B$1)&gt;3*[2]QC_indicators!$C$1,"DF","no")))</f>
        <v>no</v>
      </c>
      <c r="EZ1429" s="262" t="s">
        <v>2888</v>
      </c>
      <c r="FA1429" t="str">
        <f>IF(LEN($CY1429)=0,"",IF(AND($CY1429&lt;(-0.05),$ES1429="C neutral forest and HWP assumption"),"Cneutral paradox",IF(AND($CY1429&gt;0.05,$EU1429="In-situ only assumption"),"In-situ only paradox","")))</f>
        <v/>
      </c>
      <c r="FB1429" t="s">
        <v>944</v>
      </c>
      <c r="FD1429" s="260" t="s">
        <v>2887</v>
      </c>
    </row>
    <row r="1430" spans="1:161" hidden="1">
      <c r="A1430" s="1" t="s">
        <v>333</v>
      </c>
      <c r="B1430" t="s">
        <v>705</v>
      </c>
      <c r="C1430" t="s">
        <v>706</v>
      </c>
      <c r="D1430" t="s">
        <v>707</v>
      </c>
      <c r="E1430" t="s">
        <v>708</v>
      </c>
      <c r="F1430" t="s">
        <v>709</v>
      </c>
      <c r="G1430" t="s">
        <v>339</v>
      </c>
      <c r="H1430" t="s">
        <v>254</v>
      </c>
      <c r="I1430">
        <v>2015</v>
      </c>
      <c r="J1430">
        <v>86</v>
      </c>
      <c r="K1430" t="s">
        <v>710</v>
      </c>
      <c r="M1430" t="str">
        <f>LEFT($D1430,FIND(",",$D1430)-1)&amp;"_"&amp;I1430&amp;L1430</f>
        <v>Fouquet_2015</v>
      </c>
      <c r="N1430" t="s">
        <v>222</v>
      </c>
      <c r="O1430" s="145" t="s">
        <v>274</v>
      </c>
      <c r="Q1430" t="s">
        <v>256</v>
      </c>
      <c r="R1430" s="251" t="s">
        <v>225</v>
      </c>
      <c r="S1430" s="1" t="s">
        <v>711</v>
      </c>
      <c r="T1430" s="260" t="s">
        <v>3003</v>
      </c>
      <c r="U1430" s="260" t="s">
        <v>3000</v>
      </c>
      <c r="V1430" s="253">
        <v>0</v>
      </c>
      <c r="W1430" s="253">
        <v>0</v>
      </c>
      <c r="X1430">
        <v>0</v>
      </c>
      <c r="Y1430">
        <v>0</v>
      </c>
      <c r="Z1430">
        <v>0</v>
      </c>
      <c r="AA1430">
        <v>0</v>
      </c>
      <c r="AB1430">
        <v>0</v>
      </c>
      <c r="AC1430">
        <v>0</v>
      </c>
      <c r="AD1430">
        <v>0</v>
      </c>
      <c r="AE1430">
        <v>0</v>
      </c>
      <c r="AF1430">
        <v>0</v>
      </c>
      <c r="AG1430">
        <v>0</v>
      </c>
      <c r="AH1430">
        <v>0</v>
      </c>
      <c r="AI1430">
        <v>0</v>
      </c>
      <c r="AJ1430">
        <v>1</v>
      </c>
      <c r="AK1430">
        <v>0</v>
      </c>
      <c r="AL1430">
        <v>0</v>
      </c>
      <c r="AM1430">
        <v>0</v>
      </c>
      <c r="AN1430">
        <v>0</v>
      </c>
      <c r="AO1430">
        <v>0</v>
      </c>
      <c r="AP1430">
        <v>0</v>
      </c>
      <c r="AQ1430">
        <v>0</v>
      </c>
      <c r="AR1430">
        <v>0</v>
      </c>
      <c r="AS1430">
        <v>0</v>
      </c>
      <c r="AT1430">
        <v>0</v>
      </c>
      <c r="AU1430">
        <v>0</v>
      </c>
      <c r="AV1430">
        <v>0</v>
      </c>
      <c r="AW1430">
        <v>0</v>
      </c>
      <c r="AX1430">
        <v>0</v>
      </c>
      <c r="AY1430">
        <v>0</v>
      </c>
      <c r="AZ1430" s="141">
        <f>COUNTIF(X1430:AY1430,"&lt;&gt;0")</f>
        <v>1</v>
      </c>
      <c r="BA1430" s="141">
        <f>COUNTIF(X1430:AN1430,"&lt;&gt;0")</f>
        <v>1</v>
      </c>
      <c r="BB1430">
        <f>COUNTIF(X1430:AE1430,"&lt;&gt;0")</f>
        <v>0</v>
      </c>
      <c r="BC1430">
        <f>COUNTIF(AF1430:AK1430,"&lt;&gt;0")</f>
        <v>1</v>
      </c>
      <c r="BD1430">
        <f>COUNTIF(AL1430:AN1430,"&lt;&gt;0")</f>
        <v>0</v>
      </c>
      <c r="BE1430">
        <f>COUNTIF(AU1430:AY1430,"&lt;&gt;0")</f>
        <v>0</v>
      </c>
      <c r="BF1430">
        <f>COUNTIF(AO1430:AT1430,"&lt;&gt;0")</f>
        <v>0</v>
      </c>
      <c r="BG1430" t="str">
        <f t="array" ref="BG1430">IF(BA1430=1,INDEX($X$7:$AN$7,MATCH(TRUE,INDEX($X1430:$AY1430&lt;&gt;0,),0)),IF(BA1430=0,INDEX($AO$7:$AY$7,MATCH(1,$AO1430:$AY1430,0)),IF(BH1430="Multiple strategies","mixed drivers",IF(BH1430="Supply chain","multiple supply","multiple silviculture"))))</f>
        <v xml:space="preserve">end of life disposal </v>
      </c>
      <c r="BH1430" s="2" t="str" cm="1">
        <f t="array" ref="BH1430">IF(COUNTIF(BB1430:BD1430,"&lt;&gt;0")=1,INDEX($X$4:$AY$4,MATCH(TRUE,INDEX($X1430:$AY1430&lt;&gt;0,),0)),IF(COUNTIF(BB1430:BD1430,"&lt;&gt;0")=0,INDEX($AO$4:$AY$4,MATCH(1,$AO1430:$AY1430,0)),"Multiple strategies"))</f>
        <v>Supply chain</v>
      </c>
      <c r="BI1430" s="1" t="s">
        <v>229</v>
      </c>
      <c r="BJ1430" t="s">
        <v>713</v>
      </c>
      <c r="BK1430" s="256" t="s">
        <v>3001</v>
      </c>
      <c r="BL1430" s="256" t="s">
        <v>345</v>
      </c>
      <c r="BM1430" s="256">
        <f xml:space="preserve"> 5341+3892+7551+1439+923+477</f>
        <v>19623</v>
      </c>
      <c r="BN1430" s="256">
        <f xml:space="preserve"> 5341+3892+7551+1439+923+477</f>
        <v>19623</v>
      </c>
      <c r="BO1430">
        <v>1</v>
      </c>
      <c r="BP1430">
        <f>BN1430-BM1430</f>
        <v>0</v>
      </c>
      <c r="BQ1430">
        <v>0</v>
      </c>
      <c r="BR1430" s="256" t="s">
        <v>395</v>
      </c>
      <c r="BS1430" s="256" t="s">
        <v>3002</v>
      </c>
      <c r="BT1430" t="s">
        <v>397</v>
      </c>
      <c r="BU1430" s="256">
        <v>13395</v>
      </c>
      <c r="BV1430" s="256">
        <v>17696</v>
      </c>
      <c r="BW1430" s="144">
        <f>IFERROR(BV1430/BU1430,"")</f>
        <v>1.321089958939903</v>
      </c>
      <c r="BX1430">
        <f>BV1430-BU1430</f>
        <v>4301</v>
      </c>
      <c r="BZ1430">
        <f>BX1430/1000</f>
        <v>4.3010000000000002</v>
      </c>
      <c r="CA1430" t="str">
        <f>IFERROR(BZ1430/BQ1430,"")</f>
        <v/>
      </c>
      <c r="CB1430">
        <v>0</v>
      </c>
      <c r="CC1430">
        <v>0</v>
      </c>
      <c r="CD1430">
        <v>0</v>
      </c>
      <c r="CE1430">
        <v>0</v>
      </c>
      <c r="CF1430">
        <v>0</v>
      </c>
      <c r="CG1430">
        <v>0</v>
      </c>
      <c r="CH1430">
        <v>0</v>
      </c>
      <c r="CI1430">
        <v>0</v>
      </c>
      <c r="CJ1430">
        <v>0</v>
      </c>
      <c r="CK1430">
        <v>0</v>
      </c>
      <c r="CL1430">
        <v>0</v>
      </c>
      <c r="CM1430">
        <v>0</v>
      </c>
      <c r="CN1430">
        <v>0</v>
      </c>
      <c r="CO1430">
        <v>0</v>
      </c>
      <c r="CP1430" t="str">
        <f>IF($BN1430&lt;$BM1430,"refNeedCorrection","refOK")</f>
        <v>refOK</v>
      </c>
      <c r="CQ1430">
        <f>IF($CP1430="refNeedCorrection",BN1430,BM1430)</f>
        <v>19623</v>
      </c>
      <c r="CR1430">
        <f>IF($CP1430="refNeedCorrection",BM1430,BN1430)</f>
        <v>19623</v>
      </c>
      <c r="CS1430">
        <f>IF($CP1430="refOK",$BQ1430,-$BQ1430)</f>
        <v>0</v>
      </c>
      <c r="CT1430">
        <f>IF(BI1430="Roundwood",$CS1430/2,$CS1430)</f>
        <v>0</v>
      </c>
      <c r="CU1430">
        <f>IF($CP1430="refOK",$BU1430,$BV1430)*IF($BR1430="Emissions positive",-1,1)</f>
        <v>-13395</v>
      </c>
      <c r="CV1430">
        <f>IF($CP1430="refOK",$BV1430,$BU1430)*IF($BR1430="Emissions positive",-1,1)</f>
        <v>-17696</v>
      </c>
      <c r="CW1430">
        <f>IF($CP1430="refNeedCorrection",-BZ1430,BZ1430)*IF($BR1430="Emissions positive",-1,1)</f>
        <v>-4.3010000000000002</v>
      </c>
      <c r="CX1430" t="str">
        <f>IFERROR($CW1430/$CS1430,"")</f>
        <v/>
      </c>
      <c r="CY1430" t="str">
        <f>IFERROR($CW1430/$CS1430,"")</f>
        <v/>
      </c>
      <c r="CZ1430" t="str">
        <f>IFERROR($CW1430/$CT1430,"")</f>
        <v/>
      </c>
      <c r="DA1430" s="2">
        <f>IFERROR((CV1430-CU1430)/ABS(CU1430),"")</f>
        <v>-0.32108995893990294</v>
      </c>
      <c r="DB1430" s="1" t="s">
        <v>263</v>
      </c>
      <c r="DC1430" t="str">
        <f>IF(OR($DB1430="prd",$DB1430="std",$DB1430="cit"),"loc",IF(OR($DB1430="eur",$DB1430="reg",$DB1430="coy"),"reg",$DB1430))</f>
        <v>loc</v>
      </c>
      <c r="DD1430" t="s">
        <v>715</v>
      </c>
      <c r="DG1430">
        <v>100</v>
      </c>
      <c r="DH1430" t="str">
        <f>IF(DG1430=0,"0",IF(AND(DG1430&gt;=1,DG1430&lt;=30),"1-30",IF(AND(DG1430&gt;30,DG1430&lt;=70),"31-70",IF(AND(DG1430&gt;70,DG1430&lt;=100),"71-100",IF(DG1430&gt;100,"+100")))))</f>
        <v>71-100</v>
      </c>
      <c r="DI1430">
        <v>0</v>
      </c>
      <c r="DJ1430">
        <v>0</v>
      </c>
      <c r="DK1430">
        <v>0</v>
      </c>
      <c r="DL1430">
        <v>1</v>
      </c>
      <c r="DN1430">
        <f>SUM(DI1430:DL1430)</f>
        <v>1</v>
      </c>
      <c r="DO1430" t="str">
        <f>IF(DN1430=1,INDEX($DI$7:$DL$7,MATCH(1,$DI1430:$DL1430,0)),"mixedProduct")</f>
        <v>TimberInput</v>
      </c>
      <c r="DP1430">
        <f>IF(DI1430=1,DP$7,0)</f>
        <v>0</v>
      </c>
      <c r="DQ1430">
        <f>IF(DJ1430=1,DQ$7,0)</f>
        <v>0</v>
      </c>
      <c r="DR1430">
        <f>IF(DK1430=1,DR$7,0)</f>
        <v>0</v>
      </c>
      <c r="DS1430" t="str">
        <f>IF(DL1430=1,DS$7,0)</f>
        <v>Timber</v>
      </c>
      <c r="DT1430">
        <v>0</v>
      </c>
      <c r="DU1430">
        <v>0</v>
      </c>
      <c r="DV1430">
        <v>0</v>
      </c>
      <c r="DW1430">
        <v>0</v>
      </c>
      <c r="DX1430">
        <v>0</v>
      </c>
      <c r="DY1430">
        <f>SUM(DT1430:DU1430)</f>
        <v>0</v>
      </c>
      <c r="DZ1430" s="143" t="str">
        <f>IF(DT1430=1,"self-calculated DF",IF(DU1430=1,"external DF used","explicit C balance"))</f>
        <v>explicit C balance</v>
      </c>
      <c r="EA1430">
        <v>0</v>
      </c>
      <c r="EB1430">
        <v>0</v>
      </c>
      <c r="EC1430">
        <v>0</v>
      </c>
      <c r="ED1430">
        <v>0</v>
      </c>
      <c r="EE1430">
        <v>0</v>
      </c>
      <c r="EF1430" s="143">
        <v>0</v>
      </c>
      <c r="EG1430">
        <v>0</v>
      </c>
      <c r="EH1430">
        <v>1</v>
      </c>
      <c r="EI1430">
        <v>1</v>
      </c>
      <c r="EJ1430">
        <v>1</v>
      </c>
      <c r="EK1430">
        <v>0</v>
      </c>
      <c r="EL1430">
        <v>0</v>
      </c>
      <c r="EM1430">
        <v>0</v>
      </c>
      <c r="EN1430" s="2">
        <v>0</v>
      </c>
      <c r="EP1430" t="str">
        <f>IF(AND(AND(AND(OR($EC1430=1,$EB1430=1),OR($EH1430=1,$EF1430=1)),SUM($EA1430:$EE1430,$EK1430)&gt;=3),SUM($EF1430:$EJ1430)&gt;=2),"Whole sector approach","")</f>
        <v/>
      </c>
      <c r="EQ1430" t="str">
        <f>IF(AND(AND(OR($EC1430=1,$EB1430=1),AND($EH1430=0,$EF1430=0)),SUM($EA1430:$EE1430,$EK1430)&gt;=4),"Ecosystem approach","")</f>
        <v/>
      </c>
      <c r="ER1430" s="2" t="str">
        <f>IF(AND(AND(AND($EC1430=0,$EB1430=0),OR($EH1430=1,$EF1430=1)),SUM($EG1430:$EJ1430)&gt;=2),"Technology approach","")</f>
        <v>Technology approach</v>
      </c>
      <c r="ES1430" t="str">
        <f>IF(AND($EC1430+$EB1430+$EE1430+$EA1430+$ED1430+$EG1430=0,$N1430="included"),"C neutral forest and HWP assumption","")</f>
        <v>C neutral forest and HWP assumption</v>
      </c>
      <c r="ET1430" t="str">
        <f>IF(AND(AND(AND(AND($EC1430=1,$EB1430+$EA1430+$EG1430&gt;=1),$EF1430=1),$EH1430+$EI1430+$ED1430+$EE1430&gt;=2),$N1430="included"),"All C pools assumption","")</f>
        <v/>
      </c>
      <c r="EU1430" t="str">
        <f>IF(AND($ED1430+$EE1430+$EI1430+$EH1430+$EF1430=0,$N1430="included"),"In-situ only assumption","")</f>
        <v/>
      </c>
      <c r="EY1430" t="b">
        <f>IF(ISNUMBER(BW1430),IF(ABS(BW1430-[6]QC_indicators!$B$2)&gt;3*[6]QC_indicators!$C$2,"C ratio",IF(ISNUMBER(CA1430),IF(ABS(CA1430-[6]QC_indicators!$B$1)&gt;3*[6]QC_indicators!$C$1,"DF","no"))),IF(ISNUMBER(CA1430),IF(ABS(CA1430-[6]QC_indicators!$B$1)&gt;3*[6]QC_indicators!$C$1,"DF","no")))</f>
        <v>0</v>
      </c>
      <c r="FA1430" t="str">
        <f>IF(LEN($CY1430)=0,"",IF(AND($CY1430&lt;(-0.05),$ES1430="C neutral forest and HWP assumption"),"Cneutral paradox",IF(AND($CY1430&gt;0.05,$EU1430="In-situ only assumption"),"In-situ only paradox","")))</f>
        <v/>
      </c>
      <c r="FD1430" s="260" t="s">
        <v>2948</v>
      </c>
    </row>
    <row r="1431" spans="1:161" ht="15" hidden="1" customHeight="1">
      <c r="A1431" s="1" t="s">
        <v>247</v>
      </c>
      <c r="B1431" t="s">
        <v>779</v>
      </c>
      <c r="C1431" t="s">
        <v>780</v>
      </c>
      <c r="D1431" t="s">
        <v>781</v>
      </c>
      <c r="E1431" t="s">
        <v>782</v>
      </c>
      <c r="F1431" t="s">
        <v>783</v>
      </c>
      <c r="G1431" t="s">
        <v>253</v>
      </c>
      <c r="H1431" t="s">
        <v>254</v>
      </c>
      <c r="I1431">
        <v>2020</v>
      </c>
      <c r="J1431">
        <v>15</v>
      </c>
      <c r="K1431" t="s">
        <v>784</v>
      </c>
      <c r="M1431" t="str">
        <f>LEFT($D1431,FIND(",",$D1431)-1)&amp;"_"&amp;I1431&amp;L1431</f>
        <v>Jayalath_2020</v>
      </c>
      <c r="N1431" t="s">
        <v>222</v>
      </c>
      <c r="O1431" s="145" t="s">
        <v>508</v>
      </c>
      <c r="Q1431" t="s">
        <v>256</v>
      </c>
      <c r="R1431" s="258" t="s">
        <v>225</v>
      </c>
      <c r="S1431" s="1" t="s">
        <v>785</v>
      </c>
      <c r="T1431" t="s">
        <v>786</v>
      </c>
      <c r="U1431" t="s">
        <v>787</v>
      </c>
      <c r="V1431" s="253">
        <v>0</v>
      </c>
      <c r="W1431" s="253">
        <v>0</v>
      </c>
      <c r="X1431">
        <v>0</v>
      </c>
      <c r="Y1431">
        <v>0</v>
      </c>
      <c r="Z1431">
        <v>0</v>
      </c>
      <c r="AA1431">
        <v>0</v>
      </c>
      <c r="AB1431">
        <v>0</v>
      </c>
      <c r="AC1431">
        <v>0</v>
      </c>
      <c r="AD1431">
        <v>0</v>
      </c>
      <c r="AE1431">
        <v>0</v>
      </c>
      <c r="AF1431">
        <v>0</v>
      </c>
      <c r="AG1431">
        <v>1</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s="141">
        <f>COUNTIF(X1431:AY1431,"&lt;&gt;0")</f>
        <v>1</v>
      </c>
      <c r="BA1431" s="141">
        <f>COUNTIF(X1431:AN1431,"&lt;&gt;0")</f>
        <v>1</v>
      </c>
      <c r="BB1431">
        <f>COUNTIF(X1431:AE1431,"&lt;&gt;0")</f>
        <v>0</v>
      </c>
      <c r="BC1431">
        <f>COUNTIF(AF1431:AK1431,"&lt;&gt;0")</f>
        <v>1</v>
      </c>
      <c r="BD1431">
        <f>COUNTIF(AL1431:AN1431,"&lt;&gt;0")</f>
        <v>0</v>
      </c>
      <c r="BE1431">
        <f>COUNTIF(AU1431:AY1431,"&lt;&gt;0")</f>
        <v>0</v>
      </c>
      <c r="BF1431">
        <f>COUNTIF(AO1431:AT1431,"&lt;&gt;0")</f>
        <v>0</v>
      </c>
      <c r="BG1431" t="str">
        <f t="array" ref="BG1431">IF(BA1431=1,INDEX($X$7:$AN$7,MATCH(TRUE,INDEX($X1431:$AY1431&lt;&gt;0,),0)),IF(BA1431=0,INDEX($AO$7:$AY$7,MATCH(1,$AO1431:$AY1431,0)),IF(BH1431="Multiple strategies","mixed drivers",IF(BH1431="Supply chain","multiple supply","multiple silviculture"))))</f>
        <v>location of industry</v>
      </c>
      <c r="BH1431" s="2" t="str" cm="1">
        <f t="array" ref="BH1431">IF(COUNTIF(BB1431:BD1431,"&lt;&gt;0")=1,INDEX($X$4:$AY$4,MATCH(TRUE,INDEX($X1431:$AY1431&lt;&gt;0,),0)),IF(COUNTIF(BB1431:BD1431,"&lt;&gt;0")=0,INDEX($AO$4:$AY$4,MATCH(1,$AO1431:$AY1431,0)),"Multiple strategies"))</f>
        <v>Supply chain</v>
      </c>
      <c r="BI1431" s="1" t="s">
        <v>229</v>
      </c>
      <c r="BJ1431" t="s">
        <v>788</v>
      </c>
      <c r="BK1431" s="256" t="s">
        <v>3015</v>
      </c>
      <c r="BL1431" t="s">
        <v>345</v>
      </c>
      <c r="BM1431" s="260">
        <f>119193+8552+2924</f>
        <v>130669</v>
      </c>
      <c r="BN1431" s="260">
        <f>119193+8552+2924</f>
        <v>130669</v>
      </c>
      <c r="BP1431">
        <f>BN1431-BM1431</f>
        <v>0</v>
      </c>
      <c r="BQ1431">
        <f>BP1431*kg_to_m3</f>
        <v>0</v>
      </c>
      <c r="BR1431" t="s">
        <v>395</v>
      </c>
      <c r="BS1431" s="256" t="s">
        <v>3016</v>
      </c>
      <c r="BT1431" s="260" t="s">
        <v>3017</v>
      </c>
      <c r="BU1431">
        <f>0.538+0.438-0.083</f>
        <v>0.89300000000000002</v>
      </c>
      <c r="BV1431">
        <f>0.526+0.314-0.083</f>
        <v>0.75700000000000012</v>
      </c>
      <c r="BW1431" s="144">
        <f>IFERROR(BV1431/BU1431,"")</f>
        <v>0.84770436730123189</v>
      </c>
      <c r="BX1431">
        <f>BV1431-BU1431</f>
        <v>-0.1359999999999999</v>
      </c>
      <c r="BZ1431">
        <f>BX1431</f>
        <v>-0.1359999999999999</v>
      </c>
      <c r="CA1431" t="str">
        <f>IFERROR(BZ1431/BQ1431,"")</f>
        <v/>
      </c>
      <c r="CB1431">
        <v>0</v>
      </c>
      <c r="CC1431">
        <v>0</v>
      </c>
      <c r="CD1431">
        <v>0</v>
      </c>
      <c r="CE1431">
        <v>0</v>
      </c>
      <c r="CF1431">
        <v>0</v>
      </c>
      <c r="CG1431">
        <v>0</v>
      </c>
      <c r="CH1431">
        <v>0</v>
      </c>
      <c r="CI1431">
        <v>0</v>
      </c>
      <c r="CJ1431">
        <v>0</v>
      </c>
      <c r="CK1431">
        <v>0</v>
      </c>
      <c r="CL1431">
        <v>0</v>
      </c>
      <c r="CM1431">
        <v>0</v>
      </c>
      <c r="CN1431">
        <v>0</v>
      </c>
      <c r="CO1431">
        <v>1</v>
      </c>
      <c r="CP1431" t="str">
        <f>IF(BN1431&lt;BM1431,"refNeedCorrection","refOK")</f>
        <v>refOK</v>
      </c>
      <c r="CQ1431">
        <f>IF($CP1431="refOK",$BM1431,$BN1431)</f>
        <v>130669</v>
      </c>
      <c r="CR1431">
        <f>IF($CP1431="refOK",$BN1431,$BM1431)</f>
        <v>130669</v>
      </c>
      <c r="CS1431">
        <f>IF($CP1431="refOK",$BQ1431,-$BQ1431)</f>
        <v>0</v>
      </c>
      <c r="CT1431">
        <f>IF(BI1431="Roundwood",$CS1431/2,$CS1431)</f>
        <v>0</v>
      </c>
      <c r="CU1431">
        <f>IF($CP1431="refOK",$BU1431,$BV1431)*IF($BR1431="Emissions positive",-1,1)</f>
        <v>-0.89300000000000002</v>
      </c>
      <c r="CV1431">
        <f>IF($CP1431="refOK",$BV1431,$BU1431)*IF($BR1431="Emissions positive",-1,1)</f>
        <v>-0.75700000000000012</v>
      </c>
      <c r="CW1431">
        <f>IF($CP1431="refNeedCorrection",-BZ1431,BZ1431)*IF($BR1431="Emissions positive",-1,1)</f>
        <v>0.1359999999999999</v>
      </c>
      <c r="CX1431" t="str">
        <f>IFERROR($CW1431/$CS1431,"")</f>
        <v/>
      </c>
      <c r="CY1431" t="str">
        <f>IFERROR($CW1431/$CS1431,"")</f>
        <v/>
      </c>
      <c r="CZ1431" t="str">
        <f>IFERROR($CW1431/$CT1431,"")</f>
        <v/>
      </c>
      <c r="DA1431" s="2">
        <f>IFERROR((CV1431-CU1431)/ABS(CU1431),"")</f>
        <v>0.15229563269876809</v>
      </c>
      <c r="DB1431" s="1" t="s">
        <v>347</v>
      </c>
      <c r="DC1431" t="str">
        <f>IF(OR($DB1431="prd",$DB1431="std",$DB1431="cit"),"loc",IF(OR($DB1431="eur",$DB1431="reg",$DB1431="coy"),"reg",$DB1431))</f>
        <v>loc</v>
      </c>
      <c r="DD1431" t="s">
        <v>561</v>
      </c>
      <c r="DG1431">
        <v>0</v>
      </c>
      <c r="DH1431" t="str">
        <f>IF(DG1431=0,"0",IF(AND(DG1431&gt;=1,DG1431&lt;=30),"1-30",IF(AND(DG1431&gt;30,DG1431&lt;=70),"31-70",IF(AND(DG1431&gt;70,DG1431&lt;=100),"71-100",IF(DG1431&gt;100,"+100")))))</f>
        <v>0</v>
      </c>
      <c r="DI1431">
        <v>0</v>
      </c>
      <c r="DJ1431">
        <v>0</v>
      </c>
      <c r="DK1431">
        <v>0</v>
      </c>
      <c r="DL1431">
        <v>1</v>
      </c>
      <c r="DN1431">
        <f>SUM(DI1431:DL1431)</f>
        <v>1</v>
      </c>
      <c r="DO1431" t="str">
        <f>IF(DN1431=1,INDEX($DI$7:$DL$7,MATCH(1,$DI1431:$DL1431,0)),"mixedProduct")</f>
        <v>TimberInput</v>
      </c>
      <c r="DP1431">
        <f>IF(DI1431=1,DP$7,0)</f>
        <v>0</v>
      </c>
      <c r="DQ1431">
        <f>IF(DJ1431=1,DQ$7,0)</f>
        <v>0</v>
      </c>
      <c r="DR1431">
        <f>IF(DK1431=1,DR$7,0)</f>
        <v>0</v>
      </c>
      <c r="DS1431" t="str">
        <f>IF(DL1431=1,DS$7,0)</f>
        <v>Timber</v>
      </c>
      <c r="DT1431">
        <v>0</v>
      </c>
      <c r="DU1431">
        <v>0</v>
      </c>
      <c r="DV1431">
        <v>0</v>
      </c>
      <c r="DW1431">
        <v>0</v>
      </c>
      <c r="DX1431">
        <v>0</v>
      </c>
      <c r="DY1431">
        <f>SUM(DT1431:DU1431)</f>
        <v>0</v>
      </c>
      <c r="DZ1431" s="143" t="str">
        <f>IF(DT1431=1,"self-calculated DF",IF(DU1431=1,"external DF used","explicit C balance"))</f>
        <v>explicit C balance</v>
      </c>
      <c r="EA1431">
        <v>0</v>
      </c>
      <c r="EB1431">
        <v>0</v>
      </c>
      <c r="EC1431">
        <v>0</v>
      </c>
      <c r="ED1431">
        <v>0</v>
      </c>
      <c r="EE1431">
        <v>0</v>
      </c>
      <c r="EF1431">
        <v>1</v>
      </c>
      <c r="EG1431">
        <v>0</v>
      </c>
      <c r="EH1431">
        <v>1</v>
      </c>
      <c r="EI1431">
        <v>1</v>
      </c>
      <c r="EJ1431">
        <v>1</v>
      </c>
      <c r="EK1431">
        <v>0</v>
      </c>
      <c r="EL1431">
        <v>0</v>
      </c>
      <c r="EM1431">
        <v>0</v>
      </c>
      <c r="EN1431" s="2">
        <v>0</v>
      </c>
      <c r="EP1431" t="str">
        <f>IF(AND(AND(AND(OR($EC1431=1,$EB1431=1),OR($EH1431=1,$EF1431=1)),SUM($EA1431:$EE1431,$EK1431)&gt;=3),SUM($EF1431:$EJ1431)&gt;=2),"Whole sector approach","")</f>
        <v/>
      </c>
      <c r="EQ1431" t="str">
        <f>IF(AND(AND(OR($EC1431=1,$EB1431=1),AND($EH1431=0,$EF1431=0)),SUM($EA1431:$EE1431,$EK1431)&gt;=4),"Ecosystem approach","")</f>
        <v/>
      </c>
      <c r="ER1431" s="2" t="str">
        <f>IF(AND(AND(AND($EC1431=0,$EB1431=0),OR($EH1431=1,$EF1431=1)),SUM($EG1431:$EJ1431)&gt;=2),"Technology approach","")</f>
        <v>Technology approach</v>
      </c>
      <c r="ES1431" t="str">
        <f>IF(AND($EC1431+$EB1431+$EE1431+$EA1431+$ED1431+$EG1431=0,$N1431="included"),"C neutral forest and HWP assumption","")</f>
        <v>C neutral forest and HWP assumption</v>
      </c>
      <c r="ET1431" t="str">
        <f>IF(AND(AND(AND(AND($EC1431=1,$EB1431+$EA1431+$EG1431&gt;=1),$EF1431=1),$EH1431+$EI1431+$ED1431+$EE1431&gt;=2),$N1431="included"),"All C pools assumption","")</f>
        <v/>
      </c>
      <c r="EU1431" t="str">
        <f>IF(AND($ED1431+$EE1431+$EI1431+$EH1431+$EF1431=0,$N1431="included"),"In-situ only assumption","")</f>
        <v/>
      </c>
      <c r="EY1431" t="b">
        <f>IF(ISNUMBER(BW1431),IF(ABS(BW1431-[6]QC_indicators!$B$2)&gt;3*[6]QC_indicators!$C$2,"C ratio",IF(ISNUMBER(CA1431),IF(ABS(CA1431-[6]QC_indicators!$B$1)&gt;3*[6]QC_indicators!$C$1,"DF","no"))),IF(ISNUMBER(CA1431),IF(ABS(CA1431-[6]QC_indicators!$B$1)&gt;3*[6]QC_indicators!$C$1,"DF","no")))</f>
        <v>0</v>
      </c>
      <c r="FA1431" t="str">
        <f>IF(LEN($CY1431)=0,"",IF(AND($CY1431&lt;(-0.05),$ES1431="C neutral forest and HWP assumption"),"Cneutral paradox",IF(AND($CY1431&gt;0.05,$EU1431="In-situ only assumption"),"In-situ only paradox","")))</f>
        <v/>
      </c>
      <c r="FB1431" s="149" t="s">
        <v>349</v>
      </c>
      <c r="FD1431" s="260" t="s">
        <v>2948</v>
      </c>
    </row>
    <row r="1432" spans="1:161" ht="15" hidden="1" customHeight="1">
      <c r="A1432" s="1" t="s">
        <v>500</v>
      </c>
      <c r="B1432" t="s">
        <v>501</v>
      </c>
      <c r="C1432" t="s">
        <v>502</v>
      </c>
      <c r="D1432" t="s">
        <v>503</v>
      </c>
      <c r="E1432" t="s">
        <v>504</v>
      </c>
      <c r="F1432" t="s">
        <v>505</v>
      </c>
      <c r="G1432" t="s">
        <v>506</v>
      </c>
      <c r="H1432" t="s">
        <v>254</v>
      </c>
      <c r="I1432">
        <v>2021</v>
      </c>
      <c r="J1432">
        <v>7</v>
      </c>
      <c r="K1432" t="s">
        <v>507</v>
      </c>
      <c r="M1432" t="str">
        <f>LEFT($D1432,FIND(",",$D1432)-1)&amp;"_"&amp;I1432&amp;L1432</f>
        <v>Caldas_2021</v>
      </c>
      <c r="N1432" t="s">
        <v>222</v>
      </c>
      <c r="O1432" s="145" t="s">
        <v>223</v>
      </c>
      <c r="P1432" t="s">
        <v>508</v>
      </c>
      <c r="Q1432" s="317" t="s">
        <v>256</v>
      </c>
      <c r="R1432" s="318" t="s">
        <v>1029</v>
      </c>
      <c r="S1432" s="1" t="s">
        <v>514</v>
      </c>
      <c r="T1432" t="s">
        <v>4904</v>
      </c>
      <c r="U1432" t="s">
        <v>4905</v>
      </c>
      <c r="V1432" s="253">
        <v>0</v>
      </c>
      <c r="W1432" s="253">
        <v>0</v>
      </c>
      <c r="X1432">
        <v>0</v>
      </c>
      <c r="Y1432">
        <v>0</v>
      </c>
      <c r="Z1432">
        <v>0</v>
      </c>
      <c r="AA1432">
        <v>0</v>
      </c>
      <c r="AB1432">
        <v>0</v>
      </c>
      <c r="AC1432">
        <v>0</v>
      </c>
      <c r="AD1432">
        <v>0</v>
      </c>
      <c r="AE1432">
        <v>0</v>
      </c>
      <c r="AF1432">
        <v>0</v>
      </c>
      <c r="AG1432">
        <v>0</v>
      </c>
      <c r="AH1432">
        <v>1</v>
      </c>
      <c r="AI1432">
        <v>0</v>
      </c>
      <c r="AJ1432">
        <v>0</v>
      </c>
      <c r="AK1432">
        <v>0</v>
      </c>
      <c r="AL1432">
        <v>0</v>
      </c>
      <c r="AM1432">
        <v>0</v>
      </c>
      <c r="AN1432">
        <v>0</v>
      </c>
      <c r="AO1432">
        <v>0</v>
      </c>
      <c r="AP1432">
        <v>0</v>
      </c>
      <c r="AQ1432">
        <v>0</v>
      </c>
      <c r="AR1432">
        <v>0</v>
      </c>
      <c r="AS1432">
        <v>0</v>
      </c>
      <c r="AT1432">
        <v>0</v>
      </c>
      <c r="AU1432">
        <v>0</v>
      </c>
      <c r="AV1432">
        <v>0</v>
      </c>
      <c r="AW1432">
        <v>0</v>
      </c>
      <c r="AX1432">
        <v>0</v>
      </c>
      <c r="AY1432">
        <v>0</v>
      </c>
      <c r="AZ1432" s="141">
        <f>COUNTIF(X1432:AY1432,"&lt;&gt;0")</f>
        <v>1</v>
      </c>
      <c r="BA1432" s="141">
        <f>COUNTIF(X1432:AN1432,"&lt;&gt;0")</f>
        <v>1</v>
      </c>
      <c r="BB1432">
        <f>COUNTIF(X1432:AE1432,"&lt;&gt;0")</f>
        <v>0</v>
      </c>
      <c r="BC1432">
        <f>COUNTIF(AF1432:AK1432,"&lt;&gt;0")</f>
        <v>1</v>
      </c>
      <c r="BD1432">
        <f>COUNTIF(AL1432:AN1432,"&lt;&gt;0")</f>
        <v>0</v>
      </c>
      <c r="BE1432">
        <f>COUNTIF(AU1432:AY1432,"&lt;&gt;0")</f>
        <v>0</v>
      </c>
      <c r="BF1432">
        <f>COUNTIF(AO1432:AT1432,"&lt;&gt;0")</f>
        <v>0</v>
      </c>
      <c r="BG1432" t="str" cm="1">
        <f t="array" ref="BG1432">IF(BA1432=1,INDEX($X$7:$AN$7,MATCH(TRUE,INDEX($X1432:$AY1432&lt;&gt;0,),0)),IF(BA1432=0,INDEX($AO$7:$AY$7,MATCH(1,$AO1432:$AY1432,0)),IF(BH1432="Multiple strategies","mixed drivers",IF(BH1432="Supply chain","multiple supply","multiple silviculture"))))</f>
        <v>supply chain organization</v>
      </c>
      <c r="BH1432" s="2" t="str" cm="1">
        <f t="array" ref="BH1432">IF(COUNTIF(BB1432:BD1432,"&lt;&gt;0")=1,INDEX($X$4:$AY$4,MATCH(TRUE,INDEX($X1432:$AY1432&lt;&gt;0,),0)),IF(COUNTIF(BB1432:BD1432,"&lt;&gt;0")=0,INDEX($AO$4:$AY$4,MATCH(1,$AO1432:$AY1432,0)),"Multiple strategies"))</f>
        <v>Supply chain</v>
      </c>
      <c r="BI1432" s="1" t="s">
        <v>229</v>
      </c>
      <c r="BJ1432" t="s">
        <v>510</v>
      </c>
      <c r="BK1432" s="141" t="s">
        <v>4892</v>
      </c>
      <c r="BL1432" t="s">
        <v>511</v>
      </c>
      <c r="BM1432">
        <v>140</v>
      </c>
      <c r="BN1432">
        <v>140</v>
      </c>
      <c r="BP1432">
        <f>BN1432-BM1432</f>
        <v>0</v>
      </c>
      <c r="BQ1432">
        <f>BP1432*kg_to_m3</f>
        <v>0</v>
      </c>
      <c r="BR1432" s="317" t="s">
        <v>232</v>
      </c>
      <c r="BS1432" s="141" t="s">
        <v>4892</v>
      </c>
      <c r="BT1432" t="s">
        <v>512</v>
      </c>
      <c r="BU1432">
        <v>-757.6</v>
      </c>
      <c r="BV1432">
        <v>-624.20000000000005</v>
      </c>
      <c r="BW1432" s="144">
        <f>IFERROR(BV1432/BU1432,"")</f>
        <v>0.82391763463569168</v>
      </c>
      <c r="BX1432" s="175">
        <f>BV1432-BU1432</f>
        <v>133.39999999999998</v>
      </c>
      <c r="BZ1432">
        <f>BX1432/1000</f>
        <v>0.13339999999999999</v>
      </c>
      <c r="CA1432" t="str">
        <f>IFERROR(BZ1432/BQ1432,"")</f>
        <v/>
      </c>
      <c r="CB1432" s="143">
        <v>0</v>
      </c>
      <c r="CC1432" s="143">
        <v>0</v>
      </c>
      <c r="CD1432" s="143">
        <v>0</v>
      </c>
      <c r="CE1432" s="143">
        <v>0</v>
      </c>
      <c r="CF1432" s="143">
        <v>0</v>
      </c>
      <c r="CG1432" s="143">
        <v>0</v>
      </c>
      <c r="CH1432" s="143">
        <v>0</v>
      </c>
      <c r="CI1432" s="143">
        <v>0</v>
      </c>
      <c r="CJ1432" s="143">
        <v>0</v>
      </c>
      <c r="CK1432" s="143">
        <v>0</v>
      </c>
      <c r="CL1432" s="143">
        <v>0</v>
      </c>
      <c r="CM1432" s="143">
        <v>0</v>
      </c>
      <c r="CN1432" s="143">
        <v>0</v>
      </c>
      <c r="CO1432">
        <v>0</v>
      </c>
      <c r="CP1432" t="str">
        <f>IF($BN1432&lt;$BM1432,"refNeedCorrection","refOK")</f>
        <v>refOK</v>
      </c>
      <c r="CQ1432">
        <f>IF($CP1432="refOK",$BM1432,$BN1432)</f>
        <v>140</v>
      </c>
      <c r="CR1432">
        <f>IF($CP1432="refOK",$BN1432,$BM1432)</f>
        <v>140</v>
      </c>
      <c r="CS1432">
        <f>IF($CP1432="refOK",$BQ1432,-$BQ1432)</f>
        <v>0</v>
      </c>
      <c r="CT1432">
        <f>IF(BI1432="Roundwood",$CS1432/2,$CS1432)</f>
        <v>0</v>
      </c>
      <c r="CU1432">
        <f>IF($CP1432="refOK",$BU1432,$BV1432)*IF($BR1432="Emissions positive",-1,1)</f>
        <v>-757.6</v>
      </c>
      <c r="CV1432">
        <f>IF($CP1432="refOK",$BV1432,$BU1432)*IF($BR1432="Emissions positive",-1,1)</f>
        <v>-624.20000000000005</v>
      </c>
      <c r="CW1432">
        <f>IF($CP1432="refNeedCorrection",-BZ1432,BZ1432)*IF($BR1432="Emissions positive",-1,1)</f>
        <v>0.13339999999999999</v>
      </c>
      <c r="CX1432" t="str">
        <f>IFERROR($CW1432/$CS1432,"")</f>
        <v/>
      </c>
      <c r="CY1432" t="str">
        <f>IFERROR($CW1432/$CS1432,"")</f>
        <v/>
      </c>
      <c r="CZ1432" t="str">
        <f>IFERROR($CW1432/$CT1432,"")</f>
        <v/>
      </c>
      <c r="DA1432" s="2">
        <f>IFERROR((CV1432-CU1432)/ABS(CU1432),"")</f>
        <v>0.1760823653643083</v>
      </c>
      <c r="DB1432" s="1" t="s">
        <v>263</v>
      </c>
      <c r="DC1432" s="317" t="str">
        <f>IF(OR($DB1432="prd",$DB1432="std",$DB1432="cit"),"loc",IF(OR($DB1432="eur",$DB1432="reg",$DB1432="coy"),"reg",$DB1432))</f>
        <v>loc</v>
      </c>
      <c r="DD1432" t="s">
        <v>513</v>
      </c>
      <c r="DE1432">
        <v>2014</v>
      </c>
      <c r="DF1432">
        <v>2014</v>
      </c>
      <c r="DG1432">
        <f>DF1432-DE1432</f>
        <v>0</v>
      </c>
      <c r="DH1432" t="str">
        <f>IF(DG1432=0,"0",IF(AND(DG1432&gt;=1,DG1432&lt;=30),"1-30",IF(AND(DG1432&gt;30,DG1432&lt;=70),"31-70",IF(AND(DG1432&gt;70,DG1432&lt;=100),"71-100",IF(DG1432&gt;100,"+100")))))</f>
        <v>0</v>
      </c>
      <c r="DI1432">
        <v>0</v>
      </c>
      <c r="DJ1432">
        <v>0</v>
      </c>
      <c r="DK1432">
        <v>0</v>
      </c>
      <c r="DL1432">
        <v>1</v>
      </c>
      <c r="DN1432">
        <f>SUM(DI1432:DL1432)</f>
        <v>1</v>
      </c>
      <c r="DO1432" t="str">
        <f>IF(DN1432=1,INDEX($DI$7:$DL$7,MATCH(1,$DI1432:$DL1432,0)),"mixedProduct")</f>
        <v>TimberInput</v>
      </c>
      <c r="DP1432">
        <f>IF(DI1432=1,DP$7,0)</f>
        <v>0</v>
      </c>
      <c r="DQ1432">
        <f>IF(DJ1432=1,DQ$7,0)</f>
        <v>0</v>
      </c>
      <c r="DR1432">
        <f>IF(DK1432=1,DR$7,0)</f>
        <v>0</v>
      </c>
      <c r="DS1432" t="str">
        <f>IF(DL1432=1,DS$7,0)</f>
        <v>Timber</v>
      </c>
      <c r="DT1432">
        <v>0</v>
      </c>
      <c r="DU1432" s="143">
        <v>0</v>
      </c>
      <c r="DV1432" s="143">
        <v>0</v>
      </c>
      <c r="DW1432" s="143">
        <v>0</v>
      </c>
      <c r="DX1432">
        <v>0</v>
      </c>
      <c r="DY1432">
        <f>SUM(DT1432:DU1432)</f>
        <v>0</v>
      </c>
      <c r="DZ1432" s="143" t="str">
        <f>IF(DT1432=1,"self-calculated DF",IF(DU1432=1,"external DF used","explicit C balance"))</f>
        <v>explicit C balance</v>
      </c>
      <c r="EA1432">
        <v>0</v>
      </c>
      <c r="EB1432" s="143">
        <v>0</v>
      </c>
      <c r="EC1432" s="143">
        <v>0</v>
      </c>
      <c r="ED1432" s="143">
        <v>0</v>
      </c>
      <c r="EE1432">
        <v>0</v>
      </c>
      <c r="EF1432" s="143">
        <v>1</v>
      </c>
      <c r="EG1432">
        <v>0</v>
      </c>
      <c r="EH1432" s="143">
        <v>1</v>
      </c>
      <c r="EI1432" s="143">
        <v>0</v>
      </c>
      <c r="EJ1432">
        <v>0</v>
      </c>
      <c r="EK1432">
        <v>0</v>
      </c>
      <c r="EL1432" s="143">
        <v>0</v>
      </c>
      <c r="EM1432" s="143">
        <v>0</v>
      </c>
      <c r="EN1432" s="2">
        <v>0</v>
      </c>
      <c r="EP1432" t="str">
        <f>IF(AND(AND(AND(OR($EC1432=1,$EB1432=1),OR($EH1432=1,$EF1432=1)),SUM($EA1432:$EE1432,$EK1432)&gt;=3),SUM($EF1432:$EJ1432)&gt;=2),"Whole sector approach","")</f>
        <v/>
      </c>
      <c r="EQ1432" t="str">
        <f>IF(AND(AND(OR($EC1432=1,$EB1432=1),AND($EH1432=0,$EF1432=0)),SUM($EA1432:$EE1432,$EK1432)&gt;=3),"Ecosystem approach","")</f>
        <v/>
      </c>
      <c r="ER1432" s="2" t="str">
        <f>IF(AND(AND(AND($EC1432=0,$EB1432=0),OR($EH1432=1,$EF1432=1)),SUM($EG1432:$EJ1432)&gt;=2),"Technology approach","")</f>
        <v/>
      </c>
      <c r="ES1432" t="str">
        <f>IF(AND($EC1432+$EB1432+$EE1432+$EA1432+$ED1432+$EG1432=0,$N1432="included"),"C neutral forest and HWP assumption","")</f>
        <v>C neutral forest and HWP assumption</v>
      </c>
      <c r="ET1432" t="str">
        <f>IF(AND(AND(AND(AND($EC1432=1,$EB1432+$EA1432+$EG1432&gt;=1),$EF1432=1),$EH1432+$EI1432+$ED1432+$EE1432&gt;=2),$N1432="included"),"All C pools assumption","")</f>
        <v/>
      </c>
      <c r="EU1432" t="str">
        <f>IF(AND($ED1432+$EE1432+$EI1432+$EH1432+$EF1432=0,$N1432="included"),"In-situ only assumption","")</f>
        <v/>
      </c>
      <c r="EY1432" t="b">
        <f>IF(ISNUMBER(BW1432),IF(ABS(BW1432-[4]QC_indicators!$B$2)&gt;3*[4]QC_indicators!$C$2,"C ratio",IF(ISNUMBER(CA1432),IF(ABS(CA1432-[4]QC_indicators!$B$1)&gt;3*[4]QC_indicators!$C$1,"DF","no"))),IF(ISNUMBER(CA1432),IF(ABS(CA1432-[4]QC_indicators!$B$1)&gt;3*[4]QC_indicators!$C$1,"DF","no")))</f>
        <v>0</v>
      </c>
      <c r="FA1432" t="str">
        <f>IF(LEN($CY1432)=0,"",IF(AND($CY1432&lt;(-0.05),$ES1432="C neutral forest and HWP assumption"),"Cneutral paradox",IF(AND($CY1432&gt;0.05,$EU1432="In-situ only assumption"),"In-situ only paradox","")))</f>
        <v/>
      </c>
      <c r="FB1432" s="319" t="s">
        <v>349</v>
      </c>
      <c r="FD1432" s="145" t="s">
        <v>4893</v>
      </c>
    </row>
    <row r="1433" spans="1:161" ht="15" hidden="1" customHeight="1">
      <c r="A1433" s="1" t="s">
        <v>500</v>
      </c>
      <c r="B1433" t="s">
        <v>501</v>
      </c>
      <c r="C1433" t="s">
        <v>502</v>
      </c>
      <c r="D1433" t="s">
        <v>503</v>
      </c>
      <c r="E1433" t="s">
        <v>504</v>
      </c>
      <c r="F1433" t="s">
        <v>505</v>
      </c>
      <c r="G1433" t="s">
        <v>506</v>
      </c>
      <c r="H1433" t="s">
        <v>254</v>
      </c>
      <c r="I1433">
        <v>2021</v>
      </c>
      <c r="J1433">
        <v>7</v>
      </c>
      <c r="K1433" t="s">
        <v>507</v>
      </c>
      <c r="M1433" t="str">
        <f>LEFT($D1433,FIND(",",$D1433)-1)&amp;"_"&amp;I1433&amp;L1433</f>
        <v>Caldas_2021</v>
      </c>
      <c r="N1433" t="s">
        <v>222</v>
      </c>
      <c r="O1433" s="145" t="s">
        <v>223</v>
      </c>
      <c r="P1433" t="s">
        <v>508</v>
      </c>
      <c r="Q1433" s="317" t="s">
        <v>256</v>
      </c>
      <c r="R1433" s="318" t="s">
        <v>1029</v>
      </c>
      <c r="S1433" s="1" t="s">
        <v>514</v>
      </c>
      <c r="T1433" t="s">
        <v>4900</v>
      </c>
      <c r="U1433" t="s">
        <v>4901</v>
      </c>
      <c r="V1433" s="253">
        <v>0</v>
      </c>
      <c r="W1433" s="253">
        <v>0</v>
      </c>
      <c r="X1433">
        <v>0</v>
      </c>
      <c r="Y1433">
        <v>0</v>
      </c>
      <c r="Z1433">
        <v>0</v>
      </c>
      <c r="AA1433">
        <v>0</v>
      </c>
      <c r="AB1433">
        <v>0</v>
      </c>
      <c r="AC1433">
        <v>0</v>
      </c>
      <c r="AD1433">
        <v>0</v>
      </c>
      <c r="AE1433">
        <v>0</v>
      </c>
      <c r="AF1433">
        <v>0</v>
      </c>
      <c r="AG1433">
        <v>0</v>
      </c>
      <c r="AH1433">
        <v>1</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s="141">
        <f>COUNTIF(X1433:AY1433,"&lt;&gt;0")</f>
        <v>1</v>
      </c>
      <c r="BA1433" s="141">
        <f>COUNTIF(X1433:AN1433,"&lt;&gt;0")</f>
        <v>1</v>
      </c>
      <c r="BB1433">
        <f>COUNTIF(X1433:AE1433,"&lt;&gt;0")</f>
        <v>0</v>
      </c>
      <c r="BC1433">
        <f>COUNTIF(AF1433:AK1433,"&lt;&gt;0")</f>
        <v>1</v>
      </c>
      <c r="BD1433">
        <f>COUNTIF(AL1433:AN1433,"&lt;&gt;0")</f>
        <v>0</v>
      </c>
      <c r="BE1433">
        <f>COUNTIF(AU1433:AY1433,"&lt;&gt;0")</f>
        <v>0</v>
      </c>
      <c r="BF1433">
        <f>COUNTIF(AO1433:AT1433,"&lt;&gt;0")</f>
        <v>0</v>
      </c>
      <c r="BG1433" t="str" cm="1">
        <f t="array" ref="BG1433">IF(BA1433=1,INDEX($X$7:$AN$7,MATCH(TRUE,INDEX($X1433:$AY1433&lt;&gt;0,),0)),IF(BA1433=0,INDEX($AO$7:$AY$7,MATCH(1,$AO1433:$AY1433,0)),IF(BH1433="Multiple strategies","mixed drivers",IF(BH1433="Supply chain","multiple supply","multiple silviculture"))))</f>
        <v>supply chain organization</v>
      </c>
      <c r="BH1433" s="2" t="str" cm="1">
        <f t="array" ref="BH1433">IF(COUNTIF(BB1433:BD1433,"&lt;&gt;0")=1,INDEX($X$4:$AY$4,MATCH(TRUE,INDEX($X1433:$AY1433&lt;&gt;0,),0)),IF(COUNTIF(BB1433:BD1433,"&lt;&gt;0")=0,INDEX($AO$4:$AY$4,MATCH(1,$AO1433:$AY1433,0)),"Multiple strategies"))</f>
        <v>Supply chain</v>
      </c>
      <c r="BI1433" s="1" t="s">
        <v>229</v>
      </c>
      <c r="BJ1433" t="s">
        <v>510</v>
      </c>
      <c r="BK1433" s="141" t="s">
        <v>4892</v>
      </c>
      <c r="BL1433" t="s">
        <v>511</v>
      </c>
      <c r="BM1433">
        <v>140</v>
      </c>
      <c r="BN1433">
        <v>140</v>
      </c>
      <c r="BP1433">
        <f>BN1433-BM1433</f>
        <v>0</v>
      </c>
      <c r="BQ1433">
        <f>BP1433*kg_to_m3</f>
        <v>0</v>
      </c>
      <c r="BR1433" s="317" t="s">
        <v>232</v>
      </c>
      <c r="BS1433" s="141" t="s">
        <v>4892</v>
      </c>
      <c r="BT1433" t="s">
        <v>512</v>
      </c>
      <c r="BU1433">
        <v>-503</v>
      </c>
      <c r="BV1433">
        <f>-373</f>
        <v>-373</v>
      </c>
      <c r="BW1433" s="144">
        <f>IFERROR(BV1433/BU1433,"")</f>
        <v>0.74155069582504973</v>
      </c>
      <c r="BX1433" s="175">
        <f>BV1433-BU1433</f>
        <v>130</v>
      </c>
      <c r="BZ1433">
        <f>BX1433/1000</f>
        <v>0.13</v>
      </c>
      <c r="CA1433" t="str">
        <f>IFERROR(BZ1433/BQ1433,"")</f>
        <v/>
      </c>
      <c r="CB1433" s="143">
        <v>0</v>
      </c>
      <c r="CC1433" s="143">
        <v>0</v>
      </c>
      <c r="CD1433" s="143">
        <v>0</v>
      </c>
      <c r="CE1433" s="143">
        <v>0</v>
      </c>
      <c r="CF1433" s="143">
        <v>0</v>
      </c>
      <c r="CG1433" s="143">
        <v>0</v>
      </c>
      <c r="CH1433" s="143">
        <v>0</v>
      </c>
      <c r="CI1433" s="143">
        <v>0</v>
      </c>
      <c r="CJ1433" s="143">
        <v>0</v>
      </c>
      <c r="CK1433" s="143">
        <v>0</v>
      </c>
      <c r="CL1433" s="143">
        <v>0</v>
      </c>
      <c r="CM1433" s="143">
        <v>0</v>
      </c>
      <c r="CN1433" s="143">
        <v>0</v>
      </c>
      <c r="CO1433">
        <v>0</v>
      </c>
      <c r="CP1433" t="str">
        <f>IF($BN1433&lt;$BM1433,"refNeedCorrection","refOK")</f>
        <v>refOK</v>
      </c>
      <c r="CQ1433">
        <f>IF($CP1433="refOK",$BM1433,$BN1433)</f>
        <v>140</v>
      </c>
      <c r="CR1433">
        <f>IF($CP1433="refOK",$BN1433,$BM1433)</f>
        <v>140</v>
      </c>
      <c r="CS1433">
        <f>IF($CP1433="refOK",$BQ1433,-$BQ1433)</f>
        <v>0</v>
      </c>
      <c r="CT1433">
        <f>IF(BI1433="Roundwood",$CS1433/2,$CS1433)</f>
        <v>0</v>
      </c>
      <c r="CU1433">
        <f>IF($CP1433="refOK",$BU1433,$BV1433)*IF($BR1433="Emissions positive",-1,1)</f>
        <v>-503</v>
      </c>
      <c r="CV1433">
        <f>IF($CP1433="refOK",$BV1433,$BU1433)*IF($BR1433="Emissions positive",-1,1)</f>
        <v>-373</v>
      </c>
      <c r="CW1433">
        <f>IF($CP1433="refNeedCorrection",-BZ1433,BZ1433)*IF($BR1433="Emissions positive",-1,1)</f>
        <v>0.13</v>
      </c>
      <c r="CX1433" t="str">
        <f>IFERROR($CW1433/$CS1433,"")</f>
        <v/>
      </c>
      <c r="CY1433" t="str">
        <f>IFERROR($CW1433/$CS1433,"")</f>
        <v/>
      </c>
      <c r="CZ1433" t="str">
        <f>IFERROR($CW1433/$CT1433,"")</f>
        <v/>
      </c>
      <c r="DA1433" s="2">
        <f>IFERROR((CV1433-CU1433)/ABS(CU1433),"")</f>
        <v>0.25844930417495032</v>
      </c>
      <c r="DB1433" s="1" t="s">
        <v>263</v>
      </c>
      <c r="DC1433" s="317" t="str">
        <f>IF(OR($DB1433="prd",$DB1433="std",$DB1433="cit"),"loc",IF(OR($DB1433="eur",$DB1433="reg",$DB1433="coy"),"reg",$DB1433))</f>
        <v>loc</v>
      </c>
      <c r="DD1433" t="s">
        <v>513</v>
      </c>
      <c r="DE1433">
        <v>2014</v>
      </c>
      <c r="DF1433">
        <v>2014</v>
      </c>
      <c r="DG1433">
        <f>DF1433-DE1433</f>
        <v>0</v>
      </c>
      <c r="DH1433" t="str">
        <f>IF(DG1433=0,"0",IF(AND(DG1433&gt;=1,DG1433&lt;=30),"1-30",IF(AND(DG1433&gt;30,DG1433&lt;=70),"31-70",IF(AND(DG1433&gt;70,DG1433&lt;=100),"71-100",IF(DG1433&gt;100,"+100")))))</f>
        <v>0</v>
      </c>
      <c r="DI1433">
        <v>0</v>
      </c>
      <c r="DJ1433">
        <v>0</v>
      </c>
      <c r="DK1433">
        <v>0</v>
      </c>
      <c r="DL1433">
        <v>1</v>
      </c>
      <c r="DN1433">
        <f>SUM(DI1433:DL1433)</f>
        <v>1</v>
      </c>
      <c r="DO1433" t="str">
        <f>IF(DN1433=1,INDEX($DI$7:$DL$7,MATCH(1,$DI1433:$DL1433,0)),"mixedProduct")</f>
        <v>TimberInput</v>
      </c>
      <c r="DP1433">
        <f>IF(DI1433=1,DP$7,0)</f>
        <v>0</v>
      </c>
      <c r="DQ1433">
        <f>IF(DJ1433=1,DQ$7,0)</f>
        <v>0</v>
      </c>
      <c r="DR1433">
        <f>IF(DK1433=1,DR$7,0)</f>
        <v>0</v>
      </c>
      <c r="DS1433" t="str">
        <f>IF(DL1433=1,DS$7,0)</f>
        <v>Timber</v>
      </c>
      <c r="DT1433">
        <v>0</v>
      </c>
      <c r="DU1433" s="143">
        <v>0</v>
      </c>
      <c r="DV1433" s="143">
        <v>0</v>
      </c>
      <c r="DW1433" s="143">
        <v>0</v>
      </c>
      <c r="DX1433">
        <v>0</v>
      </c>
      <c r="DY1433">
        <f>SUM(DT1433:DU1433)</f>
        <v>0</v>
      </c>
      <c r="DZ1433" s="143" t="str">
        <f>IF(DT1433=1,"self-calculated DF",IF(DU1433=1,"external DF used","explicit C balance"))</f>
        <v>explicit C balance</v>
      </c>
      <c r="EA1433">
        <v>0</v>
      </c>
      <c r="EB1433" s="143">
        <v>0</v>
      </c>
      <c r="EC1433" s="143">
        <v>0</v>
      </c>
      <c r="ED1433" s="143">
        <v>0</v>
      </c>
      <c r="EE1433">
        <v>0</v>
      </c>
      <c r="EF1433" s="317">
        <v>1</v>
      </c>
      <c r="EG1433">
        <v>0</v>
      </c>
      <c r="EH1433" s="143">
        <v>1</v>
      </c>
      <c r="EI1433" s="143">
        <v>0</v>
      </c>
      <c r="EJ1433">
        <v>0</v>
      </c>
      <c r="EK1433">
        <v>0</v>
      </c>
      <c r="EL1433" s="143">
        <v>0</v>
      </c>
      <c r="EM1433" s="143">
        <v>0</v>
      </c>
      <c r="EN1433" s="2">
        <v>0</v>
      </c>
      <c r="EP1433" t="str">
        <f>IF(AND(AND(AND(OR($EC1433=1,$EB1433=1),OR($EH1433=1,$EF1433=1)),SUM($EA1433:$EE1433,$EK1433)&gt;=3),SUM($EF1433:$EJ1433)&gt;=2),"Whole sector approach","")</f>
        <v/>
      </c>
      <c r="EQ1433" t="str">
        <f>IF(AND(AND(OR($EC1433=1,$EB1433=1),AND($EH1433=0,$EF1433=0)),SUM($EA1433:$EE1433,$EK1433)&gt;=3),"Ecosystem approach","")</f>
        <v/>
      </c>
      <c r="ER1433" s="2" t="str">
        <f>IF(AND(AND(AND($EC1433=0,$EB1433=0),OR($EH1433=1,$EF1433=1)),SUM($EG1433:$EJ1433)&gt;=2),"Technology approach","")</f>
        <v/>
      </c>
      <c r="ES1433" t="str">
        <f>IF(AND($EC1433+$EB1433+$EE1433+$EA1433+$ED1433+$EG1433=0,$N1433="included"),"C neutral forest and HWP assumption","")</f>
        <v>C neutral forest and HWP assumption</v>
      </c>
      <c r="ET1433" t="str">
        <f>IF(AND(AND(AND(AND($EC1433=1,$EB1433+$EA1433+$EG1433&gt;=1),$EF1433=1),$EH1433+$EI1433+$ED1433+$EE1433&gt;=2),$N1433="included"),"All C pools assumption","")</f>
        <v/>
      </c>
      <c r="EU1433" t="str">
        <f>IF(AND($ED1433+$EE1433+$EI1433+$EH1433+$EF1433=0,$N1433="included"),"In-situ only assumption","")</f>
        <v/>
      </c>
      <c r="EY1433" t="b">
        <f>IF(ISNUMBER(BW1433),IF(ABS(BW1433-[4]QC_indicators!$B$2)&gt;3*[4]QC_indicators!$C$2,"C ratio",IF(ISNUMBER(CA1433),IF(ABS(CA1433-[4]QC_indicators!$B$1)&gt;3*[4]QC_indicators!$C$1,"DF","no"))),IF(ISNUMBER(CA1433),IF(ABS(CA1433-[4]QC_indicators!$B$1)&gt;3*[4]QC_indicators!$C$1,"DF","no")))</f>
        <v>0</v>
      </c>
      <c r="FA1433" t="str">
        <f>IF(LEN($CY1433)=0,"",IF(AND($CY1433&lt;(-0.05),$ES1433="C neutral forest and HWP assumption"),"Cneutral paradox",IF(AND($CY1433&gt;0.05,$EU1433="In-situ only assumption"),"In-situ only paradox","")))</f>
        <v/>
      </c>
      <c r="FB1433" s="319" t="s">
        <v>349</v>
      </c>
      <c r="FD1433" s="145" t="s">
        <v>4893</v>
      </c>
    </row>
    <row r="1434" spans="1:161" ht="15" hidden="1" customHeight="1">
      <c r="A1434" s="1" t="s">
        <v>601</v>
      </c>
      <c r="B1434" t="s">
        <v>1565</v>
      </c>
      <c r="C1434" t="s">
        <v>1566</v>
      </c>
      <c r="D1434" t="s">
        <v>1567</v>
      </c>
      <c r="E1434" t="s">
        <v>1568</v>
      </c>
      <c r="F1434" t="s">
        <v>1569</v>
      </c>
      <c r="G1434" t="s">
        <v>607</v>
      </c>
      <c r="H1434" t="s">
        <v>254</v>
      </c>
      <c r="I1434">
        <v>2021</v>
      </c>
      <c r="J1434">
        <v>2</v>
      </c>
      <c r="K1434" t="s">
        <v>1570</v>
      </c>
      <c r="M1434" t="str">
        <f>LEFT($D1434,FIND(",",$D1434)-1)&amp;"_"&amp;I1434&amp;L1434</f>
        <v>Hawkins_2021</v>
      </c>
      <c r="N1434" t="s">
        <v>222</v>
      </c>
      <c r="O1434" s="145" t="s">
        <v>508</v>
      </c>
      <c r="Q1434" t="s">
        <v>256</v>
      </c>
      <c r="R1434" s="2" t="s">
        <v>274</v>
      </c>
      <c r="S1434" s="1" t="s">
        <v>1581</v>
      </c>
      <c r="T1434" t="s">
        <v>986</v>
      </c>
      <c r="U1434" t="s">
        <v>1572</v>
      </c>
      <c r="V1434" s="253">
        <v>0</v>
      </c>
      <c r="W1434" s="253">
        <v>0</v>
      </c>
      <c r="X1434">
        <v>0</v>
      </c>
      <c r="Y1434">
        <v>0</v>
      </c>
      <c r="Z1434">
        <v>0</v>
      </c>
      <c r="AA1434">
        <v>0</v>
      </c>
      <c r="AB1434">
        <v>0</v>
      </c>
      <c r="AC1434">
        <v>0</v>
      </c>
      <c r="AD1434">
        <v>0</v>
      </c>
      <c r="AE1434">
        <v>0</v>
      </c>
      <c r="AF1434">
        <v>0</v>
      </c>
      <c r="AG1434">
        <v>0</v>
      </c>
      <c r="AH1434">
        <v>0</v>
      </c>
      <c r="AI1434">
        <v>0</v>
      </c>
      <c r="AJ1434">
        <v>0</v>
      </c>
      <c r="AK1434">
        <v>0</v>
      </c>
      <c r="AL1434">
        <v>0</v>
      </c>
      <c r="AM1434">
        <v>1</v>
      </c>
      <c r="AN1434">
        <v>0</v>
      </c>
      <c r="AO1434">
        <v>0</v>
      </c>
      <c r="AP1434">
        <v>0</v>
      </c>
      <c r="AQ1434">
        <v>0</v>
      </c>
      <c r="AR1434">
        <v>0</v>
      </c>
      <c r="AS1434">
        <v>0</v>
      </c>
      <c r="AT1434">
        <v>0</v>
      </c>
      <c r="AU1434">
        <v>0</v>
      </c>
      <c r="AV1434">
        <v>0</v>
      </c>
      <c r="AW1434">
        <v>0</v>
      </c>
      <c r="AX1434">
        <v>0</v>
      </c>
      <c r="AY1434">
        <v>0</v>
      </c>
      <c r="AZ1434" s="141">
        <f>COUNTIF(X1434:AY1434,"&lt;&gt;0")</f>
        <v>1</v>
      </c>
      <c r="BA1434" s="141">
        <f>COUNTIF(X1434:AN1434,"&lt;&gt;0")</f>
        <v>1</v>
      </c>
      <c r="BB1434">
        <f>COUNTIF(X1434:AE1434,"&lt;&gt;0")</f>
        <v>0</v>
      </c>
      <c r="BC1434">
        <f>COUNTIF(AF1434:AK1434,"&lt;&gt;0")</f>
        <v>0</v>
      </c>
      <c r="BD1434">
        <f>COUNTIF(AL1434:AN1434,"&lt;&gt;0")</f>
        <v>1</v>
      </c>
      <c r="BE1434">
        <f>COUNTIF(AU1434:AY1434,"&lt;&gt;0")</f>
        <v>0</v>
      </c>
      <c r="BF1434">
        <f>COUNTIF(AO1434:AT1434,"&lt;&gt;0")</f>
        <v>0</v>
      </c>
      <c r="BG1434" t="str">
        <f t="array" ref="BG1434">IF(BA1434=1,INDEX($X$7:$AN$7,MATCH(TRUE,INDEX($X1434:$AY1434&lt;&gt;0,),0)),IF(BA1434=0,INDEX($AO$7:$AY$7,MATCH(1,$AO1434:$AY1434,0)),IF(BH1434="Multiple strategies","mixed drivers",IF(BH1434="Supply chain","multiple supply","multiple silviculture"))))</f>
        <v>technologies/design switch</v>
      </c>
      <c r="BH1434" s="2" t="str" cm="1">
        <f t="array" ref="BH1434">IF(COUNTIF(BB1434:BD1434,"&lt;&gt;0")=1,INDEX($X$4:$AY$4,MATCH(TRUE,INDEX($X1434:$AY1434&lt;&gt;0,),0)),IF(COUNTIF(BB1434:BD1434,"&lt;&gt;0")=0,INDEX($AO$4:$AY$4,MATCH(1,$AO1434:$AY1434,0)),"Multiple strategies"))</f>
        <v>Technology</v>
      </c>
      <c r="BI1434" s="1" t="s">
        <v>229</v>
      </c>
      <c r="BJ1434" t="s">
        <v>229</v>
      </c>
      <c r="BL1434" t="s">
        <v>742</v>
      </c>
      <c r="BM1434">
        <v>0</v>
      </c>
      <c r="BN1434">
        <v>1105.3</v>
      </c>
      <c r="BP1434">
        <f>BN1434-BM1434</f>
        <v>1105.3</v>
      </c>
      <c r="BQ1434">
        <f>BP1434*t_to_m3</f>
        <v>2255.7142857142858</v>
      </c>
      <c r="BR1434" t="s">
        <v>232</v>
      </c>
      <c r="BS1434" s="260" t="s">
        <v>2936</v>
      </c>
      <c r="BT1434" t="s">
        <v>714</v>
      </c>
      <c r="BU1434" s="178">
        <v>-862000</v>
      </c>
      <c r="BV1434" s="178">
        <v>-816000</v>
      </c>
      <c r="BW1434" s="144">
        <f>IFERROR(BV1434/BU1434,"")</f>
        <v>0.94663573085846864</v>
      </c>
      <c r="BX1434" s="178">
        <f>BV1434-BU1434</f>
        <v>46000</v>
      </c>
      <c r="BY1434" s="178"/>
      <c r="BZ1434">
        <f>BX1434/1000</f>
        <v>46</v>
      </c>
      <c r="CA1434">
        <f>IFERROR(BZ1434/BQ1434,"")</f>
        <v>2.039265357821406E-2</v>
      </c>
      <c r="CB1434">
        <v>0</v>
      </c>
      <c r="CC1434">
        <v>1</v>
      </c>
      <c r="CD1434">
        <v>0</v>
      </c>
      <c r="CE1434">
        <v>1</v>
      </c>
      <c r="CF1434">
        <v>0</v>
      </c>
      <c r="CG1434">
        <v>0</v>
      </c>
      <c r="CH1434">
        <v>0</v>
      </c>
      <c r="CI1434">
        <v>1</v>
      </c>
      <c r="CJ1434">
        <v>0</v>
      </c>
      <c r="CK1434">
        <v>0</v>
      </c>
      <c r="CL1434">
        <v>0</v>
      </c>
      <c r="CM1434">
        <v>0</v>
      </c>
      <c r="CN1434">
        <v>0</v>
      </c>
      <c r="CO1434">
        <v>0</v>
      </c>
      <c r="CP1434" t="str">
        <f>IF($BN1434&lt;$BM1434,"refNeedCorrection","refOK")</f>
        <v>refOK</v>
      </c>
      <c r="CQ1434">
        <f>IF($CP1434="refNeedCorrection",BN1434,BM1434)</f>
        <v>0</v>
      </c>
      <c r="CR1434">
        <f>IF($CP1434="refNeedCorrection",BM1434,BN1434)</f>
        <v>1105.3</v>
      </c>
      <c r="CS1434">
        <f>IF($CP1434="refOK",$BQ1434,-$BQ1434)</f>
        <v>2255.7142857142858</v>
      </c>
      <c r="CT1434">
        <f>IF(BI1434="Roundwood",$CS1434/2,$CS1434)</f>
        <v>2255.7142857142858</v>
      </c>
      <c r="CU1434" s="266">
        <f>IF($CP1434="refOK",$BU1434,$BV1434)*IF($BR1434="Emissions positive",-1,1)</f>
        <v>-862000</v>
      </c>
      <c r="CV1434" s="266">
        <f>IF($CP1434="refOK",$BV1434,$BU1434)*IF($BR1434="Emissions positive",-1,1)</f>
        <v>-816000</v>
      </c>
      <c r="CW1434">
        <f>IF($CP1434="refNeedCorrection",-BZ1434,BZ1434)*IF($BR1434="Emissions positive",-1,1)</f>
        <v>46</v>
      </c>
      <c r="CX1434">
        <f>IFERROR($CW1434/$CS1434,"")</f>
        <v>2.039265357821406E-2</v>
      </c>
      <c r="CY1434">
        <f>IFERROR($CW1434/$CS1434,"")</f>
        <v>2.039265357821406E-2</v>
      </c>
      <c r="CZ1434">
        <f>IFERROR($CW1434/$CT1434,"")</f>
        <v>2.039265357821406E-2</v>
      </c>
      <c r="DA1434" s="2">
        <f>IFERROR((CV1434-CU1434)/ABS(CU1434),"")</f>
        <v>5.336426914153132E-2</v>
      </c>
      <c r="DB1434" s="1" t="s">
        <v>1078</v>
      </c>
      <c r="DC1434" t="str">
        <f>IF(OR($DB1434="prd",$DB1434="std",$DB1434="cit"),"loc",IF(OR($DB1434="eur",$DB1434="reg",$DB1434="coy"),"reg",$DB1434))</f>
        <v>reg</v>
      </c>
      <c r="DD1434" s="296" t="s">
        <v>3098</v>
      </c>
      <c r="DG1434">
        <v>100</v>
      </c>
      <c r="DH1434" t="str">
        <f>IF(DG1434=0,"0",IF(AND(DG1434&gt;=1,DG1434&lt;=30),"1-30",IF(AND(DG1434&gt;30,DG1434&lt;=70),"31-70",IF(AND(DG1434&gt;70,DG1434&lt;=100),"71-100",IF(DG1434&gt;100,"+100")))))</f>
        <v>71-100</v>
      </c>
      <c r="DI1434">
        <v>0</v>
      </c>
      <c r="DJ1434">
        <v>0</v>
      </c>
      <c r="DK1434">
        <v>0</v>
      </c>
      <c r="DL1434">
        <v>1</v>
      </c>
      <c r="DN1434">
        <f>SUM(DI1434:DL1434)</f>
        <v>1</v>
      </c>
      <c r="DO1434" t="str">
        <f>IF(DN1434=1,INDEX($DI$7:$DL$7,MATCH(1,$DI1434:$DL1434,0)),"mixedProduct")</f>
        <v>TimberInput</v>
      </c>
      <c r="DP1434">
        <f>IF(DI1434=1,DP$7,0)</f>
        <v>0</v>
      </c>
      <c r="DQ1434">
        <f>IF(DJ1434=1,DQ$7,0)</f>
        <v>0</v>
      </c>
      <c r="DR1434">
        <f>IF(DK1434=1,DR$7,0)</f>
        <v>0</v>
      </c>
      <c r="DS1434" t="str">
        <f>IF(DL1434=1,DS$7,0)</f>
        <v>Timber</v>
      </c>
      <c r="DT1434">
        <v>0</v>
      </c>
      <c r="DU1434">
        <v>0</v>
      </c>
      <c r="DV1434">
        <v>0</v>
      </c>
      <c r="DW1434">
        <v>0</v>
      </c>
      <c r="DX1434">
        <v>0</v>
      </c>
      <c r="DY1434">
        <f>SUM(DT1434:DU1434)</f>
        <v>0</v>
      </c>
      <c r="DZ1434" s="143" t="str">
        <f>IF(DT1434=1,"self-calculated DF",IF(DU1434=1,"external DF used","explicit C balance"))</f>
        <v>explicit C balance</v>
      </c>
      <c r="EA1434">
        <v>0</v>
      </c>
      <c r="EB1434">
        <v>0</v>
      </c>
      <c r="EC1434">
        <v>0</v>
      </c>
      <c r="ED1434">
        <v>1</v>
      </c>
      <c r="EE1434">
        <v>0</v>
      </c>
      <c r="EF1434" s="143">
        <v>0</v>
      </c>
      <c r="EG1434">
        <v>1</v>
      </c>
      <c r="EH1434">
        <v>1</v>
      </c>
      <c r="EI1434">
        <v>1</v>
      </c>
      <c r="EJ1434">
        <v>1</v>
      </c>
      <c r="EK1434">
        <v>1</v>
      </c>
      <c r="EL1434">
        <v>1</v>
      </c>
      <c r="EM1434">
        <v>0</v>
      </c>
      <c r="EN1434" s="2">
        <v>0</v>
      </c>
      <c r="EP1434" t="str">
        <f>IF(AND(AND(AND(OR($EC1434=1,$EB1434=1),OR($EH1434=1,$EF1434=1)),SUM($EA1434:$EE1434,$EK1434)&gt;=3),SUM($EF1434:$EJ1434)&gt;=2),"Whole sector approach","")</f>
        <v/>
      </c>
      <c r="EQ1434" t="str">
        <f>IF(AND(AND(OR($EC1434=1,$EB1434=1),AND($EH1434=0,$EF1434=0)),SUM($EA1434:$EE1434,$EK1434)&gt;=4),"Ecosystem approach","")</f>
        <v/>
      </c>
      <c r="ER1434" s="2" t="str">
        <f>IF(AND(AND(AND($EC1434=0,$EB1434=0),OR($EH1434=1,$EF1434=1)),SUM($EG1434:$EJ1434)&gt;=2),"Technology approach","")</f>
        <v>Technology approach</v>
      </c>
      <c r="ES1434" t="str">
        <f>IF(AND($EC1434+$EB1434+$EE1434+$EA1434+$ED1434+$EG1434=0,$N1434="included"),"C neutral forest and HWP assumption","")</f>
        <v/>
      </c>
      <c r="ET1434" t="str">
        <f>IF(AND(AND(AND(AND($EC1434=1,$EB1434+$EA1434+$EG1434&gt;=1),$EF1434=1),$EH1434+$EI1434+$ED1434+$EE1434&gt;=2),$N1434="included"),"All C pools assumption","")</f>
        <v/>
      </c>
      <c r="EU1434" t="str">
        <f>IF(AND($ED1434+$EE1434+$EI1434+$EH1434+$EF1434=0,$N1434="included"),"In-situ only assumption","")</f>
        <v/>
      </c>
      <c r="EY1434" t="str">
        <f>IF(ISNUMBER(BW1434),IF(ABS(BW1434-[3]QC_indicators!$B$2)&gt;3*[3]QC_indicators!$C$2,"C ratio",IF(ISNUMBER(CA1434),IF(ABS(CA1434-[3]QC_indicators!$B$1)&gt;3*[3]QC_indicators!$C$1,"DF","no"))),IF(ISNUMBER(CA1434),IF(ABS(CA1434-[3]QC_indicators!$B$1)&gt;3*[3]QC_indicators!$C$1,"DF","no")))</f>
        <v>no</v>
      </c>
      <c r="FA1434" t="str">
        <f>IF(LEN($CY1434)=0,"",IF(AND($CY1434&lt;(-0.05),$ES1434="C neutral forest and HWP assumption"),"Cneutral paradox",IF(AND($CY1434&gt;0.05,$EU1434="In-situ only assumption"),"In-situ only paradox","")))</f>
        <v/>
      </c>
      <c r="FD1434" s="260" t="s">
        <v>2827</v>
      </c>
      <c r="FE1434" s="260"/>
    </row>
    <row r="1435" spans="1:161" ht="15" hidden="1" customHeight="1">
      <c r="A1435" s="1" t="s">
        <v>601</v>
      </c>
      <c r="B1435" t="s">
        <v>1565</v>
      </c>
      <c r="C1435" t="s">
        <v>1566</v>
      </c>
      <c r="D1435" t="s">
        <v>1567</v>
      </c>
      <c r="E1435" t="s">
        <v>1568</v>
      </c>
      <c r="F1435" t="s">
        <v>1569</v>
      </c>
      <c r="G1435" t="s">
        <v>607</v>
      </c>
      <c r="H1435" t="s">
        <v>254</v>
      </c>
      <c r="I1435">
        <v>2021</v>
      </c>
      <c r="J1435">
        <v>2</v>
      </c>
      <c r="K1435" t="s">
        <v>1570</v>
      </c>
      <c r="M1435" t="str">
        <f>LEFT($D1435,FIND(",",$D1435)-1)&amp;"_"&amp;I1435&amp;L1435</f>
        <v>Hawkins_2021</v>
      </c>
      <c r="N1435" t="s">
        <v>222</v>
      </c>
      <c r="O1435" s="145" t="s">
        <v>508</v>
      </c>
      <c r="Q1435" t="s">
        <v>256</v>
      </c>
      <c r="R1435" s="2" t="s">
        <v>274</v>
      </c>
      <c r="S1435" s="1" t="s">
        <v>1582</v>
      </c>
      <c r="T1435" t="s">
        <v>652</v>
      </c>
      <c r="U1435" t="s">
        <v>1572</v>
      </c>
      <c r="V1435" s="253">
        <v>0</v>
      </c>
      <c r="W1435" s="253">
        <v>0</v>
      </c>
      <c r="X1435">
        <v>0</v>
      </c>
      <c r="Y1435">
        <v>0</v>
      </c>
      <c r="Z1435">
        <v>0</v>
      </c>
      <c r="AA1435">
        <v>0</v>
      </c>
      <c r="AB1435">
        <v>0</v>
      </c>
      <c r="AC1435">
        <v>0</v>
      </c>
      <c r="AD1435">
        <v>0</v>
      </c>
      <c r="AE1435">
        <v>0</v>
      </c>
      <c r="AF1435">
        <v>0</v>
      </c>
      <c r="AG1435">
        <v>0</v>
      </c>
      <c r="AH1435">
        <v>0</v>
      </c>
      <c r="AI1435">
        <v>0</v>
      </c>
      <c r="AJ1435">
        <v>0</v>
      </c>
      <c r="AK1435">
        <v>0</v>
      </c>
      <c r="AL1435">
        <v>0</v>
      </c>
      <c r="AM1435">
        <v>1</v>
      </c>
      <c r="AN1435">
        <v>0</v>
      </c>
      <c r="AO1435">
        <v>0</v>
      </c>
      <c r="AP1435">
        <v>0</v>
      </c>
      <c r="AQ1435">
        <v>0</v>
      </c>
      <c r="AR1435">
        <v>0</v>
      </c>
      <c r="AS1435">
        <v>0</v>
      </c>
      <c r="AT1435">
        <v>0</v>
      </c>
      <c r="AU1435">
        <v>0</v>
      </c>
      <c r="AV1435">
        <v>0</v>
      </c>
      <c r="AW1435">
        <v>0</v>
      </c>
      <c r="AX1435">
        <v>0</v>
      </c>
      <c r="AY1435">
        <v>0</v>
      </c>
      <c r="AZ1435" s="141">
        <f>COUNTIF(X1435:AY1435,"&lt;&gt;0")</f>
        <v>1</v>
      </c>
      <c r="BA1435" s="141">
        <f>COUNTIF(X1435:AN1435,"&lt;&gt;0")</f>
        <v>1</v>
      </c>
      <c r="BB1435">
        <f>COUNTIF(X1435:AE1435,"&lt;&gt;0")</f>
        <v>0</v>
      </c>
      <c r="BC1435">
        <f>COUNTIF(AF1435:AK1435,"&lt;&gt;0")</f>
        <v>0</v>
      </c>
      <c r="BD1435">
        <f>COUNTIF(AL1435:AN1435,"&lt;&gt;0")</f>
        <v>1</v>
      </c>
      <c r="BE1435">
        <f>COUNTIF(AU1435:AY1435,"&lt;&gt;0")</f>
        <v>0</v>
      </c>
      <c r="BF1435">
        <f>COUNTIF(AO1435:AT1435,"&lt;&gt;0")</f>
        <v>0</v>
      </c>
      <c r="BG1435" t="str">
        <f t="array" ref="BG1435">IF(BA1435=1,INDEX($X$7:$AN$7,MATCH(TRUE,INDEX($X1435:$AY1435&lt;&gt;0,),0)),IF(BA1435=0,INDEX($AO$7:$AY$7,MATCH(1,$AO1435:$AY1435,0)),IF(BH1435="Multiple strategies","mixed drivers",IF(BH1435="Supply chain","multiple supply","multiple silviculture"))))</f>
        <v>technologies/design switch</v>
      </c>
      <c r="BH1435" s="2" t="str" cm="1">
        <f t="array" ref="BH1435">IF(COUNTIF(BB1435:BD1435,"&lt;&gt;0")=1,INDEX($X$4:$AY$4,MATCH(TRUE,INDEX($X1435:$AY1435&lt;&gt;0,),0)),IF(COUNTIF(BB1435:BD1435,"&lt;&gt;0")=0,INDEX($AO$4:$AY$4,MATCH(1,$AO1435:$AY1435,0)),"Multiple strategies"))</f>
        <v>Technology</v>
      </c>
      <c r="BI1435" s="1" t="s">
        <v>229</v>
      </c>
      <c r="BJ1435" t="s">
        <v>229</v>
      </c>
      <c r="BL1435" t="s">
        <v>742</v>
      </c>
      <c r="BM1435">
        <v>0</v>
      </c>
      <c r="BN1435">
        <v>1105.3</v>
      </c>
      <c r="BP1435">
        <f>BN1435-BM1435</f>
        <v>1105.3</v>
      </c>
      <c r="BQ1435">
        <f>BP1435*t_to_m3</f>
        <v>2255.7142857142858</v>
      </c>
      <c r="BR1435" t="s">
        <v>232</v>
      </c>
      <c r="BS1435" s="260" t="s">
        <v>2936</v>
      </c>
      <c r="BT1435" t="s">
        <v>714</v>
      </c>
      <c r="BU1435" s="178">
        <v>-1120000</v>
      </c>
      <c r="BV1435" s="178">
        <v>-816000</v>
      </c>
      <c r="BW1435" s="144">
        <f>IFERROR(BV1435/BU1435,"")</f>
        <v>0.72857142857142854</v>
      </c>
      <c r="BX1435" s="178">
        <f>BV1435-BU1435</f>
        <v>304000</v>
      </c>
      <c r="BY1435" s="178"/>
      <c r="BZ1435">
        <f>BX1435/1000</f>
        <v>304</v>
      </c>
      <c r="CA1435">
        <f>IFERROR(BZ1435/BQ1435,"")</f>
        <v>0.13476884103863204</v>
      </c>
      <c r="CB1435">
        <v>0</v>
      </c>
      <c r="CC1435">
        <v>1</v>
      </c>
      <c r="CD1435">
        <v>0</v>
      </c>
      <c r="CE1435">
        <v>1</v>
      </c>
      <c r="CF1435">
        <v>0</v>
      </c>
      <c r="CG1435">
        <v>0</v>
      </c>
      <c r="CH1435">
        <v>0</v>
      </c>
      <c r="CI1435">
        <v>1</v>
      </c>
      <c r="CJ1435">
        <v>0</v>
      </c>
      <c r="CK1435">
        <v>0</v>
      </c>
      <c r="CL1435">
        <v>0</v>
      </c>
      <c r="CM1435">
        <v>0</v>
      </c>
      <c r="CN1435">
        <v>0</v>
      </c>
      <c r="CO1435">
        <v>0</v>
      </c>
      <c r="CP1435" t="str">
        <f>IF($BN1435&lt;$BM1435,"refNeedCorrection","refOK")</f>
        <v>refOK</v>
      </c>
      <c r="CQ1435">
        <f>IF($CP1435="refNeedCorrection",BN1435,BM1435)</f>
        <v>0</v>
      </c>
      <c r="CR1435">
        <f>IF($CP1435="refNeedCorrection",BM1435,BN1435)</f>
        <v>1105.3</v>
      </c>
      <c r="CS1435">
        <f>IF($CP1435="refOK",$BQ1435,-$BQ1435)</f>
        <v>2255.7142857142858</v>
      </c>
      <c r="CT1435">
        <f>IF(BI1435="Roundwood",$CS1435/2,$CS1435)</f>
        <v>2255.7142857142858</v>
      </c>
      <c r="CU1435" s="266">
        <f>IF($CP1435="refOK",$BU1435,$BV1435)*IF($BR1435="Emissions positive",-1,1)</f>
        <v>-1120000</v>
      </c>
      <c r="CV1435" s="266">
        <f>IF($CP1435="refOK",$BV1435,$BU1435)*IF($BR1435="Emissions positive",-1,1)</f>
        <v>-816000</v>
      </c>
      <c r="CW1435">
        <f>IF($CP1435="refNeedCorrection",-BZ1435,BZ1435)*IF($BR1435="Emissions positive",-1,1)</f>
        <v>304</v>
      </c>
      <c r="CX1435">
        <f>IFERROR($CW1435/$CS1435,"")</f>
        <v>0.13476884103863204</v>
      </c>
      <c r="CY1435">
        <f>IFERROR($CW1435/$CS1435,"")</f>
        <v>0.13476884103863204</v>
      </c>
      <c r="CZ1435">
        <f>IFERROR($CW1435/$CT1435,"")</f>
        <v>0.13476884103863204</v>
      </c>
      <c r="DA1435" s="2">
        <f>IFERROR((CV1435-CU1435)/ABS(CU1435),"")</f>
        <v>0.27142857142857141</v>
      </c>
      <c r="DB1435" s="1" t="s">
        <v>1078</v>
      </c>
      <c r="DC1435" t="str">
        <f>IF(OR($DB1435="prd",$DB1435="std",$DB1435="cit"),"loc",IF(OR($DB1435="eur",$DB1435="reg",$DB1435="coy"),"reg",$DB1435))</f>
        <v>reg</v>
      </c>
      <c r="DD1435" s="296" t="s">
        <v>3098</v>
      </c>
      <c r="DG1435">
        <v>100</v>
      </c>
      <c r="DH1435" t="str">
        <f>IF(DG1435=0,"0",IF(AND(DG1435&gt;=1,DG1435&lt;=30),"1-30",IF(AND(DG1435&gt;30,DG1435&lt;=70),"31-70",IF(AND(DG1435&gt;70,DG1435&lt;=100),"71-100",IF(DG1435&gt;100,"+100")))))</f>
        <v>71-100</v>
      </c>
      <c r="DI1435">
        <v>0</v>
      </c>
      <c r="DJ1435">
        <v>0</v>
      </c>
      <c r="DK1435">
        <v>0</v>
      </c>
      <c r="DL1435">
        <v>1</v>
      </c>
      <c r="DN1435">
        <f>SUM(DI1435:DL1435)</f>
        <v>1</v>
      </c>
      <c r="DO1435" t="str">
        <f>IF(DN1435=1,INDEX($DI$7:$DL$7,MATCH(1,$DI1435:$DL1435,0)),"mixedProduct")</f>
        <v>TimberInput</v>
      </c>
      <c r="DP1435">
        <f>IF(DI1435=1,DP$7,0)</f>
        <v>0</v>
      </c>
      <c r="DQ1435">
        <f>IF(DJ1435=1,DQ$7,0)</f>
        <v>0</v>
      </c>
      <c r="DR1435">
        <f>IF(DK1435=1,DR$7,0)</f>
        <v>0</v>
      </c>
      <c r="DS1435" t="str">
        <f>IF(DL1435=1,DS$7,0)</f>
        <v>Timber</v>
      </c>
      <c r="DT1435">
        <v>0</v>
      </c>
      <c r="DU1435">
        <v>0</v>
      </c>
      <c r="DV1435">
        <v>0</v>
      </c>
      <c r="DW1435">
        <v>0</v>
      </c>
      <c r="DX1435">
        <v>0</v>
      </c>
      <c r="DY1435">
        <f>SUM(DT1435:DU1435)</f>
        <v>0</v>
      </c>
      <c r="DZ1435" s="143" t="str">
        <f>IF(DT1435=1,"self-calculated DF",IF(DU1435=1,"external DF used","explicit C balance"))</f>
        <v>explicit C balance</v>
      </c>
      <c r="EA1435">
        <v>0</v>
      </c>
      <c r="EB1435">
        <v>0</v>
      </c>
      <c r="EC1435">
        <v>0</v>
      </c>
      <c r="ED1435">
        <v>1</v>
      </c>
      <c r="EE1435">
        <v>0</v>
      </c>
      <c r="EF1435" s="143">
        <v>0</v>
      </c>
      <c r="EG1435">
        <v>1</v>
      </c>
      <c r="EH1435">
        <v>1</v>
      </c>
      <c r="EI1435">
        <v>1</v>
      </c>
      <c r="EJ1435">
        <v>1</v>
      </c>
      <c r="EK1435">
        <v>1</v>
      </c>
      <c r="EL1435">
        <v>1</v>
      </c>
      <c r="EM1435">
        <v>0</v>
      </c>
      <c r="EN1435" s="2">
        <v>0</v>
      </c>
      <c r="EP1435" t="str">
        <f>IF(AND(AND(AND(OR($EC1435=1,$EB1435=1),OR($EH1435=1,$EF1435=1)),SUM($EA1435:$EE1435,$EK1435)&gt;=3),SUM($EF1435:$EJ1435)&gt;=2),"Whole sector approach","")</f>
        <v/>
      </c>
      <c r="EQ1435" t="str">
        <f>IF(AND(AND(OR($EC1435=1,$EB1435=1),AND($EH1435=0,$EF1435=0)),SUM($EA1435:$EE1435,$EK1435)&gt;=4),"Ecosystem approach","")</f>
        <v/>
      </c>
      <c r="ER1435" s="2" t="str">
        <f>IF(AND(AND(AND($EC1435=0,$EB1435=0),OR($EH1435=1,$EF1435=1)),SUM($EG1435:$EJ1435)&gt;=2),"Technology approach","")</f>
        <v>Technology approach</v>
      </c>
      <c r="ES1435" t="str">
        <f>IF(AND($EC1435+$EB1435+$EE1435+$EA1435+$ED1435+$EG1435=0,$N1435="included"),"C neutral forest and HWP assumption","")</f>
        <v/>
      </c>
      <c r="ET1435" t="str">
        <f>IF(AND(AND(AND(AND($EC1435=1,$EB1435+$EA1435+$EG1435&gt;=1),$EF1435=1),$EH1435+$EI1435+$ED1435+$EE1435&gt;=2),$N1435="included"),"All C pools assumption","")</f>
        <v/>
      </c>
      <c r="EU1435" t="str">
        <f>IF(AND($ED1435+$EE1435+$EI1435+$EH1435+$EF1435=0,$N1435="included"),"In-situ only assumption","")</f>
        <v/>
      </c>
      <c r="EY1435" t="str">
        <f>IF(ISNUMBER(BW1435),IF(ABS(BW1435-[3]QC_indicators!$B$2)&gt;3*[3]QC_indicators!$C$2,"C ratio",IF(ISNUMBER(CA1435),IF(ABS(CA1435-[3]QC_indicators!$B$1)&gt;3*[3]QC_indicators!$C$1,"DF","no"))),IF(ISNUMBER(CA1435),IF(ABS(CA1435-[3]QC_indicators!$B$1)&gt;3*[3]QC_indicators!$C$1,"DF","no")))</f>
        <v>no</v>
      </c>
      <c r="FA1435" t="str">
        <f>IF(LEN($CY1435)=0,"",IF(AND($CY1435&lt;(-0.05),$ES1435="C neutral forest and HWP assumption"),"Cneutral paradox",IF(AND($CY1435&gt;0.05,$EU1435="In-situ only assumption"),"In-situ only paradox","")))</f>
        <v/>
      </c>
      <c r="FD1435" s="260" t="s">
        <v>2827</v>
      </c>
      <c r="FE1435" s="260"/>
    </row>
    <row r="1436" spans="1:161" ht="15" hidden="1" customHeight="1">
      <c r="A1436" s="1" t="s">
        <v>601</v>
      </c>
      <c r="B1436" t="s">
        <v>1565</v>
      </c>
      <c r="C1436" t="s">
        <v>1566</v>
      </c>
      <c r="D1436" t="s">
        <v>1567</v>
      </c>
      <c r="E1436" t="s">
        <v>1568</v>
      </c>
      <c r="F1436" t="s">
        <v>1569</v>
      </c>
      <c r="G1436" t="s">
        <v>607</v>
      </c>
      <c r="H1436" t="s">
        <v>254</v>
      </c>
      <c r="I1436">
        <v>2021</v>
      </c>
      <c r="J1436">
        <v>2</v>
      </c>
      <c r="K1436" t="s">
        <v>1570</v>
      </c>
      <c r="M1436" t="str">
        <f>LEFT($D1436,FIND(",",$D1436)-1)&amp;"_"&amp;I1436&amp;L1436</f>
        <v>Hawkins_2021</v>
      </c>
      <c r="N1436" t="s">
        <v>222</v>
      </c>
      <c r="O1436" s="145" t="s">
        <v>508</v>
      </c>
      <c r="Q1436" t="s">
        <v>256</v>
      </c>
      <c r="R1436" s="2" t="s">
        <v>274</v>
      </c>
      <c r="S1436" s="1" t="s">
        <v>1583</v>
      </c>
      <c r="T1436" t="s">
        <v>986</v>
      </c>
      <c r="U1436" t="s">
        <v>1572</v>
      </c>
      <c r="V1436" s="253">
        <v>0</v>
      </c>
      <c r="W1436" s="253">
        <v>0</v>
      </c>
      <c r="X1436">
        <v>0</v>
      </c>
      <c r="Y1436">
        <v>0</v>
      </c>
      <c r="Z1436">
        <v>0</v>
      </c>
      <c r="AA1436">
        <v>0</v>
      </c>
      <c r="AB1436">
        <v>0</v>
      </c>
      <c r="AC1436">
        <v>0</v>
      </c>
      <c r="AD1436">
        <v>0</v>
      </c>
      <c r="AE1436">
        <v>0</v>
      </c>
      <c r="AF1436">
        <v>0</v>
      </c>
      <c r="AG1436">
        <v>0</v>
      </c>
      <c r="AH1436">
        <v>0</v>
      </c>
      <c r="AI1436">
        <v>0</v>
      </c>
      <c r="AJ1436">
        <v>0</v>
      </c>
      <c r="AK1436">
        <v>0</v>
      </c>
      <c r="AL1436">
        <v>0</v>
      </c>
      <c r="AM1436">
        <v>1</v>
      </c>
      <c r="AN1436">
        <v>0</v>
      </c>
      <c r="AO1436">
        <v>0</v>
      </c>
      <c r="AP1436">
        <v>0</v>
      </c>
      <c r="AQ1436">
        <v>0</v>
      </c>
      <c r="AR1436">
        <v>0</v>
      </c>
      <c r="AS1436">
        <v>0</v>
      </c>
      <c r="AT1436">
        <v>0</v>
      </c>
      <c r="AU1436">
        <v>0</v>
      </c>
      <c r="AV1436">
        <v>0</v>
      </c>
      <c r="AW1436">
        <v>0</v>
      </c>
      <c r="AX1436">
        <v>0</v>
      </c>
      <c r="AY1436">
        <v>0</v>
      </c>
      <c r="AZ1436" s="141">
        <f>COUNTIF(X1436:AY1436,"&lt;&gt;0")</f>
        <v>1</v>
      </c>
      <c r="BA1436" s="141">
        <f>COUNTIF(X1436:AN1436,"&lt;&gt;0")</f>
        <v>1</v>
      </c>
      <c r="BB1436">
        <f>COUNTIF(X1436:AE1436,"&lt;&gt;0")</f>
        <v>0</v>
      </c>
      <c r="BC1436">
        <f>COUNTIF(AF1436:AK1436,"&lt;&gt;0")</f>
        <v>0</v>
      </c>
      <c r="BD1436">
        <f>COUNTIF(AL1436:AN1436,"&lt;&gt;0")</f>
        <v>1</v>
      </c>
      <c r="BE1436">
        <f>COUNTIF(AU1436:AY1436,"&lt;&gt;0")</f>
        <v>0</v>
      </c>
      <c r="BF1436">
        <f>COUNTIF(AO1436:AT1436,"&lt;&gt;0")</f>
        <v>0</v>
      </c>
      <c r="BG1436" t="str">
        <f t="array" ref="BG1436">IF(BA1436=1,INDEX($X$7:$AN$7,MATCH(TRUE,INDEX($X1436:$AY1436&lt;&gt;0,),0)),IF(BA1436=0,INDEX($AO$7:$AY$7,MATCH(1,$AO1436:$AY1436,0)),IF(BH1436="Multiple strategies","mixed drivers",IF(BH1436="Supply chain","multiple supply","multiple silviculture"))))</f>
        <v>technologies/design switch</v>
      </c>
      <c r="BH1436" s="2" t="str" cm="1">
        <f t="array" ref="BH1436">IF(COUNTIF(BB1436:BD1436,"&lt;&gt;0")=1,INDEX($X$4:$AY$4,MATCH(TRUE,INDEX($X1436:$AY1436&lt;&gt;0,),0)),IF(COUNTIF(BB1436:BD1436,"&lt;&gt;0")=0,INDEX($AO$4:$AY$4,MATCH(1,$AO1436:$AY1436,0)),"Multiple strategies"))</f>
        <v>Technology</v>
      </c>
      <c r="BI1436" s="1" t="s">
        <v>229</v>
      </c>
      <c r="BJ1436" t="s">
        <v>229</v>
      </c>
      <c r="BL1436" t="s">
        <v>742</v>
      </c>
      <c r="BM1436">
        <v>0</v>
      </c>
      <c r="BN1436">
        <v>1105.3</v>
      </c>
      <c r="BP1436">
        <f>BN1436-BM1436</f>
        <v>1105.3</v>
      </c>
      <c r="BQ1436">
        <f>BP1436*t_to_m3</f>
        <v>2255.7142857142858</v>
      </c>
      <c r="BR1436" t="s">
        <v>232</v>
      </c>
      <c r="BS1436" s="260" t="s">
        <v>2936</v>
      </c>
      <c r="BT1436" t="s">
        <v>714</v>
      </c>
      <c r="BU1436" s="178">
        <v>-2200000</v>
      </c>
      <c r="BV1436" s="178">
        <v>-1310000</v>
      </c>
      <c r="BW1436" s="144">
        <f>IFERROR(BV1436/BU1436,"")</f>
        <v>0.59545454545454546</v>
      </c>
      <c r="BX1436" s="178">
        <f>BV1436-BU1436</f>
        <v>890000</v>
      </c>
      <c r="BY1436" s="178"/>
      <c r="BZ1436">
        <f>BX1436/1000</f>
        <v>890</v>
      </c>
      <c r="CA1436">
        <f>IFERROR(BZ1436/BQ1436,"")</f>
        <v>0.39455351488283724</v>
      </c>
      <c r="CB1436">
        <v>0</v>
      </c>
      <c r="CC1436">
        <v>1</v>
      </c>
      <c r="CD1436">
        <v>0</v>
      </c>
      <c r="CE1436">
        <v>1</v>
      </c>
      <c r="CF1436">
        <v>0</v>
      </c>
      <c r="CG1436">
        <v>0</v>
      </c>
      <c r="CH1436">
        <v>0</v>
      </c>
      <c r="CI1436">
        <v>1</v>
      </c>
      <c r="CJ1436">
        <v>0</v>
      </c>
      <c r="CK1436">
        <v>0</v>
      </c>
      <c r="CL1436">
        <v>0</v>
      </c>
      <c r="CM1436">
        <v>0</v>
      </c>
      <c r="CN1436">
        <v>0</v>
      </c>
      <c r="CO1436">
        <v>0</v>
      </c>
      <c r="CP1436" t="str">
        <f>IF($BN1436&lt;$BM1436,"refNeedCorrection","refOK")</f>
        <v>refOK</v>
      </c>
      <c r="CQ1436">
        <f>IF($CP1436="refNeedCorrection",BN1436,BM1436)</f>
        <v>0</v>
      </c>
      <c r="CR1436">
        <f>IF($CP1436="refNeedCorrection",BM1436,BN1436)</f>
        <v>1105.3</v>
      </c>
      <c r="CS1436">
        <f>IF($CP1436="refOK",$BQ1436,-$BQ1436)</f>
        <v>2255.7142857142858</v>
      </c>
      <c r="CT1436">
        <f>IF(BI1436="Roundwood",$CS1436/2,$CS1436)</f>
        <v>2255.7142857142858</v>
      </c>
      <c r="CU1436" s="267">
        <f>IF($CP1436="refOK",$BU1436,$BV1436)*IF($BR1436="Emissions positive",-1,1)</f>
        <v>-2200000</v>
      </c>
      <c r="CV1436" s="267">
        <f>IF($CP1436="refOK",$BV1436,$BU1436)*IF($BR1436="Emissions positive",-1,1)</f>
        <v>-1310000</v>
      </c>
      <c r="CW1436">
        <f>IF($CP1436="refNeedCorrection",-BZ1436,BZ1436)*IF($BR1436="Emissions positive",-1,1)</f>
        <v>890</v>
      </c>
      <c r="CX1436">
        <f>IFERROR($CW1436/$CS1436,"")</f>
        <v>0.39455351488283724</v>
      </c>
      <c r="CY1436">
        <f>IFERROR($CW1436/$CS1436,"")</f>
        <v>0.39455351488283724</v>
      </c>
      <c r="CZ1436">
        <f>IFERROR($CW1436/$CT1436,"")</f>
        <v>0.39455351488283724</v>
      </c>
      <c r="DA1436" s="2">
        <f>IFERROR((CV1436-CU1436)/ABS(CU1436),"")</f>
        <v>0.40454545454545454</v>
      </c>
      <c r="DB1436" s="1" t="s">
        <v>1078</v>
      </c>
      <c r="DC1436" t="str">
        <f>IF(OR($DB1436="prd",$DB1436="std",$DB1436="cit"),"loc",IF(OR($DB1436="eur",$DB1436="reg",$DB1436="coy"),"reg",$DB1436))</f>
        <v>reg</v>
      </c>
      <c r="DD1436" s="296" t="s">
        <v>3098</v>
      </c>
      <c r="DG1436">
        <v>2</v>
      </c>
      <c r="DH1436" t="str">
        <f>IF(DG1436=0,"0",IF(AND(DG1436&gt;=1,DG1436&lt;=30),"1-30",IF(AND(DG1436&gt;30,DG1436&lt;=70),"31-70",IF(AND(DG1436&gt;70,DG1436&lt;=100),"71-100",IF(DG1436&gt;100,"+100")))))</f>
        <v>1-30</v>
      </c>
      <c r="DI1436">
        <v>0</v>
      </c>
      <c r="DJ1436">
        <v>0</v>
      </c>
      <c r="DK1436">
        <v>0</v>
      </c>
      <c r="DL1436">
        <v>1</v>
      </c>
      <c r="DN1436">
        <f>SUM(DI1436:DL1436)</f>
        <v>1</v>
      </c>
      <c r="DO1436" t="str">
        <f>IF(DN1436=1,INDEX($DI$7:$DL$7,MATCH(1,$DI1436:$DL1436,0)),"mixedProduct")</f>
        <v>TimberInput</v>
      </c>
      <c r="DP1436">
        <f>IF(DI1436=1,DP$7,0)</f>
        <v>0</v>
      </c>
      <c r="DQ1436">
        <f>IF(DJ1436=1,DQ$7,0)</f>
        <v>0</v>
      </c>
      <c r="DR1436">
        <f>IF(DK1436=1,DR$7,0)</f>
        <v>0</v>
      </c>
      <c r="DS1436" t="str">
        <f>IF(DL1436=1,DS$7,0)</f>
        <v>Timber</v>
      </c>
      <c r="DT1436">
        <v>0</v>
      </c>
      <c r="DU1436">
        <v>0</v>
      </c>
      <c r="DV1436">
        <v>0</v>
      </c>
      <c r="DW1436">
        <v>0</v>
      </c>
      <c r="DX1436">
        <v>0</v>
      </c>
      <c r="DY1436">
        <f>SUM(DT1436:DU1436)</f>
        <v>0</v>
      </c>
      <c r="DZ1436" s="143" t="str">
        <f>IF(DT1436=1,"self-calculated DF",IF(DU1436=1,"external DF used","explicit C balance"))</f>
        <v>explicit C balance</v>
      </c>
      <c r="EA1436">
        <v>0</v>
      </c>
      <c r="EB1436">
        <v>0</v>
      </c>
      <c r="EC1436">
        <v>0</v>
      </c>
      <c r="ED1436">
        <v>1</v>
      </c>
      <c r="EE1436">
        <v>0</v>
      </c>
      <c r="EF1436" s="143">
        <v>0</v>
      </c>
      <c r="EG1436">
        <v>1</v>
      </c>
      <c r="EH1436">
        <v>1</v>
      </c>
      <c r="EI1436">
        <v>1</v>
      </c>
      <c r="EJ1436">
        <v>1</v>
      </c>
      <c r="EK1436">
        <v>1</v>
      </c>
      <c r="EL1436">
        <v>1</v>
      </c>
      <c r="EM1436">
        <v>0</v>
      </c>
      <c r="EN1436" s="2">
        <v>0</v>
      </c>
      <c r="EP1436" t="str">
        <f>IF(AND(AND(AND(OR($EC1436=1,$EB1436=1),OR($EH1436=1,$EF1436=1)),SUM($EA1436:$EE1436,$EK1436)&gt;=3),SUM($EF1436:$EJ1436)&gt;=2),"Whole sector approach","")</f>
        <v/>
      </c>
      <c r="EQ1436" t="str">
        <f>IF(AND(AND(OR($EC1436=1,$EB1436=1),AND($EH1436=0,$EF1436=0)),SUM($EA1436:$EE1436,$EK1436)&gt;=4),"Ecosystem approach","")</f>
        <v/>
      </c>
      <c r="ER1436" s="2" t="str">
        <f>IF(AND(AND(AND($EC1436=0,$EB1436=0),OR($EH1436=1,$EF1436=1)),SUM($EG1436:$EJ1436)&gt;=2),"Technology approach","")</f>
        <v>Technology approach</v>
      </c>
      <c r="ES1436" t="str">
        <f>IF(AND($EC1436+$EB1436+$EE1436+$EA1436+$ED1436+$EG1436=0,$N1436="included"),"C neutral forest and HWP assumption","")</f>
        <v/>
      </c>
      <c r="ET1436" t="str">
        <f>IF(AND(AND(AND(AND($EC1436=1,$EB1436+$EA1436+$EG1436&gt;=1),$EF1436=1),$EH1436+$EI1436+$ED1436+$EE1436&gt;=2),$N1436="included"),"All C pools assumption","")</f>
        <v/>
      </c>
      <c r="EU1436" t="str">
        <f>IF(AND($ED1436+$EE1436+$EI1436+$EH1436+$EF1436=0,$N1436="included"),"In-situ only assumption","")</f>
        <v/>
      </c>
      <c r="EY1436" t="str">
        <f>IF(ISNUMBER(BW1436),IF(ABS(BW1436-[3]QC_indicators!$B$2)&gt;3*[3]QC_indicators!$C$2,"C ratio",IF(ISNUMBER(CA1436),IF(ABS(CA1436-[3]QC_indicators!$B$1)&gt;3*[3]QC_indicators!$C$1,"DF","no"))),IF(ISNUMBER(CA1436),IF(ABS(CA1436-[3]QC_indicators!$B$1)&gt;3*[3]QC_indicators!$C$1,"DF","no")))</f>
        <v>no</v>
      </c>
      <c r="FA1436" t="str">
        <f>IF(LEN($CY1436)=0,"",IF(AND($CY1436&lt;(-0.05),$ES1436="C neutral forest and HWP assumption"),"Cneutral paradox",IF(AND($CY1436&gt;0.05,$EU1436="In-situ only assumption"),"In-situ only paradox","")))</f>
        <v/>
      </c>
      <c r="FD1436" s="260" t="s">
        <v>2827</v>
      </c>
      <c r="FE1436" s="260"/>
    </row>
    <row r="1437" spans="1:161" ht="17" hidden="1">
      <c r="A1437" s="1" t="s">
        <v>601</v>
      </c>
      <c r="B1437" t="s">
        <v>1565</v>
      </c>
      <c r="C1437" t="s">
        <v>1566</v>
      </c>
      <c r="D1437" t="s">
        <v>1567</v>
      </c>
      <c r="E1437" t="s">
        <v>1568</v>
      </c>
      <c r="F1437" t="s">
        <v>1569</v>
      </c>
      <c r="G1437" t="s">
        <v>607</v>
      </c>
      <c r="H1437" t="s">
        <v>254</v>
      </c>
      <c r="I1437">
        <v>2021</v>
      </c>
      <c r="J1437">
        <v>2</v>
      </c>
      <c r="K1437" t="s">
        <v>1570</v>
      </c>
      <c r="M1437" t="str">
        <f>LEFT($D1437,FIND(",",$D1437)-1)&amp;"_"&amp;I1437&amp;L1437</f>
        <v>Hawkins_2021</v>
      </c>
      <c r="N1437" t="s">
        <v>222</v>
      </c>
      <c r="O1437" s="145" t="s">
        <v>508</v>
      </c>
      <c r="Q1437" t="s">
        <v>256</v>
      </c>
      <c r="R1437" s="2" t="s">
        <v>274</v>
      </c>
      <c r="S1437" s="1" t="s">
        <v>1584</v>
      </c>
      <c r="T1437" t="s">
        <v>986</v>
      </c>
      <c r="U1437" t="s">
        <v>1572</v>
      </c>
      <c r="V1437" s="253">
        <v>0</v>
      </c>
      <c r="W1437" s="253">
        <v>0</v>
      </c>
      <c r="X1437">
        <v>0</v>
      </c>
      <c r="Y1437">
        <v>0</v>
      </c>
      <c r="Z1437">
        <v>0</v>
      </c>
      <c r="AA1437">
        <v>0</v>
      </c>
      <c r="AB1437">
        <v>0</v>
      </c>
      <c r="AC1437">
        <v>0</v>
      </c>
      <c r="AD1437">
        <v>0</v>
      </c>
      <c r="AE1437">
        <v>0</v>
      </c>
      <c r="AF1437">
        <v>0</v>
      </c>
      <c r="AG1437">
        <v>0</v>
      </c>
      <c r="AH1437">
        <v>0</v>
      </c>
      <c r="AI1437">
        <v>0</v>
      </c>
      <c r="AJ1437">
        <v>0</v>
      </c>
      <c r="AK1437">
        <v>0</v>
      </c>
      <c r="AL1437">
        <v>0</v>
      </c>
      <c r="AM1437">
        <v>1</v>
      </c>
      <c r="AN1437">
        <v>0</v>
      </c>
      <c r="AO1437">
        <v>0</v>
      </c>
      <c r="AP1437">
        <v>0</v>
      </c>
      <c r="AQ1437">
        <v>0</v>
      </c>
      <c r="AR1437">
        <v>0</v>
      </c>
      <c r="AS1437">
        <v>0</v>
      </c>
      <c r="AT1437">
        <v>0</v>
      </c>
      <c r="AU1437">
        <v>0</v>
      </c>
      <c r="AV1437">
        <v>0</v>
      </c>
      <c r="AW1437">
        <v>0</v>
      </c>
      <c r="AX1437">
        <v>0</v>
      </c>
      <c r="AY1437">
        <v>0</v>
      </c>
      <c r="AZ1437" s="141">
        <f>COUNTIF(X1437:AY1437,"&lt;&gt;0")</f>
        <v>1</v>
      </c>
      <c r="BA1437" s="141">
        <f>COUNTIF(X1437:AN1437,"&lt;&gt;0")</f>
        <v>1</v>
      </c>
      <c r="BB1437">
        <f>COUNTIF(X1437:AE1437,"&lt;&gt;0")</f>
        <v>0</v>
      </c>
      <c r="BC1437">
        <f>COUNTIF(AF1437:AK1437,"&lt;&gt;0")</f>
        <v>0</v>
      </c>
      <c r="BD1437">
        <f>COUNTIF(AL1437:AN1437,"&lt;&gt;0")</f>
        <v>1</v>
      </c>
      <c r="BE1437">
        <f>COUNTIF(AU1437:AY1437,"&lt;&gt;0")</f>
        <v>0</v>
      </c>
      <c r="BF1437">
        <f>COUNTIF(AO1437:AT1437,"&lt;&gt;0")</f>
        <v>0</v>
      </c>
      <c r="BG1437" t="str">
        <f t="array" ref="BG1437">IF(BA1437=1,INDEX($X$7:$AN$7,MATCH(TRUE,INDEX($X1437:$AY1437&lt;&gt;0,),0)),IF(BA1437=0,INDEX($AO$7:$AY$7,MATCH(1,$AO1437:$AY1437,0)),IF(BH1437="Multiple strategies","mixed drivers",IF(BH1437="Supply chain","multiple supply","multiple silviculture"))))</f>
        <v>technologies/design switch</v>
      </c>
      <c r="BH1437" s="2" t="str" cm="1">
        <f t="array" ref="BH1437">IF(COUNTIF(BB1437:BD1437,"&lt;&gt;0")=1,INDEX($X$4:$AY$4,MATCH(TRUE,INDEX($X1437:$AY1437&lt;&gt;0,),0)),IF(COUNTIF(BB1437:BD1437,"&lt;&gt;0")=0,INDEX($AO$4:$AY$4,MATCH(1,$AO1437:$AY1437,0)),"Multiple strategies"))</f>
        <v>Technology</v>
      </c>
      <c r="BI1437" s="1" t="s">
        <v>229</v>
      </c>
      <c r="BJ1437" t="s">
        <v>229</v>
      </c>
      <c r="BL1437" t="s">
        <v>742</v>
      </c>
      <c r="BM1437">
        <v>0</v>
      </c>
      <c r="BN1437">
        <v>1105.3</v>
      </c>
      <c r="BP1437">
        <f>BN1437-BM1437</f>
        <v>1105.3</v>
      </c>
      <c r="BQ1437">
        <f>BP1437*t_to_m3</f>
        <v>2255.7142857142858</v>
      </c>
      <c r="BR1437" t="s">
        <v>232</v>
      </c>
      <c r="BS1437" s="260" t="s">
        <v>2936</v>
      </c>
      <c r="BT1437" t="s">
        <v>714</v>
      </c>
      <c r="BU1437" s="178">
        <v>-1250000</v>
      </c>
      <c r="BV1437" s="178">
        <v>10200</v>
      </c>
      <c r="BW1437" s="144">
        <f>IFERROR(BV1437/BU1437,"")</f>
        <v>-8.1600000000000006E-3</v>
      </c>
      <c r="BX1437" s="178">
        <f>BV1437-BU1437</f>
        <v>1260200</v>
      </c>
      <c r="BY1437" s="178"/>
      <c r="BZ1437">
        <f>BX1437/1000</f>
        <v>1260.2</v>
      </c>
      <c r="CA1437">
        <f>IFERROR(BZ1437/BQ1437,"")</f>
        <v>0.55867004433185563</v>
      </c>
      <c r="CB1437">
        <v>0</v>
      </c>
      <c r="CC1437">
        <v>1</v>
      </c>
      <c r="CD1437">
        <v>0</v>
      </c>
      <c r="CE1437">
        <v>1</v>
      </c>
      <c r="CF1437">
        <v>0</v>
      </c>
      <c r="CG1437">
        <v>0</v>
      </c>
      <c r="CH1437">
        <v>0</v>
      </c>
      <c r="CI1437">
        <v>1</v>
      </c>
      <c r="CJ1437">
        <v>0</v>
      </c>
      <c r="CK1437">
        <v>0</v>
      </c>
      <c r="CL1437">
        <v>0</v>
      </c>
      <c r="CM1437">
        <v>0</v>
      </c>
      <c r="CN1437">
        <v>0</v>
      </c>
      <c r="CO1437">
        <v>0</v>
      </c>
      <c r="CP1437" t="str">
        <f>IF($BN1437&lt;$BM1437,"refNeedCorrection","refOK")</f>
        <v>refOK</v>
      </c>
      <c r="CQ1437">
        <f>IF($CP1437="refNeedCorrection",BN1437,BM1437)</f>
        <v>0</v>
      </c>
      <c r="CR1437">
        <f>IF($CP1437="refNeedCorrection",BM1437,BN1437)</f>
        <v>1105.3</v>
      </c>
      <c r="CS1437">
        <f>IF($CP1437="refOK",$BQ1437,-$BQ1437)</f>
        <v>2255.7142857142858</v>
      </c>
      <c r="CT1437">
        <f>IF(BI1437="Roundwood",$CS1437/2,$CS1437)</f>
        <v>2255.7142857142858</v>
      </c>
      <c r="CU1437" s="267">
        <f>IF($CP1437="refOK",$BU1437,$BV1437)*IF($BR1437="Emissions positive",-1,1)</f>
        <v>-1250000</v>
      </c>
      <c r="CV1437" s="267">
        <f>IF($CP1437="refOK",$BV1437,$BU1437)*IF($BR1437="Emissions positive",-1,1)</f>
        <v>10200</v>
      </c>
      <c r="CW1437">
        <f>IF($CP1437="refNeedCorrection",-BZ1437,BZ1437)*IF($BR1437="Emissions positive",-1,1)</f>
        <v>1260.2</v>
      </c>
      <c r="CX1437">
        <f>IFERROR($CW1437/$CS1437,"")</f>
        <v>0.55867004433185563</v>
      </c>
      <c r="CY1437">
        <f>IFERROR($CW1437/$CS1437,"")</f>
        <v>0.55867004433185563</v>
      </c>
      <c r="CZ1437">
        <f>IFERROR($CW1437/$CT1437,"")</f>
        <v>0.55867004433185563</v>
      </c>
      <c r="DA1437" s="2">
        <f>IFERROR((CV1437-CU1437)/ABS(CU1437),"")</f>
        <v>1.0081599999999999</v>
      </c>
      <c r="DB1437" s="1" t="s">
        <v>1078</v>
      </c>
      <c r="DC1437" t="str">
        <f>IF(OR($DB1437="prd",$DB1437="std",$DB1437="cit"),"loc",IF(OR($DB1437="eur",$DB1437="reg",$DB1437="coy"),"reg",$DB1437))</f>
        <v>reg</v>
      </c>
      <c r="DD1437" s="296" t="s">
        <v>3098</v>
      </c>
      <c r="DG1437">
        <v>35</v>
      </c>
      <c r="DH1437" t="str">
        <f>IF(DG1437=0,"0",IF(AND(DG1437&gt;=1,DG1437&lt;=30),"1-30",IF(AND(DG1437&gt;30,DG1437&lt;=70),"31-70",IF(AND(DG1437&gt;70,DG1437&lt;=100),"71-100",IF(DG1437&gt;100,"+100")))))</f>
        <v>31-70</v>
      </c>
      <c r="DI1437">
        <v>0</v>
      </c>
      <c r="DJ1437">
        <v>0</v>
      </c>
      <c r="DK1437">
        <v>0</v>
      </c>
      <c r="DL1437">
        <v>1</v>
      </c>
      <c r="DN1437">
        <f>SUM(DI1437:DL1437)</f>
        <v>1</v>
      </c>
      <c r="DO1437" t="str">
        <f>IF(DN1437=1,INDEX($DI$7:$DL$7,MATCH(1,$DI1437:$DL1437,0)),"mixedProduct")</f>
        <v>TimberInput</v>
      </c>
      <c r="DP1437">
        <f>IF(DI1437=1,DP$7,0)</f>
        <v>0</v>
      </c>
      <c r="DQ1437">
        <f>IF(DJ1437=1,DQ$7,0)</f>
        <v>0</v>
      </c>
      <c r="DR1437">
        <f>IF(DK1437=1,DR$7,0)</f>
        <v>0</v>
      </c>
      <c r="DS1437" t="str">
        <f>IF(DL1437=1,DS$7,0)</f>
        <v>Timber</v>
      </c>
      <c r="DT1437">
        <v>0</v>
      </c>
      <c r="DU1437">
        <v>0</v>
      </c>
      <c r="DV1437">
        <v>0</v>
      </c>
      <c r="DW1437">
        <v>0</v>
      </c>
      <c r="DX1437">
        <v>0</v>
      </c>
      <c r="DY1437">
        <f>SUM(DT1437:DU1437)</f>
        <v>0</v>
      </c>
      <c r="DZ1437" s="143" t="str">
        <f>IF(DT1437=1,"self-calculated DF",IF(DU1437=1,"external DF used","explicit C balance"))</f>
        <v>explicit C balance</v>
      </c>
      <c r="EA1437">
        <v>0</v>
      </c>
      <c r="EB1437">
        <v>0</v>
      </c>
      <c r="EC1437">
        <v>0</v>
      </c>
      <c r="ED1437">
        <v>1</v>
      </c>
      <c r="EE1437">
        <v>0</v>
      </c>
      <c r="EF1437" s="143">
        <v>0</v>
      </c>
      <c r="EG1437">
        <v>1</v>
      </c>
      <c r="EH1437">
        <v>1</v>
      </c>
      <c r="EI1437">
        <v>1</v>
      </c>
      <c r="EJ1437">
        <v>1</v>
      </c>
      <c r="EK1437">
        <v>1</v>
      </c>
      <c r="EL1437">
        <v>1</v>
      </c>
      <c r="EM1437">
        <v>0</v>
      </c>
      <c r="EN1437" s="2">
        <v>0</v>
      </c>
      <c r="EP1437" t="str">
        <f>IF(AND(AND(AND(OR($EC1437=1,$EB1437=1),OR($EH1437=1,$EF1437=1)),SUM($EA1437:$EE1437,$EK1437)&gt;=3),SUM($EF1437:$EJ1437)&gt;=2),"Whole sector approach","")</f>
        <v/>
      </c>
      <c r="EQ1437" t="str">
        <f>IF(AND(AND(OR($EC1437=1,$EB1437=1),AND($EH1437=0,$EF1437=0)),SUM($EA1437:$EE1437,$EK1437)&gt;=4),"Ecosystem approach","")</f>
        <v/>
      </c>
      <c r="ER1437" s="2" t="str">
        <f>IF(AND(AND(AND($EC1437=0,$EB1437=0),OR($EH1437=1,$EF1437=1)),SUM($EG1437:$EJ1437)&gt;=2),"Technology approach","")</f>
        <v>Technology approach</v>
      </c>
      <c r="ES1437" t="str">
        <f>IF(AND($EC1437+$EB1437+$EE1437+$EA1437+$ED1437+$EG1437=0,$N1437="included"),"C neutral forest and HWP assumption","")</f>
        <v/>
      </c>
      <c r="ET1437" t="str">
        <f>IF(AND(AND(AND(AND($EC1437=1,$EB1437+$EA1437+$EG1437&gt;=1),$EF1437=1),$EH1437+$EI1437+$ED1437+$EE1437&gt;=2),$N1437="included"),"All C pools assumption","")</f>
        <v/>
      </c>
      <c r="EU1437" t="str">
        <f>IF(AND($ED1437+$EE1437+$EI1437+$EH1437+$EF1437=0,$N1437="included"),"In-situ only assumption","")</f>
        <v/>
      </c>
      <c r="EY1437" t="str">
        <f>IF(ISNUMBER(BW1437),IF(ABS(BW1437-[3]QC_indicators!$B$2)&gt;3*[3]QC_indicators!$C$2,"C ratio",IF(ISNUMBER(CA1437),IF(ABS(CA1437-[3]QC_indicators!$B$1)&gt;3*[3]QC_indicators!$C$1,"DF","no"))),IF(ISNUMBER(CA1437),IF(ABS(CA1437-[3]QC_indicators!$B$1)&gt;3*[3]QC_indicators!$C$1,"DF","no")))</f>
        <v>no</v>
      </c>
      <c r="FA1437" t="str">
        <f>IF(LEN($CY1437)=0,"",IF(AND($CY1437&lt;(-0.05),$ES1437="C neutral forest and HWP assumption"),"Cneutral paradox",IF(AND($CY1437&gt;0.05,$EU1437="In-situ only assumption"),"In-situ only paradox","")))</f>
        <v/>
      </c>
      <c r="FD1437" s="260" t="s">
        <v>2827</v>
      </c>
      <c r="FE1437" s="260"/>
    </row>
    <row r="1438" spans="1:161" ht="15" hidden="1" customHeight="1">
      <c r="A1438" s="1" t="s">
        <v>601</v>
      </c>
      <c r="B1438" t="s">
        <v>1565</v>
      </c>
      <c r="C1438" t="s">
        <v>1566</v>
      </c>
      <c r="D1438" t="s">
        <v>1567</v>
      </c>
      <c r="E1438" t="s">
        <v>1568</v>
      </c>
      <c r="F1438" t="s">
        <v>1569</v>
      </c>
      <c r="G1438" t="s">
        <v>607</v>
      </c>
      <c r="H1438" t="s">
        <v>254</v>
      </c>
      <c r="I1438">
        <v>2021</v>
      </c>
      <c r="J1438">
        <v>2</v>
      </c>
      <c r="K1438" t="s">
        <v>1570</v>
      </c>
      <c r="M1438" t="str">
        <f>LEFT($D1438,FIND(",",$D1438)-1)&amp;"_"&amp;I1438&amp;L1438</f>
        <v>Hawkins_2021</v>
      </c>
      <c r="N1438" t="s">
        <v>222</v>
      </c>
      <c r="O1438" s="145" t="s">
        <v>508</v>
      </c>
      <c r="Q1438" t="s">
        <v>256</v>
      </c>
      <c r="R1438" s="2" t="s">
        <v>274</v>
      </c>
      <c r="S1438" s="1" t="s">
        <v>1585</v>
      </c>
      <c r="T1438" t="s">
        <v>652</v>
      </c>
      <c r="U1438" t="s">
        <v>1572</v>
      </c>
      <c r="V1438" s="253">
        <v>0</v>
      </c>
      <c r="W1438" s="253">
        <v>0</v>
      </c>
      <c r="X1438">
        <v>0</v>
      </c>
      <c r="Y1438">
        <v>0</v>
      </c>
      <c r="Z1438">
        <v>0</v>
      </c>
      <c r="AA1438">
        <v>0</v>
      </c>
      <c r="AB1438">
        <v>0</v>
      </c>
      <c r="AC1438">
        <v>0</v>
      </c>
      <c r="AD1438">
        <v>0</v>
      </c>
      <c r="AE1438">
        <v>0</v>
      </c>
      <c r="AF1438">
        <v>0</v>
      </c>
      <c r="AG1438">
        <v>0</v>
      </c>
      <c r="AH1438">
        <v>0</v>
      </c>
      <c r="AI1438">
        <v>0</v>
      </c>
      <c r="AJ1438">
        <v>0</v>
      </c>
      <c r="AK1438">
        <v>0</v>
      </c>
      <c r="AL1438">
        <v>0</v>
      </c>
      <c r="AM1438">
        <v>1</v>
      </c>
      <c r="AN1438">
        <v>0</v>
      </c>
      <c r="AO1438">
        <v>0</v>
      </c>
      <c r="AP1438">
        <v>0</v>
      </c>
      <c r="AQ1438">
        <v>0</v>
      </c>
      <c r="AR1438">
        <v>0</v>
      </c>
      <c r="AS1438">
        <v>0</v>
      </c>
      <c r="AT1438">
        <v>0</v>
      </c>
      <c r="AU1438">
        <v>0</v>
      </c>
      <c r="AV1438">
        <v>0</v>
      </c>
      <c r="AW1438">
        <v>0</v>
      </c>
      <c r="AX1438">
        <v>0</v>
      </c>
      <c r="AY1438">
        <v>0</v>
      </c>
      <c r="AZ1438" s="141">
        <f>COUNTIF(X1438:AY1438,"&lt;&gt;0")</f>
        <v>1</v>
      </c>
      <c r="BA1438" s="141">
        <f>COUNTIF(X1438:AN1438,"&lt;&gt;0")</f>
        <v>1</v>
      </c>
      <c r="BB1438">
        <f>COUNTIF(X1438:AE1438,"&lt;&gt;0")</f>
        <v>0</v>
      </c>
      <c r="BC1438">
        <f>COUNTIF(AF1438:AK1438,"&lt;&gt;0")</f>
        <v>0</v>
      </c>
      <c r="BD1438">
        <f>COUNTIF(AL1438:AN1438,"&lt;&gt;0")</f>
        <v>1</v>
      </c>
      <c r="BE1438">
        <f>COUNTIF(AU1438:AY1438,"&lt;&gt;0")</f>
        <v>0</v>
      </c>
      <c r="BF1438">
        <f>COUNTIF(AO1438:AT1438,"&lt;&gt;0")</f>
        <v>0</v>
      </c>
      <c r="BG1438" t="str">
        <f t="array" ref="BG1438">IF(BA1438=1,INDEX($X$7:$AN$7,MATCH(TRUE,INDEX($X1438:$AY1438&lt;&gt;0,),0)),IF(BA1438=0,INDEX($AO$7:$AY$7,MATCH(1,$AO1438:$AY1438,0)),IF(BH1438="Multiple strategies","mixed drivers",IF(BH1438="Supply chain","multiple supply","multiple silviculture"))))</f>
        <v>technologies/design switch</v>
      </c>
      <c r="BH1438" s="2" t="str" cm="1">
        <f t="array" ref="BH1438">IF(COUNTIF(BB1438:BD1438,"&lt;&gt;0")=1,INDEX($X$4:$AY$4,MATCH(TRUE,INDEX($X1438:$AY1438&lt;&gt;0,),0)),IF(COUNTIF(BB1438:BD1438,"&lt;&gt;0")=0,INDEX($AO$4:$AY$4,MATCH(1,$AO1438:$AY1438,0)),"Multiple strategies"))</f>
        <v>Technology</v>
      </c>
      <c r="BI1438" s="1" t="s">
        <v>229</v>
      </c>
      <c r="BJ1438" t="s">
        <v>229</v>
      </c>
      <c r="BL1438" t="s">
        <v>742</v>
      </c>
      <c r="BM1438">
        <v>0</v>
      </c>
      <c r="BN1438">
        <v>1105.3</v>
      </c>
      <c r="BP1438">
        <f>BN1438-BM1438</f>
        <v>1105.3</v>
      </c>
      <c r="BQ1438">
        <f>BP1438*t_to_m3</f>
        <v>2255.7142857142858</v>
      </c>
      <c r="BR1438" t="s">
        <v>232</v>
      </c>
      <c r="BS1438" s="260" t="s">
        <v>2936</v>
      </c>
      <c r="BT1438" t="s">
        <v>714</v>
      </c>
      <c r="BU1438" s="178">
        <v>-2790000</v>
      </c>
      <c r="BV1438" s="178">
        <v>-1310000</v>
      </c>
      <c r="BW1438" s="144">
        <f>IFERROR(BV1438/BU1438,"")</f>
        <v>0.46953405017921146</v>
      </c>
      <c r="BX1438" s="178">
        <f>BV1438-BU1438</f>
        <v>1480000</v>
      </c>
      <c r="BY1438" s="178"/>
      <c r="BZ1438">
        <f>BX1438/1000</f>
        <v>1480</v>
      </c>
      <c r="CA1438">
        <f>IFERROR(BZ1438/BQ1438,"")</f>
        <v>0.6561114629512349</v>
      </c>
      <c r="CB1438">
        <v>0</v>
      </c>
      <c r="CC1438">
        <v>1</v>
      </c>
      <c r="CD1438">
        <v>0</v>
      </c>
      <c r="CE1438">
        <v>1</v>
      </c>
      <c r="CF1438">
        <v>0</v>
      </c>
      <c r="CG1438">
        <v>0</v>
      </c>
      <c r="CH1438">
        <v>0</v>
      </c>
      <c r="CI1438">
        <v>1</v>
      </c>
      <c r="CJ1438">
        <v>0</v>
      </c>
      <c r="CK1438">
        <v>0</v>
      </c>
      <c r="CL1438">
        <v>0</v>
      </c>
      <c r="CM1438">
        <v>0</v>
      </c>
      <c r="CN1438">
        <v>0</v>
      </c>
      <c r="CO1438">
        <v>0</v>
      </c>
      <c r="CP1438" t="str">
        <f>IF($BN1438&lt;$BM1438,"refNeedCorrection","refOK")</f>
        <v>refOK</v>
      </c>
      <c r="CQ1438">
        <f>IF($CP1438="refNeedCorrection",BN1438,BM1438)</f>
        <v>0</v>
      </c>
      <c r="CR1438">
        <f>IF($CP1438="refNeedCorrection",BM1438,BN1438)</f>
        <v>1105.3</v>
      </c>
      <c r="CS1438">
        <f>IF($CP1438="refOK",$BQ1438,-$BQ1438)</f>
        <v>2255.7142857142858</v>
      </c>
      <c r="CT1438">
        <f>IF(BI1438="Roundwood",$CS1438/2,$CS1438)</f>
        <v>2255.7142857142858</v>
      </c>
      <c r="CU1438" s="267">
        <f>IF($CP1438="refOK",$BU1438,$BV1438)*IF($BR1438="Emissions positive",-1,1)</f>
        <v>-2790000</v>
      </c>
      <c r="CV1438" s="267">
        <f>IF($CP1438="refOK",$BV1438,$BU1438)*IF($BR1438="Emissions positive",-1,1)</f>
        <v>-1310000</v>
      </c>
      <c r="CW1438">
        <f>IF($CP1438="refNeedCorrection",-BZ1438,BZ1438)*IF($BR1438="Emissions positive",-1,1)</f>
        <v>1480</v>
      </c>
      <c r="CX1438">
        <f>IFERROR($CW1438/$CS1438,"")</f>
        <v>0.6561114629512349</v>
      </c>
      <c r="CY1438">
        <f>IFERROR($CW1438/$CS1438,"")</f>
        <v>0.6561114629512349</v>
      </c>
      <c r="CZ1438">
        <f>IFERROR($CW1438/$CT1438,"")</f>
        <v>0.6561114629512349</v>
      </c>
      <c r="DA1438" s="2">
        <f>IFERROR((CV1438-CU1438)/ABS(CU1438),"")</f>
        <v>0.53046594982078854</v>
      </c>
      <c r="DB1438" s="1" t="s">
        <v>1078</v>
      </c>
      <c r="DC1438" t="str">
        <f>IF(OR($DB1438="prd",$DB1438="std",$DB1438="cit"),"loc",IF(OR($DB1438="eur",$DB1438="reg",$DB1438="coy"),"reg",$DB1438))</f>
        <v>reg</v>
      </c>
      <c r="DD1438" s="296" t="s">
        <v>3098</v>
      </c>
      <c r="DG1438">
        <v>2</v>
      </c>
      <c r="DH1438" t="str">
        <f>IF(DG1438=0,"0",IF(AND(DG1438&gt;=1,DG1438&lt;=30),"1-30",IF(AND(DG1438&gt;30,DG1438&lt;=70),"31-70",IF(AND(DG1438&gt;70,DG1438&lt;=100),"71-100",IF(DG1438&gt;100,"+100")))))</f>
        <v>1-30</v>
      </c>
      <c r="DI1438">
        <v>0</v>
      </c>
      <c r="DJ1438">
        <v>0</v>
      </c>
      <c r="DK1438">
        <v>0</v>
      </c>
      <c r="DL1438">
        <v>1</v>
      </c>
      <c r="DN1438">
        <f>SUM(DI1438:DL1438)</f>
        <v>1</v>
      </c>
      <c r="DO1438" t="str">
        <f>IF(DN1438=1,INDEX($DI$7:$DL$7,MATCH(1,$DI1438:$DL1438,0)),"mixedProduct")</f>
        <v>TimberInput</v>
      </c>
      <c r="DP1438">
        <f>IF(DI1438=1,DP$7,0)</f>
        <v>0</v>
      </c>
      <c r="DQ1438">
        <f>IF(DJ1438=1,DQ$7,0)</f>
        <v>0</v>
      </c>
      <c r="DR1438">
        <f>IF(DK1438=1,DR$7,0)</f>
        <v>0</v>
      </c>
      <c r="DS1438" t="str">
        <f>IF(DL1438=1,DS$7,0)</f>
        <v>Timber</v>
      </c>
      <c r="DT1438">
        <v>0</v>
      </c>
      <c r="DU1438">
        <v>0</v>
      </c>
      <c r="DV1438">
        <v>0</v>
      </c>
      <c r="DW1438">
        <v>0</v>
      </c>
      <c r="DX1438">
        <v>0</v>
      </c>
      <c r="DY1438">
        <f>SUM(DT1438:DU1438)</f>
        <v>0</v>
      </c>
      <c r="DZ1438" s="143" t="str">
        <f>IF(DT1438=1,"self-calculated DF",IF(DU1438=1,"external DF used","explicit C balance"))</f>
        <v>explicit C balance</v>
      </c>
      <c r="EA1438">
        <v>0</v>
      </c>
      <c r="EB1438">
        <v>0</v>
      </c>
      <c r="EC1438">
        <v>0</v>
      </c>
      <c r="ED1438">
        <v>1</v>
      </c>
      <c r="EE1438">
        <v>0</v>
      </c>
      <c r="EF1438" s="143">
        <v>0</v>
      </c>
      <c r="EG1438">
        <v>1</v>
      </c>
      <c r="EH1438">
        <v>1</v>
      </c>
      <c r="EI1438">
        <v>1</v>
      </c>
      <c r="EJ1438">
        <v>1</v>
      </c>
      <c r="EK1438">
        <v>1</v>
      </c>
      <c r="EL1438">
        <v>1</v>
      </c>
      <c r="EM1438">
        <v>0</v>
      </c>
      <c r="EN1438" s="2">
        <v>0</v>
      </c>
      <c r="EP1438" t="str">
        <f>IF(AND(AND(AND(OR($EC1438=1,$EB1438=1),OR($EH1438=1,$EF1438=1)),SUM($EA1438:$EE1438,$EK1438)&gt;=3),SUM($EF1438:$EJ1438)&gt;=2),"Whole sector approach","")</f>
        <v/>
      </c>
      <c r="EQ1438" t="str">
        <f>IF(AND(AND(OR($EC1438=1,$EB1438=1),AND($EH1438=0,$EF1438=0)),SUM($EA1438:$EE1438,$EK1438)&gt;=4),"Ecosystem approach","")</f>
        <v/>
      </c>
      <c r="ER1438" s="2" t="str">
        <f>IF(AND(AND(AND($EC1438=0,$EB1438=0),OR($EH1438=1,$EF1438=1)),SUM($EG1438:$EJ1438)&gt;=2),"Technology approach","")</f>
        <v>Technology approach</v>
      </c>
      <c r="ES1438" t="str">
        <f>IF(AND($EC1438+$EB1438+$EE1438+$EA1438+$ED1438+$EG1438=0,$N1438="included"),"C neutral forest and HWP assumption","")</f>
        <v/>
      </c>
      <c r="ET1438" t="str">
        <f>IF(AND(AND(AND(AND($EC1438=1,$EB1438+$EA1438+$EG1438&gt;=1),$EF1438=1),$EH1438+$EI1438+$ED1438+$EE1438&gt;=2),$N1438="included"),"All C pools assumption","")</f>
        <v/>
      </c>
      <c r="EU1438" t="str">
        <f>IF(AND($ED1438+$EE1438+$EI1438+$EH1438+$EF1438=0,$N1438="included"),"In-situ only assumption","")</f>
        <v/>
      </c>
      <c r="EY1438" t="str">
        <f>IF(ISNUMBER(BW1438),IF(ABS(BW1438-[3]QC_indicators!$B$2)&gt;3*[3]QC_indicators!$C$2,"C ratio",IF(ISNUMBER(CA1438),IF(ABS(CA1438-[3]QC_indicators!$B$1)&gt;3*[3]QC_indicators!$C$1,"DF","no"))),IF(ISNUMBER(CA1438),IF(ABS(CA1438-[3]QC_indicators!$B$1)&gt;3*[3]QC_indicators!$C$1,"DF","no")))</f>
        <v>no</v>
      </c>
      <c r="FA1438" t="str">
        <f>IF(LEN($CY1438)=0,"",IF(AND($CY1438&lt;(-0.05),$ES1438="C neutral forest and HWP assumption"),"Cneutral paradox",IF(AND($CY1438&gt;0.05,$EU1438="In-situ only assumption"),"In-situ only paradox","")))</f>
        <v/>
      </c>
      <c r="FD1438" s="260" t="s">
        <v>2827</v>
      </c>
      <c r="FE1438" s="260"/>
    </row>
    <row r="1439" spans="1:161" ht="15" hidden="1" customHeight="1">
      <c r="A1439" s="1" t="s">
        <v>601</v>
      </c>
      <c r="B1439" t="s">
        <v>1565</v>
      </c>
      <c r="C1439" t="s">
        <v>1566</v>
      </c>
      <c r="D1439" t="s">
        <v>1567</v>
      </c>
      <c r="E1439" t="s">
        <v>1568</v>
      </c>
      <c r="F1439" t="s">
        <v>1569</v>
      </c>
      <c r="G1439" t="s">
        <v>607</v>
      </c>
      <c r="H1439" t="s">
        <v>254</v>
      </c>
      <c r="I1439">
        <v>2021</v>
      </c>
      <c r="J1439">
        <v>2</v>
      </c>
      <c r="K1439" t="s">
        <v>1570</v>
      </c>
      <c r="M1439" t="str">
        <f>LEFT($D1439,FIND(",",$D1439)-1)&amp;"_"&amp;I1439&amp;L1439</f>
        <v>Hawkins_2021</v>
      </c>
      <c r="N1439" t="s">
        <v>222</v>
      </c>
      <c r="O1439" s="145" t="s">
        <v>508</v>
      </c>
      <c r="Q1439" t="s">
        <v>256</v>
      </c>
      <c r="R1439" s="2" t="s">
        <v>274</v>
      </c>
      <c r="S1439" s="1" t="s">
        <v>1586</v>
      </c>
      <c r="T1439" t="s">
        <v>652</v>
      </c>
      <c r="U1439" t="s">
        <v>1572</v>
      </c>
      <c r="V1439" s="253">
        <v>0</v>
      </c>
      <c r="W1439" s="253">
        <v>0</v>
      </c>
      <c r="X1439">
        <v>0</v>
      </c>
      <c r="Y1439">
        <v>0</v>
      </c>
      <c r="Z1439">
        <v>0</v>
      </c>
      <c r="AA1439">
        <v>0</v>
      </c>
      <c r="AB1439">
        <v>0</v>
      </c>
      <c r="AC1439">
        <v>0</v>
      </c>
      <c r="AD1439">
        <v>0</v>
      </c>
      <c r="AE1439">
        <v>0</v>
      </c>
      <c r="AF1439">
        <v>0</v>
      </c>
      <c r="AG1439">
        <v>0</v>
      </c>
      <c r="AH1439">
        <v>0</v>
      </c>
      <c r="AI1439">
        <v>0</v>
      </c>
      <c r="AJ1439">
        <v>0</v>
      </c>
      <c r="AK1439">
        <v>0</v>
      </c>
      <c r="AL1439">
        <v>0</v>
      </c>
      <c r="AM1439">
        <v>1</v>
      </c>
      <c r="AN1439">
        <v>0</v>
      </c>
      <c r="AO1439">
        <v>0</v>
      </c>
      <c r="AP1439">
        <v>0</v>
      </c>
      <c r="AQ1439">
        <v>0</v>
      </c>
      <c r="AR1439">
        <v>0</v>
      </c>
      <c r="AS1439">
        <v>0</v>
      </c>
      <c r="AT1439">
        <v>0</v>
      </c>
      <c r="AU1439">
        <v>0</v>
      </c>
      <c r="AV1439">
        <v>0</v>
      </c>
      <c r="AW1439">
        <v>0</v>
      </c>
      <c r="AX1439">
        <v>0</v>
      </c>
      <c r="AY1439">
        <v>0</v>
      </c>
      <c r="AZ1439" s="141">
        <f>COUNTIF(X1439:AY1439,"&lt;&gt;0")</f>
        <v>1</v>
      </c>
      <c r="BA1439" s="141">
        <f>COUNTIF(X1439:AN1439,"&lt;&gt;0")</f>
        <v>1</v>
      </c>
      <c r="BB1439">
        <f>COUNTIF(X1439:AE1439,"&lt;&gt;0")</f>
        <v>0</v>
      </c>
      <c r="BC1439">
        <f>COUNTIF(AF1439:AK1439,"&lt;&gt;0")</f>
        <v>0</v>
      </c>
      <c r="BD1439">
        <f>COUNTIF(AL1439:AN1439,"&lt;&gt;0")</f>
        <v>1</v>
      </c>
      <c r="BE1439">
        <f>COUNTIF(AU1439:AY1439,"&lt;&gt;0")</f>
        <v>0</v>
      </c>
      <c r="BF1439">
        <f>COUNTIF(AO1439:AT1439,"&lt;&gt;0")</f>
        <v>0</v>
      </c>
      <c r="BG1439" t="str">
        <f t="array" ref="BG1439">IF(BA1439=1,INDEX($X$7:$AN$7,MATCH(TRUE,INDEX($X1439:$AY1439&lt;&gt;0,),0)),IF(BA1439=0,INDEX($AO$7:$AY$7,MATCH(1,$AO1439:$AY1439,0)),IF(BH1439="Multiple strategies","mixed drivers",IF(BH1439="Supply chain","multiple supply","multiple silviculture"))))</f>
        <v>technologies/design switch</v>
      </c>
      <c r="BH1439" s="2" t="str" cm="1">
        <f t="array" ref="BH1439">IF(COUNTIF(BB1439:BD1439,"&lt;&gt;0")=1,INDEX($X$4:$AY$4,MATCH(TRUE,INDEX($X1439:$AY1439&lt;&gt;0,),0)),IF(COUNTIF(BB1439:BD1439,"&lt;&gt;0")=0,INDEX($AO$4:$AY$4,MATCH(1,$AO1439:$AY1439,0)),"Multiple strategies"))</f>
        <v>Technology</v>
      </c>
      <c r="BI1439" s="1" t="s">
        <v>229</v>
      </c>
      <c r="BJ1439" t="s">
        <v>229</v>
      </c>
      <c r="BL1439" t="s">
        <v>742</v>
      </c>
      <c r="BM1439">
        <v>0</v>
      </c>
      <c r="BN1439">
        <v>1105.3</v>
      </c>
      <c r="BP1439">
        <f>BN1439-BM1439</f>
        <v>1105.3</v>
      </c>
      <c r="BQ1439">
        <f>BP1439*t_to_m3</f>
        <v>2255.7142857142858</v>
      </c>
      <c r="BR1439" t="s">
        <v>232</v>
      </c>
      <c r="BS1439" s="260" t="s">
        <v>2936</v>
      </c>
      <c r="BT1439" t="s">
        <v>714</v>
      </c>
      <c r="BU1439" s="178">
        <v>-1580000</v>
      </c>
      <c r="BV1439" s="178">
        <v>10200</v>
      </c>
      <c r="BW1439" s="144">
        <f>IFERROR(BV1439/BU1439,"")</f>
        <v>-6.4556962025316455E-3</v>
      </c>
      <c r="BX1439" s="178">
        <f>BV1439-BU1439</f>
        <v>1590200</v>
      </c>
      <c r="BY1439" s="178"/>
      <c r="BZ1439">
        <f>BX1439/1000</f>
        <v>1590.2</v>
      </c>
      <c r="CA1439">
        <f>IFERROR(BZ1439/BQ1439,"")</f>
        <v>0.7049651678277391</v>
      </c>
      <c r="CB1439">
        <v>0</v>
      </c>
      <c r="CC1439">
        <v>1</v>
      </c>
      <c r="CD1439">
        <v>0</v>
      </c>
      <c r="CE1439">
        <v>1</v>
      </c>
      <c r="CF1439">
        <v>0</v>
      </c>
      <c r="CG1439">
        <v>0</v>
      </c>
      <c r="CH1439">
        <v>0</v>
      </c>
      <c r="CI1439">
        <v>1</v>
      </c>
      <c r="CJ1439">
        <v>0</v>
      </c>
      <c r="CK1439">
        <v>0</v>
      </c>
      <c r="CL1439">
        <v>0</v>
      </c>
      <c r="CM1439">
        <v>0</v>
      </c>
      <c r="CN1439">
        <v>0</v>
      </c>
      <c r="CO1439">
        <v>0</v>
      </c>
      <c r="CP1439" t="str">
        <f>IF($BN1439&lt;$BM1439,"refNeedCorrection","refOK")</f>
        <v>refOK</v>
      </c>
      <c r="CQ1439">
        <f>IF($CP1439="refNeedCorrection",BN1439,BM1439)</f>
        <v>0</v>
      </c>
      <c r="CR1439">
        <f>IF($CP1439="refNeedCorrection",BM1439,BN1439)</f>
        <v>1105.3</v>
      </c>
      <c r="CS1439">
        <f>IF($CP1439="refOK",$BQ1439,-$BQ1439)</f>
        <v>2255.7142857142858</v>
      </c>
      <c r="CT1439">
        <f>IF(BI1439="Roundwood",$CS1439/2,$CS1439)</f>
        <v>2255.7142857142858</v>
      </c>
      <c r="CU1439" s="267">
        <f>IF($CP1439="refOK",$BU1439,$BV1439)*IF($BR1439="Emissions positive",-1,1)</f>
        <v>-1580000</v>
      </c>
      <c r="CV1439" s="267">
        <f>IF($CP1439="refOK",$BV1439,$BU1439)*IF($BR1439="Emissions positive",-1,1)</f>
        <v>10200</v>
      </c>
      <c r="CW1439">
        <f>IF($CP1439="refNeedCorrection",-BZ1439,BZ1439)*IF($BR1439="Emissions positive",-1,1)</f>
        <v>1590.2</v>
      </c>
      <c r="CX1439">
        <f>IFERROR($CW1439/$CS1439,"")</f>
        <v>0.7049651678277391</v>
      </c>
      <c r="CY1439">
        <f>IFERROR($CW1439/$CS1439,"")</f>
        <v>0.7049651678277391</v>
      </c>
      <c r="CZ1439">
        <f>IFERROR($CW1439/$CT1439,"")</f>
        <v>0.7049651678277391</v>
      </c>
      <c r="DA1439" s="2">
        <f>IFERROR((CV1439-CU1439)/ABS(CU1439),"")</f>
        <v>1.0064556962025317</v>
      </c>
      <c r="DB1439" s="1" t="s">
        <v>1078</v>
      </c>
      <c r="DC1439" t="str">
        <f>IF(OR($DB1439="prd",$DB1439="std",$DB1439="cit"),"loc",IF(OR($DB1439="eur",$DB1439="reg",$DB1439="coy"),"reg",$DB1439))</f>
        <v>reg</v>
      </c>
      <c r="DD1439" s="296" t="s">
        <v>3098</v>
      </c>
      <c r="DG1439">
        <v>35</v>
      </c>
      <c r="DH1439" t="str">
        <f>IF(DG1439=0,"0",IF(AND(DG1439&gt;=1,DG1439&lt;=30),"1-30",IF(AND(DG1439&gt;30,DG1439&lt;=70),"31-70",IF(AND(DG1439&gt;70,DG1439&lt;=100),"71-100",IF(DG1439&gt;100,"+100")))))</f>
        <v>31-70</v>
      </c>
      <c r="DI1439">
        <v>0</v>
      </c>
      <c r="DJ1439">
        <v>0</v>
      </c>
      <c r="DK1439">
        <v>0</v>
      </c>
      <c r="DL1439">
        <v>1</v>
      </c>
      <c r="DN1439">
        <f>SUM(DI1439:DL1439)</f>
        <v>1</v>
      </c>
      <c r="DO1439" t="str">
        <f>IF(DN1439=1,INDEX($DI$7:$DL$7,MATCH(1,$DI1439:$DL1439,0)),"mixedProduct")</f>
        <v>TimberInput</v>
      </c>
      <c r="DP1439">
        <f>IF(DI1439=1,DP$7,0)</f>
        <v>0</v>
      </c>
      <c r="DQ1439">
        <f>IF(DJ1439=1,DQ$7,0)</f>
        <v>0</v>
      </c>
      <c r="DR1439">
        <f>IF(DK1439=1,DR$7,0)</f>
        <v>0</v>
      </c>
      <c r="DS1439" t="str">
        <f>IF(DL1439=1,DS$7,0)</f>
        <v>Timber</v>
      </c>
      <c r="DT1439">
        <v>0</v>
      </c>
      <c r="DU1439">
        <v>0</v>
      </c>
      <c r="DV1439">
        <v>0</v>
      </c>
      <c r="DW1439">
        <v>0</v>
      </c>
      <c r="DX1439">
        <v>0</v>
      </c>
      <c r="DY1439">
        <f>SUM(DT1439:DU1439)</f>
        <v>0</v>
      </c>
      <c r="DZ1439" s="143" t="str">
        <f>IF(DT1439=1,"self-calculated DF",IF(DU1439=1,"external DF used","explicit C balance"))</f>
        <v>explicit C balance</v>
      </c>
      <c r="EA1439">
        <v>0</v>
      </c>
      <c r="EB1439">
        <v>0</v>
      </c>
      <c r="EC1439">
        <v>0</v>
      </c>
      <c r="ED1439">
        <v>1</v>
      </c>
      <c r="EE1439">
        <v>0</v>
      </c>
      <c r="EF1439" s="143">
        <v>0</v>
      </c>
      <c r="EG1439">
        <v>1</v>
      </c>
      <c r="EH1439">
        <v>1</v>
      </c>
      <c r="EI1439">
        <v>1</v>
      </c>
      <c r="EJ1439">
        <v>1</v>
      </c>
      <c r="EK1439">
        <v>1</v>
      </c>
      <c r="EL1439">
        <v>1</v>
      </c>
      <c r="EM1439">
        <v>0</v>
      </c>
      <c r="EN1439" s="2">
        <v>0</v>
      </c>
      <c r="EP1439" t="str">
        <f>IF(AND(AND(AND(OR($EC1439=1,$EB1439=1),OR($EH1439=1,$EF1439=1)),SUM($EA1439:$EE1439,$EK1439)&gt;=3),SUM($EF1439:$EJ1439)&gt;=2),"Whole sector approach","")</f>
        <v/>
      </c>
      <c r="EQ1439" t="str">
        <f>IF(AND(AND(OR($EC1439=1,$EB1439=1),AND($EH1439=0,$EF1439=0)),SUM($EA1439:$EE1439,$EK1439)&gt;=4),"Ecosystem approach","")</f>
        <v/>
      </c>
      <c r="ER1439" s="2" t="str">
        <f>IF(AND(AND(AND($EC1439=0,$EB1439=0),OR($EH1439=1,$EF1439=1)),SUM($EG1439:$EJ1439)&gt;=2),"Technology approach","")</f>
        <v>Technology approach</v>
      </c>
      <c r="ES1439" t="str">
        <f>IF(AND($EC1439+$EB1439+$EE1439+$EA1439+$ED1439+$EG1439=0,$N1439="included"),"C neutral forest and HWP assumption","")</f>
        <v/>
      </c>
      <c r="ET1439" t="str">
        <f>IF(AND(AND(AND(AND($EC1439=1,$EB1439+$EA1439+$EG1439&gt;=1),$EF1439=1),$EH1439+$EI1439+$ED1439+$EE1439&gt;=2),$N1439="included"),"All C pools assumption","")</f>
        <v/>
      </c>
      <c r="EU1439" t="str">
        <f>IF(AND($ED1439+$EE1439+$EI1439+$EH1439+$EF1439=0,$N1439="included"),"In-situ only assumption","")</f>
        <v/>
      </c>
      <c r="EY1439" t="str">
        <f>IF(ISNUMBER(BW1439),IF(ABS(BW1439-[3]QC_indicators!$B$2)&gt;3*[3]QC_indicators!$C$2,"C ratio",IF(ISNUMBER(CA1439),IF(ABS(CA1439-[3]QC_indicators!$B$1)&gt;3*[3]QC_indicators!$C$1,"DF","no"))),IF(ISNUMBER(CA1439),IF(ABS(CA1439-[3]QC_indicators!$B$1)&gt;3*[3]QC_indicators!$C$1,"DF","no")))</f>
        <v>no</v>
      </c>
      <c r="FA1439" t="str">
        <f>IF(LEN($CY1439)=0,"",IF(AND($CY1439&lt;(-0.05),$ES1439="C neutral forest and HWP assumption"),"Cneutral paradox",IF(AND($CY1439&gt;0.05,$EU1439="In-situ only assumption"),"In-situ only paradox","")))</f>
        <v/>
      </c>
      <c r="FD1439" s="260" t="s">
        <v>2827</v>
      </c>
      <c r="FE1439" s="260"/>
    </row>
    <row r="1440" spans="1:161" ht="15" hidden="1" customHeight="1">
      <c r="A1440" s="1" t="s">
        <v>601</v>
      </c>
      <c r="B1440" t="s">
        <v>1565</v>
      </c>
      <c r="C1440" t="s">
        <v>1566</v>
      </c>
      <c r="D1440" t="s">
        <v>1567</v>
      </c>
      <c r="E1440" t="s">
        <v>1568</v>
      </c>
      <c r="F1440" t="s">
        <v>1569</v>
      </c>
      <c r="G1440" t="s">
        <v>607</v>
      </c>
      <c r="H1440" t="s">
        <v>254</v>
      </c>
      <c r="I1440">
        <v>2021</v>
      </c>
      <c r="J1440">
        <v>2</v>
      </c>
      <c r="K1440" t="s">
        <v>1570</v>
      </c>
      <c r="M1440" t="str">
        <f>LEFT($D1440,FIND(",",$D1440)-1)&amp;"_"&amp;I1440&amp;L1440</f>
        <v>Hawkins_2021</v>
      </c>
      <c r="N1440" t="s">
        <v>222</v>
      </c>
      <c r="O1440" s="145" t="s">
        <v>508</v>
      </c>
      <c r="Q1440" t="s">
        <v>256</v>
      </c>
      <c r="R1440" s="2" t="s">
        <v>274</v>
      </c>
      <c r="S1440" s="1" t="s">
        <v>1580</v>
      </c>
      <c r="T1440" t="s">
        <v>1577</v>
      </c>
      <c r="U1440" t="s">
        <v>1572</v>
      </c>
      <c r="V1440" s="253">
        <v>0</v>
      </c>
      <c r="W1440" s="253">
        <v>0</v>
      </c>
      <c r="X1440">
        <v>0</v>
      </c>
      <c r="Y1440">
        <v>0</v>
      </c>
      <c r="Z1440">
        <v>0</v>
      </c>
      <c r="AA1440">
        <v>0</v>
      </c>
      <c r="AB1440">
        <v>0</v>
      </c>
      <c r="AC1440">
        <v>1</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s="141">
        <f>COUNTIF(X1440:AY1440,"&lt;&gt;0")</f>
        <v>1</v>
      </c>
      <c r="BA1440" s="141">
        <f>COUNTIF(X1440:AN1440,"&lt;&gt;0")</f>
        <v>1</v>
      </c>
      <c r="BB1440">
        <f>COUNTIF(X1440:AE1440,"&lt;&gt;0")</f>
        <v>1</v>
      </c>
      <c r="BC1440">
        <f>COUNTIF(AF1440:AK1440,"&lt;&gt;0")</f>
        <v>0</v>
      </c>
      <c r="BD1440">
        <f>COUNTIF(AL1440:AN1440,"&lt;&gt;0")</f>
        <v>0</v>
      </c>
      <c r="BE1440">
        <f>COUNTIF(AU1440:AY1440,"&lt;&gt;0")</f>
        <v>0</v>
      </c>
      <c r="BF1440">
        <f>COUNTIF(AO1440:AT1440,"&lt;&gt;0")</f>
        <v>0</v>
      </c>
      <c r="BG1440" t="str">
        <f t="array" ref="BG1440">IF(BA1440=1,INDEX($X$7:$AN$7,MATCH(TRUE,INDEX($X1440:$AY1440&lt;&gt;0,),0)),IF(BA1440=0,INDEX($AO$7:$AY$7,MATCH(1,$AO1440:$AY1440,0)),IF(BH1440="Multiple strategies","mixed drivers",IF(BH1440="Supply chain","multiple supply","multiple silviculture"))))</f>
        <v>plantation density</v>
      </c>
      <c r="BH1440" s="2" t="str" cm="1">
        <f t="array" ref="BH1440">IF(COUNTIF(BB1440:BD1440,"&lt;&gt;0")=1,INDEX($X$4:$AY$4,MATCH(TRUE,INDEX($X1440:$AY1440&lt;&gt;0,),0)),IF(COUNTIF(BB1440:BD1440,"&lt;&gt;0")=0,INDEX($AO$4:$AY$4,MATCH(1,$AO1440:$AY1440,0)),"Multiple strategies"))</f>
        <v>Silviculture for productivity</v>
      </c>
      <c r="BI1440" s="1" t="s">
        <v>229</v>
      </c>
      <c r="BJ1440" t="s">
        <v>229</v>
      </c>
      <c r="BL1440" t="s">
        <v>742</v>
      </c>
      <c r="BM1440">
        <v>1105.3</v>
      </c>
      <c r="BN1440">
        <v>1105.3</v>
      </c>
      <c r="BP1440">
        <f>BN1440-BM1440</f>
        <v>0</v>
      </c>
      <c r="BQ1440">
        <f>BP1440*t_to_m3</f>
        <v>0</v>
      </c>
      <c r="BR1440" t="s">
        <v>232</v>
      </c>
      <c r="BS1440" s="260" t="s">
        <v>2936</v>
      </c>
      <c r="BT1440" t="s">
        <v>714</v>
      </c>
      <c r="BU1440" s="178">
        <v>-1310000</v>
      </c>
      <c r="BV1440" s="178">
        <v>-1310000</v>
      </c>
      <c r="BW1440" s="144">
        <f>IFERROR(BV1440/BU1440,"")</f>
        <v>1</v>
      </c>
      <c r="BX1440" s="178">
        <f>BV1440-BU1440</f>
        <v>0</v>
      </c>
      <c r="BY1440" s="178"/>
      <c r="BZ1440">
        <f>BX1440/1000</f>
        <v>0</v>
      </c>
      <c r="CA1440" t="str">
        <f>IFERROR(BZ1440/BQ1440,"")</f>
        <v/>
      </c>
      <c r="CB1440">
        <v>0</v>
      </c>
      <c r="CC1440">
        <v>1</v>
      </c>
      <c r="CD1440">
        <v>0</v>
      </c>
      <c r="CE1440">
        <v>1</v>
      </c>
      <c r="CF1440">
        <v>0</v>
      </c>
      <c r="CG1440">
        <v>0</v>
      </c>
      <c r="CH1440">
        <v>0</v>
      </c>
      <c r="CI1440">
        <v>1</v>
      </c>
      <c r="CJ1440">
        <v>0</v>
      </c>
      <c r="CK1440">
        <v>0</v>
      </c>
      <c r="CL1440">
        <v>0</v>
      </c>
      <c r="CM1440">
        <v>0</v>
      </c>
      <c r="CN1440">
        <v>0</v>
      </c>
      <c r="CO1440">
        <v>0</v>
      </c>
      <c r="CP1440" t="str">
        <f>IF($BN1440&lt;$BM1440,"refNeedCorrection","refOK")</f>
        <v>refOK</v>
      </c>
      <c r="CQ1440">
        <f>IF($CP1440="refNeedCorrection",BN1440,BM1440)</f>
        <v>1105.3</v>
      </c>
      <c r="CR1440">
        <f>IF($CP1440="refNeedCorrection",BM1440,BN1440)</f>
        <v>1105.3</v>
      </c>
      <c r="CS1440">
        <f>IF($CP1440="refOK",$BQ1440,-$BQ1440)</f>
        <v>0</v>
      </c>
      <c r="CT1440">
        <f>IF(BI1440="Roundwood",$CS1440/2,$CS1440)</f>
        <v>0</v>
      </c>
      <c r="CU1440">
        <f>IF($CP1440="refOK",$BU1440,$BV1440)*IF($BR1440="Emissions positive",-1,1)</f>
        <v>-1310000</v>
      </c>
      <c r="CV1440">
        <f>IF($CP1440="refOK",$BV1440,$BU1440)*IF($BR1440="Emissions positive",-1,1)</f>
        <v>-1310000</v>
      </c>
      <c r="CW1440">
        <f>IF($CP1440="refNeedCorrection",-BZ1440,BZ1440)*IF($BR1440="Emissions positive",-1,1)</f>
        <v>0</v>
      </c>
      <c r="CX1440" t="str">
        <f>IFERROR($CW1440/$CS1440,"")</f>
        <v/>
      </c>
      <c r="CY1440" t="str">
        <f>IFERROR($CW1440/$CS1440,"")</f>
        <v/>
      </c>
      <c r="CZ1440" t="str">
        <f>IFERROR($CW1440/$CT1440,"")</f>
        <v/>
      </c>
      <c r="DA1440" s="2">
        <f>IFERROR((CV1440-CU1440)/ABS(CU1440),"")</f>
        <v>0</v>
      </c>
      <c r="DB1440" s="1" t="s">
        <v>1078</v>
      </c>
      <c r="DC1440" t="str">
        <f>IF(OR($DB1440="prd",$DB1440="std",$DB1440="cit"),"loc",IF(OR($DB1440="eur",$DB1440="reg",$DB1440="coy"),"reg",$DB1440))</f>
        <v>reg</v>
      </c>
      <c r="DD1440" s="296" t="s">
        <v>3098</v>
      </c>
      <c r="DG1440">
        <v>2</v>
      </c>
      <c r="DH1440" t="str">
        <f>IF(DG1440=0,"0",IF(AND(DG1440&gt;=1,DG1440&lt;=30),"1-30",IF(AND(DG1440&gt;30,DG1440&lt;=70),"31-70",IF(AND(DG1440&gt;70,DG1440&lt;=100),"71-100",IF(DG1440&gt;100,"+100")))))</f>
        <v>1-30</v>
      </c>
      <c r="DI1440">
        <v>0</v>
      </c>
      <c r="DJ1440">
        <v>0</v>
      </c>
      <c r="DK1440">
        <v>0</v>
      </c>
      <c r="DL1440">
        <v>1</v>
      </c>
      <c r="DN1440">
        <f>SUM(DI1440:DL1440)</f>
        <v>1</v>
      </c>
      <c r="DO1440" t="str">
        <f>IF(DN1440=1,INDEX($DI$7:$DL$7,MATCH(1,$DI1440:$DL1440,0)),"mixedProduct")</f>
        <v>TimberInput</v>
      </c>
      <c r="DP1440">
        <f>IF(DI1440=1,DP$7,0)</f>
        <v>0</v>
      </c>
      <c r="DQ1440">
        <f>IF(DJ1440=1,DQ$7,0)</f>
        <v>0</v>
      </c>
      <c r="DR1440">
        <f>IF(DK1440=1,DR$7,0)</f>
        <v>0</v>
      </c>
      <c r="DS1440" t="str">
        <f>IF(DL1440=1,DS$7,0)</f>
        <v>Timber</v>
      </c>
      <c r="DT1440">
        <v>0</v>
      </c>
      <c r="DU1440">
        <v>0</v>
      </c>
      <c r="DV1440">
        <v>0</v>
      </c>
      <c r="DW1440">
        <v>0</v>
      </c>
      <c r="DX1440">
        <v>0</v>
      </c>
      <c r="DY1440">
        <f>SUM(DT1440:DU1440)</f>
        <v>0</v>
      </c>
      <c r="DZ1440" s="143" t="str">
        <f>IF(DT1440=1,"self-calculated DF",IF(DU1440=1,"external DF used","explicit C balance"))</f>
        <v>explicit C balance</v>
      </c>
      <c r="EA1440">
        <v>0</v>
      </c>
      <c r="EB1440">
        <v>0</v>
      </c>
      <c r="EC1440">
        <v>1</v>
      </c>
      <c r="ED1440">
        <v>1</v>
      </c>
      <c r="EE1440">
        <v>1</v>
      </c>
      <c r="EF1440">
        <v>1</v>
      </c>
      <c r="EG1440">
        <v>1</v>
      </c>
      <c r="EH1440">
        <v>1</v>
      </c>
      <c r="EI1440">
        <v>1</v>
      </c>
      <c r="EJ1440">
        <v>1</v>
      </c>
      <c r="EK1440">
        <v>1</v>
      </c>
      <c r="EL1440">
        <v>1</v>
      </c>
      <c r="EM1440">
        <v>0</v>
      </c>
      <c r="EN1440" s="2">
        <v>0</v>
      </c>
      <c r="EP1440" t="str">
        <f>IF(AND(AND(AND(OR($EC1440=1,$EB1440=1),OR($EH1440=1,$EF1440=1)),SUM($EA1440:$EE1440,$EK1440)&gt;=3),SUM($EF1440:$EJ1440)&gt;=2),"Whole sector approach","")</f>
        <v>Whole sector approach</v>
      </c>
      <c r="EQ1440" t="str">
        <f>IF(AND(AND(OR($EC1440=1,$EB1440=1),AND($EH1440=0,$EF1440=0)),SUM($EA1440:$EE1440,$EK1440)&gt;=4),"Ecosystem approach","")</f>
        <v/>
      </c>
      <c r="ER1440" s="2" t="str">
        <f>IF(AND(AND(AND($EC1440=0,$EB1440=0),OR($EH1440=1,$EF1440=1)),SUM($EG1440:$EJ1440)&gt;=2),"Technology approach","")</f>
        <v/>
      </c>
      <c r="ES1440" t="str">
        <f>IF(AND($EC1440+$EB1440+$EE1440+$EA1440+$ED1440+$EG1440=0,$N1440="included"),"C neutral forest and HWP assumption","")</f>
        <v/>
      </c>
      <c r="ET1440" t="str">
        <f>IF(AND(AND(AND(AND($EC1440=1,$EB1440+$EA1440+$EG1440&gt;=1),$EF1440=1),$EH1440+$EI1440+$ED1440+$EE1440&gt;=2),$N1440="included"),"All C pools assumption","")</f>
        <v>All C pools assumption</v>
      </c>
      <c r="EU1440" t="str">
        <f>IF(AND($ED1440+$EE1440+$EI1440+$EH1440+$EF1440=0,$N1440="included"),"In-situ only assumption","")</f>
        <v/>
      </c>
      <c r="EW1440" t="s">
        <v>1578</v>
      </c>
      <c r="EY1440" t="b">
        <f>IF(ISNUMBER(BW1440),IF(ABS(BW1440-[3]QC_indicators!$B$2)&gt;3*[3]QC_indicators!$C$2,"C ratio",IF(ISNUMBER(CA1440),IF(ABS(CA1440-[3]QC_indicators!$B$1)&gt;3*[3]QC_indicators!$C$1,"DF","no"))),IF(ISNUMBER(CA1440),IF(ABS(CA1440-[3]QC_indicators!$B$1)&gt;3*[3]QC_indicators!$C$1,"DF","no")))</f>
        <v>0</v>
      </c>
      <c r="FA1440" t="str">
        <f>IF(LEN($CY1440)=0,"",IF(AND($CY1440&lt;(-0.05),$ES1440="C neutral forest and HWP assumption"),"Cneutral paradox",IF(AND($CY1440&gt;0.05,$EU1440="In-situ only assumption"),"In-situ only paradox","")))</f>
        <v/>
      </c>
      <c r="FD1440" s="260" t="s">
        <v>2827</v>
      </c>
    </row>
    <row r="1441" spans="1:160" ht="17" hidden="1">
      <c r="A1441" s="1" t="s">
        <v>601</v>
      </c>
      <c r="B1441" t="s">
        <v>1565</v>
      </c>
      <c r="C1441" t="s">
        <v>1566</v>
      </c>
      <c r="D1441" t="s">
        <v>1567</v>
      </c>
      <c r="E1441" t="s">
        <v>1568</v>
      </c>
      <c r="F1441" t="s">
        <v>1569</v>
      </c>
      <c r="G1441" t="s">
        <v>607</v>
      </c>
      <c r="H1441" t="s">
        <v>254</v>
      </c>
      <c r="I1441">
        <v>2021</v>
      </c>
      <c r="J1441">
        <v>2</v>
      </c>
      <c r="K1441" t="s">
        <v>1570</v>
      </c>
      <c r="M1441" t="str">
        <f>LEFT($D1441,FIND(",",$D1441)-1)&amp;"_"&amp;I1441&amp;L1441</f>
        <v>Hawkins_2021</v>
      </c>
      <c r="N1441" t="s">
        <v>222</v>
      </c>
      <c r="O1441" s="145" t="s">
        <v>508</v>
      </c>
      <c r="Q1441" t="s">
        <v>256</v>
      </c>
      <c r="R1441" s="2" t="s">
        <v>274</v>
      </c>
      <c r="S1441" s="1" t="s">
        <v>1579</v>
      </c>
      <c r="T1441" t="s">
        <v>1577</v>
      </c>
      <c r="U1441" t="s">
        <v>1572</v>
      </c>
      <c r="V1441" s="253">
        <v>0</v>
      </c>
      <c r="W1441" s="253">
        <v>0</v>
      </c>
      <c r="X1441">
        <v>0</v>
      </c>
      <c r="Y1441">
        <v>0</v>
      </c>
      <c r="Z1441">
        <v>0</v>
      </c>
      <c r="AA1441">
        <v>0</v>
      </c>
      <c r="AB1441">
        <v>0</v>
      </c>
      <c r="AC1441">
        <v>1</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0</v>
      </c>
      <c r="AV1441">
        <v>0</v>
      </c>
      <c r="AW1441">
        <v>0</v>
      </c>
      <c r="AX1441">
        <v>0</v>
      </c>
      <c r="AY1441">
        <v>0</v>
      </c>
      <c r="AZ1441" s="141">
        <f>COUNTIF(X1441:AY1441,"&lt;&gt;0")</f>
        <v>1</v>
      </c>
      <c r="BA1441" s="141">
        <f>COUNTIF(X1441:AN1441,"&lt;&gt;0")</f>
        <v>1</v>
      </c>
      <c r="BB1441">
        <f>COUNTIF(X1441:AE1441,"&lt;&gt;0")</f>
        <v>1</v>
      </c>
      <c r="BC1441">
        <f>COUNTIF(AF1441:AK1441,"&lt;&gt;0")</f>
        <v>0</v>
      </c>
      <c r="BD1441">
        <f>COUNTIF(AL1441:AN1441,"&lt;&gt;0")</f>
        <v>0</v>
      </c>
      <c r="BE1441">
        <f>COUNTIF(AU1441:AY1441,"&lt;&gt;0")</f>
        <v>0</v>
      </c>
      <c r="BF1441">
        <f>COUNTIF(AO1441:AT1441,"&lt;&gt;0")</f>
        <v>0</v>
      </c>
      <c r="BG1441" t="str">
        <f t="array" ref="BG1441">IF(BA1441=1,INDEX($X$7:$AN$7,MATCH(TRUE,INDEX($X1441:$AY1441&lt;&gt;0,),0)),IF(BA1441=0,INDEX($AO$7:$AY$7,MATCH(1,$AO1441:$AY1441,0)),IF(BH1441="Multiple strategies","mixed drivers",IF(BH1441="Supply chain","multiple supply","multiple silviculture"))))</f>
        <v>plantation density</v>
      </c>
      <c r="BH1441" s="2" t="str" cm="1">
        <f t="array" ref="BH1441">IF(COUNTIF(BB1441:BD1441,"&lt;&gt;0")=1,INDEX($X$4:$AY$4,MATCH(TRUE,INDEX($X1441:$AY1441&lt;&gt;0,),0)),IF(COUNTIF(BB1441:BD1441,"&lt;&gt;0")=0,INDEX($AO$4:$AY$4,MATCH(1,$AO1441:$AY1441,0)),"Multiple strategies"))</f>
        <v>Silviculture for productivity</v>
      </c>
      <c r="BI1441" s="1" t="s">
        <v>229</v>
      </c>
      <c r="BJ1441" t="s">
        <v>229</v>
      </c>
      <c r="BL1441" t="s">
        <v>742</v>
      </c>
      <c r="BM1441">
        <v>1105.3</v>
      </c>
      <c r="BN1441">
        <v>1105.3</v>
      </c>
      <c r="BP1441">
        <f>BN1441-BM1441</f>
        <v>0</v>
      </c>
      <c r="BQ1441">
        <f>BP1441*t_to_m3</f>
        <v>0</v>
      </c>
      <c r="BR1441" t="s">
        <v>232</v>
      </c>
      <c r="BS1441" s="260" t="s">
        <v>2936</v>
      </c>
      <c r="BT1441" t="s">
        <v>714</v>
      </c>
      <c r="BU1441" s="178">
        <v>-1400000</v>
      </c>
      <c r="BV1441" s="178">
        <v>-816000</v>
      </c>
      <c r="BW1441" s="144">
        <f>IFERROR(BV1441/BU1441,"")</f>
        <v>0.58285714285714285</v>
      </c>
      <c r="BX1441" s="178">
        <f>BV1441-BU1441</f>
        <v>584000</v>
      </c>
      <c r="BY1441" s="178"/>
      <c r="BZ1441">
        <f>BX1441/1000</f>
        <v>584</v>
      </c>
      <c r="CA1441" t="str">
        <f>IFERROR(BZ1441/BQ1441,"")</f>
        <v/>
      </c>
      <c r="CB1441">
        <v>0</v>
      </c>
      <c r="CC1441">
        <v>1</v>
      </c>
      <c r="CD1441">
        <v>0</v>
      </c>
      <c r="CE1441">
        <v>1</v>
      </c>
      <c r="CF1441">
        <v>0</v>
      </c>
      <c r="CG1441">
        <v>0</v>
      </c>
      <c r="CH1441">
        <v>0</v>
      </c>
      <c r="CI1441">
        <v>1</v>
      </c>
      <c r="CJ1441">
        <v>0</v>
      </c>
      <c r="CK1441">
        <v>0</v>
      </c>
      <c r="CL1441">
        <v>0</v>
      </c>
      <c r="CM1441">
        <v>0</v>
      </c>
      <c r="CN1441">
        <v>0</v>
      </c>
      <c r="CO1441">
        <v>0</v>
      </c>
      <c r="CP1441" t="str">
        <f>IF($BN1441&lt;$BM1441,"refNeedCorrection","refOK")</f>
        <v>refOK</v>
      </c>
      <c r="CQ1441">
        <f>IF($CP1441="refNeedCorrection",BN1441,BM1441)</f>
        <v>1105.3</v>
      </c>
      <c r="CR1441">
        <f>IF($CP1441="refNeedCorrection",BM1441,BN1441)</f>
        <v>1105.3</v>
      </c>
      <c r="CS1441">
        <f>IF($CP1441="refOK",$BQ1441,-$BQ1441)</f>
        <v>0</v>
      </c>
      <c r="CT1441">
        <f>IF(BI1441="Roundwood",$CS1441/2,$CS1441)</f>
        <v>0</v>
      </c>
      <c r="CU1441">
        <f>IF($CP1441="refOK",$BU1441,$BV1441)*IF($BR1441="Emissions positive",-1,1)</f>
        <v>-1400000</v>
      </c>
      <c r="CV1441">
        <f>IF($CP1441="refOK",$BV1441,$BU1441)*IF($BR1441="Emissions positive",-1,1)</f>
        <v>-816000</v>
      </c>
      <c r="CW1441">
        <f>IF($CP1441="refNeedCorrection",-BZ1441,BZ1441)*IF($BR1441="Emissions positive",-1,1)</f>
        <v>584</v>
      </c>
      <c r="CX1441" t="str">
        <f>IFERROR($CW1441/$CS1441,"")</f>
        <v/>
      </c>
      <c r="CY1441" t="str">
        <f>IFERROR($CW1441/$CS1441,"")</f>
        <v/>
      </c>
      <c r="CZ1441" t="str">
        <f>IFERROR($CW1441/$CT1441,"")</f>
        <v/>
      </c>
      <c r="DA1441" s="2">
        <f>IFERROR((CV1441-CU1441)/ABS(CU1441),"")</f>
        <v>0.41714285714285715</v>
      </c>
      <c r="DB1441" s="1" t="s">
        <v>1078</v>
      </c>
      <c r="DC1441" t="str">
        <f>IF(OR($DB1441="prd",$DB1441="std",$DB1441="cit"),"loc",IF(OR($DB1441="eur",$DB1441="reg",$DB1441="coy"),"reg",$DB1441))</f>
        <v>reg</v>
      </c>
      <c r="DD1441" s="296" t="s">
        <v>3098</v>
      </c>
      <c r="DG1441">
        <v>100</v>
      </c>
      <c r="DH1441" t="str">
        <f>IF(DG1441=0,"0",IF(AND(DG1441&gt;=1,DG1441&lt;=30),"1-30",IF(AND(DG1441&gt;30,DG1441&lt;=70),"31-70",IF(AND(DG1441&gt;70,DG1441&lt;=100),"71-100",IF(DG1441&gt;100,"+100")))))</f>
        <v>71-100</v>
      </c>
      <c r="DI1441">
        <v>0</v>
      </c>
      <c r="DJ1441">
        <v>0</v>
      </c>
      <c r="DK1441">
        <v>0</v>
      </c>
      <c r="DL1441">
        <v>1</v>
      </c>
      <c r="DN1441">
        <f>SUM(DI1441:DL1441)</f>
        <v>1</v>
      </c>
      <c r="DO1441" t="str">
        <f>IF(DN1441=1,INDEX($DI$7:$DL$7,MATCH(1,$DI1441:$DL1441,0)),"mixedProduct")</f>
        <v>TimberInput</v>
      </c>
      <c r="DP1441">
        <f>IF(DI1441=1,DP$7,0)</f>
        <v>0</v>
      </c>
      <c r="DQ1441">
        <f>IF(DJ1441=1,DQ$7,0)</f>
        <v>0</v>
      </c>
      <c r="DR1441">
        <f>IF(DK1441=1,DR$7,0)</f>
        <v>0</v>
      </c>
      <c r="DS1441" t="str">
        <f>IF(DL1441=1,DS$7,0)</f>
        <v>Timber</v>
      </c>
      <c r="DT1441">
        <v>0</v>
      </c>
      <c r="DU1441">
        <v>0</v>
      </c>
      <c r="DV1441">
        <v>0</v>
      </c>
      <c r="DW1441">
        <v>0</v>
      </c>
      <c r="DX1441">
        <v>0</v>
      </c>
      <c r="DY1441">
        <f>SUM(DT1441:DU1441)</f>
        <v>0</v>
      </c>
      <c r="DZ1441" s="143" t="str">
        <f>IF(DT1441=1,"self-calculated DF",IF(DU1441=1,"external DF used","explicit C balance"))</f>
        <v>explicit C balance</v>
      </c>
      <c r="EA1441">
        <v>0</v>
      </c>
      <c r="EB1441">
        <v>0</v>
      </c>
      <c r="EC1441">
        <v>1</v>
      </c>
      <c r="ED1441">
        <v>1</v>
      </c>
      <c r="EE1441">
        <v>1</v>
      </c>
      <c r="EF1441">
        <v>1</v>
      </c>
      <c r="EG1441">
        <v>1</v>
      </c>
      <c r="EH1441">
        <v>1</v>
      </c>
      <c r="EI1441">
        <v>1</v>
      </c>
      <c r="EJ1441">
        <v>1</v>
      </c>
      <c r="EK1441">
        <v>1</v>
      </c>
      <c r="EL1441">
        <v>1</v>
      </c>
      <c r="EM1441">
        <v>0</v>
      </c>
      <c r="EN1441" s="2">
        <v>0</v>
      </c>
      <c r="EP1441" t="str">
        <f>IF(AND(AND(AND(OR($EC1441=1,$EB1441=1),OR($EH1441=1,$EF1441=1)),SUM($EA1441:$EE1441,$EK1441)&gt;=3),SUM($EF1441:$EJ1441)&gt;=2),"Whole sector approach","")</f>
        <v>Whole sector approach</v>
      </c>
      <c r="EQ1441" t="str">
        <f>IF(AND(AND(OR($EC1441=1,$EB1441=1),AND($EH1441=0,$EF1441=0)),SUM($EA1441:$EE1441,$EK1441)&gt;=4),"Ecosystem approach","")</f>
        <v/>
      </c>
      <c r="ER1441" s="2" t="str">
        <f>IF(AND(AND(AND($EC1441=0,$EB1441=0),OR($EH1441=1,$EF1441=1)),SUM($EG1441:$EJ1441)&gt;=2),"Technology approach","")</f>
        <v/>
      </c>
      <c r="ES1441" t="str">
        <f>IF(AND($EC1441+$EB1441+$EE1441+$EA1441+$ED1441+$EG1441=0,$N1441="included"),"C neutral forest and HWP assumption","")</f>
        <v/>
      </c>
      <c r="ET1441" t="str">
        <f>IF(AND(AND(AND(AND($EC1441=1,$EB1441+$EA1441+$EG1441&gt;=1),$EF1441=1),$EH1441+$EI1441+$ED1441+$EE1441&gt;=2),$N1441="included"),"All C pools assumption","")</f>
        <v>All C pools assumption</v>
      </c>
      <c r="EU1441" t="str">
        <f>IF(AND($ED1441+$EE1441+$EI1441+$EH1441+$EF1441=0,$N1441="included"),"In-situ only assumption","")</f>
        <v/>
      </c>
      <c r="EW1441" t="s">
        <v>1578</v>
      </c>
      <c r="EY1441" t="b">
        <f>IF(ISNUMBER(BW1441),IF(ABS(BW1441-[3]QC_indicators!$B$2)&gt;3*[3]QC_indicators!$C$2,"C ratio",IF(ISNUMBER(CA1441),IF(ABS(CA1441-[3]QC_indicators!$B$1)&gt;3*[3]QC_indicators!$C$1,"DF","no"))),IF(ISNUMBER(CA1441),IF(ABS(CA1441-[3]QC_indicators!$B$1)&gt;3*[3]QC_indicators!$C$1,"DF","no")))</f>
        <v>0</v>
      </c>
      <c r="FA1441" t="str">
        <f>IF(LEN($CY1441)=0,"",IF(AND($CY1441&lt;(-0.05),$ES1441="C neutral forest and HWP assumption"),"Cneutral paradox",IF(AND($CY1441&gt;0.05,$EU1441="In-situ only assumption"),"In-situ only paradox","")))</f>
        <v/>
      </c>
      <c r="FD1441" s="260" t="s">
        <v>2827</v>
      </c>
    </row>
    <row r="1442" spans="1:160" ht="17" hidden="1">
      <c r="A1442" s="1" t="s">
        <v>601</v>
      </c>
      <c r="B1442" t="s">
        <v>1565</v>
      </c>
      <c r="C1442" t="s">
        <v>1566</v>
      </c>
      <c r="D1442" t="s">
        <v>1567</v>
      </c>
      <c r="E1442" t="s">
        <v>1568</v>
      </c>
      <c r="F1442" t="s">
        <v>1569</v>
      </c>
      <c r="G1442" t="s">
        <v>607</v>
      </c>
      <c r="H1442" t="s">
        <v>254</v>
      </c>
      <c r="I1442">
        <v>2021</v>
      </c>
      <c r="J1442">
        <v>2</v>
      </c>
      <c r="K1442" t="s">
        <v>1570</v>
      </c>
      <c r="M1442" t="str">
        <f>LEFT($D1442,FIND(",",$D1442)-1)&amp;"_"&amp;I1442&amp;L1442</f>
        <v>Hawkins_2021</v>
      </c>
      <c r="N1442" t="s">
        <v>222</v>
      </c>
      <c r="O1442" s="145" t="s">
        <v>508</v>
      </c>
      <c r="Q1442" t="s">
        <v>256</v>
      </c>
      <c r="R1442" s="2" t="s">
        <v>274</v>
      </c>
      <c r="S1442" s="1" t="s">
        <v>1576</v>
      </c>
      <c r="T1442" t="s">
        <v>1577</v>
      </c>
      <c r="U1442" t="s">
        <v>1572</v>
      </c>
      <c r="V1442" s="253">
        <v>0</v>
      </c>
      <c r="W1442" s="253">
        <v>0</v>
      </c>
      <c r="X1442">
        <v>0</v>
      </c>
      <c r="Y1442">
        <v>0</v>
      </c>
      <c r="Z1442">
        <v>0</v>
      </c>
      <c r="AA1442">
        <v>0</v>
      </c>
      <c r="AB1442">
        <v>0</v>
      </c>
      <c r="AC1442">
        <v>1</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0</v>
      </c>
      <c r="AV1442">
        <v>0</v>
      </c>
      <c r="AW1442">
        <v>0</v>
      </c>
      <c r="AX1442">
        <v>0</v>
      </c>
      <c r="AY1442">
        <v>0</v>
      </c>
      <c r="AZ1442" s="141">
        <f>COUNTIF(X1442:AY1442,"&lt;&gt;0")</f>
        <v>1</v>
      </c>
      <c r="BA1442" s="141">
        <f>COUNTIF(X1442:AN1442,"&lt;&gt;0")</f>
        <v>1</v>
      </c>
      <c r="BB1442">
        <f>COUNTIF(X1442:AE1442,"&lt;&gt;0")</f>
        <v>1</v>
      </c>
      <c r="BC1442">
        <f>COUNTIF(AF1442:AK1442,"&lt;&gt;0")</f>
        <v>0</v>
      </c>
      <c r="BD1442">
        <f>COUNTIF(AL1442:AN1442,"&lt;&gt;0")</f>
        <v>0</v>
      </c>
      <c r="BE1442">
        <f>COUNTIF(AU1442:AY1442,"&lt;&gt;0")</f>
        <v>0</v>
      </c>
      <c r="BF1442">
        <f>COUNTIF(AO1442:AT1442,"&lt;&gt;0")</f>
        <v>0</v>
      </c>
      <c r="BG1442" t="str">
        <f t="array" ref="BG1442">IF(BA1442=1,INDEX($X$7:$AN$7,MATCH(TRUE,INDEX($X1442:$AY1442&lt;&gt;0,),0)),IF(BA1442=0,INDEX($AO$7:$AY$7,MATCH(1,$AO1442:$AY1442,0)),IF(BH1442="Multiple strategies","mixed drivers",IF(BH1442="Supply chain","multiple supply","multiple silviculture"))))</f>
        <v>plantation density</v>
      </c>
      <c r="BH1442" s="2" t="str" cm="1">
        <f t="array" ref="BH1442">IF(COUNTIF(BB1442:BD1442,"&lt;&gt;0")=1,INDEX($X$4:$AY$4,MATCH(TRUE,INDEX($X1442:$AY1442&lt;&gt;0,),0)),IF(COUNTIF(BB1442:BD1442,"&lt;&gt;0")=0,INDEX($AO$4:$AY$4,MATCH(1,$AO1442:$AY1442,0)),"Multiple strategies"))</f>
        <v>Silviculture for productivity</v>
      </c>
      <c r="BI1442" s="1" t="s">
        <v>229</v>
      </c>
      <c r="BJ1442" t="s">
        <v>229</v>
      </c>
      <c r="BL1442" t="s">
        <v>742</v>
      </c>
      <c r="BM1442">
        <v>1105.3</v>
      </c>
      <c r="BN1442">
        <v>1105.3</v>
      </c>
      <c r="BP1442">
        <f>BN1442-BM1442</f>
        <v>0</v>
      </c>
      <c r="BQ1442">
        <f>BP1442*t_to_m3</f>
        <v>0</v>
      </c>
      <c r="BR1442" t="s">
        <v>232</v>
      </c>
      <c r="BS1442" s="260" t="s">
        <v>2936</v>
      </c>
      <c r="BT1442" t="s">
        <v>714</v>
      </c>
      <c r="BU1442" s="178">
        <v>-745000</v>
      </c>
      <c r="BV1442" s="178">
        <v>10200</v>
      </c>
      <c r="BW1442" s="144">
        <f>IFERROR(BV1442/BU1442,"")</f>
        <v>-1.3691275167785235E-2</v>
      </c>
      <c r="BX1442" s="178">
        <f>BV1442-BU1442</f>
        <v>755200</v>
      </c>
      <c r="BY1442" s="178"/>
      <c r="BZ1442">
        <f>BX1442/1000</f>
        <v>755.2</v>
      </c>
      <c r="CA1442" t="str">
        <f>IFERROR(BZ1442/BQ1442,"")</f>
        <v/>
      </c>
      <c r="CB1442">
        <v>0</v>
      </c>
      <c r="CC1442">
        <v>1</v>
      </c>
      <c r="CD1442">
        <v>0</v>
      </c>
      <c r="CE1442">
        <v>1</v>
      </c>
      <c r="CF1442">
        <v>0</v>
      </c>
      <c r="CG1442">
        <v>0</v>
      </c>
      <c r="CH1442">
        <v>0</v>
      </c>
      <c r="CI1442">
        <v>1</v>
      </c>
      <c r="CJ1442">
        <v>0</v>
      </c>
      <c r="CK1442">
        <v>0</v>
      </c>
      <c r="CL1442">
        <v>0</v>
      </c>
      <c r="CM1442">
        <v>0</v>
      </c>
      <c r="CN1442">
        <v>0</v>
      </c>
      <c r="CO1442">
        <v>0</v>
      </c>
      <c r="CP1442" t="str">
        <f>IF($BN1442&lt;$BM1442,"refNeedCorrection","refOK")</f>
        <v>refOK</v>
      </c>
      <c r="CQ1442">
        <f>IF($CP1442="refNeedCorrection",BN1442,BM1442)</f>
        <v>1105.3</v>
      </c>
      <c r="CR1442">
        <f>IF($CP1442="refNeedCorrection",BM1442,BN1442)</f>
        <v>1105.3</v>
      </c>
      <c r="CS1442">
        <f>IF($CP1442="refOK",$BQ1442,-$BQ1442)</f>
        <v>0</v>
      </c>
      <c r="CT1442">
        <f>IF(BI1442="Roundwood",$CS1442/2,$CS1442)</f>
        <v>0</v>
      </c>
      <c r="CU1442">
        <f>IF($CP1442="refOK",$BU1442,$BV1442)*IF($BR1442="Emissions positive",-1,1)</f>
        <v>-745000</v>
      </c>
      <c r="CV1442">
        <f>IF($CP1442="refOK",$BV1442,$BU1442)*IF($BR1442="Emissions positive",-1,1)</f>
        <v>10200</v>
      </c>
      <c r="CW1442">
        <f>IF($CP1442="refNeedCorrection",-BZ1442,BZ1442)*IF($BR1442="Emissions positive",-1,1)</f>
        <v>755.2</v>
      </c>
      <c r="CX1442" t="str">
        <f>IFERROR($CW1442/$CS1442,"")</f>
        <v/>
      </c>
      <c r="CY1442" t="str">
        <f>IFERROR($CW1442/$CS1442,"")</f>
        <v/>
      </c>
      <c r="CZ1442" t="str">
        <f>IFERROR($CW1442/$CT1442,"")</f>
        <v/>
      </c>
      <c r="DA1442" s="2">
        <f>IFERROR((CV1442-CU1442)/ABS(CU1442),"")</f>
        <v>1.0136912751677853</v>
      </c>
      <c r="DB1442" s="1" t="s">
        <v>1078</v>
      </c>
      <c r="DC1442" t="str">
        <f>IF(OR($DB1442="prd",$DB1442="std",$DB1442="cit"),"loc",IF(OR($DB1442="eur",$DB1442="reg",$DB1442="coy"),"reg",$DB1442))</f>
        <v>reg</v>
      </c>
      <c r="DD1442" s="296" t="s">
        <v>3098</v>
      </c>
      <c r="DG1442">
        <v>35</v>
      </c>
      <c r="DH1442" t="str">
        <f>IF(DG1442=0,"0",IF(AND(DG1442&gt;=1,DG1442&lt;=30),"1-30",IF(AND(DG1442&gt;30,DG1442&lt;=70),"31-70",IF(AND(DG1442&gt;70,DG1442&lt;=100),"71-100",IF(DG1442&gt;100,"+100")))))</f>
        <v>31-70</v>
      </c>
      <c r="DI1442">
        <v>0</v>
      </c>
      <c r="DJ1442">
        <v>0</v>
      </c>
      <c r="DK1442">
        <v>0</v>
      </c>
      <c r="DL1442">
        <v>1</v>
      </c>
      <c r="DN1442">
        <f>SUM(DI1442:DL1442)</f>
        <v>1</v>
      </c>
      <c r="DO1442" t="str">
        <f>IF(DN1442=1,INDEX($DI$7:$DL$7,MATCH(1,$DI1442:$DL1442,0)),"mixedProduct")</f>
        <v>TimberInput</v>
      </c>
      <c r="DP1442">
        <f>IF(DI1442=1,DP$7,0)</f>
        <v>0</v>
      </c>
      <c r="DQ1442">
        <f>IF(DJ1442=1,DQ$7,0)</f>
        <v>0</v>
      </c>
      <c r="DR1442">
        <f>IF(DK1442=1,DR$7,0)</f>
        <v>0</v>
      </c>
      <c r="DS1442" t="str">
        <f>IF(DL1442=1,DS$7,0)</f>
        <v>Timber</v>
      </c>
      <c r="DT1442">
        <v>0</v>
      </c>
      <c r="DU1442">
        <v>0</v>
      </c>
      <c r="DV1442">
        <v>0</v>
      </c>
      <c r="DW1442">
        <v>0</v>
      </c>
      <c r="DX1442">
        <v>0</v>
      </c>
      <c r="DY1442">
        <f>SUM(DT1442:DU1442)</f>
        <v>0</v>
      </c>
      <c r="DZ1442" s="143" t="str">
        <f>IF(DT1442=1,"self-calculated DF",IF(DU1442=1,"external DF used","explicit C balance"))</f>
        <v>explicit C balance</v>
      </c>
      <c r="EA1442">
        <v>0</v>
      </c>
      <c r="EB1442">
        <v>0</v>
      </c>
      <c r="EC1442">
        <v>1</v>
      </c>
      <c r="ED1442">
        <v>1</v>
      </c>
      <c r="EE1442">
        <v>1</v>
      </c>
      <c r="EF1442">
        <v>1</v>
      </c>
      <c r="EG1442">
        <v>1</v>
      </c>
      <c r="EH1442">
        <v>1</v>
      </c>
      <c r="EI1442">
        <v>1</v>
      </c>
      <c r="EJ1442">
        <v>1</v>
      </c>
      <c r="EK1442">
        <v>1</v>
      </c>
      <c r="EL1442">
        <v>1</v>
      </c>
      <c r="EM1442">
        <v>0</v>
      </c>
      <c r="EN1442" s="2">
        <v>0</v>
      </c>
      <c r="EP1442" t="str">
        <f>IF(AND(AND(AND(OR($EC1442=1,$EB1442=1),OR($EH1442=1,$EF1442=1)),SUM($EA1442:$EE1442,$EK1442)&gt;=3),SUM($EF1442:$EJ1442)&gt;=2),"Whole sector approach","")</f>
        <v>Whole sector approach</v>
      </c>
      <c r="EQ1442" t="str">
        <f>IF(AND(AND(OR($EC1442=1,$EB1442=1),AND($EH1442=0,$EF1442=0)),SUM($EA1442:$EE1442,$EK1442)&gt;=4),"Ecosystem approach","")</f>
        <v/>
      </c>
      <c r="ER1442" s="2" t="str">
        <f>IF(AND(AND(AND($EC1442=0,$EB1442=0),OR($EH1442=1,$EF1442=1)),SUM($EG1442:$EJ1442)&gt;=2),"Technology approach","")</f>
        <v/>
      </c>
      <c r="ES1442" t="str">
        <f>IF(AND($EC1442+$EB1442+$EE1442+$EA1442+$ED1442+$EG1442=0,$N1442="included"),"C neutral forest and HWP assumption","")</f>
        <v/>
      </c>
      <c r="ET1442" t="str">
        <f>IF(AND(AND(AND(AND($EC1442=1,$EB1442+$EA1442+$EG1442&gt;=1),$EF1442=1),$EH1442+$EI1442+$ED1442+$EE1442&gt;=2),$N1442="included"),"All C pools assumption","")</f>
        <v>All C pools assumption</v>
      </c>
      <c r="EU1442" t="str">
        <f>IF(AND($ED1442+$EE1442+$EI1442+$EH1442+$EF1442=0,$N1442="included"),"In-situ only assumption","")</f>
        <v/>
      </c>
      <c r="EW1442" t="s">
        <v>1578</v>
      </c>
      <c r="EY1442" t="b">
        <f>IF(ISNUMBER(BW1442),IF(ABS(BW1442-[3]QC_indicators!$B$2)&gt;3*[3]QC_indicators!$C$2,"C ratio",IF(ISNUMBER(CA1442),IF(ABS(CA1442-[3]QC_indicators!$B$1)&gt;3*[3]QC_indicators!$C$1,"DF","no"))),IF(ISNUMBER(CA1442),IF(ABS(CA1442-[3]QC_indicators!$B$1)&gt;3*[3]QC_indicators!$C$1,"DF","no")))</f>
        <v>0</v>
      </c>
      <c r="FA1442" t="str">
        <f>IF(LEN($CY1442)=0,"",IF(AND($CY1442&lt;(-0.05),$ES1442="C neutral forest and HWP assumption"),"Cneutral paradox",IF(AND($CY1442&gt;0.05,$EU1442="In-situ only assumption"),"In-situ only paradox","")))</f>
        <v/>
      </c>
      <c r="FD1442" s="260" t="s">
        <v>2827</v>
      </c>
    </row>
    <row r="1443" spans="1:160" ht="15" hidden="1" customHeight="1">
      <c r="A1443" s="1" t="s">
        <v>601</v>
      </c>
      <c r="B1443" t="s">
        <v>1565</v>
      </c>
      <c r="C1443" t="s">
        <v>1566</v>
      </c>
      <c r="D1443" t="s">
        <v>1567</v>
      </c>
      <c r="E1443" t="s">
        <v>1568</v>
      </c>
      <c r="F1443" t="s">
        <v>1569</v>
      </c>
      <c r="G1443" t="s">
        <v>607</v>
      </c>
      <c r="H1443" t="s">
        <v>254</v>
      </c>
      <c r="I1443">
        <v>2021</v>
      </c>
      <c r="J1443">
        <v>2</v>
      </c>
      <c r="K1443" t="s">
        <v>1570</v>
      </c>
      <c r="M1443" t="str">
        <f>LEFT($D1443,FIND(",",$D1443)-1)&amp;"_"&amp;I1443&amp;L1443</f>
        <v>Hawkins_2021</v>
      </c>
      <c r="N1443" t="s">
        <v>222</v>
      </c>
      <c r="O1443" s="145" t="s">
        <v>508</v>
      </c>
      <c r="Q1443" t="s">
        <v>256</v>
      </c>
      <c r="R1443" s="2" t="s">
        <v>274</v>
      </c>
      <c r="S1443" s="1" t="s">
        <v>1574</v>
      </c>
      <c r="T1443" t="s">
        <v>1572</v>
      </c>
      <c r="U1443" t="s">
        <v>1573</v>
      </c>
      <c r="V1443" s="253">
        <v>0</v>
      </c>
      <c r="W1443" s="253">
        <v>0</v>
      </c>
      <c r="X1443">
        <v>0</v>
      </c>
      <c r="Y1443">
        <v>0</v>
      </c>
      <c r="Z1443">
        <v>0</v>
      </c>
      <c r="AA1443">
        <v>0</v>
      </c>
      <c r="AB1443">
        <v>0</v>
      </c>
      <c r="AC1443">
        <v>0</v>
      </c>
      <c r="AD1443">
        <v>0</v>
      </c>
      <c r="AE1443">
        <v>0</v>
      </c>
      <c r="AF1443">
        <v>0</v>
      </c>
      <c r="AG1443">
        <v>0</v>
      </c>
      <c r="AH1443">
        <v>0</v>
      </c>
      <c r="AI1443">
        <v>0</v>
      </c>
      <c r="AJ1443">
        <v>0</v>
      </c>
      <c r="AK1443">
        <v>0</v>
      </c>
      <c r="AL1443">
        <v>0</v>
      </c>
      <c r="AM1443">
        <v>0</v>
      </c>
      <c r="AN1443">
        <v>1</v>
      </c>
      <c r="AO1443">
        <v>0</v>
      </c>
      <c r="AP1443">
        <v>0</v>
      </c>
      <c r="AQ1443">
        <v>0</v>
      </c>
      <c r="AR1443">
        <v>0</v>
      </c>
      <c r="AS1443">
        <v>0</v>
      </c>
      <c r="AT1443">
        <v>0</v>
      </c>
      <c r="AU1443">
        <v>0</v>
      </c>
      <c r="AV1443">
        <v>0</v>
      </c>
      <c r="AW1443">
        <v>0</v>
      </c>
      <c r="AX1443">
        <v>0</v>
      </c>
      <c r="AY1443">
        <v>0</v>
      </c>
      <c r="AZ1443" s="141">
        <f>COUNTIF(X1443:AY1443,"&lt;&gt;0")</f>
        <v>1</v>
      </c>
      <c r="BA1443" s="141">
        <f>COUNTIF(X1443:AN1443,"&lt;&gt;0")</f>
        <v>1</v>
      </c>
      <c r="BB1443">
        <f>COUNTIF(X1443:AE1443,"&lt;&gt;0")</f>
        <v>0</v>
      </c>
      <c r="BC1443">
        <f>COUNTIF(AF1443:AK1443,"&lt;&gt;0")</f>
        <v>0</v>
      </c>
      <c r="BD1443">
        <f>COUNTIF(AL1443:AN1443,"&lt;&gt;0")</f>
        <v>1</v>
      </c>
      <c r="BE1443">
        <f>COUNTIF(AU1443:AY1443,"&lt;&gt;0")</f>
        <v>0</v>
      </c>
      <c r="BF1443">
        <f>COUNTIF(AO1443:AT1443,"&lt;&gt;0")</f>
        <v>0</v>
      </c>
      <c r="BG1443" t="str">
        <f t="array" ref="BG1443">IF(BA1443=1,INDEX($X$7:$AN$7,MATCH(TRUE,INDEX($X1443:$AY1443&lt;&gt;0,),0)),IF(BA1443=0,INDEX($AO$7:$AY$7,MATCH(1,$AO1443:$AY1443,0)),IF(BH1443="Multiple strategies","mixed drivers",IF(BH1443="Supply chain","multiple supply","multiple silviculture"))))</f>
        <v>CCS</v>
      </c>
      <c r="BH1443" s="2" t="str" cm="1">
        <f t="array" ref="BH1443">IF(COUNTIF(BB1443:BD1443,"&lt;&gt;0")=1,INDEX($X$4:$AY$4,MATCH(TRUE,INDEX($X1443:$AY1443&lt;&gt;0,),0)),IF(COUNTIF(BB1443:BD1443,"&lt;&gt;0")=0,INDEX($AO$4:$AY$4,MATCH(1,$AO1443:$AY1443,0)),"Multiple strategies"))</f>
        <v>Technology</v>
      </c>
      <c r="BI1443" s="1" t="s">
        <v>229</v>
      </c>
      <c r="BJ1443" t="s">
        <v>229</v>
      </c>
      <c r="BL1443" t="s">
        <v>742</v>
      </c>
      <c r="BM1443">
        <v>1105.3</v>
      </c>
      <c r="BN1443">
        <v>1105.3</v>
      </c>
      <c r="BP1443">
        <f>BN1443-BM1443</f>
        <v>0</v>
      </c>
      <c r="BQ1443">
        <f>BP1443*t_to_m3</f>
        <v>0</v>
      </c>
      <c r="BR1443" t="s">
        <v>232</v>
      </c>
      <c r="BS1443" s="260" t="s">
        <v>2936</v>
      </c>
      <c r="BT1443" t="s">
        <v>714</v>
      </c>
      <c r="BU1443" s="178">
        <v>10200</v>
      </c>
      <c r="BV1443" s="178">
        <v>10200</v>
      </c>
      <c r="BW1443" s="144">
        <f>IFERROR(BV1443/BU1443,"")</f>
        <v>1</v>
      </c>
      <c r="BX1443" s="178">
        <f>BV1443-BU1443</f>
        <v>0</v>
      </c>
      <c r="BY1443" s="178"/>
      <c r="BZ1443">
        <f>BX1443/1000</f>
        <v>0</v>
      </c>
      <c r="CA1443" t="str">
        <f>IFERROR(BZ1443/BQ1443,"")</f>
        <v/>
      </c>
      <c r="CB1443">
        <v>0</v>
      </c>
      <c r="CC1443">
        <v>1</v>
      </c>
      <c r="CD1443">
        <v>0</v>
      </c>
      <c r="CE1443">
        <v>1</v>
      </c>
      <c r="CF1443">
        <v>0</v>
      </c>
      <c r="CG1443">
        <v>0</v>
      </c>
      <c r="CH1443">
        <v>0</v>
      </c>
      <c r="CI1443">
        <v>1</v>
      </c>
      <c r="CJ1443">
        <v>0</v>
      </c>
      <c r="CK1443">
        <v>0</v>
      </c>
      <c r="CL1443">
        <v>0</v>
      </c>
      <c r="CM1443">
        <v>0</v>
      </c>
      <c r="CN1443">
        <v>0</v>
      </c>
      <c r="CO1443">
        <v>0</v>
      </c>
      <c r="CP1443" t="str">
        <f>IF($BN1443&lt;$BM1443,"refNeedCorrection","refOK")</f>
        <v>refOK</v>
      </c>
      <c r="CQ1443">
        <f>IF($CP1443="refNeedCorrection",BN1443,BM1443)</f>
        <v>1105.3</v>
      </c>
      <c r="CR1443">
        <f>IF($CP1443="refNeedCorrection",BM1443,BN1443)</f>
        <v>1105.3</v>
      </c>
      <c r="CS1443">
        <f>IF($CP1443="refOK",$BQ1443,-$BQ1443)</f>
        <v>0</v>
      </c>
      <c r="CT1443">
        <f>IF(BI1443="Roundwood",$CS1443/2,$CS1443)</f>
        <v>0</v>
      </c>
      <c r="CU1443">
        <f>IF($CP1443="refOK",$BU1443,$BV1443)*IF($BR1443="Emissions positive",-1,1)</f>
        <v>10200</v>
      </c>
      <c r="CV1443">
        <f>IF($CP1443="refOK",$BV1443,$BU1443)*IF($BR1443="Emissions positive",-1,1)</f>
        <v>10200</v>
      </c>
      <c r="CW1443">
        <f>IF($CP1443="refNeedCorrection",-BZ1443,BZ1443)*IF($BR1443="Emissions positive",-1,1)</f>
        <v>0</v>
      </c>
      <c r="CX1443" t="str">
        <f>IFERROR($CW1443/$CS1443,"")</f>
        <v/>
      </c>
      <c r="CY1443" t="str">
        <f>IFERROR($CW1443/$CS1443,"")</f>
        <v/>
      </c>
      <c r="CZ1443" t="str">
        <f>IFERROR($CW1443/$CT1443,"")</f>
        <v/>
      </c>
      <c r="DA1443" s="2">
        <f>IFERROR((CV1443-CU1443)/ABS(CU1443),"")</f>
        <v>0</v>
      </c>
      <c r="DB1443" s="1" t="s">
        <v>1078</v>
      </c>
      <c r="DC1443" t="str">
        <f>IF(OR($DB1443="prd",$DB1443="std",$DB1443="cit"),"loc",IF(OR($DB1443="eur",$DB1443="reg",$DB1443="coy"),"reg",$DB1443))</f>
        <v>reg</v>
      </c>
      <c r="DD1443" s="296" t="s">
        <v>3098</v>
      </c>
      <c r="DG1443">
        <v>35</v>
      </c>
      <c r="DH1443" t="str">
        <f>IF(DG1443=0,"0",IF(AND(DG1443&gt;=1,DG1443&lt;=30),"1-30",IF(AND(DG1443&gt;30,DG1443&lt;=70),"31-70",IF(AND(DG1443&gt;70,DG1443&lt;=100),"71-100",IF(DG1443&gt;100,"+100")))))</f>
        <v>31-70</v>
      </c>
      <c r="DI1443">
        <v>0</v>
      </c>
      <c r="DJ1443">
        <v>0</v>
      </c>
      <c r="DK1443">
        <v>0</v>
      </c>
      <c r="DL1443">
        <v>1</v>
      </c>
      <c r="DN1443">
        <f>SUM(DI1443:DL1443)</f>
        <v>1</v>
      </c>
      <c r="DO1443" t="str">
        <f>IF(DN1443=1,INDEX($DI$7:$DL$7,MATCH(1,$DI1443:$DL1443,0)),"mixedProduct")</f>
        <v>TimberInput</v>
      </c>
      <c r="DP1443">
        <f>IF(DI1443=1,DP$7,0)</f>
        <v>0</v>
      </c>
      <c r="DQ1443">
        <f>IF(DJ1443=1,DQ$7,0)</f>
        <v>0</v>
      </c>
      <c r="DR1443">
        <f>IF(DK1443=1,DR$7,0)</f>
        <v>0</v>
      </c>
      <c r="DS1443" t="str">
        <f>IF(DL1443=1,DS$7,0)</f>
        <v>Timber</v>
      </c>
      <c r="DT1443">
        <v>0</v>
      </c>
      <c r="DU1443">
        <v>0</v>
      </c>
      <c r="DV1443">
        <v>0</v>
      </c>
      <c r="DW1443">
        <v>0</v>
      </c>
      <c r="DX1443">
        <v>0</v>
      </c>
      <c r="DY1443">
        <f>SUM(DT1443:DU1443)</f>
        <v>0</v>
      </c>
      <c r="DZ1443" s="143" t="str">
        <f>IF(DT1443=1,"self-calculated DF",IF(DU1443=1,"external DF used","explicit C balance"))</f>
        <v>explicit C balance</v>
      </c>
      <c r="EA1443">
        <v>0</v>
      </c>
      <c r="EB1443">
        <v>0</v>
      </c>
      <c r="EC1443">
        <v>0</v>
      </c>
      <c r="ED1443">
        <v>1</v>
      </c>
      <c r="EE1443">
        <v>0</v>
      </c>
      <c r="EF1443" s="143">
        <v>0</v>
      </c>
      <c r="EG1443">
        <v>1</v>
      </c>
      <c r="EH1443">
        <v>1</v>
      </c>
      <c r="EI1443">
        <v>1</v>
      </c>
      <c r="EJ1443">
        <v>1</v>
      </c>
      <c r="EK1443">
        <v>1</v>
      </c>
      <c r="EL1443">
        <v>1</v>
      </c>
      <c r="EM1443">
        <v>0</v>
      </c>
      <c r="EN1443" s="2">
        <v>0</v>
      </c>
      <c r="EP1443" t="str">
        <f>IF(AND(AND(AND(OR($EC1443=1,$EB1443=1),OR($EH1443=1,$EF1443=1)),SUM($EA1443:$EE1443,$EK1443)&gt;=3),SUM($EF1443:$EJ1443)&gt;=2),"Whole sector approach","")</f>
        <v/>
      </c>
      <c r="EQ1443" t="str">
        <f>IF(AND(AND(OR($EC1443=1,$EB1443=1),AND($EH1443=0,$EF1443=0)),SUM($EA1443:$EE1443,$EK1443)&gt;=4),"Ecosystem approach","")</f>
        <v/>
      </c>
      <c r="ER1443" s="2" t="str">
        <f>IF(AND(AND(AND($EC1443=0,$EB1443=0),OR($EH1443=1,$EF1443=1)),SUM($EG1443:$EJ1443)&gt;=2),"Technology approach","")</f>
        <v>Technology approach</v>
      </c>
      <c r="ES1443" t="str">
        <f>IF(AND($EC1443+$EB1443+$EE1443+$EA1443+$ED1443+$EG1443=0,$N1443="included"),"C neutral forest and HWP assumption","")</f>
        <v/>
      </c>
      <c r="ET1443" t="str">
        <f>IF(AND(AND(AND(AND($EC1443=1,$EB1443+$EA1443+$EG1443&gt;=1),$EF1443=1),$EH1443+$EI1443+$ED1443+$EE1443&gt;=2),$N1443="included"),"All C pools assumption","")</f>
        <v/>
      </c>
      <c r="EU1443" t="str">
        <f>IF(AND($ED1443+$EE1443+$EI1443+$EH1443+$EF1443=0,$N1443="included"),"In-situ only assumption","")</f>
        <v/>
      </c>
      <c r="EY1443" t="b">
        <f>IF(ISNUMBER(BW1443),IF(ABS(BW1443-[3]QC_indicators!$B$2)&gt;3*[3]QC_indicators!$C$2,"C ratio",IF(ISNUMBER(CA1443),IF(ABS(CA1443-[3]QC_indicators!$B$1)&gt;3*[3]QC_indicators!$C$1,"DF","no"))),IF(ISNUMBER(CA1443),IF(ABS(CA1443-[3]QC_indicators!$B$1)&gt;3*[3]QC_indicators!$C$1,"DF","no")))</f>
        <v>0</v>
      </c>
      <c r="FA1443" t="str">
        <f>IF(LEN($CY1443)=0,"",IF(AND($CY1443&lt;(-0.05),$ES1443="C neutral forest and HWP assumption"),"Cneutral paradox",IF(AND($CY1443&gt;0.05,$EU1443="In-situ only assumption"),"In-situ only paradox","")))</f>
        <v/>
      </c>
      <c r="FD1443" s="260" t="s">
        <v>2827</v>
      </c>
    </row>
    <row r="1444" spans="1:160" ht="15" hidden="1" customHeight="1">
      <c r="A1444" s="1" t="s">
        <v>601</v>
      </c>
      <c r="B1444" t="s">
        <v>1565</v>
      </c>
      <c r="C1444" t="s">
        <v>1566</v>
      </c>
      <c r="D1444" t="s">
        <v>1567</v>
      </c>
      <c r="E1444" t="s">
        <v>1568</v>
      </c>
      <c r="F1444" t="s">
        <v>1569</v>
      </c>
      <c r="G1444" t="s">
        <v>607</v>
      </c>
      <c r="H1444" t="s">
        <v>254</v>
      </c>
      <c r="I1444">
        <v>2021</v>
      </c>
      <c r="J1444">
        <v>2</v>
      </c>
      <c r="K1444" t="s">
        <v>1570</v>
      </c>
      <c r="M1444" t="str">
        <f>LEFT($D1444,FIND(",",$D1444)-1)&amp;"_"&amp;I1444&amp;L1444</f>
        <v>Hawkins_2021</v>
      </c>
      <c r="N1444" t="s">
        <v>222</v>
      </c>
      <c r="O1444" s="145" t="s">
        <v>508</v>
      </c>
      <c r="Q1444" t="s">
        <v>256</v>
      </c>
      <c r="R1444" s="2" t="s">
        <v>274</v>
      </c>
      <c r="S1444" s="1" t="s">
        <v>1575</v>
      </c>
      <c r="T1444" t="s">
        <v>1572</v>
      </c>
      <c r="U1444" t="s">
        <v>1573</v>
      </c>
      <c r="V1444" s="253">
        <v>0</v>
      </c>
      <c r="W1444" s="253">
        <v>0</v>
      </c>
      <c r="X1444">
        <v>0</v>
      </c>
      <c r="Y1444">
        <v>0</v>
      </c>
      <c r="Z1444">
        <v>0</v>
      </c>
      <c r="AA1444">
        <v>0</v>
      </c>
      <c r="AB1444">
        <v>0</v>
      </c>
      <c r="AC1444">
        <v>0</v>
      </c>
      <c r="AD1444">
        <v>0</v>
      </c>
      <c r="AE1444">
        <v>0</v>
      </c>
      <c r="AF1444">
        <v>0</v>
      </c>
      <c r="AG1444">
        <v>0</v>
      </c>
      <c r="AH1444">
        <v>0</v>
      </c>
      <c r="AI1444">
        <v>0</v>
      </c>
      <c r="AJ1444">
        <v>0</v>
      </c>
      <c r="AK1444">
        <v>0</v>
      </c>
      <c r="AL1444">
        <v>0</v>
      </c>
      <c r="AM1444">
        <v>0</v>
      </c>
      <c r="AN1444">
        <v>1</v>
      </c>
      <c r="AO1444">
        <v>0</v>
      </c>
      <c r="AP1444">
        <v>0</v>
      </c>
      <c r="AQ1444">
        <v>0</v>
      </c>
      <c r="AR1444">
        <v>0</v>
      </c>
      <c r="AS1444">
        <v>0</v>
      </c>
      <c r="AT1444">
        <v>0</v>
      </c>
      <c r="AU1444">
        <v>0</v>
      </c>
      <c r="AV1444">
        <v>0</v>
      </c>
      <c r="AW1444">
        <v>0</v>
      </c>
      <c r="AX1444">
        <v>0</v>
      </c>
      <c r="AY1444">
        <v>0</v>
      </c>
      <c r="AZ1444" s="141">
        <f>COUNTIF(X1444:AY1444,"&lt;&gt;0")</f>
        <v>1</v>
      </c>
      <c r="BA1444" s="141">
        <f>COUNTIF(X1444:AN1444,"&lt;&gt;0")</f>
        <v>1</v>
      </c>
      <c r="BB1444">
        <f>COUNTIF(X1444:AE1444,"&lt;&gt;0")</f>
        <v>0</v>
      </c>
      <c r="BC1444">
        <f>COUNTIF(AF1444:AK1444,"&lt;&gt;0")</f>
        <v>0</v>
      </c>
      <c r="BD1444">
        <f>COUNTIF(AL1444:AN1444,"&lt;&gt;0")</f>
        <v>1</v>
      </c>
      <c r="BE1444">
        <f>COUNTIF(AU1444:AY1444,"&lt;&gt;0")</f>
        <v>0</v>
      </c>
      <c r="BF1444">
        <f>COUNTIF(AO1444:AT1444,"&lt;&gt;0")</f>
        <v>0</v>
      </c>
      <c r="BG1444" t="str">
        <f t="array" ref="BG1444">IF(BA1444=1,INDEX($X$7:$AN$7,MATCH(TRUE,INDEX($X1444:$AY1444&lt;&gt;0,),0)),IF(BA1444=0,INDEX($AO$7:$AY$7,MATCH(1,$AO1444:$AY1444,0)),IF(BH1444="Multiple strategies","mixed drivers",IF(BH1444="Supply chain","multiple supply","multiple silviculture"))))</f>
        <v>CCS</v>
      </c>
      <c r="BH1444" s="2" t="str" cm="1">
        <f t="array" ref="BH1444">IF(COUNTIF(BB1444:BD1444,"&lt;&gt;0")=1,INDEX($X$4:$AY$4,MATCH(TRUE,INDEX($X1444:$AY1444&lt;&gt;0,),0)),IF(COUNTIF(BB1444:BD1444,"&lt;&gt;0")=0,INDEX($AO$4:$AY$4,MATCH(1,$AO1444:$AY1444,0)),"Multiple strategies"))</f>
        <v>Technology</v>
      </c>
      <c r="BI1444" s="1" t="s">
        <v>229</v>
      </c>
      <c r="BJ1444" t="s">
        <v>229</v>
      </c>
      <c r="BL1444" t="s">
        <v>742</v>
      </c>
      <c r="BM1444">
        <v>1105.3</v>
      </c>
      <c r="BN1444">
        <v>1105.3</v>
      </c>
      <c r="BP1444">
        <f>BN1444-BM1444</f>
        <v>0</v>
      </c>
      <c r="BQ1444">
        <f>BP1444*t_to_m3</f>
        <v>0</v>
      </c>
      <c r="BR1444" t="s">
        <v>232</v>
      </c>
      <c r="BS1444" s="260" t="s">
        <v>2936</v>
      </c>
      <c r="BT1444" t="s">
        <v>714</v>
      </c>
      <c r="BU1444" s="178">
        <v>-1310000</v>
      </c>
      <c r="BV1444" s="178">
        <v>-1310000</v>
      </c>
      <c r="BW1444" s="144">
        <f>IFERROR(BV1444/BU1444,"")</f>
        <v>1</v>
      </c>
      <c r="BX1444" s="178">
        <f>BV1444-BU1444</f>
        <v>0</v>
      </c>
      <c r="BY1444" s="178"/>
      <c r="BZ1444">
        <f>BX1444/1000</f>
        <v>0</v>
      </c>
      <c r="CA1444" t="str">
        <f>IFERROR(BZ1444/BQ1444,"")</f>
        <v/>
      </c>
      <c r="CB1444">
        <v>0</v>
      </c>
      <c r="CC1444">
        <v>1</v>
      </c>
      <c r="CD1444">
        <v>0</v>
      </c>
      <c r="CE1444">
        <v>1</v>
      </c>
      <c r="CF1444">
        <v>0</v>
      </c>
      <c r="CG1444">
        <v>0</v>
      </c>
      <c r="CH1444">
        <v>0</v>
      </c>
      <c r="CI1444">
        <v>1</v>
      </c>
      <c r="CJ1444">
        <v>0</v>
      </c>
      <c r="CK1444">
        <v>0</v>
      </c>
      <c r="CL1444">
        <v>0</v>
      </c>
      <c r="CM1444">
        <v>0</v>
      </c>
      <c r="CN1444">
        <v>0</v>
      </c>
      <c r="CO1444">
        <v>0</v>
      </c>
      <c r="CP1444" t="str">
        <f>IF($BN1444&lt;$BM1444,"refNeedCorrection","refOK")</f>
        <v>refOK</v>
      </c>
      <c r="CQ1444">
        <f>IF($CP1444="refNeedCorrection",BN1444,BM1444)</f>
        <v>1105.3</v>
      </c>
      <c r="CR1444">
        <f>IF($CP1444="refNeedCorrection",BM1444,BN1444)</f>
        <v>1105.3</v>
      </c>
      <c r="CS1444">
        <f>IF($CP1444="refOK",$BQ1444,-$BQ1444)</f>
        <v>0</v>
      </c>
      <c r="CT1444">
        <f>IF(BI1444="Roundwood",$CS1444/2,$CS1444)</f>
        <v>0</v>
      </c>
      <c r="CU1444">
        <f>IF($CP1444="refOK",$BU1444,$BV1444)*IF($BR1444="Emissions positive",-1,1)</f>
        <v>-1310000</v>
      </c>
      <c r="CV1444">
        <f>IF($CP1444="refOK",$BV1444,$BU1444)*IF($BR1444="Emissions positive",-1,1)</f>
        <v>-1310000</v>
      </c>
      <c r="CW1444">
        <f>IF($CP1444="refNeedCorrection",-BZ1444,BZ1444)*IF($BR1444="Emissions positive",-1,1)</f>
        <v>0</v>
      </c>
      <c r="CX1444" t="str">
        <f>IFERROR($CW1444/$CS1444,"")</f>
        <v/>
      </c>
      <c r="CY1444" t="str">
        <f>IFERROR($CW1444/$CS1444,"")</f>
        <v/>
      </c>
      <c r="CZ1444" t="str">
        <f>IFERROR($CW1444/$CT1444,"")</f>
        <v/>
      </c>
      <c r="DA1444" s="2">
        <f>IFERROR((CV1444-CU1444)/ABS(CU1444),"")</f>
        <v>0</v>
      </c>
      <c r="DB1444" s="1" t="s">
        <v>1078</v>
      </c>
      <c r="DC1444" t="str">
        <f>IF(OR($DB1444="prd",$DB1444="std",$DB1444="cit"),"loc",IF(OR($DB1444="eur",$DB1444="reg",$DB1444="coy"),"reg",$DB1444))</f>
        <v>reg</v>
      </c>
      <c r="DD1444" s="296" t="s">
        <v>3098</v>
      </c>
      <c r="DG1444">
        <v>2</v>
      </c>
      <c r="DH1444" t="str">
        <f>IF(DG1444=0,"0",IF(AND(DG1444&gt;=1,DG1444&lt;=30),"1-30",IF(AND(DG1444&gt;30,DG1444&lt;=70),"31-70",IF(AND(DG1444&gt;70,DG1444&lt;=100),"71-100",IF(DG1444&gt;100,"+100")))))</f>
        <v>1-30</v>
      </c>
      <c r="DI1444">
        <v>0</v>
      </c>
      <c r="DJ1444">
        <v>0</v>
      </c>
      <c r="DK1444">
        <v>0</v>
      </c>
      <c r="DL1444">
        <v>1</v>
      </c>
      <c r="DN1444">
        <f>SUM(DI1444:DL1444)</f>
        <v>1</v>
      </c>
      <c r="DO1444" t="str">
        <f>IF(DN1444=1,INDEX($DI$7:$DL$7,MATCH(1,$DI1444:$DL1444,0)),"mixedProduct")</f>
        <v>TimberInput</v>
      </c>
      <c r="DP1444">
        <f>IF(DI1444=1,DP$7,0)</f>
        <v>0</v>
      </c>
      <c r="DQ1444">
        <f>IF(DJ1444=1,DQ$7,0)</f>
        <v>0</v>
      </c>
      <c r="DR1444">
        <f>IF(DK1444=1,DR$7,0)</f>
        <v>0</v>
      </c>
      <c r="DS1444" t="str">
        <f>IF(DL1444=1,DS$7,0)</f>
        <v>Timber</v>
      </c>
      <c r="DT1444">
        <v>0</v>
      </c>
      <c r="DU1444">
        <v>0</v>
      </c>
      <c r="DV1444">
        <v>0</v>
      </c>
      <c r="DW1444">
        <v>0</v>
      </c>
      <c r="DX1444">
        <v>0</v>
      </c>
      <c r="DY1444">
        <f>SUM(DT1444:DU1444)</f>
        <v>0</v>
      </c>
      <c r="DZ1444" s="143" t="str">
        <f>IF(DT1444=1,"self-calculated DF",IF(DU1444=1,"external DF used","explicit C balance"))</f>
        <v>explicit C balance</v>
      </c>
      <c r="EA1444">
        <v>0</v>
      </c>
      <c r="EB1444">
        <v>0</v>
      </c>
      <c r="EC1444">
        <v>0</v>
      </c>
      <c r="ED1444">
        <v>1</v>
      </c>
      <c r="EE1444">
        <v>0</v>
      </c>
      <c r="EF1444" s="143">
        <v>0</v>
      </c>
      <c r="EG1444">
        <v>1</v>
      </c>
      <c r="EH1444">
        <v>1</v>
      </c>
      <c r="EI1444">
        <v>1</v>
      </c>
      <c r="EJ1444">
        <v>1</v>
      </c>
      <c r="EK1444">
        <v>1</v>
      </c>
      <c r="EL1444">
        <v>1</v>
      </c>
      <c r="EM1444">
        <v>0</v>
      </c>
      <c r="EN1444" s="2">
        <v>0</v>
      </c>
      <c r="EP1444" t="str">
        <f>IF(AND(AND(AND(OR($EC1444=1,$EB1444=1),OR($EH1444=1,$EF1444=1)),SUM($EA1444:$EE1444,$EK1444)&gt;=3),SUM($EF1444:$EJ1444)&gt;=2),"Whole sector approach","")</f>
        <v/>
      </c>
      <c r="EQ1444" t="str">
        <f>IF(AND(AND(OR($EC1444=1,$EB1444=1),AND($EH1444=0,$EF1444=0)),SUM($EA1444:$EE1444,$EK1444)&gt;=4),"Ecosystem approach","")</f>
        <v/>
      </c>
      <c r="ER1444" s="2" t="str">
        <f>IF(AND(AND(AND($EC1444=0,$EB1444=0),OR($EH1444=1,$EF1444=1)),SUM($EG1444:$EJ1444)&gt;=2),"Technology approach","")</f>
        <v>Technology approach</v>
      </c>
      <c r="ES1444" t="str">
        <f>IF(AND($EC1444+$EB1444+$EE1444+$EA1444+$ED1444+$EG1444=0,$N1444="included"),"C neutral forest and HWP assumption","")</f>
        <v/>
      </c>
      <c r="ET1444" t="str">
        <f>IF(AND(AND(AND(AND($EC1444=1,$EB1444+$EA1444+$EG1444&gt;=1),$EF1444=1),$EH1444+$EI1444+$ED1444+$EE1444&gt;=2),$N1444="included"),"All C pools assumption","")</f>
        <v/>
      </c>
      <c r="EU1444" t="str">
        <f>IF(AND($ED1444+$EE1444+$EI1444+$EH1444+$EF1444=0,$N1444="included"),"In-situ only assumption","")</f>
        <v/>
      </c>
      <c r="EY1444" t="b">
        <f>IF(ISNUMBER(BW1444),IF(ABS(BW1444-[3]QC_indicators!$B$2)&gt;3*[3]QC_indicators!$C$2,"C ratio",IF(ISNUMBER(CA1444),IF(ABS(CA1444-[3]QC_indicators!$B$1)&gt;3*[3]QC_indicators!$C$1,"DF","no"))),IF(ISNUMBER(CA1444),IF(ABS(CA1444-[3]QC_indicators!$B$1)&gt;3*[3]QC_indicators!$C$1,"DF","no")))</f>
        <v>0</v>
      </c>
      <c r="FA1444" t="str">
        <f>IF(LEN($CY1444)=0,"",IF(AND($CY1444&lt;(-0.05),$ES1444="C neutral forest and HWP assumption"),"Cneutral paradox",IF(AND($CY1444&gt;0.05,$EU1444="In-situ only assumption"),"In-situ only paradox","")))</f>
        <v/>
      </c>
      <c r="FD1444" s="260" t="s">
        <v>2827</v>
      </c>
    </row>
    <row r="1445" spans="1:160" ht="15" hidden="1" customHeight="1">
      <c r="A1445" s="1" t="s">
        <v>601</v>
      </c>
      <c r="B1445" t="s">
        <v>1565</v>
      </c>
      <c r="C1445" t="s">
        <v>1566</v>
      </c>
      <c r="D1445" t="s">
        <v>1567</v>
      </c>
      <c r="E1445" t="s">
        <v>1568</v>
      </c>
      <c r="F1445" t="s">
        <v>1569</v>
      </c>
      <c r="G1445" t="s">
        <v>607</v>
      </c>
      <c r="H1445" t="s">
        <v>254</v>
      </c>
      <c r="I1445">
        <v>2021</v>
      </c>
      <c r="J1445">
        <v>2</v>
      </c>
      <c r="K1445" t="s">
        <v>1570</v>
      </c>
      <c r="M1445" t="str">
        <f>LEFT($D1445,FIND(",",$D1445)-1)&amp;"_"&amp;I1445&amp;L1445</f>
        <v>Hawkins_2021</v>
      </c>
      <c r="N1445" t="s">
        <v>222</v>
      </c>
      <c r="O1445" s="145" t="s">
        <v>508</v>
      </c>
      <c r="Q1445" t="s">
        <v>256</v>
      </c>
      <c r="R1445" s="2" t="s">
        <v>274</v>
      </c>
      <c r="S1445" s="1" t="s">
        <v>1571</v>
      </c>
      <c r="T1445" t="s">
        <v>1572</v>
      </c>
      <c r="U1445" t="s">
        <v>1573</v>
      </c>
      <c r="V1445" s="253">
        <v>0</v>
      </c>
      <c r="W1445" s="253">
        <v>0</v>
      </c>
      <c r="X1445">
        <v>0</v>
      </c>
      <c r="Y1445">
        <v>0</v>
      </c>
      <c r="Z1445">
        <v>0</v>
      </c>
      <c r="AA1445">
        <v>0</v>
      </c>
      <c r="AB1445">
        <v>0</v>
      </c>
      <c r="AC1445">
        <v>0</v>
      </c>
      <c r="AD1445">
        <v>0</v>
      </c>
      <c r="AE1445">
        <v>0</v>
      </c>
      <c r="AF1445">
        <v>0</v>
      </c>
      <c r="AG1445">
        <v>0</v>
      </c>
      <c r="AH1445">
        <v>0</v>
      </c>
      <c r="AI1445">
        <v>0</v>
      </c>
      <c r="AJ1445">
        <v>0</v>
      </c>
      <c r="AK1445">
        <v>0</v>
      </c>
      <c r="AL1445">
        <v>0</v>
      </c>
      <c r="AM1445">
        <v>0</v>
      </c>
      <c r="AN1445">
        <v>1</v>
      </c>
      <c r="AO1445">
        <v>0</v>
      </c>
      <c r="AP1445">
        <v>0</v>
      </c>
      <c r="AQ1445">
        <v>0</v>
      </c>
      <c r="AR1445">
        <v>0</v>
      </c>
      <c r="AS1445">
        <v>0</v>
      </c>
      <c r="AT1445">
        <v>0</v>
      </c>
      <c r="AU1445">
        <v>0</v>
      </c>
      <c r="AV1445">
        <v>0</v>
      </c>
      <c r="AW1445">
        <v>0</v>
      </c>
      <c r="AX1445">
        <v>0</v>
      </c>
      <c r="AY1445">
        <v>0</v>
      </c>
      <c r="AZ1445" s="141">
        <f>COUNTIF(X1445:AY1445,"&lt;&gt;0")</f>
        <v>1</v>
      </c>
      <c r="BA1445" s="141">
        <f>COUNTIF(X1445:AN1445,"&lt;&gt;0")</f>
        <v>1</v>
      </c>
      <c r="BB1445">
        <f>COUNTIF(X1445:AE1445,"&lt;&gt;0")</f>
        <v>0</v>
      </c>
      <c r="BC1445">
        <f>COUNTIF(AF1445:AK1445,"&lt;&gt;0")</f>
        <v>0</v>
      </c>
      <c r="BD1445">
        <f>COUNTIF(AL1445:AN1445,"&lt;&gt;0")</f>
        <v>1</v>
      </c>
      <c r="BE1445">
        <f>COUNTIF(AU1445:AY1445,"&lt;&gt;0")</f>
        <v>0</v>
      </c>
      <c r="BF1445">
        <f>COUNTIF(AO1445:AT1445,"&lt;&gt;0")</f>
        <v>0</v>
      </c>
      <c r="BG1445" t="str">
        <f t="array" ref="BG1445">IF(BA1445=1,INDEX($X$7:$AN$7,MATCH(TRUE,INDEX($X1445:$AY1445&lt;&gt;0,),0)),IF(BA1445=0,INDEX($AO$7:$AY$7,MATCH(1,$AO1445:$AY1445,0)),IF(BH1445="Multiple strategies","mixed drivers",IF(BH1445="Supply chain","multiple supply","multiple silviculture"))))</f>
        <v>CCS</v>
      </c>
      <c r="BH1445" s="2" t="str" cm="1">
        <f t="array" ref="BH1445">IF(COUNTIF(BB1445:BD1445,"&lt;&gt;0")=1,INDEX($X$4:$AY$4,MATCH(TRUE,INDEX($X1445:$AY1445&lt;&gt;0,),0)),IF(COUNTIF(BB1445:BD1445,"&lt;&gt;0")=0,INDEX($AO$4:$AY$4,MATCH(1,$AO1445:$AY1445,0)),"Multiple strategies"))</f>
        <v>Technology</v>
      </c>
      <c r="BI1445" s="1" t="s">
        <v>229</v>
      </c>
      <c r="BJ1445" t="s">
        <v>229</v>
      </c>
      <c r="BL1445" t="s">
        <v>742</v>
      </c>
      <c r="BM1445">
        <v>1105.3</v>
      </c>
      <c r="BN1445">
        <v>1105.3</v>
      </c>
      <c r="BP1445">
        <f>BN1445-BM1445</f>
        <v>0</v>
      </c>
      <c r="BQ1445">
        <f>BP1445*t_to_m3</f>
        <v>0</v>
      </c>
      <c r="BR1445" t="s">
        <v>232</v>
      </c>
      <c r="BS1445" s="260" t="s">
        <v>2936</v>
      </c>
      <c r="BT1445" t="s">
        <v>714</v>
      </c>
      <c r="BU1445" s="178">
        <v>-816000</v>
      </c>
      <c r="BV1445" s="178">
        <v>27900</v>
      </c>
      <c r="BW1445" s="144">
        <f>IFERROR(BV1445/BU1445,"")</f>
        <v>-3.4191176470588239E-2</v>
      </c>
      <c r="BX1445" s="178">
        <f>BV1445-BU1445</f>
        <v>843900</v>
      </c>
      <c r="BY1445" s="178"/>
      <c r="BZ1445">
        <f>BX1445/1000</f>
        <v>843.9</v>
      </c>
      <c r="CA1445" t="str">
        <f>IFERROR(BZ1445/BQ1445,"")</f>
        <v/>
      </c>
      <c r="CB1445">
        <v>0</v>
      </c>
      <c r="CC1445">
        <v>1</v>
      </c>
      <c r="CD1445">
        <v>0</v>
      </c>
      <c r="CE1445">
        <v>1</v>
      </c>
      <c r="CF1445">
        <v>0</v>
      </c>
      <c r="CG1445">
        <v>0</v>
      </c>
      <c r="CH1445">
        <v>0</v>
      </c>
      <c r="CI1445">
        <v>1</v>
      </c>
      <c r="CJ1445">
        <v>0</v>
      </c>
      <c r="CK1445">
        <v>0</v>
      </c>
      <c r="CL1445">
        <v>0</v>
      </c>
      <c r="CM1445">
        <v>0</v>
      </c>
      <c r="CN1445">
        <v>0</v>
      </c>
      <c r="CO1445">
        <v>0</v>
      </c>
      <c r="CP1445" t="str">
        <f>IF($BN1445&lt;$BM1445,"refNeedCorrection","refOK")</f>
        <v>refOK</v>
      </c>
      <c r="CQ1445">
        <f>IF($CP1445="refNeedCorrection",BN1445,BM1445)</f>
        <v>1105.3</v>
      </c>
      <c r="CR1445">
        <f>IF($CP1445="refNeedCorrection",BM1445,BN1445)</f>
        <v>1105.3</v>
      </c>
      <c r="CS1445">
        <f>IF($CP1445="refOK",$BQ1445,-$BQ1445)</f>
        <v>0</v>
      </c>
      <c r="CT1445">
        <f>IF(BI1445="Roundwood",$CS1445/2,$CS1445)</f>
        <v>0</v>
      </c>
      <c r="CU1445">
        <f>IF($CP1445="refOK",$BU1445,$BV1445)*IF($BR1445="Emissions positive",-1,1)</f>
        <v>-816000</v>
      </c>
      <c r="CV1445">
        <f>IF($CP1445="refOK",$BV1445,$BU1445)*IF($BR1445="Emissions positive",-1,1)</f>
        <v>27900</v>
      </c>
      <c r="CW1445">
        <f>IF($CP1445="refNeedCorrection",-BZ1445,BZ1445)*IF($BR1445="Emissions positive",-1,1)</f>
        <v>843.9</v>
      </c>
      <c r="CX1445" t="str">
        <f>IFERROR($CW1445/$CS1445,"")</f>
        <v/>
      </c>
      <c r="CY1445" t="str">
        <f>IFERROR($CW1445/$CS1445,"")</f>
        <v/>
      </c>
      <c r="CZ1445" t="str">
        <f>IFERROR($CW1445/$CT1445,"")</f>
        <v/>
      </c>
      <c r="DA1445" s="2">
        <f>IFERROR((CV1445-CU1445)/ABS(CU1445),"")</f>
        <v>1.0341911764705882</v>
      </c>
      <c r="DB1445" s="1" t="s">
        <v>1078</v>
      </c>
      <c r="DC1445" t="str">
        <f>IF(OR($DB1445="prd",$DB1445="std",$DB1445="cit"),"loc",IF(OR($DB1445="eur",$DB1445="reg",$DB1445="coy"),"reg",$DB1445))</f>
        <v>reg</v>
      </c>
      <c r="DD1445" s="296" t="s">
        <v>3098</v>
      </c>
      <c r="DG1445">
        <v>100</v>
      </c>
      <c r="DH1445" t="str">
        <f>IF(DG1445=0,"0",IF(AND(DG1445&gt;=1,DG1445&lt;=30),"1-30",IF(AND(DG1445&gt;30,DG1445&lt;=70),"31-70",IF(AND(DG1445&gt;70,DG1445&lt;=100),"71-100",IF(DG1445&gt;100,"+100")))))</f>
        <v>71-100</v>
      </c>
      <c r="DI1445">
        <v>0</v>
      </c>
      <c r="DJ1445">
        <v>0</v>
      </c>
      <c r="DK1445">
        <v>0</v>
      </c>
      <c r="DL1445">
        <v>1</v>
      </c>
      <c r="DN1445">
        <f>SUM(DI1445:DL1445)</f>
        <v>1</v>
      </c>
      <c r="DO1445" t="str">
        <f>IF(DN1445=1,INDEX($DI$7:$DL$7,MATCH(1,$DI1445:$DL1445,0)),"mixedProduct")</f>
        <v>TimberInput</v>
      </c>
      <c r="DP1445">
        <f>IF(DI1445=1,DP$7,0)</f>
        <v>0</v>
      </c>
      <c r="DQ1445">
        <f>IF(DJ1445=1,DQ$7,0)</f>
        <v>0</v>
      </c>
      <c r="DR1445">
        <f>IF(DK1445=1,DR$7,0)</f>
        <v>0</v>
      </c>
      <c r="DS1445" t="str">
        <f>IF(DL1445=1,DS$7,0)</f>
        <v>Timber</v>
      </c>
      <c r="DT1445">
        <v>0</v>
      </c>
      <c r="DU1445">
        <v>0</v>
      </c>
      <c r="DV1445">
        <v>0</v>
      </c>
      <c r="DW1445">
        <v>0</v>
      </c>
      <c r="DX1445">
        <v>0</v>
      </c>
      <c r="DY1445">
        <f>SUM(DT1445:DU1445)</f>
        <v>0</v>
      </c>
      <c r="DZ1445" s="143" t="str">
        <f>IF(DT1445=1,"self-calculated DF",IF(DU1445=1,"external DF used","explicit C balance"))</f>
        <v>explicit C balance</v>
      </c>
      <c r="EA1445">
        <v>0</v>
      </c>
      <c r="EB1445">
        <v>0</v>
      </c>
      <c r="EC1445">
        <v>0</v>
      </c>
      <c r="ED1445">
        <v>1</v>
      </c>
      <c r="EE1445">
        <v>0</v>
      </c>
      <c r="EF1445" s="143">
        <v>0</v>
      </c>
      <c r="EG1445">
        <v>1</v>
      </c>
      <c r="EH1445">
        <v>1</v>
      </c>
      <c r="EI1445">
        <v>1</v>
      </c>
      <c r="EJ1445">
        <v>1</v>
      </c>
      <c r="EK1445">
        <v>1</v>
      </c>
      <c r="EL1445">
        <v>1</v>
      </c>
      <c r="EM1445">
        <v>0</v>
      </c>
      <c r="EN1445" s="2">
        <v>0</v>
      </c>
      <c r="EP1445" t="str">
        <f>IF(AND(AND(AND(OR($EC1445=1,$EB1445=1),OR($EH1445=1,$EF1445=1)),SUM($EA1445:$EE1445,$EK1445)&gt;=3),SUM($EF1445:$EJ1445)&gt;=2),"Whole sector approach","")</f>
        <v/>
      </c>
      <c r="EQ1445" t="str">
        <f>IF(AND(AND(OR($EC1445=1,$EB1445=1),AND($EH1445=0,$EF1445=0)),SUM($EA1445:$EE1445,$EK1445)&gt;=4),"Ecosystem approach","")</f>
        <v/>
      </c>
      <c r="ER1445" s="2" t="str">
        <f>IF(AND(AND(AND($EC1445=0,$EB1445=0),OR($EH1445=1,$EF1445=1)),SUM($EG1445:$EJ1445)&gt;=2),"Technology approach","")</f>
        <v>Technology approach</v>
      </c>
      <c r="ES1445" t="str">
        <f>IF(AND($EC1445+$EB1445+$EE1445+$EA1445+$ED1445+$EG1445=0,$N1445="included"),"C neutral forest and HWP assumption","")</f>
        <v/>
      </c>
      <c r="ET1445" t="str">
        <f>IF(AND(AND(AND(AND($EC1445=1,$EB1445+$EA1445+$EG1445&gt;=1),$EF1445=1),$EH1445+$EI1445+$ED1445+$EE1445&gt;=2),$N1445="included"),"All C pools assumption","")</f>
        <v/>
      </c>
      <c r="EU1445" t="str">
        <f>IF(AND($ED1445+$EE1445+$EI1445+$EH1445+$EF1445=0,$N1445="included"),"In-situ only assumption","")</f>
        <v/>
      </c>
      <c r="EY1445" t="b">
        <f>IF(ISNUMBER(BW1445),IF(ABS(BW1445-[3]QC_indicators!$B$2)&gt;3*[3]QC_indicators!$C$2,"C ratio",IF(ISNUMBER(CA1445),IF(ABS(CA1445-[3]QC_indicators!$B$1)&gt;3*[3]QC_indicators!$C$1,"DF","no"))),IF(ISNUMBER(CA1445),IF(ABS(CA1445-[3]QC_indicators!$B$1)&gt;3*[3]QC_indicators!$C$1,"DF","no")))</f>
        <v>0</v>
      </c>
      <c r="FA1445" t="str">
        <f>IF(LEN($CY1445)=0,"",IF(AND($CY1445&lt;(-0.05),$ES1445="C neutral forest and HWP assumption"),"Cneutral paradox",IF(AND($CY1445&gt;0.05,$EU1445="In-situ only assumption"),"In-situ only paradox","")))</f>
        <v/>
      </c>
      <c r="FD1445" s="260" t="s">
        <v>2827</v>
      </c>
    </row>
    <row r="1446" spans="1:160" ht="17" hidden="1">
      <c r="A1446" s="1" t="s">
        <v>1606</v>
      </c>
      <c r="B1446" t="s">
        <v>1607</v>
      </c>
      <c r="C1446" t="s">
        <v>1608</v>
      </c>
      <c r="D1446" t="s">
        <v>1609</v>
      </c>
      <c r="E1446" t="s">
        <v>1610</v>
      </c>
      <c r="F1446" t="s">
        <v>1611</v>
      </c>
      <c r="G1446" t="s">
        <v>1612</v>
      </c>
      <c r="H1446" t="s">
        <v>254</v>
      </c>
      <c r="I1446">
        <v>2021</v>
      </c>
      <c r="J1446">
        <v>6</v>
      </c>
      <c r="K1446" t="s">
        <v>1613</v>
      </c>
      <c r="M1446" t="str">
        <f>LEFT($D1446,FIND(",",$D1446)-1)&amp;"_"&amp;I1446&amp;L1446</f>
        <v>Jonsson_2021</v>
      </c>
      <c r="N1446" t="s">
        <v>222</v>
      </c>
      <c r="O1446" s="145" t="s">
        <v>508</v>
      </c>
      <c r="Q1446" t="s">
        <v>256</v>
      </c>
      <c r="R1446" s="2" t="s">
        <v>274</v>
      </c>
      <c r="S1446" s="1" t="s">
        <v>1614</v>
      </c>
      <c r="T1446" t="s">
        <v>1003</v>
      </c>
      <c r="U1446" t="s">
        <v>1615</v>
      </c>
      <c r="V1446" s="253">
        <v>0</v>
      </c>
      <c r="W1446" s="253">
        <v>0</v>
      </c>
      <c r="X1446">
        <v>0</v>
      </c>
      <c r="Y1446">
        <v>1</v>
      </c>
      <c r="Z1446">
        <v>0</v>
      </c>
      <c r="AA1446">
        <v>0</v>
      </c>
      <c r="AB1446">
        <v>0</v>
      </c>
      <c r="AC1446">
        <v>0</v>
      </c>
      <c r="AD1446">
        <v>0</v>
      </c>
      <c r="AE1446">
        <v>0</v>
      </c>
      <c r="AF1446">
        <v>0</v>
      </c>
      <c r="AG1446">
        <v>0</v>
      </c>
      <c r="AH1446">
        <v>2</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s="141">
        <f>COUNTIF(X1446:AY1446,"&lt;&gt;0")</f>
        <v>2</v>
      </c>
      <c r="BA1446" s="141">
        <f>COUNTIF(X1446:AN1446,"&lt;&gt;0")</f>
        <v>2</v>
      </c>
      <c r="BB1446">
        <f>COUNTIF(X1446:AE1446,"&lt;&gt;0")</f>
        <v>1</v>
      </c>
      <c r="BC1446">
        <f>COUNTIF(AF1446:AK1446,"&lt;&gt;0")</f>
        <v>1</v>
      </c>
      <c r="BD1446">
        <f>COUNTIF(AL1446:AN1446,"&lt;&gt;0")</f>
        <v>0</v>
      </c>
      <c r="BE1446">
        <f>COUNTIF(AU1446:AY1446,"&lt;&gt;0")</f>
        <v>0</v>
      </c>
      <c r="BF1446">
        <f>COUNTIF(AO1446:AT1446,"&lt;&gt;0")</f>
        <v>0</v>
      </c>
      <c r="BG1446" t="str">
        <f t="array" ref="BG1446">IF(BA1446=1,INDEX($X$7:$AN$7,MATCH(TRUE,INDEX($X1446:$AY1446&lt;&gt;0,),0)),IF(BA1446=0,INDEX($AO$7:$AY$7,MATCH(1,$AO1446:$AY1446,0)),IF(BH1446="Multiple strategies","mixed drivers",IF(BH1446="Supply chain","multiple supply","multiple silviculture"))))</f>
        <v>mixed drivers</v>
      </c>
      <c r="BH1446" s="2" t="str" cm="1">
        <f t="array" ref="BH1446">IF(COUNTIF(BB1446:BD1446,"&lt;&gt;0")=1,INDEX($X$4:$AY$4,MATCH(TRUE,INDEX($X1446:$AY1446&lt;&gt;0,),0)),IF(COUNTIF(BB1446:BD1446,"&lt;&gt;0")=0,INDEX($AO$4:$AY$4,MATCH(1,$AO1446:$AY1446,0)),"Multiple strategies"))</f>
        <v>Multiple strategies</v>
      </c>
      <c r="BI1446" s="1" t="s">
        <v>229</v>
      </c>
      <c r="BJ1446" t="s">
        <v>229</v>
      </c>
      <c r="BK1446" s="260" t="s">
        <v>1934</v>
      </c>
      <c r="BL1446" t="s">
        <v>1616</v>
      </c>
      <c r="BM1446">
        <v>284950</v>
      </c>
      <c r="BN1446">
        <v>322592</v>
      </c>
      <c r="BO1446" t="e">
        <f>#REF!</f>
        <v>#REF!</v>
      </c>
      <c r="BP1446">
        <f>BN1446-BM1446</f>
        <v>37642</v>
      </c>
      <c r="BQ1446">
        <f>BP1446*1000</f>
        <v>37642000</v>
      </c>
      <c r="BR1446" t="s">
        <v>232</v>
      </c>
      <c r="BS1446" s="260" t="s">
        <v>2944</v>
      </c>
      <c r="BT1446" s="260" t="s">
        <v>1175</v>
      </c>
      <c r="BU1446">
        <v>367</v>
      </c>
      <c r="BV1446">
        <v>312</v>
      </c>
      <c r="BW1446" s="144">
        <f>IFERROR(BV1446/BU1446,"")</f>
        <v>0.85013623978201636</v>
      </c>
      <c r="BX1446">
        <f>BV1446-BU1446</f>
        <v>-55</v>
      </c>
      <c r="BZ1446">
        <f>BX1446*10^6</f>
        <v>-55000000</v>
      </c>
      <c r="CA1446">
        <f>IFERROR(BZ1446/BQ1446,"")</f>
        <v>-1.4611338398597311</v>
      </c>
      <c r="CB1446">
        <v>0</v>
      </c>
      <c r="CC1446">
        <v>0</v>
      </c>
      <c r="CD1446">
        <v>0</v>
      </c>
      <c r="CE1446">
        <v>0</v>
      </c>
      <c r="CF1446">
        <v>0</v>
      </c>
      <c r="CG1446">
        <v>0</v>
      </c>
      <c r="CH1446">
        <v>0</v>
      </c>
      <c r="CI1446">
        <v>0</v>
      </c>
      <c r="CJ1446">
        <v>0</v>
      </c>
      <c r="CK1446">
        <v>0</v>
      </c>
      <c r="CL1446">
        <v>0</v>
      </c>
      <c r="CM1446">
        <v>0</v>
      </c>
      <c r="CN1446">
        <v>0</v>
      </c>
      <c r="CO1446">
        <v>1</v>
      </c>
      <c r="CP1446" t="str">
        <f>IF($BN1446&lt;$BM1446,"refNeedCorrection","refOK")</f>
        <v>refOK</v>
      </c>
      <c r="CQ1446">
        <f>IF($CP1446="refNeedCorrection",BN1446,BM1446)</f>
        <v>284950</v>
      </c>
      <c r="CR1446">
        <f>IF($CP1446="refNeedCorrection",BM1446,BN1446)</f>
        <v>322592</v>
      </c>
      <c r="CS1446">
        <f>IF($CP1446="refOK",$BQ1446,-$BQ1446)</f>
        <v>37642000</v>
      </c>
      <c r="CT1446">
        <f>IF(BI1446="Roundwood",$CS1446/2,$CS1446)</f>
        <v>37642000</v>
      </c>
      <c r="CU1446">
        <f>IF($CP1446="refOK",$BU1446,$BV1446)*IF($BR1446="Emissions positive",-1,1)</f>
        <v>367</v>
      </c>
      <c r="CV1446">
        <f>IF($CP1446="refOK",$BV1446,$BU1446)*IF($BR1446="Emissions positive",-1,1)</f>
        <v>312</v>
      </c>
      <c r="CW1446">
        <f>IF($CP1446="refNeedCorrection",-BZ1446,BZ1446)*IF($BR1446="Emissions positive",-1,1)</f>
        <v>-55000000</v>
      </c>
      <c r="CX1446">
        <f>IFERROR($CW1446/$CS1446,"")</f>
        <v>-1.4611338398597311</v>
      </c>
      <c r="CY1446">
        <f>IFERROR($CW1446/$CS1446,"")</f>
        <v>-1.4611338398597311</v>
      </c>
      <c r="CZ1446">
        <f>IFERROR($CW1446/$CT1446,"")</f>
        <v>-1.4611338398597311</v>
      </c>
      <c r="DA1446" s="2">
        <f>IFERROR((CV1446-CU1446)/ABS(CU1446),"")</f>
        <v>-0.14986376021798364</v>
      </c>
      <c r="DB1446" s="1" t="s">
        <v>1106</v>
      </c>
      <c r="DC1446" t="str">
        <f>IF(OR($DB1446="prd",$DB1446="std",$DB1446="cit"),"loc",IF(OR($DB1446="eur",$DB1446="reg",$DB1446="coy"),"reg",$DB1446))</f>
        <v>reg</v>
      </c>
      <c r="DD1446" t="s">
        <v>729</v>
      </c>
      <c r="DE1446">
        <v>2000</v>
      </c>
      <c r="DF1446">
        <v>2030</v>
      </c>
      <c r="DG1446">
        <v>30</v>
      </c>
      <c r="DH1446" t="str">
        <f>IF(DG1446=0,"0",IF(AND(DG1446&gt;=1,DG1446&lt;=30),"1-30",IF(AND(DG1446&gt;30,DG1446&lt;=70),"31-70",IF(AND(DG1446&gt;70,DG1446&lt;=100),"71-100",IF(DG1446&gt;100,"+100")))))</f>
        <v>1-30</v>
      </c>
      <c r="DI1446">
        <v>0</v>
      </c>
      <c r="DJ1446">
        <v>0</v>
      </c>
      <c r="DK1446">
        <v>0</v>
      </c>
      <c r="DL1446">
        <v>1</v>
      </c>
      <c r="DM1446">
        <v>1</v>
      </c>
      <c r="DN1446">
        <f>SUM(DI1446:DL1446)</f>
        <v>1</v>
      </c>
      <c r="DO1446" t="str">
        <f>IF(DN1446=1,INDEX($DI$7:$DL$7,MATCH(1,$DI1446:$DL1446,0)),"mixedProduct")</f>
        <v>TimberInput</v>
      </c>
      <c r="DP1446">
        <f>IF(DI1446=1,DP$7,0)</f>
        <v>0</v>
      </c>
      <c r="DQ1446">
        <f>IF(DJ1446=1,DQ$7,0)</f>
        <v>0</v>
      </c>
      <c r="DR1446">
        <f>IF(DK1446=1,DR$7,0)</f>
        <v>0</v>
      </c>
      <c r="DS1446" t="str">
        <f>IF(DL1446=1,DS$7,0)</f>
        <v>Timber</v>
      </c>
      <c r="DT1446">
        <v>0</v>
      </c>
      <c r="DU1446">
        <v>1</v>
      </c>
      <c r="DV1446" t="s">
        <v>1617</v>
      </c>
      <c r="DW1446" t="s">
        <v>1617</v>
      </c>
      <c r="DX1446">
        <v>0</v>
      </c>
      <c r="DY1446">
        <f>SUM(DT1446:DU1446)</f>
        <v>1</v>
      </c>
      <c r="DZ1446" s="143" t="str">
        <f>IF(DT1446=1,"self-calculated DF",IF(DU1446=1,"external DF used","explicit C balance"))</f>
        <v>external DF used</v>
      </c>
      <c r="EA1446">
        <v>1</v>
      </c>
      <c r="EB1446">
        <v>0</v>
      </c>
      <c r="EC1446">
        <v>1</v>
      </c>
      <c r="ED1446">
        <v>1</v>
      </c>
      <c r="EE1446">
        <v>0</v>
      </c>
      <c r="EF1446" s="143">
        <v>0</v>
      </c>
      <c r="EG1446">
        <v>0</v>
      </c>
      <c r="EH1446">
        <v>0</v>
      </c>
      <c r="EI1446">
        <v>0</v>
      </c>
      <c r="EJ1446">
        <v>0</v>
      </c>
      <c r="EK1446">
        <v>1</v>
      </c>
      <c r="EL1446">
        <v>0</v>
      </c>
      <c r="EM1446">
        <v>0</v>
      </c>
      <c r="EN1446" s="2">
        <v>0</v>
      </c>
      <c r="EO1446" s="1" t="s">
        <v>1618</v>
      </c>
      <c r="EP1446" t="str">
        <f>IF(AND(AND(AND(OR($EC1446=1,$EB1446=1),OR($EH1446=1,$EF1446=1)),SUM($EA1446:$EE1446,$EK1446)&gt;=3),SUM($EF1446:$EJ1446)&gt;=2),"Whole sector approach","")</f>
        <v/>
      </c>
      <c r="EQ1446" t="str">
        <f>IF(AND(AND(OR($EC1446=1,$EB1446=1),AND($EH1446=0,$EF1446=0)),SUM($EA1446:$EE1446,$EK1446)&gt;=4),"Ecosystem approach","")</f>
        <v>Ecosystem approach</v>
      </c>
      <c r="ER1446" s="2" t="str">
        <f>IF(AND(AND(AND($EC1446=0,$EB1446=0),OR($EH1446=1,$EF1446=1)),SUM($EG1446:$EJ1446)&gt;=2),"Technology approach","")</f>
        <v/>
      </c>
      <c r="ES1446" t="str">
        <f>IF(AND($EC1446+$EB1446+$EE1446+$EA1446+$ED1446+$EG1446=0,$N1446="included"),"C neutral forest and HWP assumption","")</f>
        <v/>
      </c>
      <c r="ET1446" t="str">
        <f>IF(AND(AND(AND(AND($EC1446=1,$EB1446+$EA1446+$EG1446&gt;=1),$EF1446=1),$EH1446+$EI1446+$ED1446+$EE1446&gt;=2),$N1446="included"),"All C pools assumption","")</f>
        <v/>
      </c>
      <c r="EU1446" t="str">
        <f>IF(AND($ED1446+$EE1446+$EI1446+$EH1446+$EF1446=0,$N1446="included"),"In-situ only assumption","")</f>
        <v/>
      </c>
      <c r="EY1446" t="str">
        <f>IF(ISNUMBER(BW1446),IF(ABS(BW1446-[3]QC_indicators!$B$2)&gt;3*[3]QC_indicators!$C$2,"C ratio",IF(ISNUMBER(CA1446),IF(ABS(CA1446-[3]QC_indicators!$B$1)&gt;3*[3]QC_indicators!$C$1,"DF","no"))),IF(ISNUMBER(CA1446),IF(ABS(CA1446-[3]QC_indicators!$B$1)&gt;3*[3]QC_indicators!$C$1,"DF","no")))</f>
        <v>no</v>
      </c>
      <c r="FA1446" t="str">
        <f>IF(LEN($CY1446)=0,"",IF(AND($CY1446&lt;(-0.05),$ES1446="C neutral forest and HWP assumption"),"Cneutral paradox",IF(AND($CY1446&gt;0.05,$EU1446="In-situ only assumption"),"In-situ only paradox","")))</f>
        <v/>
      </c>
      <c r="FD1446" s="260" t="s">
        <v>2945</v>
      </c>
    </row>
    <row r="1447" spans="1:160" ht="15" hidden="1" customHeight="1">
      <c r="A1447" s="1" t="s">
        <v>1606</v>
      </c>
      <c r="B1447" t="s">
        <v>1607</v>
      </c>
      <c r="C1447" t="s">
        <v>1608</v>
      </c>
      <c r="D1447" t="s">
        <v>1609</v>
      </c>
      <c r="E1447" t="s">
        <v>1610</v>
      </c>
      <c r="F1447" t="s">
        <v>1611</v>
      </c>
      <c r="G1447" t="s">
        <v>1612</v>
      </c>
      <c r="H1447" t="s">
        <v>254</v>
      </c>
      <c r="I1447">
        <v>2021</v>
      </c>
      <c r="J1447">
        <v>6</v>
      </c>
      <c r="K1447" t="s">
        <v>1613</v>
      </c>
      <c r="M1447" t="str">
        <f>LEFT($D1447,FIND(",",$D1447)-1)&amp;"_"&amp;I1447&amp;L1447</f>
        <v>Jonsson_2021</v>
      </c>
      <c r="N1447" t="s">
        <v>222</v>
      </c>
      <c r="O1447" s="145" t="s">
        <v>508</v>
      </c>
      <c r="Q1447" t="s">
        <v>256</v>
      </c>
      <c r="R1447" s="2" t="s">
        <v>274</v>
      </c>
      <c r="S1447" s="1" t="s">
        <v>1619</v>
      </c>
      <c r="T1447" t="s">
        <v>1003</v>
      </c>
      <c r="U1447" t="s">
        <v>1615</v>
      </c>
      <c r="V1447" s="253">
        <v>0</v>
      </c>
      <c r="W1447" s="253">
        <v>0</v>
      </c>
      <c r="X1447">
        <v>0</v>
      </c>
      <c r="Y1447">
        <v>1</v>
      </c>
      <c r="Z1447">
        <v>0</v>
      </c>
      <c r="AA1447">
        <v>0</v>
      </c>
      <c r="AB1447">
        <v>0</v>
      </c>
      <c r="AC1447">
        <v>0</v>
      </c>
      <c r="AD1447">
        <v>0</v>
      </c>
      <c r="AE1447">
        <v>0</v>
      </c>
      <c r="AF1447">
        <v>0</v>
      </c>
      <c r="AG1447">
        <v>0</v>
      </c>
      <c r="AH1447">
        <v>2</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s="141">
        <f>COUNTIF(X1447:AY1447,"&lt;&gt;0")</f>
        <v>2</v>
      </c>
      <c r="BA1447" s="141">
        <f>COUNTIF(X1447:AN1447,"&lt;&gt;0")</f>
        <v>2</v>
      </c>
      <c r="BB1447">
        <f>COUNTIF(X1447:AE1447,"&lt;&gt;0")</f>
        <v>1</v>
      </c>
      <c r="BC1447">
        <f>COUNTIF(AF1447:AK1447,"&lt;&gt;0")</f>
        <v>1</v>
      </c>
      <c r="BD1447">
        <f>COUNTIF(AL1447:AN1447,"&lt;&gt;0")</f>
        <v>0</v>
      </c>
      <c r="BE1447">
        <f>COUNTIF(AU1447:AY1447,"&lt;&gt;0")</f>
        <v>0</v>
      </c>
      <c r="BF1447">
        <f>COUNTIF(AO1447:AT1447,"&lt;&gt;0")</f>
        <v>0</v>
      </c>
      <c r="BG1447" t="str">
        <f t="array" ref="BG1447">IF(BA1447=1,INDEX($X$7:$AN$7,MATCH(TRUE,INDEX($X1447:$AY1447&lt;&gt;0,),0)),IF(BA1447=0,INDEX($AO$7:$AY$7,MATCH(1,$AO1447:$AY1447,0)),IF(BH1447="Multiple strategies","mixed drivers",IF(BH1447="Supply chain","multiple supply","multiple silviculture"))))</f>
        <v>mixed drivers</v>
      </c>
      <c r="BH1447" s="2" t="str" cm="1">
        <f t="array" ref="BH1447">IF(COUNTIF(BB1447:BD1447,"&lt;&gt;0")=1,INDEX($X$4:$AY$4,MATCH(TRUE,INDEX($X1447:$AY1447&lt;&gt;0,),0)),IF(COUNTIF(BB1447:BD1447,"&lt;&gt;0")=0,INDEX($AO$4:$AY$4,MATCH(1,$AO1447:$AY1447,0)),"Multiple strategies"))</f>
        <v>Multiple strategies</v>
      </c>
      <c r="BI1447" s="1" t="s">
        <v>229</v>
      </c>
      <c r="BJ1447" t="s">
        <v>229</v>
      </c>
      <c r="BK1447" s="260" t="s">
        <v>1934</v>
      </c>
      <c r="BL1447" t="s">
        <v>1616</v>
      </c>
      <c r="BM1447">
        <v>284950</v>
      </c>
      <c r="BN1447">
        <v>322592</v>
      </c>
      <c r="BO1447" t="e">
        <f>#REF!</f>
        <v>#REF!</v>
      </c>
      <c r="BP1447">
        <f>BN1447-BM1447</f>
        <v>37642</v>
      </c>
      <c r="BQ1447">
        <f>BP1447*1000</f>
        <v>37642000</v>
      </c>
      <c r="BR1447" t="s">
        <v>232</v>
      </c>
      <c r="BS1447" s="260" t="s">
        <v>1934</v>
      </c>
      <c r="BT1447" t="s">
        <v>1175</v>
      </c>
      <c r="BU1447">
        <v>72</v>
      </c>
      <c r="BV1447">
        <v>100</v>
      </c>
      <c r="BW1447" s="144">
        <f>IFERROR(BV1447/BU1447,"")</f>
        <v>1.3888888888888888</v>
      </c>
      <c r="BX1447">
        <f>BV1447-BU1447</f>
        <v>28</v>
      </c>
      <c r="BZ1447">
        <f>BX1447*10^6</f>
        <v>28000000</v>
      </c>
      <c r="CA1447">
        <f>IFERROR(BZ1447/BQ1447,"")</f>
        <v>0.74384995483768135</v>
      </c>
      <c r="CB1447">
        <v>0</v>
      </c>
      <c r="CC1447">
        <v>0</v>
      </c>
      <c r="CD1447">
        <v>0</v>
      </c>
      <c r="CE1447">
        <v>0</v>
      </c>
      <c r="CF1447">
        <v>0</v>
      </c>
      <c r="CG1447">
        <v>0</v>
      </c>
      <c r="CH1447">
        <v>0</v>
      </c>
      <c r="CI1447">
        <v>0</v>
      </c>
      <c r="CJ1447">
        <v>0</v>
      </c>
      <c r="CK1447">
        <v>0</v>
      </c>
      <c r="CL1447">
        <v>0</v>
      </c>
      <c r="CM1447">
        <v>0</v>
      </c>
      <c r="CN1447">
        <v>0</v>
      </c>
      <c r="CO1447">
        <v>1</v>
      </c>
      <c r="CP1447" t="str">
        <f>IF($BN1447&lt;$BM1447,"refNeedCorrection","refOK")</f>
        <v>refOK</v>
      </c>
      <c r="CQ1447">
        <f>IF($CP1447="refNeedCorrection",BN1447,BM1447)</f>
        <v>284950</v>
      </c>
      <c r="CR1447">
        <f>IF($CP1447="refNeedCorrection",BM1447,BN1447)</f>
        <v>322592</v>
      </c>
      <c r="CS1447">
        <f>IF($CP1447="refOK",$BQ1447,-$BQ1447)</f>
        <v>37642000</v>
      </c>
      <c r="CT1447">
        <f>IF(BI1447="Roundwood",$CS1447/2,$CS1447)</f>
        <v>37642000</v>
      </c>
      <c r="CU1447">
        <f>IF($CP1447="refOK",$BU1447,$BV1447)*IF($BR1447="Emissions positive",-1,1)</f>
        <v>72</v>
      </c>
      <c r="CV1447">
        <f>IF($CP1447="refOK",$BV1447,$BU1447)*IF($BR1447="Emissions positive",-1,1)</f>
        <v>100</v>
      </c>
      <c r="CW1447">
        <f>IF($CP1447="refNeedCorrection",-BZ1447,BZ1447)*IF($BR1447="Emissions positive",-1,1)</f>
        <v>28000000</v>
      </c>
      <c r="CX1447">
        <f>IFERROR($CW1447/$CS1447,"")</f>
        <v>0.74384995483768135</v>
      </c>
      <c r="CY1447">
        <f>IFERROR($CW1447/$CS1447,"")</f>
        <v>0.74384995483768135</v>
      </c>
      <c r="CZ1447">
        <f>IFERROR($CW1447/$CT1447,"")</f>
        <v>0.74384995483768135</v>
      </c>
      <c r="DA1447" s="2">
        <f>IFERROR((CV1447-CU1447)/ABS(CU1447),"")</f>
        <v>0.3888888888888889</v>
      </c>
      <c r="DB1447" s="1" t="s">
        <v>1106</v>
      </c>
      <c r="DC1447" t="str">
        <f>IF(OR($DB1447="prd",$DB1447="std",$DB1447="cit"),"loc",IF(OR($DB1447="eur",$DB1447="reg",$DB1447="coy"),"reg",$DB1447))</f>
        <v>reg</v>
      </c>
      <c r="DD1447" t="s">
        <v>729</v>
      </c>
      <c r="DE1447">
        <v>2000</v>
      </c>
      <c r="DF1447">
        <v>2030</v>
      </c>
      <c r="DG1447">
        <v>30</v>
      </c>
      <c r="DH1447" t="str">
        <f>IF(DG1447=0,"0",IF(AND(DG1447&gt;=1,DG1447&lt;=30),"1-30",IF(AND(DG1447&gt;30,DG1447&lt;=70),"31-70",IF(AND(DG1447&gt;70,DG1447&lt;=100),"71-100",IF(DG1447&gt;100,"+100")))))</f>
        <v>1-30</v>
      </c>
      <c r="DI1447">
        <v>0</v>
      </c>
      <c r="DJ1447">
        <v>0</v>
      </c>
      <c r="DK1447">
        <v>0</v>
      </c>
      <c r="DL1447">
        <v>1</v>
      </c>
      <c r="DM1447">
        <v>1</v>
      </c>
      <c r="DN1447">
        <f>SUM(DI1447:DL1447)</f>
        <v>1</v>
      </c>
      <c r="DO1447" t="str">
        <f>IF(DN1447=1,INDEX($DI$7:$DL$7,MATCH(1,$DI1447:$DL1447,0)),"mixedProduct")</f>
        <v>TimberInput</v>
      </c>
      <c r="DP1447">
        <f>IF(DI1447=1,DP$7,0)</f>
        <v>0</v>
      </c>
      <c r="DQ1447">
        <f>IF(DJ1447=1,DQ$7,0)</f>
        <v>0</v>
      </c>
      <c r="DR1447">
        <f>IF(DK1447=1,DR$7,0)</f>
        <v>0</v>
      </c>
      <c r="DS1447" t="str">
        <f>IF(DL1447=1,DS$7,0)</f>
        <v>Timber</v>
      </c>
      <c r="DT1447">
        <v>0</v>
      </c>
      <c r="DU1447">
        <v>1</v>
      </c>
      <c r="DV1447" t="s">
        <v>1617</v>
      </c>
      <c r="DW1447" t="s">
        <v>1617</v>
      </c>
      <c r="DX1447">
        <v>0</v>
      </c>
      <c r="DY1447">
        <f>SUM(DT1447:DU1447)</f>
        <v>1</v>
      </c>
      <c r="DZ1447" s="143" t="str">
        <f>IF(DT1447=1,"self-calculated DF",IF(DU1447=1,"external DF used","explicit C balance"))</f>
        <v>external DF used</v>
      </c>
      <c r="EA1447">
        <v>0</v>
      </c>
      <c r="EB1447">
        <v>0</v>
      </c>
      <c r="EC1447">
        <v>0</v>
      </c>
      <c r="ED1447">
        <v>1</v>
      </c>
      <c r="EE1447">
        <v>0</v>
      </c>
      <c r="EF1447" s="143">
        <v>0</v>
      </c>
      <c r="EG1447">
        <v>0</v>
      </c>
      <c r="EH1447">
        <v>0</v>
      </c>
      <c r="EI1447">
        <v>0</v>
      </c>
      <c r="EJ1447">
        <v>0</v>
      </c>
      <c r="EK1447">
        <v>1</v>
      </c>
      <c r="EL1447">
        <v>0</v>
      </c>
      <c r="EM1447">
        <v>0</v>
      </c>
      <c r="EN1447" s="2">
        <v>0</v>
      </c>
      <c r="EO1447" s="1" t="s">
        <v>1618</v>
      </c>
      <c r="EP1447" t="str">
        <f>IF(AND(AND(AND(OR($EC1447=1,$EB1447=1),OR($EH1447=1,$EF1447=1)),SUM($EA1447:$EE1447,$EK1447)&gt;=3),SUM($EF1447:$EJ1447)&gt;=2),"Whole sector approach","")</f>
        <v/>
      </c>
      <c r="EQ1447" t="str">
        <f>IF(AND(AND(OR($EC1447=1,$EB1447=1),AND($EH1447=0,$EF1447=0)),SUM($EA1447:$EE1447,$EK1447)&gt;=4),"Ecosystem approach","")</f>
        <v/>
      </c>
      <c r="ER1447" s="2" t="str">
        <f>IF(AND(AND(AND($EC1447=0,$EB1447=0),OR($EH1447=1,$EF1447=1)),SUM($EG1447:$EJ1447)&gt;=2),"Technology approach","")</f>
        <v/>
      </c>
      <c r="ES1447" t="str">
        <f>IF(AND($EC1447+$EB1447+$EE1447+$EA1447+$ED1447+$EG1447=0,$N1447="included"),"C neutral forest and HWP assumption","")</f>
        <v/>
      </c>
      <c r="ET1447" t="str">
        <f>IF(AND(AND(AND(AND($EC1447=1,$EB1447+$EA1447+$EG1447&gt;=1),$EF1447=1),$EH1447+$EI1447+$ED1447+$EE1447&gt;=2),$N1447="included"),"All C pools assumption","")</f>
        <v/>
      </c>
      <c r="EU1447" t="str">
        <f>IF(AND($ED1447+$EE1447+$EI1447+$EH1447+$EF1447=0,$N1447="included"),"In-situ only assumption","")</f>
        <v/>
      </c>
      <c r="EY1447" t="str">
        <f>IF(ISNUMBER(BW1447),IF(ABS(BW1447-[3]QC_indicators!$B$2)&gt;3*[3]QC_indicators!$C$2,"C ratio",IF(ISNUMBER(CA1447),IF(ABS(CA1447-[3]QC_indicators!$B$1)&gt;3*[3]QC_indicators!$C$1,"DF","no"))),IF(ISNUMBER(CA1447),IF(ABS(CA1447-[3]QC_indicators!$B$1)&gt;3*[3]QC_indicators!$C$1,"DF","no")))</f>
        <v>no</v>
      </c>
      <c r="FA1447" t="str">
        <f>IF(LEN($CY1447)=0,"",IF(AND($CY1447&lt;(-0.05),$ES1447="C neutral forest and HWP assumption"),"Cneutral paradox",IF(AND($CY1447&gt;0.05,$EU1447="In-situ only assumption"),"In-situ only paradox","")))</f>
        <v/>
      </c>
      <c r="FD1447" s="260" t="s">
        <v>2945</v>
      </c>
    </row>
    <row r="1448" spans="1:160" ht="17" hidden="1">
      <c r="A1448" s="1" t="s">
        <v>1606</v>
      </c>
      <c r="B1448" t="s">
        <v>1607</v>
      </c>
      <c r="C1448" t="s">
        <v>1608</v>
      </c>
      <c r="D1448" t="s">
        <v>1609</v>
      </c>
      <c r="E1448" t="s">
        <v>1610</v>
      </c>
      <c r="F1448" t="s">
        <v>1611</v>
      </c>
      <c r="G1448" t="s">
        <v>1612</v>
      </c>
      <c r="H1448" t="s">
        <v>254</v>
      </c>
      <c r="I1448">
        <v>2021</v>
      </c>
      <c r="J1448">
        <v>6</v>
      </c>
      <c r="K1448" t="s">
        <v>1613</v>
      </c>
      <c r="M1448" t="str">
        <f>LEFT($D1448,FIND(",",$D1448)-1)&amp;"_"&amp;I1448&amp;L1448</f>
        <v>Jonsson_2021</v>
      </c>
      <c r="N1448" t="s">
        <v>222</v>
      </c>
      <c r="O1448" s="145" t="s">
        <v>508</v>
      </c>
      <c r="Q1448" t="s">
        <v>256</v>
      </c>
      <c r="R1448" s="2" t="s">
        <v>274</v>
      </c>
      <c r="S1448" s="1" t="s">
        <v>1620</v>
      </c>
      <c r="T1448" t="s">
        <v>1003</v>
      </c>
      <c r="U1448" t="s">
        <v>1621</v>
      </c>
      <c r="V1448" s="253">
        <v>0</v>
      </c>
      <c r="W1448" s="253">
        <v>0</v>
      </c>
      <c r="X1448">
        <v>0</v>
      </c>
      <c r="Y1448">
        <v>1</v>
      </c>
      <c r="Z1448">
        <v>0</v>
      </c>
      <c r="AA1448">
        <v>0</v>
      </c>
      <c r="AB1448">
        <v>0</v>
      </c>
      <c r="AC1448">
        <v>0</v>
      </c>
      <c r="AD1448">
        <v>0</v>
      </c>
      <c r="AE1448">
        <v>0</v>
      </c>
      <c r="AF1448">
        <v>0</v>
      </c>
      <c r="AG1448">
        <v>0</v>
      </c>
      <c r="AH1448">
        <v>2</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s="141">
        <f>COUNTIF(X1448:AY1448,"&lt;&gt;0")</f>
        <v>2</v>
      </c>
      <c r="BA1448" s="141">
        <f>COUNTIF(X1448:AN1448,"&lt;&gt;0")</f>
        <v>2</v>
      </c>
      <c r="BB1448">
        <f>COUNTIF(X1448:AE1448,"&lt;&gt;0")</f>
        <v>1</v>
      </c>
      <c r="BC1448">
        <f>COUNTIF(AF1448:AK1448,"&lt;&gt;0")</f>
        <v>1</v>
      </c>
      <c r="BD1448">
        <f>COUNTIF(AL1448:AN1448,"&lt;&gt;0")</f>
        <v>0</v>
      </c>
      <c r="BE1448">
        <f>COUNTIF(AU1448:AY1448,"&lt;&gt;0")</f>
        <v>0</v>
      </c>
      <c r="BF1448">
        <f>COUNTIF(AO1448:AT1448,"&lt;&gt;0")</f>
        <v>0</v>
      </c>
      <c r="BG1448" t="str">
        <f t="array" ref="BG1448">IF(BA1448=1,INDEX($X$7:$AN$7,MATCH(TRUE,INDEX($X1448:$AY1448&lt;&gt;0,),0)),IF(BA1448=0,INDEX($AO$7:$AY$7,MATCH(1,$AO1448:$AY1448,0)),IF(BH1448="Multiple strategies","mixed drivers",IF(BH1448="Supply chain","multiple supply","multiple silviculture"))))</f>
        <v>mixed drivers</v>
      </c>
      <c r="BH1448" s="2" t="str" cm="1">
        <f t="array" ref="BH1448">IF(COUNTIF(BB1448:BD1448,"&lt;&gt;0")=1,INDEX($X$4:$AY$4,MATCH(TRUE,INDEX($X1448:$AY1448&lt;&gt;0,),0)),IF(COUNTIF(BB1448:BD1448,"&lt;&gt;0")=0,INDEX($AO$4:$AY$4,MATCH(1,$AO1448:$AY1448,0)),"Multiple strategies"))</f>
        <v>Multiple strategies</v>
      </c>
      <c r="BI1448" s="1" t="s">
        <v>229</v>
      </c>
      <c r="BJ1448" t="s">
        <v>229</v>
      </c>
      <c r="BK1448" s="260" t="s">
        <v>1934</v>
      </c>
      <c r="BL1448" t="s">
        <v>1616</v>
      </c>
      <c r="BM1448">
        <v>284950</v>
      </c>
      <c r="BN1448">
        <v>333260</v>
      </c>
      <c r="BO1448" t="e">
        <f>#REF!</f>
        <v>#REF!</v>
      </c>
      <c r="BP1448">
        <f>BN1448-BM1448</f>
        <v>48310</v>
      </c>
      <c r="BQ1448">
        <f>BP1448*1000</f>
        <v>48310000</v>
      </c>
      <c r="BR1448" t="s">
        <v>232</v>
      </c>
      <c r="BS1448" t="s">
        <v>2944</v>
      </c>
      <c r="BT1448" t="s">
        <v>1175</v>
      </c>
      <c r="BU1448">
        <v>367</v>
      </c>
      <c r="BV1448">
        <v>273</v>
      </c>
      <c r="BW1448" s="144">
        <f>IFERROR(BV1448/BU1448,"")</f>
        <v>0.7438692098092643</v>
      </c>
      <c r="BX1448">
        <f>BV1448-BU1448</f>
        <v>-94</v>
      </c>
      <c r="BZ1448">
        <f>BX1448*10^6</f>
        <v>-94000000</v>
      </c>
      <c r="CA1448">
        <f>IFERROR(BZ1448/BQ1448,"")</f>
        <v>-1.9457669219623266</v>
      </c>
      <c r="CB1448">
        <v>0</v>
      </c>
      <c r="CC1448">
        <v>0</v>
      </c>
      <c r="CD1448">
        <v>0</v>
      </c>
      <c r="CE1448">
        <v>0</v>
      </c>
      <c r="CF1448">
        <v>0</v>
      </c>
      <c r="CG1448">
        <v>0</v>
      </c>
      <c r="CH1448">
        <v>0</v>
      </c>
      <c r="CI1448">
        <v>0</v>
      </c>
      <c r="CJ1448">
        <v>0</v>
      </c>
      <c r="CK1448">
        <v>0</v>
      </c>
      <c r="CL1448">
        <v>0</v>
      </c>
      <c r="CM1448">
        <v>0</v>
      </c>
      <c r="CN1448">
        <v>0</v>
      </c>
      <c r="CO1448">
        <v>1</v>
      </c>
      <c r="CP1448" t="str">
        <f>IF($BN1448&lt;$BM1448,"refNeedCorrection","refOK")</f>
        <v>refOK</v>
      </c>
      <c r="CQ1448">
        <f>IF($CP1448="refNeedCorrection",BN1448,BM1448)</f>
        <v>284950</v>
      </c>
      <c r="CR1448">
        <f>IF($CP1448="refNeedCorrection",BM1448,BN1448)</f>
        <v>333260</v>
      </c>
      <c r="CS1448">
        <f>IF($CP1448="refOK",$BQ1448,-$BQ1448)</f>
        <v>48310000</v>
      </c>
      <c r="CT1448">
        <f>IF(BI1448="Roundwood",$CS1448/2,$CS1448)</f>
        <v>48310000</v>
      </c>
      <c r="CU1448">
        <f>IF($CP1448="refOK",$BU1448,$BV1448)*IF($BR1448="Emissions positive",-1,1)</f>
        <v>367</v>
      </c>
      <c r="CV1448">
        <f>IF($CP1448="refOK",$BV1448,$BU1448)*IF($BR1448="Emissions positive",-1,1)</f>
        <v>273</v>
      </c>
      <c r="CW1448">
        <f>IF($CP1448="refNeedCorrection",-BZ1448,BZ1448)*IF($BR1448="Emissions positive",-1,1)</f>
        <v>-94000000</v>
      </c>
      <c r="CX1448">
        <f>IFERROR($CW1448/$CS1448,"")</f>
        <v>-1.9457669219623266</v>
      </c>
      <c r="CY1448">
        <f>IFERROR($CW1448/$CS1448,"")</f>
        <v>-1.9457669219623266</v>
      </c>
      <c r="CZ1448">
        <f>IFERROR($CW1448/$CT1448,"")</f>
        <v>-1.9457669219623266</v>
      </c>
      <c r="DA1448" s="2">
        <f>IFERROR((CV1448-CU1448)/ABS(CU1448),"")</f>
        <v>-0.2561307901907357</v>
      </c>
      <c r="DB1448" s="1" t="s">
        <v>1106</v>
      </c>
      <c r="DC1448" t="str">
        <f>IF(OR($DB1448="prd",$DB1448="std",$DB1448="cit"),"loc",IF(OR($DB1448="eur",$DB1448="reg",$DB1448="coy"),"reg",$DB1448))</f>
        <v>reg</v>
      </c>
      <c r="DD1448" t="s">
        <v>729</v>
      </c>
      <c r="DE1448">
        <v>2000</v>
      </c>
      <c r="DF1448">
        <v>2030</v>
      </c>
      <c r="DG1448">
        <v>30</v>
      </c>
      <c r="DH1448" t="str">
        <f>IF(DG1448=0,"0",IF(AND(DG1448&gt;=1,DG1448&lt;=30),"1-30",IF(AND(DG1448&gt;30,DG1448&lt;=70),"31-70",IF(AND(DG1448&gt;70,DG1448&lt;=100),"71-100",IF(DG1448&gt;100,"+100")))))</f>
        <v>1-30</v>
      </c>
      <c r="DI1448">
        <v>0</v>
      </c>
      <c r="DJ1448">
        <v>1</v>
      </c>
      <c r="DK1448">
        <v>0</v>
      </c>
      <c r="DL1448">
        <v>1</v>
      </c>
      <c r="DM1448">
        <v>1</v>
      </c>
      <c r="DN1448">
        <f>SUM(DI1448:DL1448)</f>
        <v>2</v>
      </c>
      <c r="DO1448" t="str">
        <f>IF(DN1448=1,INDEX($DI$7:$DL$7,MATCH(1,$DI1448:$DL1448,0)),"mixedProduct")</f>
        <v>mixedProduct</v>
      </c>
      <c r="DP1448">
        <f>IF(DI1448=1,DP$7,0)</f>
        <v>0</v>
      </c>
      <c r="DQ1448" t="str">
        <f>IF(DJ1448=1,DQ$7,0)</f>
        <v>Energy</v>
      </c>
      <c r="DR1448">
        <f>IF(DK1448=1,DR$7,0)</f>
        <v>0</v>
      </c>
      <c r="DS1448" t="str">
        <f>IF(DL1448=1,DS$7,0)</f>
        <v>Timber</v>
      </c>
      <c r="DT1448">
        <v>0</v>
      </c>
      <c r="DU1448">
        <v>1</v>
      </c>
      <c r="DV1448" t="s">
        <v>1617</v>
      </c>
      <c r="DW1448" t="s">
        <v>1617</v>
      </c>
      <c r="DX1448">
        <v>0</v>
      </c>
      <c r="DY1448">
        <f>SUM(DT1448:DU1448)</f>
        <v>1</v>
      </c>
      <c r="DZ1448" s="143" t="str">
        <f>IF(DT1448=1,"self-calculated DF",IF(DU1448=1,"external DF used","explicit C balance"))</f>
        <v>external DF used</v>
      </c>
      <c r="EA1448">
        <v>1</v>
      </c>
      <c r="EB1448">
        <v>0</v>
      </c>
      <c r="EC1448">
        <v>1</v>
      </c>
      <c r="ED1448">
        <v>1</v>
      </c>
      <c r="EE1448">
        <v>0</v>
      </c>
      <c r="EF1448" s="143">
        <v>0</v>
      </c>
      <c r="EG1448">
        <v>0</v>
      </c>
      <c r="EH1448">
        <v>0</v>
      </c>
      <c r="EI1448">
        <v>0</v>
      </c>
      <c r="EJ1448">
        <v>0</v>
      </c>
      <c r="EK1448">
        <v>1</v>
      </c>
      <c r="EL1448">
        <v>0</v>
      </c>
      <c r="EM1448">
        <v>0</v>
      </c>
      <c r="EN1448" s="2">
        <v>0</v>
      </c>
      <c r="EO1448" s="1" t="s">
        <v>1618</v>
      </c>
      <c r="EP1448" t="str">
        <f>IF(AND(AND(AND(OR($EC1448=1,$EB1448=1),OR($EH1448=1,$EF1448=1)),SUM($EA1448:$EE1448,$EK1448)&gt;=3),SUM($EF1448:$EJ1448)&gt;=2),"Whole sector approach","")</f>
        <v/>
      </c>
      <c r="EQ1448" t="str">
        <f>IF(AND(AND(OR($EC1448=1,$EB1448=1),AND($EH1448=0,$EF1448=0)),SUM($EA1448:$EE1448,$EK1448)&gt;=4),"Ecosystem approach","")</f>
        <v>Ecosystem approach</v>
      </c>
      <c r="ER1448" s="2" t="str">
        <f>IF(AND(AND(AND($EC1448=0,$EB1448=0),OR($EH1448=1,$EF1448=1)),SUM($EG1448:$EJ1448)&gt;=2),"Technology approach","")</f>
        <v/>
      </c>
      <c r="ES1448" t="str">
        <f>IF(AND($EC1448+$EB1448+$EE1448+$EA1448+$ED1448+$EG1448=0,$N1448="included"),"C neutral forest and HWP assumption","")</f>
        <v/>
      </c>
      <c r="ET1448" t="str">
        <f>IF(AND(AND(AND(AND($EC1448=1,$EB1448+$EA1448+$EG1448&gt;=1),$EF1448=1),$EH1448+$EI1448+$ED1448+$EE1448&gt;=2),$N1448="included"),"All C pools assumption","")</f>
        <v/>
      </c>
      <c r="EU1448" t="str">
        <f>IF(AND($ED1448+$EE1448+$EI1448+$EH1448+$EF1448=0,$N1448="included"),"In-situ only assumption","")</f>
        <v/>
      </c>
      <c r="EY1448" t="str">
        <f>IF(ISNUMBER(BW1448),IF(ABS(BW1448-[3]QC_indicators!$B$2)&gt;3*[3]QC_indicators!$C$2,"C ratio",IF(ISNUMBER(CA1448),IF(ABS(CA1448-[3]QC_indicators!$B$1)&gt;3*[3]QC_indicators!$C$1,"DF","no"))),IF(ISNUMBER(CA1448),IF(ABS(CA1448-[3]QC_indicators!$B$1)&gt;3*[3]QC_indicators!$C$1,"DF","no")))</f>
        <v>no</v>
      </c>
      <c r="FA1448" t="str">
        <f>IF(LEN($CY1448)=0,"",IF(AND($CY1448&lt;(-0.05),$ES1448="C neutral forest and HWP assumption"),"Cneutral paradox",IF(AND($CY1448&gt;0.05,$EU1448="In-situ only assumption"),"In-situ only paradox","")))</f>
        <v/>
      </c>
      <c r="FD1448" s="260" t="s">
        <v>2945</v>
      </c>
    </row>
    <row r="1449" spans="1:160" hidden="1">
      <c r="A1449" s="1" t="s">
        <v>1606</v>
      </c>
      <c r="B1449" t="s">
        <v>1607</v>
      </c>
      <c r="C1449" t="s">
        <v>1608</v>
      </c>
      <c r="D1449" t="s">
        <v>1609</v>
      </c>
      <c r="E1449" t="s">
        <v>1610</v>
      </c>
      <c r="F1449" t="s">
        <v>1611</v>
      </c>
      <c r="G1449" t="s">
        <v>1612</v>
      </c>
      <c r="H1449" t="s">
        <v>254</v>
      </c>
      <c r="I1449">
        <v>2021</v>
      </c>
      <c r="J1449">
        <v>6</v>
      </c>
      <c r="K1449" t="s">
        <v>1613</v>
      </c>
      <c r="M1449" t="str">
        <f>LEFT($D1449,FIND(",",$D1449)-1)&amp;"_"&amp;I1449&amp;L1449</f>
        <v>Jonsson_2021</v>
      </c>
      <c r="N1449" t="s">
        <v>222</v>
      </c>
      <c r="O1449" s="145" t="s">
        <v>508</v>
      </c>
      <c r="Q1449" t="s">
        <v>256</v>
      </c>
      <c r="R1449" s="2" t="s">
        <v>274</v>
      </c>
      <c r="S1449" s="1" t="s">
        <v>1622</v>
      </c>
      <c r="T1449" t="s">
        <v>1003</v>
      </c>
      <c r="U1449" t="s">
        <v>1621</v>
      </c>
      <c r="V1449" s="253">
        <v>0</v>
      </c>
      <c r="W1449" s="253">
        <v>0</v>
      </c>
      <c r="X1449">
        <v>0</v>
      </c>
      <c r="Y1449">
        <v>1</v>
      </c>
      <c r="Z1449">
        <v>0</v>
      </c>
      <c r="AA1449">
        <v>0</v>
      </c>
      <c r="AB1449">
        <v>0</v>
      </c>
      <c r="AC1449">
        <v>0</v>
      </c>
      <c r="AD1449">
        <v>0</v>
      </c>
      <c r="AE1449">
        <v>0</v>
      </c>
      <c r="AF1449">
        <v>0</v>
      </c>
      <c r="AG1449">
        <v>0</v>
      </c>
      <c r="AH1449">
        <v>2</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s="141">
        <f>COUNTIF(X1449:AY1449,"&lt;&gt;0")</f>
        <v>2</v>
      </c>
      <c r="BA1449" s="141">
        <f>COUNTIF(X1449:AN1449,"&lt;&gt;0")</f>
        <v>2</v>
      </c>
      <c r="BB1449">
        <f>COUNTIF(X1449:AE1449,"&lt;&gt;0")</f>
        <v>1</v>
      </c>
      <c r="BC1449">
        <f>COUNTIF(AF1449:AK1449,"&lt;&gt;0")</f>
        <v>1</v>
      </c>
      <c r="BD1449">
        <f>COUNTIF(AL1449:AN1449,"&lt;&gt;0")</f>
        <v>0</v>
      </c>
      <c r="BE1449">
        <f>COUNTIF(AU1449:AY1449,"&lt;&gt;0")</f>
        <v>0</v>
      </c>
      <c r="BF1449">
        <f>COUNTIF(AO1449:AT1449,"&lt;&gt;0")</f>
        <v>0</v>
      </c>
      <c r="BG1449" t="str">
        <f t="array" ref="BG1449">IF(BA1449=1,INDEX($X$7:$AN$7,MATCH(TRUE,INDEX($X1449:$AY1449&lt;&gt;0,),0)),IF(BA1449=0,INDEX($AO$7:$AY$7,MATCH(1,$AO1449:$AY1449,0)),IF(BH1449="Multiple strategies","mixed drivers",IF(BH1449="Supply chain","multiple supply","multiple silviculture"))))</f>
        <v>mixed drivers</v>
      </c>
      <c r="BH1449" s="2" t="str" cm="1">
        <f t="array" ref="BH1449">IF(COUNTIF(BB1449:BD1449,"&lt;&gt;0")=1,INDEX($X$4:$AY$4,MATCH(TRUE,INDEX($X1449:$AY1449&lt;&gt;0,),0)),IF(COUNTIF(BB1449:BD1449,"&lt;&gt;0")=0,INDEX($AO$4:$AY$4,MATCH(1,$AO1449:$AY1449,0)),"Multiple strategies"))</f>
        <v>Multiple strategies</v>
      </c>
      <c r="BI1449" s="1" t="s">
        <v>229</v>
      </c>
      <c r="BJ1449" t="s">
        <v>229</v>
      </c>
      <c r="BK1449" s="260" t="s">
        <v>1934</v>
      </c>
      <c r="BL1449" t="s">
        <v>1616</v>
      </c>
      <c r="BM1449">
        <v>284950</v>
      </c>
      <c r="BN1449">
        <v>333260</v>
      </c>
      <c r="BO1449" t="e">
        <f>#REF!</f>
        <v>#REF!</v>
      </c>
      <c r="BP1449">
        <f>BN1449-BM1449</f>
        <v>48310</v>
      </c>
      <c r="BQ1449">
        <f>BP1449*1000</f>
        <v>48310000</v>
      </c>
      <c r="BR1449" t="s">
        <v>232</v>
      </c>
      <c r="BS1449" s="260" t="s">
        <v>1934</v>
      </c>
      <c r="BT1449" t="s">
        <v>1175</v>
      </c>
      <c r="BU1449">
        <v>72</v>
      </c>
      <c r="BV1449">
        <v>107</v>
      </c>
      <c r="BW1449" s="144">
        <f>IFERROR(BV1449/BU1449,"")</f>
        <v>1.4861111111111112</v>
      </c>
      <c r="BX1449">
        <f>BV1449-BU1449</f>
        <v>35</v>
      </c>
      <c r="BZ1449">
        <f>BX1449*10^6</f>
        <v>35000000</v>
      </c>
      <c r="CA1449">
        <f>IFERROR(BZ1449/BQ1449,"")</f>
        <v>0.724487683709377</v>
      </c>
      <c r="CB1449">
        <v>0</v>
      </c>
      <c r="CC1449">
        <v>0</v>
      </c>
      <c r="CD1449">
        <v>0</v>
      </c>
      <c r="CE1449">
        <v>0</v>
      </c>
      <c r="CF1449">
        <v>0</v>
      </c>
      <c r="CG1449">
        <v>0</v>
      </c>
      <c r="CH1449">
        <v>0</v>
      </c>
      <c r="CI1449">
        <v>0</v>
      </c>
      <c r="CJ1449">
        <v>0</v>
      </c>
      <c r="CK1449">
        <v>0</v>
      </c>
      <c r="CL1449">
        <v>0</v>
      </c>
      <c r="CM1449">
        <v>0</v>
      </c>
      <c r="CN1449">
        <v>0</v>
      </c>
      <c r="CO1449">
        <v>1</v>
      </c>
      <c r="CP1449" t="str">
        <f>IF($BN1449&lt;$BM1449,"refNeedCorrection","refOK")</f>
        <v>refOK</v>
      </c>
      <c r="CQ1449">
        <f>IF($CP1449="refNeedCorrection",BN1449,BM1449)</f>
        <v>284950</v>
      </c>
      <c r="CR1449">
        <f>IF($CP1449="refNeedCorrection",BM1449,BN1449)</f>
        <v>333260</v>
      </c>
      <c r="CS1449">
        <f>IF($CP1449="refOK",$BQ1449,-$BQ1449)</f>
        <v>48310000</v>
      </c>
      <c r="CT1449">
        <f>IF(BI1449="Roundwood",$CS1449/2,$CS1449)</f>
        <v>48310000</v>
      </c>
      <c r="CU1449">
        <f>IF($CP1449="refOK",$BU1449,$BV1449)*IF($BR1449="Emissions positive",-1,1)</f>
        <v>72</v>
      </c>
      <c r="CV1449">
        <f>IF($CP1449="refOK",$BV1449,$BU1449)*IF($BR1449="Emissions positive",-1,1)</f>
        <v>107</v>
      </c>
      <c r="CW1449">
        <f>IF($CP1449="refNeedCorrection",-BZ1449,BZ1449)*IF($BR1449="Emissions positive",-1,1)</f>
        <v>35000000</v>
      </c>
      <c r="CX1449">
        <f>IFERROR($CW1449/$CS1449,"")</f>
        <v>0.724487683709377</v>
      </c>
      <c r="CY1449">
        <f>IFERROR($CW1449/$CS1449,"")</f>
        <v>0.724487683709377</v>
      </c>
      <c r="CZ1449">
        <f>IFERROR($CW1449/$CT1449,"")</f>
        <v>0.724487683709377</v>
      </c>
      <c r="DA1449" s="2">
        <f>IFERROR((CV1449-CU1449)/ABS(CU1449),"")</f>
        <v>0.4861111111111111</v>
      </c>
      <c r="DB1449" s="1" t="s">
        <v>1106</v>
      </c>
      <c r="DC1449" t="str">
        <f>IF(OR($DB1449="prd",$DB1449="std",$DB1449="cit"),"loc",IF(OR($DB1449="eur",$DB1449="reg",$DB1449="coy"),"reg",$DB1449))</f>
        <v>reg</v>
      </c>
      <c r="DD1449" t="s">
        <v>729</v>
      </c>
      <c r="DE1449">
        <v>2000</v>
      </c>
      <c r="DF1449">
        <v>2030</v>
      </c>
      <c r="DG1449">
        <v>30</v>
      </c>
      <c r="DH1449" t="str">
        <f>IF(DG1449=0,"0",IF(AND(DG1449&gt;=1,DG1449&lt;=30),"1-30",IF(AND(DG1449&gt;30,DG1449&lt;=70),"31-70",IF(AND(DG1449&gt;70,DG1449&lt;=100),"71-100",IF(DG1449&gt;100,"+100")))))</f>
        <v>1-30</v>
      </c>
      <c r="DI1449">
        <v>0</v>
      </c>
      <c r="DJ1449">
        <v>1</v>
      </c>
      <c r="DK1449">
        <v>0</v>
      </c>
      <c r="DL1449">
        <v>1</v>
      </c>
      <c r="DM1449">
        <v>1</v>
      </c>
      <c r="DN1449">
        <f>SUM(DI1449:DL1449)</f>
        <v>2</v>
      </c>
      <c r="DO1449" t="str">
        <f>IF(DN1449=1,INDEX($DI$7:$DL$7,MATCH(1,$DI1449:$DL1449,0)),"mixedProduct")</f>
        <v>mixedProduct</v>
      </c>
      <c r="DP1449">
        <f>IF(DI1449=1,DP$7,0)</f>
        <v>0</v>
      </c>
      <c r="DQ1449" t="str">
        <f>IF(DJ1449=1,DQ$7,0)</f>
        <v>Energy</v>
      </c>
      <c r="DR1449">
        <f>IF(DK1449=1,DR$7,0)</f>
        <v>0</v>
      </c>
      <c r="DS1449" t="str">
        <f>IF(DL1449=1,DS$7,0)</f>
        <v>Timber</v>
      </c>
      <c r="DT1449">
        <v>0</v>
      </c>
      <c r="DU1449">
        <v>1</v>
      </c>
      <c r="DV1449" t="s">
        <v>1617</v>
      </c>
      <c r="DW1449" t="s">
        <v>1617</v>
      </c>
      <c r="DX1449">
        <v>0</v>
      </c>
      <c r="DY1449">
        <f>SUM(DT1449:DU1449)</f>
        <v>1</v>
      </c>
      <c r="DZ1449" s="143" t="str">
        <f>IF(DT1449=1,"self-calculated DF",IF(DU1449=1,"external DF used","explicit C balance"))</f>
        <v>external DF used</v>
      </c>
      <c r="EA1449">
        <v>0</v>
      </c>
      <c r="EB1449">
        <v>0</v>
      </c>
      <c r="EC1449">
        <v>0</v>
      </c>
      <c r="ED1449">
        <v>1</v>
      </c>
      <c r="EE1449">
        <v>0</v>
      </c>
      <c r="EF1449" s="143">
        <v>0</v>
      </c>
      <c r="EG1449">
        <v>0</v>
      </c>
      <c r="EH1449">
        <v>0</v>
      </c>
      <c r="EI1449">
        <v>0</v>
      </c>
      <c r="EJ1449">
        <v>0</v>
      </c>
      <c r="EK1449">
        <v>1</v>
      </c>
      <c r="EL1449">
        <v>0</v>
      </c>
      <c r="EM1449">
        <v>0</v>
      </c>
      <c r="EN1449" s="2">
        <v>0</v>
      </c>
      <c r="EO1449" s="1" t="s">
        <v>1618</v>
      </c>
      <c r="EP1449" t="str">
        <f>IF(AND(AND(AND(OR($EC1449=1,$EB1449=1),OR($EH1449=1,$EF1449=1)),SUM($EA1449:$EE1449,$EK1449)&gt;=3),SUM($EF1449:$EJ1449)&gt;=2),"Whole sector approach","")</f>
        <v/>
      </c>
      <c r="EQ1449" t="str">
        <f>IF(AND(AND(OR($EC1449=1,$EB1449=1),AND($EH1449=0,$EF1449=0)),SUM($EA1449:$EE1449,$EK1449)&gt;=4),"Ecosystem approach","")</f>
        <v/>
      </c>
      <c r="ER1449" s="2" t="str">
        <f>IF(AND(AND(AND($EC1449=0,$EB1449=0),OR($EH1449=1,$EF1449=1)),SUM($EG1449:$EJ1449)&gt;=2),"Technology approach","")</f>
        <v/>
      </c>
      <c r="ES1449" t="str">
        <f>IF(AND($EC1449+$EB1449+$EE1449+$EA1449+$ED1449+$EG1449=0,$N1449="included"),"C neutral forest and HWP assumption","")</f>
        <v/>
      </c>
      <c r="ET1449" t="str">
        <f>IF(AND(AND(AND(AND($EC1449=1,$EB1449+$EA1449+$EG1449&gt;=1),$EF1449=1),$EH1449+$EI1449+$ED1449+$EE1449&gt;=2),$N1449="included"),"All C pools assumption","")</f>
        <v/>
      </c>
      <c r="EU1449" t="str">
        <f>IF(AND($ED1449+$EE1449+$EI1449+$EH1449+$EF1449=0,$N1449="included"),"In-situ only assumption","")</f>
        <v/>
      </c>
      <c r="EY1449" t="str">
        <f>IF(ISNUMBER(BW1449),IF(ABS(BW1449-[3]QC_indicators!$B$2)&gt;3*[3]QC_indicators!$C$2,"C ratio",IF(ISNUMBER(CA1449),IF(ABS(CA1449-[3]QC_indicators!$B$1)&gt;3*[3]QC_indicators!$C$1,"DF","no"))),IF(ISNUMBER(CA1449),IF(ABS(CA1449-[3]QC_indicators!$B$1)&gt;3*[3]QC_indicators!$C$1,"DF","no")))</f>
        <v>no</v>
      </c>
      <c r="FA1449" t="str">
        <f>IF(LEN($CY1449)=0,"",IF(AND($CY1449&lt;(-0.05),$ES1449="C neutral forest and HWP assumption"),"Cneutral paradox",IF(AND($CY1449&gt;0.05,$EU1449="In-situ only assumption"),"In-situ only paradox","")))</f>
        <v/>
      </c>
      <c r="FD1449" s="260" t="s">
        <v>2945</v>
      </c>
    </row>
    <row r="1450" spans="1:160" hidden="1">
      <c r="A1450" s="1" t="s">
        <v>1606</v>
      </c>
      <c r="B1450" t="s">
        <v>1607</v>
      </c>
      <c r="C1450" t="s">
        <v>1608</v>
      </c>
      <c r="D1450" t="s">
        <v>1609</v>
      </c>
      <c r="E1450" t="s">
        <v>1610</v>
      </c>
      <c r="F1450" t="s">
        <v>1611</v>
      </c>
      <c r="G1450" t="s">
        <v>1612</v>
      </c>
      <c r="H1450" t="s">
        <v>254</v>
      </c>
      <c r="I1450">
        <v>2021</v>
      </c>
      <c r="J1450">
        <v>6</v>
      </c>
      <c r="K1450" t="s">
        <v>1613</v>
      </c>
      <c r="M1450" t="str">
        <f>LEFT($D1450,FIND(",",$D1450)-1)&amp;"_"&amp;I1450&amp;L1450</f>
        <v>Jonsson_2021</v>
      </c>
      <c r="N1450" t="s">
        <v>222</v>
      </c>
      <c r="O1450" s="145" t="s">
        <v>508</v>
      </c>
      <c r="Q1450" t="s">
        <v>256</v>
      </c>
      <c r="R1450" s="2" t="s">
        <v>274</v>
      </c>
      <c r="S1450" s="1" t="s">
        <v>1623</v>
      </c>
      <c r="T1450" t="s">
        <v>1003</v>
      </c>
      <c r="U1450" t="s">
        <v>1624</v>
      </c>
      <c r="V1450" s="253">
        <v>0</v>
      </c>
      <c r="W1450" s="253">
        <v>0</v>
      </c>
      <c r="X1450">
        <v>0</v>
      </c>
      <c r="Y1450">
        <v>1</v>
      </c>
      <c r="Z1450">
        <v>0</v>
      </c>
      <c r="AA1450">
        <v>0</v>
      </c>
      <c r="AB1450">
        <v>0</v>
      </c>
      <c r="AC1450">
        <v>0</v>
      </c>
      <c r="AD1450">
        <v>0</v>
      </c>
      <c r="AE1450">
        <v>0</v>
      </c>
      <c r="AF1450">
        <v>0</v>
      </c>
      <c r="AG1450">
        <v>0</v>
      </c>
      <c r="AH1450">
        <v>2</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s="141">
        <f>COUNTIF(X1450:AY1450,"&lt;&gt;0")</f>
        <v>2</v>
      </c>
      <c r="BA1450" s="141">
        <f>COUNTIF(X1450:AN1450,"&lt;&gt;0")</f>
        <v>2</v>
      </c>
      <c r="BB1450">
        <f>COUNTIF(X1450:AE1450,"&lt;&gt;0")</f>
        <v>1</v>
      </c>
      <c r="BC1450">
        <f>COUNTIF(AF1450:AK1450,"&lt;&gt;0")</f>
        <v>1</v>
      </c>
      <c r="BD1450">
        <f>COUNTIF(AL1450:AN1450,"&lt;&gt;0")</f>
        <v>0</v>
      </c>
      <c r="BE1450">
        <f>COUNTIF(AU1450:AY1450,"&lt;&gt;0")</f>
        <v>0</v>
      </c>
      <c r="BF1450">
        <f>COUNTIF(AO1450:AT1450,"&lt;&gt;0")</f>
        <v>0</v>
      </c>
      <c r="BG1450" t="str">
        <f t="array" ref="BG1450">IF(BA1450=1,INDEX($X$7:$AN$7,MATCH(TRUE,INDEX($X1450:$AY1450&lt;&gt;0,),0)),IF(BA1450=0,INDEX($AO$7:$AY$7,MATCH(1,$AO1450:$AY1450,0)),IF(BH1450="Multiple strategies","mixed drivers",IF(BH1450="Supply chain","multiple supply","multiple silviculture"))))</f>
        <v>mixed drivers</v>
      </c>
      <c r="BH1450" s="2" t="str" cm="1">
        <f t="array" ref="BH1450">IF(COUNTIF(BB1450:BD1450,"&lt;&gt;0")=1,INDEX($X$4:$AY$4,MATCH(TRUE,INDEX($X1450:$AY1450&lt;&gt;0,),0)),IF(COUNTIF(BB1450:BD1450,"&lt;&gt;0")=0,INDEX($AO$4:$AY$4,MATCH(1,$AO1450:$AY1450,0)),"Multiple strategies"))</f>
        <v>Multiple strategies</v>
      </c>
      <c r="BI1450" s="1" t="s">
        <v>229</v>
      </c>
      <c r="BJ1450" t="s">
        <v>229</v>
      </c>
      <c r="BK1450" s="260" t="s">
        <v>1934</v>
      </c>
      <c r="BL1450" t="s">
        <v>1616</v>
      </c>
      <c r="BM1450">
        <v>284950</v>
      </c>
      <c r="BN1450">
        <v>286950</v>
      </c>
      <c r="BO1450" t="e">
        <f>#REF!</f>
        <v>#REF!</v>
      </c>
      <c r="BP1450">
        <f>BN1450-BM1450</f>
        <v>2000</v>
      </c>
      <c r="BQ1450">
        <f>BP1450*1000</f>
        <v>2000000</v>
      </c>
      <c r="BR1450" t="s">
        <v>232</v>
      </c>
      <c r="BS1450" t="s">
        <v>2944</v>
      </c>
      <c r="BT1450" t="s">
        <v>1175</v>
      </c>
      <c r="BU1450">
        <v>367</v>
      </c>
      <c r="BV1450">
        <v>359</v>
      </c>
      <c r="BW1450" s="144">
        <f>IFERROR(BV1450/BU1450,"")</f>
        <v>0.97820163487738421</v>
      </c>
      <c r="BX1450">
        <f>BV1450-BU1450</f>
        <v>-8</v>
      </c>
      <c r="BZ1450">
        <f>BX1450*10^6</f>
        <v>-8000000</v>
      </c>
      <c r="CA1450">
        <f>IFERROR(BZ1450/BQ1450,"")</f>
        <v>-4</v>
      </c>
      <c r="CB1450">
        <v>0</v>
      </c>
      <c r="CC1450">
        <v>0</v>
      </c>
      <c r="CD1450">
        <v>0</v>
      </c>
      <c r="CE1450">
        <v>0</v>
      </c>
      <c r="CF1450">
        <v>0</v>
      </c>
      <c r="CG1450">
        <v>0</v>
      </c>
      <c r="CH1450">
        <v>0</v>
      </c>
      <c r="CI1450">
        <v>0</v>
      </c>
      <c r="CJ1450">
        <v>0</v>
      </c>
      <c r="CK1450">
        <v>0</v>
      </c>
      <c r="CL1450">
        <v>0</v>
      </c>
      <c r="CM1450">
        <v>0</v>
      </c>
      <c r="CN1450">
        <v>0</v>
      </c>
      <c r="CO1450">
        <v>1</v>
      </c>
      <c r="CP1450" t="str">
        <f>IF($BN1450&lt;$BM1450,"refNeedCorrection","refOK")</f>
        <v>refOK</v>
      </c>
      <c r="CQ1450">
        <f>IF($CP1450="refNeedCorrection",BN1450,BM1450)</f>
        <v>284950</v>
      </c>
      <c r="CR1450">
        <f>IF($CP1450="refNeedCorrection",BM1450,BN1450)</f>
        <v>286950</v>
      </c>
      <c r="CS1450">
        <f>IF($CP1450="refOK",$BQ1450,-$BQ1450)</f>
        <v>2000000</v>
      </c>
      <c r="CT1450">
        <f>IF(BI1450="Roundwood",$CS1450/2,$CS1450)</f>
        <v>2000000</v>
      </c>
      <c r="CU1450">
        <f>IF($CP1450="refOK",$BU1450,$BV1450)*IF($BR1450="Emissions positive",-1,1)</f>
        <v>367</v>
      </c>
      <c r="CV1450">
        <f>IF($CP1450="refOK",$BV1450,$BU1450)*IF($BR1450="Emissions positive",-1,1)</f>
        <v>359</v>
      </c>
      <c r="CW1450">
        <f>IF($CP1450="refNeedCorrection",-BZ1450,BZ1450)*IF($BR1450="Emissions positive",-1,1)</f>
        <v>-8000000</v>
      </c>
      <c r="CX1450">
        <f>IFERROR($CW1450/$CS1450,"")</f>
        <v>-4</v>
      </c>
      <c r="CY1450">
        <f>IFERROR($CW1450/$CS1450,"")</f>
        <v>-4</v>
      </c>
      <c r="CZ1450">
        <f>IFERROR($CW1450/$CT1450,"")</f>
        <v>-4</v>
      </c>
      <c r="DA1450" s="2">
        <f>IFERROR((CV1450-CU1450)/ABS(CU1450),"")</f>
        <v>-2.1798365122615803E-2</v>
      </c>
      <c r="DB1450" s="1" t="s">
        <v>1106</v>
      </c>
      <c r="DC1450" t="str">
        <f>IF(OR($DB1450="prd",$DB1450="std",$DB1450="cit"),"loc",IF(OR($DB1450="eur",$DB1450="reg",$DB1450="coy"),"reg",$DB1450))</f>
        <v>reg</v>
      </c>
      <c r="DD1450" t="s">
        <v>729</v>
      </c>
      <c r="DE1450">
        <v>2000</v>
      </c>
      <c r="DF1450">
        <v>2030</v>
      </c>
      <c r="DG1450">
        <v>30</v>
      </c>
      <c r="DH1450" t="str">
        <f>IF(DG1450=0,"0",IF(AND(DG1450&gt;=1,DG1450&lt;=30),"1-30",IF(AND(DG1450&gt;30,DG1450&lt;=70),"31-70",IF(AND(DG1450&gt;70,DG1450&lt;=100),"71-100",IF(DG1450&gt;100,"+100")))))</f>
        <v>1-30</v>
      </c>
      <c r="DI1450">
        <v>0</v>
      </c>
      <c r="DJ1450">
        <v>1</v>
      </c>
      <c r="DK1450">
        <v>0</v>
      </c>
      <c r="DL1450">
        <v>0</v>
      </c>
      <c r="DM1450">
        <v>1</v>
      </c>
      <c r="DN1450">
        <f>SUM(DI1450:DL1450)</f>
        <v>1</v>
      </c>
      <c r="DO1450" t="str">
        <f>IF(DN1450=1,INDEX($DI$7:$DL$7,MATCH(1,$DI1450:$DL1450,0)),"mixedProduct")</f>
        <v>EnergyInput</v>
      </c>
      <c r="DP1450">
        <f>IF(DI1450=1,DP$7,0)</f>
        <v>0</v>
      </c>
      <c r="DQ1450" t="str">
        <f>IF(DJ1450=1,DQ$7,0)</f>
        <v>Energy</v>
      </c>
      <c r="DR1450">
        <f>IF(DK1450=1,DR$7,0)</f>
        <v>0</v>
      </c>
      <c r="DS1450">
        <f>IF(DL1450=1,DS$7,0)</f>
        <v>0</v>
      </c>
      <c r="DT1450">
        <v>0</v>
      </c>
      <c r="DU1450">
        <v>1</v>
      </c>
      <c r="DV1450" t="s">
        <v>1617</v>
      </c>
      <c r="DW1450" t="s">
        <v>1617</v>
      </c>
      <c r="DX1450">
        <v>0</v>
      </c>
      <c r="DY1450">
        <f>SUM(DT1450:DU1450)</f>
        <v>1</v>
      </c>
      <c r="DZ1450" s="143" t="str">
        <f>IF(DT1450=1,"self-calculated DF",IF(DU1450=1,"external DF used","explicit C balance"))</f>
        <v>external DF used</v>
      </c>
      <c r="EA1450">
        <v>1</v>
      </c>
      <c r="EB1450">
        <v>0</v>
      </c>
      <c r="EC1450">
        <v>1</v>
      </c>
      <c r="ED1450">
        <v>1</v>
      </c>
      <c r="EE1450">
        <v>0</v>
      </c>
      <c r="EF1450" s="143">
        <v>0</v>
      </c>
      <c r="EG1450">
        <v>0</v>
      </c>
      <c r="EH1450">
        <v>0</v>
      </c>
      <c r="EI1450">
        <v>0</v>
      </c>
      <c r="EJ1450">
        <v>0</v>
      </c>
      <c r="EK1450">
        <v>1</v>
      </c>
      <c r="EL1450">
        <v>0</v>
      </c>
      <c r="EM1450">
        <v>0</v>
      </c>
      <c r="EN1450" s="2">
        <v>0</v>
      </c>
      <c r="EO1450" s="1" t="s">
        <v>1618</v>
      </c>
      <c r="EP1450" t="str">
        <f>IF(AND(AND(AND(OR($EC1450=1,$EB1450=1),OR($EH1450=1,$EF1450=1)),SUM($EA1450:$EE1450,$EK1450)&gt;=3),SUM($EF1450:$EJ1450)&gt;=2),"Whole sector approach","")</f>
        <v/>
      </c>
      <c r="EQ1450" t="str">
        <f>IF(AND(AND(OR($EC1450=1,$EB1450=1),AND($EH1450=0,$EF1450=0)),SUM($EA1450:$EE1450,$EK1450)&gt;=4),"Ecosystem approach","")</f>
        <v>Ecosystem approach</v>
      </c>
      <c r="ER1450" s="2" t="str">
        <f>IF(AND(AND(AND($EC1450=0,$EB1450=0),OR($EH1450=1,$EF1450=1)),SUM($EG1450:$EJ1450)&gt;=2),"Technology approach","")</f>
        <v/>
      </c>
      <c r="ES1450" t="str">
        <f>IF(AND($EC1450+$EB1450+$EE1450+$EA1450+$ED1450+$EG1450=0,$N1450="included"),"C neutral forest and HWP assumption","")</f>
        <v/>
      </c>
      <c r="ET1450" t="str">
        <f>IF(AND(AND(AND(AND($EC1450=1,$EB1450+$EA1450+$EG1450&gt;=1),$EF1450=1),$EH1450+$EI1450+$ED1450+$EE1450&gt;=2),$N1450="included"),"All C pools assumption","")</f>
        <v/>
      </c>
      <c r="EU1450" t="str">
        <f>IF(AND($ED1450+$EE1450+$EI1450+$EH1450+$EF1450=0,$N1450="included"),"In-situ only assumption","")</f>
        <v/>
      </c>
      <c r="EY1450" t="str">
        <f>IF(ISNUMBER(BW1450),IF(ABS(BW1450-[3]QC_indicators!$B$2)&gt;3*[3]QC_indicators!$C$2,"C ratio",IF(ISNUMBER(CA1450),IF(ABS(CA1450-[3]QC_indicators!$B$1)&gt;3*[3]QC_indicators!$C$1,"DF","no"))),IF(ISNUMBER(CA1450),IF(ABS(CA1450-[3]QC_indicators!$B$1)&gt;3*[3]QC_indicators!$C$1,"DF","no")))</f>
        <v>no</v>
      </c>
      <c r="FA1450" t="str">
        <f>IF(LEN($CY1450)=0,"",IF(AND($CY1450&lt;(-0.05),$ES1450="C neutral forest and HWP assumption"),"Cneutral paradox",IF(AND($CY1450&gt;0.05,$EU1450="In-situ only assumption"),"In-situ only paradox","")))</f>
        <v/>
      </c>
      <c r="FD1450" s="260" t="s">
        <v>2827</v>
      </c>
    </row>
    <row r="1451" spans="1:160" ht="34" hidden="1">
      <c r="A1451" s="1" t="s">
        <v>1606</v>
      </c>
      <c r="B1451" t="s">
        <v>1607</v>
      </c>
      <c r="C1451" t="s">
        <v>1608</v>
      </c>
      <c r="D1451" t="s">
        <v>1609</v>
      </c>
      <c r="E1451" t="s">
        <v>1610</v>
      </c>
      <c r="F1451" t="s">
        <v>1611</v>
      </c>
      <c r="G1451" t="s">
        <v>1612</v>
      </c>
      <c r="H1451" t="s">
        <v>254</v>
      </c>
      <c r="I1451">
        <v>2021</v>
      </c>
      <c r="J1451">
        <v>6</v>
      </c>
      <c r="K1451" t="s">
        <v>1613</v>
      </c>
      <c r="M1451" t="str">
        <f>LEFT($D1451,FIND(",",$D1451)-1)&amp;"_"&amp;I1451&amp;L1451</f>
        <v>Jonsson_2021</v>
      </c>
      <c r="N1451" t="s">
        <v>222</v>
      </c>
      <c r="O1451" s="145" t="s">
        <v>508</v>
      </c>
      <c r="Q1451" t="s">
        <v>256</v>
      </c>
      <c r="R1451" s="2" t="s">
        <v>274</v>
      </c>
      <c r="S1451" s="1" t="s">
        <v>1625</v>
      </c>
      <c r="T1451" t="s">
        <v>1003</v>
      </c>
      <c r="U1451" t="s">
        <v>1624</v>
      </c>
      <c r="V1451" s="253">
        <v>0</v>
      </c>
      <c r="W1451" s="253">
        <v>0</v>
      </c>
      <c r="X1451">
        <v>0</v>
      </c>
      <c r="Y1451">
        <v>1</v>
      </c>
      <c r="Z1451">
        <v>0</v>
      </c>
      <c r="AA1451">
        <v>0</v>
      </c>
      <c r="AB1451">
        <v>0</v>
      </c>
      <c r="AC1451">
        <v>0</v>
      </c>
      <c r="AD1451">
        <v>0</v>
      </c>
      <c r="AE1451">
        <v>0</v>
      </c>
      <c r="AF1451">
        <v>0</v>
      </c>
      <c r="AG1451">
        <v>0</v>
      </c>
      <c r="AH1451">
        <v>2</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s="141">
        <f>COUNTIF(X1451:AY1451,"&lt;&gt;0")</f>
        <v>2</v>
      </c>
      <c r="BA1451" s="141">
        <f>COUNTIF(X1451:AN1451,"&lt;&gt;0")</f>
        <v>2</v>
      </c>
      <c r="BB1451">
        <f>COUNTIF(X1451:AE1451,"&lt;&gt;0")</f>
        <v>1</v>
      </c>
      <c r="BC1451">
        <f>COUNTIF(AF1451:AK1451,"&lt;&gt;0")</f>
        <v>1</v>
      </c>
      <c r="BD1451">
        <f>COUNTIF(AL1451:AN1451,"&lt;&gt;0")</f>
        <v>0</v>
      </c>
      <c r="BE1451">
        <f>COUNTIF(AU1451:AY1451,"&lt;&gt;0")</f>
        <v>0</v>
      </c>
      <c r="BF1451">
        <f>COUNTIF(AO1451:AT1451,"&lt;&gt;0")</f>
        <v>0</v>
      </c>
      <c r="BG1451" t="str">
        <f t="array" ref="BG1451">IF(BA1451=1,INDEX($X$7:$AN$7,MATCH(TRUE,INDEX($X1451:$AY1451&lt;&gt;0,),0)),IF(BA1451=0,INDEX($AO$7:$AY$7,MATCH(1,$AO1451:$AY1451,0)),IF(BH1451="Multiple strategies","mixed drivers",IF(BH1451="Supply chain","multiple supply","multiple silviculture"))))</f>
        <v>mixed drivers</v>
      </c>
      <c r="BH1451" s="2" t="str" cm="1">
        <f t="array" ref="BH1451">IF(COUNTIF(BB1451:BD1451,"&lt;&gt;0")=1,INDEX($X$4:$AY$4,MATCH(TRUE,INDEX($X1451:$AY1451&lt;&gt;0,),0)),IF(COUNTIF(BB1451:BD1451,"&lt;&gt;0")=0,INDEX($AO$4:$AY$4,MATCH(1,$AO1451:$AY1451,0)),"Multiple strategies"))</f>
        <v>Multiple strategies</v>
      </c>
      <c r="BI1451" s="1" t="s">
        <v>229</v>
      </c>
      <c r="BJ1451" t="s">
        <v>229</v>
      </c>
      <c r="BK1451" s="260" t="s">
        <v>1934</v>
      </c>
      <c r="BL1451" t="s">
        <v>1616</v>
      </c>
      <c r="BM1451">
        <v>284950</v>
      </c>
      <c r="BN1451">
        <v>286950</v>
      </c>
      <c r="BO1451" t="e">
        <f>#REF!</f>
        <v>#REF!</v>
      </c>
      <c r="BP1451">
        <f>BN1451-BM1451</f>
        <v>2000</v>
      </c>
      <c r="BQ1451">
        <f>BP1451*1000</f>
        <v>2000000</v>
      </c>
      <c r="BR1451" t="s">
        <v>232</v>
      </c>
      <c r="BS1451" s="260" t="s">
        <v>1934</v>
      </c>
      <c r="BT1451" t="s">
        <v>1175</v>
      </c>
      <c r="BU1451">
        <v>72</v>
      </c>
      <c r="BV1451">
        <v>74</v>
      </c>
      <c r="BW1451" s="144">
        <f>IFERROR(BV1451/BU1451,"")</f>
        <v>1.0277777777777777</v>
      </c>
      <c r="BX1451">
        <f>BV1451-BU1451</f>
        <v>2</v>
      </c>
      <c r="BZ1451">
        <f>BX1451*10^6</f>
        <v>2000000</v>
      </c>
      <c r="CA1451">
        <f>IFERROR(BZ1451/BQ1451,"")</f>
        <v>1</v>
      </c>
      <c r="CB1451">
        <v>0</v>
      </c>
      <c r="CC1451">
        <v>0</v>
      </c>
      <c r="CD1451">
        <v>0</v>
      </c>
      <c r="CE1451">
        <v>0</v>
      </c>
      <c r="CF1451">
        <v>0</v>
      </c>
      <c r="CG1451">
        <v>0</v>
      </c>
      <c r="CH1451">
        <v>0</v>
      </c>
      <c r="CI1451">
        <v>0</v>
      </c>
      <c r="CJ1451">
        <v>0</v>
      </c>
      <c r="CK1451">
        <v>0</v>
      </c>
      <c r="CL1451">
        <v>0</v>
      </c>
      <c r="CM1451">
        <v>0</v>
      </c>
      <c r="CN1451">
        <v>0</v>
      </c>
      <c r="CO1451">
        <v>1</v>
      </c>
      <c r="CP1451" t="str">
        <f>IF($BN1451&lt;$BM1451,"refNeedCorrection","refOK")</f>
        <v>refOK</v>
      </c>
      <c r="CQ1451">
        <f>IF($CP1451="refNeedCorrection",BN1451,BM1451)</f>
        <v>284950</v>
      </c>
      <c r="CR1451">
        <f>IF($CP1451="refNeedCorrection",BM1451,BN1451)</f>
        <v>286950</v>
      </c>
      <c r="CS1451">
        <f>IF($CP1451="refOK",$BQ1451,-$BQ1451)</f>
        <v>2000000</v>
      </c>
      <c r="CT1451">
        <f>IF(BI1451="Roundwood",$CS1451/2,$CS1451)</f>
        <v>2000000</v>
      </c>
      <c r="CU1451">
        <f>IF($CP1451="refOK",$BU1451,$BV1451)*IF($BR1451="Emissions positive",-1,1)</f>
        <v>72</v>
      </c>
      <c r="CV1451">
        <f>IF($CP1451="refOK",$BV1451,$BU1451)*IF($BR1451="Emissions positive",-1,1)</f>
        <v>74</v>
      </c>
      <c r="CW1451">
        <f>IF($CP1451="refNeedCorrection",-BZ1451,BZ1451)*IF($BR1451="Emissions positive",-1,1)</f>
        <v>2000000</v>
      </c>
      <c r="CX1451">
        <f>IFERROR($CW1451/$CS1451,"")</f>
        <v>1</v>
      </c>
      <c r="CY1451">
        <f>IFERROR($CW1451/$CS1451,"")</f>
        <v>1</v>
      </c>
      <c r="CZ1451">
        <f>IFERROR($CW1451/$CT1451,"")</f>
        <v>1</v>
      </c>
      <c r="DA1451" s="2">
        <f>IFERROR((CV1451-CU1451)/ABS(CU1451),"")</f>
        <v>2.7777777777777776E-2</v>
      </c>
      <c r="DB1451" s="1" t="s">
        <v>1106</v>
      </c>
      <c r="DC1451" t="str">
        <f>IF(OR($DB1451="prd",$DB1451="std",$DB1451="cit"),"loc",IF(OR($DB1451="eur",$DB1451="reg",$DB1451="coy"),"reg",$DB1451))</f>
        <v>reg</v>
      </c>
      <c r="DD1451" t="s">
        <v>729</v>
      </c>
      <c r="DE1451">
        <v>2000</v>
      </c>
      <c r="DF1451">
        <v>2030</v>
      </c>
      <c r="DG1451">
        <v>30</v>
      </c>
      <c r="DH1451" t="str">
        <f>IF(DG1451=0,"0",IF(AND(DG1451&gt;=1,DG1451&lt;=30),"1-30",IF(AND(DG1451&gt;30,DG1451&lt;=70),"31-70",IF(AND(DG1451&gt;70,DG1451&lt;=100),"71-100",IF(DG1451&gt;100,"+100")))))</f>
        <v>1-30</v>
      </c>
      <c r="DI1451">
        <v>0</v>
      </c>
      <c r="DJ1451">
        <v>1</v>
      </c>
      <c r="DK1451">
        <v>0</v>
      </c>
      <c r="DL1451">
        <v>0</v>
      </c>
      <c r="DM1451">
        <v>1</v>
      </c>
      <c r="DN1451">
        <f>SUM(DI1451:DL1451)</f>
        <v>1</v>
      </c>
      <c r="DO1451" t="str">
        <f>IF(DN1451=1,INDEX($DI$7:$DL$7,MATCH(1,$DI1451:$DL1451,0)),"mixedProduct")</f>
        <v>EnergyInput</v>
      </c>
      <c r="DP1451">
        <f>IF(DI1451=1,DP$7,0)</f>
        <v>0</v>
      </c>
      <c r="DQ1451" t="str">
        <f>IF(DJ1451=1,DQ$7,0)</f>
        <v>Energy</v>
      </c>
      <c r="DR1451">
        <f>IF(DK1451=1,DR$7,0)</f>
        <v>0</v>
      </c>
      <c r="DS1451">
        <f>IF(DL1451=1,DS$7,0)</f>
        <v>0</v>
      </c>
      <c r="DT1451">
        <v>0</v>
      </c>
      <c r="DU1451">
        <v>1</v>
      </c>
      <c r="DV1451" t="s">
        <v>1617</v>
      </c>
      <c r="DW1451" t="s">
        <v>1617</v>
      </c>
      <c r="DX1451">
        <v>0</v>
      </c>
      <c r="DY1451">
        <f>SUM(DT1451:DU1451)</f>
        <v>1</v>
      </c>
      <c r="DZ1451" s="143" t="str">
        <f>IF(DT1451=1,"self-calculated DF",IF(DU1451=1,"external DF used","explicit C balance"))</f>
        <v>external DF used</v>
      </c>
      <c r="EA1451">
        <v>0</v>
      </c>
      <c r="EB1451">
        <v>0</v>
      </c>
      <c r="EC1451">
        <v>0</v>
      </c>
      <c r="ED1451">
        <v>1</v>
      </c>
      <c r="EE1451">
        <v>0</v>
      </c>
      <c r="EF1451" s="143">
        <v>0</v>
      </c>
      <c r="EG1451">
        <v>0</v>
      </c>
      <c r="EH1451">
        <v>0</v>
      </c>
      <c r="EI1451">
        <v>0</v>
      </c>
      <c r="EJ1451">
        <v>0</v>
      </c>
      <c r="EK1451">
        <v>1</v>
      </c>
      <c r="EL1451">
        <v>0</v>
      </c>
      <c r="EM1451">
        <v>0</v>
      </c>
      <c r="EN1451" s="2">
        <v>0</v>
      </c>
      <c r="EO1451" s="1" t="s">
        <v>1618</v>
      </c>
      <c r="EP1451" t="str">
        <f>IF(AND(AND(AND(OR($EC1451=1,$EB1451=1),OR($EH1451=1,$EF1451=1)),SUM($EA1451:$EE1451,$EK1451)&gt;=3),SUM($EF1451:$EJ1451)&gt;=2),"Whole sector approach","")</f>
        <v/>
      </c>
      <c r="EQ1451" t="str">
        <f>IF(AND(AND(OR($EC1451=1,$EB1451=1),AND($EH1451=0,$EF1451=0)),SUM($EA1451:$EE1451,$EK1451)&gt;=4),"Ecosystem approach","")</f>
        <v/>
      </c>
      <c r="ER1451" s="2" t="str">
        <f>IF(AND(AND(AND($EC1451=0,$EB1451=0),OR($EH1451=1,$EF1451=1)),SUM($EG1451:$EJ1451)&gt;=2),"Technology approach","")</f>
        <v/>
      </c>
      <c r="ES1451" t="str">
        <f>IF(AND($EC1451+$EB1451+$EE1451+$EA1451+$ED1451+$EG1451=0,$N1451="included"),"C neutral forest and HWP assumption","")</f>
        <v/>
      </c>
      <c r="ET1451" t="str">
        <f>IF(AND(AND(AND(AND($EC1451=1,$EB1451+$EA1451+$EG1451&gt;=1),$EF1451=1),$EH1451+$EI1451+$ED1451+$EE1451&gt;=2),$N1451="included"),"All C pools assumption","")</f>
        <v/>
      </c>
      <c r="EU1451" t="str">
        <f>IF(AND($ED1451+$EE1451+$EI1451+$EH1451+$EF1451=0,$N1451="included"),"In-situ only assumption","")</f>
        <v/>
      </c>
      <c r="EY1451" t="str">
        <f>IF(ISNUMBER(BW1451),IF(ABS(BW1451-[3]QC_indicators!$B$2)&gt;3*[3]QC_indicators!$C$2,"C ratio",IF(ISNUMBER(CA1451),IF(ABS(CA1451-[3]QC_indicators!$B$1)&gt;3*[3]QC_indicators!$C$1,"DF","no"))),IF(ISNUMBER(CA1451),IF(ABS(CA1451-[3]QC_indicators!$B$1)&gt;3*[3]QC_indicators!$C$1,"DF","no")))</f>
        <v>no</v>
      </c>
      <c r="FA1451" t="str">
        <f>IF(LEN($CY1451)=0,"",IF(AND($CY1451&lt;(-0.05),$ES1451="C neutral forest and HWP assumption"),"Cneutral paradox",IF(AND($CY1451&gt;0.05,$EU1451="In-situ only assumption"),"In-situ only paradox","")))</f>
        <v/>
      </c>
      <c r="FD1451" s="260" t="s">
        <v>2827</v>
      </c>
    </row>
    <row r="1452" spans="1:160" ht="15" hidden="1" customHeight="1">
      <c r="A1452" s="1" t="s">
        <v>333</v>
      </c>
      <c r="B1452" t="s">
        <v>909</v>
      </c>
      <c r="C1452" t="s">
        <v>910</v>
      </c>
      <c r="D1452" t="s">
        <v>911</v>
      </c>
      <c r="E1452" t="s">
        <v>912</v>
      </c>
      <c r="F1452" t="s">
        <v>913</v>
      </c>
      <c r="G1452" t="s">
        <v>339</v>
      </c>
      <c r="H1452" t="s">
        <v>254</v>
      </c>
      <c r="I1452">
        <v>2021</v>
      </c>
      <c r="J1452">
        <v>0</v>
      </c>
      <c r="K1452" t="s">
        <v>914</v>
      </c>
      <c r="M1452" t="str">
        <f>LEFT($D1452,FIND(",",$D1452)-1)&amp;"_"&amp;I1452&amp;L1452</f>
        <v>Morris_2021</v>
      </c>
      <c r="N1452" t="s">
        <v>222</v>
      </c>
      <c r="O1452" t="s">
        <v>223</v>
      </c>
      <c r="Q1452" t="s">
        <v>256</v>
      </c>
      <c r="R1452" s="251" t="s">
        <v>225</v>
      </c>
      <c r="S1452" s="1" t="s">
        <v>920</v>
      </c>
      <c r="T1452" t="s">
        <v>775</v>
      </c>
      <c r="U1452" t="s">
        <v>921</v>
      </c>
      <c r="V1452" s="253">
        <v>0</v>
      </c>
      <c r="W1452" s="253">
        <v>0</v>
      </c>
      <c r="X1452">
        <v>0</v>
      </c>
      <c r="Y1452">
        <v>0</v>
      </c>
      <c r="Z1452">
        <v>0</v>
      </c>
      <c r="AA1452">
        <v>0</v>
      </c>
      <c r="AB1452">
        <v>0</v>
      </c>
      <c r="AC1452">
        <v>0</v>
      </c>
      <c r="AD1452">
        <v>0</v>
      </c>
      <c r="AE1452">
        <v>0</v>
      </c>
      <c r="AF1452">
        <v>0</v>
      </c>
      <c r="AG1452">
        <v>0</v>
      </c>
      <c r="AH1452">
        <v>0</v>
      </c>
      <c r="AI1452">
        <v>0</v>
      </c>
      <c r="AJ1452">
        <v>0</v>
      </c>
      <c r="AK1452">
        <v>0</v>
      </c>
      <c r="AL1452">
        <v>0</v>
      </c>
      <c r="AM1452">
        <v>1</v>
      </c>
      <c r="AN1452">
        <v>0</v>
      </c>
      <c r="AO1452">
        <v>0</v>
      </c>
      <c r="AP1452">
        <v>0</v>
      </c>
      <c r="AQ1452">
        <v>0</v>
      </c>
      <c r="AR1452">
        <v>0</v>
      </c>
      <c r="AS1452">
        <v>0</v>
      </c>
      <c r="AT1452">
        <v>0</v>
      </c>
      <c r="AU1452">
        <v>0</v>
      </c>
      <c r="AV1452">
        <v>0</v>
      </c>
      <c r="AW1452">
        <v>0</v>
      </c>
      <c r="AX1452">
        <v>0</v>
      </c>
      <c r="AY1452">
        <v>0</v>
      </c>
      <c r="AZ1452" s="141">
        <f>COUNTIF(X1452:AY1452,"&lt;&gt;0")</f>
        <v>1</v>
      </c>
      <c r="BA1452" s="141">
        <f>COUNTIF(X1452:AN1452,"&lt;&gt;0")</f>
        <v>1</v>
      </c>
      <c r="BB1452">
        <f>COUNTIF(X1452:AE1452,"&lt;&gt;0")</f>
        <v>0</v>
      </c>
      <c r="BC1452">
        <f>COUNTIF(AF1452:AK1452,"&lt;&gt;0")</f>
        <v>0</v>
      </c>
      <c r="BD1452">
        <f>COUNTIF(AL1452:AN1452,"&lt;&gt;0")</f>
        <v>1</v>
      </c>
      <c r="BE1452">
        <f>COUNTIF(AU1452:AY1452,"&lt;&gt;0")</f>
        <v>0</v>
      </c>
      <c r="BF1452">
        <f>COUNTIF(AO1452:AT1452,"&lt;&gt;0")</f>
        <v>0</v>
      </c>
      <c r="BG1452" t="str">
        <f t="array" ref="BG1452">IF(BA1452=1,INDEX($X$7:$AN$7,MATCH(TRUE,INDEX($X1452:$AY1452&lt;&gt;0,),0)),IF(BA1452=0,INDEX($AO$7:$AY$7,MATCH(1,$AO1452:$AY1452,0)),IF(BH1452="Multiple strategies","mixed drivers",IF(BH1452="Supply chain","multiple supply","multiple silviculture"))))</f>
        <v>technologies/design switch</v>
      </c>
      <c r="BH1452" s="2" t="str" cm="1">
        <f t="array" ref="BH1452">IF(COUNTIF(BB1452:BD1452,"&lt;&gt;0")=1,INDEX($X$4:$AY$4,MATCH(TRUE,INDEX($X1452:$AY1452&lt;&gt;0,),0)),IF(COUNTIF(BB1452:BD1452,"&lt;&gt;0")=0,INDEX($AO$4:$AY$4,MATCH(1,$AO1452:$AY1452,0)),"Multiple strategies"))</f>
        <v>Technology</v>
      </c>
      <c r="BI1452" s="1" t="s">
        <v>229</v>
      </c>
      <c r="BJ1452" t="s">
        <v>918</v>
      </c>
      <c r="BK1452" s="256" t="s">
        <v>3048</v>
      </c>
      <c r="BL1452" t="s">
        <v>345</v>
      </c>
      <c r="BM1452">
        <v>0</v>
      </c>
      <c r="BN1452">
        <v>116.6</v>
      </c>
      <c r="BP1452">
        <f>BN1452-BM1452</f>
        <v>116.6</v>
      </c>
      <c r="BQ1452">
        <f>BP1452*kg_to_m3</f>
        <v>0.23795918367346941</v>
      </c>
      <c r="BR1452" t="s">
        <v>232</v>
      </c>
      <c r="BS1452" s="256" t="s">
        <v>3051</v>
      </c>
      <c r="BT1452" t="s">
        <v>919</v>
      </c>
      <c r="BU1452">
        <v>-141.19999999999999</v>
      </c>
      <c r="BV1452">
        <v>-175.4</v>
      </c>
      <c r="BW1452" s="144">
        <f>IFERROR(BV1452/BU1452,"")</f>
        <v>1.2422096317280455</v>
      </c>
      <c r="BX1452">
        <f>BV1452-BU1452</f>
        <v>-34.200000000000017</v>
      </c>
      <c r="BZ1452">
        <f>BX1452/1000</f>
        <v>-3.4200000000000015E-2</v>
      </c>
      <c r="CA1452">
        <f>IFERROR(BZ1452/BQ1452,"")</f>
        <v>-0.14372212692967415</v>
      </c>
      <c r="CB1452">
        <v>1</v>
      </c>
      <c r="CC1452">
        <v>0</v>
      </c>
      <c r="CD1452">
        <v>0</v>
      </c>
      <c r="CE1452">
        <v>0</v>
      </c>
      <c r="CF1452">
        <v>0</v>
      </c>
      <c r="CG1452">
        <v>1</v>
      </c>
      <c r="CH1452">
        <v>0</v>
      </c>
      <c r="CI1452">
        <v>1</v>
      </c>
      <c r="CJ1452">
        <v>0</v>
      </c>
      <c r="CK1452">
        <v>0</v>
      </c>
      <c r="CL1452">
        <v>0</v>
      </c>
      <c r="CM1452">
        <v>0</v>
      </c>
      <c r="CN1452">
        <v>0</v>
      </c>
      <c r="CO1452">
        <v>0</v>
      </c>
      <c r="CP1452" t="str">
        <f>IF($BN1452&lt;$BM1452,"refNeedCorrection","refOK")</f>
        <v>refOK</v>
      </c>
      <c r="CQ1452">
        <f>IF($CP1452="refOK",$BM1452,$BN1452)</f>
        <v>0</v>
      </c>
      <c r="CR1452">
        <f>IF($CP1452="refOK",$BN1452,$BM1452)</f>
        <v>116.6</v>
      </c>
      <c r="CS1452">
        <f>IF($CP1452="refOK",$BQ1452,-$BQ1452)</f>
        <v>0.23795918367346941</v>
      </c>
      <c r="CT1452">
        <f>IF(BI1452="Roundwood",$CS1452/2,$CS1452)</f>
        <v>0.23795918367346941</v>
      </c>
      <c r="CU1452">
        <f>IF($CP1452="refOK",$BU1452,$BV1452)*IF($BR1452="Emissions positive",-1,1)</f>
        <v>-141.19999999999999</v>
      </c>
      <c r="CV1452">
        <f>IF($CP1452="refOK",$BV1452,$BU1452)*IF($BR1452="Emissions positive",-1,1)</f>
        <v>-175.4</v>
      </c>
      <c r="CW1452">
        <f>IF($CP1452="refNeedCorrection",-BZ1452,BZ1452)*IF($BR1452="Emissions positive",-1,1)</f>
        <v>-3.4200000000000015E-2</v>
      </c>
      <c r="CX1452">
        <f>IFERROR($CW1452/$CS1452,"")</f>
        <v>-0.14372212692967415</v>
      </c>
      <c r="CY1452">
        <f>IFERROR($CW1452/$CS1452,"")</f>
        <v>-0.14372212692967415</v>
      </c>
      <c r="CZ1452">
        <f>IFERROR($CW1452/$CT1452,"")</f>
        <v>-0.14372212692967415</v>
      </c>
      <c r="DA1452" s="2">
        <f>IFERROR((CV1452-CU1452)/ABS(CU1452),"")</f>
        <v>-0.24220963172804547</v>
      </c>
      <c r="DB1452" s="1" t="s">
        <v>263</v>
      </c>
      <c r="DC1452" t="str">
        <f>IF(OR($DB1452="prd",$DB1452="std",$DB1452="cit"),"loc",IF(OR($DB1452="eur",$DB1452="reg",$DB1452="coy"),"reg",$DB1452))</f>
        <v>loc</v>
      </c>
      <c r="DD1452" s="296" t="s">
        <v>3098</v>
      </c>
      <c r="DG1452">
        <v>0</v>
      </c>
      <c r="DH1452" t="str">
        <f>IF(DG1452=0,"0",IF(AND(DG1452&gt;=1,DG1452&lt;=30),"1-30",IF(AND(DG1452&gt;30,DG1452&lt;=70),"31-70",IF(AND(DG1452&gt;70,DG1452&lt;=100),"71-100",IF(DG1452&gt;100,"+100")))))</f>
        <v>0</v>
      </c>
      <c r="DI1452">
        <v>0</v>
      </c>
      <c r="DJ1452">
        <v>0</v>
      </c>
      <c r="DK1452">
        <v>0</v>
      </c>
      <c r="DL1452">
        <v>1</v>
      </c>
      <c r="DN1452">
        <f>SUM(DI1452:DL1452)</f>
        <v>1</v>
      </c>
      <c r="DO1452" t="str">
        <f>IF(DN1452=1,INDEX($DI$7:$DL$7,MATCH(1,$DI1452:$DL1452,0)),"mixedProduct")</f>
        <v>TimberInput</v>
      </c>
      <c r="DP1452">
        <f>IF(DI1452=1,DP$7,0)</f>
        <v>0</v>
      </c>
      <c r="DQ1452">
        <f>IF(DJ1452=1,DQ$7,0)</f>
        <v>0</v>
      </c>
      <c r="DR1452">
        <f>IF(DK1452=1,DR$7,0)</f>
        <v>0</v>
      </c>
      <c r="DS1452" t="str">
        <f>IF(DL1452=1,DS$7,0)</f>
        <v>Timber</v>
      </c>
      <c r="DT1452">
        <v>0</v>
      </c>
      <c r="DU1452">
        <v>1</v>
      </c>
      <c r="DV1452">
        <v>0</v>
      </c>
      <c r="DW1452">
        <v>0</v>
      </c>
      <c r="DX1452">
        <v>0</v>
      </c>
      <c r="DY1452">
        <f>SUM(DT1452:DU1452)</f>
        <v>1</v>
      </c>
      <c r="DZ1452" s="143" t="str">
        <f>IF(DT1452=1,"self-calculated DF",IF(DU1452=1,"external DF used","explicit C balance"))</f>
        <v>external DF used</v>
      </c>
      <c r="EA1452">
        <v>0</v>
      </c>
      <c r="EB1452">
        <v>0</v>
      </c>
      <c r="EC1452">
        <v>0</v>
      </c>
      <c r="ED1452">
        <v>1</v>
      </c>
      <c r="EE1452">
        <v>0</v>
      </c>
      <c r="EF1452" s="143">
        <v>1</v>
      </c>
      <c r="EG1452">
        <v>1</v>
      </c>
      <c r="EH1452">
        <v>1</v>
      </c>
      <c r="EI1452">
        <v>0</v>
      </c>
      <c r="EJ1452">
        <v>1</v>
      </c>
      <c r="EK1452">
        <v>0</v>
      </c>
      <c r="EL1452">
        <v>0</v>
      </c>
      <c r="EM1452">
        <v>0</v>
      </c>
      <c r="EN1452" s="2">
        <v>0</v>
      </c>
      <c r="EP1452" t="str">
        <f>IF(AND(AND(AND(OR($EC1452=1,$EB1452=1),OR($EH1452=1,$EF1452=1)),SUM($EA1452:$EE1452,$EK1452)&gt;=3),SUM($EF1452:$EJ1452)&gt;=2),"Whole sector approach","")</f>
        <v/>
      </c>
      <c r="EQ1452" t="str">
        <f>IF(AND(AND(OR($EC1452=1,$EB1452=1),AND($EH1452=0,$EF1452=0)),SUM($EA1452:$EE1452,$EK1452)&gt;=4),"Ecosystem approach","")</f>
        <v/>
      </c>
      <c r="ER1452" s="2" t="str">
        <f>IF(AND(AND(AND($EC1452=0,$EB1452=0),OR($EH1452=1,$EF1452=1)),SUM($EG1452:$EJ1452)&gt;=2),"Technology approach","")</f>
        <v>Technology approach</v>
      </c>
      <c r="ES1452" t="str">
        <f>IF(AND($EC1452+$EB1452+$EE1452+$EA1452+$ED1452+$EG1452=0,$N1452="included"),"C neutral forest and HWP assumption","")</f>
        <v/>
      </c>
      <c r="ET1452" t="str">
        <f>IF(AND(AND(AND(AND($EC1452=1,$EB1452+$EA1452+$EG1452&gt;=1),$EF1452=1),$EH1452+$EI1452+$ED1452+$EE1452&gt;=2),$N1452="included"),"All C pools assumption","")</f>
        <v/>
      </c>
      <c r="EU1452" t="str">
        <f>IF(AND($ED1452+$EE1452+$EI1452+$EH1452+$EF1452=0,$N1452="included"),"In-situ only assumption","")</f>
        <v/>
      </c>
      <c r="EY1452" t="str">
        <f>IF(ISNUMBER(BW1452),IF(ABS(BW1452-[6]QC_indicators!$B$2)&gt;3*[6]QC_indicators!$C$2,"C ratio",IF(ISNUMBER(CA1452),IF(ABS(CA1452-[6]QC_indicators!$B$1)&gt;3*[6]QC_indicators!$C$1,"DF","no"))),IF(ISNUMBER(CA1452),IF(ABS(CA1452-[6]QC_indicators!$B$1)&gt;3*[6]QC_indicators!$C$1,"DF","no")))</f>
        <v>no</v>
      </c>
      <c r="FA1452" t="str">
        <f>IF(LEN($CY1452)=0,"",IF(AND($CY1452&lt;(-0.05),$ES1452="C neutral forest and HWP assumption"),"Cneutral paradox",IF(AND($CY1452&gt;0.05,$EU1452="In-situ only assumption"),"In-situ only paradox","")))</f>
        <v/>
      </c>
      <c r="FB1452" s="149" t="s">
        <v>349</v>
      </c>
      <c r="FD1452" s="260" t="s">
        <v>2948</v>
      </c>
    </row>
    <row r="1453" spans="1:160" ht="15" hidden="1" customHeight="1">
      <c r="A1453" s="1" t="s">
        <v>333</v>
      </c>
      <c r="B1453" t="s">
        <v>909</v>
      </c>
      <c r="C1453" t="s">
        <v>910</v>
      </c>
      <c r="D1453" t="s">
        <v>911</v>
      </c>
      <c r="E1453" t="s">
        <v>912</v>
      </c>
      <c r="F1453" t="s">
        <v>913</v>
      </c>
      <c r="G1453" t="s">
        <v>339</v>
      </c>
      <c r="H1453" t="s">
        <v>254</v>
      </c>
      <c r="I1453">
        <v>2021</v>
      </c>
      <c r="J1453">
        <v>0</v>
      </c>
      <c r="K1453" t="s">
        <v>914</v>
      </c>
      <c r="M1453" t="str">
        <f>LEFT($D1453,FIND(",",$D1453)-1)&amp;"_"&amp;I1453&amp;L1453</f>
        <v>Morris_2021</v>
      </c>
      <c r="N1453" t="s">
        <v>222</v>
      </c>
      <c r="O1453" t="s">
        <v>223</v>
      </c>
      <c r="Q1453" t="s">
        <v>256</v>
      </c>
      <c r="R1453" s="251" t="s">
        <v>225</v>
      </c>
      <c r="S1453" s="1" t="s">
        <v>920</v>
      </c>
      <c r="T1453" t="s">
        <v>775</v>
      </c>
      <c r="U1453" t="s">
        <v>921</v>
      </c>
      <c r="V1453" s="253">
        <v>0</v>
      </c>
      <c r="W1453" s="253">
        <v>0</v>
      </c>
      <c r="X1453">
        <v>0</v>
      </c>
      <c r="Y1453">
        <v>0</v>
      </c>
      <c r="Z1453">
        <v>0</v>
      </c>
      <c r="AA1453">
        <v>0</v>
      </c>
      <c r="AB1453">
        <v>0</v>
      </c>
      <c r="AC1453">
        <v>0</v>
      </c>
      <c r="AD1453">
        <v>0</v>
      </c>
      <c r="AE1453">
        <v>0</v>
      </c>
      <c r="AF1453">
        <v>0</v>
      </c>
      <c r="AG1453">
        <v>0</v>
      </c>
      <c r="AH1453">
        <v>0</v>
      </c>
      <c r="AI1453">
        <v>0</v>
      </c>
      <c r="AJ1453">
        <v>0</v>
      </c>
      <c r="AK1453">
        <v>0</v>
      </c>
      <c r="AL1453">
        <v>0</v>
      </c>
      <c r="AM1453">
        <v>1</v>
      </c>
      <c r="AN1453">
        <v>0</v>
      </c>
      <c r="AO1453">
        <v>0</v>
      </c>
      <c r="AP1453">
        <v>0</v>
      </c>
      <c r="AQ1453">
        <v>0</v>
      </c>
      <c r="AR1453">
        <v>0</v>
      </c>
      <c r="AS1453">
        <v>0</v>
      </c>
      <c r="AT1453">
        <v>0</v>
      </c>
      <c r="AU1453">
        <v>0</v>
      </c>
      <c r="AV1453">
        <v>0</v>
      </c>
      <c r="AW1453">
        <v>0</v>
      </c>
      <c r="AX1453">
        <v>0</v>
      </c>
      <c r="AY1453">
        <v>0</v>
      </c>
      <c r="AZ1453" s="141">
        <f>COUNTIF(X1453:AY1453,"&lt;&gt;0")</f>
        <v>1</v>
      </c>
      <c r="BA1453" s="141">
        <f>COUNTIF(X1453:AN1453,"&lt;&gt;0")</f>
        <v>1</v>
      </c>
      <c r="BB1453">
        <f>COUNTIF(X1453:AE1453,"&lt;&gt;0")</f>
        <v>0</v>
      </c>
      <c r="BC1453">
        <f>COUNTIF(AF1453:AK1453,"&lt;&gt;0")</f>
        <v>0</v>
      </c>
      <c r="BD1453">
        <f>COUNTIF(AL1453:AN1453,"&lt;&gt;0")</f>
        <v>1</v>
      </c>
      <c r="BE1453">
        <f>COUNTIF(AU1453:AY1453,"&lt;&gt;0")</f>
        <v>0</v>
      </c>
      <c r="BF1453">
        <f>COUNTIF(AO1453:AT1453,"&lt;&gt;0")</f>
        <v>0</v>
      </c>
      <c r="BG1453" t="str">
        <f t="array" ref="BG1453">IF(BA1453=1,INDEX($X$7:$AN$7,MATCH(TRUE,INDEX($X1453:$AY1453&lt;&gt;0,),0)),IF(BA1453=0,INDEX($AO$7:$AY$7,MATCH(1,$AO1453:$AY1453,0)),IF(BH1453="Multiple strategies","mixed drivers",IF(BH1453="Supply chain","multiple supply","multiple silviculture"))))</f>
        <v>technologies/design switch</v>
      </c>
      <c r="BH1453" s="2" t="str" cm="1">
        <f t="array" ref="BH1453">IF(COUNTIF(BB1453:BD1453,"&lt;&gt;0")=1,INDEX($X$4:$AY$4,MATCH(TRUE,INDEX($X1453:$AY1453&lt;&gt;0,),0)),IF(COUNTIF(BB1453:BD1453,"&lt;&gt;0")=0,INDEX($AO$4:$AY$4,MATCH(1,$AO1453:$AY1453,0)),"Multiple strategies"))</f>
        <v>Technology</v>
      </c>
      <c r="BI1453" s="1" t="s">
        <v>229</v>
      </c>
      <c r="BJ1453" t="s">
        <v>918</v>
      </c>
      <c r="BK1453" s="256" t="s">
        <v>3048</v>
      </c>
      <c r="BL1453" t="s">
        <v>345</v>
      </c>
      <c r="BM1453">
        <v>0</v>
      </c>
      <c r="BN1453">
        <v>116.6</v>
      </c>
      <c r="BP1453">
        <f>BN1453-BM1453</f>
        <v>116.6</v>
      </c>
      <c r="BQ1453">
        <f>BP1453*kg_to_m3</f>
        <v>0.23795918367346941</v>
      </c>
      <c r="BR1453" t="s">
        <v>232</v>
      </c>
      <c r="BS1453" s="256" t="s">
        <v>3052</v>
      </c>
      <c r="BT1453" t="s">
        <v>919</v>
      </c>
      <c r="BU1453">
        <v>-139.69999999999999</v>
      </c>
      <c r="BV1453">
        <v>-159.69999999999999</v>
      </c>
      <c r="BW1453" s="144">
        <f>IFERROR(BV1453/BU1453,"")</f>
        <v>1.1431639226914818</v>
      </c>
      <c r="BX1453">
        <f>BV1453-BU1453</f>
        <v>-20</v>
      </c>
      <c r="BZ1453">
        <f>BX1453/1000</f>
        <v>-0.02</v>
      </c>
      <c r="CA1453">
        <f>IFERROR(BZ1453/BQ1453,"")</f>
        <v>-8.4048027444253853E-2</v>
      </c>
      <c r="CB1453">
        <v>1</v>
      </c>
      <c r="CC1453">
        <v>0</v>
      </c>
      <c r="CD1453">
        <v>0</v>
      </c>
      <c r="CE1453">
        <v>0</v>
      </c>
      <c r="CF1453">
        <v>0</v>
      </c>
      <c r="CG1453">
        <v>1</v>
      </c>
      <c r="CH1453">
        <v>0</v>
      </c>
      <c r="CI1453">
        <v>1</v>
      </c>
      <c r="CJ1453">
        <v>0</v>
      </c>
      <c r="CK1453">
        <v>0</v>
      </c>
      <c r="CL1453">
        <v>0</v>
      </c>
      <c r="CM1453">
        <v>0</v>
      </c>
      <c r="CN1453">
        <v>0</v>
      </c>
      <c r="CO1453">
        <v>0</v>
      </c>
      <c r="CP1453" t="str">
        <f>IF($BN1453&lt;$BM1453,"refNeedCorrection","refOK")</f>
        <v>refOK</v>
      </c>
      <c r="CQ1453">
        <f>IF($CP1453="refOK",$BM1453,$BN1453)</f>
        <v>0</v>
      </c>
      <c r="CR1453">
        <f>IF($CP1453="refOK",$BN1453,$BM1453)</f>
        <v>116.6</v>
      </c>
      <c r="CS1453">
        <f>IF($CP1453="refOK",$BQ1453,-$BQ1453)</f>
        <v>0.23795918367346941</v>
      </c>
      <c r="CT1453">
        <f>IF(BI1453="Roundwood",$CS1453/2,$CS1453)</f>
        <v>0.23795918367346941</v>
      </c>
      <c r="CU1453">
        <f>IF($CP1453="refOK",$BU1453,$BV1453)*IF($BR1453="Emissions positive",-1,1)</f>
        <v>-139.69999999999999</v>
      </c>
      <c r="CV1453">
        <f>IF($CP1453="refOK",$BV1453,$BU1453)*IF($BR1453="Emissions positive",-1,1)</f>
        <v>-159.69999999999999</v>
      </c>
      <c r="CW1453">
        <f>IF($CP1453="refNeedCorrection",-BZ1453,BZ1453)*IF($BR1453="Emissions positive",-1,1)</f>
        <v>-0.02</v>
      </c>
      <c r="CX1453">
        <f>IFERROR($CW1453/$CS1453,"")</f>
        <v>-8.4048027444253853E-2</v>
      </c>
      <c r="CY1453">
        <f>IFERROR($CW1453/$CS1453,"")</f>
        <v>-8.4048027444253853E-2</v>
      </c>
      <c r="CZ1453">
        <f>IFERROR($CW1453/$CT1453,"")</f>
        <v>-8.4048027444253853E-2</v>
      </c>
      <c r="DA1453" s="2">
        <f>IFERROR((CV1453-CU1453)/ABS(CU1453),"")</f>
        <v>-0.14316392269148176</v>
      </c>
      <c r="DB1453" s="1" t="s">
        <v>263</v>
      </c>
      <c r="DC1453" t="str">
        <f>IF(OR($DB1453="prd",$DB1453="std",$DB1453="cit"),"loc",IF(OR($DB1453="eur",$DB1453="reg",$DB1453="coy"),"reg",$DB1453))</f>
        <v>loc</v>
      </c>
      <c r="DD1453" s="296" t="s">
        <v>3098</v>
      </c>
      <c r="DG1453">
        <v>0</v>
      </c>
      <c r="DH1453" t="str">
        <f>IF(DG1453=0,"0",IF(AND(DG1453&gt;=1,DG1453&lt;=30),"1-30",IF(AND(DG1453&gt;30,DG1453&lt;=70),"31-70",IF(AND(DG1453&gt;70,DG1453&lt;=100),"71-100",IF(DG1453&gt;100,"+100")))))</f>
        <v>0</v>
      </c>
      <c r="DI1453">
        <v>0</v>
      </c>
      <c r="DJ1453">
        <v>0</v>
      </c>
      <c r="DK1453">
        <v>0</v>
      </c>
      <c r="DL1453">
        <v>1</v>
      </c>
      <c r="DN1453">
        <f>SUM(DI1453:DL1453)</f>
        <v>1</v>
      </c>
      <c r="DO1453" t="str">
        <f>IF(DN1453=1,INDEX($DI$7:$DL$7,MATCH(1,$DI1453:$DL1453,0)),"mixedProduct")</f>
        <v>TimberInput</v>
      </c>
      <c r="DP1453">
        <f>IF(DI1453=1,DP$7,0)</f>
        <v>0</v>
      </c>
      <c r="DQ1453">
        <f>IF(DJ1453=1,DQ$7,0)</f>
        <v>0</v>
      </c>
      <c r="DR1453">
        <f>IF(DK1453=1,DR$7,0)</f>
        <v>0</v>
      </c>
      <c r="DS1453" t="str">
        <f>IF(DL1453=1,DS$7,0)</f>
        <v>Timber</v>
      </c>
      <c r="DT1453">
        <v>0</v>
      </c>
      <c r="DU1453">
        <v>0</v>
      </c>
      <c r="DV1453">
        <v>0</v>
      </c>
      <c r="DW1453">
        <v>0</v>
      </c>
      <c r="DX1453">
        <v>0</v>
      </c>
      <c r="DY1453">
        <f>SUM(DT1453:DU1453)</f>
        <v>0</v>
      </c>
      <c r="DZ1453" s="143" t="str">
        <f>IF(DT1453=1,"self-calculated DF",IF(DU1453=1,"external DF used","explicit C balance"))</f>
        <v>explicit C balance</v>
      </c>
      <c r="EA1453">
        <v>0</v>
      </c>
      <c r="EB1453">
        <v>0</v>
      </c>
      <c r="EC1453">
        <v>0</v>
      </c>
      <c r="ED1453">
        <v>0</v>
      </c>
      <c r="EE1453">
        <v>0</v>
      </c>
      <c r="EF1453" s="143">
        <v>0</v>
      </c>
      <c r="EG1453">
        <v>1</v>
      </c>
      <c r="EH1453">
        <v>1</v>
      </c>
      <c r="EI1453">
        <v>0</v>
      </c>
      <c r="EJ1453">
        <v>1</v>
      </c>
      <c r="EK1453">
        <v>0</v>
      </c>
      <c r="EL1453">
        <v>0</v>
      </c>
      <c r="EM1453">
        <v>0</v>
      </c>
      <c r="EN1453" s="2">
        <v>0</v>
      </c>
      <c r="EP1453" t="str">
        <f>IF(AND(AND(AND(OR($EC1453=1,$EB1453=1),OR($EH1453=1,$EF1453=1)),SUM($EA1453:$EE1453,$EK1453)&gt;=3),SUM($EF1453:$EJ1453)&gt;=2),"Whole sector approach","")</f>
        <v/>
      </c>
      <c r="EQ1453" t="str">
        <f>IF(AND(AND(OR($EC1453=1,$EB1453=1),AND($EH1453=0,$EF1453=0)),SUM($EA1453:$EE1453,$EK1453)&gt;=4),"Ecosystem approach","")</f>
        <v/>
      </c>
      <c r="ER1453" s="2" t="str">
        <f>IF(AND(AND(AND($EC1453=0,$EB1453=0),OR($EH1453=1,$EF1453=1)),SUM($EG1453:$EJ1453)&gt;=2),"Technology approach","")</f>
        <v>Technology approach</v>
      </c>
      <c r="ES1453" t="str">
        <f>IF(AND($EC1453+$EB1453+$EE1453+$EA1453+$ED1453+$EG1453=0,$N1453="included"),"C neutral forest and HWP assumption","")</f>
        <v/>
      </c>
      <c r="ET1453" t="str">
        <f>IF(AND(AND(AND(AND($EC1453=1,$EB1453+$EA1453+$EG1453&gt;=1),$EF1453=1),$EH1453+$EI1453+$ED1453+$EE1453&gt;=2),$N1453="included"),"All C pools assumption","")</f>
        <v/>
      </c>
      <c r="EU1453" t="str">
        <f>IF(AND($ED1453+$EE1453+$EI1453+$EH1453+$EF1453=0,$N1453="included"),"In-situ only assumption","")</f>
        <v/>
      </c>
      <c r="EY1453" t="str">
        <f>IF(ISNUMBER(BW1453),IF(ABS(BW1453-[6]QC_indicators!$B$2)&gt;3*[6]QC_indicators!$C$2,"C ratio",IF(ISNUMBER(CA1453),IF(ABS(CA1453-[6]QC_indicators!$B$1)&gt;3*[6]QC_indicators!$C$1,"DF","no"))),IF(ISNUMBER(CA1453),IF(ABS(CA1453-[6]QC_indicators!$B$1)&gt;3*[6]QC_indicators!$C$1,"DF","no")))</f>
        <v>no</v>
      </c>
      <c r="FA1453" t="str">
        <f>IF(LEN($CY1453)=0,"",IF(AND($CY1453&lt;(-0.05),$ES1453="C neutral forest and HWP assumption"),"Cneutral paradox",IF(AND($CY1453&gt;0.05,$EU1453="In-situ only assumption"),"In-situ only paradox","")))</f>
        <v/>
      </c>
      <c r="FB1453" s="149" t="s">
        <v>349</v>
      </c>
      <c r="FD1453" s="260" t="s">
        <v>2948</v>
      </c>
    </row>
    <row r="1454" spans="1:160" ht="15" hidden="1" customHeight="1">
      <c r="A1454" s="1" t="s">
        <v>333</v>
      </c>
      <c r="B1454" t="s">
        <v>909</v>
      </c>
      <c r="C1454" t="s">
        <v>910</v>
      </c>
      <c r="D1454" t="s">
        <v>911</v>
      </c>
      <c r="E1454" t="s">
        <v>912</v>
      </c>
      <c r="F1454" t="s">
        <v>913</v>
      </c>
      <c r="G1454" t="s">
        <v>339</v>
      </c>
      <c r="H1454" t="s">
        <v>254</v>
      </c>
      <c r="I1454">
        <v>2021</v>
      </c>
      <c r="J1454">
        <v>0</v>
      </c>
      <c r="K1454" t="s">
        <v>914</v>
      </c>
      <c r="M1454" t="str">
        <f>LEFT($D1454,FIND(",",$D1454)-1)&amp;"_"&amp;I1454&amp;L1454</f>
        <v>Morris_2021</v>
      </c>
      <c r="N1454" t="s">
        <v>222</v>
      </c>
      <c r="O1454" t="s">
        <v>223</v>
      </c>
      <c r="Q1454" t="s">
        <v>256</v>
      </c>
      <c r="R1454" s="251" t="s">
        <v>225</v>
      </c>
      <c r="S1454" s="1" t="s">
        <v>920</v>
      </c>
      <c r="T1454" t="s">
        <v>775</v>
      </c>
      <c r="U1454" t="s">
        <v>921</v>
      </c>
      <c r="V1454" s="253">
        <v>0</v>
      </c>
      <c r="W1454" s="253">
        <v>0</v>
      </c>
      <c r="X1454">
        <v>0</v>
      </c>
      <c r="Y1454">
        <v>0</v>
      </c>
      <c r="Z1454">
        <v>0</v>
      </c>
      <c r="AA1454">
        <v>0</v>
      </c>
      <c r="AB1454">
        <v>0</v>
      </c>
      <c r="AC1454">
        <v>0</v>
      </c>
      <c r="AD1454">
        <v>0</v>
      </c>
      <c r="AE1454">
        <v>0</v>
      </c>
      <c r="AF1454">
        <v>0</v>
      </c>
      <c r="AG1454">
        <v>0</v>
      </c>
      <c r="AH1454">
        <v>0</v>
      </c>
      <c r="AI1454">
        <v>0</v>
      </c>
      <c r="AJ1454">
        <v>0</v>
      </c>
      <c r="AK1454">
        <v>0</v>
      </c>
      <c r="AL1454">
        <v>0</v>
      </c>
      <c r="AM1454">
        <v>1</v>
      </c>
      <c r="AN1454">
        <v>0</v>
      </c>
      <c r="AO1454">
        <v>0</v>
      </c>
      <c r="AP1454">
        <v>0</v>
      </c>
      <c r="AQ1454">
        <v>0</v>
      </c>
      <c r="AR1454">
        <v>0</v>
      </c>
      <c r="AS1454">
        <v>0</v>
      </c>
      <c r="AT1454">
        <v>0</v>
      </c>
      <c r="AU1454">
        <v>0</v>
      </c>
      <c r="AV1454">
        <v>0</v>
      </c>
      <c r="AW1454">
        <v>0</v>
      </c>
      <c r="AX1454">
        <v>0</v>
      </c>
      <c r="AY1454">
        <v>0</v>
      </c>
      <c r="AZ1454" s="141">
        <f>COUNTIF(X1454:AY1454,"&lt;&gt;0")</f>
        <v>1</v>
      </c>
      <c r="BA1454" s="141">
        <f>COUNTIF(X1454:AN1454,"&lt;&gt;0")</f>
        <v>1</v>
      </c>
      <c r="BB1454">
        <f>COUNTIF(X1454:AE1454,"&lt;&gt;0")</f>
        <v>0</v>
      </c>
      <c r="BC1454">
        <f>COUNTIF(AF1454:AK1454,"&lt;&gt;0")</f>
        <v>0</v>
      </c>
      <c r="BD1454">
        <f>COUNTIF(AL1454:AN1454,"&lt;&gt;0")</f>
        <v>1</v>
      </c>
      <c r="BE1454">
        <f>COUNTIF(AU1454:AY1454,"&lt;&gt;0")</f>
        <v>0</v>
      </c>
      <c r="BF1454">
        <f>COUNTIF(AO1454:AT1454,"&lt;&gt;0")</f>
        <v>0</v>
      </c>
      <c r="BG1454" t="str">
        <f t="array" ref="BG1454">IF(BA1454=1,INDEX($X$7:$AN$7,MATCH(TRUE,INDEX($X1454:$AY1454&lt;&gt;0,),0)),IF(BA1454=0,INDEX($AO$7:$AY$7,MATCH(1,$AO1454:$AY1454,0)),IF(BH1454="Multiple strategies","mixed drivers",IF(BH1454="Supply chain","multiple supply","multiple silviculture"))))</f>
        <v>technologies/design switch</v>
      </c>
      <c r="BH1454" s="2" t="str" cm="1">
        <f t="array" ref="BH1454">IF(COUNTIF(BB1454:BD1454,"&lt;&gt;0")=1,INDEX($X$4:$AY$4,MATCH(TRUE,INDEX($X1454:$AY1454&lt;&gt;0,),0)),IF(COUNTIF(BB1454:BD1454,"&lt;&gt;0")=0,INDEX($AO$4:$AY$4,MATCH(1,$AO1454:$AY1454,0)),"Multiple strategies"))</f>
        <v>Technology</v>
      </c>
      <c r="BI1454" s="1" t="s">
        <v>229</v>
      </c>
      <c r="BJ1454" t="s">
        <v>918</v>
      </c>
      <c r="BK1454" s="256" t="s">
        <v>3048</v>
      </c>
      <c r="BL1454" t="s">
        <v>345</v>
      </c>
      <c r="BM1454">
        <v>0</v>
      </c>
      <c r="BN1454">
        <v>116.6</v>
      </c>
      <c r="BP1454">
        <f>BN1454-BM1454</f>
        <v>116.6</v>
      </c>
      <c r="BQ1454">
        <f>BP1454*kg_to_m3</f>
        <v>0.23795918367346941</v>
      </c>
      <c r="BR1454" t="s">
        <v>232</v>
      </c>
      <c r="BS1454" s="256" t="s">
        <v>3053</v>
      </c>
      <c r="BT1454" t="s">
        <v>919</v>
      </c>
      <c r="BU1454">
        <v>-141.19999999999999</v>
      </c>
      <c r="BV1454">
        <v>-103.1</v>
      </c>
      <c r="BW1454" s="144">
        <f>IFERROR(BV1454/BU1454,"")</f>
        <v>0.73016997167138808</v>
      </c>
      <c r="BX1454">
        <f>BV1454-BU1454</f>
        <v>38.099999999999994</v>
      </c>
      <c r="BZ1454">
        <f>BX1454/1000</f>
        <v>3.8099999999999995E-2</v>
      </c>
      <c r="CA1454">
        <f>IFERROR(BZ1454/BQ1454,"")</f>
        <v>0.16011149228130356</v>
      </c>
      <c r="CB1454">
        <v>1</v>
      </c>
      <c r="CC1454">
        <v>0</v>
      </c>
      <c r="CD1454">
        <v>0</v>
      </c>
      <c r="CE1454">
        <v>0</v>
      </c>
      <c r="CF1454">
        <v>0</v>
      </c>
      <c r="CG1454">
        <v>1</v>
      </c>
      <c r="CH1454">
        <v>0</v>
      </c>
      <c r="CI1454">
        <v>1</v>
      </c>
      <c r="CJ1454">
        <v>0</v>
      </c>
      <c r="CK1454">
        <v>0</v>
      </c>
      <c r="CL1454">
        <v>0</v>
      </c>
      <c r="CM1454">
        <v>0</v>
      </c>
      <c r="CN1454">
        <v>0</v>
      </c>
      <c r="CO1454">
        <v>0</v>
      </c>
      <c r="CP1454" t="str">
        <f>IF($BN1454&lt;$BM1454,"refNeedCorrection","refOK")</f>
        <v>refOK</v>
      </c>
      <c r="CQ1454">
        <f>IF($CP1454="refOK",$BM1454,$BN1454)</f>
        <v>0</v>
      </c>
      <c r="CR1454">
        <f>IF($CP1454="refOK",$BN1454,$BM1454)</f>
        <v>116.6</v>
      </c>
      <c r="CS1454">
        <f>IF($CP1454="refOK",$BQ1454,-$BQ1454)</f>
        <v>0.23795918367346941</v>
      </c>
      <c r="CT1454">
        <f>IF(BI1454="Roundwood",$CS1454/2,$CS1454)</f>
        <v>0.23795918367346941</v>
      </c>
      <c r="CU1454">
        <f>IF($CP1454="refOK",$BU1454,$BV1454)*IF($BR1454="Emissions positive",-1,1)</f>
        <v>-141.19999999999999</v>
      </c>
      <c r="CV1454">
        <f>IF($CP1454="refOK",$BV1454,$BU1454)*IF($BR1454="Emissions positive",-1,1)</f>
        <v>-103.1</v>
      </c>
      <c r="CW1454">
        <f>IF($CP1454="refNeedCorrection",-BZ1454,BZ1454)*IF($BR1454="Emissions positive",-1,1)</f>
        <v>3.8099999999999995E-2</v>
      </c>
      <c r="CX1454">
        <f>IFERROR($CW1454/$CS1454,"")</f>
        <v>0.16011149228130356</v>
      </c>
      <c r="CY1454">
        <f>IFERROR($CW1454/$CS1454,"")</f>
        <v>0.16011149228130356</v>
      </c>
      <c r="CZ1454">
        <f>IFERROR($CW1454/$CT1454,"")</f>
        <v>0.16011149228130356</v>
      </c>
      <c r="DA1454" s="2">
        <f>IFERROR((CV1454-CU1454)/ABS(CU1454),"")</f>
        <v>0.26983002832861186</v>
      </c>
      <c r="DB1454" s="1" t="s">
        <v>263</v>
      </c>
      <c r="DC1454" t="str">
        <f>IF(OR($DB1454="prd",$DB1454="std",$DB1454="cit"),"loc",IF(OR($DB1454="eur",$DB1454="reg",$DB1454="coy"),"reg",$DB1454))</f>
        <v>loc</v>
      </c>
      <c r="DD1454" s="296" t="s">
        <v>3098</v>
      </c>
      <c r="DG1454">
        <v>0</v>
      </c>
      <c r="DH1454" t="str">
        <f>IF(DG1454=0,"0",IF(AND(DG1454&gt;=1,DG1454&lt;=30),"1-30",IF(AND(DG1454&gt;30,DG1454&lt;=70),"31-70",IF(AND(DG1454&gt;70,DG1454&lt;=100),"71-100",IF(DG1454&gt;100,"+100")))))</f>
        <v>0</v>
      </c>
      <c r="DI1454">
        <v>0</v>
      </c>
      <c r="DJ1454">
        <v>0</v>
      </c>
      <c r="DK1454">
        <v>0</v>
      </c>
      <c r="DL1454">
        <v>1</v>
      </c>
      <c r="DN1454">
        <f>SUM(DI1454:DL1454)</f>
        <v>1</v>
      </c>
      <c r="DO1454" t="str">
        <f>IF(DN1454=1,INDEX($DI$7:$DL$7,MATCH(1,$DI1454:$DL1454,0)),"mixedProduct")</f>
        <v>TimberInput</v>
      </c>
      <c r="DP1454">
        <f>IF(DI1454=1,DP$7,0)</f>
        <v>0</v>
      </c>
      <c r="DQ1454">
        <f>IF(DJ1454=1,DQ$7,0)</f>
        <v>0</v>
      </c>
      <c r="DR1454">
        <f>IF(DK1454=1,DR$7,0)</f>
        <v>0</v>
      </c>
      <c r="DS1454" t="str">
        <f>IF(DL1454=1,DS$7,0)</f>
        <v>Timber</v>
      </c>
      <c r="DT1454">
        <v>0</v>
      </c>
      <c r="DU1454">
        <v>1</v>
      </c>
      <c r="DV1454">
        <v>0</v>
      </c>
      <c r="DW1454">
        <v>0</v>
      </c>
      <c r="DX1454">
        <v>0</v>
      </c>
      <c r="DY1454">
        <f>SUM(DT1454:DU1454)</f>
        <v>1</v>
      </c>
      <c r="DZ1454" s="143" t="str">
        <f>IF(DT1454=1,"self-calculated DF",IF(DU1454=1,"external DF used","explicit C balance"))</f>
        <v>external DF used</v>
      </c>
      <c r="EA1454">
        <v>0</v>
      </c>
      <c r="EB1454">
        <v>0</v>
      </c>
      <c r="EC1454">
        <v>0</v>
      </c>
      <c r="ED1454">
        <v>1</v>
      </c>
      <c r="EE1454">
        <v>0</v>
      </c>
      <c r="EF1454" s="143">
        <v>1</v>
      </c>
      <c r="EG1454">
        <v>1</v>
      </c>
      <c r="EH1454">
        <v>1</v>
      </c>
      <c r="EI1454">
        <v>0</v>
      </c>
      <c r="EJ1454">
        <v>1</v>
      </c>
      <c r="EK1454">
        <v>0</v>
      </c>
      <c r="EL1454">
        <v>0</v>
      </c>
      <c r="EM1454">
        <v>0</v>
      </c>
      <c r="EN1454" s="2">
        <v>0</v>
      </c>
      <c r="EP1454" t="str">
        <f>IF(AND(AND(AND(OR($EC1454=1,$EB1454=1),OR($EH1454=1,$EF1454=1)),SUM($EA1454:$EE1454,$EK1454)&gt;=3),SUM($EF1454:$EJ1454)&gt;=2),"Whole sector approach","")</f>
        <v/>
      </c>
      <c r="EQ1454" t="str">
        <f>IF(AND(AND(OR($EC1454=1,$EB1454=1),AND($EH1454=0,$EF1454=0)),SUM($EA1454:$EE1454,$EK1454)&gt;=4),"Ecosystem approach","")</f>
        <v/>
      </c>
      <c r="ER1454" s="2" t="str">
        <f>IF(AND(AND(AND($EC1454=0,$EB1454=0),OR($EH1454=1,$EF1454=1)),SUM($EG1454:$EJ1454)&gt;=2),"Technology approach","")</f>
        <v>Technology approach</v>
      </c>
      <c r="ES1454" t="str">
        <f>IF(AND($EC1454+$EB1454+$EE1454+$EA1454+$ED1454+$EG1454=0,$N1454="included"),"C neutral forest and HWP assumption","")</f>
        <v/>
      </c>
      <c r="ET1454" t="str">
        <f>IF(AND(AND(AND(AND($EC1454=1,$EB1454+$EA1454+$EG1454&gt;=1),$EF1454=1),$EH1454+$EI1454+$ED1454+$EE1454&gt;=2),$N1454="included"),"All C pools assumption","")</f>
        <v/>
      </c>
      <c r="EU1454" t="str">
        <f>IF(AND($ED1454+$EE1454+$EI1454+$EH1454+$EF1454=0,$N1454="included"),"In-situ only assumption","")</f>
        <v/>
      </c>
      <c r="EY1454" t="str">
        <f>IF(ISNUMBER(BW1454),IF(ABS(BW1454-[6]QC_indicators!$B$2)&gt;3*[6]QC_indicators!$C$2,"C ratio",IF(ISNUMBER(CA1454),IF(ABS(CA1454-[6]QC_indicators!$B$1)&gt;3*[6]QC_indicators!$C$1,"DF","no"))),IF(ISNUMBER(CA1454),IF(ABS(CA1454-[6]QC_indicators!$B$1)&gt;3*[6]QC_indicators!$C$1,"DF","no")))</f>
        <v>no</v>
      </c>
      <c r="FA1454" t="str">
        <f>IF(LEN($CY1454)=0,"",IF(AND($CY1454&lt;(-0.05),$ES1454="C neutral forest and HWP assumption"),"Cneutral paradox",IF(AND($CY1454&gt;0.05,$EU1454="In-situ only assumption"),"In-situ only paradox","")))</f>
        <v/>
      </c>
      <c r="FB1454" t="s">
        <v>922</v>
      </c>
      <c r="FD1454" s="260" t="s">
        <v>2948</v>
      </c>
    </row>
    <row r="1455" spans="1:160" hidden="1">
      <c r="A1455" s="1" t="s">
        <v>333</v>
      </c>
      <c r="B1455" t="s">
        <v>909</v>
      </c>
      <c r="C1455" t="s">
        <v>910</v>
      </c>
      <c r="D1455" t="s">
        <v>911</v>
      </c>
      <c r="E1455" t="s">
        <v>912</v>
      </c>
      <c r="F1455" t="s">
        <v>913</v>
      </c>
      <c r="G1455" t="s">
        <v>339</v>
      </c>
      <c r="H1455" t="s">
        <v>254</v>
      </c>
      <c r="I1455">
        <v>2021</v>
      </c>
      <c r="J1455">
        <v>0</v>
      </c>
      <c r="K1455" t="s">
        <v>914</v>
      </c>
      <c r="M1455" t="str">
        <f>LEFT($D1455,FIND(",",$D1455)-1)&amp;"_"&amp;I1455&amp;L1455</f>
        <v>Morris_2021</v>
      </c>
      <c r="N1455" t="s">
        <v>222</v>
      </c>
      <c r="O1455" t="s">
        <v>223</v>
      </c>
      <c r="Q1455" t="s">
        <v>256</v>
      </c>
      <c r="R1455" s="251" t="s">
        <v>225</v>
      </c>
      <c r="S1455" s="1" t="s">
        <v>920</v>
      </c>
      <c r="T1455" t="s">
        <v>775</v>
      </c>
      <c r="U1455" t="s">
        <v>921</v>
      </c>
      <c r="V1455" s="253">
        <v>0</v>
      </c>
      <c r="W1455" s="253">
        <v>0</v>
      </c>
      <c r="X1455">
        <v>0</v>
      </c>
      <c r="Y1455">
        <v>0</v>
      </c>
      <c r="Z1455">
        <v>0</v>
      </c>
      <c r="AA1455">
        <v>0</v>
      </c>
      <c r="AB1455">
        <v>0</v>
      </c>
      <c r="AC1455">
        <v>0</v>
      </c>
      <c r="AD1455">
        <v>0</v>
      </c>
      <c r="AE1455">
        <v>0</v>
      </c>
      <c r="AF1455">
        <v>0</v>
      </c>
      <c r="AG1455">
        <v>0</v>
      </c>
      <c r="AH1455">
        <v>0</v>
      </c>
      <c r="AI1455">
        <v>0</v>
      </c>
      <c r="AJ1455">
        <v>0</v>
      </c>
      <c r="AK1455">
        <v>0</v>
      </c>
      <c r="AL1455">
        <v>0</v>
      </c>
      <c r="AM1455">
        <v>1</v>
      </c>
      <c r="AN1455">
        <v>0</v>
      </c>
      <c r="AO1455">
        <v>0</v>
      </c>
      <c r="AP1455">
        <v>0</v>
      </c>
      <c r="AQ1455">
        <v>0</v>
      </c>
      <c r="AR1455">
        <v>0</v>
      </c>
      <c r="AS1455">
        <v>0</v>
      </c>
      <c r="AT1455">
        <v>0</v>
      </c>
      <c r="AU1455">
        <v>0</v>
      </c>
      <c r="AV1455">
        <v>0</v>
      </c>
      <c r="AW1455">
        <v>0</v>
      </c>
      <c r="AX1455">
        <v>0</v>
      </c>
      <c r="AY1455">
        <v>0</v>
      </c>
      <c r="AZ1455" s="141">
        <f>COUNTIF(X1455:AY1455,"&lt;&gt;0")</f>
        <v>1</v>
      </c>
      <c r="BA1455" s="141">
        <f>COUNTIF(X1455:AN1455,"&lt;&gt;0")</f>
        <v>1</v>
      </c>
      <c r="BB1455">
        <f>COUNTIF(X1455:AE1455,"&lt;&gt;0")</f>
        <v>0</v>
      </c>
      <c r="BC1455">
        <f>COUNTIF(AF1455:AK1455,"&lt;&gt;0")</f>
        <v>0</v>
      </c>
      <c r="BD1455">
        <f>COUNTIF(AL1455:AN1455,"&lt;&gt;0")</f>
        <v>1</v>
      </c>
      <c r="BE1455">
        <f>COUNTIF(AU1455:AY1455,"&lt;&gt;0")</f>
        <v>0</v>
      </c>
      <c r="BF1455">
        <f>COUNTIF(AO1455:AT1455,"&lt;&gt;0")</f>
        <v>0</v>
      </c>
      <c r="BG1455" t="str">
        <f t="array" ref="BG1455">IF(BA1455=1,INDEX($X$7:$AN$7,MATCH(TRUE,INDEX($X1455:$AY1455&lt;&gt;0,),0)),IF(BA1455=0,INDEX($AO$7:$AY$7,MATCH(1,$AO1455:$AY1455,0)),IF(BH1455="Multiple strategies","mixed drivers",IF(BH1455="Supply chain","multiple supply","multiple silviculture"))))</f>
        <v>technologies/design switch</v>
      </c>
      <c r="BH1455" s="2" t="str" cm="1">
        <f t="array" ref="BH1455">IF(COUNTIF(BB1455:BD1455,"&lt;&gt;0")=1,INDEX($X$4:$AY$4,MATCH(TRUE,INDEX($X1455:$AY1455&lt;&gt;0,),0)),IF(COUNTIF(BB1455:BD1455,"&lt;&gt;0")=0,INDEX($AO$4:$AY$4,MATCH(1,$AO1455:$AY1455,0)),"Multiple strategies"))</f>
        <v>Technology</v>
      </c>
      <c r="BI1455" s="1" t="s">
        <v>229</v>
      </c>
      <c r="BJ1455" t="s">
        <v>918</v>
      </c>
      <c r="BK1455" s="256" t="s">
        <v>3048</v>
      </c>
      <c r="BL1455" t="s">
        <v>345</v>
      </c>
      <c r="BM1455">
        <v>0</v>
      </c>
      <c r="BN1455">
        <v>116.6</v>
      </c>
      <c r="BP1455">
        <f>BN1455-BM1455</f>
        <v>116.6</v>
      </c>
      <c r="BQ1455">
        <f>BP1455*kg_to_m3</f>
        <v>0.23795918367346941</v>
      </c>
      <c r="BR1455" t="s">
        <v>232</v>
      </c>
      <c r="BS1455" s="256" t="s">
        <v>3051</v>
      </c>
      <c r="BT1455" t="s">
        <v>919</v>
      </c>
      <c r="BU1455">
        <v>-223.9</v>
      </c>
      <c r="BV1455">
        <v>-179.7</v>
      </c>
      <c r="BW1455" s="144">
        <f>IFERROR(BV1455/BU1455,"")</f>
        <v>0.8025904421616793</v>
      </c>
      <c r="BX1455">
        <f>BV1455-BU1455</f>
        <v>44.200000000000017</v>
      </c>
      <c r="BZ1455">
        <f>BX1455/1000</f>
        <v>4.4200000000000017E-2</v>
      </c>
      <c r="CA1455">
        <f>IFERROR(BZ1455/BQ1455,"")</f>
        <v>0.18574614065180109</v>
      </c>
      <c r="CB1455">
        <v>1</v>
      </c>
      <c r="CC1455">
        <v>0</v>
      </c>
      <c r="CD1455">
        <v>0</v>
      </c>
      <c r="CE1455">
        <v>0</v>
      </c>
      <c r="CF1455">
        <v>0</v>
      </c>
      <c r="CG1455">
        <v>1</v>
      </c>
      <c r="CH1455">
        <v>0</v>
      </c>
      <c r="CI1455">
        <v>1</v>
      </c>
      <c r="CJ1455">
        <v>0</v>
      </c>
      <c r="CK1455">
        <v>0</v>
      </c>
      <c r="CL1455">
        <v>0</v>
      </c>
      <c r="CM1455">
        <v>0</v>
      </c>
      <c r="CN1455">
        <v>0</v>
      </c>
      <c r="CO1455">
        <v>0</v>
      </c>
      <c r="CP1455" t="str">
        <f>IF($BN1455&lt;$BM1455,"refNeedCorrection","refOK")</f>
        <v>refOK</v>
      </c>
      <c r="CQ1455">
        <f>IF($CP1455="refOK",$BM1455,$BN1455)</f>
        <v>0</v>
      </c>
      <c r="CR1455">
        <f>IF($CP1455="refOK",$BN1455,$BM1455)</f>
        <v>116.6</v>
      </c>
      <c r="CS1455">
        <f>IF($CP1455="refOK",$BQ1455,-$BQ1455)</f>
        <v>0.23795918367346941</v>
      </c>
      <c r="CT1455">
        <f>IF(BI1455="Roundwood",$CS1455/2,$CS1455)</f>
        <v>0.23795918367346941</v>
      </c>
      <c r="CU1455">
        <f>IF($CP1455="refOK",$BU1455,$BV1455)*IF($BR1455="Emissions positive",-1,1)</f>
        <v>-223.9</v>
      </c>
      <c r="CV1455">
        <f>IF($CP1455="refOK",$BV1455,$BU1455)*IF($BR1455="Emissions positive",-1,1)</f>
        <v>-179.7</v>
      </c>
      <c r="CW1455">
        <f>IF($CP1455="refNeedCorrection",-BZ1455,BZ1455)*IF($BR1455="Emissions positive",-1,1)</f>
        <v>4.4200000000000017E-2</v>
      </c>
      <c r="CX1455">
        <f>IFERROR($CW1455/$CS1455,"")</f>
        <v>0.18574614065180109</v>
      </c>
      <c r="CY1455">
        <f>IFERROR($CW1455/$CS1455,"")</f>
        <v>0.18574614065180109</v>
      </c>
      <c r="CZ1455">
        <f>IFERROR($CW1455/$CT1455,"")</f>
        <v>0.18574614065180109</v>
      </c>
      <c r="DA1455" s="2">
        <f>IFERROR((CV1455-CU1455)/ABS(CU1455),"")</f>
        <v>0.19740955783832076</v>
      </c>
      <c r="DB1455" s="1" t="s">
        <v>263</v>
      </c>
      <c r="DC1455" t="str">
        <f>IF(OR($DB1455="prd",$DB1455="std",$DB1455="cit"),"loc",IF(OR($DB1455="eur",$DB1455="reg",$DB1455="coy"),"reg",$DB1455))</f>
        <v>loc</v>
      </c>
      <c r="DD1455" s="296" t="s">
        <v>3098</v>
      </c>
      <c r="DG1455">
        <v>0</v>
      </c>
      <c r="DH1455" t="str">
        <f>IF(DG1455=0,"0",IF(AND(DG1455&gt;=1,DG1455&lt;=30),"1-30",IF(AND(DG1455&gt;30,DG1455&lt;=70),"31-70",IF(AND(DG1455&gt;70,DG1455&lt;=100),"71-100",IF(DG1455&gt;100,"+100")))))</f>
        <v>0</v>
      </c>
      <c r="DI1455">
        <v>0</v>
      </c>
      <c r="DJ1455">
        <v>0</v>
      </c>
      <c r="DK1455">
        <v>0</v>
      </c>
      <c r="DL1455">
        <v>1</v>
      </c>
      <c r="DN1455">
        <f>SUM(DI1455:DL1455)</f>
        <v>1</v>
      </c>
      <c r="DO1455" t="str">
        <f>IF(DN1455=1,INDEX($DI$7:$DL$7,MATCH(1,$DI1455:$DL1455,0)),"mixedProduct")</f>
        <v>TimberInput</v>
      </c>
      <c r="DP1455">
        <f>IF(DI1455=1,DP$7,0)</f>
        <v>0</v>
      </c>
      <c r="DQ1455">
        <f>IF(DJ1455=1,DQ$7,0)</f>
        <v>0</v>
      </c>
      <c r="DR1455">
        <f>IF(DK1455=1,DR$7,0)</f>
        <v>0</v>
      </c>
      <c r="DS1455" t="str">
        <f>IF(DL1455=1,DS$7,0)</f>
        <v>Timber</v>
      </c>
      <c r="DT1455">
        <v>0</v>
      </c>
      <c r="DU1455">
        <v>0</v>
      </c>
      <c r="DV1455">
        <v>0</v>
      </c>
      <c r="DW1455">
        <v>0</v>
      </c>
      <c r="DX1455">
        <v>0</v>
      </c>
      <c r="DY1455">
        <f>SUM(DT1455:DU1455)</f>
        <v>0</v>
      </c>
      <c r="DZ1455" s="143" t="str">
        <f>IF(DT1455=1,"self-calculated DF",IF(DU1455=1,"external DF used","explicit C balance"))</f>
        <v>explicit C balance</v>
      </c>
      <c r="EA1455">
        <v>0</v>
      </c>
      <c r="EB1455">
        <v>0</v>
      </c>
      <c r="EC1455">
        <v>0</v>
      </c>
      <c r="ED1455">
        <v>1</v>
      </c>
      <c r="EE1455">
        <v>0</v>
      </c>
      <c r="EF1455" s="143">
        <v>1</v>
      </c>
      <c r="EG1455">
        <v>1</v>
      </c>
      <c r="EH1455">
        <v>1</v>
      </c>
      <c r="EI1455">
        <v>0</v>
      </c>
      <c r="EJ1455">
        <v>1</v>
      </c>
      <c r="EK1455">
        <v>0</v>
      </c>
      <c r="EL1455">
        <v>0</v>
      </c>
      <c r="EM1455">
        <v>0</v>
      </c>
      <c r="EN1455" s="2">
        <v>0</v>
      </c>
      <c r="EP1455" t="str">
        <f>IF(AND(AND(AND(OR($EC1455=1,$EB1455=1),OR($EH1455=1,$EF1455=1)),SUM($EA1455:$EE1455,$EK1455)&gt;=3),SUM($EF1455:$EJ1455)&gt;=2),"Whole sector approach","")</f>
        <v/>
      </c>
      <c r="EQ1455" t="str">
        <f>IF(AND(AND(OR($EC1455=1,$EB1455=1),AND($EH1455=0,$EF1455=0)),SUM($EA1455:$EE1455,$EK1455)&gt;=4),"Ecosystem approach","")</f>
        <v/>
      </c>
      <c r="ER1455" s="2" t="str">
        <f>IF(AND(AND(AND($EC1455=0,$EB1455=0),OR($EH1455=1,$EF1455=1)),SUM($EG1455:$EJ1455)&gt;=2),"Technology approach","")</f>
        <v>Technology approach</v>
      </c>
      <c r="ES1455" t="str">
        <f>IF(AND($EC1455+$EB1455+$EE1455+$EA1455+$ED1455+$EG1455=0,$N1455="included"),"C neutral forest and HWP assumption","")</f>
        <v/>
      </c>
      <c r="ET1455" t="str">
        <f>IF(AND(AND(AND(AND($EC1455=1,$EB1455+$EA1455+$EG1455&gt;=1),$EF1455=1),$EH1455+$EI1455+$ED1455+$EE1455&gt;=2),$N1455="included"),"All C pools assumption","")</f>
        <v/>
      </c>
      <c r="EU1455" t="str">
        <f>IF(AND($ED1455+$EE1455+$EI1455+$EH1455+$EF1455=0,$N1455="included"),"In-situ only assumption","")</f>
        <v/>
      </c>
      <c r="EY1455" t="str">
        <f>IF(ISNUMBER(BW1455),IF(ABS(BW1455-[6]QC_indicators!$B$2)&gt;3*[6]QC_indicators!$C$2,"C ratio",IF(ISNUMBER(CA1455),IF(ABS(CA1455-[6]QC_indicators!$B$1)&gt;3*[6]QC_indicators!$C$1,"DF","no"))),IF(ISNUMBER(CA1455),IF(ABS(CA1455-[6]QC_indicators!$B$1)&gt;3*[6]QC_indicators!$C$1,"DF","no")))</f>
        <v>no</v>
      </c>
      <c r="FA1455" t="str">
        <f>IF(LEN($CY1455)=0,"",IF(AND($CY1455&lt;(-0.05),$ES1455="C neutral forest and HWP assumption"),"Cneutral paradox",IF(AND($CY1455&gt;0.05,$EU1455="In-situ only assumption"),"In-situ only paradox","")))</f>
        <v/>
      </c>
      <c r="FB1455" s="149" t="s">
        <v>349</v>
      </c>
      <c r="FD1455" s="260" t="s">
        <v>2948</v>
      </c>
    </row>
    <row r="1456" spans="1:160" ht="15" hidden="1" customHeight="1">
      <c r="A1456" s="1" t="s">
        <v>333</v>
      </c>
      <c r="B1456" t="s">
        <v>909</v>
      </c>
      <c r="C1456" t="s">
        <v>910</v>
      </c>
      <c r="D1456" t="s">
        <v>911</v>
      </c>
      <c r="E1456" t="s">
        <v>912</v>
      </c>
      <c r="F1456" t="s">
        <v>913</v>
      </c>
      <c r="G1456" t="s">
        <v>339</v>
      </c>
      <c r="H1456" t="s">
        <v>254</v>
      </c>
      <c r="I1456">
        <v>2021</v>
      </c>
      <c r="J1456">
        <v>0</v>
      </c>
      <c r="K1456" t="s">
        <v>914</v>
      </c>
      <c r="M1456" t="str">
        <f>LEFT($D1456,FIND(",",$D1456)-1)&amp;"_"&amp;I1456&amp;L1456</f>
        <v>Morris_2021</v>
      </c>
      <c r="N1456" t="s">
        <v>222</v>
      </c>
      <c r="O1456" t="s">
        <v>223</v>
      </c>
      <c r="Q1456" t="s">
        <v>256</v>
      </c>
      <c r="R1456" s="251" t="s">
        <v>225</v>
      </c>
      <c r="S1456" s="1" t="s">
        <v>920</v>
      </c>
      <c r="T1456" t="s">
        <v>775</v>
      </c>
      <c r="U1456" t="s">
        <v>921</v>
      </c>
      <c r="V1456" s="253">
        <v>0</v>
      </c>
      <c r="W1456" s="253">
        <v>0</v>
      </c>
      <c r="X1456">
        <v>0</v>
      </c>
      <c r="Y1456">
        <v>0</v>
      </c>
      <c r="Z1456">
        <v>0</v>
      </c>
      <c r="AA1456">
        <v>0</v>
      </c>
      <c r="AB1456">
        <v>0</v>
      </c>
      <c r="AC1456">
        <v>0</v>
      </c>
      <c r="AD1456">
        <v>0</v>
      </c>
      <c r="AE1456">
        <v>0</v>
      </c>
      <c r="AF1456">
        <v>0</v>
      </c>
      <c r="AG1456">
        <v>0</v>
      </c>
      <c r="AH1456">
        <v>0</v>
      </c>
      <c r="AI1456">
        <v>0</v>
      </c>
      <c r="AJ1456">
        <v>0</v>
      </c>
      <c r="AK1456">
        <v>0</v>
      </c>
      <c r="AL1456">
        <v>0</v>
      </c>
      <c r="AM1456">
        <v>1</v>
      </c>
      <c r="AN1456">
        <v>0</v>
      </c>
      <c r="AO1456">
        <v>0</v>
      </c>
      <c r="AP1456">
        <v>0</v>
      </c>
      <c r="AQ1456">
        <v>0</v>
      </c>
      <c r="AR1456">
        <v>0</v>
      </c>
      <c r="AS1456">
        <v>0</v>
      </c>
      <c r="AT1456">
        <v>0</v>
      </c>
      <c r="AU1456">
        <v>0</v>
      </c>
      <c r="AV1456">
        <v>0</v>
      </c>
      <c r="AW1456">
        <v>0</v>
      </c>
      <c r="AX1456">
        <v>0</v>
      </c>
      <c r="AY1456">
        <v>0</v>
      </c>
      <c r="AZ1456" s="141">
        <f>COUNTIF(X1456:AY1456,"&lt;&gt;0")</f>
        <v>1</v>
      </c>
      <c r="BA1456" s="141">
        <f>COUNTIF(X1456:AN1456,"&lt;&gt;0")</f>
        <v>1</v>
      </c>
      <c r="BB1456">
        <f>COUNTIF(X1456:AE1456,"&lt;&gt;0")</f>
        <v>0</v>
      </c>
      <c r="BC1456">
        <f>COUNTIF(AF1456:AK1456,"&lt;&gt;0")</f>
        <v>0</v>
      </c>
      <c r="BD1456">
        <f>COUNTIF(AL1456:AN1456,"&lt;&gt;0")</f>
        <v>1</v>
      </c>
      <c r="BE1456">
        <f>COUNTIF(AU1456:AY1456,"&lt;&gt;0")</f>
        <v>0</v>
      </c>
      <c r="BF1456">
        <f>COUNTIF(AO1456:AT1456,"&lt;&gt;0")</f>
        <v>0</v>
      </c>
      <c r="BG1456" t="str">
        <f t="array" ref="BG1456">IF(BA1456=1,INDEX($X$7:$AN$7,MATCH(TRUE,INDEX($X1456:$AY1456&lt;&gt;0,),0)),IF(BA1456=0,INDEX($AO$7:$AY$7,MATCH(1,$AO1456:$AY1456,0)),IF(BH1456="Multiple strategies","mixed drivers",IF(BH1456="Supply chain","multiple supply","multiple silviculture"))))</f>
        <v>technologies/design switch</v>
      </c>
      <c r="BH1456" s="2" t="str" cm="1">
        <f t="array" ref="BH1456">IF(COUNTIF(BB1456:BD1456,"&lt;&gt;0")=1,INDEX($X$4:$AY$4,MATCH(TRUE,INDEX($X1456:$AY1456&lt;&gt;0,),0)),IF(COUNTIF(BB1456:BD1456,"&lt;&gt;0")=0,INDEX($AO$4:$AY$4,MATCH(1,$AO1456:$AY1456,0)),"Multiple strategies"))</f>
        <v>Technology</v>
      </c>
      <c r="BI1456" s="1" t="s">
        <v>229</v>
      </c>
      <c r="BJ1456" t="s">
        <v>918</v>
      </c>
      <c r="BK1456" s="256" t="s">
        <v>3048</v>
      </c>
      <c r="BL1456" t="s">
        <v>345</v>
      </c>
      <c r="BM1456">
        <v>0</v>
      </c>
      <c r="BN1456">
        <v>116.6</v>
      </c>
      <c r="BP1456">
        <f>BN1456-BM1456</f>
        <v>116.6</v>
      </c>
      <c r="BQ1456">
        <f>BP1456*kg_to_m3</f>
        <v>0.23795918367346941</v>
      </c>
      <c r="BR1456" t="s">
        <v>232</v>
      </c>
      <c r="BS1456" s="256" t="s">
        <v>3052</v>
      </c>
      <c r="BT1456" t="s">
        <v>919</v>
      </c>
      <c r="BU1456">
        <v>-223.4</v>
      </c>
      <c r="BV1456">
        <v>-165.4</v>
      </c>
      <c r="BW1456" s="144">
        <f>IFERROR(BV1456/BU1456,"")</f>
        <v>0.74037600716204122</v>
      </c>
      <c r="BX1456">
        <f>BV1456-BU1456</f>
        <v>58</v>
      </c>
      <c r="BZ1456">
        <f>BX1456/1000</f>
        <v>5.8000000000000003E-2</v>
      </c>
      <c r="CA1456">
        <f>IFERROR(BZ1456/BQ1456,"")</f>
        <v>0.24373927958833619</v>
      </c>
      <c r="CB1456">
        <v>1</v>
      </c>
      <c r="CC1456">
        <v>0</v>
      </c>
      <c r="CD1456">
        <v>0</v>
      </c>
      <c r="CE1456">
        <v>0</v>
      </c>
      <c r="CF1456">
        <v>0</v>
      </c>
      <c r="CG1456">
        <v>1</v>
      </c>
      <c r="CH1456">
        <v>0</v>
      </c>
      <c r="CI1456">
        <v>1</v>
      </c>
      <c r="CJ1456">
        <v>0</v>
      </c>
      <c r="CK1456">
        <v>0</v>
      </c>
      <c r="CL1456">
        <v>0</v>
      </c>
      <c r="CM1456">
        <v>0</v>
      </c>
      <c r="CN1456">
        <v>0</v>
      </c>
      <c r="CO1456">
        <v>0</v>
      </c>
      <c r="CP1456" t="str">
        <f>IF($BN1456&lt;$BM1456,"refNeedCorrection","refOK")</f>
        <v>refOK</v>
      </c>
      <c r="CQ1456">
        <f>IF($CP1456="refOK",$BM1456,$BN1456)</f>
        <v>0</v>
      </c>
      <c r="CR1456">
        <f>IF($CP1456="refOK",$BN1456,$BM1456)</f>
        <v>116.6</v>
      </c>
      <c r="CS1456">
        <f>IF($CP1456="refOK",$BQ1456,-$BQ1456)</f>
        <v>0.23795918367346941</v>
      </c>
      <c r="CT1456">
        <f>IF(BI1456="Roundwood",$CS1456/2,$CS1456)</f>
        <v>0.23795918367346941</v>
      </c>
      <c r="CU1456">
        <f>IF($CP1456="refOK",$BU1456,$BV1456)*IF($BR1456="Emissions positive",-1,1)</f>
        <v>-223.4</v>
      </c>
      <c r="CV1456">
        <f>IF($CP1456="refOK",$BV1456,$BU1456)*IF($BR1456="Emissions positive",-1,1)</f>
        <v>-165.4</v>
      </c>
      <c r="CW1456">
        <f>IF($CP1456="refNeedCorrection",-BZ1456,BZ1456)*IF($BR1456="Emissions positive",-1,1)</f>
        <v>5.8000000000000003E-2</v>
      </c>
      <c r="CX1456">
        <f>IFERROR($CW1456/$CS1456,"")</f>
        <v>0.24373927958833619</v>
      </c>
      <c r="CY1456">
        <f>IFERROR($CW1456/$CS1456,"")</f>
        <v>0.24373927958833619</v>
      </c>
      <c r="CZ1456">
        <f>IFERROR($CW1456/$CT1456,"")</f>
        <v>0.24373927958833619</v>
      </c>
      <c r="DA1456" s="2">
        <f>IFERROR((CV1456-CU1456)/ABS(CU1456),"")</f>
        <v>0.25962399283795884</v>
      </c>
      <c r="DB1456" s="1" t="s">
        <v>263</v>
      </c>
      <c r="DC1456" t="str">
        <f>IF(OR($DB1456="prd",$DB1456="std",$DB1456="cit"),"loc",IF(OR($DB1456="eur",$DB1456="reg",$DB1456="coy"),"reg",$DB1456))</f>
        <v>loc</v>
      </c>
      <c r="DD1456" s="296" t="s">
        <v>3098</v>
      </c>
      <c r="DG1456">
        <v>0</v>
      </c>
      <c r="DH1456" t="str">
        <f>IF(DG1456=0,"0",IF(AND(DG1456&gt;=1,DG1456&lt;=30),"1-30",IF(AND(DG1456&gt;30,DG1456&lt;=70),"31-70",IF(AND(DG1456&gt;70,DG1456&lt;=100),"71-100",IF(DG1456&gt;100,"+100")))))</f>
        <v>0</v>
      </c>
      <c r="DI1456">
        <v>0</v>
      </c>
      <c r="DJ1456">
        <v>0</v>
      </c>
      <c r="DK1456">
        <v>0</v>
      </c>
      <c r="DL1456">
        <v>1</v>
      </c>
      <c r="DN1456">
        <f>SUM(DI1456:DL1456)</f>
        <v>1</v>
      </c>
      <c r="DO1456" t="str">
        <f>IF(DN1456=1,INDEX($DI$7:$DL$7,MATCH(1,$DI1456:$DL1456,0)),"mixedProduct")</f>
        <v>TimberInput</v>
      </c>
      <c r="DP1456">
        <f>IF(DI1456=1,DP$7,0)</f>
        <v>0</v>
      </c>
      <c r="DQ1456">
        <f>IF(DJ1456=1,DQ$7,0)</f>
        <v>0</v>
      </c>
      <c r="DR1456">
        <f>IF(DK1456=1,DR$7,0)</f>
        <v>0</v>
      </c>
      <c r="DS1456" t="str">
        <f>IF(DL1456=1,DS$7,0)</f>
        <v>Timber</v>
      </c>
      <c r="DT1456">
        <v>0</v>
      </c>
      <c r="DU1456">
        <v>1</v>
      </c>
      <c r="DV1456">
        <v>0</v>
      </c>
      <c r="DW1456">
        <v>0</v>
      </c>
      <c r="DX1456">
        <v>0</v>
      </c>
      <c r="DY1456">
        <f>SUM(DT1456:DU1456)</f>
        <v>1</v>
      </c>
      <c r="DZ1456" s="143" t="str">
        <f>IF(DT1456=1,"self-calculated DF",IF(DU1456=1,"external DF used","explicit C balance"))</f>
        <v>external DF used</v>
      </c>
      <c r="EA1456">
        <v>0</v>
      </c>
      <c r="EB1456">
        <v>0</v>
      </c>
      <c r="EC1456">
        <v>0</v>
      </c>
      <c r="ED1456">
        <v>0</v>
      </c>
      <c r="EE1456">
        <v>0</v>
      </c>
      <c r="EF1456" s="143">
        <v>1</v>
      </c>
      <c r="EG1456">
        <v>1</v>
      </c>
      <c r="EH1456">
        <v>1</v>
      </c>
      <c r="EI1456">
        <v>0</v>
      </c>
      <c r="EJ1456">
        <v>1</v>
      </c>
      <c r="EK1456">
        <v>0</v>
      </c>
      <c r="EL1456">
        <v>0</v>
      </c>
      <c r="EM1456">
        <v>0</v>
      </c>
      <c r="EN1456" s="2">
        <v>0</v>
      </c>
      <c r="EP1456" t="str">
        <f>IF(AND(AND(AND(OR($EC1456=1,$EB1456=1),OR($EH1456=1,$EF1456=1)),SUM($EA1456:$EE1456,$EK1456)&gt;=3),SUM($EF1456:$EJ1456)&gt;=2),"Whole sector approach","")</f>
        <v/>
      </c>
      <c r="EQ1456" t="str">
        <f>IF(AND(AND(OR($EC1456=1,$EB1456=1),AND($EH1456=0,$EF1456=0)),SUM($EA1456:$EE1456,$EK1456)&gt;=4),"Ecosystem approach","")</f>
        <v/>
      </c>
      <c r="ER1456" s="2" t="str">
        <f>IF(AND(AND(AND($EC1456=0,$EB1456=0),OR($EH1456=1,$EF1456=1)),SUM($EG1456:$EJ1456)&gt;=2),"Technology approach","")</f>
        <v>Technology approach</v>
      </c>
      <c r="ES1456" t="str">
        <f>IF(AND($EC1456+$EB1456+$EE1456+$EA1456+$ED1456+$EG1456=0,$N1456="included"),"C neutral forest and HWP assumption","")</f>
        <v/>
      </c>
      <c r="ET1456" t="str">
        <f>IF(AND(AND(AND(AND($EC1456=1,$EB1456+$EA1456+$EG1456&gt;=1),$EF1456=1),$EH1456+$EI1456+$ED1456+$EE1456&gt;=2),$N1456="included"),"All C pools assumption","")</f>
        <v/>
      </c>
      <c r="EU1456" t="str">
        <f>IF(AND($ED1456+$EE1456+$EI1456+$EH1456+$EF1456=0,$N1456="included"),"In-situ only assumption","")</f>
        <v/>
      </c>
      <c r="EY1456" t="str">
        <f>IF(ISNUMBER(BW1456),IF(ABS(BW1456-[6]QC_indicators!$B$2)&gt;3*[6]QC_indicators!$C$2,"C ratio",IF(ISNUMBER(CA1456),IF(ABS(CA1456-[6]QC_indicators!$B$1)&gt;3*[6]QC_indicators!$C$1,"DF","no"))),IF(ISNUMBER(CA1456),IF(ABS(CA1456-[6]QC_indicators!$B$1)&gt;3*[6]QC_indicators!$C$1,"DF","no")))</f>
        <v>no</v>
      </c>
      <c r="FA1456" t="str">
        <f>IF(LEN($CY1456)=0,"",IF(AND($CY1456&lt;(-0.05),$ES1456="C neutral forest and HWP assumption"),"Cneutral paradox",IF(AND($CY1456&gt;0.05,$EU1456="In-situ only assumption"),"In-situ only paradox","")))</f>
        <v/>
      </c>
      <c r="FB1456" s="149" t="s">
        <v>349</v>
      </c>
      <c r="FD1456" s="260" t="s">
        <v>2948</v>
      </c>
    </row>
    <row r="1457" spans="1:160" ht="15" hidden="1" customHeight="1">
      <c r="A1457" s="1" t="s">
        <v>333</v>
      </c>
      <c r="B1457" t="s">
        <v>909</v>
      </c>
      <c r="C1457" t="s">
        <v>910</v>
      </c>
      <c r="D1457" t="s">
        <v>911</v>
      </c>
      <c r="E1457" t="s">
        <v>912</v>
      </c>
      <c r="F1457" t="s">
        <v>913</v>
      </c>
      <c r="G1457" t="s">
        <v>339</v>
      </c>
      <c r="H1457" t="s">
        <v>254</v>
      </c>
      <c r="I1457">
        <v>2021</v>
      </c>
      <c r="J1457">
        <v>0</v>
      </c>
      <c r="K1457" t="s">
        <v>914</v>
      </c>
      <c r="M1457" t="str">
        <f>LEFT($D1457,FIND(",",$D1457)-1)&amp;"_"&amp;I1457&amp;L1457</f>
        <v>Morris_2021</v>
      </c>
      <c r="N1457" t="s">
        <v>222</v>
      </c>
      <c r="O1457" t="s">
        <v>223</v>
      </c>
      <c r="Q1457" t="s">
        <v>256</v>
      </c>
      <c r="R1457" s="251" t="s">
        <v>225</v>
      </c>
      <c r="S1457" s="1" t="s">
        <v>920</v>
      </c>
      <c r="T1457" t="s">
        <v>775</v>
      </c>
      <c r="U1457" t="s">
        <v>921</v>
      </c>
      <c r="V1457" s="253">
        <v>0</v>
      </c>
      <c r="W1457" s="253">
        <v>0</v>
      </c>
      <c r="X1457">
        <v>0</v>
      </c>
      <c r="Y1457">
        <v>0</v>
      </c>
      <c r="Z1457">
        <v>0</v>
      </c>
      <c r="AA1457">
        <v>0</v>
      </c>
      <c r="AB1457">
        <v>0</v>
      </c>
      <c r="AC1457">
        <v>0</v>
      </c>
      <c r="AD1457">
        <v>0</v>
      </c>
      <c r="AE1457">
        <v>0</v>
      </c>
      <c r="AF1457">
        <v>0</v>
      </c>
      <c r="AG1457">
        <v>0</v>
      </c>
      <c r="AH1457">
        <v>0</v>
      </c>
      <c r="AI1457">
        <v>0</v>
      </c>
      <c r="AJ1457">
        <v>0</v>
      </c>
      <c r="AK1457">
        <v>0</v>
      </c>
      <c r="AL1457">
        <v>0</v>
      </c>
      <c r="AM1457">
        <v>1</v>
      </c>
      <c r="AN1457">
        <v>0</v>
      </c>
      <c r="AO1457">
        <v>0</v>
      </c>
      <c r="AP1457">
        <v>0</v>
      </c>
      <c r="AQ1457">
        <v>0</v>
      </c>
      <c r="AR1457">
        <v>0</v>
      </c>
      <c r="AS1457">
        <v>0</v>
      </c>
      <c r="AT1457">
        <v>0</v>
      </c>
      <c r="AU1457">
        <v>0</v>
      </c>
      <c r="AV1457">
        <v>0</v>
      </c>
      <c r="AW1457">
        <v>0</v>
      </c>
      <c r="AX1457">
        <v>0</v>
      </c>
      <c r="AY1457">
        <v>0</v>
      </c>
      <c r="AZ1457" s="141">
        <f>COUNTIF(X1457:AY1457,"&lt;&gt;0")</f>
        <v>1</v>
      </c>
      <c r="BA1457" s="141">
        <f>COUNTIF(X1457:AN1457,"&lt;&gt;0")</f>
        <v>1</v>
      </c>
      <c r="BB1457">
        <f>COUNTIF(X1457:AE1457,"&lt;&gt;0")</f>
        <v>0</v>
      </c>
      <c r="BC1457">
        <f>COUNTIF(AF1457:AK1457,"&lt;&gt;0")</f>
        <v>0</v>
      </c>
      <c r="BD1457">
        <f>COUNTIF(AL1457:AN1457,"&lt;&gt;0")</f>
        <v>1</v>
      </c>
      <c r="BE1457">
        <f>COUNTIF(AU1457:AY1457,"&lt;&gt;0")</f>
        <v>0</v>
      </c>
      <c r="BF1457">
        <f>COUNTIF(AO1457:AT1457,"&lt;&gt;0")</f>
        <v>0</v>
      </c>
      <c r="BG1457" t="str">
        <f t="array" ref="BG1457">IF(BA1457=1,INDEX($X$7:$AN$7,MATCH(TRUE,INDEX($X1457:$AY1457&lt;&gt;0,),0)),IF(BA1457=0,INDEX($AO$7:$AY$7,MATCH(1,$AO1457:$AY1457,0)),IF(BH1457="Multiple strategies","mixed drivers",IF(BH1457="Supply chain","multiple supply","multiple silviculture"))))</f>
        <v>technologies/design switch</v>
      </c>
      <c r="BH1457" s="2" t="str" cm="1">
        <f t="array" ref="BH1457">IF(COUNTIF(BB1457:BD1457,"&lt;&gt;0")=1,INDEX($X$4:$AY$4,MATCH(TRUE,INDEX($X1457:$AY1457&lt;&gt;0,),0)),IF(COUNTIF(BB1457:BD1457,"&lt;&gt;0")=0,INDEX($AO$4:$AY$4,MATCH(1,$AO1457:$AY1457,0)),"Multiple strategies"))</f>
        <v>Technology</v>
      </c>
      <c r="BI1457" s="1" t="s">
        <v>229</v>
      </c>
      <c r="BJ1457" t="s">
        <v>918</v>
      </c>
      <c r="BK1457" s="256" t="s">
        <v>3048</v>
      </c>
      <c r="BL1457" t="s">
        <v>345</v>
      </c>
      <c r="BM1457">
        <v>0</v>
      </c>
      <c r="BN1457">
        <v>116.6</v>
      </c>
      <c r="BP1457">
        <f>BN1457-BM1457</f>
        <v>116.6</v>
      </c>
      <c r="BQ1457">
        <f>BP1457*kg_to_m3</f>
        <v>0.23795918367346941</v>
      </c>
      <c r="BR1457" t="s">
        <v>232</v>
      </c>
      <c r="BS1457" s="256" t="s">
        <v>3052</v>
      </c>
      <c r="BT1457" t="s">
        <v>919</v>
      </c>
      <c r="BU1457">
        <v>-139.69999999999999</v>
      </c>
      <c r="BV1457">
        <v>-39.799999999999997</v>
      </c>
      <c r="BW1457" s="144">
        <f>IFERROR(BV1457/BU1457,"")</f>
        <v>0.28489620615604866</v>
      </c>
      <c r="BX1457">
        <f>BV1457-BU1457</f>
        <v>99.899999999999991</v>
      </c>
      <c r="BZ1457">
        <f>BX1457/1000</f>
        <v>9.9899999999999989E-2</v>
      </c>
      <c r="CA1457">
        <f>IFERROR(BZ1457/BQ1457,"")</f>
        <v>0.41981989708404793</v>
      </c>
      <c r="CB1457">
        <v>1</v>
      </c>
      <c r="CC1457">
        <v>0</v>
      </c>
      <c r="CD1457">
        <v>0</v>
      </c>
      <c r="CE1457">
        <v>0</v>
      </c>
      <c r="CF1457">
        <v>0</v>
      </c>
      <c r="CG1457">
        <v>1</v>
      </c>
      <c r="CH1457">
        <v>0</v>
      </c>
      <c r="CI1457">
        <v>1</v>
      </c>
      <c r="CJ1457">
        <v>0</v>
      </c>
      <c r="CK1457">
        <v>0</v>
      </c>
      <c r="CL1457">
        <v>0</v>
      </c>
      <c r="CM1457">
        <v>0</v>
      </c>
      <c r="CN1457">
        <v>0</v>
      </c>
      <c r="CO1457">
        <v>0</v>
      </c>
      <c r="CP1457" t="str">
        <f>IF($BN1457&lt;$BM1457,"refNeedCorrection","refOK")</f>
        <v>refOK</v>
      </c>
      <c r="CQ1457">
        <f>IF($CP1457="refOK",$BM1457,$BN1457)</f>
        <v>0</v>
      </c>
      <c r="CR1457">
        <f>IF($CP1457="refOK",$BN1457,$BM1457)</f>
        <v>116.6</v>
      </c>
      <c r="CS1457">
        <f>IF($CP1457="refOK",$BQ1457,-$BQ1457)</f>
        <v>0.23795918367346941</v>
      </c>
      <c r="CT1457">
        <f>IF(BI1457="Roundwood",$CS1457/2,$CS1457)</f>
        <v>0.23795918367346941</v>
      </c>
      <c r="CU1457">
        <f>IF($CP1457="refOK",$BU1457,$BV1457)*IF($BR1457="Emissions positive",-1,1)</f>
        <v>-139.69999999999999</v>
      </c>
      <c r="CV1457">
        <f>IF($CP1457="refOK",$BV1457,$BU1457)*IF($BR1457="Emissions positive",-1,1)</f>
        <v>-39.799999999999997</v>
      </c>
      <c r="CW1457">
        <f>IF($CP1457="refNeedCorrection",-BZ1457,BZ1457)*IF($BR1457="Emissions positive",-1,1)</f>
        <v>9.9899999999999989E-2</v>
      </c>
      <c r="CX1457">
        <f>IFERROR($CW1457/$CS1457,"")</f>
        <v>0.41981989708404793</v>
      </c>
      <c r="CY1457">
        <f>IFERROR($CW1457/$CS1457,"")</f>
        <v>0.41981989708404793</v>
      </c>
      <c r="CZ1457">
        <f>IFERROR($CW1457/$CT1457,"")</f>
        <v>0.41981989708404793</v>
      </c>
      <c r="DA1457" s="2">
        <f>IFERROR((CV1457-CU1457)/ABS(CU1457),"")</f>
        <v>0.71510379384395129</v>
      </c>
      <c r="DB1457" s="1" t="s">
        <v>263</v>
      </c>
      <c r="DC1457" t="str">
        <f>IF(OR($DB1457="prd",$DB1457="std",$DB1457="cit"),"loc",IF(OR($DB1457="eur",$DB1457="reg",$DB1457="coy"),"reg",$DB1457))</f>
        <v>loc</v>
      </c>
      <c r="DD1457" s="296" t="s">
        <v>3098</v>
      </c>
      <c r="DG1457">
        <v>0</v>
      </c>
      <c r="DH1457" t="str">
        <f>IF(DG1457=0,"0",IF(AND(DG1457&gt;=1,DG1457&lt;=30),"1-30",IF(AND(DG1457&gt;30,DG1457&lt;=70),"31-70",IF(AND(DG1457&gt;70,DG1457&lt;=100),"71-100",IF(DG1457&gt;100,"+100")))))</f>
        <v>0</v>
      </c>
      <c r="DI1457">
        <v>0</v>
      </c>
      <c r="DJ1457">
        <v>0</v>
      </c>
      <c r="DK1457">
        <v>0</v>
      </c>
      <c r="DL1457">
        <v>1</v>
      </c>
      <c r="DN1457">
        <f>SUM(DI1457:DL1457)</f>
        <v>1</v>
      </c>
      <c r="DO1457" t="str">
        <f>IF(DN1457=1,INDEX($DI$7:$DL$7,MATCH(1,$DI1457:$DL1457,0)),"mixedProduct")</f>
        <v>TimberInput</v>
      </c>
      <c r="DP1457">
        <f>IF(DI1457=1,DP$7,0)</f>
        <v>0</v>
      </c>
      <c r="DQ1457">
        <f>IF(DJ1457=1,DQ$7,0)</f>
        <v>0</v>
      </c>
      <c r="DR1457">
        <f>IF(DK1457=1,DR$7,0)</f>
        <v>0</v>
      </c>
      <c r="DS1457" t="str">
        <f>IF(DL1457=1,DS$7,0)</f>
        <v>Timber</v>
      </c>
      <c r="DT1457">
        <v>0</v>
      </c>
      <c r="DU1457">
        <v>0</v>
      </c>
      <c r="DV1457">
        <v>0</v>
      </c>
      <c r="DW1457">
        <v>0</v>
      </c>
      <c r="DX1457">
        <v>0</v>
      </c>
      <c r="DY1457">
        <f>SUM(DT1457:DU1457)</f>
        <v>0</v>
      </c>
      <c r="DZ1457" s="143" t="str">
        <f>IF(DT1457=1,"self-calculated DF",IF(DU1457=1,"external DF used","explicit C balance"))</f>
        <v>explicit C balance</v>
      </c>
      <c r="EA1457">
        <v>0</v>
      </c>
      <c r="EB1457">
        <v>0</v>
      </c>
      <c r="EC1457">
        <v>0</v>
      </c>
      <c r="ED1457">
        <v>0</v>
      </c>
      <c r="EE1457">
        <v>0</v>
      </c>
      <c r="EF1457" s="143">
        <v>0</v>
      </c>
      <c r="EG1457">
        <v>1</v>
      </c>
      <c r="EH1457">
        <v>1</v>
      </c>
      <c r="EI1457">
        <v>0</v>
      </c>
      <c r="EJ1457">
        <v>1</v>
      </c>
      <c r="EK1457">
        <v>0</v>
      </c>
      <c r="EL1457">
        <v>0</v>
      </c>
      <c r="EM1457">
        <v>0</v>
      </c>
      <c r="EN1457" s="2">
        <v>0</v>
      </c>
      <c r="EP1457" t="str">
        <f>IF(AND(AND(AND(OR($EC1457=1,$EB1457=1),OR($EH1457=1,$EF1457=1)),SUM($EA1457:$EE1457,$EK1457)&gt;=3),SUM($EF1457:$EJ1457)&gt;=2),"Whole sector approach","")</f>
        <v/>
      </c>
      <c r="EQ1457" t="str">
        <f>IF(AND(AND(OR($EC1457=1,$EB1457=1),AND($EH1457=0,$EF1457=0)),SUM($EA1457:$EE1457,$EK1457)&gt;=4),"Ecosystem approach","")</f>
        <v/>
      </c>
      <c r="ER1457" s="2" t="str">
        <f>IF(AND(AND(AND($EC1457=0,$EB1457=0),OR($EH1457=1,$EF1457=1)),SUM($EG1457:$EJ1457)&gt;=2),"Technology approach","")</f>
        <v>Technology approach</v>
      </c>
      <c r="ES1457" t="str">
        <f>IF(AND($EC1457+$EB1457+$EE1457+$EA1457+$ED1457+$EG1457=0,$N1457="included"),"C neutral forest and HWP assumption","")</f>
        <v/>
      </c>
      <c r="ET1457" t="str">
        <f>IF(AND(AND(AND(AND($EC1457=1,$EB1457+$EA1457+$EG1457&gt;=1),$EF1457=1),$EH1457+$EI1457+$ED1457+$EE1457&gt;=2),$N1457="included"),"All C pools assumption","")</f>
        <v/>
      </c>
      <c r="EU1457" t="str">
        <f>IF(AND($ED1457+$EE1457+$EI1457+$EH1457+$EF1457=0,$N1457="included"),"In-situ only assumption","")</f>
        <v/>
      </c>
      <c r="EY1457" t="str">
        <f>IF(ISNUMBER(BW1457),IF(ABS(BW1457-[6]QC_indicators!$B$2)&gt;3*[6]QC_indicators!$C$2,"C ratio",IF(ISNUMBER(CA1457),IF(ABS(CA1457-[6]QC_indicators!$B$1)&gt;3*[6]QC_indicators!$C$1,"DF","no"))),IF(ISNUMBER(CA1457),IF(ABS(CA1457-[6]QC_indicators!$B$1)&gt;3*[6]QC_indicators!$C$1,"DF","no")))</f>
        <v>no</v>
      </c>
      <c r="FA1457" t="str">
        <f>IF(LEN($CY1457)=0,"",IF(AND($CY1457&lt;(-0.05),$ES1457="C neutral forest and HWP assumption"),"Cneutral paradox",IF(AND($CY1457&gt;0.05,$EU1457="In-situ only assumption"),"In-situ only paradox","")))</f>
        <v/>
      </c>
      <c r="FB1457" t="s">
        <v>922</v>
      </c>
      <c r="FD1457" s="260" t="s">
        <v>2948</v>
      </c>
    </row>
    <row r="1458" spans="1:160" ht="15" hidden="1" customHeight="1">
      <c r="A1458" s="1" t="s">
        <v>333</v>
      </c>
      <c r="B1458" t="s">
        <v>909</v>
      </c>
      <c r="C1458" t="s">
        <v>910</v>
      </c>
      <c r="D1458" t="s">
        <v>911</v>
      </c>
      <c r="E1458" t="s">
        <v>912</v>
      </c>
      <c r="F1458" t="s">
        <v>913</v>
      </c>
      <c r="G1458" t="s">
        <v>339</v>
      </c>
      <c r="H1458" t="s">
        <v>254</v>
      </c>
      <c r="I1458">
        <v>2021</v>
      </c>
      <c r="J1458">
        <v>0</v>
      </c>
      <c r="K1458" t="s">
        <v>914</v>
      </c>
      <c r="M1458" t="str">
        <f>LEFT($D1458,FIND(",",$D1458)-1)&amp;"_"&amp;I1458&amp;L1458</f>
        <v>Morris_2021</v>
      </c>
      <c r="N1458" t="s">
        <v>222</v>
      </c>
      <c r="O1458" t="s">
        <v>223</v>
      </c>
      <c r="Q1458" t="s">
        <v>256</v>
      </c>
      <c r="R1458" s="251" t="s">
        <v>225</v>
      </c>
      <c r="S1458" s="1" t="s">
        <v>920</v>
      </c>
      <c r="T1458" t="s">
        <v>775</v>
      </c>
      <c r="U1458" t="s">
        <v>921</v>
      </c>
      <c r="V1458" s="253">
        <v>0</v>
      </c>
      <c r="W1458" s="253">
        <v>0</v>
      </c>
      <c r="X1458">
        <v>0</v>
      </c>
      <c r="Y1458">
        <v>0</v>
      </c>
      <c r="Z1458">
        <v>0</v>
      </c>
      <c r="AA1458">
        <v>0</v>
      </c>
      <c r="AB1458">
        <v>0</v>
      </c>
      <c r="AC1458">
        <v>0</v>
      </c>
      <c r="AD1458">
        <v>0</v>
      </c>
      <c r="AE1458">
        <v>0</v>
      </c>
      <c r="AF1458">
        <v>0</v>
      </c>
      <c r="AG1458">
        <v>0</v>
      </c>
      <c r="AH1458">
        <v>0</v>
      </c>
      <c r="AI1458">
        <v>0</v>
      </c>
      <c r="AJ1458">
        <v>0</v>
      </c>
      <c r="AK1458">
        <v>0</v>
      </c>
      <c r="AL1458">
        <v>0</v>
      </c>
      <c r="AM1458">
        <v>1</v>
      </c>
      <c r="AN1458">
        <v>0</v>
      </c>
      <c r="AO1458">
        <v>0</v>
      </c>
      <c r="AP1458">
        <v>0</v>
      </c>
      <c r="AQ1458">
        <v>0</v>
      </c>
      <c r="AR1458">
        <v>0</v>
      </c>
      <c r="AS1458">
        <v>0</v>
      </c>
      <c r="AT1458">
        <v>0</v>
      </c>
      <c r="AU1458">
        <v>0</v>
      </c>
      <c r="AV1458">
        <v>0</v>
      </c>
      <c r="AW1458">
        <v>0</v>
      </c>
      <c r="AX1458">
        <v>0</v>
      </c>
      <c r="AY1458">
        <v>0</v>
      </c>
      <c r="AZ1458" s="141">
        <f>COUNTIF(X1458:AY1458,"&lt;&gt;0")</f>
        <v>1</v>
      </c>
      <c r="BA1458" s="141">
        <f>COUNTIF(X1458:AN1458,"&lt;&gt;0")</f>
        <v>1</v>
      </c>
      <c r="BB1458">
        <f>COUNTIF(X1458:AE1458,"&lt;&gt;0")</f>
        <v>0</v>
      </c>
      <c r="BC1458">
        <f>COUNTIF(AF1458:AK1458,"&lt;&gt;0")</f>
        <v>0</v>
      </c>
      <c r="BD1458">
        <f>COUNTIF(AL1458:AN1458,"&lt;&gt;0")</f>
        <v>1</v>
      </c>
      <c r="BE1458">
        <f>COUNTIF(AU1458:AY1458,"&lt;&gt;0")</f>
        <v>0</v>
      </c>
      <c r="BF1458">
        <f>COUNTIF(AO1458:AT1458,"&lt;&gt;0")</f>
        <v>0</v>
      </c>
      <c r="BG1458" t="str">
        <f t="array" ref="BG1458">IF(BA1458=1,INDEX($X$7:$AN$7,MATCH(TRUE,INDEX($X1458:$AY1458&lt;&gt;0,),0)),IF(BA1458=0,INDEX($AO$7:$AY$7,MATCH(1,$AO1458:$AY1458,0)),IF(BH1458="Multiple strategies","mixed drivers",IF(BH1458="Supply chain","multiple supply","multiple silviculture"))))</f>
        <v>technologies/design switch</v>
      </c>
      <c r="BH1458" s="2" t="str" cm="1">
        <f t="array" ref="BH1458">IF(COUNTIF(BB1458:BD1458,"&lt;&gt;0")=1,INDEX($X$4:$AY$4,MATCH(TRUE,INDEX($X1458:$AY1458&lt;&gt;0,),0)),IF(COUNTIF(BB1458:BD1458,"&lt;&gt;0")=0,INDEX($AO$4:$AY$4,MATCH(1,$AO1458:$AY1458,0)),"Multiple strategies"))</f>
        <v>Technology</v>
      </c>
      <c r="BI1458" s="1" t="s">
        <v>229</v>
      </c>
      <c r="BJ1458" t="s">
        <v>918</v>
      </c>
      <c r="BK1458" s="256" t="s">
        <v>3048</v>
      </c>
      <c r="BL1458" t="s">
        <v>345</v>
      </c>
      <c r="BM1458">
        <v>0</v>
      </c>
      <c r="BN1458">
        <v>116.6</v>
      </c>
      <c r="BP1458">
        <f>BN1458-BM1458</f>
        <v>116.6</v>
      </c>
      <c r="BQ1458">
        <f>BP1458*kg_to_m3</f>
        <v>0.23795918367346941</v>
      </c>
      <c r="BR1458" t="s">
        <v>232</v>
      </c>
      <c r="BS1458" s="256" t="s">
        <v>3053</v>
      </c>
      <c r="BT1458" t="s">
        <v>919</v>
      </c>
      <c r="BU1458">
        <v>-223.9</v>
      </c>
      <c r="BV1458">
        <v>-122.9</v>
      </c>
      <c r="BW1458" s="144">
        <f>IFERROR(BV1458/BU1458,"")</f>
        <v>0.54890576150066994</v>
      </c>
      <c r="BX1458">
        <f>BV1458-BU1458</f>
        <v>101</v>
      </c>
      <c r="BZ1458">
        <f>BX1458/1000</f>
        <v>0.10100000000000001</v>
      </c>
      <c r="CA1458">
        <f>IFERROR(BZ1458/BQ1458,"")</f>
        <v>0.42444253859348197</v>
      </c>
      <c r="CB1458">
        <v>1</v>
      </c>
      <c r="CC1458">
        <v>0</v>
      </c>
      <c r="CD1458">
        <v>0</v>
      </c>
      <c r="CE1458">
        <v>0</v>
      </c>
      <c r="CF1458">
        <v>0</v>
      </c>
      <c r="CG1458">
        <v>1</v>
      </c>
      <c r="CH1458">
        <v>0</v>
      </c>
      <c r="CI1458">
        <v>1</v>
      </c>
      <c r="CJ1458">
        <v>0</v>
      </c>
      <c r="CK1458">
        <v>0</v>
      </c>
      <c r="CL1458">
        <v>0</v>
      </c>
      <c r="CM1458">
        <v>0</v>
      </c>
      <c r="CN1458">
        <v>0</v>
      </c>
      <c r="CO1458">
        <v>0</v>
      </c>
      <c r="CP1458" t="str">
        <f>IF($BN1458&lt;$BM1458,"refNeedCorrection","refOK")</f>
        <v>refOK</v>
      </c>
      <c r="CQ1458">
        <f>IF($CP1458="refOK",$BM1458,$BN1458)</f>
        <v>0</v>
      </c>
      <c r="CR1458">
        <f>IF($CP1458="refOK",$BN1458,$BM1458)</f>
        <v>116.6</v>
      </c>
      <c r="CS1458">
        <f>IF($CP1458="refOK",$BQ1458,-$BQ1458)</f>
        <v>0.23795918367346941</v>
      </c>
      <c r="CT1458">
        <f>IF(BI1458="Roundwood",$CS1458/2,$CS1458)</f>
        <v>0.23795918367346941</v>
      </c>
      <c r="CU1458">
        <f>IF($CP1458="refOK",$BU1458,$BV1458)*IF($BR1458="Emissions positive",-1,1)</f>
        <v>-223.9</v>
      </c>
      <c r="CV1458">
        <f>IF($CP1458="refOK",$BV1458,$BU1458)*IF($BR1458="Emissions positive",-1,1)</f>
        <v>-122.9</v>
      </c>
      <c r="CW1458">
        <f>IF($CP1458="refNeedCorrection",-BZ1458,BZ1458)*IF($BR1458="Emissions positive",-1,1)</f>
        <v>0.10100000000000001</v>
      </c>
      <c r="CX1458">
        <f>IFERROR($CW1458/$CS1458,"")</f>
        <v>0.42444253859348197</v>
      </c>
      <c r="CY1458">
        <f>IFERROR($CW1458/$CS1458,"")</f>
        <v>0.42444253859348197</v>
      </c>
      <c r="CZ1458">
        <f>IFERROR($CW1458/$CT1458,"")</f>
        <v>0.42444253859348197</v>
      </c>
      <c r="DA1458" s="2">
        <f>IFERROR((CV1458-CU1458)/ABS(CU1458),"")</f>
        <v>0.45109423849933006</v>
      </c>
      <c r="DB1458" s="1" t="s">
        <v>263</v>
      </c>
      <c r="DC1458" t="str">
        <f>IF(OR($DB1458="prd",$DB1458="std",$DB1458="cit"),"loc",IF(OR($DB1458="eur",$DB1458="reg",$DB1458="coy"),"reg",$DB1458))</f>
        <v>loc</v>
      </c>
      <c r="DD1458" s="296" t="s">
        <v>3098</v>
      </c>
      <c r="DG1458">
        <v>0</v>
      </c>
      <c r="DH1458" t="str">
        <f>IF(DG1458=0,"0",IF(AND(DG1458&gt;=1,DG1458&lt;=30),"1-30",IF(AND(DG1458&gt;30,DG1458&lt;=70),"31-70",IF(AND(DG1458&gt;70,DG1458&lt;=100),"71-100",IF(DG1458&gt;100,"+100")))))</f>
        <v>0</v>
      </c>
      <c r="DI1458">
        <v>0</v>
      </c>
      <c r="DJ1458">
        <v>0</v>
      </c>
      <c r="DK1458">
        <v>0</v>
      </c>
      <c r="DL1458">
        <v>1</v>
      </c>
      <c r="DN1458">
        <f>SUM(DI1458:DL1458)</f>
        <v>1</v>
      </c>
      <c r="DO1458" t="str">
        <f>IF(DN1458=1,INDEX($DI$7:$DL$7,MATCH(1,$DI1458:$DL1458,0)),"mixedProduct")</f>
        <v>TimberInput</v>
      </c>
      <c r="DP1458">
        <f>IF(DI1458=1,DP$7,0)</f>
        <v>0</v>
      </c>
      <c r="DQ1458">
        <f>IF(DJ1458=1,DQ$7,0)</f>
        <v>0</v>
      </c>
      <c r="DR1458">
        <f>IF(DK1458=1,DR$7,0)</f>
        <v>0</v>
      </c>
      <c r="DS1458" t="str">
        <f>IF(DL1458=1,DS$7,0)</f>
        <v>Timber</v>
      </c>
      <c r="DT1458">
        <v>0</v>
      </c>
      <c r="DU1458">
        <v>0</v>
      </c>
      <c r="DV1458">
        <v>0</v>
      </c>
      <c r="DW1458">
        <v>0</v>
      </c>
      <c r="DX1458">
        <v>0</v>
      </c>
      <c r="DY1458">
        <f>SUM(DT1458:DU1458)</f>
        <v>0</v>
      </c>
      <c r="DZ1458" s="143" t="str">
        <f>IF(DT1458=1,"self-calculated DF",IF(DU1458=1,"external DF used","explicit C balance"))</f>
        <v>explicit C balance</v>
      </c>
      <c r="EA1458">
        <v>0</v>
      </c>
      <c r="EB1458">
        <v>0</v>
      </c>
      <c r="EC1458">
        <v>0</v>
      </c>
      <c r="ED1458">
        <v>1</v>
      </c>
      <c r="EE1458">
        <v>0</v>
      </c>
      <c r="EF1458" s="143">
        <v>1</v>
      </c>
      <c r="EG1458">
        <v>1</v>
      </c>
      <c r="EH1458">
        <v>1</v>
      </c>
      <c r="EI1458">
        <v>0</v>
      </c>
      <c r="EJ1458">
        <v>1</v>
      </c>
      <c r="EK1458">
        <v>0</v>
      </c>
      <c r="EL1458">
        <v>0</v>
      </c>
      <c r="EM1458">
        <v>0</v>
      </c>
      <c r="EN1458" s="2">
        <v>0</v>
      </c>
      <c r="EP1458" t="str">
        <f>IF(AND(AND(AND(OR($EC1458=1,$EB1458=1),OR($EH1458=1,$EF1458=1)),SUM($EA1458:$EE1458,$EK1458)&gt;=3),SUM($EF1458:$EJ1458)&gt;=2),"Whole sector approach","")</f>
        <v/>
      </c>
      <c r="EQ1458" t="str">
        <f>IF(AND(AND(OR($EC1458=1,$EB1458=1),AND($EH1458=0,$EF1458=0)),SUM($EA1458:$EE1458,$EK1458)&gt;=4),"Ecosystem approach","")</f>
        <v/>
      </c>
      <c r="ER1458" s="2" t="str">
        <f>IF(AND(AND(AND($EC1458=0,$EB1458=0),OR($EH1458=1,$EF1458=1)),SUM($EG1458:$EJ1458)&gt;=2),"Technology approach","")</f>
        <v>Technology approach</v>
      </c>
      <c r="ES1458" t="str">
        <f>IF(AND($EC1458+$EB1458+$EE1458+$EA1458+$ED1458+$EG1458=0,$N1458="included"),"C neutral forest and HWP assumption","")</f>
        <v/>
      </c>
      <c r="ET1458" t="str">
        <f>IF(AND(AND(AND(AND($EC1458=1,$EB1458+$EA1458+$EG1458&gt;=1),$EF1458=1),$EH1458+$EI1458+$ED1458+$EE1458&gt;=2),$N1458="included"),"All C pools assumption","")</f>
        <v/>
      </c>
      <c r="EU1458" t="str">
        <f>IF(AND($ED1458+$EE1458+$EI1458+$EH1458+$EF1458=0,$N1458="included"),"In-situ only assumption","")</f>
        <v/>
      </c>
      <c r="EY1458" t="str">
        <f>IF(ISNUMBER(BW1458),IF(ABS(BW1458-[6]QC_indicators!$B$2)&gt;3*[6]QC_indicators!$C$2,"C ratio",IF(ISNUMBER(CA1458),IF(ABS(CA1458-[6]QC_indicators!$B$1)&gt;3*[6]QC_indicators!$C$1,"DF","no"))),IF(ISNUMBER(CA1458),IF(ABS(CA1458-[6]QC_indicators!$B$1)&gt;3*[6]QC_indicators!$C$1,"DF","no")))</f>
        <v>no</v>
      </c>
      <c r="FA1458" t="str">
        <f>IF(LEN($CY1458)=0,"",IF(AND($CY1458&lt;(-0.05),$ES1458="C neutral forest and HWP assumption"),"Cneutral paradox",IF(AND($CY1458&gt;0.05,$EU1458="In-situ only assumption"),"In-situ only paradox","")))</f>
        <v/>
      </c>
      <c r="FB1458" t="s">
        <v>923</v>
      </c>
      <c r="FD1458" s="260" t="s">
        <v>2948</v>
      </c>
    </row>
    <row r="1459" spans="1:160" hidden="1">
      <c r="A1459" s="1" t="s">
        <v>333</v>
      </c>
      <c r="B1459" t="s">
        <v>909</v>
      </c>
      <c r="C1459" t="s">
        <v>910</v>
      </c>
      <c r="D1459" t="s">
        <v>911</v>
      </c>
      <c r="E1459" t="s">
        <v>912</v>
      </c>
      <c r="F1459" t="s">
        <v>913</v>
      </c>
      <c r="G1459" t="s">
        <v>339</v>
      </c>
      <c r="H1459" t="s">
        <v>254</v>
      </c>
      <c r="I1459">
        <v>2021</v>
      </c>
      <c r="J1459">
        <v>0</v>
      </c>
      <c r="K1459" t="s">
        <v>914</v>
      </c>
      <c r="M1459" t="str">
        <f>LEFT($D1459,FIND(",",$D1459)-1)&amp;"_"&amp;I1459&amp;L1459</f>
        <v>Morris_2021</v>
      </c>
      <c r="N1459" t="s">
        <v>222</v>
      </c>
      <c r="O1459" t="s">
        <v>223</v>
      </c>
      <c r="Q1459" t="s">
        <v>256</v>
      </c>
      <c r="R1459" s="251" t="s">
        <v>225</v>
      </c>
      <c r="S1459" s="1" t="s">
        <v>920</v>
      </c>
      <c r="T1459" t="s">
        <v>775</v>
      </c>
      <c r="U1459" t="s">
        <v>921</v>
      </c>
      <c r="V1459" s="253">
        <v>0</v>
      </c>
      <c r="W1459" s="253">
        <v>0</v>
      </c>
      <c r="X1459">
        <v>0</v>
      </c>
      <c r="Y1459">
        <v>0</v>
      </c>
      <c r="Z1459">
        <v>0</v>
      </c>
      <c r="AA1459">
        <v>0</v>
      </c>
      <c r="AB1459">
        <v>0</v>
      </c>
      <c r="AC1459">
        <v>0</v>
      </c>
      <c r="AD1459">
        <v>0</v>
      </c>
      <c r="AE1459">
        <v>0</v>
      </c>
      <c r="AF1459">
        <v>0</v>
      </c>
      <c r="AG1459">
        <v>0</v>
      </c>
      <c r="AH1459">
        <v>0</v>
      </c>
      <c r="AI1459">
        <v>0</v>
      </c>
      <c r="AJ1459">
        <v>0</v>
      </c>
      <c r="AK1459">
        <v>0</v>
      </c>
      <c r="AL1459">
        <v>0</v>
      </c>
      <c r="AM1459">
        <v>1</v>
      </c>
      <c r="AN1459">
        <v>0</v>
      </c>
      <c r="AO1459">
        <v>0</v>
      </c>
      <c r="AP1459">
        <v>0</v>
      </c>
      <c r="AQ1459">
        <v>0</v>
      </c>
      <c r="AR1459">
        <v>0</v>
      </c>
      <c r="AS1459">
        <v>0</v>
      </c>
      <c r="AT1459">
        <v>0</v>
      </c>
      <c r="AU1459">
        <v>0</v>
      </c>
      <c r="AV1459">
        <v>0</v>
      </c>
      <c r="AW1459">
        <v>0</v>
      </c>
      <c r="AX1459">
        <v>0</v>
      </c>
      <c r="AY1459">
        <v>0</v>
      </c>
      <c r="AZ1459" s="141">
        <f>COUNTIF(X1459:AY1459,"&lt;&gt;0")</f>
        <v>1</v>
      </c>
      <c r="BA1459" s="141">
        <f>COUNTIF(X1459:AN1459,"&lt;&gt;0")</f>
        <v>1</v>
      </c>
      <c r="BB1459">
        <f>COUNTIF(X1459:AE1459,"&lt;&gt;0")</f>
        <v>0</v>
      </c>
      <c r="BC1459">
        <f>COUNTIF(AF1459:AK1459,"&lt;&gt;0")</f>
        <v>0</v>
      </c>
      <c r="BD1459">
        <f>COUNTIF(AL1459:AN1459,"&lt;&gt;0")</f>
        <v>1</v>
      </c>
      <c r="BE1459">
        <f>COUNTIF(AU1459:AY1459,"&lt;&gt;0")</f>
        <v>0</v>
      </c>
      <c r="BF1459">
        <f>COUNTIF(AO1459:AT1459,"&lt;&gt;0")</f>
        <v>0</v>
      </c>
      <c r="BG1459" t="str">
        <f t="array" ref="BG1459">IF(BA1459=1,INDEX($X$7:$AN$7,MATCH(TRUE,INDEX($X1459:$AY1459&lt;&gt;0,),0)),IF(BA1459=0,INDEX($AO$7:$AY$7,MATCH(1,$AO1459:$AY1459,0)),IF(BH1459="Multiple strategies","mixed drivers",IF(BH1459="Supply chain","multiple supply","multiple silviculture"))))</f>
        <v>technologies/design switch</v>
      </c>
      <c r="BH1459" s="2" t="str" cm="1">
        <f t="array" ref="BH1459">IF(COUNTIF(BB1459:BD1459,"&lt;&gt;0")=1,INDEX($X$4:$AY$4,MATCH(TRUE,INDEX($X1459:$AY1459&lt;&gt;0,),0)),IF(COUNTIF(BB1459:BD1459,"&lt;&gt;0")=0,INDEX($AO$4:$AY$4,MATCH(1,$AO1459:$AY1459,0)),"Multiple strategies"))</f>
        <v>Technology</v>
      </c>
      <c r="BI1459" s="1" t="s">
        <v>229</v>
      </c>
      <c r="BJ1459" t="s">
        <v>918</v>
      </c>
      <c r="BK1459" s="256" t="s">
        <v>3048</v>
      </c>
      <c r="BL1459" t="s">
        <v>345</v>
      </c>
      <c r="BM1459">
        <v>0</v>
      </c>
      <c r="BN1459">
        <v>116.6</v>
      </c>
      <c r="BP1459">
        <f>BN1459-BM1459</f>
        <v>116.6</v>
      </c>
      <c r="BQ1459">
        <f>BP1459*kg_to_m3</f>
        <v>0.23795918367346941</v>
      </c>
      <c r="BR1459" t="s">
        <v>232</v>
      </c>
      <c r="BS1459" s="256" t="s">
        <v>3054</v>
      </c>
      <c r="BT1459" t="s">
        <v>919</v>
      </c>
      <c r="BU1459">
        <v>-139.69999999999999</v>
      </c>
      <c r="BV1459">
        <v>-32.799999999999997</v>
      </c>
      <c r="BW1459" s="144">
        <f>IFERROR(BV1459/BU1459,"")</f>
        <v>0.23478883321403007</v>
      </c>
      <c r="BX1459">
        <f>BV1459-BU1459</f>
        <v>106.89999999999999</v>
      </c>
      <c r="BZ1459">
        <f>BX1459/1000</f>
        <v>0.1069</v>
      </c>
      <c r="CA1459">
        <f>IFERROR(BZ1459/BQ1459,"")</f>
        <v>0.4492367066895368</v>
      </c>
      <c r="CB1459">
        <v>1</v>
      </c>
      <c r="CC1459">
        <v>0</v>
      </c>
      <c r="CD1459">
        <v>0</v>
      </c>
      <c r="CE1459">
        <v>0</v>
      </c>
      <c r="CF1459">
        <v>0</v>
      </c>
      <c r="CG1459">
        <v>1</v>
      </c>
      <c r="CH1459">
        <v>0</v>
      </c>
      <c r="CI1459">
        <v>1</v>
      </c>
      <c r="CJ1459">
        <v>0</v>
      </c>
      <c r="CK1459">
        <v>0</v>
      </c>
      <c r="CL1459">
        <v>0</v>
      </c>
      <c r="CM1459">
        <v>0</v>
      </c>
      <c r="CN1459">
        <v>0</v>
      </c>
      <c r="CO1459">
        <v>0</v>
      </c>
      <c r="CP1459" t="str">
        <f>IF($BN1459&lt;$BM1459,"refNeedCorrection","refOK")</f>
        <v>refOK</v>
      </c>
      <c r="CQ1459">
        <f>IF($CP1459="refOK",$BM1459,$BN1459)</f>
        <v>0</v>
      </c>
      <c r="CR1459">
        <f>IF($CP1459="refOK",$BN1459,$BM1459)</f>
        <v>116.6</v>
      </c>
      <c r="CS1459">
        <f>IF($CP1459="refOK",$BQ1459,-$BQ1459)</f>
        <v>0.23795918367346941</v>
      </c>
      <c r="CT1459">
        <f>IF(BI1459="Roundwood",$CS1459/2,$CS1459)</f>
        <v>0.23795918367346941</v>
      </c>
      <c r="CU1459">
        <f>IF($CP1459="refOK",$BU1459,$BV1459)*IF($BR1459="Emissions positive",-1,1)</f>
        <v>-139.69999999999999</v>
      </c>
      <c r="CV1459">
        <f>IF($CP1459="refOK",$BV1459,$BU1459)*IF($BR1459="Emissions positive",-1,1)</f>
        <v>-32.799999999999997</v>
      </c>
      <c r="CW1459">
        <f>IF($CP1459="refNeedCorrection",-BZ1459,BZ1459)*IF($BR1459="Emissions positive",-1,1)</f>
        <v>0.1069</v>
      </c>
      <c r="CX1459">
        <f>IFERROR($CW1459/$CS1459,"")</f>
        <v>0.4492367066895368</v>
      </c>
      <c r="CY1459">
        <f>IFERROR($CW1459/$CS1459,"")</f>
        <v>0.4492367066895368</v>
      </c>
      <c r="CZ1459">
        <f>IFERROR($CW1459/$CT1459,"")</f>
        <v>0.4492367066895368</v>
      </c>
      <c r="DA1459" s="2">
        <f>IFERROR((CV1459-CU1459)/ABS(CU1459),"")</f>
        <v>0.7652111667859699</v>
      </c>
      <c r="DB1459" s="1" t="s">
        <v>263</v>
      </c>
      <c r="DC1459" t="str">
        <f>IF(OR($DB1459="prd",$DB1459="std",$DB1459="cit"),"loc",IF(OR($DB1459="eur",$DB1459="reg",$DB1459="coy"),"reg",$DB1459))</f>
        <v>loc</v>
      </c>
      <c r="DD1459" s="296" t="s">
        <v>3098</v>
      </c>
      <c r="DG1459">
        <v>0</v>
      </c>
      <c r="DH1459" t="str">
        <f>IF(DG1459=0,"0",IF(AND(DG1459&gt;=1,DG1459&lt;=30),"1-30",IF(AND(DG1459&gt;30,DG1459&lt;=70),"31-70",IF(AND(DG1459&gt;70,DG1459&lt;=100),"71-100",IF(DG1459&gt;100,"+100")))))</f>
        <v>0</v>
      </c>
      <c r="DI1459">
        <v>0</v>
      </c>
      <c r="DJ1459">
        <v>0</v>
      </c>
      <c r="DK1459">
        <v>0</v>
      </c>
      <c r="DL1459">
        <v>1</v>
      </c>
      <c r="DN1459">
        <f>SUM(DI1459:DL1459)</f>
        <v>1</v>
      </c>
      <c r="DO1459" t="str">
        <f>IF(DN1459=1,INDEX($DI$7:$DL$7,MATCH(1,$DI1459:$DL1459,0)),"mixedProduct")</f>
        <v>TimberInput</v>
      </c>
      <c r="DP1459">
        <f>IF(DI1459=1,DP$7,0)</f>
        <v>0</v>
      </c>
      <c r="DQ1459">
        <f>IF(DJ1459=1,DQ$7,0)</f>
        <v>0</v>
      </c>
      <c r="DR1459">
        <f>IF(DK1459=1,DR$7,0)</f>
        <v>0</v>
      </c>
      <c r="DS1459" t="str">
        <f>IF(DL1459=1,DS$7,0)</f>
        <v>Timber</v>
      </c>
      <c r="DT1459">
        <v>0</v>
      </c>
      <c r="DU1459">
        <v>0</v>
      </c>
      <c r="DV1459">
        <v>0</v>
      </c>
      <c r="DW1459">
        <v>0</v>
      </c>
      <c r="DX1459">
        <v>0</v>
      </c>
      <c r="DY1459">
        <f>SUM(DT1459:DU1459)</f>
        <v>0</v>
      </c>
      <c r="DZ1459" s="143" t="str">
        <f>IF(DT1459=1,"self-calculated DF",IF(DU1459=1,"external DF used","explicit C balance"))</f>
        <v>explicit C balance</v>
      </c>
      <c r="EA1459">
        <v>0</v>
      </c>
      <c r="EB1459">
        <v>0</v>
      </c>
      <c r="EC1459">
        <v>0</v>
      </c>
      <c r="ED1459">
        <v>0</v>
      </c>
      <c r="EE1459">
        <v>0</v>
      </c>
      <c r="EF1459" s="143">
        <v>0</v>
      </c>
      <c r="EG1459">
        <v>1</v>
      </c>
      <c r="EH1459">
        <v>1</v>
      </c>
      <c r="EI1459">
        <v>0</v>
      </c>
      <c r="EJ1459">
        <v>1</v>
      </c>
      <c r="EK1459">
        <v>0</v>
      </c>
      <c r="EL1459">
        <v>0</v>
      </c>
      <c r="EM1459">
        <v>0</v>
      </c>
      <c r="EN1459" s="2">
        <v>0</v>
      </c>
      <c r="EP1459" t="str">
        <f>IF(AND(AND(AND(OR($EC1459=1,$EB1459=1),OR($EH1459=1,$EF1459=1)),SUM($EA1459:$EE1459,$EK1459)&gt;=3),SUM($EF1459:$EJ1459)&gt;=2),"Whole sector approach","")</f>
        <v/>
      </c>
      <c r="EQ1459" t="str">
        <f>IF(AND(AND(OR($EC1459=1,$EB1459=1),AND($EH1459=0,$EF1459=0)),SUM($EA1459:$EE1459,$EK1459)&gt;=4),"Ecosystem approach","")</f>
        <v/>
      </c>
      <c r="ER1459" s="2" t="str">
        <f>IF(AND(AND(AND($EC1459=0,$EB1459=0),OR($EH1459=1,$EF1459=1)),SUM($EG1459:$EJ1459)&gt;=2),"Technology approach","")</f>
        <v>Technology approach</v>
      </c>
      <c r="ES1459" t="str">
        <f>IF(AND($EC1459+$EB1459+$EE1459+$EA1459+$ED1459+$EG1459=0,$N1459="included"),"C neutral forest and HWP assumption","")</f>
        <v/>
      </c>
      <c r="ET1459" t="str">
        <f>IF(AND(AND(AND(AND($EC1459=1,$EB1459+$EA1459+$EG1459&gt;=1),$EF1459=1),$EH1459+$EI1459+$ED1459+$EE1459&gt;=2),$N1459="included"),"All C pools assumption","")</f>
        <v/>
      </c>
      <c r="EU1459" t="str">
        <f>IF(AND($ED1459+$EE1459+$EI1459+$EH1459+$EF1459=0,$N1459="included"),"In-situ only assumption","")</f>
        <v/>
      </c>
      <c r="EY1459" t="str">
        <f>IF(ISNUMBER(BW1459),IF(ABS(BW1459-[6]QC_indicators!$B$2)&gt;3*[6]QC_indicators!$C$2,"C ratio",IF(ISNUMBER(CA1459),IF(ABS(CA1459-[6]QC_indicators!$B$1)&gt;3*[6]QC_indicators!$C$1,"DF","no"))),IF(ISNUMBER(CA1459),IF(ABS(CA1459-[6]QC_indicators!$B$1)&gt;3*[6]QC_indicators!$C$1,"DF","no")))</f>
        <v>no</v>
      </c>
      <c r="FA1459" t="str">
        <f>IF(LEN($CY1459)=0,"",IF(AND($CY1459&lt;(-0.05),$ES1459="C neutral forest and HWP assumption"),"Cneutral paradox",IF(AND($CY1459&gt;0.05,$EU1459="In-situ only assumption"),"In-situ only paradox","")))</f>
        <v/>
      </c>
      <c r="FB1459" s="149" t="s">
        <v>349</v>
      </c>
      <c r="FD1459" s="260" t="s">
        <v>2948</v>
      </c>
    </row>
    <row r="1460" spans="1:160" ht="15" hidden="1" customHeight="1">
      <c r="A1460" s="1" t="s">
        <v>333</v>
      </c>
      <c r="B1460" t="s">
        <v>909</v>
      </c>
      <c r="C1460" t="s">
        <v>910</v>
      </c>
      <c r="D1460" t="s">
        <v>911</v>
      </c>
      <c r="E1460" t="s">
        <v>912</v>
      </c>
      <c r="F1460" t="s">
        <v>913</v>
      </c>
      <c r="G1460" t="s">
        <v>339</v>
      </c>
      <c r="H1460" t="s">
        <v>254</v>
      </c>
      <c r="I1460">
        <v>2021</v>
      </c>
      <c r="J1460">
        <v>0</v>
      </c>
      <c r="K1460" t="s">
        <v>914</v>
      </c>
      <c r="M1460" t="str">
        <f>LEFT($D1460,FIND(",",$D1460)-1)&amp;"_"&amp;I1460&amp;L1460</f>
        <v>Morris_2021</v>
      </c>
      <c r="N1460" t="s">
        <v>222</v>
      </c>
      <c r="O1460" t="s">
        <v>223</v>
      </c>
      <c r="Q1460" t="s">
        <v>256</v>
      </c>
      <c r="R1460" s="251" t="s">
        <v>225</v>
      </c>
      <c r="S1460" s="1" t="s">
        <v>920</v>
      </c>
      <c r="T1460" t="s">
        <v>775</v>
      </c>
      <c r="U1460" t="s">
        <v>921</v>
      </c>
      <c r="V1460" s="253">
        <v>0</v>
      </c>
      <c r="W1460" s="253">
        <v>0</v>
      </c>
      <c r="X1460">
        <v>0</v>
      </c>
      <c r="Y1460">
        <v>0</v>
      </c>
      <c r="Z1460">
        <v>0</v>
      </c>
      <c r="AA1460">
        <v>0</v>
      </c>
      <c r="AB1460">
        <v>0</v>
      </c>
      <c r="AC1460">
        <v>0</v>
      </c>
      <c r="AD1460">
        <v>0</v>
      </c>
      <c r="AE1460">
        <v>0</v>
      </c>
      <c r="AF1460">
        <v>0</v>
      </c>
      <c r="AG1460">
        <v>0</v>
      </c>
      <c r="AH1460">
        <v>0</v>
      </c>
      <c r="AI1460">
        <v>0</v>
      </c>
      <c r="AJ1460">
        <v>0</v>
      </c>
      <c r="AK1460">
        <v>0</v>
      </c>
      <c r="AL1460">
        <v>0</v>
      </c>
      <c r="AM1460">
        <v>1</v>
      </c>
      <c r="AN1460">
        <v>0</v>
      </c>
      <c r="AO1460">
        <v>0</v>
      </c>
      <c r="AP1460">
        <v>0</v>
      </c>
      <c r="AQ1460">
        <v>0</v>
      </c>
      <c r="AR1460">
        <v>0</v>
      </c>
      <c r="AS1460">
        <v>0</v>
      </c>
      <c r="AT1460">
        <v>0</v>
      </c>
      <c r="AU1460">
        <v>0</v>
      </c>
      <c r="AV1460">
        <v>0</v>
      </c>
      <c r="AW1460">
        <v>0</v>
      </c>
      <c r="AX1460">
        <v>0</v>
      </c>
      <c r="AY1460">
        <v>0</v>
      </c>
      <c r="AZ1460" s="141">
        <f>COUNTIF(X1460:AY1460,"&lt;&gt;0")</f>
        <v>1</v>
      </c>
      <c r="BA1460" s="141">
        <f>COUNTIF(X1460:AN1460,"&lt;&gt;0")</f>
        <v>1</v>
      </c>
      <c r="BB1460">
        <f>COUNTIF(X1460:AE1460,"&lt;&gt;0")</f>
        <v>0</v>
      </c>
      <c r="BC1460">
        <f>COUNTIF(AF1460:AK1460,"&lt;&gt;0")</f>
        <v>0</v>
      </c>
      <c r="BD1460">
        <f>COUNTIF(AL1460:AN1460,"&lt;&gt;0")</f>
        <v>1</v>
      </c>
      <c r="BE1460">
        <f>COUNTIF(AU1460:AY1460,"&lt;&gt;0")</f>
        <v>0</v>
      </c>
      <c r="BF1460">
        <f>COUNTIF(AO1460:AT1460,"&lt;&gt;0")</f>
        <v>0</v>
      </c>
      <c r="BG1460" t="str">
        <f t="array" ref="BG1460">IF(BA1460=1,INDEX($X$7:$AN$7,MATCH(TRUE,INDEX($X1460:$AY1460&lt;&gt;0,),0)),IF(BA1460=0,INDEX($AO$7:$AY$7,MATCH(1,$AO1460:$AY1460,0)),IF(BH1460="Multiple strategies","mixed drivers",IF(BH1460="Supply chain","multiple supply","multiple silviculture"))))</f>
        <v>technologies/design switch</v>
      </c>
      <c r="BH1460" s="2" t="str" cm="1">
        <f t="array" ref="BH1460">IF(COUNTIF(BB1460:BD1460,"&lt;&gt;0")=1,INDEX($X$4:$AY$4,MATCH(TRUE,INDEX($X1460:$AY1460&lt;&gt;0,),0)),IF(COUNTIF(BB1460:BD1460,"&lt;&gt;0")=0,INDEX($AO$4:$AY$4,MATCH(1,$AO1460:$AY1460,0)),"Multiple strategies"))</f>
        <v>Technology</v>
      </c>
      <c r="BI1460" s="1" t="s">
        <v>229</v>
      </c>
      <c r="BJ1460" t="s">
        <v>918</v>
      </c>
      <c r="BK1460" s="256" t="s">
        <v>3048</v>
      </c>
      <c r="BL1460" t="s">
        <v>345</v>
      </c>
      <c r="BM1460">
        <v>0</v>
      </c>
      <c r="BN1460">
        <v>116.6</v>
      </c>
      <c r="BP1460">
        <f>BN1460-BM1460</f>
        <v>116.6</v>
      </c>
      <c r="BQ1460">
        <f>BP1460*kg_to_m3</f>
        <v>0.23795918367346941</v>
      </c>
      <c r="BR1460" t="s">
        <v>232</v>
      </c>
      <c r="BS1460" s="256" t="s">
        <v>3054</v>
      </c>
      <c r="BT1460" t="s">
        <v>919</v>
      </c>
      <c r="BU1460">
        <v>-223.4</v>
      </c>
      <c r="BV1460" s="256">
        <v>-106.1</v>
      </c>
      <c r="BW1460" s="144">
        <f>IFERROR(BV1460/BU1460,"")</f>
        <v>0.4749328558639212</v>
      </c>
      <c r="BX1460">
        <f>BV1460-BU1460</f>
        <v>117.30000000000001</v>
      </c>
      <c r="BZ1460">
        <f>BX1460/1000</f>
        <v>0.11730000000000002</v>
      </c>
      <c r="CA1460">
        <f>IFERROR(BZ1460/BQ1460,"")</f>
        <v>0.49294168096054891</v>
      </c>
      <c r="CB1460">
        <v>1</v>
      </c>
      <c r="CC1460">
        <v>0</v>
      </c>
      <c r="CD1460">
        <v>0</v>
      </c>
      <c r="CE1460">
        <v>0</v>
      </c>
      <c r="CF1460">
        <v>0</v>
      </c>
      <c r="CG1460">
        <v>1</v>
      </c>
      <c r="CH1460">
        <v>0</v>
      </c>
      <c r="CI1460">
        <v>1</v>
      </c>
      <c r="CJ1460">
        <v>0</v>
      </c>
      <c r="CK1460">
        <v>0</v>
      </c>
      <c r="CL1460">
        <v>0</v>
      </c>
      <c r="CM1460">
        <v>0</v>
      </c>
      <c r="CN1460">
        <v>0</v>
      </c>
      <c r="CO1460">
        <v>0</v>
      </c>
      <c r="CP1460" t="str">
        <f>IF($BN1460&lt;$BM1460,"refNeedCorrection","refOK")</f>
        <v>refOK</v>
      </c>
      <c r="CQ1460">
        <f>IF($CP1460="refOK",$BM1460,$BN1460)</f>
        <v>0</v>
      </c>
      <c r="CR1460">
        <f>IF($CP1460="refOK",$BN1460,$BM1460)</f>
        <v>116.6</v>
      </c>
      <c r="CS1460">
        <f>IF($CP1460="refOK",$BQ1460,-$BQ1460)</f>
        <v>0.23795918367346941</v>
      </c>
      <c r="CT1460">
        <f>IF(BI1460="Roundwood",$CS1460/2,$CS1460)</f>
        <v>0.23795918367346941</v>
      </c>
      <c r="CU1460">
        <f>IF($CP1460="refOK",$BU1460,$BV1460)*IF($BR1460="Emissions positive",-1,1)</f>
        <v>-223.4</v>
      </c>
      <c r="CV1460">
        <f>IF($CP1460="refOK",$BV1460,$BU1460)*IF($BR1460="Emissions positive",-1,1)</f>
        <v>-106.1</v>
      </c>
      <c r="CW1460">
        <f>IF($CP1460="refNeedCorrection",-BZ1460,BZ1460)*IF($BR1460="Emissions positive",-1,1)</f>
        <v>0.11730000000000002</v>
      </c>
      <c r="CX1460">
        <f>IFERROR($CW1460/$CS1460,"")</f>
        <v>0.49294168096054891</v>
      </c>
      <c r="CY1460">
        <f>IFERROR($CW1460/$CS1460,"")</f>
        <v>0.49294168096054891</v>
      </c>
      <c r="CZ1460">
        <f>IFERROR($CW1460/$CT1460,"")</f>
        <v>0.49294168096054891</v>
      </c>
      <c r="DA1460" s="2">
        <f>IFERROR((CV1460-CU1460)/ABS(CU1460),"")</f>
        <v>0.5250671441360788</v>
      </c>
      <c r="DB1460" s="1" t="s">
        <v>263</v>
      </c>
      <c r="DC1460" t="str">
        <f>IF(OR($DB1460="prd",$DB1460="std",$DB1460="cit"),"loc",IF(OR($DB1460="eur",$DB1460="reg",$DB1460="coy"),"reg",$DB1460))</f>
        <v>loc</v>
      </c>
      <c r="DD1460" s="296" t="s">
        <v>3098</v>
      </c>
      <c r="DG1460">
        <v>0</v>
      </c>
      <c r="DH1460" t="str">
        <f>IF(DG1460=0,"0",IF(AND(DG1460&gt;=1,DG1460&lt;=30),"1-30",IF(AND(DG1460&gt;30,DG1460&lt;=70),"31-70",IF(AND(DG1460&gt;70,DG1460&lt;=100),"71-100",IF(DG1460&gt;100,"+100")))))</f>
        <v>0</v>
      </c>
      <c r="DI1460">
        <v>0</v>
      </c>
      <c r="DJ1460">
        <v>0</v>
      </c>
      <c r="DK1460">
        <v>0</v>
      </c>
      <c r="DL1460">
        <v>1</v>
      </c>
      <c r="DN1460">
        <f>SUM(DI1460:DL1460)</f>
        <v>1</v>
      </c>
      <c r="DO1460" t="str">
        <f>IF(DN1460=1,INDEX($DI$7:$DL$7,MATCH(1,$DI1460:$DL1460,0)),"mixedProduct")</f>
        <v>TimberInput</v>
      </c>
      <c r="DP1460">
        <f>IF(DI1460=1,DP$7,0)</f>
        <v>0</v>
      </c>
      <c r="DQ1460">
        <f>IF(DJ1460=1,DQ$7,0)</f>
        <v>0</v>
      </c>
      <c r="DR1460">
        <f>IF(DK1460=1,DR$7,0)</f>
        <v>0</v>
      </c>
      <c r="DS1460" t="str">
        <f>IF(DL1460=1,DS$7,0)</f>
        <v>Timber</v>
      </c>
      <c r="DT1460">
        <v>0</v>
      </c>
      <c r="DU1460">
        <v>1</v>
      </c>
      <c r="DV1460">
        <v>0</v>
      </c>
      <c r="DW1460">
        <v>0</v>
      </c>
      <c r="DX1460">
        <v>0</v>
      </c>
      <c r="DY1460">
        <f>SUM(DT1460:DU1460)</f>
        <v>1</v>
      </c>
      <c r="DZ1460" s="143" t="str">
        <f>IF(DT1460=1,"self-calculated DF",IF(DU1460=1,"external DF used","explicit C balance"))</f>
        <v>external DF used</v>
      </c>
      <c r="EA1460">
        <v>0</v>
      </c>
      <c r="EB1460">
        <v>0</v>
      </c>
      <c r="EC1460">
        <v>0</v>
      </c>
      <c r="ED1460">
        <v>0</v>
      </c>
      <c r="EE1460">
        <v>0</v>
      </c>
      <c r="EF1460" s="143">
        <v>1</v>
      </c>
      <c r="EG1460">
        <v>1</v>
      </c>
      <c r="EH1460">
        <v>1</v>
      </c>
      <c r="EI1460">
        <v>0</v>
      </c>
      <c r="EJ1460">
        <v>1</v>
      </c>
      <c r="EK1460">
        <v>0</v>
      </c>
      <c r="EL1460">
        <v>0</v>
      </c>
      <c r="EM1460">
        <v>0</v>
      </c>
      <c r="EN1460" s="2">
        <v>0</v>
      </c>
      <c r="EP1460" t="str">
        <f>IF(AND(AND(AND(OR($EC1460=1,$EB1460=1),OR($EH1460=1,$EF1460=1)),SUM($EA1460:$EE1460,$EK1460)&gt;=3),SUM($EF1460:$EJ1460)&gt;=2),"Whole sector approach","")</f>
        <v/>
      </c>
      <c r="EQ1460" t="str">
        <f>IF(AND(AND(OR($EC1460=1,$EB1460=1),AND($EH1460=0,$EF1460=0)),SUM($EA1460:$EE1460,$EK1460)&gt;=4),"Ecosystem approach","")</f>
        <v/>
      </c>
      <c r="ER1460" s="2" t="str">
        <f>IF(AND(AND(AND($EC1460=0,$EB1460=0),OR($EH1460=1,$EF1460=1)),SUM($EG1460:$EJ1460)&gt;=2),"Technology approach","")</f>
        <v>Technology approach</v>
      </c>
      <c r="ES1460" t="str">
        <f>IF(AND($EC1460+$EB1460+$EE1460+$EA1460+$ED1460+$EG1460=0,$N1460="included"),"C neutral forest and HWP assumption","")</f>
        <v/>
      </c>
      <c r="ET1460" t="str">
        <f>IF(AND(AND(AND(AND($EC1460=1,$EB1460+$EA1460+$EG1460&gt;=1),$EF1460=1),$EH1460+$EI1460+$ED1460+$EE1460&gt;=2),$N1460="included"),"All C pools assumption","")</f>
        <v/>
      </c>
      <c r="EU1460" t="str">
        <f>IF(AND($ED1460+$EE1460+$EI1460+$EH1460+$EF1460=0,$N1460="included"),"In-situ only assumption","")</f>
        <v/>
      </c>
      <c r="EY1460" t="str">
        <f>IF(ISNUMBER(BW1460),IF(ABS(BW1460-[6]QC_indicators!$B$2)&gt;3*[6]QC_indicators!$C$2,"C ratio",IF(ISNUMBER(CA1460),IF(ABS(CA1460-[6]QC_indicators!$B$1)&gt;3*[6]QC_indicators!$C$1,"DF","no"))),IF(ISNUMBER(CA1460),IF(ABS(CA1460-[6]QC_indicators!$B$1)&gt;3*[6]QC_indicators!$C$1,"DF","no")))</f>
        <v>no</v>
      </c>
      <c r="FA1460" t="str">
        <f>IF(LEN($CY1460)=0,"",IF(AND($CY1460&lt;(-0.05),$ES1460="C neutral forest and HWP assumption"),"Cneutral paradox",IF(AND($CY1460&gt;0.05,$EU1460="In-situ only assumption"),"In-situ only paradox","")))</f>
        <v/>
      </c>
      <c r="FB1460" t="s">
        <v>923</v>
      </c>
      <c r="FD1460" s="260" t="s">
        <v>2948</v>
      </c>
    </row>
    <row r="1461" spans="1:160" hidden="1">
      <c r="A1461" s="1" t="s">
        <v>333</v>
      </c>
      <c r="B1461" t="s">
        <v>909</v>
      </c>
      <c r="C1461" t="s">
        <v>910</v>
      </c>
      <c r="D1461" t="s">
        <v>911</v>
      </c>
      <c r="E1461" t="s">
        <v>912</v>
      </c>
      <c r="F1461" t="s">
        <v>913</v>
      </c>
      <c r="G1461" t="s">
        <v>339</v>
      </c>
      <c r="H1461" t="s">
        <v>254</v>
      </c>
      <c r="I1461">
        <v>2021</v>
      </c>
      <c r="J1461">
        <v>0</v>
      </c>
      <c r="K1461" t="s">
        <v>914</v>
      </c>
      <c r="M1461" t="str">
        <f>LEFT($D1461,FIND(",",$D1461)-1)&amp;"_"&amp;I1461&amp;L1461</f>
        <v>Morris_2021</v>
      </c>
      <c r="N1461" t="s">
        <v>222</v>
      </c>
      <c r="O1461" t="s">
        <v>223</v>
      </c>
      <c r="Q1461" t="s">
        <v>256</v>
      </c>
      <c r="R1461" s="251" t="s">
        <v>225</v>
      </c>
      <c r="S1461" s="1" t="s">
        <v>920</v>
      </c>
      <c r="T1461" t="s">
        <v>775</v>
      </c>
      <c r="U1461" t="s">
        <v>921</v>
      </c>
      <c r="V1461" s="253">
        <v>0</v>
      </c>
      <c r="W1461" s="253">
        <v>0</v>
      </c>
      <c r="X1461">
        <v>0</v>
      </c>
      <c r="Y1461">
        <v>0</v>
      </c>
      <c r="Z1461">
        <v>0</v>
      </c>
      <c r="AA1461">
        <v>0</v>
      </c>
      <c r="AB1461">
        <v>0</v>
      </c>
      <c r="AC1461">
        <v>0</v>
      </c>
      <c r="AD1461">
        <v>0</v>
      </c>
      <c r="AE1461">
        <v>0</v>
      </c>
      <c r="AF1461">
        <v>0</v>
      </c>
      <c r="AG1461">
        <v>0</v>
      </c>
      <c r="AH1461">
        <v>0</v>
      </c>
      <c r="AI1461">
        <v>0</v>
      </c>
      <c r="AJ1461">
        <v>0</v>
      </c>
      <c r="AK1461">
        <v>0</v>
      </c>
      <c r="AL1461">
        <v>0</v>
      </c>
      <c r="AM1461">
        <v>1</v>
      </c>
      <c r="AN1461">
        <v>0</v>
      </c>
      <c r="AO1461">
        <v>0</v>
      </c>
      <c r="AP1461">
        <v>0</v>
      </c>
      <c r="AQ1461">
        <v>0</v>
      </c>
      <c r="AR1461">
        <v>0</v>
      </c>
      <c r="AS1461">
        <v>0</v>
      </c>
      <c r="AT1461">
        <v>0</v>
      </c>
      <c r="AU1461">
        <v>0</v>
      </c>
      <c r="AV1461">
        <v>0</v>
      </c>
      <c r="AW1461">
        <v>0</v>
      </c>
      <c r="AX1461">
        <v>0</v>
      </c>
      <c r="AY1461">
        <v>0</v>
      </c>
      <c r="AZ1461" s="141">
        <f>COUNTIF(X1461:AY1461,"&lt;&gt;0")</f>
        <v>1</v>
      </c>
      <c r="BA1461" s="141">
        <f>COUNTIF(X1461:AN1461,"&lt;&gt;0")</f>
        <v>1</v>
      </c>
      <c r="BB1461">
        <f>COUNTIF(X1461:AE1461,"&lt;&gt;0")</f>
        <v>0</v>
      </c>
      <c r="BC1461">
        <f>COUNTIF(AF1461:AK1461,"&lt;&gt;0")</f>
        <v>0</v>
      </c>
      <c r="BD1461">
        <f>COUNTIF(AL1461:AN1461,"&lt;&gt;0")</f>
        <v>1</v>
      </c>
      <c r="BE1461">
        <f>COUNTIF(AU1461:AY1461,"&lt;&gt;0")</f>
        <v>0</v>
      </c>
      <c r="BF1461">
        <f>COUNTIF(AO1461:AT1461,"&lt;&gt;0")</f>
        <v>0</v>
      </c>
      <c r="BG1461" t="str">
        <f t="array" ref="BG1461">IF(BA1461=1,INDEX($X$7:$AN$7,MATCH(TRUE,INDEX($X1461:$AY1461&lt;&gt;0,),0)),IF(BA1461=0,INDEX($AO$7:$AY$7,MATCH(1,$AO1461:$AY1461,0)),IF(BH1461="Multiple strategies","mixed drivers",IF(BH1461="Supply chain","multiple supply","multiple silviculture"))))</f>
        <v>technologies/design switch</v>
      </c>
      <c r="BH1461" s="2" t="str" cm="1">
        <f t="array" ref="BH1461">IF(COUNTIF(BB1461:BD1461,"&lt;&gt;0")=1,INDEX($X$4:$AY$4,MATCH(TRUE,INDEX($X1461:$AY1461&lt;&gt;0,),0)),IF(COUNTIF(BB1461:BD1461,"&lt;&gt;0")=0,INDEX($AO$4:$AY$4,MATCH(1,$AO1461:$AY1461,0)),"Multiple strategies"))</f>
        <v>Technology</v>
      </c>
      <c r="BI1461" s="1" t="s">
        <v>229</v>
      </c>
      <c r="BJ1461" t="s">
        <v>918</v>
      </c>
      <c r="BK1461" s="256" t="s">
        <v>3048</v>
      </c>
      <c r="BL1461" t="s">
        <v>345</v>
      </c>
      <c r="BM1461">
        <v>0</v>
      </c>
      <c r="BN1461">
        <v>116.6</v>
      </c>
      <c r="BP1461">
        <f>BN1461-BM1461</f>
        <v>116.6</v>
      </c>
      <c r="BQ1461">
        <f>BP1461*kg_to_m3</f>
        <v>0.23795918367346941</v>
      </c>
      <c r="BR1461" t="s">
        <v>232</v>
      </c>
      <c r="BS1461" s="256" t="s">
        <v>3055</v>
      </c>
      <c r="BT1461" t="s">
        <v>919</v>
      </c>
      <c r="BU1461">
        <v>-223.9</v>
      </c>
      <c r="BV1461">
        <v>-71.3</v>
      </c>
      <c r="BW1461" s="144">
        <f>IFERROR(BV1461/BU1461,"")</f>
        <v>0.31844573470299237</v>
      </c>
      <c r="BX1461">
        <f>BV1461-BU1461</f>
        <v>152.60000000000002</v>
      </c>
      <c r="BZ1461">
        <f>BX1461/1000</f>
        <v>0.15260000000000001</v>
      </c>
      <c r="CA1461">
        <f>IFERROR(BZ1461/BQ1461,"")</f>
        <v>0.64128644939965695</v>
      </c>
      <c r="CB1461">
        <v>1</v>
      </c>
      <c r="CC1461">
        <v>0</v>
      </c>
      <c r="CD1461">
        <v>0</v>
      </c>
      <c r="CE1461">
        <v>0</v>
      </c>
      <c r="CF1461">
        <v>0</v>
      </c>
      <c r="CG1461">
        <v>1</v>
      </c>
      <c r="CH1461">
        <v>0</v>
      </c>
      <c r="CI1461">
        <v>1</v>
      </c>
      <c r="CJ1461">
        <v>0</v>
      </c>
      <c r="CK1461">
        <v>0</v>
      </c>
      <c r="CL1461">
        <v>0</v>
      </c>
      <c r="CM1461">
        <v>0</v>
      </c>
      <c r="CN1461">
        <v>0</v>
      </c>
      <c r="CO1461">
        <v>0</v>
      </c>
      <c r="CP1461" t="str">
        <f>IF($BN1461&lt;$BM1461,"refNeedCorrection","refOK")</f>
        <v>refOK</v>
      </c>
      <c r="CQ1461">
        <f>IF($CP1461="refOK",$BM1461,$BN1461)</f>
        <v>0</v>
      </c>
      <c r="CR1461">
        <f>IF($CP1461="refOK",$BN1461,$BM1461)</f>
        <v>116.6</v>
      </c>
      <c r="CS1461">
        <f>IF($CP1461="refOK",$BQ1461,-$BQ1461)</f>
        <v>0.23795918367346941</v>
      </c>
      <c r="CT1461">
        <f>IF(BI1461="Roundwood",$CS1461/2,$CS1461)</f>
        <v>0.23795918367346941</v>
      </c>
      <c r="CU1461">
        <f>IF($CP1461="refOK",$BU1461,$BV1461)*IF($BR1461="Emissions positive",-1,1)</f>
        <v>-223.9</v>
      </c>
      <c r="CV1461">
        <f>IF($CP1461="refOK",$BV1461,$BU1461)*IF($BR1461="Emissions positive",-1,1)</f>
        <v>-71.3</v>
      </c>
      <c r="CW1461">
        <f>IF($CP1461="refNeedCorrection",-BZ1461,BZ1461)*IF($BR1461="Emissions positive",-1,1)</f>
        <v>0.15260000000000001</v>
      </c>
      <c r="CX1461">
        <f>IFERROR($CW1461/$CS1461,"")</f>
        <v>0.64128644939965695</v>
      </c>
      <c r="CY1461">
        <f>IFERROR($CW1461/$CS1461,"")</f>
        <v>0.64128644939965695</v>
      </c>
      <c r="CZ1461">
        <f>IFERROR($CW1461/$CT1461,"")</f>
        <v>0.64128644939965695</v>
      </c>
      <c r="DA1461" s="2">
        <f>IFERROR((CV1461-CU1461)/ABS(CU1461),"")</f>
        <v>0.68155426529700769</v>
      </c>
      <c r="DB1461" s="1" t="s">
        <v>263</v>
      </c>
      <c r="DC1461" t="str">
        <f>IF(OR($DB1461="prd",$DB1461="std",$DB1461="cit"),"loc",IF(OR($DB1461="eur",$DB1461="reg",$DB1461="coy"),"reg",$DB1461))</f>
        <v>loc</v>
      </c>
      <c r="DD1461" s="296" t="s">
        <v>3098</v>
      </c>
      <c r="DG1461">
        <v>0</v>
      </c>
      <c r="DH1461" t="str">
        <f>IF(DG1461=0,"0",IF(AND(DG1461&gt;=1,DG1461&lt;=30),"1-30",IF(AND(DG1461&gt;30,DG1461&lt;=70),"31-70",IF(AND(DG1461&gt;70,DG1461&lt;=100),"71-100",IF(DG1461&gt;100,"+100")))))</f>
        <v>0</v>
      </c>
      <c r="DI1461">
        <v>0</v>
      </c>
      <c r="DJ1461">
        <v>0</v>
      </c>
      <c r="DK1461">
        <v>0</v>
      </c>
      <c r="DL1461">
        <v>1</v>
      </c>
      <c r="DN1461">
        <f>SUM(DI1461:DL1461)</f>
        <v>1</v>
      </c>
      <c r="DO1461" t="str">
        <f>IF(DN1461=1,INDEX($DI$7:$DL$7,MATCH(1,$DI1461:$DL1461,0)),"mixedProduct")</f>
        <v>TimberInput</v>
      </c>
      <c r="DP1461">
        <f>IF(DI1461=1,DP$7,0)</f>
        <v>0</v>
      </c>
      <c r="DQ1461">
        <f>IF(DJ1461=1,DQ$7,0)</f>
        <v>0</v>
      </c>
      <c r="DR1461">
        <f>IF(DK1461=1,DR$7,0)</f>
        <v>0</v>
      </c>
      <c r="DS1461" t="str">
        <f>IF(DL1461=1,DS$7,0)</f>
        <v>Timber</v>
      </c>
      <c r="DT1461">
        <v>0</v>
      </c>
      <c r="DU1461">
        <v>0</v>
      </c>
      <c r="DV1461">
        <v>0</v>
      </c>
      <c r="DW1461">
        <v>0</v>
      </c>
      <c r="DX1461">
        <v>0</v>
      </c>
      <c r="DY1461">
        <f>SUM(DT1461:DU1461)</f>
        <v>0</v>
      </c>
      <c r="DZ1461" s="143" t="str">
        <f>IF(DT1461=1,"self-calculated DF",IF(DU1461=1,"external DF used","explicit C balance"))</f>
        <v>explicit C balance</v>
      </c>
      <c r="EA1461">
        <v>0</v>
      </c>
      <c r="EB1461">
        <v>0</v>
      </c>
      <c r="EC1461">
        <v>0</v>
      </c>
      <c r="ED1461">
        <v>1</v>
      </c>
      <c r="EE1461">
        <v>0</v>
      </c>
      <c r="EF1461" s="143">
        <v>1</v>
      </c>
      <c r="EG1461">
        <v>1</v>
      </c>
      <c r="EH1461">
        <v>1</v>
      </c>
      <c r="EI1461">
        <v>0</v>
      </c>
      <c r="EJ1461">
        <v>1</v>
      </c>
      <c r="EK1461">
        <v>0</v>
      </c>
      <c r="EL1461">
        <v>0</v>
      </c>
      <c r="EM1461">
        <v>0</v>
      </c>
      <c r="EN1461" s="2">
        <v>0</v>
      </c>
      <c r="EP1461" t="str">
        <f>IF(AND(AND(AND(OR($EC1461=1,$EB1461=1),OR($EH1461=1,$EF1461=1)),SUM($EA1461:$EE1461,$EK1461)&gt;=3),SUM($EF1461:$EJ1461)&gt;=2),"Whole sector approach","")</f>
        <v/>
      </c>
      <c r="EQ1461" t="str">
        <f>IF(AND(AND(OR($EC1461=1,$EB1461=1),AND($EH1461=0,$EF1461=0)),SUM($EA1461:$EE1461,$EK1461)&gt;=4),"Ecosystem approach","")</f>
        <v/>
      </c>
      <c r="ER1461" s="2" t="str">
        <f>IF(AND(AND(AND($EC1461=0,$EB1461=0),OR($EH1461=1,$EF1461=1)),SUM($EG1461:$EJ1461)&gt;=2),"Technology approach","")</f>
        <v>Technology approach</v>
      </c>
      <c r="ES1461" t="str">
        <f>IF(AND($EC1461+$EB1461+$EE1461+$EA1461+$ED1461+$EG1461=0,$N1461="included"),"C neutral forest and HWP assumption","")</f>
        <v/>
      </c>
      <c r="ET1461" t="str">
        <f>IF(AND(AND(AND(AND($EC1461=1,$EB1461+$EA1461+$EG1461&gt;=1),$EF1461=1),$EH1461+$EI1461+$ED1461+$EE1461&gt;=2),$N1461="included"),"All C pools assumption","")</f>
        <v/>
      </c>
      <c r="EU1461" t="str">
        <f>IF(AND($ED1461+$EE1461+$EI1461+$EH1461+$EF1461=0,$N1461="included"),"In-situ only assumption","")</f>
        <v/>
      </c>
      <c r="EY1461" t="str">
        <f>IF(ISNUMBER(BW1461),IF(ABS(BW1461-[6]QC_indicators!$B$2)&gt;3*[6]QC_indicators!$C$2,"C ratio",IF(ISNUMBER(CA1461),IF(ABS(CA1461-[6]QC_indicators!$B$1)&gt;3*[6]QC_indicators!$C$1,"DF","no"))),IF(ISNUMBER(CA1461),IF(ABS(CA1461-[6]QC_indicators!$B$1)&gt;3*[6]QC_indicators!$C$1,"DF","no")))</f>
        <v>no</v>
      </c>
      <c r="FA1461" t="str">
        <f>IF(LEN($CY1461)=0,"",IF(AND($CY1461&lt;(-0.05),$ES1461="C neutral forest and HWP assumption"),"Cneutral paradox",IF(AND($CY1461&gt;0.05,$EU1461="In-situ only assumption"),"In-situ only paradox","")))</f>
        <v/>
      </c>
      <c r="FB1461" t="s">
        <v>923</v>
      </c>
      <c r="FD1461" s="260" t="s">
        <v>2948</v>
      </c>
    </row>
    <row r="1462" spans="1:160" ht="15" hidden="1" customHeight="1">
      <c r="A1462" s="1" t="s">
        <v>333</v>
      </c>
      <c r="B1462" t="s">
        <v>909</v>
      </c>
      <c r="C1462" t="s">
        <v>910</v>
      </c>
      <c r="D1462" t="s">
        <v>911</v>
      </c>
      <c r="E1462" t="s">
        <v>912</v>
      </c>
      <c r="F1462" t="s">
        <v>913</v>
      </c>
      <c r="G1462" t="s">
        <v>339</v>
      </c>
      <c r="H1462" t="s">
        <v>254</v>
      </c>
      <c r="I1462">
        <v>2021</v>
      </c>
      <c r="J1462">
        <v>0</v>
      </c>
      <c r="K1462" t="s">
        <v>914</v>
      </c>
      <c r="M1462" t="str">
        <f>LEFT($D1462,FIND(",",$D1462)-1)&amp;"_"&amp;I1462&amp;L1462</f>
        <v>Morris_2021</v>
      </c>
      <c r="N1462" t="s">
        <v>222</v>
      </c>
      <c r="O1462" t="s">
        <v>223</v>
      </c>
      <c r="Q1462" t="s">
        <v>256</v>
      </c>
      <c r="R1462" s="251" t="s">
        <v>225</v>
      </c>
      <c r="S1462" s="1" t="s">
        <v>920</v>
      </c>
      <c r="T1462" t="s">
        <v>775</v>
      </c>
      <c r="U1462" t="s">
        <v>921</v>
      </c>
      <c r="V1462" s="253">
        <v>0</v>
      </c>
      <c r="W1462" s="253">
        <v>0</v>
      </c>
      <c r="X1462">
        <v>0</v>
      </c>
      <c r="Y1462">
        <v>0</v>
      </c>
      <c r="Z1462">
        <v>0</v>
      </c>
      <c r="AA1462">
        <v>0</v>
      </c>
      <c r="AB1462">
        <v>0</v>
      </c>
      <c r="AC1462">
        <v>0</v>
      </c>
      <c r="AD1462">
        <v>0</v>
      </c>
      <c r="AE1462">
        <v>0</v>
      </c>
      <c r="AF1462">
        <v>0</v>
      </c>
      <c r="AG1462">
        <v>0</v>
      </c>
      <c r="AH1462">
        <v>0</v>
      </c>
      <c r="AI1462">
        <v>0</v>
      </c>
      <c r="AJ1462">
        <v>0</v>
      </c>
      <c r="AK1462">
        <v>0</v>
      </c>
      <c r="AL1462">
        <v>0</v>
      </c>
      <c r="AM1462">
        <v>1</v>
      </c>
      <c r="AN1462">
        <v>0</v>
      </c>
      <c r="AO1462">
        <v>0</v>
      </c>
      <c r="AP1462">
        <v>0</v>
      </c>
      <c r="AQ1462">
        <v>0</v>
      </c>
      <c r="AR1462">
        <v>0</v>
      </c>
      <c r="AS1462">
        <v>0</v>
      </c>
      <c r="AT1462">
        <v>0</v>
      </c>
      <c r="AU1462">
        <v>0</v>
      </c>
      <c r="AV1462">
        <v>0</v>
      </c>
      <c r="AW1462">
        <v>0</v>
      </c>
      <c r="AX1462">
        <v>0</v>
      </c>
      <c r="AY1462">
        <v>0</v>
      </c>
      <c r="AZ1462" s="141">
        <f>COUNTIF(X1462:AY1462,"&lt;&gt;0")</f>
        <v>1</v>
      </c>
      <c r="BA1462" s="141">
        <f>COUNTIF(X1462:AN1462,"&lt;&gt;0")</f>
        <v>1</v>
      </c>
      <c r="BB1462">
        <f>COUNTIF(X1462:AE1462,"&lt;&gt;0")</f>
        <v>0</v>
      </c>
      <c r="BC1462">
        <f>COUNTIF(AF1462:AK1462,"&lt;&gt;0")</f>
        <v>0</v>
      </c>
      <c r="BD1462">
        <f>COUNTIF(AL1462:AN1462,"&lt;&gt;0")</f>
        <v>1</v>
      </c>
      <c r="BE1462">
        <f>COUNTIF(AU1462:AY1462,"&lt;&gt;0")</f>
        <v>0</v>
      </c>
      <c r="BF1462">
        <f>COUNTIF(AO1462:AT1462,"&lt;&gt;0")</f>
        <v>0</v>
      </c>
      <c r="BG1462" t="str">
        <f t="array" ref="BG1462">IF(BA1462=1,INDEX($X$7:$AN$7,MATCH(TRUE,INDEX($X1462:$AY1462&lt;&gt;0,),0)),IF(BA1462=0,INDEX($AO$7:$AY$7,MATCH(1,$AO1462:$AY1462,0)),IF(BH1462="Multiple strategies","mixed drivers",IF(BH1462="Supply chain","multiple supply","multiple silviculture"))))</f>
        <v>technologies/design switch</v>
      </c>
      <c r="BH1462" s="2" t="str" cm="1">
        <f t="array" ref="BH1462">IF(COUNTIF(BB1462:BD1462,"&lt;&gt;0")=1,INDEX($X$4:$AY$4,MATCH(TRUE,INDEX($X1462:$AY1462&lt;&gt;0,),0)),IF(COUNTIF(BB1462:BD1462,"&lt;&gt;0")=0,INDEX($AO$4:$AY$4,MATCH(1,$AO1462:$AY1462,0)),"Multiple strategies"))</f>
        <v>Technology</v>
      </c>
      <c r="BI1462" s="1" t="s">
        <v>229</v>
      </c>
      <c r="BJ1462" t="s">
        <v>918</v>
      </c>
      <c r="BK1462" s="256" t="s">
        <v>3048</v>
      </c>
      <c r="BL1462" t="s">
        <v>345</v>
      </c>
      <c r="BM1462">
        <v>0</v>
      </c>
      <c r="BN1462">
        <v>116.6</v>
      </c>
      <c r="BP1462">
        <f>BN1462-BM1462</f>
        <v>116.6</v>
      </c>
      <c r="BQ1462">
        <f>BP1462*kg_to_m3</f>
        <v>0.23795918367346941</v>
      </c>
      <c r="BR1462" t="s">
        <v>232</v>
      </c>
      <c r="BS1462" s="256" t="s">
        <v>3055</v>
      </c>
      <c r="BT1462" t="s">
        <v>919</v>
      </c>
      <c r="BU1462">
        <v>-141.19999999999999</v>
      </c>
      <c r="BV1462">
        <v>13.8</v>
      </c>
      <c r="BW1462" s="144">
        <f>IFERROR(BV1462/BU1462,"")</f>
        <v>-9.7733711048158659E-2</v>
      </c>
      <c r="BX1462">
        <f>BV1462-BU1462</f>
        <v>155</v>
      </c>
      <c r="BZ1462">
        <f>BX1462/1000</f>
        <v>0.155</v>
      </c>
      <c r="CA1462">
        <f>IFERROR(BZ1462/BQ1462,"")</f>
        <v>0.6513722126929673</v>
      </c>
      <c r="CB1462">
        <v>1</v>
      </c>
      <c r="CC1462">
        <v>0</v>
      </c>
      <c r="CD1462">
        <v>0</v>
      </c>
      <c r="CE1462">
        <v>0</v>
      </c>
      <c r="CF1462">
        <v>0</v>
      </c>
      <c r="CG1462">
        <v>1</v>
      </c>
      <c r="CH1462">
        <v>0</v>
      </c>
      <c r="CI1462">
        <v>1</v>
      </c>
      <c r="CJ1462">
        <v>0</v>
      </c>
      <c r="CK1462">
        <v>0</v>
      </c>
      <c r="CL1462">
        <v>0</v>
      </c>
      <c r="CM1462">
        <v>0</v>
      </c>
      <c r="CN1462">
        <v>0</v>
      </c>
      <c r="CO1462">
        <v>0</v>
      </c>
      <c r="CP1462" t="str">
        <f>IF($BN1462&lt;$BM1462,"refNeedCorrection","refOK")</f>
        <v>refOK</v>
      </c>
      <c r="CQ1462">
        <f>IF($CP1462="refOK",$BM1462,$BN1462)</f>
        <v>0</v>
      </c>
      <c r="CR1462">
        <f>IF($CP1462="refOK",$BN1462,$BM1462)</f>
        <v>116.6</v>
      </c>
      <c r="CS1462">
        <f>IF($CP1462="refOK",$BQ1462,-$BQ1462)</f>
        <v>0.23795918367346941</v>
      </c>
      <c r="CT1462">
        <f>IF(BI1462="Roundwood",$CS1462/2,$CS1462)</f>
        <v>0.23795918367346941</v>
      </c>
      <c r="CU1462">
        <f>IF($CP1462="refOK",$BU1462,$BV1462)*IF($BR1462="Emissions positive",-1,1)</f>
        <v>-141.19999999999999</v>
      </c>
      <c r="CV1462">
        <f>IF($CP1462="refOK",$BV1462,$BU1462)*IF($BR1462="Emissions positive",-1,1)</f>
        <v>13.8</v>
      </c>
      <c r="CW1462">
        <f>IF($CP1462="refNeedCorrection",-BZ1462,BZ1462)*IF($BR1462="Emissions positive",-1,1)</f>
        <v>0.155</v>
      </c>
      <c r="CX1462">
        <f>IFERROR($CW1462/$CS1462,"")</f>
        <v>0.6513722126929673</v>
      </c>
      <c r="CY1462">
        <f>IFERROR($CW1462/$CS1462,"")</f>
        <v>0.6513722126929673</v>
      </c>
      <c r="CZ1462">
        <f>IFERROR($CW1462/$CT1462,"")</f>
        <v>0.6513722126929673</v>
      </c>
      <c r="DA1462" s="2">
        <f>IFERROR((CV1462-CU1462)/ABS(CU1462),"")</f>
        <v>1.0977337110481586</v>
      </c>
      <c r="DB1462" s="1" t="s">
        <v>263</v>
      </c>
      <c r="DC1462" t="str">
        <f>IF(OR($DB1462="prd",$DB1462="std",$DB1462="cit"),"loc",IF(OR($DB1462="eur",$DB1462="reg",$DB1462="coy"),"reg",$DB1462))</f>
        <v>loc</v>
      </c>
      <c r="DD1462" s="296" t="s">
        <v>3098</v>
      </c>
      <c r="DG1462">
        <v>0</v>
      </c>
      <c r="DH1462" t="str">
        <f>IF(DG1462=0,"0",IF(AND(DG1462&gt;=1,DG1462&lt;=30),"1-30",IF(AND(DG1462&gt;30,DG1462&lt;=70),"31-70",IF(AND(DG1462&gt;70,DG1462&lt;=100),"71-100",IF(DG1462&gt;100,"+100")))))</f>
        <v>0</v>
      </c>
      <c r="DI1462">
        <v>0</v>
      </c>
      <c r="DJ1462">
        <v>0</v>
      </c>
      <c r="DK1462">
        <v>0</v>
      </c>
      <c r="DL1462">
        <v>1</v>
      </c>
      <c r="DN1462">
        <f>SUM(DI1462:DL1462)</f>
        <v>1</v>
      </c>
      <c r="DO1462" t="str">
        <f>IF(DN1462=1,INDEX($DI$7:$DL$7,MATCH(1,$DI1462:$DL1462,0)),"mixedProduct")</f>
        <v>TimberInput</v>
      </c>
      <c r="DP1462">
        <f>IF(DI1462=1,DP$7,0)</f>
        <v>0</v>
      </c>
      <c r="DQ1462">
        <f>IF(DJ1462=1,DQ$7,0)</f>
        <v>0</v>
      </c>
      <c r="DR1462">
        <f>IF(DK1462=1,DR$7,0)</f>
        <v>0</v>
      </c>
      <c r="DS1462" t="str">
        <f>IF(DL1462=1,DS$7,0)</f>
        <v>Timber</v>
      </c>
      <c r="DT1462">
        <v>0</v>
      </c>
      <c r="DU1462">
        <v>1</v>
      </c>
      <c r="DV1462">
        <v>0</v>
      </c>
      <c r="DW1462">
        <v>0</v>
      </c>
      <c r="DX1462">
        <v>0</v>
      </c>
      <c r="DY1462">
        <f>SUM(DT1462:DU1462)</f>
        <v>1</v>
      </c>
      <c r="DZ1462" s="143" t="str">
        <f>IF(DT1462=1,"self-calculated DF",IF(DU1462=1,"external DF used","explicit C balance"))</f>
        <v>external DF used</v>
      </c>
      <c r="EA1462">
        <v>0</v>
      </c>
      <c r="EB1462">
        <v>0</v>
      </c>
      <c r="EC1462">
        <v>0</v>
      </c>
      <c r="ED1462">
        <v>1</v>
      </c>
      <c r="EE1462">
        <v>0</v>
      </c>
      <c r="EF1462" s="143">
        <v>1</v>
      </c>
      <c r="EG1462">
        <v>1</v>
      </c>
      <c r="EH1462">
        <v>1</v>
      </c>
      <c r="EI1462">
        <v>0</v>
      </c>
      <c r="EJ1462">
        <v>1</v>
      </c>
      <c r="EK1462">
        <v>0</v>
      </c>
      <c r="EL1462">
        <v>0</v>
      </c>
      <c r="EM1462">
        <v>0</v>
      </c>
      <c r="EN1462" s="2">
        <v>0</v>
      </c>
      <c r="EP1462" t="str">
        <f>IF(AND(AND(AND(OR($EC1462=1,$EB1462=1),OR($EH1462=1,$EF1462=1)),SUM($EA1462:$EE1462,$EK1462)&gt;=3),SUM($EF1462:$EJ1462)&gt;=2),"Whole sector approach","")</f>
        <v/>
      </c>
      <c r="EQ1462" t="str">
        <f>IF(AND(AND(OR($EC1462=1,$EB1462=1),AND($EH1462=0,$EF1462=0)),SUM($EA1462:$EE1462,$EK1462)&gt;=4),"Ecosystem approach","")</f>
        <v/>
      </c>
      <c r="ER1462" s="2" t="str">
        <f>IF(AND(AND(AND($EC1462=0,$EB1462=0),OR($EH1462=1,$EF1462=1)),SUM($EG1462:$EJ1462)&gt;=2),"Technology approach","")</f>
        <v>Technology approach</v>
      </c>
      <c r="ES1462" t="str">
        <f>IF(AND($EC1462+$EB1462+$EE1462+$EA1462+$ED1462+$EG1462=0,$N1462="included"),"C neutral forest and HWP assumption","")</f>
        <v/>
      </c>
      <c r="ET1462" t="str">
        <f>IF(AND(AND(AND(AND($EC1462=1,$EB1462+$EA1462+$EG1462&gt;=1),$EF1462=1),$EH1462+$EI1462+$ED1462+$EE1462&gt;=2),$N1462="included"),"All C pools assumption","")</f>
        <v/>
      </c>
      <c r="EU1462" t="str">
        <f>IF(AND($ED1462+$EE1462+$EI1462+$EH1462+$EF1462=0,$N1462="included"),"In-situ only assumption","")</f>
        <v/>
      </c>
      <c r="EY1462" t="str">
        <f>IF(ISNUMBER(BW1462),IF(ABS(BW1462-[6]QC_indicators!$B$2)&gt;3*[6]QC_indicators!$C$2,"C ratio",IF(ISNUMBER(CA1462),IF(ABS(CA1462-[6]QC_indicators!$B$1)&gt;3*[6]QC_indicators!$C$1,"DF","no"))),IF(ISNUMBER(CA1462),IF(ABS(CA1462-[6]QC_indicators!$B$1)&gt;3*[6]QC_indicators!$C$1,"DF","no")))</f>
        <v>no</v>
      </c>
      <c r="FA1462" t="str">
        <f>IF(LEN($CY1462)=0,"",IF(AND($CY1462&lt;(-0.05),$ES1462="C neutral forest and HWP assumption"),"Cneutral paradox",IF(AND($CY1462&gt;0.05,$EU1462="In-situ only assumption"),"In-situ only paradox","")))</f>
        <v/>
      </c>
      <c r="FB1462" s="149" t="s">
        <v>349</v>
      </c>
      <c r="FD1462" s="260" t="s">
        <v>2948</v>
      </c>
    </row>
    <row r="1463" spans="1:160" hidden="1">
      <c r="A1463" s="1" t="s">
        <v>333</v>
      </c>
      <c r="B1463" t="s">
        <v>909</v>
      </c>
      <c r="C1463" t="s">
        <v>910</v>
      </c>
      <c r="D1463" t="s">
        <v>911</v>
      </c>
      <c r="E1463" t="s">
        <v>912</v>
      </c>
      <c r="F1463" t="s">
        <v>913</v>
      </c>
      <c r="G1463" t="s">
        <v>339</v>
      </c>
      <c r="H1463" t="s">
        <v>254</v>
      </c>
      <c r="I1463">
        <v>2021</v>
      </c>
      <c r="J1463">
        <v>0</v>
      </c>
      <c r="K1463" t="s">
        <v>914</v>
      </c>
      <c r="M1463" t="str">
        <f>LEFT($D1463,FIND(",",$D1463)-1)&amp;"_"&amp;I1463&amp;L1463</f>
        <v>Morris_2021</v>
      </c>
      <c r="N1463" t="s">
        <v>222</v>
      </c>
      <c r="O1463" t="s">
        <v>223</v>
      </c>
      <c r="Q1463" t="s">
        <v>256</v>
      </c>
      <c r="R1463" s="251" t="s">
        <v>225</v>
      </c>
      <c r="S1463" s="1" t="s">
        <v>920</v>
      </c>
      <c r="T1463" t="s">
        <v>775</v>
      </c>
      <c r="U1463" t="s">
        <v>921</v>
      </c>
      <c r="V1463" s="253">
        <v>0</v>
      </c>
      <c r="W1463" s="253">
        <v>0</v>
      </c>
      <c r="X1463">
        <v>0</v>
      </c>
      <c r="Y1463">
        <v>0</v>
      </c>
      <c r="Z1463">
        <v>0</v>
      </c>
      <c r="AA1463">
        <v>0</v>
      </c>
      <c r="AB1463">
        <v>0</v>
      </c>
      <c r="AC1463">
        <v>0</v>
      </c>
      <c r="AD1463">
        <v>0</v>
      </c>
      <c r="AE1463">
        <v>0</v>
      </c>
      <c r="AF1463">
        <v>0</v>
      </c>
      <c r="AG1463">
        <v>0</v>
      </c>
      <c r="AH1463">
        <v>0</v>
      </c>
      <c r="AI1463">
        <v>0</v>
      </c>
      <c r="AJ1463">
        <v>0</v>
      </c>
      <c r="AK1463">
        <v>0</v>
      </c>
      <c r="AL1463">
        <v>0</v>
      </c>
      <c r="AM1463">
        <v>1</v>
      </c>
      <c r="AN1463">
        <v>0</v>
      </c>
      <c r="AO1463">
        <v>0</v>
      </c>
      <c r="AP1463">
        <v>0</v>
      </c>
      <c r="AQ1463">
        <v>0</v>
      </c>
      <c r="AR1463">
        <v>0</v>
      </c>
      <c r="AS1463">
        <v>0</v>
      </c>
      <c r="AT1463">
        <v>0</v>
      </c>
      <c r="AU1463">
        <v>0</v>
      </c>
      <c r="AV1463">
        <v>0</v>
      </c>
      <c r="AW1463">
        <v>0</v>
      </c>
      <c r="AX1463">
        <v>0</v>
      </c>
      <c r="AY1463">
        <v>0</v>
      </c>
      <c r="AZ1463" s="141">
        <f>COUNTIF(X1463:AY1463,"&lt;&gt;0")</f>
        <v>1</v>
      </c>
      <c r="BA1463" s="141">
        <f>COUNTIF(X1463:AN1463,"&lt;&gt;0")</f>
        <v>1</v>
      </c>
      <c r="BB1463">
        <f>COUNTIF(X1463:AE1463,"&lt;&gt;0")</f>
        <v>0</v>
      </c>
      <c r="BC1463">
        <f>COUNTIF(AF1463:AK1463,"&lt;&gt;0")</f>
        <v>0</v>
      </c>
      <c r="BD1463">
        <f>COUNTIF(AL1463:AN1463,"&lt;&gt;0")</f>
        <v>1</v>
      </c>
      <c r="BE1463">
        <f>COUNTIF(AU1463:AY1463,"&lt;&gt;0")</f>
        <v>0</v>
      </c>
      <c r="BF1463">
        <f>COUNTIF(AO1463:AT1463,"&lt;&gt;0")</f>
        <v>0</v>
      </c>
      <c r="BG1463" t="str">
        <f t="array" ref="BG1463">IF(BA1463=1,INDEX($X$7:$AN$7,MATCH(TRUE,INDEX($X1463:$AY1463&lt;&gt;0,),0)),IF(BA1463=0,INDEX($AO$7:$AY$7,MATCH(1,$AO1463:$AY1463,0)),IF(BH1463="Multiple strategies","mixed drivers",IF(BH1463="Supply chain","multiple supply","multiple silviculture"))))</f>
        <v>technologies/design switch</v>
      </c>
      <c r="BH1463" s="2" t="str" cm="1">
        <f t="array" ref="BH1463">IF(COUNTIF(BB1463:BD1463,"&lt;&gt;0")=1,INDEX($X$4:$AY$4,MATCH(TRUE,INDEX($X1463:$AY1463&lt;&gt;0,),0)),IF(COUNTIF(BB1463:BD1463,"&lt;&gt;0")=0,INDEX($AO$4:$AY$4,MATCH(1,$AO1463:$AY1463,0)),"Multiple strategies"))</f>
        <v>Technology</v>
      </c>
      <c r="BI1463" s="1" t="s">
        <v>229</v>
      </c>
      <c r="BJ1463" t="s">
        <v>918</v>
      </c>
      <c r="BK1463" s="256" t="s">
        <v>3048</v>
      </c>
      <c r="BL1463" t="s">
        <v>345</v>
      </c>
      <c r="BM1463">
        <v>0</v>
      </c>
      <c r="BN1463">
        <v>116.6</v>
      </c>
      <c r="BP1463">
        <f>BN1463-BM1463</f>
        <v>116.6</v>
      </c>
      <c r="BQ1463">
        <f>BP1463*kg_to_m3</f>
        <v>0.23795918367346941</v>
      </c>
      <c r="BR1463" t="s">
        <v>232</v>
      </c>
      <c r="BS1463" s="256" t="s">
        <v>3054</v>
      </c>
      <c r="BT1463" t="s">
        <v>919</v>
      </c>
      <c r="BU1463">
        <v>-223.4</v>
      </c>
      <c r="BV1463">
        <v>-67.400000000000006</v>
      </c>
      <c r="BW1463" s="144">
        <f>IFERROR(BV1463/BU1463,"")</f>
        <v>0.30170098478066248</v>
      </c>
      <c r="BX1463">
        <f>BV1463-BU1463</f>
        <v>156</v>
      </c>
      <c r="BZ1463">
        <f>BX1463/1000</f>
        <v>0.156</v>
      </c>
      <c r="CA1463">
        <f>IFERROR(BZ1463/BQ1463,"")</f>
        <v>0.65557461406518003</v>
      </c>
      <c r="CB1463">
        <v>1</v>
      </c>
      <c r="CC1463">
        <v>0</v>
      </c>
      <c r="CD1463">
        <v>0</v>
      </c>
      <c r="CE1463">
        <v>0</v>
      </c>
      <c r="CF1463">
        <v>0</v>
      </c>
      <c r="CG1463">
        <v>1</v>
      </c>
      <c r="CH1463">
        <v>0</v>
      </c>
      <c r="CI1463">
        <v>1</v>
      </c>
      <c r="CJ1463">
        <v>0</v>
      </c>
      <c r="CK1463">
        <v>0</v>
      </c>
      <c r="CL1463">
        <v>0</v>
      </c>
      <c r="CM1463">
        <v>0</v>
      </c>
      <c r="CN1463">
        <v>0</v>
      </c>
      <c r="CO1463">
        <v>0</v>
      </c>
      <c r="CP1463" t="str">
        <f>IF($BN1463&lt;$BM1463,"refNeedCorrection","refOK")</f>
        <v>refOK</v>
      </c>
      <c r="CQ1463">
        <f>IF($CP1463="refOK",$BM1463,$BN1463)</f>
        <v>0</v>
      </c>
      <c r="CR1463">
        <f>IF($CP1463="refOK",$BN1463,$BM1463)</f>
        <v>116.6</v>
      </c>
      <c r="CS1463">
        <f>IF($CP1463="refOK",$BQ1463,-$BQ1463)</f>
        <v>0.23795918367346941</v>
      </c>
      <c r="CT1463">
        <f>IF(BI1463="Roundwood",$CS1463/2,$CS1463)</f>
        <v>0.23795918367346941</v>
      </c>
      <c r="CU1463">
        <f>IF($CP1463="refOK",$BU1463,$BV1463)*IF($BR1463="Emissions positive",-1,1)</f>
        <v>-223.4</v>
      </c>
      <c r="CV1463">
        <f>IF($CP1463="refOK",$BV1463,$BU1463)*IF($BR1463="Emissions positive",-1,1)</f>
        <v>-67.400000000000006</v>
      </c>
      <c r="CW1463">
        <f>IF($CP1463="refNeedCorrection",-BZ1463,BZ1463)*IF($BR1463="Emissions positive",-1,1)</f>
        <v>0.156</v>
      </c>
      <c r="CX1463">
        <f>IFERROR($CW1463/$CS1463,"")</f>
        <v>0.65557461406518003</v>
      </c>
      <c r="CY1463">
        <f>IFERROR($CW1463/$CS1463,"")</f>
        <v>0.65557461406518003</v>
      </c>
      <c r="CZ1463">
        <f>IFERROR($CW1463/$CT1463,"")</f>
        <v>0.65557461406518003</v>
      </c>
      <c r="DA1463" s="2">
        <f>IFERROR((CV1463-CU1463)/ABS(CU1463),"")</f>
        <v>0.69829901521933746</v>
      </c>
      <c r="DB1463" s="1" t="s">
        <v>263</v>
      </c>
      <c r="DC1463" t="str">
        <f>IF(OR($DB1463="prd",$DB1463="std",$DB1463="cit"),"loc",IF(OR($DB1463="eur",$DB1463="reg",$DB1463="coy"),"reg",$DB1463))</f>
        <v>loc</v>
      </c>
      <c r="DD1463" s="296" t="s">
        <v>3098</v>
      </c>
      <c r="DG1463">
        <v>0</v>
      </c>
      <c r="DH1463" t="str">
        <f>IF(DG1463=0,"0",IF(AND(DG1463&gt;=1,DG1463&lt;=30),"1-30",IF(AND(DG1463&gt;30,DG1463&lt;=70),"31-70",IF(AND(DG1463&gt;70,DG1463&lt;=100),"71-100",IF(DG1463&gt;100,"+100")))))</f>
        <v>0</v>
      </c>
      <c r="DI1463">
        <v>0</v>
      </c>
      <c r="DJ1463">
        <v>0</v>
      </c>
      <c r="DK1463">
        <v>0</v>
      </c>
      <c r="DL1463">
        <v>1</v>
      </c>
      <c r="DN1463">
        <f>SUM(DI1463:DL1463)</f>
        <v>1</v>
      </c>
      <c r="DO1463" t="str">
        <f>IF(DN1463=1,INDEX($DI$7:$DL$7,MATCH(1,$DI1463:$DL1463,0)),"mixedProduct")</f>
        <v>TimberInput</v>
      </c>
      <c r="DP1463">
        <f>IF(DI1463=1,DP$7,0)</f>
        <v>0</v>
      </c>
      <c r="DQ1463">
        <f>IF(DJ1463=1,DQ$7,0)</f>
        <v>0</v>
      </c>
      <c r="DR1463">
        <f>IF(DK1463=1,DR$7,0)</f>
        <v>0</v>
      </c>
      <c r="DS1463" t="str">
        <f>IF(DL1463=1,DS$7,0)</f>
        <v>Timber</v>
      </c>
      <c r="DT1463">
        <v>0</v>
      </c>
      <c r="DU1463">
        <v>1</v>
      </c>
      <c r="DV1463">
        <v>0</v>
      </c>
      <c r="DW1463">
        <v>0</v>
      </c>
      <c r="DX1463">
        <v>0</v>
      </c>
      <c r="DY1463">
        <f>SUM(DT1463:DU1463)</f>
        <v>1</v>
      </c>
      <c r="DZ1463" s="143" t="str">
        <f>IF(DT1463=1,"self-calculated DF",IF(DU1463=1,"external DF used","explicit C balance"))</f>
        <v>external DF used</v>
      </c>
      <c r="EA1463">
        <v>0</v>
      </c>
      <c r="EB1463">
        <v>0</v>
      </c>
      <c r="EC1463">
        <v>0</v>
      </c>
      <c r="ED1463">
        <v>0</v>
      </c>
      <c r="EE1463">
        <v>0</v>
      </c>
      <c r="EF1463" s="143">
        <v>1</v>
      </c>
      <c r="EG1463">
        <v>1</v>
      </c>
      <c r="EH1463">
        <v>1</v>
      </c>
      <c r="EI1463">
        <v>0</v>
      </c>
      <c r="EJ1463">
        <v>1</v>
      </c>
      <c r="EK1463">
        <v>0</v>
      </c>
      <c r="EL1463">
        <v>0</v>
      </c>
      <c r="EM1463">
        <v>0</v>
      </c>
      <c r="EN1463" s="2">
        <v>0</v>
      </c>
      <c r="EP1463" t="str">
        <f>IF(AND(AND(AND(OR($EC1463=1,$EB1463=1),OR($EH1463=1,$EF1463=1)),SUM($EA1463:$EE1463,$EK1463)&gt;=3),SUM($EF1463:$EJ1463)&gt;=2),"Whole sector approach","")</f>
        <v/>
      </c>
      <c r="EQ1463" t="str">
        <f>IF(AND(AND(OR($EC1463=1,$EB1463=1),AND($EH1463=0,$EF1463=0)),SUM($EA1463:$EE1463,$EK1463)&gt;=4),"Ecosystem approach","")</f>
        <v/>
      </c>
      <c r="ER1463" s="2" t="str">
        <f>IF(AND(AND(AND($EC1463=0,$EB1463=0),OR($EH1463=1,$EF1463=1)),SUM($EG1463:$EJ1463)&gt;=2),"Technology approach","")</f>
        <v>Technology approach</v>
      </c>
      <c r="ES1463" t="str">
        <f>IF(AND($EC1463+$EB1463+$EE1463+$EA1463+$ED1463+$EG1463=0,$N1463="included"),"C neutral forest and HWP assumption","")</f>
        <v/>
      </c>
      <c r="ET1463" t="str">
        <f>IF(AND(AND(AND(AND($EC1463=1,$EB1463+$EA1463+$EG1463&gt;=1),$EF1463=1),$EH1463+$EI1463+$ED1463+$EE1463&gt;=2),$N1463="included"),"All C pools assumption","")</f>
        <v/>
      </c>
      <c r="EU1463" t="str">
        <f>IF(AND($ED1463+$EE1463+$EI1463+$EH1463+$EF1463=0,$N1463="included"),"In-situ only assumption","")</f>
        <v/>
      </c>
      <c r="EY1463" t="str">
        <f>IF(ISNUMBER(BW1463),IF(ABS(BW1463-[6]QC_indicators!$B$2)&gt;3*[6]QC_indicators!$C$2,"C ratio",IF(ISNUMBER(CA1463),IF(ABS(CA1463-[6]QC_indicators!$B$1)&gt;3*[6]QC_indicators!$C$1,"DF","no"))),IF(ISNUMBER(CA1463),IF(ABS(CA1463-[6]QC_indicators!$B$1)&gt;3*[6]QC_indicators!$C$1,"DF","no")))</f>
        <v>no</v>
      </c>
      <c r="FA1463" t="str">
        <f>IF(LEN($CY1463)=0,"",IF(AND($CY1463&lt;(-0.05),$ES1463="C neutral forest and HWP assumption"),"Cneutral paradox",IF(AND($CY1463&gt;0.05,$EU1463="In-situ only assumption"),"In-situ only paradox","")))</f>
        <v/>
      </c>
      <c r="FB1463" t="s">
        <v>923</v>
      </c>
      <c r="FD1463" s="260" t="s">
        <v>2948</v>
      </c>
    </row>
    <row r="1464" spans="1:160" ht="15" hidden="1" customHeight="1">
      <c r="A1464" s="1" t="s">
        <v>333</v>
      </c>
      <c r="B1464" t="s">
        <v>909</v>
      </c>
      <c r="C1464" t="s">
        <v>910</v>
      </c>
      <c r="D1464" t="s">
        <v>911</v>
      </c>
      <c r="E1464" t="s">
        <v>912</v>
      </c>
      <c r="F1464" t="s">
        <v>913</v>
      </c>
      <c r="G1464" t="s">
        <v>339</v>
      </c>
      <c r="H1464" t="s">
        <v>254</v>
      </c>
      <c r="I1464">
        <v>2021</v>
      </c>
      <c r="J1464">
        <v>0</v>
      </c>
      <c r="K1464" t="s">
        <v>914</v>
      </c>
      <c r="M1464" t="str">
        <f>LEFT($D1464,FIND(",",$D1464)-1)&amp;"_"&amp;I1464&amp;L1464</f>
        <v>Morris_2021</v>
      </c>
      <c r="N1464" t="s">
        <v>222</v>
      </c>
      <c r="O1464" t="s">
        <v>223</v>
      </c>
      <c r="Q1464" t="s">
        <v>256</v>
      </c>
      <c r="R1464" s="251" t="s">
        <v>225</v>
      </c>
      <c r="S1464" s="1" t="s">
        <v>915</v>
      </c>
      <c r="T1464" t="s">
        <v>916</v>
      </c>
      <c r="U1464" s="143" t="s">
        <v>99</v>
      </c>
      <c r="V1464" s="253">
        <v>0</v>
      </c>
      <c r="W1464" s="253">
        <v>0</v>
      </c>
      <c r="X1464">
        <v>0</v>
      </c>
      <c r="Y1464">
        <v>0</v>
      </c>
      <c r="Z1464">
        <v>0</v>
      </c>
      <c r="AA1464">
        <v>0</v>
      </c>
      <c r="AB1464">
        <v>0</v>
      </c>
      <c r="AC1464">
        <v>0</v>
      </c>
      <c r="AD1464">
        <v>0</v>
      </c>
      <c r="AE1464">
        <v>0</v>
      </c>
      <c r="AF1464">
        <v>0</v>
      </c>
      <c r="AG1464">
        <v>0</v>
      </c>
      <c r="AH1464">
        <v>0</v>
      </c>
      <c r="AI1464">
        <v>0</v>
      </c>
      <c r="AJ1464">
        <v>1</v>
      </c>
      <c r="AK1464">
        <v>0</v>
      </c>
      <c r="AL1464">
        <v>0</v>
      </c>
      <c r="AM1464">
        <v>0</v>
      </c>
      <c r="AN1464">
        <v>0</v>
      </c>
      <c r="AO1464">
        <v>0</v>
      </c>
      <c r="AP1464">
        <v>0</v>
      </c>
      <c r="AQ1464">
        <v>0</v>
      </c>
      <c r="AR1464">
        <v>0</v>
      </c>
      <c r="AS1464">
        <v>0</v>
      </c>
      <c r="AT1464">
        <v>0</v>
      </c>
      <c r="AU1464">
        <v>0</v>
      </c>
      <c r="AV1464">
        <v>0</v>
      </c>
      <c r="AW1464">
        <v>0</v>
      </c>
      <c r="AX1464">
        <v>0</v>
      </c>
      <c r="AY1464">
        <v>0</v>
      </c>
      <c r="AZ1464" s="141">
        <f>COUNTIF(X1464:AY1464,"&lt;&gt;0")</f>
        <v>1</v>
      </c>
      <c r="BA1464" s="141">
        <f>COUNTIF(X1464:AN1464,"&lt;&gt;0")</f>
        <v>1</v>
      </c>
      <c r="BB1464">
        <f>COUNTIF(X1464:AE1464,"&lt;&gt;0")</f>
        <v>0</v>
      </c>
      <c r="BC1464">
        <f>COUNTIF(AF1464:AK1464,"&lt;&gt;0")</f>
        <v>1</v>
      </c>
      <c r="BD1464">
        <f>COUNTIF(AL1464:AN1464,"&lt;&gt;0")</f>
        <v>0</v>
      </c>
      <c r="BE1464">
        <f>COUNTIF(AU1464:AY1464,"&lt;&gt;0")</f>
        <v>0</v>
      </c>
      <c r="BF1464">
        <f>COUNTIF(AO1464:AT1464,"&lt;&gt;0")</f>
        <v>0</v>
      </c>
      <c r="BG1464" t="str">
        <f t="array" ref="BG1464">IF(BA1464=1,INDEX($X$7:$AN$7,MATCH(TRUE,INDEX($X1464:$AY1464&lt;&gt;0,),0)),IF(BA1464=0,INDEX($AO$7:$AY$7,MATCH(1,$AO1464:$AY1464,0)),IF(BH1464="Multiple strategies","mixed drivers",IF(BH1464="Supply chain","multiple supply","multiple silviculture"))))</f>
        <v xml:space="preserve">end of life disposal </v>
      </c>
      <c r="BH1464" s="2" t="str" cm="1">
        <f t="array" ref="BH1464">IF(COUNTIF(BB1464:BD1464,"&lt;&gt;0")=1,INDEX($X$4:$AY$4,MATCH(TRUE,INDEX($X1464:$AY1464&lt;&gt;0,),0)),IF(COUNTIF(BB1464:BD1464,"&lt;&gt;0")=0,INDEX($AO$4:$AY$4,MATCH(1,$AO1464:$AY1464,0)),"Multiple strategies"))</f>
        <v>Supply chain</v>
      </c>
      <c r="BI1464" s="1" t="s">
        <v>229</v>
      </c>
      <c r="BJ1464" t="s">
        <v>918</v>
      </c>
      <c r="BK1464" s="256" t="s">
        <v>3048</v>
      </c>
      <c r="BL1464" t="s">
        <v>345</v>
      </c>
      <c r="BM1464">
        <v>116.6</v>
      </c>
      <c r="BN1464">
        <v>116.6</v>
      </c>
      <c r="BO1464" s="143"/>
      <c r="BP1464">
        <f>BN1464-BM1464</f>
        <v>0</v>
      </c>
      <c r="BQ1464">
        <f>BP1464*kg_to_m3</f>
        <v>0</v>
      </c>
      <c r="BR1464" t="s">
        <v>232</v>
      </c>
      <c r="BS1464" s="256" t="s">
        <v>3049</v>
      </c>
      <c r="BT1464" t="s">
        <v>919</v>
      </c>
      <c r="BU1464" s="143">
        <v>-179.7</v>
      </c>
      <c r="BV1464">
        <v>-122.9</v>
      </c>
      <c r="BW1464" s="144">
        <f>IFERROR(BV1464/BU1464,"")</f>
        <v>0.68391764051196446</v>
      </c>
      <c r="BX1464">
        <f>BV1464-BU1464</f>
        <v>56.799999999999983</v>
      </c>
      <c r="BZ1464">
        <f>BX1464/1000</f>
        <v>5.6799999999999982E-2</v>
      </c>
      <c r="CA1464" t="str">
        <f>IFERROR(BZ1464/BQ1464,"")</f>
        <v/>
      </c>
      <c r="CB1464">
        <v>1</v>
      </c>
      <c r="CC1464">
        <v>0</v>
      </c>
      <c r="CD1464">
        <v>0</v>
      </c>
      <c r="CE1464">
        <v>0</v>
      </c>
      <c r="CF1464">
        <v>0</v>
      </c>
      <c r="CG1464">
        <v>1</v>
      </c>
      <c r="CH1464">
        <v>0</v>
      </c>
      <c r="CI1464">
        <v>1</v>
      </c>
      <c r="CJ1464">
        <v>0</v>
      </c>
      <c r="CK1464">
        <v>0</v>
      </c>
      <c r="CL1464">
        <v>0</v>
      </c>
      <c r="CM1464">
        <v>0</v>
      </c>
      <c r="CN1464">
        <v>0</v>
      </c>
      <c r="CO1464">
        <v>0</v>
      </c>
      <c r="CP1464" t="str">
        <f>IF($BN1464&lt;$BM1464,"refNeedCorrection","refOK")</f>
        <v>refOK</v>
      </c>
      <c r="CQ1464">
        <f>IF($CP1464="refOK",$BM1464,$BN1464)</f>
        <v>116.6</v>
      </c>
      <c r="CR1464">
        <f>IF($CP1464="refOK",$BN1464,$BM1464)</f>
        <v>116.6</v>
      </c>
      <c r="CS1464">
        <f>IF($CP1464="refOK",$BQ1464,-$BQ1464)</f>
        <v>0</v>
      </c>
      <c r="CT1464">
        <f>IF(BI1464="Roundwood",$CS1464/2,$CS1464)</f>
        <v>0</v>
      </c>
      <c r="CU1464">
        <f>IF($CP1464="refOK",$BU1464,$BV1464)*IF($BR1464="Emissions positive",-1,1)</f>
        <v>-179.7</v>
      </c>
      <c r="CV1464">
        <f>IF($CP1464="refOK",$BV1464,$BU1464)*IF($BR1464="Emissions positive",-1,1)</f>
        <v>-122.9</v>
      </c>
      <c r="CW1464">
        <f>IF($CP1464="refNeedCorrection",-BZ1464,BZ1464)*IF($BR1464="Emissions positive",-1,1)</f>
        <v>5.6799999999999982E-2</v>
      </c>
      <c r="CX1464" t="str">
        <f>IFERROR($CW1464/$CS1464,"")</f>
        <v/>
      </c>
      <c r="CY1464" t="str">
        <f>IFERROR($CW1464/$CS1464,"")</f>
        <v/>
      </c>
      <c r="CZ1464" t="str">
        <f>IFERROR($CW1464/$CT1464,"")</f>
        <v/>
      </c>
      <c r="DA1464" s="2">
        <f>IFERROR((CV1464-CU1464)/ABS(CU1464),"")</f>
        <v>0.31608235948803554</v>
      </c>
      <c r="DB1464" s="1" t="s">
        <v>263</v>
      </c>
      <c r="DC1464" t="str">
        <f>IF(OR($DB1464="prd",$DB1464="std",$DB1464="cit"),"loc",IF(OR($DB1464="eur",$DB1464="reg",$DB1464="coy"),"reg",$DB1464))</f>
        <v>loc</v>
      </c>
      <c r="DD1464" s="296" t="s">
        <v>3098</v>
      </c>
      <c r="DG1464">
        <v>0</v>
      </c>
      <c r="DH1464" t="str">
        <f>IF(DG1464=0,"0",IF(AND(DG1464&gt;=1,DG1464&lt;=30),"1-30",IF(AND(DG1464&gt;30,DG1464&lt;=70),"31-70",IF(AND(DG1464&gt;70,DG1464&lt;=100),"71-100",IF(DG1464&gt;100,"+100")))))</f>
        <v>0</v>
      </c>
      <c r="DI1464">
        <v>0</v>
      </c>
      <c r="DJ1464">
        <v>0</v>
      </c>
      <c r="DK1464">
        <v>0</v>
      </c>
      <c r="DL1464">
        <v>1</v>
      </c>
      <c r="DN1464">
        <f>SUM(DI1464:DL1464)</f>
        <v>1</v>
      </c>
      <c r="DO1464" t="str">
        <f>IF(DN1464=1,INDEX($DI$7:$DL$7,MATCH(1,$DI1464:$DL1464,0)),"mixedProduct")</f>
        <v>TimberInput</v>
      </c>
      <c r="DP1464">
        <f>IF(DI1464=1,DP$7,0)</f>
        <v>0</v>
      </c>
      <c r="DQ1464">
        <f>IF(DJ1464=1,DQ$7,0)</f>
        <v>0</v>
      </c>
      <c r="DR1464">
        <f>IF(DK1464=1,DR$7,0)</f>
        <v>0</v>
      </c>
      <c r="DS1464" t="str">
        <f>IF(DL1464=1,DS$7,0)</f>
        <v>Timber</v>
      </c>
      <c r="DT1464">
        <v>0</v>
      </c>
      <c r="DU1464">
        <v>0</v>
      </c>
      <c r="DV1464">
        <v>0</v>
      </c>
      <c r="DW1464">
        <v>0</v>
      </c>
      <c r="DX1464">
        <v>0</v>
      </c>
      <c r="DY1464">
        <f>SUM(DT1464:DU1464)</f>
        <v>0</v>
      </c>
      <c r="DZ1464" s="143" t="str">
        <f>IF(DT1464=1,"self-calculated DF",IF(DU1464=1,"external DF used","explicit C balance"))</f>
        <v>explicit C balance</v>
      </c>
      <c r="EA1464">
        <v>0</v>
      </c>
      <c r="EB1464">
        <v>0</v>
      </c>
      <c r="EC1464">
        <v>0</v>
      </c>
      <c r="ED1464">
        <v>1</v>
      </c>
      <c r="EE1464">
        <v>0</v>
      </c>
      <c r="EF1464" s="143">
        <v>1</v>
      </c>
      <c r="EG1464">
        <v>1</v>
      </c>
      <c r="EH1464">
        <v>1</v>
      </c>
      <c r="EI1464">
        <v>0</v>
      </c>
      <c r="EJ1464">
        <v>1</v>
      </c>
      <c r="EK1464">
        <v>0</v>
      </c>
      <c r="EL1464">
        <v>0</v>
      </c>
      <c r="EM1464">
        <v>0</v>
      </c>
      <c r="EN1464" s="2">
        <v>0</v>
      </c>
      <c r="EP1464" t="str">
        <f>IF(AND(AND(AND(OR($EC1464=1,$EB1464=1),OR($EH1464=1,$EF1464=1)),SUM($EA1464:$EE1464,$EK1464)&gt;=3),SUM($EF1464:$EJ1464)&gt;=2),"Whole sector approach","")</f>
        <v/>
      </c>
      <c r="EQ1464" t="str">
        <f>IF(AND(AND(OR($EC1464=1,$EB1464=1),AND($EH1464=0,$EF1464=0)),SUM($EA1464:$EE1464,$EK1464)&gt;=4),"Ecosystem approach","")</f>
        <v/>
      </c>
      <c r="ER1464" s="2" t="str">
        <f>IF(AND(AND(AND($EC1464=0,$EB1464=0),OR($EH1464=1,$EF1464=1)),SUM($EG1464:$EJ1464)&gt;=2),"Technology approach","")</f>
        <v>Technology approach</v>
      </c>
      <c r="ES1464" t="str">
        <f>IF(AND($EC1464+$EB1464+$EE1464+$EA1464+$ED1464+$EG1464=0,$N1464="included"),"C neutral forest and HWP assumption","")</f>
        <v/>
      </c>
      <c r="ET1464" t="str">
        <f>IF(AND(AND(AND(AND($EC1464=1,$EB1464+$EA1464+$EG1464&gt;=1),$EF1464=1),$EH1464+$EI1464+$ED1464+$EE1464&gt;=2),$N1464="included"),"All C pools assumption","")</f>
        <v/>
      </c>
      <c r="EU1464" t="str">
        <f>IF(AND($ED1464+$EE1464+$EI1464+$EH1464+$EF1464=0,$N1464="included"),"In-situ only assumption","")</f>
        <v/>
      </c>
      <c r="EY1464" t="b">
        <f>IF(ISNUMBER(BW1464),IF(ABS(BW1464-[6]QC_indicators!$B$2)&gt;3*[6]QC_indicators!$C$2,"C ratio",IF(ISNUMBER(CA1464),IF(ABS(CA1464-[6]QC_indicators!$B$1)&gt;3*[6]QC_indicators!$C$1,"DF","no"))),IF(ISNUMBER(CA1464),IF(ABS(CA1464-[6]QC_indicators!$B$1)&gt;3*[6]QC_indicators!$C$1,"DF","no")))</f>
        <v>0</v>
      </c>
      <c r="FA1464" t="str">
        <f>IF(LEN($CY1464)=0,"",IF(AND($CY1464&lt;(-0.05),$ES1464="C neutral forest and HWP assumption"),"Cneutral paradox",IF(AND($CY1464&gt;0.05,$EU1464="In-situ only assumption"),"In-situ only paradox","")))</f>
        <v/>
      </c>
      <c r="FB1464" s="149" t="s">
        <v>349</v>
      </c>
      <c r="FD1464" s="260" t="s">
        <v>2948</v>
      </c>
    </row>
    <row r="1465" spans="1:160" ht="15" hidden="1" customHeight="1">
      <c r="A1465" s="1" t="s">
        <v>333</v>
      </c>
      <c r="B1465" t="s">
        <v>909</v>
      </c>
      <c r="C1465" t="s">
        <v>910</v>
      </c>
      <c r="D1465" t="s">
        <v>911</v>
      </c>
      <c r="E1465" t="s">
        <v>912</v>
      </c>
      <c r="F1465" t="s">
        <v>913</v>
      </c>
      <c r="G1465" t="s">
        <v>339</v>
      </c>
      <c r="H1465" t="s">
        <v>254</v>
      </c>
      <c r="I1465">
        <v>2021</v>
      </c>
      <c r="J1465">
        <v>0</v>
      </c>
      <c r="K1465" t="s">
        <v>914</v>
      </c>
      <c r="M1465" t="str">
        <f>LEFT($D1465,FIND(",",$D1465)-1)&amp;"_"&amp;I1465&amp;L1465</f>
        <v>Morris_2021</v>
      </c>
      <c r="N1465" t="s">
        <v>222</v>
      </c>
      <c r="O1465" t="s">
        <v>223</v>
      </c>
      <c r="Q1465" t="s">
        <v>256</v>
      </c>
      <c r="R1465" s="251" t="s">
        <v>225</v>
      </c>
      <c r="S1465" s="1" t="s">
        <v>915</v>
      </c>
      <c r="T1465" t="s">
        <v>916</v>
      </c>
      <c r="U1465" s="143" t="s">
        <v>99</v>
      </c>
      <c r="V1465" s="253">
        <v>0</v>
      </c>
      <c r="W1465" s="253">
        <v>0</v>
      </c>
      <c r="X1465">
        <v>0</v>
      </c>
      <c r="Y1465">
        <v>0</v>
      </c>
      <c r="Z1465">
        <v>0</v>
      </c>
      <c r="AA1465">
        <v>0</v>
      </c>
      <c r="AB1465">
        <v>0</v>
      </c>
      <c r="AC1465">
        <v>0</v>
      </c>
      <c r="AD1465">
        <v>0</v>
      </c>
      <c r="AE1465">
        <v>0</v>
      </c>
      <c r="AF1465">
        <v>0</v>
      </c>
      <c r="AG1465">
        <v>0</v>
      </c>
      <c r="AH1465">
        <v>0</v>
      </c>
      <c r="AI1465">
        <v>0</v>
      </c>
      <c r="AJ1465">
        <v>1</v>
      </c>
      <c r="AK1465">
        <v>0</v>
      </c>
      <c r="AL1465">
        <v>0</v>
      </c>
      <c r="AM1465">
        <v>0</v>
      </c>
      <c r="AN1465">
        <v>0</v>
      </c>
      <c r="AO1465">
        <v>0</v>
      </c>
      <c r="AP1465">
        <v>0</v>
      </c>
      <c r="AQ1465">
        <v>0</v>
      </c>
      <c r="AR1465">
        <v>0</v>
      </c>
      <c r="AS1465">
        <v>0</v>
      </c>
      <c r="AT1465">
        <v>0</v>
      </c>
      <c r="AU1465">
        <v>0</v>
      </c>
      <c r="AV1465">
        <v>0</v>
      </c>
      <c r="AW1465">
        <v>0</v>
      </c>
      <c r="AX1465">
        <v>0</v>
      </c>
      <c r="AY1465">
        <v>0</v>
      </c>
      <c r="AZ1465" s="141">
        <f>COUNTIF(X1465:AY1465,"&lt;&gt;0")</f>
        <v>1</v>
      </c>
      <c r="BA1465" s="141">
        <f>COUNTIF(X1465:AN1465,"&lt;&gt;0")</f>
        <v>1</v>
      </c>
      <c r="BB1465">
        <f>COUNTIF(X1465:AE1465,"&lt;&gt;0")</f>
        <v>0</v>
      </c>
      <c r="BC1465">
        <f>COUNTIF(AF1465:AK1465,"&lt;&gt;0")</f>
        <v>1</v>
      </c>
      <c r="BD1465">
        <f>COUNTIF(AL1465:AN1465,"&lt;&gt;0")</f>
        <v>0</v>
      </c>
      <c r="BE1465">
        <f>COUNTIF(AU1465:AY1465,"&lt;&gt;0")</f>
        <v>0</v>
      </c>
      <c r="BF1465">
        <f>COUNTIF(AO1465:AT1465,"&lt;&gt;0")</f>
        <v>0</v>
      </c>
      <c r="BG1465" t="str">
        <f t="array" ref="BG1465">IF(BA1465=1,INDEX($X$7:$AN$7,MATCH(TRUE,INDEX($X1465:$AY1465&lt;&gt;0,),0)),IF(BA1465=0,INDEX($AO$7:$AY$7,MATCH(1,$AO1465:$AY1465,0)),IF(BH1465="Multiple strategies","mixed drivers",IF(BH1465="Supply chain","multiple supply","multiple silviculture"))))</f>
        <v xml:space="preserve">end of life disposal </v>
      </c>
      <c r="BH1465" s="2" t="str" cm="1">
        <f t="array" ref="BH1465">IF(COUNTIF(BB1465:BD1465,"&lt;&gt;0")=1,INDEX($X$4:$AY$4,MATCH(TRUE,INDEX($X1465:$AY1465&lt;&gt;0,),0)),IF(COUNTIF(BB1465:BD1465,"&lt;&gt;0")=0,INDEX($AO$4:$AY$4,MATCH(1,$AO1465:$AY1465,0)),"Multiple strategies"))</f>
        <v>Supply chain</v>
      </c>
      <c r="BI1465" s="1" t="s">
        <v>229</v>
      </c>
      <c r="BJ1465" t="s">
        <v>918</v>
      </c>
      <c r="BK1465" s="256" t="s">
        <v>3048</v>
      </c>
      <c r="BL1465" t="s">
        <v>345</v>
      </c>
      <c r="BM1465">
        <v>116.6</v>
      </c>
      <c r="BN1465">
        <v>116.6</v>
      </c>
      <c r="BO1465" s="143"/>
      <c r="BP1465">
        <f>BN1465-BM1465</f>
        <v>0</v>
      </c>
      <c r="BQ1465">
        <f>BP1465*kg_to_m3</f>
        <v>0</v>
      </c>
      <c r="BR1465" t="s">
        <v>232</v>
      </c>
      <c r="BS1465" s="256" t="s">
        <v>3050</v>
      </c>
      <c r="BT1465" t="s">
        <v>919</v>
      </c>
      <c r="BU1465" s="143">
        <v>-165.4</v>
      </c>
      <c r="BV1465">
        <v>-105.88</v>
      </c>
      <c r="BW1465" s="144">
        <f>IFERROR(BV1465/BU1465,"")</f>
        <v>0.64014510278113657</v>
      </c>
      <c r="BX1465">
        <f>BV1465-BU1465</f>
        <v>59.52000000000001</v>
      </c>
      <c r="BZ1465">
        <f>BX1465/1000</f>
        <v>5.952000000000001E-2</v>
      </c>
      <c r="CA1465" t="str">
        <f>IFERROR(BZ1465/BQ1465,"")</f>
        <v/>
      </c>
      <c r="CB1465">
        <v>1</v>
      </c>
      <c r="CC1465">
        <v>0</v>
      </c>
      <c r="CD1465">
        <v>0</v>
      </c>
      <c r="CE1465">
        <v>0</v>
      </c>
      <c r="CF1465">
        <v>0</v>
      </c>
      <c r="CG1465">
        <v>1</v>
      </c>
      <c r="CH1465">
        <v>0</v>
      </c>
      <c r="CI1465">
        <v>1</v>
      </c>
      <c r="CJ1465">
        <v>0</v>
      </c>
      <c r="CK1465">
        <v>0</v>
      </c>
      <c r="CL1465">
        <v>0</v>
      </c>
      <c r="CM1465">
        <v>0</v>
      </c>
      <c r="CN1465">
        <v>0</v>
      </c>
      <c r="CO1465">
        <v>0</v>
      </c>
      <c r="CP1465" t="str">
        <f>IF($BN1465&lt;$BM1465,"refNeedCorrection","refOK")</f>
        <v>refOK</v>
      </c>
      <c r="CQ1465">
        <f>IF($CP1465="refOK",$BM1465,$BN1465)</f>
        <v>116.6</v>
      </c>
      <c r="CR1465">
        <f>IF($CP1465="refOK",$BN1465,$BM1465)</f>
        <v>116.6</v>
      </c>
      <c r="CS1465">
        <f>IF($CP1465="refOK",$BQ1465,-$BQ1465)</f>
        <v>0</v>
      </c>
      <c r="CT1465">
        <f>IF(BI1465="Roundwood",$CS1465/2,$CS1465)</f>
        <v>0</v>
      </c>
      <c r="CU1465">
        <f>IF($CP1465="refOK",$BU1465,$BV1465)*IF($BR1465="Emissions positive",-1,1)</f>
        <v>-165.4</v>
      </c>
      <c r="CV1465">
        <f>IF($CP1465="refOK",$BV1465,$BU1465)*IF($BR1465="Emissions positive",-1,1)</f>
        <v>-105.88</v>
      </c>
      <c r="CW1465">
        <f>IF($CP1465="refNeedCorrection",-BZ1465,BZ1465)*IF($BR1465="Emissions positive",-1,1)</f>
        <v>5.952000000000001E-2</v>
      </c>
      <c r="CX1465" t="str">
        <f>IFERROR($CW1465/$CS1465,"")</f>
        <v/>
      </c>
      <c r="CY1465" t="str">
        <f>IFERROR($CW1465/$CS1465,"")</f>
        <v/>
      </c>
      <c r="CZ1465" t="str">
        <f>IFERROR($CW1465/$CT1465,"")</f>
        <v/>
      </c>
      <c r="DA1465" s="2">
        <f>IFERROR((CV1465-CU1465)/ABS(CU1465),"")</f>
        <v>0.35985489721886343</v>
      </c>
      <c r="DB1465" s="1" t="s">
        <v>263</v>
      </c>
      <c r="DC1465" t="str">
        <f>IF(OR($DB1465="prd",$DB1465="std",$DB1465="cit"),"loc",IF(OR($DB1465="eur",$DB1465="reg",$DB1465="coy"),"reg",$DB1465))</f>
        <v>loc</v>
      </c>
      <c r="DD1465" s="296" t="s">
        <v>3098</v>
      </c>
      <c r="DG1465">
        <v>0</v>
      </c>
      <c r="DH1465" t="str">
        <f>IF(DG1465=0,"0",IF(AND(DG1465&gt;=1,DG1465&lt;=30),"1-30",IF(AND(DG1465&gt;30,DG1465&lt;=70),"31-70",IF(AND(DG1465&gt;70,DG1465&lt;=100),"71-100",IF(DG1465&gt;100,"+100")))))</f>
        <v>0</v>
      </c>
      <c r="DI1465">
        <v>0</v>
      </c>
      <c r="DJ1465">
        <v>0</v>
      </c>
      <c r="DK1465">
        <v>0</v>
      </c>
      <c r="DL1465">
        <v>1</v>
      </c>
      <c r="DN1465">
        <f>SUM(DI1465:DL1465)</f>
        <v>1</v>
      </c>
      <c r="DO1465" t="str">
        <f>IF(DN1465=1,INDEX($DI$7:$DL$7,MATCH(1,$DI1465:$DL1465,0)),"mixedProduct")</f>
        <v>TimberInput</v>
      </c>
      <c r="DP1465">
        <f>IF(DI1465=1,DP$7,0)</f>
        <v>0</v>
      </c>
      <c r="DQ1465">
        <f>IF(DJ1465=1,DQ$7,0)</f>
        <v>0</v>
      </c>
      <c r="DR1465">
        <f>IF(DK1465=1,DR$7,0)</f>
        <v>0</v>
      </c>
      <c r="DS1465" t="str">
        <f>IF(DL1465=1,DS$7,0)</f>
        <v>Timber</v>
      </c>
      <c r="DT1465">
        <v>0</v>
      </c>
      <c r="DU1465">
        <v>1</v>
      </c>
      <c r="DV1465">
        <v>0</v>
      </c>
      <c r="DW1465">
        <v>0</v>
      </c>
      <c r="DX1465">
        <v>0</v>
      </c>
      <c r="DY1465">
        <f>SUM(DT1465:DU1465)</f>
        <v>1</v>
      </c>
      <c r="DZ1465" s="143" t="str">
        <f>IF(DT1465=1,"self-calculated DF",IF(DU1465=1,"external DF used","explicit C balance"))</f>
        <v>external DF used</v>
      </c>
      <c r="EA1465">
        <v>0</v>
      </c>
      <c r="EB1465">
        <v>0</v>
      </c>
      <c r="EC1465">
        <v>0</v>
      </c>
      <c r="ED1465">
        <v>0</v>
      </c>
      <c r="EE1465">
        <v>0</v>
      </c>
      <c r="EF1465" s="143">
        <v>1</v>
      </c>
      <c r="EG1465">
        <v>1</v>
      </c>
      <c r="EH1465">
        <v>1</v>
      </c>
      <c r="EI1465">
        <v>0</v>
      </c>
      <c r="EJ1465">
        <v>1</v>
      </c>
      <c r="EK1465">
        <v>0</v>
      </c>
      <c r="EL1465">
        <v>0</v>
      </c>
      <c r="EM1465">
        <v>0</v>
      </c>
      <c r="EN1465" s="2">
        <v>0</v>
      </c>
      <c r="EP1465" t="str">
        <f>IF(AND(AND(AND(OR($EC1465=1,$EB1465=1),OR($EH1465=1,$EF1465=1)),SUM($EA1465:$EE1465,$EK1465)&gt;=3),SUM($EF1465:$EJ1465)&gt;=2),"Whole sector approach","")</f>
        <v/>
      </c>
      <c r="EQ1465" t="str">
        <f>IF(AND(AND(OR($EC1465=1,$EB1465=1),AND($EH1465=0,$EF1465=0)),SUM($EA1465:$EE1465,$EK1465)&gt;=4),"Ecosystem approach","")</f>
        <v/>
      </c>
      <c r="ER1465" s="2" t="str">
        <f>IF(AND(AND(AND($EC1465=0,$EB1465=0),OR($EH1465=1,$EF1465=1)),SUM($EG1465:$EJ1465)&gt;=2),"Technology approach","")</f>
        <v>Technology approach</v>
      </c>
      <c r="ES1465" t="str">
        <f>IF(AND($EC1465+$EB1465+$EE1465+$EA1465+$ED1465+$EG1465=0,$N1465="included"),"C neutral forest and HWP assumption","")</f>
        <v/>
      </c>
      <c r="ET1465" t="str">
        <f>IF(AND(AND(AND(AND($EC1465=1,$EB1465+$EA1465+$EG1465&gt;=1),$EF1465=1),$EH1465+$EI1465+$ED1465+$EE1465&gt;=2),$N1465="included"),"All C pools assumption","")</f>
        <v/>
      </c>
      <c r="EU1465" t="str">
        <f>IF(AND($ED1465+$EE1465+$EI1465+$EH1465+$EF1465=0,$N1465="included"),"In-situ only assumption","")</f>
        <v/>
      </c>
      <c r="EY1465" t="b">
        <f>IF(ISNUMBER(BW1465),IF(ABS(BW1465-[6]QC_indicators!$B$2)&gt;3*[6]QC_indicators!$C$2,"C ratio",IF(ISNUMBER(CA1465),IF(ABS(CA1465-[6]QC_indicators!$B$1)&gt;3*[6]QC_indicators!$C$1,"DF","no"))),IF(ISNUMBER(CA1465),IF(ABS(CA1465-[6]QC_indicators!$B$1)&gt;3*[6]QC_indicators!$C$1,"DF","no")))</f>
        <v>0</v>
      </c>
      <c r="FA1465" t="str">
        <f>IF(LEN($CY1465)=0,"",IF(AND($CY1465&lt;(-0.05),$ES1465="C neutral forest and HWP assumption"),"Cneutral paradox",IF(AND($CY1465&gt;0.05,$EU1465="In-situ only assumption"),"In-situ only paradox","")))</f>
        <v/>
      </c>
      <c r="FB1465" s="149" t="s">
        <v>349</v>
      </c>
      <c r="FD1465" s="260" t="s">
        <v>2948</v>
      </c>
    </row>
    <row r="1466" spans="1:160" hidden="1">
      <c r="A1466" s="1" t="s">
        <v>333</v>
      </c>
      <c r="B1466" t="s">
        <v>909</v>
      </c>
      <c r="C1466" t="s">
        <v>910</v>
      </c>
      <c r="D1466" t="s">
        <v>911</v>
      </c>
      <c r="E1466" t="s">
        <v>912</v>
      </c>
      <c r="F1466" t="s">
        <v>913</v>
      </c>
      <c r="G1466" t="s">
        <v>339</v>
      </c>
      <c r="H1466" t="s">
        <v>254</v>
      </c>
      <c r="I1466">
        <v>2021</v>
      </c>
      <c r="J1466">
        <v>0</v>
      </c>
      <c r="K1466" t="s">
        <v>914</v>
      </c>
      <c r="M1466" t="str">
        <f>LEFT($D1466,FIND(",",$D1466)-1)&amp;"_"&amp;I1466&amp;L1466</f>
        <v>Morris_2021</v>
      </c>
      <c r="N1466" t="s">
        <v>222</v>
      </c>
      <c r="O1466" t="s">
        <v>223</v>
      </c>
      <c r="Q1466" t="s">
        <v>256</v>
      </c>
      <c r="R1466" s="251" t="s">
        <v>225</v>
      </c>
      <c r="S1466" s="1" t="s">
        <v>915</v>
      </c>
      <c r="T1466" t="s">
        <v>916</v>
      </c>
      <c r="U1466" s="143" t="s">
        <v>99</v>
      </c>
      <c r="V1466" s="253">
        <v>0</v>
      </c>
      <c r="W1466" s="253">
        <v>0</v>
      </c>
      <c r="X1466">
        <v>0</v>
      </c>
      <c r="Y1466">
        <v>0</v>
      </c>
      <c r="Z1466">
        <v>0</v>
      </c>
      <c r="AA1466">
        <v>0</v>
      </c>
      <c r="AB1466">
        <v>0</v>
      </c>
      <c r="AC1466">
        <v>0</v>
      </c>
      <c r="AD1466">
        <v>0</v>
      </c>
      <c r="AE1466">
        <v>0</v>
      </c>
      <c r="AF1466">
        <v>0</v>
      </c>
      <c r="AG1466">
        <v>0</v>
      </c>
      <c r="AH1466">
        <v>0</v>
      </c>
      <c r="AI1466">
        <v>0</v>
      </c>
      <c r="AJ1466">
        <v>1</v>
      </c>
      <c r="AK1466">
        <v>0</v>
      </c>
      <c r="AL1466">
        <v>0</v>
      </c>
      <c r="AM1466">
        <v>0</v>
      </c>
      <c r="AN1466">
        <v>0</v>
      </c>
      <c r="AO1466">
        <v>0</v>
      </c>
      <c r="AP1466">
        <v>0</v>
      </c>
      <c r="AQ1466">
        <v>0</v>
      </c>
      <c r="AR1466">
        <v>0</v>
      </c>
      <c r="AS1466">
        <v>0</v>
      </c>
      <c r="AT1466">
        <v>0</v>
      </c>
      <c r="AU1466">
        <v>0</v>
      </c>
      <c r="AV1466">
        <v>0</v>
      </c>
      <c r="AW1466">
        <v>0</v>
      </c>
      <c r="AX1466">
        <v>0</v>
      </c>
      <c r="AY1466">
        <v>0</v>
      </c>
      <c r="AZ1466" s="141">
        <f>COUNTIF(X1466:AY1466,"&lt;&gt;0")</f>
        <v>1</v>
      </c>
      <c r="BA1466" s="141">
        <f>COUNTIF(X1466:AN1466,"&lt;&gt;0")</f>
        <v>1</v>
      </c>
      <c r="BB1466">
        <f>COUNTIF(X1466:AE1466,"&lt;&gt;0")</f>
        <v>0</v>
      </c>
      <c r="BC1466">
        <f>COUNTIF(AF1466:AK1466,"&lt;&gt;0")</f>
        <v>1</v>
      </c>
      <c r="BD1466">
        <f>COUNTIF(AL1466:AN1466,"&lt;&gt;0")</f>
        <v>0</v>
      </c>
      <c r="BE1466">
        <f>COUNTIF(AU1466:AY1466,"&lt;&gt;0")</f>
        <v>0</v>
      </c>
      <c r="BF1466">
        <f>COUNTIF(AO1466:AT1466,"&lt;&gt;0")</f>
        <v>0</v>
      </c>
      <c r="BG1466" t="str">
        <f t="array" ref="BG1466">IF(BA1466=1,INDEX($X$7:$AN$7,MATCH(TRUE,INDEX($X1466:$AY1466&lt;&gt;0,),0)),IF(BA1466=0,INDEX($AO$7:$AY$7,MATCH(1,$AO1466:$AY1466,0)),IF(BH1466="Multiple strategies","mixed drivers",IF(BH1466="Supply chain","multiple supply","multiple silviculture"))))</f>
        <v xml:space="preserve">end of life disposal </v>
      </c>
      <c r="BH1466" s="2" t="str" cm="1">
        <f t="array" ref="BH1466">IF(COUNTIF(BB1466:BD1466,"&lt;&gt;0")=1,INDEX($X$4:$AY$4,MATCH(TRUE,INDEX($X1466:$AY1466&lt;&gt;0,),0)),IF(COUNTIF(BB1466:BD1466,"&lt;&gt;0")=0,INDEX($AO$4:$AY$4,MATCH(1,$AO1466:$AY1466,0)),"Multiple strategies"))</f>
        <v>Supply chain</v>
      </c>
      <c r="BI1466" s="1" t="s">
        <v>229</v>
      </c>
      <c r="BJ1466" t="s">
        <v>918</v>
      </c>
      <c r="BK1466" s="256" t="s">
        <v>3048</v>
      </c>
      <c r="BL1466" t="s">
        <v>345</v>
      </c>
      <c r="BM1466">
        <v>116.6</v>
      </c>
      <c r="BN1466">
        <v>116.6</v>
      </c>
      <c r="BO1466" s="143"/>
      <c r="BP1466">
        <f>BN1466-BM1466</f>
        <v>0</v>
      </c>
      <c r="BQ1466">
        <f>BP1466*kg_to_m3</f>
        <v>0</v>
      </c>
      <c r="BR1466" t="s">
        <v>232</v>
      </c>
      <c r="BS1466" s="256" t="s">
        <v>3049</v>
      </c>
      <c r="BT1466" t="s">
        <v>919</v>
      </c>
      <c r="BU1466" s="143">
        <v>-175.4</v>
      </c>
      <c r="BV1466">
        <v>-103.2</v>
      </c>
      <c r="BW1466" s="144">
        <f>IFERROR(BV1466/BU1466,"")</f>
        <v>0.58836944127708091</v>
      </c>
      <c r="BX1466">
        <f>BV1466-BU1466</f>
        <v>72.2</v>
      </c>
      <c r="BZ1466">
        <f>BX1466/1000</f>
        <v>7.22E-2</v>
      </c>
      <c r="CA1466" t="str">
        <f>IFERROR(BZ1466/BQ1466,"")</f>
        <v/>
      </c>
      <c r="CB1466">
        <v>1</v>
      </c>
      <c r="CC1466">
        <v>0</v>
      </c>
      <c r="CD1466">
        <v>0</v>
      </c>
      <c r="CE1466">
        <v>0</v>
      </c>
      <c r="CF1466">
        <v>0</v>
      </c>
      <c r="CG1466">
        <v>1</v>
      </c>
      <c r="CH1466">
        <v>0</v>
      </c>
      <c r="CI1466">
        <v>1</v>
      </c>
      <c r="CJ1466">
        <v>0</v>
      </c>
      <c r="CK1466">
        <v>0</v>
      </c>
      <c r="CL1466">
        <v>0</v>
      </c>
      <c r="CM1466">
        <v>0</v>
      </c>
      <c r="CN1466">
        <v>0</v>
      </c>
      <c r="CO1466">
        <v>0</v>
      </c>
      <c r="CP1466" t="str">
        <f>IF($BN1466&lt;$BM1466,"refNeedCorrection","refOK")</f>
        <v>refOK</v>
      </c>
      <c r="CQ1466">
        <f>IF($CP1466="refOK",$BM1466,$BN1466)</f>
        <v>116.6</v>
      </c>
      <c r="CR1466">
        <f>IF($CP1466="refOK",$BN1466,$BM1466)</f>
        <v>116.6</v>
      </c>
      <c r="CS1466">
        <f>IF($CP1466="refOK",$BQ1466,-$BQ1466)</f>
        <v>0</v>
      </c>
      <c r="CT1466">
        <f>IF(BI1466="Roundwood",$CS1466/2,$CS1466)</f>
        <v>0</v>
      </c>
      <c r="CU1466">
        <f>IF($CP1466="refOK",$BU1466,$BV1466)*IF($BR1466="Emissions positive",-1,1)</f>
        <v>-175.4</v>
      </c>
      <c r="CV1466">
        <f>IF($CP1466="refOK",$BV1466,$BU1466)*IF($BR1466="Emissions positive",-1,1)</f>
        <v>-103.2</v>
      </c>
      <c r="CW1466">
        <f>IF($CP1466="refNeedCorrection",-BZ1466,BZ1466)*IF($BR1466="Emissions positive",-1,1)</f>
        <v>7.22E-2</v>
      </c>
      <c r="CX1466" t="str">
        <f>IFERROR($CW1466/$CS1466,"")</f>
        <v/>
      </c>
      <c r="CY1466" t="str">
        <f>IFERROR($CW1466/$CS1466,"")</f>
        <v/>
      </c>
      <c r="CZ1466" t="str">
        <f>IFERROR($CW1466/$CT1466,"")</f>
        <v/>
      </c>
      <c r="DA1466" s="2">
        <f>IFERROR((CV1466-CU1466)/ABS(CU1466),"")</f>
        <v>0.41163055872291904</v>
      </c>
      <c r="DB1466" s="1" t="s">
        <v>263</v>
      </c>
      <c r="DC1466" t="str">
        <f>IF(OR($DB1466="prd",$DB1466="std",$DB1466="cit"),"loc",IF(OR($DB1466="eur",$DB1466="reg",$DB1466="coy"),"reg",$DB1466))</f>
        <v>loc</v>
      </c>
      <c r="DD1466" s="296" t="s">
        <v>3098</v>
      </c>
      <c r="DG1466">
        <v>0</v>
      </c>
      <c r="DH1466" t="str">
        <f>IF(DG1466=0,"0",IF(AND(DG1466&gt;=1,DG1466&lt;=30),"1-30",IF(AND(DG1466&gt;30,DG1466&lt;=70),"31-70",IF(AND(DG1466&gt;70,DG1466&lt;=100),"71-100",IF(DG1466&gt;100,"+100")))))</f>
        <v>0</v>
      </c>
      <c r="DI1466">
        <v>0</v>
      </c>
      <c r="DJ1466">
        <v>0</v>
      </c>
      <c r="DK1466">
        <v>0</v>
      </c>
      <c r="DL1466">
        <v>1</v>
      </c>
      <c r="DN1466">
        <f>SUM(DI1466:DL1466)</f>
        <v>1</v>
      </c>
      <c r="DO1466" t="str">
        <f>IF(DN1466=1,INDEX($DI$7:$DL$7,MATCH(1,$DI1466:$DL1466,0)),"mixedProduct")</f>
        <v>TimberInput</v>
      </c>
      <c r="DP1466">
        <f>IF(DI1466=1,DP$7,0)</f>
        <v>0</v>
      </c>
      <c r="DQ1466">
        <f>IF(DJ1466=1,DQ$7,0)</f>
        <v>0</v>
      </c>
      <c r="DR1466">
        <f>IF(DK1466=1,DR$7,0)</f>
        <v>0</v>
      </c>
      <c r="DS1466" t="str">
        <f>IF(DL1466=1,DS$7,0)</f>
        <v>Timber</v>
      </c>
      <c r="DT1466">
        <v>0</v>
      </c>
      <c r="DU1466">
        <v>1</v>
      </c>
      <c r="DV1466">
        <v>0</v>
      </c>
      <c r="DW1466">
        <v>0</v>
      </c>
      <c r="DX1466">
        <v>0</v>
      </c>
      <c r="DY1466">
        <f>SUM(DT1466:DU1466)</f>
        <v>1</v>
      </c>
      <c r="DZ1466" s="143" t="str">
        <f>IF(DT1466=1,"self-calculated DF",IF(DU1466=1,"external DF used","explicit C balance"))</f>
        <v>external DF used</v>
      </c>
      <c r="EA1466">
        <v>0</v>
      </c>
      <c r="EB1466">
        <v>0</v>
      </c>
      <c r="EC1466">
        <v>0</v>
      </c>
      <c r="ED1466">
        <v>1</v>
      </c>
      <c r="EE1466">
        <v>0</v>
      </c>
      <c r="EF1466" s="143">
        <v>1</v>
      </c>
      <c r="EG1466">
        <v>1</v>
      </c>
      <c r="EH1466">
        <v>1</v>
      </c>
      <c r="EI1466">
        <v>0</v>
      </c>
      <c r="EJ1466">
        <v>1</v>
      </c>
      <c r="EK1466">
        <v>0</v>
      </c>
      <c r="EL1466">
        <v>0</v>
      </c>
      <c r="EM1466">
        <v>0</v>
      </c>
      <c r="EN1466" s="2">
        <v>0</v>
      </c>
      <c r="EP1466" t="str">
        <f>IF(AND(AND(AND(OR($EC1466=1,$EB1466=1),OR($EH1466=1,$EF1466=1)),SUM($EA1466:$EE1466,$EK1466)&gt;=3),SUM($EF1466:$EJ1466)&gt;=2),"Whole sector approach","")</f>
        <v/>
      </c>
      <c r="EQ1466" t="str">
        <f>IF(AND(AND(OR($EC1466=1,$EB1466=1),AND($EH1466=0,$EF1466=0)),SUM($EA1466:$EE1466,$EK1466)&gt;=4),"Ecosystem approach","")</f>
        <v/>
      </c>
      <c r="ER1466" s="2" t="str">
        <f>IF(AND(AND(AND($EC1466=0,$EB1466=0),OR($EH1466=1,$EF1466=1)),SUM($EG1466:$EJ1466)&gt;=2),"Technology approach","")</f>
        <v>Technology approach</v>
      </c>
      <c r="ES1466" t="str">
        <f>IF(AND($EC1466+$EB1466+$EE1466+$EA1466+$ED1466+$EG1466=0,$N1466="included"),"C neutral forest and HWP assumption","")</f>
        <v/>
      </c>
      <c r="ET1466" t="str">
        <f>IF(AND(AND(AND(AND($EC1466=1,$EB1466+$EA1466+$EG1466&gt;=1),$EF1466=1),$EH1466+$EI1466+$ED1466+$EE1466&gt;=2),$N1466="included"),"All C pools assumption","")</f>
        <v/>
      </c>
      <c r="EU1466" t="str">
        <f>IF(AND($ED1466+$EE1466+$EI1466+$EH1466+$EF1466=0,$N1466="included"),"In-situ only assumption","")</f>
        <v/>
      </c>
      <c r="EY1466" t="b">
        <f>IF(ISNUMBER(BW1466),IF(ABS(BW1466-[6]QC_indicators!$B$2)&gt;3*[6]QC_indicators!$C$2,"C ratio",IF(ISNUMBER(CA1466),IF(ABS(CA1466-[6]QC_indicators!$B$1)&gt;3*[6]QC_indicators!$C$1,"DF","no"))),IF(ISNUMBER(CA1466),IF(ABS(CA1466-[6]QC_indicators!$B$1)&gt;3*[6]QC_indicators!$C$1,"DF","no")))</f>
        <v>0</v>
      </c>
      <c r="FA1466" t="str">
        <f>IF(LEN($CY1466)=0,"",IF(AND($CY1466&lt;(-0.05),$ES1466="C neutral forest and HWP assumption"),"Cneutral paradox",IF(AND($CY1466&gt;0.05,$EU1466="In-situ only assumption"),"In-situ only paradox","")))</f>
        <v/>
      </c>
      <c r="FB1466" s="149" t="s">
        <v>349</v>
      </c>
      <c r="FD1466" s="260" t="s">
        <v>2948</v>
      </c>
    </row>
    <row r="1467" spans="1:160" hidden="1">
      <c r="A1467" s="1" t="s">
        <v>333</v>
      </c>
      <c r="B1467" t="s">
        <v>909</v>
      </c>
      <c r="C1467" t="s">
        <v>910</v>
      </c>
      <c r="D1467" t="s">
        <v>911</v>
      </c>
      <c r="E1467" t="s">
        <v>912</v>
      </c>
      <c r="F1467" t="s">
        <v>913</v>
      </c>
      <c r="G1467" t="s">
        <v>339</v>
      </c>
      <c r="H1467" t="s">
        <v>254</v>
      </c>
      <c r="I1467">
        <v>2021</v>
      </c>
      <c r="J1467">
        <v>0</v>
      </c>
      <c r="K1467" t="s">
        <v>914</v>
      </c>
      <c r="M1467" t="str">
        <f>LEFT($D1467,FIND(",",$D1467)-1)&amp;"_"&amp;I1467&amp;L1467</f>
        <v>Morris_2021</v>
      </c>
      <c r="N1467" t="s">
        <v>222</v>
      </c>
      <c r="O1467" t="s">
        <v>223</v>
      </c>
      <c r="Q1467" t="s">
        <v>256</v>
      </c>
      <c r="R1467" s="251" t="s">
        <v>225</v>
      </c>
      <c r="S1467" s="1" t="s">
        <v>915</v>
      </c>
      <c r="T1467" t="s">
        <v>916</v>
      </c>
      <c r="U1467" s="143" t="s">
        <v>917</v>
      </c>
      <c r="V1467" s="253">
        <v>0</v>
      </c>
      <c r="W1467" s="253">
        <v>0</v>
      </c>
      <c r="X1467">
        <v>0</v>
      </c>
      <c r="Y1467">
        <v>0</v>
      </c>
      <c r="Z1467">
        <v>0</v>
      </c>
      <c r="AA1467">
        <v>0</v>
      </c>
      <c r="AB1467">
        <v>0</v>
      </c>
      <c r="AC1467">
        <v>0</v>
      </c>
      <c r="AD1467">
        <v>0</v>
      </c>
      <c r="AE1467">
        <v>0</v>
      </c>
      <c r="AF1467">
        <v>0</v>
      </c>
      <c r="AG1467">
        <v>0</v>
      </c>
      <c r="AH1467">
        <v>0</v>
      </c>
      <c r="AI1467">
        <v>0</v>
      </c>
      <c r="AJ1467">
        <v>1</v>
      </c>
      <c r="AK1467">
        <v>0</v>
      </c>
      <c r="AL1467">
        <v>0</v>
      </c>
      <c r="AM1467">
        <v>0</v>
      </c>
      <c r="AN1467">
        <v>0</v>
      </c>
      <c r="AO1467">
        <v>0</v>
      </c>
      <c r="AP1467">
        <v>0</v>
      </c>
      <c r="AQ1467">
        <v>0</v>
      </c>
      <c r="AR1467">
        <v>0</v>
      </c>
      <c r="AS1467">
        <v>0</v>
      </c>
      <c r="AT1467">
        <v>0</v>
      </c>
      <c r="AU1467">
        <v>0</v>
      </c>
      <c r="AV1467">
        <v>0</v>
      </c>
      <c r="AW1467">
        <v>0</v>
      </c>
      <c r="AX1467">
        <v>0</v>
      </c>
      <c r="AY1467">
        <v>0</v>
      </c>
      <c r="AZ1467" s="141">
        <f>COUNTIF(X1467:AY1467,"&lt;&gt;0")</f>
        <v>1</v>
      </c>
      <c r="BA1467" s="141">
        <f>COUNTIF(X1467:AN1467,"&lt;&gt;0")</f>
        <v>1</v>
      </c>
      <c r="BB1467">
        <f>COUNTIF(X1467:AE1467,"&lt;&gt;0")</f>
        <v>0</v>
      </c>
      <c r="BC1467">
        <f>COUNTIF(AF1467:AK1467,"&lt;&gt;0")</f>
        <v>1</v>
      </c>
      <c r="BD1467">
        <f>COUNTIF(AL1467:AN1467,"&lt;&gt;0")</f>
        <v>0</v>
      </c>
      <c r="BE1467">
        <f>COUNTIF(AU1467:AY1467,"&lt;&gt;0")</f>
        <v>0</v>
      </c>
      <c r="BF1467">
        <f>COUNTIF(AO1467:AT1467,"&lt;&gt;0")</f>
        <v>0</v>
      </c>
      <c r="BG1467" t="str">
        <f t="array" ref="BG1467">IF(BA1467=1,INDEX($X$7:$AN$7,MATCH(TRUE,INDEX($X1467:$AY1467&lt;&gt;0,),0)),IF(BA1467=0,INDEX($AO$7:$AY$7,MATCH(1,$AO1467:$AY1467,0)),IF(BH1467="Multiple strategies","mixed drivers",IF(BH1467="Supply chain","multiple supply","multiple silviculture"))))</f>
        <v xml:space="preserve">end of life disposal </v>
      </c>
      <c r="BH1467" s="2" t="str" cm="1">
        <f t="array" ref="BH1467">IF(COUNTIF(BB1467:BD1467,"&lt;&gt;0")=1,INDEX($X$4:$AY$4,MATCH(TRUE,INDEX($X1467:$AY1467&lt;&gt;0,),0)),IF(COUNTIF(BB1467:BD1467,"&lt;&gt;0")=0,INDEX($AO$4:$AY$4,MATCH(1,$AO1467:$AY1467,0)),"Multiple strategies"))</f>
        <v>Supply chain</v>
      </c>
      <c r="BI1467" s="1" t="s">
        <v>229</v>
      </c>
      <c r="BJ1467" t="s">
        <v>918</v>
      </c>
      <c r="BK1467" s="256" t="s">
        <v>3048</v>
      </c>
      <c r="BL1467" t="s">
        <v>345</v>
      </c>
      <c r="BM1467">
        <v>116.6</v>
      </c>
      <c r="BN1467">
        <v>116.6</v>
      </c>
      <c r="BO1467" s="143"/>
      <c r="BP1467">
        <f>BN1467-BM1467</f>
        <v>0</v>
      </c>
      <c r="BQ1467">
        <f>BP1467*kg_to_m3</f>
        <v>0</v>
      </c>
      <c r="BR1467" t="s">
        <v>232</v>
      </c>
      <c r="BS1467" s="256" t="s">
        <v>3050</v>
      </c>
      <c r="BT1467" t="s">
        <v>919</v>
      </c>
      <c r="BU1467" s="143">
        <v>-165.4</v>
      </c>
      <c r="BV1467">
        <v>-67.400000000000006</v>
      </c>
      <c r="BW1467" s="144">
        <f>IFERROR(BV1467/BU1467,"")</f>
        <v>0.407496977025393</v>
      </c>
      <c r="BX1467">
        <f>BV1467-BU1467</f>
        <v>98</v>
      </c>
      <c r="BZ1467">
        <f>BX1467/1000</f>
        <v>9.8000000000000004E-2</v>
      </c>
      <c r="CA1467" t="str">
        <f>IFERROR(BZ1467/BQ1467,"")</f>
        <v/>
      </c>
      <c r="CB1467">
        <v>1</v>
      </c>
      <c r="CC1467">
        <v>0</v>
      </c>
      <c r="CD1467">
        <v>0</v>
      </c>
      <c r="CE1467">
        <v>0</v>
      </c>
      <c r="CF1467">
        <v>0</v>
      </c>
      <c r="CG1467">
        <v>1</v>
      </c>
      <c r="CH1467">
        <v>0</v>
      </c>
      <c r="CI1467">
        <v>1</v>
      </c>
      <c r="CJ1467">
        <v>0</v>
      </c>
      <c r="CK1467">
        <v>0</v>
      </c>
      <c r="CL1467">
        <v>0</v>
      </c>
      <c r="CM1467">
        <v>0</v>
      </c>
      <c r="CN1467">
        <v>0</v>
      </c>
      <c r="CO1467">
        <v>0</v>
      </c>
      <c r="CP1467" t="str">
        <f>IF($BN1467&lt;$BM1467,"refNeedCorrection","refOK")</f>
        <v>refOK</v>
      </c>
      <c r="CQ1467">
        <f>IF($CP1467="refOK",$BM1467,$BN1467)</f>
        <v>116.6</v>
      </c>
      <c r="CR1467">
        <f>IF($CP1467="refOK",$BN1467,$BM1467)</f>
        <v>116.6</v>
      </c>
      <c r="CS1467">
        <f>IF($CP1467="refOK",$BQ1467,-$BQ1467)</f>
        <v>0</v>
      </c>
      <c r="CT1467">
        <f>IF(BI1467="Roundwood",$CS1467/2,$CS1467)</f>
        <v>0</v>
      </c>
      <c r="CU1467">
        <f>IF($CP1467="refOK",$BU1467,$BV1467)*IF($BR1467="Emissions positive",-1,1)</f>
        <v>-165.4</v>
      </c>
      <c r="CV1467">
        <f>IF($CP1467="refOK",$BV1467,$BU1467)*IF($BR1467="Emissions positive",-1,1)</f>
        <v>-67.400000000000006</v>
      </c>
      <c r="CW1467">
        <f>IF($CP1467="refNeedCorrection",-BZ1467,BZ1467)*IF($BR1467="Emissions positive",-1,1)</f>
        <v>9.8000000000000004E-2</v>
      </c>
      <c r="CX1467" t="str">
        <f>IFERROR($CW1467/$CS1467,"")</f>
        <v/>
      </c>
      <c r="CY1467" t="str">
        <f>IFERROR($CW1467/$CS1467,"")</f>
        <v/>
      </c>
      <c r="CZ1467" t="str">
        <f>IFERROR($CW1467/$CT1467,"")</f>
        <v/>
      </c>
      <c r="DA1467" s="2">
        <f>IFERROR((CV1467-CU1467)/ABS(CU1467),"")</f>
        <v>0.592503022974607</v>
      </c>
      <c r="DB1467" s="1" t="s">
        <v>263</v>
      </c>
      <c r="DC1467" t="str">
        <f>IF(OR($DB1467="prd",$DB1467="std",$DB1467="cit"),"loc",IF(OR($DB1467="eur",$DB1467="reg",$DB1467="coy"),"reg",$DB1467))</f>
        <v>loc</v>
      </c>
      <c r="DD1467" s="296" t="s">
        <v>3098</v>
      </c>
      <c r="DG1467">
        <v>0</v>
      </c>
      <c r="DH1467" t="str">
        <f>IF(DG1467=0,"0",IF(AND(DG1467&gt;=1,DG1467&lt;=30),"1-30",IF(AND(DG1467&gt;30,DG1467&lt;=70),"31-70",IF(AND(DG1467&gt;70,DG1467&lt;=100),"71-100",IF(DG1467&gt;100,"+100")))))</f>
        <v>0</v>
      </c>
      <c r="DI1467">
        <v>0</v>
      </c>
      <c r="DJ1467">
        <v>0</v>
      </c>
      <c r="DK1467">
        <v>0</v>
      </c>
      <c r="DL1467">
        <v>1</v>
      </c>
      <c r="DN1467">
        <f>SUM(DI1467:DL1467)</f>
        <v>1</v>
      </c>
      <c r="DO1467" t="str">
        <f>IF(DN1467=1,INDEX($DI$7:$DL$7,MATCH(1,$DI1467:$DL1467,0)),"mixedProduct")</f>
        <v>TimberInput</v>
      </c>
      <c r="DP1467">
        <f>IF(DI1467=1,DP$7,0)</f>
        <v>0</v>
      </c>
      <c r="DQ1467">
        <f>IF(DJ1467=1,DQ$7,0)</f>
        <v>0</v>
      </c>
      <c r="DR1467">
        <f>IF(DK1467=1,DR$7,0)</f>
        <v>0</v>
      </c>
      <c r="DS1467" t="str">
        <f>IF(DL1467=1,DS$7,0)</f>
        <v>Timber</v>
      </c>
      <c r="DT1467">
        <v>0</v>
      </c>
      <c r="DU1467">
        <v>1</v>
      </c>
      <c r="DV1467">
        <v>0</v>
      </c>
      <c r="DW1467">
        <v>0</v>
      </c>
      <c r="DX1467">
        <v>0</v>
      </c>
      <c r="DY1467">
        <f>SUM(DT1467:DU1467)</f>
        <v>1</v>
      </c>
      <c r="DZ1467" s="143" t="str">
        <f>IF(DT1467=1,"self-calculated DF",IF(DU1467=1,"external DF used","explicit C balance"))</f>
        <v>external DF used</v>
      </c>
      <c r="EA1467">
        <v>0</v>
      </c>
      <c r="EB1467">
        <v>0</v>
      </c>
      <c r="EC1467">
        <v>0</v>
      </c>
      <c r="ED1467">
        <v>0</v>
      </c>
      <c r="EE1467">
        <v>0</v>
      </c>
      <c r="EF1467" s="143">
        <v>1</v>
      </c>
      <c r="EG1467">
        <v>1</v>
      </c>
      <c r="EH1467">
        <v>1</v>
      </c>
      <c r="EI1467">
        <v>0</v>
      </c>
      <c r="EJ1467">
        <v>1</v>
      </c>
      <c r="EK1467">
        <v>0</v>
      </c>
      <c r="EL1467">
        <v>0</v>
      </c>
      <c r="EM1467">
        <v>0</v>
      </c>
      <c r="EN1467" s="2">
        <v>0</v>
      </c>
      <c r="EP1467" t="str">
        <f>IF(AND(AND(AND(OR($EC1467=1,$EB1467=1),OR($EH1467=1,$EF1467=1)),SUM($EA1467:$EE1467,$EK1467)&gt;=3),SUM($EF1467:$EJ1467)&gt;=2),"Whole sector approach","")</f>
        <v/>
      </c>
      <c r="EQ1467" t="str">
        <f>IF(AND(AND(OR($EC1467=1,$EB1467=1),AND($EH1467=0,$EF1467=0)),SUM($EA1467:$EE1467,$EK1467)&gt;=4),"Ecosystem approach","")</f>
        <v/>
      </c>
      <c r="ER1467" s="2" t="str">
        <f>IF(AND(AND(AND($EC1467=0,$EB1467=0),OR($EH1467=1,$EF1467=1)),SUM($EG1467:$EJ1467)&gt;=2),"Technology approach","")</f>
        <v>Technology approach</v>
      </c>
      <c r="ES1467" t="str">
        <f>IF(AND($EC1467+$EB1467+$EE1467+$EA1467+$ED1467+$EG1467=0,$N1467="included"),"C neutral forest and HWP assumption","")</f>
        <v/>
      </c>
      <c r="ET1467" t="str">
        <f>IF(AND(AND(AND(AND($EC1467=1,$EB1467+$EA1467+$EG1467&gt;=1),$EF1467=1),$EH1467+$EI1467+$ED1467+$EE1467&gt;=2),$N1467="included"),"All C pools assumption","")</f>
        <v/>
      </c>
      <c r="EU1467" t="str">
        <f>IF(AND($ED1467+$EE1467+$EI1467+$EH1467+$EF1467=0,$N1467="included"),"In-situ only assumption","")</f>
        <v/>
      </c>
      <c r="EY1467" t="b">
        <f>IF(ISNUMBER(BW1467),IF(ABS(BW1467-[6]QC_indicators!$B$2)&gt;3*[6]QC_indicators!$C$2,"C ratio",IF(ISNUMBER(CA1467),IF(ABS(CA1467-[6]QC_indicators!$B$1)&gt;3*[6]QC_indicators!$C$1,"DF","no"))),IF(ISNUMBER(CA1467),IF(ABS(CA1467-[6]QC_indicators!$B$1)&gt;3*[6]QC_indicators!$C$1,"DF","no")))</f>
        <v>0</v>
      </c>
      <c r="FA1467" t="str">
        <f>IF(LEN($CY1467)=0,"",IF(AND($CY1467&lt;(-0.05),$ES1467="C neutral forest and HWP assumption"),"Cneutral paradox",IF(AND($CY1467&gt;0.05,$EU1467="In-situ only assumption"),"In-situ only paradox","")))</f>
        <v/>
      </c>
      <c r="FB1467" s="149" t="s">
        <v>349</v>
      </c>
      <c r="FD1467" s="260" t="s">
        <v>2948</v>
      </c>
    </row>
    <row r="1468" spans="1:160" ht="15" hidden="1" customHeight="1">
      <c r="A1468" s="1" t="s">
        <v>333</v>
      </c>
      <c r="B1468" t="s">
        <v>909</v>
      </c>
      <c r="C1468" t="s">
        <v>910</v>
      </c>
      <c r="D1468" t="s">
        <v>911</v>
      </c>
      <c r="E1468" t="s">
        <v>912</v>
      </c>
      <c r="F1468" t="s">
        <v>913</v>
      </c>
      <c r="G1468" t="s">
        <v>339</v>
      </c>
      <c r="H1468" t="s">
        <v>254</v>
      </c>
      <c r="I1468">
        <v>2021</v>
      </c>
      <c r="J1468">
        <v>0</v>
      </c>
      <c r="K1468" t="s">
        <v>914</v>
      </c>
      <c r="M1468" t="str">
        <f>LEFT($D1468,FIND(",",$D1468)-1)&amp;"_"&amp;I1468&amp;L1468</f>
        <v>Morris_2021</v>
      </c>
      <c r="N1468" t="s">
        <v>222</v>
      </c>
      <c r="O1468" t="s">
        <v>223</v>
      </c>
      <c r="Q1468" t="s">
        <v>256</v>
      </c>
      <c r="R1468" s="251" t="s">
        <v>225</v>
      </c>
      <c r="S1468" s="1" t="s">
        <v>915</v>
      </c>
      <c r="T1468" t="s">
        <v>916</v>
      </c>
      <c r="U1468" s="143" t="s">
        <v>917</v>
      </c>
      <c r="V1468" s="253">
        <v>0</v>
      </c>
      <c r="W1468" s="253">
        <v>0</v>
      </c>
      <c r="X1468">
        <v>0</v>
      </c>
      <c r="Y1468">
        <v>0</v>
      </c>
      <c r="Z1468">
        <v>0</v>
      </c>
      <c r="AA1468">
        <v>0</v>
      </c>
      <c r="AB1468">
        <v>0</v>
      </c>
      <c r="AC1468">
        <v>0</v>
      </c>
      <c r="AD1468">
        <v>0</v>
      </c>
      <c r="AE1468">
        <v>0</v>
      </c>
      <c r="AF1468">
        <v>0</v>
      </c>
      <c r="AG1468">
        <v>0</v>
      </c>
      <c r="AH1468">
        <v>0</v>
      </c>
      <c r="AI1468">
        <v>0</v>
      </c>
      <c r="AJ1468">
        <v>1</v>
      </c>
      <c r="AK1468">
        <v>0</v>
      </c>
      <c r="AL1468">
        <v>0</v>
      </c>
      <c r="AM1468">
        <v>0</v>
      </c>
      <c r="AN1468">
        <v>0</v>
      </c>
      <c r="AO1468">
        <v>0</v>
      </c>
      <c r="AP1468">
        <v>0</v>
      </c>
      <c r="AQ1468">
        <v>0</v>
      </c>
      <c r="AR1468">
        <v>0</v>
      </c>
      <c r="AS1468">
        <v>0</v>
      </c>
      <c r="AT1468">
        <v>0</v>
      </c>
      <c r="AU1468">
        <v>0</v>
      </c>
      <c r="AV1468">
        <v>0</v>
      </c>
      <c r="AW1468">
        <v>0</v>
      </c>
      <c r="AX1468">
        <v>0</v>
      </c>
      <c r="AY1468">
        <v>0</v>
      </c>
      <c r="AZ1468" s="141">
        <f>COUNTIF(X1468:AY1468,"&lt;&gt;0")</f>
        <v>1</v>
      </c>
      <c r="BA1468" s="141">
        <f>COUNTIF(X1468:AN1468,"&lt;&gt;0")</f>
        <v>1</v>
      </c>
      <c r="BB1468">
        <f>COUNTIF(X1468:AE1468,"&lt;&gt;0")</f>
        <v>0</v>
      </c>
      <c r="BC1468">
        <f>COUNTIF(AF1468:AK1468,"&lt;&gt;0")</f>
        <v>1</v>
      </c>
      <c r="BD1468">
        <f>COUNTIF(AL1468:AN1468,"&lt;&gt;0")</f>
        <v>0</v>
      </c>
      <c r="BE1468">
        <f>COUNTIF(AU1468:AY1468,"&lt;&gt;0")</f>
        <v>0</v>
      </c>
      <c r="BF1468">
        <f>COUNTIF(AO1468:AT1468,"&lt;&gt;0")</f>
        <v>0</v>
      </c>
      <c r="BG1468" t="str">
        <f t="array" ref="BG1468">IF(BA1468=1,INDEX($X$7:$AN$7,MATCH(TRUE,INDEX($X1468:$AY1468&lt;&gt;0,),0)),IF(BA1468=0,INDEX($AO$7:$AY$7,MATCH(1,$AO1468:$AY1468,0)),IF(BH1468="Multiple strategies","mixed drivers",IF(BH1468="Supply chain","multiple supply","multiple silviculture"))))</f>
        <v xml:space="preserve">end of life disposal </v>
      </c>
      <c r="BH1468" s="2" t="str" cm="1">
        <f t="array" ref="BH1468">IF(COUNTIF(BB1468:BD1468,"&lt;&gt;0")=1,INDEX($X$4:$AY$4,MATCH(TRUE,INDEX($X1468:$AY1468&lt;&gt;0,),0)),IF(COUNTIF(BB1468:BD1468,"&lt;&gt;0")=0,INDEX($AO$4:$AY$4,MATCH(1,$AO1468:$AY1468,0)),"Multiple strategies"))</f>
        <v>Supply chain</v>
      </c>
      <c r="BI1468" s="1" t="s">
        <v>229</v>
      </c>
      <c r="BJ1468" t="s">
        <v>918</v>
      </c>
      <c r="BK1468" s="256" t="s">
        <v>3048</v>
      </c>
      <c r="BL1468" t="s">
        <v>345</v>
      </c>
      <c r="BM1468">
        <v>116.6</v>
      </c>
      <c r="BN1468">
        <v>116.6</v>
      </c>
      <c r="BO1468" s="143"/>
      <c r="BP1468">
        <f>BN1468-BM1468</f>
        <v>0</v>
      </c>
      <c r="BQ1468">
        <f>BP1468*kg_to_m3</f>
        <v>0</v>
      </c>
      <c r="BR1468" t="s">
        <v>232</v>
      </c>
      <c r="BS1468" s="256" t="s">
        <v>3049</v>
      </c>
      <c r="BT1468" t="s">
        <v>919</v>
      </c>
      <c r="BU1468" s="143">
        <v>-179.7</v>
      </c>
      <c r="BV1468">
        <v>-71.3</v>
      </c>
      <c r="BW1468" s="144">
        <f>IFERROR(BV1468/BU1468,"")</f>
        <v>0.39677239844184753</v>
      </c>
      <c r="BX1468">
        <f>BV1468-BU1468</f>
        <v>108.39999999999999</v>
      </c>
      <c r="BZ1468">
        <f>BX1468/1000</f>
        <v>0.1084</v>
      </c>
      <c r="CA1468" t="str">
        <f>IFERROR(BZ1468/BQ1468,"")</f>
        <v/>
      </c>
      <c r="CB1468">
        <v>1</v>
      </c>
      <c r="CC1468">
        <v>0</v>
      </c>
      <c r="CD1468">
        <v>0</v>
      </c>
      <c r="CE1468">
        <v>0</v>
      </c>
      <c r="CF1468">
        <v>0</v>
      </c>
      <c r="CG1468">
        <v>1</v>
      </c>
      <c r="CH1468">
        <v>0</v>
      </c>
      <c r="CI1468">
        <v>1</v>
      </c>
      <c r="CJ1468">
        <v>0</v>
      </c>
      <c r="CK1468">
        <v>0</v>
      </c>
      <c r="CL1468">
        <v>0</v>
      </c>
      <c r="CM1468">
        <v>0</v>
      </c>
      <c r="CN1468">
        <v>0</v>
      </c>
      <c r="CO1468">
        <v>0</v>
      </c>
      <c r="CP1468" t="str">
        <f>IF($BN1468&lt;$BM1468,"refNeedCorrection","refOK")</f>
        <v>refOK</v>
      </c>
      <c r="CQ1468">
        <f>IF($CP1468="refOK",$BM1468,$BN1468)</f>
        <v>116.6</v>
      </c>
      <c r="CR1468">
        <f>IF($CP1468="refOK",$BN1468,$BM1468)</f>
        <v>116.6</v>
      </c>
      <c r="CS1468">
        <f>IF($CP1468="refOK",$BQ1468,-$BQ1468)</f>
        <v>0</v>
      </c>
      <c r="CT1468">
        <f>IF(BI1468="Roundwood",$CS1468/2,$CS1468)</f>
        <v>0</v>
      </c>
      <c r="CU1468">
        <f>IF($CP1468="refOK",$BU1468,$BV1468)*IF($BR1468="Emissions positive",-1,1)</f>
        <v>-179.7</v>
      </c>
      <c r="CV1468">
        <f>IF($CP1468="refOK",$BV1468,$BU1468)*IF($BR1468="Emissions positive",-1,1)</f>
        <v>-71.3</v>
      </c>
      <c r="CW1468">
        <f>IF($CP1468="refNeedCorrection",-BZ1468,BZ1468)*IF($BR1468="Emissions positive",-1,1)</f>
        <v>0.1084</v>
      </c>
      <c r="CX1468" t="str">
        <f>IFERROR($CW1468/$CS1468,"")</f>
        <v/>
      </c>
      <c r="CY1468" t="str">
        <f>IFERROR($CW1468/$CS1468,"")</f>
        <v/>
      </c>
      <c r="CZ1468" t="str">
        <f>IFERROR($CW1468/$CT1468,"")</f>
        <v/>
      </c>
      <c r="DA1468" s="2">
        <f>IFERROR((CV1468-CU1468)/ABS(CU1468),"")</f>
        <v>0.60322760155815247</v>
      </c>
      <c r="DB1468" s="1" t="s">
        <v>263</v>
      </c>
      <c r="DC1468" t="str">
        <f>IF(OR($DB1468="prd",$DB1468="std",$DB1468="cit"),"loc",IF(OR($DB1468="eur",$DB1468="reg",$DB1468="coy"),"reg",$DB1468))</f>
        <v>loc</v>
      </c>
      <c r="DD1468" s="296" t="s">
        <v>3098</v>
      </c>
      <c r="DG1468">
        <v>0</v>
      </c>
      <c r="DH1468" t="str">
        <f>IF(DG1468=0,"0",IF(AND(DG1468&gt;=1,DG1468&lt;=30),"1-30",IF(AND(DG1468&gt;30,DG1468&lt;=70),"31-70",IF(AND(DG1468&gt;70,DG1468&lt;=100),"71-100",IF(DG1468&gt;100,"+100")))))</f>
        <v>0</v>
      </c>
      <c r="DI1468">
        <v>0</v>
      </c>
      <c r="DJ1468">
        <v>0</v>
      </c>
      <c r="DK1468">
        <v>0</v>
      </c>
      <c r="DL1468">
        <v>1</v>
      </c>
      <c r="DN1468">
        <f>SUM(DI1468:DL1468)</f>
        <v>1</v>
      </c>
      <c r="DO1468" t="str">
        <f>IF(DN1468=1,INDEX($DI$7:$DL$7,MATCH(1,$DI1468:$DL1468,0)),"mixedProduct")</f>
        <v>TimberInput</v>
      </c>
      <c r="DP1468">
        <f>IF(DI1468=1,DP$7,0)</f>
        <v>0</v>
      </c>
      <c r="DQ1468">
        <f>IF(DJ1468=1,DQ$7,0)</f>
        <v>0</v>
      </c>
      <c r="DR1468">
        <f>IF(DK1468=1,DR$7,0)</f>
        <v>0</v>
      </c>
      <c r="DS1468" t="str">
        <f>IF(DL1468=1,DS$7,0)</f>
        <v>Timber</v>
      </c>
      <c r="DT1468">
        <v>0</v>
      </c>
      <c r="DU1468">
        <v>0</v>
      </c>
      <c r="DV1468">
        <v>0</v>
      </c>
      <c r="DW1468">
        <v>0</v>
      </c>
      <c r="DX1468">
        <v>0</v>
      </c>
      <c r="DY1468">
        <f>SUM(DT1468:DU1468)</f>
        <v>0</v>
      </c>
      <c r="DZ1468" s="143" t="str">
        <f>IF(DT1468=1,"self-calculated DF",IF(DU1468=1,"external DF used","explicit C balance"))</f>
        <v>explicit C balance</v>
      </c>
      <c r="EA1468">
        <v>0</v>
      </c>
      <c r="EB1468">
        <v>0</v>
      </c>
      <c r="EC1468">
        <v>0</v>
      </c>
      <c r="ED1468">
        <v>1</v>
      </c>
      <c r="EE1468">
        <v>0</v>
      </c>
      <c r="EF1468" s="143">
        <v>1</v>
      </c>
      <c r="EG1468">
        <v>1</v>
      </c>
      <c r="EH1468">
        <v>1</v>
      </c>
      <c r="EI1468">
        <v>0</v>
      </c>
      <c r="EJ1468">
        <v>1</v>
      </c>
      <c r="EK1468">
        <v>0</v>
      </c>
      <c r="EL1468">
        <v>0</v>
      </c>
      <c r="EM1468">
        <v>0</v>
      </c>
      <c r="EN1468" s="2">
        <v>0</v>
      </c>
      <c r="EP1468" t="str">
        <f>IF(AND(AND(AND(OR($EC1468=1,$EB1468=1),OR($EH1468=1,$EF1468=1)),SUM($EA1468:$EE1468,$EK1468)&gt;=3),SUM($EF1468:$EJ1468)&gt;=2),"Whole sector approach","")</f>
        <v/>
      </c>
      <c r="EQ1468" t="str">
        <f>IF(AND(AND(OR($EC1468=1,$EB1468=1),AND($EH1468=0,$EF1468=0)),SUM($EA1468:$EE1468,$EK1468)&gt;=4),"Ecosystem approach","")</f>
        <v/>
      </c>
      <c r="ER1468" s="2" t="str">
        <f>IF(AND(AND(AND($EC1468=0,$EB1468=0),OR($EH1468=1,$EF1468=1)),SUM($EG1468:$EJ1468)&gt;=2),"Technology approach","")</f>
        <v>Technology approach</v>
      </c>
      <c r="ES1468" t="str">
        <f>IF(AND($EC1468+$EB1468+$EE1468+$EA1468+$ED1468+$EG1468=0,$N1468="included"),"C neutral forest and HWP assumption","")</f>
        <v/>
      </c>
      <c r="ET1468" t="str">
        <f>IF(AND(AND(AND(AND($EC1468=1,$EB1468+$EA1468+$EG1468&gt;=1),$EF1468=1),$EH1468+$EI1468+$ED1468+$EE1468&gt;=2),$N1468="included"),"All C pools assumption","")</f>
        <v/>
      </c>
      <c r="EU1468" t="str">
        <f>IF(AND($ED1468+$EE1468+$EI1468+$EH1468+$EF1468=0,$N1468="included"),"In-situ only assumption","")</f>
        <v/>
      </c>
      <c r="EY1468" t="b">
        <f>IF(ISNUMBER(BW1468),IF(ABS(BW1468-[6]QC_indicators!$B$2)&gt;3*[6]QC_indicators!$C$2,"C ratio",IF(ISNUMBER(CA1468),IF(ABS(CA1468-[6]QC_indicators!$B$1)&gt;3*[6]QC_indicators!$C$1,"DF","no"))),IF(ISNUMBER(CA1468),IF(ABS(CA1468-[6]QC_indicators!$B$1)&gt;3*[6]QC_indicators!$C$1,"DF","no")))</f>
        <v>0</v>
      </c>
      <c r="FA1468" t="str">
        <f>IF(LEN($CY1468)=0,"",IF(AND($CY1468&lt;(-0.05),$ES1468="C neutral forest and HWP assumption"),"Cneutral paradox",IF(AND($CY1468&gt;0.05,$EU1468="In-situ only assumption"),"In-situ only paradox","")))</f>
        <v/>
      </c>
      <c r="FB1468" s="149" t="s">
        <v>349</v>
      </c>
      <c r="FD1468" s="260" t="s">
        <v>2948</v>
      </c>
    </row>
    <row r="1469" spans="1:160" ht="15" hidden="1" customHeight="1">
      <c r="A1469" s="1" t="s">
        <v>333</v>
      </c>
      <c r="B1469" t="s">
        <v>909</v>
      </c>
      <c r="C1469" t="s">
        <v>910</v>
      </c>
      <c r="D1469" t="s">
        <v>911</v>
      </c>
      <c r="E1469" t="s">
        <v>912</v>
      </c>
      <c r="F1469" t="s">
        <v>913</v>
      </c>
      <c r="G1469" t="s">
        <v>339</v>
      </c>
      <c r="H1469" t="s">
        <v>254</v>
      </c>
      <c r="I1469">
        <v>2021</v>
      </c>
      <c r="J1469">
        <v>0</v>
      </c>
      <c r="K1469" t="s">
        <v>914</v>
      </c>
      <c r="M1469" t="str">
        <f>LEFT($D1469,FIND(",",$D1469)-1)&amp;"_"&amp;I1469&amp;L1469</f>
        <v>Morris_2021</v>
      </c>
      <c r="N1469" t="s">
        <v>222</v>
      </c>
      <c r="O1469" t="s">
        <v>223</v>
      </c>
      <c r="Q1469" t="s">
        <v>256</v>
      </c>
      <c r="R1469" s="251" t="s">
        <v>225</v>
      </c>
      <c r="S1469" s="1" t="s">
        <v>915</v>
      </c>
      <c r="T1469" t="s">
        <v>916</v>
      </c>
      <c r="U1469" s="143" t="s">
        <v>99</v>
      </c>
      <c r="V1469" s="253">
        <v>0</v>
      </c>
      <c r="W1469" s="253">
        <v>0</v>
      </c>
      <c r="X1469">
        <v>0</v>
      </c>
      <c r="Y1469">
        <v>0</v>
      </c>
      <c r="Z1469">
        <v>0</v>
      </c>
      <c r="AA1469">
        <v>0</v>
      </c>
      <c r="AB1469">
        <v>0</v>
      </c>
      <c r="AC1469">
        <v>0</v>
      </c>
      <c r="AD1469">
        <v>0</v>
      </c>
      <c r="AE1469">
        <v>0</v>
      </c>
      <c r="AF1469">
        <v>0</v>
      </c>
      <c r="AG1469">
        <v>0</v>
      </c>
      <c r="AH1469">
        <v>0</v>
      </c>
      <c r="AI1469">
        <v>0</v>
      </c>
      <c r="AJ1469">
        <v>1</v>
      </c>
      <c r="AK1469">
        <v>0</v>
      </c>
      <c r="AL1469">
        <v>0</v>
      </c>
      <c r="AM1469">
        <v>0</v>
      </c>
      <c r="AN1469">
        <v>0</v>
      </c>
      <c r="AO1469">
        <v>0</v>
      </c>
      <c r="AP1469">
        <v>0</v>
      </c>
      <c r="AQ1469">
        <v>0</v>
      </c>
      <c r="AR1469">
        <v>0</v>
      </c>
      <c r="AS1469">
        <v>0</v>
      </c>
      <c r="AT1469">
        <v>0</v>
      </c>
      <c r="AU1469">
        <v>0</v>
      </c>
      <c r="AV1469">
        <v>0</v>
      </c>
      <c r="AW1469">
        <v>0</v>
      </c>
      <c r="AX1469">
        <v>0</v>
      </c>
      <c r="AY1469">
        <v>0</v>
      </c>
      <c r="AZ1469" s="141">
        <f>COUNTIF(X1469:AY1469,"&lt;&gt;0")</f>
        <v>1</v>
      </c>
      <c r="BA1469" s="141">
        <f>COUNTIF(X1469:AN1469,"&lt;&gt;0")</f>
        <v>1</v>
      </c>
      <c r="BB1469">
        <f>COUNTIF(X1469:AE1469,"&lt;&gt;0")</f>
        <v>0</v>
      </c>
      <c r="BC1469">
        <f>COUNTIF(AF1469:AK1469,"&lt;&gt;0")</f>
        <v>1</v>
      </c>
      <c r="BD1469">
        <f>COUNTIF(AL1469:AN1469,"&lt;&gt;0")</f>
        <v>0</v>
      </c>
      <c r="BE1469">
        <f>COUNTIF(AU1469:AY1469,"&lt;&gt;0")</f>
        <v>0</v>
      </c>
      <c r="BF1469">
        <f>COUNTIF(AO1469:AT1469,"&lt;&gt;0")</f>
        <v>0</v>
      </c>
      <c r="BG1469" t="str">
        <f t="array" ref="BG1469">IF(BA1469=1,INDEX($X$7:$AN$7,MATCH(TRUE,INDEX($X1469:$AY1469&lt;&gt;0,),0)),IF(BA1469=0,INDEX($AO$7:$AY$7,MATCH(1,$AO1469:$AY1469,0)),IF(BH1469="Multiple strategies","mixed drivers",IF(BH1469="Supply chain","multiple supply","multiple silviculture"))))</f>
        <v xml:space="preserve">end of life disposal </v>
      </c>
      <c r="BH1469" s="2" t="str" cm="1">
        <f t="array" ref="BH1469">IF(COUNTIF(BB1469:BD1469,"&lt;&gt;0")=1,INDEX($X$4:$AY$4,MATCH(TRUE,INDEX($X1469:$AY1469&lt;&gt;0,),0)),IF(COUNTIF(BB1469:BD1469,"&lt;&gt;0")=0,INDEX($AO$4:$AY$4,MATCH(1,$AO1469:$AY1469,0)),"Multiple strategies"))</f>
        <v>Supply chain</v>
      </c>
      <c r="BI1469" s="1" t="s">
        <v>229</v>
      </c>
      <c r="BJ1469" t="s">
        <v>918</v>
      </c>
      <c r="BK1469" s="256" t="s">
        <v>3048</v>
      </c>
      <c r="BL1469" t="s">
        <v>345</v>
      </c>
      <c r="BM1469">
        <v>116.6</v>
      </c>
      <c r="BN1469">
        <v>116.6</v>
      </c>
      <c r="BO1469" s="143"/>
      <c r="BP1469">
        <f>BN1469-BM1469</f>
        <v>0</v>
      </c>
      <c r="BQ1469">
        <f>BP1469*kg_to_m3</f>
        <v>0</v>
      </c>
      <c r="BR1469" t="s">
        <v>232</v>
      </c>
      <c r="BS1469" s="256" t="s">
        <v>3050</v>
      </c>
      <c r="BT1469" t="s">
        <v>919</v>
      </c>
      <c r="BU1469">
        <v>-159.69999999999999</v>
      </c>
      <c r="BV1469">
        <v>-39.799999999999997</v>
      </c>
      <c r="BW1469" s="144">
        <f>IFERROR(BV1469/BU1469,"")</f>
        <v>0.24921728240450847</v>
      </c>
      <c r="BX1469">
        <f>BV1469-BU1469</f>
        <v>119.89999999999999</v>
      </c>
      <c r="BZ1469">
        <f>BX1469/1000</f>
        <v>0.11989999999999999</v>
      </c>
      <c r="CA1469" t="str">
        <f>IFERROR(BZ1469/BQ1469,"")</f>
        <v/>
      </c>
      <c r="CB1469">
        <v>1</v>
      </c>
      <c r="CC1469">
        <v>0</v>
      </c>
      <c r="CD1469">
        <v>0</v>
      </c>
      <c r="CE1469">
        <v>0</v>
      </c>
      <c r="CF1469">
        <v>0</v>
      </c>
      <c r="CG1469">
        <v>1</v>
      </c>
      <c r="CH1469">
        <v>0</v>
      </c>
      <c r="CI1469">
        <v>1</v>
      </c>
      <c r="CJ1469">
        <v>0</v>
      </c>
      <c r="CK1469">
        <v>0</v>
      </c>
      <c r="CL1469">
        <v>0</v>
      </c>
      <c r="CM1469">
        <v>0</v>
      </c>
      <c r="CN1469">
        <v>0</v>
      </c>
      <c r="CO1469">
        <v>0</v>
      </c>
      <c r="CP1469" t="str">
        <f>IF($BN1469&lt;$BM1469,"refNeedCorrection","refOK")</f>
        <v>refOK</v>
      </c>
      <c r="CQ1469">
        <f>IF($CP1469="refOK",$BM1469,$BN1469)</f>
        <v>116.6</v>
      </c>
      <c r="CR1469">
        <f>IF($CP1469="refOK",$BN1469,$BM1469)</f>
        <v>116.6</v>
      </c>
      <c r="CS1469">
        <f>IF($CP1469="refOK",$BQ1469,-$BQ1469)</f>
        <v>0</v>
      </c>
      <c r="CT1469">
        <f>IF(BI1469="Roundwood",$CS1469/2,$CS1469)</f>
        <v>0</v>
      </c>
      <c r="CU1469">
        <f>IF($CP1469="refOK",$BU1469,$BV1469)*IF($BR1469="Emissions positive",-1,1)</f>
        <v>-159.69999999999999</v>
      </c>
      <c r="CV1469">
        <f>IF($CP1469="refOK",$BV1469,$BU1469)*IF($BR1469="Emissions positive",-1,1)</f>
        <v>-39.799999999999997</v>
      </c>
      <c r="CW1469">
        <f>IF($CP1469="refNeedCorrection",-BZ1469,BZ1469)*IF($BR1469="Emissions positive",-1,1)</f>
        <v>0.11989999999999999</v>
      </c>
      <c r="CX1469" t="str">
        <f>IFERROR($CW1469/$CS1469,"")</f>
        <v/>
      </c>
      <c r="CY1469" t="str">
        <f>IFERROR($CW1469/$CS1469,"")</f>
        <v/>
      </c>
      <c r="CZ1469" t="str">
        <f>IFERROR($CW1469/$CT1469,"")</f>
        <v/>
      </c>
      <c r="DA1469" s="2">
        <f>IFERROR((CV1469-CU1469)/ABS(CU1469),"")</f>
        <v>0.75078271759549153</v>
      </c>
      <c r="DB1469" s="1" t="s">
        <v>263</v>
      </c>
      <c r="DC1469" t="str">
        <f>IF(OR($DB1469="prd",$DB1469="std",$DB1469="cit"),"loc",IF(OR($DB1469="eur",$DB1469="reg",$DB1469="coy"),"reg",$DB1469))</f>
        <v>loc</v>
      </c>
      <c r="DD1469" s="296" t="s">
        <v>3098</v>
      </c>
      <c r="DG1469">
        <v>0</v>
      </c>
      <c r="DH1469" t="str">
        <f>IF(DG1469=0,"0",IF(AND(DG1469&gt;=1,DG1469&lt;=30),"1-30",IF(AND(DG1469&gt;30,DG1469&lt;=70),"31-70",IF(AND(DG1469&gt;70,DG1469&lt;=100),"71-100",IF(DG1469&gt;100,"+100")))))</f>
        <v>0</v>
      </c>
      <c r="DI1469">
        <v>0</v>
      </c>
      <c r="DJ1469">
        <v>0</v>
      </c>
      <c r="DK1469">
        <v>0</v>
      </c>
      <c r="DL1469">
        <v>1</v>
      </c>
      <c r="DN1469">
        <f>SUM(DI1469:DL1469)</f>
        <v>1</v>
      </c>
      <c r="DO1469" t="str">
        <f>IF(DN1469=1,INDEX($DI$7:$DL$7,MATCH(1,$DI1469:$DL1469,0)),"mixedProduct")</f>
        <v>TimberInput</v>
      </c>
      <c r="DP1469">
        <f>IF(DI1469=1,DP$7,0)</f>
        <v>0</v>
      </c>
      <c r="DQ1469">
        <f>IF(DJ1469=1,DQ$7,0)</f>
        <v>0</v>
      </c>
      <c r="DR1469">
        <f>IF(DK1469=1,DR$7,0)</f>
        <v>0</v>
      </c>
      <c r="DS1469" t="str">
        <f>IF(DL1469=1,DS$7,0)</f>
        <v>Timber</v>
      </c>
      <c r="DT1469">
        <v>0</v>
      </c>
      <c r="DU1469">
        <v>0</v>
      </c>
      <c r="DV1469">
        <v>0</v>
      </c>
      <c r="DW1469">
        <v>0</v>
      </c>
      <c r="DX1469">
        <v>0</v>
      </c>
      <c r="DY1469">
        <f>SUM(DT1469:DU1469)</f>
        <v>0</v>
      </c>
      <c r="DZ1469" s="143" t="str">
        <f>IF(DT1469=1,"self-calculated DF",IF(DU1469=1,"external DF used","explicit C balance"))</f>
        <v>explicit C balance</v>
      </c>
      <c r="EA1469">
        <v>0</v>
      </c>
      <c r="EB1469">
        <v>0</v>
      </c>
      <c r="EC1469">
        <v>0</v>
      </c>
      <c r="ED1469">
        <v>0</v>
      </c>
      <c r="EE1469">
        <v>0</v>
      </c>
      <c r="EF1469" s="143">
        <v>0</v>
      </c>
      <c r="EG1469">
        <v>1</v>
      </c>
      <c r="EH1469">
        <v>1</v>
      </c>
      <c r="EI1469">
        <v>0</v>
      </c>
      <c r="EJ1469">
        <v>1</v>
      </c>
      <c r="EK1469">
        <v>0</v>
      </c>
      <c r="EL1469">
        <v>0</v>
      </c>
      <c r="EM1469">
        <v>0</v>
      </c>
      <c r="EN1469" s="2">
        <v>0</v>
      </c>
      <c r="EP1469" t="str">
        <f>IF(AND(AND(AND(OR($EC1469=1,$EB1469=1),OR($EH1469=1,$EF1469=1)),SUM($EA1469:$EE1469,$EK1469)&gt;=3),SUM($EF1469:$EJ1469)&gt;=2),"Whole sector approach","")</f>
        <v/>
      </c>
      <c r="EQ1469" t="str">
        <f>IF(AND(AND(OR($EC1469=1,$EB1469=1),AND($EH1469=0,$EF1469=0)),SUM($EA1469:$EE1469,$EK1469)&gt;=4),"Ecosystem approach","")</f>
        <v/>
      </c>
      <c r="ER1469" s="2" t="str">
        <f>IF(AND(AND(AND($EC1469=0,$EB1469=0),OR($EH1469=1,$EF1469=1)),SUM($EG1469:$EJ1469)&gt;=2),"Technology approach","")</f>
        <v>Technology approach</v>
      </c>
      <c r="ES1469" t="str">
        <f>IF(AND($EC1469+$EB1469+$EE1469+$EA1469+$ED1469+$EG1469=0,$N1469="included"),"C neutral forest and HWP assumption","")</f>
        <v/>
      </c>
      <c r="ET1469" t="str">
        <f>IF(AND(AND(AND(AND($EC1469=1,$EB1469+$EA1469+$EG1469&gt;=1),$EF1469=1),$EH1469+$EI1469+$ED1469+$EE1469&gt;=2),$N1469="included"),"All C pools assumption","")</f>
        <v/>
      </c>
      <c r="EU1469" t="str">
        <f>IF(AND($ED1469+$EE1469+$EI1469+$EH1469+$EF1469=0,$N1469="included"),"In-situ only assumption","")</f>
        <v/>
      </c>
      <c r="EY1469" t="b">
        <f>IF(ISNUMBER(BW1469),IF(ABS(BW1469-[6]QC_indicators!$B$2)&gt;3*[6]QC_indicators!$C$2,"C ratio",IF(ISNUMBER(CA1469),IF(ABS(CA1469-[6]QC_indicators!$B$1)&gt;3*[6]QC_indicators!$C$1,"DF","no"))),IF(ISNUMBER(CA1469),IF(ABS(CA1469-[6]QC_indicators!$B$1)&gt;3*[6]QC_indicators!$C$1,"DF","no")))</f>
        <v>0</v>
      </c>
      <c r="FA1469" t="str">
        <f>IF(LEN($CY1469)=0,"",IF(AND($CY1469&lt;(-0.05),$ES1469="C neutral forest and HWP assumption"),"Cneutral paradox",IF(AND($CY1469&gt;0.05,$EU1469="In-situ only assumption"),"In-situ only paradox","")))</f>
        <v/>
      </c>
      <c r="FB1469" s="149" t="s">
        <v>349</v>
      </c>
      <c r="FD1469" s="260" t="s">
        <v>2948</v>
      </c>
    </row>
    <row r="1470" spans="1:160" hidden="1">
      <c r="A1470" s="1" t="s">
        <v>333</v>
      </c>
      <c r="B1470" t="s">
        <v>909</v>
      </c>
      <c r="C1470" t="s">
        <v>910</v>
      </c>
      <c r="D1470" t="s">
        <v>911</v>
      </c>
      <c r="E1470" t="s">
        <v>912</v>
      </c>
      <c r="F1470" t="s">
        <v>913</v>
      </c>
      <c r="G1470" t="s">
        <v>339</v>
      </c>
      <c r="H1470" t="s">
        <v>254</v>
      </c>
      <c r="I1470">
        <v>2021</v>
      </c>
      <c r="J1470">
        <v>0</v>
      </c>
      <c r="K1470" t="s">
        <v>914</v>
      </c>
      <c r="M1470" t="str">
        <f>LEFT($D1470,FIND(",",$D1470)-1)&amp;"_"&amp;I1470&amp;L1470</f>
        <v>Morris_2021</v>
      </c>
      <c r="N1470" t="s">
        <v>222</v>
      </c>
      <c r="O1470" t="s">
        <v>223</v>
      </c>
      <c r="Q1470" t="s">
        <v>256</v>
      </c>
      <c r="R1470" s="251" t="s">
        <v>225</v>
      </c>
      <c r="S1470" s="1" t="s">
        <v>915</v>
      </c>
      <c r="T1470" t="s">
        <v>916</v>
      </c>
      <c r="U1470" s="143" t="s">
        <v>917</v>
      </c>
      <c r="V1470" s="253">
        <v>0</v>
      </c>
      <c r="W1470" s="253">
        <v>0</v>
      </c>
      <c r="X1470">
        <v>0</v>
      </c>
      <c r="Y1470">
        <v>0</v>
      </c>
      <c r="Z1470">
        <v>0</v>
      </c>
      <c r="AA1470">
        <v>0</v>
      </c>
      <c r="AB1470">
        <v>0</v>
      </c>
      <c r="AC1470">
        <v>0</v>
      </c>
      <c r="AD1470">
        <v>0</v>
      </c>
      <c r="AE1470">
        <v>0</v>
      </c>
      <c r="AF1470">
        <v>0</v>
      </c>
      <c r="AG1470">
        <v>0</v>
      </c>
      <c r="AH1470">
        <v>0</v>
      </c>
      <c r="AI1470">
        <v>0</v>
      </c>
      <c r="AJ1470">
        <v>1</v>
      </c>
      <c r="AK1470">
        <v>0</v>
      </c>
      <c r="AL1470">
        <v>0</v>
      </c>
      <c r="AM1470">
        <v>0</v>
      </c>
      <c r="AN1470">
        <v>0</v>
      </c>
      <c r="AO1470">
        <v>0</v>
      </c>
      <c r="AP1470">
        <v>0</v>
      </c>
      <c r="AQ1470">
        <v>0</v>
      </c>
      <c r="AR1470">
        <v>0</v>
      </c>
      <c r="AS1470">
        <v>0</v>
      </c>
      <c r="AT1470">
        <v>0</v>
      </c>
      <c r="AU1470">
        <v>0</v>
      </c>
      <c r="AV1470">
        <v>0</v>
      </c>
      <c r="AW1470">
        <v>0</v>
      </c>
      <c r="AX1470">
        <v>0</v>
      </c>
      <c r="AY1470">
        <v>0</v>
      </c>
      <c r="AZ1470" s="141">
        <f>COUNTIF(X1470:AY1470,"&lt;&gt;0")</f>
        <v>1</v>
      </c>
      <c r="BA1470" s="141">
        <f>COUNTIF(X1470:AN1470,"&lt;&gt;0")</f>
        <v>1</v>
      </c>
      <c r="BB1470">
        <f>COUNTIF(X1470:AE1470,"&lt;&gt;0")</f>
        <v>0</v>
      </c>
      <c r="BC1470">
        <f>COUNTIF(AF1470:AK1470,"&lt;&gt;0")</f>
        <v>1</v>
      </c>
      <c r="BD1470">
        <f>COUNTIF(AL1470:AN1470,"&lt;&gt;0")</f>
        <v>0</v>
      </c>
      <c r="BE1470">
        <f>COUNTIF(AU1470:AY1470,"&lt;&gt;0")</f>
        <v>0</v>
      </c>
      <c r="BF1470">
        <f>COUNTIF(AO1470:AT1470,"&lt;&gt;0")</f>
        <v>0</v>
      </c>
      <c r="BG1470" t="str">
        <f t="array" ref="BG1470">IF(BA1470=1,INDEX($X$7:$AN$7,MATCH(TRUE,INDEX($X1470:$AY1470&lt;&gt;0,),0)),IF(BA1470=0,INDEX($AO$7:$AY$7,MATCH(1,$AO1470:$AY1470,0)),IF(BH1470="Multiple strategies","mixed drivers",IF(BH1470="Supply chain","multiple supply","multiple silviculture"))))</f>
        <v xml:space="preserve">end of life disposal </v>
      </c>
      <c r="BH1470" s="2" t="str" cm="1">
        <f t="array" ref="BH1470">IF(COUNTIF(BB1470:BD1470,"&lt;&gt;0")=1,INDEX($X$4:$AY$4,MATCH(TRUE,INDEX($X1470:$AY1470&lt;&gt;0,),0)),IF(COUNTIF(BB1470:BD1470,"&lt;&gt;0")=0,INDEX($AO$4:$AY$4,MATCH(1,$AO1470:$AY1470,0)),"Multiple strategies"))</f>
        <v>Supply chain</v>
      </c>
      <c r="BI1470" s="1" t="s">
        <v>229</v>
      </c>
      <c r="BJ1470" t="s">
        <v>918</v>
      </c>
      <c r="BK1470" s="256" t="s">
        <v>3048</v>
      </c>
      <c r="BL1470" t="s">
        <v>345</v>
      </c>
      <c r="BM1470">
        <v>116.6</v>
      </c>
      <c r="BN1470">
        <v>116.6</v>
      </c>
      <c r="BO1470" s="143"/>
      <c r="BP1470">
        <f>BN1470-BM1470</f>
        <v>0</v>
      </c>
      <c r="BQ1470">
        <f>BP1470*kg_to_m3</f>
        <v>0</v>
      </c>
      <c r="BR1470" t="s">
        <v>232</v>
      </c>
      <c r="BS1470" s="256" t="s">
        <v>3050</v>
      </c>
      <c r="BT1470" t="s">
        <v>919</v>
      </c>
      <c r="BU1470">
        <v>-159.69999999999999</v>
      </c>
      <c r="BV1470">
        <v>-32.799999999999997</v>
      </c>
      <c r="BW1470" s="144">
        <f>IFERROR(BV1470/BU1470,"")</f>
        <v>0.20538509705698182</v>
      </c>
      <c r="BX1470">
        <f>BV1470-BU1470</f>
        <v>126.89999999999999</v>
      </c>
      <c r="BZ1470">
        <f>BX1470/1000</f>
        <v>0.12689999999999999</v>
      </c>
      <c r="CA1470" t="str">
        <f>IFERROR(BZ1470/BQ1470,"")</f>
        <v/>
      </c>
      <c r="CB1470">
        <v>1</v>
      </c>
      <c r="CC1470">
        <v>0</v>
      </c>
      <c r="CD1470">
        <v>0</v>
      </c>
      <c r="CE1470">
        <v>0</v>
      </c>
      <c r="CF1470">
        <v>0</v>
      </c>
      <c r="CG1470">
        <v>1</v>
      </c>
      <c r="CH1470">
        <v>0</v>
      </c>
      <c r="CI1470">
        <v>1</v>
      </c>
      <c r="CJ1470">
        <v>0</v>
      </c>
      <c r="CK1470">
        <v>0</v>
      </c>
      <c r="CL1470">
        <v>0</v>
      </c>
      <c r="CM1470">
        <v>0</v>
      </c>
      <c r="CN1470">
        <v>0</v>
      </c>
      <c r="CO1470">
        <v>0</v>
      </c>
      <c r="CP1470" t="str">
        <f>IF($BN1470&lt;$BM1470,"refNeedCorrection","refOK")</f>
        <v>refOK</v>
      </c>
      <c r="CQ1470">
        <f>IF($CP1470="refOK",$BM1470,$BN1470)</f>
        <v>116.6</v>
      </c>
      <c r="CR1470">
        <f>IF($CP1470="refOK",$BN1470,$BM1470)</f>
        <v>116.6</v>
      </c>
      <c r="CS1470">
        <f>IF($CP1470="refOK",$BQ1470,-$BQ1470)</f>
        <v>0</v>
      </c>
      <c r="CT1470">
        <f>IF(BI1470="Roundwood",$CS1470/2,$CS1470)</f>
        <v>0</v>
      </c>
      <c r="CU1470">
        <f>IF($CP1470="refOK",$BU1470,$BV1470)*IF($BR1470="Emissions positive",-1,1)</f>
        <v>-159.69999999999999</v>
      </c>
      <c r="CV1470">
        <f>IF($CP1470="refOK",$BV1470,$BU1470)*IF($BR1470="Emissions positive",-1,1)</f>
        <v>-32.799999999999997</v>
      </c>
      <c r="CW1470">
        <f>IF($CP1470="refNeedCorrection",-BZ1470,BZ1470)*IF($BR1470="Emissions positive",-1,1)</f>
        <v>0.12689999999999999</v>
      </c>
      <c r="CX1470" t="str">
        <f>IFERROR($CW1470/$CS1470,"")</f>
        <v/>
      </c>
      <c r="CY1470" t="str">
        <f>IFERROR($CW1470/$CS1470,"")</f>
        <v/>
      </c>
      <c r="CZ1470" t="str">
        <f>IFERROR($CW1470/$CT1470,"")</f>
        <v/>
      </c>
      <c r="DA1470" s="2">
        <f>IFERROR((CV1470-CU1470)/ABS(CU1470),"")</f>
        <v>0.79461490294301818</v>
      </c>
      <c r="DB1470" s="1" t="s">
        <v>263</v>
      </c>
      <c r="DC1470" t="str">
        <f>IF(OR($DB1470="prd",$DB1470="std",$DB1470="cit"),"loc",IF(OR($DB1470="eur",$DB1470="reg",$DB1470="coy"),"reg",$DB1470))</f>
        <v>loc</v>
      </c>
      <c r="DD1470" s="296" t="s">
        <v>3098</v>
      </c>
      <c r="DG1470">
        <v>0</v>
      </c>
      <c r="DH1470" t="str">
        <f>IF(DG1470=0,"0",IF(AND(DG1470&gt;=1,DG1470&lt;=30),"1-30",IF(AND(DG1470&gt;30,DG1470&lt;=70),"31-70",IF(AND(DG1470&gt;70,DG1470&lt;=100),"71-100",IF(DG1470&gt;100,"+100")))))</f>
        <v>0</v>
      </c>
      <c r="DI1470">
        <v>0</v>
      </c>
      <c r="DJ1470">
        <v>0</v>
      </c>
      <c r="DK1470">
        <v>0</v>
      </c>
      <c r="DL1470">
        <v>1</v>
      </c>
      <c r="DN1470">
        <f>SUM(DI1470:DL1470)</f>
        <v>1</v>
      </c>
      <c r="DO1470" t="str">
        <f>IF(DN1470=1,INDEX($DI$7:$DL$7,MATCH(1,$DI1470:$DL1470,0)),"mixedProduct")</f>
        <v>TimberInput</v>
      </c>
      <c r="DP1470">
        <f>IF(DI1470=1,DP$7,0)</f>
        <v>0</v>
      </c>
      <c r="DQ1470">
        <f>IF(DJ1470=1,DQ$7,0)</f>
        <v>0</v>
      </c>
      <c r="DR1470">
        <f>IF(DK1470=1,DR$7,0)</f>
        <v>0</v>
      </c>
      <c r="DS1470" t="str">
        <f>IF(DL1470=1,DS$7,0)</f>
        <v>Timber</v>
      </c>
      <c r="DT1470">
        <v>0</v>
      </c>
      <c r="DU1470">
        <v>0</v>
      </c>
      <c r="DV1470">
        <v>0</v>
      </c>
      <c r="DW1470">
        <v>0</v>
      </c>
      <c r="DX1470">
        <v>0</v>
      </c>
      <c r="DY1470">
        <f>SUM(DT1470:DU1470)</f>
        <v>0</v>
      </c>
      <c r="DZ1470" s="143" t="str">
        <f>IF(DT1470=1,"self-calculated DF",IF(DU1470=1,"external DF used","explicit C balance"))</f>
        <v>explicit C balance</v>
      </c>
      <c r="EA1470">
        <v>0</v>
      </c>
      <c r="EB1470">
        <v>0</v>
      </c>
      <c r="EC1470">
        <v>0</v>
      </c>
      <c r="ED1470">
        <v>0</v>
      </c>
      <c r="EE1470">
        <v>0</v>
      </c>
      <c r="EF1470" s="143">
        <v>0</v>
      </c>
      <c r="EG1470">
        <v>1</v>
      </c>
      <c r="EH1470">
        <v>1</v>
      </c>
      <c r="EI1470">
        <v>0</v>
      </c>
      <c r="EJ1470">
        <v>1</v>
      </c>
      <c r="EK1470">
        <v>0</v>
      </c>
      <c r="EL1470">
        <v>0</v>
      </c>
      <c r="EM1470">
        <v>0</v>
      </c>
      <c r="EN1470" s="2">
        <v>0</v>
      </c>
      <c r="EP1470" t="str">
        <f>IF(AND(AND(AND(OR($EC1470=1,$EB1470=1),OR($EH1470=1,$EF1470=1)),SUM($EA1470:$EE1470,$EK1470)&gt;=3),SUM($EF1470:$EJ1470)&gt;=2),"Whole sector approach","")</f>
        <v/>
      </c>
      <c r="EQ1470" t="str">
        <f>IF(AND(AND(OR($EC1470=1,$EB1470=1),AND($EH1470=0,$EF1470=0)),SUM($EA1470:$EE1470,$EK1470)&gt;=4),"Ecosystem approach","")</f>
        <v/>
      </c>
      <c r="ER1470" s="2" t="str">
        <f>IF(AND(AND(AND($EC1470=0,$EB1470=0),OR($EH1470=1,$EF1470=1)),SUM($EG1470:$EJ1470)&gt;=2),"Technology approach","")</f>
        <v>Technology approach</v>
      </c>
      <c r="ES1470" t="str">
        <f>IF(AND($EC1470+$EB1470+$EE1470+$EA1470+$ED1470+$EG1470=0,$N1470="included"),"C neutral forest and HWP assumption","")</f>
        <v/>
      </c>
      <c r="ET1470" t="str">
        <f>IF(AND(AND(AND(AND($EC1470=1,$EB1470+$EA1470+$EG1470&gt;=1),$EF1470=1),$EH1470+$EI1470+$ED1470+$EE1470&gt;=2),$N1470="included"),"All C pools assumption","")</f>
        <v/>
      </c>
      <c r="EU1470" t="str">
        <f>IF(AND($ED1470+$EE1470+$EI1470+$EH1470+$EF1470=0,$N1470="included"),"In-situ only assumption","")</f>
        <v/>
      </c>
      <c r="EY1470" t="b">
        <f>IF(ISNUMBER(BW1470),IF(ABS(BW1470-[6]QC_indicators!$B$2)&gt;3*[6]QC_indicators!$C$2,"C ratio",IF(ISNUMBER(CA1470),IF(ABS(CA1470-[6]QC_indicators!$B$1)&gt;3*[6]QC_indicators!$C$1,"DF","no"))),IF(ISNUMBER(CA1470),IF(ABS(CA1470-[6]QC_indicators!$B$1)&gt;3*[6]QC_indicators!$C$1,"DF","no")))</f>
        <v>0</v>
      </c>
      <c r="FA1470" t="str">
        <f>IF(LEN($CY1470)=0,"",IF(AND($CY1470&lt;(-0.05),$ES1470="C neutral forest and HWP assumption"),"Cneutral paradox",IF(AND($CY1470&gt;0.05,$EU1470="In-situ only assumption"),"In-situ only paradox","")))</f>
        <v/>
      </c>
      <c r="FB1470" s="149" t="s">
        <v>349</v>
      </c>
      <c r="FD1470" s="260" t="s">
        <v>2948</v>
      </c>
    </row>
    <row r="1471" spans="1:160" ht="15" hidden="1" customHeight="1">
      <c r="A1471" s="1" t="s">
        <v>333</v>
      </c>
      <c r="B1471" t="s">
        <v>909</v>
      </c>
      <c r="C1471" t="s">
        <v>910</v>
      </c>
      <c r="D1471" t="s">
        <v>911</v>
      </c>
      <c r="E1471" t="s">
        <v>912</v>
      </c>
      <c r="F1471" t="s">
        <v>913</v>
      </c>
      <c r="G1471" t="s">
        <v>339</v>
      </c>
      <c r="H1471" t="s">
        <v>254</v>
      </c>
      <c r="I1471">
        <v>2021</v>
      </c>
      <c r="J1471">
        <v>0</v>
      </c>
      <c r="K1471" t="s">
        <v>914</v>
      </c>
      <c r="M1471" t="str">
        <f>LEFT($D1471,FIND(",",$D1471)-1)&amp;"_"&amp;I1471&amp;L1471</f>
        <v>Morris_2021</v>
      </c>
      <c r="N1471" t="s">
        <v>222</v>
      </c>
      <c r="O1471" t="s">
        <v>223</v>
      </c>
      <c r="Q1471" t="s">
        <v>256</v>
      </c>
      <c r="R1471" s="251" t="s">
        <v>225</v>
      </c>
      <c r="S1471" s="1" t="s">
        <v>915</v>
      </c>
      <c r="T1471" t="s">
        <v>916</v>
      </c>
      <c r="U1471" s="143" t="s">
        <v>917</v>
      </c>
      <c r="V1471" s="253">
        <v>0</v>
      </c>
      <c r="W1471" s="253">
        <v>0</v>
      </c>
      <c r="X1471">
        <v>0</v>
      </c>
      <c r="Y1471">
        <v>0</v>
      </c>
      <c r="Z1471">
        <v>0</v>
      </c>
      <c r="AA1471">
        <v>0</v>
      </c>
      <c r="AB1471">
        <v>0</v>
      </c>
      <c r="AC1471">
        <v>0</v>
      </c>
      <c r="AD1471">
        <v>0</v>
      </c>
      <c r="AE1471">
        <v>0</v>
      </c>
      <c r="AF1471">
        <v>0</v>
      </c>
      <c r="AG1471">
        <v>0</v>
      </c>
      <c r="AH1471">
        <v>0</v>
      </c>
      <c r="AI1471">
        <v>0</v>
      </c>
      <c r="AJ1471">
        <v>1</v>
      </c>
      <c r="AK1471">
        <v>0</v>
      </c>
      <c r="AL1471">
        <v>0</v>
      </c>
      <c r="AM1471">
        <v>0</v>
      </c>
      <c r="AN1471">
        <v>0</v>
      </c>
      <c r="AO1471">
        <v>0</v>
      </c>
      <c r="AP1471">
        <v>0</v>
      </c>
      <c r="AQ1471">
        <v>0</v>
      </c>
      <c r="AR1471">
        <v>0</v>
      </c>
      <c r="AS1471">
        <v>0</v>
      </c>
      <c r="AT1471">
        <v>0</v>
      </c>
      <c r="AU1471">
        <v>0</v>
      </c>
      <c r="AV1471">
        <v>0</v>
      </c>
      <c r="AW1471">
        <v>0</v>
      </c>
      <c r="AX1471">
        <v>0</v>
      </c>
      <c r="AY1471">
        <v>0</v>
      </c>
      <c r="AZ1471" s="141">
        <f>COUNTIF(X1471:AY1471,"&lt;&gt;0")</f>
        <v>1</v>
      </c>
      <c r="BA1471" s="141">
        <f>COUNTIF(X1471:AN1471,"&lt;&gt;0")</f>
        <v>1</v>
      </c>
      <c r="BB1471">
        <f>COUNTIF(X1471:AE1471,"&lt;&gt;0")</f>
        <v>0</v>
      </c>
      <c r="BC1471">
        <f>COUNTIF(AF1471:AK1471,"&lt;&gt;0")</f>
        <v>1</v>
      </c>
      <c r="BD1471">
        <f>COUNTIF(AL1471:AN1471,"&lt;&gt;0")</f>
        <v>0</v>
      </c>
      <c r="BE1471">
        <f>COUNTIF(AU1471:AY1471,"&lt;&gt;0")</f>
        <v>0</v>
      </c>
      <c r="BF1471">
        <f>COUNTIF(AO1471:AT1471,"&lt;&gt;0")</f>
        <v>0</v>
      </c>
      <c r="BG1471" t="str">
        <f t="array" ref="BG1471">IF(BA1471=1,INDEX($X$7:$AN$7,MATCH(TRUE,INDEX($X1471:$AY1471&lt;&gt;0,),0)),IF(BA1471=0,INDEX($AO$7:$AY$7,MATCH(1,$AO1471:$AY1471,0)),IF(BH1471="Multiple strategies","mixed drivers",IF(BH1471="Supply chain","multiple supply","multiple silviculture"))))</f>
        <v xml:space="preserve">end of life disposal </v>
      </c>
      <c r="BH1471" s="2" t="str" cm="1">
        <f t="array" ref="BH1471">IF(COUNTIF(BB1471:BD1471,"&lt;&gt;0")=1,INDEX($X$4:$AY$4,MATCH(TRUE,INDEX($X1471:$AY1471&lt;&gt;0,),0)),IF(COUNTIF(BB1471:BD1471,"&lt;&gt;0")=0,INDEX($AO$4:$AY$4,MATCH(1,$AO1471:$AY1471,0)),"Multiple strategies"))</f>
        <v>Supply chain</v>
      </c>
      <c r="BI1471" s="1" t="s">
        <v>229</v>
      </c>
      <c r="BJ1471" t="s">
        <v>918</v>
      </c>
      <c r="BK1471" s="256" t="s">
        <v>3048</v>
      </c>
      <c r="BL1471" t="s">
        <v>345</v>
      </c>
      <c r="BM1471">
        <v>116.6</v>
      </c>
      <c r="BN1471">
        <v>116.6</v>
      </c>
      <c r="BO1471" s="143"/>
      <c r="BP1471">
        <f>BN1471-BM1471</f>
        <v>0</v>
      </c>
      <c r="BQ1471">
        <f>BP1471*kg_to_m3</f>
        <v>0</v>
      </c>
      <c r="BR1471" t="s">
        <v>232</v>
      </c>
      <c r="BS1471" s="256" t="s">
        <v>3049</v>
      </c>
      <c r="BT1471" t="s">
        <v>919</v>
      </c>
      <c r="BU1471" s="143">
        <v>-175.4</v>
      </c>
      <c r="BV1471">
        <v>13.8</v>
      </c>
      <c r="BW1471" s="144">
        <f>IFERROR(BV1471/BU1471,"")</f>
        <v>-7.8677309007981755E-2</v>
      </c>
      <c r="BX1471">
        <f>BV1471-BU1471</f>
        <v>189.20000000000002</v>
      </c>
      <c r="BZ1471">
        <f>BX1471/1000</f>
        <v>0.18920000000000001</v>
      </c>
      <c r="CA1471" t="str">
        <f>IFERROR(BZ1471/BQ1471,"")</f>
        <v/>
      </c>
      <c r="CB1471">
        <v>1</v>
      </c>
      <c r="CC1471">
        <v>0</v>
      </c>
      <c r="CD1471">
        <v>0</v>
      </c>
      <c r="CE1471">
        <v>0</v>
      </c>
      <c r="CF1471">
        <v>0</v>
      </c>
      <c r="CG1471">
        <v>1</v>
      </c>
      <c r="CH1471">
        <v>0</v>
      </c>
      <c r="CI1471">
        <v>1</v>
      </c>
      <c r="CJ1471">
        <v>0</v>
      </c>
      <c r="CK1471">
        <v>0</v>
      </c>
      <c r="CL1471">
        <v>0</v>
      </c>
      <c r="CM1471">
        <v>0</v>
      </c>
      <c r="CN1471">
        <v>0</v>
      </c>
      <c r="CO1471">
        <v>0</v>
      </c>
      <c r="CP1471" t="str">
        <f>IF($BN1471&lt;$BM1471,"refNeedCorrection","refOK")</f>
        <v>refOK</v>
      </c>
      <c r="CQ1471">
        <f>IF($CP1471="refOK",$BM1471,$BN1471)</f>
        <v>116.6</v>
      </c>
      <c r="CR1471">
        <f>IF($CP1471="refOK",$BN1471,$BM1471)</f>
        <v>116.6</v>
      </c>
      <c r="CS1471">
        <f>IF($CP1471="refOK",$BQ1471,-$BQ1471)</f>
        <v>0</v>
      </c>
      <c r="CT1471">
        <f>IF(BI1471="Roundwood",$CS1471/2,$CS1471)</f>
        <v>0</v>
      </c>
      <c r="CU1471">
        <f>IF($CP1471="refOK",$BU1471,$BV1471)*IF($BR1471="Emissions positive",-1,1)</f>
        <v>-175.4</v>
      </c>
      <c r="CV1471">
        <f>IF($CP1471="refOK",$BV1471,$BU1471)*IF($BR1471="Emissions positive",-1,1)</f>
        <v>13.8</v>
      </c>
      <c r="CW1471">
        <f>IF($CP1471="refNeedCorrection",-BZ1471,BZ1471)*IF($BR1471="Emissions positive",-1,1)</f>
        <v>0.18920000000000001</v>
      </c>
      <c r="CX1471" t="str">
        <f>IFERROR($CW1471/$CS1471,"")</f>
        <v/>
      </c>
      <c r="CY1471" t="str">
        <f>IFERROR($CW1471/$CS1471,"")</f>
        <v/>
      </c>
      <c r="CZ1471" t="str">
        <f>IFERROR($CW1471/$CT1471,"")</f>
        <v/>
      </c>
      <c r="DA1471" s="2">
        <f>IFERROR((CV1471-CU1471)/ABS(CU1471),"")</f>
        <v>1.0786773090079818</v>
      </c>
      <c r="DB1471" s="1" t="s">
        <v>263</v>
      </c>
      <c r="DC1471" t="str">
        <f>IF(OR($DB1471="prd",$DB1471="std",$DB1471="cit"),"loc",IF(OR($DB1471="eur",$DB1471="reg",$DB1471="coy"),"reg",$DB1471))</f>
        <v>loc</v>
      </c>
      <c r="DD1471" s="296" t="s">
        <v>3098</v>
      </c>
      <c r="DG1471">
        <v>0</v>
      </c>
      <c r="DH1471" t="str">
        <f>IF(DG1471=0,"0",IF(AND(DG1471&gt;=1,DG1471&lt;=30),"1-30",IF(AND(DG1471&gt;30,DG1471&lt;=70),"31-70",IF(AND(DG1471&gt;70,DG1471&lt;=100),"71-100",IF(DG1471&gt;100,"+100")))))</f>
        <v>0</v>
      </c>
      <c r="DI1471">
        <v>0</v>
      </c>
      <c r="DJ1471">
        <v>0</v>
      </c>
      <c r="DK1471">
        <v>0</v>
      </c>
      <c r="DL1471">
        <v>1</v>
      </c>
      <c r="DN1471">
        <f>SUM(DI1471:DL1471)</f>
        <v>1</v>
      </c>
      <c r="DO1471" t="str">
        <f>IF(DN1471=1,INDEX($DI$7:$DL$7,MATCH(1,$DI1471:$DL1471,0)),"mixedProduct")</f>
        <v>TimberInput</v>
      </c>
      <c r="DP1471">
        <f>IF(DI1471=1,DP$7,0)</f>
        <v>0</v>
      </c>
      <c r="DQ1471">
        <f>IF(DJ1471=1,DQ$7,0)</f>
        <v>0</v>
      </c>
      <c r="DR1471">
        <f>IF(DK1471=1,DR$7,0)</f>
        <v>0</v>
      </c>
      <c r="DS1471" t="str">
        <f>IF(DL1471=1,DS$7,0)</f>
        <v>Timber</v>
      </c>
      <c r="DT1471">
        <v>0</v>
      </c>
      <c r="DU1471">
        <v>1</v>
      </c>
      <c r="DV1471">
        <v>0</v>
      </c>
      <c r="DW1471">
        <v>0</v>
      </c>
      <c r="DX1471">
        <v>0</v>
      </c>
      <c r="DY1471">
        <f>SUM(DT1471:DU1471)</f>
        <v>1</v>
      </c>
      <c r="DZ1471" s="143" t="str">
        <f>IF(DT1471=1,"self-calculated DF",IF(DU1471=1,"external DF used","explicit C balance"))</f>
        <v>external DF used</v>
      </c>
      <c r="EA1471">
        <v>0</v>
      </c>
      <c r="EB1471">
        <v>0</v>
      </c>
      <c r="EC1471">
        <v>0</v>
      </c>
      <c r="ED1471">
        <v>1</v>
      </c>
      <c r="EE1471">
        <v>0</v>
      </c>
      <c r="EF1471" s="143">
        <v>1</v>
      </c>
      <c r="EG1471">
        <v>1</v>
      </c>
      <c r="EH1471">
        <v>1</v>
      </c>
      <c r="EI1471">
        <v>0</v>
      </c>
      <c r="EJ1471">
        <v>1</v>
      </c>
      <c r="EK1471">
        <v>0</v>
      </c>
      <c r="EL1471">
        <v>0</v>
      </c>
      <c r="EM1471">
        <v>0</v>
      </c>
      <c r="EN1471" s="2">
        <v>0</v>
      </c>
      <c r="EP1471" t="str">
        <f>IF(AND(AND(AND(OR($EC1471=1,$EB1471=1),OR($EH1471=1,$EF1471=1)),SUM($EA1471:$EE1471,$EK1471)&gt;=3),SUM($EF1471:$EJ1471)&gt;=2),"Whole sector approach","")</f>
        <v/>
      </c>
      <c r="EQ1471" t="str">
        <f>IF(AND(AND(OR($EC1471=1,$EB1471=1),AND($EH1471=0,$EF1471=0)),SUM($EA1471:$EE1471,$EK1471)&gt;=4),"Ecosystem approach","")</f>
        <v/>
      </c>
      <c r="ER1471" s="2" t="str">
        <f>IF(AND(AND(AND($EC1471=0,$EB1471=0),OR($EH1471=1,$EF1471=1)),SUM($EG1471:$EJ1471)&gt;=2),"Technology approach","")</f>
        <v>Technology approach</v>
      </c>
      <c r="ES1471" t="str">
        <f>IF(AND($EC1471+$EB1471+$EE1471+$EA1471+$ED1471+$EG1471=0,$N1471="included"),"C neutral forest and HWP assumption","")</f>
        <v/>
      </c>
      <c r="ET1471" t="str">
        <f>IF(AND(AND(AND(AND($EC1471=1,$EB1471+$EA1471+$EG1471&gt;=1),$EF1471=1),$EH1471+$EI1471+$ED1471+$EE1471&gt;=2),$N1471="included"),"All C pools assumption","")</f>
        <v/>
      </c>
      <c r="EU1471" t="str">
        <f>IF(AND($ED1471+$EE1471+$EI1471+$EH1471+$EF1471=0,$N1471="included"),"In-situ only assumption","")</f>
        <v/>
      </c>
      <c r="EY1471" t="b">
        <f>IF(ISNUMBER(BW1471),IF(ABS(BW1471-[6]QC_indicators!$B$2)&gt;3*[6]QC_indicators!$C$2,"C ratio",IF(ISNUMBER(CA1471),IF(ABS(CA1471-[6]QC_indicators!$B$1)&gt;3*[6]QC_indicators!$C$1,"DF","no"))),IF(ISNUMBER(CA1471),IF(ABS(CA1471-[6]QC_indicators!$B$1)&gt;3*[6]QC_indicators!$C$1,"DF","no")))</f>
        <v>0</v>
      </c>
      <c r="FA1471" t="str">
        <f>IF(LEN($CY1471)=0,"",IF(AND($CY1471&lt;(-0.05),$ES1471="C neutral forest and HWP assumption"),"Cneutral paradox",IF(AND($CY1471&gt;0.05,$EU1471="In-situ only assumption"),"In-situ only paradox","")))</f>
        <v/>
      </c>
      <c r="FB1471" s="149" t="s">
        <v>349</v>
      </c>
      <c r="FD1471" s="260" t="s">
        <v>2948</v>
      </c>
    </row>
    <row r="1472" spans="1:160" ht="17">
      <c r="A1472" s="1" t="s">
        <v>1874</v>
      </c>
      <c r="B1472" t="s">
        <v>1875</v>
      </c>
      <c r="C1472" t="s">
        <v>531</v>
      </c>
      <c r="D1472" t="s">
        <v>1876</v>
      </c>
      <c r="E1472" t="s">
        <v>1877</v>
      </c>
      <c r="F1472" t="s">
        <v>1878</v>
      </c>
      <c r="G1472" t="s">
        <v>1879</v>
      </c>
      <c r="H1472" t="s">
        <v>254</v>
      </c>
      <c r="I1472">
        <v>2021</v>
      </c>
      <c r="J1472">
        <v>0</v>
      </c>
      <c r="K1472" t="s">
        <v>1880</v>
      </c>
      <c r="M1472" t="str">
        <f>LEFT($D1472,FIND(",",$D1472)-1)&amp;"_"&amp;I1472&amp;L1472</f>
        <v>Paletto_2021</v>
      </c>
      <c r="N1472" t="s">
        <v>222</v>
      </c>
      <c r="O1472" s="157" t="s">
        <v>274</v>
      </c>
      <c r="P1472" t="s">
        <v>508</v>
      </c>
      <c r="Q1472" t="s">
        <v>389</v>
      </c>
      <c r="R1472" s="258" t="s">
        <v>223</v>
      </c>
      <c r="S1472" s="1" t="s">
        <v>1881</v>
      </c>
      <c r="T1472" t="s">
        <v>1882</v>
      </c>
      <c r="U1472" s="183" t="s">
        <v>1883</v>
      </c>
      <c r="V1472" s="253">
        <v>0</v>
      </c>
      <c r="W1472" s="253">
        <v>0</v>
      </c>
      <c r="X1472">
        <v>0</v>
      </c>
      <c r="Y1472">
        <v>0</v>
      </c>
      <c r="Z1472">
        <v>0</v>
      </c>
      <c r="AA1472">
        <v>1</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0</v>
      </c>
      <c r="AV1472">
        <v>0</v>
      </c>
      <c r="AW1472">
        <v>0</v>
      </c>
      <c r="AX1472">
        <v>0</v>
      </c>
      <c r="AY1472">
        <v>0</v>
      </c>
      <c r="AZ1472" s="141">
        <f>COUNTIF(X1472:AY1472,"&lt;&gt;0")</f>
        <v>1</v>
      </c>
      <c r="BA1472" s="141">
        <f>COUNTIF(X1472:AN1472,"&lt;&gt;0")</f>
        <v>1</v>
      </c>
      <c r="BB1472">
        <f>COUNTIF(X1472:AE1472,"&lt;&gt;0")</f>
        <v>1</v>
      </c>
      <c r="BC1472">
        <f>COUNTIF(AF1472:AK1472,"&lt;&gt;0")</f>
        <v>0</v>
      </c>
      <c r="BD1472">
        <f>COUNTIF(AL1472:AN1472,"&lt;&gt;0")</f>
        <v>0</v>
      </c>
      <c r="BE1472">
        <f>COUNTIF(AU1472:AY1472,"&lt;&gt;0")</f>
        <v>0</v>
      </c>
      <c r="BF1472">
        <f>COUNTIF(AO1472:AT1472,"&lt;&gt;0")</f>
        <v>0</v>
      </c>
      <c r="BG1472" t="str">
        <f t="array" ref="BG1472">IF(BA1472=1,INDEX($X$7:$AN$7,MATCH(TRUE,INDEX($X1472:$AY1472&lt;&gt;0,),0)),IF(BA1472=0,INDEX($AO$7:$AY$7,MATCH(1,$AO1472:$AY1472,0)),IF(BH1472="Multiple strategies","mixed drivers",IF(BH1472="Supply chain","multiple supply","multiple silviculture"))))</f>
        <v xml:space="preserve">cutting intensity </v>
      </c>
      <c r="BH1472" s="2" t="str" cm="1">
        <f t="array" ref="BH1472">IF(COUNTIF(BB1472:BD1472,"&lt;&gt;0")=1,INDEX($X$4:$AY$4,MATCH(TRUE,INDEX($X1472:$AY1472&lt;&gt;0,),0)),IF(COUNTIF(BB1472:BD1472,"&lt;&gt;0")=0,INDEX($AO$4:$AY$4,MATCH(1,$AO1472:$AY1472,0)),"Multiple strategies"))</f>
        <v>Silviculture for removals</v>
      </c>
      <c r="BI1472" s="1" t="s">
        <v>321</v>
      </c>
      <c r="BK1472" s="260" t="s">
        <v>424</v>
      </c>
      <c r="BL1472" t="s">
        <v>1884</v>
      </c>
      <c r="BM1472">
        <v>0</v>
      </c>
      <c r="BN1472">
        <v>220.2</v>
      </c>
      <c r="BO1472" t="str">
        <f>IFERROR(BN1472/BM1472,"")</f>
        <v/>
      </c>
      <c r="BP1472">
        <f>BN1472-BM1472</f>
        <v>220.2</v>
      </c>
      <c r="BQ1472">
        <f>BP1472</f>
        <v>220.2</v>
      </c>
      <c r="BR1472" t="s">
        <v>232</v>
      </c>
      <c r="BS1472" s="260" t="s">
        <v>396</v>
      </c>
      <c r="BT1472" t="s">
        <v>1885</v>
      </c>
      <c r="BW1472" s="144"/>
      <c r="BX1472">
        <v>-219.6</v>
      </c>
      <c r="BZ1472">
        <f>BX1472</f>
        <v>-219.6</v>
      </c>
      <c r="CA1472">
        <f>IFERROR(BZ1472/BQ1472,"")</f>
        <v>-0.9972752043596731</v>
      </c>
      <c r="CB1472">
        <v>0</v>
      </c>
      <c r="CC1472">
        <v>0</v>
      </c>
      <c r="CD1472">
        <v>0</v>
      </c>
      <c r="CE1472">
        <v>0</v>
      </c>
      <c r="CF1472">
        <v>0</v>
      </c>
      <c r="CG1472">
        <v>0</v>
      </c>
      <c r="CH1472">
        <v>0</v>
      </c>
      <c r="CI1472">
        <v>0</v>
      </c>
      <c r="CJ1472">
        <v>0</v>
      </c>
      <c r="CK1472">
        <v>0</v>
      </c>
      <c r="CL1472">
        <v>0</v>
      </c>
      <c r="CM1472">
        <v>0</v>
      </c>
      <c r="CN1472">
        <v>0</v>
      </c>
      <c r="CO1472">
        <v>1</v>
      </c>
      <c r="CP1472" t="str">
        <f>IF($BN1472&lt;$BM1472,"refNeedCorrection","refOK")</f>
        <v>refOK</v>
      </c>
      <c r="CQ1472">
        <f>IF($CP1472="refOK",$BM1472,$BN1472)</f>
        <v>0</v>
      </c>
      <c r="CR1472">
        <f>IF($CP1472="refOK",$BN1472,$BM1472)</f>
        <v>220.2</v>
      </c>
      <c r="CS1472">
        <f>IF($CP1472="refOK",$BQ1472,-$BQ1472)</f>
        <v>220.2</v>
      </c>
      <c r="CT1472">
        <f>IF(BI1472="Roundwood",$CS1472/2,$CS1472)</f>
        <v>110.1</v>
      </c>
      <c r="CU1472">
        <f>IF($CP1472="refOK",$BU1472,$BV1472)*IF($BR1472="Emissions positive",-1,1)</f>
        <v>0</v>
      </c>
      <c r="CV1472">
        <f>IF($CP1472="refOK",$BV1472,$BU1472)*IF($BR1472="Emissions positive",-1,1)</f>
        <v>0</v>
      </c>
      <c r="CW1472">
        <f>IF($CP1472="refNeedCorrection",-BZ1472,BZ1472)*IF($BR1472="Emissions positive",-1,1)</f>
        <v>-219.6</v>
      </c>
      <c r="CX1472">
        <f>IFERROR($CW1472/$CS1472,"")</f>
        <v>-0.9972752043596731</v>
      </c>
      <c r="CY1472">
        <f>IFERROR($CW1472/$CS1472,"")</f>
        <v>-0.9972752043596731</v>
      </c>
      <c r="CZ1472">
        <f>IFERROR($CW1472/$CT1472,"")</f>
        <v>-1.9945504087193462</v>
      </c>
      <c r="DA1472" s="2" t="str">
        <f>IFERROR((CV1472-CU1472)/ABS(CU1472),"")</f>
        <v/>
      </c>
      <c r="DB1472" s="1" t="s">
        <v>1843</v>
      </c>
      <c r="DC1472" t="str">
        <f>IF(OR($DB1472="prd",$DB1472="std",$DB1472="cit"),"loc",IF(OR($DB1472="eur",$DB1472="reg",$DB1472="coy"),"reg",$DB1472))</f>
        <v>reg</v>
      </c>
      <c r="DD1472" t="s">
        <v>718</v>
      </c>
      <c r="DG1472">
        <v>15</v>
      </c>
      <c r="DH1472" t="str">
        <f>IF(DG1472=0,"0",IF(AND(DG1472&gt;=1,DG1472&lt;=30),"1-30",IF(AND(DG1472&gt;30,DG1472&lt;=70),"31-70",IF(AND(DG1472&gt;70,DG1472&lt;=100),"71-100",IF(DG1472&gt;100,"+100")))))</f>
        <v>1-30</v>
      </c>
      <c r="DI1472">
        <v>1</v>
      </c>
      <c r="DJ1472">
        <v>0</v>
      </c>
      <c r="DK1472">
        <v>0</v>
      </c>
      <c r="DL1472">
        <v>0</v>
      </c>
      <c r="DM1472">
        <v>0</v>
      </c>
      <c r="DN1472">
        <f>SUM(DI1472:DM1472)</f>
        <v>1</v>
      </c>
      <c r="DO1472" t="str">
        <f>IF(DN1472=1,INDEX($DI$7:$DL$7,MATCH(1,$DI1472:$DL1472,0)),"mixedProduct")</f>
        <v>UpstreamInput</v>
      </c>
      <c r="DP1472" t="str">
        <f>IF(DI1472=1,DP$7,0)</f>
        <v>Upstream</v>
      </c>
      <c r="DQ1472">
        <f>IF(DJ1472=1,DQ$7,0)</f>
        <v>0</v>
      </c>
      <c r="DR1472">
        <f>IF(DK1472=1,DR$7,0)</f>
        <v>0</v>
      </c>
      <c r="DS1472">
        <f>IF(DL1472=1,DS$7,0)</f>
        <v>0</v>
      </c>
      <c r="DT1472">
        <v>0</v>
      </c>
      <c r="DU1472">
        <v>0</v>
      </c>
      <c r="DV1472">
        <v>0</v>
      </c>
      <c r="DW1472">
        <v>0</v>
      </c>
      <c r="DX1472">
        <v>0</v>
      </c>
      <c r="DY1472"/>
      <c r="DZ1472" s="143" t="str">
        <f>IF(DT1472=1,"self-calculated DF",IF(DU1472=1,"external DF used","explicit C balance"))</f>
        <v>explicit C balance</v>
      </c>
      <c r="EA1472">
        <v>1</v>
      </c>
      <c r="EB1472">
        <v>1</v>
      </c>
      <c r="EC1472">
        <v>1</v>
      </c>
      <c r="ED1472">
        <v>0</v>
      </c>
      <c r="EE1472">
        <v>0</v>
      </c>
      <c r="EF1472" s="143">
        <v>0</v>
      </c>
      <c r="EG1472">
        <v>0</v>
      </c>
      <c r="EH1472">
        <v>0</v>
      </c>
      <c r="EI1472">
        <v>0</v>
      </c>
      <c r="EJ1472">
        <v>0</v>
      </c>
      <c r="EK1472">
        <v>1</v>
      </c>
      <c r="EL1472">
        <v>0</v>
      </c>
      <c r="EM1472">
        <v>0</v>
      </c>
      <c r="EN1472" s="2">
        <v>0</v>
      </c>
      <c r="EP1472" t="str">
        <f>IF(AND(AND(AND(OR($EC1472=1,$EB1472=1),OR($EH1472=1,$EF1472=1)),SUM($EA1472:$EE1472,$EK1472)&gt;=3),SUM($EF1472:$EJ1472)&gt;=2),"Whole sector approach","")</f>
        <v/>
      </c>
      <c r="EQ1472" t="str">
        <f>IF(AND(AND(OR($EC1472=1,$EB1472=1),AND($EH1472=0,$EF1472=0)),SUM($EA1472:$EE1472,$EK1472)&gt;=4),"Ecosystem approach","")</f>
        <v>Ecosystem approach</v>
      </c>
      <c r="ER1472" s="2" t="str">
        <f>IF(AND(AND(AND($EC1472=0,$EB1472=0),OR($EH1472=1,$EF1472=1)),SUM($EG1472:$EJ1472)&gt;=2),"Technology approach","")</f>
        <v/>
      </c>
      <c r="ES1472" t="str">
        <f>IF(AND($EC1472+$EB1472+$EE1472+$EA1472+$ED1472+$EG1472=0,$N1472="included"),"C neutral forest and HWP assumption","")</f>
        <v/>
      </c>
      <c r="ET1472" t="str">
        <f>IF(AND(AND(AND(AND($EC1472=1,$EB1472+$EA1472+$EG1472&gt;=1),$EF1472=1),$EH1472+$EI1472+$ED1472+$EE1472&gt;=2),$N1472="included"),"All C pools assumption","")</f>
        <v/>
      </c>
      <c r="EU1472" t="str">
        <f>IF(AND($ED1472+$EE1472+$EI1472+$EH1472+$EF1472=0,$N1472="included"),"In-situ only assumption","")</f>
        <v>In-situ only assumption</v>
      </c>
      <c r="EY1472" t="str">
        <f>IF(ISNUMBER(BW1472),IF(ABS(BW1472-[2]QC_indicators!$B$2)&gt;3*[2]QC_indicators!$C$2,"C ratio",IF(ISNUMBER(CA1472),IF(ABS(CA1472-[2]QC_indicators!$B$1)&gt;3*[2]QC_indicators!$C$1,"DF","no"))),IF(ISNUMBER(CA1472),IF(ABS(CA1472-[2]QC_indicators!$B$1)&gt;3*[2]QC_indicators!$C$1,"DF","no")))</f>
        <v>no</v>
      </c>
      <c r="FA1472" t="str">
        <f>IF(LEN($CY1472)=0,"",IF(AND($CY1472&lt;(-0.05),$ES1472="C neutral forest and HWP assumption"),"Cneutral paradox",IF(AND($CY1472&gt;0.05,$EU1472="In-situ only assumption"),"In-situ only paradox","")))</f>
        <v/>
      </c>
      <c r="FD1472" s="260" t="s">
        <v>2827</v>
      </c>
    </row>
    <row r="1473" spans="1:160" ht="15" customHeight="1">
      <c r="A1473" s="1" t="s">
        <v>1874</v>
      </c>
      <c r="B1473" t="s">
        <v>1875</v>
      </c>
      <c r="C1473" t="s">
        <v>531</v>
      </c>
      <c r="D1473" t="s">
        <v>1876</v>
      </c>
      <c r="E1473" t="s">
        <v>1877</v>
      </c>
      <c r="F1473" t="s">
        <v>1878</v>
      </c>
      <c r="G1473" t="s">
        <v>1879</v>
      </c>
      <c r="H1473" t="s">
        <v>254</v>
      </c>
      <c r="I1473">
        <v>2021</v>
      </c>
      <c r="J1473">
        <v>0</v>
      </c>
      <c r="K1473" t="s">
        <v>1880</v>
      </c>
      <c r="M1473" t="str">
        <f>LEFT($D1473,FIND(",",$D1473)-1)&amp;"_"&amp;I1473&amp;L1473</f>
        <v>Paletto_2021</v>
      </c>
      <c r="N1473" t="s">
        <v>222</v>
      </c>
      <c r="O1473" s="157" t="s">
        <v>274</v>
      </c>
      <c r="P1473" t="s">
        <v>508</v>
      </c>
      <c r="Q1473" t="s">
        <v>389</v>
      </c>
      <c r="R1473" s="258" t="s">
        <v>223</v>
      </c>
      <c r="S1473" s="1" t="s">
        <v>1881</v>
      </c>
      <c r="T1473" t="s">
        <v>1882</v>
      </c>
      <c r="U1473" s="183" t="s">
        <v>1886</v>
      </c>
      <c r="V1473" s="253">
        <v>0</v>
      </c>
      <c r="W1473" s="253">
        <v>0</v>
      </c>
      <c r="X1473">
        <v>0</v>
      </c>
      <c r="Y1473">
        <v>0</v>
      </c>
      <c r="Z1473">
        <v>0</v>
      </c>
      <c r="AA1473">
        <v>1</v>
      </c>
      <c r="AB1473">
        <v>0</v>
      </c>
      <c r="AC1473">
        <v>0</v>
      </c>
      <c r="AD1473">
        <v>0</v>
      </c>
      <c r="AE1473">
        <v>0</v>
      </c>
      <c r="AF1473">
        <v>0</v>
      </c>
      <c r="AG1473">
        <v>0</v>
      </c>
      <c r="AH1473">
        <v>0</v>
      </c>
      <c r="AI1473">
        <v>0</v>
      </c>
      <c r="AJ1473">
        <v>0</v>
      </c>
      <c r="AK1473">
        <v>0</v>
      </c>
      <c r="AL1473">
        <v>0</v>
      </c>
      <c r="AM1473">
        <v>0</v>
      </c>
      <c r="AN1473">
        <v>0</v>
      </c>
      <c r="AO1473">
        <v>0</v>
      </c>
      <c r="AP1473">
        <v>0</v>
      </c>
      <c r="AQ1473">
        <v>0</v>
      </c>
      <c r="AR1473">
        <v>0</v>
      </c>
      <c r="AS1473">
        <v>0</v>
      </c>
      <c r="AT1473">
        <v>0</v>
      </c>
      <c r="AU1473">
        <v>0</v>
      </c>
      <c r="AV1473">
        <v>0</v>
      </c>
      <c r="AW1473">
        <v>0</v>
      </c>
      <c r="AX1473">
        <v>0</v>
      </c>
      <c r="AY1473">
        <v>0</v>
      </c>
      <c r="AZ1473" s="141">
        <f>COUNTIF(X1473:AY1473,"&lt;&gt;0")</f>
        <v>1</v>
      </c>
      <c r="BA1473" s="141">
        <f>COUNTIF(X1473:AN1473,"&lt;&gt;0")</f>
        <v>1</v>
      </c>
      <c r="BB1473">
        <f>COUNTIF(X1473:AE1473,"&lt;&gt;0")</f>
        <v>1</v>
      </c>
      <c r="BC1473">
        <f>COUNTIF(AF1473:AK1473,"&lt;&gt;0")</f>
        <v>0</v>
      </c>
      <c r="BD1473">
        <f>COUNTIF(AL1473:AN1473,"&lt;&gt;0")</f>
        <v>0</v>
      </c>
      <c r="BE1473">
        <f>COUNTIF(AU1473:AY1473,"&lt;&gt;0")</f>
        <v>0</v>
      </c>
      <c r="BF1473">
        <f>COUNTIF(AO1473:AT1473,"&lt;&gt;0")</f>
        <v>0</v>
      </c>
      <c r="BG1473" t="str">
        <f t="array" ref="BG1473">IF(BA1473=1,INDEX($X$7:$AN$7,MATCH(TRUE,INDEX($X1473:$AY1473&lt;&gt;0,),0)),IF(BA1473=0,INDEX($AO$7:$AY$7,MATCH(1,$AO1473:$AY1473,0)),IF(BH1473="Multiple strategies","mixed drivers",IF(BH1473="Supply chain","multiple supply","multiple silviculture"))))</f>
        <v xml:space="preserve">cutting intensity </v>
      </c>
      <c r="BH1473" s="2" t="str" cm="1">
        <f t="array" ref="BH1473">IF(COUNTIF(BB1473:BD1473,"&lt;&gt;0")=1,INDEX($X$4:$AY$4,MATCH(TRUE,INDEX($X1473:$AY1473&lt;&gt;0,),0)),IF(COUNTIF(BB1473:BD1473,"&lt;&gt;0")=0,INDEX($AO$4:$AY$4,MATCH(1,$AO1473:$AY1473,0)),"Multiple strategies"))</f>
        <v>Silviculture for removals</v>
      </c>
      <c r="BI1473" s="1" t="s">
        <v>321</v>
      </c>
      <c r="BK1473" s="260" t="s">
        <v>424</v>
      </c>
      <c r="BL1473" t="s">
        <v>1884</v>
      </c>
      <c r="BM1473">
        <v>0</v>
      </c>
      <c r="BN1473">
        <v>144.19999999999999</v>
      </c>
      <c r="BO1473" t="str">
        <f>IFERROR(BN1473/BM1473,"")</f>
        <v/>
      </c>
      <c r="BP1473">
        <f>BN1473-BM1473</f>
        <v>144.19999999999999</v>
      </c>
      <c r="BQ1473">
        <f>BP1473</f>
        <v>144.19999999999999</v>
      </c>
      <c r="BR1473" t="s">
        <v>232</v>
      </c>
      <c r="BS1473" s="260" t="s">
        <v>396</v>
      </c>
      <c r="BT1473" t="s">
        <v>1885</v>
      </c>
      <c r="BW1473" s="144"/>
      <c r="BX1473">
        <v>-114.9</v>
      </c>
      <c r="BZ1473">
        <f>BX1473</f>
        <v>-114.9</v>
      </c>
      <c r="CA1473">
        <f>IFERROR(BZ1473/BQ1473,"")</f>
        <v>-0.79680998613037457</v>
      </c>
      <c r="CB1473">
        <v>0</v>
      </c>
      <c r="CC1473">
        <v>0</v>
      </c>
      <c r="CD1473">
        <v>0</v>
      </c>
      <c r="CE1473">
        <v>0</v>
      </c>
      <c r="CF1473">
        <v>0</v>
      </c>
      <c r="CG1473">
        <v>0</v>
      </c>
      <c r="CH1473">
        <v>0</v>
      </c>
      <c r="CI1473">
        <v>0</v>
      </c>
      <c r="CJ1473">
        <v>0</v>
      </c>
      <c r="CK1473">
        <v>0</v>
      </c>
      <c r="CL1473">
        <v>0</v>
      </c>
      <c r="CM1473">
        <v>0</v>
      </c>
      <c r="CN1473">
        <v>0</v>
      </c>
      <c r="CO1473">
        <v>1</v>
      </c>
      <c r="CP1473" t="str">
        <f>IF($BN1473&lt;$BM1473,"refNeedCorrection","refOK")</f>
        <v>refOK</v>
      </c>
      <c r="CQ1473">
        <f>IF($CP1473="refOK",$BM1473,$BN1473)</f>
        <v>0</v>
      </c>
      <c r="CR1473">
        <f>IF($CP1473="refOK",$BN1473,$BM1473)</f>
        <v>144.19999999999999</v>
      </c>
      <c r="CS1473">
        <f>IF($CP1473="refOK",$BQ1473,-$BQ1473)</f>
        <v>144.19999999999999</v>
      </c>
      <c r="CT1473">
        <f>IF(BI1473="Roundwood",$CS1473/2,$CS1473)</f>
        <v>72.099999999999994</v>
      </c>
      <c r="CU1473">
        <f>IF($CP1473="refOK",$BU1473,$BV1473)*IF($BR1473="Emissions positive",-1,1)</f>
        <v>0</v>
      </c>
      <c r="CV1473">
        <f>IF($CP1473="refOK",$BV1473,$BU1473)*IF($BR1473="Emissions positive",-1,1)</f>
        <v>0</v>
      </c>
      <c r="CW1473">
        <f>IF($CP1473="refNeedCorrection",-BZ1473,BZ1473)*IF($BR1473="Emissions positive",-1,1)</f>
        <v>-114.9</v>
      </c>
      <c r="CX1473">
        <f>IFERROR($CW1473/$CS1473,"")</f>
        <v>-0.79680998613037457</v>
      </c>
      <c r="CY1473">
        <f>IFERROR($CW1473/$CS1473,"")</f>
        <v>-0.79680998613037457</v>
      </c>
      <c r="CZ1473">
        <f>IFERROR($CW1473/$CT1473,"")</f>
        <v>-1.5936199722607491</v>
      </c>
      <c r="DA1473" s="2" t="str">
        <f>IFERROR((CV1473-CU1473)/ABS(CU1473),"")</f>
        <v/>
      </c>
      <c r="DB1473" s="1" t="s">
        <v>1843</v>
      </c>
      <c r="DC1473" t="str">
        <f>IF(OR($DB1473="prd",$DB1473="std",$DB1473="cit"),"loc",IF(OR($DB1473="eur",$DB1473="reg",$DB1473="coy"),"reg",$DB1473))</f>
        <v>reg</v>
      </c>
      <c r="DD1473" t="s">
        <v>718</v>
      </c>
      <c r="DG1473">
        <v>15</v>
      </c>
      <c r="DH1473" t="str">
        <f>IF(DG1473=0,"0",IF(AND(DG1473&gt;=1,DG1473&lt;=30),"1-30",IF(AND(DG1473&gt;30,DG1473&lt;=70),"31-70",IF(AND(DG1473&gt;70,DG1473&lt;=100),"71-100",IF(DG1473&gt;100,"+100")))))</f>
        <v>1-30</v>
      </c>
      <c r="DI1473">
        <v>1</v>
      </c>
      <c r="DJ1473">
        <v>0</v>
      </c>
      <c r="DK1473">
        <v>0</v>
      </c>
      <c r="DL1473">
        <v>0</v>
      </c>
      <c r="DM1473">
        <v>0</v>
      </c>
      <c r="DN1473">
        <f>SUM(DI1473:DM1473)</f>
        <v>1</v>
      </c>
      <c r="DO1473" t="str">
        <f>IF(DN1473=1,INDEX($DI$7:$DL$7,MATCH(1,$DI1473:$DL1473,0)),"mixedProduct")</f>
        <v>UpstreamInput</v>
      </c>
      <c r="DP1473" t="str">
        <f>IF(DI1473=1,DP$7,0)</f>
        <v>Upstream</v>
      </c>
      <c r="DQ1473">
        <f>IF(DJ1473=1,DQ$7,0)</f>
        <v>0</v>
      </c>
      <c r="DR1473">
        <f>IF(DK1473=1,DR$7,0)</f>
        <v>0</v>
      </c>
      <c r="DS1473">
        <f>IF(DL1473=1,DS$7,0)</f>
        <v>0</v>
      </c>
      <c r="DT1473">
        <v>0</v>
      </c>
      <c r="DU1473">
        <v>0</v>
      </c>
      <c r="DV1473">
        <v>0</v>
      </c>
      <c r="DW1473">
        <v>0</v>
      </c>
      <c r="DX1473">
        <v>0</v>
      </c>
      <c r="DY1473"/>
      <c r="DZ1473" s="143" t="str">
        <f>IF(DT1473=1,"self-calculated DF",IF(DU1473=1,"external DF used","explicit C balance"))</f>
        <v>explicit C balance</v>
      </c>
      <c r="EA1473">
        <v>1</v>
      </c>
      <c r="EB1473">
        <v>1</v>
      </c>
      <c r="EC1473">
        <v>1</v>
      </c>
      <c r="ED1473">
        <v>0</v>
      </c>
      <c r="EE1473">
        <v>0</v>
      </c>
      <c r="EF1473" s="143">
        <v>0</v>
      </c>
      <c r="EG1473">
        <v>0</v>
      </c>
      <c r="EH1473">
        <v>0</v>
      </c>
      <c r="EI1473">
        <v>0</v>
      </c>
      <c r="EJ1473">
        <v>0</v>
      </c>
      <c r="EK1473">
        <v>1</v>
      </c>
      <c r="EL1473">
        <v>0</v>
      </c>
      <c r="EM1473">
        <v>0</v>
      </c>
      <c r="EN1473" s="2">
        <v>0</v>
      </c>
      <c r="EP1473" t="str">
        <f>IF(AND(AND(AND(OR($EC1473=1,$EB1473=1),OR($EH1473=1,$EF1473=1)),SUM($EA1473:$EE1473,$EK1473)&gt;=3),SUM($EF1473:$EJ1473)&gt;=2),"Whole sector approach","")</f>
        <v/>
      </c>
      <c r="EQ1473" t="str">
        <f>IF(AND(AND(OR($EC1473=1,$EB1473=1),AND($EH1473=0,$EF1473=0)),SUM($EA1473:$EE1473,$EK1473)&gt;=4),"Ecosystem approach","")</f>
        <v>Ecosystem approach</v>
      </c>
      <c r="ER1473" s="2" t="str">
        <f>IF(AND(AND(AND($EC1473=0,$EB1473=0),OR($EH1473=1,$EF1473=1)),SUM($EG1473:$EJ1473)&gt;=2),"Technology approach","")</f>
        <v/>
      </c>
      <c r="ES1473" t="str">
        <f>IF(AND($EC1473+$EB1473+$EE1473+$EA1473+$ED1473+$EG1473=0,$N1473="included"),"C neutral forest and HWP assumption","")</f>
        <v/>
      </c>
      <c r="ET1473" t="str">
        <f>IF(AND(AND(AND(AND($EC1473=1,$EB1473+$EA1473+$EG1473&gt;=1),$EF1473=1),$EH1473+$EI1473+$ED1473+$EE1473&gt;=2),$N1473="included"),"All C pools assumption","")</f>
        <v/>
      </c>
      <c r="EU1473" t="str">
        <f>IF(AND($ED1473+$EE1473+$EI1473+$EH1473+$EF1473=0,$N1473="included"),"In-situ only assumption","")</f>
        <v>In-situ only assumption</v>
      </c>
      <c r="EY1473" t="str">
        <f>IF(ISNUMBER(BW1473),IF(ABS(BW1473-[2]QC_indicators!$B$2)&gt;3*[2]QC_indicators!$C$2,"C ratio",IF(ISNUMBER(CA1473),IF(ABS(CA1473-[2]QC_indicators!$B$1)&gt;3*[2]QC_indicators!$C$1,"DF","no"))),IF(ISNUMBER(CA1473),IF(ABS(CA1473-[2]QC_indicators!$B$1)&gt;3*[2]QC_indicators!$C$1,"DF","no")))</f>
        <v>no</v>
      </c>
      <c r="FA1473" t="str">
        <f>IF(LEN($CY1473)=0,"",IF(AND($CY1473&lt;(-0.05),$ES1473="C neutral forest and HWP assumption"),"Cneutral paradox",IF(AND($CY1473&gt;0.05,$EU1473="In-situ only assumption"),"In-situ only paradox","")))</f>
        <v/>
      </c>
      <c r="FD1473" s="260" t="s">
        <v>2827</v>
      </c>
    </row>
    <row r="1474" spans="1:160" ht="15" hidden="1" customHeight="1">
      <c r="A1474" s="1" t="s">
        <v>247</v>
      </c>
      <c r="B1474" t="s">
        <v>970</v>
      </c>
      <c r="C1474" t="s">
        <v>971</v>
      </c>
      <c r="D1474" t="s">
        <v>972</v>
      </c>
      <c r="E1474" t="s">
        <v>973</v>
      </c>
      <c r="F1474" t="s">
        <v>974</v>
      </c>
      <c r="G1474" t="s">
        <v>253</v>
      </c>
      <c r="H1474" t="s">
        <v>254</v>
      </c>
      <c r="I1474">
        <v>2021</v>
      </c>
      <c r="J1474">
        <v>0</v>
      </c>
      <c r="K1474" t="s">
        <v>975</v>
      </c>
      <c r="M1474" t="str">
        <f>LEFT($D1474,FIND(",",$D1474)-1)&amp;"_"&amp;I1474&amp;L1474</f>
        <v>Piccardo_2021</v>
      </c>
      <c r="N1474" t="s">
        <v>222</v>
      </c>
      <c r="O1474" s="171" t="s">
        <v>508</v>
      </c>
      <c r="P1474" s="141" t="s">
        <v>225</v>
      </c>
      <c r="Q1474" t="s">
        <v>389</v>
      </c>
      <c r="R1474" s="258" t="s">
        <v>223</v>
      </c>
      <c r="S1474" s="1" t="s">
        <v>984</v>
      </c>
      <c r="T1474" s="260" t="s">
        <v>2895</v>
      </c>
      <c r="U1474" s="260" t="s">
        <v>2893</v>
      </c>
      <c r="V1474" s="253">
        <v>0</v>
      </c>
      <c r="W1474" s="253">
        <v>0</v>
      </c>
      <c r="X1474">
        <v>0</v>
      </c>
      <c r="Y1474">
        <v>0</v>
      </c>
      <c r="Z1474">
        <v>0</v>
      </c>
      <c r="AA1474">
        <v>0</v>
      </c>
      <c r="AB1474">
        <v>0</v>
      </c>
      <c r="AC1474">
        <v>0</v>
      </c>
      <c r="AD1474">
        <v>0</v>
      </c>
      <c r="AE1474">
        <v>0</v>
      </c>
      <c r="AF1474">
        <v>0</v>
      </c>
      <c r="AG1474">
        <v>0</v>
      </c>
      <c r="AH1474">
        <v>0</v>
      </c>
      <c r="AI1474">
        <v>0</v>
      </c>
      <c r="AJ1474">
        <v>0</v>
      </c>
      <c r="AK1474">
        <v>0</v>
      </c>
      <c r="AL1474">
        <v>0</v>
      </c>
      <c r="AM1474">
        <v>1</v>
      </c>
      <c r="AN1474">
        <v>0</v>
      </c>
      <c r="AO1474">
        <v>0</v>
      </c>
      <c r="AP1474">
        <v>0</v>
      </c>
      <c r="AQ1474">
        <v>0</v>
      </c>
      <c r="AR1474">
        <v>0</v>
      </c>
      <c r="AS1474">
        <v>0</v>
      </c>
      <c r="AT1474">
        <v>0</v>
      </c>
      <c r="AU1474">
        <v>0</v>
      </c>
      <c r="AV1474">
        <v>0</v>
      </c>
      <c r="AW1474">
        <v>0</v>
      </c>
      <c r="AX1474">
        <v>0</v>
      </c>
      <c r="AY1474">
        <v>0</v>
      </c>
      <c r="AZ1474" s="141">
        <f>COUNTIF(X1474:AY1474,"&lt;&gt;0")</f>
        <v>1</v>
      </c>
      <c r="BA1474" s="141">
        <f>COUNTIF(X1474:AN1474,"&lt;&gt;0")</f>
        <v>1</v>
      </c>
      <c r="BB1474">
        <f>COUNTIF(X1474:AE1474,"&lt;&gt;0")</f>
        <v>0</v>
      </c>
      <c r="BC1474">
        <f>COUNTIF(AF1474:AK1474,"&lt;&gt;0")</f>
        <v>0</v>
      </c>
      <c r="BD1474">
        <f>COUNTIF(AL1474:AN1474,"&lt;&gt;0")</f>
        <v>1</v>
      </c>
      <c r="BE1474">
        <f>COUNTIF(AU1474:AY1474,"&lt;&gt;0")</f>
        <v>0</v>
      </c>
      <c r="BF1474">
        <f>COUNTIF(AO1474:AT1474,"&lt;&gt;0")</f>
        <v>0</v>
      </c>
      <c r="BG1474" t="str">
        <f t="array" ref="BG1474">IF(BA1474=1,INDEX($X$7:$AN$7,MATCH(TRUE,INDEX($X1474:$AY1474&lt;&gt;0,),0)),IF(BA1474=0,INDEX($AO$7:$AY$7,MATCH(1,$AO1474:$AY1474,0)),IF(BH1474="Multiple strategies","mixed drivers",IF(BH1474="Supply chain","multiple supply","multiple silviculture"))))</f>
        <v>technologies/design switch</v>
      </c>
      <c r="BH1474" s="2" t="str" cm="1">
        <f t="array" ref="BH1474">IF(COUNTIF(BB1474:BD1474,"&lt;&gt;0")=1,INDEX($X$4:$AY$4,MATCH(TRUE,INDEX($X1474:$AY1474&lt;&gt;0,),0)),IF(COUNTIF(BB1474:BD1474,"&lt;&gt;0")=0,INDEX($AO$4:$AY$4,MATCH(1,$AO1474:$AY1474,0)),"Multiple strategies"))</f>
        <v>Technology</v>
      </c>
      <c r="BI1474" s="142" t="s">
        <v>229</v>
      </c>
      <c r="BJ1474" t="s">
        <v>977</v>
      </c>
      <c r="BK1474" t="s">
        <v>978</v>
      </c>
      <c r="BL1474" t="s">
        <v>979</v>
      </c>
      <c r="BM1474">
        <f>35+3+20+8+8</f>
        <v>74</v>
      </c>
      <c r="BN1474">
        <f>175+40+77+18+35+3+8+8</f>
        <v>364</v>
      </c>
      <c r="BO1474">
        <f>IFERROR(BN1474/BM1474,"")</f>
        <v>4.9189189189189193</v>
      </c>
      <c r="BP1474">
        <f>BN1474-BM1474</f>
        <v>290</v>
      </c>
      <c r="BQ1474">
        <f>BP1474*t_to_m3</f>
        <v>591.83673469387759</v>
      </c>
      <c r="BR1474" t="s">
        <v>395</v>
      </c>
      <c r="BS1474" t="s">
        <v>980</v>
      </c>
      <c r="BT1474" t="s">
        <v>981</v>
      </c>
      <c r="BU1474">
        <v>267</v>
      </c>
      <c r="BV1474">
        <v>-370</v>
      </c>
      <c r="BW1474" s="144"/>
      <c r="BX1474">
        <f>(BV1474-BU1474)</f>
        <v>-637</v>
      </c>
      <c r="BZ1474">
        <f>BX1474</f>
        <v>-637</v>
      </c>
      <c r="CA1474">
        <f>IFERROR(BZ1474/BQ1474,"")</f>
        <v>-1.0763103448275861</v>
      </c>
      <c r="CB1474">
        <v>0</v>
      </c>
      <c r="CC1474">
        <v>0</v>
      </c>
      <c r="CD1474">
        <v>0</v>
      </c>
      <c r="CE1474">
        <v>0</v>
      </c>
      <c r="CF1474">
        <v>0</v>
      </c>
      <c r="CG1474">
        <v>0</v>
      </c>
      <c r="CH1474">
        <v>0</v>
      </c>
      <c r="CI1474">
        <v>0</v>
      </c>
      <c r="CJ1474">
        <v>0</v>
      </c>
      <c r="CK1474">
        <v>0</v>
      </c>
      <c r="CL1474">
        <v>0</v>
      </c>
      <c r="CM1474">
        <v>0</v>
      </c>
      <c r="CN1474">
        <v>0</v>
      </c>
      <c r="CO1474">
        <v>0</v>
      </c>
      <c r="CP1474" t="str">
        <f>IF($BN1474&lt;$BM1474,"refNeedCorrection","refOK")</f>
        <v>refOK</v>
      </c>
      <c r="CQ1474">
        <f>IF($CP1474="refOK",$BM1474,$BN1474)</f>
        <v>74</v>
      </c>
      <c r="CR1474">
        <f>IF($CP1474="refOK",$BN1474,$BM1474)</f>
        <v>364</v>
      </c>
      <c r="CS1474">
        <f>IF($CP1474="refOK",$BQ1474,-$BQ1474)</f>
        <v>591.83673469387759</v>
      </c>
      <c r="CT1474">
        <f>IF(BI1474="Roundwood",$CS1474/2,$CS1474)</f>
        <v>591.83673469387759</v>
      </c>
      <c r="CU1474">
        <f>IF($CP1474="refOK",$BU1474,$BV1474)*IF($BR1474="Emissions positive",-1,1)</f>
        <v>-267</v>
      </c>
      <c r="CV1474">
        <f>IF($CP1474="refOK",$BV1474,$BU1474)*IF($BR1474="Emissions positive",-1,1)</f>
        <v>370</v>
      </c>
      <c r="CW1474">
        <f>IF($CP1474="refNeedCorrection",-BZ1474,BZ1474)*IF($BR1474="Emissions positive",-1,1)</f>
        <v>637</v>
      </c>
      <c r="CX1474">
        <f>IFERROR($CW1474/$CS1474,"")</f>
        <v>1.0763103448275861</v>
      </c>
      <c r="CY1474">
        <f>IFERROR($CW1474/$CS1474,"")</f>
        <v>1.0763103448275861</v>
      </c>
      <c r="CZ1474">
        <f>IFERROR($CW1474/$CT1474,"")</f>
        <v>1.0763103448275861</v>
      </c>
      <c r="DA1474" s="2">
        <f>IFERROR((CV1474-CU1474)/ABS(CU1474),"")</f>
        <v>2.3857677902621721</v>
      </c>
      <c r="DB1474" s="1" t="s">
        <v>263</v>
      </c>
      <c r="DC1474" t="str">
        <f>IF(OR($DB1474="prd",$DB1474="std",$DB1474="cit"),"loc",IF(OR($DB1474="eur",$DB1474="reg",$DB1474="coy"),"reg",$DB1474))</f>
        <v>loc</v>
      </c>
      <c r="DD1474" t="s">
        <v>729</v>
      </c>
      <c r="DG1474">
        <v>50</v>
      </c>
      <c r="DH1474" t="str">
        <f>IF(DG1474=0,"0",IF(AND(DG1474&gt;=1,DG1474&lt;=30),"1-30",IF(AND(DG1474&gt;30,DG1474&lt;=70),"31-70",IF(AND(DG1474&gt;70,DG1474&lt;=100),"71-100",IF(DG1474&gt;100,"+100")))))</f>
        <v>31-70</v>
      </c>
      <c r="DI1474">
        <v>0</v>
      </c>
      <c r="DJ1474">
        <v>0</v>
      </c>
      <c r="DK1474">
        <v>1</v>
      </c>
      <c r="DL1474">
        <v>1</v>
      </c>
      <c r="DN1474">
        <f>SUM(DI1474:DL1474)</f>
        <v>2</v>
      </c>
      <c r="DO1474" t="str">
        <f>IF(DN1474=1,INDEX($DI$7:$DL$7,MATCH(1,$DI1474:$DL1474,0)),"mixedProduct")</f>
        <v>mixedProduct</v>
      </c>
      <c r="DP1474">
        <f>IF(DI1474=1,DP$7,0)</f>
        <v>0</v>
      </c>
      <c r="DQ1474">
        <f>IF(DJ1474=1,DQ$7,0)</f>
        <v>0</v>
      </c>
      <c r="DR1474" t="str">
        <f>IF(DK1474=1,DR$7,0)</f>
        <v>Pulp/Paper</v>
      </c>
      <c r="DS1474" t="str">
        <f>IF(DL1474=1,DS$7,0)</f>
        <v>Timber</v>
      </c>
      <c r="DT1474">
        <v>1</v>
      </c>
      <c r="DU1474">
        <v>0</v>
      </c>
      <c r="DV1474">
        <v>0</v>
      </c>
      <c r="DW1474">
        <v>0</v>
      </c>
      <c r="DX1474">
        <v>0</v>
      </c>
      <c r="DY1474">
        <f>SUM(DT1474:DU1474)</f>
        <v>1</v>
      </c>
      <c r="DZ1474" s="143" t="str">
        <f>IF(DT1474=1,"self-calculated DF",IF(DU1474=1,"external DF used","explicit C balance"))</f>
        <v>self-calculated DF</v>
      </c>
      <c r="EA1474">
        <v>0</v>
      </c>
      <c r="EB1474">
        <v>0</v>
      </c>
      <c r="EC1474">
        <v>0</v>
      </c>
      <c r="ED1474">
        <v>1</v>
      </c>
      <c r="EE1474">
        <v>1</v>
      </c>
      <c r="EF1474">
        <v>1</v>
      </c>
      <c r="EG1474">
        <v>0</v>
      </c>
      <c r="EH1474">
        <v>1</v>
      </c>
      <c r="EI1474">
        <v>1</v>
      </c>
      <c r="EJ1474">
        <v>1</v>
      </c>
      <c r="EK1474">
        <v>0</v>
      </c>
      <c r="EL1474" s="143">
        <v>0</v>
      </c>
      <c r="EM1474" s="143">
        <v>0</v>
      </c>
      <c r="EN1474" s="2">
        <v>0</v>
      </c>
      <c r="EP1474" t="str">
        <f>IF(AND(AND(AND(OR($EC1474=1,$EB1474=1),OR($EH1474=1,$EF1474=1)),SUM($EA1474:$EE1474,$EK1474)&gt;=3),SUM($EF1474:$EJ1474)&gt;=2),"Whole sector approach","")</f>
        <v/>
      </c>
      <c r="EQ1474" t="str">
        <f>IF(AND(AND(OR($EC1474=1,$EB1474=1),AND($EH1474=0,$EF1474=0)),SUM($EA1474:$EE1474,$EK1474)&gt;=4),"Ecosystem approach","")</f>
        <v/>
      </c>
      <c r="ER1474" s="2" t="str">
        <f>IF(AND(AND(AND($EC1474=0,$EB1474=0),OR($EH1474=1,$EF1474=1)),SUM($EG1474:$EJ1474)&gt;=2),"Technology approach","")</f>
        <v>Technology approach</v>
      </c>
      <c r="ES1474" t="str">
        <f>IF(AND($EC1474+$EB1474+$EE1474+$EA1474+$ED1474+$EG1474=0,$N1474="included"),"C neutral forest and HWP assumption","")</f>
        <v/>
      </c>
      <c r="ET1474" t="str">
        <f>IF(AND(AND(AND(AND($EC1474=1,$EB1474+$EA1474+$EG1474&gt;=1),$EF1474=1),$EH1474+$EI1474+$ED1474+$EE1474&gt;=2),$N1474="included"),"All C pools assumption","")</f>
        <v/>
      </c>
      <c r="EU1474" t="str">
        <f>IF(AND($ED1474+$EE1474+$EI1474+$EH1474+$EF1474=0,$N1474="included"),"In-situ only assumption","")</f>
        <v/>
      </c>
      <c r="EY1474" t="str">
        <f>IF(ISNUMBER(BW1474),IF(ABS(BW1474-[2]QC_indicators!$B$2)&gt;3*[2]QC_indicators!$C$2,"C ratio",IF(ISNUMBER(CA1474),IF(ABS(CA1474-[2]QC_indicators!$B$1)&gt;3*[2]QC_indicators!$C$1,"DF","no"))),IF(ISNUMBER(CA1474),IF(ABS(CA1474-[2]QC_indicators!$B$1)&gt;3*[2]QC_indicators!$C$1,"DF","no")))</f>
        <v>no</v>
      </c>
      <c r="FA1474" t="str">
        <f>IF(LEN($CY1474)=0,"",IF(AND($CY1474&lt;(-0.05),$ES1474="C neutral forest and HWP assumption"),"Cneutral paradox",IF(AND($CY1474&gt;0.05,$EU1474="In-situ only assumption"),"In-situ only paradox","")))</f>
        <v/>
      </c>
      <c r="FD1474" s="260" t="s">
        <v>2891</v>
      </c>
    </row>
    <row r="1475" spans="1:160" ht="15" hidden="1" customHeight="1">
      <c r="A1475" s="1" t="s">
        <v>247</v>
      </c>
      <c r="B1475" t="s">
        <v>970</v>
      </c>
      <c r="C1475" t="s">
        <v>971</v>
      </c>
      <c r="D1475" t="s">
        <v>972</v>
      </c>
      <c r="E1475" t="s">
        <v>973</v>
      </c>
      <c r="F1475" t="s">
        <v>974</v>
      </c>
      <c r="G1475" t="s">
        <v>253</v>
      </c>
      <c r="H1475" t="s">
        <v>254</v>
      </c>
      <c r="I1475">
        <v>2021</v>
      </c>
      <c r="J1475">
        <v>0</v>
      </c>
      <c r="K1475" t="s">
        <v>975</v>
      </c>
      <c r="M1475" t="str">
        <f>LEFT($D1475,FIND(",",$D1475)-1)&amp;"_"&amp;I1475&amp;L1475</f>
        <v>Piccardo_2021</v>
      </c>
      <c r="N1475" t="s">
        <v>222</v>
      </c>
      <c r="O1475" s="171" t="s">
        <v>508</v>
      </c>
      <c r="P1475" s="141" t="s">
        <v>225</v>
      </c>
      <c r="Q1475" t="s">
        <v>389</v>
      </c>
      <c r="R1475" s="258" t="s">
        <v>223</v>
      </c>
      <c r="S1475" s="1" t="s">
        <v>983</v>
      </c>
      <c r="T1475" s="260" t="s">
        <v>2896</v>
      </c>
      <c r="U1475" s="260" t="s">
        <v>2897</v>
      </c>
      <c r="V1475" s="253">
        <v>0</v>
      </c>
      <c r="W1475" s="253">
        <v>0</v>
      </c>
      <c r="X1475">
        <v>0</v>
      </c>
      <c r="Y1475">
        <v>0</v>
      </c>
      <c r="Z1475">
        <v>0</v>
      </c>
      <c r="AA1475">
        <v>0</v>
      </c>
      <c r="AB1475">
        <v>0</v>
      </c>
      <c r="AC1475">
        <v>0</v>
      </c>
      <c r="AD1475">
        <v>0</v>
      </c>
      <c r="AE1475">
        <v>0</v>
      </c>
      <c r="AF1475">
        <v>0</v>
      </c>
      <c r="AG1475">
        <v>0</v>
      </c>
      <c r="AH1475">
        <v>0</v>
      </c>
      <c r="AI1475">
        <v>0</v>
      </c>
      <c r="AJ1475">
        <v>0</v>
      </c>
      <c r="AK1475">
        <v>0</v>
      </c>
      <c r="AL1475">
        <v>0</v>
      </c>
      <c r="AM1475">
        <v>1</v>
      </c>
      <c r="AN1475">
        <v>0</v>
      </c>
      <c r="AO1475">
        <v>0</v>
      </c>
      <c r="AP1475">
        <v>0</v>
      </c>
      <c r="AQ1475">
        <v>0</v>
      </c>
      <c r="AR1475">
        <v>0</v>
      </c>
      <c r="AS1475">
        <v>0</v>
      </c>
      <c r="AT1475">
        <v>0</v>
      </c>
      <c r="AU1475">
        <v>0</v>
      </c>
      <c r="AV1475">
        <v>0</v>
      </c>
      <c r="AW1475">
        <v>0</v>
      </c>
      <c r="AX1475">
        <v>0</v>
      </c>
      <c r="AY1475">
        <v>0</v>
      </c>
      <c r="AZ1475" s="141">
        <f>COUNTIF(X1475:AY1475,"&lt;&gt;0")</f>
        <v>1</v>
      </c>
      <c r="BA1475" s="141">
        <f>COUNTIF(X1475:AN1475,"&lt;&gt;0")</f>
        <v>1</v>
      </c>
      <c r="BB1475">
        <f>COUNTIF(X1475:AE1475,"&lt;&gt;0")</f>
        <v>0</v>
      </c>
      <c r="BC1475">
        <f>COUNTIF(AF1475:AK1475,"&lt;&gt;0")</f>
        <v>0</v>
      </c>
      <c r="BD1475">
        <f>COUNTIF(AL1475:AN1475,"&lt;&gt;0")</f>
        <v>1</v>
      </c>
      <c r="BE1475">
        <f>COUNTIF(AU1475:AY1475,"&lt;&gt;0")</f>
        <v>0</v>
      </c>
      <c r="BF1475">
        <f>COUNTIF(AO1475:AT1475,"&lt;&gt;0")</f>
        <v>0</v>
      </c>
      <c r="BG1475" t="str">
        <f t="array" ref="BG1475">IF(BA1475=1,INDEX($X$7:$AN$7,MATCH(TRUE,INDEX($X1475:$AY1475&lt;&gt;0,),0)),IF(BA1475=0,INDEX($AO$7:$AY$7,MATCH(1,$AO1475:$AY1475,0)),IF(BH1475="Multiple strategies","mixed drivers",IF(BH1475="Supply chain","multiple supply","multiple silviculture"))))</f>
        <v>technologies/design switch</v>
      </c>
      <c r="BH1475" s="2" t="str" cm="1">
        <f t="array" ref="BH1475">IF(COUNTIF(BB1475:BD1475,"&lt;&gt;0")=1,INDEX($X$4:$AY$4,MATCH(TRUE,INDEX($X1475:$AY1475&lt;&gt;0,),0)),IF(COUNTIF(BB1475:BD1475,"&lt;&gt;0")=0,INDEX($AO$4:$AY$4,MATCH(1,$AO1475:$AY1475,0)),"Multiple strategies"))</f>
        <v>Technology</v>
      </c>
      <c r="BI1475" s="142" t="s">
        <v>229</v>
      </c>
      <c r="BJ1475" t="s">
        <v>977</v>
      </c>
      <c r="BK1475" t="s">
        <v>978</v>
      </c>
      <c r="BL1475" t="s">
        <v>979</v>
      </c>
      <c r="BM1475">
        <f>35+3+20+8+8</f>
        <v>74</v>
      </c>
      <c r="BN1475">
        <f>175+40+77+18+35+3+8+8</f>
        <v>364</v>
      </c>
      <c r="BO1475">
        <f>IFERROR(BN1475/BM1475,"")</f>
        <v>4.9189189189189193</v>
      </c>
      <c r="BP1475">
        <f>BN1475-BM1475</f>
        <v>290</v>
      </c>
      <c r="BQ1475">
        <f>BP1475*t_to_m3</f>
        <v>591.83673469387759</v>
      </c>
      <c r="BR1475" t="s">
        <v>395</v>
      </c>
      <c r="BS1475" t="s">
        <v>980</v>
      </c>
      <c r="BT1475" t="s">
        <v>981</v>
      </c>
      <c r="BU1475">
        <f>669-126</f>
        <v>543</v>
      </c>
      <c r="BV1475">
        <f>357-622</f>
        <v>-265</v>
      </c>
      <c r="BW1475" s="144"/>
      <c r="BX1475">
        <f>(BV1475-BU1475)</f>
        <v>-808</v>
      </c>
      <c r="BZ1475">
        <f>BX1475</f>
        <v>-808</v>
      </c>
      <c r="CA1475">
        <f>IFERROR(BZ1475/BQ1475,"")</f>
        <v>-1.3652413793103448</v>
      </c>
      <c r="CB1475">
        <v>0</v>
      </c>
      <c r="CC1475">
        <v>0</v>
      </c>
      <c r="CD1475">
        <v>0</v>
      </c>
      <c r="CE1475">
        <v>0</v>
      </c>
      <c r="CF1475">
        <v>0</v>
      </c>
      <c r="CG1475">
        <v>0</v>
      </c>
      <c r="CH1475">
        <v>0</v>
      </c>
      <c r="CI1475">
        <v>0</v>
      </c>
      <c r="CJ1475">
        <v>0</v>
      </c>
      <c r="CK1475">
        <v>0</v>
      </c>
      <c r="CL1475">
        <v>0</v>
      </c>
      <c r="CM1475">
        <v>0</v>
      </c>
      <c r="CN1475">
        <v>0</v>
      </c>
      <c r="CO1475">
        <v>0</v>
      </c>
      <c r="CP1475" t="str">
        <f>IF($BN1475&lt;$BM1475,"refNeedCorrection","refOK")</f>
        <v>refOK</v>
      </c>
      <c r="CQ1475">
        <f>IF($CP1475="refOK",$BM1475,$BN1475)</f>
        <v>74</v>
      </c>
      <c r="CR1475">
        <f>IF($CP1475="refOK",$BN1475,$BM1475)</f>
        <v>364</v>
      </c>
      <c r="CS1475">
        <f>IF($CP1475="refOK",$BQ1475,-$BQ1475)</f>
        <v>591.83673469387759</v>
      </c>
      <c r="CT1475">
        <f>IF(BI1475="Roundwood",$CS1475/2,$CS1475)</f>
        <v>591.83673469387759</v>
      </c>
      <c r="CU1475">
        <f>IF($CP1475="refOK",$BU1475,$BV1475)*IF($BR1475="Emissions positive",-1,1)</f>
        <v>-543</v>
      </c>
      <c r="CV1475">
        <f>IF($CP1475="refOK",$BV1475,$BU1475)*IF($BR1475="Emissions positive",-1,1)</f>
        <v>265</v>
      </c>
      <c r="CW1475">
        <f>IF($CP1475="refNeedCorrection",-BZ1475,BZ1475)*IF($BR1475="Emissions positive",-1,1)</f>
        <v>808</v>
      </c>
      <c r="CX1475">
        <f>IFERROR($CW1475/$CS1475,"")</f>
        <v>1.3652413793103448</v>
      </c>
      <c r="CY1475">
        <f>IFERROR($CW1475/$CS1475,"")</f>
        <v>1.3652413793103448</v>
      </c>
      <c r="CZ1475">
        <f>IFERROR($CW1475/$CT1475,"")</f>
        <v>1.3652413793103448</v>
      </c>
      <c r="DA1475" s="2">
        <f>IFERROR((CV1475-CU1475)/ABS(CU1475),"")</f>
        <v>1.4880294659300184</v>
      </c>
      <c r="DB1475" s="1" t="s">
        <v>263</v>
      </c>
      <c r="DC1475" t="str">
        <f>IF(OR($DB1475="prd",$DB1475="std",$DB1475="cit"),"loc",IF(OR($DB1475="eur",$DB1475="reg",$DB1475="coy"),"reg",$DB1475))</f>
        <v>loc</v>
      </c>
      <c r="DD1475" t="s">
        <v>729</v>
      </c>
      <c r="DG1475">
        <v>50</v>
      </c>
      <c r="DH1475" t="str">
        <f>IF(DG1475=0,"0",IF(AND(DG1475&gt;=1,DG1475&lt;=30),"1-30",IF(AND(DG1475&gt;30,DG1475&lt;=70),"31-70",IF(AND(DG1475&gt;70,DG1475&lt;=100),"71-100",IF(DG1475&gt;100,"+100")))))</f>
        <v>31-70</v>
      </c>
      <c r="DI1475">
        <v>0</v>
      </c>
      <c r="DJ1475">
        <v>0</v>
      </c>
      <c r="DK1475">
        <v>1</v>
      </c>
      <c r="DL1475">
        <v>1</v>
      </c>
      <c r="DN1475">
        <f>SUM(DI1475:DL1475)</f>
        <v>2</v>
      </c>
      <c r="DO1475" t="str">
        <f>IF(DN1475=1,INDEX($DI$7:$DL$7,MATCH(1,$DI1475:$DL1475,0)),"mixedProduct")</f>
        <v>mixedProduct</v>
      </c>
      <c r="DP1475">
        <f>IF(DI1475=1,DP$7,0)</f>
        <v>0</v>
      </c>
      <c r="DQ1475">
        <f>IF(DJ1475=1,DQ$7,0)</f>
        <v>0</v>
      </c>
      <c r="DR1475" t="str">
        <f>IF(DK1475=1,DR$7,0)</f>
        <v>Pulp/Paper</v>
      </c>
      <c r="DS1475" t="str">
        <f>IF(DL1475=1,DS$7,0)</f>
        <v>Timber</v>
      </c>
      <c r="DT1475">
        <v>1</v>
      </c>
      <c r="DU1475">
        <v>0</v>
      </c>
      <c r="DV1475">
        <v>0</v>
      </c>
      <c r="DW1475">
        <v>0</v>
      </c>
      <c r="DX1475">
        <v>0</v>
      </c>
      <c r="DY1475">
        <f>SUM(DT1475:DU1475)</f>
        <v>1</v>
      </c>
      <c r="DZ1475" s="143" t="str">
        <f>IF(DT1475=1,"self-calculated DF",IF(DU1475=1,"external DF used","explicit C balance"))</f>
        <v>self-calculated DF</v>
      </c>
      <c r="EA1475">
        <v>0</v>
      </c>
      <c r="EB1475">
        <v>0</v>
      </c>
      <c r="EC1475">
        <v>0</v>
      </c>
      <c r="ED1475">
        <v>1</v>
      </c>
      <c r="EE1475">
        <v>1</v>
      </c>
      <c r="EF1475">
        <v>0</v>
      </c>
      <c r="EG1475">
        <v>0</v>
      </c>
      <c r="EH1475">
        <v>1</v>
      </c>
      <c r="EI1475">
        <v>0</v>
      </c>
      <c r="EJ1475">
        <v>0</v>
      </c>
      <c r="EK1475">
        <v>0</v>
      </c>
      <c r="EL1475" s="143">
        <v>0</v>
      </c>
      <c r="EM1475" s="143">
        <v>0</v>
      </c>
      <c r="EN1475" s="2">
        <v>0</v>
      </c>
      <c r="EP1475" t="str">
        <f>IF(AND(AND(AND(OR($EC1475=1,$EB1475=1),OR($EH1475=1,$EF1475=1)),SUM($EA1475:$EE1475,$EK1475)&gt;=3),SUM($EF1475:$EJ1475)&gt;=2),"Whole sector approach","")</f>
        <v/>
      </c>
      <c r="EQ1475" t="str">
        <f>IF(AND(AND(OR($EC1475=1,$EB1475=1),AND($EH1475=0,$EF1475=0)),SUM($EA1475:$EE1475,$EK1475)&gt;=4),"Ecosystem approach","")</f>
        <v/>
      </c>
      <c r="ER1475" s="2" t="str">
        <f>IF(AND(AND(AND($EC1475=0,$EB1475=0),OR($EH1475=1,$EF1475=1)),SUM($EG1475:$EJ1475)&gt;=2),"Technology approach","")</f>
        <v/>
      </c>
      <c r="ES1475" t="str">
        <f>IF(AND($EC1475+$EB1475+$EE1475+$EA1475+$ED1475+$EG1475=0,$N1475="included"),"C neutral forest and HWP assumption","")</f>
        <v/>
      </c>
      <c r="ET1475" t="str">
        <f>IF(AND(AND(AND(AND($EC1475=1,$EB1475+$EA1475+$EG1475&gt;=1),$EF1475=1),$EH1475+$EI1475+$ED1475+$EE1475&gt;=2),$N1475="included"),"All C pools assumption","")</f>
        <v/>
      </c>
      <c r="EU1475" t="str">
        <f>IF(AND($ED1475+$EE1475+$EI1475+$EH1475+$EF1475=0,$N1475="included"),"In-situ only assumption","")</f>
        <v/>
      </c>
      <c r="EY1475" t="str">
        <f>IF(ISNUMBER(BW1475),IF(ABS(BW1475-[2]QC_indicators!$B$2)&gt;3*[2]QC_indicators!$C$2,"C ratio",IF(ISNUMBER(CA1475),IF(ABS(CA1475-[2]QC_indicators!$B$1)&gt;3*[2]QC_indicators!$C$1,"DF","no"))),IF(ISNUMBER(CA1475),IF(ABS(CA1475-[2]QC_indicators!$B$1)&gt;3*[2]QC_indicators!$C$1,"DF","no")))</f>
        <v>no</v>
      </c>
      <c r="FA1475" t="str">
        <f>IF(LEN($CY1475)=0,"",IF(AND($CY1475&lt;(-0.05),$ES1475="C neutral forest and HWP assumption"),"Cneutral paradox",IF(AND($CY1475&gt;0.05,$EU1475="In-situ only assumption"),"In-situ only paradox","")))</f>
        <v/>
      </c>
      <c r="FD1475" s="260" t="s">
        <v>2891</v>
      </c>
    </row>
    <row r="1476" spans="1:160" ht="15" hidden="1" customHeight="1">
      <c r="A1476" s="1" t="s">
        <v>247</v>
      </c>
      <c r="B1476" t="s">
        <v>970</v>
      </c>
      <c r="C1476" t="s">
        <v>971</v>
      </c>
      <c r="D1476" t="s">
        <v>972</v>
      </c>
      <c r="E1476" t="s">
        <v>973</v>
      </c>
      <c r="F1476" t="s">
        <v>974</v>
      </c>
      <c r="G1476" t="s">
        <v>253</v>
      </c>
      <c r="H1476" t="s">
        <v>254</v>
      </c>
      <c r="I1476">
        <v>2021</v>
      </c>
      <c r="J1476">
        <v>0</v>
      </c>
      <c r="K1476" t="s">
        <v>975</v>
      </c>
      <c r="M1476" t="str">
        <f>LEFT($D1476,FIND(",",$D1476)-1)&amp;"_"&amp;I1476&amp;L1476</f>
        <v>Piccardo_2021</v>
      </c>
      <c r="N1476" t="s">
        <v>222</v>
      </c>
      <c r="O1476" s="171" t="s">
        <v>508</v>
      </c>
      <c r="P1476" s="141" t="s">
        <v>225</v>
      </c>
      <c r="Q1476" t="s">
        <v>389</v>
      </c>
      <c r="R1476" s="258" t="s">
        <v>223</v>
      </c>
      <c r="S1476" s="1" t="s">
        <v>983</v>
      </c>
      <c r="T1476" s="260" t="s">
        <v>2896</v>
      </c>
      <c r="U1476" s="260" t="s">
        <v>982</v>
      </c>
      <c r="V1476" s="253">
        <v>0</v>
      </c>
      <c r="W1476" s="253">
        <v>0</v>
      </c>
      <c r="X1476">
        <v>0</v>
      </c>
      <c r="Y1476">
        <v>0</v>
      </c>
      <c r="Z1476">
        <v>0</v>
      </c>
      <c r="AA1476">
        <v>0</v>
      </c>
      <c r="AB1476">
        <v>0</v>
      </c>
      <c r="AC1476">
        <v>0</v>
      </c>
      <c r="AD1476">
        <v>0</v>
      </c>
      <c r="AE1476">
        <v>0</v>
      </c>
      <c r="AF1476">
        <v>0</v>
      </c>
      <c r="AG1476">
        <v>0</v>
      </c>
      <c r="AH1476">
        <v>0</v>
      </c>
      <c r="AI1476">
        <v>0</v>
      </c>
      <c r="AJ1476">
        <v>0</v>
      </c>
      <c r="AK1476">
        <v>0</v>
      </c>
      <c r="AL1476">
        <v>0</v>
      </c>
      <c r="AM1476">
        <v>1</v>
      </c>
      <c r="AN1476">
        <v>0</v>
      </c>
      <c r="AO1476">
        <v>0</v>
      </c>
      <c r="AP1476">
        <v>0</v>
      </c>
      <c r="AQ1476">
        <v>0</v>
      </c>
      <c r="AR1476">
        <v>0</v>
      </c>
      <c r="AS1476">
        <v>0</v>
      </c>
      <c r="AT1476">
        <v>0</v>
      </c>
      <c r="AU1476">
        <v>0</v>
      </c>
      <c r="AV1476">
        <v>0</v>
      </c>
      <c r="AW1476">
        <v>0</v>
      </c>
      <c r="AX1476">
        <v>0</v>
      </c>
      <c r="AY1476">
        <v>0</v>
      </c>
      <c r="AZ1476" s="141">
        <f>COUNTIF(X1476:AY1476,"&lt;&gt;0")</f>
        <v>1</v>
      </c>
      <c r="BA1476" s="141">
        <f>COUNTIF(X1476:AN1476,"&lt;&gt;0")</f>
        <v>1</v>
      </c>
      <c r="BB1476">
        <f>COUNTIF(X1476:AE1476,"&lt;&gt;0")</f>
        <v>0</v>
      </c>
      <c r="BC1476">
        <f>COUNTIF(AF1476:AK1476,"&lt;&gt;0")</f>
        <v>0</v>
      </c>
      <c r="BD1476">
        <f>COUNTIF(AL1476:AN1476,"&lt;&gt;0")</f>
        <v>1</v>
      </c>
      <c r="BE1476">
        <f>COUNTIF(AU1476:AY1476,"&lt;&gt;0")</f>
        <v>0</v>
      </c>
      <c r="BF1476">
        <f>COUNTIF(AO1476:AT1476,"&lt;&gt;0")</f>
        <v>0</v>
      </c>
      <c r="BG1476" t="str">
        <f t="array" ref="BG1476">IF(BA1476=1,INDEX($X$7:$AN$7,MATCH(TRUE,INDEX($X1476:$AY1476&lt;&gt;0,),0)),IF(BA1476=0,INDEX($AO$7:$AY$7,MATCH(1,$AO1476:$AY1476,0)),IF(BH1476="Multiple strategies","mixed drivers",IF(BH1476="Supply chain","multiple supply","multiple silviculture"))))</f>
        <v>technologies/design switch</v>
      </c>
      <c r="BH1476" s="2" t="str" cm="1">
        <f t="array" ref="BH1476">IF(COUNTIF(BB1476:BD1476,"&lt;&gt;0")=1,INDEX($X$4:$AY$4,MATCH(TRUE,INDEX($X1476:$AY1476&lt;&gt;0,),0)),IF(COUNTIF(BB1476:BD1476,"&lt;&gt;0")=0,INDEX($AO$4:$AY$4,MATCH(1,$AO1476:$AY1476,0)),"Multiple strategies"))</f>
        <v>Technology</v>
      </c>
      <c r="BI1476" s="142" t="s">
        <v>229</v>
      </c>
      <c r="BJ1476" t="s">
        <v>977</v>
      </c>
      <c r="BK1476" t="s">
        <v>978</v>
      </c>
      <c r="BL1476" t="s">
        <v>979</v>
      </c>
      <c r="BM1476">
        <f>35+3+20+8+8</f>
        <v>74</v>
      </c>
      <c r="BN1476">
        <f>8+103+26+23+35+3+8+8</f>
        <v>214</v>
      </c>
      <c r="BO1476">
        <f>IFERROR(BN1476/BM1476,"")</f>
        <v>2.8918918918918921</v>
      </c>
      <c r="BP1476">
        <f>BN1476-BM1476</f>
        <v>140</v>
      </c>
      <c r="BQ1476">
        <f>BP1476*t_to_m3</f>
        <v>285.71428571428572</v>
      </c>
      <c r="BR1476" t="s">
        <v>395</v>
      </c>
      <c r="BS1476" t="s">
        <v>980</v>
      </c>
      <c r="BT1476" t="s">
        <v>981</v>
      </c>
      <c r="BU1476">
        <f>669-126</f>
        <v>543</v>
      </c>
      <c r="BV1476">
        <f>303-378</f>
        <v>-75</v>
      </c>
      <c r="BW1476" s="144"/>
      <c r="BX1476">
        <f>(BV1476-BU1476)</f>
        <v>-618</v>
      </c>
      <c r="BZ1476">
        <f>BX1476</f>
        <v>-618</v>
      </c>
      <c r="CA1476">
        <f>IFERROR(BZ1476/BQ1476,"")</f>
        <v>-2.1629999999999998</v>
      </c>
      <c r="CB1476">
        <v>0</v>
      </c>
      <c r="CC1476">
        <v>0</v>
      </c>
      <c r="CD1476">
        <v>0</v>
      </c>
      <c r="CE1476">
        <v>0</v>
      </c>
      <c r="CF1476">
        <v>0</v>
      </c>
      <c r="CG1476">
        <v>0</v>
      </c>
      <c r="CH1476">
        <v>0</v>
      </c>
      <c r="CI1476">
        <v>0</v>
      </c>
      <c r="CJ1476">
        <v>0</v>
      </c>
      <c r="CK1476">
        <v>0</v>
      </c>
      <c r="CL1476">
        <v>0</v>
      </c>
      <c r="CM1476">
        <v>0</v>
      </c>
      <c r="CN1476">
        <v>0</v>
      </c>
      <c r="CO1476">
        <v>0</v>
      </c>
      <c r="CP1476" t="str">
        <f>IF($BN1476&lt;$BM1476,"refNeedCorrection","refOK")</f>
        <v>refOK</v>
      </c>
      <c r="CQ1476">
        <f>IF($CP1476="refOK",$BM1476,$BN1476)</f>
        <v>74</v>
      </c>
      <c r="CR1476">
        <f>IF($CP1476="refOK",$BN1476,$BM1476)</f>
        <v>214</v>
      </c>
      <c r="CS1476">
        <f>IF($CP1476="refOK",$BQ1476,-$BQ1476)</f>
        <v>285.71428571428572</v>
      </c>
      <c r="CT1476">
        <f>IF(BI1476="Roundwood",$CS1476/2,$CS1476)</f>
        <v>285.71428571428572</v>
      </c>
      <c r="CU1476">
        <f>IF($CP1476="refOK",$BU1476,$BV1476)*IF($BR1476="Emissions positive",-1,1)</f>
        <v>-543</v>
      </c>
      <c r="CV1476">
        <f>IF($CP1476="refOK",$BV1476,$BU1476)*IF($BR1476="Emissions positive",-1,1)</f>
        <v>75</v>
      </c>
      <c r="CW1476">
        <f>IF($CP1476="refNeedCorrection",-BZ1476,BZ1476)*IF($BR1476="Emissions positive",-1,1)</f>
        <v>618</v>
      </c>
      <c r="CX1476">
        <f>IFERROR($CW1476/$CS1476,"")</f>
        <v>2.1629999999999998</v>
      </c>
      <c r="CY1476">
        <f>IFERROR($CW1476/$CS1476,"")</f>
        <v>2.1629999999999998</v>
      </c>
      <c r="CZ1476">
        <f>IFERROR($CW1476/$CT1476,"")</f>
        <v>2.1629999999999998</v>
      </c>
      <c r="DA1476" s="2">
        <f>IFERROR((CV1476-CU1476)/ABS(CU1476),"")</f>
        <v>1.1381215469613259</v>
      </c>
      <c r="DB1476" s="1" t="s">
        <v>263</v>
      </c>
      <c r="DC1476" t="str">
        <f>IF(OR($DB1476="prd",$DB1476="std",$DB1476="cit"),"loc",IF(OR($DB1476="eur",$DB1476="reg",$DB1476="coy"),"reg",$DB1476))</f>
        <v>loc</v>
      </c>
      <c r="DD1476" t="s">
        <v>729</v>
      </c>
      <c r="DG1476">
        <v>50</v>
      </c>
      <c r="DH1476" t="str">
        <f>IF(DG1476=0,"0",IF(AND(DG1476&gt;=1,DG1476&lt;=30),"1-30",IF(AND(DG1476&gt;30,DG1476&lt;=70),"31-70",IF(AND(DG1476&gt;70,DG1476&lt;=100),"71-100",IF(DG1476&gt;100,"+100")))))</f>
        <v>31-70</v>
      </c>
      <c r="DI1476">
        <v>0</v>
      </c>
      <c r="DJ1476">
        <v>0</v>
      </c>
      <c r="DK1476">
        <v>1</v>
      </c>
      <c r="DL1476">
        <v>1</v>
      </c>
      <c r="DN1476">
        <f>SUM(DI1476:DL1476)</f>
        <v>2</v>
      </c>
      <c r="DO1476" t="str">
        <f>IF(DN1476=1,INDEX($DI$7:$DL$7,MATCH(1,$DI1476:$DL1476,0)),"mixedProduct")</f>
        <v>mixedProduct</v>
      </c>
      <c r="DP1476">
        <f>IF(DI1476=1,DP$7,0)</f>
        <v>0</v>
      </c>
      <c r="DQ1476">
        <f>IF(DJ1476=1,DQ$7,0)</f>
        <v>0</v>
      </c>
      <c r="DR1476" t="str">
        <f>IF(DK1476=1,DR$7,0)</f>
        <v>Pulp/Paper</v>
      </c>
      <c r="DS1476" t="str">
        <f>IF(DL1476=1,DS$7,0)</f>
        <v>Timber</v>
      </c>
      <c r="DT1476">
        <v>1</v>
      </c>
      <c r="DU1476">
        <v>0</v>
      </c>
      <c r="DV1476">
        <v>0</v>
      </c>
      <c r="DW1476">
        <v>0</v>
      </c>
      <c r="DX1476">
        <v>0</v>
      </c>
      <c r="DY1476">
        <f>SUM(DT1476:DU1476)</f>
        <v>1</v>
      </c>
      <c r="DZ1476" s="143" t="str">
        <f>IF(DT1476=1,"self-calculated DF",IF(DU1476=1,"external DF used","explicit C balance"))</f>
        <v>self-calculated DF</v>
      </c>
      <c r="EA1476">
        <v>0</v>
      </c>
      <c r="EB1476">
        <v>0</v>
      </c>
      <c r="EC1476">
        <v>0</v>
      </c>
      <c r="ED1476">
        <v>1</v>
      </c>
      <c r="EE1476">
        <v>1</v>
      </c>
      <c r="EF1476">
        <v>0</v>
      </c>
      <c r="EG1476">
        <v>0</v>
      </c>
      <c r="EH1476">
        <v>1</v>
      </c>
      <c r="EI1476">
        <v>0</v>
      </c>
      <c r="EJ1476">
        <v>0</v>
      </c>
      <c r="EK1476">
        <v>0</v>
      </c>
      <c r="EL1476" s="143">
        <v>0</v>
      </c>
      <c r="EM1476" s="143">
        <v>0</v>
      </c>
      <c r="EN1476" s="2">
        <v>0</v>
      </c>
      <c r="EP1476" t="str">
        <f>IF(AND(AND(AND(OR($EC1476=1,$EB1476=1),OR($EH1476=1,$EF1476=1)),SUM($EA1476:$EE1476,$EK1476)&gt;=3),SUM($EF1476:$EJ1476)&gt;=2),"Whole sector approach","")</f>
        <v/>
      </c>
      <c r="EQ1476" t="str">
        <f>IF(AND(AND(OR($EC1476=1,$EB1476=1),AND($EH1476=0,$EF1476=0)),SUM($EA1476:$EE1476,$EK1476)&gt;=4),"Ecosystem approach","")</f>
        <v/>
      </c>
      <c r="ER1476" s="2" t="str">
        <f>IF(AND(AND(AND($EC1476=0,$EB1476=0),OR($EH1476=1,$EF1476=1)),SUM($EG1476:$EJ1476)&gt;=2),"Technology approach","")</f>
        <v/>
      </c>
      <c r="ES1476" t="str">
        <f>IF(AND($EC1476+$EB1476+$EE1476+$EA1476+$ED1476+$EG1476=0,$N1476="included"),"C neutral forest and HWP assumption","")</f>
        <v/>
      </c>
      <c r="ET1476" t="str">
        <f>IF(AND(AND(AND(AND($EC1476=1,$EB1476+$EA1476+$EG1476&gt;=1),$EF1476=1),$EH1476+$EI1476+$ED1476+$EE1476&gt;=2),$N1476="included"),"All C pools assumption","")</f>
        <v/>
      </c>
      <c r="EU1476" t="str">
        <f>IF(AND($ED1476+$EE1476+$EI1476+$EH1476+$EF1476=0,$N1476="included"),"In-situ only assumption","")</f>
        <v/>
      </c>
      <c r="EY1476" t="str">
        <f>IF(ISNUMBER(BW1476),IF(ABS(BW1476-[2]QC_indicators!$B$2)&gt;3*[2]QC_indicators!$C$2,"C ratio",IF(ISNUMBER(CA1476),IF(ABS(CA1476-[2]QC_indicators!$B$1)&gt;3*[2]QC_indicators!$C$1,"DF","no"))),IF(ISNUMBER(CA1476),IF(ABS(CA1476-[2]QC_indicators!$B$1)&gt;3*[2]QC_indicators!$C$1,"DF","no")))</f>
        <v>no</v>
      </c>
      <c r="FA1476" t="str">
        <f>IF(LEN($CY1476)=0,"",IF(AND($CY1476&lt;(-0.05),$ES1476="C neutral forest and HWP assumption"),"Cneutral paradox",IF(AND($CY1476&gt;0.05,$EU1476="In-situ only assumption"),"In-situ only paradox","")))</f>
        <v/>
      </c>
      <c r="FD1476" s="260" t="s">
        <v>2891</v>
      </c>
    </row>
    <row r="1477" spans="1:160" hidden="1">
      <c r="A1477" s="1" t="s">
        <v>247</v>
      </c>
      <c r="B1477" t="s">
        <v>970</v>
      </c>
      <c r="C1477" t="s">
        <v>971</v>
      </c>
      <c r="D1477" t="s">
        <v>972</v>
      </c>
      <c r="E1477" t="s">
        <v>973</v>
      </c>
      <c r="F1477" t="s">
        <v>974</v>
      </c>
      <c r="G1477" t="s">
        <v>253</v>
      </c>
      <c r="H1477" t="s">
        <v>254</v>
      </c>
      <c r="I1477">
        <v>2021</v>
      </c>
      <c r="J1477">
        <v>0</v>
      </c>
      <c r="K1477" t="s">
        <v>975</v>
      </c>
      <c r="M1477" t="str">
        <f>LEFT($D1477,FIND(",",$D1477)-1)&amp;"_"&amp;I1477&amp;L1477</f>
        <v>Piccardo_2021</v>
      </c>
      <c r="N1477" t="s">
        <v>222</v>
      </c>
      <c r="O1477" s="171" t="s">
        <v>508</v>
      </c>
      <c r="P1477" s="141" t="s">
        <v>225</v>
      </c>
      <c r="Q1477" t="s">
        <v>389</v>
      </c>
      <c r="R1477" s="258" t="s">
        <v>223</v>
      </c>
      <c r="S1477" s="1" t="s">
        <v>983</v>
      </c>
      <c r="T1477" s="260" t="s">
        <v>2889</v>
      </c>
      <c r="U1477" s="260" t="s">
        <v>2892</v>
      </c>
      <c r="V1477" s="253">
        <v>0</v>
      </c>
      <c r="W1477" s="253">
        <v>0</v>
      </c>
      <c r="X1477">
        <v>0</v>
      </c>
      <c r="Y1477">
        <v>0</v>
      </c>
      <c r="Z1477">
        <v>0</v>
      </c>
      <c r="AA1477">
        <v>0</v>
      </c>
      <c r="AB1477">
        <v>0</v>
      </c>
      <c r="AC1477">
        <v>0</v>
      </c>
      <c r="AD1477">
        <v>0</v>
      </c>
      <c r="AE1477">
        <v>0</v>
      </c>
      <c r="AF1477">
        <v>0</v>
      </c>
      <c r="AG1477">
        <v>0</v>
      </c>
      <c r="AH1477">
        <v>0</v>
      </c>
      <c r="AI1477">
        <v>0</v>
      </c>
      <c r="AJ1477">
        <v>0</v>
      </c>
      <c r="AK1477">
        <v>0</v>
      </c>
      <c r="AL1477">
        <v>0</v>
      </c>
      <c r="AM1477">
        <v>1</v>
      </c>
      <c r="AN1477">
        <v>0</v>
      </c>
      <c r="AO1477">
        <v>0</v>
      </c>
      <c r="AP1477">
        <v>0</v>
      </c>
      <c r="AQ1477">
        <v>0</v>
      </c>
      <c r="AR1477">
        <v>0</v>
      </c>
      <c r="AS1477">
        <v>0</v>
      </c>
      <c r="AT1477">
        <v>0</v>
      </c>
      <c r="AU1477">
        <v>0</v>
      </c>
      <c r="AV1477">
        <v>0</v>
      </c>
      <c r="AW1477">
        <v>0</v>
      </c>
      <c r="AX1477">
        <v>0</v>
      </c>
      <c r="AY1477">
        <v>0</v>
      </c>
      <c r="AZ1477" s="141">
        <f>COUNTIF(X1477:AY1477,"&lt;&gt;0")</f>
        <v>1</v>
      </c>
      <c r="BA1477" s="141">
        <f>COUNTIF(X1477:AN1477,"&lt;&gt;0")</f>
        <v>1</v>
      </c>
      <c r="BB1477">
        <f>COUNTIF(X1477:AE1477,"&lt;&gt;0")</f>
        <v>0</v>
      </c>
      <c r="BC1477">
        <f>COUNTIF(AF1477:AK1477,"&lt;&gt;0")</f>
        <v>0</v>
      </c>
      <c r="BD1477">
        <f>COUNTIF(AL1477:AN1477,"&lt;&gt;0")</f>
        <v>1</v>
      </c>
      <c r="BE1477">
        <f>COUNTIF(AU1477:AY1477,"&lt;&gt;0")</f>
        <v>0</v>
      </c>
      <c r="BF1477">
        <f>COUNTIF(AO1477:AT1477,"&lt;&gt;0")</f>
        <v>0</v>
      </c>
      <c r="BG1477" t="str">
        <f t="array" ref="BG1477">IF(BA1477=1,INDEX($X$7:$AN$7,MATCH(TRUE,INDEX($X1477:$AY1477&lt;&gt;0,),0)),IF(BA1477=0,INDEX($AO$7:$AY$7,MATCH(1,$AO1477:$AY1477,0)),IF(BH1477="Multiple strategies","mixed drivers",IF(BH1477="Supply chain","multiple supply","multiple silviculture"))))</f>
        <v>technologies/design switch</v>
      </c>
      <c r="BH1477" s="2" t="str" cm="1">
        <f t="array" ref="BH1477">IF(COUNTIF(BB1477:BD1477,"&lt;&gt;0")=1,INDEX($X$4:$AY$4,MATCH(TRUE,INDEX($X1477:$AY1477&lt;&gt;0,),0)),IF(COUNTIF(BB1477:BD1477,"&lt;&gt;0")=0,INDEX($AO$4:$AY$4,MATCH(1,$AO1477:$AY1477,0)),"Multiple strategies"))</f>
        <v>Technology</v>
      </c>
      <c r="BI1477" s="142" t="s">
        <v>229</v>
      </c>
      <c r="BJ1477" t="s">
        <v>977</v>
      </c>
      <c r="BK1477" t="s">
        <v>978</v>
      </c>
      <c r="BL1477" t="s">
        <v>979</v>
      </c>
      <c r="BM1477">
        <f>35+3+20+8+8</f>
        <v>74</v>
      </c>
      <c r="BN1477">
        <f>175+40+77+18+35+3+8+8</f>
        <v>364</v>
      </c>
      <c r="BO1477">
        <f>IFERROR(BN1477/BM1477,"")</f>
        <v>4.9189189189189193</v>
      </c>
      <c r="BP1477">
        <f>BN1477-BM1477</f>
        <v>290</v>
      </c>
      <c r="BQ1477">
        <f>BP1477*t_to_m3</f>
        <v>591.83673469387759</v>
      </c>
      <c r="BR1477" t="s">
        <v>395</v>
      </c>
      <c r="BS1477" t="s">
        <v>980</v>
      </c>
      <c r="BT1477" t="s">
        <v>981</v>
      </c>
      <c r="BU1477">
        <v>99</v>
      </c>
      <c r="BV1477">
        <v>-1415</v>
      </c>
      <c r="BW1477" s="144"/>
      <c r="BX1477">
        <f>(BV1477-BU1477)</f>
        <v>-1514</v>
      </c>
      <c r="BZ1477">
        <f>BX1477</f>
        <v>-1514</v>
      </c>
      <c r="CA1477">
        <f>IFERROR(BZ1477/BQ1477,"")</f>
        <v>-2.5581379310344827</v>
      </c>
      <c r="CB1477">
        <v>0</v>
      </c>
      <c r="CC1477">
        <v>0</v>
      </c>
      <c r="CD1477">
        <v>0</v>
      </c>
      <c r="CE1477">
        <v>0</v>
      </c>
      <c r="CF1477">
        <v>0</v>
      </c>
      <c r="CG1477">
        <v>0</v>
      </c>
      <c r="CH1477">
        <v>0</v>
      </c>
      <c r="CI1477">
        <v>0</v>
      </c>
      <c r="CJ1477">
        <v>0</v>
      </c>
      <c r="CK1477">
        <v>0</v>
      </c>
      <c r="CL1477">
        <v>0</v>
      </c>
      <c r="CM1477">
        <v>0</v>
      </c>
      <c r="CN1477">
        <v>0</v>
      </c>
      <c r="CO1477">
        <v>0</v>
      </c>
      <c r="CP1477" t="str">
        <f>IF($BN1477&lt;$BM1477,"refNeedCorrection","refOK")</f>
        <v>refOK</v>
      </c>
      <c r="CQ1477">
        <f>IF($CP1477="refOK",$BM1477,$BN1477)</f>
        <v>74</v>
      </c>
      <c r="CR1477">
        <f>IF($CP1477="refOK",$BN1477,$BM1477)</f>
        <v>364</v>
      </c>
      <c r="CS1477">
        <f>IF($CP1477="refOK",$BQ1477,-$BQ1477)</f>
        <v>591.83673469387759</v>
      </c>
      <c r="CT1477">
        <f>IF(BI1477="Roundwood",$CS1477/2,$CS1477)</f>
        <v>591.83673469387759</v>
      </c>
      <c r="CU1477">
        <f>IF($CP1477="refOK",$BU1477,$BV1477)*IF($BR1477="Emissions positive",-1,1)</f>
        <v>-99</v>
      </c>
      <c r="CV1477">
        <f>IF($CP1477="refOK",$BV1477,$BU1477)*IF($BR1477="Emissions positive",-1,1)</f>
        <v>1415</v>
      </c>
      <c r="CW1477">
        <f>IF($CP1477="refNeedCorrection",-BZ1477,BZ1477)*IF($BR1477="Emissions positive",-1,1)</f>
        <v>1514</v>
      </c>
      <c r="CX1477">
        <f>IFERROR($CW1477/$CS1477,"")</f>
        <v>2.5581379310344827</v>
      </c>
      <c r="CY1477">
        <f>IFERROR($CW1477/$CS1477,"")</f>
        <v>2.5581379310344827</v>
      </c>
      <c r="CZ1477">
        <f>IFERROR($CW1477/$CT1477,"")</f>
        <v>2.5581379310344827</v>
      </c>
      <c r="DA1477" s="2">
        <f>IFERROR((CV1477-CU1477)/ABS(CU1477),"")</f>
        <v>15.292929292929292</v>
      </c>
      <c r="DB1477" s="1" t="s">
        <v>263</v>
      </c>
      <c r="DC1477" t="str">
        <f>IF(OR($DB1477="prd",$DB1477="std",$DB1477="cit"),"loc",IF(OR($DB1477="eur",$DB1477="reg",$DB1477="coy"),"reg",$DB1477))</f>
        <v>loc</v>
      </c>
      <c r="DD1477" t="s">
        <v>729</v>
      </c>
      <c r="DG1477">
        <v>50</v>
      </c>
      <c r="DH1477" t="str">
        <f>IF(DG1477=0,"0",IF(AND(DG1477&gt;=1,DG1477&lt;=30),"1-30",IF(AND(DG1477&gt;30,DG1477&lt;=70),"31-70",IF(AND(DG1477&gt;70,DG1477&lt;=100),"71-100",IF(DG1477&gt;100,"+100")))))</f>
        <v>31-70</v>
      </c>
      <c r="DI1477">
        <v>0</v>
      </c>
      <c r="DJ1477">
        <v>0</v>
      </c>
      <c r="DK1477">
        <v>1</v>
      </c>
      <c r="DL1477">
        <v>1</v>
      </c>
      <c r="DN1477">
        <f>SUM(DI1477:DL1477)</f>
        <v>2</v>
      </c>
      <c r="DO1477" t="str">
        <f>IF(DN1477=1,INDEX($DI$7:$DL$7,MATCH(1,$DI1477:$DL1477,0)),"mixedProduct")</f>
        <v>mixedProduct</v>
      </c>
      <c r="DP1477">
        <f>IF(DI1477=1,DP$7,0)</f>
        <v>0</v>
      </c>
      <c r="DQ1477">
        <f>IF(DJ1477=1,DQ$7,0)</f>
        <v>0</v>
      </c>
      <c r="DR1477" t="str">
        <f>IF(DK1477=1,DR$7,0)</f>
        <v>Pulp/Paper</v>
      </c>
      <c r="DS1477" t="str">
        <f>IF(DL1477=1,DS$7,0)</f>
        <v>Timber</v>
      </c>
      <c r="DT1477">
        <v>1</v>
      </c>
      <c r="DU1477">
        <v>0</v>
      </c>
      <c r="DV1477">
        <v>0</v>
      </c>
      <c r="DW1477">
        <v>0</v>
      </c>
      <c r="DX1477">
        <v>0</v>
      </c>
      <c r="DY1477">
        <f>SUM(DT1477:DU1477)</f>
        <v>1</v>
      </c>
      <c r="DZ1477" s="143" t="str">
        <f>IF(DT1477=1,"self-calculated DF",IF(DU1477=1,"external DF used","explicit C balance"))</f>
        <v>self-calculated DF</v>
      </c>
      <c r="EA1477">
        <v>0</v>
      </c>
      <c r="EB1477">
        <v>0</v>
      </c>
      <c r="EC1477">
        <v>0</v>
      </c>
      <c r="ED1477">
        <v>1</v>
      </c>
      <c r="EE1477">
        <v>1</v>
      </c>
      <c r="EF1477">
        <v>1</v>
      </c>
      <c r="EG1477">
        <v>0</v>
      </c>
      <c r="EH1477">
        <v>1</v>
      </c>
      <c r="EI1477">
        <v>1</v>
      </c>
      <c r="EJ1477">
        <v>1</v>
      </c>
      <c r="EK1477">
        <v>0</v>
      </c>
      <c r="EL1477" s="143">
        <v>0</v>
      </c>
      <c r="EM1477" s="143">
        <v>0</v>
      </c>
      <c r="EN1477" s="2">
        <v>0</v>
      </c>
      <c r="EP1477" t="str">
        <f>IF(AND(AND(AND(OR($EC1477=1,$EB1477=1),OR($EH1477=1,$EF1477=1)),SUM($EA1477:$EE1477,$EK1477)&gt;=3),SUM($EF1477:$EJ1477)&gt;=2),"Whole sector approach","")</f>
        <v/>
      </c>
      <c r="EQ1477" t="str">
        <f>IF(AND(AND(OR($EC1477=1,$EB1477=1),AND($EH1477=0,$EF1477=0)),SUM($EA1477:$EE1477,$EK1477)&gt;=4),"Ecosystem approach","")</f>
        <v/>
      </c>
      <c r="ER1477" s="2" t="str">
        <f>IF(AND(AND(AND($EC1477=0,$EB1477=0),OR($EH1477=1,$EF1477=1)),SUM($EG1477:$EJ1477)&gt;=2),"Technology approach","")</f>
        <v>Technology approach</v>
      </c>
      <c r="ES1477" t="str">
        <f>IF(AND($EC1477+$EB1477+$EE1477+$EA1477+$ED1477+$EG1477=0,$N1477="included"),"C neutral forest and HWP assumption","")</f>
        <v/>
      </c>
      <c r="ET1477" t="str">
        <f>IF(AND(AND(AND(AND($EC1477=1,$EB1477+$EA1477+$EG1477&gt;=1),$EF1477=1),$EH1477+$EI1477+$ED1477+$EE1477&gt;=2),$N1477="included"),"All C pools assumption","")</f>
        <v/>
      </c>
      <c r="EU1477" t="str">
        <f>IF(AND($ED1477+$EE1477+$EI1477+$EH1477+$EF1477=0,$N1477="included"),"In-situ only assumption","")</f>
        <v/>
      </c>
      <c r="EY1477" t="str">
        <f>IF(ISNUMBER(BW1477),IF(ABS(BW1477-[2]QC_indicators!$B$2)&gt;3*[2]QC_indicators!$C$2,"C ratio",IF(ISNUMBER(CA1477),IF(ABS(CA1477-[2]QC_indicators!$B$1)&gt;3*[2]QC_indicators!$C$1,"DF","no"))),IF(ISNUMBER(CA1477),IF(ABS(CA1477-[2]QC_indicators!$B$1)&gt;3*[2]QC_indicators!$C$1,"DF","no")))</f>
        <v>no</v>
      </c>
      <c r="FA1477" t="str">
        <f>IF(LEN($CY1477)=0,"",IF(AND($CY1477&lt;(-0.05),$ES1477="C neutral forest and HWP assumption"),"Cneutral paradox",IF(AND($CY1477&gt;0.05,$EU1477="In-situ only assumption"),"In-situ only paradox","")))</f>
        <v/>
      </c>
      <c r="FD1477" s="260" t="s">
        <v>2891</v>
      </c>
    </row>
    <row r="1478" spans="1:160" ht="15" hidden="1" customHeight="1">
      <c r="A1478" s="1" t="s">
        <v>247</v>
      </c>
      <c r="B1478" t="s">
        <v>970</v>
      </c>
      <c r="C1478" t="s">
        <v>971</v>
      </c>
      <c r="D1478" t="s">
        <v>972</v>
      </c>
      <c r="E1478" t="s">
        <v>973</v>
      </c>
      <c r="F1478" t="s">
        <v>974</v>
      </c>
      <c r="G1478" t="s">
        <v>253</v>
      </c>
      <c r="H1478" t="s">
        <v>254</v>
      </c>
      <c r="I1478">
        <v>2021</v>
      </c>
      <c r="J1478">
        <v>0</v>
      </c>
      <c r="K1478" t="s">
        <v>975</v>
      </c>
      <c r="M1478" t="str">
        <f>LEFT($D1478,FIND(",",$D1478)-1)&amp;"_"&amp;I1478&amp;L1478</f>
        <v>Piccardo_2021</v>
      </c>
      <c r="N1478" t="s">
        <v>222</v>
      </c>
      <c r="O1478" s="171" t="s">
        <v>508</v>
      </c>
      <c r="P1478" s="141" t="s">
        <v>225</v>
      </c>
      <c r="Q1478" t="s">
        <v>389</v>
      </c>
      <c r="R1478" s="258" t="s">
        <v>223</v>
      </c>
      <c r="S1478" s="1" t="s">
        <v>983</v>
      </c>
      <c r="T1478" s="260" t="s">
        <v>2889</v>
      </c>
      <c r="U1478" s="260" t="s">
        <v>2894</v>
      </c>
      <c r="V1478" s="253">
        <v>0</v>
      </c>
      <c r="W1478" s="253">
        <v>0</v>
      </c>
      <c r="X1478">
        <v>0</v>
      </c>
      <c r="Y1478">
        <v>0</v>
      </c>
      <c r="Z1478">
        <v>0</v>
      </c>
      <c r="AA1478">
        <v>0</v>
      </c>
      <c r="AB1478">
        <v>0</v>
      </c>
      <c r="AC1478">
        <v>0</v>
      </c>
      <c r="AD1478">
        <v>0</v>
      </c>
      <c r="AE1478">
        <v>0</v>
      </c>
      <c r="AF1478">
        <v>0</v>
      </c>
      <c r="AG1478">
        <v>0</v>
      </c>
      <c r="AH1478">
        <v>0</v>
      </c>
      <c r="AI1478">
        <v>0</v>
      </c>
      <c r="AJ1478">
        <v>0</v>
      </c>
      <c r="AK1478">
        <v>0</v>
      </c>
      <c r="AL1478">
        <v>0</v>
      </c>
      <c r="AM1478">
        <v>1</v>
      </c>
      <c r="AN1478">
        <v>0</v>
      </c>
      <c r="AO1478">
        <v>0</v>
      </c>
      <c r="AP1478">
        <v>0</v>
      </c>
      <c r="AQ1478">
        <v>0</v>
      </c>
      <c r="AR1478">
        <v>0</v>
      </c>
      <c r="AS1478">
        <v>0</v>
      </c>
      <c r="AT1478">
        <v>0</v>
      </c>
      <c r="AU1478">
        <v>0</v>
      </c>
      <c r="AV1478">
        <v>0</v>
      </c>
      <c r="AW1478">
        <v>0</v>
      </c>
      <c r="AX1478">
        <v>0</v>
      </c>
      <c r="AY1478">
        <v>0</v>
      </c>
      <c r="AZ1478" s="141">
        <f>COUNTIF(X1478:AY1478,"&lt;&gt;0")</f>
        <v>1</v>
      </c>
      <c r="BA1478" s="141">
        <f>COUNTIF(X1478:AN1478,"&lt;&gt;0")</f>
        <v>1</v>
      </c>
      <c r="BB1478">
        <f>COUNTIF(X1478:AE1478,"&lt;&gt;0")</f>
        <v>0</v>
      </c>
      <c r="BC1478">
        <f>COUNTIF(AF1478:AK1478,"&lt;&gt;0")</f>
        <v>0</v>
      </c>
      <c r="BD1478">
        <f>COUNTIF(AL1478:AN1478,"&lt;&gt;0")</f>
        <v>1</v>
      </c>
      <c r="BE1478">
        <f>COUNTIF(AU1478:AY1478,"&lt;&gt;0")</f>
        <v>0</v>
      </c>
      <c r="BF1478">
        <f>COUNTIF(AO1478:AT1478,"&lt;&gt;0")</f>
        <v>0</v>
      </c>
      <c r="BG1478" t="str">
        <f t="array" ref="BG1478">IF(BA1478=1,INDEX($X$7:$AN$7,MATCH(TRUE,INDEX($X1478:$AY1478&lt;&gt;0,),0)),IF(BA1478=0,INDEX($AO$7:$AY$7,MATCH(1,$AO1478:$AY1478,0)),IF(BH1478="Multiple strategies","mixed drivers",IF(BH1478="Supply chain","multiple supply","multiple silviculture"))))</f>
        <v>technologies/design switch</v>
      </c>
      <c r="BH1478" s="2" t="str" cm="1">
        <f t="array" ref="BH1478">IF(COUNTIF(BB1478:BD1478,"&lt;&gt;0")=1,INDEX($X$4:$AY$4,MATCH(TRUE,INDEX($X1478:$AY1478&lt;&gt;0,),0)),IF(COUNTIF(BB1478:BD1478,"&lt;&gt;0")=0,INDEX($AO$4:$AY$4,MATCH(1,$AO1478:$AY1478,0)),"Multiple strategies"))</f>
        <v>Technology</v>
      </c>
      <c r="BI1478" s="142" t="s">
        <v>229</v>
      </c>
      <c r="BJ1478" t="s">
        <v>977</v>
      </c>
      <c r="BK1478" t="s">
        <v>978</v>
      </c>
      <c r="BL1478" t="s">
        <v>979</v>
      </c>
      <c r="BM1478">
        <f>35+3+20+8+8</f>
        <v>74</v>
      </c>
      <c r="BN1478">
        <f>8+103+26+23+35+3+8+8</f>
        <v>214</v>
      </c>
      <c r="BO1478">
        <f>IFERROR(BN1478/BM1478,"")</f>
        <v>2.8918918918918921</v>
      </c>
      <c r="BP1478">
        <f>BN1478-BM1478</f>
        <v>140</v>
      </c>
      <c r="BQ1478">
        <f>BP1478*t_to_m3</f>
        <v>285.71428571428572</v>
      </c>
      <c r="BR1478" t="s">
        <v>395</v>
      </c>
      <c r="BS1478" t="s">
        <v>980</v>
      </c>
      <c r="BT1478" t="s">
        <v>981</v>
      </c>
      <c r="BU1478">
        <v>99</v>
      </c>
      <c r="BV1478">
        <v>-747</v>
      </c>
      <c r="BW1478" s="144"/>
      <c r="BX1478">
        <f>(BV1478-BU1478)</f>
        <v>-846</v>
      </c>
      <c r="BZ1478">
        <f>BX1478</f>
        <v>-846</v>
      </c>
      <c r="CA1478">
        <f>IFERROR(BZ1478/BQ1478,"")</f>
        <v>-2.9609999999999999</v>
      </c>
      <c r="CB1478">
        <v>0</v>
      </c>
      <c r="CC1478">
        <v>0</v>
      </c>
      <c r="CD1478">
        <v>0</v>
      </c>
      <c r="CE1478">
        <v>0</v>
      </c>
      <c r="CF1478">
        <v>0</v>
      </c>
      <c r="CG1478">
        <v>0</v>
      </c>
      <c r="CH1478">
        <v>0</v>
      </c>
      <c r="CI1478">
        <v>0</v>
      </c>
      <c r="CJ1478">
        <v>0</v>
      </c>
      <c r="CK1478">
        <v>0</v>
      </c>
      <c r="CL1478">
        <v>0</v>
      </c>
      <c r="CM1478">
        <v>0</v>
      </c>
      <c r="CN1478">
        <v>0</v>
      </c>
      <c r="CO1478">
        <v>0</v>
      </c>
      <c r="CP1478" t="str">
        <f>IF($BN1478&lt;$BM1478,"refNeedCorrection","refOK")</f>
        <v>refOK</v>
      </c>
      <c r="CQ1478">
        <f>IF($CP1478="refOK",$BM1478,$BN1478)</f>
        <v>74</v>
      </c>
      <c r="CR1478">
        <f>IF($CP1478="refOK",$BN1478,$BM1478)</f>
        <v>214</v>
      </c>
      <c r="CS1478">
        <f>IF($CP1478="refOK",$BQ1478,-$BQ1478)</f>
        <v>285.71428571428572</v>
      </c>
      <c r="CT1478">
        <f>IF(BI1478="Roundwood",$CS1478/2,$CS1478)</f>
        <v>285.71428571428572</v>
      </c>
      <c r="CU1478">
        <f>IF($CP1478="refOK",$BU1478,$BV1478)*IF($BR1478="Emissions positive",-1,1)</f>
        <v>-99</v>
      </c>
      <c r="CV1478">
        <f>IF($CP1478="refOK",$BV1478,$BU1478)*IF($BR1478="Emissions positive",-1,1)</f>
        <v>747</v>
      </c>
      <c r="CW1478">
        <f>IF($CP1478="refNeedCorrection",-BZ1478,BZ1478)*IF($BR1478="Emissions positive",-1,1)</f>
        <v>846</v>
      </c>
      <c r="CX1478">
        <f>IFERROR($CW1478/$CS1478,"")</f>
        <v>2.9609999999999999</v>
      </c>
      <c r="CY1478">
        <f>IFERROR($CW1478/$CS1478,"")</f>
        <v>2.9609999999999999</v>
      </c>
      <c r="CZ1478">
        <f>IFERROR($CW1478/$CT1478,"")</f>
        <v>2.9609999999999999</v>
      </c>
      <c r="DA1478" s="2">
        <f>IFERROR((CV1478-CU1478)/ABS(CU1478),"")</f>
        <v>8.545454545454545</v>
      </c>
      <c r="DB1478" s="1" t="s">
        <v>263</v>
      </c>
      <c r="DC1478" t="str">
        <f>IF(OR($DB1478="prd",$DB1478="std",$DB1478="cit"),"loc",IF(OR($DB1478="eur",$DB1478="reg",$DB1478="coy"),"reg",$DB1478))</f>
        <v>loc</v>
      </c>
      <c r="DD1478" t="s">
        <v>729</v>
      </c>
      <c r="DG1478">
        <v>50</v>
      </c>
      <c r="DH1478" t="str">
        <f>IF(DG1478=0,"0",IF(AND(DG1478&gt;=1,DG1478&lt;=30),"1-30",IF(AND(DG1478&gt;30,DG1478&lt;=70),"31-70",IF(AND(DG1478&gt;70,DG1478&lt;=100),"71-100",IF(DG1478&gt;100,"+100")))))</f>
        <v>31-70</v>
      </c>
      <c r="DI1478">
        <v>0</v>
      </c>
      <c r="DJ1478">
        <v>0</v>
      </c>
      <c r="DK1478">
        <v>1</v>
      </c>
      <c r="DL1478">
        <v>1</v>
      </c>
      <c r="DN1478">
        <f>SUM(DI1478:DL1478)</f>
        <v>2</v>
      </c>
      <c r="DO1478" t="str">
        <f>IF(DN1478=1,INDEX($DI$7:$DL$7,MATCH(1,$DI1478:$DL1478,0)),"mixedProduct")</f>
        <v>mixedProduct</v>
      </c>
      <c r="DP1478">
        <f>IF(DI1478=1,DP$7,0)</f>
        <v>0</v>
      </c>
      <c r="DQ1478">
        <f>IF(DJ1478=1,DQ$7,0)</f>
        <v>0</v>
      </c>
      <c r="DR1478" t="str">
        <f>IF(DK1478=1,DR$7,0)</f>
        <v>Pulp/Paper</v>
      </c>
      <c r="DS1478" t="str">
        <f>IF(DL1478=1,DS$7,0)</f>
        <v>Timber</v>
      </c>
      <c r="DT1478">
        <v>1</v>
      </c>
      <c r="DU1478">
        <v>0</v>
      </c>
      <c r="DV1478">
        <v>0</v>
      </c>
      <c r="DW1478">
        <v>0</v>
      </c>
      <c r="DX1478">
        <v>0</v>
      </c>
      <c r="DY1478">
        <f>SUM(DT1478:DU1478)</f>
        <v>1</v>
      </c>
      <c r="DZ1478" s="143" t="str">
        <f>IF(DT1478=1,"self-calculated DF",IF(DU1478=1,"external DF used","explicit C balance"))</f>
        <v>self-calculated DF</v>
      </c>
      <c r="EA1478">
        <v>0</v>
      </c>
      <c r="EB1478">
        <v>0</v>
      </c>
      <c r="EC1478">
        <v>0</v>
      </c>
      <c r="ED1478">
        <v>1</v>
      </c>
      <c r="EE1478">
        <v>1</v>
      </c>
      <c r="EF1478">
        <v>1</v>
      </c>
      <c r="EG1478">
        <v>0</v>
      </c>
      <c r="EH1478">
        <v>1</v>
      </c>
      <c r="EI1478">
        <v>1</v>
      </c>
      <c r="EJ1478">
        <v>1</v>
      </c>
      <c r="EK1478">
        <v>0</v>
      </c>
      <c r="EL1478" s="143">
        <v>0</v>
      </c>
      <c r="EM1478" s="143">
        <v>0</v>
      </c>
      <c r="EN1478" s="2">
        <v>0</v>
      </c>
      <c r="EP1478" t="str">
        <f>IF(AND(AND(AND(OR($EC1478=1,$EB1478=1),OR($EH1478=1,$EF1478=1)),SUM($EA1478:$EE1478,$EK1478)&gt;=3),SUM($EF1478:$EJ1478)&gt;=2),"Whole sector approach","")</f>
        <v/>
      </c>
      <c r="EQ1478" t="str">
        <f>IF(AND(AND(OR($EC1478=1,$EB1478=1),AND($EH1478=0,$EF1478=0)),SUM($EA1478:$EE1478,$EK1478)&gt;=4),"Ecosystem approach","")</f>
        <v/>
      </c>
      <c r="ER1478" s="2" t="str">
        <f>IF(AND(AND(AND($EC1478=0,$EB1478=0),OR($EH1478=1,$EF1478=1)),SUM($EG1478:$EJ1478)&gt;=2),"Technology approach","")</f>
        <v>Technology approach</v>
      </c>
      <c r="ES1478" t="str">
        <f>IF(AND($EC1478+$EB1478+$EE1478+$EA1478+$ED1478+$EG1478=0,$N1478="included"),"C neutral forest and HWP assumption","")</f>
        <v/>
      </c>
      <c r="ET1478" t="str">
        <f>IF(AND(AND(AND(AND($EC1478=1,$EB1478+$EA1478+$EG1478&gt;=1),$EF1478=1),$EH1478+$EI1478+$ED1478+$EE1478&gt;=2),$N1478="included"),"All C pools assumption","")</f>
        <v/>
      </c>
      <c r="EU1478" t="str">
        <f>IF(AND($ED1478+$EE1478+$EI1478+$EH1478+$EF1478=0,$N1478="included"),"In-situ only assumption","")</f>
        <v/>
      </c>
      <c r="EY1478" t="str">
        <f>IF(ISNUMBER(BW1478),IF(ABS(BW1478-[2]QC_indicators!$B$2)&gt;3*[2]QC_indicators!$C$2,"C ratio",IF(ISNUMBER(CA1478),IF(ABS(CA1478-[2]QC_indicators!$B$1)&gt;3*[2]QC_indicators!$C$1,"DF","no"))),IF(ISNUMBER(CA1478),IF(ABS(CA1478-[2]QC_indicators!$B$1)&gt;3*[2]QC_indicators!$C$1,"DF","no")))</f>
        <v>no</v>
      </c>
      <c r="FA1478" t="str">
        <f>IF(LEN($CY1478)=0,"",IF(AND($CY1478&lt;(-0.05),$ES1478="C neutral forest and HWP assumption"),"Cneutral paradox",IF(AND($CY1478&gt;0.05,$EU1478="In-situ only assumption"),"In-situ only paradox","")))</f>
        <v/>
      </c>
      <c r="FD1478" s="260" t="s">
        <v>2891</v>
      </c>
    </row>
    <row r="1479" spans="1:160" hidden="1">
      <c r="A1479" s="1" t="s">
        <v>247</v>
      </c>
      <c r="B1479" t="s">
        <v>970</v>
      </c>
      <c r="C1479" t="s">
        <v>971</v>
      </c>
      <c r="D1479" t="s">
        <v>972</v>
      </c>
      <c r="E1479" t="s">
        <v>973</v>
      </c>
      <c r="F1479" t="s">
        <v>974</v>
      </c>
      <c r="G1479" t="s">
        <v>253</v>
      </c>
      <c r="H1479" t="s">
        <v>254</v>
      </c>
      <c r="I1479">
        <v>2021</v>
      </c>
      <c r="J1479">
        <v>0</v>
      </c>
      <c r="K1479" t="s">
        <v>975</v>
      </c>
      <c r="M1479" t="str">
        <f>LEFT($D1479,FIND(",",$D1479)-1)&amp;"_"&amp;I1479&amp;L1479</f>
        <v>Piccardo_2021</v>
      </c>
      <c r="N1479" t="s">
        <v>222</v>
      </c>
      <c r="O1479" s="171" t="s">
        <v>508</v>
      </c>
      <c r="P1479" s="141" t="s">
        <v>225</v>
      </c>
      <c r="Q1479" t="s">
        <v>389</v>
      </c>
      <c r="R1479" s="258" t="s">
        <v>223</v>
      </c>
      <c r="S1479" s="1" t="s">
        <v>976</v>
      </c>
      <c r="T1479" s="260" t="s">
        <v>2889</v>
      </c>
      <c r="U1479" s="260" t="s">
        <v>2890</v>
      </c>
      <c r="V1479" s="253">
        <v>0</v>
      </c>
      <c r="W1479" s="253">
        <v>0</v>
      </c>
      <c r="X1479">
        <v>0</v>
      </c>
      <c r="Y1479">
        <v>0</v>
      </c>
      <c r="Z1479">
        <v>0</v>
      </c>
      <c r="AA1479">
        <v>0</v>
      </c>
      <c r="AB1479">
        <v>0</v>
      </c>
      <c r="AC1479">
        <v>0</v>
      </c>
      <c r="AD1479">
        <v>0</v>
      </c>
      <c r="AE1479">
        <v>0</v>
      </c>
      <c r="AF1479">
        <v>0</v>
      </c>
      <c r="AG1479">
        <v>0</v>
      </c>
      <c r="AH1479">
        <v>0</v>
      </c>
      <c r="AI1479">
        <v>1</v>
      </c>
      <c r="AJ1479">
        <v>0</v>
      </c>
      <c r="AK1479">
        <v>0</v>
      </c>
      <c r="AL1479">
        <v>0</v>
      </c>
      <c r="AM1479">
        <v>0</v>
      </c>
      <c r="AN1479">
        <v>0</v>
      </c>
      <c r="AO1479">
        <v>0</v>
      </c>
      <c r="AP1479">
        <v>0</v>
      </c>
      <c r="AQ1479">
        <v>0</v>
      </c>
      <c r="AR1479">
        <v>0</v>
      </c>
      <c r="AS1479">
        <v>0</v>
      </c>
      <c r="AT1479">
        <v>0</v>
      </c>
      <c r="AU1479">
        <v>0</v>
      </c>
      <c r="AV1479">
        <v>0</v>
      </c>
      <c r="AW1479">
        <v>0</v>
      </c>
      <c r="AX1479">
        <v>0</v>
      </c>
      <c r="AY1479">
        <v>0</v>
      </c>
      <c r="AZ1479" s="141">
        <f>COUNTIF(X1479:AY1479,"&lt;&gt;0")</f>
        <v>1</v>
      </c>
      <c r="BA1479" s="141">
        <f>COUNTIF(X1479:AN1479,"&lt;&gt;0")</f>
        <v>1</v>
      </c>
      <c r="BB1479">
        <f>COUNTIF(X1479:AE1479,"&lt;&gt;0")</f>
        <v>0</v>
      </c>
      <c r="BC1479">
        <f>COUNTIF(AF1479:AK1479,"&lt;&gt;0")</f>
        <v>1</v>
      </c>
      <c r="BD1479">
        <f>COUNTIF(AL1479:AN1479,"&lt;&gt;0")</f>
        <v>0</v>
      </c>
      <c r="BE1479">
        <f>COUNTIF(AU1479:AY1479,"&lt;&gt;0")</f>
        <v>0</v>
      </c>
      <c r="BF1479">
        <f>COUNTIF(AO1479:AT1479,"&lt;&gt;0")</f>
        <v>0</v>
      </c>
      <c r="BG1479" t="str">
        <f t="array" ref="BG1479">IF(BA1479=1,INDEX($X$7:$AN$7,MATCH(TRUE,INDEX($X1479:$AY1479&lt;&gt;0,),0)),IF(BA1479=0,INDEX($AO$7:$AY$7,MATCH(1,$AO1479:$AY1479,0)),IF(BH1479="Multiple strategies","mixed drivers",IF(BH1479="Supply chain","multiple supply","multiple silviculture"))))</f>
        <v>recycling</v>
      </c>
      <c r="BH1479" s="2" t="str" cm="1">
        <f t="array" ref="BH1479">IF(COUNTIF(BB1479:BD1479,"&lt;&gt;0")=1,INDEX($X$4:$AY$4,MATCH(TRUE,INDEX($X1479:$AY1479&lt;&gt;0,),0)),IF(COUNTIF(BB1479:BD1479,"&lt;&gt;0")=0,INDEX($AO$4:$AY$4,MATCH(1,$AO1479:$AY1479,0)),"Multiple strategies"))</f>
        <v>Supply chain</v>
      </c>
      <c r="BI1479" s="142" t="s">
        <v>229</v>
      </c>
      <c r="BJ1479" t="s">
        <v>977</v>
      </c>
      <c r="BK1479" t="s">
        <v>978</v>
      </c>
      <c r="BL1479" t="s">
        <v>979</v>
      </c>
      <c r="BM1479">
        <f>35+3+20+8+8</f>
        <v>74</v>
      </c>
      <c r="BN1479">
        <f>35+3+20+8+8</f>
        <v>74</v>
      </c>
      <c r="BO1479">
        <f>IFERROR(BN1479/BM1479,"")</f>
        <v>1</v>
      </c>
      <c r="BP1479">
        <f>BN1479-BM1479</f>
        <v>0</v>
      </c>
      <c r="BQ1479">
        <f>BP1479*t_to_m3</f>
        <v>0</v>
      </c>
      <c r="BR1479" s="260" t="s">
        <v>395</v>
      </c>
      <c r="BS1479" t="s">
        <v>980</v>
      </c>
      <c r="BT1479" t="s">
        <v>981</v>
      </c>
      <c r="BU1479">
        <v>99</v>
      </c>
      <c r="BV1479">
        <v>267</v>
      </c>
      <c r="BW1479" s="144"/>
      <c r="BX1479">
        <f>(BV1479-BU1479)</f>
        <v>168</v>
      </c>
      <c r="BZ1479">
        <f>BX1479</f>
        <v>168</v>
      </c>
      <c r="CA1479" t="str">
        <f>IFERROR(BZ1479/BQ1479,"")</f>
        <v/>
      </c>
      <c r="CB1479">
        <v>0</v>
      </c>
      <c r="CC1479">
        <v>0</v>
      </c>
      <c r="CD1479">
        <v>0</v>
      </c>
      <c r="CE1479">
        <v>0</v>
      </c>
      <c r="CF1479">
        <v>0</v>
      </c>
      <c r="CG1479">
        <v>0</v>
      </c>
      <c r="CH1479">
        <v>0</v>
      </c>
      <c r="CI1479">
        <v>0</v>
      </c>
      <c r="CJ1479">
        <v>0</v>
      </c>
      <c r="CK1479">
        <v>0</v>
      </c>
      <c r="CL1479">
        <v>0</v>
      </c>
      <c r="CM1479">
        <v>0</v>
      </c>
      <c r="CN1479">
        <v>0</v>
      </c>
      <c r="CO1479">
        <v>0</v>
      </c>
      <c r="CP1479" t="str">
        <f>IF($BN1479&lt;$BM1479,"refNeedCorrection","refOK")</f>
        <v>refOK</v>
      </c>
      <c r="CQ1479">
        <f>IF($CP1479="refOK",$BM1479,$BN1479)</f>
        <v>74</v>
      </c>
      <c r="CR1479">
        <f>IF($CP1479="refOK",$BN1479,$BM1479)</f>
        <v>74</v>
      </c>
      <c r="CS1479">
        <f>IF($CP1479="refOK",$BQ1479,-$BQ1479)</f>
        <v>0</v>
      </c>
      <c r="CT1479">
        <f>IF(BI1479="Roundwood",$CS1479/2,$CS1479)</f>
        <v>0</v>
      </c>
      <c r="CU1479">
        <f>IF($CP1479="refOK",$BU1479,$BV1479)*IF($BR1479="Emissions positive",-1,1)</f>
        <v>-99</v>
      </c>
      <c r="CV1479">
        <f>IF($CP1479="refOK",$BV1479,$BU1479)*IF($BR1479="Emissions positive",-1,1)</f>
        <v>-267</v>
      </c>
      <c r="CW1479">
        <f>IF($CP1479="refNeedCorrection",-BZ1479,BZ1479)*IF($BR1479="Emissions positive",-1,1)</f>
        <v>-168</v>
      </c>
      <c r="CX1479" t="str">
        <f>IFERROR($CW1479/$CS1479,"")</f>
        <v/>
      </c>
      <c r="CY1479" t="str">
        <f>IFERROR($CW1479/$CS1479,"")</f>
        <v/>
      </c>
      <c r="CZ1479" t="str">
        <f>IFERROR($CW1479/$CT1479,"")</f>
        <v/>
      </c>
      <c r="DA1479" s="2">
        <f>IFERROR((CV1479-CU1479)/ABS(CU1479),"")</f>
        <v>-1.696969696969697</v>
      </c>
      <c r="DB1479" s="1" t="s">
        <v>263</v>
      </c>
      <c r="DC1479" t="str">
        <f>IF(OR($DB1479="prd",$DB1479="std",$DB1479="cit"),"loc",IF(OR($DB1479="eur",$DB1479="reg",$DB1479="coy"),"reg",$DB1479))</f>
        <v>loc</v>
      </c>
      <c r="DD1479" t="s">
        <v>729</v>
      </c>
      <c r="DG1479">
        <v>50</v>
      </c>
      <c r="DH1479" t="str">
        <f>IF(DG1479=0,"0",IF(AND(DG1479&gt;=1,DG1479&lt;=30),"1-30",IF(AND(DG1479&gt;30,DG1479&lt;=70),"31-70",IF(AND(DG1479&gt;70,DG1479&lt;=100),"71-100",IF(DG1479&gt;100,"+100")))))</f>
        <v>31-70</v>
      </c>
      <c r="DI1479">
        <v>0</v>
      </c>
      <c r="DJ1479">
        <v>1</v>
      </c>
      <c r="DK1479">
        <v>0</v>
      </c>
      <c r="DL1479">
        <v>1</v>
      </c>
      <c r="DN1479">
        <f>SUM(DI1479:DL1479)</f>
        <v>2</v>
      </c>
      <c r="DO1479" t="str">
        <f>IF(DN1479=1,INDEX($DI$7:$DL$7,MATCH(1,$DI1479:$DL1479,0)),"mixedProduct")</f>
        <v>mixedProduct</v>
      </c>
      <c r="DP1479">
        <f>IF(DI1479=1,DP$7,0)</f>
        <v>0</v>
      </c>
      <c r="DQ1479" t="str">
        <f>IF(DJ1479=1,DQ$7,0)</f>
        <v>Energy</v>
      </c>
      <c r="DR1479">
        <f>IF(DK1479=1,DR$7,0)</f>
        <v>0</v>
      </c>
      <c r="DS1479" t="str">
        <f>IF(DL1479=1,DS$7,0)</f>
        <v>Timber</v>
      </c>
      <c r="DT1479">
        <v>1</v>
      </c>
      <c r="DU1479">
        <v>0</v>
      </c>
      <c r="DV1479">
        <v>0</v>
      </c>
      <c r="DW1479">
        <v>0</v>
      </c>
      <c r="DX1479">
        <v>0</v>
      </c>
      <c r="DY1479">
        <f>SUM(DT1479:DU1479)</f>
        <v>1</v>
      </c>
      <c r="DZ1479" s="143" t="str">
        <f>IF(DT1479=1,"self-calculated DF",IF(DU1479=1,"external DF used","explicit C balance"))</f>
        <v>self-calculated DF</v>
      </c>
      <c r="EA1479">
        <v>0</v>
      </c>
      <c r="EB1479">
        <v>0</v>
      </c>
      <c r="EC1479">
        <v>0</v>
      </c>
      <c r="ED1479">
        <v>1</v>
      </c>
      <c r="EE1479">
        <v>1</v>
      </c>
      <c r="EF1479" s="143">
        <v>1</v>
      </c>
      <c r="EG1479">
        <v>0</v>
      </c>
      <c r="EH1479">
        <v>1</v>
      </c>
      <c r="EI1479">
        <v>1</v>
      </c>
      <c r="EJ1479">
        <v>1</v>
      </c>
      <c r="EK1479">
        <v>0</v>
      </c>
      <c r="EL1479" s="143">
        <v>0</v>
      </c>
      <c r="EM1479" s="143">
        <v>0</v>
      </c>
      <c r="EN1479" s="2">
        <v>0</v>
      </c>
      <c r="EP1479" t="str">
        <f>IF(AND(AND(AND(OR($EC1479=1,$EB1479=1),OR($EH1479=1,$EF1479=1)),SUM($EA1479:$EE1479,$EK1479)&gt;=3),SUM($EF1479:$EJ1479)&gt;=2),"Whole sector approach","")</f>
        <v/>
      </c>
      <c r="EQ1479" t="str">
        <f>IF(AND(AND(OR($EC1479=1,$EB1479=1),AND($EH1479=0,$EF1479=0)),SUM($EA1479:$EE1479,$EK1479)&gt;=4),"Ecosystem approach","")</f>
        <v/>
      </c>
      <c r="ER1479" s="2" t="str">
        <f>IF(AND(AND(AND($EC1479=0,$EB1479=0),OR($EH1479=1,$EF1479=1)),SUM($EG1479:$EJ1479)&gt;=2),"Technology approach","")</f>
        <v>Technology approach</v>
      </c>
      <c r="ES1479" t="str">
        <f>IF(AND($EC1479+$EB1479+$EE1479+$EA1479+$ED1479+$EG1479=0,$N1479="included"),"C neutral forest and HWP assumption","")</f>
        <v/>
      </c>
      <c r="ET1479" t="str">
        <f>IF(AND(AND(AND(AND($EC1479=1,$EB1479+$EA1479+$EG1479&gt;=1),$EF1479=1),$EH1479+$EI1479+$ED1479+$EE1479&gt;=2),$N1479="included"),"All C pools assumption","")</f>
        <v/>
      </c>
      <c r="EU1479" t="str">
        <f>IF(AND($ED1479+$EE1479+$EI1479+$EH1479+$EF1479=0,$N1479="included"),"In-situ only assumption","")</f>
        <v/>
      </c>
      <c r="EY1479" t="b">
        <f>IF(ISNUMBER(BW1479),IF(ABS(BW1479-[2]QC_indicators!$B$2)&gt;3*[2]QC_indicators!$C$2,"C ratio",IF(ISNUMBER(CA1479),IF(ABS(CA1479-[2]QC_indicators!$B$1)&gt;3*[2]QC_indicators!$C$1,"DF","no"))),IF(ISNUMBER(CA1479),IF(ABS(CA1479-[2]QC_indicators!$B$1)&gt;3*[2]QC_indicators!$C$1,"DF","no")))</f>
        <v>0</v>
      </c>
      <c r="FA1479" t="str">
        <f>IF(LEN($CY1479)=0,"",IF(AND($CY1479&lt;(-0.05),$ES1479="C neutral forest and HWP assumption"),"Cneutral paradox",IF(AND($CY1479&gt;0.05,$EU1479="In-situ only assumption"),"In-situ only paradox","")))</f>
        <v/>
      </c>
      <c r="FD1479" s="260" t="s">
        <v>2891</v>
      </c>
    </row>
    <row r="1480" spans="1:160" ht="15" hidden="1" customHeight="1">
      <c r="A1480" s="1" t="s">
        <v>247</v>
      </c>
      <c r="B1480" t="s">
        <v>970</v>
      </c>
      <c r="C1480" t="s">
        <v>971</v>
      </c>
      <c r="D1480" t="s">
        <v>972</v>
      </c>
      <c r="E1480" t="s">
        <v>973</v>
      </c>
      <c r="F1480" t="s">
        <v>974</v>
      </c>
      <c r="G1480" t="s">
        <v>253</v>
      </c>
      <c r="H1480" t="s">
        <v>254</v>
      </c>
      <c r="I1480">
        <v>2021</v>
      </c>
      <c r="J1480">
        <v>0</v>
      </c>
      <c r="K1480" t="s">
        <v>975</v>
      </c>
      <c r="M1480" t="str">
        <f>LEFT($D1480,FIND(",",$D1480)-1)&amp;"_"&amp;I1480&amp;L1480</f>
        <v>Piccardo_2021</v>
      </c>
      <c r="N1480" t="s">
        <v>222</v>
      </c>
      <c r="O1480" s="171" t="s">
        <v>508</v>
      </c>
      <c r="P1480" s="141" t="s">
        <v>225</v>
      </c>
      <c r="Q1480" t="s">
        <v>389</v>
      </c>
      <c r="R1480" s="258" t="s">
        <v>223</v>
      </c>
      <c r="S1480" s="1" t="s">
        <v>976</v>
      </c>
      <c r="T1480" s="260" t="s">
        <v>2894</v>
      </c>
      <c r="U1480" t="s">
        <v>982</v>
      </c>
      <c r="V1480" s="253">
        <v>0</v>
      </c>
      <c r="W1480" s="253">
        <v>0</v>
      </c>
      <c r="X1480">
        <v>0</v>
      </c>
      <c r="Y1480">
        <v>0</v>
      </c>
      <c r="Z1480">
        <v>0</v>
      </c>
      <c r="AA1480">
        <v>0</v>
      </c>
      <c r="AB1480">
        <v>0</v>
      </c>
      <c r="AC1480">
        <v>0</v>
      </c>
      <c r="AD1480">
        <v>0</v>
      </c>
      <c r="AE1480">
        <v>0</v>
      </c>
      <c r="AF1480">
        <v>0</v>
      </c>
      <c r="AG1480">
        <v>0</v>
      </c>
      <c r="AH1480">
        <v>0</v>
      </c>
      <c r="AI1480">
        <v>1</v>
      </c>
      <c r="AJ1480">
        <v>0</v>
      </c>
      <c r="AK1480">
        <v>0</v>
      </c>
      <c r="AL1480">
        <v>0</v>
      </c>
      <c r="AM1480">
        <v>0</v>
      </c>
      <c r="AN1480">
        <v>0</v>
      </c>
      <c r="AO1480">
        <v>0</v>
      </c>
      <c r="AP1480">
        <v>0</v>
      </c>
      <c r="AQ1480">
        <v>0</v>
      </c>
      <c r="AR1480">
        <v>0</v>
      </c>
      <c r="AS1480">
        <v>0</v>
      </c>
      <c r="AT1480">
        <v>0</v>
      </c>
      <c r="AU1480">
        <v>0</v>
      </c>
      <c r="AV1480">
        <v>0</v>
      </c>
      <c r="AW1480">
        <v>0</v>
      </c>
      <c r="AX1480">
        <v>0</v>
      </c>
      <c r="AY1480">
        <v>0</v>
      </c>
      <c r="AZ1480" s="141">
        <f>COUNTIF(X1480:AY1480,"&lt;&gt;0")</f>
        <v>1</v>
      </c>
      <c r="BA1480" s="141">
        <f>COUNTIF(X1480:AN1480,"&lt;&gt;0")</f>
        <v>1</v>
      </c>
      <c r="BB1480">
        <f>COUNTIF(X1480:AE1480,"&lt;&gt;0")</f>
        <v>0</v>
      </c>
      <c r="BC1480">
        <f>COUNTIF(AF1480:AK1480,"&lt;&gt;0")</f>
        <v>1</v>
      </c>
      <c r="BD1480">
        <f>COUNTIF(AL1480:AN1480,"&lt;&gt;0")</f>
        <v>0</v>
      </c>
      <c r="BE1480">
        <f>COUNTIF(AU1480:AY1480,"&lt;&gt;0")</f>
        <v>0</v>
      </c>
      <c r="BF1480">
        <f>COUNTIF(AO1480:AT1480,"&lt;&gt;0")</f>
        <v>0</v>
      </c>
      <c r="BG1480" t="str">
        <f t="array" ref="BG1480">IF(BA1480=1,INDEX($X$7:$AN$7,MATCH(TRUE,INDEX($X1480:$AY1480&lt;&gt;0,),0)),IF(BA1480=0,INDEX($AO$7:$AY$7,MATCH(1,$AO1480:$AY1480,0)),IF(BH1480="Multiple strategies","mixed drivers",IF(BH1480="Supply chain","multiple supply","multiple silviculture"))))</f>
        <v>recycling</v>
      </c>
      <c r="BH1480" s="2" t="str" cm="1">
        <f t="array" ref="BH1480">IF(COUNTIF(BB1480:BD1480,"&lt;&gt;0")=1,INDEX($X$4:$AY$4,MATCH(TRUE,INDEX($X1480:$AY1480&lt;&gt;0,),0)),IF(COUNTIF(BB1480:BD1480,"&lt;&gt;0")=0,INDEX($AO$4:$AY$4,MATCH(1,$AO1480:$AY1480,0)),"Multiple strategies"))</f>
        <v>Supply chain</v>
      </c>
      <c r="BI1480" s="142" t="s">
        <v>229</v>
      </c>
      <c r="BJ1480" t="s">
        <v>977</v>
      </c>
      <c r="BK1480" t="s">
        <v>978</v>
      </c>
      <c r="BL1480" t="s">
        <v>979</v>
      </c>
      <c r="BM1480">
        <f>8+103+26+23+35+3+8+8</f>
        <v>214</v>
      </c>
      <c r="BN1480">
        <f>8+103+26+23+35+3+8+8</f>
        <v>214</v>
      </c>
      <c r="BO1480">
        <f>IFERROR(BN1480/BM1480,"")</f>
        <v>1</v>
      </c>
      <c r="BP1480">
        <f>BN1480-BM1480</f>
        <v>0</v>
      </c>
      <c r="BQ1480">
        <f>BP1480*t_to_m3</f>
        <v>0</v>
      </c>
      <c r="BR1480" s="260" t="s">
        <v>395</v>
      </c>
      <c r="BS1480" t="s">
        <v>980</v>
      </c>
      <c r="BT1480" t="s">
        <v>981</v>
      </c>
      <c r="BU1480">
        <v>-747</v>
      </c>
      <c r="BV1480">
        <v>-161</v>
      </c>
      <c r="BW1480" s="144"/>
      <c r="BX1480">
        <f>(BV1480-BU1480)</f>
        <v>586</v>
      </c>
      <c r="BZ1480">
        <f>BX1480</f>
        <v>586</v>
      </c>
      <c r="CA1480" t="str">
        <f>IFERROR(BZ1480/BQ1480,"")</f>
        <v/>
      </c>
      <c r="CB1480">
        <v>0</v>
      </c>
      <c r="CC1480">
        <v>0</v>
      </c>
      <c r="CD1480">
        <v>0</v>
      </c>
      <c r="CE1480">
        <v>0</v>
      </c>
      <c r="CF1480">
        <v>0</v>
      </c>
      <c r="CG1480">
        <v>0</v>
      </c>
      <c r="CH1480">
        <v>0</v>
      </c>
      <c r="CI1480">
        <v>0</v>
      </c>
      <c r="CJ1480">
        <v>0</v>
      </c>
      <c r="CK1480">
        <v>0</v>
      </c>
      <c r="CL1480">
        <v>0</v>
      </c>
      <c r="CM1480">
        <v>0</v>
      </c>
      <c r="CN1480">
        <v>0</v>
      </c>
      <c r="CO1480">
        <v>0</v>
      </c>
      <c r="CP1480" t="str">
        <f>IF($BN1480&lt;$BM1480,"refNeedCorrection","refOK")</f>
        <v>refOK</v>
      </c>
      <c r="CQ1480">
        <f>IF($CP1480="refOK",$BM1480,$BN1480)</f>
        <v>214</v>
      </c>
      <c r="CR1480">
        <f>IF($CP1480="refOK",$BN1480,$BM1480)</f>
        <v>214</v>
      </c>
      <c r="CS1480">
        <f>IF($CP1480="refOK",$BQ1480,-$BQ1480)</f>
        <v>0</v>
      </c>
      <c r="CT1480">
        <f>IF(BI1480="Roundwood",$CS1480/2,$CS1480)</f>
        <v>0</v>
      </c>
      <c r="CU1480">
        <f>IF($CP1480="refOK",$BU1480,$BV1480)*IF($BR1480="Emissions positive",-1,1)</f>
        <v>747</v>
      </c>
      <c r="CV1480">
        <f>IF($CP1480="refOK",$BV1480,$BU1480)*IF($BR1480="Emissions positive",-1,1)</f>
        <v>161</v>
      </c>
      <c r="CW1480">
        <f>IF($CP1480="refNeedCorrection",-BZ1480,BZ1480)*IF($BR1480="Emissions positive",-1,1)</f>
        <v>-586</v>
      </c>
      <c r="CX1480" t="str">
        <f>IFERROR($CW1480/$CS1480,"")</f>
        <v/>
      </c>
      <c r="CY1480" t="str">
        <f>IFERROR($CW1480/$CS1480,"")</f>
        <v/>
      </c>
      <c r="CZ1480" t="str">
        <f>IFERROR($CW1480/$CT1480,"")</f>
        <v/>
      </c>
      <c r="DA1480" s="2">
        <f>IFERROR((CV1480-CU1480)/ABS(CU1480),"")</f>
        <v>-0.78447121820615795</v>
      </c>
      <c r="DB1480" s="1" t="s">
        <v>263</v>
      </c>
      <c r="DC1480" t="str">
        <f>IF(OR($DB1480="prd",$DB1480="std",$DB1480="cit"),"loc",IF(OR($DB1480="eur",$DB1480="reg",$DB1480="coy"),"reg",$DB1480))</f>
        <v>loc</v>
      </c>
      <c r="DD1480" t="s">
        <v>729</v>
      </c>
      <c r="DG1480">
        <v>50</v>
      </c>
      <c r="DH1480" t="str">
        <f>IF(DG1480=0,"0",IF(AND(DG1480&gt;=1,DG1480&lt;=30),"1-30",IF(AND(DG1480&gt;30,DG1480&lt;=70),"31-70",IF(AND(DG1480&gt;70,DG1480&lt;=100),"71-100",IF(DG1480&gt;100,"+100")))))</f>
        <v>31-70</v>
      </c>
      <c r="DI1480">
        <v>0</v>
      </c>
      <c r="DJ1480">
        <v>1</v>
      </c>
      <c r="DK1480">
        <v>0</v>
      </c>
      <c r="DL1480">
        <v>1</v>
      </c>
      <c r="DN1480">
        <f>SUM(DI1480:DL1480)</f>
        <v>2</v>
      </c>
      <c r="DO1480" t="str">
        <f>IF(DN1480=1,INDEX($DI$7:$DL$7,MATCH(1,$DI1480:$DL1480,0)),"mixedProduct")</f>
        <v>mixedProduct</v>
      </c>
      <c r="DP1480">
        <f>IF(DI1480=1,DP$7,0)</f>
        <v>0</v>
      </c>
      <c r="DQ1480" t="str">
        <f>IF(DJ1480=1,DQ$7,0)</f>
        <v>Energy</v>
      </c>
      <c r="DR1480">
        <f>IF(DK1480=1,DR$7,0)</f>
        <v>0</v>
      </c>
      <c r="DS1480" t="str">
        <f>IF(DL1480=1,DS$7,0)</f>
        <v>Timber</v>
      </c>
      <c r="DT1480">
        <v>1</v>
      </c>
      <c r="DU1480">
        <v>0</v>
      </c>
      <c r="DV1480">
        <v>0</v>
      </c>
      <c r="DW1480">
        <v>0</v>
      </c>
      <c r="DX1480">
        <v>0</v>
      </c>
      <c r="DY1480">
        <f>SUM(DT1480:DU1480)</f>
        <v>1</v>
      </c>
      <c r="DZ1480" s="143" t="str">
        <f>IF(DT1480=1,"self-calculated DF",IF(DU1480=1,"external DF used","explicit C balance"))</f>
        <v>self-calculated DF</v>
      </c>
      <c r="EA1480">
        <v>0</v>
      </c>
      <c r="EB1480">
        <v>0</v>
      </c>
      <c r="EC1480">
        <v>0</v>
      </c>
      <c r="ED1480">
        <v>1</v>
      </c>
      <c r="EE1480">
        <v>1</v>
      </c>
      <c r="EF1480" s="143">
        <v>1</v>
      </c>
      <c r="EG1480">
        <v>0</v>
      </c>
      <c r="EH1480">
        <v>1</v>
      </c>
      <c r="EI1480">
        <v>1</v>
      </c>
      <c r="EJ1480">
        <v>1</v>
      </c>
      <c r="EK1480">
        <v>0</v>
      </c>
      <c r="EL1480" s="143">
        <v>0</v>
      </c>
      <c r="EM1480" s="143">
        <v>0</v>
      </c>
      <c r="EN1480" s="2">
        <v>0</v>
      </c>
      <c r="EP1480" t="str">
        <f>IF(AND(AND(AND(OR($EC1480=1,$EB1480=1),OR($EH1480=1,$EF1480=1)),SUM($EA1480:$EE1480,$EK1480)&gt;=3),SUM($EF1480:$EJ1480)&gt;=2),"Whole sector approach","")</f>
        <v/>
      </c>
      <c r="EQ1480" t="str">
        <f>IF(AND(AND(OR($EC1480=1,$EB1480=1),AND($EH1480=0,$EF1480=0)),SUM($EA1480:$EE1480,$EK1480)&gt;=4),"Ecosystem approach","")</f>
        <v/>
      </c>
      <c r="ER1480" s="2" t="str">
        <f>IF(AND(AND(AND($EC1480=0,$EB1480=0),OR($EH1480=1,$EF1480=1)),SUM($EG1480:$EJ1480)&gt;=2),"Technology approach","")</f>
        <v>Technology approach</v>
      </c>
      <c r="ES1480" t="str">
        <f>IF(AND($EC1480+$EB1480+$EE1480+$EA1480+$ED1480+$EG1480=0,$N1480="included"),"C neutral forest and HWP assumption","")</f>
        <v/>
      </c>
      <c r="ET1480" t="str">
        <f>IF(AND(AND(AND(AND($EC1480=1,$EB1480+$EA1480+$EG1480&gt;=1),$EF1480=1),$EH1480+$EI1480+$ED1480+$EE1480&gt;=2),$N1480="included"),"All C pools assumption","")</f>
        <v/>
      </c>
      <c r="EU1480" t="str">
        <f>IF(AND($ED1480+$EE1480+$EI1480+$EH1480+$EF1480=0,$N1480="included"),"In-situ only assumption","")</f>
        <v/>
      </c>
      <c r="EY1480" t="b">
        <f>IF(ISNUMBER(BW1480),IF(ABS(BW1480-[2]QC_indicators!$B$2)&gt;3*[2]QC_indicators!$C$2,"C ratio",IF(ISNUMBER(CA1480),IF(ABS(CA1480-[2]QC_indicators!$B$1)&gt;3*[2]QC_indicators!$C$1,"DF","no"))),IF(ISNUMBER(CA1480),IF(ABS(CA1480-[2]QC_indicators!$B$1)&gt;3*[2]QC_indicators!$C$1,"DF","no")))</f>
        <v>0</v>
      </c>
      <c r="FA1480" t="str">
        <f>IF(LEN($CY1480)=0,"",IF(AND($CY1480&lt;(-0.05),$ES1480="C neutral forest and HWP assumption"),"Cneutral paradox",IF(AND($CY1480&gt;0.05,$EU1480="In-situ only assumption"),"In-situ only paradox","")))</f>
        <v/>
      </c>
      <c r="FD1480" s="260" t="s">
        <v>2891</v>
      </c>
    </row>
    <row r="1481" spans="1:160" ht="15" hidden="1" customHeight="1">
      <c r="A1481" s="1" t="s">
        <v>247</v>
      </c>
      <c r="B1481" t="s">
        <v>970</v>
      </c>
      <c r="C1481" t="s">
        <v>971</v>
      </c>
      <c r="D1481" t="s">
        <v>972</v>
      </c>
      <c r="E1481" t="s">
        <v>973</v>
      </c>
      <c r="F1481" t="s">
        <v>974</v>
      </c>
      <c r="G1481" t="s">
        <v>253</v>
      </c>
      <c r="H1481" t="s">
        <v>254</v>
      </c>
      <c r="I1481">
        <v>2021</v>
      </c>
      <c r="J1481">
        <v>0</v>
      </c>
      <c r="K1481" t="s">
        <v>975</v>
      </c>
      <c r="M1481" t="str">
        <f>LEFT($D1481,FIND(",",$D1481)-1)&amp;"_"&amp;I1481&amp;L1481</f>
        <v>Piccardo_2021</v>
      </c>
      <c r="N1481" t="s">
        <v>222</v>
      </c>
      <c r="O1481" s="171" t="s">
        <v>508</v>
      </c>
      <c r="P1481" s="141" t="s">
        <v>225</v>
      </c>
      <c r="Q1481" t="s">
        <v>389</v>
      </c>
      <c r="R1481" s="258" t="s">
        <v>223</v>
      </c>
      <c r="S1481" s="1" t="s">
        <v>976</v>
      </c>
      <c r="T1481" s="260" t="s">
        <v>2892</v>
      </c>
      <c r="U1481" s="260" t="s">
        <v>2893</v>
      </c>
      <c r="V1481" s="253">
        <v>0</v>
      </c>
      <c r="W1481" s="253">
        <v>0</v>
      </c>
      <c r="X1481">
        <v>0</v>
      </c>
      <c r="Y1481">
        <v>0</v>
      </c>
      <c r="Z1481">
        <v>0</v>
      </c>
      <c r="AA1481">
        <v>0</v>
      </c>
      <c r="AB1481">
        <v>0</v>
      </c>
      <c r="AC1481">
        <v>0</v>
      </c>
      <c r="AD1481">
        <v>0</v>
      </c>
      <c r="AE1481">
        <v>0</v>
      </c>
      <c r="AF1481">
        <v>0</v>
      </c>
      <c r="AG1481">
        <v>0</v>
      </c>
      <c r="AH1481">
        <v>0</v>
      </c>
      <c r="AI1481">
        <v>1</v>
      </c>
      <c r="AJ1481">
        <v>0</v>
      </c>
      <c r="AK1481">
        <v>0</v>
      </c>
      <c r="AL1481">
        <v>0</v>
      </c>
      <c r="AM1481">
        <v>0</v>
      </c>
      <c r="AN1481">
        <v>0</v>
      </c>
      <c r="AO1481">
        <v>0</v>
      </c>
      <c r="AP1481">
        <v>0</v>
      </c>
      <c r="AQ1481">
        <v>0</v>
      </c>
      <c r="AR1481">
        <v>0</v>
      </c>
      <c r="AS1481">
        <v>0</v>
      </c>
      <c r="AT1481">
        <v>0</v>
      </c>
      <c r="AU1481">
        <v>0</v>
      </c>
      <c r="AV1481">
        <v>0</v>
      </c>
      <c r="AW1481">
        <v>0</v>
      </c>
      <c r="AX1481">
        <v>0</v>
      </c>
      <c r="AY1481">
        <v>0</v>
      </c>
      <c r="AZ1481" s="141">
        <f>COUNTIF(X1481:AY1481,"&lt;&gt;0")</f>
        <v>1</v>
      </c>
      <c r="BA1481" s="141">
        <f>COUNTIF(X1481:AN1481,"&lt;&gt;0")</f>
        <v>1</v>
      </c>
      <c r="BB1481">
        <f>COUNTIF(X1481:AE1481,"&lt;&gt;0")</f>
        <v>0</v>
      </c>
      <c r="BC1481">
        <f>COUNTIF(AF1481:AK1481,"&lt;&gt;0")</f>
        <v>1</v>
      </c>
      <c r="BD1481">
        <f>COUNTIF(AL1481:AN1481,"&lt;&gt;0")</f>
        <v>0</v>
      </c>
      <c r="BE1481">
        <f>COUNTIF(AU1481:AY1481,"&lt;&gt;0")</f>
        <v>0</v>
      </c>
      <c r="BF1481">
        <f>COUNTIF(AO1481:AT1481,"&lt;&gt;0")</f>
        <v>0</v>
      </c>
      <c r="BG1481" t="str">
        <f t="array" ref="BG1481">IF(BA1481=1,INDEX($X$7:$AN$7,MATCH(TRUE,INDEX($X1481:$AY1481&lt;&gt;0,),0)),IF(BA1481=0,INDEX($AO$7:$AY$7,MATCH(1,$AO1481:$AY1481,0)),IF(BH1481="Multiple strategies","mixed drivers",IF(BH1481="Supply chain","multiple supply","multiple silviculture"))))</f>
        <v>recycling</v>
      </c>
      <c r="BH1481" s="2" t="str" cm="1">
        <f t="array" ref="BH1481">IF(COUNTIF(BB1481:BD1481,"&lt;&gt;0")=1,INDEX($X$4:$AY$4,MATCH(TRUE,INDEX($X1481:$AY1481&lt;&gt;0,),0)),IF(COUNTIF(BB1481:BD1481,"&lt;&gt;0")=0,INDEX($AO$4:$AY$4,MATCH(1,$AO1481:$AY1481,0)),"Multiple strategies"))</f>
        <v>Supply chain</v>
      </c>
      <c r="BI1481" s="142" t="s">
        <v>229</v>
      </c>
      <c r="BJ1481" t="s">
        <v>977</v>
      </c>
      <c r="BK1481" t="s">
        <v>978</v>
      </c>
      <c r="BL1481" t="s">
        <v>979</v>
      </c>
      <c r="BM1481">
        <f>175+40+77+18+35+3+8+8</f>
        <v>364</v>
      </c>
      <c r="BN1481">
        <f>175+40+77+18+35+3+8+8</f>
        <v>364</v>
      </c>
      <c r="BO1481">
        <f>IFERROR(BN1481/BM1481,"")</f>
        <v>1</v>
      </c>
      <c r="BP1481">
        <f>BN1481-BM1481</f>
        <v>0</v>
      </c>
      <c r="BQ1481">
        <f>BP1481*t_to_m3</f>
        <v>0</v>
      </c>
      <c r="BR1481" s="260" t="s">
        <v>395</v>
      </c>
      <c r="BS1481" t="s">
        <v>980</v>
      </c>
      <c r="BT1481" t="s">
        <v>981</v>
      </c>
      <c r="BU1481">
        <v>-1415</v>
      </c>
      <c r="BV1481">
        <v>-370</v>
      </c>
      <c r="BW1481" s="144"/>
      <c r="BX1481">
        <f>(BV1481-BU1481)</f>
        <v>1045</v>
      </c>
      <c r="BZ1481">
        <f>BX1481</f>
        <v>1045</v>
      </c>
      <c r="CA1481" t="str">
        <f>IFERROR(BZ1481/BQ1481,"")</f>
        <v/>
      </c>
      <c r="CB1481">
        <v>0</v>
      </c>
      <c r="CC1481">
        <v>0</v>
      </c>
      <c r="CD1481">
        <v>0</v>
      </c>
      <c r="CE1481">
        <v>0</v>
      </c>
      <c r="CF1481">
        <v>0</v>
      </c>
      <c r="CG1481">
        <v>0</v>
      </c>
      <c r="CH1481">
        <v>0</v>
      </c>
      <c r="CI1481">
        <v>0</v>
      </c>
      <c r="CJ1481">
        <v>0</v>
      </c>
      <c r="CK1481">
        <v>0</v>
      </c>
      <c r="CL1481">
        <v>0</v>
      </c>
      <c r="CM1481">
        <v>0</v>
      </c>
      <c r="CN1481">
        <v>0</v>
      </c>
      <c r="CO1481">
        <v>0</v>
      </c>
      <c r="CP1481" t="str">
        <f>IF($BN1481&lt;$BM1481,"refNeedCorrection","refOK")</f>
        <v>refOK</v>
      </c>
      <c r="CQ1481">
        <f>IF($CP1481="refOK",$BM1481,$BN1481)</f>
        <v>364</v>
      </c>
      <c r="CR1481">
        <f>IF($CP1481="refOK",$BN1481,$BM1481)</f>
        <v>364</v>
      </c>
      <c r="CS1481">
        <f>IF($CP1481="refOK",$BQ1481,-$BQ1481)</f>
        <v>0</v>
      </c>
      <c r="CT1481">
        <f>IF(BI1481="Roundwood",$CS1481/2,$CS1481)</f>
        <v>0</v>
      </c>
      <c r="CU1481">
        <f>IF($CP1481="refOK",$BU1481,$BV1481)*IF($BR1481="Emissions positive",-1,1)</f>
        <v>1415</v>
      </c>
      <c r="CV1481">
        <f>IF($CP1481="refOK",$BV1481,$BU1481)*IF($BR1481="Emissions positive",-1,1)</f>
        <v>370</v>
      </c>
      <c r="CW1481">
        <f>IF($CP1481="refNeedCorrection",-BZ1481,BZ1481)*IF($BR1481="Emissions positive",-1,1)</f>
        <v>-1045</v>
      </c>
      <c r="CX1481" t="str">
        <f>IFERROR($CW1481/$CS1481,"")</f>
        <v/>
      </c>
      <c r="CY1481" t="str">
        <f>IFERROR($CW1481/$CS1481,"")</f>
        <v/>
      </c>
      <c r="CZ1481" t="str">
        <f>IFERROR($CW1481/$CT1481,"")</f>
        <v/>
      </c>
      <c r="DA1481" s="2">
        <f>IFERROR((CV1481-CU1481)/ABS(CU1481),"")</f>
        <v>-0.7385159010600707</v>
      </c>
      <c r="DB1481" s="1" t="s">
        <v>263</v>
      </c>
      <c r="DC1481" t="str">
        <f>IF(OR($DB1481="prd",$DB1481="std",$DB1481="cit"),"loc",IF(OR($DB1481="eur",$DB1481="reg",$DB1481="coy"),"reg",$DB1481))</f>
        <v>loc</v>
      </c>
      <c r="DD1481" t="s">
        <v>729</v>
      </c>
      <c r="DG1481">
        <v>50</v>
      </c>
      <c r="DH1481" t="str">
        <f>IF(DG1481=0,"0",IF(AND(DG1481&gt;=1,DG1481&lt;=30),"1-30",IF(AND(DG1481&gt;30,DG1481&lt;=70),"31-70",IF(AND(DG1481&gt;70,DG1481&lt;=100),"71-100",IF(DG1481&gt;100,"+100")))))</f>
        <v>31-70</v>
      </c>
      <c r="DI1481">
        <v>0</v>
      </c>
      <c r="DJ1481">
        <v>1</v>
      </c>
      <c r="DK1481">
        <v>0</v>
      </c>
      <c r="DL1481">
        <v>1</v>
      </c>
      <c r="DN1481">
        <f>SUM(DI1481:DL1481)</f>
        <v>2</v>
      </c>
      <c r="DO1481" t="str">
        <f>IF(DN1481=1,INDEX($DI$7:$DL$7,MATCH(1,$DI1481:$DL1481,0)),"mixedProduct")</f>
        <v>mixedProduct</v>
      </c>
      <c r="DP1481">
        <f>IF(DI1481=1,DP$7,0)</f>
        <v>0</v>
      </c>
      <c r="DQ1481" t="str">
        <f>IF(DJ1481=1,DQ$7,0)</f>
        <v>Energy</v>
      </c>
      <c r="DR1481">
        <f>IF(DK1481=1,DR$7,0)</f>
        <v>0</v>
      </c>
      <c r="DS1481" t="str">
        <f>IF(DL1481=1,DS$7,0)</f>
        <v>Timber</v>
      </c>
      <c r="DT1481">
        <v>1</v>
      </c>
      <c r="DU1481">
        <v>0</v>
      </c>
      <c r="DV1481">
        <v>0</v>
      </c>
      <c r="DW1481">
        <v>0</v>
      </c>
      <c r="DX1481">
        <v>0</v>
      </c>
      <c r="DY1481">
        <f>SUM(DT1481:DU1481)</f>
        <v>1</v>
      </c>
      <c r="DZ1481" s="143" t="str">
        <f>IF(DT1481=1,"self-calculated DF",IF(DU1481=1,"external DF used","explicit C balance"))</f>
        <v>self-calculated DF</v>
      </c>
      <c r="EA1481">
        <v>0</v>
      </c>
      <c r="EB1481">
        <v>0</v>
      </c>
      <c r="EC1481">
        <v>0</v>
      </c>
      <c r="ED1481">
        <v>1</v>
      </c>
      <c r="EE1481">
        <v>1</v>
      </c>
      <c r="EF1481" s="143">
        <v>1</v>
      </c>
      <c r="EG1481">
        <v>0</v>
      </c>
      <c r="EH1481">
        <v>1</v>
      </c>
      <c r="EI1481">
        <v>1</v>
      </c>
      <c r="EJ1481">
        <v>1</v>
      </c>
      <c r="EK1481">
        <v>0</v>
      </c>
      <c r="EL1481" s="143">
        <v>0</v>
      </c>
      <c r="EM1481" s="143">
        <v>0</v>
      </c>
      <c r="EN1481" s="2">
        <v>0</v>
      </c>
      <c r="EP1481" t="str">
        <f>IF(AND(AND(AND(OR($EC1481=1,$EB1481=1),OR($EH1481=1,$EF1481=1)),SUM($EA1481:$EE1481,$EK1481)&gt;=3),SUM($EF1481:$EJ1481)&gt;=2),"Whole sector approach","")</f>
        <v/>
      </c>
      <c r="EQ1481" t="str">
        <f>IF(AND(AND(OR($EC1481=1,$EB1481=1),AND($EH1481=0,$EF1481=0)),SUM($EA1481:$EE1481,$EK1481)&gt;=4),"Ecosystem approach","")</f>
        <v/>
      </c>
      <c r="ER1481" s="2" t="str">
        <f>IF(AND(AND(AND($EC1481=0,$EB1481=0),OR($EH1481=1,$EF1481=1)),SUM($EG1481:$EJ1481)&gt;=2),"Technology approach","")</f>
        <v>Technology approach</v>
      </c>
      <c r="ES1481" t="str">
        <f>IF(AND($EC1481+$EB1481+$EE1481+$EA1481+$ED1481+$EG1481=0,$N1481="included"),"C neutral forest and HWP assumption","")</f>
        <v/>
      </c>
      <c r="ET1481" t="str">
        <f>IF(AND(AND(AND(AND($EC1481=1,$EB1481+$EA1481+$EG1481&gt;=1),$EF1481=1),$EH1481+$EI1481+$ED1481+$EE1481&gt;=2),$N1481="included"),"All C pools assumption","")</f>
        <v/>
      </c>
      <c r="EU1481" t="str">
        <f>IF(AND($ED1481+$EE1481+$EI1481+$EH1481+$EF1481=0,$N1481="included"),"In-situ only assumption","")</f>
        <v/>
      </c>
      <c r="EY1481" t="b">
        <f>IF(ISNUMBER(BW1481),IF(ABS(BW1481-[2]QC_indicators!$B$2)&gt;3*[2]QC_indicators!$C$2,"C ratio",IF(ISNUMBER(CA1481),IF(ABS(CA1481-[2]QC_indicators!$B$1)&gt;3*[2]QC_indicators!$C$1,"DF","no"))),IF(ISNUMBER(CA1481),IF(ABS(CA1481-[2]QC_indicators!$B$1)&gt;3*[2]QC_indicators!$C$1,"DF","no")))</f>
        <v>0</v>
      </c>
      <c r="FA1481" t="str">
        <f>IF(LEN($CY1481)=0,"",IF(AND($CY1481&lt;(-0.05),$ES1481="C neutral forest and HWP assumption"),"Cneutral paradox",IF(AND($CY1481&gt;0.05,$EU1481="In-situ only assumption"),"In-situ only paradox","")))</f>
        <v/>
      </c>
      <c r="FD1481" s="260" t="s">
        <v>2891</v>
      </c>
    </row>
    <row r="1482" spans="1:160" ht="15" customHeight="1">
      <c r="A1482" s="1" t="s">
        <v>1226</v>
      </c>
      <c r="B1482" t="s">
        <v>531</v>
      </c>
      <c r="C1482" t="s">
        <v>1989</v>
      </c>
      <c r="D1482" t="s">
        <v>1990</v>
      </c>
      <c r="E1482" t="s">
        <v>1991</v>
      </c>
      <c r="F1482" t="s">
        <v>1992</v>
      </c>
      <c r="G1482" t="s">
        <v>1227</v>
      </c>
      <c r="H1482" t="s">
        <v>254</v>
      </c>
      <c r="I1482">
        <v>2021</v>
      </c>
      <c r="J1482">
        <v>1</v>
      </c>
      <c r="K1482" t="s">
        <v>1993</v>
      </c>
      <c r="M1482" t="str">
        <f>LEFT($D1482,FIND(",",$D1482)-1)&amp;"_"&amp;I1482&amp;L1482</f>
        <v>Riviere_2021</v>
      </c>
      <c r="N1482" t="s">
        <v>222</v>
      </c>
      <c r="O1482" s="145" t="s">
        <v>341</v>
      </c>
      <c r="Q1482" t="s">
        <v>256</v>
      </c>
      <c r="R1482" s="258" t="s">
        <v>223</v>
      </c>
      <c r="S1482" s="1" t="s">
        <v>1994</v>
      </c>
      <c r="T1482" t="s">
        <v>1995</v>
      </c>
      <c r="U1482" t="s">
        <v>1003</v>
      </c>
      <c r="V1482" s="253">
        <v>0</v>
      </c>
      <c r="W1482" s="253">
        <v>0</v>
      </c>
      <c r="X1482">
        <v>0</v>
      </c>
      <c r="Y1482">
        <v>0</v>
      </c>
      <c r="Z1482">
        <v>0</v>
      </c>
      <c r="AA1482">
        <v>1</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1</v>
      </c>
      <c r="AY1482">
        <v>0</v>
      </c>
      <c r="AZ1482" s="141">
        <f>COUNTIF(X1482:AY1482,"&lt;&gt;0")</f>
        <v>2</v>
      </c>
      <c r="BA1482" s="141">
        <f>COUNTIF(X1482:AN1482,"&lt;&gt;0")</f>
        <v>1</v>
      </c>
      <c r="BB1482">
        <f>COUNTIF(X1482:AE1482,"&lt;&gt;0")</f>
        <v>1</v>
      </c>
      <c r="BC1482">
        <f>COUNTIF(AF1482:AK1482,"&lt;&gt;0")</f>
        <v>0</v>
      </c>
      <c r="BD1482">
        <f>COUNTIF(AL1482:AN1482,"&lt;&gt;0")</f>
        <v>0</v>
      </c>
      <c r="BE1482">
        <f>COUNTIF(AU1482:AY1482,"&lt;&gt;0")</f>
        <v>1</v>
      </c>
      <c r="BF1482">
        <f>COUNTIF(AO1482:AT1482,"&lt;&gt;0")</f>
        <v>0</v>
      </c>
      <c r="BG1482" t="str">
        <f t="array" ref="BG1482">IF(BA1482=1,INDEX($X$7:$AN$7,MATCH(TRUE,INDEX($X1482:$AY1482&lt;&gt;0,),0)),IF(BA1482=0,INDEX($AO$7:$AY$7,MATCH(1,$AO1482:$AY1482,0)),IF(BH1482="Multiple strategies","mixed drivers",IF(BH1482="Supply chain","multiple supply","multiple silviculture"))))</f>
        <v xml:space="preserve">cutting intensity </v>
      </c>
      <c r="BH1482" s="2" t="str" cm="1">
        <f t="array" ref="BH1482">IF(COUNTIF(BB1482:BD1482,"&lt;&gt;0")=1,INDEX($X$4:$AY$4,MATCH(TRUE,INDEX($X1482:$AY1482&lt;&gt;0,),0)),IF(COUNTIF(BB1482:BD1482,"&lt;&gt;0")=0,INDEX($AO$4:$AY$4,MATCH(1,$AO1482:$AY1482,0)),"Multiple strategies"))</f>
        <v>Silviculture for removals</v>
      </c>
      <c r="BI1482" s="1" t="s">
        <v>321</v>
      </c>
      <c r="BJ1482" t="s">
        <v>1996</v>
      </c>
      <c r="BK1482" s="260" t="s">
        <v>424</v>
      </c>
      <c r="BL1482" t="s">
        <v>1228</v>
      </c>
      <c r="BM1482">
        <f>45.53*80</f>
        <v>3642.4</v>
      </c>
      <c r="BN1482">
        <f>47.33*80</f>
        <v>3786.3999999999996</v>
      </c>
      <c r="BP1482">
        <f>BN1482-BM1482</f>
        <v>143.99999999999955</v>
      </c>
      <c r="BQ1482">
        <f>BP1482*10^6</f>
        <v>143999999.99999955</v>
      </c>
      <c r="BR1482" t="s">
        <v>232</v>
      </c>
      <c r="BS1482" s="153" t="s">
        <v>426</v>
      </c>
      <c r="BT1482" s="260" t="s">
        <v>2069</v>
      </c>
      <c r="BU1482">
        <v>390</v>
      </c>
      <c r="BV1482">
        <v>0</v>
      </c>
      <c r="BW1482" s="144">
        <f>IFERROR(BV1482/BU1482,"")</f>
        <v>0</v>
      </c>
      <c r="BX1482">
        <f>BV1482-BU1482</f>
        <v>-390</v>
      </c>
      <c r="BZ1482">
        <f>BX1482*10^6</f>
        <v>-390000000</v>
      </c>
      <c r="CA1482">
        <f>IFERROR(BZ1482/BQ1482,"")</f>
        <v>-2.7083333333333419</v>
      </c>
      <c r="CB1482">
        <v>0</v>
      </c>
      <c r="CC1482">
        <v>0</v>
      </c>
      <c r="CD1482">
        <v>0</v>
      </c>
      <c r="CE1482">
        <v>0</v>
      </c>
      <c r="CF1482">
        <v>0</v>
      </c>
      <c r="CG1482">
        <v>0</v>
      </c>
      <c r="CH1482">
        <v>0</v>
      </c>
      <c r="CI1482">
        <v>0</v>
      </c>
      <c r="CJ1482">
        <v>0</v>
      </c>
      <c r="CK1482">
        <v>0</v>
      </c>
      <c r="CL1482">
        <v>0</v>
      </c>
      <c r="CM1482">
        <v>0</v>
      </c>
      <c r="CN1482">
        <v>0</v>
      </c>
      <c r="CO1482">
        <v>1</v>
      </c>
      <c r="CP1482" t="str">
        <f>IF($BN1482&lt;$BM1482,"refNeedCorrection","refOK")</f>
        <v>refOK</v>
      </c>
      <c r="CQ1482">
        <f>IF($CP1482="refNeedCorrection",BM1482,BN1482)</f>
        <v>3786.3999999999996</v>
      </c>
      <c r="CR1482">
        <f>IF($CP1482="refNeedCorrection",BN1482,BM1482)</f>
        <v>3642.4</v>
      </c>
      <c r="CS1482">
        <f>IF($CP1482="refOK",$BQ1482,-$BQ1482)</f>
        <v>143999999.99999955</v>
      </c>
      <c r="CT1482">
        <f>IF(BI1482="Roundwood",$CS1482/2,$CS1482)</f>
        <v>71999999.999999776</v>
      </c>
      <c r="CU1482">
        <f>IF($CP1482="refOK",$BU1482,$BV1482)*IF($BR1482="Emissions positive",-1,1)</f>
        <v>390</v>
      </c>
      <c r="CV1482">
        <f>IF($CP1482="refOK",$BV1482,$BU1482)*IF($BR1482="Emissions positive",-1,1)</f>
        <v>0</v>
      </c>
      <c r="CW1482">
        <f>IF($CP1482="refNeedCorrection",-BZ1482,BZ1482)*IF($BR1482="Emissions positive",-1,1)</f>
        <v>-390000000</v>
      </c>
      <c r="CX1482">
        <f>IFERROR($CW1482/$CS1482,"")</f>
        <v>-2.7083333333333419</v>
      </c>
      <c r="CY1482">
        <f>IFERROR($CW1482/$CS1482,"")</f>
        <v>-2.7083333333333419</v>
      </c>
      <c r="CZ1482">
        <f>IFERROR($CW1482/$CT1482,"")</f>
        <v>-5.4166666666666838</v>
      </c>
      <c r="DA1482" s="2">
        <f>IFERROR((CV1482-CU1482)/ABS(CU1482),"")</f>
        <v>-1</v>
      </c>
      <c r="DB1482" s="1" t="s">
        <v>1078</v>
      </c>
      <c r="DC1482" t="str">
        <f>IF(OR($DB1482="prd",$DB1482="std",$DB1482="cit"),"loc",IF(OR($DB1482="eur",$DB1482="reg",$DB1482="coy"),"reg",$DB1482))</f>
        <v>reg</v>
      </c>
      <c r="DD1482" t="s">
        <v>715</v>
      </c>
      <c r="DE1482">
        <v>2020</v>
      </c>
      <c r="DF1482">
        <v>2100</v>
      </c>
      <c r="DG1482">
        <v>81</v>
      </c>
      <c r="DH1482" t="str">
        <f>IF(DG1482=0,"0",IF(AND(DG1482&gt;=1,DG1482&lt;=30),"1-30",IF(AND(DG1482&gt;30,DG1482&lt;=70),"31-70",IF(AND(DG1482&gt;70,DG1482&lt;=100),"71-100",IF(DG1482&gt;100,"+100")))))</f>
        <v>71-100</v>
      </c>
      <c r="DI1482">
        <v>0</v>
      </c>
      <c r="DJ1482">
        <v>0</v>
      </c>
      <c r="DK1482">
        <v>1</v>
      </c>
      <c r="DL1482">
        <v>1</v>
      </c>
      <c r="DN1482">
        <f>SUM(DI1482:DL1482)</f>
        <v>2</v>
      </c>
      <c r="DO1482" t="str">
        <f>IF(DN1482=1,INDEX($DI$7:$DL$7,MATCH(1,$DI1482:$DL1482,0)),"mixedProduct")</f>
        <v>mixedProduct</v>
      </c>
      <c r="DP1482">
        <f>IF(DI1482=1,DP$7,0)</f>
        <v>0</v>
      </c>
      <c r="DQ1482">
        <f>IF(DJ1482=1,DQ$7,0)</f>
        <v>0</v>
      </c>
      <c r="DR1482" t="str">
        <f>IF(DK1482=1,DR$7,0)</f>
        <v>Pulp/Paper</v>
      </c>
      <c r="DS1482" t="str">
        <f>IF(DL1482=1,DS$7,0)</f>
        <v>Timber</v>
      </c>
      <c r="DT1482">
        <v>0</v>
      </c>
      <c r="DU1482">
        <v>0</v>
      </c>
      <c r="DV1482">
        <v>0</v>
      </c>
      <c r="DW1482">
        <v>0</v>
      </c>
      <c r="DX1482">
        <v>0</v>
      </c>
      <c r="DY1482">
        <f>SUM(DT1482:DU1482)</f>
        <v>0</v>
      </c>
      <c r="DZ1482" s="143" t="str">
        <f>IF(DT1482=1,"self-calculated DF",IF(DU1482=1,"external DF used","explicit C balance"))</f>
        <v>explicit C balance</v>
      </c>
      <c r="EA1482">
        <v>0</v>
      </c>
      <c r="EB1482">
        <v>0</v>
      </c>
      <c r="EC1482">
        <v>1</v>
      </c>
      <c r="ED1482">
        <v>0</v>
      </c>
      <c r="EE1482">
        <v>0</v>
      </c>
      <c r="EF1482" s="143">
        <v>0</v>
      </c>
      <c r="EG1482">
        <v>0</v>
      </c>
      <c r="EH1482">
        <v>0</v>
      </c>
      <c r="EI1482">
        <v>0</v>
      </c>
      <c r="EJ1482">
        <v>0</v>
      </c>
      <c r="EK1482">
        <v>1</v>
      </c>
      <c r="EL1482">
        <v>0</v>
      </c>
      <c r="EM1482">
        <v>0</v>
      </c>
      <c r="EN1482" s="2">
        <v>0</v>
      </c>
      <c r="EP1482" t="str">
        <f>IF(AND(AND(AND(OR($EC1482=1,$EB1482=1),OR($EH1482=1,$EF1482=1)),SUM($EA1482:$EE1482,$EK1482)&gt;=3),SUM($EF1482:$EJ1482)&gt;=2),"Whole sector approach","")</f>
        <v/>
      </c>
      <c r="EQ1482" t="str">
        <f>IF(AND(AND(OR($EC1482=1,$EB1482=1),AND($EH1482=0,$EF1482=0)),SUM($EA1482:$EE1482,$EK1482)&gt;=4),"Ecosystem approach","")</f>
        <v/>
      </c>
      <c r="ER1482" s="2" t="str">
        <f>IF(AND(AND(AND($EC1482=0,$EB1482=0),OR($EH1482=1,$EF1482=1)),SUM($EG1482:$EJ1482)&gt;=2),"Technology approach","")</f>
        <v/>
      </c>
      <c r="ES1482" t="str">
        <f>IF(AND($EC1482+$EB1482+$EE1482+$EA1482+$ED1482+$EG1482=0,$N1482="included"),"C neutral forest and HWP assumption","")</f>
        <v/>
      </c>
      <c r="ET1482" t="str">
        <f>IF(AND(AND(AND(AND($EC1482=1,$EB1482+$EA1482+$EG1482&gt;=1),$EF1482=1),$EH1482+$EI1482+$ED1482+$EE1482&gt;=2),$N1482="included"),"All C pools assumption","")</f>
        <v/>
      </c>
      <c r="EU1482" t="str">
        <f>IF(AND($ED1482+$EE1482+$EI1482+$EH1482+$EF1482=0,$N1482="included"),"In-situ only assumption","")</f>
        <v>In-situ only assumption</v>
      </c>
      <c r="EY1482" t="str">
        <f>IF(ISNUMBER(BW1482),IF(ABS(BW1482-[2]QC_indicators!$B$2)&gt;3*[2]QC_indicators!$C$2,"C ratio",IF(ISNUMBER(CA1482),IF(ABS(CA1482-[2]QC_indicators!$B$1)&gt;3*[2]QC_indicators!$C$1,"DF","no"))),IF(ISNUMBER(CA1482),IF(ABS(CA1482-[2]QC_indicators!$B$1)&gt;3*[2]QC_indicators!$C$1,"DF","no")))</f>
        <v>no</v>
      </c>
      <c r="FA1482" t="str">
        <f>IF(LEN($CY1482)=0,"",IF(AND($CY1482&lt;(-0.05),$ES1482="C neutral forest and HWP assumption"),"Cneutral paradox",IF(AND($CY1482&gt;0.05,$EU1482="In-situ only assumption"),"In-situ only paradox","")))</f>
        <v/>
      </c>
      <c r="FB1482" s="260" t="s">
        <v>2911</v>
      </c>
      <c r="FD1482" s="293" t="s">
        <v>3084</v>
      </c>
    </row>
    <row r="1483" spans="1:160" ht="15" customHeight="1">
      <c r="A1483" s="1" t="s">
        <v>1226</v>
      </c>
      <c r="B1483" t="s">
        <v>531</v>
      </c>
      <c r="C1483" t="s">
        <v>1989</v>
      </c>
      <c r="D1483" t="s">
        <v>1990</v>
      </c>
      <c r="E1483" t="s">
        <v>1991</v>
      </c>
      <c r="F1483" t="s">
        <v>1992</v>
      </c>
      <c r="G1483" t="s">
        <v>1227</v>
      </c>
      <c r="H1483" t="s">
        <v>254</v>
      </c>
      <c r="I1483">
        <v>2021</v>
      </c>
      <c r="J1483">
        <v>1</v>
      </c>
      <c r="K1483" t="s">
        <v>1993</v>
      </c>
      <c r="M1483" t="str">
        <f>LEFT($D1483,FIND(",",$D1483)-1)&amp;"_"&amp;I1483&amp;L1483</f>
        <v>Riviere_2021</v>
      </c>
      <c r="N1483" t="s">
        <v>222</v>
      </c>
      <c r="O1483" s="145" t="s">
        <v>341</v>
      </c>
      <c r="Q1483" t="s">
        <v>256</v>
      </c>
      <c r="R1483" s="258" t="s">
        <v>223</v>
      </c>
      <c r="S1483" s="1" t="s">
        <v>1997</v>
      </c>
      <c r="T1483" t="s">
        <v>1998</v>
      </c>
      <c r="U1483" t="s">
        <v>1003</v>
      </c>
      <c r="V1483" s="253">
        <v>0</v>
      </c>
      <c r="W1483" s="253">
        <v>0</v>
      </c>
      <c r="X1483">
        <v>0</v>
      </c>
      <c r="Y1483">
        <v>0</v>
      </c>
      <c r="Z1483">
        <v>0</v>
      </c>
      <c r="AA1483">
        <v>1</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1</v>
      </c>
      <c r="AY1483">
        <v>0</v>
      </c>
      <c r="AZ1483" s="141">
        <f>COUNTIF(X1483:AY1483,"&lt;&gt;0")</f>
        <v>2</v>
      </c>
      <c r="BA1483" s="141">
        <f>COUNTIF(X1483:AN1483,"&lt;&gt;0")</f>
        <v>1</v>
      </c>
      <c r="BB1483">
        <f>COUNTIF(X1483:AE1483,"&lt;&gt;0")</f>
        <v>1</v>
      </c>
      <c r="BC1483">
        <f>COUNTIF(AF1483:AK1483,"&lt;&gt;0")</f>
        <v>0</v>
      </c>
      <c r="BD1483">
        <f>COUNTIF(AL1483:AN1483,"&lt;&gt;0")</f>
        <v>0</v>
      </c>
      <c r="BE1483">
        <f>COUNTIF(AU1483:AY1483,"&lt;&gt;0")</f>
        <v>1</v>
      </c>
      <c r="BF1483">
        <f>COUNTIF(AO1483:AT1483,"&lt;&gt;0")</f>
        <v>0</v>
      </c>
      <c r="BG1483" t="str">
        <f t="array" ref="BG1483">IF(BA1483=1,INDEX($X$7:$AN$7,MATCH(TRUE,INDEX($X1483:$AY1483&lt;&gt;0,),0)),IF(BA1483=0,INDEX($AO$7:$AY$7,MATCH(1,$AO1483:$AY1483,0)),IF(BH1483="Multiple strategies","mixed drivers",IF(BH1483="Supply chain","multiple supply","multiple silviculture"))))</f>
        <v xml:space="preserve">cutting intensity </v>
      </c>
      <c r="BH1483" s="2" t="str" cm="1">
        <f t="array" ref="BH1483">IF(COUNTIF(BB1483:BD1483,"&lt;&gt;0")=1,INDEX($X$4:$AY$4,MATCH(TRUE,INDEX($X1483:$AY1483&lt;&gt;0,),0)),IF(COUNTIF(BB1483:BD1483,"&lt;&gt;0")=0,INDEX($AO$4:$AY$4,MATCH(1,$AO1483:$AY1483,0)),"Multiple strategies"))</f>
        <v>Silviculture for removals</v>
      </c>
      <c r="BI1483" s="1" t="s">
        <v>321</v>
      </c>
      <c r="BJ1483" t="s">
        <v>1996</v>
      </c>
      <c r="BK1483" s="260" t="s">
        <v>424</v>
      </c>
      <c r="BL1483" t="s">
        <v>1228</v>
      </c>
      <c r="BM1483">
        <f>45.04*80</f>
        <v>3603.2</v>
      </c>
      <c r="BN1483">
        <f>47.33*80</f>
        <v>3786.3999999999996</v>
      </c>
      <c r="BP1483">
        <f>BN1483-BM1483</f>
        <v>183.19999999999982</v>
      </c>
      <c r="BQ1483">
        <f>BP1483*10^6</f>
        <v>183199999.99999982</v>
      </c>
      <c r="BR1483" t="s">
        <v>232</v>
      </c>
      <c r="BS1483" s="153" t="s">
        <v>426</v>
      </c>
      <c r="BT1483" s="260" t="s">
        <v>2069</v>
      </c>
      <c r="BU1483">
        <v>490</v>
      </c>
      <c r="BV1483">
        <v>0</v>
      </c>
      <c r="BW1483" s="144">
        <f>IFERROR(BV1483/BU1483,"")</f>
        <v>0</v>
      </c>
      <c r="BX1483">
        <f>BV1483-BU1483</f>
        <v>-490</v>
      </c>
      <c r="BZ1483">
        <f>BX1483*10^6</f>
        <v>-490000000</v>
      </c>
      <c r="CA1483">
        <f>IFERROR(BZ1483/BQ1483,"")</f>
        <v>-2.6746724890829721</v>
      </c>
      <c r="CB1483">
        <v>0</v>
      </c>
      <c r="CC1483">
        <v>0</v>
      </c>
      <c r="CD1483">
        <v>0</v>
      </c>
      <c r="CE1483">
        <v>0</v>
      </c>
      <c r="CF1483">
        <v>0</v>
      </c>
      <c r="CG1483">
        <v>0</v>
      </c>
      <c r="CH1483">
        <v>0</v>
      </c>
      <c r="CI1483">
        <v>0</v>
      </c>
      <c r="CJ1483">
        <v>0</v>
      </c>
      <c r="CK1483">
        <v>0</v>
      </c>
      <c r="CL1483">
        <v>0</v>
      </c>
      <c r="CM1483">
        <v>0</v>
      </c>
      <c r="CN1483">
        <v>0</v>
      </c>
      <c r="CO1483">
        <v>1</v>
      </c>
      <c r="CP1483" t="str">
        <f>IF($BN1483&lt;$BM1483,"refNeedCorrection","refOK")</f>
        <v>refOK</v>
      </c>
      <c r="CQ1483">
        <f>IF($CP1483="refNeedCorrection",BM1483,BN1483)</f>
        <v>3786.3999999999996</v>
      </c>
      <c r="CR1483">
        <f>IF($CP1483="refNeedCorrection",BN1483,BM1483)</f>
        <v>3603.2</v>
      </c>
      <c r="CS1483">
        <f>IF($CP1483="refOK",$BQ1483,-$BQ1483)</f>
        <v>183199999.99999982</v>
      </c>
      <c r="CT1483">
        <f>IF(BI1483="Roundwood",$CS1483/2,$CS1483)</f>
        <v>91599999.999999911</v>
      </c>
      <c r="CU1483">
        <f>IF($CP1483="refOK",$BU1483,$BV1483)*IF($BR1483="Emissions positive",-1,1)</f>
        <v>490</v>
      </c>
      <c r="CV1483">
        <f>IF($CP1483="refOK",$BV1483,$BU1483)*IF($BR1483="Emissions positive",-1,1)</f>
        <v>0</v>
      </c>
      <c r="CW1483">
        <f>IF($CP1483="refNeedCorrection",-BZ1483,BZ1483)*IF($BR1483="Emissions positive",-1,1)</f>
        <v>-490000000</v>
      </c>
      <c r="CX1483">
        <f>IFERROR($CW1483/$CS1483,"")</f>
        <v>-2.6746724890829721</v>
      </c>
      <c r="CY1483">
        <f>IFERROR($CW1483/$CS1483,"")</f>
        <v>-2.6746724890829721</v>
      </c>
      <c r="CZ1483">
        <f>IFERROR($CW1483/$CT1483,"")</f>
        <v>-5.3493449781659441</v>
      </c>
      <c r="DA1483" s="2">
        <f>IFERROR((CV1483-CU1483)/ABS(CU1483),"")</f>
        <v>-1</v>
      </c>
      <c r="DB1483" s="1" t="s">
        <v>1078</v>
      </c>
      <c r="DC1483" t="str">
        <f>IF(OR($DB1483="prd",$DB1483="std",$DB1483="cit"),"loc",IF(OR($DB1483="eur",$DB1483="reg",$DB1483="coy"),"reg",$DB1483))</f>
        <v>reg</v>
      </c>
      <c r="DD1483" t="s">
        <v>715</v>
      </c>
      <c r="DE1483">
        <v>2020</v>
      </c>
      <c r="DF1483">
        <v>2100</v>
      </c>
      <c r="DG1483">
        <v>81</v>
      </c>
      <c r="DH1483" t="str">
        <f>IF(DG1483=0,"0",IF(AND(DG1483&gt;=1,DG1483&lt;=30),"1-30",IF(AND(DG1483&gt;30,DG1483&lt;=70),"31-70",IF(AND(DG1483&gt;70,DG1483&lt;=100),"71-100",IF(DG1483&gt;100,"+100")))))</f>
        <v>71-100</v>
      </c>
      <c r="DI1483">
        <v>0</v>
      </c>
      <c r="DJ1483">
        <v>0</v>
      </c>
      <c r="DK1483">
        <v>1</v>
      </c>
      <c r="DL1483">
        <v>1</v>
      </c>
      <c r="DN1483">
        <f>SUM(DI1483:DL1483)</f>
        <v>2</v>
      </c>
      <c r="DO1483" t="str">
        <f>IF(DN1483=1,INDEX($DI$7:$DL$7,MATCH(1,$DI1483:$DL1483,0)),"mixedProduct")</f>
        <v>mixedProduct</v>
      </c>
      <c r="DP1483">
        <f>IF(DI1483=1,DP$7,0)</f>
        <v>0</v>
      </c>
      <c r="DQ1483">
        <f>IF(DJ1483=1,DQ$7,0)</f>
        <v>0</v>
      </c>
      <c r="DR1483" t="str">
        <f>IF(DK1483=1,DR$7,0)</f>
        <v>Pulp/Paper</v>
      </c>
      <c r="DS1483" t="str">
        <f>IF(DL1483=1,DS$7,0)</f>
        <v>Timber</v>
      </c>
      <c r="DT1483">
        <v>0</v>
      </c>
      <c r="DU1483">
        <v>0</v>
      </c>
      <c r="DV1483">
        <v>0</v>
      </c>
      <c r="DW1483">
        <v>0</v>
      </c>
      <c r="DX1483">
        <v>0</v>
      </c>
      <c r="DY1483">
        <f>SUM(DT1483:DU1483)</f>
        <v>0</v>
      </c>
      <c r="DZ1483" s="143" t="str">
        <f>IF(DT1483=1,"self-calculated DF",IF(DU1483=1,"external DF used","explicit C balance"))</f>
        <v>explicit C balance</v>
      </c>
      <c r="EA1483">
        <v>0</v>
      </c>
      <c r="EB1483">
        <v>0</v>
      </c>
      <c r="EC1483">
        <v>1</v>
      </c>
      <c r="ED1483">
        <v>0</v>
      </c>
      <c r="EE1483">
        <v>0</v>
      </c>
      <c r="EF1483" s="143">
        <v>0</v>
      </c>
      <c r="EG1483">
        <v>0</v>
      </c>
      <c r="EH1483">
        <v>0</v>
      </c>
      <c r="EI1483">
        <v>0</v>
      </c>
      <c r="EJ1483">
        <v>0</v>
      </c>
      <c r="EK1483">
        <v>1</v>
      </c>
      <c r="EL1483">
        <v>0</v>
      </c>
      <c r="EM1483">
        <v>0</v>
      </c>
      <c r="EN1483" s="2">
        <v>0</v>
      </c>
      <c r="EP1483" t="str">
        <f>IF(AND(AND(AND(OR($EC1483=1,$EB1483=1),OR($EH1483=1,$EF1483=1)),SUM($EA1483:$EE1483,$EK1483)&gt;=3),SUM($EF1483:$EJ1483)&gt;=2),"Whole sector approach","")</f>
        <v/>
      </c>
      <c r="EQ1483" t="str">
        <f>IF(AND(AND(OR($EC1483=1,$EB1483=1),AND($EH1483=0,$EF1483=0)),SUM($EA1483:$EE1483,$EK1483)&gt;=4),"Ecosystem approach","")</f>
        <v/>
      </c>
      <c r="ER1483" s="2" t="str">
        <f>IF(AND(AND(AND($EC1483=0,$EB1483=0),OR($EH1483=1,$EF1483=1)),SUM($EG1483:$EJ1483)&gt;=2),"Technology approach","")</f>
        <v/>
      </c>
      <c r="ES1483" t="str">
        <f>IF(AND($EC1483+$EB1483+$EE1483+$EA1483+$ED1483+$EG1483=0,$N1483="included"),"C neutral forest and HWP assumption","")</f>
        <v/>
      </c>
      <c r="ET1483" t="str">
        <f>IF(AND(AND(AND(AND($EC1483=1,$EB1483+$EA1483+$EG1483&gt;=1),$EF1483=1),$EH1483+$EI1483+$ED1483+$EE1483&gt;=2),$N1483="included"),"All C pools assumption","")</f>
        <v/>
      </c>
      <c r="EU1483" t="str">
        <f>IF(AND($ED1483+$EE1483+$EI1483+$EH1483+$EF1483=0,$N1483="included"),"In-situ only assumption","")</f>
        <v>In-situ only assumption</v>
      </c>
      <c r="EY1483" t="str">
        <f>IF(ISNUMBER(BW1483),IF(ABS(BW1483-[2]QC_indicators!$B$2)&gt;3*[2]QC_indicators!$C$2,"C ratio",IF(ISNUMBER(CA1483),IF(ABS(CA1483-[2]QC_indicators!$B$1)&gt;3*[2]QC_indicators!$C$1,"DF","no"))),IF(ISNUMBER(CA1483),IF(ABS(CA1483-[2]QC_indicators!$B$1)&gt;3*[2]QC_indicators!$C$1,"DF","no")))</f>
        <v>no</v>
      </c>
      <c r="FA1483" t="str">
        <f>IF(LEN($CY1483)=0,"",IF(AND($CY1483&lt;(-0.05),$ES1483="C neutral forest and HWP assumption"),"Cneutral paradox",IF(AND($CY1483&gt;0.05,$EU1483="In-situ only assumption"),"In-situ only paradox","")))</f>
        <v/>
      </c>
      <c r="FB1483" s="260" t="s">
        <v>2911</v>
      </c>
      <c r="FD1483" s="293" t="s">
        <v>3084</v>
      </c>
    </row>
    <row r="1484" spans="1:160" ht="15" customHeight="1">
      <c r="A1484" s="1" t="s">
        <v>1226</v>
      </c>
      <c r="B1484" t="s">
        <v>531</v>
      </c>
      <c r="C1484" t="s">
        <v>1989</v>
      </c>
      <c r="D1484" t="s">
        <v>1990</v>
      </c>
      <c r="E1484" t="s">
        <v>1991</v>
      </c>
      <c r="F1484" t="s">
        <v>1992</v>
      </c>
      <c r="G1484" t="s">
        <v>1227</v>
      </c>
      <c r="H1484" t="s">
        <v>254</v>
      </c>
      <c r="I1484">
        <v>2021</v>
      </c>
      <c r="J1484">
        <v>1</v>
      </c>
      <c r="K1484" t="s">
        <v>1993</v>
      </c>
      <c r="M1484" t="str">
        <f>LEFT($D1484,FIND(",",$D1484)-1)&amp;"_"&amp;I1484&amp;L1484</f>
        <v>Riviere_2021</v>
      </c>
      <c r="N1484" t="s">
        <v>222</v>
      </c>
      <c r="O1484" s="145" t="s">
        <v>341</v>
      </c>
      <c r="Q1484" t="s">
        <v>256</v>
      </c>
      <c r="R1484" s="258" t="s">
        <v>223</v>
      </c>
      <c r="S1484" s="1" t="s">
        <v>1999</v>
      </c>
      <c r="T1484" t="s">
        <v>2000</v>
      </c>
      <c r="U1484" t="s">
        <v>1003</v>
      </c>
      <c r="V1484" s="253">
        <v>0</v>
      </c>
      <c r="W1484" s="253">
        <v>0</v>
      </c>
      <c r="X1484">
        <v>0</v>
      </c>
      <c r="Y1484">
        <v>0</v>
      </c>
      <c r="Z1484">
        <v>0</v>
      </c>
      <c r="AA1484">
        <v>1</v>
      </c>
      <c r="AB1484">
        <v>0</v>
      </c>
      <c r="AC1484">
        <v>0</v>
      </c>
      <c r="AD1484">
        <v>0</v>
      </c>
      <c r="AE1484">
        <v>0</v>
      </c>
      <c r="AF1484">
        <v>0</v>
      </c>
      <c r="AG1484">
        <v>0</v>
      </c>
      <c r="AH1484">
        <v>0</v>
      </c>
      <c r="AI1484">
        <v>0</v>
      </c>
      <c r="AJ1484">
        <v>0</v>
      </c>
      <c r="AK1484">
        <v>0</v>
      </c>
      <c r="AL1484">
        <v>0</v>
      </c>
      <c r="AM1484">
        <v>0</v>
      </c>
      <c r="AN1484">
        <v>0</v>
      </c>
      <c r="AO1484">
        <v>0</v>
      </c>
      <c r="AP1484">
        <v>0</v>
      </c>
      <c r="AQ1484">
        <v>0</v>
      </c>
      <c r="AR1484">
        <v>0</v>
      </c>
      <c r="AS1484">
        <v>0</v>
      </c>
      <c r="AT1484">
        <v>0</v>
      </c>
      <c r="AU1484">
        <v>0</v>
      </c>
      <c r="AV1484">
        <v>0</v>
      </c>
      <c r="AW1484">
        <v>0</v>
      </c>
      <c r="AX1484">
        <v>1</v>
      </c>
      <c r="AY1484">
        <v>0</v>
      </c>
      <c r="AZ1484" s="141">
        <f>COUNTIF(X1484:AY1484,"&lt;&gt;0")</f>
        <v>2</v>
      </c>
      <c r="BA1484" s="141">
        <f>COUNTIF(X1484:AN1484,"&lt;&gt;0")</f>
        <v>1</v>
      </c>
      <c r="BB1484">
        <f>COUNTIF(X1484:AE1484,"&lt;&gt;0")</f>
        <v>1</v>
      </c>
      <c r="BC1484">
        <f>COUNTIF(AF1484:AK1484,"&lt;&gt;0")</f>
        <v>0</v>
      </c>
      <c r="BD1484">
        <f>COUNTIF(AL1484:AN1484,"&lt;&gt;0")</f>
        <v>0</v>
      </c>
      <c r="BE1484">
        <f>COUNTIF(AU1484:AY1484,"&lt;&gt;0")</f>
        <v>1</v>
      </c>
      <c r="BF1484">
        <f>COUNTIF(AO1484:AT1484,"&lt;&gt;0")</f>
        <v>0</v>
      </c>
      <c r="BG1484" t="str">
        <f t="array" ref="BG1484">IF(BA1484=1,INDEX($X$7:$AN$7,MATCH(TRUE,INDEX($X1484:$AY1484&lt;&gt;0,),0)),IF(BA1484=0,INDEX($AO$7:$AY$7,MATCH(1,$AO1484:$AY1484,0)),IF(BH1484="Multiple strategies","mixed drivers",IF(BH1484="Supply chain","multiple supply","multiple silviculture"))))</f>
        <v xml:space="preserve">cutting intensity </v>
      </c>
      <c r="BH1484" s="2" t="str" cm="1">
        <f t="array" ref="BH1484">IF(COUNTIF(BB1484:BD1484,"&lt;&gt;0")=1,INDEX($X$4:$AY$4,MATCH(TRUE,INDEX($X1484:$AY1484&lt;&gt;0,),0)),IF(COUNTIF(BB1484:BD1484,"&lt;&gt;0")=0,INDEX($AO$4:$AY$4,MATCH(1,$AO1484:$AY1484,0)),"Multiple strategies"))</f>
        <v>Silviculture for removals</v>
      </c>
      <c r="BI1484" s="1" t="s">
        <v>321</v>
      </c>
      <c r="BJ1484" t="s">
        <v>1996</v>
      </c>
      <c r="BK1484" s="260" t="s">
        <v>424</v>
      </c>
      <c r="BL1484" t="s">
        <v>1228</v>
      </c>
      <c r="BM1484">
        <f>44.68*80</f>
        <v>3574.4</v>
      </c>
      <c r="BN1484">
        <f>47.33*80</f>
        <v>3786.3999999999996</v>
      </c>
      <c r="BP1484">
        <f>BN1484-BM1484</f>
        <v>211.99999999999955</v>
      </c>
      <c r="BQ1484">
        <f>BP1484*10^6</f>
        <v>211999999.99999955</v>
      </c>
      <c r="BR1484" t="s">
        <v>232</v>
      </c>
      <c r="BS1484" s="153" t="s">
        <v>426</v>
      </c>
      <c r="BT1484" s="260" t="s">
        <v>2069</v>
      </c>
      <c r="BU1484">
        <v>550</v>
      </c>
      <c r="BV1484">
        <v>0</v>
      </c>
      <c r="BW1484" s="144">
        <f>IFERROR(BV1484/BU1484,"")</f>
        <v>0</v>
      </c>
      <c r="BX1484">
        <f>BV1484-BU1484</f>
        <v>-550</v>
      </c>
      <c r="BZ1484">
        <f>BX1484*10^6</f>
        <v>-550000000</v>
      </c>
      <c r="CA1484">
        <f>IFERROR(BZ1484/BQ1484,"")</f>
        <v>-2.594339622641515</v>
      </c>
      <c r="CB1484">
        <v>0</v>
      </c>
      <c r="CC1484">
        <v>0</v>
      </c>
      <c r="CD1484">
        <v>0</v>
      </c>
      <c r="CE1484">
        <v>0</v>
      </c>
      <c r="CF1484">
        <v>0</v>
      </c>
      <c r="CG1484">
        <v>0</v>
      </c>
      <c r="CH1484">
        <v>0</v>
      </c>
      <c r="CI1484">
        <v>0</v>
      </c>
      <c r="CJ1484">
        <v>0</v>
      </c>
      <c r="CK1484">
        <v>0</v>
      </c>
      <c r="CL1484">
        <v>0</v>
      </c>
      <c r="CM1484">
        <v>0</v>
      </c>
      <c r="CN1484">
        <v>0</v>
      </c>
      <c r="CO1484">
        <v>1</v>
      </c>
      <c r="CP1484" t="str">
        <f>IF($BN1484&lt;$BM1484,"refNeedCorrection","refOK")</f>
        <v>refOK</v>
      </c>
      <c r="CQ1484">
        <f>IF($CP1484="refNeedCorrection",BM1484,BN1484)</f>
        <v>3786.3999999999996</v>
      </c>
      <c r="CR1484">
        <f>IF($CP1484="refNeedCorrection",BN1484,BM1484)</f>
        <v>3574.4</v>
      </c>
      <c r="CS1484">
        <f>IF($CP1484="refOK",$BQ1484,-$BQ1484)</f>
        <v>211999999.99999955</v>
      </c>
      <c r="CT1484">
        <f>IF(BI1484="Roundwood",$CS1484/2,$CS1484)</f>
        <v>105999999.99999978</v>
      </c>
      <c r="CU1484">
        <f>IF($CP1484="refOK",$BU1484,$BV1484)*IF($BR1484="Emissions positive",-1,1)</f>
        <v>550</v>
      </c>
      <c r="CV1484">
        <f>IF($CP1484="refOK",$BV1484,$BU1484)*IF($BR1484="Emissions positive",-1,1)</f>
        <v>0</v>
      </c>
      <c r="CW1484">
        <f>IF($CP1484="refNeedCorrection",-BZ1484,BZ1484)*IF($BR1484="Emissions positive",-1,1)</f>
        <v>-550000000</v>
      </c>
      <c r="CX1484">
        <f>IFERROR($CW1484/$CS1484,"")</f>
        <v>-2.594339622641515</v>
      </c>
      <c r="CY1484">
        <f>IFERROR($CW1484/$CS1484,"")</f>
        <v>-2.594339622641515</v>
      </c>
      <c r="CZ1484">
        <f>IFERROR($CW1484/$CT1484,"")</f>
        <v>-5.1886792452830299</v>
      </c>
      <c r="DA1484" s="2">
        <f>IFERROR((CV1484-CU1484)/ABS(CU1484),"")</f>
        <v>-1</v>
      </c>
      <c r="DB1484" s="1" t="s">
        <v>1078</v>
      </c>
      <c r="DC1484" t="str">
        <f>IF(OR($DB1484="prd",$DB1484="std",$DB1484="cit"),"loc",IF(OR($DB1484="eur",$DB1484="reg",$DB1484="coy"),"reg",$DB1484))</f>
        <v>reg</v>
      </c>
      <c r="DD1484" t="s">
        <v>715</v>
      </c>
      <c r="DE1484">
        <v>2020</v>
      </c>
      <c r="DF1484">
        <v>2100</v>
      </c>
      <c r="DG1484">
        <v>81</v>
      </c>
      <c r="DH1484" t="str">
        <f>IF(DG1484=0,"0",IF(AND(DG1484&gt;=1,DG1484&lt;=30),"1-30",IF(AND(DG1484&gt;30,DG1484&lt;=70),"31-70",IF(AND(DG1484&gt;70,DG1484&lt;=100),"71-100",IF(DG1484&gt;100,"+100")))))</f>
        <v>71-100</v>
      </c>
      <c r="DI1484">
        <v>0</v>
      </c>
      <c r="DJ1484">
        <v>0</v>
      </c>
      <c r="DK1484">
        <v>1</v>
      </c>
      <c r="DL1484">
        <v>1</v>
      </c>
      <c r="DN1484">
        <f>SUM(DI1484:DL1484)</f>
        <v>2</v>
      </c>
      <c r="DO1484" t="str">
        <f>IF(DN1484=1,INDEX($DI$7:$DL$7,MATCH(1,$DI1484:$DL1484,0)),"mixedProduct")</f>
        <v>mixedProduct</v>
      </c>
      <c r="DP1484">
        <f>IF(DI1484=1,DP$7,0)</f>
        <v>0</v>
      </c>
      <c r="DQ1484">
        <f>IF(DJ1484=1,DQ$7,0)</f>
        <v>0</v>
      </c>
      <c r="DR1484" t="str">
        <f>IF(DK1484=1,DR$7,0)</f>
        <v>Pulp/Paper</v>
      </c>
      <c r="DS1484" t="str">
        <f>IF(DL1484=1,DS$7,0)</f>
        <v>Timber</v>
      </c>
      <c r="DT1484">
        <v>0</v>
      </c>
      <c r="DU1484">
        <v>0</v>
      </c>
      <c r="DV1484">
        <v>0</v>
      </c>
      <c r="DW1484">
        <v>0</v>
      </c>
      <c r="DX1484">
        <v>0</v>
      </c>
      <c r="DY1484">
        <f>SUM(DT1484:DU1484)</f>
        <v>0</v>
      </c>
      <c r="DZ1484" s="143" t="str">
        <f>IF(DT1484=1,"self-calculated DF",IF(DU1484=1,"external DF used","explicit C balance"))</f>
        <v>explicit C balance</v>
      </c>
      <c r="EA1484">
        <v>0</v>
      </c>
      <c r="EB1484">
        <v>0</v>
      </c>
      <c r="EC1484">
        <v>1</v>
      </c>
      <c r="ED1484">
        <v>0</v>
      </c>
      <c r="EE1484">
        <v>0</v>
      </c>
      <c r="EF1484" s="143">
        <v>0</v>
      </c>
      <c r="EG1484">
        <v>0</v>
      </c>
      <c r="EH1484">
        <v>0</v>
      </c>
      <c r="EI1484">
        <v>0</v>
      </c>
      <c r="EJ1484">
        <v>0</v>
      </c>
      <c r="EK1484">
        <v>1</v>
      </c>
      <c r="EL1484">
        <v>0</v>
      </c>
      <c r="EM1484">
        <v>0</v>
      </c>
      <c r="EN1484" s="2">
        <v>0</v>
      </c>
      <c r="EP1484" t="str">
        <f>IF(AND(AND(AND(OR($EC1484=1,$EB1484=1),OR($EH1484=1,$EF1484=1)),SUM($EA1484:$EE1484,$EK1484)&gt;=3),SUM($EF1484:$EJ1484)&gt;=2),"Whole sector approach","")</f>
        <v/>
      </c>
      <c r="EQ1484" t="str">
        <f>IF(AND(AND(OR($EC1484=1,$EB1484=1),AND($EH1484=0,$EF1484=0)),SUM($EA1484:$EE1484,$EK1484)&gt;=4),"Ecosystem approach","")</f>
        <v/>
      </c>
      <c r="ER1484" s="2" t="str">
        <f>IF(AND(AND(AND($EC1484=0,$EB1484=0),OR($EH1484=1,$EF1484=1)),SUM($EG1484:$EJ1484)&gt;=2),"Technology approach","")</f>
        <v/>
      </c>
      <c r="ES1484" t="str">
        <f>IF(AND($EC1484+$EB1484+$EE1484+$EA1484+$ED1484+$EG1484=0,$N1484="included"),"C neutral forest and HWP assumption","")</f>
        <v/>
      </c>
      <c r="ET1484" t="str">
        <f>IF(AND(AND(AND(AND($EC1484=1,$EB1484+$EA1484+$EG1484&gt;=1),$EF1484=1),$EH1484+$EI1484+$ED1484+$EE1484&gt;=2),$N1484="included"),"All C pools assumption","")</f>
        <v/>
      </c>
      <c r="EU1484" t="str">
        <f>IF(AND($ED1484+$EE1484+$EI1484+$EH1484+$EF1484=0,$N1484="included"),"In-situ only assumption","")</f>
        <v>In-situ only assumption</v>
      </c>
      <c r="EY1484" t="str">
        <f>IF(ISNUMBER(BW1484),IF(ABS(BW1484-[2]QC_indicators!$B$2)&gt;3*[2]QC_indicators!$C$2,"C ratio",IF(ISNUMBER(CA1484),IF(ABS(CA1484-[2]QC_indicators!$B$1)&gt;3*[2]QC_indicators!$C$1,"DF","no"))),IF(ISNUMBER(CA1484),IF(ABS(CA1484-[2]QC_indicators!$B$1)&gt;3*[2]QC_indicators!$C$1,"DF","no")))</f>
        <v>no</v>
      </c>
      <c r="FA1484" t="str">
        <f>IF(LEN($CY1484)=0,"",IF(AND($CY1484&lt;(-0.05),$ES1484="C neutral forest and HWP assumption"),"Cneutral paradox",IF(AND($CY1484&gt;0.05,$EU1484="In-situ only assumption"),"In-situ only paradox","")))</f>
        <v/>
      </c>
      <c r="FB1484" s="260" t="s">
        <v>2911</v>
      </c>
      <c r="FD1484" s="293" t="s">
        <v>3084</v>
      </c>
    </row>
    <row r="1485" spans="1:160" ht="18" customHeight="1">
      <c r="A1485" s="1" t="s">
        <v>1226</v>
      </c>
      <c r="B1485" t="s">
        <v>531</v>
      </c>
      <c r="C1485" t="s">
        <v>1989</v>
      </c>
      <c r="D1485" t="s">
        <v>1990</v>
      </c>
      <c r="E1485" t="s">
        <v>1991</v>
      </c>
      <c r="F1485" t="s">
        <v>1992</v>
      </c>
      <c r="G1485" t="s">
        <v>1227</v>
      </c>
      <c r="H1485" t="s">
        <v>254</v>
      </c>
      <c r="I1485">
        <v>2021</v>
      </c>
      <c r="J1485">
        <v>1</v>
      </c>
      <c r="K1485" t="s">
        <v>1993</v>
      </c>
      <c r="M1485" t="str">
        <f>LEFT($D1485,FIND(",",$D1485)-1)&amp;"_"&amp;I1485&amp;L1485</f>
        <v>Riviere_2021</v>
      </c>
      <c r="N1485" t="s">
        <v>222</v>
      </c>
      <c r="O1485" s="145" t="s">
        <v>341</v>
      </c>
      <c r="Q1485" t="s">
        <v>256</v>
      </c>
      <c r="R1485" s="258" t="s">
        <v>223</v>
      </c>
      <c r="S1485" s="1" t="s">
        <v>2001</v>
      </c>
      <c r="T1485" t="s">
        <v>2002</v>
      </c>
      <c r="U1485" t="s">
        <v>1003</v>
      </c>
      <c r="V1485" s="253">
        <v>0</v>
      </c>
      <c r="W1485" s="253">
        <v>0</v>
      </c>
      <c r="X1485">
        <v>0</v>
      </c>
      <c r="Y1485">
        <v>0</v>
      </c>
      <c r="Z1485">
        <v>0</v>
      </c>
      <c r="AA1485">
        <v>1</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1</v>
      </c>
      <c r="AY1485">
        <v>0</v>
      </c>
      <c r="AZ1485" s="141">
        <f>COUNTIF(X1485:AY1485,"&lt;&gt;0")</f>
        <v>2</v>
      </c>
      <c r="BA1485" s="141">
        <f>COUNTIF(X1485:AN1485,"&lt;&gt;0")</f>
        <v>1</v>
      </c>
      <c r="BB1485">
        <f>COUNTIF(X1485:AE1485,"&lt;&gt;0")</f>
        <v>1</v>
      </c>
      <c r="BC1485">
        <f>COUNTIF(AF1485:AK1485,"&lt;&gt;0")</f>
        <v>0</v>
      </c>
      <c r="BD1485">
        <f>COUNTIF(AL1485:AN1485,"&lt;&gt;0")</f>
        <v>0</v>
      </c>
      <c r="BE1485">
        <f>COUNTIF(AU1485:AY1485,"&lt;&gt;0")</f>
        <v>1</v>
      </c>
      <c r="BF1485">
        <f>COUNTIF(AO1485:AT1485,"&lt;&gt;0")</f>
        <v>0</v>
      </c>
      <c r="BG1485" t="str">
        <f t="array" ref="BG1485">IF(BA1485=1,INDEX($X$7:$AN$7,MATCH(TRUE,INDEX($X1485:$AY1485&lt;&gt;0,),0)),IF(BA1485=0,INDEX($AO$7:$AY$7,MATCH(1,$AO1485:$AY1485,0)),IF(BH1485="Multiple strategies","mixed drivers",IF(BH1485="Supply chain","multiple supply","multiple silviculture"))))</f>
        <v xml:space="preserve">cutting intensity </v>
      </c>
      <c r="BH1485" s="2" t="str" cm="1">
        <f t="array" ref="BH1485">IF(COUNTIF(BB1485:BD1485,"&lt;&gt;0")=1,INDEX($X$4:$AY$4,MATCH(TRUE,INDEX($X1485:$AY1485&lt;&gt;0,),0)),IF(COUNTIF(BB1485:BD1485,"&lt;&gt;0")=0,INDEX($AO$4:$AY$4,MATCH(1,$AO1485:$AY1485,0)),"Multiple strategies"))</f>
        <v>Silviculture for removals</v>
      </c>
      <c r="BI1485" s="1" t="s">
        <v>321</v>
      </c>
      <c r="BJ1485" t="s">
        <v>1996</v>
      </c>
      <c r="BK1485" s="260" t="s">
        <v>424</v>
      </c>
      <c r="BL1485" t="s">
        <v>1228</v>
      </c>
      <c r="BM1485">
        <f>45.09*80</f>
        <v>3607.2000000000003</v>
      </c>
      <c r="BN1485">
        <f>47.33*80</f>
        <v>3786.3999999999996</v>
      </c>
      <c r="BP1485">
        <f>BN1485-BM1485</f>
        <v>179.19999999999936</v>
      </c>
      <c r="BQ1485">
        <f>BP1485*10^6</f>
        <v>179199999.99999937</v>
      </c>
      <c r="BR1485" t="s">
        <v>232</v>
      </c>
      <c r="BS1485" s="153" t="s">
        <v>426</v>
      </c>
      <c r="BT1485" s="260" t="s">
        <v>2069</v>
      </c>
      <c r="BU1485">
        <v>420</v>
      </c>
      <c r="BV1485">
        <v>0</v>
      </c>
      <c r="BW1485" s="144">
        <f>IFERROR(BV1485/BU1485,"")</f>
        <v>0</v>
      </c>
      <c r="BX1485">
        <f>BV1485-BU1485</f>
        <v>-420</v>
      </c>
      <c r="BZ1485">
        <f>BX1485*10^6</f>
        <v>-420000000</v>
      </c>
      <c r="CA1485">
        <f>IFERROR(BZ1485/BQ1485,"")</f>
        <v>-2.343750000000008</v>
      </c>
      <c r="CB1485">
        <v>0</v>
      </c>
      <c r="CC1485">
        <v>0</v>
      </c>
      <c r="CD1485">
        <v>0</v>
      </c>
      <c r="CE1485">
        <v>0</v>
      </c>
      <c r="CF1485">
        <v>0</v>
      </c>
      <c r="CG1485">
        <v>0</v>
      </c>
      <c r="CH1485">
        <v>0</v>
      </c>
      <c r="CI1485">
        <v>0</v>
      </c>
      <c r="CJ1485">
        <v>0</v>
      </c>
      <c r="CK1485">
        <v>0</v>
      </c>
      <c r="CL1485">
        <v>0</v>
      </c>
      <c r="CM1485">
        <v>0</v>
      </c>
      <c r="CN1485">
        <v>0</v>
      </c>
      <c r="CO1485">
        <v>1</v>
      </c>
      <c r="CP1485" t="str">
        <f>IF($BN1485&lt;$BM1485,"refNeedCorrection","refOK")</f>
        <v>refOK</v>
      </c>
      <c r="CQ1485">
        <f>IF($CP1485="refNeedCorrection",BM1485,BN1485)</f>
        <v>3786.3999999999996</v>
      </c>
      <c r="CR1485">
        <f>IF($CP1485="refNeedCorrection",BN1485,BM1485)</f>
        <v>3607.2000000000003</v>
      </c>
      <c r="CS1485">
        <f>IF($CP1485="refOK",$BQ1485,-$BQ1485)</f>
        <v>179199999.99999937</v>
      </c>
      <c r="CT1485">
        <f>IF(BI1485="Roundwood",$CS1485/2,$CS1485)</f>
        <v>89599999.999999687</v>
      </c>
      <c r="CU1485">
        <f>IF($CP1485="refOK",$BU1485,$BV1485)*IF($BR1485="Emissions positive",-1,1)</f>
        <v>420</v>
      </c>
      <c r="CV1485">
        <f>IF($CP1485="refOK",$BV1485,$BU1485)*IF($BR1485="Emissions positive",-1,1)</f>
        <v>0</v>
      </c>
      <c r="CW1485">
        <f>IF($CP1485="refNeedCorrection",-BZ1485,BZ1485)*IF($BR1485="Emissions positive",-1,1)</f>
        <v>-420000000</v>
      </c>
      <c r="CX1485">
        <f>IFERROR($CW1485/$CS1485,"")</f>
        <v>-2.343750000000008</v>
      </c>
      <c r="CY1485">
        <f>IFERROR($CW1485/$CS1485,"")</f>
        <v>-2.343750000000008</v>
      </c>
      <c r="CZ1485">
        <f>IFERROR($CW1485/$CT1485,"")</f>
        <v>-4.687500000000016</v>
      </c>
      <c r="DA1485" s="2">
        <f>IFERROR((CV1485-CU1485)/ABS(CU1485),"")</f>
        <v>-1</v>
      </c>
      <c r="DB1485" s="1" t="s">
        <v>1078</v>
      </c>
      <c r="DC1485" t="str">
        <f>IF(OR($DB1485="prd",$DB1485="std",$DB1485="cit"),"loc",IF(OR($DB1485="eur",$DB1485="reg",$DB1485="coy"),"reg",$DB1485))</f>
        <v>reg</v>
      </c>
      <c r="DD1485" t="s">
        <v>715</v>
      </c>
      <c r="DE1485">
        <v>2020</v>
      </c>
      <c r="DF1485">
        <v>2100</v>
      </c>
      <c r="DG1485">
        <v>81</v>
      </c>
      <c r="DH1485" t="str">
        <f>IF(DG1485=0,"0",IF(AND(DG1485&gt;=1,DG1485&lt;=30),"1-30",IF(AND(DG1485&gt;30,DG1485&lt;=70),"31-70",IF(AND(DG1485&gt;70,DG1485&lt;=100),"71-100",IF(DG1485&gt;100,"+100")))))</f>
        <v>71-100</v>
      </c>
      <c r="DI1485">
        <v>0</v>
      </c>
      <c r="DJ1485">
        <v>0</v>
      </c>
      <c r="DK1485">
        <v>1</v>
      </c>
      <c r="DL1485">
        <v>1</v>
      </c>
      <c r="DN1485">
        <f>SUM(DI1485:DL1485)</f>
        <v>2</v>
      </c>
      <c r="DO1485" t="str">
        <f>IF(DN1485=1,INDEX($DI$7:$DL$7,MATCH(1,$DI1485:$DL1485,0)),"mixedProduct")</f>
        <v>mixedProduct</v>
      </c>
      <c r="DP1485">
        <f>IF(DI1485=1,DP$7,0)</f>
        <v>0</v>
      </c>
      <c r="DQ1485">
        <f>IF(DJ1485=1,DQ$7,0)</f>
        <v>0</v>
      </c>
      <c r="DR1485" t="str">
        <f>IF(DK1485=1,DR$7,0)</f>
        <v>Pulp/Paper</v>
      </c>
      <c r="DS1485" t="str">
        <f>IF(DL1485=1,DS$7,0)</f>
        <v>Timber</v>
      </c>
      <c r="DT1485">
        <v>0</v>
      </c>
      <c r="DU1485">
        <v>0</v>
      </c>
      <c r="DV1485">
        <v>0</v>
      </c>
      <c r="DW1485">
        <v>0</v>
      </c>
      <c r="DX1485">
        <v>0</v>
      </c>
      <c r="DY1485">
        <f>SUM(DT1485:DU1485)</f>
        <v>0</v>
      </c>
      <c r="DZ1485" s="143" t="str">
        <f>IF(DT1485=1,"self-calculated DF",IF(DU1485=1,"external DF used","explicit C balance"))</f>
        <v>explicit C balance</v>
      </c>
      <c r="EA1485">
        <v>0</v>
      </c>
      <c r="EB1485">
        <v>0</v>
      </c>
      <c r="EC1485">
        <v>1</v>
      </c>
      <c r="ED1485">
        <v>0</v>
      </c>
      <c r="EE1485">
        <v>0</v>
      </c>
      <c r="EF1485" s="143">
        <v>0</v>
      </c>
      <c r="EG1485">
        <v>0</v>
      </c>
      <c r="EH1485">
        <v>0</v>
      </c>
      <c r="EI1485">
        <v>0</v>
      </c>
      <c r="EJ1485">
        <v>0</v>
      </c>
      <c r="EK1485">
        <v>1</v>
      </c>
      <c r="EL1485">
        <v>0</v>
      </c>
      <c r="EM1485">
        <v>0</v>
      </c>
      <c r="EN1485" s="2">
        <v>0</v>
      </c>
      <c r="EP1485" t="str">
        <f>IF(AND(AND(AND(OR($EC1485=1,$EB1485=1),OR($EH1485=1,$EF1485=1)),SUM($EA1485:$EE1485,$EK1485)&gt;=3),SUM($EF1485:$EJ1485)&gt;=2),"Whole sector approach","")</f>
        <v/>
      </c>
      <c r="EQ1485" t="str">
        <f>IF(AND(AND(OR($EC1485=1,$EB1485=1),AND($EH1485=0,$EF1485=0)),SUM($EA1485:$EE1485,$EK1485)&gt;=4),"Ecosystem approach","")</f>
        <v/>
      </c>
      <c r="ER1485" s="2" t="str">
        <f>IF(AND(AND(AND($EC1485=0,$EB1485=0),OR($EH1485=1,$EF1485=1)),SUM($EG1485:$EJ1485)&gt;=2),"Technology approach","")</f>
        <v/>
      </c>
      <c r="ES1485" t="str">
        <f>IF(AND($EC1485+$EB1485+$EE1485+$EA1485+$ED1485+$EG1485=0,$N1485="included"),"C neutral forest and HWP assumption","")</f>
        <v/>
      </c>
      <c r="ET1485" t="str">
        <f>IF(AND(AND(AND(AND($EC1485=1,$EB1485+$EA1485+$EG1485&gt;=1),$EF1485=1),$EH1485+$EI1485+$ED1485+$EE1485&gt;=2),$N1485="included"),"All C pools assumption","")</f>
        <v/>
      </c>
      <c r="EU1485" t="str">
        <f>IF(AND($ED1485+$EE1485+$EI1485+$EH1485+$EF1485=0,$N1485="included"),"In-situ only assumption","")</f>
        <v>In-situ only assumption</v>
      </c>
      <c r="EY1485" t="str">
        <f>IF(ISNUMBER(BW1485),IF(ABS(BW1485-[2]QC_indicators!$B$2)&gt;3*[2]QC_indicators!$C$2,"C ratio",IF(ISNUMBER(CA1485),IF(ABS(CA1485-[2]QC_indicators!$B$1)&gt;3*[2]QC_indicators!$C$1,"DF","no"))),IF(ISNUMBER(CA1485),IF(ABS(CA1485-[2]QC_indicators!$B$1)&gt;3*[2]QC_indicators!$C$1,"DF","no")))</f>
        <v>no</v>
      </c>
      <c r="FA1485" t="str">
        <f>IF(LEN($CY1485)=0,"",IF(AND($CY1485&lt;(-0.05),$ES1485="C neutral forest and HWP assumption"),"Cneutral paradox",IF(AND($CY1485&gt;0.05,$EU1485="In-situ only assumption"),"In-situ only paradox","")))</f>
        <v/>
      </c>
      <c r="FB1485" s="260" t="s">
        <v>2911</v>
      </c>
      <c r="FD1485" s="293" t="s">
        <v>3084</v>
      </c>
    </row>
    <row r="1486" spans="1:160" ht="187" hidden="1">
      <c r="A1486" s="1" t="s">
        <v>2092</v>
      </c>
      <c r="B1486" t="s">
        <v>2093</v>
      </c>
      <c r="C1486" t="s">
        <v>531</v>
      </c>
      <c r="D1486" t="s">
        <v>2094</v>
      </c>
      <c r="E1486" t="s">
        <v>2095</v>
      </c>
      <c r="F1486" t="s">
        <v>2096</v>
      </c>
      <c r="G1486" t="s">
        <v>2097</v>
      </c>
      <c r="H1486" t="s">
        <v>254</v>
      </c>
      <c r="I1486">
        <v>2021</v>
      </c>
      <c r="J1486">
        <v>1</v>
      </c>
      <c r="K1486" t="s">
        <v>2098</v>
      </c>
      <c r="M1486" t="str">
        <f>LEFT($D1486,FIND(",",$D1486)-1)&amp;"_"&amp;I1486&amp;L1486</f>
        <v>Soimakallio_2021</v>
      </c>
      <c r="N1486" t="s">
        <v>222</v>
      </c>
      <c r="O1486" s="145" t="s">
        <v>341</v>
      </c>
      <c r="Q1486" t="s">
        <v>256</v>
      </c>
      <c r="R1486" s="276" t="s">
        <v>225</v>
      </c>
      <c r="S1486" s="1" t="s">
        <v>2099</v>
      </c>
      <c r="T1486" t="s">
        <v>1003</v>
      </c>
      <c r="U1486" s="151" t="s">
        <v>2765</v>
      </c>
      <c r="V1486" s="253">
        <v>0</v>
      </c>
      <c r="W1486" s="253">
        <v>0</v>
      </c>
      <c r="X1486" s="151">
        <v>0</v>
      </c>
      <c r="Y1486">
        <v>0</v>
      </c>
      <c r="Z1486">
        <v>0</v>
      </c>
      <c r="AA1486" s="151">
        <v>2</v>
      </c>
      <c r="AB1486">
        <v>0</v>
      </c>
      <c r="AC1486">
        <v>0</v>
      </c>
      <c r="AD1486">
        <v>0</v>
      </c>
      <c r="AE1486">
        <v>0</v>
      </c>
      <c r="AF1486">
        <v>0</v>
      </c>
      <c r="AG1486">
        <v>0</v>
      </c>
      <c r="AH1486" s="151">
        <v>1</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s="141">
        <f>COUNTIF(X1486:AY1486,"&lt;&gt;0")</f>
        <v>2</v>
      </c>
      <c r="BA1486" s="141">
        <f>COUNTIF(X1486:AN1486,"&lt;&gt;0")</f>
        <v>2</v>
      </c>
      <c r="BB1486">
        <f>COUNTIF(X1486:AE1486,"&lt;&gt;0")</f>
        <v>1</v>
      </c>
      <c r="BC1486">
        <f>COUNTIF(AF1486:AK1486,"&lt;&gt;0")</f>
        <v>1</v>
      </c>
      <c r="BD1486">
        <f>COUNTIF(AL1486:AN1486,"&lt;&gt;0")</f>
        <v>0</v>
      </c>
      <c r="BE1486">
        <f>COUNTIF(AU1486:AY1486,"&lt;&gt;0")</f>
        <v>0</v>
      </c>
      <c r="BF1486">
        <f>COUNTIF(AO1486:AT1486,"&lt;&gt;0")</f>
        <v>0</v>
      </c>
      <c r="BG1486" t="str">
        <f t="array" ref="BG1486">IF(BA1486=1,INDEX($X$7:$AN$7,MATCH(TRUE,INDEX($X1486:$AY1486&lt;&gt;0,),0)),IF(BA1486=0,INDEX($AO$7:$AY$7,MATCH(1,$AO1486:$AY1486,0)),IF(BH1486="Multiple strategies","mixed drivers",IF(BH1486="Supply chain","multiple supply","multiple silviculture"))))</f>
        <v>mixed drivers</v>
      </c>
      <c r="BH1486" s="2" t="str" cm="1">
        <f t="array" ref="BH1486">IF(COUNTIF(BB1486:BD1486,"&lt;&gt;0")=1,INDEX($X$4:$AY$4,MATCH(TRUE,INDEX($X1486:$AY1486&lt;&gt;0,),0)),IF(COUNTIF(BB1486:BD1486,"&lt;&gt;0")=0,INDEX($AO$4:$AY$4,MATCH(1,$AO1486:$AY1486,0)),"Multiple strategies"))</f>
        <v>Multiple strategies</v>
      </c>
      <c r="BI1486" s="1" t="s">
        <v>229</v>
      </c>
      <c r="BJ1486" t="s">
        <v>2100</v>
      </c>
      <c r="BK1486" s="151" t="s">
        <v>791</v>
      </c>
      <c r="BL1486" s="151" t="s">
        <v>1232</v>
      </c>
      <c r="BP1486">
        <v>0.9</v>
      </c>
      <c r="BQ1486">
        <f>BP1486*10^6*tC_to_m3</f>
        <v>3907946.1571862791</v>
      </c>
      <c r="BR1486" t="s">
        <v>232</v>
      </c>
      <c r="BS1486" s="151" t="s">
        <v>791</v>
      </c>
      <c r="BT1486" s="151" t="s">
        <v>1175</v>
      </c>
      <c r="BW1486" s="144"/>
      <c r="BX1486">
        <v>-3.9</v>
      </c>
      <c r="BZ1486">
        <f>BX1486*10^6*C_to_CO2</f>
        <v>-14313000</v>
      </c>
      <c r="CA1486">
        <f>IFERROR(BZ1486/BQ1486,"")</f>
        <v>-3.6625376666666662</v>
      </c>
      <c r="CB1486">
        <v>0</v>
      </c>
      <c r="CC1486">
        <v>1</v>
      </c>
      <c r="CD1486" s="151">
        <v>0</v>
      </c>
      <c r="CE1486" s="151">
        <v>1</v>
      </c>
      <c r="CF1486">
        <v>0</v>
      </c>
      <c r="CG1486">
        <v>0</v>
      </c>
      <c r="CH1486">
        <v>0</v>
      </c>
      <c r="CI1486">
        <v>0</v>
      </c>
      <c r="CJ1486">
        <v>0</v>
      </c>
      <c r="CK1486">
        <v>0</v>
      </c>
      <c r="CL1486">
        <v>0</v>
      </c>
      <c r="CM1486">
        <v>0</v>
      </c>
      <c r="CN1486">
        <v>0</v>
      </c>
      <c r="CO1486">
        <v>0</v>
      </c>
      <c r="CP1486" t="str">
        <f>IF(BN1486&lt;BM1486,"refNeedCorrection","refOK")</f>
        <v>refOK</v>
      </c>
      <c r="CQ1486"/>
      <c r="CR1486"/>
      <c r="CS1486">
        <f>IF($CP1486="refNeedCorrection",-BQ1486,BQ1486)</f>
        <v>3907946.1571862791</v>
      </c>
      <c r="CT1486">
        <f>IF(BI1486="Roundwood",$CS1486/2,$CS1486)</f>
        <v>3907946.1571862791</v>
      </c>
      <c r="CU1486">
        <f>IF($CP1486="refOK",$BU1486,$BV1486)*IF($BR1486="Emissions positive",-1,1)</f>
        <v>0</v>
      </c>
      <c r="CV1486">
        <f>IF($CP1486="refOK",$BV1486,$BU1486)*IF($BR1486="Emissions positive",-1,1)</f>
        <v>0</v>
      </c>
      <c r="CW1486">
        <f>IF($CP1486="refNeedCorrection",-BZ1486,BZ1486)*IF($BR1486="Emissions positive",-1,1)</f>
        <v>-14313000</v>
      </c>
      <c r="CX1486">
        <f>IFERROR($CW1486/$CS1486,"")</f>
        <v>-3.6625376666666662</v>
      </c>
      <c r="CY1486">
        <f>IFERROR($CW1486/$CS1486,"")</f>
        <v>-3.6625376666666662</v>
      </c>
      <c r="CZ1486">
        <f>IFERROR($CW1486/$CT1486,"")</f>
        <v>-3.6625376666666662</v>
      </c>
      <c r="DA1486" s="2" t="str">
        <f>IFERROR((CV1486-CU1486)/ABS(CU1486),"")</f>
        <v/>
      </c>
      <c r="DB1486" s="1" t="s">
        <v>1078</v>
      </c>
      <c r="DC1486" t="str">
        <f>IF(OR($DB1486="prd",$DB1486="std",$DB1486="cit"),"loc",IF(OR($DB1486="eur",$DB1486="reg",$DB1486="coy"),"reg",$DB1486))</f>
        <v>reg</v>
      </c>
      <c r="DD1486" t="s">
        <v>235</v>
      </c>
      <c r="DE1486">
        <v>2015</v>
      </c>
      <c r="DF1486">
        <v>2044</v>
      </c>
      <c r="DG1486">
        <f>DF1486-DE1486</f>
        <v>29</v>
      </c>
      <c r="DH1486" t="str">
        <f>IF(DG1486=0,"0",IF(AND(DG1486&gt;=1,DG1486&lt;=30),"1-30",IF(AND(DG1486&gt;30,DG1486&lt;=70),"31-70",IF(AND(DG1486&gt;70,DG1486&lt;=100),"71-100",IF(DG1486&gt;100,"+100")))))</f>
        <v>1-30</v>
      </c>
      <c r="DI1486">
        <v>0</v>
      </c>
      <c r="DJ1486">
        <v>1</v>
      </c>
      <c r="DK1486">
        <v>1</v>
      </c>
      <c r="DL1486">
        <v>1</v>
      </c>
      <c r="DN1486">
        <f>SUM(DI1486:DL1486)</f>
        <v>3</v>
      </c>
      <c r="DO1486" t="str">
        <f>IF(DN1486=1,INDEX($DI$7:$DL$7,MATCH(1,$DI1486:$DL1486,0)),"mixedProduct")</f>
        <v>mixedProduct</v>
      </c>
      <c r="DP1486">
        <f>IF(DI1486=1,DP$7,0)</f>
        <v>0</v>
      </c>
      <c r="DQ1486" t="str">
        <f>IF(DJ1486=1,DQ$7,0)</f>
        <v>Energy</v>
      </c>
      <c r="DR1486" t="str">
        <f>IF(DK1486=1,DR$7,0)</f>
        <v>Pulp/Paper</v>
      </c>
      <c r="DS1486" t="str">
        <f>IF(DL1486=1,DS$7,0)</f>
        <v>Timber</v>
      </c>
      <c r="DT1486">
        <v>1</v>
      </c>
      <c r="DU1486">
        <v>1</v>
      </c>
      <c r="DV1486" t="s">
        <v>2101</v>
      </c>
      <c r="DW1486">
        <v>0</v>
      </c>
      <c r="DX1486" t="s">
        <v>2102</v>
      </c>
      <c r="DY1486">
        <f>SUM(DT1486:DU1486)</f>
        <v>2</v>
      </c>
      <c r="DZ1486" s="143" t="str">
        <f>IF(DT1486=1,"self-calculated DF",IF(DU1486=1,"external DF used","explicit C balance"))</f>
        <v>self-calculated DF</v>
      </c>
      <c r="EA1486">
        <v>1</v>
      </c>
      <c r="EB1486">
        <v>1</v>
      </c>
      <c r="EC1486">
        <v>1</v>
      </c>
      <c r="ED1486">
        <v>1</v>
      </c>
      <c r="EE1486" s="151">
        <v>1</v>
      </c>
      <c r="EF1486" s="285">
        <v>1</v>
      </c>
      <c r="EG1486">
        <v>0</v>
      </c>
      <c r="EH1486">
        <v>1</v>
      </c>
      <c r="EI1486">
        <v>0</v>
      </c>
      <c r="EJ1486">
        <v>0</v>
      </c>
      <c r="EK1486">
        <v>1</v>
      </c>
      <c r="EL1486">
        <v>0</v>
      </c>
      <c r="EM1486">
        <v>0</v>
      </c>
      <c r="EN1486" s="2">
        <v>0</v>
      </c>
      <c r="EP1486" t="str">
        <f>IF(AND(AND(AND(OR($EC1486=1,$EB1486=1),OR($EH1486=1,$EF1486=1)),SUM($EA1486:$EE1486,$EK1486)&gt;=3),SUM($EF1486:$EJ1486)&gt;=2),"Whole sector approach","")</f>
        <v>Whole sector approach</v>
      </c>
      <c r="EQ1486" t="str">
        <f>IF(AND(AND(OR($EC1486=1,$EB1486=1),AND($EH1486=0,$EF1486=0)),SUM($EA1486:$EE1486,$EK1486)&gt;=4),"Ecosystem approach","")</f>
        <v/>
      </c>
      <c r="ER1486" s="2" t="str">
        <f>IF(AND(AND(AND($EC1486=0,$EB1486=0),OR($EH1486=1,$EF1486=1)),SUM($EG1486:$EJ1486)&gt;=2),"Technology approach","")</f>
        <v/>
      </c>
      <c r="ES1486" t="str">
        <f>IF(AND($EC1486+$EB1486+$EE1486+$EA1486+$ED1486+$EG1486=0,$N1486="included"),"C neutral forest and HWP assumption","")</f>
        <v/>
      </c>
      <c r="ET1486" t="str">
        <f>IF(AND(AND(AND(AND($EC1486=1,$EB1486+$EA1486+$EG1486&gt;=1),$EF1486=1),$EH1486+$EI1486+$ED1486+$EE1486&gt;=2),$N1486="included"),"All C pools assumption","")</f>
        <v>All C pools assumption</v>
      </c>
      <c r="EU1486" t="str">
        <f>IF(AND($ED1486+$EE1486+$EI1486+$EH1486+$EF1486=0,$N1486="included"),"In-situ only assumption","")</f>
        <v/>
      </c>
      <c r="EY1486" t="str">
        <f>IF(ISNUMBER(BW1486),IF(ABS(BW1486-[6]QC_indicators!$B$2)&gt;3*[6]QC_indicators!$C$2,"C ratio",IF(ISNUMBER(CA1486),IF(ABS(CA1486-[6]QC_indicators!$B$1)&gt;3*[6]QC_indicators!$C$1,"DF","no"))),IF(ISNUMBER(CA1486),IF(ABS(CA1486-[6]QC_indicators!$B$1)&gt;3*[6]QC_indicators!$C$1,"DF","no")))</f>
        <v>no</v>
      </c>
      <c r="FA1486" t="str">
        <f>IF(LEN($CY1486)=0,"",IF(AND($CY1486&lt;(-0.05),$ES1486="C neutral forest and HWP assumption"),"Cneutral paradox",IF(AND($CY1486&gt;0.05,$EU1486="In-situ only assumption"),"In-situ only paradox","")))</f>
        <v/>
      </c>
      <c r="FB1486" s="149" t="s">
        <v>349</v>
      </c>
      <c r="FD1486" t="s">
        <v>2764</v>
      </c>
    </row>
    <row r="1487" spans="1:160" ht="187" hidden="1">
      <c r="A1487" s="1" t="s">
        <v>2092</v>
      </c>
      <c r="B1487" t="s">
        <v>2093</v>
      </c>
      <c r="C1487" t="s">
        <v>531</v>
      </c>
      <c r="D1487" t="s">
        <v>2094</v>
      </c>
      <c r="E1487" t="s">
        <v>2095</v>
      </c>
      <c r="F1487" t="s">
        <v>2096</v>
      </c>
      <c r="G1487" t="s">
        <v>2097</v>
      </c>
      <c r="H1487" t="s">
        <v>254</v>
      </c>
      <c r="I1487">
        <v>2021</v>
      </c>
      <c r="J1487">
        <v>1</v>
      </c>
      <c r="K1487" t="s">
        <v>2098</v>
      </c>
      <c r="M1487" t="str">
        <f>LEFT($D1487,FIND(",",$D1487)-1)&amp;"_"&amp;I1487&amp;L1487</f>
        <v>Soimakallio_2021</v>
      </c>
      <c r="N1487" t="s">
        <v>222</v>
      </c>
      <c r="O1487" s="145" t="s">
        <v>341</v>
      </c>
      <c r="Q1487" t="s">
        <v>256</v>
      </c>
      <c r="R1487" s="276" t="s">
        <v>225</v>
      </c>
      <c r="S1487" s="1" t="s">
        <v>2103</v>
      </c>
      <c r="T1487" t="s">
        <v>1003</v>
      </c>
      <c r="U1487" s="151" t="s">
        <v>2766</v>
      </c>
      <c r="V1487" s="253">
        <v>0</v>
      </c>
      <c r="W1487" s="253">
        <v>0</v>
      </c>
      <c r="X1487" s="151">
        <v>0</v>
      </c>
      <c r="Y1487">
        <v>0</v>
      </c>
      <c r="Z1487">
        <v>0</v>
      </c>
      <c r="AA1487" s="151">
        <v>2</v>
      </c>
      <c r="AB1487">
        <v>0</v>
      </c>
      <c r="AC1487">
        <v>0</v>
      </c>
      <c r="AD1487">
        <v>0</v>
      </c>
      <c r="AE1487">
        <v>0</v>
      </c>
      <c r="AF1487">
        <v>0</v>
      </c>
      <c r="AG1487">
        <v>0</v>
      </c>
      <c r="AH1487" s="151">
        <v>1</v>
      </c>
      <c r="AI1487">
        <v>0</v>
      </c>
      <c r="AJ1487">
        <v>0</v>
      </c>
      <c r="AK1487">
        <v>0</v>
      </c>
      <c r="AL1487">
        <v>0</v>
      </c>
      <c r="AM1487">
        <v>0</v>
      </c>
      <c r="AN1487">
        <v>0</v>
      </c>
      <c r="AO1487">
        <v>0</v>
      </c>
      <c r="AP1487">
        <v>0</v>
      </c>
      <c r="AQ1487">
        <v>0</v>
      </c>
      <c r="AR1487">
        <v>0</v>
      </c>
      <c r="AS1487">
        <v>0</v>
      </c>
      <c r="AT1487">
        <v>0</v>
      </c>
      <c r="AU1487">
        <v>2</v>
      </c>
      <c r="AV1487">
        <v>0</v>
      </c>
      <c r="AW1487">
        <v>0</v>
      </c>
      <c r="AX1487">
        <v>0</v>
      </c>
      <c r="AY1487">
        <v>0</v>
      </c>
      <c r="AZ1487" s="141">
        <f>COUNTIF(X1487:AY1487,"&lt;&gt;0")</f>
        <v>3</v>
      </c>
      <c r="BA1487" s="141">
        <f>COUNTIF(X1487:AN1487,"&lt;&gt;0")</f>
        <v>2</v>
      </c>
      <c r="BB1487">
        <f>COUNTIF(X1487:AE1487,"&lt;&gt;0")</f>
        <v>1</v>
      </c>
      <c r="BC1487">
        <f>COUNTIF(AF1487:AK1487,"&lt;&gt;0")</f>
        <v>1</v>
      </c>
      <c r="BD1487">
        <f>COUNTIF(AL1487:AN1487,"&lt;&gt;0")</f>
        <v>0</v>
      </c>
      <c r="BE1487">
        <f>COUNTIF(AU1487:AY1487,"&lt;&gt;0")</f>
        <v>1</v>
      </c>
      <c r="BF1487">
        <f>COUNTIF(AO1487:AT1487,"&lt;&gt;0")</f>
        <v>0</v>
      </c>
      <c r="BG1487" t="str">
        <f t="array" ref="BG1487">IF(BA1487=1,INDEX($X$7:$AN$7,MATCH(TRUE,INDEX($X1487:$AY1487&lt;&gt;0,),0)),IF(BA1487=0,INDEX($AO$7:$AY$7,MATCH(1,$AO1487:$AY1487,0)),IF(BH1487="Multiple strategies","mixed drivers",IF(BH1487="Supply chain","multiple supply","multiple silviculture"))))</f>
        <v>mixed drivers</v>
      </c>
      <c r="BH1487" s="2" t="str" cm="1">
        <f t="array" ref="BH1487">IF(COUNTIF(BB1487:BD1487,"&lt;&gt;0")=1,INDEX($X$4:$AY$4,MATCH(TRUE,INDEX($X1487:$AY1487&lt;&gt;0,),0)),IF(COUNTIF(BB1487:BD1487,"&lt;&gt;0")=0,INDEX($AO$4:$AY$4,MATCH(1,$AO1487:$AY1487,0)),"Multiple strategies"))</f>
        <v>Multiple strategies</v>
      </c>
      <c r="BI1487" s="1" t="s">
        <v>229</v>
      </c>
      <c r="BJ1487" t="s">
        <v>2100</v>
      </c>
      <c r="BK1487" s="151" t="s">
        <v>791</v>
      </c>
      <c r="BL1487" s="151" t="s">
        <v>1232</v>
      </c>
      <c r="BP1487">
        <v>0.3</v>
      </c>
      <c r="BQ1487">
        <f>BP1487*10^6*tC_to_m3</f>
        <v>1302648.7190620929</v>
      </c>
      <c r="BR1487" t="s">
        <v>232</v>
      </c>
      <c r="BS1487" s="151" t="s">
        <v>791</v>
      </c>
      <c r="BT1487" s="151" t="s">
        <v>1175</v>
      </c>
      <c r="BW1487" s="144"/>
      <c r="BX1487">
        <v>-0.9</v>
      </c>
      <c r="BZ1487">
        <f>BX1487*10^6*C_to_CO2</f>
        <v>-3303000</v>
      </c>
      <c r="CA1487">
        <f>IFERROR(BZ1487/BQ1487,"")</f>
        <v>-2.5356030000000001</v>
      </c>
      <c r="CB1487">
        <v>0</v>
      </c>
      <c r="CC1487">
        <v>1</v>
      </c>
      <c r="CD1487" s="151">
        <v>0</v>
      </c>
      <c r="CE1487" s="151">
        <v>1</v>
      </c>
      <c r="CF1487">
        <v>0</v>
      </c>
      <c r="CG1487">
        <v>0</v>
      </c>
      <c r="CH1487">
        <v>0</v>
      </c>
      <c r="CI1487">
        <v>0</v>
      </c>
      <c r="CJ1487">
        <v>0</v>
      </c>
      <c r="CK1487">
        <v>0</v>
      </c>
      <c r="CL1487">
        <v>0</v>
      </c>
      <c r="CM1487">
        <v>0</v>
      </c>
      <c r="CN1487">
        <v>0</v>
      </c>
      <c r="CO1487">
        <v>0</v>
      </c>
      <c r="CP1487" t="str">
        <f>IF(BN1487&lt;BM1487,"refNeedCorrection","refOK")</f>
        <v>refOK</v>
      </c>
      <c r="CQ1487"/>
      <c r="CR1487"/>
      <c r="CS1487">
        <f>IF($CP1487="refNeedCorrection",-BQ1487,BQ1487)</f>
        <v>1302648.7190620929</v>
      </c>
      <c r="CT1487">
        <f>IF(BI1487="Roundwood",$CS1487/2,$CS1487)</f>
        <v>1302648.7190620929</v>
      </c>
      <c r="CU1487">
        <f>IF($CP1487="refOK",$BU1487,$BV1487)*IF($BR1487="Emissions positive",-1,1)</f>
        <v>0</v>
      </c>
      <c r="CV1487">
        <f>IF($CP1487="refOK",$BV1487,$BU1487)*IF($BR1487="Emissions positive",-1,1)</f>
        <v>0</v>
      </c>
      <c r="CW1487">
        <f>IF($CP1487="refNeedCorrection",-BZ1487,BZ1487)*IF($BR1487="Emissions positive",-1,1)</f>
        <v>-3303000</v>
      </c>
      <c r="CX1487">
        <f>IFERROR($CW1487/$CS1487,"")</f>
        <v>-2.5356030000000001</v>
      </c>
      <c r="CY1487">
        <f>IFERROR($CW1487/$CS1487,"")</f>
        <v>-2.5356030000000001</v>
      </c>
      <c r="CZ1487">
        <f>IFERROR($CW1487/$CT1487,"")</f>
        <v>-2.5356030000000001</v>
      </c>
      <c r="DA1487" s="2" t="str">
        <f>IFERROR((CV1487-CU1487)/ABS(CU1487),"")</f>
        <v/>
      </c>
      <c r="DB1487" s="1" t="s">
        <v>1078</v>
      </c>
      <c r="DC1487" t="str">
        <f>IF(OR($DB1487="prd",$DB1487="std",$DB1487="cit"),"loc",IF(OR($DB1487="eur",$DB1487="reg",$DB1487="coy"),"reg",$DB1487))</f>
        <v>reg</v>
      </c>
      <c r="DD1487" t="s">
        <v>235</v>
      </c>
      <c r="DE1487">
        <v>2015</v>
      </c>
      <c r="DF1487">
        <v>2044</v>
      </c>
      <c r="DG1487">
        <f>DF1487-DE1487</f>
        <v>29</v>
      </c>
      <c r="DH1487" t="str">
        <f>IF(DG1487=0,"0",IF(AND(DG1487&gt;=1,DG1487&lt;=30),"1-30",IF(AND(DG1487&gt;30,DG1487&lt;=70),"31-70",IF(AND(DG1487&gt;70,DG1487&lt;=100),"71-100",IF(DG1487&gt;100,"+100")))))</f>
        <v>1-30</v>
      </c>
      <c r="DI1487">
        <v>0</v>
      </c>
      <c r="DJ1487">
        <v>1</v>
      </c>
      <c r="DK1487">
        <v>1</v>
      </c>
      <c r="DL1487">
        <v>1</v>
      </c>
      <c r="DN1487">
        <f>SUM(DI1487:DL1487)</f>
        <v>3</v>
      </c>
      <c r="DO1487" t="str">
        <f>IF(DN1487=1,INDEX($DI$7:$DL$7,MATCH(1,$DI1487:$DL1487,0)),"mixedProduct")</f>
        <v>mixedProduct</v>
      </c>
      <c r="DP1487">
        <f>IF(DI1487=1,DP$7,0)</f>
        <v>0</v>
      </c>
      <c r="DQ1487" t="str">
        <f>IF(DJ1487=1,DQ$7,0)</f>
        <v>Energy</v>
      </c>
      <c r="DR1487" t="str">
        <f>IF(DK1487=1,DR$7,0)</f>
        <v>Pulp/Paper</v>
      </c>
      <c r="DS1487" t="str">
        <f>IF(DL1487=1,DS$7,0)</f>
        <v>Timber</v>
      </c>
      <c r="DT1487">
        <v>1</v>
      </c>
      <c r="DU1487">
        <v>1</v>
      </c>
      <c r="DV1487" t="s">
        <v>2101</v>
      </c>
      <c r="DW1487">
        <v>0</v>
      </c>
      <c r="DX1487" t="s">
        <v>2102</v>
      </c>
      <c r="DY1487">
        <f>SUM(DT1487:DU1487)</f>
        <v>2</v>
      </c>
      <c r="DZ1487" s="143" t="str">
        <f>IF(DT1487=1,"self-calculated DF",IF(DU1487=1,"external DF used","explicit C balance"))</f>
        <v>self-calculated DF</v>
      </c>
      <c r="EA1487">
        <v>1</v>
      </c>
      <c r="EB1487">
        <v>1</v>
      </c>
      <c r="EC1487">
        <v>1</v>
      </c>
      <c r="ED1487">
        <v>1</v>
      </c>
      <c r="EE1487" s="151">
        <v>1</v>
      </c>
      <c r="EF1487" s="285">
        <v>1</v>
      </c>
      <c r="EG1487">
        <v>0</v>
      </c>
      <c r="EH1487">
        <v>1</v>
      </c>
      <c r="EI1487">
        <v>0</v>
      </c>
      <c r="EJ1487">
        <v>0</v>
      </c>
      <c r="EK1487">
        <v>1</v>
      </c>
      <c r="EL1487">
        <v>0</v>
      </c>
      <c r="EM1487">
        <v>0</v>
      </c>
      <c r="EN1487" s="2">
        <v>0</v>
      </c>
      <c r="EP1487" t="str">
        <f>IF(AND(AND(AND(OR($EC1487=1,$EB1487=1),OR($EH1487=1,$EF1487=1)),SUM($EA1487:$EE1487,$EK1487)&gt;=3),SUM($EF1487:$EJ1487)&gt;=2),"Whole sector approach","")</f>
        <v>Whole sector approach</v>
      </c>
      <c r="EQ1487" t="str">
        <f>IF(AND(AND(OR($EC1487=1,$EB1487=1),AND($EH1487=0,$EF1487=0)),SUM($EA1487:$EE1487,$EK1487)&gt;=4),"Ecosystem approach","")</f>
        <v/>
      </c>
      <c r="ER1487" s="2" t="str">
        <f>IF(AND(AND(AND($EC1487=0,$EB1487=0),OR($EH1487=1,$EF1487=1)),SUM($EG1487:$EJ1487)&gt;=2),"Technology approach","")</f>
        <v/>
      </c>
      <c r="ES1487" t="str">
        <f>IF(AND($EC1487+$EB1487+$EE1487+$EA1487+$ED1487+$EG1487=0,$N1487="included"),"C neutral forest and HWP assumption","")</f>
        <v/>
      </c>
      <c r="ET1487" t="str">
        <f>IF(AND(AND(AND(AND($EC1487=1,$EB1487+$EA1487+$EG1487&gt;=1),$EF1487=1),$EH1487+$EI1487+$ED1487+$EE1487&gt;=2),$N1487="included"),"All C pools assumption","")</f>
        <v>All C pools assumption</v>
      </c>
      <c r="EU1487" t="str">
        <f>IF(AND($ED1487+$EE1487+$EI1487+$EH1487+$EF1487=0,$N1487="included"),"In-situ only assumption","")</f>
        <v/>
      </c>
      <c r="EY1487" t="str">
        <f>IF(ISNUMBER(BW1487),IF(ABS(BW1487-[6]QC_indicators!$B$2)&gt;3*[6]QC_indicators!$C$2,"C ratio",IF(ISNUMBER(CA1487),IF(ABS(CA1487-[6]QC_indicators!$B$1)&gt;3*[6]QC_indicators!$C$1,"DF","no"))),IF(ISNUMBER(CA1487),IF(ABS(CA1487-[6]QC_indicators!$B$1)&gt;3*[6]QC_indicators!$C$1,"DF","no")))</f>
        <v>no</v>
      </c>
      <c r="FA1487" t="str">
        <f>IF(LEN($CY1487)=0,"",IF(AND($CY1487&lt;(-0.05),$ES1487="C neutral forest and HWP assumption"),"Cneutral paradox",IF(AND($CY1487&gt;0.05,$EU1487="In-situ only assumption"),"In-situ only paradox","")))</f>
        <v/>
      </c>
      <c r="FB1487" s="149" t="s">
        <v>349</v>
      </c>
      <c r="FD1487" t="s">
        <v>2764</v>
      </c>
    </row>
    <row r="1488" spans="1:160" ht="15" customHeight="1">
      <c r="A1488" s="1" t="s">
        <v>1230</v>
      </c>
      <c r="B1488" t="s">
        <v>2112</v>
      </c>
      <c r="C1488" t="s">
        <v>2113</v>
      </c>
      <c r="D1488" t="s">
        <v>2114</v>
      </c>
      <c r="E1488" t="s">
        <v>2115</v>
      </c>
      <c r="F1488" t="s">
        <v>2116</v>
      </c>
      <c r="G1488" t="s">
        <v>1231</v>
      </c>
      <c r="H1488" t="s">
        <v>254</v>
      </c>
      <c r="I1488">
        <v>2021</v>
      </c>
      <c r="J1488">
        <v>0</v>
      </c>
      <c r="K1488" t="s">
        <v>2117</v>
      </c>
      <c r="M1488" t="str">
        <f>LEFT($D1488,FIND(",",$D1488)-1)&amp;"_"&amp;I1488&amp;L1488</f>
        <v>Ter-Mikaelian_2021</v>
      </c>
      <c r="N1488" t="s">
        <v>222</v>
      </c>
      <c r="O1488" s="145" t="s">
        <v>1029</v>
      </c>
      <c r="Q1488" t="s">
        <v>256</v>
      </c>
      <c r="R1488" s="286" t="s">
        <v>225</v>
      </c>
      <c r="S1488" s="1" t="s">
        <v>1205</v>
      </c>
      <c r="T1488" t="s">
        <v>2118</v>
      </c>
      <c r="U1488" t="s">
        <v>2119</v>
      </c>
      <c r="V1488">
        <v>1</v>
      </c>
      <c r="W1488">
        <v>0</v>
      </c>
      <c r="X1488">
        <v>1</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s="141">
        <f>COUNTIF(X1488:AY1488,"&lt;&gt;0")</f>
        <v>1</v>
      </c>
      <c r="BA1488" s="141">
        <f>COUNTIF(X1488:AN1488,"&lt;&gt;0")</f>
        <v>1</v>
      </c>
      <c r="BB1488">
        <f>COUNTIF(X1488:AE1488,"&lt;&gt;0")</f>
        <v>1</v>
      </c>
      <c r="BC1488">
        <f>COUNTIF(AF1488:AK1488,"&lt;&gt;0")</f>
        <v>0</v>
      </c>
      <c r="BD1488">
        <f>COUNTIF(AL1488:AN1488,"&lt;&gt;0")</f>
        <v>0</v>
      </c>
      <c r="BE1488">
        <f>COUNTIF(AU1488:AY1488,"&lt;&gt;0")</f>
        <v>0</v>
      </c>
      <c r="BF1488">
        <f>COUNTIF(AO1488:AT1488,"&lt;&gt;0")</f>
        <v>0</v>
      </c>
      <c r="BG1488" t="str">
        <f t="array" ref="BG1488">IF(BA1488=1,INDEX($X$7:$AN$7,MATCH(TRUE,INDEX($X1488:$AY1488&lt;&gt;0,),0)),IF(BA1488=0,INDEX($AO$7:$AY$7,MATCH(1,$AO1488:$AY1488,0)),IF(BH1488="Multiple strategies","mixed drivers",IF(BH1488="Supply chain","multiple supply","multiple silviculture"))))</f>
        <v>area subject to harvest</v>
      </c>
      <c r="BH1488" s="2" t="str" cm="1">
        <f t="array" ref="BH1488">IF(COUNTIF(BB1488:BD1488,"&lt;&gt;0")=1,INDEX($X$4:$AY$4,MATCH(TRUE,INDEX($X1488:$AY1488&lt;&gt;0,),0)),IF(COUNTIF(BB1488:BD1488,"&lt;&gt;0")=0,INDEX($AO$4:$AY$4,MATCH(1,$AO1488:$AY1488,0)),"Multiple strategies"))</f>
        <v>Silviculture for removals</v>
      </c>
      <c r="BI1488" s="1" t="s">
        <v>321</v>
      </c>
      <c r="BJ1488" t="s">
        <v>2120</v>
      </c>
      <c r="BL1488" t="s">
        <v>1197</v>
      </c>
      <c r="BM1488">
        <v>0</v>
      </c>
      <c r="BN1488">
        <v>433.26389999999998</v>
      </c>
      <c r="BO1488" s="143" t="e">
        <f>BN1488/BM1488</f>
        <v>#DIV/0!</v>
      </c>
      <c r="BP1488">
        <f>BN1488-BM1488</f>
        <v>433.26389999999998</v>
      </c>
      <c r="BQ1488">
        <f>BP1488*10^6</f>
        <v>433263900</v>
      </c>
      <c r="BR1488" t="s">
        <v>232</v>
      </c>
      <c r="BS1488" s="256" t="s">
        <v>3070</v>
      </c>
      <c r="BT1488" t="s">
        <v>1232</v>
      </c>
      <c r="BU1488">
        <v>3757</v>
      </c>
      <c r="BV1488">
        <v>3613.1563851999999</v>
      </c>
      <c r="BW1488" s="144">
        <f>IFERROR(BV1488/BU1488,"")</f>
        <v>0.96171317146659563</v>
      </c>
      <c r="BX1488" s="144">
        <f>BV1488-BU1488</f>
        <v>-143.84361480000007</v>
      </c>
      <c r="BY1488" s="144"/>
      <c r="BZ1488">
        <f>BX1488*10^6*C_to_CO2</f>
        <v>-527906066.31600022</v>
      </c>
      <c r="CA1488">
        <f>IFERROR(BZ1488/BQ1488,"")</f>
        <v>-1.2184400000000004</v>
      </c>
      <c r="CB1488">
        <v>0</v>
      </c>
      <c r="CC1488">
        <v>0</v>
      </c>
      <c r="CD1488">
        <v>0</v>
      </c>
      <c r="CE1488">
        <v>0</v>
      </c>
      <c r="CF1488">
        <v>0</v>
      </c>
      <c r="CG1488">
        <v>0</v>
      </c>
      <c r="CH1488">
        <v>0</v>
      </c>
      <c r="CI1488">
        <v>0</v>
      </c>
      <c r="CJ1488">
        <v>0</v>
      </c>
      <c r="CK1488">
        <v>0</v>
      </c>
      <c r="CL1488">
        <v>0</v>
      </c>
      <c r="CM1488">
        <v>0</v>
      </c>
      <c r="CN1488">
        <v>0</v>
      </c>
      <c r="CO1488">
        <v>0</v>
      </c>
      <c r="CP1488" t="str">
        <f>IF($BN1488&lt;$BM1488,"refNeedCorrection","refOK")</f>
        <v>refOK</v>
      </c>
      <c r="CQ1488">
        <f>IF($CP1488="refOK",$BM1488,$BN1488)</f>
        <v>0</v>
      </c>
      <c r="CR1488">
        <f>IF($CP1488="refOK",$BN1488,$BM1488)</f>
        <v>433.26389999999998</v>
      </c>
      <c r="CS1488">
        <f>IF($CP1488="refOK",$BQ1488,-$BQ1488)</f>
        <v>433263900</v>
      </c>
      <c r="CT1488">
        <f>IF(BI1488="Roundwood",$CS1488/2,$CS1488)</f>
        <v>216631950</v>
      </c>
      <c r="CU1488">
        <f>IF($CP1488="refOK",$BU1488,$BV1488)*IF($BR1488="Emissions positive",-1,1)</f>
        <v>3757</v>
      </c>
      <c r="CV1488">
        <f>IF($CP1488="refOK",$BV1488,$BU1488)*IF($BR1488="Emissions positive",-1,1)</f>
        <v>3613.1563851999999</v>
      </c>
      <c r="CW1488">
        <f>IF($CP1488="refNeedCorrection",-BZ1488,BZ1488)*IF($BR1488="Emissions positive",-1,1)</f>
        <v>-527906066.31600022</v>
      </c>
      <c r="CX1488">
        <f>IFERROR($CW1488/$CS1488,"")</f>
        <v>-1.2184400000000004</v>
      </c>
      <c r="CY1488">
        <f>IFERROR($CW1488/$CS1488,"")</f>
        <v>-1.2184400000000004</v>
      </c>
      <c r="CZ1488">
        <f>IFERROR($CW1488/$CT1488,"")</f>
        <v>-2.4368800000000008</v>
      </c>
      <c r="DA1488" s="2">
        <f>IFERROR((CV1488-CU1488)/ABS(CU1488),"")</f>
        <v>-3.828682853340433E-2</v>
      </c>
      <c r="DB1488" s="1" t="s">
        <v>1074</v>
      </c>
      <c r="DC1488" t="str">
        <f>IF(OR($DB1488="prd",$DB1488="std",$DB1488="cit"),"loc",IF(OR($DB1488="eur",$DB1488="reg",$DB1488="coy"),"reg",$DB1488))</f>
        <v>reg</v>
      </c>
      <c r="DD1488" t="s">
        <v>527</v>
      </c>
      <c r="DE1488">
        <v>2020</v>
      </c>
      <c r="DF1488">
        <v>2050</v>
      </c>
      <c r="DG1488">
        <f>DF1488-DE1488</f>
        <v>30</v>
      </c>
      <c r="DH1488" t="str">
        <f>IF(DG1488=0,"0",IF(AND(DG1488&gt;=1,DG1488&lt;=30),"1-30",IF(AND(DG1488&gt;30,DG1488&lt;=70),"31-70",IF(AND(DG1488&gt;70,DG1488&lt;=100),"71-100",IF(DG1488&gt;100,"+100")))))</f>
        <v>1-30</v>
      </c>
      <c r="DI1488">
        <v>1</v>
      </c>
      <c r="DJ1488">
        <v>0</v>
      </c>
      <c r="DK1488">
        <v>0</v>
      </c>
      <c r="DL1488">
        <v>0</v>
      </c>
      <c r="DN1488">
        <f>SUM(DI1488:DL1488)</f>
        <v>1</v>
      </c>
      <c r="DO1488" t="str">
        <f>IF(DN1488=1,INDEX($DI$7:$DL$7,MATCH(1,$DI1488:$DL1488,0)),"mixedProduct")</f>
        <v>UpstreamInput</v>
      </c>
      <c r="DP1488" t="str">
        <f>IF(DI1488=1,DP$7,0)</f>
        <v>Upstream</v>
      </c>
      <c r="DQ1488">
        <f>IF(DJ1488=1,DQ$7,0)</f>
        <v>0</v>
      </c>
      <c r="DR1488">
        <f>IF(DK1488=1,DR$7,0)</f>
        <v>0</v>
      </c>
      <c r="DS1488">
        <f>IF(DL1488=1,DS$7,0)</f>
        <v>0</v>
      </c>
      <c r="DT1488">
        <v>0</v>
      </c>
      <c r="DU1488">
        <v>0</v>
      </c>
      <c r="DV1488">
        <v>0</v>
      </c>
      <c r="DW1488">
        <v>0</v>
      </c>
      <c r="DX1488">
        <v>0</v>
      </c>
      <c r="DY1488">
        <f>SUM(DT1488:DU1488)</f>
        <v>0</v>
      </c>
      <c r="DZ1488" s="143" t="str">
        <f>IF(DT1488=1,"self-calculated DF",IF(DU1488=1,"external DF used","explicit C balance"))</f>
        <v>explicit C balance</v>
      </c>
      <c r="EA1488">
        <v>1</v>
      </c>
      <c r="EB1488">
        <v>1</v>
      </c>
      <c r="EC1488">
        <v>1</v>
      </c>
      <c r="ED1488">
        <v>0</v>
      </c>
      <c r="EE1488">
        <v>0</v>
      </c>
      <c r="EF1488" s="143">
        <v>0</v>
      </c>
      <c r="EG1488">
        <v>0</v>
      </c>
      <c r="EH1488">
        <v>0</v>
      </c>
      <c r="EI1488">
        <v>0</v>
      </c>
      <c r="EJ1488">
        <v>0</v>
      </c>
      <c r="EK1488">
        <v>1</v>
      </c>
      <c r="EL1488">
        <v>0</v>
      </c>
      <c r="EM1488">
        <v>0</v>
      </c>
      <c r="EN1488" s="2">
        <v>0</v>
      </c>
      <c r="EP1488" t="str">
        <f>IF(AND(AND(AND(OR($EC1488=1,$EB1488=1),OR($EH1488=1,$EF1488=1)),SUM($EA1488:$EE1488,$EK1488)&gt;=3),SUM($EF1488:$EJ1488)&gt;=2),"Whole sector approach","")</f>
        <v/>
      </c>
      <c r="EQ1488" t="str">
        <f>IF(AND(AND(OR($EC1488=1,$EB1488=1),AND($EH1488=0,$EF1488=0)),SUM($EA1488:$EE1488,$EK1488)&gt;=4),"Ecosystem approach","")</f>
        <v>Ecosystem approach</v>
      </c>
      <c r="ER1488" s="2" t="str">
        <f>IF(AND(AND(AND($EC1488=0,$EB1488=0),OR($EH1488=1,$EF1488=1)),SUM($EG1488:$EJ1488)&gt;=2),"Technology approach","")</f>
        <v/>
      </c>
      <c r="ES1488" t="str">
        <f>IF(AND($EC1488+$EB1488+$EE1488+$EA1488+$ED1488+$EG1488=0,$N1488="included"),"C neutral forest and HWP assumption","")</f>
        <v/>
      </c>
      <c r="ET1488" t="str">
        <f>IF(AND(AND(AND(AND($EC1488=1,$EB1488+$EA1488+$EG1488&gt;=1),$EF1488=1),$EH1488+$EI1488+$ED1488+$EE1488&gt;=2),$N1488="included"),"All C pools assumption","")</f>
        <v/>
      </c>
      <c r="EU1488" t="str">
        <f>IF(AND($ED1488+$EE1488+$EI1488+$EH1488+$EF1488=0,$N1488="included"),"In-situ only assumption","")</f>
        <v>In-situ only assumption</v>
      </c>
      <c r="EW1488" s="260" t="s">
        <v>2121</v>
      </c>
      <c r="EY1488" t="str">
        <f>IF(ISNUMBER(BW1488),IF(ABS(BW1488-[6]QC_indicators!$B$2)&gt;3*[6]QC_indicators!$C$2,"C ratio",IF(ISNUMBER(CA1488),IF(ABS(CA1488-[6]QC_indicators!$B$1)&gt;3*[6]QC_indicators!$C$1,"DF","no"))),IF(ISNUMBER(CA1488),IF(ABS(CA1488-[6]QC_indicators!$B$1)&gt;3*[6]QC_indicators!$C$1,"DF","no")))</f>
        <v>no</v>
      </c>
      <c r="EZ1488" t="s">
        <v>2122</v>
      </c>
      <c r="FA1488" t="str">
        <f>IF(LEN($CY1488)=0,"",IF(AND($CY1488&lt;(-0.05),$ES1488="C neutral forest and HWP assumption"),"Cneutral paradox",IF(AND($CY1488&gt;0.05,$EU1488="In-situ only assumption"),"In-situ only paradox","")))</f>
        <v/>
      </c>
      <c r="FD1488" s="293" t="s">
        <v>3083</v>
      </c>
    </row>
    <row r="1489" spans="1:160" ht="15" customHeight="1">
      <c r="A1489" s="1" t="s">
        <v>1230</v>
      </c>
      <c r="B1489" t="s">
        <v>2112</v>
      </c>
      <c r="C1489" t="s">
        <v>2113</v>
      </c>
      <c r="D1489" t="s">
        <v>2114</v>
      </c>
      <c r="E1489" t="s">
        <v>2115</v>
      </c>
      <c r="F1489" t="s">
        <v>2116</v>
      </c>
      <c r="G1489" t="s">
        <v>1231</v>
      </c>
      <c r="H1489" t="s">
        <v>254</v>
      </c>
      <c r="I1489">
        <v>2021</v>
      </c>
      <c r="J1489">
        <v>0</v>
      </c>
      <c r="K1489" t="s">
        <v>2117</v>
      </c>
      <c r="M1489" t="str">
        <f>LEFT($D1489,FIND(",",$D1489)-1)&amp;"_"&amp;I1489&amp;L1489</f>
        <v>Ter-Mikaelian_2021</v>
      </c>
      <c r="N1489" t="s">
        <v>222</v>
      </c>
      <c r="O1489" s="145" t="s">
        <v>1029</v>
      </c>
      <c r="Q1489" t="s">
        <v>256</v>
      </c>
      <c r="R1489" s="286" t="s">
        <v>225</v>
      </c>
      <c r="S1489" s="1" t="s">
        <v>1205</v>
      </c>
      <c r="T1489" t="s">
        <v>2119</v>
      </c>
      <c r="U1489" t="s">
        <v>2123</v>
      </c>
      <c r="V1489" s="253">
        <v>0</v>
      </c>
      <c r="W1489" s="253">
        <v>0</v>
      </c>
      <c r="X1489">
        <v>0</v>
      </c>
      <c r="Y1489">
        <v>0</v>
      </c>
      <c r="Z1489">
        <v>0</v>
      </c>
      <c r="AA1489">
        <v>1</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s="141">
        <f>COUNTIF(X1489:AY1489,"&lt;&gt;0")</f>
        <v>1</v>
      </c>
      <c r="BA1489" s="141">
        <f>COUNTIF(X1489:AN1489,"&lt;&gt;0")</f>
        <v>1</v>
      </c>
      <c r="BB1489">
        <f>COUNTIF(X1489:AE1489,"&lt;&gt;0")</f>
        <v>1</v>
      </c>
      <c r="BC1489">
        <f>COUNTIF(AF1489:AK1489,"&lt;&gt;0")</f>
        <v>0</v>
      </c>
      <c r="BD1489">
        <f>COUNTIF(AL1489:AN1489,"&lt;&gt;0")</f>
        <v>0</v>
      </c>
      <c r="BE1489">
        <f>COUNTIF(AU1489:AY1489,"&lt;&gt;0")</f>
        <v>0</v>
      </c>
      <c r="BF1489">
        <f>COUNTIF(AO1489:AT1489,"&lt;&gt;0")</f>
        <v>0</v>
      </c>
      <c r="BG1489" t="str">
        <f t="array" ref="BG1489">IF(BA1489=1,INDEX($X$7:$AN$7,MATCH(TRUE,INDEX($X1489:$AY1489&lt;&gt;0,),0)),IF(BA1489=0,INDEX($AO$7:$AY$7,MATCH(1,$AO1489:$AY1489,0)),IF(BH1489="Multiple strategies","mixed drivers",IF(BH1489="Supply chain","multiple supply","multiple silviculture"))))</f>
        <v xml:space="preserve">cutting intensity </v>
      </c>
      <c r="BH1489" s="2" t="str" cm="1">
        <f t="array" ref="BH1489">IF(COUNTIF(BB1489:BD1489,"&lt;&gt;0")=1,INDEX($X$4:$AY$4,MATCH(TRUE,INDEX($X1489:$AY1489&lt;&gt;0,),0)),IF(COUNTIF(BB1489:BD1489,"&lt;&gt;0")=0,INDEX($AO$4:$AY$4,MATCH(1,$AO1489:$AY1489,0)),"Multiple strategies"))</f>
        <v>Silviculture for removals</v>
      </c>
      <c r="BI1489" s="1" t="s">
        <v>321</v>
      </c>
      <c r="BJ1489" t="s">
        <v>2120</v>
      </c>
      <c r="BL1489" t="s">
        <v>1197</v>
      </c>
      <c r="BM1489">
        <v>433.26389999999998</v>
      </c>
      <c r="BN1489">
        <v>866.52779999999996</v>
      </c>
      <c r="BO1489" s="143">
        <f>BN1489/BM1489</f>
        <v>2</v>
      </c>
      <c r="BP1489">
        <f>BN1489-BM1489</f>
        <v>433.26389999999998</v>
      </c>
      <c r="BQ1489">
        <f>BP1489*10^6</f>
        <v>433263900</v>
      </c>
      <c r="BR1489" t="s">
        <v>232</v>
      </c>
      <c r="BS1489" s="256" t="s">
        <v>3070</v>
      </c>
      <c r="BT1489" t="s">
        <v>1232</v>
      </c>
      <c r="BU1489">
        <v>3613.1563851999999</v>
      </c>
      <c r="BV1489">
        <v>3469.3127703999999</v>
      </c>
      <c r="BW1489" s="144">
        <f>IFERROR(BV1489/BU1489,"")</f>
        <v>0.96018893192965471</v>
      </c>
      <c r="BX1489" s="144">
        <f>BV1489-BU1489</f>
        <v>-143.84361480000007</v>
      </c>
      <c r="BY1489" s="144"/>
      <c r="BZ1489">
        <f>BX1489*10^6*C_to_CO2</f>
        <v>-527906066.31600022</v>
      </c>
      <c r="CA1489">
        <f>IFERROR(BZ1489/BQ1489,"")</f>
        <v>-1.2184400000000004</v>
      </c>
      <c r="CB1489">
        <v>0</v>
      </c>
      <c r="CC1489">
        <v>0</v>
      </c>
      <c r="CD1489">
        <v>0</v>
      </c>
      <c r="CE1489">
        <v>0</v>
      </c>
      <c r="CF1489">
        <v>0</v>
      </c>
      <c r="CG1489">
        <v>0</v>
      </c>
      <c r="CH1489">
        <v>0</v>
      </c>
      <c r="CI1489">
        <v>0</v>
      </c>
      <c r="CJ1489">
        <v>0</v>
      </c>
      <c r="CK1489">
        <v>0</v>
      </c>
      <c r="CL1489">
        <v>0</v>
      </c>
      <c r="CM1489">
        <v>0</v>
      </c>
      <c r="CN1489">
        <v>0</v>
      </c>
      <c r="CO1489">
        <v>0</v>
      </c>
      <c r="CP1489" t="str">
        <f>IF($BN1489&lt;$BM1489,"refNeedCorrection","refOK")</f>
        <v>refOK</v>
      </c>
      <c r="CQ1489">
        <f>IF($CP1489="refNeedCorrection",BN1489,BM1489)</f>
        <v>433.26389999999998</v>
      </c>
      <c r="CR1489">
        <f>IF($CP1489="refNeedCorrection",BM1489,BN1489)</f>
        <v>866.52779999999996</v>
      </c>
      <c r="CS1489">
        <f>IF($CP1489="refOK",$BQ1489,-$BQ1489)</f>
        <v>433263900</v>
      </c>
      <c r="CT1489">
        <f>IF(BI1489="Roundwood",$CS1489/2,$CS1489)</f>
        <v>216631950</v>
      </c>
      <c r="CU1489">
        <f>IF($CP1489="refOK",$BU1489,$BV1489)*IF($BR1489="Emissions positive",-1,1)</f>
        <v>3613.1563851999999</v>
      </c>
      <c r="CV1489">
        <f>IF($CP1489="refOK",$BV1489,$BU1489)*IF($BR1489="Emissions positive",-1,1)</f>
        <v>3469.3127703999999</v>
      </c>
      <c r="CW1489">
        <f>IF($CP1489="refNeedCorrection",-BZ1489,BZ1489)*IF($BR1489="Emissions positive",-1,1)</f>
        <v>-527906066.31600022</v>
      </c>
      <c r="CX1489">
        <f>IFERROR($CW1489/$CS1489,"")</f>
        <v>-1.2184400000000004</v>
      </c>
      <c r="CY1489">
        <f>IFERROR($CW1489/$CS1489,"")</f>
        <v>-1.2184400000000004</v>
      </c>
      <c r="CZ1489">
        <f>IFERROR($CW1489/$CT1489,"")</f>
        <v>-2.4368800000000008</v>
      </c>
      <c r="DA1489" s="2">
        <f>IFERROR((CV1489-CU1489)/ABS(CU1489),"")</f>
        <v>-3.9811068070345332E-2</v>
      </c>
      <c r="DB1489" s="1" t="s">
        <v>1074</v>
      </c>
      <c r="DC1489" t="str">
        <f>IF(OR($DB1489="prd",$DB1489="std",$DB1489="cit"),"loc",IF(OR($DB1489="eur",$DB1489="reg",$DB1489="coy"),"reg",$DB1489))</f>
        <v>reg</v>
      </c>
      <c r="DD1489" t="s">
        <v>527</v>
      </c>
      <c r="DE1489">
        <v>2020</v>
      </c>
      <c r="DF1489">
        <v>2050</v>
      </c>
      <c r="DG1489">
        <f>DF1489-DE1489</f>
        <v>30</v>
      </c>
      <c r="DH1489" t="str">
        <f>IF(DG1489=0,"0",IF(AND(DG1489&gt;=1,DG1489&lt;=30),"1-30",IF(AND(DG1489&gt;30,DG1489&lt;=70),"31-70",IF(AND(DG1489&gt;70,DG1489&lt;=100),"71-100",IF(DG1489&gt;100,"+100")))))</f>
        <v>1-30</v>
      </c>
      <c r="DI1489">
        <v>1</v>
      </c>
      <c r="DJ1489">
        <v>0</v>
      </c>
      <c r="DK1489">
        <v>0</v>
      </c>
      <c r="DL1489">
        <v>0</v>
      </c>
      <c r="DN1489">
        <f>SUM(DI1489:DL1489)</f>
        <v>1</v>
      </c>
      <c r="DO1489" t="str">
        <f>IF(DN1489=1,INDEX($DI$7:$DL$7,MATCH(1,$DI1489:$DL1489,0)),"mixedProduct")</f>
        <v>UpstreamInput</v>
      </c>
      <c r="DP1489" t="str">
        <f>IF(DI1489=1,DP$7,0)</f>
        <v>Upstream</v>
      </c>
      <c r="DQ1489">
        <f>IF(DJ1489=1,DQ$7,0)</f>
        <v>0</v>
      </c>
      <c r="DR1489">
        <f>IF(DK1489=1,DR$7,0)</f>
        <v>0</v>
      </c>
      <c r="DS1489">
        <f>IF(DL1489=1,DS$7,0)</f>
        <v>0</v>
      </c>
      <c r="DT1489">
        <v>0</v>
      </c>
      <c r="DU1489">
        <v>0</v>
      </c>
      <c r="DV1489">
        <v>0</v>
      </c>
      <c r="DW1489">
        <v>0</v>
      </c>
      <c r="DX1489">
        <v>0</v>
      </c>
      <c r="DY1489">
        <f>SUM(DT1489:DU1489)</f>
        <v>0</v>
      </c>
      <c r="DZ1489" s="143" t="str">
        <f>IF(DT1489=1,"self-calculated DF",IF(DU1489=1,"external DF used","explicit C balance"))</f>
        <v>explicit C balance</v>
      </c>
      <c r="EA1489">
        <v>1</v>
      </c>
      <c r="EB1489">
        <v>1</v>
      </c>
      <c r="EC1489">
        <v>1</v>
      </c>
      <c r="ED1489">
        <v>0</v>
      </c>
      <c r="EE1489">
        <v>0</v>
      </c>
      <c r="EF1489" s="143">
        <v>0</v>
      </c>
      <c r="EG1489">
        <v>0</v>
      </c>
      <c r="EH1489">
        <v>0</v>
      </c>
      <c r="EI1489">
        <v>0</v>
      </c>
      <c r="EJ1489">
        <v>0</v>
      </c>
      <c r="EK1489">
        <v>1</v>
      </c>
      <c r="EL1489">
        <v>0</v>
      </c>
      <c r="EM1489">
        <v>0</v>
      </c>
      <c r="EN1489" s="2">
        <v>0</v>
      </c>
      <c r="EP1489" t="str">
        <f>IF(AND(AND(AND(OR($EC1489=1,$EB1489=1),OR($EH1489=1,$EF1489=1)),SUM($EA1489:$EE1489,$EK1489)&gt;=3),SUM($EF1489:$EJ1489)&gt;=2),"Whole sector approach","")</f>
        <v/>
      </c>
      <c r="EQ1489" t="str">
        <f>IF(AND(AND(OR($EC1489=1,$EB1489=1),AND($EH1489=0,$EF1489=0)),SUM($EA1489:$EE1489,$EK1489)&gt;=4),"Ecosystem approach","")</f>
        <v>Ecosystem approach</v>
      </c>
      <c r="ER1489" s="2" t="str">
        <f>IF(AND(AND(AND($EC1489=0,$EB1489=0),OR($EH1489=1,$EF1489=1)),SUM($EG1489:$EJ1489)&gt;=2),"Technology approach","")</f>
        <v/>
      </c>
      <c r="ES1489" t="str">
        <f>IF(AND($EC1489+$EB1489+$EE1489+$EA1489+$ED1489+$EG1489=0,$N1489="included"),"C neutral forest and HWP assumption","")</f>
        <v/>
      </c>
      <c r="ET1489" t="str">
        <f>IF(AND(AND(AND(AND($EC1489=1,$EB1489+$EA1489+$EG1489&gt;=1),$EF1489=1),$EH1489+$EI1489+$ED1489+$EE1489&gt;=2),$N1489="included"),"All C pools assumption","")</f>
        <v/>
      </c>
      <c r="EU1489" t="str">
        <f>IF(AND($ED1489+$EE1489+$EI1489+$EH1489+$EF1489=0,$N1489="included"),"In-situ only assumption","")</f>
        <v>In-situ only assumption</v>
      </c>
      <c r="EW1489" t="s">
        <v>2121</v>
      </c>
      <c r="EY1489" t="str">
        <f>IF(ISNUMBER(BW1489),IF(ABS(BW1489-[6]QC_indicators!$B$2)&gt;3*[6]QC_indicators!$C$2,"C ratio",IF(ISNUMBER(CA1489),IF(ABS(CA1489-[6]QC_indicators!$B$1)&gt;3*[6]QC_indicators!$C$1,"DF","no"))),IF(ISNUMBER(CA1489),IF(ABS(CA1489-[6]QC_indicators!$B$1)&gt;3*[6]QC_indicators!$C$1,"DF","no")))</f>
        <v>no</v>
      </c>
      <c r="EZ1489" t="s">
        <v>2122</v>
      </c>
      <c r="FA1489" t="str">
        <f>IF(LEN($CY1489)=0,"",IF(AND($CY1489&lt;(-0.05),$ES1489="C neutral forest and HWP assumption"),"Cneutral paradox",IF(AND($CY1489&gt;0.05,$EU1489="In-situ only assumption"),"In-situ only paradox","")))</f>
        <v/>
      </c>
      <c r="FD1489" s="293" t="s">
        <v>3083</v>
      </c>
    </row>
    <row r="1490" spans="1:160" hidden="1">
      <c r="A1490" s="1" t="s">
        <v>1230</v>
      </c>
      <c r="B1490" t="s">
        <v>2112</v>
      </c>
      <c r="C1490" t="s">
        <v>2113</v>
      </c>
      <c r="D1490" t="s">
        <v>2114</v>
      </c>
      <c r="E1490" t="s">
        <v>2115</v>
      </c>
      <c r="F1490" t="s">
        <v>2116</v>
      </c>
      <c r="G1490" t="s">
        <v>1231</v>
      </c>
      <c r="H1490" t="s">
        <v>254</v>
      </c>
      <c r="I1490">
        <v>2021</v>
      </c>
      <c r="J1490">
        <v>0</v>
      </c>
      <c r="K1490" t="s">
        <v>2117</v>
      </c>
      <c r="M1490" t="str">
        <f>LEFT($D1490,FIND(",",$D1490)-1)&amp;"_"&amp;I1490&amp;L1490</f>
        <v>Ter-Mikaelian_2021</v>
      </c>
      <c r="N1490" t="s">
        <v>222</v>
      </c>
      <c r="O1490" s="145" t="s">
        <v>1029</v>
      </c>
      <c r="Q1490" t="s">
        <v>256</v>
      </c>
      <c r="R1490" s="286" t="s">
        <v>225</v>
      </c>
      <c r="S1490" s="1" t="s">
        <v>1205</v>
      </c>
      <c r="T1490" t="s">
        <v>2119</v>
      </c>
      <c r="U1490" t="s">
        <v>2123</v>
      </c>
      <c r="V1490" s="253">
        <v>0</v>
      </c>
      <c r="W1490" s="253">
        <v>0</v>
      </c>
      <c r="X1490">
        <v>0</v>
      </c>
      <c r="Y1490">
        <v>0</v>
      </c>
      <c r="Z1490">
        <v>0</v>
      </c>
      <c r="AA1490">
        <v>1</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s="141">
        <f>COUNTIF(X1490:AY1490,"&lt;&gt;0")</f>
        <v>1</v>
      </c>
      <c r="BA1490" s="141">
        <f>COUNTIF(X1490:AN1490,"&lt;&gt;0")</f>
        <v>1</v>
      </c>
      <c r="BB1490">
        <f>COUNTIF(X1490:AE1490,"&lt;&gt;0")</f>
        <v>1</v>
      </c>
      <c r="BC1490">
        <f>COUNTIF(AF1490:AK1490,"&lt;&gt;0")</f>
        <v>0</v>
      </c>
      <c r="BD1490">
        <f>COUNTIF(AL1490:AN1490,"&lt;&gt;0")</f>
        <v>0</v>
      </c>
      <c r="BE1490">
        <f>COUNTIF(AU1490:AY1490,"&lt;&gt;0")</f>
        <v>0</v>
      </c>
      <c r="BF1490">
        <f>COUNTIF(AO1490:AT1490,"&lt;&gt;0")</f>
        <v>0</v>
      </c>
      <c r="BG1490" t="str">
        <f t="array" ref="BG1490">IF(BA1490=1,INDEX($X$7:$AN$7,MATCH(TRUE,INDEX($X1490:$AY1490&lt;&gt;0,),0)),IF(BA1490=0,INDEX($AO$7:$AY$7,MATCH(1,$AO1490:$AY1490,0)),IF(BH1490="Multiple strategies","mixed drivers",IF(BH1490="Supply chain","multiple supply","multiple silviculture"))))</f>
        <v xml:space="preserve">cutting intensity </v>
      </c>
      <c r="BH1490" s="2" t="str" cm="1">
        <f t="array" ref="BH1490">IF(COUNTIF(BB1490:BD1490,"&lt;&gt;0")=1,INDEX($X$4:$AY$4,MATCH(TRUE,INDEX($X1490:$AY1490&lt;&gt;0,),0)),IF(COUNTIF(BB1490:BD1490,"&lt;&gt;0")=0,INDEX($AO$4:$AY$4,MATCH(1,$AO1490:$AY1490,0)),"Multiple strategies"))</f>
        <v>Silviculture for removals</v>
      </c>
      <c r="BI1490" s="1" t="s">
        <v>321</v>
      </c>
      <c r="BJ1490" t="s">
        <v>2120</v>
      </c>
      <c r="BL1490" t="s">
        <v>1197</v>
      </c>
      <c r="BM1490">
        <v>433.26389999999998</v>
      </c>
      <c r="BN1490">
        <v>866.52779999999996</v>
      </c>
      <c r="BO1490" s="143">
        <f>BN1490/BM1490</f>
        <v>2</v>
      </c>
      <c r="BP1490">
        <f>BN1490-BM1490</f>
        <v>433.26389999999998</v>
      </c>
      <c r="BQ1490">
        <f>BP1490*10^6</f>
        <v>433263900</v>
      </c>
      <c r="BR1490" t="s">
        <v>232</v>
      </c>
      <c r="BS1490" s="256" t="s">
        <v>3071</v>
      </c>
      <c r="BT1490" t="s">
        <v>1232</v>
      </c>
      <c r="BU1490">
        <v>3644.6402286000002</v>
      </c>
      <c r="BV1490">
        <v>3532.2804572</v>
      </c>
      <c r="BW1490" s="144">
        <f>IFERROR(BV1490/BU1490,"")</f>
        <v>0.96917123108110992</v>
      </c>
      <c r="BX1490" s="144">
        <f>BV1490-BU1490</f>
        <v>-112.35977140000023</v>
      </c>
      <c r="BY1490" s="144"/>
      <c r="BZ1490">
        <f>BX1490*10^6*C_to_CO2</f>
        <v>-412360361.03800082</v>
      </c>
      <c r="CA1490">
        <f>IFERROR(BZ1490/BQ1490,"")</f>
        <v>-0.95175333333333523</v>
      </c>
      <c r="CB1490">
        <v>0</v>
      </c>
      <c r="CC1490">
        <v>0</v>
      </c>
      <c r="CD1490">
        <v>0</v>
      </c>
      <c r="CE1490">
        <v>0</v>
      </c>
      <c r="CF1490">
        <v>0</v>
      </c>
      <c r="CG1490">
        <v>0</v>
      </c>
      <c r="CH1490">
        <v>0</v>
      </c>
      <c r="CI1490">
        <v>0</v>
      </c>
      <c r="CJ1490">
        <v>0</v>
      </c>
      <c r="CK1490">
        <v>0</v>
      </c>
      <c r="CL1490">
        <v>0</v>
      </c>
      <c r="CM1490">
        <v>0</v>
      </c>
      <c r="CN1490">
        <v>0</v>
      </c>
      <c r="CO1490">
        <v>0</v>
      </c>
      <c r="CP1490" t="str">
        <f>IF($BN1490&lt;$BM1490,"refNeedCorrection","refOK")</f>
        <v>refOK</v>
      </c>
      <c r="CQ1490">
        <f>IF($CP1490="refNeedCorrection",BN1490,BM1490)</f>
        <v>433.26389999999998</v>
      </c>
      <c r="CR1490">
        <f>IF($CP1490="refNeedCorrection",BM1490,BN1490)</f>
        <v>866.52779999999996</v>
      </c>
      <c r="CS1490">
        <f>IF($CP1490="refOK",$BQ1490,-$BQ1490)</f>
        <v>433263900</v>
      </c>
      <c r="CT1490">
        <f>IF(BI1490="Roundwood",$CS1490/2,$CS1490)</f>
        <v>216631950</v>
      </c>
      <c r="CU1490">
        <f>IF($CP1490="refOK",$BU1490,$BV1490)*IF($BR1490="Emissions positive",-1,1)</f>
        <v>3644.6402286000002</v>
      </c>
      <c r="CV1490">
        <f>IF($CP1490="refOK",$BV1490,$BU1490)*IF($BR1490="Emissions positive",-1,1)</f>
        <v>3532.2804572</v>
      </c>
      <c r="CW1490">
        <f>IF($CP1490="refNeedCorrection",-BZ1490,BZ1490)*IF($BR1490="Emissions positive",-1,1)</f>
        <v>-412360361.03800082</v>
      </c>
      <c r="CX1490">
        <f>IFERROR($CW1490/$CS1490,"")</f>
        <v>-0.95175333333333523</v>
      </c>
      <c r="CY1490">
        <f>IFERROR($CW1490/$CS1490,"")</f>
        <v>-0.95175333333333523</v>
      </c>
      <c r="CZ1490">
        <f>IFERROR($CW1490/$CT1490,"")</f>
        <v>-1.9035066666666705</v>
      </c>
      <c r="DA1490" s="2">
        <f>IFERROR((CV1490-CU1490)/ABS(CU1490),"")</f>
        <v>-3.0828768918890109E-2</v>
      </c>
      <c r="DB1490" s="1" t="s">
        <v>1074</v>
      </c>
      <c r="DC1490" t="str">
        <f>IF(OR($DB1490="prd",$DB1490="std",$DB1490="cit"),"loc",IF(OR($DB1490="eur",$DB1490="reg",$DB1490="coy"),"reg",$DB1490))</f>
        <v>reg</v>
      </c>
      <c r="DD1490" t="s">
        <v>527</v>
      </c>
      <c r="DE1490">
        <v>2020</v>
      </c>
      <c r="DF1490">
        <v>2050</v>
      </c>
      <c r="DG1490">
        <f>DF1490-DE1490</f>
        <v>30</v>
      </c>
      <c r="DH1490" t="str">
        <f>IF(DG1490=0,"0",IF(AND(DG1490&gt;=1,DG1490&lt;=30),"1-30",IF(AND(DG1490&gt;30,DG1490&lt;=70),"31-70",IF(AND(DG1490&gt;70,DG1490&lt;=100),"71-100",IF(DG1490&gt;100,"+100")))))</f>
        <v>1-30</v>
      </c>
      <c r="DI1490">
        <v>1</v>
      </c>
      <c r="DJ1490">
        <v>1</v>
      </c>
      <c r="DK1490">
        <v>1</v>
      </c>
      <c r="DL1490">
        <v>1</v>
      </c>
      <c r="DN1490">
        <f>SUM(DI1490:DL1490)</f>
        <v>4</v>
      </c>
      <c r="DO1490" t="str">
        <f>IF(DN1490=1,INDEX($DI$7:$DL$7,MATCH(1,$DI1490:$DL1490,0)),"mixedProduct")</f>
        <v>mixedProduct</v>
      </c>
      <c r="DP1490" t="str">
        <f>IF(DI1490=1,DP$7,0)</f>
        <v>Upstream</v>
      </c>
      <c r="DQ1490" t="str">
        <f>IF(DJ1490=1,DQ$7,0)</f>
        <v>Energy</v>
      </c>
      <c r="DR1490" t="str">
        <f>IF(DK1490=1,DR$7,0)</f>
        <v>Pulp/Paper</v>
      </c>
      <c r="DS1490" t="str">
        <f>IF(DL1490=1,DS$7,0)</f>
        <v>Timber</v>
      </c>
      <c r="DT1490">
        <v>0</v>
      </c>
      <c r="DU1490">
        <v>0</v>
      </c>
      <c r="DV1490">
        <v>0</v>
      </c>
      <c r="DW1490">
        <v>0</v>
      </c>
      <c r="DX1490">
        <v>0</v>
      </c>
      <c r="DY1490">
        <f>SUM(DT1490:DU1490)</f>
        <v>0</v>
      </c>
      <c r="DZ1490" s="143" t="str">
        <f>IF(DT1490=1,"self-calculated DF",IF(DU1490=1,"external DF used","explicit C balance"))</f>
        <v>explicit C balance</v>
      </c>
      <c r="EA1490">
        <v>1</v>
      </c>
      <c r="EB1490">
        <v>1</v>
      </c>
      <c r="EC1490">
        <v>1</v>
      </c>
      <c r="ED1490">
        <v>1</v>
      </c>
      <c r="EE1490">
        <v>1</v>
      </c>
      <c r="EF1490" s="143">
        <v>1</v>
      </c>
      <c r="EG1490">
        <v>0</v>
      </c>
      <c r="EH1490">
        <v>0</v>
      </c>
      <c r="EI1490">
        <v>0</v>
      </c>
      <c r="EJ1490">
        <v>0</v>
      </c>
      <c r="EK1490">
        <v>1</v>
      </c>
      <c r="EL1490">
        <v>0</v>
      </c>
      <c r="EM1490">
        <v>0</v>
      </c>
      <c r="EN1490" s="2">
        <v>0</v>
      </c>
      <c r="EP1490" t="str">
        <f>IF(AND(AND(AND(OR($EC1490=1,$EB1490=1),OR($EH1490=1,$EF1490=1)),SUM($EA1490:$EE1490,$EK1490)&gt;=3),SUM($EF1490:$EJ1490)&gt;=2),"Whole sector approach","")</f>
        <v/>
      </c>
      <c r="EQ1490" t="str">
        <f>IF(AND(AND(OR($EC1490=1,$EB1490=1),AND($EH1490=0,$EF1490=0)),SUM($EA1490:$EE1490,$EK1490)&gt;=4),"Ecosystem approach","")</f>
        <v/>
      </c>
      <c r="ER1490" s="2" t="str">
        <f>IF(AND(AND(AND($EC1490=0,$EB1490=0),OR($EH1490=1,$EF1490=1)),SUM($EG1490:$EJ1490)&gt;=2),"Technology approach","")</f>
        <v/>
      </c>
      <c r="ES1490" t="str">
        <f>IF(AND($EC1490+$EB1490+$EE1490+$EA1490+$ED1490+$EG1490=0,$N1490="included"),"C neutral forest and HWP assumption","")</f>
        <v/>
      </c>
      <c r="ET1490" t="str">
        <f>IF(AND(AND(AND(AND($EC1490=1,$EB1490+$EA1490+$EG1490&gt;=1),$EF1490=1),$EH1490+$EI1490+$ED1490+$EE1490&gt;=2),$N1490="included"),"All C pools assumption","")</f>
        <v>All C pools assumption</v>
      </c>
      <c r="EU1490" t="str">
        <f>IF(AND($ED1490+$EE1490+$EI1490+$EH1490+$EF1490=0,$N1490="included"),"In-situ only assumption","")</f>
        <v/>
      </c>
      <c r="EW1490" t="s">
        <v>2121</v>
      </c>
      <c r="EY1490" t="str">
        <f>IF(ISNUMBER(BW1490),IF(ABS(BW1490-[6]QC_indicators!$B$2)&gt;3*[6]QC_indicators!$C$2,"C ratio",IF(ISNUMBER(CA1490),IF(ABS(CA1490-[6]QC_indicators!$B$1)&gt;3*[6]QC_indicators!$C$1,"DF","no"))),IF(ISNUMBER(CA1490),IF(ABS(CA1490-[6]QC_indicators!$B$1)&gt;3*[6]QC_indicators!$C$1,"DF","no")))</f>
        <v>no</v>
      </c>
      <c r="EZ1490" t="s">
        <v>2122</v>
      </c>
      <c r="FA1490" t="str">
        <f>IF(LEN($CY1490)=0,"",IF(AND($CY1490&lt;(-0.05),$ES1490="C neutral forest and HWP assumption"),"Cneutral paradox",IF(AND($CY1490&gt;0.05,$EU1490="In-situ only assumption"),"In-situ only paradox","")))</f>
        <v/>
      </c>
      <c r="FD1490" s="293" t="s">
        <v>3083</v>
      </c>
    </row>
    <row r="1491" spans="1:160" hidden="1">
      <c r="A1491" s="1" t="s">
        <v>1230</v>
      </c>
      <c r="B1491" t="s">
        <v>2112</v>
      </c>
      <c r="C1491" t="s">
        <v>2113</v>
      </c>
      <c r="D1491" t="s">
        <v>2114</v>
      </c>
      <c r="E1491" t="s">
        <v>2115</v>
      </c>
      <c r="F1491" t="s">
        <v>2116</v>
      </c>
      <c r="G1491" t="s">
        <v>1231</v>
      </c>
      <c r="H1491" t="s">
        <v>254</v>
      </c>
      <c r="I1491">
        <v>2021</v>
      </c>
      <c r="J1491">
        <v>0</v>
      </c>
      <c r="K1491" t="s">
        <v>2117</v>
      </c>
      <c r="M1491" t="str">
        <f>LEFT($D1491,FIND(",",$D1491)-1)&amp;"_"&amp;I1491&amp;L1491</f>
        <v>Ter-Mikaelian_2021</v>
      </c>
      <c r="N1491" t="s">
        <v>222</v>
      </c>
      <c r="O1491" s="145" t="s">
        <v>1029</v>
      </c>
      <c r="Q1491" t="s">
        <v>256</v>
      </c>
      <c r="R1491" s="286" t="s">
        <v>225</v>
      </c>
      <c r="S1491" s="1" t="s">
        <v>1205</v>
      </c>
      <c r="T1491" t="s">
        <v>2118</v>
      </c>
      <c r="U1491" t="s">
        <v>2119</v>
      </c>
      <c r="V1491">
        <v>1</v>
      </c>
      <c r="W1491">
        <v>0</v>
      </c>
      <c r="X1491">
        <v>1</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s="141">
        <f>COUNTIF(X1491:AY1491,"&lt;&gt;0")</f>
        <v>1</v>
      </c>
      <c r="BA1491" s="141">
        <f>COUNTIF(X1491:AN1491,"&lt;&gt;0")</f>
        <v>1</v>
      </c>
      <c r="BB1491">
        <f>COUNTIF(X1491:AE1491,"&lt;&gt;0")</f>
        <v>1</v>
      </c>
      <c r="BC1491">
        <f>COUNTIF(AF1491:AK1491,"&lt;&gt;0")</f>
        <v>0</v>
      </c>
      <c r="BD1491">
        <f>COUNTIF(AL1491:AN1491,"&lt;&gt;0")</f>
        <v>0</v>
      </c>
      <c r="BE1491">
        <f>COUNTIF(AU1491:AY1491,"&lt;&gt;0")</f>
        <v>0</v>
      </c>
      <c r="BF1491">
        <f>COUNTIF(AO1491:AT1491,"&lt;&gt;0")</f>
        <v>0</v>
      </c>
      <c r="BG1491" t="str">
        <f t="array" ref="BG1491">IF(BA1491=1,INDEX($X$7:$AN$7,MATCH(TRUE,INDEX($X1491:$AY1491&lt;&gt;0,),0)),IF(BA1491=0,INDEX($AO$7:$AY$7,MATCH(1,$AO1491:$AY1491,0)),IF(BH1491="Multiple strategies","mixed drivers",IF(BH1491="Supply chain","multiple supply","multiple silviculture"))))</f>
        <v>area subject to harvest</v>
      </c>
      <c r="BH1491" s="2" t="str" cm="1">
        <f t="array" ref="BH1491">IF(COUNTIF(BB1491:BD1491,"&lt;&gt;0")=1,INDEX($X$4:$AY$4,MATCH(TRUE,INDEX($X1491:$AY1491&lt;&gt;0,),0)),IF(COUNTIF(BB1491:BD1491,"&lt;&gt;0")=0,INDEX($AO$4:$AY$4,MATCH(1,$AO1491:$AY1491,0)),"Multiple strategies"))</f>
        <v>Silviculture for removals</v>
      </c>
      <c r="BI1491" s="1" t="s">
        <v>321</v>
      </c>
      <c r="BJ1491" t="s">
        <v>2120</v>
      </c>
      <c r="BL1491" t="s">
        <v>1197</v>
      </c>
      <c r="BM1491">
        <v>0</v>
      </c>
      <c r="BN1491">
        <v>433.26389999999998</v>
      </c>
      <c r="BO1491" s="143" t="e">
        <f>BN1491/BM1491</f>
        <v>#DIV/0!</v>
      </c>
      <c r="BP1491">
        <f>BN1491-BM1491</f>
        <v>433.26389999999998</v>
      </c>
      <c r="BQ1491">
        <f>BP1491*10^6</f>
        <v>433263900</v>
      </c>
      <c r="BR1491" t="s">
        <v>232</v>
      </c>
      <c r="BS1491" s="256" t="s">
        <v>3072</v>
      </c>
      <c r="BT1491" t="s">
        <v>1232</v>
      </c>
      <c r="BU1491">
        <v>3757</v>
      </c>
      <c r="BV1491">
        <v>3644.6402286000002</v>
      </c>
      <c r="BW1491" s="144">
        <f>IFERROR(BV1491/BU1491,"")</f>
        <v>0.97009322028214007</v>
      </c>
      <c r="BX1491" s="144">
        <f>BV1491-BU1491</f>
        <v>-112.35977139999977</v>
      </c>
      <c r="BY1491" s="144"/>
      <c r="BZ1491">
        <f>BX1491*10^6*C_to_CO2</f>
        <v>-412360361.03799915</v>
      </c>
      <c r="CA1491">
        <f>IFERROR(BZ1491/BQ1491,"")</f>
        <v>-0.95175333333333134</v>
      </c>
      <c r="CB1491">
        <v>0</v>
      </c>
      <c r="CC1491">
        <v>0</v>
      </c>
      <c r="CD1491">
        <v>0</v>
      </c>
      <c r="CE1491">
        <v>0</v>
      </c>
      <c r="CF1491">
        <v>0</v>
      </c>
      <c r="CG1491">
        <v>0</v>
      </c>
      <c r="CH1491">
        <v>0</v>
      </c>
      <c r="CI1491">
        <v>0</v>
      </c>
      <c r="CJ1491">
        <v>0</v>
      </c>
      <c r="CK1491">
        <v>0</v>
      </c>
      <c r="CL1491">
        <v>0</v>
      </c>
      <c r="CM1491">
        <v>0</v>
      </c>
      <c r="CN1491">
        <v>0</v>
      </c>
      <c r="CO1491">
        <v>0</v>
      </c>
      <c r="CP1491" t="str">
        <f>IF($BN1491&lt;$BM1491,"refNeedCorrection","refOK")</f>
        <v>refOK</v>
      </c>
      <c r="CQ1491">
        <f>IF($CP1491="refOK",$BM1491,$BN1491)</f>
        <v>0</v>
      </c>
      <c r="CR1491">
        <f>IF($CP1491="refOK",$BN1491,$BM1491)</f>
        <v>433.26389999999998</v>
      </c>
      <c r="CS1491">
        <f>IF($CP1491="refOK",$BQ1491,-$BQ1491)</f>
        <v>433263900</v>
      </c>
      <c r="CT1491">
        <f>IF(BI1491="Roundwood",$CS1491/2,$CS1491)</f>
        <v>216631950</v>
      </c>
      <c r="CU1491">
        <f>IF($CP1491="refOK",$BU1491,$BV1491)*IF($BR1491="Emissions positive",-1,1)</f>
        <v>3757</v>
      </c>
      <c r="CV1491">
        <f>IF($CP1491="refOK",$BV1491,$BU1491)*IF($BR1491="Emissions positive",-1,1)</f>
        <v>3644.6402286000002</v>
      </c>
      <c r="CW1491">
        <f>IF($CP1491="refNeedCorrection",-BZ1491,BZ1491)*IF($BR1491="Emissions positive",-1,1)</f>
        <v>-412360361.03799915</v>
      </c>
      <c r="CX1491">
        <f>IFERROR($CW1491/$CS1491,"")</f>
        <v>-0.95175333333333134</v>
      </c>
      <c r="CY1491">
        <f>IFERROR($CW1491/$CS1491,"")</f>
        <v>-0.95175333333333134</v>
      </c>
      <c r="CZ1491">
        <f>IFERROR($CW1491/$CT1491,"")</f>
        <v>-1.9035066666666627</v>
      </c>
      <c r="DA1491" s="2">
        <f>IFERROR((CV1491-CU1491)/ABS(CU1491),"")</f>
        <v>-2.9906779717859933E-2</v>
      </c>
      <c r="DB1491" s="1" t="s">
        <v>1074</v>
      </c>
      <c r="DC1491" t="str">
        <f>IF(OR($DB1491="prd",$DB1491="std",$DB1491="cit"),"loc",IF(OR($DB1491="eur",$DB1491="reg",$DB1491="coy"),"reg",$DB1491))</f>
        <v>reg</v>
      </c>
      <c r="DD1491" t="s">
        <v>527</v>
      </c>
      <c r="DE1491">
        <v>2020</v>
      </c>
      <c r="DF1491">
        <v>2050</v>
      </c>
      <c r="DG1491">
        <f>DF1491-DE1491</f>
        <v>30</v>
      </c>
      <c r="DH1491" t="str">
        <f>IF(DG1491=0,"0",IF(AND(DG1491&gt;=1,DG1491&lt;=30),"1-30",IF(AND(DG1491&gt;30,DG1491&lt;=70),"31-70",IF(AND(DG1491&gt;70,DG1491&lt;=100),"71-100",IF(DG1491&gt;100,"+100")))))</f>
        <v>1-30</v>
      </c>
      <c r="DI1491">
        <v>1</v>
      </c>
      <c r="DJ1491">
        <v>1</v>
      </c>
      <c r="DK1491">
        <v>1</v>
      </c>
      <c r="DL1491">
        <v>1</v>
      </c>
      <c r="DN1491">
        <f>SUM(DI1491:DL1491)</f>
        <v>4</v>
      </c>
      <c r="DO1491" t="str">
        <f>IF(DN1491=1,INDEX($DI$7:$DL$7,MATCH(1,$DI1491:$DL1491,0)),"mixedProduct")</f>
        <v>mixedProduct</v>
      </c>
      <c r="DP1491" t="str">
        <f>IF(DI1491=1,DP$7,0)</f>
        <v>Upstream</v>
      </c>
      <c r="DQ1491" t="str">
        <f>IF(DJ1491=1,DQ$7,0)</f>
        <v>Energy</v>
      </c>
      <c r="DR1491" t="str">
        <f>IF(DK1491=1,DR$7,0)</f>
        <v>Pulp/Paper</v>
      </c>
      <c r="DS1491" t="str">
        <f>IF(DL1491=1,DS$7,0)</f>
        <v>Timber</v>
      </c>
      <c r="DT1491">
        <v>0</v>
      </c>
      <c r="DU1491">
        <v>0</v>
      </c>
      <c r="DV1491">
        <v>0</v>
      </c>
      <c r="DW1491">
        <v>0</v>
      </c>
      <c r="DX1491">
        <v>0</v>
      </c>
      <c r="DY1491">
        <f>SUM(DT1491:DU1491)</f>
        <v>0</v>
      </c>
      <c r="DZ1491" s="143" t="str">
        <f>IF(DT1491=1,"self-calculated DF",IF(DU1491=1,"external DF used","explicit C balance"))</f>
        <v>explicit C balance</v>
      </c>
      <c r="EA1491">
        <v>1</v>
      </c>
      <c r="EB1491">
        <v>1</v>
      </c>
      <c r="EC1491">
        <v>1</v>
      </c>
      <c r="ED1491">
        <v>1</v>
      </c>
      <c r="EE1491">
        <v>1</v>
      </c>
      <c r="EF1491" s="143">
        <v>1</v>
      </c>
      <c r="EG1491">
        <v>0</v>
      </c>
      <c r="EH1491">
        <v>0</v>
      </c>
      <c r="EI1491">
        <v>0</v>
      </c>
      <c r="EJ1491">
        <v>0</v>
      </c>
      <c r="EK1491">
        <v>1</v>
      </c>
      <c r="EL1491">
        <v>0</v>
      </c>
      <c r="EM1491">
        <v>0</v>
      </c>
      <c r="EN1491" s="2">
        <v>0</v>
      </c>
      <c r="EP1491" t="str">
        <f>IF(AND(AND(AND(OR($EC1491=1,$EB1491=1),OR($EH1491=1,$EF1491=1)),SUM($EA1491:$EE1491,$EK1491)&gt;=3),SUM($EF1491:$EJ1491)&gt;=2),"Whole sector approach","")</f>
        <v/>
      </c>
      <c r="EQ1491" t="str">
        <f>IF(AND(AND(OR($EC1491=1,$EB1491=1),AND($EH1491=0,$EF1491=0)),SUM($EA1491:$EE1491,$EK1491)&gt;=4),"Ecosystem approach","")</f>
        <v/>
      </c>
      <c r="ER1491" s="2" t="str">
        <f>IF(AND(AND(AND($EC1491=0,$EB1491=0),OR($EH1491=1,$EF1491=1)),SUM($EG1491:$EJ1491)&gt;=2),"Technology approach","")</f>
        <v/>
      </c>
      <c r="ES1491" t="str">
        <f>IF(AND($EC1491+$EB1491+$EE1491+$EA1491+$ED1491+$EG1491=0,$N1491="included"),"C neutral forest and HWP assumption","")</f>
        <v/>
      </c>
      <c r="ET1491" t="str">
        <f>IF(AND(AND(AND(AND($EC1491=1,$EB1491+$EA1491+$EG1491&gt;=1),$EF1491=1),$EH1491+$EI1491+$ED1491+$EE1491&gt;=2),$N1491="included"),"All C pools assumption","")</f>
        <v>All C pools assumption</v>
      </c>
      <c r="EU1491" t="str">
        <f>IF(AND($ED1491+$EE1491+$EI1491+$EH1491+$EF1491=0,$N1491="included"),"In-situ only assumption","")</f>
        <v/>
      </c>
      <c r="EW1491" t="s">
        <v>2121</v>
      </c>
      <c r="EY1491" t="str">
        <f>IF(ISNUMBER(BW1491),IF(ABS(BW1491-[6]QC_indicators!$B$2)&gt;3*[6]QC_indicators!$C$2,"C ratio",IF(ISNUMBER(CA1491),IF(ABS(CA1491-[6]QC_indicators!$B$1)&gt;3*[6]QC_indicators!$C$1,"DF","no"))),IF(ISNUMBER(CA1491),IF(ABS(CA1491-[6]QC_indicators!$B$1)&gt;3*[6]QC_indicators!$C$1,"DF","no")))</f>
        <v>no</v>
      </c>
      <c r="EZ1491" t="s">
        <v>2122</v>
      </c>
      <c r="FA1491" t="str">
        <f>IF(LEN($CY1491)=0,"",IF(AND($CY1491&lt;(-0.05),$ES1491="C neutral forest and HWP assumption"),"Cneutral paradox",IF(AND($CY1491&gt;0.05,$EU1491="In-situ only assumption"),"In-situ only paradox","")))</f>
        <v/>
      </c>
      <c r="FD1491" s="293" t="s">
        <v>3083</v>
      </c>
    </row>
    <row r="1492" spans="1:160" ht="15" hidden="1" customHeight="1">
      <c r="A1492" s="1" t="s">
        <v>1230</v>
      </c>
      <c r="B1492" t="s">
        <v>2112</v>
      </c>
      <c r="C1492" t="s">
        <v>2113</v>
      </c>
      <c r="D1492" t="s">
        <v>2114</v>
      </c>
      <c r="E1492" t="s">
        <v>2115</v>
      </c>
      <c r="F1492" t="s">
        <v>2116</v>
      </c>
      <c r="G1492" t="s">
        <v>1231</v>
      </c>
      <c r="H1492" t="s">
        <v>254</v>
      </c>
      <c r="I1492">
        <v>2021</v>
      </c>
      <c r="J1492">
        <v>0</v>
      </c>
      <c r="K1492" t="s">
        <v>2117</v>
      </c>
      <c r="M1492" t="str">
        <f>LEFT($D1492,FIND(",",$D1492)-1)&amp;"_"&amp;I1492&amp;L1492</f>
        <v>Ter-Mikaelian_2021</v>
      </c>
      <c r="N1492" t="s">
        <v>222</v>
      </c>
      <c r="O1492" s="145" t="s">
        <v>1029</v>
      </c>
      <c r="Q1492" t="s">
        <v>256</v>
      </c>
      <c r="R1492" s="286" t="s">
        <v>225</v>
      </c>
      <c r="S1492" s="1" t="s">
        <v>1205</v>
      </c>
      <c r="T1492" t="s">
        <v>2118</v>
      </c>
      <c r="U1492" t="s">
        <v>2119</v>
      </c>
      <c r="V1492">
        <v>1</v>
      </c>
      <c r="W1492">
        <v>0</v>
      </c>
      <c r="X1492">
        <v>1</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0</v>
      </c>
      <c r="AX1492">
        <v>0</v>
      </c>
      <c r="AY1492">
        <v>0</v>
      </c>
      <c r="AZ1492" s="141">
        <f>COUNTIF(X1492:AY1492,"&lt;&gt;0")</f>
        <v>1</v>
      </c>
      <c r="BA1492" s="141">
        <f>COUNTIF(X1492:AN1492,"&lt;&gt;0")</f>
        <v>1</v>
      </c>
      <c r="BB1492">
        <f>COUNTIF(X1492:AE1492,"&lt;&gt;0")</f>
        <v>1</v>
      </c>
      <c r="BC1492">
        <f>COUNTIF(AF1492:AK1492,"&lt;&gt;0")</f>
        <v>0</v>
      </c>
      <c r="BD1492">
        <f>COUNTIF(AL1492:AN1492,"&lt;&gt;0")</f>
        <v>0</v>
      </c>
      <c r="BE1492">
        <f>COUNTIF(AU1492:AY1492,"&lt;&gt;0")</f>
        <v>0</v>
      </c>
      <c r="BF1492">
        <f>COUNTIF(AO1492:AT1492,"&lt;&gt;0")</f>
        <v>0</v>
      </c>
      <c r="BG1492" t="str">
        <f t="array" ref="BG1492">IF(BA1492=1,INDEX($X$7:$AN$7,MATCH(TRUE,INDEX($X1492:$AY1492&lt;&gt;0,),0)),IF(BA1492=0,INDEX($AO$7:$AY$7,MATCH(1,$AO1492:$AY1492,0)),IF(BH1492="Multiple strategies","mixed drivers",IF(BH1492="Supply chain","multiple supply","multiple silviculture"))))</f>
        <v>area subject to harvest</v>
      </c>
      <c r="BH1492" s="2" t="str" cm="1">
        <f t="array" ref="BH1492">IF(COUNTIF(BB1492:BD1492,"&lt;&gt;0")=1,INDEX($X$4:$AY$4,MATCH(TRUE,INDEX($X1492:$AY1492&lt;&gt;0,),0)),IF(COUNTIF(BB1492:BD1492,"&lt;&gt;0")=0,INDEX($AO$4:$AY$4,MATCH(1,$AO1492:$AY1492,0)),"Multiple strategies"))</f>
        <v>Silviculture for removals</v>
      </c>
      <c r="BI1492" s="1" t="s">
        <v>321</v>
      </c>
      <c r="BJ1492" t="s">
        <v>2120</v>
      </c>
      <c r="BL1492" t="s">
        <v>1197</v>
      </c>
      <c r="BM1492">
        <v>0</v>
      </c>
      <c r="BN1492">
        <v>433.26389999999998</v>
      </c>
      <c r="BO1492" s="143" t="e">
        <f>BN1492/BM1492</f>
        <v>#DIV/0!</v>
      </c>
      <c r="BP1492">
        <f>BN1492-BM1492</f>
        <v>433.26389999999998</v>
      </c>
      <c r="BQ1492">
        <f>BP1492*10^6</f>
        <v>433263900</v>
      </c>
      <c r="BR1492" t="s">
        <v>232</v>
      </c>
      <c r="BS1492" s="256" t="s">
        <v>3073</v>
      </c>
      <c r="BT1492" t="s">
        <v>1232</v>
      </c>
      <c r="BU1492">
        <v>3757</v>
      </c>
      <c r="BV1492">
        <v>3668.4697431</v>
      </c>
      <c r="BW1492" s="144">
        <f>IFERROR(BV1492/BU1492,"")</f>
        <v>0.97643591778014371</v>
      </c>
      <c r="BX1492" s="144">
        <f>BV1492-BU1492</f>
        <v>-88.53025690000004</v>
      </c>
      <c r="BY1492" s="144"/>
      <c r="BZ1492">
        <f>BX1492*10^6*C_to_CO2</f>
        <v>-324906042.82300013</v>
      </c>
      <c r="CA1492">
        <f>IFERROR(BZ1492/BQ1492,"")</f>
        <v>-0.74990333333333359</v>
      </c>
      <c r="CB1492">
        <v>0</v>
      </c>
      <c r="CC1492">
        <v>0</v>
      </c>
      <c r="CD1492">
        <v>0</v>
      </c>
      <c r="CE1492">
        <v>0</v>
      </c>
      <c r="CF1492">
        <v>0</v>
      </c>
      <c r="CG1492">
        <v>0</v>
      </c>
      <c r="CH1492">
        <v>0</v>
      </c>
      <c r="CI1492">
        <v>0</v>
      </c>
      <c r="CJ1492">
        <v>0</v>
      </c>
      <c r="CK1492">
        <v>0</v>
      </c>
      <c r="CL1492">
        <v>0</v>
      </c>
      <c r="CM1492">
        <v>0</v>
      </c>
      <c r="CN1492">
        <v>0</v>
      </c>
      <c r="CO1492">
        <v>0</v>
      </c>
      <c r="CP1492" t="str">
        <f>IF($BN1492&lt;$BM1492,"refNeedCorrection","refOK")</f>
        <v>refOK</v>
      </c>
      <c r="CQ1492">
        <f>IF($CP1492="refOK",$BM1492,$BN1492)</f>
        <v>0</v>
      </c>
      <c r="CR1492">
        <f>IF($CP1492="refOK",$BN1492,$BM1492)</f>
        <v>433.26389999999998</v>
      </c>
      <c r="CS1492">
        <f>IF($CP1492="refOK",$BQ1492,-$BQ1492)</f>
        <v>433263900</v>
      </c>
      <c r="CT1492">
        <f>IF(BI1492="Roundwood",$CS1492/2,$CS1492)</f>
        <v>216631950</v>
      </c>
      <c r="CU1492">
        <f>IF($CP1492="refOK",$BU1492,$BV1492)*IF($BR1492="Emissions positive",-1,1)</f>
        <v>3757</v>
      </c>
      <c r="CV1492">
        <f>IF($CP1492="refOK",$BV1492,$BU1492)*IF($BR1492="Emissions positive",-1,1)</f>
        <v>3668.4697431</v>
      </c>
      <c r="CW1492">
        <f>IF($CP1492="refNeedCorrection",-BZ1492,BZ1492)*IF($BR1492="Emissions positive",-1,1)</f>
        <v>-324906042.82300013</v>
      </c>
      <c r="CX1492">
        <f>IFERROR($CW1492/$CS1492,"")</f>
        <v>-0.74990333333333359</v>
      </c>
      <c r="CY1492">
        <f>IFERROR($CW1492/$CS1492,"")</f>
        <v>-0.74990333333333359</v>
      </c>
      <c r="CZ1492">
        <f>IFERROR($CW1492/$CT1492,"")</f>
        <v>-1.4998066666666672</v>
      </c>
      <c r="DA1492" s="2">
        <f>IFERROR((CV1492-CU1492)/ABS(CU1492),"")</f>
        <v>-2.3564082219856279E-2</v>
      </c>
      <c r="DB1492" s="1" t="s">
        <v>1074</v>
      </c>
      <c r="DC1492" t="str">
        <f>IF(OR($DB1492="prd",$DB1492="std",$DB1492="cit"),"loc",IF(OR($DB1492="eur",$DB1492="reg",$DB1492="coy"),"reg",$DB1492))</f>
        <v>reg</v>
      </c>
      <c r="DD1492" t="s">
        <v>527</v>
      </c>
      <c r="DE1492">
        <v>2020</v>
      </c>
      <c r="DF1492">
        <v>2050</v>
      </c>
      <c r="DG1492">
        <f>DF1492-DE1492</f>
        <v>30</v>
      </c>
      <c r="DH1492" t="str">
        <f>IF(DG1492=0,"0",IF(AND(DG1492&gt;=1,DG1492&lt;=30),"1-30",IF(AND(DG1492&gt;30,DG1492&lt;=70),"31-70",IF(AND(DG1492&gt;70,DG1492&lt;=100),"71-100",IF(DG1492&gt;100,"+100")))))</f>
        <v>1-30</v>
      </c>
      <c r="DI1492">
        <v>1</v>
      </c>
      <c r="DJ1492">
        <v>1</v>
      </c>
      <c r="DK1492">
        <v>1</v>
      </c>
      <c r="DL1492">
        <v>1</v>
      </c>
      <c r="DN1492">
        <f>SUM(DI1492:DL1492)</f>
        <v>4</v>
      </c>
      <c r="DO1492" t="str">
        <f>IF(DN1492=1,INDEX($DI$7:$DL$7,MATCH(1,$DI1492:$DL1492,0)),"mixedProduct")</f>
        <v>mixedProduct</v>
      </c>
      <c r="DP1492" t="str">
        <f>IF(DI1492=1,DP$7,0)</f>
        <v>Upstream</v>
      </c>
      <c r="DQ1492" t="str">
        <f>IF(DJ1492=1,DQ$7,0)</f>
        <v>Energy</v>
      </c>
      <c r="DR1492" t="str">
        <f>IF(DK1492=1,DR$7,0)</f>
        <v>Pulp/Paper</v>
      </c>
      <c r="DS1492" t="str">
        <f>IF(DL1492=1,DS$7,0)</f>
        <v>Timber</v>
      </c>
      <c r="DT1492">
        <v>0</v>
      </c>
      <c r="DU1492">
        <v>1</v>
      </c>
      <c r="DV1492">
        <v>0</v>
      </c>
      <c r="DW1492" t="s">
        <v>2124</v>
      </c>
      <c r="DX1492">
        <v>0</v>
      </c>
      <c r="DY1492">
        <f>SUM(DT1492:DU1492)</f>
        <v>1</v>
      </c>
      <c r="DZ1492" s="143" t="str">
        <f>IF(DT1492=1,"self-calculated DF",IF(DU1492=1,"external DF used","explicit C balance"))</f>
        <v>external DF used</v>
      </c>
      <c r="EA1492">
        <v>1</v>
      </c>
      <c r="EB1492">
        <v>1</v>
      </c>
      <c r="EC1492">
        <v>1</v>
      </c>
      <c r="ED1492">
        <v>1</v>
      </c>
      <c r="EE1492">
        <v>1</v>
      </c>
      <c r="EF1492" s="143">
        <v>1</v>
      </c>
      <c r="EG1492">
        <v>1</v>
      </c>
      <c r="EH1492">
        <v>1</v>
      </c>
      <c r="EI1492">
        <v>0</v>
      </c>
      <c r="EJ1492">
        <v>0</v>
      </c>
      <c r="EK1492">
        <v>1</v>
      </c>
      <c r="EL1492">
        <v>0</v>
      </c>
      <c r="EM1492">
        <v>0</v>
      </c>
      <c r="EN1492" s="2">
        <v>0</v>
      </c>
      <c r="EP1492" t="str">
        <f>IF(AND(AND(AND(OR($EC1492=1,$EB1492=1),OR($EH1492=1,$EF1492=1)),SUM($EA1492:$EE1492,$EK1492)&gt;=3),SUM($EF1492:$EJ1492)&gt;=2),"Whole sector approach","")</f>
        <v>Whole sector approach</v>
      </c>
      <c r="EQ1492" t="str">
        <f>IF(AND(AND(OR($EC1492=1,$EB1492=1),AND($EH1492=0,$EF1492=0)),SUM($EA1492:$EE1492,$EK1492)&gt;=4),"Ecosystem approach","")</f>
        <v/>
      </c>
      <c r="ER1492" s="2" t="str">
        <f>IF(AND(AND(AND($EC1492=0,$EB1492=0),OR($EH1492=1,$EF1492=1)),SUM($EG1492:$EJ1492)&gt;=2),"Technology approach","")</f>
        <v/>
      </c>
      <c r="ES1492" t="str">
        <f>IF(AND($EC1492+$EB1492+$EE1492+$EA1492+$ED1492+$EG1492=0,$N1492="included"),"C neutral forest and HWP assumption","")</f>
        <v/>
      </c>
      <c r="ET1492" t="str">
        <f>IF(AND(AND(AND(AND($EC1492=1,$EB1492+$EA1492+$EG1492&gt;=1),$EF1492=1),$EH1492+$EI1492+$ED1492+$EE1492&gt;=2),$N1492="included"),"All C pools assumption","")</f>
        <v>All C pools assumption</v>
      </c>
      <c r="EU1492" t="str">
        <f>IF(AND($ED1492+$EE1492+$EI1492+$EH1492+$EF1492=0,$N1492="included"),"In-situ only assumption","")</f>
        <v/>
      </c>
      <c r="EW1492" s="260" t="s">
        <v>2121</v>
      </c>
      <c r="EY1492" t="str">
        <f>IF(ISNUMBER(BW1492),IF(ABS(BW1492-[6]QC_indicators!$B$2)&gt;3*[6]QC_indicators!$C$2,"C ratio",IF(ISNUMBER(CA1492),IF(ABS(CA1492-[6]QC_indicators!$B$1)&gt;3*[6]QC_indicators!$C$1,"DF","no"))),IF(ISNUMBER(CA1492),IF(ABS(CA1492-[6]QC_indicators!$B$1)&gt;3*[6]QC_indicators!$C$1,"DF","no")))</f>
        <v>no</v>
      </c>
      <c r="EZ1492" t="s">
        <v>2122</v>
      </c>
      <c r="FA1492" t="str">
        <f>IF(LEN($CY1492)=0,"",IF(AND($CY1492&lt;(-0.05),$ES1492="C neutral forest and HWP assumption"),"Cneutral paradox",IF(AND($CY1492&gt;0.05,$EU1492="In-situ only assumption"),"In-situ only paradox","")))</f>
        <v/>
      </c>
      <c r="FD1492" s="293" t="s">
        <v>3083</v>
      </c>
    </row>
    <row r="1493" spans="1:160" ht="15" hidden="1" customHeight="1">
      <c r="A1493" s="1" t="s">
        <v>1230</v>
      </c>
      <c r="B1493" t="s">
        <v>2112</v>
      </c>
      <c r="C1493" t="s">
        <v>2113</v>
      </c>
      <c r="D1493" t="s">
        <v>2114</v>
      </c>
      <c r="E1493" t="s">
        <v>2115</v>
      </c>
      <c r="F1493" t="s">
        <v>2116</v>
      </c>
      <c r="G1493" t="s">
        <v>1231</v>
      </c>
      <c r="H1493" t="s">
        <v>254</v>
      </c>
      <c r="I1493">
        <v>2021</v>
      </c>
      <c r="J1493">
        <v>0</v>
      </c>
      <c r="K1493" t="s">
        <v>2117</v>
      </c>
      <c r="M1493" t="str">
        <f>LEFT($D1493,FIND(",",$D1493)-1)&amp;"_"&amp;I1493&amp;L1493</f>
        <v>Ter-Mikaelian_2021</v>
      </c>
      <c r="N1493" t="s">
        <v>222</v>
      </c>
      <c r="O1493" s="145" t="s">
        <v>1029</v>
      </c>
      <c r="Q1493" t="s">
        <v>256</v>
      </c>
      <c r="R1493" s="286" t="s">
        <v>225</v>
      </c>
      <c r="S1493" s="1" t="s">
        <v>1205</v>
      </c>
      <c r="T1493" t="s">
        <v>2119</v>
      </c>
      <c r="U1493" t="s">
        <v>2123</v>
      </c>
      <c r="V1493" s="253">
        <v>0</v>
      </c>
      <c r="W1493" s="253">
        <v>0</v>
      </c>
      <c r="X1493">
        <v>0</v>
      </c>
      <c r="Y1493">
        <v>0</v>
      </c>
      <c r="Z1493">
        <v>0</v>
      </c>
      <c r="AA1493">
        <v>1</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s="141">
        <f>COUNTIF(X1493:AY1493,"&lt;&gt;0")</f>
        <v>1</v>
      </c>
      <c r="BA1493" s="141">
        <f>COUNTIF(X1493:AN1493,"&lt;&gt;0")</f>
        <v>1</v>
      </c>
      <c r="BB1493">
        <f>COUNTIF(X1493:AE1493,"&lt;&gt;0")</f>
        <v>1</v>
      </c>
      <c r="BC1493">
        <f>COUNTIF(AF1493:AK1493,"&lt;&gt;0")</f>
        <v>0</v>
      </c>
      <c r="BD1493">
        <f>COUNTIF(AL1493:AN1493,"&lt;&gt;0")</f>
        <v>0</v>
      </c>
      <c r="BE1493">
        <f>COUNTIF(AU1493:AY1493,"&lt;&gt;0")</f>
        <v>0</v>
      </c>
      <c r="BF1493">
        <f>COUNTIF(AO1493:AT1493,"&lt;&gt;0")</f>
        <v>0</v>
      </c>
      <c r="BG1493" t="str">
        <f t="array" ref="BG1493">IF(BA1493=1,INDEX($X$7:$AN$7,MATCH(TRUE,INDEX($X1493:$AY1493&lt;&gt;0,),0)),IF(BA1493=0,INDEX($AO$7:$AY$7,MATCH(1,$AO1493:$AY1493,0)),IF(BH1493="Multiple strategies","mixed drivers",IF(BH1493="Supply chain","multiple supply","multiple silviculture"))))</f>
        <v xml:space="preserve">cutting intensity </v>
      </c>
      <c r="BH1493" s="2" t="str" cm="1">
        <f t="array" ref="BH1493">IF(COUNTIF(BB1493:BD1493,"&lt;&gt;0")=1,INDEX($X$4:$AY$4,MATCH(TRUE,INDEX($X1493:$AY1493&lt;&gt;0,),0)),IF(COUNTIF(BB1493:BD1493,"&lt;&gt;0")=0,INDEX($AO$4:$AY$4,MATCH(1,$AO1493:$AY1493,0)),"Multiple strategies"))</f>
        <v>Silviculture for removals</v>
      </c>
      <c r="BI1493" s="1" t="s">
        <v>321</v>
      </c>
      <c r="BJ1493" t="s">
        <v>2120</v>
      </c>
      <c r="BK1493" s="256"/>
      <c r="BL1493" t="s">
        <v>1197</v>
      </c>
      <c r="BM1493">
        <v>433.26389999999998</v>
      </c>
      <c r="BN1493">
        <v>866.52779999999996</v>
      </c>
      <c r="BO1493" s="143">
        <f>BN1493/BM1493</f>
        <v>2</v>
      </c>
      <c r="BP1493">
        <f>BN1493-BM1493</f>
        <v>433.26389999999998</v>
      </c>
      <c r="BQ1493">
        <f>BP1493*10^6</f>
        <v>433263900</v>
      </c>
      <c r="BR1493" t="s">
        <v>232</v>
      </c>
      <c r="BS1493" s="256" t="s">
        <v>3073</v>
      </c>
      <c r="BT1493" t="s">
        <v>1232</v>
      </c>
      <c r="BU1493">
        <v>3668.4697431</v>
      </c>
      <c r="BV1493">
        <v>3579.9394861999999</v>
      </c>
      <c r="BW1493" s="144">
        <f>IFERROR(BV1493/BU1493,"")</f>
        <v>0.9758672517153737</v>
      </c>
      <c r="BX1493" s="144">
        <f>BV1493-BU1493</f>
        <v>-88.53025690000004</v>
      </c>
      <c r="BY1493" s="144"/>
      <c r="BZ1493">
        <f>BX1493*10^6*C_to_CO2</f>
        <v>-324906042.82300013</v>
      </c>
      <c r="CA1493">
        <f>IFERROR(BZ1493/BQ1493,"")</f>
        <v>-0.74990333333333359</v>
      </c>
      <c r="CB1493">
        <v>0</v>
      </c>
      <c r="CC1493">
        <v>0</v>
      </c>
      <c r="CD1493">
        <v>0</v>
      </c>
      <c r="CE1493">
        <v>0</v>
      </c>
      <c r="CF1493">
        <v>0</v>
      </c>
      <c r="CG1493">
        <v>0</v>
      </c>
      <c r="CH1493">
        <v>0</v>
      </c>
      <c r="CI1493">
        <v>0</v>
      </c>
      <c r="CJ1493">
        <v>0</v>
      </c>
      <c r="CK1493">
        <v>0</v>
      </c>
      <c r="CL1493">
        <v>0</v>
      </c>
      <c r="CM1493">
        <v>0</v>
      </c>
      <c r="CN1493">
        <v>0</v>
      </c>
      <c r="CO1493">
        <v>0</v>
      </c>
      <c r="CP1493" t="str">
        <f>IF($BN1493&lt;$BM1493,"refNeedCorrection","refOK")</f>
        <v>refOK</v>
      </c>
      <c r="CQ1493">
        <f>IF($CP1493="refNeedCorrection",BN1493,BM1493)</f>
        <v>433.26389999999998</v>
      </c>
      <c r="CR1493">
        <f>IF($CP1493="refNeedCorrection",BM1493,BN1493)</f>
        <v>866.52779999999996</v>
      </c>
      <c r="CS1493">
        <f>IF($CP1493="refOK",$BQ1493,-$BQ1493)</f>
        <v>433263900</v>
      </c>
      <c r="CT1493">
        <f>IF(BI1493="Roundwood",$CS1493/2,$CS1493)</f>
        <v>216631950</v>
      </c>
      <c r="CU1493">
        <f>IF($CP1493="refOK",$BU1493,$BV1493)*IF($BR1493="Emissions positive",-1,1)</f>
        <v>3668.4697431</v>
      </c>
      <c r="CV1493">
        <f>IF($CP1493="refOK",$BV1493,$BU1493)*IF($BR1493="Emissions positive",-1,1)</f>
        <v>3579.9394861999999</v>
      </c>
      <c r="CW1493">
        <f>IF($CP1493="refNeedCorrection",-BZ1493,BZ1493)*IF($BR1493="Emissions positive",-1,1)</f>
        <v>-324906042.82300013</v>
      </c>
      <c r="CX1493">
        <f>IFERROR($CW1493/$CS1493,"")</f>
        <v>-0.74990333333333359</v>
      </c>
      <c r="CY1493">
        <f>IFERROR($CW1493/$CS1493,"")</f>
        <v>-0.74990333333333359</v>
      </c>
      <c r="CZ1493">
        <f>IFERROR($CW1493/$CT1493,"")</f>
        <v>-1.4998066666666672</v>
      </c>
      <c r="DA1493" s="2">
        <f>IFERROR((CV1493-CU1493)/ABS(CU1493),"")</f>
        <v>-2.4132748284626308E-2</v>
      </c>
      <c r="DB1493" s="1" t="s">
        <v>1074</v>
      </c>
      <c r="DC1493" t="str">
        <f>IF(OR($DB1493="prd",$DB1493="std",$DB1493="cit"),"loc",IF(OR($DB1493="eur",$DB1493="reg",$DB1493="coy"),"reg",$DB1493))</f>
        <v>reg</v>
      </c>
      <c r="DD1493" t="s">
        <v>527</v>
      </c>
      <c r="DE1493">
        <v>2020</v>
      </c>
      <c r="DF1493">
        <v>2050</v>
      </c>
      <c r="DG1493">
        <f>DF1493-DE1493</f>
        <v>30</v>
      </c>
      <c r="DH1493" t="str">
        <f>IF(DG1493=0,"0",IF(AND(DG1493&gt;=1,DG1493&lt;=30),"1-30",IF(AND(DG1493&gt;30,DG1493&lt;=70),"31-70",IF(AND(DG1493&gt;70,DG1493&lt;=100),"71-100",IF(DG1493&gt;100,"+100")))))</f>
        <v>1-30</v>
      </c>
      <c r="DI1493">
        <v>1</v>
      </c>
      <c r="DJ1493">
        <v>1</v>
      </c>
      <c r="DK1493">
        <v>1</v>
      </c>
      <c r="DL1493">
        <v>1</v>
      </c>
      <c r="DN1493">
        <f>SUM(DI1493:DL1493)</f>
        <v>4</v>
      </c>
      <c r="DO1493" t="str">
        <f>IF(DN1493=1,INDEX($DI$7:$DL$7,MATCH(1,$DI1493:$DL1493,0)),"mixedProduct")</f>
        <v>mixedProduct</v>
      </c>
      <c r="DP1493" t="str">
        <f>IF(DI1493=1,DP$7,0)</f>
        <v>Upstream</v>
      </c>
      <c r="DQ1493" t="str">
        <f>IF(DJ1493=1,DQ$7,0)</f>
        <v>Energy</v>
      </c>
      <c r="DR1493" t="str">
        <f>IF(DK1493=1,DR$7,0)</f>
        <v>Pulp/Paper</v>
      </c>
      <c r="DS1493" t="str">
        <f>IF(DL1493=1,DS$7,0)</f>
        <v>Timber</v>
      </c>
      <c r="DT1493">
        <v>0</v>
      </c>
      <c r="DU1493">
        <v>1</v>
      </c>
      <c r="DV1493">
        <v>0</v>
      </c>
      <c r="DW1493" t="s">
        <v>2124</v>
      </c>
      <c r="DX1493">
        <v>0</v>
      </c>
      <c r="DY1493">
        <f>SUM(DT1493:DU1493)</f>
        <v>1</v>
      </c>
      <c r="DZ1493" s="143" t="str">
        <f>IF(DT1493=1,"self-calculated DF",IF(DU1493=1,"external DF used","explicit C balance"))</f>
        <v>external DF used</v>
      </c>
      <c r="EA1493">
        <v>1</v>
      </c>
      <c r="EB1493">
        <v>1</v>
      </c>
      <c r="EC1493">
        <v>1</v>
      </c>
      <c r="ED1493">
        <v>1</v>
      </c>
      <c r="EE1493">
        <v>1</v>
      </c>
      <c r="EF1493" s="143">
        <v>1</v>
      </c>
      <c r="EG1493">
        <v>1</v>
      </c>
      <c r="EH1493">
        <v>1</v>
      </c>
      <c r="EI1493">
        <v>0</v>
      </c>
      <c r="EJ1493">
        <v>0</v>
      </c>
      <c r="EK1493">
        <v>1</v>
      </c>
      <c r="EL1493">
        <v>0</v>
      </c>
      <c r="EM1493">
        <v>0</v>
      </c>
      <c r="EN1493" s="2">
        <v>0</v>
      </c>
      <c r="EP1493" t="str">
        <f>IF(AND(AND(AND(OR($EC1493=1,$EB1493=1),OR($EH1493=1,$EF1493=1)),SUM($EA1493:$EE1493,$EK1493)&gt;=3),SUM($EF1493:$EJ1493)&gt;=2),"Whole sector approach","")</f>
        <v>Whole sector approach</v>
      </c>
      <c r="EQ1493" t="str">
        <f>IF(AND(AND(OR($EC1493=1,$EB1493=1),AND($EH1493=0,$EF1493=0)),SUM($EA1493:$EE1493,$EK1493)&gt;=4),"Ecosystem approach","")</f>
        <v/>
      </c>
      <c r="ER1493" s="2" t="str">
        <f>IF(AND(AND(AND($EC1493=0,$EB1493=0),OR($EH1493=1,$EF1493=1)),SUM($EG1493:$EJ1493)&gt;=2),"Technology approach","")</f>
        <v/>
      </c>
      <c r="ES1493" t="str">
        <f>IF(AND($EC1493+$EB1493+$EE1493+$EA1493+$ED1493+$EG1493=0,$N1493="included"),"C neutral forest and HWP assumption","")</f>
        <v/>
      </c>
      <c r="ET1493" t="str">
        <f>IF(AND(AND(AND(AND($EC1493=1,$EB1493+$EA1493+$EG1493&gt;=1),$EF1493=1),$EH1493+$EI1493+$ED1493+$EE1493&gt;=2),$N1493="included"),"All C pools assumption","")</f>
        <v>All C pools assumption</v>
      </c>
      <c r="EU1493" t="str">
        <f>IF(AND($ED1493+$EE1493+$EI1493+$EH1493+$EF1493=0,$N1493="included"),"In-situ only assumption","")</f>
        <v/>
      </c>
      <c r="EW1493" t="s">
        <v>2121</v>
      </c>
      <c r="EY1493" t="str">
        <f>IF(ISNUMBER(BW1493),IF(ABS(BW1493-[6]QC_indicators!$B$2)&gt;3*[6]QC_indicators!$C$2,"C ratio",IF(ISNUMBER(CA1493),IF(ABS(CA1493-[6]QC_indicators!$B$1)&gt;3*[6]QC_indicators!$C$1,"DF","no"))),IF(ISNUMBER(CA1493),IF(ABS(CA1493-[6]QC_indicators!$B$1)&gt;3*[6]QC_indicators!$C$1,"DF","no")))</f>
        <v>no</v>
      </c>
      <c r="EZ1493" t="s">
        <v>2122</v>
      </c>
      <c r="FA1493" t="str">
        <f>IF(LEN($CY1493)=0,"",IF(AND($CY1493&lt;(-0.05),$ES1493="C neutral forest and HWP assumption"),"Cneutral paradox",IF(AND($CY1493&gt;0.05,$EU1493="In-situ only assumption"),"In-situ only paradox","")))</f>
        <v/>
      </c>
      <c r="FD1493" s="293" t="s">
        <v>3083</v>
      </c>
    </row>
    <row r="1494" spans="1:160" ht="15" hidden="1" customHeight="1">
      <c r="A1494" s="1" t="s">
        <v>500</v>
      </c>
      <c r="B1494" t="s">
        <v>501</v>
      </c>
      <c r="C1494" t="s">
        <v>502</v>
      </c>
      <c r="D1494" t="s">
        <v>503</v>
      </c>
      <c r="E1494" t="s">
        <v>504</v>
      </c>
      <c r="F1494" t="s">
        <v>505</v>
      </c>
      <c r="G1494" t="s">
        <v>506</v>
      </c>
      <c r="H1494" t="s">
        <v>254</v>
      </c>
      <c r="I1494">
        <v>2021</v>
      </c>
      <c r="J1494">
        <v>7</v>
      </c>
      <c r="K1494" t="s">
        <v>507</v>
      </c>
      <c r="M1494" t="str">
        <f>LEFT($D1494,FIND(",",$D1494)-1)&amp;"_"&amp;I1494&amp;L1494</f>
        <v>Caldas_2021</v>
      </c>
      <c r="N1494" t="s">
        <v>222</v>
      </c>
      <c r="O1494" s="145" t="s">
        <v>223</v>
      </c>
      <c r="P1494" t="s">
        <v>508</v>
      </c>
      <c r="Q1494" s="317" t="s">
        <v>256</v>
      </c>
      <c r="R1494" s="318" t="s">
        <v>1029</v>
      </c>
      <c r="S1494" s="1" t="s">
        <v>514</v>
      </c>
      <c r="T1494" t="s">
        <v>4902</v>
      </c>
      <c r="U1494" t="s">
        <v>4903</v>
      </c>
      <c r="V1494" s="253">
        <v>0</v>
      </c>
      <c r="W1494" s="253">
        <v>0</v>
      </c>
      <c r="X1494">
        <v>0</v>
      </c>
      <c r="Y1494">
        <v>0</v>
      </c>
      <c r="Z1494">
        <v>0</v>
      </c>
      <c r="AA1494">
        <v>0</v>
      </c>
      <c r="AB1494">
        <v>0</v>
      </c>
      <c r="AC1494">
        <v>0</v>
      </c>
      <c r="AD1494">
        <v>0</v>
      </c>
      <c r="AE1494">
        <v>0</v>
      </c>
      <c r="AF1494">
        <v>0</v>
      </c>
      <c r="AG1494">
        <v>0</v>
      </c>
      <c r="AH1494">
        <v>1</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s="141">
        <f>COUNTIF(X1494:AY1494,"&lt;&gt;0")</f>
        <v>1</v>
      </c>
      <c r="BA1494" s="141">
        <f>COUNTIF(X1494:AN1494,"&lt;&gt;0")</f>
        <v>1</v>
      </c>
      <c r="BB1494">
        <f>COUNTIF(X1494:AE1494,"&lt;&gt;0")</f>
        <v>0</v>
      </c>
      <c r="BC1494">
        <f>COUNTIF(AF1494:AK1494,"&lt;&gt;0")</f>
        <v>1</v>
      </c>
      <c r="BD1494">
        <f>COUNTIF(AL1494:AN1494,"&lt;&gt;0")</f>
        <v>0</v>
      </c>
      <c r="BE1494">
        <f>COUNTIF(AU1494:AY1494,"&lt;&gt;0")</f>
        <v>0</v>
      </c>
      <c r="BF1494">
        <f>COUNTIF(AO1494:AT1494,"&lt;&gt;0")</f>
        <v>0</v>
      </c>
      <c r="BG1494" t="str" cm="1">
        <f t="array" ref="BG1494">IF(BA1494=1,INDEX($X$7:$AN$7,MATCH(TRUE,INDEX($X1494:$AY1494&lt;&gt;0,),0)),IF(BA1494=0,INDEX($AO$7:$AY$7,MATCH(1,$AO1494:$AY1494,0)),IF(BH1494="Multiple strategies","mixed drivers",IF(BH1494="Supply chain","multiple supply","multiple silviculture"))))</f>
        <v>supply chain organization</v>
      </c>
      <c r="BH1494" s="2" t="str" cm="1">
        <f t="array" ref="BH1494">IF(COUNTIF(BB1494:BD1494,"&lt;&gt;0")=1,INDEX($X$4:$AY$4,MATCH(TRUE,INDEX($X1494:$AY1494&lt;&gt;0,),0)),IF(COUNTIF(BB1494:BD1494,"&lt;&gt;0")=0,INDEX($AO$4:$AY$4,MATCH(1,$AO1494:$AY1494,0)),"Multiple strategies"))</f>
        <v>Supply chain</v>
      </c>
      <c r="BI1494" s="1" t="s">
        <v>229</v>
      </c>
      <c r="BJ1494" t="s">
        <v>510</v>
      </c>
      <c r="BK1494" s="141" t="s">
        <v>4892</v>
      </c>
      <c r="BL1494" t="s">
        <v>511</v>
      </c>
      <c r="BM1494">
        <v>247</v>
      </c>
      <c r="BN1494">
        <v>247</v>
      </c>
      <c r="BP1494">
        <f>BN1494-BM1494</f>
        <v>0</v>
      </c>
      <c r="BQ1494">
        <f>BP1494*kg_to_m3</f>
        <v>0</v>
      </c>
      <c r="BR1494" s="317" t="s">
        <v>232</v>
      </c>
      <c r="BS1494" s="141" t="s">
        <v>4892</v>
      </c>
      <c r="BT1494" t="s">
        <v>512</v>
      </c>
      <c r="BU1494">
        <f>-485</f>
        <v>-485</v>
      </c>
      <c r="BV1494">
        <f>-246</f>
        <v>-246</v>
      </c>
      <c r="BW1494" s="144">
        <f>IFERROR(BV1494/BU1494,"")</f>
        <v>0.5072164948453608</v>
      </c>
      <c r="BX1494" s="175">
        <f>BV1494-BU1494</f>
        <v>239</v>
      </c>
      <c r="BZ1494">
        <f>BX1494/1000</f>
        <v>0.23899999999999999</v>
      </c>
      <c r="CA1494" t="str">
        <f>IFERROR(BZ1494/BQ1494,"")</f>
        <v/>
      </c>
      <c r="CB1494" s="143">
        <v>0</v>
      </c>
      <c r="CC1494" s="143">
        <v>0</v>
      </c>
      <c r="CD1494" s="143">
        <v>0</v>
      </c>
      <c r="CE1494" s="143">
        <v>0</v>
      </c>
      <c r="CF1494" s="143">
        <v>0</v>
      </c>
      <c r="CG1494" s="143">
        <v>0</v>
      </c>
      <c r="CH1494" s="143">
        <v>0</v>
      </c>
      <c r="CI1494" s="143">
        <v>0</v>
      </c>
      <c r="CJ1494" s="143">
        <v>0</v>
      </c>
      <c r="CK1494" s="143">
        <v>0</v>
      </c>
      <c r="CL1494" s="143">
        <v>0</v>
      </c>
      <c r="CM1494" s="143">
        <v>0</v>
      </c>
      <c r="CN1494" s="143">
        <v>0</v>
      </c>
      <c r="CO1494">
        <v>0</v>
      </c>
      <c r="CP1494" t="str">
        <f>IF($BN1494&lt;$BM1494,"refNeedCorrection","refOK")</f>
        <v>refOK</v>
      </c>
      <c r="CQ1494">
        <f>IF($CP1494="refOK",$BM1494,$BN1494)</f>
        <v>247</v>
      </c>
      <c r="CR1494">
        <f>IF($CP1494="refOK",$BN1494,$BM1494)</f>
        <v>247</v>
      </c>
      <c r="CS1494">
        <f>IF($CP1494="refOK",$BQ1494,-$BQ1494)</f>
        <v>0</v>
      </c>
      <c r="CT1494">
        <f>IF(BI1494="Roundwood",$CS1494/2,$CS1494)</f>
        <v>0</v>
      </c>
      <c r="CU1494">
        <f>IF($CP1494="refOK",$BU1494,$BV1494)*IF($BR1494="Emissions positive",-1,1)</f>
        <v>-485</v>
      </c>
      <c r="CV1494">
        <f>IF($CP1494="refOK",$BV1494,$BU1494)*IF($BR1494="Emissions positive",-1,1)</f>
        <v>-246</v>
      </c>
      <c r="CW1494">
        <f>IF($CP1494="refNeedCorrection",-BZ1494,BZ1494)*IF($BR1494="Emissions positive",-1,1)</f>
        <v>0.23899999999999999</v>
      </c>
      <c r="CX1494" t="str">
        <f>IFERROR($CW1494/$CS1494,"")</f>
        <v/>
      </c>
      <c r="CY1494" t="str">
        <f>IFERROR($CW1494/$CS1494,"")</f>
        <v/>
      </c>
      <c r="CZ1494" t="str">
        <f>IFERROR($CW1494/$CT1494,"")</f>
        <v/>
      </c>
      <c r="DA1494" s="2">
        <f>IFERROR((CV1494-CU1494)/ABS(CU1494),"")</f>
        <v>0.4927835051546392</v>
      </c>
      <c r="DB1494" s="1" t="s">
        <v>263</v>
      </c>
      <c r="DC1494" s="317" t="str">
        <f>IF(OR($DB1494="prd",$DB1494="std",$DB1494="cit"),"loc",IF(OR($DB1494="eur",$DB1494="reg",$DB1494="coy"),"reg",$DB1494))</f>
        <v>loc</v>
      </c>
      <c r="DD1494" t="s">
        <v>513</v>
      </c>
      <c r="DE1494">
        <v>2014</v>
      </c>
      <c r="DF1494">
        <v>2014</v>
      </c>
      <c r="DG1494">
        <f>DF1494-DE1494</f>
        <v>0</v>
      </c>
      <c r="DH1494" t="str">
        <f>IF(DG1494=0,"0",IF(AND(DG1494&gt;=1,DG1494&lt;=30),"1-30",IF(AND(DG1494&gt;30,DG1494&lt;=70),"31-70",IF(AND(DG1494&gt;70,DG1494&lt;=100),"71-100",IF(DG1494&gt;100,"+100")))))</f>
        <v>0</v>
      </c>
      <c r="DI1494">
        <v>0</v>
      </c>
      <c r="DJ1494">
        <v>0</v>
      </c>
      <c r="DK1494">
        <v>0</v>
      </c>
      <c r="DL1494">
        <v>1</v>
      </c>
      <c r="DN1494">
        <f>SUM(DI1494:DL1494)</f>
        <v>1</v>
      </c>
      <c r="DO1494" t="str">
        <f>IF(DN1494=1,INDEX($DI$7:$DL$7,MATCH(1,$DI1494:$DL1494,0)),"mixedProduct")</f>
        <v>TimberInput</v>
      </c>
      <c r="DP1494">
        <f>IF(DI1494=1,DP$7,0)</f>
        <v>0</v>
      </c>
      <c r="DQ1494">
        <f>IF(DJ1494=1,DQ$7,0)</f>
        <v>0</v>
      </c>
      <c r="DR1494">
        <f>IF(DK1494=1,DR$7,0)</f>
        <v>0</v>
      </c>
      <c r="DS1494" t="str">
        <f>IF(DL1494=1,DS$7,0)</f>
        <v>Timber</v>
      </c>
      <c r="DT1494">
        <v>0</v>
      </c>
      <c r="DU1494" s="143">
        <v>0</v>
      </c>
      <c r="DV1494" s="143">
        <v>0</v>
      </c>
      <c r="DW1494" s="143">
        <v>0</v>
      </c>
      <c r="DX1494">
        <v>0</v>
      </c>
      <c r="DY1494">
        <f>SUM(DT1494:DU1494)</f>
        <v>0</v>
      </c>
      <c r="DZ1494" s="143" t="str">
        <f>IF(DT1494=1,"self-calculated DF",IF(DU1494=1,"external DF used","explicit C balance"))</f>
        <v>explicit C balance</v>
      </c>
      <c r="EA1494">
        <v>0</v>
      </c>
      <c r="EB1494" s="143">
        <v>0</v>
      </c>
      <c r="EC1494" s="143">
        <v>0</v>
      </c>
      <c r="ED1494" s="143">
        <v>0</v>
      </c>
      <c r="EE1494">
        <v>0</v>
      </c>
      <c r="EF1494" s="143">
        <v>1</v>
      </c>
      <c r="EG1494">
        <v>0</v>
      </c>
      <c r="EH1494" s="143">
        <v>1</v>
      </c>
      <c r="EI1494" s="143">
        <v>0</v>
      </c>
      <c r="EJ1494">
        <v>0</v>
      </c>
      <c r="EK1494">
        <v>0</v>
      </c>
      <c r="EL1494" s="143">
        <v>0</v>
      </c>
      <c r="EM1494" s="143">
        <v>0</v>
      </c>
      <c r="EN1494" s="2">
        <v>0</v>
      </c>
      <c r="EP1494" t="str">
        <f>IF(AND(AND(AND(OR($EC1494=1,$EB1494=1),OR($EH1494=1,$EF1494=1)),SUM($EA1494:$EE1494,$EK1494)&gt;=3),SUM($EF1494:$EJ1494)&gt;=2),"Whole sector approach","")</f>
        <v/>
      </c>
      <c r="EQ1494" t="str">
        <f>IF(AND(AND(OR($EC1494=1,$EB1494=1),AND($EH1494=0,$EF1494=0)),SUM($EA1494:$EE1494,$EK1494)&gt;=3),"Ecosystem approach","")</f>
        <v/>
      </c>
      <c r="ER1494" s="2" t="str">
        <f>IF(AND(AND(AND($EC1494=0,$EB1494=0),OR($EH1494=1,$EF1494=1)),SUM($EG1494:$EJ1494)&gt;=2),"Technology approach","")</f>
        <v/>
      </c>
      <c r="ES1494" t="str">
        <f>IF(AND($EC1494+$EB1494+$EE1494+$EA1494+$ED1494+$EG1494=0,$N1494="included"),"C neutral forest and HWP assumption","")</f>
        <v>C neutral forest and HWP assumption</v>
      </c>
      <c r="ET1494" t="str">
        <f>IF(AND(AND(AND(AND($EC1494=1,$EB1494+$EA1494+$EG1494&gt;=1),$EF1494=1),$EH1494+$EI1494+$ED1494+$EE1494&gt;=2),$N1494="included"),"All C pools assumption","")</f>
        <v/>
      </c>
      <c r="EU1494" t="str">
        <f>IF(AND($ED1494+$EE1494+$EI1494+$EH1494+$EF1494=0,$N1494="included"),"In-situ only assumption","")</f>
        <v/>
      </c>
      <c r="EY1494" t="b">
        <f>IF(ISNUMBER(BW1494),IF(ABS(BW1494-[4]QC_indicators!$B$2)&gt;3*[4]QC_indicators!$C$2,"C ratio",IF(ISNUMBER(CA1494),IF(ABS(CA1494-[4]QC_indicators!$B$1)&gt;3*[4]QC_indicators!$C$1,"DF","no"))),IF(ISNUMBER(CA1494),IF(ABS(CA1494-[4]QC_indicators!$B$1)&gt;3*[4]QC_indicators!$C$1,"DF","no")))</f>
        <v>0</v>
      </c>
      <c r="FA1494" t="str">
        <f>IF(LEN($CY1494)=0,"",IF(AND($CY1494&lt;(-0.05),$ES1494="C neutral forest and HWP assumption"),"Cneutral paradox",IF(AND($CY1494&gt;0.05,$EU1494="In-situ only assumption"),"In-situ only paradox","")))</f>
        <v/>
      </c>
      <c r="FB1494" s="319" t="s">
        <v>349</v>
      </c>
      <c r="FD1494" s="145" t="s">
        <v>4893</v>
      </c>
    </row>
    <row r="1495" spans="1:160" ht="15" hidden="1" customHeight="1">
      <c r="A1495" s="1" t="s">
        <v>247</v>
      </c>
      <c r="B1495" t="s">
        <v>248</v>
      </c>
      <c r="C1495" t="s">
        <v>249</v>
      </c>
      <c r="D1495" t="s">
        <v>250</v>
      </c>
      <c r="E1495" t="s">
        <v>251</v>
      </c>
      <c r="F1495" t="s">
        <v>252</v>
      </c>
      <c r="G1495" t="s">
        <v>253</v>
      </c>
      <c r="H1495" t="s">
        <v>254</v>
      </c>
      <c r="I1495">
        <v>2022</v>
      </c>
      <c r="J1495">
        <v>0</v>
      </c>
      <c r="K1495" t="s">
        <v>255</v>
      </c>
      <c r="M1495" t="str">
        <f>LEFT($D1495,FIND(",",$D1495)-1)&amp;"_"&amp;I1495&amp;L1495</f>
        <v>Andersen_2022</v>
      </c>
      <c r="N1495" t="s">
        <v>222</v>
      </c>
      <c r="O1495" s="145" t="s">
        <v>223</v>
      </c>
      <c r="Q1495" t="s">
        <v>256</v>
      </c>
      <c r="R1495" s="264" t="s">
        <v>274</v>
      </c>
      <c r="S1495" s="1" t="s">
        <v>257</v>
      </c>
      <c r="T1495" t="s">
        <v>258</v>
      </c>
      <c r="U1495" t="s">
        <v>259</v>
      </c>
      <c r="V1495" s="253">
        <v>0</v>
      </c>
      <c r="W1495" s="253">
        <v>0</v>
      </c>
      <c r="X1495">
        <v>0</v>
      </c>
      <c r="Y1495">
        <v>0</v>
      </c>
      <c r="Z1495">
        <v>0</v>
      </c>
      <c r="AA1495">
        <v>0</v>
      </c>
      <c r="AB1495">
        <v>0</v>
      </c>
      <c r="AC1495">
        <v>0</v>
      </c>
      <c r="AD1495">
        <v>0</v>
      </c>
      <c r="AE1495">
        <v>0</v>
      </c>
      <c r="AF1495">
        <v>0</v>
      </c>
      <c r="AG1495">
        <v>0</v>
      </c>
      <c r="AH1495">
        <v>0</v>
      </c>
      <c r="AI1495">
        <v>0</v>
      </c>
      <c r="AJ1495">
        <v>0</v>
      </c>
      <c r="AK1495">
        <v>0</v>
      </c>
      <c r="AL1495">
        <v>0</v>
      </c>
      <c r="AM1495">
        <v>1</v>
      </c>
      <c r="AN1495">
        <v>0</v>
      </c>
      <c r="AO1495">
        <v>0</v>
      </c>
      <c r="AP1495">
        <v>0</v>
      </c>
      <c r="AQ1495">
        <v>0</v>
      </c>
      <c r="AR1495">
        <v>0</v>
      </c>
      <c r="AS1495">
        <v>0</v>
      </c>
      <c r="AT1495">
        <v>0</v>
      </c>
      <c r="AU1495">
        <v>0</v>
      </c>
      <c r="AV1495">
        <v>0</v>
      </c>
      <c r="AW1495">
        <v>0</v>
      </c>
      <c r="AX1495">
        <v>0</v>
      </c>
      <c r="AY1495">
        <v>0</v>
      </c>
      <c r="AZ1495" s="141">
        <f>COUNTIF(X1495:AY1495,"&lt;&gt;0")</f>
        <v>1</v>
      </c>
      <c r="BA1495" s="141">
        <f>COUNTIF(X1495:AN1495,"&lt;&gt;0")</f>
        <v>1</v>
      </c>
      <c r="BB1495">
        <f>COUNTIF(X1495:AE1495,"&lt;&gt;0")</f>
        <v>0</v>
      </c>
      <c r="BC1495">
        <f>COUNTIF(AF1495:AK1495,"&lt;&gt;0")</f>
        <v>0</v>
      </c>
      <c r="BD1495">
        <f>COUNTIF(AL1495:AN1495,"&lt;&gt;0")</f>
        <v>1</v>
      </c>
      <c r="BE1495">
        <f>COUNTIF(AU1495:AY1495,"&lt;&gt;0")</f>
        <v>0</v>
      </c>
      <c r="BF1495">
        <f>COUNTIF(AO1495:AT1495,"&lt;&gt;0")</f>
        <v>0</v>
      </c>
      <c r="BG1495" t="str">
        <f t="array" ref="BG1495">IF(BA1495=1,INDEX($X$7:$AN$7,MATCH(TRUE,INDEX($X1495:$AY1495&lt;&gt;0,),0)),IF(BA1495=0,INDEX($AO$7:$AY$7,MATCH(1,$AO1495:$AY1495,0)),IF(BH1495="Multiple strategies","mixed drivers",IF(BH1495="Supply chain","multiple supply","multiple silviculture"))))</f>
        <v>technologies/design switch</v>
      </c>
      <c r="BH1495" s="2" t="str" cm="1">
        <f t="array" ref="BH1495">IF(COUNTIF(BB1495:BD1495,"&lt;&gt;0")=1,INDEX($X$4:$AY$4,MATCH(TRUE,INDEX($X1495:$AY1495&lt;&gt;0,),0)),IF(COUNTIF(BB1495:BD1495,"&lt;&gt;0")=0,INDEX($AO$4:$AY$4,MATCH(1,$AO1495:$AY1495,0)),"Multiple strategies"))</f>
        <v>Technology</v>
      </c>
      <c r="BI1495" s="142" t="s">
        <v>229</v>
      </c>
      <c r="BJ1495" t="s">
        <v>260</v>
      </c>
      <c r="BK1495" s="260" t="s">
        <v>410</v>
      </c>
      <c r="BL1495" s="143" t="s">
        <v>261</v>
      </c>
      <c r="BM1495">
        <v>37.200000000000003</v>
      </c>
      <c r="BN1495">
        <v>188.5</v>
      </c>
      <c r="BO1495" s="143">
        <f>BN1495/BM1495</f>
        <v>5.0672043010752681</v>
      </c>
      <c r="BP1495">
        <f>BN1495-BM1495</f>
        <v>151.30000000000001</v>
      </c>
      <c r="BQ1495">
        <f>BP1495*kg_to_m3</f>
        <v>0.30877551020408167</v>
      </c>
      <c r="BR1495" t="s">
        <v>232</v>
      </c>
      <c r="BS1495" s="155" t="s">
        <v>2936</v>
      </c>
      <c r="BT1495" t="s">
        <v>262</v>
      </c>
      <c r="BU1495">
        <v>-893</v>
      </c>
      <c r="BV1495">
        <v>-289</v>
      </c>
      <c r="BW1495" s="144">
        <f>IFERROR(BV1495/BU1495,"")</f>
        <v>0.32362821948488241</v>
      </c>
      <c r="BX1495">
        <f>BV1495-BU1495</f>
        <v>604</v>
      </c>
      <c r="BZ1495">
        <f>BX1495/1000</f>
        <v>0.60399999999999998</v>
      </c>
      <c r="CA1495">
        <f>IFERROR(BZ1495/BQ1495,"")</f>
        <v>1.956113681427627</v>
      </c>
      <c r="CB1495" s="143">
        <v>1</v>
      </c>
      <c r="CC1495" s="143">
        <v>0</v>
      </c>
      <c r="CD1495" s="143">
        <v>0</v>
      </c>
      <c r="CE1495" s="143">
        <v>0</v>
      </c>
      <c r="CF1495" s="143">
        <v>0</v>
      </c>
      <c r="CG1495" s="143">
        <v>0</v>
      </c>
      <c r="CH1495" s="143">
        <v>0</v>
      </c>
      <c r="CI1495" s="143">
        <v>1</v>
      </c>
      <c r="CJ1495" s="143">
        <v>0</v>
      </c>
      <c r="CK1495" s="143">
        <v>1</v>
      </c>
      <c r="CL1495" s="143">
        <v>0</v>
      </c>
      <c r="CM1495" s="143">
        <v>0</v>
      </c>
      <c r="CN1495" s="143">
        <v>0</v>
      </c>
      <c r="CO1495">
        <v>0</v>
      </c>
      <c r="CP1495" t="str">
        <f>IF($BN1495&lt;$BM1495,"refNeedCorrection","refOK")</f>
        <v>refOK</v>
      </c>
      <c r="CQ1495">
        <f>IF($CP1495="refOK",$BM1495,$BN1495)</f>
        <v>37.200000000000003</v>
      </c>
      <c r="CR1495">
        <f>IF($CP1495="refOK",$BN1495,$BM1495)</f>
        <v>188.5</v>
      </c>
      <c r="CS1495">
        <f>IF($CP1495="refOK",$BQ1495,-$BQ1495)</f>
        <v>0.30877551020408167</v>
      </c>
      <c r="CT1495">
        <f>IF(BI1495="Roundwood",$CS1495/2,$CS1495)</f>
        <v>0.30877551020408167</v>
      </c>
      <c r="CU1495">
        <f>IF($CP1495="refOK",$BU1495,$BV1495)*IF($BR1495="Emissions positive",-1,1)</f>
        <v>-893</v>
      </c>
      <c r="CV1495">
        <f>IF($CP1495="refOK",$BV1495,$BU1495)*IF($BR1495="Emissions positive",-1,1)</f>
        <v>-289</v>
      </c>
      <c r="CW1495">
        <f>IF($CP1495="refNeedCorrection",-BZ1495,BZ1495)*IF($BR1495="Emissions positive",-1,1)</f>
        <v>0.60399999999999998</v>
      </c>
      <c r="CX1495">
        <f>IFERROR($CW1495/$CS1495,"")</f>
        <v>1.956113681427627</v>
      </c>
      <c r="CY1495">
        <f>IFERROR($CW1495/$CS1495,"")</f>
        <v>1.956113681427627</v>
      </c>
      <c r="CZ1495">
        <f>IFERROR($CW1495/$CT1495,"")</f>
        <v>1.956113681427627</v>
      </c>
      <c r="DA1495" s="2">
        <f>IFERROR((CV1495-CU1495)/ABS(CU1495),"")</f>
        <v>0.67637178051511759</v>
      </c>
      <c r="DB1495" s="1" t="s">
        <v>263</v>
      </c>
      <c r="DC1495" t="str">
        <f>IF(OR($DB1495="prd",$DB1495="std",$DB1495="cit"),"loc",IF(OR($DB1495="eur",$DB1495="reg",$DB1495="coy"),"reg",$DB1495))</f>
        <v>loc</v>
      </c>
      <c r="DD1495" t="s">
        <v>264</v>
      </c>
      <c r="DF1495" s="143"/>
      <c r="DG1495">
        <v>100</v>
      </c>
      <c r="DH1495" t="str">
        <f>IF(DG1495=0,"0",IF(AND(DG1495&gt;=1,DG1495&lt;=30),"1-30",IF(AND(DG1495&gt;30,DG1495&lt;=70),"31-70",IF(AND(DG1495&gt;70,DG1495&lt;=100),"71-100",IF(DG1495&gt;100,"+100")))))</f>
        <v>71-100</v>
      </c>
      <c r="DI1495">
        <v>0</v>
      </c>
      <c r="DJ1495">
        <v>0</v>
      </c>
      <c r="DK1495">
        <v>0</v>
      </c>
      <c r="DL1495">
        <v>1</v>
      </c>
      <c r="DN1495">
        <f>SUM(DI1495:DL1495)</f>
        <v>1</v>
      </c>
      <c r="DO1495" t="str">
        <f>IF(DN1495=1,INDEX($DI$7:$DL$7,MATCH(1,$DI1495:$DL1495,0)),"mixedProduct")</f>
        <v>TimberInput</v>
      </c>
      <c r="DP1495">
        <f>IF(DI1495=1,DP$7,0)</f>
        <v>0</v>
      </c>
      <c r="DQ1495">
        <f>IF(DJ1495=1,DQ$7,0)</f>
        <v>0</v>
      </c>
      <c r="DR1495">
        <f>IF(DK1495=1,DR$7,0)</f>
        <v>0</v>
      </c>
      <c r="DS1495" t="str">
        <f>IF(DL1495=1,DS$7,0)</f>
        <v>Timber</v>
      </c>
      <c r="DT1495">
        <v>0</v>
      </c>
      <c r="DU1495" s="143">
        <v>0</v>
      </c>
      <c r="DV1495" s="143">
        <v>0</v>
      </c>
      <c r="DW1495" s="143">
        <v>0</v>
      </c>
      <c r="DX1495">
        <v>0</v>
      </c>
      <c r="DY1495">
        <f>SUM(DT1495:DU1495)</f>
        <v>0</v>
      </c>
      <c r="DZ1495" s="143" t="str">
        <f>IF(DT1495=1,"self-calculated DF",IF(DU1495=1,"external DF used","explicit C balance"))</f>
        <v>explicit C balance</v>
      </c>
      <c r="EA1495">
        <v>0</v>
      </c>
      <c r="EB1495" s="143">
        <v>0</v>
      </c>
      <c r="EC1495" s="143">
        <v>0</v>
      </c>
      <c r="ED1495" s="143">
        <v>1</v>
      </c>
      <c r="EE1495">
        <v>0</v>
      </c>
      <c r="EF1495" s="143">
        <v>1</v>
      </c>
      <c r="EG1495">
        <v>0</v>
      </c>
      <c r="EH1495" s="143">
        <v>1</v>
      </c>
      <c r="EI1495" s="143">
        <v>1</v>
      </c>
      <c r="EJ1495">
        <v>1</v>
      </c>
      <c r="EK1495">
        <v>0</v>
      </c>
      <c r="EL1495" s="143">
        <v>1</v>
      </c>
      <c r="EM1495">
        <v>0</v>
      </c>
      <c r="EN1495" s="2">
        <v>0</v>
      </c>
      <c r="EP1495" t="str">
        <f>IF(AND(AND(AND(OR($EC1495=1,$EB1495=1),OR($EH1495=1,$EF1495=1)),SUM($EA1495:$EE1495,$EK1495)&gt;=3),SUM($EF1495:$EJ1495)&gt;=2),"Whole sector approach","")</f>
        <v/>
      </c>
      <c r="EQ1495" t="str">
        <f>IF(AND(AND(OR($EC1495=1,$EB1495=1),AND($EH1495=0,$EF1495=0)),SUM($EA1495:$EE1495,$EK1495)&gt;=4),"Ecosystem approach","")</f>
        <v/>
      </c>
      <c r="ER1495" s="2" t="str">
        <f>IF(AND(AND(AND($EC1495=0,$EB1495=0),OR($EH1495=1,$EF1495=1)),SUM($EG1495:$EJ1495)&gt;=2),"Technology approach","")</f>
        <v>Technology approach</v>
      </c>
      <c r="ES1495" t="str">
        <f>IF(AND($EC1495+$EB1495+$EE1495+$EA1495+$ED1495+$EG1495=0,$N1495="included"),"C neutral forest and HWP assumption","")</f>
        <v/>
      </c>
      <c r="ET1495" t="str">
        <f>IF(AND(AND(AND(AND($EC1495=1,$EB1495+$EA1495+$EG1495&gt;=1),$EF1495=1),$EH1495+$EI1495+$ED1495+$EE1495&gt;=2),$N1495="included"),"All C pools assumption","")</f>
        <v/>
      </c>
      <c r="EU1495" t="str">
        <f>IF(AND($ED1495+$EE1495+$EI1495+$EH1495+$EF1495=0,$N1495="included"),"In-situ only assumption","")</f>
        <v/>
      </c>
      <c r="EY1495" t="str">
        <f>IF(ISNUMBER(BW1495),IF(ABS(BW1495-[3]QC_indicators!$B$2)&gt;3*[3]QC_indicators!$C$2,"C ratio",IF(ISNUMBER(CA1495),IF(ABS(CA1495-[3]QC_indicators!$B$1)&gt;3*[3]QC_indicators!$C$1,"DF","no"))),IF(ISNUMBER(CA1495),IF(ABS(CA1495-[3]QC_indicators!$B$1)&gt;3*[3]QC_indicators!$C$1,"DF","no")))</f>
        <v>no</v>
      </c>
      <c r="FA1495" t="str">
        <f>IF(LEN($CY1495)=0,"",IF(AND($CY1495&lt;(-0.05),$ES1495="C neutral forest and HWP assumption"),"Cneutral paradox",IF(AND($CY1495&gt;0.05,$EU1495="In-situ only assumption"),"In-situ only paradox","")))</f>
        <v/>
      </c>
      <c r="FD1495" s="260" t="s">
        <v>2937</v>
      </c>
    </row>
    <row r="1496" spans="1:160" ht="15" hidden="1" customHeight="1">
      <c r="A1496" s="1" t="s">
        <v>265</v>
      </c>
      <c r="B1496" t="s">
        <v>266</v>
      </c>
      <c r="C1496" t="s">
        <v>267</v>
      </c>
      <c r="D1496" t="s">
        <v>268</v>
      </c>
      <c r="E1496" t="s">
        <v>269</v>
      </c>
      <c r="F1496" t="s">
        <v>270</v>
      </c>
      <c r="G1496" t="s">
        <v>271</v>
      </c>
      <c r="H1496" t="s">
        <v>254</v>
      </c>
      <c r="I1496">
        <v>2022</v>
      </c>
      <c r="J1496">
        <v>0</v>
      </c>
      <c r="K1496" t="s">
        <v>272</v>
      </c>
      <c r="M1496" t="s">
        <v>273</v>
      </c>
      <c r="N1496" t="s">
        <v>222</v>
      </c>
      <c r="O1496" s="145" t="s">
        <v>274</v>
      </c>
      <c r="Q1496" t="s">
        <v>224</v>
      </c>
      <c r="R1496" s="258" t="s">
        <v>223</v>
      </c>
      <c r="S1496" s="259" t="s">
        <v>2788</v>
      </c>
      <c r="T1496" t="s">
        <v>275</v>
      </c>
      <c r="U1496" t="s">
        <v>276</v>
      </c>
      <c r="V1496">
        <v>1</v>
      </c>
      <c r="W1496">
        <v>0</v>
      </c>
      <c r="X1496">
        <v>1</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s="141">
        <f>COUNTIF(X1496:AY1496,"&lt;&gt;0")</f>
        <v>1</v>
      </c>
      <c r="BA1496" s="141">
        <f>COUNTIF(X1496:AN1496,"&lt;&gt;0")</f>
        <v>1</v>
      </c>
      <c r="BB1496">
        <f>COUNTIF(X1496:AE1496,"&lt;&gt;0")</f>
        <v>1</v>
      </c>
      <c r="BC1496">
        <f>COUNTIF(AF1496:AK1496,"&lt;&gt;0")</f>
        <v>0</v>
      </c>
      <c r="BD1496">
        <f>COUNTIF(AL1496:AN1496,"&lt;&gt;0")</f>
        <v>0</v>
      </c>
      <c r="BE1496">
        <f>COUNTIF(AU1496:AY1496,"&lt;&gt;0")</f>
        <v>0</v>
      </c>
      <c r="BF1496">
        <f>COUNTIF(AO1496:AT1496,"&lt;&gt;0")</f>
        <v>0</v>
      </c>
      <c r="BG1496" t="str">
        <f t="array" ref="BG1496">IF(BA1496=1,INDEX($X$7:$AN$7,MATCH(TRUE,INDEX($X1496:$AY1496&lt;&gt;0,),0)),IF(BA1496=0,INDEX($AO$7:$AY$7,MATCH(1,$AO1496:$AY1496,0)),IF(BH1496="Multiple strategies","mixed drivers",IF(BH1496="Supply chain","multiple supply","multiple silviculture"))))</f>
        <v>area subject to harvest</v>
      </c>
      <c r="BH1496" s="2" t="str" cm="1">
        <f t="array" ref="BH1496">IF(COUNTIF(BB1496:BD1496,"&lt;&gt;0")=1,INDEX($X$4:$AY$4,MATCH(TRUE,INDEX($X1496:$AY1496&lt;&gt;0,),0)),IF(COUNTIF(BB1496:BD1496,"&lt;&gt;0")=0,INDEX($AO$4:$AY$4,MATCH(1,$AO1496:$AY1496,0)),"Multiple strategies"))</f>
        <v>Silviculture for removals</v>
      </c>
      <c r="BI1496" s="1" t="s">
        <v>229</v>
      </c>
      <c r="BJ1496" t="s">
        <v>277</v>
      </c>
      <c r="BK1496" s="260" t="s">
        <v>2785</v>
      </c>
      <c r="BL1496" t="s">
        <v>278</v>
      </c>
      <c r="BM1496" s="141">
        <v>135.58000000000001</v>
      </c>
      <c r="BN1496">
        <v>145.3587976415094</v>
      </c>
      <c r="BP1496">
        <f>BN1496-BM1496</f>
        <v>9.7787976415093851</v>
      </c>
      <c r="BQ1496">
        <f>BP1496*tC_to_m3</f>
        <v>42.461127405598724</v>
      </c>
      <c r="BR1496" t="s">
        <v>232</v>
      </c>
      <c r="BS1496" s="153" t="s">
        <v>2786</v>
      </c>
      <c r="BT1496" t="s">
        <v>279</v>
      </c>
      <c r="BU1496">
        <v>-430.22235574765915</v>
      </c>
      <c r="BV1496">
        <v>-654.85817268246092</v>
      </c>
      <c r="BW1496" s="144">
        <f>IFERROR(BV1496/BU1496,"")</f>
        <v>1.5221388752437559</v>
      </c>
      <c r="BX1496">
        <f>BV1496-BU1496</f>
        <v>-224.63581693480177</v>
      </c>
      <c r="BZ1496">
        <f>BX1496</f>
        <v>-224.63581693480177</v>
      </c>
      <c r="CA1496">
        <f>IFERROR(BZ1496/BQ1496,"")</f>
        <v>-5.2903874828623216</v>
      </c>
      <c r="CP1496" t="str">
        <f>IF($BN1496&lt;$BM1496,"refNeedCorrection","refOK")</f>
        <v>refOK</v>
      </c>
      <c r="CQ1496">
        <f>IF($CP1496="refOK",$BM1496,$BN1496)</f>
        <v>135.58000000000001</v>
      </c>
      <c r="CR1496">
        <f>IF($CP1496="refOK",$BN1496,$BM1496)</f>
        <v>145.3587976415094</v>
      </c>
      <c r="CS1496">
        <f>IF($CP1496="refOK",$BQ1496,-$BQ1496)</f>
        <v>42.461127405598724</v>
      </c>
      <c r="CT1496">
        <f>IF(BI1496="Roundwood",$CS1496/2,$CS1496)</f>
        <v>42.461127405598724</v>
      </c>
      <c r="CU1496">
        <f>IF($CP1496="refOK",$BU1496,$BV1496)*IF($BR1496="Emissions positive",-1,1)</f>
        <v>-430.22235574765915</v>
      </c>
      <c r="CV1496">
        <f>IF($CP1496="refOK",$BV1496,$BU1496)*IF($BR1496="Emissions positive",-1,1)</f>
        <v>-654.85817268246092</v>
      </c>
      <c r="CW1496">
        <f>IF($CP1496="refNeedCorrection",-BZ1496,BZ1496)*IF($BR1496="Emissions positive",-1,1)</f>
        <v>-224.63581693480177</v>
      </c>
      <c r="CX1496">
        <f>IFERROR($CW1496/$CS1496,"")</f>
        <v>-5.2903874828623216</v>
      </c>
      <c r="CY1496">
        <f>IFERROR($CW1496/$CS1496,"")</f>
        <v>-5.2903874828623216</v>
      </c>
      <c r="CZ1496">
        <f>IFERROR($CW1496/$CT1496,"")</f>
        <v>-5.2903874828623216</v>
      </c>
      <c r="DA1496" s="2">
        <f>IFERROR((CV1496-CU1496)/ABS(CU1496),"")</f>
        <v>-0.52213887524375591</v>
      </c>
      <c r="DB1496" s="1" t="s">
        <v>234</v>
      </c>
      <c r="DC1496" t="str">
        <f>IF(OR($DB1496="prd",$DB1496="std",$DB1496="cit"),"loc",IF(OR($DB1496="eur",$DB1496="reg",$DB1496="coy"),"reg",$DB1496))</f>
        <v>loc</v>
      </c>
      <c r="DD1496" t="s">
        <v>280</v>
      </c>
      <c r="DG1496">
        <v>50</v>
      </c>
      <c r="DH1496" t="str">
        <f>IF(DG1496=0,"0",IF(AND(DG1496&gt;=1,DG1496&lt;=30),"1-30",IF(AND(DG1496&gt;30,DG1496&lt;=70),"31-70",IF(AND(DG1496&gt;70,DG1496&lt;=100),"71-100",IF(DG1496&gt;100,"+100")))))</f>
        <v>31-70</v>
      </c>
      <c r="DI1496">
        <v>0</v>
      </c>
      <c r="DJ1496">
        <v>0</v>
      </c>
      <c r="DK1496">
        <v>0</v>
      </c>
      <c r="DL1496">
        <v>1</v>
      </c>
      <c r="DN1496">
        <v>1</v>
      </c>
      <c r="DO1496" t="s">
        <v>175</v>
      </c>
      <c r="DP1496">
        <v>0</v>
      </c>
      <c r="DQ1496">
        <v>0</v>
      </c>
      <c r="DR1496">
        <v>0</v>
      </c>
      <c r="DS1496" t="s">
        <v>182</v>
      </c>
      <c r="DT1496">
        <v>0</v>
      </c>
      <c r="DU1496">
        <v>1</v>
      </c>
      <c r="DV1496">
        <v>0</v>
      </c>
      <c r="DW1496" t="s">
        <v>281</v>
      </c>
      <c r="DX1496">
        <v>0</v>
      </c>
      <c r="DY1496">
        <v>1</v>
      </c>
      <c r="DZ1496" s="143" t="s">
        <v>282</v>
      </c>
      <c r="EA1496">
        <v>0</v>
      </c>
      <c r="EB1496">
        <v>1</v>
      </c>
      <c r="EC1496">
        <v>1</v>
      </c>
      <c r="ED1496">
        <v>1</v>
      </c>
      <c r="EE1496">
        <v>1</v>
      </c>
      <c r="EF1496" s="143">
        <v>0</v>
      </c>
      <c r="EG1496">
        <v>1</v>
      </c>
      <c r="EH1496">
        <v>1</v>
      </c>
      <c r="EI1496">
        <v>0</v>
      </c>
      <c r="EJ1496">
        <v>1</v>
      </c>
      <c r="EK1496">
        <v>1</v>
      </c>
      <c r="EL1496">
        <v>1</v>
      </c>
      <c r="EM1496">
        <v>0</v>
      </c>
      <c r="EN1496" s="2">
        <v>0</v>
      </c>
      <c r="EP1496" t="str">
        <f>IF(AND(AND(AND(OR($EC1496=1,$EB1496=1),OR($EH1496=1,$EF1496=1)),SUM($EA1496:$EE1496,$EK1496)&gt;=3),SUM($EF1496:$EJ1496)&gt;=2),"Whole sector approach","")</f>
        <v>Whole sector approach</v>
      </c>
      <c r="EQ1496" t="str">
        <f>IF(AND(AND(OR($EC1496=1,$EB1496=1),AND($EH1496=0,$EF1496=0)),SUM($EA1496:$EE1496,$EK1496)&gt;=4),"Ecosystem approach","")</f>
        <v/>
      </c>
      <c r="ER1496" s="2" t="str">
        <f>IF(AND(AND(AND($EC1496=0,$EB1496=0),OR($EH1496=1,$EF1496=1)),SUM($EG1496:$EJ1496)&gt;=2),"Technology approach","")</f>
        <v/>
      </c>
      <c r="ES1496" t="str">
        <f>IF(AND($EC1496+$EB1496+$EE1496+$EA1496+$ED1496+$EG1496=0,$N1496="included"),"C neutral forest and HWP assumption","")</f>
        <v/>
      </c>
      <c r="ET1496" t="str">
        <f>IF(AND(AND(AND(AND($EC1496=1,$EB1496+$EA1496+$EG1496&gt;=1),$EF1496=1),$EH1496+$EI1496+$ED1496+$EE1496&gt;=2),$N1496="included"),"All C pools assumption","")</f>
        <v/>
      </c>
      <c r="EU1496" t="str">
        <f>IF(AND($ED1496+$EE1496+$EI1496+$EH1496+$EF1496=0,$N1496="included"),"In-situ only assumption","")</f>
        <v/>
      </c>
      <c r="FA1496" t="str">
        <f>IF(LEN($CY1496)=0,"",IF(AND($CY1496&lt;(-0.05),$ES1496="C neutral forest and HWP assumption"),"Cneutral paradox",IF(AND($CY1496&gt;0.05,$EU1496="In-situ only assumption"),"In-situ only paradox","")))</f>
        <v/>
      </c>
      <c r="FD1496" s="260" t="s">
        <v>2948</v>
      </c>
    </row>
    <row r="1497" spans="1:160" ht="15" hidden="1" customHeight="1">
      <c r="A1497" s="1" t="s">
        <v>265</v>
      </c>
      <c r="B1497" t="s">
        <v>266</v>
      </c>
      <c r="C1497" t="s">
        <v>267</v>
      </c>
      <c r="D1497" t="s">
        <v>268</v>
      </c>
      <c r="E1497" t="s">
        <v>269</v>
      </c>
      <c r="F1497" t="s">
        <v>270</v>
      </c>
      <c r="G1497" t="s">
        <v>271</v>
      </c>
      <c r="H1497" t="s">
        <v>254</v>
      </c>
      <c r="I1497">
        <v>2022</v>
      </c>
      <c r="J1497">
        <v>0</v>
      </c>
      <c r="K1497" t="s">
        <v>272</v>
      </c>
      <c r="M1497" t="s">
        <v>273</v>
      </c>
      <c r="N1497" t="s">
        <v>222</v>
      </c>
      <c r="O1497" s="145" t="s">
        <v>274</v>
      </c>
      <c r="Q1497" t="s">
        <v>224</v>
      </c>
      <c r="R1497" s="258" t="s">
        <v>223</v>
      </c>
      <c r="S1497" s="1" t="s">
        <v>287</v>
      </c>
      <c r="T1497" t="s">
        <v>288</v>
      </c>
      <c r="U1497" t="s">
        <v>289</v>
      </c>
      <c r="V1497" s="253">
        <v>0</v>
      </c>
      <c r="W1497" s="253">
        <v>0</v>
      </c>
      <c r="X1497">
        <v>0</v>
      </c>
      <c r="Y1497">
        <v>0</v>
      </c>
      <c r="Z1497">
        <v>0</v>
      </c>
      <c r="AA1497">
        <v>0</v>
      </c>
      <c r="AB1497">
        <v>0</v>
      </c>
      <c r="AC1497">
        <v>0</v>
      </c>
      <c r="AD1497">
        <v>0</v>
      </c>
      <c r="AE1497">
        <v>1</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s="141">
        <f>COUNTIF(X1497:AY1497,"&lt;&gt;0")</f>
        <v>1</v>
      </c>
      <c r="BA1497" s="141">
        <f>COUNTIF(X1497:AN1497,"&lt;&gt;0")</f>
        <v>1</v>
      </c>
      <c r="BB1497">
        <f>COUNTIF(X1497:AE1497,"&lt;&gt;0")</f>
        <v>1</v>
      </c>
      <c r="BC1497">
        <f>COUNTIF(AF1497:AK1497,"&lt;&gt;0")</f>
        <v>0</v>
      </c>
      <c r="BD1497">
        <f>COUNTIF(AL1497:AN1497,"&lt;&gt;0")</f>
        <v>0</v>
      </c>
      <c r="BE1497">
        <f>COUNTIF(AU1497:AY1497,"&lt;&gt;0")</f>
        <v>0</v>
      </c>
      <c r="BF1497">
        <f>COUNTIF(AO1497:AT1497,"&lt;&gt;0")</f>
        <v>0</v>
      </c>
      <c r="BG1497" t="str">
        <f t="array" ref="BG1497">IF(BA1497=1,INDEX($X$7:$AN$7,MATCH(TRUE,INDEX($X1497:$AY1497&lt;&gt;0,),0)),IF(BA1497=0,INDEX($AO$7:$AY$7,MATCH(1,$AO1497:$AY1497,0)),IF(BH1497="Multiple strategies","mixed drivers",IF(BH1497="Supply chain","multiple supply","multiple silviculture"))))</f>
        <v>site fertility</v>
      </c>
      <c r="BH1497" s="2" t="str" cm="1">
        <f t="array" ref="BH1497">IF(COUNTIF(BB1497:BD1497,"&lt;&gt;0")=1,INDEX($X$4:$AY$4,MATCH(TRUE,INDEX($X1497:$AY1497&lt;&gt;0,),0)),IF(COUNTIF(BB1497:BD1497,"&lt;&gt;0")=0,INDEX($AO$4:$AY$4,MATCH(1,$AO1497:$AY1497,0)),"Multiple strategies"))</f>
        <v>Silviculture for productivity</v>
      </c>
      <c r="BI1497" s="1" t="s">
        <v>229</v>
      </c>
      <c r="BJ1497" t="s">
        <v>277</v>
      </c>
      <c r="BK1497" s="260" t="s">
        <v>2785</v>
      </c>
      <c r="BL1497" t="s">
        <v>278</v>
      </c>
      <c r="BM1497">
        <v>656.10508355919967</v>
      </c>
      <c r="BN1497">
        <v>757.78980054033161</v>
      </c>
      <c r="BP1497">
        <f>BN1497-BM1497</f>
        <v>101.68471698113194</v>
      </c>
      <c r="BQ1497">
        <f>BP1497*tC_to_m3</f>
        <v>441.53155441220991</v>
      </c>
      <c r="BR1497" t="s">
        <v>232</v>
      </c>
      <c r="BS1497" s="153" t="s">
        <v>2786</v>
      </c>
      <c r="BT1497" t="s">
        <v>279</v>
      </c>
      <c r="BU1497">
        <v>-227.6520247861325</v>
      </c>
      <c r="BV1497">
        <v>-1160.011828609915</v>
      </c>
      <c r="BW1497" s="144">
        <f>IFERROR(BV1497/BU1497,"")</f>
        <v>5.0955480395998549</v>
      </c>
      <c r="BX1497">
        <f>BV1497-BU1497</f>
        <v>-932.3598038237825</v>
      </c>
      <c r="BZ1497">
        <f>BX1497</f>
        <v>-932.3598038237825</v>
      </c>
      <c r="CA1497">
        <f>IFERROR(BZ1497/BQ1497,"")</f>
        <v>-2.1116493136373662</v>
      </c>
      <c r="CB1497">
        <v>0</v>
      </c>
      <c r="CC1497">
        <v>0</v>
      </c>
      <c r="CD1497">
        <v>0</v>
      </c>
      <c r="CE1497">
        <v>0</v>
      </c>
      <c r="CF1497">
        <v>0</v>
      </c>
      <c r="CG1497">
        <v>0</v>
      </c>
      <c r="CH1497">
        <v>0</v>
      </c>
      <c r="CI1497">
        <v>0</v>
      </c>
      <c r="CJ1497">
        <v>0</v>
      </c>
      <c r="CK1497">
        <v>0</v>
      </c>
      <c r="CL1497">
        <v>0</v>
      </c>
      <c r="CM1497">
        <v>0</v>
      </c>
      <c r="CN1497">
        <v>0</v>
      </c>
      <c r="CO1497">
        <v>0</v>
      </c>
      <c r="CP1497" t="str">
        <f>IF($BN1497&lt;$BM1497,"refNeedCorrection","refOK")</f>
        <v>refOK</v>
      </c>
      <c r="CQ1497">
        <f>IF($CP1497="refOK",$BM1497,$BN1497)</f>
        <v>656.10508355919967</v>
      </c>
      <c r="CR1497">
        <f>IF($CP1497="refOK",$BN1497,$BM1497)</f>
        <v>757.78980054033161</v>
      </c>
      <c r="CS1497">
        <f>IF($CP1497="refOK",$BQ1497,-$BQ1497)</f>
        <v>441.53155441220991</v>
      </c>
      <c r="CT1497">
        <f>IF(BI1497="Roundwood",$CS1497/2,$CS1497)</f>
        <v>441.53155441220991</v>
      </c>
      <c r="CU1497">
        <f>IF($CP1497="refOK",$BU1497,$BV1497)*IF($BR1497="Emissions positive",-1,1)</f>
        <v>-227.6520247861325</v>
      </c>
      <c r="CV1497">
        <f>IF($CP1497="refOK",$BV1497,$BU1497)*IF($BR1497="Emissions positive",-1,1)</f>
        <v>-1160.011828609915</v>
      </c>
      <c r="CW1497">
        <f>IF($CP1497="refNeedCorrection",-BZ1497,BZ1497)*IF($BR1497="Emissions positive",-1,1)</f>
        <v>-932.3598038237825</v>
      </c>
      <c r="CX1497">
        <f>IFERROR($CW1497/$CS1497,"")</f>
        <v>-2.1116493136373662</v>
      </c>
      <c r="CY1497">
        <f>IFERROR($CW1497/$CS1497,"")</f>
        <v>-2.1116493136373662</v>
      </c>
      <c r="CZ1497">
        <f>IFERROR($CW1497/$CT1497,"")</f>
        <v>-2.1116493136373662</v>
      </c>
      <c r="DA1497" s="2">
        <f>IFERROR((CV1497-CU1497)/ABS(CU1497),"")</f>
        <v>-4.0955480395998549</v>
      </c>
      <c r="DB1497" s="1" t="s">
        <v>234</v>
      </c>
      <c r="DC1497" t="str">
        <f>IF(OR($DB1497="prd",$DB1497="std",$DB1497="cit"),"loc",IF(OR($DB1497="eur",$DB1497="reg",$DB1497="coy"),"reg",$DB1497))</f>
        <v>loc</v>
      </c>
      <c r="DD1497" t="s">
        <v>280</v>
      </c>
      <c r="DG1497">
        <v>200</v>
      </c>
      <c r="DH1497" t="str">
        <f>IF(DG1497=0,"0",IF(AND(DG1497&gt;=1,DG1497&lt;=30),"1-30",IF(AND(DG1497&gt;30,DG1497&lt;=70),"31-70",IF(AND(DG1497&gt;70,DG1497&lt;=100),"71-100",IF(DG1497&gt;100,"+100")))))</f>
        <v>+100</v>
      </c>
      <c r="DI1497">
        <v>0</v>
      </c>
      <c r="DJ1497">
        <v>0</v>
      </c>
      <c r="DK1497">
        <v>0</v>
      </c>
      <c r="DL1497">
        <v>1</v>
      </c>
      <c r="DN1497">
        <v>1</v>
      </c>
      <c r="DO1497" t="s">
        <v>175</v>
      </c>
      <c r="DP1497">
        <v>0</v>
      </c>
      <c r="DQ1497">
        <v>0</v>
      </c>
      <c r="DR1497">
        <v>0</v>
      </c>
      <c r="DS1497" t="s">
        <v>182</v>
      </c>
      <c r="DT1497">
        <v>0</v>
      </c>
      <c r="DU1497">
        <v>1</v>
      </c>
      <c r="DV1497">
        <v>0</v>
      </c>
      <c r="DW1497" t="s">
        <v>281</v>
      </c>
      <c r="DX1497">
        <v>0</v>
      </c>
      <c r="DY1497">
        <v>1</v>
      </c>
      <c r="DZ1497" s="143" t="s">
        <v>282</v>
      </c>
      <c r="EA1497">
        <v>0</v>
      </c>
      <c r="EB1497">
        <v>1</v>
      </c>
      <c r="EC1497">
        <v>1</v>
      </c>
      <c r="ED1497">
        <v>1</v>
      </c>
      <c r="EE1497">
        <v>1</v>
      </c>
      <c r="EF1497" s="143">
        <v>0</v>
      </c>
      <c r="EG1497">
        <v>1</v>
      </c>
      <c r="EH1497">
        <v>1</v>
      </c>
      <c r="EI1497">
        <v>0</v>
      </c>
      <c r="EJ1497">
        <v>1</v>
      </c>
      <c r="EK1497">
        <v>1</v>
      </c>
      <c r="EL1497">
        <v>1</v>
      </c>
      <c r="EM1497">
        <v>0</v>
      </c>
      <c r="EN1497" s="2">
        <v>0</v>
      </c>
      <c r="EP1497" t="str">
        <f>IF(AND(AND(AND(OR($EC1497=1,$EB1497=1),OR($EH1497=1,$EF1497=1)),SUM($EA1497:$EE1497,$EK1497)&gt;=3),SUM($EF1497:$EJ1497)&gt;=2),"Whole sector approach","")</f>
        <v>Whole sector approach</v>
      </c>
      <c r="EQ1497" t="str">
        <f>IF(AND(AND(OR($EC1497=1,$EB1497=1),AND($EH1497=0,$EF1497=0)),SUM($EA1497:$EE1497,$EK1497)&gt;=4),"Ecosystem approach","")</f>
        <v/>
      </c>
      <c r="ER1497" s="2" t="str">
        <f>IF(AND(AND(AND($EC1497=0,$EB1497=0),OR($EH1497=1,$EF1497=1)),SUM($EG1497:$EJ1497)&gt;=2),"Technology approach","")</f>
        <v/>
      </c>
      <c r="ES1497" t="str">
        <f>IF(AND($EC1497+$EB1497+$EE1497+$EA1497+$ED1497+$EG1497=0,$N1497="included"),"C neutral forest and HWP assumption","")</f>
        <v/>
      </c>
      <c r="ET1497" t="str">
        <f>IF(AND(AND(AND(AND($EC1497=1,$EB1497+$EA1497+$EG1497&gt;=1),$EF1497=1),$EH1497+$EI1497+$ED1497+$EE1497&gt;=2),$N1497="included"),"All C pools assumption","")</f>
        <v/>
      </c>
      <c r="EU1497" t="str">
        <f>IF(AND($ED1497+$EE1497+$EI1497+$EH1497+$EF1497=0,$N1497="included"),"In-situ only assumption","")</f>
        <v/>
      </c>
      <c r="FA1497" t="str">
        <f>IF(LEN($CY1497)=0,"",IF(AND($CY1497&lt;(-0.05),$ES1497="C neutral forest and HWP assumption"),"Cneutral paradox",IF(AND($CY1497&gt;0.05,$EU1497="In-situ only assumption"),"In-situ only paradox","")))</f>
        <v/>
      </c>
      <c r="FB1497" t="s">
        <v>290</v>
      </c>
      <c r="FD1497" s="260" t="s">
        <v>2948</v>
      </c>
    </row>
    <row r="1498" spans="1:160" ht="15" hidden="1" customHeight="1">
      <c r="A1498" s="1" t="s">
        <v>265</v>
      </c>
      <c r="B1498" t="s">
        <v>266</v>
      </c>
      <c r="C1498" t="s">
        <v>267</v>
      </c>
      <c r="D1498" t="s">
        <v>268</v>
      </c>
      <c r="E1498" t="s">
        <v>269</v>
      </c>
      <c r="F1498" t="s">
        <v>270</v>
      </c>
      <c r="G1498" t="s">
        <v>271</v>
      </c>
      <c r="H1498" t="s">
        <v>254</v>
      </c>
      <c r="I1498">
        <v>2022</v>
      </c>
      <c r="J1498">
        <v>0</v>
      </c>
      <c r="K1498" t="s">
        <v>272</v>
      </c>
      <c r="M1498" t="str">
        <f>LEFT($D1498,FIND(",",$D1498)-1)&amp;"_"&amp;I1498&amp;L1498</f>
        <v>Aryapratama_2022</v>
      </c>
      <c r="N1498" t="s">
        <v>222</v>
      </c>
      <c r="O1498" s="145" t="s">
        <v>274</v>
      </c>
      <c r="Q1498" t="s">
        <v>224</v>
      </c>
      <c r="R1498" s="258" t="s">
        <v>223</v>
      </c>
      <c r="S1498" s="259" t="s">
        <v>2784</v>
      </c>
      <c r="T1498" t="s">
        <v>291</v>
      </c>
      <c r="U1498" t="s">
        <v>276</v>
      </c>
      <c r="V1498" s="253">
        <v>0</v>
      </c>
      <c r="W1498" s="253">
        <v>0</v>
      </c>
      <c r="X1498">
        <v>0</v>
      </c>
      <c r="Y1498">
        <v>0</v>
      </c>
      <c r="Z1498">
        <v>0</v>
      </c>
      <c r="AA1498">
        <v>0</v>
      </c>
      <c r="AB1498">
        <v>0</v>
      </c>
      <c r="AC1498">
        <v>0</v>
      </c>
      <c r="AD1498">
        <v>0</v>
      </c>
      <c r="AE1498">
        <v>0</v>
      </c>
      <c r="AF1498">
        <v>0</v>
      </c>
      <c r="AG1498">
        <v>0</v>
      </c>
      <c r="AH1498">
        <v>0</v>
      </c>
      <c r="AI1498">
        <v>0</v>
      </c>
      <c r="AJ1498">
        <v>0</v>
      </c>
      <c r="AK1498">
        <v>0</v>
      </c>
      <c r="AL1498">
        <v>0</v>
      </c>
      <c r="AM1498">
        <v>1</v>
      </c>
      <c r="AN1498">
        <v>0</v>
      </c>
      <c r="AO1498">
        <v>0</v>
      </c>
      <c r="AP1498">
        <v>0</v>
      </c>
      <c r="AQ1498">
        <v>0</v>
      </c>
      <c r="AR1498">
        <v>0</v>
      </c>
      <c r="AS1498">
        <v>0</v>
      </c>
      <c r="AT1498">
        <v>0</v>
      </c>
      <c r="AU1498">
        <v>0</v>
      </c>
      <c r="AV1498">
        <v>0</v>
      </c>
      <c r="AW1498">
        <v>0</v>
      </c>
      <c r="AX1498">
        <v>0</v>
      </c>
      <c r="AY1498">
        <v>0</v>
      </c>
      <c r="AZ1498" s="141">
        <f>COUNTIF(X1498:AY1498,"&lt;&gt;0")</f>
        <v>1</v>
      </c>
      <c r="BA1498" s="141">
        <f>COUNTIF(X1498:AN1498,"&lt;&gt;0")</f>
        <v>1</v>
      </c>
      <c r="BB1498">
        <f>COUNTIF(X1498:AE1498,"&lt;&gt;0")</f>
        <v>0</v>
      </c>
      <c r="BC1498">
        <f>COUNTIF(AF1498:AK1498,"&lt;&gt;0")</f>
        <v>0</v>
      </c>
      <c r="BD1498">
        <f>COUNTIF(AL1498:AN1498,"&lt;&gt;0")</f>
        <v>1</v>
      </c>
      <c r="BE1498">
        <f>COUNTIF(AU1498:AY1498,"&lt;&gt;0")</f>
        <v>0</v>
      </c>
      <c r="BF1498">
        <f>COUNTIF(AO1498:AT1498,"&lt;&gt;0")</f>
        <v>0</v>
      </c>
      <c r="BG1498" t="str">
        <f t="array" ref="BG1498">IF(BA1498=1,INDEX($X$7:$AN$7,MATCH(TRUE,INDEX($X1498:$AY1498&lt;&gt;0,),0)),IF(BA1498=0,INDEX($AO$7:$AY$7,MATCH(1,$AO1498:$AY1498,0)),IF(BH1498="Multiple strategies","mixed drivers",IF(BH1498="Supply chain","multiple supply","multiple silviculture"))))</f>
        <v>technologies/design switch</v>
      </c>
      <c r="BH1498" s="2" t="str" cm="1">
        <f t="array" ref="BH1498">IF(COUNTIF(BB1498:BD1498,"&lt;&gt;0")=1,INDEX($X$4:$AY$4,MATCH(TRUE,INDEX($X1498:$AY1498&lt;&gt;0,),0)),IF(COUNTIF(BB1498:BD1498,"&lt;&gt;0")=0,INDEX($AO$4:$AY$4,MATCH(1,$AO1498:$AY1498,0)),"Multiple strategies"))</f>
        <v>Technology</v>
      </c>
      <c r="BI1498" s="1" t="s">
        <v>229</v>
      </c>
      <c r="BJ1498" t="s">
        <v>277</v>
      </c>
      <c r="BK1498" s="260" t="s">
        <v>2785</v>
      </c>
      <c r="BL1498" t="s">
        <v>278</v>
      </c>
      <c r="BM1498">
        <v>0</v>
      </c>
      <c r="BN1498">
        <v>204.03384764150945</v>
      </c>
      <c r="BP1498">
        <f>BN1498-BM1498</f>
        <v>204.03384764150945</v>
      </c>
      <c r="BQ1498">
        <f>BP1498*tC_to_m3</f>
        <v>885.9481009184085</v>
      </c>
      <c r="BR1498" t="s">
        <v>232</v>
      </c>
      <c r="BS1498" s="153" t="s">
        <v>2786</v>
      </c>
      <c r="BT1498" t="s">
        <v>279</v>
      </c>
      <c r="BU1498">
        <v>-514.73759172333291</v>
      </c>
      <c r="BV1498">
        <v>-1206.3347109067272</v>
      </c>
      <c r="BW1498" s="144">
        <f>IFERROR(BV1498/BU1498,"")</f>
        <v>2.3435916286353571</v>
      </c>
      <c r="BX1498">
        <f>BV1498-BU1498</f>
        <v>-691.59711918339428</v>
      </c>
      <c r="BZ1498">
        <f>BX1498</f>
        <v>-691.59711918339428</v>
      </c>
      <c r="CA1498">
        <f>IFERROR(BZ1498/BQ1498,"")</f>
        <v>-0.78062938276684335</v>
      </c>
      <c r="CB1498">
        <v>0</v>
      </c>
      <c r="CC1498">
        <v>0</v>
      </c>
      <c r="CD1498">
        <v>0</v>
      </c>
      <c r="CE1498">
        <v>0</v>
      </c>
      <c r="CF1498">
        <v>0</v>
      </c>
      <c r="CG1498">
        <v>0</v>
      </c>
      <c r="CH1498">
        <v>0</v>
      </c>
      <c r="CI1498">
        <v>0</v>
      </c>
      <c r="CJ1498">
        <v>0</v>
      </c>
      <c r="CK1498">
        <v>0</v>
      </c>
      <c r="CL1498">
        <v>0</v>
      </c>
      <c r="CM1498">
        <v>0</v>
      </c>
      <c r="CN1498">
        <v>0</v>
      </c>
      <c r="CO1498">
        <v>0</v>
      </c>
      <c r="CP1498" t="str">
        <f>IF($BN1498&lt;$BM1498,"refNeedCorrection","refOK")</f>
        <v>refOK</v>
      </c>
      <c r="CQ1498">
        <f>IF($CP1498="refOK",$BM1498,$BN1498)</f>
        <v>0</v>
      </c>
      <c r="CR1498">
        <f>IF($CP1498="refOK",$BN1498,$BM1498)</f>
        <v>204.03384764150945</v>
      </c>
      <c r="CS1498">
        <f>IF($CP1498="refOK",$BQ1498,-$BQ1498)</f>
        <v>885.9481009184085</v>
      </c>
      <c r="CT1498">
        <f>IF(BI1498="Roundwood",$CS1498/2,$CS1498)</f>
        <v>885.9481009184085</v>
      </c>
      <c r="CU1498">
        <f>IF($CP1498="refOK",$BU1498,$BV1498)*IF($BR1498="Emissions positive",-1,1)</f>
        <v>-514.73759172333291</v>
      </c>
      <c r="CV1498">
        <f>IF($CP1498="refOK",$BV1498,$BU1498)*IF($BR1498="Emissions positive",-1,1)</f>
        <v>-1206.3347109067272</v>
      </c>
      <c r="CW1498">
        <f>IF($CP1498="refNeedCorrection",-BZ1498,BZ1498)*IF($BR1498="Emissions positive",-1,1)</f>
        <v>-691.59711918339428</v>
      </c>
      <c r="CX1498">
        <f>IFERROR($CW1498/$CS1498,"")</f>
        <v>-0.78062938276684335</v>
      </c>
      <c r="CY1498">
        <f>IFERROR($CW1498/$CS1498,"")</f>
        <v>-0.78062938276684335</v>
      </c>
      <c r="CZ1498">
        <f>IFERROR($CW1498/$CT1498,"")</f>
        <v>-0.78062938276684335</v>
      </c>
      <c r="DA1498" s="2">
        <f>IFERROR((CV1498-CU1498)/ABS(CU1498),"")</f>
        <v>-1.3435916286353569</v>
      </c>
      <c r="DB1498" s="1" t="s">
        <v>234</v>
      </c>
      <c r="DC1498" t="str">
        <f>IF(OR($DB1498="prd",$DB1498="std",$DB1498="cit"),"loc",IF(OR($DB1498="eur",$DB1498="reg",$DB1498="coy"),"reg",$DB1498))</f>
        <v>loc</v>
      </c>
      <c r="DD1498" t="s">
        <v>280</v>
      </c>
      <c r="DG1498">
        <v>200</v>
      </c>
      <c r="DH1498" t="str">
        <f>IF(DG1498=0,"0",IF(AND(DG1498&gt;=1,DG1498&lt;=30),"1-30",IF(AND(DG1498&gt;30,DG1498&lt;=70),"31-70",IF(AND(DG1498&gt;70,DG1498&lt;=100),"71-100",IF(DG1498&gt;100,"+100")))))</f>
        <v>+100</v>
      </c>
      <c r="DI1498">
        <v>0</v>
      </c>
      <c r="DJ1498">
        <v>0</v>
      </c>
      <c r="DK1498">
        <v>0</v>
      </c>
      <c r="DL1498">
        <v>1</v>
      </c>
      <c r="DN1498">
        <f>SUM(DI1498:DL1498)</f>
        <v>1</v>
      </c>
      <c r="DO1498" t="str">
        <f>IF(DN1498=1,INDEX($DI$7:$DL$7,MATCH(1,$DI1498:$DL1498,0)),"mixedProduct")</f>
        <v>TimberInput</v>
      </c>
      <c r="DP1498">
        <f>IF(DI1498=1,DP$7,0)</f>
        <v>0</v>
      </c>
      <c r="DQ1498">
        <f>IF(DJ1498=1,DQ$7,0)</f>
        <v>0</v>
      </c>
      <c r="DR1498">
        <f>IF(DK1498=1,DR$7,0)</f>
        <v>0</v>
      </c>
      <c r="DS1498" t="str">
        <f>IF(DL1498=1,DS$7,0)</f>
        <v>Timber</v>
      </c>
      <c r="DT1498">
        <v>0</v>
      </c>
      <c r="DU1498">
        <v>1</v>
      </c>
      <c r="DV1498">
        <v>0</v>
      </c>
      <c r="DW1498" t="s">
        <v>292</v>
      </c>
      <c r="DX1498">
        <v>0</v>
      </c>
      <c r="DY1498">
        <f>SUM(DT1498:DU1498)</f>
        <v>1</v>
      </c>
      <c r="DZ1498" s="143" t="str">
        <f>IF(DT1498=1,"self-calculated DF",IF(DU1498=1,"external DF used","explicit C balance"))</f>
        <v>external DF used</v>
      </c>
      <c r="EA1498">
        <v>0</v>
      </c>
      <c r="EB1498">
        <v>1</v>
      </c>
      <c r="EC1498">
        <v>1</v>
      </c>
      <c r="ED1498">
        <v>1</v>
      </c>
      <c r="EE1498">
        <v>1</v>
      </c>
      <c r="EF1498" s="143">
        <v>0</v>
      </c>
      <c r="EG1498">
        <v>1</v>
      </c>
      <c r="EH1498">
        <v>1</v>
      </c>
      <c r="EI1498">
        <v>0</v>
      </c>
      <c r="EJ1498">
        <v>1</v>
      </c>
      <c r="EK1498">
        <v>1</v>
      </c>
      <c r="EL1498">
        <v>1</v>
      </c>
      <c r="EM1498">
        <v>0</v>
      </c>
      <c r="EN1498" s="2">
        <v>0</v>
      </c>
      <c r="EP1498" t="str">
        <f>IF(AND(AND(AND(OR($EC1498=1,$EB1498=1),OR($EH1498=1,$EF1498=1)),SUM($EA1498:$EE1498,$EK1498)&gt;=3),SUM($EF1498:$EJ1498)&gt;=2),"Whole sector approach","")</f>
        <v>Whole sector approach</v>
      </c>
      <c r="EQ1498" t="str">
        <f>IF(AND(AND(OR($EC1498=1,$EB1498=1),AND($EH1498=0,$EF1498=0)),SUM($EA1498:$EE1498,$EK1498)&gt;=4),"Ecosystem approach","")</f>
        <v/>
      </c>
      <c r="ER1498" s="2" t="str">
        <f>IF(AND(AND(AND($EC1498=0,$EB1498=0),OR($EH1498=1,$EF1498=1)),SUM($EG1498:$EJ1498)&gt;=2),"Technology approach","")</f>
        <v/>
      </c>
      <c r="ES1498" t="str">
        <f>IF(AND($EC1498+$EB1498+$EE1498+$EA1498+$ED1498+$EG1498=0,$N1498="included"),"C neutral forest and HWP assumption","")</f>
        <v/>
      </c>
      <c r="ET1498" t="str">
        <f>IF(AND(AND(AND(AND($EC1498=1,$EB1498+$EA1498+$EG1498&gt;=1),$EF1498=1),$EH1498+$EI1498+$ED1498+$EE1498&gt;=2),$N1498="included"),"All C pools assumption","")</f>
        <v/>
      </c>
      <c r="EU1498" t="str">
        <f>IF(AND($ED1498+$EE1498+$EI1498+$EH1498+$EF1498=0,$N1498="included"),"In-situ only assumption","")</f>
        <v/>
      </c>
      <c r="EY1498" t="str">
        <f>IF(ISNUMBER(BW1498),IF(ABS(BW1498-[2]QC_indicators!$B$2)&gt;3*[2]QC_indicators!$C$2,"C ratio",IF(ISNUMBER(CA1498),IF(ABS(CA1498-[2]QC_indicators!$B$1)&gt;3*[2]QC_indicators!$C$1,"DF","no"))),IF(ISNUMBER(CA1498),IF(ABS(CA1498-[2]QC_indicators!$B$1)&gt;3*[2]QC_indicators!$C$1,"DF","no")))</f>
        <v>no</v>
      </c>
      <c r="EZ1498" t="s">
        <v>286</v>
      </c>
      <c r="FA1498" t="str">
        <f>IF(LEN($CY1498)=0,"",IF(AND($CY1498&lt;(-0.05),$ES1498="C neutral forest and HWP assumption"),"Cneutral paradox",IF(AND($CY1498&gt;0.05,$EU1498="In-situ only assumption"),"In-situ only paradox","")))</f>
        <v/>
      </c>
      <c r="FD1498" s="260" t="s">
        <v>2948</v>
      </c>
    </row>
    <row r="1499" spans="1:160" ht="15" hidden="1" customHeight="1">
      <c r="A1499" s="1" t="s">
        <v>265</v>
      </c>
      <c r="B1499" t="s">
        <v>266</v>
      </c>
      <c r="C1499" t="s">
        <v>267</v>
      </c>
      <c r="D1499" t="s">
        <v>268</v>
      </c>
      <c r="E1499" t="s">
        <v>269</v>
      </c>
      <c r="F1499" t="s">
        <v>270</v>
      </c>
      <c r="G1499" t="s">
        <v>271</v>
      </c>
      <c r="H1499" t="s">
        <v>254</v>
      </c>
      <c r="I1499">
        <v>2022</v>
      </c>
      <c r="J1499">
        <v>0</v>
      </c>
      <c r="K1499" t="s">
        <v>272</v>
      </c>
      <c r="M1499" t="str">
        <f>LEFT($D1499,FIND(",",$D1499)-1)&amp;"_"&amp;I1499&amp;L1499</f>
        <v>Aryapratama_2022</v>
      </c>
      <c r="N1499" t="s">
        <v>222</v>
      </c>
      <c r="O1499" s="145" t="s">
        <v>274</v>
      </c>
      <c r="Q1499" t="s">
        <v>224</v>
      </c>
      <c r="R1499" s="258" t="s">
        <v>223</v>
      </c>
      <c r="S1499" s="259" t="s">
        <v>2784</v>
      </c>
      <c r="T1499" t="s">
        <v>293</v>
      </c>
      <c r="U1499" t="s">
        <v>275</v>
      </c>
      <c r="V1499" s="253">
        <v>0</v>
      </c>
      <c r="W1499" s="253">
        <v>0</v>
      </c>
      <c r="X1499">
        <v>0</v>
      </c>
      <c r="Y1499">
        <v>0</v>
      </c>
      <c r="Z1499">
        <v>0</v>
      </c>
      <c r="AA1499">
        <v>0</v>
      </c>
      <c r="AB1499">
        <v>0</v>
      </c>
      <c r="AC1499">
        <v>0</v>
      </c>
      <c r="AD1499">
        <v>0</v>
      </c>
      <c r="AE1499">
        <v>0</v>
      </c>
      <c r="AF1499">
        <v>0</v>
      </c>
      <c r="AG1499">
        <v>0</v>
      </c>
      <c r="AH1499">
        <v>0</v>
      </c>
      <c r="AI1499">
        <v>0</v>
      </c>
      <c r="AJ1499">
        <v>0</v>
      </c>
      <c r="AK1499">
        <v>0</v>
      </c>
      <c r="AL1499">
        <v>0</v>
      </c>
      <c r="AM1499">
        <v>1</v>
      </c>
      <c r="AN1499">
        <v>0</v>
      </c>
      <c r="AO1499">
        <v>0</v>
      </c>
      <c r="AP1499">
        <v>0</v>
      </c>
      <c r="AQ1499">
        <v>0</v>
      </c>
      <c r="AR1499">
        <v>0</v>
      </c>
      <c r="AS1499">
        <v>0</v>
      </c>
      <c r="AT1499">
        <v>0</v>
      </c>
      <c r="AU1499">
        <v>0</v>
      </c>
      <c r="AV1499">
        <v>0</v>
      </c>
      <c r="AW1499">
        <v>0</v>
      </c>
      <c r="AX1499">
        <v>0</v>
      </c>
      <c r="AY1499">
        <v>0</v>
      </c>
      <c r="AZ1499" s="141">
        <f>COUNTIF(X1499:AY1499,"&lt;&gt;0")</f>
        <v>1</v>
      </c>
      <c r="BA1499" s="141">
        <f>COUNTIF(X1499:AN1499,"&lt;&gt;0")</f>
        <v>1</v>
      </c>
      <c r="BB1499">
        <f>COUNTIF(X1499:AE1499,"&lt;&gt;0")</f>
        <v>0</v>
      </c>
      <c r="BC1499">
        <f>COUNTIF(AF1499:AK1499,"&lt;&gt;0")</f>
        <v>0</v>
      </c>
      <c r="BD1499">
        <f>COUNTIF(AL1499:AN1499,"&lt;&gt;0")</f>
        <v>1</v>
      </c>
      <c r="BE1499">
        <f>COUNTIF(AU1499:AY1499,"&lt;&gt;0")</f>
        <v>0</v>
      </c>
      <c r="BF1499">
        <f>COUNTIF(AO1499:AT1499,"&lt;&gt;0")</f>
        <v>0</v>
      </c>
      <c r="BG1499" t="str">
        <f t="array" ref="BG1499">IF(BA1499=1,INDEX($X$7:$AN$7,MATCH(TRUE,INDEX($X1499:$AY1499&lt;&gt;0,),0)),IF(BA1499=0,INDEX($AO$7:$AY$7,MATCH(1,$AO1499:$AY1499,0)),IF(BH1499="Multiple strategies","mixed drivers",IF(BH1499="Supply chain","multiple supply","multiple silviculture"))))</f>
        <v>technologies/design switch</v>
      </c>
      <c r="BH1499" s="2" t="str" cm="1">
        <f t="array" ref="BH1499">IF(COUNTIF(BB1499:BD1499,"&lt;&gt;0")=1,INDEX($X$4:$AY$4,MATCH(TRUE,INDEX($X1499:$AY1499&lt;&gt;0,),0)),IF(COUNTIF(BB1499:BD1499,"&lt;&gt;0")=0,INDEX($AO$4:$AY$4,MATCH(1,$AO1499:$AY1499,0)),"Multiple strategies"))</f>
        <v>Technology</v>
      </c>
      <c r="BI1499" s="1" t="s">
        <v>229</v>
      </c>
      <c r="BJ1499" t="s">
        <v>277</v>
      </c>
      <c r="BK1499" s="260" t="s">
        <v>2785</v>
      </c>
      <c r="BL1499" t="s">
        <v>278</v>
      </c>
      <c r="BM1499">
        <v>0</v>
      </c>
      <c r="BN1499">
        <v>135.57962264150939</v>
      </c>
      <c r="BP1499">
        <f>BN1499-BM1499</f>
        <v>135.57962264150939</v>
      </c>
      <c r="BQ1499">
        <f>BP1499*tC_to_m3</f>
        <v>588.70873921628049</v>
      </c>
      <c r="BR1499" t="s">
        <v>232</v>
      </c>
      <c r="BS1499" s="153" t="s">
        <v>2786</v>
      </c>
      <c r="BT1499" t="s">
        <v>279</v>
      </c>
      <c r="BU1499">
        <v>-51.111049251716672</v>
      </c>
      <c r="BV1499">
        <v>-435.66826611219864</v>
      </c>
      <c r="BW1499" s="144">
        <f>IFERROR(BV1499/BU1499,"")</f>
        <v>8.5239546534561867</v>
      </c>
      <c r="BX1499">
        <f>BV1499-BU1499</f>
        <v>-384.55721686048196</v>
      </c>
      <c r="BZ1499">
        <f>BX1499</f>
        <v>-384.55721686048196</v>
      </c>
      <c r="CA1499">
        <f>IFERROR(BZ1499/BQ1499,"")</f>
        <v>-0.65322151896780811</v>
      </c>
      <c r="CB1499">
        <v>0</v>
      </c>
      <c r="CC1499">
        <v>0</v>
      </c>
      <c r="CD1499">
        <v>0</v>
      </c>
      <c r="CE1499">
        <v>0</v>
      </c>
      <c r="CF1499">
        <v>0</v>
      </c>
      <c r="CG1499">
        <v>0</v>
      </c>
      <c r="CH1499">
        <v>0</v>
      </c>
      <c r="CI1499">
        <v>0</v>
      </c>
      <c r="CJ1499">
        <v>0</v>
      </c>
      <c r="CK1499">
        <v>0</v>
      </c>
      <c r="CL1499">
        <v>0</v>
      </c>
      <c r="CM1499">
        <v>0</v>
      </c>
      <c r="CN1499">
        <v>0</v>
      </c>
      <c r="CO1499">
        <v>0</v>
      </c>
      <c r="CP1499" t="str">
        <f>IF($BN1499&lt;$BM1499,"refNeedCorrection","refOK")</f>
        <v>refOK</v>
      </c>
      <c r="CQ1499">
        <f>IF($CP1499="refOK",$BM1499,$BN1499)</f>
        <v>0</v>
      </c>
      <c r="CR1499">
        <f>IF($CP1499="refOK",$BN1499,$BM1499)</f>
        <v>135.57962264150939</v>
      </c>
      <c r="CS1499">
        <f>IF($CP1499="refOK",$BQ1499,-$BQ1499)</f>
        <v>588.70873921628049</v>
      </c>
      <c r="CT1499">
        <f>IF(BI1499="Roundwood",$CS1499/2,$CS1499)</f>
        <v>588.70873921628049</v>
      </c>
      <c r="CU1499">
        <f>IF($CP1499="refOK",$BU1499,$BV1499)*IF($BR1499="Emissions positive",-1,1)</f>
        <v>-51.111049251716672</v>
      </c>
      <c r="CV1499">
        <f>IF($CP1499="refOK",$BV1499,$BU1499)*IF($BR1499="Emissions positive",-1,1)</f>
        <v>-435.66826611219864</v>
      </c>
      <c r="CW1499">
        <f>IF($CP1499="refNeedCorrection",-BZ1499,BZ1499)*IF($BR1499="Emissions positive",-1,1)</f>
        <v>-384.55721686048196</v>
      </c>
      <c r="CX1499">
        <f>IFERROR($CW1499/$CS1499,"")</f>
        <v>-0.65322151896780811</v>
      </c>
      <c r="CY1499">
        <f>IFERROR($CW1499/$CS1499,"")</f>
        <v>-0.65322151896780811</v>
      </c>
      <c r="CZ1499">
        <f>IFERROR($CW1499/$CT1499,"")</f>
        <v>-0.65322151896780811</v>
      </c>
      <c r="DA1499" s="2">
        <f>IFERROR((CV1499-CU1499)/ABS(CU1499),"")</f>
        <v>-7.5239546534561859</v>
      </c>
      <c r="DB1499" s="1" t="s">
        <v>234</v>
      </c>
      <c r="DC1499" t="str">
        <f>IF(OR($DB1499="prd",$DB1499="std",$DB1499="cit"),"loc",IF(OR($DB1499="eur",$DB1499="reg",$DB1499="coy"),"reg",$DB1499))</f>
        <v>loc</v>
      </c>
      <c r="DD1499" t="s">
        <v>280</v>
      </c>
      <c r="DG1499">
        <v>200</v>
      </c>
      <c r="DH1499" t="str">
        <f>IF(DG1499=0,"0",IF(AND(DG1499&gt;=1,DG1499&lt;=30),"1-30",IF(AND(DG1499&gt;30,DG1499&lt;=70),"31-70",IF(AND(DG1499&gt;70,DG1499&lt;=100),"71-100",IF(DG1499&gt;100,"+100")))))</f>
        <v>+100</v>
      </c>
      <c r="DI1499">
        <v>0</v>
      </c>
      <c r="DJ1499">
        <v>0</v>
      </c>
      <c r="DK1499">
        <v>0</v>
      </c>
      <c r="DL1499">
        <v>1</v>
      </c>
      <c r="DN1499">
        <f>SUM(DI1499:DL1499)</f>
        <v>1</v>
      </c>
      <c r="DO1499" t="str">
        <f>IF(DN1499=1,INDEX($DI$7:$DL$7,MATCH(1,$DI1499:$DL1499,0)),"mixedProduct")</f>
        <v>TimberInput</v>
      </c>
      <c r="DP1499">
        <f>IF(DI1499=1,DP$7,0)</f>
        <v>0</v>
      </c>
      <c r="DQ1499">
        <f>IF(DJ1499=1,DQ$7,0)</f>
        <v>0</v>
      </c>
      <c r="DR1499">
        <f>IF(DK1499=1,DR$7,0)</f>
        <v>0</v>
      </c>
      <c r="DS1499" t="str">
        <f>IF(DL1499=1,DS$7,0)</f>
        <v>Timber</v>
      </c>
      <c r="DT1499">
        <v>0</v>
      </c>
      <c r="DU1499">
        <v>1</v>
      </c>
      <c r="DV1499">
        <v>0</v>
      </c>
      <c r="DW1499" t="s">
        <v>292</v>
      </c>
      <c r="DX1499">
        <v>0</v>
      </c>
      <c r="DY1499">
        <f>SUM(DT1499:DU1499)</f>
        <v>1</v>
      </c>
      <c r="DZ1499" s="143" t="str">
        <f>IF(DT1499=1,"self-calculated DF",IF(DU1499=1,"external DF used","explicit C balance"))</f>
        <v>external DF used</v>
      </c>
      <c r="EA1499">
        <v>0</v>
      </c>
      <c r="EB1499">
        <v>1</v>
      </c>
      <c r="EC1499">
        <v>1</v>
      </c>
      <c r="ED1499">
        <v>1</v>
      </c>
      <c r="EE1499">
        <v>1</v>
      </c>
      <c r="EF1499" s="143">
        <v>0</v>
      </c>
      <c r="EG1499">
        <v>1</v>
      </c>
      <c r="EH1499">
        <v>1</v>
      </c>
      <c r="EI1499">
        <v>0</v>
      </c>
      <c r="EJ1499">
        <v>1</v>
      </c>
      <c r="EK1499">
        <v>1</v>
      </c>
      <c r="EL1499">
        <v>1</v>
      </c>
      <c r="EM1499">
        <v>0</v>
      </c>
      <c r="EN1499" s="2">
        <v>0</v>
      </c>
      <c r="EP1499" t="str">
        <f>IF(AND(AND(AND(OR($EC1499=1,$EB1499=1),OR($EH1499=1,$EF1499=1)),SUM($EA1499:$EE1499,$EK1499)&gt;=3),SUM($EF1499:$EJ1499)&gt;=2),"Whole sector approach","")</f>
        <v>Whole sector approach</v>
      </c>
      <c r="EQ1499" t="str">
        <f>IF(AND(AND(OR($EC1499=1,$EB1499=1),AND($EH1499=0,$EF1499=0)),SUM($EA1499:$EE1499,$EK1499)&gt;=4),"Ecosystem approach","")</f>
        <v/>
      </c>
      <c r="ER1499" s="2" t="str">
        <f>IF(AND(AND(AND($EC1499=0,$EB1499=0),OR($EH1499=1,$EF1499=1)),SUM($EG1499:$EJ1499)&gt;=2),"Technology approach","")</f>
        <v/>
      </c>
      <c r="ES1499" t="str">
        <f>IF(AND($EC1499+$EB1499+$EE1499+$EA1499+$ED1499+$EG1499=0,$N1499="included"),"C neutral forest and HWP assumption","")</f>
        <v/>
      </c>
      <c r="ET1499" t="str">
        <f>IF(AND(AND(AND(AND($EC1499=1,$EB1499+$EA1499+$EG1499&gt;=1),$EF1499=1),$EH1499+$EI1499+$ED1499+$EE1499&gt;=2),$N1499="included"),"All C pools assumption","")</f>
        <v/>
      </c>
      <c r="EU1499" t="str">
        <f>IF(AND($ED1499+$EE1499+$EI1499+$EH1499+$EF1499=0,$N1499="included"),"In-situ only assumption","")</f>
        <v/>
      </c>
      <c r="EY1499" t="str">
        <f>IF(ISNUMBER(BW1499),IF(ABS(BW1499-[2]QC_indicators!$B$2)&gt;3*[2]QC_indicators!$C$2,"C ratio",IF(ISNUMBER(CA1499),IF(ABS(CA1499-[2]QC_indicators!$B$1)&gt;3*[2]QC_indicators!$C$1,"DF","no"))),IF(ISNUMBER(CA1499),IF(ABS(CA1499-[2]QC_indicators!$B$1)&gt;3*[2]QC_indicators!$C$1,"DF","no")))</f>
        <v>no</v>
      </c>
      <c r="EZ1499" t="s">
        <v>286</v>
      </c>
      <c r="FA1499" t="str">
        <f>IF(LEN($CY1499)=0,"",IF(AND($CY1499&lt;(-0.05),$ES1499="C neutral forest and HWP assumption"),"Cneutral paradox",IF(AND($CY1499&gt;0.05,$EU1499="In-situ only assumption"),"In-situ only paradox","")))</f>
        <v/>
      </c>
      <c r="FD1499" s="260" t="s">
        <v>2948</v>
      </c>
    </row>
    <row r="1500" spans="1:160" ht="15" hidden="1" customHeight="1">
      <c r="A1500" s="1" t="s">
        <v>265</v>
      </c>
      <c r="B1500" t="s">
        <v>266</v>
      </c>
      <c r="C1500" t="s">
        <v>267</v>
      </c>
      <c r="D1500" t="s">
        <v>268</v>
      </c>
      <c r="E1500" t="s">
        <v>269</v>
      </c>
      <c r="F1500" t="s">
        <v>270</v>
      </c>
      <c r="G1500" t="s">
        <v>271</v>
      </c>
      <c r="H1500" t="s">
        <v>254</v>
      </c>
      <c r="I1500">
        <v>2022</v>
      </c>
      <c r="J1500">
        <v>0</v>
      </c>
      <c r="K1500" t="s">
        <v>272</v>
      </c>
      <c r="M1500" t="str">
        <f>LEFT($D1500,FIND(",",$D1500)-1)&amp;"_"&amp;I1500&amp;L1500</f>
        <v>Aryapratama_2022</v>
      </c>
      <c r="N1500" t="s">
        <v>222</v>
      </c>
      <c r="O1500" s="145" t="s">
        <v>274</v>
      </c>
      <c r="Q1500" t="s">
        <v>224</v>
      </c>
      <c r="R1500" s="258" t="s">
        <v>223</v>
      </c>
      <c r="S1500" s="259" t="s">
        <v>2784</v>
      </c>
      <c r="T1500" t="s">
        <v>291</v>
      </c>
      <c r="U1500" t="s">
        <v>276</v>
      </c>
      <c r="V1500" s="253">
        <v>0</v>
      </c>
      <c r="W1500" s="253">
        <v>0</v>
      </c>
      <c r="X1500">
        <v>0</v>
      </c>
      <c r="Y1500">
        <v>0</v>
      </c>
      <c r="Z1500">
        <v>0</v>
      </c>
      <c r="AA1500">
        <v>0</v>
      </c>
      <c r="AB1500">
        <v>0</v>
      </c>
      <c r="AC1500">
        <v>0</v>
      </c>
      <c r="AD1500">
        <v>0</v>
      </c>
      <c r="AE1500">
        <v>0</v>
      </c>
      <c r="AF1500">
        <v>0</v>
      </c>
      <c r="AG1500">
        <v>0</v>
      </c>
      <c r="AH1500">
        <v>0</v>
      </c>
      <c r="AI1500">
        <v>0</v>
      </c>
      <c r="AJ1500">
        <v>0</v>
      </c>
      <c r="AK1500">
        <v>0</v>
      </c>
      <c r="AL1500">
        <v>0</v>
      </c>
      <c r="AM1500">
        <v>1</v>
      </c>
      <c r="AN1500">
        <v>0</v>
      </c>
      <c r="AO1500">
        <v>0</v>
      </c>
      <c r="AP1500">
        <v>0</v>
      </c>
      <c r="AQ1500">
        <v>0</v>
      </c>
      <c r="AR1500">
        <v>0</v>
      </c>
      <c r="AS1500">
        <v>0</v>
      </c>
      <c r="AT1500">
        <v>0</v>
      </c>
      <c r="AU1500">
        <v>0</v>
      </c>
      <c r="AV1500">
        <v>0</v>
      </c>
      <c r="AW1500">
        <v>0</v>
      </c>
      <c r="AX1500">
        <v>0</v>
      </c>
      <c r="AY1500">
        <v>0</v>
      </c>
      <c r="AZ1500" s="141">
        <f>COUNTIF(X1500:AY1500,"&lt;&gt;0")</f>
        <v>1</v>
      </c>
      <c r="BA1500" s="141">
        <f>COUNTIF(X1500:AN1500,"&lt;&gt;0")</f>
        <v>1</v>
      </c>
      <c r="BB1500">
        <f>COUNTIF(X1500:AE1500,"&lt;&gt;0")</f>
        <v>0</v>
      </c>
      <c r="BC1500">
        <f>COUNTIF(AF1500:AK1500,"&lt;&gt;0")</f>
        <v>0</v>
      </c>
      <c r="BD1500">
        <f>COUNTIF(AL1500:AN1500,"&lt;&gt;0")</f>
        <v>1</v>
      </c>
      <c r="BE1500">
        <f>COUNTIF(AU1500:AY1500,"&lt;&gt;0")</f>
        <v>0</v>
      </c>
      <c r="BF1500">
        <f>COUNTIF(AO1500:AT1500,"&lt;&gt;0")</f>
        <v>0</v>
      </c>
      <c r="BG1500" t="str">
        <f t="array" ref="BG1500">IF(BA1500=1,INDEX($X$7:$AN$7,MATCH(TRUE,INDEX($X1500:$AY1500&lt;&gt;0,),0)),IF(BA1500=0,INDEX($AO$7:$AY$7,MATCH(1,$AO1500:$AY1500,0)),IF(BH1500="Multiple strategies","mixed drivers",IF(BH1500="Supply chain","multiple supply","multiple silviculture"))))</f>
        <v>technologies/design switch</v>
      </c>
      <c r="BH1500" s="2" t="str" cm="1">
        <f t="array" ref="BH1500">IF(COUNTIF(BB1500:BD1500,"&lt;&gt;0")=1,INDEX($X$4:$AY$4,MATCH(TRUE,INDEX($X1500:$AY1500&lt;&gt;0,),0)),IF(COUNTIF(BB1500:BD1500,"&lt;&gt;0")=0,INDEX($AO$4:$AY$4,MATCH(1,$AO1500:$AY1500,0)),"Multiple strategies"))</f>
        <v>Technology</v>
      </c>
      <c r="BI1500" s="1" t="s">
        <v>229</v>
      </c>
      <c r="BJ1500" t="s">
        <v>277</v>
      </c>
      <c r="BK1500" s="260" t="s">
        <v>2785</v>
      </c>
      <c r="BL1500" t="s">
        <v>278</v>
      </c>
      <c r="BM1500">
        <v>0</v>
      </c>
      <c r="BN1500">
        <v>164.91714764150942</v>
      </c>
      <c r="BP1500">
        <f>BN1500-BM1500</f>
        <v>164.91714764150942</v>
      </c>
      <c r="BQ1500">
        <f>BP1500*tC_to_m3</f>
        <v>716.09703708862105</v>
      </c>
      <c r="BR1500" t="s">
        <v>232</v>
      </c>
      <c r="BS1500" s="153" t="s">
        <v>2786</v>
      </c>
      <c r="BT1500" t="s">
        <v>279</v>
      </c>
      <c r="BU1500">
        <v>-476.23317385650159</v>
      </c>
      <c r="BV1500">
        <v>-922.29525217943831</v>
      </c>
      <c r="BW1500" s="144">
        <f>IFERROR(BV1500/BU1500,"")</f>
        <v>1.9366463799881022</v>
      </c>
      <c r="BX1500">
        <f>BV1500-BU1500</f>
        <v>-446.06207832293671</v>
      </c>
      <c r="BZ1500">
        <f>BX1500</f>
        <v>-446.06207832293671</v>
      </c>
      <c r="CA1500">
        <f>IFERROR(BZ1500/BQ1500,"")</f>
        <v>-0.622907308954183</v>
      </c>
      <c r="CB1500">
        <v>0</v>
      </c>
      <c r="CC1500">
        <v>0</v>
      </c>
      <c r="CD1500">
        <v>0</v>
      </c>
      <c r="CE1500">
        <v>0</v>
      </c>
      <c r="CF1500">
        <v>0</v>
      </c>
      <c r="CG1500">
        <v>0</v>
      </c>
      <c r="CH1500">
        <v>0</v>
      </c>
      <c r="CI1500">
        <v>0</v>
      </c>
      <c r="CJ1500">
        <v>0</v>
      </c>
      <c r="CK1500">
        <v>0</v>
      </c>
      <c r="CL1500">
        <v>0</v>
      </c>
      <c r="CM1500">
        <v>0</v>
      </c>
      <c r="CN1500">
        <v>0</v>
      </c>
      <c r="CO1500">
        <v>0</v>
      </c>
      <c r="CP1500" t="str">
        <f>IF($BN1500&lt;$BM1500,"refNeedCorrection","refOK")</f>
        <v>refOK</v>
      </c>
      <c r="CQ1500">
        <f>IF($CP1500="refOK",$BM1500,$BN1500)</f>
        <v>0</v>
      </c>
      <c r="CR1500">
        <f>IF($CP1500="refOK",$BN1500,$BM1500)</f>
        <v>164.91714764150942</v>
      </c>
      <c r="CS1500">
        <f>IF($CP1500="refOK",$BQ1500,-$BQ1500)</f>
        <v>716.09703708862105</v>
      </c>
      <c r="CT1500">
        <f>IF(BI1500="Roundwood",$CS1500/2,$CS1500)</f>
        <v>716.09703708862105</v>
      </c>
      <c r="CU1500">
        <f>IF($CP1500="refOK",$BU1500,$BV1500)*IF($BR1500="Emissions positive",-1,1)</f>
        <v>-476.23317385650159</v>
      </c>
      <c r="CV1500">
        <f>IF($CP1500="refOK",$BV1500,$BU1500)*IF($BR1500="Emissions positive",-1,1)</f>
        <v>-922.29525217943831</v>
      </c>
      <c r="CW1500">
        <f>IF($CP1500="refNeedCorrection",-BZ1500,BZ1500)*IF($BR1500="Emissions positive",-1,1)</f>
        <v>-446.06207832293671</v>
      </c>
      <c r="CX1500">
        <f>IFERROR($CW1500/$CS1500,"")</f>
        <v>-0.622907308954183</v>
      </c>
      <c r="CY1500">
        <f>IFERROR($CW1500/$CS1500,"")</f>
        <v>-0.622907308954183</v>
      </c>
      <c r="CZ1500">
        <f>IFERROR($CW1500/$CT1500,"")</f>
        <v>-0.622907308954183</v>
      </c>
      <c r="DA1500" s="2">
        <f>IFERROR((CV1500-CU1500)/ABS(CU1500),"")</f>
        <v>-0.93664637998810218</v>
      </c>
      <c r="DB1500" s="1" t="s">
        <v>234</v>
      </c>
      <c r="DC1500" t="str">
        <f>IF(OR($DB1500="prd",$DB1500="std",$DB1500="cit"),"loc",IF(OR($DB1500="eur",$DB1500="reg",$DB1500="coy"),"reg",$DB1500))</f>
        <v>loc</v>
      </c>
      <c r="DD1500" t="s">
        <v>280</v>
      </c>
      <c r="DG1500">
        <v>100</v>
      </c>
      <c r="DH1500" t="str">
        <f>IF(DG1500=0,"0",IF(AND(DG1500&gt;=1,DG1500&lt;=30),"1-30",IF(AND(DG1500&gt;30,DG1500&lt;=70),"31-70",IF(AND(DG1500&gt;70,DG1500&lt;=100),"71-100",IF(DG1500&gt;100,"+100")))))</f>
        <v>71-100</v>
      </c>
      <c r="DI1500">
        <v>0</v>
      </c>
      <c r="DJ1500">
        <v>0</v>
      </c>
      <c r="DK1500">
        <v>0</v>
      </c>
      <c r="DL1500">
        <v>1</v>
      </c>
      <c r="DN1500">
        <f>SUM(DI1500:DL1500)</f>
        <v>1</v>
      </c>
      <c r="DO1500" t="str">
        <f>IF(DN1500=1,INDEX($DI$7:$DL$7,MATCH(1,$DI1500:$DL1500,0)),"mixedProduct")</f>
        <v>TimberInput</v>
      </c>
      <c r="DP1500">
        <f>IF(DI1500=1,DP$7,0)</f>
        <v>0</v>
      </c>
      <c r="DQ1500">
        <f>IF(DJ1500=1,DQ$7,0)</f>
        <v>0</v>
      </c>
      <c r="DR1500">
        <f>IF(DK1500=1,DR$7,0)</f>
        <v>0</v>
      </c>
      <c r="DS1500" t="str">
        <f>IF(DL1500=1,DS$7,0)</f>
        <v>Timber</v>
      </c>
      <c r="DT1500">
        <v>0</v>
      </c>
      <c r="DU1500">
        <v>1</v>
      </c>
      <c r="DV1500">
        <v>0</v>
      </c>
      <c r="DW1500" t="s">
        <v>292</v>
      </c>
      <c r="DX1500">
        <v>0</v>
      </c>
      <c r="DY1500">
        <f>SUM(DT1500:DU1500)</f>
        <v>1</v>
      </c>
      <c r="DZ1500" s="143" t="str">
        <f>IF(DT1500=1,"self-calculated DF",IF(DU1500=1,"external DF used","explicit C balance"))</f>
        <v>external DF used</v>
      </c>
      <c r="EA1500">
        <v>0</v>
      </c>
      <c r="EB1500">
        <v>1</v>
      </c>
      <c r="EC1500">
        <v>1</v>
      </c>
      <c r="ED1500">
        <v>1</v>
      </c>
      <c r="EE1500">
        <v>1</v>
      </c>
      <c r="EF1500" s="143">
        <v>0</v>
      </c>
      <c r="EG1500">
        <v>1</v>
      </c>
      <c r="EH1500">
        <v>1</v>
      </c>
      <c r="EI1500">
        <v>0</v>
      </c>
      <c r="EJ1500">
        <v>1</v>
      </c>
      <c r="EK1500">
        <v>1</v>
      </c>
      <c r="EL1500">
        <v>1</v>
      </c>
      <c r="EM1500">
        <v>0</v>
      </c>
      <c r="EN1500" s="2">
        <v>0</v>
      </c>
      <c r="EP1500" t="str">
        <f>IF(AND(AND(AND(OR($EC1500=1,$EB1500=1),OR($EH1500=1,$EF1500=1)),SUM($EA1500:$EE1500,$EK1500)&gt;=3),SUM($EF1500:$EJ1500)&gt;=2),"Whole sector approach","")</f>
        <v>Whole sector approach</v>
      </c>
      <c r="EQ1500" t="str">
        <f>IF(AND(AND(OR($EC1500=1,$EB1500=1),AND($EH1500=0,$EF1500=0)),SUM($EA1500:$EE1500,$EK1500)&gt;=4),"Ecosystem approach","")</f>
        <v/>
      </c>
      <c r="ER1500" s="2" t="str">
        <f>IF(AND(AND(AND($EC1500=0,$EB1500=0),OR($EH1500=1,$EF1500=1)),SUM($EG1500:$EJ1500)&gt;=2),"Technology approach","")</f>
        <v/>
      </c>
      <c r="ES1500" t="str">
        <f>IF(AND($EC1500+$EB1500+$EE1500+$EA1500+$ED1500+$EG1500=0,$N1500="included"),"C neutral forest and HWP assumption","")</f>
        <v/>
      </c>
      <c r="ET1500" t="str">
        <f>IF(AND(AND(AND(AND($EC1500=1,$EB1500+$EA1500+$EG1500&gt;=1),$EF1500=1),$EH1500+$EI1500+$ED1500+$EE1500&gt;=2),$N1500="included"),"All C pools assumption","")</f>
        <v/>
      </c>
      <c r="EU1500" t="str">
        <f>IF(AND($ED1500+$EE1500+$EI1500+$EH1500+$EF1500=0,$N1500="included"),"In-situ only assumption","")</f>
        <v/>
      </c>
      <c r="EY1500" t="str">
        <f>IF(ISNUMBER(BW1500),IF(ABS(BW1500-[2]QC_indicators!$B$2)&gt;3*[2]QC_indicators!$C$2,"C ratio",IF(ISNUMBER(CA1500),IF(ABS(CA1500-[2]QC_indicators!$B$1)&gt;3*[2]QC_indicators!$C$1,"DF","no"))),IF(ISNUMBER(CA1500),IF(ABS(CA1500-[2]QC_indicators!$B$1)&gt;3*[2]QC_indicators!$C$1,"DF","no")))</f>
        <v>no</v>
      </c>
      <c r="EZ1500" t="s">
        <v>286</v>
      </c>
      <c r="FA1500" t="str">
        <f>IF(LEN($CY1500)=0,"",IF(AND($CY1500&lt;(-0.05),$ES1500="C neutral forest and HWP assumption"),"Cneutral paradox",IF(AND($CY1500&gt;0.05,$EU1500="In-situ only assumption"),"In-situ only paradox","")))</f>
        <v/>
      </c>
      <c r="FD1500" s="260" t="s">
        <v>2948</v>
      </c>
    </row>
    <row r="1501" spans="1:160" ht="15" hidden="1" customHeight="1">
      <c r="A1501" s="1" t="s">
        <v>265</v>
      </c>
      <c r="B1501" t="s">
        <v>266</v>
      </c>
      <c r="C1501" t="s">
        <v>267</v>
      </c>
      <c r="D1501" t="s">
        <v>268</v>
      </c>
      <c r="E1501" t="s">
        <v>269</v>
      </c>
      <c r="F1501" t="s">
        <v>270</v>
      </c>
      <c r="G1501" t="s">
        <v>271</v>
      </c>
      <c r="H1501" t="s">
        <v>254</v>
      </c>
      <c r="I1501">
        <v>2022</v>
      </c>
      <c r="J1501">
        <v>0</v>
      </c>
      <c r="K1501" t="s">
        <v>272</v>
      </c>
      <c r="M1501" t="str">
        <f>LEFT($D1501,FIND(",",$D1501)-1)&amp;"_"&amp;I1501&amp;L1501</f>
        <v>Aryapratama_2022</v>
      </c>
      <c r="N1501" t="s">
        <v>222</v>
      </c>
      <c r="O1501" s="145" t="s">
        <v>274</v>
      </c>
      <c r="Q1501" t="s">
        <v>224</v>
      </c>
      <c r="R1501" s="258" t="s">
        <v>223</v>
      </c>
      <c r="S1501" s="259" t="s">
        <v>2784</v>
      </c>
      <c r="T1501" t="s">
        <v>293</v>
      </c>
      <c r="U1501" t="s">
        <v>275</v>
      </c>
      <c r="V1501" s="253">
        <v>0</v>
      </c>
      <c r="W1501" s="253">
        <v>0</v>
      </c>
      <c r="X1501">
        <v>0</v>
      </c>
      <c r="Y1501">
        <v>0</v>
      </c>
      <c r="Z1501">
        <v>0</v>
      </c>
      <c r="AA1501">
        <v>0</v>
      </c>
      <c r="AB1501">
        <v>0</v>
      </c>
      <c r="AC1501">
        <v>0</v>
      </c>
      <c r="AD1501">
        <v>0</v>
      </c>
      <c r="AE1501">
        <v>0</v>
      </c>
      <c r="AF1501">
        <v>0</v>
      </c>
      <c r="AG1501">
        <v>0</v>
      </c>
      <c r="AH1501">
        <v>0</v>
      </c>
      <c r="AI1501">
        <v>0</v>
      </c>
      <c r="AJ1501">
        <v>0</v>
      </c>
      <c r="AK1501">
        <v>0</v>
      </c>
      <c r="AL1501">
        <v>0</v>
      </c>
      <c r="AM1501">
        <v>1</v>
      </c>
      <c r="AN1501">
        <v>0</v>
      </c>
      <c r="AO1501">
        <v>0</v>
      </c>
      <c r="AP1501">
        <v>0</v>
      </c>
      <c r="AQ1501">
        <v>0</v>
      </c>
      <c r="AR1501">
        <v>0</v>
      </c>
      <c r="AS1501">
        <v>0</v>
      </c>
      <c r="AT1501">
        <v>0</v>
      </c>
      <c r="AU1501">
        <v>0</v>
      </c>
      <c r="AV1501">
        <v>0</v>
      </c>
      <c r="AW1501">
        <v>0</v>
      </c>
      <c r="AX1501">
        <v>0</v>
      </c>
      <c r="AY1501">
        <v>0</v>
      </c>
      <c r="AZ1501" s="141">
        <f>COUNTIF(X1501:AY1501,"&lt;&gt;0")</f>
        <v>1</v>
      </c>
      <c r="BA1501" s="141">
        <f>COUNTIF(X1501:AN1501,"&lt;&gt;0")</f>
        <v>1</v>
      </c>
      <c r="BB1501">
        <f>COUNTIF(X1501:AE1501,"&lt;&gt;0")</f>
        <v>0</v>
      </c>
      <c r="BC1501">
        <f>COUNTIF(AF1501:AK1501,"&lt;&gt;0")</f>
        <v>0</v>
      </c>
      <c r="BD1501">
        <f>COUNTIF(AL1501:AN1501,"&lt;&gt;0")</f>
        <v>1</v>
      </c>
      <c r="BE1501">
        <f>COUNTIF(AU1501:AY1501,"&lt;&gt;0")</f>
        <v>0</v>
      </c>
      <c r="BF1501">
        <f>COUNTIF(AO1501:AT1501,"&lt;&gt;0")</f>
        <v>0</v>
      </c>
      <c r="BG1501" t="str">
        <f t="array" ref="BG1501">IF(BA1501=1,INDEX($X$7:$AN$7,MATCH(TRUE,INDEX($X1501:$AY1501&lt;&gt;0,),0)),IF(BA1501=0,INDEX($AO$7:$AY$7,MATCH(1,$AO1501:$AY1501,0)),IF(BH1501="Multiple strategies","mixed drivers",IF(BH1501="Supply chain","multiple supply","multiple silviculture"))))</f>
        <v>technologies/design switch</v>
      </c>
      <c r="BH1501" s="2" t="str" cm="1">
        <f t="array" ref="BH1501">IF(COUNTIF(BB1501:BD1501,"&lt;&gt;0")=1,INDEX($X$4:$AY$4,MATCH(TRUE,INDEX($X1501:$AY1501&lt;&gt;0,),0)),IF(COUNTIF(BB1501:BD1501,"&lt;&gt;0")=0,INDEX($AO$4:$AY$4,MATCH(1,$AO1501:$AY1501,0)),"Multiple strategies"))</f>
        <v>Technology</v>
      </c>
      <c r="BI1501" s="1" t="s">
        <v>229</v>
      </c>
      <c r="BJ1501" t="s">
        <v>277</v>
      </c>
      <c r="BK1501" s="260" t="s">
        <v>2785</v>
      </c>
      <c r="BL1501" t="s">
        <v>278</v>
      </c>
      <c r="BM1501">
        <v>0</v>
      </c>
      <c r="BN1501">
        <v>135.57962264150939</v>
      </c>
      <c r="BP1501">
        <f>BN1501-BM1501</f>
        <v>135.57962264150939</v>
      </c>
      <c r="BQ1501">
        <f>BP1501*tC_to_m3</f>
        <v>588.70873921628049</v>
      </c>
      <c r="BR1501" t="s">
        <v>232</v>
      </c>
      <c r="BS1501" s="153" t="s">
        <v>2786</v>
      </c>
      <c r="BT1501" t="s">
        <v>279</v>
      </c>
      <c r="BU1501">
        <v>-256.36341951965699</v>
      </c>
      <c r="BV1501">
        <v>-502.68675849347369</v>
      </c>
      <c r="BW1501" s="144">
        <f>IFERROR(BV1501/BU1501,"")</f>
        <v>1.9608365321204866</v>
      </c>
      <c r="BX1501">
        <f>BV1501-BU1501</f>
        <v>-246.3233389738167</v>
      </c>
      <c r="BZ1501">
        <f>BX1501</f>
        <v>-246.3233389738167</v>
      </c>
      <c r="CA1501">
        <f>IFERROR(BZ1501/BQ1501,"")</f>
        <v>-0.41841291383194867</v>
      </c>
      <c r="CB1501">
        <v>0</v>
      </c>
      <c r="CC1501">
        <v>0</v>
      </c>
      <c r="CD1501">
        <v>0</v>
      </c>
      <c r="CE1501">
        <v>0</v>
      </c>
      <c r="CF1501">
        <v>0</v>
      </c>
      <c r="CG1501">
        <v>0</v>
      </c>
      <c r="CH1501">
        <v>0</v>
      </c>
      <c r="CI1501">
        <v>0</v>
      </c>
      <c r="CJ1501">
        <v>0</v>
      </c>
      <c r="CK1501">
        <v>0</v>
      </c>
      <c r="CL1501">
        <v>0</v>
      </c>
      <c r="CM1501">
        <v>0</v>
      </c>
      <c r="CN1501">
        <v>0</v>
      </c>
      <c r="CO1501">
        <v>0</v>
      </c>
      <c r="CP1501" t="str">
        <f>IF($BN1501&lt;$BM1501,"refNeedCorrection","refOK")</f>
        <v>refOK</v>
      </c>
      <c r="CQ1501">
        <f>IF($CP1501="refOK",$BM1501,$BN1501)</f>
        <v>0</v>
      </c>
      <c r="CR1501">
        <f>IF($CP1501="refOK",$BN1501,$BM1501)</f>
        <v>135.57962264150939</v>
      </c>
      <c r="CS1501">
        <f>IF($CP1501="refOK",$BQ1501,-$BQ1501)</f>
        <v>588.70873921628049</v>
      </c>
      <c r="CT1501">
        <f>IF(BI1501="Roundwood",$CS1501/2,$CS1501)</f>
        <v>588.70873921628049</v>
      </c>
      <c r="CU1501">
        <f>IF($CP1501="refOK",$BU1501,$BV1501)*IF($BR1501="Emissions positive",-1,1)</f>
        <v>-256.36341951965699</v>
      </c>
      <c r="CV1501">
        <f>IF($CP1501="refOK",$BV1501,$BU1501)*IF($BR1501="Emissions positive",-1,1)</f>
        <v>-502.68675849347369</v>
      </c>
      <c r="CW1501">
        <f>IF($CP1501="refNeedCorrection",-BZ1501,BZ1501)*IF($BR1501="Emissions positive",-1,1)</f>
        <v>-246.3233389738167</v>
      </c>
      <c r="CX1501">
        <f>IFERROR($CW1501/$CS1501,"")</f>
        <v>-0.41841291383194867</v>
      </c>
      <c r="CY1501">
        <f>IFERROR($CW1501/$CS1501,"")</f>
        <v>-0.41841291383194867</v>
      </c>
      <c r="CZ1501">
        <f>IFERROR($CW1501/$CT1501,"")</f>
        <v>-0.41841291383194867</v>
      </c>
      <c r="DA1501" s="2">
        <f>IFERROR((CV1501-CU1501)/ABS(CU1501),"")</f>
        <v>-0.9608365321204867</v>
      </c>
      <c r="DB1501" s="1" t="s">
        <v>234</v>
      </c>
      <c r="DC1501" t="str">
        <f>IF(OR($DB1501="prd",$DB1501="std",$DB1501="cit"),"loc",IF(OR($DB1501="eur",$DB1501="reg",$DB1501="coy"),"reg",$DB1501))</f>
        <v>loc</v>
      </c>
      <c r="DD1501" t="s">
        <v>280</v>
      </c>
      <c r="DG1501">
        <v>100</v>
      </c>
      <c r="DH1501" t="str">
        <f>IF(DG1501=0,"0",IF(AND(DG1501&gt;=1,DG1501&lt;=30),"1-30",IF(AND(DG1501&gt;30,DG1501&lt;=70),"31-70",IF(AND(DG1501&gt;70,DG1501&lt;=100),"71-100",IF(DG1501&gt;100,"+100")))))</f>
        <v>71-100</v>
      </c>
      <c r="DI1501">
        <v>0</v>
      </c>
      <c r="DJ1501">
        <v>0</v>
      </c>
      <c r="DK1501">
        <v>0</v>
      </c>
      <c r="DL1501">
        <v>1</v>
      </c>
      <c r="DN1501">
        <f>SUM(DI1501:DL1501)</f>
        <v>1</v>
      </c>
      <c r="DO1501" t="str">
        <f>IF(DN1501=1,INDEX($DI$7:$DL$7,MATCH(1,$DI1501:$DL1501,0)),"mixedProduct")</f>
        <v>TimberInput</v>
      </c>
      <c r="DP1501">
        <f>IF(DI1501=1,DP$7,0)</f>
        <v>0</v>
      </c>
      <c r="DQ1501">
        <f>IF(DJ1501=1,DQ$7,0)</f>
        <v>0</v>
      </c>
      <c r="DR1501">
        <f>IF(DK1501=1,DR$7,0)</f>
        <v>0</v>
      </c>
      <c r="DS1501" t="str">
        <f>IF(DL1501=1,DS$7,0)</f>
        <v>Timber</v>
      </c>
      <c r="DT1501">
        <v>0</v>
      </c>
      <c r="DU1501">
        <v>1</v>
      </c>
      <c r="DV1501">
        <v>0</v>
      </c>
      <c r="DW1501" t="s">
        <v>292</v>
      </c>
      <c r="DX1501">
        <v>0</v>
      </c>
      <c r="DY1501">
        <f>SUM(DT1501:DU1501)</f>
        <v>1</v>
      </c>
      <c r="DZ1501" s="143" t="str">
        <f>IF(DT1501=1,"self-calculated DF",IF(DU1501=1,"external DF used","explicit C balance"))</f>
        <v>external DF used</v>
      </c>
      <c r="EA1501">
        <v>0</v>
      </c>
      <c r="EB1501">
        <v>1</v>
      </c>
      <c r="EC1501">
        <v>1</v>
      </c>
      <c r="ED1501">
        <v>1</v>
      </c>
      <c r="EE1501">
        <v>1</v>
      </c>
      <c r="EF1501" s="143">
        <v>0</v>
      </c>
      <c r="EG1501">
        <v>1</v>
      </c>
      <c r="EH1501">
        <v>1</v>
      </c>
      <c r="EI1501">
        <v>0</v>
      </c>
      <c r="EJ1501">
        <v>1</v>
      </c>
      <c r="EK1501">
        <v>1</v>
      </c>
      <c r="EL1501">
        <v>1</v>
      </c>
      <c r="EM1501">
        <v>0</v>
      </c>
      <c r="EN1501" s="2">
        <v>0</v>
      </c>
      <c r="EP1501" t="str">
        <f>IF(AND(AND(AND(OR($EC1501=1,$EB1501=1),OR($EH1501=1,$EF1501=1)),SUM($EA1501:$EE1501,$EK1501)&gt;=3),SUM($EF1501:$EJ1501)&gt;=2),"Whole sector approach","")</f>
        <v>Whole sector approach</v>
      </c>
      <c r="EQ1501" t="str">
        <f>IF(AND(AND(OR($EC1501=1,$EB1501=1),AND($EH1501=0,$EF1501=0)),SUM($EA1501:$EE1501,$EK1501)&gt;=4),"Ecosystem approach","")</f>
        <v/>
      </c>
      <c r="ER1501" s="2" t="str">
        <f>IF(AND(AND(AND($EC1501=0,$EB1501=0),OR($EH1501=1,$EF1501=1)),SUM($EG1501:$EJ1501)&gt;=2),"Technology approach","")</f>
        <v/>
      </c>
      <c r="ES1501" t="str">
        <f>IF(AND($EC1501+$EB1501+$EE1501+$EA1501+$ED1501+$EG1501=0,$N1501="included"),"C neutral forest and HWP assumption","")</f>
        <v/>
      </c>
      <c r="ET1501" t="str">
        <f>IF(AND(AND(AND(AND($EC1501=1,$EB1501+$EA1501+$EG1501&gt;=1),$EF1501=1),$EH1501+$EI1501+$ED1501+$EE1501&gt;=2),$N1501="included"),"All C pools assumption","")</f>
        <v/>
      </c>
      <c r="EU1501" t="str">
        <f>IF(AND($ED1501+$EE1501+$EI1501+$EH1501+$EF1501=0,$N1501="included"),"In-situ only assumption","")</f>
        <v/>
      </c>
      <c r="EY1501" t="str">
        <f>IF(ISNUMBER(BW1501),IF(ABS(BW1501-[2]QC_indicators!$B$2)&gt;3*[2]QC_indicators!$C$2,"C ratio",IF(ISNUMBER(CA1501),IF(ABS(CA1501-[2]QC_indicators!$B$1)&gt;3*[2]QC_indicators!$C$1,"DF","no"))),IF(ISNUMBER(CA1501),IF(ABS(CA1501-[2]QC_indicators!$B$1)&gt;3*[2]QC_indicators!$C$1,"DF","no")))</f>
        <v>no</v>
      </c>
      <c r="EZ1501" t="s">
        <v>286</v>
      </c>
      <c r="FA1501" t="str">
        <f>IF(LEN($CY1501)=0,"",IF(AND($CY1501&lt;(-0.05),$ES1501="C neutral forest and HWP assumption"),"Cneutral paradox",IF(AND($CY1501&gt;0.05,$EU1501="In-situ only assumption"),"In-situ only paradox","")))</f>
        <v/>
      </c>
      <c r="FD1501" s="260" t="s">
        <v>2948</v>
      </c>
    </row>
    <row r="1502" spans="1:160" ht="15" hidden="1" customHeight="1">
      <c r="A1502" s="1" t="s">
        <v>265</v>
      </c>
      <c r="B1502" t="s">
        <v>266</v>
      </c>
      <c r="C1502" t="s">
        <v>267</v>
      </c>
      <c r="D1502" t="s">
        <v>268</v>
      </c>
      <c r="E1502" t="s">
        <v>269</v>
      </c>
      <c r="F1502" t="s">
        <v>270</v>
      </c>
      <c r="G1502" t="s">
        <v>271</v>
      </c>
      <c r="H1502" t="s">
        <v>254</v>
      </c>
      <c r="I1502">
        <v>2022</v>
      </c>
      <c r="J1502">
        <v>0</v>
      </c>
      <c r="K1502" t="s">
        <v>272</v>
      </c>
      <c r="M1502" t="str">
        <f>LEFT($D1502,FIND(",",$D1502)-1)&amp;"_"&amp;I1502&amp;L1502</f>
        <v>Aryapratama_2022</v>
      </c>
      <c r="N1502" t="s">
        <v>222</v>
      </c>
      <c r="O1502" s="145" t="s">
        <v>274</v>
      </c>
      <c r="Q1502" t="s">
        <v>224</v>
      </c>
      <c r="R1502" s="258" t="s">
        <v>223</v>
      </c>
      <c r="S1502" s="259" t="s">
        <v>2784</v>
      </c>
      <c r="T1502" t="s">
        <v>291</v>
      </c>
      <c r="U1502" t="s">
        <v>276</v>
      </c>
      <c r="V1502" s="253">
        <v>0</v>
      </c>
      <c r="W1502" s="253">
        <v>0</v>
      </c>
      <c r="X1502">
        <v>0</v>
      </c>
      <c r="Y1502">
        <v>0</v>
      </c>
      <c r="Z1502">
        <v>0</v>
      </c>
      <c r="AA1502">
        <v>0</v>
      </c>
      <c r="AB1502">
        <v>0</v>
      </c>
      <c r="AC1502">
        <v>0</v>
      </c>
      <c r="AD1502">
        <v>0</v>
      </c>
      <c r="AE1502">
        <v>0</v>
      </c>
      <c r="AF1502">
        <v>0</v>
      </c>
      <c r="AG1502">
        <v>0</v>
      </c>
      <c r="AH1502">
        <v>0</v>
      </c>
      <c r="AI1502">
        <v>0</v>
      </c>
      <c r="AJ1502">
        <v>0</v>
      </c>
      <c r="AK1502">
        <v>0</v>
      </c>
      <c r="AL1502">
        <v>0</v>
      </c>
      <c r="AM1502">
        <v>1</v>
      </c>
      <c r="AN1502">
        <v>0</v>
      </c>
      <c r="AO1502">
        <v>0</v>
      </c>
      <c r="AP1502">
        <v>0</v>
      </c>
      <c r="AQ1502">
        <v>0</v>
      </c>
      <c r="AR1502">
        <v>0</v>
      </c>
      <c r="AS1502">
        <v>0</v>
      </c>
      <c r="AT1502">
        <v>0</v>
      </c>
      <c r="AU1502">
        <v>0</v>
      </c>
      <c r="AV1502">
        <v>0</v>
      </c>
      <c r="AW1502">
        <v>0</v>
      </c>
      <c r="AX1502">
        <v>0</v>
      </c>
      <c r="AY1502">
        <v>0</v>
      </c>
      <c r="AZ1502" s="141">
        <f>COUNTIF(X1502:AY1502,"&lt;&gt;0")</f>
        <v>1</v>
      </c>
      <c r="BA1502" s="141">
        <f>COUNTIF(X1502:AN1502,"&lt;&gt;0")</f>
        <v>1</v>
      </c>
      <c r="BB1502">
        <f>COUNTIF(X1502:AE1502,"&lt;&gt;0")</f>
        <v>0</v>
      </c>
      <c r="BC1502">
        <f>COUNTIF(AF1502:AK1502,"&lt;&gt;0")</f>
        <v>0</v>
      </c>
      <c r="BD1502">
        <f>COUNTIF(AL1502:AN1502,"&lt;&gt;0")</f>
        <v>1</v>
      </c>
      <c r="BE1502">
        <f>COUNTIF(AU1502:AY1502,"&lt;&gt;0")</f>
        <v>0</v>
      </c>
      <c r="BF1502">
        <f>COUNTIF(AO1502:AT1502,"&lt;&gt;0")</f>
        <v>0</v>
      </c>
      <c r="BG1502" t="str">
        <f t="array" ref="BG1502">IF(BA1502=1,INDEX($X$7:$AN$7,MATCH(TRUE,INDEX($X1502:$AY1502&lt;&gt;0,),0)),IF(BA1502=0,INDEX($AO$7:$AY$7,MATCH(1,$AO1502:$AY1502,0)),IF(BH1502="Multiple strategies","mixed drivers",IF(BH1502="Supply chain","multiple supply","multiple silviculture"))))</f>
        <v>technologies/design switch</v>
      </c>
      <c r="BH1502" s="2" t="str" cm="1">
        <f t="array" ref="BH1502">IF(COUNTIF(BB1502:BD1502,"&lt;&gt;0")=1,INDEX($X$4:$AY$4,MATCH(TRUE,INDEX($X1502:$AY1502&lt;&gt;0,),0)),IF(COUNTIF(BB1502:BD1502,"&lt;&gt;0")=0,INDEX($AO$4:$AY$4,MATCH(1,$AO1502:$AY1502,0)),"Multiple strategies"))</f>
        <v>Technology</v>
      </c>
      <c r="BI1502" s="1" t="s">
        <v>229</v>
      </c>
      <c r="BJ1502" t="s">
        <v>277</v>
      </c>
      <c r="BK1502" s="260" t="s">
        <v>2785</v>
      </c>
      <c r="BL1502" t="s">
        <v>278</v>
      </c>
      <c r="BM1502">
        <v>0</v>
      </c>
      <c r="BN1502">
        <v>145.3587976415094</v>
      </c>
      <c r="BP1502">
        <f>BN1502-BM1502</f>
        <v>145.3587976415094</v>
      </c>
      <c r="BQ1502">
        <f>BP1502*tC_to_m3</f>
        <v>631.17150517372738</v>
      </c>
      <c r="BR1502" t="s">
        <v>232</v>
      </c>
      <c r="BS1502" s="153" t="s">
        <v>2786</v>
      </c>
      <c r="BT1502" t="s">
        <v>279</v>
      </c>
      <c r="BU1502">
        <v>-456.78692783823215</v>
      </c>
      <c r="BV1502">
        <v>-654.85817268246092</v>
      </c>
      <c r="BW1502" s="144">
        <f>IFERROR(BV1502/BU1502,"")</f>
        <v>1.43361846141616</v>
      </c>
      <c r="BX1502">
        <f>BV1502-BU1502</f>
        <v>-198.07124484422877</v>
      </c>
      <c r="BZ1502">
        <f>BX1502</f>
        <v>-198.07124484422877</v>
      </c>
      <c r="CA1502">
        <f>IFERROR(BZ1502/BQ1502,"")</f>
        <v>-0.3138152518303412</v>
      </c>
      <c r="CB1502">
        <v>0</v>
      </c>
      <c r="CC1502">
        <v>0</v>
      </c>
      <c r="CD1502">
        <v>0</v>
      </c>
      <c r="CE1502">
        <v>0</v>
      </c>
      <c r="CF1502">
        <v>0</v>
      </c>
      <c r="CG1502">
        <v>0</v>
      </c>
      <c r="CH1502">
        <v>0</v>
      </c>
      <c r="CI1502">
        <v>0</v>
      </c>
      <c r="CJ1502">
        <v>0</v>
      </c>
      <c r="CK1502">
        <v>0</v>
      </c>
      <c r="CL1502">
        <v>0</v>
      </c>
      <c r="CM1502">
        <v>0</v>
      </c>
      <c r="CN1502">
        <v>0</v>
      </c>
      <c r="CO1502">
        <v>0</v>
      </c>
      <c r="CP1502" t="str">
        <f>IF($BN1502&lt;$BM1502,"refNeedCorrection","refOK")</f>
        <v>refOK</v>
      </c>
      <c r="CQ1502">
        <f>IF($CP1502="refOK",$BM1502,$BN1502)</f>
        <v>0</v>
      </c>
      <c r="CR1502">
        <f>IF($CP1502="refOK",$BN1502,$BM1502)</f>
        <v>145.3587976415094</v>
      </c>
      <c r="CS1502">
        <f>IF($CP1502="refOK",$BQ1502,-$BQ1502)</f>
        <v>631.17150517372738</v>
      </c>
      <c r="CT1502">
        <f>IF(BI1502="Roundwood",$CS1502/2,$CS1502)</f>
        <v>631.17150517372738</v>
      </c>
      <c r="CU1502">
        <f>IF($CP1502="refOK",$BU1502,$BV1502)*IF($BR1502="Emissions positive",-1,1)</f>
        <v>-456.78692783823215</v>
      </c>
      <c r="CV1502">
        <f>IF($CP1502="refOK",$BV1502,$BU1502)*IF($BR1502="Emissions positive",-1,1)</f>
        <v>-654.85817268246092</v>
      </c>
      <c r="CW1502">
        <f>IF($CP1502="refNeedCorrection",-BZ1502,BZ1502)*IF($BR1502="Emissions positive",-1,1)</f>
        <v>-198.07124484422877</v>
      </c>
      <c r="CX1502">
        <f>IFERROR($CW1502/$CS1502,"")</f>
        <v>-0.3138152518303412</v>
      </c>
      <c r="CY1502">
        <f>IFERROR($CW1502/$CS1502,"")</f>
        <v>-0.3138152518303412</v>
      </c>
      <c r="CZ1502">
        <f>IFERROR($CW1502/$CT1502,"")</f>
        <v>-0.3138152518303412</v>
      </c>
      <c r="DA1502" s="2">
        <f>IFERROR((CV1502-CU1502)/ABS(CU1502),"")</f>
        <v>-0.43361846141616012</v>
      </c>
      <c r="DB1502" s="1" t="s">
        <v>234</v>
      </c>
      <c r="DC1502" t="str">
        <f>IF(OR($DB1502="prd",$DB1502="std",$DB1502="cit"),"loc",IF(OR($DB1502="eur",$DB1502="reg",$DB1502="coy"),"reg",$DB1502))</f>
        <v>loc</v>
      </c>
      <c r="DD1502" t="s">
        <v>280</v>
      </c>
      <c r="DG1502">
        <v>50</v>
      </c>
      <c r="DH1502" t="str">
        <f>IF(DG1502=0,"0",IF(AND(DG1502&gt;=1,DG1502&lt;=30),"1-30",IF(AND(DG1502&gt;30,DG1502&lt;=70),"31-70",IF(AND(DG1502&gt;70,DG1502&lt;=100),"71-100",IF(DG1502&gt;100,"+100")))))</f>
        <v>31-70</v>
      </c>
      <c r="DI1502">
        <v>0</v>
      </c>
      <c r="DJ1502">
        <v>0</v>
      </c>
      <c r="DK1502">
        <v>0</v>
      </c>
      <c r="DL1502">
        <v>1</v>
      </c>
      <c r="DN1502">
        <f>SUM(DI1502:DL1502)</f>
        <v>1</v>
      </c>
      <c r="DO1502" t="str">
        <f>IF(DN1502=1,INDEX($DI$7:$DL$7,MATCH(1,$DI1502:$DL1502,0)),"mixedProduct")</f>
        <v>TimberInput</v>
      </c>
      <c r="DP1502">
        <f>IF(DI1502=1,DP$7,0)</f>
        <v>0</v>
      </c>
      <c r="DQ1502">
        <f>IF(DJ1502=1,DQ$7,0)</f>
        <v>0</v>
      </c>
      <c r="DR1502">
        <f>IF(DK1502=1,DR$7,0)</f>
        <v>0</v>
      </c>
      <c r="DS1502" t="str">
        <f>IF(DL1502=1,DS$7,0)</f>
        <v>Timber</v>
      </c>
      <c r="DT1502">
        <v>0</v>
      </c>
      <c r="DU1502">
        <v>1</v>
      </c>
      <c r="DV1502">
        <v>0</v>
      </c>
      <c r="DW1502" t="s">
        <v>292</v>
      </c>
      <c r="DX1502">
        <v>0</v>
      </c>
      <c r="DY1502">
        <f>SUM(DT1502:DU1502)</f>
        <v>1</v>
      </c>
      <c r="DZ1502" s="143" t="str">
        <f>IF(DT1502=1,"self-calculated DF",IF(DU1502=1,"external DF used","explicit C balance"))</f>
        <v>external DF used</v>
      </c>
      <c r="EA1502">
        <v>0</v>
      </c>
      <c r="EB1502">
        <v>1</v>
      </c>
      <c r="EC1502">
        <v>1</v>
      </c>
      <c r="ED1502">
        <v>1</v>
      </c>
      <c r="EE1502">
        <v>1</v>
      </c>
      <c r="EF1502" s="143">
        <v>0</v>
      </c>
      <c r="EG1502">
        <v>1</v>
      </c>
      <c r="EH1502">
        <v>1</v>
      </c>
      <c r="EI1502">
        <v>0</v>
      </c>
      <c r="EJ1502">
        <v>1</v>
      </c>
      <c r="EK1502">
        <v>1</v>
      </c>
      <c r="EL1502">
        <v>1</v>
      </c>
      <c r="EM1502">
        <v>0</v>
      </c>
      <c r="EN1502" s="2">
        <v>0</v>
      </c>
      <c r="EP1502" t="str">
        <f>IF(AND(AND(AND(OR($EC1502=1,$EB1502=1),OR($EH1502=1,$EF1502=1)),SUM($EA1502:$EE1502,$EK1502)&gt;=3),SUM($EF1502:$EJ1502)&gt;=2),"Whole sector approach","")</f>
        <v>Whole sector approach</v>
      </c>
      <c r="EQ1502" t="str">
        <f>IF(AND(AND(OR($EC1502=1,$EB1502=1),AND($EH1502=0,$EF1502=0)),SUM($EA1502:$EE1502,$EK1502)&gt;=4),"Ecosystem approach","")</f>
        <v/>
      </c>
      <c r="ER1502" s="2" t="str">
        <f>IF(AND(AND(AND($EC1502=0,$EB1502=0),OR($EH1502=1,$EF1502=1)),SUM($EG1502:$EJ1502)&gt;=2),"Technology approach","")</f>
        <v/>
      </c>
      <c r="ES1502" t="str">
        <f>IF(AND($EC1502+$EB1502+$EE1502+$EA1502+$ED1502+$EG1502=0,$N1502="included"),"C neutral forest and HWP assumption","")</f>
        <v/>
      </c>
      <c r="ET1502" t="str">
        <f>IF(AND(AND(AND(AND($EC1502=1,$EB1502+$EA1502+$EG1502&gt;=1),$EF1502=1),$EH1502+$EI1502+$ED1502+$EE1502&gt;=2),$N1502="included"),"All C pools assumption","")</f>
        <v/>
      </c>
      <c r="EU1502" t="str">
        <f>IF(AND($ED1502+$EE1502+$EI1502+$EH1502+$EF1502=0,$N1502="included"),"In-situ only assumption","")</f>
        <v/>
      </c>
      <c r="EW1502" t="s">
        <v>294</v>
      </c>
      <c r="EY1502" t="str">
        <f>IF(ISNUMBER(BW1502),IF(ABS(BW1502-[2]QC_indicators!$B$2)&gt;3*[2]QC_indicators!$C$2,"C ratio",IF(ISNUMBER(CA1502),IF(ABS(CA1502-[2]QC_indicators!$B$1)&gt;3*[2]QC_indicators!$C$1,"DF","no"))),IF(ISNUMBER(CA1502),IF(ABS(CA1502-[2]QC_indicators!$B$1)&gt;3*[2]QC_indicators!$C$1,"DF","no")))</f>
        <v>no</v>
      </c>
      <c r="EZ1502" t="s">
        <v>286</v>
      </c>
      <c r="FA1502" t="str">
        <f>IF(LEN($CY1502)=0,"",IF(AND($CY1502&lt;(-0.05),$ES1502="C neutral forest and HWP assumption"),"Cneutral paradox",IF(AND($CY1502&gt;0.05,$EU1502="In-situ only assumption"),"In-situ only paradox","")))</f>
        <v/>
      </c>
      <c r="FD1502" s="260" t="s">
        <v>2948</v>
      </c>
    </row>
    <row r="1503" spans="1:160" ht="15" hidden="1" customHeight="1">
      <c r="A1503" s="1" t="s">
        <v>265</v>
      </c>
      <c r="B1503" t="s">
        <v>266</v>
      </c>
      <c r="C1503" t="s">
        <v>267</v>
      </c>
      <c r="D1503" t="s">
        <v>268</v>
      </c>
      <c r="E1503" t="s">
        <v>269</v>
      </c>
      <c r="F1503" t="s">
        <v>270</v>
      </c>
      <c r="G1503" t="s">
        <v>271</v>
      </c>
      <c r="H1503" t="s">
        <v>254</v>
      </c>
      <c r="I1503">
        <v>2022</v>
      </c>
      <c r="J1503">
        <v>0</v>
      </c>
      <c r="K1503" t="s">
        <v>272</v>
      </c>
      <c r="M1503" t="str">
        <f>LEFT($D1503,FIND(",",$D1503)-1)&amp;"_"&amp;I1503&amp;L1503</f>
        <v>Aryapratama_2022</v>
      </c>
      <c r="N1503" t="s">
        <v>222</v>
      </c>
      <c r="O1503" s="145" t="s">
        <v>274</v>
      </c>
      <c r="Q1503" t="s">
        <v>224</v>
      </c>
      <c r="R1503" s="258" t="s">
        <v>223</v>
      </c>
      <c r="S1503" s="259" t="s">
        <v>2784</v>
      </c>
      <c r="T1503" t="s">
        <v>295</v>
      </c>
      <c r="U1503" t="s">
        <v>289</v>
      </c>
      <c r="V1503" s="253">
        <v>0</v>
      </c>
      <c r="W1503" s="253">
        <v>0</v>
      </c>
      <c r="X1503">
        <v>0</v>
      </c>
      <c r="Y1503">
        <v>0</v>
      </c>
      <c r="Z1503">
        <v>0</v>
      </c>
      <c r="AA1503">
        <v>0</v>
      </c>
      <c r="AB1503">
        <v>0</v>
      </c>
      <c r="AC1503">
        <v>0</v>
      </c>
      <c r="AD1503">
        <v>0</v>
      </c>
      <c r="AE1503">
        <v>0</v>
      </c>
      <c r="AF1503">
        <v>0</v>
      </c>
      <c r="AG1503">
        <v>0</v>
      </c>
      <c r="AH1503">
        <v>0</v>
      </c>
      <c r="AI1503">
        <v>0</v>
      </c>
      <c r="AJ1503">
        <v>0</v>
      </c>
      <c r="AK1503">
        <v>0</v>
      </c>
      <c r="AL1503">
        <v>0</v>
      </c>
      <c r="AM1503">
        <v>1</v>
      </c>
      <c r="AN1503">
        <v>0</v>
      </c>
      <c r="AO1503">
        <v>0</v>
      </c>
      <c r="AP1503">
        <v>0</v>
      </c>
      <c r="AQ1503">
        <v>0</v>
      </c>
      <c r="AR1503">
        <v>0</v>
      </c>
      <c r="AS1503">
        <v>0</v>
      </c>
      <c r="AT1503">
        <v>0</v>
      </c>
      <c r="AU1503">
        <v>0</v>
      </c>
      <c r="AV1503">
        <v>0</v>
      </c>
      <c r="AW1503">
        <v>0</v>
      </c>
      <c r="AX1503">
        <v>0</v>
      </c>
      <c r="AY1503">
        <v>0</v>
      </c>
      <c r="AZ1503" s="141">
        <f>COUNTIF(X1503:AY1503,"&lt;&gt;0")</f>
        <v>1</v>
      </c>
      <c r="BA1503" s="141">
        <f>COUNTIF(X1503:AN1503,"&lt;&gt;0")</f>
        <v>1</v>
      </c>
      <c r="BB1503">
        <f>COUNTIF(X1503:AE1503,"&lt;&gt;0")</f>
        <v>0</v>
      </c>
      <c r="BC1503">
        <f>COUNTIF(AF1503:AK1503,"&lt;&gt;0")</f>
        <v>0</v>
      </c>
      <c r="BD1503">
        <f>COUNTIF(AL1503:AN1503,"&lt;&gt;0")</f>
        <v>1</v>
      </c>
      <c r="BE1503">
        <f>COUNTIF(AU1503:AY1503,"&lt;&gt;0")</f>
        <v>0</v>
      </c>
      <c r="BF1503">
        <f>COUNTIF(AO1503:AT1503,"&lt;&gt;0")</f>
        <v>0</v>
      </c>
      <c r="BG1503" t="str">
        <f t="array" ref="BG1503">IF(BA1503=1,INDEX($X$7:$AN$7,MATCH(TRUE,INDEX($X1503:$AY1503&lt;&gt;0,),0)),IF(BA1503=0,INDEX($AO$7:$AY$7,MATCH(1,$AO1503:$AY1503,0)),IF(BH1503="Multiple strategies","mixed drivers",IF(BH1503="Supply chain","multiple supply","multiple silviculture"))))</f>
        <v>technologies/design switch</v>
      </c>
      <c r="BH1503" s="2" t="str" cm="1">
        <f t="array" ref="BH1503">IF(COUNTIF(BB1503:BD1503,"&lt;&gt;0")=1,INDEX($X$4:$AY$4,MATCH(TRUE,INDEX($X1503:$AY1503&lt;&gt;0,),0)),IF(COUNTIF(BB1503:BD1503,"&lt;&gt;0")=0,INDEX($AO$4:$AY$4,MATCH(1,$AO1503:$AY1503,0)),"Multiple strategies"))</f>
        <v>Technology</v>
      </c>
      <c r="BI1503" s="1" t="s">
        <v>229</v>
      </c>
      <c r="BJ1503" t="s">
        <v>277</v>
      </c>
      <c r="BK1503" s="260" t="s">
        <v>2785</v>
      </c>
      <c r="BL1503" t="s">
        <v>278</v>
      </c>
      <c r="BM1503">
        <v>0</v>
      </c>
      <c r="BN1503">
        <v>265.71098787093206</v>
      </c>
      <c r="BP1503">
        <f>BN1503-BM1503</f>
        <v>265.71098787093206</v>
      </c>
      <c r="BQ1503">
        <f>BP1503*tC_to_m3</f>
        <v>1153.76025996931</v>
      </c>
      <c r="BR1503" t="s">
        <v>232</v>
      </c>
      <c r="BS1503" s="153" t="s">
        <v>2786</v>
      </c>
      <c r="BT1503" t="s">
        <v>279</v>
      </c>
      <c r="BU1503">
        <v>-559.28752781846788</v>
      </c>
      <c r="BV1503">
        <v>-870.70033536556764</v>
      </c>
      <c r="BW1503" s="144">
        <f>IFERROR(BV1503/BU1503,"")</f>
        <v>1.556802703542814</v>
      </c>
      <c r="BX1503">
        <f>BV1503-BU1503</f>
        <v>-311.41280754709976</v>
      </c>
      <c r="BZ1503">
        <f>BX1503</f>
        <v>-311.41280754709976</v>
      </c>
      <c r="CA1503">
        <f>IFERROR(BZ1503/BQ1503,"")</f>
        <v>-0.26991119243037831</v>
      </c>
      <c r="CB1503">
        <v>0</v>
      </c>
      <c r="CC1503">
        <v>0</v>
      </c>
      <c r="CD1503">
        <v>0</v>
      </c>
      <c r="CE1503">
        <v>0</v>
      </c>
      <c r="CF1503">
        <v>0</v>
      </c>
      <c r="CG1503">
        <v>0</v>
      </c>
      <c r="CH1503">
        <v>0</v>
      </c>
      <c r="CI1503">
        <v>0</v>
      </c>
      <c r="CJ1503">
        <v>0</v>
      </c>
      <c r="CK1503">
        <v>0</v>
      </c>
      <c r="CL1503">
        <v>0</v>
      </c>
      <c r="CM1503">
        <v>0</v>
      </c>
      <c r="CN1503">
        <v>0</v>
      </c>
      <c r="CO1503">
        <v>0</v>
      </c>
      <c r="CP1503" t="str">
        <f>IF($BN1503&lt;$BM1503,"refNeedCorrection","refOK")</f>
        <v>refOK</v>
      </c>
      <c r="CQ1503">
        <f>IF($CP1503="refOK",$BM1503,$BN1503)</f>
        <v>0</v>
      </c>
      <c r="CR1503">
        <f>IF($CP1503="refOK",$BN1503,$BM1503)</f>
        <v>265.71098787093206</v>
      </c>
      <c r="CS1503">
        <f>IF($CP1503="refOK",$BQ1503,-$BQ1503)</f>
        <v>1153.76025996931</v>
      </c>
      <c r="CT1503">
        <f>IF(BI1503="Roundwood",$CS1503/2,$CS1503)</f>
        <v>1153.76025996931</v>
      </c>
      <c r="CU1503">
        <f>IF($CP1503="refOK",$BU1503,$BV1503)*IF($BR1503="Emissions positive",-1,1)</f>
        <v>-559.28752781846788</v>
      </c>
      <c r="CV1503">
        <f>IF($CP1503="refOK",$BV1503,$BU1503)*IF($BR1503="Emissions positive",-1,1)</f>
        <v>-870.70033536556764</v>
      </c>
      <c r="CW1503">
        <f>IF($CP1503="refNeedCorrection",-BZ1503,BZ1503)*IF($BR1503="Emissions positive",-1,1)</f>
        <v>-311.41280754709976</v>
      </c>
      <c r="CX1503">
        <f>IFERROR($CW1503/$CS1503,"")</f>
        <v>-0.26991119243037831</v>
      </c>
      <c r="CY1503">
        <f>IFERROR($CW1503/$CS1503,"")</f>
        <v>-0.26991119243037831</v>
      </c>
      <c r="CZ1503">
        <f>IFERROR($CW1503/$CT1503,"")</f>
        <v>-0.26991119243037831</v>
      </c>
      <c r="DA1503" s="2">
        <f>IFERROR((CV1503-CU1503)/ABS(CU1503),"")</f>
        <v>-0.55680270354281414</v>
      </c>
      <c r="DB1503" s="1" t="s">
        <v>234</v>
      </c>
      <c r="DC1503" t="str">
        <f>IF(OR($DB1503="prd",$DB1503="std",$DB1503="cit"),"loc",IF(OR($DB1503="eur",$DB1503="reg",$DB1503="coy"),"reg",$DB1503))</f>
        <v>loc</v>
      </c>
      <c r="DD1503" t="s">
        <v>280</v>
      </c>
      <c r="DG1503">
        <v>50</v>
      </c>
      <c r="DH1503" t="str">
        <f>IF(DG1503=0,"0",IF(AND(DG1503&gt;=1,DG1503&lt;=30),"1-30",IF(AND(DG1503&gt;30,DG1503&lt;=70),"31-70",IF(AND(DG1503&gt;70,DG1503&lt;=100),"71-100",IF(DG1503&gt;100,"+100")))))</f>
        <v>31-70</v>
      </c>
      <c r="DI1503">
        <v>0</v>
      </c>
      <c r="DJ1503">
        <v>0</v>
      </c>
      <c r="DK1503">
        <v>0</v>
      </c>
      <c r="DL1503">
        <v>1</v>
      </c>
      <c r="DN1503">
        <f>SUM(DI1503:DL1503)</f>
        <v>1</v>
      </c>
      <c r="DO1503" t="str">
        <f>IF(DN1503=1,INDEX($DI$7:$DL$7,MATCH(1,$DI1503:$DL1503,0)),"mixedProduct")</f>
        <v>TimberInput</v>
      </c>
      <c r="DP1503">
        <f>IF(DI1503=1,DP$7,0)</f>
        <v>0</v>
      </c>
      <c r="DQ1503">
        <f>IF(DJ1503=1,DQ$7,0)</f>
        <v>0</v>
      </c>
      <c r="DR1503">
        <f>IF(DK1503=1,DR$7,0)</f>
        <v>0</v>
      </c>
      <c r="DS1503" t="str">
        <f>IF(DL1503=1,DS$7,0)</f>
        <v>Timber</v>
      </c>
      <c r="DT1503">
        <v>0</v>
      </c>
      <c r="DU1503">
        <v>1</v>
      </c>
      <c r="DV1503">
        <v>0</v>
      </c>
      <c r="DW1503" t="s">
        <v>292</v>
      </c>
      <c r="DX1503">
        <v>0</v>
      </c>
      <c r="DY1503">
        <f>SUM(DT1503:DU1503)</f>
        <v>1</v>
      </c>
      <c r="DZ1503" s="143" t="str">
        <f>IF(DT1503=1,"self-calculated DF",IF(DU1503=1,"external DF used","explicit C balance"))</f>
        <v>external DF used</v>
      </c>
      <c r="EA1503">
        <v>0</v>
      </c>
      <c r="EB1503">
        <v>1</v>
      </c>
      <c r="EC1503">
        <v>1</v>
      </c>
      <c r="ED1503">
        <v>1</v>
      </c>
      <c r="EE1503">
        <v>1</v>
      </c>
      <c r="EF1503" s="143">
        <v>0</v>
      </c>
      <c r="EG1503">
        <v>1</v>
      </c>
      <c r="EH1503">
        <v>1</v>
      </c>
      <c r="EI1503">
        <v>0</v>
      </c>
      <c r="EJ1503">
        <v>1</v>
      </c>
      <c r="EK1503">
        <v>1</v>
      </c>
      <c r="EL1503">
        <v>1</v>
      </c>
      <c r="EM1503">
        <v>0</v>
      </c>
      <c r="EN1503" s="2">
        <v>0</v>
      </c>
      <c r="EP1503" t="str">
        <f>IF(AND(AND(AND(OR($EC1503=1,$EB1503=1),OR($EH1503=1,$EF1503=1)),SUM($EA1503:$EE1503,$EK1503)&gt;=3),SUM($EF1503:$EJ1503)&gt;=2),"Whole sector approach","")</f>
        <v>Whole sector approach</v>
      </c>
      <c r="EQ1503" t="str">
        <f>IF(AND(AND(OR($EC1503=1,$EB1503=1),AND($EH1503=0,$EF1503=0)),SUM($EA1503:$EE1503,$EK1503)&gt;=4),"Ecosystem approach","")</f>
        <v/>
      </c>
      <c r="ER1503" s="2" t="str">
        <f>IF(AND(AND(AND($EC1503=0,$EB1503=0),OR($EH1503=1,$EF1503=1)),SUM($EG1503:$EJ1503)&gt;=2),"Technology approach","")</f>
        <v/>
      </c>
      <c r="ES1503" t="str">
        <f>IF(AND($EC1503+$EB1503+$EE1503+$EA1503+$ED1503+$EG1503=0,$N1503="included"),"C neutral forest and HWP assumption","")</f>
        <v/>
      </c>
      <c r="ET1503" t="str">
        <f>IF(AND(AND(AND(AND($EC1503=1,$EB1503+$EA1503+$EG1503&gt;=1),$EF1503=1),$EH1503+$EI1503+$ED1503+$EE1503&gt;=2),$N1503="included"),"All C pools assumption","")</f>
        <v/>
      </c>
      <c r="EU1503" t="str">
        <f>IF(AND($ED1503+$EE1503+$EI1503+$EH1503+$EF1503=0,$N1503="included"),"In-situ only assumption","")</f>
        <v/>
      </c>
      <c r="EY1503" t="str">
        <f>IF(ISNUMBER(BW1503),IF(ABS(BW1503-[2]QC_indicators!$B$2)&gt;3*[2]QC_indicators!$C$2,"C ratio",IF(ISNUMBER(CA1503),IF(ABS(CA1503-[2]QC_indicators!$B$1)&gt;3*[2]QC_indicators!$C$1,"DF","no"))),IF(ISNUMBER(CA1503),IF(ABS(CA1503-[2]QC_indicators!$B$1)&gt;3*[2]QC_indicators!$C$1,"DF","no")))</f>
        <v>no</v>
      </c>
      <c r="EZ1503" t="s">
        <v>286</v>
      </c>
      <c r="FA1503" t="str">
        <f>IF(LEN($CY1503)=0,"",IF(AND($CY1503&lt;(-0.05),$ES1503="C neutral forest and HWP assumption"),"Cneutral paradox",IF(AND($CY1503&gt;0.05,$EU1503="In-situ only assumption"),"In-situ only paradox","")))</f>
        <v/>
      </c>
      <c r="FB1503" t="s">
        <v>296</v>
      </c>
      <c r="FD1503" s="260" t="s">
        <v>2948</v>
      </c>
    </row>
    <row r="1504" spans="1:160" ht="15" hidden="1" customHeight="1">
      <c r="A1504" s="1" t="s">
        <v>265</v>
      </c>
      <c r="B1504" t="s">
        <v>266</v>
      </c>
      <c r="C1504" t="s">
        <v>267</v>
      </c>
      <c r="D1504" t="s">
        <v>268</v>
      </c>
      <c r="E1504" t="s">
        <v>269</v>
      </c>
      <c r="F1504" t="s">
        <v>270</v>
      </c>
      <c r="G1504" t="s">
        <v>271</v>
      </c>
      <c r="H1504" t="s">
        <v>254</v>
      </c>
      <c r="I1504">
        <v>2022</v>
      </c>
      <c r="J1504">
        <v>0</v>
      </c>
      <c r="K1504" t="s">
        <v>272</v>
      </c>
      <c r="M1504" t="str">
        <f>LEFT($D1504,FIND(",",$D1504)-1)&amp;"_"&amp;I1504&amp;L1504</f>
        <v>Aryapratama_2022</v>
      </c>
      <c r="N1504" t="s">
        <v>222</v>
      </c>
      <c r="O1504" s="145" t="s">
        <v>274</v>
      </c>
      <c r="Q1504" t="s">
        <v>224</v>
      </c>
      <c r="R1504" s="258" t="s">
        <v>223</v>
      </c>
      <c r="S1504" s="259" t="s">
        <v>2784</v>
      </c>
      <c r="T1504" t="s">
        <v>297</v>
      </c>
      <c r="U1504" t="s">
        <v>298</v>
      </c>
      <c r="V1504" s="253">
        <v>0</v>
      </c>
      <c r="W1504" s="253">
        <v>0</v>
      </c>
      <c r="X1504">
        <v>0</v>
      </c>
      <c r="Y1504">
        <v>0</v>
      </c>
      <c r="Z1504">
        <v>0</v>
      </c>
      <c r="AA1504">
        <v>0</v>
      </c>
      <c r="AB1504">
        <v>0</v>
      </c>
      <c r="AC1504">
        <v>0</v>
      </c>
      <c r="AD1504">
        <v>0</v>
      </c>
      <c r="AE1504">
        <v>0</v>
      </c>
      <c r="AF1504">
        <v>0</v>
      </c>
      <c r="AG1504">
        <v>0</v>
      </c>
      <c r="AH1504">
        <v>0</v>
      </c>
      <c r="AI1504">
        <v>0</v>
      </c>
      <c r="AJ1504">
        <v>0</v>
      </c>
      <c r="AK1504">
        <v>0</v>
      </c>
      <c r="AL1504">
        <v>0</v>
      </c>
      <c r="AM1504">
        <v>1</v>
      </c>
      <c r="AN1504">
        <v>0</v>
      </c>
      <c r="AO1504">
        <v>0</v>
      </c>
      <c r="AP1504">
        <v>0</v>
      </c>
      <c r="AQ1504">
        <v>0</v>
      </c>
      <c r="AR1504">
        <v>0</v>
      </c>
      <c r="AS1504">
        <v>0</v>
      </c>
      <c r="AT1504">
        <v>0</v>
      </c>
      <c r="AU1504">
        <v>0</v>
      </c>
      <c r="AV1504">
        <v>0</v>
      </c>
      <c r="AW1504">
        <v>0</v>
      </c>
      <c r="AX1504">
        <v>0</v>
      </c>
      <c r="AY1504">
        <v>0</v>
      </c>
      <c r="AZ1504" s="141">
        <f>COUNTIF(X1504:AY1504,"&lt;&gt;0")</f>
        <v>1</v>
      </c>
      <c r="BA1504" s="141">
        <f>COUNTIF(X1504:AN1504,"&lt;&gt;0")</f>
        <v>1</v>
      </c>
      <c r="BB1504">
        <f>COUNTIF(X1504:AE1504,"&lt;&gt;0")</f>
        <v>0</v>
      </c>
      <c r="BC1504">
        <f>COUNTIF(AF1504:AK1504,"&lt;&gt;0")</f>
        <v>0</v>
      </c>
      <c r="BD1504">
        <f>COUNTIF(AL1504:AN1504,"&lt;&gt;0")</f>
        <v>1</v>
      </c>
      <c r="BE1504">
        <f>COUNTIF(AU1504:AY1504,"&lt;&gt;0")</f>
        <v>0</v>
      </c>
      <c r="BF1504">
        <f>COUNTIF(AO1504:AT1504,"&lt;&gt;0")</f>
        <v>0</v>
      </c>
      <c r="BG1504" t="str">
        <f t="array" ref="BG1504">IF(BA1504=1,INDEX($X$7:$AN$7,MATCH(TRUE,INDEX($X1504:$AY1504&lt;&gt;0,),0)),IF(BA1504=0,INDEX($AO$7:$AY$7,MATCH(1,$AO1504:$AY1504,0)),IF(BH1504="Multiple strategies","mixed drivers",IF(BH1504="Supply chain","multiple supply","multiple silviculture"))))</f>
        <v>technologies/design switch</v>
      </c>
      <c r="BH1504" s="2" t="str" cm="1">
        <f t="array" ref="BH1504">IF(COUNTIF(BB1504:BD1504,"&lt;&gt;0")=1,INDEX($X$4:$AY$4,MATCH(TRUE,INDEX($X1504:$AY1504&lt;&gt;0,),0)),IF(COUNTIF(BB1504:BD1504,"&lt;&gt;0")=0,INDEX($AO$4:$AY$4,MATCH(1,$AO1504:$AY1504,0)),"Multiple strategies"))</f>
        <v>Technology</v>
      </c>
      <c r="BI1504" s="1" t="s">
        <v>229</v>
      </c>
      <c r="BJ1504" t="s">
        <v>277</v>
      </c>
      <c r="BK1504" s="260" t="s">
        <v>2785</v>
      </c>
      <c r="BL1504" t="s">
        <v>278</v>
      </c>
      <c r="BM1504">
        <v>0</v>
      </c>
      <c r="BN1504">
        <v>193.54702102312467</v>
      </c>
      <c r="BP1504">
        <f>BN1504-BM1504</f>
        <v>193.54702102312467</v>
      </c>
      <c r="BQ1504">
        <f>BP1504*tC_to_m3</f>
        <v>840.41259671352441</v>
      </c>
      <c r="BR1504" t="s">
        <v>232</v>
      </c>
      <c r="BS1504" s="153" t="s">
        <v>2786</v>
      </c>
      <c r="BT1504" t="s">
        <v>279</v>
      </c>
      <c r="BU1504">
        <v>-354.25011993341019</v>
      </c>
      <c r="BV1504">
        <v>-567.94520592120887</v>
      </c>
      <c r="BW1504" s="144">
        <f>IFERROR(BV1504/BU1504,"")</f>
        <v>1.6032322191675412</v>
      </c>
      <c r="BX1504">
        <f>BV1504-BU1504</f>
        <v>-213.69508598779868</v>
      </c>
      <c r="BZ1504">
        <f>BX1504</f>
        <v>-213.69508598779868</v>
      </c>
      <c r="CA1504">
        <f>IFERROR(BZ1504/BQ1504,"")</f>
        <v>-0.25427401591011844</v>
      </c>
      <c r="CB1504">
        <v>0</v>
      </c>
      <c r="CC1504">
        <v>0</v>
      </c>
      <c r="CD1504">
        <v>0</v>
      </c>
      <c r="CE1504">
        <v>0</v>
      </c>
      <c r="CF1504">
        <v>0</v>
      </c>
      <c r="CG1504">
        <v>0</v>
      </c>
      <c r="CH1504">
        <v>0</v>
      </c>
      <c r="CI1504">
        <v>0</v>
      </c>
      <c r="CJ1504">
        <v>0</v>
      </c>
      <c r="CK1504">
        <v>0</v>
      </c>
      <c r="CL1504">
        <v>0</v>
      </c>
      <c r="CM1504">
        <v>0</v>
      </c>
      <c r="CN1504">
        <v>0</v>
      </c>
      <c r="CO1504">
        <v>0</v>
      </c>
      <c r="CP1504" t="str">
        <f>IF($BN1504&lt;$BM1504,"refNeedCorrection","refOK")</f>
        <v>refOK</v>
      </c>
      <c r="CQ1504">
        <f>IF($CP1504="refOK",$BM1504,$BN1504)</f>
        <v>0</v>
      </c>
      <c r="CR1504">
        <f>IF($CP1504="refOK",$BN1504,$BM1504)</f>
        <v>193.54702102312467</v>
      </c>
      <c r="CS1504">
        <f>IF($CP1504="refOK",$BQ1504,-$BQ1504)</f>
        <v>840.41259671352441</v>
      </c>
      <c r="CT1504">
        <f>IF(BI1504="Roundwood",$CS1504/2,$CS1504)</f>
        <v>840.41259671352441</v>
      </c>
      <c r="CU1504">
        <f>IF($CP1504="refOK",$BU1504,$BV1504)*IF($BR1504="Emissions positive",-1,1)</f>
        <v>-354.25011993341019</v>
      </c>
      <c r="CV1504">
        <f>IF($CP1504="refOK",$BV1504,$BU1504)*IF($BR1504="Emissions positive",-1,1)</f>
        <v>-567.94520592120887</v>
      </c>
      <c r="CW1504">
        <f>IF($CP1504="refNeedCorrection",-BZ1504,BZ1504)*IF($BR1504="Emissions positive",-1,1)</f>
        <v>-213.69508598779868</v>
      </c>
      <c r="CX1504">
        <f>IFERROR($CW1504/$CS1504,"")</f>
        <v>-0.25427401591011844</v>
      </c>
      <c r="CY1504">
        <f>IFERROR($CW1504/$CS1504,"")</f>
        <v>-0.25427401591011844</v>
      </c>
      <c r="CZ1504">
        <f>IFERROR($CW1504/$CT1504,"")</f>
        <v>-0.25427401591011844</v>
      </c>
      <c r="DA1504" s="2">
        <f>IFERROR((CV1504-CU1504)/ABS(CU1504),"")</f>
        <v>-0.60323221916754133</v>
      </c>
      <c r="DB1504" s="1" t="s">
        <v>234</v>
      </c>
      <c r="DC1504" t="str">
        <f>IF(OR($DB1504="prd",$DB1504="std",$DB1504="cit"),"loc",IF(OR($DB1504="eur",$DB1504="reg",$DB1504="coy"),"reg",$DB1504))</f>
        <v>loc</v>
      </c>
      <c r="DD1504" t="s">
        <v>280</v>
      </c>
      <c r="DG1504">
        <v>100</v>
      </c>
      <c r="DH1504" t="str">
        <f>IF(DG1504=0,"0",IF(AND(DG1504&gt;=1,DG1504&lt;=30),"1-30",IF(AND(DG1504&gt;30,DG1504&lt;=70),"31-70",IF(AND(DG1504&gt;70,DG1504&lt;=100),"71-100",IF(DG1504&gt;100,"+100")))))</f>
        <v>71-100</v>
      </c>
      <c r="DI1504">
        <v>0</v>
      </c>
      <c r="DJ1504">
        <v>0</v>
      </c>
      <c r="DK1504">
        <v>0</v>
      </c>
      <c r="DL1504">
        <v>1</v>
      </c>
      <c r="DN1504">
        <f>SUM(DI1504:DL1504)</f>
        <v>1</v>
      </c>
      <c r="DO1504" t="str">
        <f>IF(DN1504=1,INDEX($DI$7:$DL$7,MATCH(1,$DI1504:$DL1504,0)),"mixedProduct")</f>
        <v>TimberInput</v>
      </c>
      <c r="DP1504">
        <f>IF(DI1504=1,DP$7,0)</f>
        <v>0</v>
      </c>
      <c r="DQ1504">
        <f>IF(DJ1504=1,DQ$7,0)</f>
        <v>0</v>
      </c>
      <c r="DR1504">
        <f>IF(DK1504=1,DR$7,0)</f>
        <v>0</v>
      </c>
      <c r="DS1504" t="str">
        <f>IF(DL1504=1,DS$7,0)</f>
        <v>Timber</v>
      </c>
      <c r="DT1504">
        <v>0</v>
      </c>
      <c r="DU1504">
        <v>1</v>
      </c>
      <c r="DV1504">
        <v>0</v>
      </c>
      <c r="DW1504" t="s">
        <v>281</v>
      </c>
      <c r="DX1504">
        <v>0</v>
      </c>
      <c r="DY1504">
        <f>SUM(DT1504:DU1504)</f>
        <v>1</v>
      </c>
      <c r="DZ1504" s="143" t="str">
        <f>IF(DT1504=1,"self-calculated DF",IF(DU1504=1,"external DF used","explicit C balance"))</f>
        <v>external DF used</v>
      </c>
      <c r="EA1504">
        <v>0</v>
      </c>
      <c r="EB1504">
        <v>1</v>
      </c>
      <c r="EC1504">
        <v>1</v>
      </c>
      <c r="ED1504">
        <v>1</v>
      </c>
      <c r="EE1504">
        <v>1</v>
      </c>
      <c r="EF1504" s="143">
        <v>0</v>
      </c>
      <c r="EG1504">
        <v>1</v>
      </c>
      <c r="EH1504">
        <v>1</v>
      </c>
      <c r="EI1504">
        <v>0</v>
      </c>
      <c r="EJ1504">
        <v>1</v>
      </c>
      <c r="EK1504">
        <v>1</v>
      </c>
      <c r="EL1504">
        <v>1</v>
      </c>
      <c r="EM1504">
        <v>0</v>
      </c>
      <c r="EN1504" s="2">
        <v>0</v>
      </c>
      <c r="EP1504" t="str">
        <f>IF(AND(AND(AND(OR($EC1504=1,$EB1504=1),OR($EH1504=1,$EF1504=1)),SUM($EA1504:$EE1504,$EK1504)&gt;=3),SUM($EF1504:$EJ1504)&gt;=2),"Whole sector approach","")</f>
        <v>Whole sector approach</v>
      </c>
      <c r="EQ1504" t="str">
        <f>IF(AND(AND(OR($EC1504=1,$EB1504=1),AND($EH1504=0,$EF1504=0)),SUM($EA1504:$EE1504,$EK1504)&gt;=4),"Ecosystem approach","")</f>
        <v/>
      </c>
      <c r="ER1504" s="2" t="str">
        <f>IF(AND(AND(AND($EC1504=0,$EB1504=0),OR($EH1504=1,$EF1504=1)),SUM($EG1504:$EJ1504)&gt;=2),"Technology approach","")</f>
        <v/>
      </c>
      <c r="ES1504" t="str">
        <f>IF(AND($EC1504+$EB1504+$EE1504+$EA1504+$ED1504+$EG1504=0,$N1504="included"),"C neutral forest and HWP assumption","")</f>
        <v/>
      </c>
      <c r="ET1504" t="str">
        <f>IF(AND(AND(AND(AND($EC1504=1,$EB1504+$EA1504+$EG1504&gt;=1),$EF1504=1),$EH1504+$EI1504+$ED1504+$EE1504&gt;=2),$N1504="included"),"All C pools assumption","")</f>
        <v/>
      </c>
      <c r="EU1504" t="str">
        <f>IF(AND($ED1504+$EE1504+$EI1504+$EH1504+$EF1504=0,$N1504="included"),"In-situ only assumption","")</f>
        <v/>
      </c>
      <c r="EY1504" t="str">
        <f>IF(ISNUMBER(BW1504),IF(ABS(BW1504-[2]QC_indicators!$B$2)&gt;3*[2]QC_indicators!$C$2,"C ratio",IF(ISNUMBER(CA1504),IF(ABS(CA1504-[2]QC_indicators!$B$1)&gt;3*[2]QC_indicators!$C$1,"DF","no"))),IF(ISNUMBER(CA1504),IF(ABS(CA1504-[2]QC_indicators!$B$1)&gt;3*[2]QC_indicators!$C$1,"DF","no")))</f>
        <v>no</v>
      </c>
      <c r="EZ1504" t="s">
        <v>286</v>
      </c>
      <c r="FA1504" t="str">
        <f>IF(LEN($CY1504)=0,"",IF(AND($CY1504&lt;(-0.05),$ES1504="C neutral forest and HWP assumption"),"Cneutral paradox",IF(AND($CY1504&gt;0.05,$EU1504="In-situ only assumption"),"In-situ only paradox","")))</f>
        <v/>
      </c>
      <c r="FD1504" s="260" t="s">
        <v>2948</v>
      </c>
    </row>
    <row r="1505" spans="1:160" ht="15" hidden="1" customHeight="1">
      <c r="A1505" s="1" t="s">
        <v>265</v>
      </c>
      <c r="B1505" t="s">
        <v>266</v>
      </c>
      <c r="C1505" t="s">
        <v>267</v>
      </c>
      <c r="D1505" t="s">
        <v>268</v>
      </c>
      <c r="E1505" t="s">
        <v>269</v>
      </c>
      <c r="F1505" t="s">
        <v>270</v>
      </c>
      <c r="G1505" t="s">
        <v>271</v>
      </c>
      <c r="H1505" t="s">
        <v>254</v>
      </c>
      <c r="I1505">
        <v>2022</v>
      </c>
      <c r="J1505">
        <v>0</v>
      </c>
      <c r="K1505" t="s">
        <v>272</v>
      </c>
      <c r="M1505" t="str">
        <f>LEFT($D1505,FIND(",",$D1505)-1)&amp;"_"&amp;I1505&amp;L1505</f>
        <v>Aryapratama_2022</v>
      </c>
      <c r="N1505" t="s">
        <v>222</v>
      </c>
      <c r="O1505" s="145" t="s">
        <v>274</v>
      </c>
      <c r="Q1505" t="s">
        <v>224</v>
      </c>
      <c r="R1505" s="258" t="s">
        <v>223</v>
      </c>
      <c r="S1505" s="259" t="s">
        <v>2784</v>
      </c>
      <c r="T1505" t="s">
        <v>297</v>
      </c>
      <c r="U1505" t="s">
        <v>298</v>
      </c>
      <c r="V1505" s="253">
        <v>0</v>
      </c>
      <c r="W1505" s="253">
        <v>0</v>
      </c>
      <c r="X1505">
        <v>0</v>
      </c>
      <c r="Y1505">
        <v>0</v>
      </c>
      <c r="Z1505">
        <v>0</v>
      </c>
      <c r="AA1505">
        <v>0</v>
      </c>
      <c r="AB1505">
        <v>0</v>
      </c>
      <c r="AC1505">
        <v>0</v>
      </c>
      <c r="AD1505">
        <v>0</v>
      </c>
      <c r="AE1505">
        <v>0</v>
      </c>
      <c r="AF1505">
        <v>0</v>
      </c>
      <c r="AG1505">
        <v>0</v>
      </c>
      <c r="AH1505">
        <v>0</v>
      </c>
      <c r="AI1505">
        <v>0</v>
      </c>
      <c r="AJ1505">
        <v>0</v>
      </c>
      <c r="AK1505">
        <v>0</v>
      </c>
      <c r="AL1505">
        <v>0</v>
      </c>
      <c r="AM1505">
        <v>1</v>
      </c>
      <c r="AN1505">
        <v>0</v>
      </c>
      <c r="AO1505">
        <v>0</v>
      </c>
      <c r="AP1505">
        <v>0</v>
      </c>
      <c r="AQ1505">
        <v>0</v>
      </c>
      <c r="AR1505">
        <v>0</v>
      </c>
      <c r="AS1505">
        <v>0</v>
      </c>
      <c r="AT1505">
        <v>0</v>
      </c>
      <c r="AU1505">
        <v>0</v>
      </c>
      <c r="AV1505">
        <v>0</v>
      </c>
      <c r="AW1505">
        <v>0</v>
      </c>
      <c r="AX1505">
        <v>0</v>
      </c>
      <c r="AY1505">
        <v>0</v>
      </c>
      <c r="AZ1505" s="141">
        <f>COUNTIF(X1505:AY1505,"&lt;&gt;0")</f>
        <v>1</v>
      </c>
      <c r="BA1505" s="141">
        <f>COUNTIF(X1505:AN1505,"&lt;&gt;0")</f>
        <v>1</v>
      </c>
      <c r="BB1505">
        <f>COUNTIF(X1505:AE1505,"&lt;&gt;0")</f>
        <v>0</v>
      </c>
      <c r="BC1505">
        <f>COUNTIF(AF1505:AK1505,"&lt;&gt;0")</f>
        <v>0</v>
      </c>
      <c r="BD1505">
        <f>COUNTIF(AL1505:AN1505,"&lt;&gt;0")</f>
        <v>1</v>
      </c>
      <c r="BE1505">
        <f>COUNTIF(AU1505:AY1505,"&lt;&gt;0")</f>
        <v>0</v>
      </c>
      <c r="BF1505">
        <f>COUNTIF(AO1505:AT1505,"&lt;&gt;0")</f>
        <v>0</v>
      </c>
      <c r="BG1505" t="str">
        <f t="array" ref="BG1505">IF(BA1505=1,INDEX($X$7:$AN$7,MATCH(TRUE,INDEX($X1505:$AY1505&lt;&gt;0,),0)),IF(BA1505=0,INDEX($AO$7:$AY$7,MATCH(1,$AO1505:$AY1505,0)),IF(BH1505="Multiple strategies","mixed drivers",IF(BH1505="Supply chain","multiple supply","multiple silviculture"))))</f>
        <v>technologies/design switch</v>
      </c>
      <c r="BH1505" s="2" t="str" cm="1">
        <f t="array" ref="BH1505">IF(COUNTIF(BB1505:BD1505,"&lt;&gt;0")=1,INDEX($X$4:$AY$4,MATCH(TRUE,INDEX($X1505:$AY1505&lt;&gt;0,),0)),IF(COUNTIF(BB1505:BD1505,"&lt;&gt;0")=0,INDEX($AO$4:$AY$4,MATCH(1,$AO1505:$AY1505,0)),"Multiple strategies"))</f>
        <v>Technology</v>
      </c>
      <c r="BI1505" s="1" t="s">
        <v>229</v>
      </c>
      <c r="BJ1505" t="s">
        <v>277</v>
      </c>
      <c r="BK1505" s="260" t="s">
        <v>2785</v>
      </c>
      <c r="BL1505" t="s">
        <v>278</v>
      </c>
      <c r="BM1505">
        <v>0</v>
      </c>
      <c r="BN1505">
        <v>309.48181778635524</v>
      </c>
      <c r="BP1505">
        <f>BN1505-BM1505</f>
        <v>309.48181778635524</v>
      </c>
      <c r="BQ1505">
        <f>BP1505*tC_to_m3</f>
        <v>1343.8203117080125</v>
      </c>
      <c r="BR1505" t="s">
        <v>232</v>
      </c>
      <c r="BS1505" s="153" t="s">
        <v>2786</v>
      </c>
      <c r="BT1505" t="s">
        <v>279</v>
      </c>
      <c r="BU1505">
        <v>-329.48380978417958</v>
      </c>
      <c r="BV1505">
        <v>-628.19875545968</v>
      </c>
      <c r="BW1505" s="144">
        <f>IFERROR(BV1505/BU1505,"")</f>
        <v>1.9066149437544941</v>
      </c>
      <c r="BX1505">
        <f>BV1505-BU1505</f>
        <v>-298.71494567550042</v>
      </c>
      <c r="BZ1505">
        <f>BX1505</f>
        <v>-298.71494567550042</v>
      </c>
      <c r="CA1505">
        <f>IFERROR(BZ1505/BQ1505,"")</f>
        <v>-0.22228786324551827</v>
      </c>
      <c r="CB1505">
        <v>0</v>
      </c>
      <c r="CC1505">
        <v>0</v>
      </c>
      <c r="CD1505">
        <v>0</v>
      </c>
      <c r="CE1505">
        <v>0</v>
      </c>
      <c r="CF1505">
        <v>0</v>
      </c>
      <c r="CG1505">
        <v>0</v>
      </c>
      <c r="CH1505">
        <v>0</v>
      </c>
      <c r="CI1505">
        <v>0</v>
      </c>
      <c r="CJ1505">
        <v>0</v>
      </c>
      <c r="CK1505">
        <v>0</v>
      </c>
      <c r="CL1505">
        <v>0</v>
      </c>
      <c r="CM1505">
        <v>0</v>
      </c>
      <c r="CN1505">
        <v>0</v>
      </c>
      <c r="CO1505">
        <v>0</v>
      </c>
      <c r="CP1505" t="str">
        <f>IF($BN1505&lt;$BM1505,"refNeedCorrection","refOK")</f>
        <v>refOK</v>
      </c>
      <c r="CQ1505">
        <f>IF($CP1505="refOK",$BM1505,$BN1505)</f>
        <v>0</v>
      </c>
      <c r="CR1505">
        <f>IF($CP1505="refOK",$BN1505,$BM1505)</f>
        <v>309.48181778635524</v>
      </c>
      <c r="CS1505">
        <f>IF($CP1505="refOK",$BQ1505,-$BQ1505)</f>
        <v>1343.8203117080125</v>
      </c>
      <c r="CT1505">
        <f>IF(BI1505="Roundwood",$CS1505/2,$CS1505)</f>
        <v>1343.8203117080125</v>
      </c>
      <c r="CU1505">
        <f>IF($CP1505="refOK",$BU1505,$BV1505)*IF($BR1505="Emissions positive",-1,1)</f>
        <v>-329.48380978417958</v>
      </c>
      <c r="CV1505">
        <f>IF($CP1505="refOK",$BV1505,$BU1505)*IF($BR1505="Emissions positive",-1,1)</f>
        <v>-628.19875545968</v>
      </c>
      <c r="CW1505">
        <f>IF($CP1505="refNeedCorrection",-BZ1505,BZ1505)*IF($BR1505="Emissions positive",-1,1)</f>
        <v>-298.71494567550042</v>
      </c>
      <c r="CX1505">
        <f>IFERROR($CW1505/$CS1505,"")</f>
        <v>-0.22228786324551827</v>
      </c>
      <c r="CY1505">
        <f>IFERROR($CW1505/$CS1505,"")</f>
        <v>-0.22228786324551827</v>
      </c>
      <c r="CZ1505">
        <f>IFERROR($CW1505/$CT1505,"")</f>
        <v>-0.22228786324551827</v>
      </c>
      <c r="DA1505" s="2">
        <f>IFERROR((CV1505-CU1505)/ABS(CU1505),"")</f>
        <v>-0.90661494375449414</v>
      </c>
      <c r="DB1505" s="1" t="s">
        <v>234</v>
      </c>
      <c r="DC1505" t="str">
        <f>IF(OR($DB1505="prd",$DB1505="std",$DB1505="cit"),"loc",IF(OR($DB1505="eur",$DB1505="reg",$DB1505="coy"),"reg",$DB1505))</f>
        <v>loc</v>
      </c>
      <c r="DD1505" t="s">
        <v>280</v>
      </c>
      <c r="DG1505">
        <v>200</v>
      </c>
      <c r="DH1505" t="str">
        <f>IF(DG1505=0,"0",IF(AND(DG1505&gt;=1,DG1505&lt;=30),"1-30",IF(AND(DG1505&gt;30,DG1505&lt;=70),"31-70",IF(AND(DG1505&gt;70,DG1505&lt;=100),"71-100",IF(DG1505&gt;100,"+100")))))</f>
        <v>+100</v>
      </c>
      <c r="DI1505">
        <v>0</v>
      </c>
      <c r="DJ1505">
        <v>0</v>
      </c>
      <c r="DK1505">
        <v>0</v>
      </c>
      <c r="DL1505">
        <v>1</v>
      </c>
      <c r="DN1505">
        <f>SUM(DI1505:DL1505)</f>
        <v>1</v>
      </c>
      <c r="DO1505" t="str">
        <f>IF(DN1505=1,INDEX($DI$7:$DL$7,MATCH(1,$DI1505:$DL1505,0)),"mixedProduct")</f>
        <v>TimberInput</v>
      </c>
      <c r="DP1505">
        <f>IF(DI1505=1,DP$7,0)</f>
        <v>0</v>
      </c>
      <c r="DQ1505">
        <f>IF(DJ1505=1,DQ$7,0)</f>
        <v>0</v>
      </c>
      <c r="DR1505">
        <f>IF(DK1505=1,DR$7,0)</f>
        <v>0</v>
      </c>
      <c r="DS1505" t="str">
        <f>IF(DL1505=1,DS$7,0)</f>
        <v>Timber</v>
      </c>
      <c r="DT1505">
        <v>0</v>
      </c>
      <c r="DU1505">
        <v>1</v>
      </c>
      <c r="DV1505">
        <v>0</v>
      </c>
      <c r="DW1505" t="s">
        <v>281</v>
      </c>
      <c r="DX1505">
        <v>0</v>
      </c>
      <c r="DY1505">
        <f>SUM(DT1505:DU1505)</f>
        <v>1</v>
      </c>
      <c r="DZ1505" s="143" t="str">
        <f>IF(DT1505=1,"self-calculated DF",IF(DU1505=1,"external DF used","explicit C balance"))</f>
        <v>external DF used</v>
      </c>
      <c r="EA1505">
        <v>0</v>
      </c>
      <c r="EB1505">
        <v>1</v>
      </c>
      <c r="EC1505">
        <v>1</v>
      </c>
      <c r="ED1505">
        <v>1</v>
      </c>
      <c r="EE1505">
        <v>1</v>
      </c>
      <c r="EF1505" s="143">
        <v>0</v>
      </c>
      <c r="EG1505">
        <v>1</v>
      </c>
      <c r="EH1505">
        <v>1</v>
      </c>
      <c r="EI1505">
        <v>0</v>
      </c>
      <c r="EJ1505">
        <v>1</v>
      </c>
      <c r="EK1505">
        <v>1</v>
      </c>
      <c r="EL1505">
        <v>1</v>
      </c>
      <c r="EM1505">
        <v>0</v>
      </c>
      <c r="EN1505" s="2">
        <v>0</v>
      </c>
      <c r="EP1505" t="str">
        <f>IF(AND(AND(AND(OR($EC1505=1,$EB1505=1),OR($EH1505=1,$EF1505=1)),SUM($EA1505:$EE1505,$EK1505)&gt;=3),SUM($EF1505:$EJ1505)&gt;=2),"Whole sector approach","")</f>
        <v>Whole sector approach</v>
      </c>
      <c r="EQ1505" t="str">
        <f>IF(AND(AND(OR($EC1505=1,$EB1505=1),AND($EH1505=0,$EF1505=0)),SUM($EA1505:$EE1505,$EK1505)&gt;=4),"Ecosystem approach","")</f>
        <v/>
      </c>
      <c r="ER1505" s="2" t="str">
        <f>IF(AND(AND(AND($EC1505=0,$EB1505=0),OR($EH1505=1,$EF1505=1)),SUM($EG1505:$EJ1505)&gt;=2),"Technology approach","")</f>
        <v/>
      </c>
      <c r="ES1505" t="str">
        <f>IF(AND($EC1505+$EB1505+$EE1505+$EA1505+$ED1505+$EG1505=0,$N1505="included"),"C neutral forest and HWP assumption","")</f>
        <v/>
      </c>
      <c r="ET1505" t="str">
        <f>IF(AND(AND(AND(AND($EC1505=1,$EB1505+$EA1505+$EG1505&gt;=1),$EF1505=1),$EH1505+$EI1505+$ED1505+$EE1505&gt;=2),$N1505="included"),"All C pools assumption","")</f>
        <v/>
      </c>
      <c r="EU1505" t="str">
        <f>IF(AND($ED1505+$EE1505+$EI1505+$EH1505+$EF1505=0,$N1505="included"),"In-situ only assumption","")</f>
        <v/>
      </c>
      <c r="EY1505" t="str">
        <f>IF(ISNUMBER(BW1505),IF(ABS(BW1505-[2]QC_indicators!$B$2)&gt;3*[2]QC_indicators!$C$2,"C ratio",IF(ISNUMBER(CA1505),IF(ABS(CA1505-[2]QC_indicators!$B$1)&gt;3*[2]QC_indicators!$C$1,"DF","no"))),IF(ISNUMBER(CA1505),IF(ABS(CA1505-[2]QC_indicators!$B$1)&gt;3*[2]QC_indicators!$C$1,"DF","no")))</f>
        <v>no</v>
      </c>
      <c r="EZ1505" t="s">
        <v>286</v>
      </c>
      <c r="FA1505" t="str">
        <f>IF(LEN($CY1505)=0,"",IF(AND($CY1505&lt;(-0.05),$ES1505="C neutral forest and HWP assumption"),"Cneutral paradox",IF(AND($CY1505&gt;0.05,$EU1505="In-situ only assumption"),"In-situ only paradox","")))</f>
        <v/>
      </c>
      <c r="FD1505" s="260" t="s">
        <v>2948</v>
      </c>
    </row>
    <row r="1506" spans="1:160" hidden="1">
      <c r="A1506" s="1" t="s">
        <v>265</v>
      </c>
      <c r="B1506" t="s">
        <v>266</v>
      </c>
      <c r="C1506" t="s">
        <v>267</v>
      </c>
      <c r="D1506" t="s">
        <v>268</v>
      </c>
      <c r="E1506" t="s">
        <v>269</v>
      </c>
      <c r="F1506" t="s">
        <v>270</v>
      </c>
      <c r="G1506" t="s">
        <v>271</v>
      </c>
      <c r="H1506" t="s">
        <v>254</v>
      </c>
      <c r="I1506">
        <v>2022</v>
      </c>
      <c r="J1506">
        <v>0</v>
      </c>
      <c r="K1506" t="s">
        <v>272</v>
      </c>
      <c r="M1506" t="str">
        <f>LEFT($D1506,FIND(",",$D1506)-1)&amp;"_"&amp;I1506&amp;L1506</f>
        <v>Aryapratama_2022</v>
      </c>
      <c r="N1506" t="s">
        <v>222</v>
      </c>
      <c r="O1506" s="145" t="s">
        <v>274</v>
      </c>
      <c r="Q1506" t="s">
        <v>224</v>
      </c>
      <c r="R1506" s="258" t="s">
        <v>223</v>
      </c>
      <c r="S1506" s="259" t="s">
        <v>2784</v>
      </c>
      <c r="T1506" t="s">
        <v>297</v>
      </c>
      <c r="U1506" t="s">
        <v>298</v>
      </c>
      <c r="V1506" s="253">
        <v>0</v>
      </c>
      <c r="W1506" s="253">
        <v>0</v>
      </c>
      <c r="X1506">
        <v>0</v>
      </c>
      <c r="Y1506">
        <v>0</v>
      </c>
      <c r="Z1506">
        <v>0</v>
      </c>
      <c r="AA1506">
        <v>0</v>
      </c>
      <c r="AB1506">
        <v>0</v>
      </c>
      <c r="AC1506">
        <v>0</v>
      </c>
      <c r="AD1506">
        <v>0</v>
      </c>
      <c r="AE1506">
        <v>0</v>
      </c>
      <c r="AF1506">
        <v>0</v>
      </c>
      <c r="AG1506">
        <v>0</v>
      </c>
      <c r="AH1506">
        <v>0</v>
      </c>
      <c r="AI1506">
        <v>0</v>
      </c>
      <c r="AJ1506">
        <v>0</v>
      </c>
      <c r="AK1506">
        <v>0</v>
      </c>
      <c r="AL1506">
        <v>0</v>
      </c>
      <c r="AM1506">
        <v>1</v>
      </c>
      <c r="AN1506">
        <v>0</v>
      </c>
      <c r="AO1506">
        <v>0</v>
      </c>
      <c r="AP1506">
        <v>0</v>
      </c>
      <c r="AQ1506">
        <v>0</v>
      </c>
      <c r="AR1506">
        <v>0</v>
      </c>
      <c r="AS1506">
        <v>0</v>
      </c>
      <c r="AT1506">
        <v>0</v>
      </c>
      <c r="AU1506">
        <v>0</v>
      </c>
      <c r="AV1506">
        <v>0</v>
      </c>
      <c r="AW1506">
        <v>0</v>
      </c>
      <c r="AX1506">
        <v>0</v>
      </c>
      <c r="AY1506">
        <v>0</v>
      </c>
      <c r="AZ1506" s="141">
        <f>COUNTIF(X1506:AY1506,"&lt;&gt;0")</f>
        <v>1</v>
      </c>
      <c r="BA1506" s="141">
        <f>COUNTIF(X1506:AN1506,"&lt;&gt;0")</f>
        <v>1</v>
      </c>
      <c r="BB1506">
        <f>COUNTIF(X1506:AE1506,"&lt;&gt;0")</f>
        <v>0</v>
      </c>
      <c r="BC1506">
        <f>COUNTIF(AF1506:AK1506,"&lt;&gt;0")</f>
        <v>0</v>
      </c>
      <c r="BD1506">
        <f>COUNTIF(AL1506:AN1506,"&lt;&gt;0")</f>
        <v>1</v>
      </c>
      <c r="BE1506">
        <f>COUNTIF(AU1506:AY1506,"&lt;&gt;0")</f>
        <v>0</v>
      </c>
      <c r="BF1506">
        <f>COUNTIF(AO1506:AT1506,"&lt;&gt;0")</f>
        <v>0</v>
      </c>
      <c r="BG1506" t="str">
        <f t="array" ref="BG1506">IF(BA1506=1,INDEX($X$7:$AN$7,MATCH(TRUE,INDEX($X1506:$AY1506&lt;&gt;0,),0)),IF(BA1506=0,INDEX($AO$7:$AY$7,MATCH(1,$AO1506:$AY1506,0)),IF(BH1506="Multiple strategies","mixed drivers",IF(BH1506="Supply chain","multiple supply","multiple silviculture"))))</f>
        <v>technologies/design switch</v>
      </c>
      <c r="BH1506" s="2" t="str" cm="1">
        <f t="array" ref="BH1506">IF(COUNTIF(BB1506:BD1506,"&lt;&gt;0")=1,INDEX($X$4:$AY$4,MATCH(TRUE,INDEX($X1506:$AY1506&lt;&gt;0,),0)),IF(COUNTIF(BB1506:BD1506,"&lt;&gt;0")=0,INDEX($AO$4:$AY$4,MATCH(1,$AO1506:$AY1506,0)),"Multiple strategies"))</f>
        <v>Technology</v>
      </c>
      <c r="BI1506" s="1" t="s">
        <v>229</v>
      </c>
      <c r="BJ1506" t="s">
        <v>277</v>
      </c>
      <c r="BK1506" s="260" t="s">
        <v>2785</v>
      </c>
      <c r="BL1506" t="s">
        <v>278</v>
      </c>
      <c r="BM1506">
        <v>0</v>
      </c>
      <c r="BN1506">
        <v>135.57962264150939</v>
      </c>
      <c r="BP1506">
        <f>BN1506-BM1506</f>
        <v>135.57962264150939</v>
      </c>
      <c r="BQ1506">
        <f>BP1506*tC_to_m3</f>
        <v>588.70873921628049</v>
      </c>
      <c r="BR1506" t="s">
        <v>232</v>
      </c>
      <c r="BS1506" s="153" t="s">
        <v>2786</v>
      </c>
      <c r="BT1506" t="s">
        <v>279</v>
      </c>
      <c r="BU1506">
        <v>-360.60902005912311</v>
      </c>
      <c r="BV1506">
        <v>-458.81565081209919</v>
      </c>
      <c r="BW1506" s="144">
        <f>IFERROR(BV1506/BU1506,"")</f>
        <v>1.2723354805070455</v>
      </c>
      <c r="BX1506">
        <f>BV1506-BU1506</f>
        <v>-98.206630752976082</v>
      </c>
      <c r="BZ1506">
        <f>BX1506</f>
        <v>-98.206630752976082</v>
      </c>
      <c r="CA1506">
        <f>IFERROR(BZ1506/BQ1506,"")</f>
        <v>-0.16681700849848743</v>
      </c>
      <c r="CB1506">
        <v>0</v>
      </c>
      <c r="CC1506">
        <v>0</v>
      </c>
      <c r="CD1506">
        <v>0</v>
      </c>
      <c r="CE1506">
        <v>0</v>
      </c>
      <c r="CF1506">
        <v>0</v>
      </c>
      <c r="CG1506">
        <v>0</v>
      </c>
      <c r="CH1506">
        <v>0</v>
      </c>
      <c r="CI1506">
        <v>0</v>
      </c>
      <c r="CJ1506">
        <v>0</v>
      </c>
      <c r="CK1506">
        <v>0</v>
      </c>
      <c r="CL1506">
        <v>0</v>
      </c>
      <c r="CM1506">
        <v>0</v>
      </c>
      <c r="CN1506">
        <v>0</v>
      </c>
      <c r="CO1506">
        <v>0</v>
      </c>
      <c r="CP1506" t="str">
        <f>IF($BN1506&lt;$BM1506,"refNeedCorrection","refOK")</f>
        <v>refOK</v>
      </c>
      <c r="CQ1506">
        <f>IF($CP1506="refOK",$BM1506,$BN1506)</f>
        <v>0</v>
      </c>
      <c r="CR1506">
        <f>IF($CP1506="refOK",$BN1506,$BM1506)</f>
        <v>135.57962264150939</v>
      </c>
      <c r="CS1506">
        <f>IF($CP1506="refOK",$BQ1506,-$BQ1506)</f>
        <v>588.70873921628049</v>
      </c>
      <c r="CT1506">
        <f>IF(BI1506="Roundwood",$CS1506/2,$CS1506)</f>
        <v>588.70873921628049</v>
      </c>
      <c r="CU1506">
        <f>IF($CP1506="refOK",$BU1506,$BV1506)*IF($BR1506="Emissions positive",-1,1)</f>
        <v>-360.60902005912311</v>
      </c>
      <c r="CV1506">
        <f>IF($CP1506="refOK",$BV1506,$BU1506)*IF($BR1506="Emissions positive",-1,1)</f>
        <v>-458.81565081209919</v>
      </c>
      <c r="CW1506">
        <f>IF($CP1506="refNeedCorrection",-BZ1506,BZ1506)*IF($BR1506="Emissions positive",-1,1)</f>
        <v>-98.206630752976082</v>
      </c>
      <c r="CX1506">
        <f>IFERROR($CW1506/$CS1506,"")</f>
        <v>-0.16681700849848743</v>
      </c>
      <c r="CY1506">
        <f>IFERROR($CW1506/$CS1506,"")</f>
        <v>-0.16681700849848743</v>
      </c>
      <c r="CZ1506">
        <f>IFERROR($CW1506/$CT1506,"")</f>
        <v>-0.16681700849848743</v>
      </c>
      <c r="DA1506" s="2">
        <f>IFERROR((CV1506-CU1506)/ABS(CU1506),"")</f>
        <v>-0.27233548050704542</v>
      </c>
      <c r="DB1506" s="1" t="s">
        <v>234</v>
      </c>
      <c r="DC1506" t="str">
        <f>IF(OR($DB1506="prd",$DB1506="std",$DB1506="cit"),"loc",IF(OR($DB1506="eur",$DB1506="reg",$DB1506="coy"),"reg",$DB1506))</f>
        <v>loc</v>
      </c>
      <c r="DD1506" t="s">
        <v>280</v>
      </c>
      <c r="DG1506">
        <v>50</v>
      </c>
      <c r="DH1506" t="str">
        <f>IF(DG1506=0,"0",IF(AND(DG1506&gt;=1,DG1506&lt;=30),"1-30",IF(AND(DG1506&gt;30,DG1506&lt;=70),"31-70",IF(AND(DG1506&gt;70,DG1506&lt;=100),"71-100",IF(DG1506&gt;100,"+100")))))</f>
        <v>31-70</v>
      </c>
      <c r="DI1506">
        <v>0</v>
      </c>
      <c r="DJ1506">
        <v>0</v>
      </c>
      <c r="DK1506">
        <v>0</v>
      </c>
      <c r="DL1506">
        <v>1</v>
      </c>
      <c r="DN1506">
        <f>SUM(DI1506:DL1506)</f>
        <v>1</v>
      </c>
      <c r="DO1506" t="str">
        <f>IF(DN1506=1,INDEX($DI$7:$DL$7,MATCH(1,$DI1506:$DL1506,0)),"mixedProduct")</f>
        <v>TimberInput</v>
      </c>
      <c r="DP1506">
        <f>IF(DI1506=1,DP$7,0)</f>
        <v>0</v>
      </c>
      <c r="DQ1506">
        <f>IF(DJ1506=1,DQ$7,0)</f>
        <v>0</v>
      </c>
      <c r="DR1506">
        <f>IF(DK1506=1,DR$7,0)</f>
        <v>0</v>
      </c>
      <c r="DS1506" t="str">
        <f>IF(DL1506=1,DS$7,0)</f>
        <v>Timber</v>
      </c>
      <c r="DT1506">
        <v>0</v>
      </c>
      <c r="DU1506">
        <v>1</v>
      </c>
      <c r="DV1506">
        <v>0</v>
      </c>
      <c r="DW1506" t="s">
        <v>281</v>
      </c>
      <c r="DX1506">
        <v>0</v>
      </c>
      <c r="DY1506">
        <f>SUM(DT1506:DU1506)</f>
        <v>1</v>
      </c>
      <c r="DZ1506" s="143" t="str">
        <f>IF(DT1506=1,"self-calculated DF",IF(DU1506=1,"external DF used","explicit C balance"))</f>
        <v>external DF used</v>
      </c>
      <c r="EA1506">
        <v>0</v>
      </c>
      <c r="EB1506">
        <v>1</v>
      </c>
      <c r="EC1506">
        <v>1</v>
      </c>
      <c r="ED1506">
        <v>1</v>
      </c>
      <c r="EE1506">
        <v>1</v>
      </c>
      <c r="EF1506" s="143">
        <v>0</v>
      </c>
      <c r="EG1506">
        <v>1</v>
      </c>
      <c r="EH1506">
        <v>1</v>
      </c>
      <c r="EI1506">
        <v>0</v>
      </c>
      <c r="EJ1506">
        <v>1</v>
      </c>
      <c r="EK1506">
        <v>1</v>
      </c>
      <c r="EL1506">
        <v>1</v>
      </c>
      <c r="EM1506">
        <v>0</v>
      </c>
      <c r="EN1506" s="2">
        <v>0</v>
      </c>
      <c r="EP1506" t="str">
        <f>IF(AND(AND(AND(OR($EC1506=1,$EB1506=1),OR($EH1506=1,$EF1506=1)),SUM($EA1506:$EE1506,$EK1506)&gt;=3),SUM($EF1506:$EJ1506)&gt;=2),"Whole sector approach","")</f>
        <v>Whole sector approach</v>
      </c>
      <c r="EQ1506" t="str">
        <f>IF(AND(AND(OR($EC1506=1,$EB1506=1),AND($EH1506=0,$EF1506=0)),SUM($EA1506:$EE1506,$EK1506)&gt;=4),"Ecosystem approach","")</f>
        <v/>
      </c>
      <c r="ER1506" s="2" t="str">
        <f>IF(AND(AND(AND($EC1506=0,$EB1506=0),OR($EH1506=1,$EF1506=1)),SUM($EG1506:$EJ1506)&gt;=2),"Technology approach","")</f>
        <v/>
      </c>
      <c r="ES1506" t="str">
        <f>IF(AND($EC1506+$EB1506+$EE1506+$EA1506+$ED1506+$EG1506=0,$N1506="included"),"C neutral forest and HWP assumption","")</f>
        <v/>
      </c>
      <c r="ET1506" t="str">
        <f>IF(AND(AND(AND(AND($EC1506=1,$EB1506+$EA1506+$EG1506&gt;=1),$EF1506=1),$EH1506+$EI1506+$ED1506+$EE1506&gt;=2),$N1506="included"),"All C pools assumption","")</f>
        <v/>
      </c>
      <c r="EU1506" t="str">
        <f>IF(AND($ED1506+$EE1506+$EI1506+$EH1506+$EF1506=0,$N1506="included"),"In-situ only assumption","")</f>
        <v/>
      </c>
      <c r="EY1506" t="str">
        <f>IF(ISNUMBER(BW1506),IF(ABS(BW1506-[2]QC_indicators!$B$2)&gt;3*[2]QC_indicators!$C$2,"C ratio",IF(ISNUMBER(CA1506),IF(ABS(CA1506-[2]QC_indicators!$B$1)&gt;3*[2]QC_indicators!$C$1,"DF","no"))),IF(ISNUMBER(CA1506),IF(ABS(CA1506-[2]QC_indicators!$B$1)&gt;3*[2]QC_indicators!$C$1,"DF","no")))</f>
        <v>no</v>
      </c>
      <c r="EZ1506" t="s">
        <v>286</v>
      </c>
      <c r="FA1506" t="str">
        <f>IF(LEN($CY1506)=0,"",IF(AND($CY1506&lt;(-0.05),$ES1506="C neutral forest and HWP assumption"),"Cneutral paradox",IF(AND($CY1506&gt;0.05,$EU1506="In-situ only assumption"),"In-situ only paradox","")))</f>
        <v/>
      </c>
      <c r="FD1506" s="260" t="s">
        <v>2948</v>
      </c>
    </row>
    <row r="1507" spans="1:160" ht="18" hidden="1" customHeight="1">
      <c r="A1507" s="1" t="s">
        <v>265</v>
      </c>
      <c r="B1507" t="s">
        <v>266</v>
      </c>
      <c r="C1507" t="s">
        <v>267</v>
      </c>
      <c r="D1507" t="s">
        <v>268</v>
      </c>
      <c r="E1507" t="s">
        <v>269</v>
      </c>
      <c r="F1507" t="s">
        <v>270</v>
      </c>
      <c r="G1507" t="s">
        <v>271</v>
      </c>
      <c r="H1507" t="s">
        <v>254</v>
      </c>
      <c r="I1507">
        <v>2022</v>
      </c>
      <c r="J1507">
        <v>0</v>
      </c>
      <c r="K1507" t="s">
        <v>272</v>
      </c>
      <c r="M1507" t="str">
        <f>LEFT($D1507,FIND(",",$D1507)-1)&amp;"_"&amp;I1507&amp;L1507</f>
        <v>Aryapratama_2022</v>
      </c>
      <c r="N1507" t="s">
        <v>222</v>
      </c>
      <c r="O1507" s="145" t="s">
        <v>274</v>
      </c>
      <c r="Q1507" t="s">
        <v>224</v>
      </c>
      <c r="R1507" s="258" t="s">
        <v>223</v>
      </c>
      <c r="S1507" s="259" t="s">
        <v>2784</v>
      </c>
      <c r="T1507" t="s">
        <v>293</v>
      </c>
      <c r="U1507" t="s">
        <v>275</v>
      </c>
      <c r="V1507" s="253">
        <v>0</v>
      </c>
      <c r="W1507" s="253">
        <v>0</v>
      </c>
      <c r="X1507">
        <v>0</v>
      </c>
      <c r="Y1507">
        <v>0</v>
      </c>
      <c r="Z1507">
        <v>0</v>
      </c>
      <c r="AA1507">
        <v>0</v>
      </c>
      <c r="AB1507">
        <v>0</v>
      </c>
      <c r="AC1507">
        <v>0</v>
      </c>
      <c r="AD1507">
        <v>0</v>
      </c>
      <c r="AE1507">
        <v>0</v>
      </c>
      <c r="AF1507">
        <v>0</v>
      </c>
      <c r="AG1507">
        <v>0</v>
      </c>
      <c r="AH1507">
        <v>0</v>
      </c>
      <c r="AI1507">
        <v>0</v>
      </c>
      <c r="AJ1507">
        <v>0</v>
      </c>
      <c r="AK1507">
        <v>0</v>
      </c>
      <c r="AL1507">
        <v>0</v>
      </c>
      <c r="AM1507">
        <v>1</v>
      </c>
      <c r="AN1507">
        <v>0</v>
      </c>
      <c r="AO1507">
        <v>0</v>
      </c>
      <c r="AP1507">
        <v>0</v>
      </c>
      <c r="AQ1507">
        <v>0</v>
      </c>
      <c r="AR1507">
        <v>0</v>
      </c>
      <c r="AS1507">
        <v>0</v>
      </c>
      <c r="AT1507">
        <v>0</v>
      </c>
      <c r="AU1507">
        <v>0</v>
      </c>
      <c r="AV1507">
        <v>0</v>
      </c>
      <c r="AW1507">
        <v>0</v>
      </c>
      <c r="AX1507">
        <v>0</v>
      </c>
      <c r="AY1507">
        <v>0</v>
      </c>
      <c r="AZ1507" s="141">
        <f>COUNTIF(X1507:AY1507,"&lt;&gt;0")</f>
        <v>1</v>
      </c>
      <c r="BA1507" s="141">
        <f>COUNTIF(X1507:AN1507,"&lt;&gt;0")</f>
        <v>1</v>
      </c>
      <c r="BB1507">
        <f>COUNTIF(X1507:AE1507,"&lt;&gt;0")</f>
        <v>0</v>
      </c>
      <c r="BC1507">
        <f>COUNTIF(AF1507:AK1507,"&lt;&gt;0")</f>
        <v>0</v>
      </c>
      <c r="BD1507">
        <f>COUNTIF(AL1507:AN1507,"&lt;&gt;0")</f>
        <v>1</v>
      </c>
      <c r="BE1507">
        <f>COUNTIF(AU1507:AY1507,"&lt;&gt;0")</f>
        <v>0</v>
      </c>
      <c r="BF1507">
        <f>COUNTIF(AO1507:AT1507,"&lt;&gt;0")</f>
        <v>0</v>
      </c>
      <c r="BG1507" t="str">
        <f t="array" ref="BG1507">IF(BA1507=1,INDEX($X$7:$AN$7,MATCH(TRUE,INDEX($X1507:$AY1507&lt;&gt;0,),0)),IF(BA1507=0,INDEX($AO$7:$AY$7,MATCH(1,$AO1507:$AY1507,0)),IF(BH1507="Multiple strategies","mixed drivers",IF(BH1507="Supply chain","multiple supply","multiple silviculture"))))</f>
        <v>technologies/design switch</v>
      </c>
      <c r="BH1507" s="2" t="str" cm="1">
        <f t="array" ref="BH1507">IF(COUNTIF(BB1507:BD1507,"&lt;&gt;0")=1,INDEX($X$4:$AY$4,MATCH(TRUE,INDEX($X1507:$AY1507&lt;&gt;0,),0)),IF(COUNTIF(BB1507:BD1507,"&lt;&gt;0")=0,INDEX($AO$4:$AY$4,MATCH(1,$AO1507:$AY1507,0)),"Multiple strategies"))</f>
        <v>Technology</v>
      </c>
      <c r="BI1507" s="1" t="s">
        <v>229</v>
      </c>
      <c r="BJ1507" t="s">
        <v>277</v>
      </c>
      <c r="BK1507" s="260" t="s">
        <v>2785</v>
      </c>
      <c r="BL1507" t="s">
        <v>278</v>
      </c>
      <c r="BM1507">
        <v>0</v>
      </c>
      <c r="BN1507">
        <v>135.57962264150939</v>
      </c>
      <c r="BP1507">
        <f>BN1507-BM1507</f>
        <v>135.57962264150939</v>
      </c>
      <c r="BQ1507">
        <f>BP1507*tC_to_m3</f>
        <v>588.70873921628049</v>
      </c>
      <c r="BR1507" t="s">
        <v>232</v>
      </c>
      <c r="BS1507" s="153" t="s">
        <v>2786</v>
      </c>
      <c r="BT1507" t="s">
        <v>279</v>
      </c>
      <c r="BU1507">
        <v>-358.5631578083391</v>
      </c>
      <c r="BV1507">
        <v>-430.22235574765915</v>
      </c>
      <c r="BW1507" s="144">
        <f>IFERROR(BV1507/BU1507,"")</f>
        <v>1.1998509784923963</v>
      </c>
      <c r="BX1507">
        <f>BV1507-BU1507</f>
        <v>-71.659197939320052</v>
      </c>
      <c r="BZ1507">
        <f>BX1507</f>
        <v>-71.659197939320052</v>
      </c>
      <c r="CA1507">
        <f>IFERROR(BZ1507/BQ1507,"")</f>
        <v>-0.12172266719654354</v>
      </c>
      <c r="CB1507">
        <v>0</v>
      </c>
      <c r="CC1507">
        <v>0</v>
      </c>
      <c r="CD1507">
        <v>0</v>
      </c>
      <c r="CE1507">
        <v>0</v>
      </c>
      <c r="CF1507">
        <v>0</v>
      </c>
      <c r="CG1507">
        <v>0</v>
      </c>
      <c r="CH1507">
        <v>0</v>
      </c>
      <c r="CI1507">
        <v>0</v>
      </c>
      <c r="CJ1507">
        <v>0</v>
      </c>
      <c r="CK1507">
        <v>0</v>
      </c>
      <c r="CL1507">
        <v>0</v>
      </c>
      <c r="CM1507">
        <v>0</v>
      </c>
      <c r="CN1507">
        <v>0</v>
      </c>
      <c r="CO1507">
        <v>0</v>
      </c>
      <c r="CP1507" t="str">
        <f>IF($BN1507&lt;$BM1507,"refNeedCorrection","refOK")</f>
        <v>refOK</v>
      </c>
      <c r="CQ1507">
        <f>IF($CP1507="refOK",$BM1507,$BN1507)</f>
        <v>0</v>
      </c>
      <c r="CR1507">
        <f>IF($CP1507="refOK",$BN1507,$BM1507)</f>
        <v>135.57962264150939</v>
      </c>
      <c r="CS1507">
        <f>IF($CP1507="refOK",$BQ1507,-$BQ1507)</f>
        <v>588.70873921628049</v>
      </c>
      <c r="CT1507">
        <f>IF(BI1507="Roundwood",$CS1507/2,$CS1507)</f>
        <v>588.70873921628049</v>
      </c>
      <c r="CU1507">
        <f>IF($CP1507="refOK",$BU1507,$BV1507)*IF($BR1507="Emissions positive",-1,1)</f>
        <v>-358.5631578083391</v>
      </c>
      <c r="CV1507">
        <f>IF($CP1507="refOK",$BV1507,$BU1507)*IF($BR1507="Emissions positive",-1,1)</f>
        <v>-430.22235574765915</v>
      </c>
      <c r="CW1507">
        <f>IF($CP1507="refNeedCorrection",-BZ1507,BZ1507)*IF($BR1507="Emissions positive",-1,1)</f>
        <v>-71.659197939320052</v>
      </c>
      <c r="CX1507">
        <f>IFERROR($CW1507/$CS1507,"")</f>
        <v>-0.12172266719654354</v>
      </c>
      <c r="CY1507">
        <f>IFERROR($CW1507/$CS1507,"")</f>
        <v>-0.12172266719654354</v>
      </c>
      <c r="CZ1507">
        <f>IFERROR($CW1507/$CT1507,"")</f>
        <v>-0.12172266719654354</v>
      </c>
      <c r="DA1507" s="2">
        <f>IFERROR((CV1507-CU1507)/ABS(CU1507),"")</f>
        <v>-0.19985097849239622</v>
      </c>
      <c r="DB1507" s="1" t="s">
        <v>234</v>
      </c>
      <c r="DC1507" t="str">
        <f>IF(OR($DB1507="prd",$DB1507="std",$DB1507="cit"),"loc",IF(OR($DB1507="eur",$DB1507="reg",$DB1507="coy"),"reg",$DB1507))</f>
        <v>loc</v>
      </c>
      <c r="DD1507" t="s">
        <v>280</v>
      </c>
      <c r="DG1507">
        <v>50</v>
      </c>
      <c r="DH1507" t="str">
        <f>IF(DG1507=0,"0",IF(AND(DG1507&gt;=1,DG1507&lt;=30),"1-30",IF(AND(DG1507&gt;30,DG1507&lt;=70),"31-70",IF(AND(DG1507&gt;70,DG1507&lt;=100),"71-100",IF(DG1507&gt;100,"+100")))))</f>
        <v>31-70</v>
      </c>
      <c r="DI1507">
        <v>0</v>
      </c>
      <c r="DJ1507">
        <v>0</v>
      </c>
      <c r="DK1507">
        <v>0</v>
      </c>
      <c r="DL1507">
        <v>1</v>
      </c>
      <c r="DN1507">
        <f>SUM(DI1507:DL1507)</f>
        <v>1</v>
      </c>
      <c r="DO1507" t="str">
        <f>IF(DN1507=1,INDEX($DI$7:$DL$7,MATCH(1,$DI1507:$DL1507,0)),"mixedProduct")</f>
        <v>TimberInput</v>
      </c>
      <c r="DP1507">
        <f>IF(DI1507=1,DP$7,0)</f>
        <v>0</v>
      </c>
      <c r="DQ1507">
        <f>IF(DJ1507=1,DQ$7,0)</f>
        <v>0</v>
      </c>
      <c r="DR1507">
        <f>IF(DK1507=1,DR$7,0)</f>
        <v>0</v>
      </c>
      <c r="DS1507" t="str">
        <f>IF(DL1507=1,DS$7,0)</f>
        <v>Timber</v>
      </c>
      <c r="DT1507">
        <v>0</v>
      </c>
      <c r="DU1507">
        <v>1</v>
      </c>
      <c r="DV1507">
        <v>0</v>
      </c>
      <c r="DW1507" t="s">
        <v>292</v>
      </c>
      <c r="DX1507">
        <v>0</v>
      </c>
      <c r="DY1507">
        <f>SUM(DT1507:DU1507)</f>
        <v>1</v>
      </c>
      <c r="DZ1507" s="143" t="str">
        <f>IF(DT1507=1,"self-calculated DF",IF(DU1507=1,"external DF used","explicit C balance"))</f>
        <v>external DF used</v>
      </c>
      <c r="EA1507">
        <v>0</v>
      </c>
      <c r="EB1507">
        <v>1</v>
      </c>
      <c r="EC1507">
        <v>1</v>
      </c>
      <c r="ED1507">
        <v>1</v>
      </c>
      <c r="EE1507">
        <v>1</v>
      </c>
      <c r="EF1507" s="143">
        <v>0</v>
      </c>
      <c r="EG1507">
        <v>1</v>
      </c>
      <c r="EH1507">
        <v>1</v>
      </c>
      <c r="EI1507">
        <v>0</v>
      </c>
      <c r="EJ1507">
        <v>1</v>
      </c>
      <c r="EK1507">
        <v>1</v>
      </c>
      <c r="EL1507">
        <v>1</v>
      </c>
      <c r="EM1507">
        <v>0</v>
      </c>
      <c r="EN1507" s="2">
        <v>0</v>
      </c>
      <c r="EP1507" t="str">
        <f>IF(AND(AND(AND(OR($EC1507=1,$EB1507=1),OR($EH1507=1,$EF1507=1)),SUM($EA1507:$EE1507,$EK1507)&gt;=3),SUM($EF1507:$EJ1507)&gt;=2),"Whole sector approach","")</f>
        <v>Whole sector approach</v>
      </c>
      <c r="EQ1507" t="str">
        <f>IF(AND(AND(OR($EC1507=1,$EB1507=1),AND($EH1507=0,$EF1507=0)),SUM($EA1507:$EE1507,$EK1507)&gt;=4),"Ecosystem approach","")</f>
        <v/>
      </c>
      <c r="ER1507" s="2" t="str">
        <f>IF(AND(AND(AND($EC1507=0,$EB1507=0),OR($EH1507=1,$EF1507=1)),SUM($EG1507:$EJ1507)&gt;=2),"Technology approach","")</f>
        <v/>
      </c>
      <c r="ES1507" t="str">
        <f>IF(AND($EC1507+$EB1507+$EE1507+$EA1507+$ED1507+$EG1507=0,$N1507="included"),"C neutral forest and HWP assumption","")</f>
        <v/>
      </c>
      <c r="ET1507" t="str">
        <f>IF(AND(AND(AND(AND($EC1507=1,$EB1507+$EA1507+$EG1507&gt;=1),$EF1507=1),$EH1507+$EI1507+$ED1507+$EE1507&gt;=2),$N1507="included"),"All C pools assumption","")</f>
        <v/>
      </c>
      <c r="EU1507" t="str">
        <f>IF(AND($ED1507+$EE1507+$EI1507+$EH1507+$EF1507=0,$N1507="included"),"In-situ only assumption","")</f>
        <v/>
      </c>
      <c r="EY1507" t="str">
        <f>IF(ISNUMBER(BW1507),IF(ABS(BW1507-[2]QC_indicators!$B$2)&gt;3*[2]QC_indicators!$C$2,"C ratio",IF(ISNUMBER(CA1507),IF(ABS(CA1507-[2]QC_indicators!$B$1)&gt;3*[2]QC_indicators!$C$1,"DF","no"))),IF(ISNUMBER(CA1507),IF(ABS(CA1507-[2]QC_indicators!$B$1)&gt;3*[2]QC_indicators!$C$1,"DF","no")))</f>
        <v>no</v>
      </c>
      <c r="EZ1507" t="s">
        <v>286</v>
      </c>
      <c r="FA1507" t="str">
        <f>IF(LEN($CY1507)=0,"",IF(AND($CY1507&lt;(-0.05),$ES1507="C neutral forest and HWP assumption"),"Cneutral paradox",IF(AND($CY1507&gt;0.05,$EU1507="In-situ only assumption"),"In-situ only paradox","")))</f>
        <v/>
      </c>
      <c r="FD1507" s="260" t="s">
        <v>2948</v>
      </c>
    </row>
    <row r="1508" spans="1:160" ht="18" hidden="1" customHeight="1">
      <c r="A1508" s="1" t="s">
        <v>265</v>
      </c>
      <c r="B1508" t="s">
        <v>266</v>
      </c>
      <c r="C1508" t="s">
        <v>267</v>
      </c>
      <c r="D1508" t="s">
        <v>268</v>
      </c>
      <c r="E1508" t="s">
        <v>269</v>
      </c>
      <c r="F1508" t="s">
        <v>270</v>
      </c>
      <c r="G1508" t="s">
        <v>271</v>
      </c>
      <c r="H1508" t="s">
        <v>254</v>
      </c>
      <c r="I1508">
        <v>2022</v>
      </c>
      <c r="J1508">
        <v>0</v>
      </c>
      <c r="K1508" t="s">
        <v>272</v>
      </c>
      <c r="M1508" t="str">
        <f>LEFT($D1508,FIND(",",$D1508)-1)&amp;"_"&amp;I1508&amp;L1508</f>
        <v>Aryapratama_2022</v>
      </c>
      <c r="N1508" t="s">
        <v>222</v>
      </c>
      <c r="O1508" s="145" t="s">
        <v>274</v>
      </c>
      <c r="Q1508" t="s">
        <v>224</v>
      </c>
      <c r="R1508" s="258" t="s">
        <v>223</v>
      </c>
      <c r="S1508" s="259" t="s">
        <v>2784</v>
      </c>
      <c r="T1508" t="s">
        <v>299</v>
      </c>
      <c r="U1508" t="s">
        <v>300</v>
      </c>
      <c r="V1508" s="253">
        <v>0</v>
      </c>
      <c r="W1508" s="253">
        <v>0</v>
      </c>
      <c r="X1508">
        <v>0</v>
      </c>
      <c r="Y1508">
        <v>0</v>
      </c>
      <c r="Z1508">
        <v>0</v>
      </c>
      <c r="AA1508">
        <v>0</v>
      </c>
      <c r="AB1508">
        <v>0</v>
      </c>
      <c r="AC1508">
        <v>0</v>
      </c>
      <c r="AD1508">
        <v>0</v>
      </c>
      <c r="AE1508">
        <v>0</v>
      </c>
      <c r="AF1508">
        <v>0</v>
      </c>
      <c r="AG1508">
        <v>0</v>
      </c>
      <c r="AH1508">
        <v>0</v>
      </c>
      <c r="AI1508">
        <v>0</v>
      </c>
      <c r="AJ1508">
        <v>0</v>
      </c>
      <c r="AK1508">
        <v>0</v>
      </c>
      <c r="AL1508">
        <v>0</v>
      </c>
      <c r="AM1508">
        <v>1</v>
      </c>
      <c r="AN1508">
        <v>0</v>
      </c>
      <c r="AO1508">
        <v>0</v>
      </c>
      <c r="AP1508">
        <v>0</v>
      </c>
      <c r="AQ1508">
        <v>0</v>
      </c>
      <c r="AR1508">
        <v>0</v>
      </c>
      <c r="AS1508">
        <v>0</v>
      </c>
      <c r="AT1508">
        <v>0</v>
      </c>
      <c r="AU1508">
        <v>0</v>
      </c>
      <c r="AV1508">
        <v>0</v>
      </c>
      <c r="AW1508">
        <v>0</v>
      </c>
      <c r="AX1508">
        <v>0</v>
      </c>
      <c r="AY1508">
        <v>0</v>
      </c>
      <c r="AZ1508" s="141">
        <f>COUNTIF(X1508:AY1508,"&lt;&gt;0")</f>
        <v>1</v>
      </c>
      <c r="BA1508" s="141">
        <f>COUNTIF(X1508:AN1508,"&lt;&gt;0")</f>
        <v>1</v>
      </c>
      <c r="BB1508">
        <f>COUNTIF(X1508:AE1508,"&lt;&gt;0")</f>
        <v>0</v>
      </c>
      <c r="BC1508">
        <f>COUNTIF(AF1508:AK1508,"&lt;&gt;0")</f>
        <v>0</v>
      </c>
      <c r="BD1508">
        <f>COUNTIF(AL1508:AN1508,"&lt;&gt;0")</f>
        <v>1</v>
      </c>
      <c r="BE1508">
        <f>COUNTIF(AU1508:AY1508,"&lt;&gt;0")</f>
        <v>0</v>
      </c>
      <c r="BF1508">
        <f>COUNTIF(AO1508:AT1508,"&lt;&gt;0")</f>
        <v>0</v>
      </c>
      <c r="BG1508" t="str">
        <f t="array" ref="BG1508">IF(BA1508=1,INDEX($X$7:$AN$7,MATCH(TRUE,INDEX($X1508:$AY1508&lt;&gt;0,),0)),IF(BA1508=0,INDEX($AO$7:$AY$7,MATCH(1,$AO1508:$AY1508,0)),IF(BH1508="Multiple strategies","mixed drivers",IF(BH1508="Supply chain","multiple supply","multiple silviculture"))))</f>
        <v>technologies/design switch</v>
      </c>
      <c r="BH1508" s="2" t="str" cm="1">
        <f t="array" ref="BH1508">IF(COUNTIF(BB1508:BD1508,"&lt;&gt;0")=1,INDEX($X$4:$AY$4,MATCH(TRUE,INDEX($X1508:$AY1508&lt;&gt;0,),0)),IF(COUNTIF(BB1508:BD1508,"&lt;&gt;0")=0,INDEX($AO$4:$AY$4,MATCH(1,$AO1508:$AY1508,0)),"Multiple strategies"))</f>
        <v>Technology</v>
      </c>
      <c r="BI1508" s="1" t="s">
        <v>229</v>
      </c>
      <c r="BJ1508" t="s">
        <v>277</v>
      </c>
      <c r="BK1508" s="260" t="s">
        <v>2785</v>
      </c>
      <c r="BL1508" t="s">
        <v>278</v>
      </c>
      <c r="BM1508">
        <v>0</v>
      </c>
      <c r="BN1508">
        <v>226.7291347999585</v>
      </c>
      <c r="BP1508">
        <f>BN1508-BM1508</f>
        <v>226.7291347999585</v>
      </c>
      <c r="BQ1508">
        <f>BP1508*tC_to_m3</f>
        <v>984.49472340407522</v>
      </c>
      <c r="BR1508" t="s">
        <v>232</v>
      </c>
      <c r="BS1508" s="153" t="s">
        <v>2786</v>
      </c>
      <c r="BT1508" t="s">
        <v>279</v>
      </c>
      <c r="BU1508">
        <v>-515.07151116792033</v>
      </c>
      <c r="BV1508">
        <v>-617.93246272463909</v>
      </c>
      <c r="BW1508" s="144">
        <f>IFERROR(BV1508/BU1508,"")</f>
        <v>1.1997022730367719</v>
      </c>
      <c r="BX1508">
        <f>BV1508-BU1508</f>
        <v>-102.86095155671876</v>
      </c>
      <c r="BZ1508">
        <f>BX1508</f>
        <v>-102.86095155671876</v>
      </c>
      <c r="CA1508">
        <f>IFERROR(BZ1508/BQ1508,"")</f>
        <v>-0.10448095770494099</v>
      </c>
      <c r="CB1508">
        <v>0</v>
      </c>
      <c r="CC1508">
        <v>0</v>
      </c>
      <c r="CD1508">
        <v>0</v>
      </c>
      <c r="CE1508">
        <v>0</v>
      </c>
      <c r="CF1508">
        <v>0</v>
      </c>
      <c r="CG1508">
        <v>0</v>
      </c>
      <c r="CH1508">
        <v>0</v>
      </c>
      <c r="CI1508">
        <v>0</v>
      </c>
      <c r="CJ1508">
        <v>0</v>
      </c>
      <c r="CK1508">
        <v>0</v>
      </c>
      <c r="CL1508">
        <v>0</v>
      </c>
      <c r="CM1508">
        <v>0</v>
      </c>
      <c r="CN1508">
        <v>0</v>
      </c>
      <c r="CO1508">
        <v>0</v>
      </c>
      <c r="CP1508" t="str">
        <f>IF($BN1508&lt;$BM1508,"refNeedCorrection","refOK")</f>
        <v>refOK</v>
      </c>
      <c r="CQ1508">
        <f>IF($CP1508="refOK",$BM1508,$BN1508)</f>
        <v>0</v>
      </c>
      <c r="CR1508">
        <f>IF($CP1508="refOK",$BN1508,$BM1508)</f>
        <v>226.7291347999585</v>
      </c>
      <c r="CS1508">
        <f>IF($CP1508="refOK",$BQ1508,-$BQ1508)</f>
        <v>984.49472340407522</v>
      </c>
      <c r="CT1508">
        <f>IF(BI1508="Roundwood",$CS1508/2,$CS1508)</f>
        <v>984.49472340407522</v>
      </c>
      <c r="CU1508">
        <f>IF($CP1508="refOK",$BU1508,$BV1508)*IF($BR1508="Emissions positive",-1,1)</f>
        <v>-515.07151116792033</v>
      </c>
      <c r="CV1508">
        <f>IF($CP1508="refOK",$BV1508,$BU1508)*IF($BR1508="Emissions positive",-1,1)</f>
        <v>-617.93246272463909</v>
      </c>
      <c r="CW1508">
        <f>IF($CP1508="refNeedCorrection",-BZ1508,BZ1508)*IF($BR1508="Emissions positive",-1,1)</f>
        <v>-102.86095155671876</v>
      </c>
      <c r="CX1508">
        <f>IFERROR($CW1508/$CS1508,"")</f>
        <v>-0.10448095770494099</v>
      </c>
      <c r="CY1508">
        <f>IFERROR($CW1508/$CS1508,"")</f>
        <v>-0.10448095770494099</v>
      </c>
      <c r="CZ1508">
        <f>IFERROR($CW1508/$CT1508,"")</f>
        <v>-0.10448095770494099</v>
      </c>
      <c r="DA1508" s="2">
        <f>IFERROR((CV1508-CU1508)/ABS(CU1508),"")</f>
        <v>-0.19970227303677196</v>
      </c>
      <c r="DB1508" s="1" t="s">
        <v>234</v>
      </c>
      <c r="DC1508" t="str">
        <f>IF(OR($DB1508="prd",$DB1508="std",$DB1508="cit"),"loc",IF(OR($DB1508="eur",$DB1508="reg",$DB1508="coy"),"reg",$DB1508))</f>
        <v>loc</v>
      </c>
      <c r="DD1508" t="s">
        <v>280</v>
      </c>
      <c r="DG1508">
        <v>50</v>
      </c>
      <c r="DH1508" t="str">
        <f>IF(DG1508=0,"0",IF(AND(DG1508&gt;=1,DG1508&lt;=30),"1-30",IF(AND(DG1508&gt;30,DG1508&lt;=70),"31-70",IF(AND(DG1508&gt;70,DG1508&lt;=100),"71-100",IF(DG1508&gt;100,"+100")))))</f>
        <v>31-70</v>
      </c>
      <c r="DI1508">
        <v>0</v>
      </c>
      <c r="DJ1508">
        <v>0</v>
      </c>
      <c r="DK1508">
        <v>0</v>
      </c>
      <c r="DL1508">
        <v>1</v>
      </c>
      <c r="DN1508">
        <f>SUM(DI1508:DL1508)</f>
        <v>1</v>
      </c>
      <c r="DO1508" t="str">
        <f>IF(DN1508=1,INDEX($DI$7:$DL$7,MATCH(1,$DI1508:$DL1508,0)),"mixedProduct")</f>
        <v>TimberInput</v>
      </c>
      <c r="DP1508">
        <f>IF(DI1508=1,DP$7,0)</f>
        <v>0</v>
      </c>
      <c r="DQ1508">
        <f>IF(DJ1508=1,DQ$7,0)</f>
        <v>0</v>
      </c>
      <c r="DR1508">
        <f>IF(DK1508=1,DR$7,0)</f>
        <v>0</v>
      </c>
      <c r="DS1508" t="str">
        <f>IF(DL1508=1,DS$7,0)</f>
        <v>Timber</v>
      </c>
      <c r="DT1508">
        <v>0</v>
      </c>
      <c r="DU1508">
        <v>1</v>
      </c>
      <c r="DV1508">
        <v>0</v>
      </c>
      <c r="DW1508" t="s">
        <v>301</v>
      </c>
      <c r="DX1508">
        <v>0</v>
      </c>
      <c r="DY1508">
        <f>SUM(DT1508:DU1508)</f>
        <v>1</v>
      </c>
      <c r="DZ1508" s="143" t="str">
        <f>IF(DT1508=1,"self-calculated DF",IF(DU1508=1,"external DF used","explicit C balance"))</f>
        <v>external DF used</v>
      </c>
      <c r="EA1508">
        <v>0</v>
      </c>
      <c r="EB1508">
        <v>1</v>
      </c>
      <c r="EC1508">
        <v>1</v>
      </c>
      <c r="ED1508">
        <v>1</v>
      </c>
      <c r="EE1508">
        <v>1</v>
      </c>
      <c r="EF1508" s="143">
        <v>0</v>
      </c>
      <c r="EG1508">
        <v>1</v>
      </c>
      <c r="EH1508">
        <v>1</v>
      </c>
      <c r="EI1508">
        <v>0</v>
      </c>
      <c r="EJ1508">
        <v>1</v>
      </c>
      <c r="EK1508">
        <v>1</v>
      </c>
      <c r="EL1508">
        <v>1</v>
      </c>
      <c r="EM1508">
        <v>0</v>
      </c>
      <c r="EN1508" s="2">
        <v>0</v>
      </c>
      <c r="EP1508" t="str">
        <f>IF(AND(AND(AND(OR($EC1508=1,$EB1508=1),OR($EH1508=1,$EF1508=1)),SUM($EA1508:$EE1508,$EK1508)&gt;=3),SUM($EF1508:$EJ1508)&gt;=2),"Whole sector approach","")</f>
        <v>Whole sector approach</v>
      </c>
      <c r="EQ1508" t="str">
        <f>IF(AND(AND(OR($EC1508=1,$EB1508=1),AND($EH1508=0,$EF1508=0)),SUM($EA1508:$EE1508,$EK1508)&gt;=4),"Ecosystem approach","")</f>
        <v/>
      </c>
      <c r="ER1508" s="2" t="str">
        <f>IF(AND(AND(AND($EC1508=0,$EB1508=0),OR($EH1508=1,$EF1508=1)),SUM($EG1508:$EJ1508)&gt;=2),"Technology approach","")</f>
        <v/>
      </c>
      <c r="ES1508" t="str">
        <f>IF(AND($EC1508+$EB1508+$EE1508+$EA1508+$ED1508+$EG1508=0,$N1508="included"),"C neutral forest and HWP assumption","")</f>
        <v/>
      </c>
      <c r="ET1508" t="str">
        <f>IF(AND(AND(AND(AND($EC1508=1,$EB1508+$EA1508+$EG1508&gt;=1),$EF1508=1),$EH1508+$EI1508+$ED1508+$EE1508&gt;=2),$N1508="included"),"All C pools assumption","")</f>
        <v/>
      </c>
      <c r="EU1508" t="str">
        <f>IF(AND($ED1508+$EE1508+$EI1508+$EH1508+$EF1508=0,$N1508="included"),"In-situ only assumption","")</f>
        <v/>
      </c>
      <c r="EY1508" t="str">
        <f>IF(ISNUMBER(BW1508),IF(ABS(BW1508-[2]QC_indicators!$B$2)&gt;3*[2]QC_indicators!$C$2,"C ratio",IF(ISNUMBER(CA1508),IF(ABS(CA1508-[2]QC_indicators!$B$1)&gt;3*[2]QC_indicators!$C$1,"DF","no"))),IF(ISNUMBER(CA1508),IF(ABS(CA1508-[2]QC_indicators!$B$1)&gt;3*[2]QC_indicators!$C$1,"DF","no")))</f>
        <v>no</v>
      </c>
      <c r="EZ1508" t="s">
        <v>286</v>
      </c>
      <c r="FA1508" t="str">
        <f>IF(LEN($CY1508)=0,"",IF(AND($CY1508&lt;(-0.05),$ES1508="C neutral forest and HWP assumption"),"Cneutral paradox",IF(AND($CY1508&gt;0.05,$EU1508="In-situ only assumption"),"In-situ only paradox","")))</f>
        <v/>
      </c>
      <c r="FB1508" t="s">
        <v>296</v>
      </c>
      <c r="FD1508" s="260" t="s">
        <v>2948</v>
      </c>
    </row>
    <row r="1509" spans="1:160" hidden="1">
      <c r="A1509" s="1" t="s">
        <v>265</v>
      </c>
      <c r="B1509" t="s">
        <v>266</v>
      </c>
      <c r="C1509" t="s">
        <v>267</v>
      </c>
      <c r="D1509" t="s">
        <v>268</v>
      </c>
      <c r="E1509" t="s">
        <v>269</v>
      </c>
      <c r="F1509" t="s">
        <v>270</v>
      </c>
      <c r="G1509" t="s">
        <v>271</v>
      </c>
      <c r="H1509" t="s">
        <v>254</v>
      </c>
      <c r="I1509">
        <v>2022</v>
      </c>
      <c r="J1509">
        <v>0</v>
      </c>
      <c r="K1509" t="s">
        <v>272</v>
      </c>
      <c r="M1509" t="str">
        <f>LEFT($D1509,FIND(",",$D1509)-1)&amp;"_"&amp;I1509&amp;L1509</f>
        <v>Aryapratama_2022</v>
      </c>
      <c r="N1509" t="s">
        <v>222</v>
      </c>
      <c r="O1509" s="145" t="s">
        <v>274</v>
      </c>
      <c r="Q1509" t="s">
        <v>224</v>
      </c>
      <c r="R1509" s="258" t="s">
        <v>223</v>
      </c>
      <c r="S1509" s="259" t="s">
        <v>2784</v>
      </c>
      <c r="T1509" t="s">
        <v>295</v>
      </c>
      <c r="U1509" t="s">
        <v>289</v>
      </c>
      <c r="V1509" s="253">
        <v>0</v>
      </c>
      <c r="W1509" s="253">
        <v>0</v>
      </c>
      <c r="X1509">
        <v>0</v>
      </c>
      <c r="Y1509">
        <v>0</v>
      </c>
      <c r="Z1509">
        <v>0</v>
      </c>
      <c r="AA1509">
        <v>0</v>
      </c>
      <c r="AB1509">
        <v>0</v>
      </c>
      <c r="AC1509">
        <v>0</v>
      </c>
      <c r="AD1509">
        <v>0</v>
      </c>
      <c r="AE1509">
        <v>0</v>
      </c>
      <c r="AF1509">
        <v>0</v>
      </c>
      <c r="AG1509">
        <v>0</v>
      </c>
      <c r="AH1509">
        <v>0</v>
      </c>
      <c r="AI1509">
        <v>0</v>
      </c>
      <c r="AJ1509">
        <v>0</v>
      </c>
      <c r="AK1509">
        <v>0</v>
      </c>
      <c r="AL1509">
        <v>0</v>
      </c>
      <c r="AM1509">
        <v>1</v>
      </c>
      <c r="AN1509">
        <v>0</v>
      </c>
      <c r="AO1509">
        <v>0</v>
      </c>
      <c r="AP1509">
        <v>0</v>
      </c>
      <c r="AQ1509">
        <v>0</v>
      </c>
      <c r="AR1509">
        <v>0</v>
      </c>
      <c r="AS1509">
        <v>0</v>
      </c>
      <c r="AT1509">
        <v>0</v>
      </c>
      <c r="AU1509">
        <v>0</v>
      </c>
      <c r="AV1509">
        <v>0</v>
      </c>
      <c r="AW1509">
        <v>0</v>
      </c>
      <c r="AX1509">
        <v>0</v>
      </c>
      <c r="AY1509">
        <v>0</v>
      </c>
      <c r="AZ1509" s="141">
        <f>COUNTIF(X1509:AY1509,"&lt;&gt;0")</f>
        <v>1</v>
      </c>
      <c r="BA1509" s="141">
        <f>COUNTIF(X1509:AN1509,"&lt;&gt;0")</f>
        <v>1</v>
      </c>
      <c r="BB1509">
        <f>COUNTIF(X1509:AE1509,"&lt;&gt;0")</f>
        <v>0</v>
      </c>
      <c r="BC1509">
        <f>COUNTIF(AF1509:AK1509,"&lt;&gt;0")</f>
        <v>0</v>
      </c>
      <c r="BD1509">
        <f>COUNTIF(AL1509:AN1509,"&lt;&gt;0")</f>
        <v>1</v>
      </c>
      <c r="BE1509">
        <f>COUNTIF(AU1509:AY1509,"&lt;&gt;0")</f>
        <v>0</v>
      </c>
      <c r="BF1509">
        <f>COUNTIF(AO1509:AT1509,"&lt;&gt;0")</f>
        <v>0</v>
      </c>
      <c r="BG1509" t="str">
        <f t="array" ref="BG1509">IF(BA1509=1,INDEX($X$7:$AN$7,MATCH(TRUE,INDEX($X1509:$AY1509&lt;&gt;0,),0)),IF(BA1509=0,INDEX($AO$7:$AY$7,MATCH(1,$AO1509:$AY1509,0)),IF(BH1509="Multiple strategies","mixed drivers",IF(BH1509="Supply chain","multiple supply","multiple silviculture"))))</f>
        <v>technologies/design switch</v>
      </c>
      <c r="BH1509" s="2" t="str" cm="1">
        <f t="array" ref="BH1509">IF(COUNTIF(BB1509:BD1509,"&lt;&gt;0")=1,INDEX($X$4:$AY$4,MATCH(TRUE,INDEX($X1509:$AY1509&lt;&gt;0,),0)),IF(COUNTIF(BB1509:BD1509,"&lt;&gt;0")=0,INDEX($AO$4:$AY$4,MATCH(1,$AO1509:$AY1509,0)),"Multiple strategies"))</f>
        <v>Technology</v>
      </c>
      <c r="BI1509" s="1" t="s">
        <v>229</v>
      </c>
      <c r="BJ1509" t="s">
        <v>277</v>
      </c>
      <c r="BK1509" s="260" t="s">
        <v>2785</v>
      </c>
      <c r="BL1509" t="s">
        <v>278</v>
      </c>
      <c r="BM1509">
        <v>0</v>
      </c>
      <c r="BN1509">
        <v>429.73725876073206</v>
      </c>
      <c r="BP1509">
        <f>BN1509-BM1509</f>
        <v>429.73725876073206</v>
      </c>
      <c r="BQ1509">
        <f>BP1509*tC_to_m3</f>
        <v>1865.9889655264094</v>
      </c>
      <c r="BR1509" t="s">
        <v>232</v>
      </c>
      <c r="BS1509" s="153" t="s">
        <v>2786</v>
      </c>
      <c r="BT1509" t="s">
        <v>279</v>
      </c>
      <c r="BU1509">
        <v>-808.82207371160791</v>
      </c>
      <c r="BV1509">
        <v>-990.65809626676389</v>
      </c>
      <c r="BW1509" s="144">
        <f>IFERROR(BV1509/BU1509,"")</f>
        <v>1.224815850686082</v>
      </c>
      <c r="BX1509">
        <f>BV1509-BU1509</f>
        <v>-181.83602255515598</v>
      </c>
      <c r="BZ1509">
        <f>BX1509</f>
        <v>-181.83602255515598</v>
      </c>
      <c r="CA1509">
        <f>IFERROR(BZ1509/BQ1509,"")</f>
        <v>-9.7447533674915751E-2</v>
      </c>
      <c r="CB1509">
        <v>0</v>
      </c>
      <c r="CC1509">
        <v>0</v>
      </c>
      <c r="CD1509">
        <v>0</v>
      </c>
      <c r="CE1509">
        <v>0</v>
      </c>
      <c r="CF1509">
        <v>0</v>
      </c>
      <c r="CG1509">
        <v>0</v>
      </c>
      <c r="CH1509">
        <v>0</v>
      </c>
      <c r="CI1509">
        <v>0</v>
      </c>
      <c r="CJ1509">
        <v>0</v>
      </c>
      <c r="CK1509">
        <v>0</v>
      </c>
      <c r="CL1509">
        <v>0</v>
      </c>
      <c r="CM1509">
        <v>0</v>
      </c>
      <c r="CN1509">
        <v>0</v>
      </c>
      <c r="CO1509">
        <v>0</v>
      </c>
      <c r="CP1509" t="str">
        <f>IF($BN1509&lt;$BM1509,"refNeedCorrection","refOK")</f>
        <v>refOK</v>
      </c>
      <c r="CQ1509">
        <f>IF($CP1509="refOK",$BM1509,$BN1509)</f>
        <v>0</v>
      </c>
      <c r="CR1509">
        <f>IF($CP1509="refOK",$BN1509,$BM1509)</f>
        <v>429.73725876073206</v>
      </c>
      <c r="CS1509">
        <f>IF($CP1509="refOK",$BQ1509,-$BQ1509)</f>
        <v>1865.9889655264094</v>
      </c>
      <c r="CT1509">
        <f>IF(BI1509="Roundwood",$CS1509/2,$CS1509)</f>
        <v>1865.9889655264094</v>
      </c>
      <c r="CU1509">
        <f>IF($CP1509="refOK",$BU1509,$BV1509)*IF($BR1509="Emissions positive",-1,1)</f>
        <v>-808.82207371160791</v>
      </c>
      <c r="CV1509">
        <f>IF($CP1509="refOK",$BV1509,$BU1509)*IF($BR1509="Emissions positive",-1,1)</f>
        <v>-990.65809626676389</v>
      </c>
      <c r="CW1509">
        <f>IF($CP1509="refNeedCorrection",-BZ1509,BZ1509)*IF($BR1509="Emissions positive",-1,1)</f>
        <v>-181.83602255515598</v>
      </c>
      <c r="CX1509">
        <f>IFERROR($CW1509/$CS1509,"")</f>
        <v>-9.7447533674915751E-2</v>
      </c>
      <c r="CY1509">
        <f>IFERROR($CW1509/$CS1509,"")</f>
        <v>-9.7447533674915751E-2</v>
      </c>
      <c r="CZ1509">
        <f>IFERROR($CW1509/$CT1509,"")</f>
        <v>-9.7447533674915751E-2</v>
      </c>
      <c r="DA1509" s="2">
        <f>IFERROR((CV1509-CU1509)/ABS(CU1509),"")</f>
        <v>-0.2248158506860819</v>
      </c>
      <c r="DB1509" s="1" t="s">
        <v>234</v>
      </c>
      <c r="DC1509" t="str">
        <f>IF(OR($DB1509="prd",$DB1509="std",$DB1509="cit"),"loc",IF(OR($DB1509="eur",$DB1509="reg",$DB1509="coy"),"reg",$DB1509))</f>
        <v>loc</v>
      </c>
      <c r="DD1509" t="s">
        <v>280</v>
      </c>
      <c r="DG1509">
        <v>100</v>
      </c>
      <c r="DH1509" t="str">
        <f>IF(DG1509=0,"0",IF(AND(DG1509&gt;=1,DG1509&lt;=30),"1-30",IF(AND(DG1509&gt;30,DG1509&lt;=70),"31-70",IF(AND(DG1509&gt;70,DG1509&lt;=100),"71-100",IF(DG1509&gt;100,"+100")))))</f>
        <v>71-100</v>
      </c>
      <c r="DI1509">
        <v>0</v>
      </c>
      <c r="DJ1509">
        <v>0</v>
      </c>
      <c r="DK1509">
        <v>0</v>
      </c>
      <c r="DL1509">
        <v>1</v>
      </c>
      <c r="DN1509">
        <f>SUM(DI1509:DL1509)</f>
        <v>1</v>
      </c>
      <c r="DO1509" t="str">
        <f>IF(DN1509=1,INDEX($DI$7:$DL$7,MATCH(1,$DI1509:$DL1509,0)),"mixedProduct")</f>
        <v>TimberInput</v>
      </c>
      <c r="DP1509">
        <f>IF(DI1509=1,DP$7,0)</f>
        <v>0</v>
      </c>
      <c r="DQ1509">
        <f>IF(DJ1509=1,DQ$7,0)</f>
        <v>0</v>
      </c>
      <c r="DR1509">
        <f>IF(DK1509=1,DR$7,0)</f>
        <v>0</v>
      </c>
      <c r="DS1509" t="str">
        <f>IF(DL1509=1,DS$7,0)</f>
        <v>Timber</v>
      </c>
      <c r="DT1509">
        <v>0</v>
      </c>
      <c r="DU1509">
        <v>1</v>
      </c>
      <c r="DV1509">
        <v>0</v>
      </c>
      <c r="DW1509" t="s">
        <v>292</v>
      </c>
      <c r="DX1509">
        <v>0</v>
      </c>
      <c r="DY1509">
        <f>SUM(DT1509:DU1509)</f>
        <v>1</v>
      </c>
      <c r="DZ1509" s="143" t="str">
        <f>IF(DT1509=1,"self-calculated DF",IF(DU1509=1,"external DF used","explicit C balance"))</f>
        <v>external DF used</v>
      </c>
      <c r="EA1509">
        <v>0</v>
      </c>
      <c r="EB1509">
        <v>1</v>
      </c>
      <c r="EC1509">
        <v>1</v>
      </c>
      <c r="ED1509">
        <v>1</v>
      </c>
      <c r="EE1509">
        <v>1</v>
      </c>
      <c r="EF1509" s="143">
        <v>0</v>
      </c>
      <c r="EG1509">
        <v>1</v>
      </c>
      <c r="EH1509">
        <v>1</v>
      </c>
      <c r="EI1509">
        <v>0</v>
      </c>
      <c r="EJ1509">
        <v>1</v>
      </c>
      <c r="EK1509">
        <v>1</v>
      </c>
      <c r="EL1509">
        <v>1</v>
      </c>
      <c r="EM1509">
        <v>0</v>
      </c>
      <c r="EN1509" s="2">
        <v>0</v>
      </c>
      <c r="EP1509" t="str">
        <f>IF(AND(AND(AND(OR($EC1509=1,$EB1509=1),OR($EH1509=1,$EF1509=1)),SUM($EA1509:$EE1509,$EK1509)&gt;=3),SUM($EF1509:$EJ1509)&gt;=2),"Whole sector approach","")</f>
        <v>Whole sector approach</v>
      </c>
      <c r="EQ1509" t="str">
        <f>IF(AND(AND(OR($EC1509=1,$EB1509=1),AND($EH1509=0,$EF1509=0)),SUM($EA1509:$EE1509,$EK1509)&gt;=4),"Ecosystem approach","")</f>
        <v/>
      </c>
      <c r="ER1509" s="2" t="str">
        <f>IF(AND(AND(AND($EC1509=0,$EB1509=0),OR($EH1509=1,$EF1509=1)),SUM($EG1509:$EJ1509)&gt;=2),"Technology approach","")</f>
        <v/>
      </c>
      <c r="ES1509" t="str">
        <f>IF(AND($EC1509+$EB1509+$EE1509+$EA1509+$ED1509+$EG1509=0,$N1509="included"),"C neutral forest and HWP assumption","")</f>
        <v/>
      </c>
      <c r="ET1509" t="str">
        <f>IF(AND(AND(AND(AND($EC1509=1,$EB1509+$EA1509+$EG1509&gt;=1),$EF1509=1),$EH1509+$EI1509+$ED1509+$EE1509&gt;=2),$N1509="included"),"All C pools assumption","")</f>
        <v/>
      </c>
      <c r="EU1509" t="str">
        <f>IF(AND($ED1509+$EE1509+$EI1509+$EH1509+$EF1509=0,$N1509="included"),"In-situ only assumption","")</f>
        <v/>
      </c>
      <c r="EY1509" t="str">
        <f>IF(ISNUMBER(BW1509),IF(ABS(BW1509-[2]QC_indicators!$B$2)&gt;3*[2]QC_indicators!$C$2,"C ratio",IF(ISNUMBER(CA1509),IF(ABS(CA1509-[2]QC_indicators!$B$1)&gt;3*[2]QC_indicators!$C$1,"DF","no"))),IF(ISNUMBER(CA1509),IF(ABS(CA1509-[2]QC_indicators!$B$1)&gt;3*[2]QC_indicators!$C$1,"DF","no")))</f>
        <v>no</v>
      </c>
      <c r="EZ1509" t="s">
        <v>286</v>
      </c>
      <c r="FA1509" t="str">
        <f>IF(LEN($CY1509)=0,"",IF(AND($CY1509&lt;(-0.05),$ES1509="C neutral forest and HWP assumption"),"Cneutral paradox",IF(AND($CY1509&gt;0.05,$EU1509="In-situ only assumption"),"In-situ only paradox","")))</f>
        <v/>
      </c>
      <c r="FB1509" t="s">
        <v>296</v>
      </c>
      <c r="FD1509" s="260" t="s">
        <v>2948</v>
      </c>
    </row>
    <row r="1510" spans="1:160" ht="15" hidden="1" customHeight="1">
      <c r="A1510" s="1" t="s">
        <v>265</v>
      </c>
      <c r="B1510" t="s">
        <v>266</v>
      </c>
      <c r="C1510" t="s">
        <v>267</v>
      </c>
      <c r="D1510" t="s">
        <v>268</v>
      </c>
      <c r="E1510" t="s">
        <v>269</v>
      </c>
      <c r="F1510" t="s">
        <v>270</v>
      </c>
      <c r="G1510" t="s">
        <v>271</v>
      </c>
      <c r="H1510" t="s">
        <v>254</v>
      </c>
      <c r="I1510">
        <v>2022</v>
      </c>
      <c r="J1510">
        <v>0</v>
      </c>
      <c r="K1510" t="s">
        <v>272</v>
      </c>
      <c r="M1510" t="str">
        <f>LEFT($D1510,FIND(",",$D1510)-1)&amp;"_"&amp;I1510&amp;L1510</f>
        <v>Aryapratama_2022</v>
      </c>
      <c r="N1510" t="s">
        <v>222</v>
      </c>
      <c r="O1510" s="145" t="s">
        <v>274</v>
      </c>
      <c r="Q1510" t="s">
        <v>224</v>
      </c>
      <c r="R1510" s="258" t="s">
        <v>223</v>
      </c>
      <c r="S1510" s="259" t="s">
        <v>2784</v>
      </c>
      <c r="T1510" t="s">
        <v>299</v>
      </c>
      <c r="U1510" t="s">
        <v>300</v>
      </c>
      <c r="V1510" s="253">
        <v>0</v>
      </c>
      <c r="W1510" s="253">
        <v>0</v>
      </c>
      <c r="X1510">
        <v>0</v>
      </c>
      <c r="Y1510">
        <v>0</v>
      </c>
      <c r="Z1510">
        <v>0</v>
      </c>
      <c r="AA1510">
        <v>0</v>
      </c>
      <c r="AB1510">
        <v>0</v>
      </c>
      <c r="AC1510">
        <v>0</v>
      </c>
      <c r="AD1510">
        <v>0</v>
      </c>
      <c r="AE1510">
        <v>0</v>
      </c>
      <c r="AF1510">
        <v>0</v>
      </c>
      <c r="AG1510">
        <v>0</v>
      </c>
      <c r="AH1510">
        <v>0</v>
      </c>
      <c r="AI1510">
        <v>0</v>
      </c>
      <c r="AJ1510">
        <v>0</v>
      </c>
      <c r="AK1510">
        <v>0</v>
      </c>
      <c r="AL1510">
        <v>0</v>
      </c>
      <c r="AM1510">
        <v>1</v>
      </c>
      <c r="AN1510">
        <v>0</v>
      </c>
      <c r="AO1510">
        <v>0</v>
      </c>
      <c r="AP1510">
        <v>0</v>
      </c>
      <c r="AQ1510">
        <v>0</v>
      </c>
      <c r="AR1510">
        <v>0</v>
      </c>
      <c r="AS1510">
        <v>0</v>
      </c>
      <c r="AT1510">
        <v>0</v>
      </c>
      <c r="AU1510">
        <v>0</v>
      </c>
      <c r="AV1510">
        <v>0</v>
      </c>
      <c r="AW1510">
        <v>0</v>
      </c>
      <c r="AX1510">
        <v>0</v>
      </c>
      <c r="AY1510">
        <v>0</v>
      </c>
      <c r="AZ1510" s="141">
        <f>COUNTIF(X1510:AY1510,"&lt;&gt;0")</f>
        <v>1</v>
      </c>
      <c r="BA1510" s="141">
        <f>COUNTIF(X1510:AN1510,"&lt;&gt;0")</f>
        <v>1</v>
      </c>
      <c r="BB1510">
        <f>COUNTIF(X1510:AE1510,"&lt;&gt;0")</f>
        <v>0</v>
      </c>
      <c r="BC1510">
        <f>COUNTIF(AF1510:AK1510,"&lt;&gt;0")</f>
        <v>0</v>
      </c>
      <c r="BD1510">
        <f>COUNTIF(AL1510:AN1510,"&lt;&gt;0")</f>
        <v>1</v>
      </c>
      <c r="BE1510">
        <f>COUNTIF(AU1510:AY1510,"&lt;&gt;0")</f>
        <v>0</v>
      </c>
      <c r="BF1510">
        <f>COUNTIF(AO1510:AT1510,"&lt;&gt;0")</f>
        <v>0</v>
      </c>
      <c r="BG1510" t="str">
        <f t="array" ref="BG1510">IF(BA1510=1,INDEX($X$7:$AN$7,MATCH(TRUE,INDEX($X1510:$AY1510&lt;&gt;0,),0)),IF(BA1510=0,INDEX($AO$7:$AY$7,MATCH(1,$AO1510:$AY1510,0)),IF(BH1510="Multiple strategies","mixed drivers",IF(BH1510="Supply chain","multiple supply","multiple silviculture"))))</f>
        <v>technologies/design switch</v>
      </c>
      <c r="BH1510" s="2" t="str" cm="1">
        <f t="array" ref="BH1510">IF(COUNTIF(BB1510:BD1510,"&lt;&gt;0")=1,INDEX($X$4:$AY$4,MATCH(TRUE,INDEX($X1510:$AY1510&lt;&gt;0,),0)),IF(COUNTIF(BB1510:BD1510,"&lt;&gt;0")=0,INDEX($AO$4:$AY$4,MATCH(1,$AO1510:$AY1510,0)),"Multiple strategies"))</f>
        <v>Technology</v>
      </c>
      <c r="BI1510" s="1" t="s">
        <v>229</v>
      </c>
      <c r="BJ1510" t="s">
        <v>277</v>
      </c>
      <c r="BK1510" s="260" t="s">
        <v>2785</v>
      </c>
      <c r="BL1510" t="s">
        <v>278</v>
      </c>
      <c r="BM1510">
        <v>0</v>
      </c>
      <c r="BN1510">
        <v>363.45340303763226</v>
      </c>
      <c r="BP1510">
        <f>BN1510-BM1510</f>
        <v>363.45340303763226</v>
      </c>
      <c r="BQ1510">
        <f>BP1510*tC_to_m3</f>
        <v>1578.1736996857676</v>
      </c>
      <c r="BR1510" t="s">
        <v>232</v>
      </c>
      <c r="BS1510" s="153" t="s">
        <v>2786</v>
      </c>
      <c r="BT1510" t="s">
        <v>279</v>
      </c>
      <c r="BU1510">
        <v>-642.71245617211093</v>
      </c>
      <c r="BV1510">
        <v>-768.12774512252213</v>
      </c>
      <c r="BW1510" s="144">
        <f>IFERROR(BV1510/BU1510,"")</f>
        <v>1.1951343680148412</v>
      </c>
      <c r="BX1510">
        <f>BV1510-BU1510</f>
        <v>-125.4152889504112</v>
      </c>
      <c r="BZ1510">
        <f>BX1510</f>
        <v>-125.4152889504112</v>
      </c>
      <c r="CA1510">
        <f>IFERROR(BZ1510/BQ1510,"")</f>
        <v>-7.9468621847761628E-2</v>
      </c>
      <c r="CB1510">
        <v>0</v>
      </c>
      <c r="CC1510">
        <v>0</v>
      </c>
      <c r="CD1510">
        <v>0</v>
      </c>
      <c r="CE1510">
        <v>0</v>
      </c>
      <c r="CF1510">
        <v>0</v>
      </c>
      <c r="CG1510">
        <v>0</v>
      </c>
      <c r="CH1510">
        <v>0</v>
      </c>
      <c r="CI1510">
        <v>0</v>
      </c>
      <c r="CJ1510">
        <v>0</v>
      </c>
      <c r="CK1510">
        <v>0</v>
      </c>
      <c r="CL1510">
        <v>0</v>
      </c>
      <c r="CM1510">
        <v>0</v>
      </c>
      <c r="CN1510">
        <v>0</v>
      </c>
      <c r="CO1510">
        <v>0</v>
      </c>
      <c r="CP1510" t="str">
        <f>IF($BN1510&lt;$BM1510,"refNeedCorrection","refOK")</f>
        <v>refOK</v>
      </c>
      <c r="CQ1510">
        <f>IF($CP1510="refOK",$BM1510,$BN1510)</f>
        <v>0</v>
      </c>
      <c r="CR1510">
        <f>IF($CP1510="refOK",$BN1510,$BM1510)</f>
        <v>363.45340303763226</v>
      </c>
      <c r="CS1510">
        <f>IF($CP1510="refOK",$BQ1510,-$BQ1510)</f>
        <v>1578.1736996857676</v>
      </c>
      <c r="CT1510">
        <f>IF(BI1510="Roundwood",$CS1510/2,$CS1510)</f>
        <v>1578.1736996857676</v>
      </c>
      <c r="CU1510">
        <f>IF($CP1510="refOK",$BU1510,$BV1510)*IF($BR1510="Emissions positive",-1,1)</f>
        <v>-642.71245617211093</v>
      </c>
      <c r="CV1510">
        <f>IF($CP1510="refOK",$BV1510,$BU1510)*IF($BR1510="Emissions positive",-1,1)</f>
        <v>-768.12774512252213</v>
      </c>
      <c r="CW1510">
        <f>IF($CP1510="refNeedCorrection",-BZ1510,BZ1510)*IF($BR1510="Emissions positive",-1,1)</f>
        <v>-125.4152889504112</v>
      </c>
      <c r="CX1510">
        <f>IFERROR($CW1510/$CS1510,"")</f>
        <v>-7.9468621847761628E-2</v>
      </c>
      <c r="CY1510">
        <f>IFERROR($CW1510/$CS1510,"")</f>
        <v>-7.9468621847761628E-2</v>
      </c>
      <c r="CZ1510">
        <f>IFERROR($CW1510/$CT1510,"")</f>
        <v>-7.9468621847761628E-2</v>
      </c>
      <c r="DA1510" s="2">
        <f>IFERROR((CV1510-CU1510)/ABS(CU1510),"")</f>
        <v>-0.19513436801484121</v>
      </c>
      <c r="DB1510" s="1" t="s">
        <v>234</v>
      </c>
      <c r="DC1510" t="str">
        <f>IF(OR($DB1510="prd",$DB1510="std",$DB1510="cit"),"loc",IF(OR($DB1510="eur",$DB1510="reg",$DB1510="coy"),"reg",$DB1510))</f>
        <v>loc</v>
      </c>
      <c r="DD1510" t="s">
        <v>280</v>
      </c>
      <c r="DG1510">
        <v>100</v>
      </c>
      <c r="DH1510" t="str">
        <f>IF(DG1510=0,"0",IF(AND(DG1510&gt;=1,DG1510&lt;=30),"1-30",IF(AND(DG1510&gt;30,DG1510&lt;=70),"31-70",IF(AND(DG1510&gt;70,DG1510&lt;=100),"71-100",IF(DG1510&gt;100,"+100")))))</f>
        <v>71-100</v>
      </c>
      <c r="DI1510">
        <v>0</v>
      </c>
      <c r="DJ1510">
        <v>0</v>
      </c>
      <c r="DK1510">
        <v>0</v>
      </c>
      <c r="DL1510">
        <v>1</v>
      </c>
      <c r="DN1510">
        <f>SUM(DI1510:DL1510)</f>
        <v>1</v>
      </c>
      <c r="DO1510" t="str">
        <f>IF(DN1510=1,INDEX($DI$7:$DL$7,MATCH(1,$DI1510:$DL1510,0)),"mixedProduct")</f>
        <v>TimberInput</v>
      </c>
      <c r="DP1510">
        <f>IF(DI1510=1,DP$7,0)</f>
        <v>0</v>
      </c>
      <c r="DQ1510">
        <f>IF(DJ1510=1,DQ$7,0)</f>
        <v>0</v>
      </c>
      <c r="DR1510">
        <f>IF(DK1510=1,DR$7,0)</f>
        <v>0</v>
      </c>
      <c r="DS1510" t="str">
        <f>IF(DL1510=1,DS$7,0)</f>
        <v>Timber</v>
      </c>
      <c r="DT1510">
        <v>0</v>
      </c>
      <c r="DU1510">
        <v>1</v>
      </c>
      <c r="DV1510">
        <v>0</v>
      </c>
      <c r="DW1510" t="s">
        <v>301</v>
      </c>
      <c r="DX1510">
        <v>0</v>
      </c>
      <c r="DY1510">
        <f>SUM(DT1510:DU1510)</f>
        <v>1</v>
      </c>
      <c r="DZ1510" s="143" t="str">
        <f>IF(DT1510=1,"self-calculated DF",IF(DU1510=1,"external DF used","explicit C balance"))</f>
        <v>external DF used</v>
      </c>
      <c r="EA1510">
        <v>0</v>
      </c>
      <c r="EB1510">
        <v>1</v>
      </c>
      <c r="EC1510">
        <v>1</v>
      </c>
      <c r="ED1510">
        <v>1</v>
      </c>
      <c r="EE1510">
        <v>1</v>
      </c>
      <c r="EF1510" s="143">
        <v>0</v>
      </c>
      <c r="EG1510">
        <v>1</v>
      </c>
      <c r="EH1510">
        <v>1</v>
      </c>
      <c r="EI1510">
        <v>0</v>
      </c>
      <c r="EJ1510">
        <v>1</v>
      </c>
      <c r="EK1510">
        <v>1</v>
      </c>
      <c r="EL1510">
        <v>1</v>
      </c>
      <c r="EM1510">
        <v>0</v>
      </c>
      <c r="EN1510" s="2">
        <v>0</v>
      </c>
      <c r="EP1510" t="str">
        <f>IF(AND(AND(AND(OR($EC1510=1,$EB1510=1),OR($EH1510=1,$EF1510=1)),SUM($EA1510:$EE1510,$EK1510)&gt;=3),SUM($EF1510:$EJ1510)&gt;=2),"Whole sector approach","")</f>
        <v>Whole sector approach</v>
      </c>
      <c r="EQ1510" t="str">
        <f>IF(AND(AND(OR($EC1510=1,$EB1510=1),AND($EH1510=0,$EF1510=0)),SUM($EA1510:$EE1510,$EK1510)&gt;=4),"Ecosystem approach","")</f>
        <v/>
      </c>
      <c r="ER1510" s="2" t="str">
        <f>IF(AND(AND(AND($EC1510=0,$EB1510=0),OR($EH1510=1,$EF1510=1)),SUM($EG1510:$EJ1510)&gt;=2),"Technology approach","")</f>
        <v/>
      </c>
      <c r="ES1510" t="str">
        <f>IF(AND($EC1510+$EB1510+$EE1510+$EA1510+$ED1510+$EG1510=0,$N1510="included"),"C neutral forest and HWP assumption","")</f>
        <v/>
      </c>
      <c r="ET1510" t="str">
        <f>IF(AND(AND(AND(AND($EC1510=1,$EB1510+$EA1510+$EG1510&gt;=1),$EF1510=1),$EH1510+$EI1510+$ED1510+$EE1510&gt;=2),$N1510="included"),"All C pools assumption","")</f>
        <v/>
      </c>
      <c r="EU1510" t="str">
        <f>IF(AND($ED1510+$EE1510+$EI1510+$EH1510+$EF1510=0,$N1510="included"),"In-situ only assumption","")</f>
        <v/>
      </c>
      <c r="EY1510" t="str">
        <f>IF(ISNUMBER(BW1510),IF(ABS(BW1510-[2]QC_indicators!$B$2)&gt;3*[2]QC_indicators!$C$2,"C ratio",IF(ISNUMBER(CA1510),IF(ABS(CA1510-[2]QC_indicators!$B$1)&gt;3*[2]QC_indicators!$C$1,"DF","no"))),IF(ISNUMBER(CA1510),IF(ABS(CA1510-[2]QC_indicators!$B$1)&gt;3*[2]QC_indicators!$C$1,"DF","no")))</f>
        <v>no</v>
      </c>
      <c r="EZ1510" t="s">
        <v>286</v>
      </c>
      <c r="FA1510" t="str">
        <f>IF(LEN($CY1510)=0,"",IF(AND($CY1510&lt;(-0.05),$ES1510="C neutral forest and HWP assumption"),"Cneutral paradox",IF(AND($CY1510&gt;0.05,$EU1510="In-situ only assumption"),"In-situ only paradox","")))</f>
        <v/>
      </c>
      <c r="FB1510" t="s">
        <v>296</v>
      </c>
      <c r="FD1510" s="260" t="s">
        <v>2948</v>
      </c>
    </row>
    <row r="1511" spans="1:160" ht="15" hidden="1" customHeight="1">
      <c r="A1511" s="1" t="s">
        <v>265</v>
      </c>
      <c r="B1511" t="s">
        <v>266</v>
      </c>
      <c r="C1511" t="s">
        <v>267</v>
      </c>
      <c r="D1511" t="s">
        <v>268</v>
      </c>
      <c r="E1511" t="s">
        <v>269</v>
      </c>
      <c r="F1511" t="s">
        <v>270</v>
      </c>
      <c r="G1511" t="s">
        <v>271</v>
      </c>
      <c r="H1511" t="s">
        <v>254</v>
      </c>
      <c r="I1511">
        <v>2022</v>
      </c>
      <c r="J1511">
        <v>0</v>
      </c>
      <c r="K1511" t="s">
        <v>272</v>
      </c>
      <c r="M1511" t="str">
        <f>LEFT($D1511,FIND(",",$D1511)-1)&amp;"_"&amp;I1511&amp;L1511</f>
        <v>Aryapratama_2022</v>
      </c>
      <c r="N1511" t="s">
        <v>222</v>
      </c>
      <c r="O1511" s="145" t="s">
        <v>274</v>
      </c>
      <c r="Q1511" t="s">
        <v>224</v>
      </c>
      <c r="R1511" s="258" t="s">
        <v>223</v>
      </c>
      <c r="S1511" s="259" t="s">
        <v>2784</v>
      </c>
      <c r="T1511" t="s">
        <v>299</v>
      </c>
      <c r="U1511" t="s">
        <v>300</v>
      </c>
      <c r="V1511" s="253">
        <v>0</v>
      </c>
      <c r="W1511" s="253">
        <v>0</v>
      </c>
      <c r="X1511">
        <v>0</v>
      </c>
      <c r="Y1511">
        <v>0</v>
      </c>
      <c r="Z1511">
        <v>0</v>
      </c>
      <c r="AA1511">
        <v>0</v>
      </c>
      <c r="AB1511">
        <v>0</v>
      </c>
      <c r="AC1511">
        <v>0</v>
      </c>
      <c r="AD1511">
        <v>0</v>
      </c>
      <c r="AE1511">
        <v>0</v>
      </c>
      <c r="AF1511">
        <v>0</v>
      </c>
      <c r="AG1511">
        <v>0</v>
      </c>
      <c r="AH1511">
        <v>0</v>
      </c>
      <c r="AI1511">
        <v>0</v>
      </c>
      <c r="AJ1511">
        <v>0</v>
      </c>
      <c r="AK1511">
        <v>0</v>
      </c>
      <c r="AL1511">
        <v>0</v>
      </c>
      <c r="AM1511">
        <v>1</v>
      </c>
      <c r="AN1511">
        <v>0</v>
      </c>
      <c r="AO1511">
        <v>0</v>
      </c>
      <c r="AP1511">
        <v>0</v>
      </c>
      <c r="AQ1511">
        <v>0</v>
      </c>
      <c r="AR1511">
        <v>0</v>
      </c>
      <c r="AS1511">
        <v>0</v>
      </c>
      <c r="AT1511">
        <v>0</v>
      </c>
      <c r="AU1511">
        <v>0</v>
      </c>
      <c r="AV1511">
        <v>0</v>
      </c>
      <c r="AW1511">
        <v>0</v>
      </c>
      <c r="AX1511">
        <v>0</v>
      </c>
      <c r="AY1511">
        <v>0</v>
      </c>
      <c r="AZ1511" s="141">
        <f>COUNTIF(X1511:AY1511,"&lt;&gt;0")</f>
        <v>1</v>
      </c>
      <c r="BA1511" s="141">
        <f>COUNTIF(X1511:AN1511,"&lt;&gt;0")</f>
        <v>1</v>
      </c>
      <c r="BB1511">
        <f>COUNTIF(X1511:AE1511,"&lt;&gt;0")</f>
        <v>0</v>
      </c>
      <c r="BC1511">
        <f>COUNTIF(AF1511:AK1511,"&lt;&gt;0")</f>
        <v>0</v>
      </c>
      <c r="BD1511">
        <f>COUNTIF(AL1511:AN1511,"&lt;&gt;0")</f>
        <v>1</v>
      </c>
      <c r="BE1511">
        <f>COUNTIF(AU1511:AY1511,"&lt;&gt;0")</f>
        <v>0</v>
      </c>
      <c r="BF1511">
        <f>COUNTIF(AO1511:AT1511,"&lt;&gt;0")</f>
        <v>0</v>
      </c>
      <c r="BG1511" t="str">
        <f t="array" ref="BG1511">IF(BA1511=1,INDEX($X$7:$AN$7,MATCH(TRUE,INDEX($X1511:$AY1511&lt;&gt;0,),0)),IF(BA1511=0,INDEX($AO$7:$AY$7,MATCH(1,$AO1511:$AY1511,0)),IF(BH1511="Multiple strategies","mixed drivers",IF(BH1511="Supply chain","multiple supply","multiple silviculture"))))</f>
        <v>technologies/design switch</v>
      </c>
      <c r="BH1511" s="2" t="str" cm="1">
        <f t="array" ref="BH1511">IF(COUNTIF(BB1511:BD1511,"&lt;&gt;0")=1,INDEX($X$4:$AY$4,MATCH(TRUE,INDEX($X1511:$AY1511&lt;&gt;0,),0)),IF(COUNTIF(BB1511:BD1511,"&lt;&gt;0")=0,INDEX($AO$4:$AY$4,MATCH(1,$AO1511:$AY1511,0)),"Multiple strategies"))</f>
        <v>Technology</v>
      </c>
      <c r="BI1511" s="1" t="s">
        <v>229</v>
      </c>
      <c r="BJ1511" t="s">
        <v>277</v>
      </c>
      <c r="BK1511" s="260" t="s">
        <v>2785</v>
      </c>
      <c r="BL1511" t="s">
        <v>278</v>
      </c>
      <c r="BM1511">
        <v>0</v>
      </c>
      <c r="BN1511">
        <v>591.32718343375518</v>
      </c>
      <c r="BP1511">
        <f>BN1511-BM1511</f>
        <v>591.32718343375518</v>
      </c>
      <c r="BQ1511">
        <f>BP1511*tC_to_m3</f>
        <v>2567.6386601552549</v>
      </c>
      <c r="BR1511" t="s">
        <v>232</v>
      </c>
      <c r="BS1511" s="153" t="s">
        <v>2786</v>
      </c>
      <c r="BT1511" t="s">
        <v>279</v>
      </c>
      <c r="BU1511">
        <v>-904.95784112113733</v>
      </c>
      <c r="BV1511">
        <v>-956.54496754124091</v>
      </c>
      <c r="BW1511" s="144">
        <f>IFERROR(BV1511/BU1511,"")</f>
        <v>1.0570050051792392</v>
      </c>
      <c r="BX1511">
        <f>BV1511-BU1511</f>
        <v>-51.587126420103573</v>
      </c>
      <c r="BZ1511">
        <f>BX1511</f>
        <v>-51.587126420103573</v>
      </c>
      <c r="CA1511">
        <f>IFERROR(BZ1511/BQ1511,"")</f>
        <v>-2.0091271883631908E-2</v>
      </c>
      <c r="CB1511">
        <v>0</v>
      </c>
      <c r="CC1511">
        <v>0</v>
      </c>
      <c r="CD1511">
        <v>0</v>
      </c>
      <c r="CE1511">
        <v>0</v>
      </c>
      <c r="CF1511">
        <v>0</v>
      </c>
      <c r="CG1511">
        <v>0</v>
      </c>
      <c r="CH1511">
        <v>0</v>
      </c>
      <c r="CI1511">
        <v>0</v>
      </c>
      <c r="CJ1511">
        <v>0</v>
      </c>
      <c r="CK1511">
        <v>0</v>
      </c>
      <c r="CL1511">
        <v>0</v>
      </c>
      <c r="CM1511">
        <v>0</v>
      </c>
      <c r="CN1511">
        <v>0</v>
      </c>
      <c r="CO1511">
        <v>0</v>
      </c>
      <c r="CP1511" t="str">
        <f>IF($BN1511&lt;$BM1511,"refNeedCorrection","refOK")</f>
        <v>refOK</v>
      </c>
      <c r="CQ1511">
        <f>IF($CP1511="refNeedCorrection",BN1511,BM1511)</f>
        <v>0</v>
      </c>
      <c r="CR1511">
        <f>IF($CP1511="refNeedCorrection",BM1511,BN1511)</f>
        <v>591.32718343375518</v>
      </c>
      <c r="CS1511">
        <f>IF($CP1511="refOK",$BQ1511,-$BQ1511)</f>
        <v>2567.6386601552549</v>
      </c>
      <c r="CT1511">
        <f>IF(BI1511="Roundwood",$CS1511/2,$CS1511)</f>
        <v>2567.6386601552549</v>
      </c>
      <c r="CU1511">
        <f>IF($CP1511="refOK",$BU1511,$BV1511)*IF($BR1511="Emissions positive",-1,1)</f>
        <v>-904.95784112113733</v>
      </c>
      <c r="CV1511">
        <f>IF($CP1511="refOK",$BV1511,$BU1511)*IF($BR1511="Emissions positive",-1,1)</f>
        <v>-956.54496754124091</v>
      </c>
      <c r="CW1511">
        <f>IF($CP1511="refNeedCorrection",-BZ1511,BZ1511)*IF($BR1511="Emissions positive",-1,1)</f>
        <v>-51.587126420103573</v>
      </c>
      <c r="CX1511">
        <f>IFERROR($CW1511/$CS1511,"")</f>
        <v>-2.0091271883631908E-2</v>
      </c>
      <c r="CY1511">
        <f>IFERROR($CW1511/$CS1511,"")</f>
        <v>-2.0091271883631908E-2</v>
      </c>
      <c r="CZ1511">
        <f>IFERROR($CW1511/$CT1511,"")</f>
        <v>-2.0091271883631908E-2</v>
      </c>
      <c r="DA1511" s="2">
        <f>IFERROR((CV1511-CU1511)/ABS(CU1511),"")</f>
        <v>-5.7005005179239218E-2</v>
      </c>
      <c r="DB1511" s="1" t="s">
        <v>234</v>
      </c>
      <c r="DC1511" t="str">
        <f>IF(OR($DB1511="prd",$DB1511="std",$DB1511="cit"),"loc",IF(OR($DB1511="eur",$DB1511="reg",$DB1511="coy"),"reg",$DB1511))</f>
        <v>loc</v>
      </c>
      <c r="DD1511" t="s">
        <v>280</v>
      </c>
      <c r="DG1511">
        <v>200</v>
      </c>
      <c r="DH1511" t="str">
        <f>IF(DG1511=0,"0",IF(AND(DG1511&gt;=1,DG1511&lt;=30),"1-30",IF(AND(DG1511&gt;30,DG1511&lt;=70),"31-70",IF(AND(DG1511&gt;70,DG1511&lt;=100),"71-100",IF(DG1511&gt;100,"+100")))))</f>
        <v>+100</v>
      </c>
      <c r="DI1511">
        <v>0</v>
      </c>
      <c r="DJ1511">
        <v>0</v>
      </c>
      <c r="DK1511">
        <v>0</v>
      </c>
      <c r="DL1511">
        <v>1</v>
      </c>
      <c r="DN1511">
        <f>SUM(DI1511:DL1511)</f>
        <v>1</v>
      </c>
      <c r="DO1511" t="str">
        <f>IF(DN1511=1,INDEX($DI$7:$DL$7,MATCH(1,$DI1511:$DL1511,0)),"mixedProduct")</f>
        <v>TimberInput</v>
      </c>
      <c r="DP1511">
        <f>IF(DI1511=1,DP$7,0)</f>
        <v>0</v>
      </c>
      <c r="DQ1511">
        <f>IF(DJ1511=1,DQ$7,0)</f>
        <v>0</v>
      </c>
      <c r="DR1511">
        <f>IF(DK1511=1,DR$7,0)</f>
        <v>0</v>
      </c>
      <c r="DS1511" t="str">
        <f>IF(DL1511=1,DS$7,0)</f>
        <v>Timber</v>
      </c>
      <c r="DT1511">
        <v>0</v>
      </c>
      <c r="DU1511">
        <v>1</v>
      </c>
      <c r="DV1511">
        <v>0</v>
      </c>
      <c r="DW1511" t="s">
        <v>301</v>
      </c>
      <c r="DX1511">
        <v>0</v>
      </c>
      <c r="DY1511">
        <f>SUM(DT1511:DU1511)</f>
        <v>1</v>
      </c>
      <c r="DZ1511" s="143" t="str">
        <f>IF(DT1511=1,"self-calculated DF",IF(DU1511=1,"external DF used","explicit C balance"))</f>
        <v>external DF used</v>
      </c>
      <c r="EA1511">
        <v>0</v>
      </c>
      <c r="EB1511">
        <v>1</v>
      </c>
      <c r="EC1511">
        <v>1</v>
      </c>
      <c r="ED1511">
        <v>1</v>
      </c>
      <c r="EE1511">
        <v>1</v>
      </c>
      <c r="EF1511" s="143">
        <v>0</v>
      </c>
      <c r="EG1511">
        <v>1</v>
      </c>
      <c r="EH1511">
        <v>1</v>
      </c>
      <c r="EI1511">
        <v>0</v>
      </c>
      <c r="EJ1511">
        <v>1</v>
      </c>
      <c r="EK1511">
        <v>1</v>
      </c>
      <c r="EL1511">
        <v>1</v>
      </c>
      <c r="EM1511">
        <v>0</v>
      </c>
      <c r="EN1511" s="2">
        <v>0</v>
      </c>
      <c r="EP1511" t="str">
        <f>IF(AND(AND(AND(OR($EC1511=1,$EB1511=1),OR($EH1511=1,$EF1511=1)),SUM($EA1511:$EE1511,$EK1511)&gt;=3),SUM($EF1511:$EJ1511)&gt;=2),"Whole sector approach","")</f>
        <v>Whole sector approach</v>
      </c>
      <c r="EQ1511" t="str">
        <f>IF(AND(AND(OR($EC1511=1,$EB1511=1),AND($EH1511=0,$EF1511=0)),SUM($EA1511:$EE1511,$EK1511)&gt;=4),"Ecosystem approach","")</f>
        <v/>
      </c>
      <c r="ER1511" s="2" t="str">
        <f>IF(AND(AND(AND($EC1511=0,$EB1511=0),OR($EH1511=1,$EF1511=1)),SUM($EG1511:$EJ1511)&gt;=2),"Technology approach","")</f>
        <v/>
      </c>
      <c r="ES1511" t="str">
        <f>IF(AND($EC1511+$EB1511+$EE1511+$EA1511+$ED1511+$EG1511=0,$N1511="included"),"C neutral forest and HWP assumption","")</f>
        <v/>
      </c>
      <c r="ET1511" t="str">
        <f>IF(AND(AND(AND(AND($EC1511=1,$EB1511+$EA1511+$EG1511&gt;=1),$EF1511=1),$EH1511+$EI1511+$ED1511+$EE1511&gt;=2),$N1511="included"),"All C pools assumption","")</f>
        <v/>
      </c>
      <c r="EU1511" t="str">
        <f>IF(AND($ED1511+$EE1511+$EI1511+$EH1511+$EF1511=0,$N1511="included"),"In-situ only assumption","")</f>
        <v/>
      </c>
      <c r="EY1511" t="str">
        <f>IF(ISNUMBER(BW1511),IF(ABS(BW1511-[2]QC_indicators!$B$2)&gt;3*[2]QC_indicators!$C$2,"C ratio",IF(ISNUMBER(CA1511),IF(ABS(CA1511-[2]QC_indicators!$B$1)&gt;3*[2]QC_indicators!$C$1,"DF","no"))),IF(ISNUMBER(CA1511),IF(ABS(CA1511-[2]QC_indicators!$B$1)&gt;3*[2]QC_indicators!$C$1,"DF","no")))</f>
        <v>no</v>
      </c>
      <c r="EZ1511" t="s">
        <v>286</v>
      </c>
      <c r="FA1511" t="str">
        <f>IF(LEN($CY1511)=0,"",IF(AND($CY1511&lt;(-0.05),$ES1511="C neutral forest and HWP assumption"),"Cneutral paradox",IF(AND($CY1511&gt;0.05,$EU1511="In-situ only assumption"),"In-situ only paradox","")))</f>
        <v/>
      </c>
      <c r="FB1511" t="s">
        <v>296</v>
      </c>
      <c r="FD1511" s="260" t="s">
        <v>2948</v>
      </c>
    </row>
    <row r="1512" spans="1:160" ht="15" hidden="1" customHeight="1">
      <c r="A1512" s="1" t="s">
        <v>265</v>
      </c>
      <c r="B1512" t="s">
        <v>266</v>
      </c>
      <c r="C1512" t="s">
        <v>267</v>
      </c>
      <c r="D1512" t="s">
        <v>268</v>
      </c>
      <c r="E1512" t="s">
        <v>269</v>
      </c>
      <c r="F1512" t="s">
        <v>270</v>
      </c>
      <c r="G1512" t="s">
        <v>271</v>
      </c>
      <c r="H1512" t="s">
        <v>254</v>
      </c>
      <c r="I1512">
        <v>2022</v>
      </c>
      <c r="J1512">
        <v>0</v>
      </c>
      <c r="K1512" t="s">
        <v>272</v>
      </c>
      <c r="M1512" t="str">
        <f>LEFT($D1512,FIND(",",$D1512)-1)&amp;"_"&amp;I1512&amp;L1512</f>
        <v>Aryapratama_2022</v>
      </c>
      <c r="N1512" t="s">
        <v>222</v>
      </c>
      <c r="O1512" s="145" t="s">
        <v>274</v>
      </c>
      <c r="Q1512" t="s">
        <v>224</v>
      </c>
      <c r="R1512" s="258" t="s">
        <v>223</v>
      </c>
      <c r="S1512" s="259" t="s">
        <v>2784</v>
      </c>
      <c r="T1512" t="s">
        <v>295</v>
      </c>
      <c r="U1512" t="s">
        <v>289</v>
      </c>
      <c r="V1512" s="253">
        <v>0</v>
      </c>
      <c r="W1512" s="253">
        <v>0</v>
      </c>
      <c r="X1512">
        <v>0</v>
      </c>
      <c r="Y1512">
        <v>0</v>
      </c>
      <c r="Z1512">
        <v>0</v>
      </c>
      <c r="AA1512">
        <v>0</v>
      </c>
      <c r="AB1512">
        <v>0</v>
      </c>
      <c r="AC1512">
        <v>0</v>
      </c>
      <c r="AD1512">
        <v>0</v>
      </c>
      <c r="AE1512">
        <v>0</v>
      </c>
      <c r="AF1512">
        <v>0</v>
      </c>
      <c r="AG1512">
        <v>0</v>
      </c>
      <c r="AH1512">
        <v>0</v>
      </c>
      <c r="AI1512">
        <v>0</v>
      </c>
      <c r="AJ1512">
        <v>0</v>
      </c>
      <c r="AK1512">
        <v>0</v>
      </c>
      <c r="AL1512">
        <v>0</v>
      </c>
      <c r="AM1512">
        <v>1</v>
      </c>
      <c r="AN1512">
        <v>0</v>
      </c>
      <c r="AO1512">
        <v>0</v>
      </c>
      <c r="AP1512">
        <v>0</v>
      </c>
      <c r="AQ1512">
        <v>0</v>
      </c>
      <c r="AR1512">
        <v>0</v>
      </c>
      <c r="AS1512">
        <v>0</v>
      </c>
      <c r="AT1512">
        <v>0</v>
      </c>
      <c r="AU1512">
        <v>0</v>
      </c>
      <c r="AV1512">
        <v>0</v>
      </c>
      <c r="AW1512">
        <v>0</v>
      </c>
      <c r="AX1512">
        <v>0</v>
      </c>
      <c r="AY1512">
        <v>0</v>
      </c>
      <c r="AZ1512" s="141">
        <f>COUNTIF(X1512:AY1512,"&lt;&gt;0")</f>
        <v>1</v>
      </c>
      <c r="BA1512" s="141">
        <f>COUNTIF(X1512:AN1512,"&lt;&gt;0")</f>
        <v>1</v>
      </c>
      <c r="BB1512">
        <f>COUNTIF(X1512:AE1512,"&lt;&gt;0")</f>
        <v>0</v>
      </c>
      <c r="BC1512">
        <f>COUNTIF(AF1512:AK1512,"&lt;&gt;0")</f>
        <v>0</v>
      </c>
      <c r="BD1512">
        <f>COUNTIF(AL1512:AN1512,"&lt;&gt;0")</f>
        <v>1</v>
      </c>
      <c r="BE1512">
        <f>COUNTIF(AU1512:AY1512,"&lt;&gt;0")</f>
        <v>0</v>
      </c>
      <c r="BF1512">
        <f>COUNTIF(AO1512:AT1512,"&lt;&gt;0")</f>
        <v>0</v>
      </c>
      <c r="BG1512" t="str">
        <f t="array" ref="BG1512">IF(BA1512=1,INDEX($X$7:$AN$7,MATCH(TRUE,INDEX($X1512:$AY1512&lt;&gt;0,),0)),IF(BA1512=0,INDEX($AO$7:$AY$7,MATCH(1,$AO1512:$AY1512,0)),IF(BH1512="Multiple strategies","mixed drivers",IF(BH1512="Supply chain","multiple supply","multiple silviculture"))))</f>
        <v>technologies/design switch</v>
      </c>
      <c r="BH1512" s="2" t="str" cm="1">
        <f t="array" ref="BH1512">IF(COUNTIF(BB1512:BD1512,"&lt;&gt;0")=1,INDEX($X$4:$AY$4,MATCH(TRUE,INDEX($X1512:$AY1512&lt;&gt;0,),0)),IF(COUNTIF(BB1512:BD1512,"&lt;&gt;0")=0,INDEX($AO$4:$AY$4,MATCH(1,$AO1512:$AY1512,0)),"Multiple strategies"))</f>
        <v>Technology</v>
      </c>
      <c r="BI1512" s="1" t="s">
        <v>229</v>
      </c>
      <c r="BJ1512" t="s">
        <v>277</v>
      </c>
      <c r="BK1512" s="260" t="s">
        <v>2785</v>
      </c>
      <c r="BL1512" t="s">
        <v>278</v>
      </c>
      <c r="BM1512">
        <v>0</v>
      </c>
      <c r="BN1512">
        <v>757.78980054033161</v>
      </c>
      <c r="BP1512">
        <f>BN1512-BM1512</f>
        <v>757.78980054033161</v>
      </c>
      <c r="BQ1512">
        <f>BP1512*tC_to_m3</f>
        <v>3290.4463766406066</v>
      </c>
      <c r="BR1512" t="s">
        <v>232</v>
      </c>
      <c r="BS1512" s="153" t="s">
        <v>2786</v>
      </c>
      <c r="BT1512" t="s">
        <v>279</v>
      </c>
      <c r="BU1512">
        <v>-1308.953389930055</v>
      </c>
      <c r="BV1512">
        <v>-1160.011828609915</v>
      </c>
      <c r="BW1512" s="144">
        <f>IFERROR(BV1512/BU1512,"")</f>
        <v>0.88621324298789683</v>
      </c>
      <c r="BX1512">
        <f>BV1512-BU1512</f>
        <v>148.94156132013995</v>
      </c>
      <c r="BZ1512">
        <f>BX1512</f>
        <v>148.94156132013995</v>
      </c>
      <c r="CA1512">
        <f>IFERROR(BZ1512/BQ1512,"")</f>
        <v>4.5264849893163248E-2</v>
      </c>
      <c r="CB1512">
        <v>0</v>
      </c>
      <c r="CC1512">
        <v>0</v>
      </c>
      <c r="CD1512">
        <v>0</v>
      </c>
      <c r="CE1512">
        <v>0</v>
      </c>
      <c r="CF1512">
        <v>0</v>
      </c>
      <c r="CG1512">
        <v>0</v>
      </c>
      <c r="CH1512">
        <v>0</v>
      </c>
      <c r="CI1512">
        <v>0</v>
      </c>
      <c r="CJ1512">
        <v>0</v>
      </c>
      <c r="CK1512">
        <v>0</v>
      </c>
      <c r="CL1512">
        <v>0</v>
      </c>
      <c r="CM1512">
        <v>0</v>
      </c>
      <c r="CN1512">
        <v>0</v>
      </c>
      <c r="CO1512">
        <v>0</v>
      </c>
      <c r="CP1512" t="str">
        <f>IF($BN1512&lt;$BM1512,"refNeedCorrection","refOK")</f>
        <v>refOK</v>
      </c>
      <c r="CQ1512">
        <f>IF($CP1512="refNeedCorrection",BN1512,BM1512)</f>
        <v>0</v>
      </c>
      <c r="CR1512">
        <f>IF($CP1512="refNeedCorrection",BM1512,BN1512)</f>
        <v>757.78980054033161</v>
      </c>
      <c r="CS1512">
        <f>IF($CP1512="refOK",$BQ1512,-$BQ1512)</f>
        <v>3290.4463766406066</v>
      </c>
      <c r="CT1512">
        <f>IF(BI1512="Roundwood",$CS1512/2,$CS1512)</f>
        <v>3290.4463766406066</v>
      </c>
      <c r="CU1512">
        <f>IF($CP1512="refOK",$BU1512,$BV1512)*IF($BR1512="Emissions positive",-1,1)</f>
        <v>-1308.953389930055</v>
      </c>
      <c r="CV1512">
        <f>IF($CP1512="refOK",$BV1512,$BU1512)*IF($BR1512="Emissions positive",-1,1)</f>
        <v>-1160.011828609915</v>
      </c>
      <c r="CW1512">
        <f>IF($CP1512="refNeedCorrection",-BZ1512,BZ1512)*IF($BR1512="Emissions positive",-1,1)</f>
        <v>148.94156132013995</v>
      </c>
      <c r="CX1512">
        <f>IFERROR($CW1512/$CS1512,"")</f>
        <v>4.5264849893163248E-2</v>
      </c>
      <c r="CY1512">
        <f>IFERROR($CW1512/$CS1512,"")</f>
        <v>4.5264849893163248E-2</v>
      </c>
      <c r="CZ1512">
        <f>IFERROR($CW1512/$CT1512,"")</f>
        <v>4.5264849893163248E-2</v>
      </c>
      <c r="DA1512" s="2">
        <f>IFERROR((CV1512-CU1512)/ABS(CU1512),"")</f>
        <v>0.11378675701210321</v>
      </c>
      <c r="DB1512" s="1" t="s">
        <v>234</v>
      </c>
      <c r="DC1512" t="str">
        <f>IF(OR($DB1512="prd",$DB1512="std",$DB1512="cit"),"loc",IF(OR($DB1512="eur",$DB1512="reg",$DB1512="coy"),"reg",$DB1512))</f>
        <v>loc</v>
      </c>
      <c r="DD1512" t="s">
        <v>280</v>
      </c>
      <c r="DG1512">
        <v>200</v>
      </c>
      <c r="DH1512" t="str">
        <f>IF(DG1512=0,"0",IF(AND(DG1512&gt;=1,DG1512&lt;=30),"1-30",IF(AND(DG1512&gt;30,DG1512&lt;=70),"31-70",IF(AND(DG1512&gt;70,DG1512&lt;=100),"71-100",IF(DG1512&gt;100,"+100")))))</f>
        <v>+100</v>
      </c>
      <c r="DI1512">
        <v>0</v>
      </c>
      <c r="DJ1512">
        <v>0</v>
      </c>
      <c r="DK1512">
        <v>0</v>
      </c>
      <c r="DL1512">
        <v>1</v>
      </c>
      <c r="DN1512">
        <f>SUM(DI1512:DL1512)</f>
        <v>1</v>
      </c>
      <c r="DO1512" t="str">
        <f>IF(DN1512=1,INDEX($DI$7:$DL$7,MATCH(1,$DI1512:$DL1512,0)),"mixedProduct")</f>
        <v>TimberInput</v>
      </c>
      <c r="DP1512">
        <f>IF(DI1512=1,DP$7,0)</f>
        <v>0</v>
      </c>
      <c r="DQ1512">
        <f>IF(DJ1512=1,DQ$7,0)</f>
        <v>0</v>
      </c>
      <c r="DR1512">
        <f>IF(DK1512=1,DR$7,0)</f>
        <v>0</v>
      </c>
      <c r="DS1512" t="str">
        <f>IF(DL1512=1,DS$7,0)</f>
        <v>Timber</v>
      </c>
      <c r="DT1512">
        <v>0</v>
      </c>
      <c r="DU1512">
        <v>1</v>
      </c>
      <c r="DV1512">
        <v>0</v>
      </c>
      <c r="DW1512" t="s">
        <v>292</v>
      </c>
      <c r="DX1512">
        <v>0</v>
      </c>
      <c r="DY1512">
        <f>SUM(DT1512:DU1512)</f>
        <v>1</v>
      </c>
      <c r="DZ1512" s="143" t="str">
        <f>IF(DT1512=1,"self-calculated DF",IF(DU1512=1,"external DF used","explicit C balance"))</f>
        <v>external DF used</v>
      </c>
      <c r="EA1512">
        <v>0</v>
      </c>
      <c r="EB1512">
        <v>1</v>
      </c>
      <c r="EC1512">
        <v>1</v>
      </c>
      <c r="ED1512">
        <v>1</v>
      </c>
      <c r="EE1512">
        <v>1</v>
      </c>
      <c r="EF1512" s="143">
        <v>0</v>
      </c>
      <c r="EG1512">
        <v>1</v>
      </c>
      <c r="EH1512">
        <v>1</v>
      </c>
      <c r="EI1512">
        <v>0</v>
      </c>
      <c r="EJ1512">
        <v>1</v>
      </c>
      <c r="EK1512">
        <v>1</v>
      </c>
      <c r="EL1512">
        <v>1</v>
      </c>
      <c r="EM1512">
        <v>0</v>
      </c>
      <c r="EN1512" s="2">
        <v>0</v>
      </c>
      <c r="EP1512" t="str">
        <f>IF(AND(AND(AND(OR($EC1512=1,$EB1512=1),OR($EH1512=1,$EF1512=1)),SUM($EA1512:$EE1512,$EK1512)&gt;=3),SUM($EF1512:$EJ1512)&gt;=2),"Whole sector approach","")</f>
        <v>Whole sector approach</v>
      </c>
      <c r="EQ1512" t="str">
        <f>IF(AND(AND(OR($EC1512=1,$EB1512=1),AND($EH1512=0,$EF1512=0)),SUM($EA1512:$EE1512,$EK1512)&gt;=4),"Ecosystem approach","")</f>
        <v/>
      </c>
      <c r="ER1512" s="2" t="str">
        <f>IF(AND(AND(AND($EC1512=0,$EB1512=0),OR($EH1512=1,$EF1512=1)),SUM($EG1512:$EJ1512)&gt;=2),"Technology approach","")</f>
        <v/>
      </c>
      <c r="ES1512" t="str">
        <f>IF(AND($EC1512+$EB1512+$EE1512+$EA1512+$ED1512+$EG1512=0,$N1512="included"),"C neutral forest and HWP assumption","")</f>
        <v/>
      </c>
      <c r="ET1512" t="str">
        <f>IF(AND(AND(AND(AND($EC1512=1,$EB1512+$EA1512+$EG1512&gt;=1),$EF1512=1),$EH1512+$EI1512+$ED1512+$EE1512&gt;=2),$N1512="included"),"All C pools assumption","")</f>
        <v/>
      </c>
      <c r="EU1512" t="str">
        <f>IF(AND($ED1512+$EE1512+$EI1512+$EH1512+$EF1512=0,$N1512="included"),"In-situ only assumption","")</f>
        <v/>
      </c>
      <c r="EY1512" t="str">
        <f>IF(ISNUMBER(BW1512),IF(ABS(BW1512-[2]QC_indicators!$B$2)&gt;3*[2]QC_indicators!$C$2,"C ratio",IF(ISNUMBER(CA1512),IF(ABS(CA1512-[2]QC_indicators!$B$1)&gt;3*[2]QC_indicators!$C$1,"DF","no"))),IF(ISNUMBER(CA1512),IF(ABS(CA1512-[2]QC_indicators!$B$1)&gt;3*[2]QC_indicators!$C$1,"DF","no")))</f>
        <v>no</v>
      </c>
      <c r="EZ1512" t="s">
        <v>286</v>
      </c>
      <c r="FA1512" t="str">
        <f>IF(LEN($CY1512)=0,"",IF(AND($CY1512&lt;(-0.05),$ES1512="C neutral forest and HWP assumption"),"Cneutral paradox",IF(AND($CY1512&gt;0.05,$EU1512="In-situ only assumption"),"In-situ only paradox","")))</f>
        <v/>
      </c>
      <c r="FB1512" t="s">
        <v>296</v>
      </c>
      <c r="FD1512" s="260" t="s">
        <v>2948</v>
      </c>
    </row>
    <row r="1513" spans="1:160" ht="15" hidden="1" customHeight="1">
      <c r="A1513" s="1" t="s">
        <v>265</v>
      </c>
      <c r="B1513" t="s">
        <v>266</v>
      </c>
      <c r="C1513" t="s">
        <v>267</v>
      </c>
      <c r="D1513" t="s">
        <v>268</v>
      </c>
      <c r="E1513" t="s">
        <v>269</v>
      </c>
      <c r="F1513" t="s">
        <v>270</v>
      </c>
      <c r="G1513" t="s">
        <v>271</v>
      </c>
      <c r="H1513" t="s">
        <v>254</v>
      </c>
      <c r="I1513">
        <v>2022</v>
      </c>
      <c r="J1513">
        <v>0</v>
      </c>
      <c r="K1513" t="s">
        <v>272</v>
      </c>
      <c r="M1513" t="str">
        <f>LEFT($D1513,FIND(",",$D1513)-1)&amp;"_"&amp;I1513&amp;L1513</f>
        <v>Aryapratama_2022</v>
      </c>
      <c r="N1513" t="s">
        <v>222</v>
      </c>
      <c r="O1513" s="145" t="s">
        <v>274</v>
      </c>
      <c r="Q1513" t="s">
        <v>224</v>
      </c>
      <c r="R1513" s="258" t="s">
        <v>223</v>
      </c>
      <c r="S1513" s="259" t="s">
        <v>2784</v>
      </c>
      <c r="T1513" t="s">
        <v>302</v>
      </c>
      <c r="U1513" t="s">
        <v>303</v>
      </c>
      <c r="V1513" s="253">
        <v>0</v>
      </c>
      <c r="W1513" s="253">
        <v>0</v>
      </c>
      <c r="X1513">
        <v>0</v>
      </c>
      <c r="Y1513">
        <v>0</v>
      </c>
      <c r="Z1513">
        <v>0</v>
      </c>
      <c r="AA1513">
        <v>0</v>
      </c>
      <c r="AB1513">
        <v>0</v>
      </c>
      <c r="AC1513">
        <v>0</v>
      </c>
      <c r="AD1513">
        <v>0</v>
      </c>
      <c r="AE1513">
        <v>0</v>
      </c>
      <c r="AF1513">
        <v>0</v>
      </c>
      <c r="AG1513">
        <v>0</v>
      </c>
      <c r="AH1513">
        <v>0</v>
      </c>
      <c r="AI1513">
        <v>0</v>
      </c>
      <c r="AJ1513">
        <v>0</v>
      </c>
      <c r="AK1513">
        <v>0</v>
      </c>
      <c r="AL1513">
        <v>0</v>
      </c>
      <c r="AM1513">
        <v>1</v>
      </c>
      <c r="AN1513">
        <v>0</v>
      </c>
      <c r="AO1513">
        <v>0</v>
      </c>
      <c r="AP1513">
        <v>0</v>
      </c>
      <c r="AQ1513">
        <v>0</v>
      </c>
      <c r="AR1513">
        <v>0</v>
      </c>
      <c r="AS1513">
        <v>0</v>
      </c>
      <c r="AT1513">
        <v>0</v>
      </c>
      <c r="AU1513">
        <v>0</v>
      </c>
      <c r="AV1513">
        <v>0</v>
      </c>
      <c r="AW1513">
        <v>0</v>
      </c>
      <c r="AX1513">
        <v>0</v>
      </c>
      <c r="AY1513">
        <v>0</v>
      </c>
      <c r="AZ1513" s="141">
        <f>COUNTIF(X1513:AY1513,"&lt;&gt;0")</f>
        <v>1</v>
      </c>
      <c r="BA1513" s="141">
        <f>COUNTIF(X1513:AN1513,"&lt;&gt;0")</f>
        <v>1</v>
      </c>
      <c r="BB1513">
        <f>COUNTIF(X1513:AE1513,"&lt;&gt;0")</f>
        <v>0</v>
      </c>
      <c r="BC1513">
        <f>COUNTIF(AF1513:AK1513,"&lt;&gt;0")</f>
        <v>0</v>
      </c>
      <c r="BD1513">
        <f>COUNTIF(AL1513:AN1513,"&lt;&gt;0")</f>
        <v>1</v>
      </c>
      <c r="BE1513">
        <f>COUNTIF(AU1513:AY1513,"&lt;&gt;0")</f>
        <v>0</v>
      </c>
      <c r="BF1513">
        <f>COUNTIF(AO1513:AT1513,"&lt;&gt;0")</f>
        <v>0</v>
      </c>
      <c r="BG1513" t="str">
        <f t="array" ref="BG1513">IF(BA1513=1,INDEX($X$7:$AN$7,MATCH(TRUE,INDEX($X1513:$AY1513&lt;&gt;0,),0)),IF(BA1513=0,INDEX($AO$7:$AY$7,MATCH(1,$AO1513:$AY1513,0)),IF(BH1513="Multiple strategies","mixed drivers",IF(BH1513="Supply chain","multiple supply","multiple silviculture"))))</f>
        <v>technologies/design switch</v>
      </c>
      <c r="BH1513" s="2" t="str" cm="1">
        <f t="array" ref="BH1513">IF(COUNTIF(BB1513:BD1513,"&lt;&gt;0")=1,INDEX($X$4:$AY$4,MATCH(TRUE,INDEX($X1513:$AY1513&lt;&gt;0,),0)),IF(COUNTIF(BB1513:BD1513,"&lt;&gt;0")=0,INDEX($AO$4:$AY$4,MATCH(1,$AO1513:$AY1513,0)),"Multiple strategies"))</f>
        <v>Technology</v>
      </c>
      <c r="BI1513" s="1" t="s">
        <v>229</v>
      </c>
      <c r="BJ1513" t="s">
        <v>277</v>
      </c>
      <c r="BK1513" s="260" t="s">
        <v>2785</v>
      </c>
      <c r="BL1513" t="s">
        <v>278</v>
      </c>
      <c r="BM1513">
        <v>0</v>
      </c>
      <c r="BN1513">
        <v>15.419381264639073</v>
      </c>
      <c r="BP1513">
        <f>BN1513-BM1513</f>
        <v>15.419381264639073</v>
      </c>
      <c r="BQ1513">
        <f>BP1513*tC_to_m3</f>
        <v>66.953457510373752</v>
      </c>
      <c r="BR1513" t="s">
        <v>232</v>
      </c>
      <c r="BS1513" s="153" t="s">
        <v>2786</v>
      </c>
      <c r="BT1513" t="s">
        <v>279</v>
      </c>
      <c r="BU1513">
        <v>68.167571816623862</v>
      </c>
      <c r="BV1513">
        <v>82.450615050179124</v>
      </c>
      <c r="BW1513" s="144">
        <f>IFERROR(BV1513/BU1513,"")</f>
        <v>1.2095284143606841</v>
      </c>
      <c r="BX1513">
        <f>BV1513-BU1513</f>
        <v>14.283043233555262</v>
      </c>
      <c r="BZ1513">
        <f>BX1513</f>
        <v>14.283043233555262</v>
      </c>
      <c r="CA1513">
        <f>IFERROR(BZ1513/BQ1513,"")</f>
        <v>0.21332794100054131</v>
      </c>
      <c r="CB1513">
        <v>0</v>
      </c>
      <c r="CC1513">
        <v>0</v>
      </c>
      <c r="CD1513">
        <v>0</v>
      </c>
      <c r="CE1513">
        <v>0</v>
      </c>
      <c r="CF1513">
        <v>0</v>
      </c>
      <c r="CG1513">
        <v>0</v>
      </c>
      <c r="CH1513">
        <v>0</v>
      </c>
      <c r="CI1513">
        <v>0</v>
      </c>
      <c r="CJ1513">
        <v>0</v>
      </c>
      <c r="CK1513">
        <v>0</v>
      </c>
      <c r="CL1513">
        <v>0</v>
      </c>
      <c r="CM1513">
        <v>0</v>
      </c>
      <c r="CN1513">
        <v>0</v>
      </c>
      <c r="CO1513">
        <v>0</v>
      </c>
      <c r="CP1513" t="str">
        <f>IF($BN1513&lt;$BM1513,"refNeedCorrection","refOK")</f>
        <v>refOK</v>
      </c>
      <c r="CQ1513">
        <f>IF($CP1513="refOK",$BM1513,$BN1513)</f>
        <v>0</v>
      </c>
      <c r="CR1513">
        <f>IF($CP1513="refOK",$BN1513,$BM1513)</f>
        <v>15.419381264639073</v>
      </c>
      <c r="CS1513">
        <f>IF($CP1513="refOK",$BQ1513,-$BQ1513)</f>
        <v>66.953457510373752</v>
      </c>
      <c r="CT1513">
        <f>IF(BI1513="Roundwood",$CS1513/2,$CS1513)</f>
        <v>66.953457510373752</v>
      </c>
      <c r="CU1513">
        <f>IF($CP1513="refOK",$BU1513,$BV1513)*IF($BR1513="Emissions positive",-1,1)</f>
        <v>68.167571816623862</v>
      </c>
      <c r="CV1513">
        <f>IF($CP1513="refOK",$BV1513,$BU1513)*IF($BR1513="Emissions positive",-1,1)</f>
        <v>82.450615050179124</v>
      </c>
      <c r="CW1513">
        <f>IF($CP1513="refNeedCorrection",-BZ1513,BZ1513)*IF($BR1513="Emissions positive",-1,1)</f>
        <v>14.283043233555262</v>
      </c>
      <c r="CX1513">
        <f>IFERROR($CW1513/$CS1513,"")</f>
        <v>0.21332794100054131</v>
      </c>
      <c r="CY1513">
        <f>IFERROR($CW1513/$CS1513,"")</f>
        <v>0.21332794100054131</v>
      </c>
      <c r="CZ1513">
        <f>IFERROR($CW1513/$CT1513,"")</f>
        <v>0.21332794100054131</v>
      </c>
      <c r="DA1513" s="2">
        <f>IFERROR((CV1513-CU1513)/ABS(CU1513),"")</f>
        <v>0.20952841436068417</v>
      </c>
      <c r="DB1513" s="1" t="s">
        <v>234</v>
      </c>
      <c r="DC1513" t="str">
        <f>IF(OR($DB1513="prd",$DB1513="std",$DB1513="cit"),"loc",IF(OR($DB1513="eur",$DB1513="reg",$DB1513="coy"),"reg",$DB1513))</f>
        <v>loc</v>
      </c>
      <c r="DD1513" t="s">
        <v>280</v>
      </c>
      <c r="DG1513">
        <v>50</v>
      </c>
      <c r="DH1513" t="str">
        <f>IF(DG1513=0,"0",IF(AND(DG1513&gt;=1,DG1513&lt;=30),"1-30",IF(AND(DG1513&gt;30,DG1513&lt;=70),"31-70",IF(AND(DG1513&gt;70,DG1513&lt;=100),"71-100",IF(DG1513&gt;100,"+100")))))</f>
        <v>31-70</v>
      </c>
      <c r="DI1513">
        <v>0</v>
      </c>
      <c r="DJ1513">
        <v>0</v>
      </c>
      <c r="DK1513">
        <v>0</v>
      </c>
      <c r="DL1513">
        <v>1</v>
      </c>
      <c r="DN1513">
        <f>SUM(DI1513:DL1513)</f>
        <v>1</v>
      </c>
      <c r="DO1513" t="str">
        <f>IF(DN1513=1,INDEX($DI$7:$DL$7,MATCH(1,$DI1513:$DL1513,0)),"mixedProduct")</f>
        <v>TimberInput</v>
      </c>
      <c r="DP1513">
        <f>IF(DI1513=1,DP$7,0)</f>
        <v>0</v>
      </c>
      <c r="DQ1513">
        <f>IF(DJ1513=1,DQ$7,0)</f>
        <v>0</v>
      </c>
      <c r="DR1513">
        <f>IF(DK1513=1,DR$7,0)</f>
        <v>0</v>
      </c>
      <c r="DS1513" t="str">
        <f>IF(DL1513=1,DS$7,0)</f>
        <v>Timber</v>
      </c>
      <c r="DT1513">
        <v>0</v>
      </c>
      <c r="DU1513">
        <v>1</v>
      </c>
      <c r="DV1513" t="s">
        <v>304</v>
      </c>
      <c r="DW1513">
        <v>0</v>
      </c>
      <c r="DX1513">
        <v>0</v>
      </c>
      <c r="DY1513">
        <f>SUM(DT1513:DU1513)</f>
        <v>1</v>
      </c>
      <c r="DZ1513" s="143" t="str">
        <f>IF(DT1513=1,"self-calculated DF",IF(DU1513=1,"external DF used","explicit C balance"))</f>
        <v>external DF used</v>
      </c>
      <c r="EA1513">
        <v>0</v>
      </c>
      <c r="EB1513">
        <v>1</v>
      </c>
      <c r="EC1513">
        <v>1</v>
      </c>
      <c r="ED1513">
        <v>1</v>
      </c>
      <c r="EE1513">
        <v>1</v>
      </c>
      <c r="EF1513" s="143">
        <v>0</v>
      </c>
      <c r="EG1513">
        <v>1</v>
      </c>
      <c r="EH1513">
        <v>1</v>
      </c>
      <c r="EI1513">
        <v>0</v>
      </c>
      <c r="EJ1513">
        <v>1</v>
      </c>
      <c r="EK1513">
        <v>1</v>
      </c>
      <c r="EL1513">
        <v>1</v>
      </c>
      <c r="EM1513">
        <v>0</v>
      </c>
      <c r="EN1513" s="2">
        <v>0</v>
      </c>
      <c r="EP1513" t="str">
        <f>IF(AND(AND(AND(OR($EC1513=1,$EB1513=1),OR($EH1513=1,$EF1513=1)),SUM($EA1513:$EE1513,$EK1513)&gt;=3),SUM($EF1513:$EJ1513)&gt;=2),"Whole sector approach","")</f>
        <v>Whole sector approach</v>
      </c>
      <c r="EQ1513" t="str">
        <f>IF(AND(AND(OR($EC1513=1,$EB1513=1),AND($EH1513=0,$EF1513=0)),SUM($EA1513:$EE1513,$EK1513)&gt;=4),"Ecosystem approach","")</f>
        <v/>
      </c>
      <c r="ER1513" s="2" t="str">
        <f>IF(AND(AND(AND($EC1513=0,$EB1513=0),OR($EH1513=1,$EF1513=1)),SUM($EG1513:$EJ1513)&gt;=2),"Technology approach","")</f>
        <v/>
      </c>
      <c r="ES1513" t="str">
        <f>IF(AND($EC1513+$EB1513+$EE1513+$EA1513+$ED1513+$EG1513=0,$N1513="included"),"C neutral forest and HWP assumption","")</f>
        <v/>
      </c>
      <c r="ET1513" t="str">
        <f>IF(AND(AND(AND(AND($EC1513=1,$EB1513+$EA1513+$EG1513&gt;=1),$EF1513=1),$EH1513+$EI1513+$ED1513+$EE1513&gt;=2),$N1513="included"),"All C pools assumption","")</f>
        <v/>
      </c>
      <c r="EU1513" t="str">
        <f>IF(AND($ED1513+$EE1513+$EI1513+$EH1513+$EF1513=0,$N1513="included"),"In-situ only assumption","")</f>
        <v/>
      </c>
      <c r="EY1513" t="str">
        <f>IF(ISNUMBER(BW1513),IF(ABS(BW1513-[2]QC_indicators!$B$2)&gt;3*[2]QC_indicators!$C$2,"C ratio",IF(ISNUMBER(CA1513),IF(ABS(CA1513-[2]QC_indicators!$B$1)&gt;3*[2]QC_indicators!$C$1,"DF","no"))),IF(ISNUMBER(CA1513),IF(ABS(CA1513-[2]QC_indicators!$B$1)&gt;3*[2]QC_indicators!$C$1,"DF","no")))</f>
        <v>no</v>
      </c>
      <c r="EZ1513" t="s">
        <v>286</v>
      </c>
      <c r="FA1513" t="str">
        <f>IF(LEN($CY1513)=0,"",IF(AND($CY1513&lt;(-0.05),$ES1513="C neutral forest and HWP assumption"),"Cneutral paradox",IF(AND($CY1513&gt;0.05,$EU1513="In-situ only assumption"),"In-situ only paradox","")))</f>
        <v/>
      </c>
      <c r="FD1513" s="260" t="s">
        <v>2948</v>
      </c>
    </row>
    <row r="1514" spans="1:160" ht="15" hidden="1" customHeight="1">
      <c r="A1514" s="1" t="s">
        <v>265</v>
      </c>
      <c r="B1514" t="s">
        <v>266</v>
      </c>
      <c r="C1514" t="s">
        <v>267</v>
      </c>
      <c r="D1514" t="s">
        <v>268</v>
      </c>
      <c r="E1514" t="s">
        <v>269</v>
      </c>
      <c r="F1514" t="s">
        <v>270</v>
      </c>
      <c r="G1514" t="s">
        <v>271</v>
      </c>
      <c r="H1514" t="s">
        <v>254</v>
      </c>
      <c r="I1514">
        <v>2022</v>
      </c>
      <c r="J1514">
        <v>0</v>
      </c>
      <c r="K1514" t="s">
        <v>272</v>
      </c>
      <c r="M1514" t="str">
        <f>LEFT($D1514,FIND(",",$D1514)-1)&amp;"_"&amp;I1514&amp;L1514</f>
        <v>Aryapratama_2022</v>
      </c>
      <c r="N1514" t="s">
        <v>222</v>
      </c>
      <c r="O1514" s="145" t="s">
        <v>274</v>
      </c>
      <c r="Q1514" t="s">
        <v>224</v>
      </c>
      <c r="R1514" s="258" t="s">
        <v>223</v>
      </c>
      <c r="S1514" s="259" t="s">
        <v>2784</v>
      </c>
      <c r="T1514" t="s">
        <v>302</v>
      </c>
      <c r="U1514" t="s">
        <v>303</v>
      </c>
      <c r="V1514" s="253">
        <v>0</v>
      </c>
      <c r="W1514" s="253">
        <v>0</v>
      </c>
      <c r="X1514">
        <v>0</v>
      </c>
      <c r="Y1514">
        <v>0</v>
      </c>
      <c r="Z1514">
        <v>0</v>
      </c>
      <c r="AA1514">
        <v>0</v>
      </c>
      <c r="AB1514">
        <v>0</v>
      </c>
      <c r="AC1514">
        <v>0</v>
      </c>
      <c r="AD1514">
        <v>0</v>
      </c>
      <c r="AE1514">
        <v>0</v>
      </c>
      <c r="AF1514">
        <v>0</v>
      </c>
      <c r="AG1514">
        <v>0</v>
      </c>
      <c r="AH1514">
        <v>0</v>
      </c>
      <c r="AI1514">
        <v>0</v>
      </c>
      <c r="AJ1514">
        <v>0</v>
      </c>
      <c r="AK1514">
        <v>0</v>
      </c>
      <c r="AL1514">
        <v>0</v>
      </c>
      <c r="AM1514">
        <v>1</v>
      </c>
      <c r="AN1514">
        <v>0</v>
      </c>
      <c r="AO1514">
        <v>0</v>
      </c>
      <c r="AP1514">
        <v>0</v>
      </c>
      <c r="AQ1514">
        <v>0</v>
      </c>
      <c r="AR1514">
        <v>0</v>
      </c>
      <c r="AS1514">
        <v>0</v>
      </c>
      <c r="AT1514">
        <v>0</v>
      </c>
      <c r="AU1514">
        <v>0</v>
      </c>
      <c r="AV1514">
        <v>0</v>
      </c>
      <c r="AW1514">
        <v>0</v>
      </c>
      <c r="AX1514">
        <v>0</v>
      </c>
      <c r="AY1514">
        <v>0</v>
      </c>
      <c r="AZ1514" s="141">
        <f>COUNTIF(X1514:AY1514,"&lt;&gt;0")</f>
        <v>1</v>
      </c>
      <c r="BA1514" s="141">
        <f>COUNTIF(X1514:AN1514,"&lt;&gt;0")</f>
        <v>1</v>
      </c>
      <c r="BB1514">
        <f>COUNTIF(X1514:AE1514,"&lt;&gt;0")</f>
        <v>0</v>
      </c>
      <c r="BC1514">
        <f>COUNTIF(AF1514:AK1514,"&lt;&gt;0")</f>
        <v>0</v>
      </c>
      <c r="BD1514">
        <f>COUNTIF(AL1514:AN1514,"&lt;&gt;0")</f>
        <v>1</v>
      </c>
      <c r="BE1514">
        <f>COUNTIF(AU1514:AY1514,"&lt;&gt;0")</f>
        <v>0</v>
      </c>
      <c r="BF1514">
        <f>COUNTIF(AO1514:AT1514,"&lt;&gt;0")</f>
        <v>0</v>
      </c>
      <c r="BG1514" t="str">
        <f t="array" ref="BG1514">IF(BA1514=1,INDEX($X$7:$AN$7,MATCH(TRUE,INDEX($X1514:$AY1514&lt;&gt;0,),0)),IF(BA1514=0,INDEX($AO$7:$AY$7,MATCH(1,$AO1514:$AY1514,0)),IF(BH1514="Multiple strategies","mixed drivers",IF(BH1514="Supply chain","multiple supply","multiple silviculture"))))</f>
        <v>technologies/design switch</v>
      </c>
      <c r="BH1514" s="2" t="str" cm="1">
        <f t="array" ref="BH1514">IF(COUNTIF(BB1514:BD1514,"&lt;&gt;0")=1,INDEX($X$4:$AY$4,MATCH(TRUE,INDEX($X1514:$AY1514&lt;&gt;0,),0)),IF(COUNTIF(BB1514:BD1514,"&lt;&gt;0")=0,INDEX($AO$4:$AY$4,MATCH(1,$AO1514:$AY1514,0)),"Multiple strategies"))</f>
        <v>Technology</v>
      </c>
      <c r="BI1514" s="1" t="s">
        <v>229</v>
      </c>
      <c r="BJ1514" t="s">
        <v>277</v>
      </c>
      <c r="BK1514" s="260" t="s">
        <v>2785</v>
      </c>
      <c r="BL1514" t="s">
        <v>278</v>
      </c>
      <c r="BM1514">
        <v>0</v>
      </c>
      <c r="BN1514">
        <v>46.25814379391722</v>
      </c>
      <c r="BP1514">
        <f>BN1514-BM1514</f>
        <v>46.25814379391722</v>
      </c>
      <c r="BQ1514">
        <f>BP1514*tC_to_m3</f>
        <v>200.86037253112124</v>
      </c>
      <c r="BR1514" t="s">
        <v>232</v>
      </c>
      <c r="BS1514" s="153" t="s">
        <v>2786</v>
      </c>
      <c r="BT1514" t="s">
        <v>279</v>
      </c>
      <c r="BU1514">
        <v>316.56191500133059</v>
      </c>
      <c r="BV1514">
        <v>365.10563504552567</v>
      </c>
      <c r="BW1514" s="144">
        <f>IFERROR(BV1514/BU1514,"")</f>
        <v>1.1533466843097377</v>
      </c>
      <c r="BX1514">
        <f>BV1514-BU1514</f>
        <v>48.543720044195084</v>
      </c>
      <c r="BZ1514">
        <f>BX1514</f>
        <v>48.543720044195084</v>
      </c>
      <c r="CA1514">
        <f>IFERROR(BZ1514/BQ1514,"")</f>
        <v>0.24167893065454579</v>
      </c>
      <c r="CB1514">
        <v>0</v>
      </c>
      <c r="CC1514">
        <v>0</v>
      </c>
      <c r="CD1514">
        <v>0</v>
      </c>
      <c r="CE1514">
        <v>0</v>
      </c>
      <c r="CF1514">
        <v>0</v>
      </c>
      <c r="CG1514">
        <v>0</v>
      </c>
      <c r="CH1514">
        <v>0</v>
      </c>
      <c r="CI1514">
        <v>0</v>
      </c>
      <c r="CJ1514">
        <v>0</v>
      </c>
      <c r="CK1514">
        <v>0</v>
      </c>
      <c r="CL1514">
        <v>0</v>
      </c>
      <c r="CM1514">
        <v>0</v>
      </c>
      <c r="CN1514">
        <v>0</v>
      </c>
      <c r="CO1514">
        <v>0</v>
      </c>
      <c r="CP1514" t="str">
        <f>IF($BN1514&lt;$BM1514,"refNeedCorrection","refOK")</f>
        <v>refOK</v>
      </c>
      <c r="CQ1514">
        <f>IF($CP1514="refOK",$BM1514,$BN1514)</f>
        <v>0</v>
      </c>
      <c r="CR1514">
        <f>IF($CP1514="refOK",$BN1514,$BM1514)</f>
        <v>46.25814379391722</v>
      </c>
      <c r="CS1514">
        <f>IF($CP1514="refOK",$BQ1514,-$BQ1514)</f>
        <v>200.86037253112124</v>
      </c>
      <c r="CT1514">
        <f>IF(BI1514="Roundwood",$CS1514/2,$CS1514)</f>
        <v>200.86037253112124</v>
      </c>
      <c r="CU1514">
        <f>IF($CP1514="refOK",$BU1514,$BV1514)*IF($BR1514="Emissions positive",-1,1)</f>
        <v>316.56191500133059</v>
      </c>
      <c r="CV1514">
        <f>IF($CP1514="refOK",$BV1514,$BU1514)*IF($BR1514="Emissions positive",-1,1)</f>
        <v>365.10563504552567</v>
      </c>
      <c r="CW1514">
        <f>IF($CP1514="refNeedCorrection",-BZ1514,BZ1514)*IF($BR1514="Emissions positive",-1,1)</f>
        <v>48.543720044195084</v>
      </c>
      <c r="CX1514">
        <f>IFERROR($CW1514/$CS1514,"")</f>
        <v>0.24167893065454579</v>
      </c>
      <c r="CY1514">
        <f>IFERROR($CW1514/$CS1514,"")</f>
        <v>0.24167893065454579</v>
      </c>
      <c r="CZ1514">
        <f>IFERROR($CW1514/$CT1514,"")</f>
        <v>0.24167893065454579</v>
      </c>
      <c r="DA1514" s="2">
        <f>IFERROR((CV1514-CU1514)/ABS(CU1514),"")</f>
        <v>0.15334668430973777</v>
      </c>
      <c r="DB1514" s="1" t="s">
        <v>234</v>
      </c>
      <c r="DC1514" t="str">
        <f>IF(OR($DB1514="prd",$DB1514="std",$DB1514="cit"),"loc",IF(OR($DB1514="eur",$DB1514="reg",$DB1514="coy"),"reg",$DB1514))</f>
        <v>loc</v>
      </c>
      <c r="DD1514" t="s">
        <v>280</v>
      </c>
      <c r="DG1514">
        <v>200</v>
      </c>
      <c r="DH1514" t="str">
        <f>IF(DG1514=0,"0",IF(AND(DG1514&gt;=1,DG1514&lt;=30),"1-30",IF(AND(DG1514&gt;30,DG1514&lt;=70),"31-70",IF(AND(DG1514&gt;70,DG1514&lt;=100),"71-100",IF(DG1514&gt;100,"+100")))))</f>
        <v>+100</v>
      </c>
      <c r="DI1514">
        <v>0</v>
      </c>
      <c r="DJ1514">
        <v>0</v>
      </c>
      <c r="DK1514">
        <v>0</v>
      </c>
      <c r="DL1514">
        <v>1</v>
      </c>
      <c r="DN1514">
        <f>SUM(DI1514:DL1514)</f>
        <v>1</v>
      </c>
      <c r="DO1514" t="str">
        <f>IF(DN1514=1,INDEX($DI$7:$DL$7,MATCH(1,$DI1514:$DL1514,0)),"mixedProduct")</f>
        <v>TimberInput</v>
      </c>
      <c r="DP1514">
        <f>IF(DI1514=1,DP$7,0)</f>
        <v>0</v>
      </c>
      <c r="DQ1514">
        <f>IF(DJ1514=1,DQ$7,0)</f>
        <v>0</v>
      </c>
      <c r="DR1514">
        <f>IF(DK1514=1,DR$7,0)</f>
        <v>0</v>
      </c>
      <c r="DS1514" t="str">
        <f>IF(DL1514=1,DS$7,0)</f>
        <v>Timber</v>
      </c>
      <c r="DT1514">
        <v>0</v>
      </c>
      <c r="DU1514">
        <v>1</v>
      </c>
      <c r="DV1514" t="s">
        <v>304</v>
      </c>
      <c r="DW1514">
        <v>0</v>
      </c>
      <c r="DX1514">
        <v>0</v>
      </c>
      <c r="DY1514">
        <f>SUM(DT1514:DU1514)</f>
        <v>1</v>
      </c>
      <c r="DZ1514" s="143" t="str">
        <f>IF(DT1514=1,"self-calculated DF",IF(DU1514=1,"external DF used","explicit C balance"))</f>
        <v>external DF used</v>
      </c>
      <c r="EA1514">
        <v>0</v>
      </c>
      <c r="EB1514">
        <v>1</v>
      </c>
      <c r="EC1514">
        <v>1</v>
      </c>
      <c r="ED1514">
        <v>1</v>
      </c>
      <c r="EE1514">
        <v>1</v>
      </c>
      <c r="EF1514" s="143">
        <v>0</v>
      </c>
      <c r="EG1514">
        <v>1</v>
      </c>
      <c r="EH1514">
        <v>1</v>
      </c>
      <c r="EI1514">
        <v>0</v>
      </c>
      <c r="EJ1514">
        <v>1</v>
      </c>
      <c r="EK1514">
        <v>1</v>
      </c>
      <c r="EL1514">
        <v>1</v>
      </c>
      <c r="EM1514">
        <v>0</v>
      </c>
      <c r="EN1514" s="2">
        <v>0</v>
      </c>
      <c r="EP1514" t="str">
        <f>IF(AND(AND(AND(OR($EC1514=1,$EB1514=1),OR($EH1514=1,$EF1514=1)),SUM($EA1514:$EE1514,$EK1514)&gt;=3),SUM($EF1514:$EJ1514)&gt;=2),"Whole sector approach","")</f>
        <v>Whole sector approach</v>
      </c>
      <c r="EQ1514" t="str">
        <f>IF(AND(AND(OR($EC1514=1,$EB1514=1),AND($EH1514=0,$EF1514=0)),SUM($EA1514:$EE1514,$EK1514)&gt;=4),"Ecosystem approach","")</f>
        <v/>
      </c>
      <c r="ER1514" s="2" t="str">
        <f>IF(AND(AND(AND($EC1514=0,$EB1514=0),OR($EH1514=1,$EF1514=1)),SUM($EG1514:$EJ1514)&gt;=2),"Technology approach","")</f>
        <v/>
      </c>
      <c r="ES1514" t="str">
        <f>IF(AND($EC1514+$EB1514+$EE1514+$EA1514+$ED1514+$EG1514=0,$N1514="included"),"C neutral forest and HWP assumption","")</f>
        <v/>
      </c>
      <c r="ET1514" t="str">
        <f>IF(AND(AND(AND(AND($EC1514=1,$EB1514+$EA1514+$EG1514&gt;=1),$EF1514=1),$EH1514+$EI1514+$ED1514+$EE1514&gt;=2),$N1514="included"),"All C pools assumption","")</f>
        <v/>
      </c>
      <c r="EU1514" t="str">
        <f>IF(AND($ED1514+$EE1514+$EI1514+$EH1514+$EF1514=0,$N1514="included"),"In-situ only assumption","")</f>
        <v/>
      </c>
      <c r="EY1514" t="str">
        <f>IF(ISNUMBER(BW1514),IF(ABS(BW1514-[2]QC_indicators!$B$2)&gt;3*[2]QC_indicators!$C$2,"C ratio",IF(ISNUMBER(CA1514),IF(ABS(CA1514-[2]QC_indicators!$B$1)&gt;3*[2]QC_indicators!$C$1,"DF","no"))),IF(ISNUMBER(CA1514),IF(ABS(CA1514-[2]QC_indicators!$B$1)&gt;3*[2]QC_indicators!$C$1,"DF","no")))</f>
        <v>no</v>
      </c>
      <c r="EZ1514" t="s">
        <v>286</v>
      </c>
      <c r="FA1514" t="str">
        <f>IF(LEN($CY1514)=0,"",IF(AND($CY1514&lt;(-0.05),$ES1514="C neutral forest and HWP assumption"),"Cneutral paradox",IF(AND($CY1514&gt;0.05,$EU1514="In-situ only assumption"),"In-situ only paradox","")))</f>
        <v/>
      </c>
      <c r="FD1514" s="260" t="s">
        <v>2948</v>
      </c>
    </row>
    <row r="1515" spans="1:160" ht="15" hidden="1" customHeight="1">
      <c r="A1515" s="1" t="s">
        <v>265</v>
      </c>
      <c r="B1515" t="s">
        <v>266</v>
      </c>
      <c r="C1515" t="s">
        <v>267</v>
      </c>
      <c r="D1515" t="s">
        <v>268</v>
      </c>
      <c r="E1515" t="s">
        <v>269</v>
      </c>
      <c r="F1515" t="s">
        <v>270</v>
      </c>
      <c r="G1515" t="s">
        <v>271</v>
      </c>
      <c r="H1515" t="s">
        <v>254</v>
      </c>
      <c r="I1515">
        <v>2022</v>
      </c>
      <c r="J1515">
        <v>0</v>
      </c>
      <c r="K1515" t="s">
        <v>272</v>
      </c>
      <c r="M1515" t="str">
        <f>LEFT($D1515,FIND(",",$D1515)-1)&amp;"_"&amp;I1515&amp;L1515</f>
        <v>Aryapratama_2022</v>
      </c>
      <c r="N1515" t="s">
        <v>222</v>
      </c>
      <c r="O1515" s="145" t="s">
        <v>274</v>
      </c>
      <c r="Q1515" t="s">
        <v>224</v>
      </c>
      <c r="R1515" s="258" t="s">
        <v>223</v>
      </c>
      <c r="S1515" s="259" t="s">
        <v>2784</v>
      </c>
      <c r="T1515" t="s">
        <v>302</v>
      </c>
      <c r="U1515" t="s">
        <v>303</v>
      </c>
      <c r="V1515" s="253">
        <v>0</v>
      </c>
      <c r="W1515" s="253">
        <v>0</v>
      </c>
      <c r="X1515">
        <v>0</v>
      </c>
      <c r="Y1515">
        <v>0</v>
      </c>
      <c r="Z1515">
        <v>0</v>
      </c>
      <c r="AA1515">
        <v>0</v>
      </c>
      <c r="AB1515">
        <v>0</v>
      </c>
      <c r="AC1515">
        <v>0</v>
      </c>
      <c r="AD1515">
        <v>0</v>
      </c>
      <c r="AE1515">
        <v>0</v>
      </c>
      <c r="AF1515">
        <v>0</v>
      </c>
      <c r="AG1515">
        <v>0</v>
      </c>
      <c r="AH1515">
        <v>0</v>
      </c>
      <c r="AI1515">
        <v>0</v>
      </c>
      <c r="AJ1515">
        <v>0</v>
      </c>
      <c r="AK1515">
        <v>0</v>
      </c>
      <c r="AL1515">
        <v>0</v>
      </c>
      <c r="AM1515">
        <v>1</v>
      </c>
      <c r="AN1515">
        <v>0</v>
      </c>
      <c r="AO1515">
        <v>0</v>
      </c>
      <c r="AP1515">
        <v>0</v>
      </c>
      <c r="AQ1515">
        <v>0</v>
      </c>
      <c r="AR1515">
        <v>0</v>
      </c>
      <c r="AS1515">
        <v>0</v>
      </c>
      <c r="AT1515">
        <v>0</v>
      </c>
      <c r="AU1515">
        <v>0</v>
      </c>
      <c r="AV1515">
        <v>0</v>
      </c>
      <c r="AW1515">
        <v>0</v>
      </c>
      <c r="AX1515">
        <v>0</v>
      </c>
      <c r="AY1515">
        <v>0</v>
      </c>
      <c r="AZ1515" s="141">
        <f>COUNTIF(X1515:AY1515,"&lt;&gt;0")</f>
        <v>1</v>
      </c>
      <c r="BA1515" s="141">
        <f>COUNTIF(X1515:AN1515,"&lt;&gt;0")</f>
        <v>1</v>
      </c>
      <c r="BB1515">
        <f>COUNTIF(X1515:AE1515,"&lt;&gt;0")</f>
        <v>0</v>
      </c>
      <c r="BC1515">
        <f>COUNTIF(AF1515:AK1515,"&lt;&gt;0")</f>
        <v>0</v>
      </c>
      <c r="BD1515">
        <f>COUNTIF(AL1515:AN1515,"&lt;&gt;0")</f>
        <v>1</v>
      </c>
      <c r="BE1515">
        <f>COUNTIF(AU1515:AY1515,"&lt;&gt;0")</f>
        <v>0</v>
      </c>
      <c r="BF1515">
        <f>COUNTIF(AO1515:AT1515,"&lt;&gt;0")</f>
        <v>0</v>
      </c>
      <c r="BG1515" t="str">
        <f t="array" ref="BG1515">IF(BA1515=1,INDEX($X$7:$AN$7,MATCH(TRUE,INDEX($X1515:$AY1515&lt;&gt;0,),0)),IF(BA1515=0,INDEX($AO$7:$AY$7,MATCH(1,$AO1515:$AY1515,0)),IF(BH1515="Multiple strategies","mixed drivers",IF(BH1515="Supply chain","multiple supply","multiple silviculture"))))</f>
        <v>technologies/design switch</v>
      </c>
      <c r="BH1515" s="2" t="str" cm="1">
        <f t="array" ref="BH1515">IF(COUNTIF(BB1515:BD1515,"&lt;&gt;0")=1,INDEX($X$4:$AY$4,MATCH(TRUE,INDEX($X1515:$AY1515&lt;&gt;0,),0)),IF(COUNTIF(BB1515:BD1515,"&lt;&gt;0")=0,INDEX($AO$4:$AY$4,MATCH(1,$AO1515:$AY1515,0)),"Multiple strategies"))</f>
        <v>Technology</v>
      </c>
      <c r="BI1515" s="1" t="s">
        <v>229</v>
      </c>
      <c r="BJ1515" t="s">
        <v>277</v>
      </c>
      <c r="BK1515" s="260" t="s">
        <v>2785</v>
      </c>
      <c r="BL1515" t="s">
        <v>278</v>
      </c>
      <c r="BM1515">
        <v>0</v>
      </c>
      <c r="BN1515">
        <v>23.12907189695861</v>
      </c>
      <c r="BP1515">
        <f>BN1515-BM1515</f>
        <v>23.12907189695861</v>
      </c>
      <c r="BQ1515">
        <f>BP1515*tC_to_m3</f>
        <v>100.43018626556062</v>
      </c>
      <c r="BR1515" t="s">
        <v>232</v>
      </c>
      <c r="BS1515" s="153" t="s">
        <v>2786</v>
      </c>
      <c r="BT1515" t="s">
        <v>279</v>
      </c>
      <c r="BU1515">
        <v>152.02211024415089</v>
      </c>
      <c r="BV1515">
        <v>176.62110895178901</v>
      </c>
      <c r="BW1515" s="144">
        <f>IFERROR(BV1515/BU1515,"")</f>
        <v>1.161811980297679</v>
      </c>
      <c r="BX1515">
        <f>BV1515-BU1515</f>
        <v>24.598998707638117</v>
      </c>
      <c r="BZ1515">
        <f>BX1515</f>
        <v>24.598998707638117</v>
      </c>
      <c r="CA1515">
        <f>IFERROR(BZ1515/BQ1515,"")</f>
        <v>0.2449363047340436</v>
      </c>
      <c r="CB1515">
        <v>0</v>
      </c>
      <c r="CC1515">
        <v>0</v>
      </c>
      <c r="CD1515">
        <v>0</v>
      </c>
      <c r="CE1515">
        <v>0</v>
      </c>
      <c r="CF1515">
        <v>0</v>
      </c>
      <c r="CG1515">
        <v>0</v>
      </c>
      <c r="CH1515">
        <v>0</v>
      </c>
      <c r="CI1515">
        <v>0</v>
      </c>
      <c r="CJ1515">
        <v>0</v>
      </c>
      <c r="CK1515">
        <v>0</v>
      </c>
      <c r="CL1515">
        <v>0</v>
      </c>
      <c r="CM1515">
        <v>0</v>
      </c>
      <c r="CN1515">
        <v>0</v>
      </c>
      <c r="CO1515">
        <v>0</v>
      </c>
      <c r="CP1515" t="str">
        <f>IF($BN1515&lt;$BM1515,"refNeedCorrection","refOK")</f>
        <v>refOK</v>
      </c>
      <c r="CQ1515">
        <f>IF($CP1515="refOK",$BM1515,$BN1515)</f>
        <v>0</v>
      </c>
      <c r="CR1515">
        <f>IF($CP1515="refOK",$BN1515,$BM1515)</f>
        <v>23.12907189695861</v>
      </c>
      <c r="CS1515">
        <f>IF($CP1515="refOK",$BQ1515,-$BQ1515)</f>
        <v>100.43018626556062</v>
      </c>
      <c r="CT1515">
        <f>IF(BI1515="Roundwood",$CS1515/2,$CS1515)</f>
        <v>100.43018626556062</v>
      </c>
      <c r="CU1515">
        <f>IF($CP1515="refOK",$BU1515,$BV1515)*IF($BR1515="Emissions positive",-1,1)</f>
        <v>152.02211024415089</v>
      </c>
      <c r="CV1515">
        <f>IF($CP1515="refOK",$BV1515,$BU1515)*IF($BR1515="Emissions positive",-1,1)</f>
        <v>176.62110895178901</v>
      </c>
      <c r="CW1515">
        <f>IF($CP1515="refNeedCorrection",-BZ1515,BZ1515)*IF($BR1515="Emissions positive",-1,1)</f>
        <v>24.598998707638117</v>
      </c>
      <c r="CX1515">
        <f>IFERROR($CW1515/$CS1515,"")</f>
        <v>0.2449363047340436</v>
      </c>
      <c r="CY1515">
        <f>IFERROR($CW1515/$CS1515,"")</f>
        <v>0.2449363047340436</v>
      </c>
      <c r="CZ1515">
        <f>IFERROR($CW1515/$CT1515,"")</f>
        <v>0.2449363047340436</v>
      </c>
      <c r="DA1515" s="2">
        <f>IFERROR((CV1515-CU1515)/ABS(CU1515),"")</f>
        <v>0.16181198029767893</v>
      </c>
      <c r="DB1515" s="1" t="s">
        <v>234</v>
      </c>
      <c r="DC1515" t="str">
        <f>IF(OR($DB1515="prd",$DB1515="std",$DB1515="cit"),"loc",IF(OR($DB1515="eur",$DB1515="reg",$DB1515="coy"),"reg",$DB1515))</f>
        <v>loc</v>
      </c>
      <c r="DD1515" t="s">
        <v>280</v>
      </c>
      <c r="DG1515">
        <v>100</v>
      </c>
      <c r="DH1515" t="str">
        <f>IF(DG1515=0,"0",IF(AND(DG1515&gt;=1,DG1515&lt;=30),"1-30",IF(AND(DG1515&gt;30,DG1515&lt;=70),"31-70",IF(AND(DG1515&gt;70,DG1515&lt;=100),"71-100",IF(DG1515&gt;100,"+100")))))</f>
        <v>71-100</v>
      </c>
      <c r="DI1515">
        <v>0</v>
      </c>
      <c r="DJ1515">
        <v>0</v>
      </c>
      <c r="DK1515">
        <v>0</v>
      </c>
      <c r="DL1515">
        <v>1</v>
      </c>
      <c r="DN1515">
        <f>SUM(DI1515:DL1515)</f>
        <v>1</v>
      </c>
      <c r="DO1515" t="str">
        <f>IF(DN1515=1,INDEX($DI$7:$DL$7,MATCH(1,$DI1515:$DL1515,0)),"mixedProduct")</f>
        <v>TimberInput</v>
      </c>
      <c r="DP1515">
        <f>IF(DI1515=1,DP$7,0)</f>
        <v>0</v>
      </c>
      <c r="DQ1515">
        <f>IF(DJ1515=1,DQ$7,0)</f>
        <v>0</v>
      </c>
      <c r="DR1515">
        <f>IF(DK1515=1,DR$7,0)</f>
        <v>0</v>
      </c>
      <c r="DS1515" t="str">
        <f>IF(DL1515=1,DS$7,0)</f>
        <v>Timber</v>
      </c>
      <c r="DT1515">
        <v>0</v>
      </c>
      <c r="DU1515">
        <v>1</v>
      </c>
      <c r="DV1515" t="s">
        <v>304</v>
      </c>
      <c r="DW1515">
        <v>0</v>
      </c>
      <c r="DX1515">
        <v>0</v>
      </c>
      <c r="DY1515">
        <f>SUM(DT1515:DU1515)</f>
        <v>1</v>
      </c>
      <c r="DZ1515" s="143" t="str">
        <f>IF(DT1515=1,"self-calculated DF",IF(DU1515=1,"external DF used","explicit C balance"))</f>
        <v>external DF used</v>
      </c>
      <c r="EA1515">
        <v>0</v>
      </c>
      <c r="EB1515">
        <v>1</v>
      </c>
      <c r="EC1515">
        <v>1</v>
      </c>
      <c r="ED1515">
        <v>1</v>
      </c>
      <c r="EE1515">
        <v>1</v>
      </c>
      <c r="EF1515" s="143">
        <v>0</v>
      </c>
      <c r="EG1515">
        <v>1</v>
      </c>
      <c r="EH1515">
        <v>1</v>
      </c>
      <c r="EI1515">
        <v>0</v>
      </c>
      <c r="EJ1515">
        <v>1</v>
      </c>
      <c r="EK1515">
        <v>1</v>
      </c>
      <c r="EL1515">
        <v>1</v>
      </c>
      <c r="EM1515">
        <v>0</v>
      </c>
      <c r="EN1515" s="2">
        <v>0</v>
      </c>
      <c r="EP1515" t="str">
        <f>IF(AND(AND(AND(OR($EC1515=1,$EB1515=1),OR($EH1515=1,$EF1515=1)),SUM($EA1515:$EE1515,$EK1515)&gt;=3),SUM($EF1515:$EJ1515)&gt;=2),"Whole sector approach","")</f>
        <v>Whole sector approach</v>
      </c>
      <c r="EQ1515" t="str">
        <f>IF(AND(AND(OR($EC1515=1,$EB1515=1),AND($EH1515=0,$EF1515=0)),SUM($EA1515:$EE1515,$EK1515)&gt;=4),"Ecosystem approach","")</f>
        <v/>
      </c>
      <c r="ER1515" s="2" t="str">
        <f>IF(AND(AND(AND($EC1515=0,$EB1515=0),OR($EH1515=1,$EF1515=1)),SUM($EG1515:$EJ1515)&gt;=2),"Technology approach","")</f>
        <v/>
      </c>
      <c r="ES1515" t="str">
        <f>IF(AND($EC1515+$EB1515+$EE1515+$EA1515+$ED1515+$EG1515=0,$N1515="included"),"C neutral forest and HWP assumption","")</f>
        <v/>
      </c>
      <c r="ET1515" t="str">
        <f>IF(AND(AND(AND(AND($EC1515=1,$EB1515+$EA1515+$EG1515&gt;=1),$EF1515=1),$EH1515+$EI1515+$ED1515+$EE1515&gt;=2),$N1515="included"),"All C pools assumption","")</f>
        <v/>
      </c>
      <c r="EU1515" t="str">
        <f>IF(AND($ED1515+$EE1515+$EI1515+$EH1515+$EF1515=0,$N1515="included"),"In-situ only assumption","")</f>
        <v/>
      </c>
      <c r="EY1515" t="str">
        <f>IF(ISNUMBER(BW1515),IF(ABS(BW1515-[2]QC_indicators!$B$2)&gt;3*[2]QC_indicators!$C$2,"C ratio",IF(ISNUMBER(CA1515),IF(ABS(CA1515-[2]QC_indicators!$B$1)&gt;3*[2]QC_indicators!$C$1,"DF","no"))),IF(ISNUMBER(CA1515),IF(ABS(CA1515-[2]QC_indicators!$B$1)&gt;3*[2]QC_indicators!$C$1,"DF","no")))</f>
        <v>no</v>
      </c>
      <c r="EZ1515" t="s">
        <v>286</v>
      </c>
      <c r="FA1515" t="str">
        <f>IF(LEN($CY1515)=0,"",IF(AND($CY1515&lt;(-0.05),$ES1515="C neutral forest and HWP assumption"),"Cneutral paradox",IF(AND($CY1515&gt;0.05,$EU1515="In-situ only assumption"),"In-situ only paradox","")))</f>
        <v/>
      </c>
      <c r="FD1515" s="260" t="s">
        <v>2948</v>
      </c>
    </row>
    <row r="1516" spans="1:160" ht="15" hidden="1" customHeight="1">
      <c r="A1516" s="1" t="s">
        <v>265</v>
      </c>
      <c r="B1516" t="s">
        <v>266</v>
      </c>
      <c r="C1516" t="s">
        <v>267</v>
      </c>
      <c r="D1516" t="s">
        <v>268</v>
      </c>
      <c r="E1516" t="s">
        <v>269</v>
      </c>
      <c r="F1516" t="s">
        <v>270</v>
      </c>
      <c r="G1516" t="s">
        <v>271</v>
      </c>
      <c r="H1516" t="s">
        <v>254</v>
      </c>
      <c r="I1516">
        <v>2022</v>
      </c>
      <c r="J1516">
        <v>0</v>
      </c>
      <c r="K1516" t="s">
        <v>272</v>
      </c>
      <c r="M1516" t="str">
        <f>LEFT($D1516,FIND(",",$D1516)-1)&amp;"_"&amp;I1516&amp;L1516</f>
        <v>Aryapratama_2022</v>
      </c>
      <c r="N1516" t="s">
        <v>222</v>
      </c>
      <c r="O1516" s="145" t="s">
        <v>274</v>
      </c>
      <c r="Q1516" t="s">
        <v>224</v>
      </c>
      <c r="R1516" s="258" t="s">
        <v>223</v>
      </c>
      <c r="S1516" s="259" t="s">
        <v>2784</v>
      </c>
      <c r="T1516" t="s">
        <v>305</v>
      </c>
      <c r="U1516" t="s">
        <v>284</v>
      </c>
      <c r="V1516" s="253">
        <v>0</v>
      </c>
      <c r="W1516" s="253">
        <v>0</v>
      </c>
      <c r="X1516">
        <v>0</v>
      </c>
      <c r="Y1516">
        <v>0</v>
      </c>
      <c r="Z1516">
        <v>0</v>
      </c>
      <c r="AA1516">
        <v>0</v>
      </c>
      <c r="AB1516">
        <v>0</v>
      </c>
      <c r="AC1516">
        <v>0</v>
      </c>
      <c r="AD1516">
        <v>0</v>
      </c>
      <c r="AE1516">
        <v>0</v>
      </c>
      <c r="AF1516">
        <v>0</v>
      </c>
      <c r="AG1516">
        <v>0</v>
      </c>
      <c r="AH1516">
        <v>0</v>
      </c>
      <c r="AI1516">
        <v>0</v>
      </c>
      <c r="AJ1516">
        <v>0</v>
      </c>
      <c r="AK1516">
        <v>0</v>
      </c>
      <c r="AL1516">
        <v>0</v>
      </c>
      <c r="AM1516">
        <v>1</v>
      </c>
      <c r="AN1516">
        <v>0</v>
      </c>
      <c r="AO1516">
        <v>0</v>
      </c>
      <c r="AP1516">
        <v>0</v>
      </c>
      <c r="AQ1516">
        <v>0</v>
      </c>
      <c r="AR1516">
        <v>0</v>
      </c>
      <c r="AS1516">
        <v>0</v>
      </c>
      <c r="AT1516">
        <v>0</v>
      </c>
      <c r="AU1516">
        <v>0</v>
      </c>
      <c r="AV1516">
        <v>0</v>
      </c>
      <c r="AW1516">
        <v>0</v>
      </c>
      <c r="AX1516">
        <v>0</v>
      </c>
      <c r="AY1516">
        <v>0</v>
      </c>
      <c r="AZ1516" s="141">
        <f>COUNTIF(X1516:AY1516,"&lt;&gt;0")</f>
        <v>1</v>
      </c>
      <c r="BA1516" s="141">
        <f>COUNTIF(X1516:AN1516,"&lt;&gt;0")</f>
        <v>1</v>
      </c>
      <c r="BB1516">
        <f>COUNTIF(X1516:AE1516,"&lt;&gt;0")</f>
        <v>0</v>
      </c>
      <c r="BC1516">
        <f>COUNTIF(AF1516:AK1516,"&lt;&gt;0")</f>
        <v>0</v>
      </c>
      <c r="BD1516">
        <f>COUNTIF(AL1516:AN1516,"&lt;&gt;0")</f>
        <v>1</v>
      </c>
      <c r="BE1516">
        <f>COUNTIF(AU1516:AY1516,"&lt;&gt;0")</f>
        <v>0</v>
      </c>
      <c r="BF1516">
        <f>COUNTIF(AO1516:AT1516,"&lt;&gt;0")</f>
        <v>0</v>
      </c>
      <c r="BG1516" t="str">
        <f t="array" ref="BG1516">IF(BA1516=1,INDEX($X$7:$AN$7,MATCH(TRUE,INDEX($X1516:$AY1516&lt;&gt;0,),0)),IF(BA1516=0,INDEX($AO$7:$AY$7,MATCH(1,$AO1516:$AY1516,0)),IF(BH1516="Multiple strategies","mixed drivers",IF(BH1516="Supply chain","multiple supply","multiple silviculture"))))</f>
        <v>technologies/design switch</v>
      </c>
      <c r="BH1516" s="2" t="str" cm="1">
        <f t="array" ref="BH1516">IF(COUNTIF(BB1516:BD1516,"&lt;&gt;0")=1,INDEX($X$4:$AY$4,MATCH(TRUE,INDEX($X1516:$AY1516&lt;&gt;0,),0)),IF(COUNTIF(BB1516:BD1516,"&lt;&gt;0")=0,INDEX($AO$4:$AY$4,MATCH(1,$AO1516:$AY1516,0)),"Multiple strategies"))</f>
        <v>Technology</v>
      </c>
      <c r="BI1516" s="1" t="s">
        <v>229</v>
      </c>
      <c r="BJ1516" t="s">
        <v>277</v>
      </c>
      <c r="BK1516" s="260" t="s">
        <v>2785</v>
      </c>
      <c r="BL1516" t="s">
        <v>278</v>
      </c>
      <c r="BM1516">
        <v>0</v>
      </c>
      <c r="BN1516">
        <v>34.69360784543791</v>
      </c>
      <c r="BP1516">
        <f>BN1516-BM1516</f>
        <v>34.69360784543791</v>
      </c>
      <c r="BQ1516">
        <f>BP1516*tC_to_m3</f>
        <v>150.6452793983409</v>
      </c>
      <c r="BR1516" t="s">
        <v>232</v>
      </c>
      <c r="BS1516" s="153" t="s">
        <v>2786</v>
      </c>
      <c r="BT1516" t="s">
        <v>279</v>
      </c>
      <c r="BU1516">
        <v>337.64037255698202</v>
      </c>
      <c r="BV1516">
        <v>377.50107760210591</v>
      </c>
      <c r="BW1516" s="144">
        <f>IFERROR(BV1516/BU1516,"")</f>
        <v>1.1180566907424461</v>
      </c>
      <c r="BX1516">
        <f>BV1516-BU1516</f>
        <v>39.860705045123893</v>
      </c>
      <c r="BZ1516">
        <f>BX1516</f>
        <v>39.860705045123893</v>
      </c>
      <c r="CA1516">
        <f>IFERROR(BZ1516/BQ1516,"")</f>
        <v>0.26459976180018879</v>
      </c>
      <c r="CB1516">
        <v>0</v>
      </c>
      <c r="CC1516">
        <v>0</v>
      </c>
      <c r="CD1516">
        <v>0</v>
      </c>
      <c r="CE1516">
        <v>0</v>
      </c>
      <c r="CF1516">
        <v>0</v>
      </c>
      <c r="CG1516">
        <v>0</v>
      </c>
      <c r="CH1516">
        <v>0</v>
      </c>
      <c r="CI1516">
        <v>0</v>
      </c>
      <c r="CJ1516">
        <v>0</v>
      </c>
      <c r="CK1516">
        <v>0</v>
      </c>
      <c r="CL1516">
        <v>0</v>
      </c>
      <c r="CM1516">
        <v>0</v>
      </c>
      <c r="CN1516">
        <v>0</v>
      </c>
      <c r="CO1516">
        <v>0</v>
      </c>
      <c r="CP1516" t="str">
        <f>IF($BN1516&lt;$BM1516,"refNeedCorrection","refOK")</f>
        <v>refOK</v>
      </c>
      <c r="CQ1516">
        <f>IF($CP1516="refOK",$BM1516,$BN1516)</f>
        <v>0</v>
      </c>
      <c r="CR1516">
        <f>IF($CP1516="refOK",$BN1516,$BM1516)</f>
        <v>34.69360784543791</v>
      </c>
      <c r="CS1516">
        <f>IF($CP1516="refOK",$BQ1516,-$BQ1516)</f>
        <v>150.6452793983409</v>
      </c>
      <c r="CT1516">
        <f>IF(BI1516="Roundwood",$CS1516/2,$CS1516)</f>
        <v>150.6452793983409</v>
      </c>
      <c r="CU1516">
        <f>IF($CP1516="refOK",$BU1516,$BV1516)*IF($BR1516="Emissions positive",-1,1)</f>
        <v>337.64037255698202</v>
      </c>
      <c r="CV1516">
        <f>IF($CP1516="refOK",$BV1516,$BU1516)*IF($BR1516="Emissions positive",-1,1)</f>
        <v>377.50107760210591</v>
      </c>
      <c r="CW1516">
        <f>IF($CP1516="refNeedCorrection",-BZ1516,BZ1516)*IF($BR1516="Emissions positive",-1,1)</f>
        <v>39.860705045123893</v>
      </c>
      <c r="CX1516">
        <f>IFERROR($CW1516/$CS1516,"")</f>
        <v>0.26459976180018879</v>
      </c>
      <c r="CY1516">
        <f>IFERROR($CW1516/$CS1516,"")</f>
        <v>0.26459976180018879</v>
      </c>
      <c r="CZ1516">
        <f>IFERROR($CW1516/$CT1516,"")</f>
        <v>0.26459976180018879</v>
      </c>
      <c r="DA1516" s="2">
        <f>IFERROR((CV1516-CU1516)/ABS(CU1516),"")</f>
        <v>0.11805669074244604</v>
      </c>
      <c r="DB1516" s="1" t="s">
        <v>234</v>
      </c>
      <c r="DC1516" t="str">
        <f>IF(OR($DB1516="prd",$DB1516="std",$DB1516="cit"),"loc",IF(OR($DB1516="eur",$DB1516="reg",$DB1516="coy"),"reg",$DB1516))</f>
        <v>loc</v>
      </c>
      <c r="DD1516" t="s">
        <v>280</v>
      </c>
      <c r="DG1516">
        <v>200</v>
      </c>
      <c r="DH1516" t="str">
        <f>IF(DG1516=0,"0",IF(AND(DG1516&gt;=1,DG1516&lt;=30),"1-30",IF(AND(DG1516&gt;30,DG1516&lt;=70),"31-70",IF(AND(DG1516&gt;70,DG1516&lt;=100),"71-100",IF(DG1516&gt;100,"+100")))))</f>
        <v>+100</v>
      </c>
      <c r="DI1516">
        <v>0</v>
      </c>
      <c r="DJ1516">
        <v>0</v>
      </c>
      <c r="DK1516">
        <v>0</v>
      </c>
      <c r="DL1516">
        <v>1</v>
      </c>
      <c r="DN1516">
        <f>SUM(DI1516:DL1516)</f>
        <v>1</v>
      </c>
      <c r="DO1516" t="str">
        <f>IF(DN1516=1,INDEX($DI$7:$DL$7,MATCH(1,$DI1516:$DL1516,0)),"mixedProduct")</f>
        <v>TimberInput</v>
      </c>
      <c r="DP1516">
        <f>IF(DI1516=1,DP$7,0)</f>
        <v>0</v>
      </c>
      <c r="DQ1516">
        <f>IF(DJ1516=1,DQ$7,0)</f>
        <v>0</v>
      </c>
      <c r="DR1516">
        <f>IF(DK1516=1,DR$7,0)</f>
        <v>0</v>
      </c>
      <c r="DS1516" t="str">
        <f>IF(DL1516=1,DS$7,0)</f>
        <v>Timber</v>
      </c>
      <c r="DT1516">
        <v>0</v>
      </c>
      <c r="DU1516">
        <v>1</v>
      </c>
      <c r="DV1516">
        <v>0</v>
      </c>
      <c r="DW1516" t="s">
        <v>281</v>
      </c>
      <c r="DX1516">
        <v>0</v>
      </c>
      <c r="DY1516">
        <f>SUM(DT1516:DU1516)</f>
        <v>1</v>
      </c>
      <c r="DZ1516" s="143" t="str">
        <f>IF(DT1516=1,"self-calculated DF",IF(DU1516=1,"external DF used","explicit C balance"))</f>
        <v>external DF used</v>
      </c>
      <c r="EA1516">
        <v>0</v>
      </c>
      <c r="EB1516">
        <v>1</v>
      </c>
      <c r="EC1516">
        <v>1</v>
      </c>
      <c r="ED1516">
        <v>1</v>
      </c>
      <c r="EE1516">
        <v>1</v>
      </c>
      <c r="EF1516" s="143">
        <v>0</v>
      </c>
      <c r="EG1516">
        <v>1</v>
      </c>
      <c r="EH1516">
        <v>1</v>
      </c>
      <c r="EI1516">
        <v>0</v>
      </c>
      <c r="EJ1516">
        <v>1</v>
      </c>
      <c r="EK1516">
        <v>1</v>
      </c>
      <c r="EL1516">
        <v>1</v>
      </c>
      <c r="EM1516">
        <v>0</v>
      </c>
      <c r="EN1516" s="2">
        <v>0</v>
      </c>
      <c r="EP1516" t="str">
        <f>IF(AND(AND(AND(OR($EC1516=1,$EB1516=1),OR($EH1516=1,$EF1516=1)),SUM($EA1516:$EE1516,$EK1516)&gt;=3),SUM($EF1516:$EJ1516)&gt;=2),"Whole sector approach","")</f>
        <v>Whole sector approach</v>
      </c>
      <c r="EQ1516" t="str">
        <f>IF(AND(AND(OR($EC1516=1,$EB1516=1),AND($EH1516=0,$EF1516=0)),SUM($EA1516:$EE1516,$EK1516)&gt;=4),"Ecosystem approach","")</f>
        <v/>
      </c>
      <c r="ER1516" s="2" t="str">
        <f>IF(AND(AND(AND($EC1516=0,$EB1516=0),OR($EH1516=1,$EF1516=1)),SUM($EG1516:$EJ1516)&gt;=2),"Technology approach","")</f>
        <v/>
      </c>
      <c r="ES1516" t="str">
        <f>IF(AND($EC1516+$EB1516+$EE1516+$EA1516+$ED1516+$EG1516=0,$N1516="included"),"C neutral forest and HWP assumption","")</f>
        <v/>
      </c>
      <c r="ET1516" t="str">
        <f>IF(AND(AND(AND(AND($EC1516=1,$EB1516+$EA1516+$EG1516&gt;=1),$EF1516=1),$EH1516+$EI1516+$ED1516+$EE1516&gt;=2),$N1516="included"),"All C pools assumption","")</f>
        <v/>
      </c>
      <c r="EU1516" t="str">
        <f>IF(AND($ED1516+$EE1516+$EI1516+$EH1516+$EF1516=0,$N1516="included"),"In-situ only assumption","")</f>
        <v/>
      </c>
      <c r="EY1516" t="str">
        <f>IF(ISNUMBER(BW1516),IF(ABS(BW1516-[2]QC_indicators!$B$2)&gt;3*[2]QC_indicators!$C$2,"C ratio",IF(ISNUMBER(CA1516),IF(ABS(CA1516-[2]QC_indicators!$B$1)&gt;3*[2]QC_indicators!$C$1,"DF","no"))),IF(ISNUMBER(CA1516),IF(ABS(CA1516-[2]QC_indicators!$B$1)&gt;3*[2]QC_indicators!$C$1,"DF","no")))</f>
        <v>no</v>
      </c>
      <c r="EZ1516" t="s">
        <v>286</v>
      </c>
      <c r="FA1516" t="str">
        <f>IF(LEN($CY1516)=0,"",IF(AND($CY1516&lt;(-0.05),$ES1516="C neutral forest and HWP assumption"),"Cneutral paradox",IF(AND($CY1516&gt;0.05,$EU1516="In-situ only assumption"),"In-situ only paradox","")))</f>
        <v/>
      </c>
      <c r="FD1516" s="260" t="s">
        <v>2948</v>
      </c>
    </row>
    <row r="1517" spans="1:160" ht="15" hidden="1" customHeight="1">
      <c r="A1517" s="1" t="s">
        <v>265</v>
      </c>
      <c r="B1517" t="s">
        <v>266</v>
      </c>
      <c r="C1517" t="s">
        <v>267</v>
      </c>
      <c r="D1517" t="s">
        <v>268</v>
      </c>
      <c r="E1517" t="s">
        <v>269</v>
      </c>
      <c r="F1517" t="s">
        <v>270</v>
      </c>
      <c r="G1517" t="s">
        <v>271</v>
      </c>
      <c r="H1517" t="s">
        <v>254</v>
      </c>
      <c r="I1517">
        <v>2022</v>
      </c>
      <c r="J1517">
        <v>0</v>
      </c>
      <c r="K1517" t="s">
        <v>272</v>
      </c>
      <c r="M1517" t="str">
        <f>LEFT($D1517,FIND(",",$D1517)-1)&amp;"_"&amp;I1517&amp;L1517</f>
        <v>Aryapratama_2022</v>
      </c>
      <c r="N1517" t="s">
        <v>222</v>
      </c>
      <c r="O1517" s="145" t="s">
        <v>274</v>
      </c>
      <c r="Q1517" t="s">
        <v>224</v>
      </c>
      <c r="R1517" s="258" t="s">
        <v>223</v>
      </c>
      <c r="S1517" s="259" t="s">
        <v>2784</v>
      </c>
      <c r="T1517" t="s">
        <v>305</v>
      </c>
      <c r="U1517" t="s">
        <v>284</v>
      </c>
      <c r="V1517" s="253">
        <v>0</v>
      </c>
      <c r="W1517" s="253">
        <v>0</v>
      </c>
      <c r="X1517">
        <v>0</v>
      </c>
      <c r="Y1517">
        <v>0</v>
      </c>
      <c r="Z1517">
        <v>0</v>
      </c>
      <c r="AA1517">
        <v>0</v>
      </c>
      <c r="AB1517">
        <v>0</v>
      </c>
      <c r="AC1517">
        <v>0</v>
      </c>
      <c r="AD1517">
        <v>0</v>
      </c>
      <c r="AE1517">
        <v>0</v>
      </c>
      <c r="AF1517">
        <v>0</v>
      </c>
      <c r="AG1517">
        <v>0</v>
      </c>
      <c r="AH1517">
        <v>0</v>
      </c>
      <c r="AI1517">
        <v>0</v>
      </c>
      <c r="AJ1517">
        <v>0</v>
      </c>
      <c r="AK1517">
        <v>0</v>
      </c>
      <c r="AL1517">
        <v>0</v>
      </c>
      <c r="AM1517">
        <v>1</v>
      </c>
      <c r="AN1517">
        <v>0</v>
      </c>
      <c r="AO1517">
        <v>0</v>
      </c>
      <c r="AP1517">
        <v>0</v>
      </c>
      <c r="AQ1517">
        <v>0</v>
      </c>
      <c r="AR1517">
        <v>0</v>
      </c>
      <c r="AS1517">
        <v>0</v>
      </c>
      <c r="AT1517">
        <v>0</v>
      </c>
      <c r="AU1517">
        <v>0</v>
      </c>
      <c r="AV1517">
        <v>0</v>
      </c>
      <c r="AW1517">
        <v>0</v>
      </c>
      <c r="AX1517">
        <v>0</v>
      </c>
      <c r="AY1517">
        <v>0</v>
      </c>
      <c r="AZ1517" s="141">
        <f>COUNTIF(X1517:AY1517,"&lt;&gt;0")</f>
        <v>1</v>
      </c>
      <c r="BA1517" s="141">
        <f>COUNTIF(X1517:AN1517,"&lt;&gt;0")</f>
        <v>1</v>
      </c>
      <c r="BB1517">
        <f>COUNTIF(X1517:AE1517,"&lt;&gt;0")</f>
        <v>0</v>
      </c>
      <c r="BC1517">
        <f>COUNTIF(AF1517:AK1517,"&lt;&gt;0")</f>
        <v>0</v>
      </c>
      <c r="BD1517">
        <f>COUNTIF(AL1517:AN1517,"&lt;&gt;0")</f>
        <v>1</v>
      </c>
      <c r="BE1517">
        <f>COUNTIF(AU1517:AY1517,"&lt;&gt;0")</f>
        <v>0</v>
      </c>
      <c r="BF1517">
        <f>COUNTIF(AO1517:AT1517,"&lt;&gt;0")</f>
        <v>0</v>
      </c>
      <c r="BG1517" t="str">
        <f t="array" ref="BG1517">IF(BA1517=1,INDEX($X$7:$AN$7,MATCH(TRUE,INDEX($X1517:$AY1517&lt;&gt;0,),0)),IF(BA1517=0,INDEX($AO$7:$AY$7,MATCH(1,$AO1517:$AY1517,0)),IF(BH1517="Multiple strategies","mixed drivers",IF(BH1517="Supply chain","multiple supply","multiple silviculture"))))</f>
        <v>technologies/design switch</v>
      </c>
      <c r="BH1517" s="2" t="str" cm="1">
        <f t="array" ref="BH1517">IF(COUNTIF(BB1517:BD1517,"&lt;&gt;0")=1,INDEX($X$4:$AY$4,MATCH(TRUE,INDEX($X1517:$AY1517&lt;&gt;0,),0)),IF(COUNTIF(BB1517:BD1517,"&lt;&gt;0")=0,INDEX($AO$4:$AY$4,MATCH(1,$AO1517:$AY1517,0)),"Multiple strategies"))</f>
        <v>Technology</v>
      </c>
      <c r="BI1517" s="1" t="s">
        <v>229</v>
      </c>
      <c r="BJ1517" t="s">
        <v>277</v>
      </c>
      <c r="BK1517" s="260" t="s">
        <v>2785</v>
      </c>
      <c r="BL1517" t="s">
        <v>278</v>
      </c>
      <c r="BM1517">
        <v>0</v>
      </c>
      <c r="BN1517">
        <v>17.346803922718955</v>
      </c>
      <c r="BP1517">
        <f>BN1517-BM1517</f>
        <v>17.346803922718955</v>
      </c>
      <c r="BQ1517">
        <f>BP1517*tC_to_m3</f>
        <v>75.322639699170452</v>
      </c>
      <c r="BR1517" t="s">
        <v>232</v>
      </c>
      <c r="BS1517" s="153" t="s">
        <v>2786</v>
      </c>
      <c r="BT1517" t="s">
        <v>279</v>
      </c>
      <c r="BU1517">
        <v>163.96310441836951</v>
      </c>
      <c r="BV1517">
        <v>192.24097622198209</v>
      </c>
      <c r="BW1517" s="144">
        <f>IFERROR(BV1517/BU1517,"")</f>
        <v>1.1724648475272739</v>
      </c>
      <c r="BX1517">
        <f>BV1517-BU1517</f>
        <v>28.277871803612584</v>
      </c>
      <c r="BZ1517">
        <f>BX1517</f>
        <v>28.277871803612584</v>
      </c>
      <c r="CA1517">
        <f>IFERROR(BZ1517/BQ1517,"")</f>
        <v>0.37542327136370945</v>
      </c>
      <c r="CB1517">
        <v>0</v>
      </c>
      <c r="CC1517">
        <v>0</v>
      </c>
      <c r="CD1517">
        <v>0</v>
      </c>
      <c r="CE1517">
        <v>0</v>
      </c>
      <c r="CF1517">
        <v>0</v>
      </c>
      <c r="CG1517">
        <v>0</v>
      </c>
      <c r="CH1517">
        <v>0</v>
      </c>
      <c r="CI1517">
        <v>0</v>
      </c>
      <c r="CJ1517">
        <v>0</v>
      </c>
      <c r="CK1517">
        <v>0</v>
      </c>
      <c r="CL1517">
        <v>0</v>
      </c>
      <c r="CM1517">
        <v>0</v>
      </c>
      <c r="CN1517">
        <v>0</v>
      </c>
      <c r="CO1517">
        <v>0</v>
      </c>
      <c r="CP1517" t="str">
        <f>IF($BN1517&lt;$BM1517,"refNeedCorrection","refOK")</f>
        <v>refOK</v>
      </c>
      <c r="CQ1517">
        <f>IF($CP1517="refOK",$BM1517,$BN1517)</f>
        <v>0</v>
      </c>
      <c r="CR1517">
        <f>IF($CP1517="refOK",$BN1517,$BM1517)</f>
        <v>17.346803922718955</v>
      </c>
      <c r="CS1517">
        <f>IF($CP1517="refOK",$BQ1517,-$BQ1517)</f>
        <v>75.322639699170452</v>
      </c>
      <c r="CT1517">
        <f>IF(BI1517="Roundwood",$CS1517/2,$CS1517)</f>
        <v>75.322639699170452</v>
      </c>
      <c r="CU1517">
        <f>IF($CP1517="refOK",$BU1517,$BV1517)*IF($BR1517="Emissions positive",-1,1)</f>
        <v>163.96310441836951</v>
      </c>
      <c r="CV1517">
        <f>IF($CP1517="refOK",$BV1517,$BU1517)*IF($BR1517="Emissions positive",-1,1)</f>
        <v>192.24097622198209</v>
      </c>
      <c r="CW1517">
        <f>IF($CP1517="refNeedCorrection",-BZ1517,BZ1517)*IF($BR1517="Emissions positive",-1,1)</f>
        <v>28.277871803612584</v>
      </c>
      <c r="CX1517">
        <f>IFERROR($CW1517/$CS1517,"")</f>
        <v>0.37542327136370945</v>
      </c>
      <c r="CY1517">
        <f>IFERROR($CW1517/$CS1517,"")</f>
        <v>0.37542327136370945</v>
      </c>
      <c r="CZ1517">
        <f>IFERROR($CW1517/$CT1517,"")</f>
        <v>0.37542327136370945</v>
      </c>
      <c r="DA1517" s="2">
        <f>IFERROR((CV1517-CU1517)/ABS(CU1517),"")</f>
        <v>0.17246484752727387</v>
      </c>
      <c r="DB1517" s="1" t="s">
        <v>234</v>
      </c>
      <c r="DC1517" t="str">
        <f>IF(OR($DB1517="prd",$DB1517="std",$DB1517="cit"),"loc",IF(OR($DB1517="eur",$DB1517="reg",$DB1517="coy"),"reg",$DB1517))</f>
        <v>loc</v>
      </c>
      <c r="DD1517" t="s">
        <v>280</v>
      </c>
      <c r="DG1517">
        <v>100</v>
      </c>
      <c r="DH1517" t="str">
        <f>IF(DG1517=0,"0",IF(AND(DG1517&gt;=1,DG1517&lt;=30),"1-30",IF(AND(DG1517&gt;30,DG1517&lt;=70),"31-70",IF(AND(DG1517&gt;70,DG1517&lt;=100),"71-100",IF(DG1517&gt;100,"+100")))))</f>
        <v>71-100</v>
      </c>
      <c r="DI1517">
        <v>0</v>
      </c>
      <c r="DJ1517">
        <v>0</v>
      </c>
      <c r="DK1517">
        <v>0</v>
      </c>
      <c r="DL1517">
        <v>1</v>
      </c>
      <c r="DN1517">
        <f>SUM(DI1517:DL1517)</f>
        <v>1</v>
      </c>
      <c r="DO1517" t="str">
        <f>IF(DN1517=1,INDEX($DI$7:$DL$7,MATCH(1,$DI1517:$DL1517,0)),"mixedProduct")</f>
        <v>TimberInput</v>
      </c>
      <c r="DP1517">
        <f>IF(DI1517=1,DP$7,0)</f>
        <v>0</v>
      </c>
      <c r="DQ1517">
        <f>IF(DJ1517=1,DQ$7,0)</f>
        <v>0</v>
      </c>
      <c r="DR1517">
        <f>IF(DK1517=1,DR$7,0)</f>
        <v>0</v>
      </c>
      <c r="DS1517" t="str">
        <f>IF(DL1517=1,DS$7,0)</f>
        <v>Timber</v>
      </c>
      <c r="DT1517">
        <v>0</v>
      </c>
      <c r="DU1517">
        <v>1</v>
      </c>
      <c r="DV1517">
        <v>0</v>
      </c>
      <c r="DW1517" t="s">
        <v>281</v>
      </c>
      <c r="DX1517">
        <v>0</v>
      </c>
      <c r="DY1517">
        <f>SUM(DT1517:DU1517)</f>
        <v>1</v>
      </c>
      <c r="DZ1517" s="143" t="str">
        <f>IF(DT1517=1,"self-calculated DF",IF(DU1517=1,"external DF used","explicit C balance"))</f>
        <v>external DF used</v>
      </c>
      <c r="EA1517">
        <v>0</v>
      </c>
      <c r="EB1517">
        <v>1</v>
      </c>
      <c r="EC1517">
        <v>1</v>
      </c>
      <c r="ED1517">
        <v>1</v>
      </c>
      <c r="EE1517">
        <v>1</v>
      </c>
      <c r="EF1517" s="143">
        <v>0</v>
      </c>
      <c r="EG1517">
        <v>1</v>
      </c>
      <c r="EH1517">
        <v>1</v>
      </c>
      <c r="EI1517">
        <v>0</v>
      </c>
      <c r="EJ1517">
        <v>1</v>
      </c>
      <c r="EK1517">
        <v>1</v>
      </c>
      <c r="EL1517">
        <v>1</v>
      </c>
      <c r="EM1517">
        <v>0</v>
      </c>
      <c r="EN1517" s="2">
        <v>0</v>
      </c>
      <c r="EP1517" t="str">
        <f>IF(AND(AND(AND(OR($EC1517=1,$EB1517=1),OR($EH1517=1,$EF1517=1)),SUM($EA1517:$EE1517,$EK1517)&gt;=3),SUM($EF1517:$EJ1517)&gt;=2),"Whole sector approach","")</f>
        <v>Whole sector approach</v>
      </c>
      <c r="EQ1517" t="str">
        <f>IF(AND(AND(OR($EC1517=1,$EB1517=1),AND($EH1517=0,$EF1517=0)),SUM($EA1517:$EE1517,$EK1517)&gt;=4),"Ecosystem approach","")</f>
        <v/>
      </c>
      <c r="ER1517" s="2" t="str">
        <f>IF(AND(AND(AND($EC1517=0,$EB1517=0),OR($EH1517=1,$EF1517=1)),SUM($EG1517:$EJ1517)&gt;=2),"Technology approach","")</f>
        <v/>
      </c>
      <c r="ES1517" t="str">
        <f>IF(AND($EC1517+$EB1517+$EE1517+$EA1517+$ED1517+$EG1517=0,$N1517="included"),"C neutral forest and HWP assumption","")</f>
        <v/>
      </c>
      <c r="ET1517" t="str">
        <f>IF(AND(AND(AND(AND($EC1517=1,$EB1517+$EA1517+$EG1517&gt;=1),$EF1517=1),$EH1517+$EI1517+$ED1517+$EE1517&gt;=2),$N1517="included"),"All C pools assumption","")</f>
        <v/>
      </c>
      <c r="EU1517" t="str">
        <f>IF(AND($ED1517+$EE1517+$EI1517+$EH1517+$EF1517=0,$N1517="included"),"In-situ only assumption","")</f>
        <v/>
      </c>
      <c r="EY1517" t="str">
        <f>IF(ISNUMBER(BW1517),IF(ABS(BW1517-[2]QC_indicators!$B$2)&gt;3*[2]QC_indicators!$C$2,"C ratio",IF(ISNUMBER(CA1517),IF(ABS(CA1517-[2]QC_indicators!$B$1)&gt;3*[2]QC_indicators!$C$1,"DF","no"))),IF(ISNUMBER(CA1517),IF(ABS(CA1517-[2]QC_indicators!$B$1)&gt;3*[2]QC_indicators!$C$1,"DF","no")))</f>
        <v>no</v>
      </c>
      <c r="EZ1517" t="s">
        <v>286</v>
      </c>
      <c r="FA1517" t="str">
        <f>IF(LEN($CY1517)=0,"",IF(AND($CY1517&lt;(-0.05),$ES1517="C neutral forest and HWP assumption"),"Cneutral paradox",IF(AND($CY1517&gt;0.05,$EU1517="In-situ only assumption"),"In-situ only paradox","")))</f>
        <v/>
      </c>
      <c r="FD1517" s="260" t="s">
        <v>2948</v>
      </c>
    </row>
    <row r="1518" spans="1:160" ht="15" hidden="1" customHeight="1">
      <c r="A1518" s="1" t="s">
        <v>265</v>
      </c>
      <c r="B1518" t="s">
        <v>266</v>
      </c>
      <c r="C1518" t="s">
        <v>267</v>
      </c>
      <c r="D1518" t="s">
        <v>268</v>
      </c>
      <c r="E1518" t="s">
        <v>269</v>
      </c>
      <c r="F1518" t="s">
        <v>270</v>
      </c>
      <c r="G1518" t="s">
        <v>271</v>
      </c>
      <c r="H1518" t="s">
        <v>254</v>
      </c>
      <c r="I1518">
        <v>2022</v>
      </c>
      <c r="J1518">
        <v>0</v>
      </c>
      <c r="K1518" t="s">
        <v>272</v>
      </c>
      <c r="M1518" t="str">
        <f>LEFT($D1518,FIND(",",$D1518)-1)&amp;"_"&amp;I1518&amp;L1518</f>
        <v>Aryapratama_2022</v>
      </c>
      <c r="N1518" t="s">
        <v>222</v>
      </c>
      <c r="O1518" s="145" t="s">
        <v>274</v>
      </c>
      <c r="Q1518" t="s">
        <v>224</v>
      </c>
      <c r="R1518" s="258" t="s">
        <v>223</v>
      </c>
      <c r="S1518" s="259" t="s">
        <v>2784</v>
      </c>
      <c r="T1518" t="s">
        <v>306</v>
      </c>
      <c r="U1518" t="s">
        <v>288</v>
      </c>
      <c r="V1518" s="253">
        <v>0</v>
      </c>
      <c r="W1518" s="253">
        <v>0</v>
      </c>
      <c r="X1518">
        <v>0</v>
      </c>
      <c r="Y1518">
        <v>0</v>
      </c>
      <c r="Z1518">
        <v>0</v>
      </c>
      <c r="AA1518">
        <v>0</v>
      </c>
      <c r="AB1518">
        <v>0</v>
      </c>
      <c r="AC1518">
        <v>0</v>
      </c>
      <c r="AD1518">
        <v>0</v>
      </c>
      <c r="AE1518">
        <v>0</v>
      </c>
      <c r="AF1518">
        <v>0</v>
      </c>
      <c r="AG1518">
        <v>0</v>
      </c>
      <c r="AH1518">
        <v>0</v>
      </c>
      <c r="AI1518">
        <v>0</v>
      </c>
      <c r="AJ1518">
        <v>0</v>
      </c>
      <c r="AK1518">
        <v>0</v>
      </c>
      <c r="AL1518">
        <v>0</v>
      </c>
      <c r="AM1518">
        <v>1</v>
      </c>
      <c r="AN1518">
        <v>0</v>
      </c>
      <c r="AO1518">
        <v>0</v>
      </c>
      <c r="AP1518">
        <v>0</v>
      </c>
      <c r="AQ1518">
        <v>0</v>
      </c>
      <c r="AR1518">
        <v>0</v>
      </c>
      <c r="AS1518">
        <v>0</v>
      </c>
      <c r="AT1518">
        <v>0</v>
      </c>
      <c r="AU1518">
        <v>0</v>
      </c>
      <c r="AV1518">
        <v>0</v>
      </c>
      <c r="AW1518">
        <v>0</v>
      </c>
      <c r="AX1518">
        <v>0</v>
      </c>
      <c r="AY1518">
        <v>0</v>
      </c>
      <c r="AZ1518" s="141">
        <f>COUNTIF(X1518:AY1518,"&lt;&gt;0")</f>
        <v>1</v>
      </c>
      <c r="BA1518" s="141">
        <f>COUNTIF(X1518:AN1518,"&lt;&gt;0")</f>
        <v>1</v>
      </c>
      <c r="BB1518">
        <f>COUNTIF(X1518:AE1518,"&lt;&gt;0")</f>
        <v>0</v>
      </c>
      <c r="BC1518">
        <f>COUNTIF(AF1518:AK1518,"&lt;&gt;0")</f>
        <v>0</v>
      </c>
      <c r="BD1518">
        <f>COUNTIF(AL1518:AN1518,"&lt;&gt;0")</f>
        <v>1</v>
      </c>
      <c r="BE1518">
        <f>COUNTIF(AU1518:AY1518,"&lt;&gt;0")</f>
        <v>0</v>
      </c>
      <c r="BF1518">
        <f>COUNTIF(AO1518:AT1518,"&lt;&gt;0")</f>
        <v>0</v>
      </c>
      <c r="BG1518" t="str">
        <f t="array" ref="BG1518">IF(BA1518=1,INDEX($X$7:$AN$7,MATCH(TRUE,INDEX($X1518:$AY1518&lt;&gt;0,),0)),IF(BA1518=0,INDEX($AO$7:$AY$7,MATCH(1,$AO1518:$AY1518,0)),IF(BH1518="Multiple strategies","mixed drivers",IF(BH1518="Supply chain","multiple supply","multiple silviculture"))))</f>
        <v>technologies/design switch</v>
      </c>
      <c r="BH1518" s="2" t="str" cm="1">
        <f t="array" ref="BH1518">IF(COUNTIF(BB1518:BD1518,"&lt;&gt;0")=1,INDEX($X$4:$AY$4,MATCH(TRUE,INDEX($X1518:$AY1518&lt;&gt;0,),0)),IF(COUNTIF(BB1518:BD1518,"&lt;&gt;0")=0,INDEX($AO$4:$AY$4,MATCH(1,$AO1518:$AY1518,0)),"Multiple strategies"))</f>
        <v>Technology</v>
      </c>
      <c r="BI1518" s="1" t="s">
        <v>229</v>
      </c>
      <c r="BJ1518" t="s">
        <v>277</v>
      </c>
      <c r="BK1518" s="260" t="s">
        <v>2785</v>
      </c>
      <c r="BL1518" t="s">
        <v>278</v>
      </c>
      <c r="BM1518">
        <v>0</v>
      </c>
      <c r="BN1518">
        <v>656.10508355919967</v>
      </c>
      <c r="BP1518">
        <f>BN1518-BM1518</f>
        <v>656.10508355919967</v>
      </c>
      <c r="BQ1518">
        <f>BP1518*tC_to_m3</f>
        <v>2848.9148222283966</v>
      </c>
      <c r="BR1518" t="s">
        <v>232</v>
      </c>
      <c r="BS1518" s="153" t="s">
        <v>2786</v>
      </c>
      <c r="BT1518" t="s">
        <v>279</v>
      </c>
      <c r="BU1518">
        <v>-1351.032773953493</v>
      </c>
      <c r="BV1518">
        <v>-227.6520247861325</v>
      </c>
      <c r="BW1518" s="144">
        <f>IFERROR(BV1518/BU1518,"")</f>
        <v>0.16850222228137379</v>
      </c>
      <c r="BX1518">
        <f>BV1518-BU1518</f>
        <v>1123.3807491673606</v>
      </c>
      <c r="BZ1518">
        <f>BX1518</f>
        <v>1123.3807491673606</v>
      </c>
      <c r="CA1518">
        <f>IFERROR(BZ1518/BQ1518,"")</f>
        <v>0.39431882638339527</v>
      </c>
      <c r="CB1518">
        <v>0</v>
      </c>
      <c r="CC1518">
        <v>0</v>
      </c>
      <c r="CD1518">
        <v>0</v>
      </c>
      <c r="CE1518">
        <v>0</v>
      </c>
      <c r="CF1518">
        <v>0</v>
      </c>
      <c r="CG1518">
        <v>0</v>
      </c>
      <c r="CH1518">
        <v>0</v>
      </c>
      <c r="CI1518">
        <v>0</v>
      </c>
      <c r="CJ1518">
        <v>0</v>
      </c>
      <c r="CK1518">
        <v>0</v>
      </c>
      <c r="CL1518">
        <v>0</v>
      </c>
      <c r="CM1518">
        <v>0</v>
      </c>
      <c r="CN1518">
        <v>0</v>
      </c>
      <c r="CO1518">
        <v>0</v>
      </c>
      <c r="CP1518" t="str">
        <f>IF($BN1518&lt;$BM1518,"refNeedCorrection","refOK")</f>
        <v>refOK</v>
      </c>
      <c r="CQ1518">
        <f>IF($CP1518="refNeedCorrection",BN1518,BM1518)</f>
        <v>0</v>
      </c>
      <c r="CR1518">
        <f>IF($CP1518="refNeedCorrection",BM1518,BN1518)</f>
        <v>656.10508355919967</v>
      </c>
      <c r="CS1518">
        <f>IF($CP1518="refOK",$BQ1518,-$BQ1518)</f>
        <v>2848.9148222283966</v>
      </c>
      <c r="CT1518">
        <f>IF(BI1518="Roundwood",$CS1518/2,$CS1518)</f>
        <v>2848.9148222283966</v>
      </c>
      <c r="CU1518">
        <f>IF($CP1518="refOK",$BU1518,$BV1518)*IF($BR1518="Emissions positive",-1,1)</f>
        <v>-1351.032773953493</v>
      </c>
      <c r="CV1518">
        <f>IF($CP1518="refOK",$BV1518,$BU1518)*IF($BR1518="Emissions positive",-1,1)</f>
        <v>-227.6520247861325</v>
      </c>
      <c r="CW1518">
        <f>IF($CP1518="refNeedCorrection",-BZ1518,BZ1518)*IF($BR1518="Emissions positive",-1,1)</f>
        <v>1123.3807491673606</v>
      </c>
      <c r="CX1518">
        <f>IFERROR($CW1518/$CS1518,"")</f>
        <v>0.39431882638339527</v>
      </c>
      <c r="CY1518">
        <f>IFERROR($CW1518/$CS1518,"")</f>
        <v>0.39431882638339527</v>
      </c>
      <c r="CZ1518">
        <f>IFERROR($CW1518/$CT1518,"")</f>
        <v>0.39431882638339527</v>
      </c>
      <c r="DA1518" s="2">
        <f>IFERROR((CV1518-CU1518)/ABS(CU1518),"")</f>
        <v>0.83149777771862632</v>
      </c>
      <c r="DB1518" s="1" t="s">
        <v>234</v>
      </c>
      <c r="DC1518" t="str">
        <f>IF(OR($DB1518="prd",$DB1518="std",$DB1518="cit"),"loc",IF(OR($DB1518="eur",$DB1518="reg",$DB1518="coy"),"reg",$DB1518))</f>
        <v>loc</v>
      </c>
      <c r="DD1518" t="s">
        <v>280</v>
      </c>
      <c r="DG1518">
        <v>200</v>
      </c>
      <c r="DH1518" t="str">
        <f>IF(DG1518=0,"0",IF(AND(DG1518&gt;=1,DG1518&lt;=30),"1-30",IF(AND(DG1518&gt;30,DG1518&lt;=70),"31-70",IF(AND(DG1518&gt;70,DG1518&lt;=100),"71-100",IF(DG1518&gt;100,"+100")))))</f>
        <v>+100</v>
      </c>
      <c r="DI1518">
        <v>0</v>
      </c>
      <c r="DJ1518">
        <v>0</v>
      </c>
      <c r="DK1518">
        <v>0</v>
      </c>
      <c r="DL1518">
        <v>1</v>
      </c>
      <c r="DN1518">
        <f>SUM(DI1518:DL1518)</f>
        <v>1</v>
      </c>
      <c r="DO1518" t="str">
        <f>IF(DN1518=1,INDEX($DI$7:$DL$7,MATCH(1,$DI1518:$DL1518,0)),"mixedProduct")</f>
        <v>TimberInput</v>
      </c>
      <c r="DP1518">
        <f>IF(DI1518=1,DP$7,0)</f>
        <v>0</v>
      </c>
      <c r="DQ1518">
        <f>IF(DJ1518=1,DQ$7,0)</f>
        <v>0</v>
      </c>
      <c r="DR1518">
        <f>IF(DK1518=1,DR$7,0)</f>
        <v>0</v>
      </c>
      <c r="DS1518" t="str">
        <f>IF(DL1518=1,DS$7,0)</f>
        <v>Timber</v>
      </c>
      <c r="DT1518">
        <v>0</v>
      </c>
      <c r="DU1518">
        <v>1</v>
      </c>
      <c r="DV1518">
        <v>0</v>
      </c>
      <c r="DW1518" t="s">
        <v>281</v>
      </c>
      <c r="DX1518">
        <v>0</v>
      </c>
      <c r="DY1518">
        <f>SUM(DT1518:DU1518)</f>
        <v>1</v>
      </c>
      <c r="DZ1518" s="143" t="str">
        <f>IF(DT1518=1,"self-calculated DF",IF(DU1518=1,"external DF used","explicit C balance"))</f>
        <v>external DF used</v>
      </c>
      <c r="EA1518">
        <v>0</v>
      </c>
      <c r="EB1518">
        <v>1</v>
      </c>
      <c r="EC1518">
        <v>1</v>
      </c>
      <c r="ED1518">
        <v>1</v>
      </c>
      <c r="EE1518">
        <v>1</v>
      </c>
      <c r="EF1518" s="143">
        <v>0</v>
      </c>
      <c r="EG1518">
        <v>1</v>
      </c>
      <c r="EH1518">
        <v>1</v>
      </c>
      <c r="EI1518">
        <v>0</v>
      </c>
      <c r="EJ1518">
        <v>1</v>
      </c>
      <c r="EK1518">
        <v>1</v>
      </c>
      <c r="EL1518">
        <v>1</v>
      </c>
      <c r="EM1518">
        <v>0</v>
      </c>
      <c r="EN1518" s="2">
        <v>0</v>
      </c>
      <c r="EP1518" t="str">
        <f>IF(AND(AND(AND(OR($EC1518=1,$EB1518=1),OR($EH1518=1,$EF1518=1)),SUM($EA1518:$EE1518,$EK1518)&gt;=3),SUM($EF1518:$EJ1518)&gt;=2),"Whole sector approach","")</f>
        <v>Whole sector approach</v>
      </c>
      <c r="EQ1518" t="str">
        <f>IF(AND(AND(OR($EC1518=1,$EB1518=1),AND($EH1518=0,$EF1518=0)),SUM($EA1518:$EE1518,$EK1518)&gt;=4),"Ecosystem approach","")</f>
        <v/>
      </c>
      <c r="ER1518" s="2" t="str">
        <f>IF(AND(AND(AND($EC1518=0,$EB1518=0),OR($EH1518=1,$EF1518=1)),SUM($EG1518:$EJ1518)&gt;=2),"Technology approach","")</f>
        <v/>
      </c>
      <c r="ES1518" t="str">
        <f>IF(AND($EC1518+$EB1518+$EE1518+$EA1518+$ED1518+$EG1518=0,$N1518="included"),"C neutral forest and HWP assumption","")</f>
        <v/>
      </c>
      <c r="ET1518" t="str">
        <f>IF(AND(AND(AND(AND($EC1518=1,$EB1518+$EA1518+$EG1518&gt;=1),$EF1518=1),$EH1518+$EI1518+$ED1518+$EE1518&gt;=2),$N1518="included"),"All C pools assumption","")</f>
        <v/>
      </c>
      <c r="EU1518" t="str">
        <f>IF(AND($ED1518+$EE1518+$EI1518+$EH1518+$EF1518=0,$N1518="included"),"In-situ only assumption","")</f>
        <v/>
      </c>
      <c r="EY1518" t="str">
        <f>IF(ISNUMBER(BW1518),IF(ABS(BW1518-[2]QC_indicators!$B$2)&gt;3*[2]QC_indicators!$C$2,"C ratio",IF(ISNUMBER(CA1518),IF(ABS(CA1518-[2]QC_indicators!$B$1)&gt;3*[2]QC_indicators!$C$1,"DF","no"))),IF(ISNUMBER(CA1518),IF(ABS(CA1518-[2]QC_indicators!$B$1)&gt;3*[2]QC_indicators!$C$1,"DF","no")))</f>
        <v>no</v>
      </c>
      <c r="EZ1518" t="s">
        <v>286</v>
      </c>
      <c r="FA1518" t="str">
        <f>IF(LEN($CY1518)=0,"",IF(AND($CY1518&lt;(-0.05),$ES1518="C neutral forest and HWP assumption"),"Cneutral paradox",IF(AND($CY1518&gt;0.05,$EU1518="In-situ only assumption"),"In-situ only paradox","")))</f>
        <v/>
      </c>
      <c r="FB1518" t="s">
        <v>296</v>
      </c>
      <c r="FD1518" s="260" t="s">
        <v>2948</v>
      </c>
    </row>
    <row r="1519" spans="1:160" ht="15" hidden="1" customHeight="1">
      <c r="A1519" s="1" t="s">
        <v>265</v>
      </c>
      <c r="B1519" t="s">
        <v>266</v>
      </c>
      <c r="C1519" t="s">
        <v>267</v>
      </c>
      <c r="D1519" t="s">
        <v>268</v>
      </c>
      <c r="E1519" t="s">
        <v>269</v>
      </c>
      <c r="F1519" t="s">
        <v>270</v>
      </c>
      <c r="G1519" t="s">
        <v>271</v>
      </c>
      <c r="H1519" t="s">
        <v>254</v>
      </c>
      <c r="I1519">
        <v>2022</v>
      </c>
      <c r="J1519">
        <v>0</v>
      </c>
      <c r="K1519" t="s">
        <v>272</v>
      </c>
      <c r="M1519" t="str">
        <f>LEFT($D1519,FIND(",",$D1519)-1)&amp;"_"&amp;I1519&amp;L1519</f>
        <v>Aryapratama_2022</v>
      </c>
      <c r="N1519" t="s">
        <v>222</v>
      </c>
      <c r="O1519" s="145" t="s">
        <v>274</v>
      </c>
      <c r="Q1519" t="s">
        <v>224</v>
      </c>
      <c r="R1519" s="258" t="s">
        <v>223</v>
      </c>
      <c r="S1519" s="259" t="s">
        <v>2784</v>
      </c>
      <c r="T1519" t="s">
        <v>306</v>
      </c>
      <c r="U1519" t="s">
        <v>288</v>
      </c>
      <c r="V1519" s="253">
        <v>0</v>
      </c>
      <c r="W1519" s="253">
        <v>0</v>
      </c>
      <c r="X1519">
        <v>0</v>
      </c>
      <c r="Y1519">
        <v>0</v>
      </c>
      <c r="Z1519">
        <v>0</v>
      </c>
      <c r="AA1519">
        <v>0</v>
      </c>
      <c r="AB1519">
        <v>0</v>
      </c>
      <c r="AC1519">
        <v>0</v>
      </c>
      <c r="AD1519">
        <v>0</v>
      </c>
      <c r="AE1519">
        <v>0</v>
      </c>
      <c r="AF1519">
        <v>0</v>
      </c>
      <c r="AG1519">
        <v>0</v>
      </c>
      <c r="AH1519">
        <v>0</v>
      </c>
      <c r="AI1519">
        <v>0</v>
      </c>
      <c r="AJ1519">
        <v>0</v>
      </c>
      <c r="AK1519">
        <v>0</v>
      </c>
      <c r="AL1519">
        <v>0</v>
      </c>
      <c r="AM1519">
        <v>1</v>
      </c>
      <c r="AN1519">
        <v>0</v>
      </c>
      <c r="AO1519">
        <v>0</v>
      </c>
      <c r="AP1519">
        <v>0</v>
      </c>
      <c r="AQ1519">
        <v>0</v>
      </c>
      <c r="AR1519">
        <v>0</v>
      </c>
      <c r="AS1519">
        <v>0</v>
      </c>
      <c r="AT1519">
        <v>0</v>
      </c>
      <c r="AU1519">
        <v>0</v>
      </c>
      <c r="AV1519">
        <v>0</v>
      </c>
      <c r="AW1519">
        <v>0</v>
      </c>
      <c r="AX1519">
        <v>0</v>
      </c>
      <c r="AY1519">
        <v>0</v>
      </c>
      <c r="AZ1519" s="141">
        <f>COUNTIF(X1519:AY1519,"&lt;&gt;0")</f>
        <v>1</v>
      </c>
      <c r="BA1519" s="141">
        <f>COUNTIF(X1519:AN1519,"&lt;&gt;0")</f>
        <v>1</v>
      </c>
      <c r="BB1519">
        <f>COUNTIF(X1519:AE1519,"&lt;&gt;0")</f>
        <v>0</v>
      </c>
      <c r="BC1519">
        <f>COUNTIF(AF1519:AK1519,"&lt;&gt;0")</f>
        <v>0</v>
      </c>
      <c r="BD1519">
        <f>COUNTIF(AL1519:AN1519,"&lt;&gt;0")</f>
        <v>1</v>
      </c>
      <c r="BE1519">
        <f>COUNTIF(AU1519:AY1519,"&lt;&gt;0")</f>
        <v>0</v>
      </c>
      <c r="BF1519">
        <f>COUNTIF(AO1519:AT1519,"&lt;&gt;0")</f>
        <v>0</v>
      </c>
      <c r="BG1519" t="str">
        <f t="array" ref="BG1519">IF(BA1519=1,INDEX($X$7:$AN$7,MATCH(TRUE,INDEX($X1519:$AY1519&lt;&gt;0,),0)),IF(BA1519=0,INDEX($AO$7:$AY$7,MATCH(1,$AO1519:$AY1519,0)),IF(BH1519="Multiple strategies","mixed drivers",IF(BH1519="Supply chain","multiple supply","multiple silviculture"))))</f>
        <v>technologies/design switch</v>
      </c>
      <c r="BH1519" s="2" t="str" cm="1">
        <f t="array" ref="BH1519">IF(COUNTIF(BB1519:BD1519,"&lt;&gt;0")=1,INDEX($X$4:$AY$4,MATCH(TRUE,INDEX($X1519:$AY1519&lt;&gt;0,),0)),IF(COUNTIF(BB1519:BD1519,"&lt;&gt;0")=0,INDEX($AO$4:$AY$4,MATCH(1,$AO1519:$AY1519,0)),"Multiple strategies"))</f>
        <v>Technology</v>
      </c>
      <c r="BI1519" s="1" t="s">
        <v>229</v>
      </c>
      <c r="BJ1519" t="s">
        <v>277</v>
      </c>
      <c r="BK1519" s="260" t="s">
        <v>2785</v>
      </c>
      <c r="BL1519" t="s">
        <v>278</v>
      </c>
      <c r="BM1519">
        <v>0</v>
      </c>
      <c r="BN1519">
        <v>328.05254177959995</v>
      </c>
      <c r="BP1519">
        <f>BN1519-BM1519</f>
        <v>328.05254177959995</v>
      </c>
      <c r="BQ1519">
        <f>BP1519*tC_to_m3</f>
        <v>1424.4574111141987</v>
      </c>
      <c r="BR1519" t="s">
        <v>232</v>
      </c>
      <c r="BS1519" s="153" t="s">
        <v>2786</v>
      </c>
      <c r="BT1519" t="s">
        <v>279</v>
      </c>
      <c r="BU1519">
        <v>-645.67518499586413</v>
      </c>
      <c r="BV1519">
        <v>-41.927947193381058</v>
      </c>
      <c r="BW1519" s="144">
        <f>IFERROR(BV1519/BU1519,"")</f>
        <v>6.4936593766801845E-2</v>
      </c>
      <c r="BX1519">
        <f>BV1519-BU1519</f>
        <v>603.74723780248303</v>
      </c>
      <c r="BZ1519">
        <f>BX1519</f>
        <v>603.74723780248303</v>
      </c>
      <c r="CA1519">
        <f>IFERROR(BZ1519/BQ1519,"")</f>
        <v>0.42384365660341994</v>
      </c>
      <c r="CB1519">
        <v>0</v>
      </c>
      <c r="CC1519">
        <v>0</v>
      </c>
      <c r="CD1519">
        <v>0</v>
      </c>
      <c r="CE1519">
        <v>0</v>
      </c>
      <c r="CF1519">
        <v>0</v>
      </c>
      <c r="CG1519">
        <v>0</v>
      </c>
      <c r="CH1519">
        <v>0</v>
      </c>
      <c r="CI1519">
        <v>0</v>
      </c>
      <c r="CJ1519">
        <v>0</v>
      </c>
      <c r="CK1519">
        <v>0</v>
      </c>
      <c r="CL1519">
        <v>0</v>
      </c>
      <c r="CM1519">
        <v>0</v>
      </c>
      <c r="CN1519">
        <v>0</v>
      </c>
      <c r="CO1519">
        <v>0</v>
      </c>
      <c r="CP1519" t="str">
        <f>IF($BN1519&lt;$BM1519,"refNeedCorrection","refOK")</f>
        <v>refOK</v>
      </c>
      <c r="CQ1519">
        <f>IF($CP1519="refOK",$BM1519,$BN1519)</f>
        <v>0</v>
      </c>
      <c r="CR1519">
        <f>IF($CP1519="refOK",$BN1519,$BM1519)</f>
        <v>328.05254177959995</v>
      </c>
      <c r="CS1519">
        <f>IF($CP1519="refOK",$BQ1519,-$BQ1519)</f>
        <v>1424.4574111141987</v>
      </c>
      <c r="CT1519">
        <f>IF(BI1519="Roundwood",$CS1519/2,$CS1519)</f>
        <v>1424.4574111141987</v>
      </c>
      <c r="CU1519">
        <f>IF($CP1519="refOK",$BU1519,$BV1519)*IF($BR1519="Emissions positive",-1,1)</f>
        <v>-645.67518499586413</v>
      </c>
      <c r="CV1519">
        <f>IF($CP1519="refOK",$BV1519,$BU1519)*IF($BR1519="Emissions positive",-1,1)</f>
        <v>-41.927947193381058</v>
      </c>
      <c r="CW1519">
        <f>IF($CP1519="refNeedCorrection",-BZ1519,BZ1519)*IF($BR1519="Emissions positive",-1,1)</f>
        <v>603.74723780248303</v>
      </c>
      <c r="CX1519">
        <f>IFERROR($CW1519/$CS1519,"")</f>
        <v>0.42384365660341994</v>
      </c>
      <c r="CY1519">
        <f>IFERROR($CW1519/$CS1519,"")</f>
        <v>0.42384365660341994</v>
      </c>
      <c r="CZ1519">
        <f>IFERROR($CW1519/$CT1519,"")</f>
        <v>0.42384365660341994</v>
      </c>
      <c r="DA1519" s="2">
        <f>IFERROR((CV1519-CU1519)/ABS(CU1519),"")</f>
        <v>0.93506340623319806</v>
      </c>
      <c r="DB1519" s="1" t="s">
        <v>234</v>
      </c>
      <c r="DC1519" t="str">
        <f>IF(OR($DB1519="prd",$DB1519="std",$DB1519="cit"),"loc",IF(OR($DB1519="eur",$DB1519="reg",$DB1519="coy"),"reg",$DB1519))</f>
        <v>loc</v>
      </c>
      <c r="DD1519" t="s">
        <v>280</v>
      </c>
      <c r="DG1519">
        <v>100</v>
      </c>
      <c r="DH1519" t="str">
        <f>IF(DG1519=0,"0",IF(AND(DG1519&gt;=1,DG1519&lt;=30),"1-30",IF(AND(DG1519&gt;30,DG1519&lt;=70),"31-70",IF(AND(DG1519&gt;70,DG1519&lt;=100),"71-100",IF(DG1519&gt;100,"+100")))))</f>
        <v>71-100</v>
      </c>
      <c r="DI1519">
        <v>0</v>
      </c>
      <c r="DJ1519">
        <v>0</v>
      </c>
      <c r="DK1519">
        <v>0</v>
      </c>
      <c r="DL1519">
        <v>1</v>
      </c>
      <c r="DN1519">
        <f>SUM(DI1519:DL1519)</f>
        <v>1</v>
      </c>
      <c r="DO1519" t="str">
        <f>IF(DN1519=1,INDEX($DI$7:$DL$7,MATCH(1,$DI1519:$DL1519,0)),"mixedProduct")</f>
        <v>TimberInput</v>
      </c>
      <c r="DP1519">
        <f>IF(DI1519=1,DP$7,0)</f>
        <v>0</v>
      </c>
      <c r="DQ1519">
        <f>IF(DJ1519=1,DQ$7,0)</f>
        <v>0</v>
      </c>
      <c r="DR1519">
        <f>IF(DK1519=1,DR$7,0)</f>
        <v>0</v>
      </c>
      <c r="DS1519" t="str">
        <f>IF(DL1519=1,DS$7,0)</f>
        <v>Timber</v>
      </c>
      <c r="DT1519">
        <v>0</v>
      </c>
      <c r="DU1519">
        <v>1</v>
      </c>
      <c r="DV1519">
        <v>0</v>
      </c>
      <c r="DW1519" t="s">
        <v>281</v>
      </c>
      <c r="DX1519">
        <v>0</v>
      </c>
      <c r="DY1519">
        <f>SUM(DT1519:DU1519)</f>
        <v>1</v>
      </c>
      <c r="DZ1519" s="143" t="str">
        <f>IF(DT1519=1,"self-calculated DF",IF(DU1519=1,"external DF used","explicit C balance"))</f>
        <v>external DF used</v>
      </c>
      <c r="EA1519">
        <v>0</v>
      </c>
      <c r="EB1519">
        <v>1</v>
      </c>
      <c r="EC1519">
        <v>1</v>
      </c>
      <c r="ED1519">
        <v>1</v>
      </c>
      <c r="EE1519">
        <v>1</v>
      </c>
      <c r="EF1519" s="143">
        <v>0</v>
      </c>
      <c r="EG1519">
        <v>1</v>
      </c>
      <c r="EH1519">
        <v>1</v>
      </c>
      <c r="EI1519">
        <v>0</v>
      </c>
      <c r="EJ1519">
        <v>1</v>
      </c>
      <c r="EK1519">
        <v>1</v>
      </c>
      <c r="EL1519">
        <v>1</v>
      </c>
      <c r="EM1519">
        <v>0</v>
      </c>
      <c r="EN1519" s="2">
        <v>0</v>
      </c>
      <c r="EP1519" t="str">
        <f>IF(AND(AND(AND(OR($EC1519=1,$EB1519=1),OR($EH1519=1,$EF1519=1)),SUM($EA1519:$EE1519,$EK1519)&gt;=3),SUM($EF1519:$EJ1519)&gt;=2),"Whole sector approach","")</f>
        <v>Whole sector approach</v>
      </c>
      <c r="EQ1519" t="str">
        <f>IF(AND(AND(OR($EC1519=1,$EB1519=1),AND($EH1519=0,$EF1519=0)),SUM($EA1519:$EE1519,$EK1519)&gt;=4),"Ecosystem approach","")</f>
        <v/>
      </c>
      <c r="ER1519" s="2" t="str">
        <f>IF(AND(AND(AND($EC1519=0,$EB1519=0),OR($EH1519=1,$EF1519=1)),SUM($EG1519:$EJ1519)&gt;=2),"Technology approach","")</f>
        <v/>
      </c>
      <c r="ES1519" t="str">
        <f>IF(AND($EC1519+$EB1519+$EE1519+$EA1519+$ED1519+$EG1519=0,$N1519="included"),"C neutral forest and HWP assumption","")</f>
        <v/>
      </c>
      <c r="ET1519" t="str">
        <f>IF(AND(AND(AND(AND($EC1519=1,$EB1519+$EA1519+$EG1519&gt;=1),$EF1519=1),$EH1519+$EI1519+$ED1519+$EE1519&gt;=2),$N1519="included"),"All C pools assumption","")</f>
        <v/>
      </c>
      <c r="EU1519" t="str">
        <f>IF(AND($ED1519+$EE1519+$EI1519+$EH1519+$EF1519=0,$N1519="included"),"In-situ only assumption","")</f>
        <v/>
      </c>
      <c r="EY1519" t="str">
        <f>IF(ISNUMBER(BW1519),IF(ABS(BW1519-[2]QC_indicators!$B$2)&gt;3*[2]QC_indicators!$C$2,"C ratio",IF(ISNUMBER(CA1519),IF(ABS(CA1519-[2]QC_indicators!$B$1)&gt;3*[2]QC_indicators!$C$1,"DF","no"))),IF(ISNUMBER(CA1519),IF(ABS(CA1519-[2]QC_indicators!$B$1)&gt;3*[2]QC_indicators!$C$1,"DF","no")))</f>
        <v>no</v>
      </c>
      <c r="EZ1519" t="s">
        <v>286</v>
      </c>
      <c r="FA1519" t="str">
        <f>IF(LEN($CY1519)=0,"",IF(AND($CY1519&lt;(-0.05),$ES1519="C neutral forest and HWP assumption"),"Cneutral paradox",IF(AND($CY1519&gt;0.05,$EU1519="In-situ only assumption"),"In-situ only paradox","")))</f>
        <v/>
      </c>
      <c r="FB1519" t="s">
        <v>296</v>
      </c>
      <c r="FD1519" s="260" t="s">
        <v>2948</v>
      </c>
    </row>
    <row r="1520" spans="1:160" ht="15" hidden="1" customHeight="1">
      <c r="A1520" s="1" t="s">
        <v>265</v>
      </c>
      <c r="B1520" t="s">
        <v>266</v>
      </c>
      <c r="C1520" t="s">
        <v>267</v>
      </c>
      <c r="D1520" t="s">
        <v>268</v>
      </c>
      <c r="E1520" t="s">
        <v>269</v>
      </c>
      <c r="F1520" t="s">
        <v>270</v>
      </c>
      <c r="G1520" t="s">
        <v>271</v>
      </c>
      <c r="H1520" t="s">
        <v>254</v>
      </c>
      <c r="I1520">
        <v>2022</v>
      </c>
      <c r="J1520">
        <v>0</v>
      </c>
      <c r="K1520" t="s">
        <v>272</v>
      </c>
      <c r="M1520" t="str">
        <f>LEFT($D1520,FIND(",",$D1520)-1)&amp;"_"&amp;I1520&amp;L1520</f>
        <v>Aryapratama_2022</v>
      </c>
      <c r="N1520" t="s">
        <v>222</v>
      </c>
      <c r="O1520" s="145" t="s">
        <v>274</v>
      </c>
      <c r="Q1520" t="s">
        <v>224</v>
      </c>
      <c r="R1520" s="258" t="s">
        <v>223</v>
      </c>
      <c r="S1520" s="259" t="s">
        <v>2784</v>
      </c>
      <c r="T1520" t="s">
        <v>307</v>
      </c>
      <c r="U1520" t="s">
        <v>308</v>
      </c>
      <c r="V1520" s="253">
        <v>0</v>
      </c>
      <c r="W1520" s="253">
        <v>0</v>
      </c>
      <c r="X1520">
        <v>0</v>
      </c>
      <c r="Y1520">
        <v>0</v>
      </c>
      <c r="Z1520">
        <v>0</v>
      </c>
      <c r="AA1520">
        <v>0</v>
      </c>
      <c r="AB1520">
        <v>0</v>
      </c>
      <c r="AC1520">
        <v>0</v>
      </c>
      <c r="AD1520">
        <v>0</v>
      </c>
      <c r="AE1520">
        <v>0</v>
      </c>
      <c r="AF1520">
        <v>0</v>
      </c>
      <c r="AG1520">
        <v>0</v>
      </c>
      <c r="AH1520">
        <v>0</v>
      </c>
      <c r="AI1520">
        <v>0</v>
      </c>
      <c r="AJ1520">
        <v>0</v>
      </c>
      <c r="AK1520">
        <v>0</v>
      </c>
      <c r="AL1520">
        <v>0</v>
      </c>
      <c r="AM1520">
        <v>1</v>
      </c>
      <c r="AN1520">
        <v>0</v>
      </c>
      <c r="AO1520">
        <v>0</v>
      </c>
      <c r="AP1520">
        <v>0</v>
      </c>
      <c r="AQ1520">
        <v>0</v>
      </c>
      <c r="AR1520">
        <v>0</v>
      </c>
      <c r="AS1520">
        <v>0</v>
      </c>
      <c r="AT1520">
        <v>0</v>
      </c>
      <c r="AU1520">
        <v>0</v>
      </c>
      <c r="AV1520">
        <v>0</v>
      </c>
      <c r="AW1520">
        <v>0</v>
      </c>
      <c r="AX1520">
        <v>0</v>
      </c>
      <c r="AY1520">
        <v>0</v>
      </c>
      <c r="AZ1520" s="141">
        <f>COUNTIF(X1520:AY1520,"&lt;&gt;0")</f>
        <v>1</v>
      </c>
      <c r="BA1520" s="141">
        <f>COUNTIF(X1520:AN1520,"&lt;&gt;0")</f>
        <v>1</v>
      </c>
      <c r="BB1520">
        <f>COUNTIF(X1520:AE1520,"&lt;&gt;0")</f>
        <v>0</v>
      </c>
      <c r="BC1520">
        <f>COUNTIF(AF1520:AK1520,"&lt;&gt;0")</f>
        <v>0</v>
      </c>
      <c r="BD1520">
        <f>COUNTIF(AL1520:AN1520,"&lt;&gt;0")</f>
        <v>1</v>
      </c>
      <c r="BE1520">
        <f>COUNTIF(AU1520:AY1520,"&lt;&gt;0")</f>
        <v>0</v>
      </c>
      <c r="BF1520">
        <f>COUNTIF(AO1520:AT1520,"&lt;&gt;0")</f>
        <v>0</v>
      </c>
      <c r="BG1520" t="str">
        <f t="array" ref="BG1520">IF(BA1520=1,INDEX($X$7:$AN$7,MATCH(TRUE,INDEX($X1520:$AY1520&lt;&gt;0,),0)),IF(BA1520=0,INDEX($AO$7:$AY$7,MATCH(1,$AO1520:$AY1520,0)),IF(BH1520="Multiple strategies","mixed drivers",IF(BH1520="Supply chain","multiple supply","multiple silviculture"))))</f>
        <v>technologies/design switch</v>
      </c>
      <c r="BH1520" s="2" t="str" cm="1">
        <f t="array" ref="BH1520">IF(COUNTIF(BB1520:BD1520,"&lt;&gt;0")=1,INDEX($X$4:$AY$4,MATCH(TRUE,INDEX($X1520:$AY1520&lt;&gt;0,),0)),IF(COUNTIF(BB1520:BD1520,"&lt;&gt;0")=0,INDEX($AO$4:$AY$4,MATCH(1,$AO1520:$AY1520,0)),"Multiple strategies"))</f>
        <v>Technology</v>
      </c>
      <c r="BI1520" s="1" t="s">
        <v>229</v>
      </c>
      <c r="BJ1520" t="s">
        <v>277</v>
      </c>
      <c r="BK1520" s="260" t="s">
        <v>2785</v>
      </c>
      <c r="BL1520" t="s">
        <v>278</v>
      </c>
      <c r="BM1520">
        <v>0</v>
      </c>
      <c r="BN1520">
        <v>455.74756079224562</v>
      </c>
      <c r="BP1520">
        <f>BN1520-BM1520</f>
        <v>455.74756079224562</v>
      </c>
      <c r="BQ1520">
        <f>BP1520*tC_to_m3</f>
        <v>1978.9299209389737</v>
      </c>
      <c r="BR1520" t="s">
        <v>232</v>
      </c>
      <c r="BS1520" s="153" t="s">
        <v>2786</v>
      </c>
      <c r="BT1520" t="s">
        <v>279</v>
      </c>
      <c r="BU1520">
        <v>-852.47323414734842</v>
      </c>
      <c r="BV1520">
        <v>23.49403951814293</v>
      </c>
      <c r="BW1520" s="144">
        <f>IFERROR(BV1520/BU1520,"")</f>
        <v>-2.7559855931009829E-2</v>
      </c>
      <c r="BX1520">
        <f>BV1520-BU1520</f>
        <v>875.96727366549135</v>
      </c>
      <c r="BZ1520">
        <f>BX1520</f>
        <v>875.96727366549135</v>
      </c>
      <c r="CA1520">
        <f>IFERROR(BZ1520/BQ1520,"")</f>
        <v>0.44264693984204223</v>
      </c>
      <c r="CB1520">
        <v>0</v>
      </c>
      <c r="CC1520">
        <v>0</v>
      </c>
      <c r="CD1520">
        <v>0</v>
      </c>
      <c r="CE1520">
        <v>0</v>
      </c>
      <c r="CF1520">
        <v>0</v>
      </c>
      <c r="CG1520">
        <v>0</v>
      </c>
      <c r="CH1520">
        <v>0</v>
      </c>
      <c r="CI1520">
        <v>0</v>
      </c>
      <c r="CJ1520">
        <v>0</v>
      </c>
      <c r="CK1520">
        <v>0</v>
      </c>
      <c r="CL1520">
        <v>0</v>
      </c>
      <c r="CM1520">
        <v>0</v>
      </c>
      <c r="CN1520">
        <v>0</v>
      </c>
      <c r="CO1520">
        <v>0</v>
      </c>
      <c r="CP1520" t="str">
        <f>IF($BN1520&lt;$BM1520,"refNeedCorrection","refOK")</f>
        <v>refOK</v>
      </c>
      <c r="CQ1520">
        <f>IF($CP1520="refOK",$BM1520,$BN1520)</f>
        <v>0</v>
      </c>
      <c r="CR1520">
        <f>IF($CP1520="refOK",$BN1520,$BM1520)</f>
        <v>455.74756079224562</v>
      </c>
      <c r="CS1520">
        <f>IF($CP1520="refOK",$BQ1520,-$BQ1520)</f>
        <v>1978.9299209389737</v>
      </c>
      <c r="CT1520">
        <f>IF(BI1520="Roundwood",$CS1520/2,$CS1520)</f>
        <v>1978.9299209389737</v>
      </c>
      <c r="CU1520">
        <f>IF($CP1520="refOK",$BU1520,$BV1520)*IF($BR1520="Emissions positive",-1,1)</f>
        <v>-852.47323414734842</v>
      </c>
      <c r="CV1520">
        <f>IF($CP1520="refOK",$BV1520,$BU1520)*IF($BR1520="Emissions positive",-1,1)</f>
        <v>23.49403951814293</v>
      </c>
      <c r="CW1520">
        <f>IF($CP1520="refNeedCorrection",-BZ1520,BZ1520)*IF($BR1520="Emissions positive",-1,1)</f>
        <v>875.96727366549135</v>
      </c>
      <c r="CX1520">
        <f>IFERROR($CW1520/$CS1520,"")</f>
        <v>0.44264693984204223</v>
      </c>
      <c r="CY1520">
        <f>IFERROR($CW1520/$CS1520,"")</f>
        <v>0.44264693984204223</v>
      </c>
      <c r="CZ1520">
        <f>IFERROR($CW1520/$CT1520,"")</f>
        <v>0.44264693984204223</v>
      </c>
      <c r="DA1520" s="2">
        <f>IFERROR((CV1520-CU1520)/ABS(CU1520),"")</f>
        <v>1.0275598559310097</v>
      </c>
      <c r="DB1520" s="1" t="s">
        <v>234</v>
      </c>
      <c r="DC1520" t="str">
        <f>IF(OR($DB1520="prd",$DB1520="std",$DB1520="cit"),"loc",IF(OR($DB1520="eur",$DB1520="reg",$DB1520="coy"),"reg",$DB1520))</f>
        <v>loc</v>
      </c>
      <c r="DD1520" t="s">
        <v>280</v>
      </c>
      <c r="DG1520">
        <v>200</v>
      </c>
      <c r="DH1520" t="str">
        <f>IF(DG1520=0,"0",IF(AND(DG1520&gt;=1,DG1520&lt;=30),"1-30",IF(AND(DG1520&gt;30,DG1520&lt;=70),"31-70",IF(AND(DG1520&gt;70,DG1520&lt;=100),"71-100",IF(DG1520&gt;100,"+100")))))</f>
        <v>+100</v>
      </c>
      <c r="DI1520">
        <v>0</v>
      </c>
      <c r="DJ1520">
        <v>0</v>
      </c>
      <c r="DK1520">
        <v>0</v>
      </c>
      <c r="DL1520">
        <v>1</v>
      </c>
      <c r="DN1520">
        <f>SUM(DI1520:DL1520)</f>
        <v>1</v>
      </c>
      <c r="DO1520" t="str">
        <f>IF(DN1520=1,INDEX($DI$7:$DL$7,MATCH(1,$DI1520:$DL1520,0)),"mixedProduct")</f>
        <v>TimberInput</v>
      </c>
      <c r="DP1520">
        <f>IF(DI1520=1,DP$7,0)</f>
        <v>0</v>
      </c>
      <c r="DQ1520">
        <f>IF(DJ1520=1,DQ$7,0)</f>
        <v>0</v>
      </c>
      <c r="DR1520">
        <f>IF(DK1520=1,DR$7,0)</f>
        <v>0</v>
      </c>
      <c r="DS1520" t="str">
        <f>IF(DL1520=1,DS$7,0)</f>
        <v>Timber</v>
      </c>
      <c r="DT1520">
        <v>0</v>
      </c>
      <c r="DU1520">
        <v>1</v>
      </c>
      <c r="DV1520" t="s">
        <v>304</v>
      </c>
      <c r="DW1520">
        <v>0</v>
      </c>
      <c r="DX1520">
        <v>0</v>
      </c>
      <c r="DY1520">
        <f>SUM(DT1520:DU1520)</f>
        <v>1</v>
      </c>
      <c r="DZ1520" s="143" t="str">
        <f>IF(DT1520=1,"self-calculated DF",IF(DU1520=1,"external DF used","explicit C balance"))</f>
        <v>external DF used</v>
      </c>
      <c r="EA1520">
        <v>0</v>
      </c>
      <c r="EB1520">
        <v>1</v>
      </c>
      <c r="EC1520">
        <v>1</v>
      </c>
      <c r="ED1520">
        <v>1</v>
      </c>
      <c r="EE1520">
        <v>1</v>
      </c>
      <c r="EF1520" s="143">
        <v>0</v>
      </c>
      <c r="EG1520">
        <v>1</v>
      </c>
      <c r="EH1520">
        <v>1</v>
      </c>
      <c r="EI1520">
        <v>0</v>
      </c>
      <c r="EJ1520">
        <v>1</v>
      </c>
      <c r="EK1520">
        <v>1</v>
      </c>
      <c r="EL1520">
        <v>1</v>
      </c>
      <c r="EM1520">
        <v>0</v>
      </c>
      <c r="EN1520" s="2">
        <v>0</v>
      </c>
      <c r="EP1520" t="str">
        <f>IF(AND(AND(AND(OR($EC1520=1,$EB1520=1),OR($EH1520=1,$EF1520=1)),SUM($EA1520:$EE1520,$EK1520)&gt;=3),SUM($EF1520:$EJ1520)&gt;=2),"Whole sector approach","")</f>
        <v>Whole sector approach</v>
      </c>
      <c r="EQ1520" t="str">
        <f>IF(AND(AND(OR($EC1520=1,$EB1520=1),AND($EH1520=0,$EF1520=0)),SUM($EA1520:$EE1520,$EK1520)&gt;=4),"Ecosystem approach","")</f>
        <v/>
      </c>
      <c r="ER1520" s="2" t="str">
        <f>IF(AND(AND(AND($EC1520=0,$EB1520=0),OR($EH1520=1,$EF1520=1)),SUM($EG1520:$EJ1520)&gt;=2),"Technology approach","")</f>
        <v/>
      </c>
      <c r="ES1520" t="str">
        <f>IF(AND($EC1520+$EB1520+$EE1520+$EA1520+$ED1520+$EG1520=0,$N1520="included"),"C neutral forest and HWP assumption","")</f>
        <v/>
      </c>
      <c r="ET1520" t="str">
        <f>IF(AND(AND(AND(AND($EC1520=1,$EB1520+$EA1520+$EG1520&gt;=1),$EF1520=1),$EH1520+$EI1520+$ED1520+$EE1520&gt;=2),$N1520="included"),"All C pools assumption","")</f>
        <v/>
      </c>
      <c r="EU1520" t="str">
        <f>IF(AND($ED1520+$EE1520+$EI1520+$EH1520+$EF1520=0,$N1520="included"),"In-situ only assumption","")</f>
        <v/>
      </c>
      <c r="EY1520" t="str">
        <f>IF(ISNUMBER(BW1520),IF(ABS(BW1520-[2]QC_indicators!$B$2)&gt;3*[2]QC_indicators!$C$2,"C ratio",IF(ISNUMBER(CA1520),IF(ABS(CA1520-[2]QC_indicators!$B$1)&gt;3*[2]QC_indicators!$C$1,"DF","no"))),IF(ISNUMBER(CA1520),IF(ABS(CA1520-[2]QC_indicators!$B$1)&gt;3*[2]QC_indicators!$C$1,"DF","no")))</f>
        <v>no</v>
      </c>
      <c r="EZ1520" t="s">
        <v>286</v>
      </c>
      <c r="FA1520" t="str">
        <f>IF(LEN($CY1520)=0,"",IF(AND($CY1520&lt;(-0.05),$ES1520="C neutral forest and HWP assumption"),"Cneutral paradox",IF(AND($CY1520&gt;0.05,$EU1520="In-situ only assumption"),"In-situ only paradox","")))</f>
        <v/>
      </c>
      <c r="FB1520" t="s">
        <v>296</v>
      </c>
      <c r="FD1520" s="260" t="s">
        <v>2948</v>
      </c>
    </row>
    <row r="1521" spans="1:160" ht="15" hidden="1" customHeight="1">
      <c r="A1521" s="1" t="s">
        <v>265</v>
      </c>
      <c r="B1521" t="s">
        <v>266</v>
      </c>
      <c r="C1521" t="s">
        <v>267</v>
      </c>
      <c r="D1521" t="s">
        <v>268</v>
      </c>
      <c r="E1521" t="s">
        <v>269</v>
      </c>
      <c r="F1521" t="s">
        <v>270</v>
      </c>
      <c r="G1521" t="s">
        <v>271</v>
      </c>
      <c r="H1521" t="s">
        <v>254</v>
      </c>
      <c r="I1521">
        <v>2022</v>
      </c>
      <c r="J1521">
        <v>0</v>
      </c>
      <c r="K1521" t="s">
        <v>272</v>
      </c>
      <c r="M1521" t="str">
        <f>LEFT($D1521,FIND(",",$D1521)-1)&amp;"_"&amp;I1521&amp;L1521</f>
        <v>Aryapratama_2022</v>
      </c>
      <c r="N1521" t="s">
        <v>222</v>
      </c>
      <c r="O1521" s="145" t="s">
        <v>274</v>
      </c>
      <c r="Q1521" t="s">
        <v>224</v>
      </c>
      <c r="R1521" s="258" t="s">
        <v>223</v>
      </c>
      <c r="S1521" s="259" t="s">
        <v>2784</v>
      </c>
      <c r="T1521" t="s">
        <v>305</v>
      </c>
      <c r="U1521" t="s">
        <v>284</v>
      </c>
      <c r="V1521" s="253">
        <v>0</v>
      </c>
      <c r="W1521" s="253">
        <v>0</v>
      </c>
      <c r="X1521">
        <v>0</v>
      </c>
      <c r="Y1521">
        <v>0</v>
      </c>
      <c r="Z1521">
        <v>0</v>
      </c>
      <c r="AA1521">
        <v>0</v>
      </c>
      <c r="AB1521">
        <v>0</v>
      </c>
      <c r="AC1521">
        <v>0</v>
      </c>
      <c r="AD1521">
        <v>0</v>
      </c>
      <c r="AE1521">
        <v>0</v>
      </c>
      <c r="AF1521">
        <v>0</v>
      </c>
      <c r="AG1521">
        <v>0</v>
      </c>
      <c r="AH1521">
        <v>0</v>
      </c>
      <c r="AI1521">
        <v>0</v>
      </c>
      <c r="AJ1521">
        <v>0</v>
      </c>
      <c r="AK1521">
        <v>0</v>
      </c>
      <c r="AL1521">
        <v>0</v>
      </c>
      <c r="AM1521">
        <v>1</v>
      </c>
      <c r="AN1521">
        <v>0</v>
      </c>
      <c r="AO1521">
        <v>0</v>
      </c>
      <c r="AP1521">
        <v>0</v>
      </c>
      <c r="AQ1521">
        <v>0</v>
      </c>
      <c r="AR1521">
        <v>0</v>
      </c>
      <c r="AS1521">
        <v>0</v>
      </c>
      <c r="AT1521">
        <v>0</v>
      </c>
      <c r="AU1521">
        <v>0</v>
      </c>
      <c r="AV1521">
        <v>0</v>
      </c>
      <c r="AW1521">
        <v>0</v>
      </c>
      <c r="AX1521">
        <v>0</v>
      </c>
      <c r="AY1521">
        <v>0</v>
      </c>
      <c r="AZ1521" s="141">
        <f>COUNTIF(X1521:AY1521,"&lt;&gt;0")</f>
        <v>1</v>
      </c>
      <c r="BA1521" s="141">
        <f>COUNTIF(X1521:AN1521,"&lt;&gt;0")</f>
        <v>1</v>
      </c>
      <c r="BB1521">
        <f>COUNTIF(X1521:AE1521,"&lt;&gt;0")</f>
        <v>0</v>
      </c>
      <c r="BC1521">
        <f>COUNTIF(AF1521:AK1521,"&lt;&gt;0")</f>
        <v>0</v>
      </c>
      <c r="BD1521">
        <f>COUNTIF(AL1521:AN1521,"&lt;&gt;0")</f>
        <v>1</v>
      </c>
      <c r="BE1521">
        <f>COUNTIF(AU1521:AY1521,"&lt;&gt;0")</f>
        <v>0</v>
      </c>
      <c r="BF1521">
        <f>COUNTIF(AO1521:AT1521,"&lt;&gt;0")</f>
        <v>0</v>
      </c>
      <c r="BG1521" t="str">
        <f t="array" ref="BG1521">IF(BA1521=1,INDEX($X$7:$AN$7,MATCH(TRUE,INDEX($X1521:$AY1521&lt;&gt;0,),0)),IF(BA1521=0,INDEX($AO$7:$AY$7,MATCH(1,$AO1521:$AY1521,0)),IF(BH1521="Multiple strategies","mixed drivers",IF(BH1521="Supply chain","multiple supply","multiple silviculture"))))</f>
        <v>technologies/design switch</v>
      </c>
      <c r="BH1521" s="2" t="str" cm="1">
        <f t="array" ref="BH1521">IF(COUNTIF(BB1521:BD1521,"&lt;&gt;0")=1,INDEX($X$4:$AY$4,MATCH(TRUE,INDEX($X1521:$AY1521&lt;&gt;0,),0)),IF(COUNTIF(BB1521:BD1521,"&lt;&gt;0")=0,INDEX($AO$4:$AY$4,MATCH(1,$AO1521:$AY1521,0)),"Multiple strategies"))</f>
        <v>Technology</v>
      </c>
      <c r="BI1521" s="1" t="s">
        <v>229</v>
      </c>
      <c r="BJ1521" t="s">
        <v>277</v>
      </c>
      <c r="BK1521" s="260" t="s">
        <v>2785</v>
      </c>
      <c r="BL1521" t="s">
        <v>278</v>
      </c>
      <c r="BM1521">
        <v>0</v>
      </c>
      <c r="BN1521">
        <v>11.564535948479303</v>
      </c>
      <c r="BP1521">
        <f>BN1521-BM1521</f>
        <v>11.564535948479303</v>
      </c>
      <c r="BQ1521">
        <f>BP1521*tC_to_m3</f>
        <v>50.215093132780304</v>
      </c>
      <c r="BR1521" t="s">
        <v>232</v>
      </c>
      <c r="BS1521" s="153" t="s">
        <v>2786</v>
      </c>
      <c r="BT1521" t="s">
        <v>279</v>
      </c>
      <c r="BU1521">
        <v>75.991198542896527</v>
      </c>
      <c r="BV1521">
        <v>100.2569126004381</v>
      </c>
      <c r="BW1521" s="144">
        <f>IFERROR(BV1521/BU1521,"")</f>
        <v>1.3193226916120258</v>
      </c>
      <c r="BX1521">
        <f>BV1521-BU1521</f>
        <v>24.265714057541572</v>
      </c>
      <c r="BZ1521">
        <f>BX1521</f>
        <v>24.265714057541572</v>
      </c>
      <c r="CA1521">
        <f>IFERROR(BZ1521/BQ1521,"")</f>
        <v>0.48323546853487698</v>
      </c>
      <c r="CB1521">
        <v>0</v>
      </c>
      <c r="CC1521">
        <v>0</v>
      </c>
      <c r="CD1521">
        <v>0</v>
      </c>
      <c r="CE1521">
        <v>0</v>
      </c>
      <c r="CF1521">
        <v>0</v>
      </c>
      <c r="CG1521">
        <v>0</v>
      </c>
      <c r="CH1521">
        <v>0</v>
      </c>
      <c r="CI1521">
        <v>0</v>
      </c>
      <c r="CJ1521">
        <v>0</v>
      </c>
      <c r="CK1521">
        <v>0</v>
      </c>
      <c r="CL1521">
        <v>0</v>
      </c>
      <c r="CM1521">
        <v>0</v>
      </c>
      <c r="CN1521">
        <v>0</v>
      </c>
      <c r="CO1521">
        <v>0</v>
      </c>
      <c r="CP1521" t="str">
        <f>IF($BN1521&lt;$BM1521,"refNeedCorrection","refOK")</f>
        <v>refOK</v>
      </c>
      <c r="CQ1521">
        <f>IF($CP1521="refOK",$BM1521,$BN1521)</f>
        <v>0</v>
      </c>
      <c r="CR1521">
        <f>IF($CP1521="refOK",$BN1521,$BM1521)</f>
        <v>11.564535948479303</v>
      </c>
      <c r="CS1521">
        <f>IF($CP1521="refOK",$BQ1521,-$BQ1521)</f>
        <v>50.215093132780304</v>
      </c>
      <c r="CT1521">
        <f>IF(BI1521="Roundwood",$CS1521/2,$CS1521)</f>
        <v>50.215093132780304</v>
      </c>
      <c r="CU1521">
        <f>IF($CP1521="refOK",$BU1521,$BV1521)*IF($BR1521="Emissions positive",-1,1)</f>
        <v>75.991198542896527</v>
      </c>
      <c r="CV1521">
        <f>IF($CP1521="refOK",$BV1521,$BU1521)*IF($BR1521="Emissions positive",-1,1)</f>
        <v>100.2569126004381</v>
      </c>
      <c r="CW1521">
        <f>IF($CP1521="refNeedCorrection",-BZ1521,BZ1521)*IF($BR1521="Emissions positive",-1,1)</f>
        <v>24.265714057541572</v>
      </c>
      <c r="CX1521">
        <f>IFERROR($CW1521/$CS1521,"")</f>
        <v>0.48323546853487698</v>
      </c>
      <c r="CY1521">
        <f>IFERROR($CW1521/$CS1521,"")</f>
        <v>0.48323546853487698</v>
      </c>
      <c r="CZ1521">
        <f>IFERROR($CW1521/$CT1521,"")</f>
        <v>0.48323546853487698</v>
      </c>
      <c r="DA1521" s="2">
        <f>IFERROR((CV1521-CU1521)/ABS(CU1521),"")</f>
        <v>0.31932269161202581</v>
      </c>
      <c r="DB1521" s="1" t="s">
        <v>234</v>
      </c>
      <c r="DC1521" t="str">
        <f>IF(OR($DB1521="prd",$DB1521="std",$DB1521="cit"),"loc",IF(OR($DB1521="eur",$DB1521="reg",$DB1521="coy"),"reg",$DB1521))</f>
        <v>loc</v>
      </c>
      <c r="DD1521" t="s">
        <v>280</v>
      </c>
      <c r="DG1521">
        <v>50</v>
      </c>
      <c r="DH1521" t="str">
        <f>IF(DG1521=0,"0",IF(AND(DG1521&gt;=1,DG1521&lt;=30),"1-30",IF(AND(DG1521&gt;30,DG1521&lt;=70),"31-70",IF(AND(DG1521&gt;70,DG1521&lt;=100),"71-100",IF(DG1521&gt;100,"+100")))))</f>
        <v>31-70</v>
      </c>
      <c r="DI1521">
        <v>0</v>
      </c>
      <c r="DJ1521">
        <v>0</v>
      </c>
      <c r="DK1521">
        <v>0</v>
      </c>
      <c r="DL1521">
        <v>1</v>
      </c>
      <c r="DN1521">
        <f>SUM(DI1521:DL1521)</f>
        <v>1</v>
      </c>
      <c r="DO1521" t="str">
        <f>IF(DN1521=1,INDEX($DI$7:$DL$7,MATCH(1,$DI1521:$DL1521,0)),"mixedProduct")</f>
        <v>TimberInput</v>
      </c>
      <c r="DP1521">
        <f>IF(DI1521=1,DP$7,0)</f>
        <v>0</v>
      </c>
      <c r="DQ1521">
        <f>IF(DJ1521=1,DQ$7,0)</f>
        <v>0</v>
      </c>
      <c r="DR1521">
        <f>IF(DK1521=1,DR$7,0)</f>
        <v>0</v>
      </c>
      <c r="DS1521" t="str">
        <f>IF(DL1521=1,DS$7,0)</f>
        <v>Timber</v>
      </c>
      <c r="DT1521">
        <v>0</v>
      </c>
      <c r="DU1521">
        <v>1</v>
      </c>
      <c r="DV1521">
        <v>0</v>
      </c>
      <c r="DW1521" t="s">
        <v>281</v>
      </c>
      <c r="DX1521">
        <v>0</v>
      </c>
      <c r="DY1521">
        <f>SUM(DT1521:DU1521)</f>
        <v>1</v>
      </c>
      <c r="DZ1521" s="143" t="str">
        <f>IF(DT1521=1,"self-calculated DF",IF(DU1521=1,"external DF used","explicit C balance"))</f>
        <v>external DF used</v>
      </c>
      <c r="EA1521">
        <v>0</v>
      </c>
      <c r="EB1521">
        <v>1</v>
      </c>
      <c r="EC1521">
        <v>1</v>
      </c>
      <c r="ED1521">
        <v>1</v>
      </c>
      <c r="EE1521">
        <v>1</v>
      </c>
      <c r="EF1521" s="143">
        <v>0</v>
      </c>
      <c r="EG1521">
        <v>1</v>
      </c>
      <c r="EH1521">
        <v>1</v>
      </c>
      <c r="EI1521">
        <v>0</v>
      </c>
      <c r="EJ1521">
        <v>1</v>
      </c>
      <c r="EK1521">
        <v>1</v>
      </c>
      <c r="EL1521">
        <v>1</v>
      </c>
      <c r="EM1521">
        <v>0</v>
      </c>
      <c r="EN1521" s="2">
        <v>0</v>
      </c>
      <c r="EP1521" t="str">
        <f>IF(AND(AND(AND(OR($EC1521=1,$EB1521=1),OR($EH1521=1,$EF1521=1)),SUM($EA1521:$EE1521,$EK1521)&gt;=3),SUM($EF1521:$EJ1521)&gt;=2),"Whole sector approach","")</f>
        <v>Whole sector approach</v>
      </c>
      <c r="EQ1521" t="str">
        <f>IF(AND(AND(OR($EC1521=1,$EB1521=1),AND($EH1521=0,$EF1521=0)),SUM($EA1521:$EE1521,$EK1521)&gt;=4),"Ecosystem approach","")</f>
        <v/>
      </c>
      <c r="ER1521" s="2" t="str">
        <f>IF(AND(AND(AND($EC1521=0,$EB1521=0),OR($EH1521=1,$EF1521=1)),SUM($EG1521:$EJ1521)&gt;=2),"Technology approach","")</f>
        <v/>
      </c>
      <c r="ES1521" t="str">
        <f>IF(AND($EC1521+$EB1521+$EE1521+$EA1521+$ED1521+$EG1521=0,$N1521="included"),"C neutral forest and HWP assumption","")</f>
        <v/>
      </c>
      <c r="ET1521" t="str">
        <f>IF(AND(AND(AND(AND($EC1521=1,$EB1521+$EA1521+$EG1521&gt;=1),$EF1521=1),$EH1521+$EI1521+$ED1521+$EE1521&gt;=2),$N1521="included"),"All C pools assumption","")</f>
        <v/>
      </c>
      <c r="EU1521" t="str">
        <f>IF(AND($ED1521+$EE1521+$EI1521+$EH1521+$EF1521=0,$N1521="included"),"In-situ only assumption","")</f>
        <v/>
      </c>
      <c r="EY1521" t="str">
        <f>IF(ISNUMBER(BW1521),IF(ABS(BW1521-[2]QC_indicators!$B$2)&gt;3*[2]QC_indicators!$C$2,"C ratio",IF(ISNUMBER(CA1521),IF(ABS(CA1521-[2]QC_indicators!$B$1)&gt;3*[2]QC_indicators!$C$1,"DF","no"))),IF(ISNUMBER(CA1521),IF(ABS(CA1521-[2]QC_indicators!$B$1)&gt;3*[2]QC_indicators!$C$1,"DF","no")))</f>
        <v>no</v>
      </c>
      <c r="EZ1521" t="s">
        <v>286</v>
      </c>
      <c r="FA1521" t="str">
        <f>IF(LEN($CY1521)=0,"",IF(AND($CY1521&lt;(-0.05),$ES1521="C neutral forest and HWP assumption"),"Cneutral paradox",IF(AND($CY1521&gt;0.05,$EU1521="In-situ only assumption"),"In-situ only paradox","")))</f>
        <v/>
      </c>
      <c r="FD1521" s="260" t="s">
        <v>2948</v>
      </c>
    </row>
    <row r="1522" spans="1:160" ht="15" hidden="1" customHeight="1">
      <c r="A1522" s="1" t="s">
        <v>265</v>
      </c>
      <c r="B1522" t="s">
        <v>266</v>
      </c>
      <c r="C1522" t="s">
        <v>267</v>
      </c>
      <c r="D1522" t="s">
        <v>268</v>
      </c>
      <c r="E1522" t="s">
        <v>269</v>
      </c>
      <c r="F1522" t="s">
        <v>270</v>
      </c>
      <c r="G1522" t="s">
        <v>271</v>
      </c>
      <c r="H1522" t="s">
        <v>254</v>
      </c>
      <c r="I1522">
        <v>2022</v>
      </c>
      <c r="J1522">
        <v>0</v>
      </c>
      <c r="K1522" t="s">
        <v>272</v>
      </c>
      <c r="M1522" t="str">
        <f>LEFT($D1522,FIND(",",$D1522)-1)&amp;"_"&amp;I1522&amp;L1522</f>
        <v>Aryapratama_2022</v>
      </c>
      <c r="N1522" t="s">
        <v>222</v>
      </c>
      <c r="O1522" s="145" t="s">
        <v>274</v>
      </c>
      <c r="Q1522" t="s">
        <v>224</v>
      </c>
      <c r="R1522" s="258" t="s">
        <v>223</v>
      </c>
      <c r="S1522" s="259" t="s">
        <v>2784</v>
      </c>
      <c r="T1522" t="s">
        <v>306</v>
      </c>
      <c r="U1522" t="s">
        <v>288</v>
      </c>
      <c r="V1522" s="253">
        <v>0</v>
      </c>
      <c r="W1522" s="253">
        <v>0</v>
      </c>
      <c r="X1522">
        <v>0</v>
      </c>
      <c r="Y1522">
        <v>0</v>
      </c>
      <c r="Z1522">
        <v>0</v>
      </c>
      <c r="AA1522">
        <v>0</v>
      </c>
      <c r="AB1522">
        <v>0</v>
      </c>
      <c r="AC1522">
        <v>0</v>
      </c>
      <c r="AD1522">
        <v>0</v>
      </c>
      <c r="AE1522">
        <v>0</v>
      </c>
      <c r="AF1522">
        <v>0</v>
      </c>
      <c r="AG1522">
        <v>0</v>
      </c>
      <c r="AH1522">
        <v>0</v>
      </c>
      <c r="AI1522">
        <v>0</v>
      </c>
      <c r="AJ1522">
        <v>0</v>
      </c>
      <c r="AK1522">
        <v>0</v>
      </c>
      <c r="AL1522">
        <v>0</v>
      </c>
      <c r="AM1522">
        <v>1</v>
      </c>
      <c r="AN1522">
        <v>0</v>
      </c>
      <c r="AO1522">
        <v>0</v>
      </c>
      <c r="AP1522">
        <v>0</v>
      </c>
      <c r="AQ1522">
        <v>0</v>
      </c>
      <c r="AR1522">
        <v>0</v>
      </c>
      <c r="AS1522">
        <v>0</v>
      </c>
      <c r="AT1522">
        <v>0</v>
      </c>
      <c r="AU1522">
        <v>0</v>
      </c>
      <c r="AV1522">
        <v>0</v>
      </c>
      <c r="AW1522">
        <v>0</v>
      </c>
      <c r="AX1522">
        <v>0</v>
      </c>
      <c r="AY1522">
        <v>0</v>
      </c>
      <c r="AZ1522" s="141">
        <f>COUNTIF(X1522:AY1522,"&lt;&gt;0")</f>
        <v>1</v>
      </c>
      <c r="BA1522" s="141">
        <f>COUNTIF(X1522:AN1522,"&lt;&gt;0")</f>
        <v>1</v>
      </c>
      <c r="BB1522">
        <f>COUNTIF(X1522:AE1522,"&lt;&gt;0")</f>
        <v>0</v>
      </c>
      <c r="BC1522">
        <f>COUNTIF(AF1522:AK1522,"&lt;&gt;0")</f>
        <v>0</v>
      </c>
      <c r="BD1522">
        <f>COUNTIF(AL1522:AN1522,"&lt;&gt;0")</f>
        <v>1</v>
      </c>
      <c r="BE1522">
        <f>COUNTIF(AU1522:AY1522,"&lt;&gt;0")</f>
        <v>0</v>
      </c>
      <c r="BF1522">
        <f>COUNTIF(AO1522:AT1522,"&lt;&gt;0")</f>
        <v>0</v>
      </c>
      <c r="BG1522" t="str">
        <f t="array" ref="BG1522">IF(BA1522=1,INDEX($X$7:$AN$7,MATCH(TRUE,INDEX($X1522:$AY1522&lt;&gt;0,),0)),IF(BA1522=0,INDEX($AO$7:$AY$7,MATCH(1,$AO1522:$AY1522,0)),IF(BH1522="Multiple strategies","mixed drivers",IF(BH1522="Supply chain","multiple supply","multiple silviculture"))))</f>
        <v>technologies/design switch</v>
      </c>
      <c r="BH1522" s="2" t="str" cm="1">
        <f t="array" ref="BH1522">IF(COUNTIF(BB1522:BD1522,"&lt;&gt;0")=1,INDEX($X$4:$AY$4,MATCH(TRUE,INDEX($X1522:$AY1522&lt;&gt;0,),0)),IF(COUNTIF(BB1522:BD1522,"&lt;&gt;0")=0,INDEX($AO$4:$AY$4,MATCH(1,$AO1522:$AY1522,0)),"Multiple strategies"))</f>
        <v>Technology</v>
      </c>
      <c r="BI1522" s="1" t="s">
        <v>229</v>
      </c>
      <c r="BJ1522" t="s">
        <v>277</v>
      </c>
      <c r="BK1522" s="260" t="s">
        <v>2785</v>
      </c>
      <c r="BL1522" t="s">
        <v>278</v>
      </c>
      <c r="BM1522">
        <v>0</v>
      </c>
      <c r="BN1522">
        <v>164.02627088979997</v>
      </c>
      <c r="BP1522">
        <f>BN1522-BM1522</f>
        <v>164.02627088979997</v>
      </c>
      <c r="BQ1522">
        <f>BP1522*tC_to_m3</f>
        <v>712.22870555709937</v>
      </c>
      <c r="BR1522" t="s">
        <v>232</v>
      </c>
      <c r="BS1522" s="153" t="s">
        <v>2786</v>
      </c>
      <c r="BT1522" t="s">
        <v>279</v>
      </c>
      <c r="BU1522">
        <v>-293.93651380696792</v>
      </c>
      <c r="BV1522">
        <v>77.331302173432363</v>
      </c>
      <c r="BW1522" s="144">
        <f>IFERROR(BV1522/BU1522,"")</f>
        <v>-0.26308845121643126</v>
      </c>
      <c r="BX1522">
        <f>BV1522-BU1522</f>
        <v>371.26781598040031</v>
      </c>
      <c r="BZ1522">
        <f>BX1522</f>
        <v>371.26781598040031</v>
      </c>
      <c r="CA1522">
        <f>IFERROR(BZ1522/BQ1522,"")</f>
        <v>0.52127611971213339</v>
      </c>
      <c r="CB1522">
        <v>0</v>
      </c>
      <c r="CC1522">
        <v>0</v>
      </c>
      <c r="CD1522">
        <v>0</v>
      </c>
      <c r="CE1522">
        <v>0</v>
      </c>
      <c r="CF1522">
        <v>0</v>
      </c>
      <c r="CG1522">
        <v>0</v>
      </c>
      <c r="CH1522">
        <v>0</v>
      </c>
      <c r="CI1522">
        <v>0</v>
      </c>
      <c r="CJ1522">
        <v>0</v>
      </c>
      <c r="CK1522">
        <v>0</v>
      </c>
      <c r="CL1522">
        <v>0</v>
      </c>
      <c r="CM1522">
        <v>0</v>
      </c>
      <c r="CN1522">
        <v>0</v>
      </c>
      <c r="CO1522">
        <v>0</v>
      </c>
      <c r="CP1522" t="str">
        <f>IF($BN1522&lt;$BM1522,"refNeedCorrection","refOK")</f>
        <v>refOK</v>
      </c>
      <c r="CQ1522">
        <f>IF($CP1522="refOK",$BM1522,$BN1522)</f>
        <v>0</v>
      </c>
      <c r="CR1522">
        <f>IF($CP1522="refOK",$BN1522,$BM1522)</f>
        <v>164.02627088979997</v>
      </c>
      <c r="CS1522">
        <f>IF($CP1522="refOK",$BQ1522,-$BQ1522)</f>
        <v>712.22870555709937</v>
      </c>
      <c r="CT1522">
        <f>IF(BI1522="Roundwood",$CS1522/2,$CS1522)</f>
        <v>712.22870555709937</v>
      </c>
      <c r="CU1522">
        <f>IF($CP1522="refOK",$BU1522,$BV1522)*IF($BR1522="Emissions positive",-1,1)</f>
        <v>-293.93651380696792</v>
      </c>
      <c r="CV1522">
        <f>IF($CP1522="refOK",$BV1522,$BU1522)*IF($BR1522="Emissions positive",-1,1)</f>
        <v>77.331302173432363</v>
      </c>
      <c r="CW1522">
        <f>IF($CP1522="refNeedCorrection",-BZ1522,BZ1522)*IF($BR1522="Emissions positive",-1,1)</f>
        <v>371.26781598040031</v>
      </c>
      <c r="CX1522">
        <f>IFERROR($CW1522/$CS1522,"")</f>
        <v>0.52127611971213339</v>
      </c>
      <c r="CY1522">
        <f>IFERROR($CW1522/$CS1522,"")</f>
        <v>0.52127611971213339</v>
      </c>
      <c r="CZ1522">
        <f>IFERROR($CW1522/$CT1522,"")</f>
        <v>0.52127611971213339</v>
      </c>
      <c r="DA1522" s="2">
        <f>IFERROR((CV1522-CU1522)/ABS(CU1522),"")</f>
        <v>1.2630884512164313</v>
      </c>
      <c r="DB1522" s="1" t="s">
        <v>234</v>
      </c>
      <c r="DC1522" t="str">
        <f>IF(OR($DB1522="prd",$DB1522="std",$DB1522="cit"),"loc",IF(OR($DB1522="eur",$DB1522="reg",$DB1522="coy"),"reg",$DB1522))</f>
        <v>loc</v>
      </c>
      <c r="DD1522" t="s">
        <v>280</v>
      </c>
      <c r="DG1522">
        <v>50</v>
      </c>
      <c r="DH1522" t="str">
        <f>IF(DG1522=0,"0",IF(AND(DG1522&gt;=1,DG1522&lt;=30),"1-30",IF(AND(DG1522&gt;30,DG1522&lt;=70),"31-70",IF(AND(DG1522&gt;70,DG1522&lt;=100),"71-100",IF(DG1522&gt;100,"+100")))))</f>
        <v>31-70</v>
      </c>
      <c r="DI1522">
        <v>0</v>
      </c>
      <c r="DJ1522">
        <v>0</v>
      </c>
      <c r="DK1522">
        <v>0</v>
      </c>
      <c r="DL1522">
        <v>1</v>
      </c>
      <c r="DN1522">
        <f>SUM(DI1522:DL1522)</f>
        <v>1</v>
      </c>
      <c r="DO1522" t="str">
        <f>IF(DN1522=1,INDEX($DI$7:$DL$7,MATCH(1,$DI1522:$DL1522,0)),"mixedProduct")</f>
        <v>TimberInput</v>
      </c>
      <c r="DP1522">
        <f>IF(DI1522=1,DP$7,0)</f>
        <v>0</v>
      </c>
      <c r="DQ1522">
        <f>IF(DJ1522=1,DQ$7,0)</f>
        <v>0</v>
      </c>
      <c r="DR1522">
        <f>IF(DK1522=1,DR$7,0)</f>
        <v>0</v>
      </c>
      <c r="DS1522" t="str">
        <f>IF(DL1522=1,DS$7,0)</f>
        <v>Timber</v>
      </c>
      <c r="DT1522">
        <v>0</v>
      </c>
      <c r="DU1522">
        <v>1</v>
      </c>
      <c r="DV1522">
        <v>0</v>
      </c>
      <c r="DW1522" t="s">
        <v>281</v>
      </c>
      <c r="DX1522">
        <v>0</v>
      </c>
      <c r="DY1522">
        <f>SUM(DT1522:DU1522)</f>
        <v>1</v>
      </c>
      <c r="DZ1522" s="143" t="str">
        <f>IF(DT1522=1,"self-calculated DF",IF(DU1522=1,"external DF used","explicit C balance"))</f>
        <v>external DF used</v>
      </c>
      <c r="EA1522">
        <v>0</v>
      </c>
      <c r="EB1522">
        <v>1</v>
      </c>
      <c r="EC1522">
        <v>1</v>
      </c>
      <c r="ED1522">
        <v>1</v>
      </c>
      <c r="EE1522">
        <v>1</v>
      </c>
      <c r="EF1522" s="143">
        <v>0</v>
      </c>
      <c r="EG1522">
        <v>1</v>
      </c>
      <c r="EH1522">
        <v>1</v>
      </c>
      <c r="EI1522">
        <v>0</v>
      </c>
      <c r="EJ1522">
        <v>1</v>
      </c>
      <c r="EK1522">
        <v>1</v>
      </c>
      <c r="EL1522">
        <v>1</v>
      </c>
      <c r="EM1522">
        <v>0</v>
      </c>
      <c r="EN1522" s="2">
        <v>0</v>
      </c>
      <c r="EP1522" t="str">
        <f>IF(AND(AND(AND(OR($EC1522=1,$EB1522=1),OR($EH1522=1,$EF1522=1)),SUM($EA1522:$EE1522,$EK1522)&gt;=3),SUM($EF1522:$EJ1522)&gt;=2),"Whole sector approach","")</f>
        <v>Whole sector approach</v>
      </c>
      <c r="EQ1522" t="str">
        <f>IF(AND(AND(OR($EC1522=1,$EB1522=1),AND($EH1522=0,$EF1522=0)),SUM($EA1522:$EE1522,$EK1522)&gt;=4),"Ecosystem approach","")</f>
        <v/>
      </c>
      <c r="ER1522" s="2" t="str">
        <f>IF(AND(AND(AND($EC1522=0,$EB1522=0),OR($EH1522=1,$EF1522=1)),SUM($EG1522:$EJ1522)&gt;=2),"Technology approach","")</f>
        <v/>
      </c>
      <c r="ES1522" t="str">
        <f>IF(AND($EC1522+$EB1522+$EE1522+$EA1522+$ED1522+$EG1522=0,$N1522="included"),"C neutral forest and HWP assumption","")</f>
        <v/>
      </c>
      <c r="ET1522" t="str">
        <f>IF(AND(AND(AND(AND($EC1522=1,$EB1522+$EA1522+$EG1522&gt;=1),$EF1522=1),$EH1522+$EI1522+$ED1522+$EE1522&gt;=2),$N1522="included"),"All C pools assumption","")</f>
        <v/>
      </c>
      <c r="EU1522" t="str">
        <f>IF(AND($ED1522+$EE1522+$EI1522+$EH1522+$EF1522=0,$N1522="included"),"In-situ only assumption","")</f>
        <v/>
      </c>
      <c r="EY1522" t="str">
        <f>IF(ISNUMBER(BW1522),IF(ABS(BW1522-[2]QC_indicators!$B$2)&gt;3*[2]QC_indicators!$C$2,"C ratio",IF(ISNUMBER(CA1522),IF(ABS(CA1522-[2]QC_indicators!$B$1)&gt;3*[2]QC_indicators!$C$1,"DF","no"))),IF(ISNUMBER(CA1522),IF(ABS(CA1522-[2]QC_indicators!$B$1)&gt;3*[2]QC_indicators!$C$1,"DF","no")))</f>
        <v>no</v>
      </c>
      <c r="EZ1522" t="s">
        <v>286</v>
      </c>
      <c r="FA1522" t="str">
        <f>IF(LEN($CY1522)=0,"",IF(AND($CY1522&lt;(-0.05),$ES1522="C neutral forest and HWP assumption"),"Cneutral paradox",IF(AND($CY1522&gt;0.05,$EU1522="In-situ only assumption"),"In-situ only paradox","")))</f>
        <v/>
      </c>
      <c r="FB1522" t="s">
        <v>296</v>
      </c>
      <c r="FD1522" s="260" t="s">
        <v>2948</v>
      </c>
    </row>
    <row r="1523" spans="1:160" ht="15" hidden="1" customHeight="1">
      <c r="A1523" s="1" t="s">
        <v>265</v>
      </c>
      <c r="B1523" t="s">
        <v>266</v>
      </c>
      <c r="C1523" t="s">
        <v>267</v>
      </c>
      <c r="D1523" t="s">
        <v>268</v>
      </c>
      <c r="E1523" t="s">
        <v>269</v>
      </c>
      <c r="F1523" t="s">
        <v>270</v>
      </c>
      <c r="G1523" t="s">
        <v>271</v>
      </c>
      <c r="H1523" t="s">
        <v>254</v>
      </c>
      <c r="I1523">
        <v>2022</v>
      </c>
      <c r="J1523">
        <v>0</v>
      </c>
      <c r="K1523" t="s">
        <v>272</v>
      </c>
      <c r="M1523" t="str">
        <f>LEFT($D1523,FIND(",",$D1523)-1)&amp;"_"&amp;I1523&amp;L1523</f>
        <v>Aryapratama_2022</v>
      </c>
      <c r="N1523" t="s">
        <v>222</v>
      </c>
      <c r="O1523" s="145" t="s">
        <v>274</v>
      </c>
      <c r="Q1523" t="s">
        <v>224</v>
      </c>
      <c r="R1523" s="258" t="s">
        <v>223</v>
      </c>
      <c r="S1523" s="259" t="s">
        <v>2784</v>
      </c>
      <c r="T1523" t="s">
        <v>307</v>
      </c>
      <c r="U1523" t="s">
        <v>308</v>
      </c>
      <c r="V1523" s="253">
        <v>0</v>
      </c>
      <c r="W1523" s="253">
        <v>0</v>
      </c>
      <c r="X1523">
        <v>0</v>
      </c>
      <c r="Y1523">
        <v>0</v>
      </c>
      <c r="Z1523">
        <v>0</v>
      </c>
      <c r="AA1523">
        <v>0</v>
      </c>
      <c r="AB1523">
        <v>0</v>
      </c>
      <c r="AC1523">
        <v>0</v>
      </c>
      <c r="AD1523">
        <v>0</v>
      </c>
      <c r="AE1523">
        <v>0</v>
      </c>
      <c r="AF1523">
        <v>0</v>
      </c>
      <c r="AG1523">
        <v>0</v>
      </c>
      <c r="AH1523">
        <v>0</v>
      </c>
      <c r="AI1523">
        <v>0</v>
      </c>
      <c r="AJ1523">
        <v>0</v>
      </c>
      <c r="AK1523">
        <v>0</v>
      </c>
      <c r="AL1523">
        <v>0</v>
      </c>
      <c r="AM1523">
        <v>1</v>
      </c>
      <c r="AN1523">
        <v>0</v>
      </c>
      <c r="AO1523">
        <v>0</v>
      </c>
      <c r="AP1523">
        <v>0</v>
      </c>
      <c r="AQ1523">
        <v>0</v>
      </c>
      <c r="AR1523">
        <v>0</v>
      </c>
      <c r="AS1523">
        <v>0</v>
      </c>
      <c r="AT1523">
        <v>0</v>
      </c>
      <c r="AU1523">
        <v>0</v>
      </c>
      <c r="AV1523">
        <v>0</v>
      </c>
      <c r="AW1523">
        <v>0</v>
      </c>
      <c r="AX1523">
        <v>0</v>
      </c>
      <c r="AY1523">
        <v>0</v>
      </c>
      <c r="AZ1523" s="141">
        <f>COUNTIF(X1523:AY1523,"&lt;&gt;0")</f>
        <v>1</v>
      </c>
      <c r="BA1523" s="141">
        <f>COUNTIF(X1523:AN1523,"&lt;&gt;0")</f>
        <v>1</v>
      </c>
      <c r="BB1523">
        <f>COUNTIF(X1523:AE1523,"&lt;&gt;0")</f>
        <v>0</v>
      </c>
      <c r="BC1523">
        <f>COUNTIF(AF1523:AK1523,"&lt;&gt;0")</f>
        <v>0</v>
      </c>
      <c r="BD1523">
        <f>COUNTIF(AL1523:AN1523,"&lt;&gt;0")</f>
        <v>1</v>
      </c>
      <c r="BE1523">
        <f>COUNTIF(AU1523:AY1523,"&lt;&gt;0")</f>
        <v>0</v>
      </c>
      <c r="BF1523">
        <f>COUNTIF(AO1523:AT1523,"&lt;&gt;0")</f>
        <v>0</v>
      </c>
      <c r="BG1523" t="str">
        <f t="array" ref="BG1523">IF(BA1523=1,INDEX($X$7:$AN$7,MATCH(TRUE,INDEX($X1523:$AY1523&lt;&gt;0,),0)),IF(BA1523=0,INDEX($AO$7:$AY$7,MATCH(1,$AO1523:$AY1523,0)),IF(BH1523="Multiple strategies","mixed drivers",IF(BH1523="Supply chain","multiple supply","multiple silviculture"))))</f>
        <v>technologies/design switch</v>
      </c>
      <c r="BH1523" s="2" t="str" cm="1">
        <f t="array" ref="BH1523">IF(COUNTIF(BB1523:BD1523,"&lt;&gt;0")=1,INDEX($X$4:$AY$4,MATCH(TRUE,INDEX($X1523:$AY1523&lt;&gt;0,),0)),IF(COUNTIF(BB1523:BD1523,"&lt;&gt;0")=0,INDEX($AO$4:$AY$4,MATCH(1,$AO1523:$AY1523,0)),"Multiple strategies"))</f>
        <v>Technology</v>
      </c>
      <c r="BI1523" s="1" t="s">
        <v>229</v>
      </c>
      <c r="BJ1523" t="s">
        <v>277</v>
      </c>
      <c r="BK1523" s="260" t="s">
        <v>2785</v>
      </c>
      <c r="BL1523" t="s">
        <v>278</v>
      </c>
      <c r="BM1523">
        <v>0</v>
      </c>
      <c r="BN1523">
        <v>227.87378039612278</v>
      </c>
      <c r="BP1523">
        <f>BN1523-BM1523</f>
        <v>227.87378039612278</v>
      </c>
      <c r="BQ1523">
        <f>BP1523*tC_to_m3</f>
        <v>989.46496046948675</v>
      </c>
      <c r="BR1523" t="s">
        <v>232</v>
      </c>
      <c r="BS1523" s="153" t="s">
        <v>2786</v>
      </c>
      <c r="BT1523" t="s">
        <v>279</v>
      </c>
      <c r="BU1523">
        <v>-385.00157645914061</v>
      </c>
      <c r="BV1523">
        <v>185.53811788022131</v>
      </c>
      <c r="BW1523" s="144">
        <f>IFERROR(BV1523/BU1523,"")</f>
        <v>-0.48191521600149101</v>
      </c>
      <c r="BX1523">
        <f>BV1523-BU1523</f>
        <v>570.53969433936186</v>
      </c>
      <c r="BZ1523">
        <f>BX1523</f>
        <v>570.53969433936186</v>
      </c>
      <c r="CA1523">
        <f>IFERROR(BZ1523/BQ1523,"")</f>
        <v>0.57661434930313149</v>
      </c>
      <c r="CB1523">
        <v>0</v>
      </c>
      <c r="CC1523">
        <v>0</v>
      </c>
      <c r="CD1523">
        <v>0</v>
      </c>
      <c r="CE1523">
        <v>0</v>
      </c>
      <c r="CF1523">
        <v>0</v>
      </c>
      <c r="CG1523">
        <v>0</v>
      </c>
      <c r="CH1523">
        <v>0</v>
      </c>
      <c r="CI1523">
        <v>0</v>
      </c>
      <c r="CJ1523">
        <v>0</v>
      </c>
      <c r="CK1523">
        <v>0</v>
      </c>
      <c r="CL1523">
        <v>0</v>
      </c>
      <c r="CM1523">
        <v>0</v>
      </c>
      <c r="CN1523">
        <v>0</v>
      </c>
      <c r="CO1523">
        <v>0</v>
      </c>
      <c r="CP1523" t="str">
        <f>IF($BN1523&lt;$BM1523,"refNeedCorrection","refOK")</f>
        <v>refOK</v>
      </c>
      <c r="CQ1523">
        <f>IF($CP1523="refOK",$BM1523,$BN1523)</f>
        <v>0</v>
      </c>
      <c r="CR1523">
        <f>IF($CP1523="refOK",$BN1523,$BM1523)</f>
        <v>227.87378039612278</v>
      </c>
      <c r="CS1523">
        <f>IF($CP1523="refOK",$BQ1523,-$BQ1523)</f>
        <v>989.46496046948675</v>
      </c>
      <c r="CT1523">
        <f>IF(BI1523="Roundwood",$CS1523/2,$CS1523)</f>
        <v>989.46496046948675</v>
      </c>
      <c r="CU1523">
        <f>IF($CP1523="refOK",$BU1523,$BV1523)*IF($BR1523="Emissions positive",-1,1)</f>
        <v>-385.00157645914061</v>
      </c>
      <c r="CV1523">
        <f>IF($CP1523="refOK",$BV1523,$BU1523)*IF($BR1523="Emissions positive",-1,1)</f>
        <v>185.53811788022131</v>
      </c>
      <c r="CW1523">
        <f>IF($CP1523="refNeedCorrection",-BZ1523,BZ1523)*IF($BR1523="Emissions positive",-1,1)</f>
        <v>570.53969433936186</v>
      </c>
      <c r="CX1523">
        <f>IFERROR($CW1523/$CS1523,"")</f>
        <v>0.57661434930313149</v>
      </c>
      <c r="CY1523">
        <f>IFERROR($CW1523/$CS1523,"")</f>
        <v>0.57661434930313149</v>
      </c>
      <c r="CZ1523">
        <f>IFERROR($CW1523/$CT1523,"")</f>
        <v>0.57661434930313149</v>
      </c>
      <c r="DA1523" s="2">
        <f>IFERROR((CV1523-CU1523)/ABS(CU1523),"")</f>
        <v>1.4819152160014908</v>
      </c>
      <c r="DB1523" s="1" t="s">
        <v>234</v>
      </c>
      <c r="DC1523" t="str">
        <f>IF(OR($DB1523="prd",$DB1523="std",$DB1523="cit"),"loc",IF(OR($DB1523="eur",$DB1523="reg",$DB1523="coy"),"reg",$DB1523))</f>
        <v>loc</v>
      </c>
      <c r="DD1523" t="s">
        <v>280</v>
      </c>
      <c r="DG1523">
        <v>100</v>
      </c>
      <c r="DH1523" t="str">
        <f>IF(DG1523=0,"0",IF(AND(DG1523&gt;=1,DG1523&lt;=30),"1-30",IF(AND(DG1523&gt;30,DG1523&lt;=70),"31-70",IF(AND(DG1523&gt;70,DG1523&lt;=100),"71-100",IF(DG1523&gt;100,"+100")))))</f>
        <v>71-100</v>
      </c>
      <c r="DI1523">
        <v>0</v>
      </c>
      <c r="DJ1523">
        <v>0</v>
      </c>
      <c r="DK1523">
        <v>0</v>
      </c>
      <c r="DL1523">
        <v>1</v>
      </c>
      <c r="DN1523">
        <f>SUM(DI1523:DL1523)</f>
        <v>1</v>
      </c>
      <c r="DO1523" t="str">
        <f>IF(DN1523=1,INDEX($DI$7:$DL$7,MATCH(1,$DI1523:$DL1523,0)),"mixedProduct")</f>
        <v>TimberInput</v>
      </c>
      <c r="DP1523">
        <f>IF(DI1523=1,DP$7,0)</f>
        <v>0</v>
      </c>
      <c r="DQ1523">
        <f>IF(DJ1523=1,DQ$7,0)</f>
        <v>0</v>
      </c>
      <c r="DR1523">
        <f>IF(DK1523=1,DR$7,0)</f>
        <v>0</v>
      </c>
      <c r="DS1523" t="str">
        <f>IF(DL1523=1,DS$7,0)</f>
        <v>Timber</v>
      </c>
      <c r="DT1523">
        <v>0</v>
      </c>
      <c r="DU1523">
        <v>1</v>
      </c>
      <c r="DV1523" t="s">
        <v>304</v>
      </c>
      <c r="DW1523">
        <v>0</v>
      </c>
      <c r="DX1523">
        <v>0</v>
      </c>
      <c r="DY1523">
        <f>SUM(DT1523:DU1523)</f>
        <v>1</v>
      </c>
      <c r="DZ1523" s="143" t="str">
        <f>IF(DT1523=1,"self-calculated DF",IF(DU1523=1,"external DF used","explicit C balance"))</f>
        <v>external DF used</v>
      </c>
      <c r="EA1523">
        <v>0</v>
      </c>
      <c r="EB1523">
        <v>1</v>
      </c>
      <c r="EC1523">
        <v>1</v>
      </c>
      <c r="ED1523">
        <v>1</v>
      </c>
      <c r="EE1523">
        <v>1</v>
      </c>
      <c r="EF1523" s="143">
        <v>0</v>
      </c>
      <c r="EG1523">
        <v>1</v>
      </c>
      <c r="EH1523">
        <v>1</v>
      </c>
      <c r="EI1523">
        <v>0</v>
      </c>
      <c r="EJ1523">
        <v>1</v>
      </c>
      <c r="EK1523">
        <v>1</v>
      </c>
      <c r="EL1523">
        <v>1</v>
      </c>
      <c r="EM1523">
        <v>0</v>
      </c>
      <c r="EN1523" s="2">
        <v>0</v>
      </c>
      <c r="EP1523" t="str">
        <f>IF(AND(AND(AND(OR($EC1523=1,$EB1523=1),OR($EH1523=1,$EF1523=1)),SUM($EA1523:$EE1523,$EK1523)&gt;=3),SUM($EF1523:$EJ1523)&gt;=2),"Whole sector approach","")</f>
        <v>Whole sector approach</v>
      </c>
      <c r="EQ1523" t="str">
        <f>IF(AND(AND(OR($EC1523=1,$EB1523=1),AND($EH1523=0,$EF1523=0)),SUM($EA1523:$EE1523,$EK1523)&gt;=4),"Ecosystem approach","")</f>
        <v/>
      </c>
      <c r="ER1523" s="2" t="str">
        <f>IF(AND(AND(AND($EC1523=0,$EB1523=0),OR($EH1523=1,$EF1523=1)),SUM($EG1523:$EJ1523)&gt;=2),"Technology approach","")</f>
        <v/>
      </c>
      <c r="ES1523" t="str">
        <f>IF(AND($EC1523+$EB1523+$EE1523+$EA1523+$ED1523+$EG1523=0,$N1523="included"),"C neutral forest and HWP assumption","")</f>
        <v/>
      </c>
      <c r="ET1523" t="str">
        <f>IF(AND(AND(AND(AND($EC1523=1,$EB1523+$EA1523+$EG1523&gt;=1),$EF1523=1),$EH1523+$EI1523+$ED1523+$EE1523&gt;=2),$N1523="included"),"All C pools assumption","")</f>
        <v/>
      </c>
      <c r="EU1523" t="str">
        <f>IF(AND($ED1523+$EE1523+$EI1523+$EH1523+$EF1523=0,$N1523="included"),"In-situ only assumption","")</f>
        <v/>
      </c>
      <c r="EY1523" t="str">
        <f>IF(ISNUMBER(BW1523),IF(ABS(BW1523-[2]QC_indicators!$B$2)&gt;3*[2]QC_indicators!$C$2,"C ratio",IF(ISNUMBER(CA1523),IF(ABS(CA1523-[2]QC_indicators!$B$1)&gt;3*[2]QC_indicators!$C$1,"DF","no"))),IF(ISNUMBER(CA1523),IF(ABS(CA1523-[2]QC_indicators!$B$1)&gt;3*[2]QC_indicators!$C$1,"DF","no")))</f>
        <v>no</v>
      </c>
      <c r="EZ1523" t="s">
        <v>286</v>
      </c>
      <c r="FA1523" t="str">
        <f>IF(LEN($CY1523)=0,"",IF(AND($CY1523&lt;(-0.05),$ES1523="C neutral forest and HWP assumption"),"Cneutral paradox",IF(AND($CY1523&gt;0.05,$EU1523="In-situ only assumption"),"In-situ only paradox","")))</f>
        <v/>
      </c>
      <c r="FB1523" t="s">
        <v>296</v>
      </c>
      <c r="FD1523" s="260" t="s">
        <v>2948</v>
      </c>
    </row>
    <row r="1524" spans="1:160" ht="15" hidden="1" customHeight="1">
      <c r="A1524" s="1" t="s">
        <v>265</v>
      </c>
      <c r="B1524" t="s">
        <v>266</v>
      </c>
      <c r="C1524" t="s">
        <v>267</v>
      </c>
      <c r="D1524" t="s">
        <v>268</v>
      </c>
      <c r="E1524" t="s">
        <v>269</v>
      </c>
      <c r="F1524" t="s">
        <v>270</v>
      </c>
      <c r="G1524" t="s">
        <v>271</v>
      </c>
      <c r="H1524" t="s">
        <v>254</v>
      </c>
      <c r="I1524">
        <v>2022</v>
      </c>
      <c r="J1524">
        <v>0</v>
      </c>
      <c r="K1524" t="s">
        <v>272</v>
      </c>
      <c r="M1524" t="str">
        <f>LEFT($D1524,FIND(",",$D1524)-1)&amp;"_"&amp;I1524&amp;L1524</f>
        <v>Aryapratama_2022</v>
      </c>
      <c r="N1524" t="s">
        <v>222</v>
      </c>
      <c r="O1524" s="145" t="s">
        <v>274</v>
      </c>
      <c r="Q1524" t="s">
        <v>224</v>
      </c>
      <c r="R1524" s="258" t="s">
        <v>223</v>
      </c>
      <c r="S1524" s="259" t="s">
        <v>2784</v>
      </c>
      <c r="T1524" t="s">
        <v>309</v>
      </c>
      <c r="U1524" t="s">
        <v>310</v>
      </c>
      <c r="V1524" s="253">
        <v>0</v>
      </c>
      <c r="W1524" s="253">
        <v>0</v>
      </c>
      <c r="X1524">
        <v>0</v>
      </c>
      <c r="Y1524">
        <v>0</v>
      </c>
      <c r="Z1524">
        <v>0</v>
      </c>
      <c r="AA1524">
        <v>0</v>
      </c>
      <c r="AB1524">
        <v>0</v>
      </c>
      <c r="AC1524">
        <v>0</v>
      </c>
      <c r="AD1524">
        <v>0</v>
      </c>
      <c r="AE1524">
        <v>0</v>
      </c>
      <c r="AF1524">
        <v>0</v>
      </c>
      <c r="AG1524">
        <v>0</v>
      </c>
      <c r="AH1524">
        <v>0</v>
      </c>
      <c r="AI1524">
        <v>0</v>
      </c>
      <c r="AJ1524">
        <v>0</v>
      </c>
      <c r="AK1524">
        <v>0</v>
      </c>
      <c r="AL1524">
        <v>0</v>
      </c>
      <c r="AM1524">
        <v>1</v>
      </c>
      <c r="AN1524">
        <v>0</v>
      </c>
      <c r="AO1524">
        <v>0</v>
      </c>
      <c r="AP1524">
        <v>0</v>
      </c>
      <c r="AQ1524">
        <v>0</v>
      </c>
      <c r="AR1524">
        <v>0</v>
      </c>
      <c r="AS1524">
        <v>0</v>
      </c>
      <c r="AT1524">
        <v>0</v>
      </c>
      <c r="AU1524">
        <v>0</v>
      </c>
      <c r="AV1524">
        <v>0</v>
      </c>
      <c r="AW1524">
        <v>0</v>
      </c>
      <c r="AX1524">
        <v>0</v>
      </c>
      <c r="AY1524">
        <v>0</v>
      </c>
      <c r="AZ1524" s="141">
        <f>COUNTIF(X1524:AY1524,"&lt;&gt;0")</f>
        <v>1</v>
      </c>
      <c r="BA1524" s="141">
        <f>COUNTIF(X1524:AN1524,"&lt;&gt;0")</f>
        <v>1</v>
      </c>
      <c r="BB1524">
        <f>COUNTIF(X1524:AE1524,"&lt;&gt;0")</f>
        <v>0</v>
      </c>
      <c r="BC1524">
        <f>COUNTIF(AF1524:AK1524,"&lt;&gt;0")</f>
        <v>0</v>
      </c>
      <c r="BD1524">
        <f>COUNTIF(AL1524:AN1524,"&lt;&gt;0")</f>
        <v>1</v>
      </c>
      <c r="BE1524">
        <f>COUNTIF(AU1524:AY1524,"&lt;&gt;0")</f>
        <v>0</v>
      </c>
      <c r="BF1524">
        <f>COUNTIF(AO1524:AT1524,"&lt;&gt;0")</f>
        <v>0</v>
      </c>
      <c r="BG1524" t="str">
        <f t="array" ref="BG1524">IF(BA1524=1,INDEX($X$7:$AN$7,MATCH(TRUE,INDEX($X1524:$AY1524&lt;&gt;0,),0)),IF(BA1524=0,INDEX($AO$7:$AY$7,MATCH(1,$AO1524:$AY1524,0)),IF(BH1524="Multiple strategies","mixed drivers",IF(BH1524="Supply chain","multiple supply","multiple silviculture"))))</f>
        <v>technologies/design switch</v>
      </c>
      <c r="BH1524" s="2" t="str" cm="1">
        <f t="array" ref="BH1524">IF(COUNTIF(BB1524:BD1524,"&lt;&gt;0")=1,INDEX($X$4:$AY$4,MATCH(TRUE,INDEX($X1524:$AY1524&lt;&gt;0,),0)),IF(COUNTIF(BB1524:BD1524,"&lt;&gt;0")=0,INDEX($AO$4:$AY$4,MATCH(1,$AO1524:$AY1524,0)),"Multiple strategies"))</f>
        <v>Technology</v>
      </c>
      <c r="BI1524" s="1" t="s">
        <v>229</v>
      </c>
      <c r="BJ1524" t="s">
        <v>277</v>
      </c>
      <c r="BK1524" s="260" t="s">
        <v>2785</v>
      </c>
      <c r="BL1524" t="s">
        <v>278</v>
      </c>
      <c r="BM1524">
        <v>0</v>
      </c>
      <c r="BN1524">
        <v>173.90219514484585</v>
      </c>
      <c r="BP1524">
        <f>BN1524-BM1524</f>
        <v>173.90219514484585</v>
      </c>
      <c r="BQ1524">
        <f>BP1524*tC_to_m3</f>
        <v>755.11157249173186</v>
      </c>
      <c r="BR1524" t="s">
        <v>232</v>
      </c>
      <c r="BS1524" s="153" t="s">
        <v>2786</v>
      </c>
      <c r="BT1524" t="s">
        <v>279</v>
      </c>
      <c r="BU1524">
        <v>-276.3051877599944</v>
      </c>
      <c r="BV1524">
        <v>218.48492658306861</v>
      </c>
      <c r="BW1524" s="144">
        <f>IFERROR(BV1524/BU1524,"")</f>
        <v>-0.79073769245639391</v>
      </c>
      <c r="BX1524">
        <f>BV1524-BU1524</f>
        <v>494.79011434306301</v>
      </c>
      <c r="BZ1524">
        <f>BX1524</f>
        <v>494.79011434306301</v>
      </c>
      <c r="CA1524">
        <f>IFERROR(BZ1524/BQ1524,"")</f>
        <v>0.65525431256515509</v>
      </c>
      <c r="CB1524">
        <v>0</v>
      </c>
      <c r="CC1524">
        <v>0</v>
      </c>
      <c r="CD1524">
        <v>0</v>
      </c>
      <c r="CE1524">
        <v>0</v>
      </c>
      <c r="CF1524">
        <v>0</v>
      </c>
      <c r="CG1524">
        <v>0</v>
      </c>
      <c r="CH1524">
        <v>0</v>
      </c>
      <c r="CI1524">
        <v>0</v>
      </c>
      <c r="CJ1524">
        <v>0</v>
      </c>
      <c r="CK1524">
        <v>0</v>
      </c>
      <c r="CL1524">
        <v>0</v>
      </c>
      <c r="CM1524">
        <v>0</v>
      </c>
      <c r="CN1524">
        <v>0</v>
      </c>
      <c r="CO1524">
        <v>0</v>
      </c>
      <c r="CP1524" t="str">
        <f>IF($BN1524&lt;$BM1524,"refNeedCorrection","refOK")</f>
        <v>refOK</v>
      </c>
      <c r="CQ1524">
        <f>IF($CP1524="refOK",$BM1524,$BN1524)</f>
        <v>0</v>
      </c>
      <c r="CR1524">
        <f>IF($CP1524="refOK",$BN1524,$BM1524)</f>
        <v>173.90219514484585</v>
      </c>
      <c r="CS1524">
        <f>IF($CP1524="refOK",$BQ1524,-$BQ1524)</f>
        <v>755.11157249173186</v>
      </c>
      <c r="CT1524">
        <f>IF(BI1524="Roundwood",$CS1524/2,$CS1524)</f>
        <v>755.11157249173186</v>
      </c>
      <c r="CU1524">
        <f>IF($CP1524="refOK",$BU1524,$BV1524)*IF($BR1524="Emissions positive",-1,1)</f>
        <v>-276.3051877599944</v>
      </c>
      <c r="CV1524">
        <f>IF($CP1524="refOK",$BV1524,$BU1524)*IF($BR1524="Emissions positive",-1,1)</f>
        <v>218.48492658306861</v>
      </c>
      <c r="CW1524">
        <f>IF($CP1524="refNeedCorrection",-BZ1524,BZ1524)*IF($BR1524="Emissions positive",-1,1)</f>
        <v>494.79011434306301</v>
      </c>
      <c r="CX1524">
        <f>IFERROR($CW1524/$CS1524,"")</f>
        <v>0.65525431256515509</v>
      </c>
      <c r="CY1524">
        <f>IFERROR($CW1524/$CS1524,"")</f>
        <v>0.65525431256515509</v>
      </c>
      <c r="CZ1524">
        <f>IFERROR($CW1524/$CT1524,"")</f>
        <v>0.65525431256515509</v>
      </c>
      <c r="DA1524" s="2">
        <f>IFERROR((CV1524-CU1524)/ABS(CU1524),"")</f>
        <v>1.7907376924563938</v>
      </c>
      <c r="DB1524" s="1" t="s">
        <v>234</v>
      </c>
      <c r="DC1524" t="str">
        <f>IF(OR($DB1524="prd",$DB1524="std",$DB1524="cit"),"loc",IF(OR($DB1524="eur",$DB1524="reg",$DB1524="coy"),"reg",$DB1524))</f>
        <v>loc</v>
      </c>
      <c r="DD1524" t="s">
        <v>280</v>
      </c>
      <c r="DG1524">
        <v>200</v>
      </c>
      <c r="DH1524" t="str">
        <f>IF(DG1524=0,"0",IF(AND(DG1524&gt;=1,DG1524&lt;=30),"1-30",IF(AND(DG1524&gt;30,DG1524&lt;=70),"31-70",IF(AND(DG1524&gt;70,DG1524&lt;=100),"71-100",IF(DG1524&gt;100,"+100")))))</f>
        <v>+100</v>
      </c>
      <c r="DI1524">
        <v>0</v>
      </c>
      <c r="DJ1524">
        <v>0</v>
      </c>
      <c r="DK1524">
        <v>0</v>
      </c>
      <c r="DL1524">
        <v>1</v>
      </c>
      <c r="DN1524">
        <f>SUM(DI1524:DL1524)</f>
        <v>1</v>
      </c>
      <c r="DO1524" t="str">
        <f>IF(DN1524=1,INDEX($DI$7:$DL$7,MATCH(1,$DI1524:$DL1524,0)),"mixedProduct")</f>
        <v>TimberInput</v>
      </c>
      <c r="DP1524">
        <f>IF(DI1524=1,DP$7,0)</f>
        <v>0</v>
      </c>
      <c r="DQ1524">
        <f>IF(DJ1524=1,DQ$7,0)</f>
        <v>0</v>
      </c>
      <c r="DR1524">
        <f>IF(DK1524=1,DR$7,0)</f>
        <v>0</v>
      </c>
      <c r="DS1524" t="str">
        <f>IF(DL1524=1,DS$7,0)</f>
        <v>Timber</v>
      </c>
      <c r="DT1524">
        <v>0</v>
      </c>
      <c r="DU1524">
        <v>1</v>
      </c>
      <c r="DV1524" t="s">
        <v>304</v>
      </c>
      <c r="DW1524">
        <v>0</v>
      </c>
      <c r="DX1524">
        <v>0</v>
      </c>
      <c r="DY1524">
        <f>SUM(DT1524:DU1524)</f>
        <v>1</v>
      </c>
      <c r="DZ1524" s="143" t="str">
        <f>IF(DT1524=1,"self-calculated DF",IF(DU1524=1,"external DF used","explicit C balance"))</f>
        <v>external DF used</v>
      </c>
      <c r="EA1524">
        <v>0</v>
      </c>
      <c r="EB1524">
        <v>1</v>
      </c>
      <c r="EC1524">
        <v>1</v>
      </c>
      <c r="ED1524">
        <v>1</v>
      </c>
      <c r="EE1524">
        <v>1</v>
      </c>
      <c r="EF1524" s="143">
        <v>0</v>
      </c>
      <c r="EG1524">
        <v>1</v>
      </c>
      <c r="EH1524">
        <v>1</v>
      </c>
      <c r="EI1524">
        <v>0</v>
      </c>
      <c r="EJ1524">
        <v>1</v>
      </c>
      <c r="EK1524">
        <v>1</v>
      </c>
      <c r="EL1524">
        <v>1</v>
      </c>
      <c r="EM1524">
        <v>0</v>
      </c>
      <c r="EN1524" s="2">
        <v>0</v>
      </c>
      <c r="EP1524" t="str">
        <f>IF(AND(AND(AND(OR($EC1524=1,$EB1524=1),OR($EH1524=1,$EF1524=1)),SUM($EA1524:$EE1524,$EK1524)&gt;=3),SUM($EF1524:$EJ1524)&gt;=2),"Whole sector approach","")</f>
        <v>Whole sector approach</v>
      </c>
      <c r="EQ1524" t="str">
        <f>IF(AND(AND(OR($EC1524=1,$EB1524=1),AND($EH1524=0,$EF1524=0)),SUM($EA1524:$EE1524,$EK1524)&gt;=4),"Ecosystem approach","")</f>
        <v/>
      </c>
      <c r="ER1524" s="2" t="str">
        <f>IF(AND(AND(AND($EC1524=0,$EB1524=0),OR($EH1524=1,$EF1524=1)),SUM($EG1524:$EJ1524)&gt;=2),"Technology approach","")</f>
        <v/>
      </c>
      <c r="ES1524" t="str">
        <f>IF(AND($EC1524+$EB1524+$EE1524+$EA1524+$ED1524+$EG1524=0,$N1524="included"),"C neutral forest and HWP assumption","")</f>
        <v/>
      </c>
      <c r="ET1524" t="str">
        <f>IF(AND(AND(AND(AND($EC1524=1,$EB1524+$EA1524+$EG1524&gt;=1),$EF1524=1),$EH1524+$EI1524+$ED1524+$EE1524&gt;=2),$N1524="included"),"All C pools assumption","")</f>
        <v/>
      </c>
      <c r="EU1524" t="str">
        <f>IF(AND($ED1524+$EE1524+$EI1524+$EH1524+$EF1524=0,$N1524="included"),"In-situ only assumption","")</f>
        <v/>
      </c>
      <c r="EY1524" t="str">
        <f>IF(ISNUMBER(BW1524),IF(ABS(BW1524-[2]QC_indicators!$B$2)&gt;3*[2]QC_indicators!$C$2,"C ratio",IF(ISNUMBER(CA1524),IF(ABS(CA1524-[2]QC_indicators!$B$1)&gt;3*[2]QC_indicators!$C$1,"DF","no"))),IF(ISNUMBER(CA1524),IF(ABS(CA1524-[2]QC_indicators!$B$1)&gt;3*[2]QC_indicators!$C$1,"DF","no")))</f>
        <v>no</v>
      </c>
      <c r="EZ1524" t="s">
        <v>286</v>
      </c>
      <c r="FA1524" t="str">
        <f>IF(LEN($CY1524)=0,"",IF(AND($CY1524&lt;(-0.05),$ES1524="C neutral forest and HWP assumption"),"Cneutral paradox",IF(AND($CY1524&gt;0.05,$EU1524="In-situ only assumption"),"In-situ only paradox","")))</f>
        <v/>
      </c>
      <c r="FD1524" s="260" t="s">
        <v>2948</v>
      </c>
    </row>
    <row r="1525" spans="1:160" ht="15" hidden="1" customHeight="1">
      <c r="A1525" s="1" t="s">
        <v>265</v>
      </c>
      <c r="B1525" t="s">
        <v>266</v>
      </c>
      <c r="C1525" t="s">
        <v>267</v>
      </c>
      <c r="D1525" t="s">
        <v>268</v>
      </c>
      <c r="E1525" t="s">
        <v>269</v>
      </c>
      <c r="F1525" t="s">
        <v>270</v>
      </c>
      <c r="G1525" t="s">
        <v>271</v>
      </c>
      <c r="H1525" t="s">
        <v>254</v>
      </c>
      <c r="I1525">
        <v>2022</v>
      </c>
      <c r="J1525">
        <v>0</v>
      </c>
      <c r="K1525" t="s">
        <v>272</v>
      </c>
      <c r="M1525" t="str">
        <f>LEFT($D1525,FIND(",",$D1525)-1)&amp;"_"&amp;I1525&amp;L1525</f>
        <v>Aryapratama_2022</v>
      </c>
      <c r="N1525" t="s">
        <v>222</v>
      </c>
      <c r="O1525" s="145" t="s">
        <v>274</v>
      </c>
      <c r="Q1525" t="s">
        <v>224</v>
      </c>
      <c r="R1525" s="258" t="s">
        <v>223</v>
      </c>
      <c r="S1525" s="259" t="s">
        <v>2784</v>
      </c>
      <c r="T1525" t="s">
        <v>307</v>
      </c>
      <c r="U1525" t="s">
        <v>308</v>
      </c>
      <c r="V1525" s="253">
        <v>0</v>
      </c>
      <c r="W1525" s="253">
        <v>0</v>
      </c>
      <c r="X1525">
        <v>0</v>
      </c>
      <c r="Y1525">
        <v>0</v>
      </c>
      <c r="Z1525">
        <v>0</v>
      </c>
      <c r="AA1525">
        <v>0</v>
      </c>
      <c r="AB1525">
        <v>0</v>
      </c>
      <c r="AC1525">
        <v>0</v>
      </c>
      <c r="AD1525">
        <v>0</v>
      </c>
      <c r="AE1525">
        <v>0</v>
      </c>
      <c r="AF1525">
        <v>0</v>
      </c>
      <c r="AG1525">
        <v>0</v>
      </c>
      <c r="AH1525">
        <v>0</v>
      </c>
      <c r="AI1525">
        <v>0</v>
      </c>
      <c r="AJ1525">
        <v>0</v>
      </c>
      <c r="AK1525">
        <v>0</v>
      </c>
      <c r="AL1525">
        <v>0</v>
      </c>
      <c r="AM1525">
        <v>1</v>
      </c>
      <c r="AN1525">
        <v>0</v>
      </c>
      <c r="AO1525">
        <v>0</v>
      </c>
      <c r="AP1525">
        <v>0</v>
      </c>
      <c r="AQ1525">
        <v>0</v>
      </c>
      <c r="AR1525">
        <v>0</v>
      </c>
      <c r="AS1525">
        <v>0</v>
      </c>
      <c r="AT1525">
        <v>0</v>
      </c>
      <c r="AU1525">
        <v>0</v>
      </c>
      <c r="AV1525">
        <v>0</v>
      </c>
      <c r="AW1525">
        <v>0</v>
      </c>
      <c r="AX1525">
        <v>0</v>
      </c>
      <c r="AY1525">
        <v>0</v>
      </c>
      <c r="AZ1525" s="141">
        <f>COUNTIF(X1525:AY1525,"&lt;&gt;0")</f>
        <v>1</v>
      </c>
      <c r="BA1525" s="141">
        <f>COUNTIF(X1525:AN1525,"&lt;&gt;0")</f>
        <v>1</v>
      </c>
      <c r="BB1525">
        <f>COUNTIF(X1525:AE1525,"&lt;&gt;0")</f>
        <v>0</v>
      </c>
      <c r="BC1525">
        <f>COUNTIF(AF1525:AK1525,"&lt;&gt;0")</f>
        <v>0</v>
      </c>
      <c r="BD1525">
        <f>COUNTIF(AL1525:AN1525,"&lt;&gt;0")</f>
        <v>1</v>
      </c>
      <c r="BE1525">
        <f>COUNTIF(AU1525:AY1525,"&lt;&gt;0")</f>
        <v>0</v>
      </c>
      <c r="BF1525">
        <f>COUNTIF(AO1525:AT1525,"&lt;&gt;0")</f>
        <v>0</v>
      </c>
      <c r="BG1525" t="str">
        <f t="array" ref="BG1525">IF(BA1525=1,INDEX($X$7:$AN$7,MATCH(TRUE,INDEX($X1525:$AY1525&lt;&gt;0,),0)),IF(BA1525=0,INDEX($AO$7:$AY$7,MATCH(1,$AO1525:$AY1525,0)),IF(BH1525="Multiple strategies","mixed drivers",IF(BH1525="Supply chain","multiple supply","multiple silviculture"))))</f>
        <v>technologies/design switch</v>
      </c>
      <c r="BH1525" s="2" t="str" cm="1">
        <f t="array" ref="BH1525">IF(COUNTIF(BB1525:BD1525,"&lt;&gt;0")=1,INDEX($X$4:$AY$4,MATCH(TRUE,INDEX($X1525:$AY1525&lt;&gt;0,),0)),IF(COUNTIF(BB1525:BD1525,"&lt;&gt;0")=0,INDEX($AO$4:$AY$4,MATCH(1,$AO1525:$AY1525,0)),"Multiple strategies"))</f>
        <v>Technology</v>
      </c>
      <c r="BI1525" s="1" t="s">
        <v>229</v>
      </c>
      <c r="BJ1525" t="s">
        <v>277</v>
      </c>
      <c r="BK1525" s="260" t="s">
        <v>2785</v>
      </c>
      <c r="BL1525" t="s">
        <v>278</v>
      </c>
      <c r="BM1525">
        <v>0</v>
      </c>
      <c r="BN1525">
        <v>91.149512158449113</v>
      </c>
      <c r="BP1525">
        <f>BN1525-BM1525</f>
        <v>91.149512158449113</v>
      </c>
      <c r="BQ1525">
        <f>BP1525*tC_to_m3</f>
        <v>395.78598418779472</v>
      </c>
      <c r="BR1525" t="s">
        <v>232</v>
      </c>
      <c r="BS1525" s="153" t="s">
        <v>2786</v>
      </c>
      <c r="BT1525" t="s">
        <v>279</v>
      </c>
      <c r="BU1525">
        <v>-155.15650615919409</v>
      </c>
      <c r="BV1525">
        <v>254.21120760929861</v>
      </c>
      <c r="BW1525" s="144">
        <f>IFERROR(BV1525/BU1525,"")</f>
        <v>-1.6384179684251987</v>
      </c>
      <c r="BX1525">
        <f>BV1525-BU1525</f>
        <v>409.36771376849271</v>
      </c>
      <c r="BZ1525">
        <f>BX1525</f>
        <v>409.36771376849271</v>
      </c>
      <c r="CA1525">
        <f>IFERROR(BZ1525/BQ1525,"")</f>
        <v>1.0343158427112307</v>
      </c>
      <c r="CB1525">
        <v>0</v>
      </c>
      <c r="CC1525">
        <v>0</v>
      </c>
      <c r="CD1525">
        <v>0</v>
      </c>
      <c r="CE1525">
        <v>0</v>
      </c>
      <c r="CF1525">
        <v>0</v>
      </c>
      <c r="CG1525">
        <v>0</v>
      </c>
      <c r="CH1525">
        <v>0</v>
      </c>
      <c r="CI1525">
        <v>0</v>
      </c>
      <c r="CJ1525">
        <v>0</v>
      </c>
      <c r="CK1525">
        <v>0</v>
      </c>
      <c r="CL1525">
        <v>0</v>
      </c>
      <c r="CM1525">
        <v>0</v>
      </c>
      <c r="CN1525">
        <v>0</v>
      </c>
      <c r="CO1525">
        <v>0</v>
      </c>
      <c r="CP1525" t="str">
        <f>IF($BN1525&lt;$BM1525,"refNeedCorrection","refOK")</f>
        <v>refOK</v>
      </c>
      <c r="CQ1525">
        <f>IF($CP1525="refOK",$BM1525,$BN1525)</f>
        <v>0</v>
      </c>
      <c r="CR1525">
        <f>IF($CP1525="refOK",$BN1525,$BM1525)</f>
        <v>91.149512158449113</v>
      </c>
      <c r="CS1525">
        <f>IF($CP1525="refOK",$BQ1525,-$BQ1525)</f>
        <v>395.78598418779472</v>
      </c>
      <c r="CT1525">
        <f>IF(BI1525="Roundwood",$CS1525/2,$CS1525)</f>
        <v>395.78598418779472</v>
      </c>
      <c r="CU1525">
        <f>IF($CP1525="refOK",$BU1525,$BV1525)*IF($BR1525="Emissions positive",-1,1)</f>
        <v>-155.15650615919409</v>
      </c>
      <c r="CV1525">
        <f>IF($CP1525="refOK",$BV1525,$BU1525)*IF($BR1525="Emissions positive",-1,1)</f>
        <v>254.21120760929861</v>
      </c>
      <c r="CW1525">
        <f>IF($CP1525="refNeedCorrection",-BZ1525,BZ1525)*IF($BR1525="Emissions positive",-1,1)</f>
        <v>409.36771376849271</v>
      </c>
      <c r="CX1525">
        <f>IFERROR($CW1525/$CS1525,"")</f>
        <v>1.0343158427112307</v>
      </c>
      <c r="CY1525">
        <f>IFERROR($CW1525/$CS1525,"")</f>
        <v>1.0343158427112307</v>
      </c>
      <c r="CZ1525">
        <f>IFERROR($CW1525/$CT1525,"")</f>
        <v>1.0343158427112307</v>
      </c>
      <c r="DA1525" s="2">
        <f>IFERROR((CV1525-CU1525)/ABS(CU1525),"")</f>
        <v>2.6384179684251987</v>
      </c>
      <c r="DB1525" s="1" t="s">
        <v>234</v>
      </c>
      <c r="DC1525" t="str">
        <f>IF(OR($DB1525="prd",$DB1525="std",$DB1525="cit"),"loc",IF(OR($DB1525="eur",$DB1525="reg",$DB1525="coy"),"reg",$DB1525))</f>
        <v>loc</v>
      </c>
      <c r="DD1525" t="s">
        <v>280</v>
      </c>
      <c r="DG1525">
        <v>50</v>
      </c>
      <c r="DH1525" t="str">
        <f>IF(DG1525=0,"0",IF(AND(DG1525&gt;=1,DG1525&lt;=30),"1-30",IF(AND(DG1525&gt;30,DG1525&lt;=70),"31-70",IF(AND(DG1525&gt;70,DG1525&lt;=100),"71-100",IF(DG1525&gt;100,"+100")))))</f>
        <v>31-70</v>
      </c>
      <c r="DI1525">
        <v>0</v>
      </c>
      <c r="DJ1525">
        <v>0</v>
      </c>
      <c r="DK1525">
        <v>0</v>
      </c>
      <c r="DL1525">
        <v>1</v>
      </c>
      <c r="DN1525">
        <f>SUM(DI1525:DL1525)</f>
        <v>1</v>
      </c>
      <c r="DO1525" t="str">
        <f>IF(DN1525=1,INDEX($DI$7:$DL$7,MATCH(1,$DI1525:$DL1525,0)),"mixedProduct")</f>
        <v>TimberInput</v>
      </c>
      <c r="DP1525">
        <f>IF(DI1525=1,DP$7,0)</f>
        <v>0</v>
      </c>
      <c r="DQ1525">
        <f>IF(DJ1525=1,DQ$7,0)</f>
        <v>0</v>
      </c>
      <c r="DR1525">
        <f>IF(DK1525=1,DR$7,0)</f>
        <v>0</v>
      </c>
      <c r="DS1525" t="str">
        <f>IF(DL1525=1,DS$7,0)</f>
        <v>Timber</v>
      </c>
      <c r="DT1525">
        <v>0</v>
      </c>
      <c r="DU1525">
        <v>1</v>
      </c>
      <c r="DV1525" t="s">
        <v>304</v>
      </c>
      <c r="DW1525">
        <v>0</v>
      </c>
      <c r="DX1525">
        <v>0</v>
      </c>
      <c r="DY1525">
        <f>SUM(DT1525:DU1525)</f>
        <v>1</v>
      </c>
      <c r="DZ1525" s="143" t="str">
        <f>IF(DT1525=1,"self-calculated DF",IF(DU1525=1,"external DF used","explicit C balance"))</f>
        <v>external DF used</v>
      </c>
      <c r="EA1525">
        <v>0</v>
      </c>
      <c r="EB1525">
        <v>1</v>
      </c>
      <c r="EC1525">
        <v>1</v>
      </c>
      <c r="ED1525">
        <v>1</v>
      </c>
      <c r="EE1525">
        <v>1</v>
      </c>
      <c r="EF1525" s="143">
        <v>0</v>
      </c>
      <c r="EG1525">
        <v>1</v>
      </c>
      <c r="EH1525">
        <v>1</v>
      </c>
      <c r="EI1525">
        <v>0</v>
      </c>
      <c r="EJ1525">
        <v>1</v>
      </c>
      <c r="EK1525">
        <v>1</v>
      </c>
      <c r="EL1525">
        <v>1</v>
      </c>
      <c r="EM1525">
        <v>0</v>
      </c>
      <c r="EN1525" s="2">
        <v>0</v>
      </c>
      <c r="EP1525" t="str">
        <f>IF(AND(AND(AND(OR($EC1525=1,$EB1525=1),OR($EH1525=1,$EF1525=1)),SUM($EA1525:$EE1525,$EK1525)&gt;=3),SUM($EF1525:$EJ1525)&gt;=2),"Whole sector approach","")</f>
        <v>Whole sector approach</v>
      </c>
      <c r="EQ1525" t="str">
        <f>IF(AND(AND(OR($EC1525=1,$EB1525=1),AND($EH1525=0,$EF1525=0)),SUM($EA1525:$EE1525,$EK1525)&gt;=4),"Ecosystem approach","")</f>
        <v/>
      </c>
      <c r="ER1525" s="2" t="str">
        <f>IF(AND(AND(AND($EC1525=0,$EB1525=0),OR($EH1525=1,$EF1525=1)),SUM($EG1525:$EJ1525)&gt;=2),"Technology approach","")</f>
        <v/>
      </c>
      <c r="ES1525" t="str">
        <f>IF(AND($EC1525+$EB1525+$EE1525+$EA1525+$ED1525+$EG1525=0,$N1525="included"),"C neutral forest and HWP assumption","")</f>
        <v/>
      </c>
      <c r="ET1525" t="str">
        <f>IF(AND(AND(AND(AND($EC1525=1,$EB1525+$EA1525+$EG1525&gt;=1),$EF1525=1),$EH1525+$EI1525+$ED1525+$EE1525&gt;=2),$N1525="included"),"All C pools assumption","")</f>
        <v/>
      </c>
      <c r="EU1525" t="str">
        <f>IF(AND($ED1525+$EE1525+$EI1525+$EH1525+$EF1525=0,$N1525="included"),"In-situ only assumption","")</f>
        <v/>
      </c>
      <c r="EY1525" t="str">
        <f>IF(ISNUMBER(BW1525),IF(ABS(BW1525-[2]QC_indicators!$B$2)&gt;3*[2]QC_indicators!$C$2,"C ratio",IF(ISNUMBER(CA1525),IF(ABS(CA1525-[2]QC_indicators!$B$1)&gt;3*[2]QC_indicators!$C$1,"DF","no"))),IF(ISNUMBER(CA1525),IF(ABS(CA1525-[2]QC_indicators!$B$1)&gt;3*[2]QC_indicators!$C$1,"DF","no")))</f>
        <v>no</v>
      </c>
      <c r="EZ1525" t="s">
        <v>286</v>
      </c>
      <c r="FA1525" t="str">
        <f>IF(LEN($CY1525)=0,"",IF(AND($CY1525&lt;(-0.05),$ES1525="C neutral forest and HWP assumption"),"Cneutral paradox",IF(AND($CY1525&gt;0.05,$EU1525="In-situ only assumption"),"In-situ only paradox","")))</f>
        <v/>
      </c>
      <c r="FB1525" t="s">
        <v>296</v>
      </c>
      <c r="FD1525" s="260" t="s">
        <v>2948</v>
      </c>
    </row>
    <row r="1526" spans="1:160" ht="15" hidden="1" customHeight="1">
      <c r="A1526" s="1" t="s">
        <v>265</v>
      </c>
      <c r="B1526" t="s">
        <v>266</v>
      </c>
      <c r="C1526" t="s">
        <v>267</v>
      </c>
      <c r="D1526" t="s">
        <v>268</v>
      </c>
      <c r="E1526" t="s">
        <v>269</v>
      </c>
      <c r="F1526" t="s">
        <v>270</v>
      </c>
      <c r="G1526" t="s">
        <v>271</v>
      </c>
      <c r="H1526" t="s">
        <v>254</v>
      </c>
      <c r="I1526">
        <v>2022</v>
      </c>
      <c r="J1526">
        <v>0</v>
      </c>
      <c r="K1526" t="s">
        <v>272</v>
      </c>
      <c r="M1526" t="str">
        <f>LEFT($D1526,FIND(",",$D1526)-1)&amp;"_"&amp;I1526&amp;L1526</f>
        <v>Aryapratama_2022</v>
      </c>
      <c r="N1526" t="s">
        <v>222</v>
      </c>
      <c r="O1526" s="145" t="s">
        <v>274</v>
      </c>
      <c r="Q1526" t="s">
        <v>224</v>
      </c>
      <c r="R1526" s="258" t="s">
        <v>223</v>
      </c>
      <c r="S1526" s="259" t="s">
        <v>2784</v>
      </c>
      <c r="T1526" t="s">
        <v>309</v>
      </c>
      <c r="U1526" t="s">
        <v>310</v>
      </c>
      <c r="V1526" s="253">
        <v>0</v>
      </c>
      <c r="W1526" s="253">
        <v>0</v>
      </c>
      <c r="X1526">
        <v>0</v>
      </c>
      <c r="Y1526">
        <v>0</v>
      </c>
      <c r="Z1526">
        <v>0</v>
      </c>
      <c r="AA1526">
        <v>0</v>
      </c>
      <c r="AB1526">
        <v>0</v>
      </c>
      <c r="AC1526">
        <v>0</v>
      </c>
      <c r="AD1526">
        <v>0</v>
      </c>
      <c r="AE1526">
        <v>0</v>
      </c>
      <c r="AF1526">
        <v>0</v>
      </c>
      <c r="AG1526">
        <v>0</v>
      </c>
      <c r="AH1526">
        <v>0</v>
      </c>
      <c r="AI1526">
        <v>0</v>
      </c>
      <c r="AJ1526">
        <v>0</v>
      </c>
      <c r="AK1526">
        <v>0</v>
      </c>
      <c r="AL1526">
        <v>0</v>
      </c>
      <c r="AM1526">
        <v>1</v>
      </c>
      <c r="AN1526">
        <v>0</v>
      </c>
      <c r="AO1526">
        <v>0</v>
      </c>
      <c r="AP1526">
        <v>0</v>
      </c>
      <c r="AQ1526">
        <v>0</v>
      </c>
      <c r="AR1526">
        <v>0</v>
      </c>
      <c r="AS1526">
        <v>0</v>
      </c>
      <c r="AT1526">
        <v>0</v>
      </c>
      <c r="AU1526">
        <v>0</v>
      </c>
      <c r="AV1526">
        <v>0</v>
      </c>
      <c r="AW1526">
        <v>0</v>
      </c>
      <c r="AX1526">
        <v>0</v>
      </c>
      <c r="AY1526">
        <v>0</v>
      </c>
      <c r="AZ1526" s="141">
        <f>COUNTIF(X1526:AY1526,"&lt;&gt;0")</f>
        <v>1</v>
      </c>
      <c r="BA1526" s="141">
        <f>COUNTIF(X1526:AN1526,"&lt;&gt;0")</f>
        <v>1</v>
      </c>
      <c r="BB1526">
        <f>COUNTIF(X1526:AE1526,"&lt;&gt;0")</f>
        <v>0</v>
      </c>
      <c r="BC1526">
        <f>COUNTIF(AF1526:AK1526,"&lt;&gt;0")</f>
        <v>0</v>
      </c>
      <c r="BD1526">
        <f>COUNTIF(AL1526:AN1526,"&lt;&gt;0")</f>
        <v>1</v>
      </c>
      <c r="BE1526">
        <f>COUNTIF(AU1526:AY1526,"&lt;&gt;0")</f>
        <v>0</v>
      </c>
      <c r="BF1526">
        <f>COUNTIF(AO1526:AT1526,"&lt;&gt;0")</f>
        <v>0</v>
      </c>
      <c r="BG1526" t="str">
        <f t="array" ref="BG1526">IF(BA1526=1,INDEX($X$7:$AN$7,MATCH(TRUE,INDEX($X1526:$AY1526&lt;&gt;0,),0)),IF(BA1526=0,INDEX($AO$7:$AY$7,MATCH(1,$AO1526:$AY1526,0)),IF(BH1526="Multiple strategies","mixed drivers",IF(BH1526="Supply chain","multiple supply","multiple silviculture"))))</f>
        <v>technologies/design switch</v>
      </c>
      <c r="BH1526" s="2" t="str" cm="1">
        <f t="array" ref="BH1526">IF(COUNTIF(BB1526:BD1526,"&lt;&gt;0")=1,INDEX($X$4:$AY$4,MATCH(TRUE,INDEX($X1526:$AY1526&lt;&gt;0,),0)),IF(COUNTIF(BB1526:BD1526,"&lt;&gt;0")=0,INDEX($AO$4:$AY$4,MATCH(1,$AO1526:$AY1526,0)),"Multiple strategies"))</f>
        <v>Technology</v>
      </c>
      <c r="BI1526" s="1" t="s">
        <v>229</v>
      </c>
      <c r="BJ1526" t="s">
        <v>277</v>
      </c>
      <c r="BK1526" s="260" t="s">
        <v>2785</v>
      </c>
      <c r="BL1526" t="s">
        <v>278</v>
      </c>
      <c r="BM1526">
        <v>0</v>
      </c>
      <c r="BN1526">
        <v>57.967398381615283</v>
      </c>
      <c r="BP1526">
        <f>BN1526-BM1526</f>
        <v>57.967398381615283</v>
      </c>
      <c r="BQ1526">
        <f>BP1526*tC_to_m3</f>
        <v>251.70385749724397</v>
      </c>
      <c r="BR1526" t="s">
        <v>232</v>
      </c>
      <c r="BS1526" s="153" t="s">
        <v>2786</v>
      </c>
      <c r="BT1526" t="s">
        <v>279</v>
      </c>
      <c r="BU1526">
        <v>-95.845225170043378</v>
      </c>
      <c r="BV1526">
        <v>219.23948667931481</v>
      </c>
      <c r="BW1526" s="144">
        <f>IFERROR(BV1526/BU1526,"")</f>
        <v>-2.287432538140028</v>
      </c>
      <c r="BX1526">
        <f>BV1526-BU1526</f>
        <v>315.0847118493582</v>
      </c>
      <c r="BZ1526">
        <f>BX1526</f>
        <v>315.0847118493582</v>
      </c>
      <c r="CA1526">
        <f>IFERROR(BZ1526/BQ1526,"")</f>
        <v>1.2518072427746094</v>
      </c>
      <c r="CB1526">
        <v>0</v>
      </c>
      <c r="CC1526">
        <v>0</v>
      </c>
      <c r="CD1526">
        <v>0</v>
      </c>
      <c r="CE1526">
        <v>0</v>
      </c>
      <c r="CF1526">
        <v>0</v>
      </c>
      <c r="CG1526">
        <v>0</v>
      </c>
      <c r="CH1526">
        <v>0</v>
      </c>
      <c r="CI1526">
        <v>0</v>
      </c>
      <c r="CJ1526">
        <v>0</v>
      </c>
      <c r="CK1526">
        <v>0</v>
      </c>
      <c r="CL1526">
        <v>0</v>
      </c>
      <c r="CM1526">
        <v>0</v>
      </c>
      <c r="CN1526">
        <v>0</v>
      </c>
      <c r="CO1526">
        <v>0</v>
      </c>
      <c r="CP1526" t="str">
        <f>IF($BN1526&lt;$BM1526,"refNeedCorrection","refOK")</f>
        <v>refOK</v>
      </c>
      <c r="CQ1526">
        <f>IF($CP1526="refOK",$BM1526,$BN1526)</f>
        <v>0</v>
      </c>
      <c r="CR1526">
        <f>IF($CP1526="refOK",$BN1526,$BM1526)</f>
        <v>57.967398381615283</v>
      </c>
      <c r="CS1526">
        <f>IF($CP1526="refOK",$BQ1526,-$BQ1526)</f>
        <v>251.70385749724397</v>
      </c>
      <c r="CT1526">
        <f>IF(BI1526="Roundwood",$CS1526/2,$CS1526)</f>
        <v>251.70385749724397</v>
      </c>
      <c r="CU1526">
        <f>IF($CP1526="refOK",$BU1526,$BV1526)*IF($BR1526="Emissions positive",-1,1)</f>
        <v>-95.845225170043378</v>
      </c>
      <c r="CV1526">
        <f>IF($CP1526="refOK",$BV1526,$BU1526)*IF($BR1526="Emissions positive",-1,1)</f>
        <v>219.23948667931481</v>
      </c>
      <c r="CW1526">
        <f>IF($CP1526="refNeedCorrection",-BZ1526,BZ1526)*IF($BR1526="Emissions positive",-1,1)</f>
        <v>315.0847118493582</v>
      </c>
      <c r="CX1526">
        <f>IFERROR($CW1526/$CS1526,"")</f>
        <v>1.2518072427746094</v>
      </c>
      <c r="CY1526">
        <f>IFERROR($CW1526/$CS1526,"")</f>
        <v>1.2518072427746094</v>
      </c>
      <c r="CZ1526">
        <f>IFERROR($CW1526/$CT1526,"")</f>
        <v>1.2518072427746094</v>
      </c>
      <c r="DA1526" s="2">
        <f>IFERROR((CV1526-CU1526)/ABS(CU1526),"")</f>
        <v>3.287432538140028</v>
      </c>
      <c r="DB1526" s="1" t="s">
        <v>234</v>
      </c>
      <c r="DC1526" t="str">
        <f>IF(OR($DB1526="prd",$DB1526="std",$DB1526="cit"),"loc",IF(OR($DB1526="eur",$DB1526="reg",$DB1526="coy"),"reg",$DB1526))</f>
        <v>loc</v>
      </c>
      <c r="DD1526" t="s">
        <v>280</v>
      </c>
      <c r="DG1526">
        <v>100</v>
      </c>
      <c r="DH1526" t="str">
        <f>IF(DG1526=0,"0",IF(AND(DG1526&gt;=1,DG1526&lt;=30),"1-30",IF(AND(DG1526&gt;30,DG1526&lt;=70),"31-70",IF(AND(DG1526&gt;70,DG1526&lt;=100),"71-100",IF(DG1526&gt;100,"+100")))))</f>
        <v>71-100</v>
      </c>
      <c r="DI1526">
        <v>0</v>
      </c>
      <c r="DJ1526">
        <v>0</v>
      </c>
      <c r="DK1526">
        <v>0</v>
      </c>
      <c r="DL1526">
        <v>1</v>
      </c>
      <c r="DN1526">
        <f>SUM(DI1526:DL1526)</f>
        <v>1</v>
      </c>
      <c r="DO1526" t="str">
        <f>IF(DN1526=1,INDEX($DI$7:$DL$7,MATCH(1,$DI1526:$DL1526,0)),"mixedProduct")</f>
        <v>TimberInput</v>
      </c>
      <c r="DP1526">
        <f>IF(DI1526=1,DP$7,0)</f>
        <v>0</v>
      </c>
      <c r="DQ1526">
        <f>IF(DJ1526=1,DQ$7,0)</f>
        <v>0</v>
      </c>
      <c r="DR1526">
        <f>IF(DK1526=1,DR$7,0)</f>
        <v>0</v>
      </c>
      <c r="DS1526" t="str">
        <f>IF(DL1526=1,DS$7,0)</f>
        <v>Timber</v>
      </c>
      <c r="DT1526">
        <v>0</v>
      </c>
      <c r="DU1526">
        <v>1</v>
      </c>
      <c r="DV1526" t="s">
        <v>304</v>
      </c>
      <c r="DW1526">
        <v>0</v>
      </c>
      <c r="DX1526">
        <v>0</v>
      </c>
      <c r="DY1526">
        <f>SUM(DT1526:DU1526)</f>
        <v>1</v>
      </c>
      <c r="DZ1526" s="143" t="str">
        <f>IF(DT1526=1,"self-calculated DF",IF(DU1526=1,"external DF used","explicit C balance"))</f>
        <v>external DF used</v>
      </c>
      <c r="EA1526">
        <v>0</v>
      </c>
      <c r="EB1526">
        <v>1</v>
      </c>
      <c r="EC1526">
        <v>1</v>
      </c>
      <c r="ED1526">
        <v>1</v>
      </c>
      <c r="EE1526">
        <v>1</v>
      </c>
      <c r="EF1526" s="143">
        <v>0</v>
      </c>
      <c r="EG1526">
        <v>1</v>
      </c>
      <c r="EH1526">
        <v>1</v>
      </c>
      <c r="EI1526">
        <v>0</v>
      </c>
      <c r="EJ1526">
        <v>1</v>
      </c>
      <c r="EK1526">
        <v>1</v>
      </c>
      <c r="EL1526">
        <v>1</v>
      </c>
      <c r="EM1526">
        <v>0</v>
      </c>
      <c r="EN1526" s="2">
        <v>0</v>
      </c>
      <c r="EP1526" t="str">
        <f>IF(AND(AND(AND(OR($EC1526=1,$EB1526=1),OR($EH1526=1,$EF1526=1)),SUM($EA1526:$EE1526,$EK1526)&gt;=3),SUM($EF1526:$EJ1526)&gt;=2),"Whole sector approach","")</f>
        <v>Whole sector approach</v>
      </c>
      <c r="EQ1526" t="str">
        <f>IF(AND(AND(OR($EC1526=1,$EB1526=1),AND($EH1526=0,$EF1526=0)),SUM($EA1526:$EE1526,$EK1526)&gt;=4),"Ecosystem approach","")</f>
        <v/>
      </c>
      <c r="ER1526" s="2" t="str">
        <f>IF(AND(AND(AND($EC1526=0,$EB1526=0),OR($EH1526=1,$EF1526=1)),SUM($EG1526:$EJ1526)&gt;=2),"Technology approach","")</f>
        <v/>
      </c>
      <c r="ES1526" t="str">
        <f>IF(AND($EC1526+$EB1526+$EE1526+$EA1526+$ED1526+$EG1526=0,$N1526="included"),"C neutral forest and HWP assumption","")</f>
        <v/>
      </c>
      <c r="ET1526" t="str">
        <f>IF(AND(AND(AND(AND($EC1526=1,$EB1526+$EA1526+$EG1526&gt;=1),$EF1526=1),$EH1526+$EI1526+$ED1526+$EE1526&gt;=2),$N1526="included"),"All C pools assumption","")</f>
        <v/>
      </c>
      <c r="EU1526" t="str">
        <f>IF(AND($ED1526+$EE1526+$EI1526+$EH1526+$EF1526=0,$N1526="included"),"In-situ only assumption","")</f>
        <v/>
      </c>
      <c r="EY1526" t="str">
        <f>IF(ISNUMBER(BW1526),IF(ABS(BW1526-[2]QC_indicators!$B$2)&gt;3*[2]QC_indicators!$C$2,"C ratio",IF(ISNUMBER(CA1526),IF(ABS(CA1526-[2]QC_indicators!$B$1)&gt;3*[2]QC_indicators!$C$1,"DF","no"))),IF(ISNUMBER(CA1526),IF(ABS(CA1526-[2]QC_indicators!$B$1)&gt;3*[2]QC_indicators!$C$1,"DF","no")))</f>
        <v>no</v>
      </c>
      <c r="EZ1526" t="s">
        <v>286</v>
      </c>
      <c r="FA1526" t="str">
        <f>IF(LEN($CY1526)=0,"",IF(AND($CY1526&lt;(-0.05),$ES1526="C neutral forest and HWP assumption"),"Cneutral paradox",IF(AND($CY1526&gt;0.05,$EU1526="In-situ only assumption"),"In-situ only paradox","")))</f>
        <v/>
      </c>
      <c r="FD1526" s="260" t="s">
        <v>2948</v>
      </c>
    </row>
    <row r="1527" spans="1:160" ht="15" hidden="1" customHeight="1">
      <c r="A1527" s="1" t="s">
        <v>265</v>
      </c>
      <c r="B1527" t="s">
        <v>266</v>
      </c>
      <c r="C1527" t="s">
        <v>267</v>
      </c>
      <c r="D1527" t="s">
        <v>268</v>
      </c>
      <c r="E1527" t="s">
        <v>269</v>
      </c>
      <c r="F1527" t="s">
        <v>270</v>
      </c>
      <c r="G1527" t="s">
        <v>271</v>
      </c>
      <c r="H1527" t="s">
        <v>254</v>
      </c>
      <c r="I1527">
        <v>2022</v>
      </c>
      <c r="J1527">
        <v>0</v>
      </c>
      <c r="K1527" t="s">
        <v>272</v>
      </c>
      <c r="M1527" t="str">
        <f>LEFT($D1527,FIND(",",$D1527)-1)&amp;"_"&amp;I1527&amp;L1527</f>
        <v>Aryapratama_2022</v>
      </c>
      <c r="N1527" t="s">
        <v>222</v>
      </c>
      <c r="O1527" s="145" t="s">
        <v>274</v>
      </c>
      <c r="Q1527" t="s">
        <v>224</v>
      </c>
      <c r="R1527" s="258" t="s">
        <v>223</v>
      </c>
      <c r="S1527" s="259" t="s">
        <v>2784</v>
      </c>
      <c r="T1527" t="s">
        <v>311</v>
      </c>
      <c r="U1527" t="s">
        <v>312</v>
      </c>
      <c r="V1527" s="253">
        <v>0</v>
      </c>
      <c r="W1527" s="253">
        <v>0</v>
      </c>
      <c r="X1527">
        <v>0</v>
      </c>
      <c r="Y1527">
        <v>0</v>
      </c>
      <c r="Z1527">
        <v>0</v>
      </c>
      <c r="AA1527">
        <v>0</v>
      </c>
      <c r="AB1527">
        <v>0</v>
      </c>
      <c r="AC1527">
        <v>0</v>
      </c>
      <c r="AD1527">
        <v>0</v>
      </c>
      <c r="AE1527">
        <v>0</v>
      </c>
      <c r="AF1527">
        <v>0</v>
      </c>
      <c r="AG1527">
        <v>0</v>
      </c>
      <c r="AH1527">
        <v>0</v>
      </c>
      <c r="AI1527">
        <v>0</v>
      </c>
      <c r="AJ1527">
        <v>0</v>
      </c>
      <c r="AK1527">
        <v>0</v>
      </c>
      <c r="AL1527">
        <v>0</v>
      </c>
      <c r="AM1527">
        <v>1</v>
      </c>
      <c r="AN1527">
        <v>0</v>
      </c>
      <c r="AO1527">
        <v>0</v>
      </c>
      <c r="AP1527">
        <v>0</v>
      </c>
      <c r="AQ1527">
        <v>0</v>
      </c>
      <c r="AR1527">
        <v>0</v>
      </c>
      <c r="AS1527">
        <v>0</v>
      </c>
      <c r="AT1527">
        <v>0</v>
      </c>
      <c r="AU1527">
        <v>0</v>
      </c>
      <c r="AV1527">
        <v>0</v>
      </c>
      <c r="AW1527">
        <v>0</v>
      </c>
      <c r="AX1527">
        <v>0</v>
      </c>
      <c r="AY1527">
        <v>0</v>
      </c>
      <c r="AZ1527" s="141">
        <f>COUNTIF(X1527:AY1527,"&lt;&gt;0")</f>
        <v>1</v>
      </c>
      <c r="BA1527" s="141">
        <f>COUNTIF(X1527:AN1527,"&lt;&gt;0")</f>
        <v>1</v>
      </c>
      <c r="BB1527">
        <f>COUNTIF(X1527:AE1527,"&lt;&gt;0")</f>
        <v>0</v>
      </c>
      <c r="BC1527">
        <f>COUNTIF(AF1527:AK1527,"&lt;&gt;0")</f>
        <v>0</v>
      </c>
      <c r="BD1527">
        <f>COUNTIF(AL1527:AN1527,"&lt;&gt;0")</f>
        <v>1</v>
      </c>
      <c r="BE1527">
        <f>COUNTIF(AU1527:AY1527,"&lt;&gt;0")</f>
        <v>0</v>
      </c>
      <c r="BF1527">
        <f>COUNTIF(AO1527:AT1527,"&lt;&gt;0")</f>
        <v>0</v>
      </c>
      <c r="BG1527" t="str">
        <f t="array" ref="BG1527">IF(BA1527=1,INDEX($X$7:$AN$7,MATCH(TRUE,INDEX($X1527:$AY1527&lt;&gt;0,),0)),IF(BA1527=0,INDEX($AO$7:$AY$7,MATCH(1,$AO1527:$AY1527,0)),IF(BH1527="Multiple strategies","mixed drivers",IF(BH1527="Supply chain","multiple supply","multiple silviculture"))))</f>
        <v>technologies/design switch</v>
      </c>
      <c r="BH1527" s="2" t="str" cm="1">
        <f t="array" ref="BH1527">IF(COUNTIF(BB1527:BD1527,"&lt;&gt;0")=1,INDEX($X$4:$AY$4,MATCH(TRUE,INDEX($X1527:$AY1527&lt;&gt;0,),0)),IF(COUNTIF(BB1527:BD1527,"&lt;&gt;0")=0,INDEX($AO$4:$AY$4,MATCH(1,$AO1527:$AY1527,0)),"Multiple strategies"))</f>
        <v>Technology</v>
      </c>
      <c r="BI1527" s="1" t="s">
        <v>229</v>
      </c>
      <c r="BJ1527" t="s">
        <v>277</v>
      </c>
      <c r="BK1527" s="260" t="s">
        <v>2785</v>
      </c>
      <c r="BL1527" t="s">
        <v>278</v>
      </c>
      <c r="BM1527">
        <v>0</v>
      </c>
      <c r="BN1527">
        <v>15.419381264639073</v>
      </c>
      <c r="BP1527">
        <f>BN1527-BM1527</f>
        <v>15.419381264639073</v>
      </c>
      <c r="BQ1527">
        <f>BP1527*tC_to_m3</f>
        <v>66.953457510373752</v>
      </c>
      <c r="BR1527" t="s">
        <v>232</v>
      </c>
      <c r="BS1527" s="153" t="s">
        <v>2786</v>
      </c>
      <c r="BT1527" t="s">
        <v>279</v>
      </c>
      <c r="BU1527">
        <v>68.167571816623862</v>
      </c>
      <c r="BV1527">
        <v>167.28412809039341</v>
      </c>
      <c r="BW1527" s="144">
        <f>IFERROR(BV1527/BU1527,"")</f>
        <v>2.4540133032815206</v>
      </c>
      <c r="BX1527">
        <f>BV1527-BU1527</f>
        <v>99.116556273769547</v>
      </c>
      <c r="BZ1527">
        <f>BX1527</f>
        <v>99.116556273769547</v>
      </c>
      <c r="CA1527">
        <f>IFERROR(BZ1527/BQ1527,"")</f>
        <v>1.4803799528711785</v>
      </c>
      <c r="CB1527">
        <v>0</v>
      </c>
      <c r="CC1527">
        <v>0</v>
      </c>
      <c r="CD1527">
        <v>0</v>
      </c>
      <c r="CE1527">
        <v>0</v>
      </c>
      <c r="CF1527">
        <v>0</v>
      </c>
      <c r="CG1527">
        <v>0</v>
      </c>
      <c r="CH1527">
        <v>0</v>
      </c>
      <c r="CI1527">
        <v>0</v>
      </c>
      <c r="CJ1527">
        <v>0</v>
      </c>
      <c r="CK1527">
        <v>0</v>
      </c>
      <c r="CL1527">
        <v>0</v>
      </c>
      <c r="CM1527">
        <v>0</v>
      </c>
      <c r="CN1527">
        <v>0</v>
      </c>
      <c r="CO1527">
        <v>0</v>
      </c>
      <c r="CP1527" t="str">
        <f>IF($BN1527&lt;$BM1527,"refNeedCorrection","refOK")</f>
        <v>refOK</v>
      </c>
      <c r="CQ1527">
        <f>IF($CP1527="refOK",$BM1527,$BN1527)</f>
        <v>0</v>
      </c>
      <c r="CR1527">
        <f>IF($CP1527="refOK",$BN1527,$BM1527)</f>
        <v>15.419381264639073</v>
      </c>
      <c r="CS1527">
        <f>IF($CP1527="refOK",$BQ1527,-$BQ1527)</f>
        <v>66.953457510373752</v>
      </c>
      <c r="CT1527">
        <f>IF(BI1527="Roundwood",$CS1527/2,$CS1527)</f>
        <v>66.953457510373752</v>
      </c>
      <c r="CU1527">
        <f>IF($CP1527="refOK",$BU1527,$BV1527)*IF($BR1527="Emissions positive",-1,1)</f>
        <v>68.167571816623862</v>
      </c>
      <c r="CV1527">
        <f>IF($CP1527="refOK",$BV1527,$BU1527)*IF($BR1527="Emissions positive",-1,1)</f>
        <v>167.28412809039341</v>
      </c>
      <c r="CW1527">
        <f>IF($CP1527="refNeedCorrection",-BZ1527,BZ1527)*IF($BR1527="Emissions positive",-1,1)</f>
        <v>99.116556273769547</v>
      </c>
      <c r="CX1527">
        <f>IFERROR($CW1527/$CS1527,"")</f>
        <v>1.4803799528711785</v>
      </c>
      <c r="CY1527">
        <f>IFERROR($CW1527/$CS1527,"")</f>
        <v>1.4803799528711785</v>
      </c>
      <c r="CZ1527">
        <f>IFERROR($CW1527/$CT1527,"")</f>
        <v>1.4803799528711785</v>
      </c>
      <c r="DA1527" s="2">
        <f>IFERROR((CV1527-CU1527)/ABS(CU1527),"")</f>
        <v>1.4540133032815206</v>
      </c>
      <c r="DB1527" s="1" t="s">
        <v>234</v>
      </c>
      <c r="DC1527" t="str">
        <f>IF(OR($DB1527="prd",$DB1527="std",$DB1527="cit"),"loc",IF(OR($DB1527="eur",$DB1527="reg",$DB1527="coy"),"reg",$DB1527))</f>
        <v>loc</v>
      </c>
      <c r="DD1527" t="s">
        <v>280</v>
      </c>
      <c r="DG1527">
        <v>50</v>
      </c>
      <c r="DH1527" t="str">
        <f>IF(DG1527=0,"0",IF(AND(DG1527&gt;=1,DG1527&lt;=30),"1-30",IF(AND(DG1527&gt;30,DG1527&lt;=70),"31-70",IF(AND(DG1527&gt;70,DG1527&lt;=100),"71-100",IF(DG1527&gt;100,"+100")))))</f>
        <v>31-70</v>
      </c>
      <c r="DI1527">
        <v>0</v>
      </c>
      <c r="DJ1527">
        <v>0</v>
      </c>
      <c r="DK1527">
        <v>0</v>
      </c>
      <c r="DL1527">
        <v>1</v>
      </c>
      <c r="DN1527">
        <f>SUM(DI1527:DL1527)</f>
        <v>1</v>
      </c>
      <c r="DO1527" t="str">
        <f>IF(DN1527=1,INDEX($DI$7:$DL$7,MATCH(1,$DI1527:$DL1527,0)),"mixedProduct")</f>
        <v>TimberInput</v>
      </c>
      <c r="DP1527">
        <f>IF(DI1527=1,DP$7,0)</f>
        <v>0</v>
      </c>
      <c r="DQ1527">
        <f>IF(DJ1527=1,DQ$7,0)</f>
        <v>0</v>
      </c>
      <c r="DR1527">
        <f>IF(DK1527=1,DR$7,0)</f>
        <v>0</v>
      </c>
      <c r="DS1527" t="str">
        <f>IF(DL1527=1,DS$7,0)</f>
        <v>Timber</v>
      </c>
      <c r="DT1527">
        <v>0</v>
      </c>
      <c r="DU1527">
        <v>1</v>
      </c>
      <c r="DV1527" t="s">
        <v>304</v>
      </c>
      <c r="DW1527">
        <v>0</v>
      </c>
      <c r="DX1527">
        <v>0</v>
      </c>
      <c r="DY1527">
        <f>SUM(DT1527:DU1527)</f>
        <v>1</v>
      </c>
      <c r="DZ1527" s="143" t="str">
        <f>IF(DT1527=1,"self-calculated DF",IF(DU1527=1,"external DF used","explicit C balance"))</f>
        <v>external DF used</v>
      </c>
      <c r="EA1527">
        <v>0</v>
      </c>
      <c r="EB1527">
        <v>1</v>
      </c>
      <c r="EC1527">
        <v>1</v>
      </c>
      <c r="ED1527">
        <v>1</v>
      </c>
      <c r="EE1527">
        <v>1</v>
      </c>
      <c r="EF1527" s="143">
        <v>0</v>
      </c>
      <c r="EG1527">
        <v>1</v>
      </c>
      <c r="EH1527">
        <v>1</v>
      </c>
      <c r="EI1527">
        <v>0</v>
      </c>
      <c r="EJ1527">
        <v>1</v>
      </c>
      <c r="EK1527">
        <v>1</v>
      </c>
      <c r="EL1527">
        <v>1</v>
      </c>
      <c r="EM1527">
        <v>0</v>
      </c>
      <c r="EN1527" s="2">
        <v>0</v>
      </c>
      <c r="EP1527" t="str">
        <f>IF(AND(AND(AND(OR($EC1527=1,$EB1527=1),OR($EH1527=1,$EF1527=1)),SUM($EA1527:$EE1527,$EK1527)&gt;=3),SUM($EF1527:$EJ1527)&gt;=2),"Whole sector approach","")</f>
        <v>Whole sector approach</v>
      </c>
      <c r="EQ1527" t="str">
        <f>IF(AND(AND(OR($EC1527=1,$EB1527=1),AND($EH1527=0,$EF1527=0)),SUM($EA1527:$EE1527,$EK1527)&gt;=4),"Ecosystem approach","")</f>
        <v/>
      </c>
      <c r="ER1527" s="2" t="str">
        <f>IF(AND(AND(AND($EC1527=0,$EB1527=0),OR($EH1527=1,$EF1527=1)),SUM($EG1527:$EJ1527)&gt;=2),"Technology approach","")</f>
        <v/>
      </c>
      <c r="ES1527" t="str">
        <f>IF(AND($EC1527+$EB1527+$EE1527+$EA1527+$ED1527+$EG1527=0,$N1527="included"),"C neutral forest and HWP assumption","")</f>
        <v/>
      </c>
      <c r="ET1527" t="str">
        <f>IF(AND(AND(AND(AND($EC1527=1,$EB1527+$EA1527+$EG1527&gt;=1),$EF1527=1),$EH1527+$EI1527+$ED1527+$EE1527&gt;=2),$N1527="included"),"All C pools assumption","")</f>
        <v/>
      </c>
      <c r="EU1527" t="str">
        <f>IF(AND($ED1527+$EE1527+$EI1527+$EH1527+$EF1527=0,$N1527="included"),"In-situ only assumption","")</f>
        <v/>
      </c>
      <c r="EY1527" t="str">
        <f>IF(ISNUMBER(BW1527),IF(ABS(BW1527-[2]QC_indicators!$B$2)&gt;3*[2]QC_indicators!$C$2,"C ratio",IF(ISNUMBER(CA1527),IF(ABS(CA1527-[2]QC_indicators!$B$1)&gt;3*[2]QC_indicators!$C$1,"DF","no"))),IF(ISNUMBER(CA1527),IF(ABS(CA1527-[2]QC_indicators!$B$1)&gt;3*[2]QC_indicators!$C$1,"DF","no")))</f>
        <v>no</v>
      </c>
      <c r="EZ1527" t="s">
        <v>286</v>
      </c>
      <c r="FA1527" t="str">
        <f>IF(LEN($CY1527)=0,"",IF(AND($CY1527&lt;(-0.05),$ES1527="C neutral forest and HWP assumption"),"Cneutral paradox",IF(AND($CY1527&gt;0.05,$EU1527="In-situ only assumption"),"In-situ only paradox","")))</f>
        <v/>
      </c>
      <c r="FD1527" s="260" t="s">
        <v>2948</v>
      </c>
    </row>
    <row r="1528" spans="1:160" ht="15" hidden="1" customHeight="1">
      <c r="A1528" s="1" t="s">
        <v>265</v>
      </c>
      <c r="B1528" t="s">
        <v>266</v>
      </c>
      <c r="C1528" t="s">
        <v>267</v>
      </c>
      <c r="D1528" t="s">
        <v>268</v>
      </c>
      <c r="E1528" t="s">
        <v>269</v>
      </c>
      <c r="F1528" t="s">
        <v>270</v>
      </c>
      <c r="G1528" t="s">
        <v>271</v>
      </c>
      <c r="H1528" t="s">
        <v>254</v>
      </c>
      <c r="I1528">
        <v>2022</v>
      </c>
      <c r="J1528">
        <v>0</v>
      </c>
      <c r="K1528" t="s">
        <v>272</v>
      </c>
      <c r="M1528" t="str">
        <f>LEFT($D1528,FIND(",",$D1528)-1)&amp;"_"&amp;I1528&amp;L1528</f>
        <v>Aryapratama_2022</v>
      </c>
      <c r="N1528" t="s">
        <v>222</v>
      </c>
      <c r="O1528" s="145" t="s">
        <v>274</v>
      </c>
      <c r="Q1528" t="s">
        <v>224</v>
      </c>
      <c r="R1528" s="258" t="s">
        <v>223</v>
      </c>
      <c r="S1528" s="259" t="s">
        <v>2784</v>
      </c>
      <c r="T1528" t="s">
        <v>311</v>
      </c>
      <c r="U1528" t="s">
        <v>312</v>
      </c>
      <c r="V1528" s="253">
        <v>0</v>
      </c>
      <c r="W1528" s="253">
        <v>0</v>
      </c>
      <c r="X1528">
        <v>0</v>
      </c>
      <c r="Y1528">
        <v>0</v>
      </c>
      <c r="Z1528">
        <v>0</v>
      </c>
      <c r="AA1528">
        <v>0</v>
      </c>
      <c r="AB1528">
        <v>0</v>
      </c>
      <c r="AC1528">
        <v>0</v>
      </c>
      <c r="AD1528">
        <v>0</v>
      </c>
      <c r="AE1528">
        <v>0</v>
      </c>
      <c r="AF1528">
        <v>0</v>
      </c>
      <c r="AG1528">
        <v>0</v>
      </c>
      <c r="AH1528">
        <v>0</v>
      </c>
      <c r="AI1528">
        <v>0</v>
      </c>
      <c r="AJ1528">
        <v>0</v>
      </c>
      <c r="AK1528">
        <v>0</v>
      </c>
      <c r="AL1528">
        <v>0</v>
      </c>
      <c r="AM1528">
        <v>1</v>
      </c>
      <c r="AN1528">
        <v>0</v>
      </c>
      <c r="AO1528">
        <v>0</v>
      </c>
      <c r="AP1528">
        <v>0</v>
      </c>
      <c r="AQ1528">
        <v>0</v>
      </c>
      <c r="AR1528">
        <v>0</v>
      </c>
      <c r="AS1528">
        <v>0</v>
      </c>
      <c r="AT1528">
        <v>0</v>
      </c>
      <c r="AU1528">
        <v>0</v>
      </c>
      <c r="AV1528">
        <v>0</v>
      </c>
      <c r="AW1528">
        <v>0</v>
      </c>
      <c r="AX1528">
        <v>0</v>
      </c>
      <c r="AY1528">
        <v>0</v>
      </c>
      <c r="AZ1528" s="141">
        <f>COUNTIF(X1528:AY1528,"&lt;&gt;0")</f>
        <v>1</v>
      </c>
      <c r="BA1528" s="141">
        <f>COUNTIF(X1528:AN1528,"&lt;&gt;0")</f>
        <v>1</v>
      </c>
      <c r="BB1528">
        <f>COUNTIF(X1528:AE1528,"&lt;&gt;0")</f>
        <v>0</v>
      </c>
      <c r="BC1528">
        <f>COUNTIF(AF1528:AK1528,"&lt;&gt;0")</f>
        <v>0</v>
      </c>
      <c r="BD1528">
        <f>COUNTIF(AL1528:AN1528,"&lt;&gt;0")</f>
        <v>1</v>
      </c>
      <c r="BE1528">
        <f>COUNTIF(AU1528:AY1528,"&lt;&gt;0")</f>
        <v>0</v>
      </c>
      <c r="BF1528">
        <f>COUNTIF(AO1528:AT1528,"&lt;&gt;0")</f>
        <v>0</v>
      </c>
      <c r="BG1528" t="str">
        <f t="array" ref="BG1528">IF(BA1528=1,INDEX($X$7:$AN$7,MATCH(TRUE,INDEX($X1528:$AY1528&lt;&gt;0,),0)),IF(BA1528=0,INDEX($AO$7:$AY$7,MATCH(1,$AO1528:$AY1528,0)),IF(BH1528="Multiple strategies","mixed drivers",IF(BH1528="Supply chain","multiple supply","multiple silviculture"))))</f>
        <v>technologies/design switch</v>
      </c>
      <c r="BH1528" s="2" t="str" cm="1">
        <f t="array" ref="BH1528">IF(COUNTIF(BB1528:BD1528,"&lt;&gt;0")=1,INDEX($X$4:$AY$4,MATCH(TRUE,INDEX($X1528:$AY1528&lt;&gt;0,),0)),IF(COUNTIF(BB1528:BD1528,"&lt;&gt;0")=0,INDEX($AO$4:$AY$4,MATCH(1,$AO1528:$AY1528,0)),"Multiple strategies"))</f>
        <v>Technology</v>
      </c>
      <c r="BI1528" s="1" t="s">
        <v>229</v>
      </c>
      <c r="BJ1528" t="s">
        <v>277</v>
      </c>
      <c r="BK1528" s="260" t="s">
        <v>2785</v>
      </c>
      <c r="BL1528" t="s">
        <v>278</v>
      </c>
      <c r="BM1528">
        <v>0</v>
      </c>
      <c r="BN1528">
        <v>23.12907189695861</v>
      </c>
      <c r="BP1528">
        <f>BN1528-BM1528</f>
        <v>23.12907189695861</v>
      </c>
      <c r="BQ1528">
        <f>BP1528*tC_to_m3</f>
        <v>100.43018626556062</v>
      </c>
      <c r="BR1528" t="s">
        <v>232</v>
      </c>
      <c r="BS1528" s="153" t="s">
        <v>2786</v>
      </c>
      <c r="BT1528" t="s">
        <v>279</v>
      </c>
      <c r="BU1528">
        <v>152.02211024415089</v>
      </c>
      <c r="BV1528">
        <v>354.30409954781243</v>
      </c>
      <c r="BW1528" s="144">
        <f>IFERROR(BV1528/BU1528,"")</f>
        <v>2.3306090079843789</v>
      </c>
      <c r="BX1528">
        <f>BV1528-BU1528</f>
        <v>202.28198930366153</v>
      </c>
      <c r="BZ1528">
        <f>BX1528</f>
        <v>202.28198930366153</v>
      </c>
      <c r="CA1528">
        <f>IFERROR(BZ1528/BQ1528,"")</f>
        <v>2.0141552736821695</v>
      </c>
      <c r="CB1528">
        <v>0</v>
      </c>
      <c r="CC1528">
        <v>0</v>
      </c>
      <c r="CD1528">
        <v>0</v>
      </c>
      <c r="CE1528">
        <v>0</v>
      </c>
      <c r="CF1528">
        <v>0</v>
      </c>
      <c r="CG1528">
        <v>0</v>
      </c>
      <c r="CH1528">
        <v>0</v>
      </c>
      <c r="CI1528">
        <v>0</v>
      </c>
      <c r="CJ1528">
        <v>0</v>
      </c>
      <c r="CK1528">
        <v>0</v>
      </c>
      <c r="CL1528">
        <v>0</v>
      </c>
      <c r="CM1528">
        <v>0</v>
      </c>
      <c r="CN1528">
        <v>0</v>
      </c>
      <c r="CO1528">
        <v>0</v>
      </c>
      <c r="CP1528" t="str">
        <f>IF($BN1528&lt;$BM1528,"refNeedCorrection","refOK")</f>
        <v>refOK</v>
      </c>
      <c r="CQ1528">
        <f>IF($CP1528="refOK",$BM1528,$BN1528)</f>
        <v>0</v>
      </c>
      <c r="CR1528">
        <f>IF($CP1528="refOK",$BN1528,$BM1528)</f>
        <v>23.12907189695861</v>
      </c>
      <c r="CS1528">
        <f>IF($CP1528="refOK",$BQ1528,-$BQ1528)</f>
        <v>100.43018626556062</v>
      </c>
      <c r="CT1528">
        <f>IF(BI1528="Roundwood",$CS1528/2,$CS1528)</f>
        <v>100.43018626556062</v>
      </c>
      <c r="CU1528">
        <f>IF($CP1528="refOK",$BU1528,$BV1528)*IF($BR1528="Emissions positive",-1,1)</f>
        <v>152.02211024415089</v>
      </c>
      <c r="CV1528">
        <f>IF($CP1528="refOK",$BV1528,$BU1528)*IF($BR1528="Emissions positive",-1,1)</f>
        <v>354.30409954781243</v>
      </c>
      <c r="CW1528">
        <f>IF($CP1528="refNeedCorrection",-BZ1528,BZ1528)*IF($BR1528="Emissions positive",-1,1)</f>
        <v>202.28198930366153</v>
      </c>
      <c r="CX1528">
        <f>IFERROR($CW1528/$CS1528,"")</f>
        <v>2.0141552736821695</v>
      </c>
      <c r="CY1528">
        <f>IFERROR($CW1528/$CS1528,"")</f>
        <v>2.0141552736821695</v>
      </c>
      <c r="CZ1528">
        <f>IFERROR($CW1528/$CT1528,"")</f>
        <v>2.0141552736821695</v>
      </c>
      <c r="DA1528" s="2">
        <f>IFERROR((CV1528-CU1528)/ABS(CU1528),"")</f>
        <v>1.3306090079843791</v>
      </c>
      <c r="DB1528" s="1" t="s">
        <v>234</v>
      </c>
      <c r="DC1528" t="str">
        <f>IF(OR($DB1528="prd",$DB1528="std",$DB1528="cit"),"loc",IF(OR($DB1528="eur",$DB1528="reg",$DB1528="coy"),"reg",$DB1528))</f>
        <v>loc</v>
      </c>
      <c r="DD1528" t="s">
        <v>280</v>
      </c>
      <c r="DG1528">
        <v>100</v>
      </c>
      <c r="DH1528" t="str">
        <f>IF(DG1528=0,"0",IF(AND(DG1528&gt;=1,DG1528&lt;=30),"1-30",IF(AND(DG1528&gt;30,DG1528&lt;=70),"31-70",IF(AND(DG1528&gt;70,DG1528&lt;=100),"71-100",IF(DG1528&gt;100,"+100")))))</f>
        <v>71-100</v>
      </c>
      <c r="DI1528">
        <v>0</v>
      </c>
      <c r="DJ1528">
        <v>0</v>
      </c>
      <c r="DK1528">
        <v>0</v>
      </c>
      <c r="DL1528">
        <v>1</v>
      </c>
      <c r="DN1528">
        <f>SUM(DI1528:DL1528)</f>
        <v>1</v>
      </c>
      <c r="DO1528" t="str">
        <f>IF(DN1528=1,INDEX($DI$7:$DL$7,MATCH(1,$DI1528:$DL1528,0)),"mixedProduct")</f>
        <v>TimberInput</v>
      </c>
      <c r="DP1528">
        <f>IF(DI1528=1,DP$7,0)</f>
        <v>0</v>
      </c>
      <c r="DQ1528">
        <f>IF(DJ1528=1,DQ$7,0)</f>
        <v>0</v>
      </c>
      <c r="DR1528">
        <f>IF(DK1528=1,DR$7,0)</f>
        <v>0</v>
      </c>
      <c r="DS1528" t="str">
        <f>IF(DL1528=1,DS$7,0)</f>
        <v>Timber</v>
      </c>
      <c r="DT1528">
        <v>0</v>
      </c>
      <c r="DU1528">
        <v>1</v>
      </c>
      <c r="DV1528" t="s">
        <v>304</v>
      </c>
      <c r="DW1528">
        <v>0</v>
      </c>
      <c r="DX1528">
        <v>0</v>
      </c>
      <c r="DY1528">
        <f>SUM(DT1528:DU1528)</f>
        <v>1</v>
      </c>
      <c r="DZ1528" s="143" t="str">
        <f>IF(DT1528=1,"self-calculated DF",IF(DU1528=1,"external DF used","explicit C balance"))</f>
        <v>external DF used</v>
      </c>
      <c r="EA1528">
        <v>0</v>
      </c>
      <c r="EB1528">
        <v>1</v>
      </c>
      <c r="EC1528">
        <v>1</v>
      </c>
      <c r="ED1528">
        <v>1</v>
      </c>
      <c r="EE1528">
        <v>1</v>
      </c>
      <c r="EF1528" s="143">
        <v>0</v>
      </c>
      <c r="EG1528">
        <v>1</v>
      </c>
      <c r="EH1528">
        <v>1</v>
      </c>
      <c r="EI1528">
        <v>0</v>
      </c>
      <c r="EJ1528">
        <v>1</v>
      </c>
      <c r="EK1528">
        <v>1</v>
      </c>
      <c r="EL1528">
        <v>1</v>
      </c>
      <c r="EM1528">
        <v>0</v>
      </c>
      <c r="EN1528" s="2">
        <v>0</v>
      </c>
      <c r="EP1528" t="str">
        <f>IF(AND(AND(AND(OR($EC1528=1,$EB1528=1),OR($EH1528=1,$EF1528=1)),SUM($EA1528:$EE1528,$EK1528)&gt;=3),SUM($EF1528:$EJ1528)&gt;=2),"Whole sector approach","")</f>
        <v>Whole sector approach</v>
      </c>
      <c r="EQ1528" t="str">
        <f>IF(AND(AND(OR($EC1528=1,$EB1528=1),AND($EH1528=0,$EF1528=0)),SUM($EA1528:$EE1528,$EK1528)&gt;=4),"Ecosystem approach","")</f>
        <v/>
      </c>
      <c r="ER1528" s="2" t="str">
        <f>IF(AND(AND(AND($EC1528=0,$EB1528=0),OR($EH1528=1,$EF1528=1)),SUM($EG1528:$EJ1528)&gt;=2),"Technology approach","")</f>
        <v/>
      </c>
      <c r="ES1528" t="str">
        <f>IF(AND($EC1528+$EB1528+$EE1528+$EA1528+$ED1528+$EG1528=0,$N1528="included"),"C neutral forest and HWP assumption","")</f>
        <v/>
      </c>
      <c r="ET1528" t="str">
        <f>IF(AND(AND(AND(AND($EC1528=1,$EB1528+$EA1528+$EG1528&gt;=1),$EF1528=1),$EH1528+$EI1528+$ED1528+$EE1528&gt;=2),$N1528="included"),"All C pools assumption","")</f>
        <v/>
      </c>
      <c r="EU1528" t="str">
        <f>IF(AND($ED1528+$EE1528+$EI1528+$EH1528+$EF1528=0,$N1528="included"),"In-situ only assumption","")</f>
        <v/>
      </c>
      <c r="EY1528" t="str">
        <f>IF(ISNUMBER(BW1528),IF(ABS(BW1528-[2]QC_indicators!$B$2)&gt;3*[2]QC_indicators!$C$2,"C ratio",IF(ISNUMBER(CA1528),IF(ABS(CA1528-[2]QC_indicators!$B$1)&gt;3*[2]QC_indicators!$C$1,"DF","no"))),IF(ISNUMBER(CA1528),IF(ABS(CA1528-[2]QC_indicators!$B$1)&gt;3*[2]QC_indicators!$C$1,"DF","no")))</f>
        <v>no</v>
      </c>
      <c r="EZ1528" t="s">
        <v>286</v>
      </c>
      <c r="FA1528" t="str">
        <f>IF(LEN($CY1528)=0,"",IF(AND($CY1528&lt;(-0.05),$ES1528="C neutral forest and HWP assumption"),"Cneutral paradox",IF(AND($CY1528&gt;0.05,$EU1528="In-situ only assumption"),"In-situ only paradox","")))</f>
        <v/>
      </c>
      <c r="FD1528" s="260" t="s">
        <v>2948</v>
      </c>
    </row>
    <row r="1529" spans="1:160" ht="15" hidden="1" customHeight="1">
      <c r="A1529" s="1" t="s">
        <v>265</v>
      </c>
      <c r="B1529" t="s">
        <v>266</v>
      </c>
      <c r="C1529" t="s">
        <v>267</v>
      </c>
      <c r="D1529" t="s">
        <v>268</v>
      </c>
      <c r="E1529" t="s">
        <v>269</v>
      </c>
      <c r="F1529" t="s">
        <v>270</v>
      </c>
      <c r="G1529" t="s">
        <v>271</v>
      </c>
      <c r="H1529" t="s">
        <v>254</v>
      </c>
      <c r="I1529">
        <v>2022</v>
      </c>
      <c r="J1529">
        <v>0</v>
      </c>
      <c r="K1529" t="s">
        <v>272</v>
      </c>
      <c r="M1529" t="str">
        <f>LEFT($D1529,FIND(",",$D1529)-1)&amp;"_"&amp;I1529&amp;L1529</f>
        <v>Aryapratama_2022</v>
      </c>
      <c r="N1529" t="s">
        <v>222</v>
      </c>
      <c r="O1529" s="145" t="s">
        <v>274</v>
      </c>
      <c r="Q1529" t="s">
        <v>224</v>
      </c>
      <c r="R1529" s="258" t="s">
        <v>223</v>
      </c>
      <c r="S1529" s="259" t="s">
        <v>2784</v>
      </c>
      <c r="T1529" t="s">
        <v>311</v>
      </c>
      <c r="U1529" t="s">
        <v>312</v>
      </c>
      <c r="V1529" s="253">
        <v>0</v>
      </c>
      <c r="W1529" s="253">
        <v>0</v>
      </c>
      <c r="X1529">
        <v>0</v>
      </c>
      <c r="Y1529">
        <v>0</v>
      </c>
      <c r="Z1529">
        <v>0</v>
      </c>
      <c r="AA1529">
        <v>0</v>
      </c>
      <c r="AB1529">
        <v>0</v>
      </c>
      <c r="AC1529">
        <v>0</v>
      </c>
      <c r="AD1529">
        <v>0</v>
      </c>
      <c r="AE1529">
        <v>0</v>
      </c>
      <c r="AF1529">
        <v>0</v>
      </c>
      <c r="AG1529">
        <v>0</v>
      </c>
      <c r="AH1529">
        <v>0</v>
      </c>
      <c r="AI1529">
        <v>0</v>
      </c>
      <c r="AJ1529">
        <v>0</v>
      </c>
      <c r="AK1529">
        <v>0</v>
      </c>
      <c r="AL1529">
        <v>0</v>
      </c>
      <c r="AM1529">
        <v>1</v>
      </c>
      <c r="AN1529">
        <v>0</v>
      </c>
      <c r="AO1529">
        <v>0</v>
      </c>
      <c r="AP1529">
        <v>0</v>
      </c>
      <c r="AQ1529">
        <v>0</v>
      </c>
      <c r="AR1529">
        <v>0</v>
      </c>
      <c r="AS1529">
        <v>0</v>
      </c>
      <c r="AT1529">
        <v>0</v>
      </c>
      <c r="AU1529">
        <v>0</v>
      </c>
      <c r="AV1529">
        <v>0</v>
      </c>
      <c r="AW1529">
        <v>0</v>
      </c>
      <c r="AX1529">
        <v>0</v>
      </c>
      <c r="AY1529">
        <v>0</v>
      </c>
      <c r="AZ1529" s="141">
        <f>COUNTIF(X1529:AY1529,"&lt;&gt;0")</f>
        <v>1</v>
      </c>
      <c r="BA1529" s="141">
        <f>COUNTIF(X1529:AN1529,"&lt;&gt;0")</f>
        <v>1</v>
      </c>
      <c r="BB1529">
        <f>COUNTIF(X1529:AE1529,"&lt;&gt;0")</f>
        <v>0</v>
      </c>
      <c r="BC1529">
        <f>COUNTIF(AF1529:AK1529,"&lt;&gt;0")</f>
        <v>0</v>
      </c>
      <c r="BD1529">
        <f>COUNTIF(AL1529:AN1529,"&lt;&gt;0")</f>
        <v>1</v>
      </c>
      <c r="BE1529">
        <f>COUNTIF(AU1529:AY1529,"&lt;&gt;0")</f>
        <v>0</v>
      </c>
      <c r="BF1529">
        <f>COUNTIF(AO1529:AT1529,"&lt;&gt;0")</f>
        <v>0</v>
      </c>
      <c r="BG1529" t="str">
        <f t="array" ref="BG1529">IF(BA1529=1,INDEX($X$7:$AN$7,MATCH(TRUE,INDEX($X1529:$AY1529&lt;&gt;0,),0)),IF(BA1529=0,INDEX($AO$7:$AY$7,MATCH(1,$AO1529:$AY1529,0)),IF(BH1529="Multiple strategies","mixed drivers",IF(BH1529="Supply chain","multiple supply","multiple silviculture"))))</f>
        <v>technologies/design switch</v>
      </c>
      <c r="BH1529" s="2" t="str" cm="1">
        <f t="array" ref="BH1529">IF(COUNTIF(BB1529:BD1529,"&lt;&gt;0")=1,INDEX($X$4:$AY$4,MATCH(TRUE,INDEX($X1529:$AY1529&lt;&gt;0,),0)),IF(COUNTIF(BB1529:BD1529,"&lt;&gt;0")=0,INDEX($AO$4:$AY$4,MATCH(1,$AO1529:$AY1529,0)),"Multiple strategies"))</f>
        <v>Technology</v>
      </c>
      <c r="BI1529" s="1" t="s">
        <v>229</v>
      </c>
      <c r="BJ1529" t="s">
        <v>277</v>
      </c>
      <c r="BK1529" s="260" t="s">
        <v>2785</v>
      </c>
      <c r="BL1529" t="s">
        <v>278</v>
      </c>
      <c r="BM1529">
        <v>0</v>
      </c>
      <c r="BN1529">
        <v>46.25814379391722</v>
      </c>
      <c r="BP1529">
        <f>BN1529-BM1529</f>
        <v>46.25814379391722</v>
      </c>
      <c r="BQ1529">
        <f>BP1529*tC_to_m3</f>
        <v>200.86037253112124</v>
      </c>
      <c r="BR1529" t="s">
        <v>232</v>
      </c>
      <c r="BS1529" s="153" t="s">
        <v>2786</v>
      </c>
      <c r="BT1529" t="s">
        <v>279</v>
      </c>
      <c r="BU1529">
        <v>316.56191500133059</v>
      </c>
      <c r="BV1529">
        <v>726.845318289901</v>
      </c>
      <c r="BW1529" s="144">
        <f>IFERROR(BV1529/BU1529,"")</f>
        <v>2.2960605298551022</v>
      </c>
      <c r="BX1529">
        <f>BV1529-BU1529</f>
        <v>410.28340328857041</v>
      </c>
      <c r="BZ1529">
        <f>BX1529</f>
        <v>410.28340328857041</v>
      </c>
      <c r="CA1529">
        <f>IFERROR(BZ1529/BQ1529,"")</f>
        <v>2.0426299031432955</v>
      </c>
      <c r="CB1529">
        <v>0</v>
      </c>
      <c r="CC1529">
        <v>0</v>
      </c>
      <c r="CD1529">
        <v>0</v>
      </c>
      <c r="CE1529">
        <v>0</v>
      </c>
      <c r="CF1529">
        <v>0</v>
      </c>
      <c r="CG1529">
        <v>0</v>
      </c>
      <c r="CH1529">
        <v>0</v>
      </c>
      <c r="CI1529">
        <v>0</v>
      </c>
      <c r="CJ1529">
        <v>0</v>
      </c>
      <c r="CK1529">
        <v>0</v>
      </c>
      <c r="CL1529">
        <v>0</v>
      </c>
      <c r="CM1529">
        <v>0</v>
      </c>
      <c r="CN1529">
        <v>0</v>
      </c>
      <c r="CO1529">
        <v>0</v>
      </c>
      <c r="CP1529" t="str">
        <f>IF($BN1529&lt;$BM1529,"refNeedCorrection","refOK")</f>
        <v>refOK</v>
      </c>
      <c r="CQ1529">
        <f>IF($CP1529="refOK",$BM1529,$BN1529)</f>
        <v>0</v>
      </c>
      <c r="CR1529">
        <f>IF($CP1529="refOK",$BN1529,$BM1529)</f>
        <v>46.25814379391722</v>
      </c>
      <c r="CS1529">
        <f>IF($CP1529="refOK",$BQ1529,-$BQ1529)</f>
        <v>200.86037253112124</v>
      </c>
      <c r="CT1529">
        <f>IF(BI1529="Roundwood",$CS1529/2,$CS1529)</f>
        <v>200.86037253112124</v>
      </c>
      <c r="CU1529">
        <f>IF($CP1529="refOK",$BU1529,$BV1529)*IF($BR1529="Emissions positive",-1,1)</f>
        <v>316.56191500133059</v>
      </c>
      <c r="CV1529">
        <f>IF($CP1529="refOK",$BV1529,$BU1529)*IF($BR1529="Emissions positive",-1,1)</f>
        <v>726.845318289901</v>
      </c>
      <c r="CW1529">
        <f>IF($CP1529="refNeedCorrection",-BZ1529,BZ1529)*IF($BR1529="Emissions positive",-1,1)</f>
        <v>410.28340328857041</v>
      </c>
      <c r="CX1529">
        <f>IFERROR($CW1529/$CS1529,"")</f>
        <v>2.0426299031432955</v>
      </c>
      <c r="CY1529">
        <f>IFERROR($CW1529/$CS1529,"")</f>
        <v>2.0426299031432955</v>
      </c>
      <c r="CZ1529">
        <f>IFERROR($CW1529/$CT1529,"")</f>
        <v>2.0426299031432955</v>
      </c>
      <c r="DA1529" s="2">
        <f>IFERROR((CV1529-CU1529)/ABS(CU1529),"")</f>
        <v>1.2960605298551025</v>
      </c>
      <c r="DB1529" s="1" t="s">
        <v>234</v>
      </c>
      <c r="DC1529" t="str">
        <f>IF(OR($DB1529="prd",$DB1529="std",$DB1529="cit"),"loc",IF(OR($DB1529="eur",$DB1529="reg",$DB1529="coy"),"reg",$DB1529))</f>
        <v>loc</v>
      </c>
      <c r="DD1529" t="s">
        <v>280</v>
      </c>
      <c r="DG1529">
        <v>200</v>
      </c>
      <c r="DH1529" t="str">
        <f>IF(DG1529=0,"0",IF(AND(DG1529&gt;=1,DG1529&lt;=30),"1-30",IF(AND(DG1529&gt;30,DG1529&lt;=70),"31-70",IF(AND(DG1529&gt;70,DG1529&lt;=100),"71-100",IF(DG1529&gt;100,"+100")))))</f>
        <v>+100</v>
      </c>
      <c r="DI1529">
        <v>0</v>
      </c>
      <c r="DJ1529">
        <v>0</v>
      </c>
      <c r="DK1529">
        <v>0</v>
      </c>
      <c r="DL1529">
        <v>1</v>
      </c>
      <c r="DN1529">
        <f>SUM(DI1529:DL1529)</f>
        <v>1</v>
      </c>
      <c r="DO1529" t="str">
        <f>IF(DN1529=1,INDEX($DI$7:$DL$7,MATCH(1,$DI1529:$DL1529,0)),"mixedProduct")</f>
        <v>TimberInput</v>
      </c>
      <c r="DP1529">
        <f>IF(DI1529=1,DP$7,0)</f>
        <v>0</v>
      </c>
      <c r="DQ1529">
        <f>IF(DJ1529=1,DQ$7,0)</f>
        <v>0</v>
      </c>
      <c r="DR1529">
        <f>IF(DK1529=1,DR$7,0)</f>
        <v>0</v>
      </c>
      <c r="DS1529" t="str">
        <f>IF(DL1529=1,DS$7,0)</f>
        <v>Timber</v>
      </c>
      <c r="DT1529">
        <v>0</v>
      </c>
      <c r="DU1529">
        <v>1</v>
      </c>
      <c r="DV1529" t="s">
        <v>304</v>
      </c>
      <c r="DW1529">
        <v>0</v>
      </c>
      <c r="DX1529">
        <v>0</v>
      </c>
      <c r="DY1529">
        <f>SUM(DT1529:DU1529)</f>
        <v>1</v>
      </c>
      <c r="DZ1529" s="143" t="str">
        <f>IF(DT1529=1,"self-calculated DF",IF(DU1529=1,"external DF used","explicit C balance"))</f>
        <v>external DF used</v>
      </c>
      <c r="EA1529">
        <v>0</v>
      </c>
      <c r="EB1529">
        <v>1</v>
      </c>
      <c r="EC1529">
        <v>1</v>
      </c>
      <c r="ED1529">
        <v>1</v>
      </c>
      <c r="EE1529">
        <v>1</v>
      </c>
      <c r="EF1529" s="143">
        <v>0</v>
      </c>
      <c r="EG1529">
        <v>1</v>
      </c>
      <c r="EH1529">
        <v>1</v>
      </c>
      <c r="EI1529">
        <v>0</v>
      </c>
      <c r="EJ1529">
        <v>1</v>
      </c>
      <c r="EK1529">
        <v>1</v>
      </c>
      <c r="EL1529">
        <v>1</v>
      </c>
      <c r="EM1529">
        <v>0</v>
      </c>
      <c r="EN1529" s="2">
        <v>0</v>
      </c>
      <c r="EP1529" t="str">
        <f>IF(AND(AND(AND(OR($EC1529=1,$EB1529=1),OR($EH1529=1,$EF1529=1)),SUM($EA1529:$EE1529,$EK1529)&gt;=3),SUM($EF1529:$EJ1529)&gt;=2),"Whole sector approach","")</f>
        <v>Whole sector approach</v>
      </c>
      <c r="EQ1529" t="str">
        <f>IF(AND(AND(OR($EC1529=1,$EB1529=1),AND($EH1529=0,$EF1529=0)),SUM($EA1529:$EE1529,$EK1529)&gt;=4),"Ecosystem approach","")</f>
        <v/>
      </c>
      <c r="ER1529" s="2" t="str">
        <f>IF(AND(AND(AND($EC1529=0,$EB1529=0),OR($EH1529=1,$EF1529=1)),SUM($EG1529:$EJ1529)&gt;=2),"Technology approach","")</f>
        <v/>
      </c>
      <c r="ES1529" t="str">
        <f>IF(AND($EC1529+$EB1529+$EE1529+$EA1529+$ED1529+$EG1529=0,$N1529="included"),"C neutral forest and HWP assumption","")</f>
        <v/>
      </c>
      <c r="ET1529" t="str">
        <f>IF(AND(AND(AND(AND($EC1529=1,$EB1529+$EA1529+$EG1529&gt;=1),$EF1529=1),$EH1529+$EI1529+$ED1529+$EE1529&gt;=2),$N1529="included"),"All C pools assumption","")</f>
        <v/>
      </c>
      <c r="EU1529" t="str">
        <f>IF(AND($ED1529+$EE1529+$EI1529+$EH1529+$EF1529=0,$N1529="included"),"In-situ only assumption","")</f>
        <v/>
      </c>
      <c r="EY1529" t="str">
        <f>IF(ISNUMBER(BW1529),IF(ABS(BW1529-[2]QC_indicators!$B$2)&gt;3*[2]QC_indicators!$C$2,"C ratio",IF(ISNUMBER(CA1529),IF(ABS(CA1529-[2]QC_indicators!$B$1)&gt;3*[2]QC_indicators!$C$1,"DF","no"))),IF(ISNUMBER(CA1529),IF(ABS(CA1529-[2]QC_indicators!$B$1)&gt;3*[2]QC_indicators!$C$1,"DF","no")))</f>
        <v>no</v>
      </c>
      <c r="EZ1529" t="s">
        <v>286</v>
      </c>
      <c r="FA1529" t="str">
        <f>IF(LEN($CY1529)=0,"",IF(AND($CY1529&lt;(-0.05),$ES1529="C neutral forest and HWP assumption"),"Cneutral paradox",IF(AND($CY1529&gt;0.05,$EU1529="In-situ only assumption"),"In-situ only paradox","")))</f>
        <v/>
      </c>
      <c r="FD1529" s="260" t="s">
        <v>2948</v>
      </c>
    </row>
    <row r="1530" spans="1:160" ht="15" hidden="1" customHeight="1">
      <c r="A1530" s="1" t="s">
        <v>265</v>
      </c>
      <c r="B1530" t="s">
        <v>266</v>
      </c>
      <c r="C1530" t="s">
        <v>267</v>
      </c>
      <c r="D1530" t="s">
        <v>268</v>
      </c>
      <c r="E1530" t="s">
        <v>269</v>
      </c>
      <c r="F1530" t="s">
        <v>270</v>
      </c>
      <c r="G1530" t="s">
        <v>271</v>
      </c>
      <c r="H1530" t="s">
        <v>254</v>
      </c>
      <c r="I1530">
        <v>2022</v>
      </c>
      <c r="J1530">
        <v>0</v>
      </c>
      <c r="K1530" t="s">
        <v>272</v>
      </c>
      <c r="M1530" t="str">
        <f>LEFT($D1530,FIND(",",$D1530)-1)&amp;"_"&amp;I1530&amp;L1530</f>
        <v>Aryapratama_2022</v>
      </c>
      <c r="N1530" t="s">
        <v>222</v>
      </c>
      <c r="O1530" s="145" t="s">
        <v>274</v>
      </c>
      <c r="Q1530" t="s">
        <v>224</v>
      </c>
      <c r="R1530" s="258" t="s">
        <v>223</v>
      </c>
      <c r="S1530" s="259" t="s">
        <v>2784</v>
      </c>
      <c r="T1530" t="s">
        <v>313</v>
      </c>
      <c r="U1530" t="s">
        <v>283</v>
      </c>
      <c r="V1530" s="253">
        <v>0</v>
      </c>
      <c r="W1530" s="253">
        <v>0</v>
      </c>
      <c r="X1530">
        <v>0</v>
      </c>
      <c r="Y1530">
        <v>0</v>
      </c>
      <c r="Z1530">
        <v>0</v>
      </c>
      <c r="AA1530">
        <v>0</v>
      </c>
      <c r="AB1530">
        <v>0</v>
      </c>
      <c r="AC1530">
        <v>0</v>
      </c>
      <c r="AD1530">
        <v>0</v>
      </c>
      <c r="AE1530">
        <v>0</v>
      </c>
      <c r="AF1530">
        <v>0</v>
      </c>
      <c r="AG1530">
        <v>0</v>
      </c>
      <c r="AH1530">
        <v>0</v>
      </c>
      <c r="AI1530">
        <v>0</v>
      </c>
      <c r="AJ1530">
        <v>0</v>
      </c>
      <c r="AK1530">
        <v>0</v>
      </c>
      <c r="AL1530">
        <v>0</v>
      </c>
      <c r="AM1530">
        <v>1</v>
      </c>
      <c r="AN1530">
        <v>0</v>
      </c>
      <c r="AO1530">
        <v>0</v>
      </c>
      <c r="AP1530">
        <v>0</v>
      </c>
      <c r="AQ1530">
        <v>0</v>
      </c>
      <c r="AR1530">
        <v>0</v>
      </c>
      <c r="AS1530">
        <v>0</v>
      </c>
      <c r="AT1530">
        <v>0</v>
      </c>
      <c r="AU1530">
        <v>0</v>
      </c>
      <c r="AV1530">
        <v>0</v>
      </c>
      <c r="AW1530">
        <v>0</v>
      </c>
      <c r="AX1530">
        <v>0</v>
      </c>
      <c r="AY1530">
        <v>0</v>
      </c>
      <c r="AZ1530" s="141">
        <f>COUNTIF(X1530:AY1530,"&lt;&gt;0")</f>
        <v>1</v>
      </c>
      <c r="BA1530" s="141">
        <f>COUNTIF(X1530:AN1530,"&lt;&gt;0")</f>
        <v>1</v>
      </c>
      <c r="BB1530">
        <f>COUNTIF(X1530:AE1530,"&lt;&gt;0")</f>
        <v>0</v>
      </c>
      <c r="BC1530">
        <f>COUNTIF(AF1530:AK1530,"&lt;&gt;0")</f>
        <v>0</v>
      </c>
      <c r="BD1530">
        <f>COUNTIF(AL1530:AN1530,"&lt;&gt;0")</f>
        <v>1</v>
      </c>
      <c r="BE1530">
        <f>COUNTIF(AU1530:AY1530,"&lt;&gt;0")</f>
        <v>0</v>
      </c>
      <c r="BF1530">
        <f>COUNTIF(AO1530:AT1530,"&lt;&gt;0")</f>
        <v>0</v>
      </c>
      <c r="BG1530" t="str">
        <f t="array" ref="BG1530">IF(BA1530=1,INDEX($X$7:$AN$7,MATCH(TRUE,INDEX($X1530:$AY1530&lt;&gt;0,),0)),IF(BA1530=0,INDEX($AO$7:$AY$7,MATCH(1,$AO1530:$AY1530,0)),IF(BH1530="Multiple strategies","mixed drivers",IF(BH1530="Supply chain","multiple supply","multiple silviculture"))))</f>
        <v>technologies/design switch</v>
      </c>
      <c r="BH1530" s="2" t="str" cm="1">
        <f t="array" ref="BH1530">IF(COUNTIF(BB1530:BD1530,"&lt;&gt;0")=1,INDEX($X$4:$AY$4,MATCH(TRUE,INDEX($X1530:$AY1530&lt;&gt;0,),0)),IF(COUNTIF(BB1530:BD1530,"&lt;&gt;0")=0,INDEX($AO$4:$AY$4,MATCH(1,$AO1530:$AY1530,0)),"Multiple strategies"))</f>
        <v>Technology</v>
      </c>
      <c r="BI1530" s="1" t="s">
        <v>229</v>
      </c>
      <c r="BJ1530" t="s">
        <v>277</v>
      </c>
      <c r="BK1530" s="260" t="s">
        <v>2785</v>
      </c>
      <c r="BL1530" t="s">
        <v>278</v>
      </c>
      <c r="BM1530">
        <v>0</v>
      </c>
      <c r="BN1530">
        <v>11.564535948479303</v>
      </c>
      <c r="BP1530">
        <f>BN1530-BM1530</f>
        <v>11.564535948479303</v>
      </c>
      <c r="BQ1530">
        <f>BP1530*tC_to_m3</f>
        <v>50.215093132780304</v>
      </c>
      <c r="BR1530" t="s">
        <v>232</v>
      </c>
      <c r="BS1530" s="153" t="s">
        <v>2786</v>
      </c>
      <c r="BT1530" t="s">
        <v>279</v>
      </c>
      <c r="BU1530">
        <v>75.991198542896527</v>
      </c>
      <c r="BV1530">
        <v>185.09042564065231</v>
      </c>
      <c r="BW1530" s="144">
        <f>IFERROR(BV1530/BU1530,"")</f>
        <v>2.4356824104592851</v>
      </c>
      <c r="BX1530">
        <f>BV1530-BU1530</f>
        <v>109.09922709775579</v>
      </c>
      <c r="BZ1530">
        <f>BX1530</f>
        <v>109.09922709775579</v>
      </c>
      <c r="CA1530">
        <f>IFERROR(BZ1530/BQ1530,"")</f>
        <v>2.1726381510290587</v>
      </c>
      <c r="CB1530">
        <v>0</v>
      </c>
      <c r="CC1530">
        <v>0</v>
      </c>
      <c r="CD1530">
        <v>0</v>
      </c>
      <c r="CE1530">
        <v>0</v>
      </c>
      <c r="CF1530">
        <v>0</v>
      </c>
      <c r="CG1530">
        <v>0</v>
      </c>
      <c r="CH1530">
        <v>0</v>
      </c>
      <c r="CI1530">
        <v>0</v>
      </c>
      <c r="CJ1530">
        <v>0</v>
      </c>
      <c r="CK1530">
        <v>0</v>
      </c>
      <c r="CL1530">
        <v>0</v>
      </c>
      <c r="CM1530">
        <v>0</v>
      </c>
      <c r="CN1530">
        <v>0</v>
      </c>
      <c r="CO1530">
        <v>0</v>
      </c>
      <c r="CP1530" t="str">
        <f>IF($BN1530&lt;$BM1530,"refNeedCorrection","refOK")</f>
        <v>refOK</v>
      </c>
      <c r="CQ1530">
        <f>IF($CP1530="refOK",$BM1530,$BN1530)</f>
        <v>0</v>
      </c>
      <c r="CR1530">
        <f>IF($CP1530="refOK",$BN1530,$BM1530)</f>
        <v>11.564535948479303</v>
      </c>
      <c r="CS1530">
        <f>IF($CP1530="refOK",$BQ1530,-$BQ1530)</f>
        <v>50.215093132780304</v>
      </c>
      <c r="CT1530">
        <f>IF(BI1530="Roundwood",$CS1530/2,$CS1530)</f>
        <v>50.215093132780304</v>
      </c>
      <c r="CU1530">
        <f>IF($CP1530="refOK",$BU1530,$BV1530)*IF($BR1530="Emissions positive",-1,1)</f>
        <v>75.991198542896527</v>
      </c>
      <c r="CV1530">
        <f>IF($CP1530="refOK",$BV1530,$BU1530)*IF($BR1530="Emissions positive",-1,1)</f>
        <v>185.09042564065231</v>
      </c>
      <c r="CW1530">
        <f>IF($CP1530="refNeedCorrection",-BZ1530,BZ1530)*IF($BR1530="Emissions positive",-1,1)</f>
        <v>109.09922709775579</v>
      </c>
      <c r="CX1530">
        <f>IFERROR($CW1530/$CS1530,"")</f>
        <v>2.1726381510290587</v>
      </c>
      <c r="CY1530">
        <f>IFERROR($CW1530/$CS1530,"")</f>
        <v>2.1726381510290587</v>
      </c>
      <c r="CZ1530">
        <f>IFERROR($CW1530/$CT1530,"")</f>
        <v>2.1726381510290587</v>
      </c>
      <c r="DA1530" s="2">
        <f>IFERROR((CV1530-CU1530)/ABS(CU1530),"")</f>
        <v>1.4356824104592849</v>
      </c>
      <c r="DB1530" s="1" t="s">
        <v>234</v>
      </c>
      <c r="DC1530" t="str">
        <f>IF(OR($DB1530="prd",$DB1530="std",$DB1530="cit"),"loc",IF(OR($DB1530="eur",$DB1530="reg",$DB1530="coy"),"reg",$DB1530))</f>
        <v>loc</v>
      </c>
      <c r="DD1530" t="s">
        <v>280</v>
      </c>
      <c r="DG1530">
        <v>50</v>
      </c>
      <c r="DH1530" t="str">
        <f>IF(DG1530=0,"0",IF(AND(DG1530&gt;=1,DG1530&lt;=30),"1-30",IF(AND(DG1530&gt;30,DG1530&lt;=70),"31-70",IF(AND(DG1530&gt;70,DG1530&lt;=100),"71-100",IF(DG1530&gt;100,"+100")))))</f>
        <v>31-70</v>
      </c>
      <c r="DI1530">
        <v>0</v>
      </c>
      <c r="DJ1530">
        <v>0</v>
      </c>
      <c r="DK1530">
        <v>0</v>
      </c>
      <c r="DL1530">
        <v>1</v>
      </c>
      <c r="DN1530">
        <f>SUM(DI1530:DL1530)</f>
        <v>1</v>
      </c>
      <c r="DO1530" t="str">
        <f>IF(DN1530=1,INDEX($DI$7:$DL$7,MATCH(1,$DI1530:$DL1530,0)),"mixedProduct")</f>
        <v>TimberInput</v>
      </c>
      <c r="DP1530">
        <f>IF(DI1530=1,DP$7,0)</f>
        <v>0</v>
      </c>
      <c r="DQ1530">
        <f>IF(DJ1530=1,DQ$7,0)</f>
        <v>0</v>
      </c>
      <c r="DR1530">
        <f>IF(DK1530=1,DR$7,0)</f>
        <v>0</v>
      </c>
      <c r="DS1530" t="str">
        <f>IF(DL1530=1,DS$7,0)</f>
        <v>Timber</v>
      </c>
      <c r="DT1530">
        <v>0</v>
      </c>
      <c r="DU1530">
        <v>1</v>
      </c>
      <c r="DV1530">
        <v>0</v>
      </c>
      <c r="DW1530" t="s">
        <v>281</v>
      </c>
      <c r="DX1530">
        <v>0</v>
      </c>
      <c r="DY1530">
        <f>SUM(DT1530:DU1530)</f>
        <v>1</v>
      </c>
      <c r="DZ1530" s="143" t="str">
        <f>IF(DT1530=1,"self-calculated DF",IF(DU1530=1,"external DF used","explicit C balance"))</f>
        <v>external DF used</v>
      </c>
      <c r="EA1530">
        <v>0</v>
      </c>
      <c r="EB1530">
        <v>1</v>
      </c>
      <c r="EC1530">
        <v>1</v>
      </c>
      <c r="ED1530">
        <v>1</v>
      </c>
      <c r="EE1530">
        <v>1</v>
      </c>
      <c r="EF1530" s="143">
        <v>0</v>
      </c>
      <c r="EG1530">
        <v>1</v>
      </c>
      <c r="EH1530">
        <v>1</v>
      </c>
      <c r="EI1530">
        <v>0</v>
      </c>
      <c r="EJ1530">
        <v>1</v>
      </c>
      <c r="EK1530">
        <v>1</v>
      </c>
      <c r="EL1530">
        <v>1</v>
      </c>
      <c r="EM1530">
        <v>0</v>
      </c>
      <c r="EN1530" s="2">
        <v>0</v>
      </c>
      <c r="EP1530" t="str">
        <f>IF(AND(AND(AND(OR($EC1530=1,$EB1530=1),OR($EH1530=1,$EF1530=1)),SUM($EA1530:$EE1530,$EK1530)&gt;=3),SUM($EF1530:$EJ1530)&gt;=2),"Whole sector approach","")</f>
        <v>Whole sector approach</v>
      </c>
      <c r="EQ1530" t="str">
        <f>IF(AND(AND(OR($EC1530=1,$EB1530=1),AND($EH1530=0,$EF1530=0)),SUM($EA1530:$EE1530,$EK1530)&gt;=4),"Ecosystem approach","")</f>
        <v/>
      </c>
      <c r="ER1530" s="2" t="str">
        <f>IF(AND(AND(AND($EC1530=0,$EB1530=0),OR($EH1530=1,$EF1530=1)),SUM($EG1530:$EJ1530)&gt;=2),"Technology approach","")</f>
        <v/>
      </c>
      <c r="ES1530" t="str">
        <f>IF(AND($EC1530+$EB1530+$EE1530+$EA1530+$ED1530+$EG1530=0,$N1530="included"),"C neutral forest and HWP assumption","")</f>
        <v/>
      </c>
      <c r="ET1530" t="str">
        <f>IF(AND(AND(AND(AND($EC1530=1,$EB1530+$EA1530+$EG1530&gt;=1),$EF1530=1),$EH1530+$EI1530+$ED1530+$EE1530&gt;=2),$N1530="included"),"All C pools assumption","")</f>
        <v/>
      </c>
      <c r="EU1530" t="str">
        <f>IF(AND($ED1530+$EE1530+$EI1530+$EH1530+$EF1530=0,$N1530="included"),"In-situ only assumption","")</f>
        <v/>
      </c>
      <c r="EY1530" t="str">
        <f>IF(ISNUMBER(BW1530),IF(ABS(BW1530-[2]QC_indicators!$B$2)&gt;3*[2]QC_indicators!$C$2,"C ratio",IF(ISNUMBER(CA1530),IF(ABS(CA1530-[2]QC_indicators!$B$1)&gt;3*[2]QC_indicators!$C$1,"DF","no"))),IF(ISNUMBER(CA1530),IF(ABS(CA1530-[2]QC_indicators!$B$1)&gt;3*[2]QC_indicators!$C$1,"DF","no")))</f>
        <v>no</v>
      </c>
      <c r="EZ1530" t="s">
        <v>286</v>
      </c>
      <c r="FA1530" t="str">
        <f>IF(LEN($CY1530)=0,"",IF(AND($CY1530&lt;(-0.05),$ES1530="C neutral forest and HWP assumption"),"Cneutral paradox",IF(AND($CY1530&gt;0.05,$EU1530="In-situ only assumption"),"In-situ only paradox","")))</f>
        <v/>
      </c>
      <c r="FD1530" s="260" t="s">
        <v>2948</v>
      </c>
    </row>
    <row r="1531" spans="1:160" ht="15" hidden="1" customHeight="1">
      <c r="A1531" s="1" t="s">
        <v>265</v>
      </c>
      <c r="B1531" t="s">
        <v>266</v>
      </c>
      <c r="C1531" t="s">
        <v>267</v>
      </c>
      <c r="D1531" t="s">
        <v>268</v>
      </c>
      <c r="E1531" t="s">
        <v>269</v>
      </c>
      <c r="F1531" t="s">
        <v>270</v>
      </c>
      <c r="G1531" t="s">
        <v>271</v>
      </c>
      <c r="H1531" t="s">
        <v>254</v>
      </c>
      <c r="I1531">
        <v>2022</v>
      </c>
      <c r="J1531">
        <v>0</v>
      </c>
      <c r="K1531" t="s">
        <v>272</v>
      </c>
      <c r="M1531" t="str">
        <f>LEFT($D1531,FIND(",",$D1531)-1)&amp;"_"&amp;I1531&amp;L1531</f>
        <v>Aryapratama_2022</v>
      </c>
      <c r="N1531" t="s">
        <v>222</v>
      </c>
      <c r="O1531" s="145" t="s">
        <v>274</v>
      </c>
      <c r="Q1531" t="s">
        <v>224</v>
      </c>
      <c r="R1531" s="258" t="s">
        <v>223</v>
      </c>
      <c r="S1531" s="259" t="s">
        <v>2784</v>
      </c>
      <c r="T1531" t="s">
        <v>313</v>
      </c>
      <c r="U1531" t="s">
        <v>283</v>
      </c>
      <c r="V1531" s="253">
        <v>0</v>
      </c>
      <c r="W1531" s="253">
        <v>0</v>
      </c>
      <c r="X1531">
        <v>0</v>
      </c>
      <c r="Y1531">
        <v>0</v>
      </c>
      <c r="Z1531">
        <v>0</v>
      </c>
      <c r="AA1531">
        <v>0</v>
      </c>
      <c r="AB1531">
        <v>0</v>
      </c>
      <c r="AC1531">
        <v>0</v>
      </c>
      <c r="AD1531">
        <v>0</v>
      </c>
      <c r="AE1531">
        <v>0</v>
      </c>
      <c r="AF1531">
        <v>0</v>
      </c>
      <c r="AG1531">
        <v>0</v>
      </c>
      <c r="AH1531">
        <v>0</v>
      </c>
      <c r="AI1531">
        <v>0</v>
      </c>
      <c r="AJ1531">
        <v>0</v>
      </c>
      <c r="AK1531">
        <v>0</v>
      </c>
      <c r="AL1531">
        <v>0</v>
      </c>
      <c r="AM1531">
        <v>1</v>
      </c>
      <c r="AN1531">
        <v>0</v>
      </c>
      <c r="AO1531">
        <v>0</v>
      </c>
      <c r="AP1531">
        <v>0</v>
      </c>
      <c r="AQ1531">
        <v>0</v>
      </c>
      <c r="AR1531">
        <v>0</v>
      </c>
      <c r="AS1531">
        <v>0</v>
      </c>
      <c r="AT1531">
        <v>0</v>
      </c>
      <c r="AU1531">
        <v>0</v>
      </c>
      <c r="AV1531">
        <v>0</v>
      </c>
      <c r="AW1531">
        <v>0</v>
      </c>
      <c r="AX1531">
        <v>0</v>
      </c>
      <c r="AY1531">
        <v>0</v>
      </c>
      <c r="AZ1531" s="141">
        <f>COUNTIF(X1531:AY1531,"&lt;&gt;0")</f>
        <v>1</v>
      </c>
      <c r="BA1531" s="141">
        <f>COUNTIF(X1531:AN1531,"&lt;&gt;0")</f>
        <v>1</v>
      </c>
      <c r="BB1531">
        <f>COUNTIF(X1531:AE1531,"&lt;&gt;0")</f>
        <v>0</v>
      </c>
      <c r="BC1531">
        <f>COUNTIF(AF1531:AK1531,"&lt;&gt;0")</f>
        <v>0</v>
      </c>
      <c r="BD1531">
        <f>COUNTIF(AL1531:AN1531,"&lt;&gt;0")</f>
        <v>1</v>
      </c>
      <c r="BE1531">
        <f>COUNTIF(AU1531:AY1531,"&lt;&gt;0")</f>
        <v>0</v>
      </c>
      <c r="BF1531">
        <f>COUNTIF(AO1531:AT1531,"&lt;&gt;0")</f>
        <v>0</v>
      </c>
      <c r="BG1531" t="str">
        <f t="array" ref="BG1531">IF(BA1531=1,INDEX($X$7:$AN$7,MATCH(TRUE,INDEX($X1531:$AY1531&lt;&gt;0,),0)),IF(BA1531=0,INDEX($AO$7:$AY$7,MATCH(1,$AO1531:$AY1531,0)),IF(BH1531="Multiple strategies","mixed drivers",IF(BH1531="Supply chain","multiple supply","multiple silviculture"))))</f>
        <v>technologies/design switch</v>
      </c>
      <c r="BH1531" s="2" t="str" cm="1">
        <f t="array" ref="BH1531">IF(COUNTIF(BB1531:BD1531,"&lt;&gt;0")=1,INDEX($X$4:$AY$4,MATCH(TRUE,INDEX($X1531:$AY1531&lt;&gt;0,),0)),IF(COUNTIF(BB1531:BD1531,"&lt;&gt;0")=0,INDEX($AO$4:$AY$4,MATCH(1,$AO1531:$AY1531,0)),"Multiple strategies"))</f>
        <v>Technology</v>
      </c>
      <c r="BI1531" s="1" t="s">
        <v>229</v>
      </c>
      <c r="BJ1531" t="s">
        <v>277</v>
      </c>
      <c r="BK1531" s="260" t="s">
        <v>2785</v>
      </c>
      <c r="BL1531" t="s">
        <v>278</v>
      </c>
      <c r="BM1531">
        <v>0</v>
      </c>
      <c r="BN1531">
        <v>34.69360784543791</v>
      </c>
      <c r="BP1531">
        <f>BN1531-BM1531</f>
        <v>34.69360784543791</v>
      </c>
      <c r="BQ1531">
        <f>BP1531*tC_to_m3</f>
        <v>150.6452793983409</v>
      </c>
      <c r="BR1531" t="s">
        <v>232</v>
      </c>
      <c r="BS1531" s="153" t="s">
        <v>2786</v>
      </c>
      <c r="BT1531" t="s">
        <v>279</v>
      </c>
      <c r="BU1531">
        <v>337.64037255698202</v>
      </c>
      <c r="BV1531">
        <v>739.24076084648095</v>
      </c>
      <c r="BW1531" s="144">
        <f>IFERROR(BV1531/BU1531,"")</f>
        <v>2.1894323692636095</v>
      </c>
      <c r="BX1531">
        <f>BV1531-BU1531</f>
        <v>401.60038828949894</v>
      </c>
      <c r="BZ1531">
        <f>BX1531</f>
        <v>401.60038828949894</v>
      </c>
      <c r="CA1531">
        <f>IFERROR(BZ1531/BQ1531,"")</f>
        <v>2.6658677251185203</v>
      </c>
      <c r="CB1531">
        <v>0</v>
      </c>
      <c r="CC1531">
        <v>0</v>
      </c>
      <c r="CD1531">
        <v>0</v>
      </c>
      <c r="CE1531">
        <v>0</v>
      </c>
      <c r="CF1531">
        <v>0</v>
      </c>
      <c r="CG1531">
        <v>0</v>
      </c>
      <c r="CH1531">
        <v>0</v>
      </c>
      <c r="CI1531">
        <v>0</v>
      </c>
      <c r="CJ1531">
        <v>0</v>
      </c>
      <c r="CK1531">
        <v>0</v>
      </c>
      <c r="CL1531">
        <v>0</v>
      </c>
      <c r="CM1531">
        <v>0</v>
      </c>
      <c r="CN1531">
        <v>0</v>
      </c>
      <c r="CO1531">
        <v>0</v>
      </c>
      <c r="CP1531" t="str">
        <f>IF($BN1531&lt;$BM1531,"refNeedCorrection","refOK")</f>
        <v>refOK</v>
      </c>
      <c r="CQ1531">
        <f>IF($CP1531="refOK",$BM1531,$BN1531)</f>
        <v>0</v>
      </c>
      <c r="CR1531">
        <f>IF($CP1531="refOK",$BN1531,$BM1531)</f>
        <v>34.69360784543791</v>
      </c>
      <c r="CS1531">
        <f>IF($CP1531="refOK",$BQ1531,-$BQ1531)</f>
        <v>150.6452793983409</v>
      </c>
      <c r="CT1531">
        <f>IF(BI1531="Roundwood",$CS1531/2,$CS1531)</f>
        <v>150.6452793983409</v>
      </c>
      <c r="CU1531">
        <f>IF($CP1531="refOK",$BU1531,$BV1531)*IF($BR1531="Emissions positive",-1,1)</f>
        <v>337.64037255698202</v>
      </c>
      <c r="CV1531">
        <f>IF($CP1531="refOK",$BV1531,$BU1531)*IF($BR1531="Emissions positive",-1,1)</f>
        <v>739.24076084648095</v>
      </c>
      <c r="CW1531">
        <f>IF($CP1531="refNeedCorrection",-BZ1531,BZ1531)*IF($BR1531="Emissions positive",-1,1)</f>
        <v>401.60038828949894</v>
      </c>
      <c r="CX1531">
        <f>IFERROR($CW1531/$CS1531,"")</f>
        <v>2.6658677251185203</v>
      </c>
      <c r="CY1531">
        <f>IFERROR($CW1531/$CS1531,"")</f>
        <v>2.6658677251185203</v>
      </c>
      <c r="CZ1531">
        <f>IFERROR($CW1531/$CT1531,"")</f>
        <v>2.6658677251185203</v>
      </c>
      <c r="DA1531" s="2">
        <f>IFERROR((CV1531-CU1531)/ABS(CU1531),"")</f>
        <v>1.1894323692636095</v>
      </c>
      <c r="DB1531" s="1" t="s">
        <v>234</v>
      </c>
      <c r="DC1531" t="str">
        <f>IF(OR($DB1531="prd",$DB1531="std",$DB1531="cit"),"loc",IF(OR($DB1531="eur",$DB1531="reg",$DB1531="coy"),"reg",$DB1531))</f>
        <v>loc</v>
      </c>
      <c r="DD1531" t="s">
        <v>280</v>
      </c>
      <c r="DG1531">
        <v>200</v>
      </c>
      <c r="DH1531" t="str">
        <f>IF(DG1531=0,"0",IF(AND(DG1531&gt;=1,DG1531&lt;=30),"1-30",IF(AND(DG1531&gt;30,DG1531&lt;=70),"31-70",IF(AND(DG1531&gt;70,DG1531&lt;=100),"71-100",IF(DG1531&gt;100,"+100")))))</f>
        <v>+100</v>
      </c>
      <c r="DI1531">
        <v>0</v>
      </c>
      <c r="DJ1531">
        <v>0</v>
      </c>
      <c r="DK1531">
        <v>0</v>
      </c>
      <c r="DL1531">
        <v>1</v>
      </c>
      <c r="DN1531">
        <f>SUM(DI1531:DL1531)</f>
        <v>1</v>
      </c>
      <c r="DO1531" t="str">
        <f>IF(DN1531=1,INDEX($DI$7:$DL$7,MATCH(1,$DI1531:$DL1531,0)),"mixedProduct")</f>
        <v>TimberInput</v>
      </c>
      <c r="DP1531">
        <f>IF(DI1531=1,DP$7,0)</f>
        <v>0</v>
      </c>
      <c r="DQ1531">
        <f>IF(DJ1531=1,DQ$7,0)</f>
        <v>0</v>
      </c>
      <c r="DR1531">
        <f>IF(DK1531=1,DR$7,0)</f>
        <v>0</v>
      </c>
      <c r="DS1531" t="str">
        <f>IF(DL1531=1,DS$7,0)</f>
        <v>Timber</v>
      </c>
      <c r="DT1531">
        <v>0</v>
      </c>
      <c r="DU1531">
        <v>1</v>
      </c>
      <c r="DV1531">
        <v>0</v>
      </c>
      <c r="DW1531" t="s">
        <v>281</v>
      </c>
      <c r="DX1531">
        <v>0</v>
      </c>
      <c r="DY1531">
        <f>SUM(DT1531:DU1531)</f>
        <v>1</v>
      </c>
      <c r="DZ1531" s="143" t="str">
        <f>IF(DT1531=1,"self-calculated DF",IF(DU1531=1,"external DF used","explicit C balance"))</f>
        <v>external DF used</v>
      </c>
      <c r="EA1531">
        <v>0</v>
      </c>
      <c r="EB1531">
        <v>1</v>
      </c>
      <c r="EC1531">
        <v>1</v>
      </c>
      <c r="ED1531">
        <v>1</v>
      </c>
      <c r="EE1531">
        <v>1</v>
      </c>
      <c r="EF1531" s="143">
        <v>0</v>
      </c>
      <c r="EG1531">
        <v>1</v>
      </c>
      <c r="EH1531">
        <v>1</v>
      </c>
      <c r="EI1531">
        <v>0</v>
      </c>
      <c r="EJ1531">
        <v>1</v>
      </c>
      <c r="EK1531">
        <v>1</v>
      </c>
      <c r="EL1531">
        <v>1</v>
      </c>
      <c r="EM1531">
        <v>0</v>
      </c>
      <c r="EN1531" s="2">
        <v>0</v>
      </c>
      <c r="EP1531" t="str">
        <f>IF(AND(AND(AND(OR($EC1531=1,$EB1531=1),OR($EH1531=1,$EF1531=1)),SUM($EA1531:$EE1531,$EK1531)&gt;=3),SUM($EF1531:$EJ1531)&gt;=2),"Whole sector approach","")</f>
        <v>Whole sector approach</v>
      </c>
      <c r="EQ1531" t="str">
        <f>IF(AND(AND(OR($EC1531=1,$EB1531=1),AND($EH1531=0,$EF1531=0)),SUM($EA1531:$EE1531,$EK1531)&gt;=4),"Ecosystem approach","")</f>
        <v/>
      </c>
      <c r="ER1531" s="2" t="str">
        <f>IF(AND(AND(AND($EC1531=0,$EB1531=0),OR($EH1531=1,$EF1531=1)),SUM($EG1531:$EJ1531)&gt;=2),"Technology approach","")</f>
        <v/>
      </c>
      <c r="ES1531" t="str">
        <f>IF(AND($EC1531+$EB1531+$EE1531+$EA1531+$ED1531+$EG1531=0,$N1531="included"),"C neutral forest and HWP assumption","")</f>
        <v/>
      </c>
      <c r="ET1531" t="str">
        <f>IF(AND(AND(AND(AND($EC1531=1,$EB1531+$EA1531+$EG1531&gt;=1),$EF1531=1),$EH1531+$EI1531+$ED1531+$EE1531&gt;=2),$N1531="included"),"All C pools assumption","")</f>
        <v/>
      </c>
      <c r="EU1531" t="str">
        <f>IF(AND($ED1531+$EE1531+$EI1531+$EH1531+$EF1531=0,$N1531="included"),"In-situ only assumption","")</f>
        <v/>
      </c>
      <c r="EY1531" t="str">
        <f>IF(ISNUMBER(BW1531),IF(ABS(BW1531-[2]QC_indicators!$B$2)&gt;3*[2]QC_indicators!$C$2,"C ratio",IF(ISNUMBER(CA1531),IF(ABS(CA1531-[2]QC_indicators!$B$1)&gt;3*[2]QC_indicators!$C$1,"DF","no"))),IF(ISNUMBER(CA1531),IF(ABS(CA1531-[2]QC_indicators!$B$1)&gt;3*[2]QC_indicators!$C$1,"DF","no")))</f>
        <v>no</v>
      </c>
      <c r="EZ1531" t="s">
        <v>286</v>
      </c>
      <c r="FA1531" t="str">
        <f>IF(LEN($CY1531)=0,"",IF(AND($CY1531&lt;(-0.05),$ES1531="C neutral forest and HWP assumption"),"Cneutral paradox",IF(AND($CY1531&gt;0.05,$EU1531="In-situ only assumption"),"In-situ only paradox","")))</f>
        <v/>
      </c>
      <c r="FD1531" s="260" t="s">
        <v>2948</v>
      </c>
    </row>
    <row r="1532" spans="1:160" ht="15" hidden="1" customHeight="1">
      <c r="A1532" s="1" t="s">
        <v>265</v>
      </c>
      <c r="B1532" t="s">
        <v>266</v>
      </c>
      <c r="C1532" t="s">
        <v>267</v>
      </c>
      <c r="D1532" t="s">
        <v>268</v>
      </c>
      <c r="E1532" t="s">
        <v>269</v>
      </c>
      <c r="F1532" t="s">
        <v>270</v>
      </c>
      <c r="G1532" t="s">
        <v>271</v>
      </c>
      <c r="H1532" t="s">
        <v>254</v>
      </c>
      <c r="I1532">
        <v>2022</v>
      </c>
      <c r="J1532">
        <v>0</v>
      </c>
      <c r="K1532" t="s">
        <v>272</v>
      </c>
      <c r="M1532" t="str">
        <f>LEFT($D1532,FIND(",",$D1532)-1)&amp;"_"&amp;I1532&amp;L1532</f>
        <v>Aryapratama_2022</v>
      </c>
      <c r="N1532" t="s">
        <v>222</v>
      </c>
      <c r="O1532" s="145" t="s">
        <v>274</v>
      </c>
      <c r="Q1532" t="s">
        <v>224</v>
      </c>
      <c r="R1532" s="258" t="s">
        <v>223</v>
      </c>
      <c r="S1532" s="259" t="s">
        <v>2784</v>
      </c>
      <c r="T1532" t="s">
        <v>313</v>
      </c>
      <c r="U1532" t="s">
        <v>283</v>
      </c>
      <c r="V1532" s="253">
        <v>0</v>
      </c>
      <c r="W1532" s="253">
        <v>0</v>
      </c>
      <c r="X1532">
        <v>0</v>
      </c>
      <c r="Y1532">
        <v>0</v>
      </c>
      <c r="Z1532">
        <v>0</v>
      </c>
      <c r="AA1532">
        <v>0</v>
      </c>
      <c r="AB1532">
        <v>0</v>
      </c>
      <c r="AC1532">
        <v>0</v>
      </c>
      <c r="AD1532">
        <v>0</v>
      </c>
      <c r="AE1532">
        <v>0</v>
      </c>
      <c r="AF1532">
        <v>0</v>
      </c>
      <c r="AG1532">
        <v>0</v>
      </c>
      <c r="AH1532">
        <v>0</v>
      </c>
      <c r="AI1532">
        <v>0</v>
      </c>
      <c r="AJ1532">
        <v>0</v>
      </c>
      <c r="AK1532">
        <v>0</v>
      </c>
      <c r="AL1532">
        <v>0</v>
      </c>
      <c r="AM1532">
        <v>1</v>
      </c>
      <c r="AN1532">
        <v>0</v>
      </c>
      <c r="AO1532">
        <v>0</v>
      </c>
      <c r="AP1532">
        <v>0</v>
      </c>
      <c r="AQ1532">
        <v>0</v>
      </c>
      <c r="AR1532">
        <v>0</v>
      </c>
      <c r="AS1532">
        <v>0</v>
      </c>
      <c r="AT1532">
        <v>0</v>
      </c>
      <c r="AU1532">
        <v>0</v>
      </c>
      <c r="AV1532">
        <v>0</v>
      </c>
      <c r="AW1532">
        <v>0</v>
      </c>
      <c r="AX1532">
        <v>0</v>
      </c>
      <c r="AY1532">
        <v>0</v>
      </c>
      <c r="AZ1532" s="141">
        <f>COUNTIF(X1532:AY1532,"&lt;&gt;0")</f>
        <v>1</v>
      </c>
      <c r="BA1532" s="141">
        <f>COUNTIF(X1532:AN1532,"&lt;&gt;0")</f>
        <v>1</v>
      </c>
      <c r="BB1532">
        <f>COUNTIF(X1532:AE1532,"&lt;&gt;0")</f>
        <v>0</v>
      </c>
      <c r="BC1532">
        <f>COUNTIF(AF1532:AK1532,"&lt;&gt;0")</f>
        <v>0</v>
      </c>
      <c r="BD1532">
        <f>COUNTIF(AL1532:AN1532,"&lt;&gt;0")</f>
        <v>1</v>
      </c>
      <c r="BE1532">
        <f>COUNTIF(AU1532:AY1532,"&lt;&gt;0")</f>
        <v>0</v>
      </c>
      <c r="BF1532">
        <f>COUNTIF(AO1532:AT1532,"&lt;&gt;0")</f>
        <v>0</v>
      </c>
      <c r="BG1532" t="str">
        <f t="array" ref="BG1532">IF(BA1532=1,INDEX($X$7:$AN$7,MATCH(TRUE,INDEX($X1532:$AY1532&lt;&gt;0,),0)),IF(BA1532=0,INDEX($AO$7:$AY$7,MATCH(1,$AO1532:$AY1532,0)),IF(BH1532="Multiple strategies","mixed drivers",IF(BH1532="Supply chain","multiple supply","multiple silviculture"))))</f>
        <v>technologies/design switch</v>
      </c>
      <c r="BH1532" s="2" t="str" cm="1">
        <f t="array" ref="BH1532">IF(COUNTIF(BB1532:BD1532,"&lt;&gt;0")=1,INDEX($X$4:$AY$4,MATCH(TRUE,INDEX($X1532:$AY1532&lt;&gt;0,),0)),IF(COUNTIF(BB1532:BD1532,"&lt;&gt;0")=0,INDEX($AO$4:$AY$4,MATCH(1,$AO1532:$AY1532,0)),"Multiple strategies"))</f>
        <v>Technology</v>
      </c>
      <c r="BI1532" s="1" t="s">
        <v>229</v>
      </c>
      <c r="BJ1532" t="s">
        <v>277</v>
      </c>
      <c r="BK1532" s="260" t="s">
        <v>2785</v>
      </c>
      <c r="BL1532" t="s">
        <v>278</v>
      </c>
      <c r="BM1532">
        <v>0</v>
      </c>
      <c r="BN1532">
        <v>17.346803922718955</v>
      </c>
      <c r="BP1532">
        <f>BN1532-BM1532</f>
        <v>17.346803922718955</v>
      </c>
      <c r="BQ1532">
        <f>BP1532*tC_to_m3</f>
        <v>75.322639699170452</v>
      </c>
      <c r="BR1532" t="s">
        <v>232</v>
      </c>
      <c r="BS1532" s="153" t="s">
        <v>2786</v>
      </c>
      <c r="BT1532" t="s">
        <v>279</v>
      </c>
      <c r="BU1532">
        <v>163.96310441836951</v>
      </c>
      <c r="BV1532">
        <v>369.9239668180054</v>
      </c>
      <c r="BW1532" s="144">
        <f>IFERROR(BV1532/BU1532,"")</f>
        <v>2.2561415150697841</v>
      </c>
      <c r="BX1532">
        <f>BV1532-BU1532</f>
        <v>205.96086239963589</v>
      </c>
      <c r="BZ1532">
        <f>BX1532</f>
        <v>205.96086239963589</v>
      </c>
      <c r="CA1532">
        <f>IFERROR(BZ1532/BQ1532,"")</f>
        <v>2.7343818966278763</v>
      </c>
      <c r="CB1532">
        <v>0</v>
      </c>
      <c r="CC1532">
        <v>0</v>
      </c>
      <c r="CD1532">
        <v>0</v>
      </c>
      <c r="CE1532">
        <v>0</v>
      </c>
      <c r="CF1532">
        <v>0</v>
      </c>
      <c r="CG1532">
        <v>0</v>
      </c>
      <c r="CH1532">
        <v>0</v>
      </c>
      <c r="CI1532">
        <v>0</v>
      </c>
      <c r="CJ1532">
        <v>0</v>
      </c>
      <c r="CK1532">
        <v>0</v>
      </c>
      <c r="CL1532">
        <v>0</v>
      </c>
      <c r="CM1532">
        <v>0</v>
      </c>
      <c r="CN1532">
        <v>0</v>
      </c>
      <c r="CO1532">
        <v>0</v>
      </c>
      <c r="CP1532" t="str">
        <f>IF($BN1532&lt;$BM1532,"refNeedCorrection","refOK")</f>
        <v>refOK</v>
      </c>
      <c r="CQ1532">
        <f>IF($CP1532="refOK",$BM1532,$BN1532)</f>
        <v>0</v>
      </c>
      <c r="CR1532">
        <f>IF($CP1532="refOK",$BN1532,$BM1532)</f>
        <v>17.346803922718955</v>
      </c>
      <c r="CS1532">
        <f>IF($CP1532="refOK",$BQ1532,-$BQ1532)</f>
        <v>75.322639699170452</v>
      </c>
      <c r="CT1532">
        <f>IF(BI1532="Roundwood",$CS1532/2,$CS1532)</f>
        <v>75.322639699170452</v>
      </c>
      <c r="CU1532">
        <f>IF($CP1532="refOK",$BU1532,$BV1532)*IF($BR1532="Emissions positive",-1,1)</f>
        <v>163.96310441836951</v>
      </c>
      <c r="CV1532">
        <f>IF($CP1532="refOK",$BV1532,$BU1532)*IF($BR1532="Emissions positive",-1,1)</f>
        <v>369.9239668180054</v>
      </c>
      <c r="CW1532">
        <f>IF($CP1532="refNeedCorrection",-BZ1532,BZ1532)*IF($BR1532="Emissions positive",-1,1)</f>
        <v>205.96086239963589</v>
      </c>
      <c r="CX1532">
        <f>IFERROR($CW1532/$CS1532,"")</f>
        <v>2.7343818966278763</v>
      </c>
      <c r="CY1532">
        <f>IFERROR($CW1532/$CS1532,"")</f>
        <v>2.7343818966278763</v>
      </c>
      <c r="CZ1532">
        <f>IFERROR($CW1532/$CT1532,"")</f>
        <v>2.7343818966278763</v>
      </c>
      <c r="DA1532" s="2">
        <f>IFERROR((CV1532-CU1532)/ABS(CU1532),"")</f>
        <v>1.2561415150697841</v>
      </c>
      <c r="DB1532" s="1" t="s">
        <v>234</v>
      </c>
      <c r="DC1532" t="str">
        <f>IF(OR($DB1532="prd",$DB1532="std",$DB1532="cit"),"loc",IF(OR($DB1532="eur",$DB1532="reg",$DB1532="coy"),"reg",$DB1532))</f>
        <v>loc</v>
      </c>
      <c r="DD1532" t="s">
        <v>280</v>
      </c>
      <c r="DG1532">
        <v>100</v>
      </c>
      <c r="DH1532" t="str">
        <f>IF(DG1532=0,"0",IF(AND(DG1532&gt;=1,DG1532&lt;=30),"1-30",IF(AND(DG1532&gt;30,DG1532&lt;=70),"31-70",IF(AND(DG1532&gt;70,DG1532&lt;=100),"71-100",IF(DG1532&gt;100,"+100")))))</f>
        <v>71-100</v>
      </c>
      <c r="DI1532">
        <v>0</v>
      </c>
      <c r="DJ1532">
        <v>0</v>
      </c>
      <c r="DK1532">
        <v>0</v>
      </c>
      <c r="DL1532">
        <v>1</v>
      </c>
      <c r="DN1532">
        <f>SUM(DI1532:DL1532)</f>
        <v>1</v>
      </c>
      <c r="DO1532" t="str">
        <f>IF(DN1532=1,INDEX($DI$7:$DL$7,MATCH(1,$DI1532:$DL1532,0)),"mixedProduct")</f>
        <v>TimberInput</v>
      </c>
      <c r="DP1532">
        <f>IF(DI1532=1,DP$7,0)</f>
        <v>0</v>
      </c>
      <c r="DQ1532">
        <f>IF(DJ1532=1,DQ$7,0)</f>
        <v>0</v>
      </c>
      <c r="DR1532">
        <f>IF(DK1532=1,DR$7,0)</f>
        <v>0</v>
      </c>
      <c r="DS1532" t="str">
        <f>IF(DL1532=1,DS$7,0)</f>
        <v>Timber</v>
      </c>
      <c r="DT1532">
        <v>0</v>
      </c>
      <c r="DU1532">
        <v>1</v>
      </c>
      <c r="DV1532">
        <v>0</v>
      </c>
      <c r="DW1532" t="s">
        <v>281</v>
      </c>
      <c r="DX1532">
        <v>0</v>
      </c>
      <c r="DY1532">
        <f>SUM(DT1532:DU1532)</f>
        <v>1</v>
      </c>
      <c r="DZ1532" s="143" t="str">
        <f>IF(DT1532=1,"self-calculated DF",IF(DU1532=1,"external DF used","explicit C balance"))</f>
        <v>external DF used</v>
      </c>
      <c r="EA1532">
        <v>0</v>
      </c>
      <c r="EB1532">
        <v>1</v>
      </c>
      <c r="EC1532">
        <v>1</v>
      </c>
      <c r="ED1532">
        <v>1</v>
      </c>
      <c r="EE1532">
        <v>1</v>
      </c>
      <c r="EF1532" s="143">
        <v>0</v>
      </c>
      <c r="EG1532">
        <v>1</v>
      </c>
      <c r="EH1532">
        <v>1</v>
      </c>
      <c r="EI1532">
        <v>0</v>
      </c>
      <c r="EJ1532">
        <v>1</v>
      </c>
      <c r="EK1532">
        <v>1</v>
      </c>
      <c r="EL1532">
        <v>1</v>
      </c>
      <c r="EM1532">
        <v>0</v>
      </c>
      <c r="EN1532" s="2">
        <v>0</v>
      </c>
      <c r="EP1532" t="str">
        <f>IF(AND(AND(AND(OR($EC1532=1,$EB1532=1),OR($EH1532=1,$EF1532=1)),SUM($EA1532:$EE1532,$EK1532)&gt;=3),SUM($EF1532:$EJ1532)&gt;=2),"Whole sector approach","")</f>
        <v>Whole sector approach</v>
      </c>
      <c r="EQ1532" t="str">
        <f>IF(AND(AND(OR($EC1532=1,$EB1532=1),AND($EH1532=0,$EF1532=0)),SUM($EA1532:$EE1532,$EK1532)&gt;=4),"Ecosystem approach","")</f>
        <v/>
      </c>
      <c r="ER1532" s="2" t="str">
        <f>IF(AND(AND(AND($EC1532=0,$EB1532=0),OR($EH1532=1,$EF1532=1)),SUM($EG1532:$EJ1532)&gt;=2),"Technology approach","")</f>
        <v/>
      </c>
      <c r="ES1532" t="str">
        <f>IF(AND($EC1532+$EB1532+$EE1532+$EA1532+$ED1532+$EG1532=0,$N1532="included"),"C neutral forest and HWP assumption","")</f>
        <v/>
      </c>
      <c r="ET1532" t="str">
        <f>IF(AND(AND(AND(AND($EC1532=1,$EB1532+$EA1532+$EG1532&gt;=1),$EF1532=1),$EH1532+$EI1532+$ED1532+$EE1532&gt;=2),$N1532="included"),"All C pools assumption","")</f>
        <v/>
      </c>
      <c r="EU1532" t="str">
        <f>IF(AND($ED1532+$EE1532+$EI1532+$EH1532+$EF1532=0,$N1532="included"),"In-situ only assumption","")</f>
        <v/>
      </c>
      <c r="EY1532" t="str">
        <f>IF(ISNUMBER(BW1532),IF(ABS(BW1532-[2]QC_indicators!$B$2)&gt;3*[2]QC_indicators!$C$2,"C ratio",IF(ISNUMBER(CA1532),IF(ABS(CA1532-[2]QC_indicators!$B$1)&gt;3*[2]QC_indicators!$C$1,"DF","no"))),IF(ISNUMBER(CA1532),IF(ABS(CA1532-[2]QC_indicators!$B$1)&gt;3*[2]QC_indicators!$C$1,"DF","no")))</f>
        <v>no</v>
      </c>
      <c r="EZ1532" t="s">
        <v>286</v>
      </c>
      <c r="FA1532" t="str">
        <f>IF(LEN($CY1532)=0,"",IF(AND($CY1532&lt;(-0.05),$ES1532="C neutral forest and HWP assumption"),"Cneutral paradox",IF(AND($CY1532&gt;0.05,$EU1532="In-situ only assumption"),"In-situ only paradox","")))</f>
        <v/>
      </c>
      <c r="FD1532" s="260" t="s">
        <v>2948</v>
      </c>
    </row>
    <row r="1533" spans="1:160" ht="15" hidden="1" customHeight="1">
      <c r="A1533" s="1" t="s">
        <v>265</v>
      </c>
      <c r="B1533" t="s">
        <v>266</v>
      </c>
      <c r="C1533" t="s">
        <v>267</v>
      </c>
      <c r="D1533" t="s">
        <v>268</v>
      </c>
      <c r="E1533" t="s">
        <v>269</v>
      </c>
      <c r="F1533" t="s">
        <v>270</v>
      </c>
      <c r="G1533" t="s">
        <v>271</v>
      </c>
      <c r="H1533" t="s">
        <v>254</v>
      </c>
      <c r="I1533">
        <v>2022</v>
      </c>
      <c r="J1533">
        <v>0</v>
      </c>
      <c r="K1533" t="s">
        <v>272</v>
      </c>
      <c r="M1533" t="str">
        <f>LEFT($D1533,FIND(",",$D1533)-1)&amp;"_"&amp;I1533&amp;L1533</f>
        <v>Aryapratama_2022</v>
      </c>
      <c r="N1533" t="s">
        <v>222</v>
      </c>
      <c r="O1533" s="145" t="s">
        <v>274</v>
      </c>
      <c r="Q1533" t="s">
        <v>224</v>
      </c>
      <c r="R1533" s="258" t="s">
        <v>223</v>
      </c>
      <c r="S1533" s="1" t="s">
        <v>314</v>
      </c>
      <c r="T1533" t="s">
        <v>315</v>
      </c>
      <c r="U1533" t="s">
        <v>316</v>
      </c>
      <c r="V1533" s="253">
        <v>0</v>
      </c>
      <c r="W1533" s="253">
        <v>0</v>
      </c>
      <c r="X1533">
        <v>0</v>
      </c>
      <c r="Y1533">
        <v>0</v>
      </c>
      <c r="Z1533">
        <v>1</v>
      </c>
      <c r="AA1533">
        <v>0</v>
      </c>
      <c r="AB1533">
        <v>0</v>
      </c>
      <c r="AC1533">
        <v>0</v>
      </c>
      <c r="AD1533">
        <v>0</v>
      </c>
      <c r="AE1533">
        <v>0</v>
      </c>
      <c r="AF1533">
        <v>0</v>
      </c>
      <c r="AG1533">
        <v>0</v>
      </c>
      <c r="AH1533">
        <v>0</v>
      </c>
      <c r="AI1533">
        <v>0</v>
      </c>
      <c r="AJ1533">
        <v>0</v>
      </c>
      <c r="AK1533">
        <v>2</v>
      </c>
      <c r="AL1533">
        <v>0</v>
      </c>
      <c r="AM1533">
        <v>0</v>
      </c>
      <c r="AN1533">
        <v>0</v>
      </c>
      <c r="AO1533">
        <v>0</v>
      </c>
      <c r="AP1533">
        <v>0</v>
      </c>
      <c r="AQ1533">
        <v>0</v>
      </c>
      <c r="AR1533">
        <v>0</v>
      </c>
      <c r="AS1533">
        <v>0</v>
      </c>
      <c r="AT1533">
        <v>0</v>
      </c>
      <c r="AU1533">
        <v>0</v>
      </c>
      <c r="AV1533">
        <v>0</v>
      </c>
      <c r="AW1533">
        <v>0</v>
      </c>
      <c r="AX1533">
        <v>0</v>
      </c>
      <c r="AY1533">
        <v>0</v>
      </c>
      <c r="AZ1533" s="141">
        <f>COUNTIF(X1533:AY1533,"&lt;&gt;0")</f>
        <v>2</v>
      </c>
      <c r="BA1533" s="141">
        <f>COUNTIF(X1533:AN1533,"&lt;&gt;0")</f>
        <v>2</v>
      </c>
      <c r="BB1533">
        <f>COUNTIF(X1533:AE1533,"&lt;&gt;0")</f>
        <v>1</v>
      </c>
      <c r="BC1533">
        <f>COUNTIF(AF1533:AK1533,"&lt;&gt;0")</f>
        <v>1</v>
      </c>
      <c r="BD1533">
        <f>COUNTIF(AL1533:AN1533,"&lt;&gt;0")</f>
        <v>0</v>
      </c>
      <c r="BE1533">
        <f>COUNTIF(AU1533:AY1533,"&lt;&gt;0")</f>
        <v>0</v>
      </c>
      <c r="BF1533">
        <f>COUNTIF(AO1533:AT1533,"&lt;&gt;0")</f>
        <v>0</v>
      </c>
      <c r="BG1533" t="str">
        <f t="array" ref="BG1533">IF(BA1533=1,INDEX($X$7:$AN$7,MATCH(TRUE,INDEX($X1533:$AY1533&lt;&gt;0,),0)),IF(BA1533=0,INDEX($AO$7:$AY$7,MATCH(1,$AO1533:$AY1533,0)),IF(BH1533="Multiple strategies","mixed drivers",IF(BH1533="Supply chain","multiple supply","multiple silviculture"))))</f>
        <v>mixed drivers</v>
      </c>
      <c r="BH1533" s="2" t="str" cm="1">
        <f t="array" ref="BH1533">IF(COUNTIF(BB1533:BD1533,"&lt;&gt;0")=1,INDEX($X$4:$AY$4,MATCH(TRUE,INDEX($X1533:$AY1533&lt;&gt;0,),0)),IF(COUNTIF(BB1533:BD1533,"&lt;&gt;0")=0,INDEX($AO$4:$AY$4,MATCH(1,$AO1533:$AY1533,0)),"Multiple strategies"))</f>
        <v>Multiple strategies</v>
      </c>
      <c r="BI1533" s="1" t="s">
        <v>229</v>
      </c>
      <c r="BJ1533" t="s">
        <v>277</v>
      </c>
      <c r="BK1533" s="260" t="s">
        <v>2785</v>
      </c>
      <c r="BL1533" t="s">
        <v>278</v>
      </c>
      <c r="BM1533">
        <v>226.7291347999585</v>
      </c>
      <c r="BN1533">
        <v>265.71098787093206</v>
      </c>
      <c r="BO1533">
        <f>BN1533/BM1533</f>
        <v>1.1719313801702942</v>
      </c>
      <c r="BP1533">
        <f>BN1533-BM1533</f>
        <v>38.981853070973557</v>
      </c>
      <c r="BQ1533">
        <f>BP1533*tC_to_m3</f>
        <v>169.26553656523473</v>
      </c>
      <c r="BR1533" t="s">
        <v>232</v>
      </c>
      <c r="BS1533" s="153" t="s">
        <v>2786</v>
      </c>
      <c r="BT1533" t="s">
        <v>279</v>
      </c>
      <c r="BU1533">
        <v>-617.93246272463909</v>
      </c>
      <c r="BV1533">
        <v>-870.70033536556764</v>
      </c>
      <c r="BW1533" s="144">
        <f>IFERROR(BV1533/BU1533,"")</f>
        <v>1.4090542055783952</v>
      </c>
      <c r="BX1533">
        <f>BV1533-BU1533</f>
        <v>-252.76787264092854</v>
      </c>
      <c r="BZ1533">
        <f>BX1533</f>
        <v>-252.76787264092854</v>
      </c>
      <c r="CA1533">
        <f>IFERROR(BZ1533/BQ1533,"")</f>
        <v>-1.4933215453667505</v>
      </c>
      <c r="CB1533">
        <v>0</v>
      </c>
      <c r="CC1533">
        <v>0</v>
      </c>
      <c r="CD1533">
        <v>0</v>
      </c>
      <c r="CE1533">
        <v>0</v>
      </c>
      <c r="CF1533">
        <v>0</v>
      </c>
      <c r="CG1533">
        <v>0</v>
      </c>
      <c r="CH1533">
        <v>0</v>
      </c>
      <c r="CI1533">
        <v>0</v>
      </c>
      <c r="CJ1533">
        <v>0</v>
      </c>
      <c r="CK1533">
        <v>0</v>
      </c>
      <c r="CL1533">
        <v>0</v>
      </c>
      <c r="CM1533">
        <v>0</v>
      </c>
      <c r="CN1533">
        <v>0</v>
      </c>
      <c r="CO1533">
        <v>0</v>
      </c>
      <c r="CP1533" t="str">
        <f>IF($BN1533&lt;$BM1533,"refNeedCorrection","refOK")</f>
        <v>refOK</v>
      </c>
      <c r="CQ1533">
        <f>IF($CP1533="refOK",$BM1533,$BN1533)</f>
        <v>226.7291347999585</v>
      </c>
      <c r="CR1533">
        <f>IF($CP1533="refOK",$BN1533,$BM1533)</f>
        <v>265.71098787093206</v>
      </c>
      <c r="CS1533">
        <f>IF($CP1533="refOK",$BQ1533,-$BQ1533)</f>
        <v>169.26553656523473</v>
      </c>
      <c r="CT1533">
        <f>IF(BI1533="Roundwood",$CS1533/2,$CS1533)</f>
        <v>169.26553656523473</v>
      </c>
      <c r="CU1533">
        <f>IF($CP1533="refOK",$BU1533,$BV1533)*IF($BR1533="Emissions positive",-1,1)</f>
        <v>-617.93246272463909</v>
      </c>
      <c r="CV1533">
        <f>IF($CP1533="refOK",$BV1533,$BU1533)*IF($BR1533="Emissions positive",-1,1)</f>
        <v>-870.70033536556764</v>
      </c>
      <c r="CW1533">
        <f>IF($CP1533="refNeedCorrection",-BZ1533,BZ1533)*IF($BR1533="Emissions positive",-1,1)</f>
        <v>-252.76787264092854</v>
      </c>
      <c r="CX1533">
        <f>IFERROR($CW1533/$CS1533,"")</f>
        <v>-1.4933215453667505</v>
      </c>
      <c r="CY1533">
        <f>IFERROR($CW1533/$CS1533,"")</f>
        <v>-1.4933215453667505</v>
      </c>
      <c r="CZ1533">
        <f>IFERROR($CW1533/$CT1533,"")</f>
        <v>-1.4933215453667505</v>
      </c>
      <c r="DA1533" s="2">
        <f>IFERROR((CV1533-CU1533)/ABS(CU1533),"")</f>
        <v>-0.40905420557839517</v>
      </c>
      <c r="DB1533" s="1" t="s">
        <v>234</v>
      </c>
      <c r="DC1533" t="str">
        <f>IF(OR($DB1533="prd",$DB1533="std",$DB1533="cit"),"loc",IF(OR($DB1533="eur",$DB1533="reg",$DB1533="coy"),"reg",$DB1533))</f>
        <v>loc</v>
      </c>
      <c r="DD1533" t="s">
        <v>280</v>
      </c>
      <c r="DG1533">
        <v>50</v>
      </c>
      <c r="DH1533" t="str">
        <f>IF(DG1533=0,"0",IF(AND(DG1533&gt;=1,DG1533&lt;=30),"1-30",IF(AND(DG1533&gt;30,DG1533&lt;=70),"31-70",IF(AND(DG1533&gt;70,DG1533&lt;=100),"71-100",IF(DG1533&gt;100,"+100")))))</f>
        <v>31-70</v>
      </c>
      <c r="DI1533">
        <v>0</v>
      </c>
      <c r="DJ1533">
        <v>0</v>
      </c>
      <c r="DK1533">
        <v>1</v>
      </c>
      <c r="DL1533">
        <v>0</v>
      </c>
      <c r="DN1533">
        <f>SUM(DI1533:DL1533)</f>
        <v>1</v>
      </c>
      <c r="DO1533" t="str">
        <f>IF(DN1533=1,INDEX($DI$7:$DL$7,MATCH(1,$DI1533:$DL1533,0)),"mixedProduct")</f>
        <v>PulpPaperInput</v>
      </c>
      <c r="DP1533">
        <f>IF(DI1533=1,DP$7,0)</f>
        <v>0</v>
      </c>
      <c r="DQ1533">
        <f>IF(DJ1533=1,DQ$7,0)</f>
        <v>0</v>
      </c>
      <c r="DR1533" t="str">
        <f>IF(DK1533=1,DR$7,0)</f>
        <v>Pulp/Paper</v>
      </c>
      <c r="DS1533">
        <f>IF(DL1533=1,DS$7,0)</f>
        <v>0</v>
      </c>
      <c r="DT1533">
        <v>0</v>
      </c>
      <c r="DU1533">
        <v>1</v>
      </c>
      <c r="DV1533">
        <v>0</v>
      </c>
      <c r="DW1533" t="s">
        <v>281</v>
      </c>
      <c r="DX1533">
        <v>0</v>
      </c>
      <c r="DY1533">
        <f>SUM(DT1533:DU1533)</f>
        <v>1</v>
      </c>
      <c r="DZ1533" s="143" t="str">
        <f>IF(DT1533=1,"self-calculated DF",IF(DU1533=1,"external DF used","explicit C balance"))</f>
        <v>external DF used</v>
      </c>
      <c r="EA1533">
        <v>0</v>
      </c>
      <c r="EB1533">
        <v>1</v>
      </c>
      <c r="EC1533">
        <v>1</v>
      </c>
      <c r="ED1533">
        <v>1</v>
      </c>
      <c r="EE1533">
        <v>1</v>
      </c>
      <c r="EF1533" s="143">
        <v>0</v>
      </c>
      <c r="EG1533">
        <v>1</v>
      </c>
      <c r="EH1533">
        <v>1</v>
      </c>
      <c r="EI1533">
        <v>0</v>
      </c>
      <c r="EJ1533">
        <v>1</v>
      </c>
      <c r="EK1533">
        <v>1</v>
      </c>
      <c r="EL1533">
        <v>1</v>
      </c>
      <c r="EM1533">
        <v>0</v>
      </c>
      <c r="EN1533" s="2">
        <v>0</v>
      </c>
      <c r="EP1533" t="str">
        <f>IF(AND(AND(AND(OR($EC1533=1,$EB1533=1),OR($EH1533=1,$EF1533=1)),SUM($EA1533:$EE1533,$EK1533)&gt;=3),SUM($EF1533:$EJ1533)&gt;=2),"Whole sector approach","")</f>
        <v>Whole sector approach</v>
      </c>
      <c r="EQ1533" t="str">
        <f>IF(AND(AND(OR($EC1533=1,$EB1533=1),AND($EH1533=0,$EF1533=0)),SUM($EA1533:$EE1533,$EK1533)&gt;=4),"Ecosystem approach","")</f>
        <v/>
      </c>
      <c r="ER1533" s="2" t="str">
        <f>IF(AND(AND(AND($EC1533=0,$EB1533=0),OR($EH1533=1,$EF1533=1)),SUM($EG1533:$EJ1533)&gt;=2),"Technology approach","")</f>
        <v/>
      </c>
      <c r="ES1533" t="str">
        <f>IF(AND($EC1533+$EB1533+$EE1533+$EA1533+$ED1533+$EG1533=0,$N1533="included"),"C neutral forest and HWP assumption","")</f>
        <v/>
      </c>
      <c r="ET1533" t="str">
        <f>IF(AND(AND(AND(AND($EC1533=1,$EB1533+$EA1533+$EG1533&gt;=1),$EF1533=1),$EH1533+$EI1533+$ED1533+$EE1533&gt;=2),$N1533="included"),"All C pools assumption","")</f>
        <v/>
      </c>
      <c r="EU1533" t="str">
        <f>IF(AND($ED1533+$EE1533+$EI1533+$EH1533+$EF1533=0,$N1533="included"),"In-situ only assumption","")</f>
        <v/>
      </c>
      <c r="EY1533" t="str">
        <f>IF(ISNUMBER(BW1533),IF(ABS(BW1533-[2]QC_indicators!$B$2)&gt;3*[2]QC_indicators!$C$2,"C ratio",IF(ISNUMBER(CA1533),IF(ABS(CA1533-[2]QC_indicators!$B$1)&gt;3*[2]QC_indicators!$C$1,"DF","no"))),IF(ISNUMBER(CA1533),IF(ABS(CA1533-[2]QC_indicators!$B$1)&gt;3*[2]QC_indicators!$C$1,"DF","no")))</f>
        <v>no</v>
      </c>
      <c r="EZ1533" t="s">
        <v>286</v>
      </c>
      <c r="FA1533" t="str">
        <f>IF(LEN($CY1533)=0,"",IF(AND($CY1533&lt;(-0.05),$ES1533="C neutral forest and HWP assumption"),"Cneutral paradox",IF(AND($CY1533&gt;0.05,$EU1533="In-situ only assumption"),"In-situ only paradox","")))</f>
        <v/>
      </c>
      <c r="FD1533" s="260" t="s">
        <v>2948</v>
      </c>
    </row>
    <row r="1534" spans="1:160" ht="15" hidden="1" customHeight="1">
      <c r="A1534" s="1" t="s">
        <v>265</v>
      </c>
      <c r="B1534" t="s">
        <v>266</v>
      </c>
      <c r="C1534" t="s">
        <v>267</v>
      </c>
      <c r="D1534" t="s">
        <v>268</v>
      </c>
      <c r="E1534" t="s">
        <v>269</v>
      </c>
      <c r="F1534" t="s">
        <v>270</v>
      </c>
      <c r="G1534" t="s">
        <v>271</v>
      </c>
      <c r="H1534" t="s">
        <v>254</v>
      </c>
      <c r="I1534">
        <v>2022</v>
      </c>
      <c r="J1534">
        <v>0</v>
      </c>
      <c r="K1534" t="s">
        <v>272</v>
      </c>
      <c r="M1534" t="str">
        <f>LEFT($D1534,FIND(",",$D1534)-1)&amp;"_"&amp;I1534&amp;L1534</f>
        <v>Aryapratama_2022</v>
      </c>
      <c r="N1534" t="s">
        <v>222</v>
      </c>
      <c r="O1534" s="145" t="s">
        <v>274</v>
      </c>
      <c r="Q1534" t="s">
        <v>224</v>
      </c>
      <c r="R1534" s="258" t="s">
        <v>223</v>
      </c>
      <c r="S1534" s="1" t="s">
        <v>314</v>
      </c>
      <c r="T1534" t="s">
        <v>315</v>
      </c>
      <c r="U1534" t="s">
        <v>316</v>
      </c>
      <c r="V1534" s="253">
        <v>0</v>
      </c>
      <c r="W1534" s="253">
        <v>0</v>
      </c>
      <c r="X1534">
        <v>0</v>
      </c>
      <c r="Y1534">
        <v>0</v>
      </c>
      <c r="Z1534">
        <v>1</v>
      </c>
      <c r="AA1534">
        <v>0</v>
      </c>
      <c r="AB1534">
        <v>0</v>
      </c>
      <c r="AC1534">
        <v>0</v>
      </c>
      <c r="AD1534">
        <v>0</v>
      </c>
      <c r="AE1534">
        <v>0</v>
      </c>
      <c r="AF1534">
        <v>0</v>
      </c>
      <c r="AG1534">
        <v>0</v>
      </c>
      <c r="AH1534">
        <v>0</v>
      </c>
      <c r="AI1534">
        <v>0</v>
      </c>
      <c r="AJ1534">
        <v>0</v>
      </c>
      <c r="AK1534">
        <v>2</v>
      </c>
      <c r="AL1534">
        <v>0</v>
      </c>
      <c r="AM1534">
        <v>0</v>
      </c>
      <c r="AN1534">
        <v>0</v>
      </c>
      <c r="AO1534">
        <v>0</v>
      </c>
      <c r="AP1534">
        <v>0</v>
      </c>
      <c r="AQ1534">
        <v>0</v>
      </c>
      <c r="AR1534">
        <v>0</v>
      </c>
      <c r="AS1534">
        <v>0</v>
      </c>
      <c r="AT1534">
        <v>0</v>
      </c>
      <c r="AU1534">
        <v>0</v>
      </c>
      <c r="AV1534">
        <v>0</v>
      </c>
      <c r="AW1534">
        <v>0</v>
      </c>
      <c r="AX1534">
        <v>0</v>
      </c>
      <c r="AY1534">
        <v>0</v>
      </c>
      <c r="AZ1534" s="141">
        <f>COUNTIF(X1534:AY1534,"&lt;&gt;0")</f>
        <v>2</v>
      </c>
      <c r="BA1534" s="141">
        <f>COUNTIF(X1534:AN1534,"&lt;&gt;0")</f>
        <v>2</v>
      </c>
      <c r="BB1534">
        <f>COUNTIF(X1534:AE1534,"&lt;&gt;0")</f>
        <v>1</v>
      </c>
      <c r="BC1534">
        <f>COUNTIF(AF1534:AK1534,"&lt;&gt;0")</f>
        <v>1</v>
      </c>
      <c r="BD1534">
        <f>COUNTIF(AL1534:AN1534,"&lt;&gt;0")</f>
        <v>0</v>
      </c>
      <c r="BE1534">
        <f>COUNTIF(AU1534:AY1534,"&lt;&gt;0")</f>
        <v>0</v>
      </c>
      <c r="BF1534">
        <f>COUNTIF(AO1534:AT1534,"&lt;&gt;0")</f>
        <v>0</v>
      </c>
      <c r="BG1534" t="str">
        <f t="array" ref="BG1534">IF(BA1534=1,INDEX($X$7:$AN$7,MATCH(TRUE,INDEX($X1534:$AY1534&lt;&gt;0,),0)),IF(BA1534=0,INDEX($AO$7:$AY$7,MATCH(1,$AO1534:$AY1534,0)),IF(BH1534="Multiple strategies","mixed drivers",IF(BH1534="Supply chain","multiple supply","multiple silviculture"))))</f>
        <v>mixed drivers</v>
      </c>
      <c r="BH1534" s="2" t="str" cm="1">
        <f t="array" ref="BH1534">IF(COUNTIF(BB1534:BD1534,"&lt;&gt;0")=1,INDEX($X$4:$AY$4,MATCH(TRUE,INDEX($X1534:$AY1534&lt;&gt;0,),0)),IF(COUNTIF(BB1534:BD1534,"&lt;&gt;0")=0,INDEX($AO$4:$AY$4,MATCH(1,$AO1534:$AY1534,0)),"Multiple strategies"))</f>
        <v>Multiple strategies</v>
      </c>
      <c r="BI1534" s="1" t="s">
        <v>229</v>
      </c>
      <c r="BJ1534" t="s">
        <v>277</v>
      </c>
      <c r="BK1534" s="260" t="s">
        <v>2785</v>
      </c>
      <c r="BL1534" t="s">
        <v>278</v>
      </c>
      <c r="BM1534">
        <v>363.45340303763226</v>
      </c>
      <c r="BN1534">
        <v>429.73725876073206</v>
      </c>
      <c r="BO1534">
        <f>BN1534/BM1534</f>
        <v>1.1823723623692051</v>
      </c>
      <c r="BP1534">
        <f>BN1534-BM1534</f>
        <v>66.283855723099805</v>
      </c>
      <c r="BQ1534">
        <f>BP1534*tC_to_m3</f>
        <v>287.81526584064181</v>
      </c>
      <c r="BR1534" t="s">
        <v>232</v>
      </c>
      <c r="BS1534" s="153" t="s">
        <v>2786</v>
      </c>
      <c r="BT1534" t="s">
        <v>279</v>
      </c>
      <c r="BU1534">
        <v>-768.12774512252213</v>
      </c>
      <c r="BV1534">
        <v>-990.65809626676389</v>
      </c>
      <c r="BW1534" s="144">
        <f>IFERROR(BV1534/BU1534,"")</f>
        <v>1.2897048733850207</v>
      </c>
      <c r="BX1534">
        <f>BV1534-BU1534</f>
        <v>-222.53035114424176</v>
      </c>
      <c r="BZ1534">
        <f>BX1534</f>
        <v>-222.53035114424176</v>
      </c>
      <c r="CA1534">
        <f>IFERROR(BZ1534/BQ1534,"")</f>
        <v>-0.77317077151652147</v>
      </c>
      <c r="CB1534">
        <v>0</v>
      </c>
      <c r="CC1534">
        <v>0</v>
      </c>
      <c r="CD1534">
        <v>0</v>
      </c>
      <c r="CE1534">
        <v>0</v>
      </c>
      <c r="CF1534">
        <v>0</v>
      </c>
      <c r="CG1534">
        <v>0</v>
      </c>
      <c r="CH1534">
        <v>0</v>
      </c>
      <c r="CI1534">
        <v>0</v>
      </c>
      <c r="CJ1534">
        <v>0</v>
      </c>
      <c r="CK1534">
        <v>0</v>
      </c>
      <c r="CL1534">
        <v>0</v>
      </c>
      <c r="CM1534">
        <v>0</v>
      </c>
      <c r="CN1534">
        <v>0</v>
      </c>
      <c r="CO1534">
        <v>0</v>
      </c>
      <c r="CP1534" t="str">
        <f>IF($BN1534&lt;$BM1534,"refNeedCorrection","refOK")</f>
        <v>refOK</v>
      </c>
      <c r="CQ1534">
        <f>IF($CP1534="refOK",$BM1534,$BN1534)</f>
        <v>363.45340303763226</v>
      </c>
      <c r="CR1534">
        <f>IF($CP1534="refOK",$BN1534,$BM1534)</f>
        <v>429.73725876073206</v>
      </c>
      <c r="CS1534">
        <f>IF($CP1534="refOK",$BQ1534,-$BQ1534)</f>
        <v>287.81526584064181</v>
      </c>
      <c r="CT1534">
        <f>IF(BI1534="Roundwood",$CS1534/2,$CS1534)</f>
        <v>287.81526584064181</v>
      </c>
      <c r="CU1534">
        <f>IF($CP1534="refOK",$BU1534,$BV1534)*IF($BR1534="Emissions positive",-1,1)</f>
        <v>-768.12774512252213</v>
      </c>
      <c r="CV1534">
        <f>IF($CP1534="refOK",$BV1534,$BU1534)*IF($BR1534="Emissions positive",-1,1)</f>
        <v>-990.65809626676389</v>
      </c>
      <c r="CW1534">
        <f>IF($CP1534="refNeedCorrection",-BZ1534,BZ1534)*IF($BR1534="Emissions positive",-1,1)</f>
        <v>-222.53035114424176</v>
      </c>
      <c r="CX1534">
        <f>IFERROR($CW1534/$CS1534,"")</f>
        <v>-0.77317077151652147</v>
      </c>
      <c r="CY1534">
        <f>IFERROR($CW1534/$CS1534,"")</f>
        <v>-0.77317077151652147</v>
      </c>
      <c r="CZ1534">
        <f>IFERROR($CW1534/$CT1534,"")</f>
        <v>-0.77317077151652147</v>
      </c>
      <c r="DA1534" s="2">
        <f>IFERROR((CV1534-CU1534)/ABS(CU1534),"")</f>
        <v>-0.28970487338502077</v>
      </c>
      <c r="DB1534" s="1" t="s">
        <v>234</v>
      </c>
      <c r="DC1534" t="str">
        <f>IF(OR($DB1534="prd",$DB1534="std",$DB1534="cit"),"loc",IF(OR($DB1534="eur",$DB1534="reg",$DB1534="coy"),"reg",$DB1534))</f>
        <v>loc</v>
      </c>
      <c r="DD1534" t="s">
        <v>280</v>
      </c>
      <c r="DG1534">
        <v>100</v>
      </c>
      <c r="DH1534" t="str">
        <f>IF(DG1534=0,"0",IF(AND(DG1534&gt;=1,DG1534&lt;=30),"1-30",IF(AND(DG1534&gt;30,DG1534&lt;=70),"31-70",IF(AND(DG1534&gt;70,DG1534&lt;=100),"71-100",IF(DG1534&gt;100,"+100")))))</f>
        <v>71-100</v>
      </c>
      <c r="DI1534">
        <v>0</v>
      </c>
      <c r="DJ1534">
        <v>0</v>
      </c>
      <c r="DK1534">
        <v>1</v>
      </c>
      <c r="DL1534">
        <v>0</v>
      </c>
      <c r="DN1534">
        <f>SUM(DI1534:DL1534)</f>
        <v>1</v>
      </c>
      <c r="DO1534" t="str">
        <f>IF(DN1534=1,INDEX($DI$7:$DL$7,MATCH(1,$DI1534:$DL1534,0)),"mixedProduct")</f>
        <v>PulpPaperInput</v>
      </c>
      <c r="DP1534">
        <f>IF(DI1534=1,DP$7,0)</f>
        <v>0</v>
      </c>
      <c r="DQ1534">
        <f>IF(DJ1534=1,DQ$7,0)</f>
        <v>0</v>
      </c>
      <c r="DR1534" t="str">
        <f>IF(DK1534=1,DR$7,0)</f>
        <v>Pulp/Paper</v>
      </c>
      <c r="DS1534">
        <f>IF(DL1534=1,DS$7,0)</f>
        <v>0</v>
      </c>
      <c r="DT1534">
        <v>0</v>
      </c>
      <c r="DU1534">
        <v>1</v>
      </c>
      <c r="DV1534">
        <v>0</v>
      </c>
      <c r="DW1534" t="s">
        <v>281</v>
      </c>
      <c r="DX1534">
        <v>0</v>
      </c>
      <c r="DY1534">
        <f>SUM(DT1534:DU1534)</f>
        <v>1</v>
      </c>
      <c r="DZ1534" s="143" t="str">
        <f>IF(DT1534=1,"self-calculated DF",IF(DU1534=1,"external DF used","explicit C balance"))</f>
        <v>external DF used</v>
      </c>
      <c r="EA1534">
        <v>0</v>
      </c>
      <c r="EB1534">
        <v>1</v>
      </c>
      <c r="EC1534">
        <v>1</v>
      </c>
      <c r="ED1534">
        <v>1</v>
      </c>
      <c r="EE1534">
        <v>1</v>
      </c>
      <c r="EF1534" s="143">
        <v>0</v>
      </c>
      <c r="EG1534">
        <v>1</v>
      </c>
      <c r="EH1534">
        <v>1</v>
      </c>
      <c r="EI1534">
        <v>0</v>
      </c>
      <c r="EJ1534">
        <v>1</v>
      </c>
      <c r="EK1534">
        <v>1</v>
      </c>
      <c r="EL1534">
        <v>1</v>
      </c>
      <c r="EM1534">
        <v>0</v>
      </c>
      <c r="EN1534" s="2">
        <v>0</v>
      </c>
      <c r="EP1534" t="str">
        <f>IF(AND(AND(AND(OR($EC1534=1,$EB1534=1),OR($EH1534=1,$EF1534=1)),SUM($EA1534:$EE1534,$EK1534)&gt;=3),SUM($EF1534:$EJ1534)&gt;=2),"Whole sector approach","")</f>
        <v>Whole sector approach</v>
      </c>
      <c r="EQ1534" t="str">
        <f>IF(AND(AND(OR($EC1534=1,$EB1534=1),AND($EH1534=0,$EF1534=0)),SUM($EA1534:$EE1534,$EK1534)&gt;=4),"Ecosystem approach","")</f>
        <v/>
      </c>
      <c r="ER1534" s="2" t="str">
        <f>IF(AND(AND(AND($EC1534=0,$EB1534=0),OR($EH1534=1,$EF1534=1)),SUM($EG1534:$EJ1534)&gt;=2),"Technology approach","")</f>
        <v/>
      </c>
      <c r="ES1534" t="str">
        <f>IF(AND($EC1534+$EB1534+$EE1534+$EA1534+$ED1534+$EG1534=0,$N1534="included"),"C neutral forest and HWP assumption","")</f>
        <v/>
      </c>
      <c r="ET1534" t="str">
        <f>IF(AND(AND(AND(AND($EC1534=1,$EB1534+$EA1534+$EG1534&gt;=1),$EF1534=1),$EH1534+$EI1534+$ED1534+$EE1534&gt;=2),$N1534="included"),"All C pools assumption","")</f>
        <v/>
      </c>
      <c r="EU1534" t="str">
        <f>IF(AND($ED1534+$EE1534+$EI1534+$EH1534+$EF1534=0,$N1534="included"),"In-situ only assumption","")</f>
        <v/>
      </c>
      <c r="EY1534" t="str">
        <f>IF(ISNUMBER(BW1534),IF(ABS(BW1534-[2]QC_indicators!$B$2)&gt;3*[2]QC_indicators!$C$2,"C ratio",IF(ISNUMBER(CA1534),IF(ABS(CA1534-[2]QC_indicators!$B$1)&gt;3*[2]QC_indicators!$C$1,"DF","no"))),IF(ISNUMBER(CA1534),IF(ABS(CA1534-[2]QC_indicators!$B$1)&gt;3*[2]QC_indicators!$C$1,"DF","no")))</f>
        <v>no</v>
      </c>
      <c r="EZ1534" t="s">
        <v>286</v>
      </c>
      <c r="FA1534" t="str">
        <f>IF(LEN($CY1534)=0,"",IF(AND($CY1534&lt;(-0.05),$ES1534="C neutral forest and HWP assumption"),"Cneutral paradox",IF(AND($CY1534&gt;0.05,$EU1534="In-situ only assumption"),"In-situ only paradox","")))</f>
        <v/>
      </c>
      <c r="FD1534" s="260" t="s">
        <v>2948</v>
      </c>
    </row>
    <row r="1535" spans="1:160" ht="15" hidden="1" customHeight="1">
      <c r="A1535" s="1" t="s">
        <v>265</v>
      </c>
      <c r="B1535" t="s">
        <v>266</v>
      </c>
      <c r="C1535" t="s">
        <v>267</v>
      </c>
      <c r="D1535" t="s">
        <v>268</v>
      </c>
      <c r="E1535" t="s">
        <v>269</v>
      </c>
      <c r="F1535" t="s">
        <v>270</v>
      </c>
      <c r="G1535" t="s">
        <v>271</v>
      </c>
      <c r="H1535" t="s">
        <v>254</v>
      </c>
      <c r="I1535">
        <v>2022</v>
      </c>
      <c r="J1535">
        <v>0</v>
      </c>
      <c r="K1535" t="s">
        <v>272</v>
      </c>
      <c r="M1535" t="str">
        <f>LEFT($D1535,FIND(",",$D1535)-1)&amp;"_"&amp;I1535&amp;L1535</f>
        <v>Aryapratama_2022</v>
      </c>
      <c r="N1535" t="s">
        <v>222</v>
      </c>
      <c r="O1535" s="145" t="s">
        <v>274</v>
      </c>
      <c r="Q1535" t="s">
        <v>224</v>
      </c>
      <c r="R1535" s="258" t="s">
        <v>223</v>
      </c>
      <c r="S1535" s="1" t="s">
        <v>314</v>
      </c>
      <c r="T1535" t="s">
        <v>317</v>
      </c>
      <c r="U1535" t="s">
        <v>318</v>
      </c>
      <c r="V1535" s="253">
        <v>0</v>
      </c>
      <c r="W1535" s="253">
        <v>0</v>
      </c>
      <c r="X1535">
        <v>0</v>
      </c>
      <c r="Y1535">
        <v>0</v>
      </c>
      <c r="Z1535">
        <v>1</v>
      </c>
      <c r="AA1535">
        <v>0</v>
      </c>
      <c r="AB1535">
        <v>0</v>
      </c>
      <c r="AC1535">
        <v>0</v>
      </c>
      <c r="AD1535">
        <v>0</v>
      </c>
      <c r="AE1535">
        <v>0</v>
      </c>
      <c r="AF1535">
        <v>0</v>
      </c>
      <c r="AG1535">
        <v>0</v>
      </c>
      <c r="AH1535">
        <v>0</v>
      </c>
      <c r="AI1535">
        <v>0</v>
      </c>
      <c r="AJ1535">
        <v>0</v>
      </c>
      <c r="AK1535">
        <v>2</v>
      </c>
      <c r="AL1535">
        <v>0</v>
      </c>
      <c r="AM1535">
        <v>0</v>
      </c>
      <c r="AN1535">
        <v>0</v>
      </c>
      <c r="AO1535">
        <v>0</v>
      </c>
      <c r="AP1535">
        <v>0</v>
      </c>
      <c r="AQ1535">
        <v>0</v>
      </c>
      <c r="AR1535">
        <v>0</v>
      </c>
      <c r="AS1535">
        <v>0</v>
      </c>
      <c r="AT1535">
        <v>0</v>
      </c>
      <c r="AU1535">
        <v>0</v>
      </c>
      <c r="AV1535">
        <v>0</v>
      </c>
      <c r="AW1535">
        <v>0</v>
      </c>
      <c r="AX1535">
        <v>0</v>
      </c>
      <c r="AY1535">
        <v>0</v>
      </c>
      <c r="AZ1535" s="141">
        <f>COUNTIF(X1535:AY1535,"&lt;&gt;0")</f>
        <v>2</v>
      </c>
      <c r="BA1535" s="141">
        <f>COUNTIF(X1535:AN1535,"&lt;&gt;0")</f>
        <v>2</v>
      </c>
      <c r="BB1535">
        <f>COUNTIF(X1535:AE1535,"&lt;&gt;0")</f>
        <v>1</v>
      </c>
      <c r="BC1535">
        <f>COUNTIF(AF1535:AK1535,"&lt;&gt;0")</f>
        <v>1</v>
      </c>
      <c r="BD1535">
        <f>COUNTIF(AL1535:AN1535,"&lt;&gt;0")</f>
        <v>0</v>
      </c>
      <c r="BE1535">
        <f>COUNTIF(AU1535:AY1535,"&lt;&gt;0")</f>
        <v>0</v>
      </c>
      <c r="BF1535">
        <f>COUNTIF(AO1535:AT1535,"&lt;&gt;0")</f>
        <v>0</v>
      </c>
      <c r="BG1535" t="str">
        <f t="array" ref="BG1535">IF(BA1535=1,INDEX($X$7:$AN$7,MATCH(TRUE,INDEX($X1535:$AY1535&lt;&gt;0,),0)),IF(BA1535=0,INDEX($AO$7:$AY$7,MATCH(1,$AO1535:$AY1535,0)),IF(BH1535="Multiple strategies","mixed drivers",IF(BH1535="Supply chain","multiple supply","multiple silviculture"))))</f>
        <v>mixed drivers</v>
      </c>
      <c r="BH1535" s="2" t="str" cm="1">
        <f t="array" ref="BH1535">IF(COUNTIF(BB1535:BD1535,"&lt;&gt;0")=1,INDEX($X$4:$AY$4,MATCH(TRUE,INDEX($X1535:$AY1535&lt;&gt;0,),0)),IF(COUNTIF(BB1535:BD1535,"&lt;&gt;0")=0,INDEX($AO$4:$AY$4,MATCH(1,$AO1535:$AY1535,0)),"Multiple strategies"))</f>
        <v>Multiple strategies</v>
      </c>
      <c r="BI1535" s="1" t="s">
        <v>229</v>
      </c>
      <c r="BJ1535" t="s">
        <v>277</v>
      </c>
      <c r="BK1535" s="260" t="s">
        <v>2785</v>
      </c>
      <c r="BL1535" t="s">
        <v>278</v>
      </c>
      <c r="BM1535">
        <v>91.149512158449113</v>
      </c>
      <c r="BN1535">
        <v>164.02627088979997</v>
      </c>
      <c r="BO1535">
        <f>BN1535/BM1535</f>
        <v>1.7995298823395354</v>
      </c>
      <c r="BP1535">
        <f>BN1535-BM1535</f>
        <v>72.876758731350861</v>
      </c>
      <c r="BQ1535">
        <f>BP1535*tC_to_m3</f>
        <v>316.44272136930465</v>
      </c>
      <c r="BR1535" t="s">
        <v>232</v>
      </c>
      <c r="BS1535" s="153" t="s">
        <v>2786</v>
      </c>
      <c r="BT1535" t="s">
        <v>279</v>
      </c>
      <c r="BU1535">
        <v>254.21120760929861</v>
      </c>
      <c r="BV1535">
        <v>77.331302173432363</v>
      </c>
      <c r="BW1535" s="144">
        <f>IFERROR(BV1535/BU1535,"")</f>
        <v>0.30420099452217747</v>
      </c>
      <c r="BX1535">
        <f>BV1535-BU1535</f>
        <v>-176.87990543586625</v>
      </c>
      <c r="BZ1535">
        <f>BX1535</f>
        <v>-176.87990543586625</v>
      </c>
      <c r="CA1535">
        <f>IFERROR(BZ1535/BQ1535,"")</f>
        <v>-0.55896341894190216</v>
      </c>
      <c r="CB1535">
        <v>0</v>
      </c>
      <c r="CC1535">
        <v>0</v>
      </c>
      <c r="CD1535">
        <v>0</v>
      </c>
      <c r="CE1535">
        <v>0</v>
      </c>
      <c r="CF1535">
        <v>0</v>
      </c>
      <c r="CG1535">
        <v>0</v>
      </c>
      <c r="CH1535">
        <v>0</v>
      </c>
      <c r="CI1535">
        <v>0</v>
      </c>
      <c r="CJ1535">
        <v>0</v>
      </c>
      <c r="CK1535">
        <v>0</v>
      </c>
      <c r="CL1535">
        <v>0</v>
      </c>
      <c r="CM1535">
        <v>0</v>
      </c>
      <c r="CN1535">
        <v>0</v>
      </c>
      <c r="CO1535">
        <v>0</v>
      </c>
      <c r="CP1535" t="str">
        <f>IF($BN1535&lt;$BM1535,"refNeedCorrection","refOK")</f>
        <v>refOK</v>
      </c>
      <c r="CQ1535">
        <f>IF($CP1535="refOK",$BM1535,$BN1535)</f>
        <v>91.149512158449113</v>
      </c>
      <c r="CR1535">
        <f>IF($CP1535="refOK",$BN1535,$BM1535)</f>
        <v>164.02627088979997</v>
      </c>
      <c r="CS1535">
        <f>IF($CP1535="refOK",$BQ1535,-$BQ1535)</f>
        <v>316.44272136930465</v>
      </c>
      <c r="CT1535">
        <f>IF(BI1535="Roundwood",$CS1535/2,$CS1535)</f>
        <v>316.44272136930465</v>
      </c>
      <c r="CU1535">
        <f>IF($CP1535="refOK",$BU1535,$BV1535)*IF($BR1535="Emissions positive",-1,1)</f>
        <v>254.21120760929861</v>
      </c>
      <c r="CV1535">
        <f>IF($CP1535="refOK",$BV1535,$BU1535)*IF($BR1535="Emissions positive",-1,1)</f>
        <v>77.331302173432363</v>
      </c>
      <c r="CW1535">
        <f>IF($CP1535="refNeedCorrection",-BZ1535,BZ1535)*IF($BR1535="Emissions positive",-1,1)</f>
        <v>-176.87990543586625</v>
      </c>
      <c r="CX1535">
        <f>IFERROR($CW1535/$CS1535,"")</f>
        <v>-0.55896341894190216</v>
      </c>
      <c r="CY1535">
        <f>IFERROR($CW1535/$CS1535,"")</f>
        <v>-0.55896341894190216</v>
      </c>
      <c r="CZ1535">
        <f>IFERROR($CW1535/$CT1535,"")</f>
        <v>-0.55896341894190216</v>
      </c>
      <c r="DA1535" s="2">
        <f>IFERROR((CV1535-CU1535)/ABS(CU1535),"")</f>
        <v>-0.69579900547782259</v>
      </c>
      <c r="DB1535" s="1" t="s">
        <v>234</v>
      </c>
      <c r="DC1535" t="str">
        <f>IF(OR($DB1535="prd",$DB1535="std",$DB1535="cit"),"loc",IF(OR($DB1535="eur",$DB1535="reg",$DB1535="coy"),"reg",$DB1535))</f>
        <v>loc</v>
      </c>
      <c r="DD1535" t="s">
        <v>280</v>
      </c>
      <c r="DG1535">
        <v>50</v>
      </c>
      <c r="DH1535" t="str">
        <f>IF(DG1535=0,"0",IF(AND(DG1535&gt;=1,DG1535&lt;=30),"1-30",IF(AND(DG1535&gt;30,DG1535&lt;=70),"31-70",IF(AND(DG1535&gt;70,DG1535&lt;=100),"71-100",IF(DG1535&gt;100,"+100")))))</f>
        <v>31-70</v>
      </c>
      <c r="DI1535">
        <v>0</v>
      </c>
      <c r="DJ1535">
        <v>0</v>
      </c>
      <c r="DK1535">
        <v>1</v>
      </c>
      <c r="DL1535">
        <v>0</v>
      </c>
      <c r="DN1535">
        <f>SUM(DI1535:DL1535)</f>
        <v>1</v>
      </c>
      <c r="DO1535" t="str">
        <f>IF(DN1535=1,INDEX($DI$7:$DL$7,MATCH(1,$DI1535:$DL1535,0)),"mixedProduct")</f>
        <v>PulpPaperInput</v>
      </c>
      <c r="DP1535">
        <f>IF(DI1535=1,DP$7,0)</f>
        <v>0</v>
      </c>
      <c r="DQ1535">
        <f>IF(DJ1535=1,DQ$7,0)</f>
        <v>0</v>
      </c>
      <c r="DR1535" t="str">
        <f>IF(DK1535=1,DR$7,0)</f>
        <v>Pulp/Paper</v>
      </c>
      <c r="DS1535">
        <f>IF(DL1535=1,DS$7,0)</f>
        <v>0</v>
      </c>
      <c r="DT1535">
        <v>0</v>
      </c>
      <c r="DU1535">
        <v>1</v>
      </c>
      <c r="DV1535">
        <v>0</v>
      </c>
      <c r="DW1535" t="s">
        <v>281</v>
      </c>
      <c r="DX1535">
        <v>0</v>
      </c>
      <c r="DY1535">
        <f>SUM(DT1535:DU1535)</f>
        <v>1</v>
      </c>
      <c r="DZ1535" s="143" t="str">
        <f>IF(DT1535=1,"self-calculated DF",IF(DU1535=1,"external DF used","explicit C balance"))</f>
        <v>external DF used</v>
      </c>
      <c r="EA1535">
        <v>0</v>
      </c>
      <c r="EB1535">
        <v>1</v>
      </c>
      <c r="EC1535">
        <v>1</v>
      </c>
      <c r="ED1535">
        <v>1</v>
      </c>
      <c r="EE1535">
        <v>1</v>
      </c>
      <c r="EF1535" s="143">
        <v>0</v>
      </c>
      <c r="EG1535">
        <v>1</v>
      </c>
      <c r="EH1535">
        <v>1</v>
      </c>
      <c r="EI1535">
        <v>0</v>
      </c>
      <c r="EJ1535">
        <v>1</v>
      </c>
      <c r="EK1535">
        <v>1</v>
      </c>
      <c r="EL1535">
        <v>1</v>
      </c>
      <c r="EM1535">
        <v>0</v>
      </c>
      <c r="EN1535" s="2">
        <v>0</v>
      </c>
      <c r="EP1535" t="str">
        <f>IF(AND(AND(AND(OR($EC1535=1,$EB1535=1),OR($EH1535=1,$EF1535=1)),SUM($EA1535:$EE1535,$EK1535)&gt;=3),SUM($EF1535:$EJ1535)&gt;=2),"Whole sector approach","")</f>
        <v>Whole sector approach</v>
      </c>
      <c r="EQ1535" t="str">
        <f>IF(AND(AND(OR($EC1535=1,$EB1535=1),AND($EH1535=0,$EF1535=0)),SUM($EA1535:$EE1535,$EK1535)&gt;=4),"Ecosystem approach","")</f>
        <v/>
      </c>
      <c r="ER1535" s="2" t="str">
        <f>IF(AND(AND(AND($EC1535=0,$EB1535=0),OR($EH1535=1,$EF1535=1)),SUM($EG1535:$EJ1535)&gt;=2),"Technology approach","")</f>
        <v/>
      </c>
      <c r="ES1535" t="str">
        <f>IF(AND($EC1535+$EB1535+$EE1535+$EA1535+$ED1535+$EG1535=0,$N1535="included"),"C neutral forest and HWP assumption","")</f>
        <v/>
      </c>
      <c r="ET1535" t="str">
        <f>IF(AND(AND(AND(AND($EC1535=1,$EB1535+$EA1535+$EG1535&gt;=1),$EF1535=1),$EH1535+$EI1535+$ED1535+$EE1535&gt;=2),$N1535="included"),"All C pools assumption","")</f>
        <v/>
      </c>
      <c r="EU1535" t="str">
        <f>IF(AND($ED1535+$EE1535+$EI1535+$EH1535+$EF1535=0,$N1535="included"),"In-situ only assumption","")</f>
        <v/>
      </c>
      <c r="EY1535" t="str">
        <f>IF(ISNUMBER(BW1535),IF(ABS(BW1535-[2]QC_indicators!$B$2)&gt;3*[2]QC_indicators!$C$2,"C ratio",IF(ISNUMBER(CA1535),IF(ABS(CA1535-[2]QC_indicators!$B$1)&gt;3*[2]QC_indicators!$C$1,"DF","no"))),IF(ISNUMBER(CA1535),IF(ABS(CA1535-[2]QC_indicators!$B$1)&gt;3*[2]QC_indicators!$C$1,"DF","no")))</f>
        <v>no</v>
      </c>
      <c r="EZ1535" t="s">
        <v>286</v>
      </c>
      <c r="FA1535" t="str">
        <f>IF(LEN($CY1535)=0,"",IF(AND($CY1535&lt;(-0.05),$ES1535="C neutral forest and HWP assumption"),"Cneutral paradox",IF(AND($CY1535&gt;0.05,$EU1535="In-situ only assumption"),"In-situ only paradox","")))</f>
        <v/>
      </c>
      <c r="FD1535" s="260" t="s">
        <v>2948</v>
      </c>
    </row>
    <row r="1536" spans="1:160" ht="15" hidden="1" customHeight="1">
      <c r="A1536" s="1" t="s">
        <v>265</v>
      </c>
      <c r="B1536" t="s">
        <v>266</v>
      </c>
      <c r="C1536" t="s">
        <v>267</v>
      </c>
      <c r="D1536" t="s">
        <v>268</v>
      </c>
      <c r="E1536" t="s">
        <v>269</v>
      </c>
      <c r="F1536" t="s">
        <v>270</v>
      </c>
      <c r="G1536" t="s">
        <v>271</v>
      </c>
      <c r="H1536" t="s">
        <v>254</v>
      </c>
      <c r="I1536">
        <v>2022</v>
      </c>
      <c r="J1536">
        <v>0</v>
      </c>
      <c r="K1536" t="s">
        <v>272</v>
      </c>
      <c r="M1536" t="str">
        <f>LEFT($D1536,FIND(",",$D1536)-1)&amp;"_"&amp;I1536&amp;L1536</f>
        <v>Aryapratama_2022</v>
      </c>
      <c r="N1536" t="s">
        <v>222</v>
      </c>
      <c r="O1536" s="145" t="s">
        <v>274</v>
      </c>
      <c r="Q1536" t="s">
        <v>224</v>
      </c>
      <c r="R1536" s="258" t="s">
        <v>223</v>
      </c>
      <c r="S1536" s="1" t="s">
        <v>314</v>
      </c>
      <c r="T1536" t="s">
        <v>317</v>
      </c>
      <c r="U1536" t="s">
        <v>318</v>
      </c>
      <c r="V1536" s="253">
        <v>0</v>
      </c>
      <c r="W1536" s="253">
        <v>0</v>
      </c>
      <c r="X1536">
        <v>0</v>
      </c>
      <c r="Y1536">
        <v>0</v>
      </c>
      <c r="Z1536">
        <v>1</v>
      </c>
      <c r="AA1536">
        <v>0</v>
      </c>
      <c r="AB1536">
        <v>0</v>
      </c>
      <c r="AC1536">
        <v>0</v>
      </c>
      <c r="AD1536">
        <v>0</v>
      </c>
      <c r="AE1536">
        <v>0</v>
      </c>
      <c r="AF1536">
        <v>0</v>
      </c>
      <c r="AG1536">
        <v>0</v>
      </c>
      <c r="AH1536">
        <v>0</v>
      </c>
      <c r="AI1536">
        <v>0</v>
      </c>
      <c r="AJ1536">
        <v>0</v>
      </c>
      <c r="AK1536">
        <v>2</v>
      </c>
      <c r="AL1536">
        <v>0</v>
      </c>
      <c r="AM1536">
        <v>0</v>
      </c>
      <c r="AN1536">
        <v>0</v>
      </c>
      <c r="AO1536">
        <v>0</v>
      </c>
      <c r="AP1536">
        <v>0</v>
      </c>
      <c r="AQ1536">
        <v>0</v>
      </c>
      <c r="AR1536">
        <v>0</v>
      </c>
      <c r="AS1536">
        <v>0</v>
      </c>
      <c r="AT1536">
        <v>0</v>
      </c>
      <c r="AU1536">
        <v>0</v>
      </c>
      <c r="AV1536">
        <v>0</v>
      </c>
      <c r="AW1536">
        <v>0</v>
      </c>
      <c r="AX1536">
        <v>0</v>
      </c>
      <c r="AY1536">
        <v>0</v>
      </c>
      <c r="AZ1536" s="141">
        <f>COUNTIF(X1536:AY1536,"&lt;&gt;0")</f>
        <v>2</v>
      </c>
      <c r="BA1536" s="141">
        <f>COUNTIF(X1536:AN1536,"&lt;&gt;0")</f>
        <v>2</v>
      </c>
      <c r="BB1536">
        <f>COUNTIF(X1536:AE1536,"&lt;&gt;0")</f>
        <v>1</v>
      </c>
      <c r="BC1536">
        <f>COUNTIF(AF1536:AK1536,"&lt;&gt;0")</f>
        <v>1</v>
      </c>
      <c r="BD1536">
        <f>COUNTIF(AL1536:AN1536,"&lt;&gt;0")</f>
        <v>0</v>
      </c>
      <c r="BE1536">
        <f>COUNTIF(AU1536:AY1536,"&lt;&gt;0")</f>
        <v>0</v>
      </c>
      <c r="BF1536">
        <f>COUNTIF(AO1536:AT1536,"&lt;&gt;0")</f>
        <v>0</v>
      </c>
      <c r="BG1536" t="str">
        <f t="array" ref="BG1536">IF(BA1536=1,INDEX($X$7:$AN$7,MATCH(TRUE,INDEX($X1536:$AY1536&lt;&gt;0,),0)),IF(BA1536=0,INDEX($AO$7:$AY$7,MATCH(1,$AO1536:$AY1536,0)),IF(BH1536="Multiple strategies","mixed drivers",IF(BH1536="Supply chain","multiple supply","multiple silviculture"))))</f>
        <v>mixed drivers</v>
      </c>
      <c r="BH1536" s="2" t="str" cm="1">
        <f t="array" ref="BH1536">IF(COUNTIF(BB1536:BD1536,"&lt;&gt;0")=1,INDEX($X$4:$AY$4,MATCH(TRUE,INDEX($X1536:$AY1536&lt;&gt;0,),0)),IF(COUNTIF(BB1536:BD1536,"&lt;&gt;0")=0,INDEX($AO$4:$AY$4,MATCH(1,$AO1536:$AY1536,0)),"Multiple strategies"))</f>
        <v>Multiple strategies</v>
      </c>
      <c r="BI1536" s="1" t="s">
        <v>229</v>
      </c>
      <c r="BJ1536" t="s">
        <v>277</v>
      </c>
      <c r="BK1536" s="260" t="s">
        <v>2785</v>
      </c>
      <c r="BL1536" t="s">
        <v>278</v>
      </c>
      <c r="BM1536">
        <v>227.87378039612278</v>
      </c>
      <c r="BN1536">
        <v>328.05254177959995</v>
      </c>
      <c r="BO1536">
        <f>BN1536/BM1536</f>
        <v>1.4396239058716283</v>
      </c>
      <c r="BP1536">
        <f>BN1536-BM1536</f>
        <v>100.17876138347717</v>
      </c>
      <c r="BQ1536">
        <f>BP1536*tC_to_m3</f>
        <v>434.99245064471199</v>
      </c>
      <c r="BR1536" t="s">
        <v>232</v>
      </c>
      <c r="BS1536" s="153" t="s">
        <v>2786</v>
      </c>
      <c r="BT1536" t="s">
        <v>279</v>
      </c>
      <c r="BU1536">
        <v>185.53811788022131</v>
      </c>
      <c r="BV1536">
        <v>-41.927947193381058</v>
      </c>
      <c r="BW1536" s="144">
        <f>IFERROR(BV1536/BU1536,"")</f>
        <v>-0.22598023345503954</v>
      </c>
      <c r="BX1536">
        <f>BV1536-BU1536</f>
        <v>-227.46606507360235</v>
      </c>
      <c r="BZ1536">
        <f>BX1536</f>
        <v>-227.46606507360235</v>
      </c>
      <c r="CA1536">
        <f>IFERROR(BZ1536/BQ1536,"")</f>
        <v>-0.52291956960740316</v>
      </c>
      <c r="CB1536">
        <v>0</v>
      </c>
      <c r="CC1536">
        <v>0</v>
      </c>
      <c r="CD1536">
        <v>0</v>
      </c>
      <c r="CE1536">
        <v>0</v>
      </c>
      <c r="CF1536">
        <v>0</v>
      </c>
      <c r="CG1536">
        <v>0</v>
      </c>
      <c r="CH1536">
        <v>0</v>
      </c>
      <c r="CI1536">
        <v>0</v>
      </c>
      <c r="CJ1536">
        <v>0</v>
      </c>
      <c r="CK1536">
        <v>0</v>
      </c>
      <c r="CL1536">
        <v>0</v>
      </c>
      <c r="CM1536">
        <v>0</v>
      </c>
      <c r="CN1536">
        <v>0</v>
      </c>
      <c r="CO1536">
        <v>0</v>
      </c>
      <c r="CP1536" t="str">
        <f>IF($BN1536&lt;$BM1536,"refNeedCorrection","refOK")</f>
        <v>refOK</v>
      </c>
      <c r="CQ1536">
        <f>IF($CP1536="refOK",$BM1536,$BN1536)</f>
        <v>227.87378039612278</v>
      </c>
      <c r="CR1536">
        <f>IF($CP1536="refOK",$BN1536,$BM1536)</f>
        <v>328.05254177959995</v>
      </c>
      <c r="CS1536">
        <f>IF($CP1536="refOK",$BQ1536,-$BQ1536)</f>
        <v>434.99245064471199</v>
      </c>
      <c r="CT1536">
        <f>IF(BI1536="Roundwood",$CS1536/2,$CS1536)</f>
        <v>434.99245064471199</v>
      </c>
      <c r="CU1536">
        <f>IF($CP1536="refOK",$BU1536,$BV1536)*IF($BR1536="Emissions positive",-1,1)</f>
        <v>185.53811788022131</v>
      </c>
      <c r="CV1536">
        <f>IF($CP1536="refOK",$BV1536,$BU1536)*IF($BR1536="Emissions positive",-1,1)</f>
        <v>-41.927947193381058</v>
      </c>
      <c r="CW1536">
        <f>IF($CP1536="refNeedCorrection",-BZ1536,BZ1536)*IF($BR1536="Emissions positive",-1,1)</f>
        <v>-227.46606507360235</v>
      </c>
      <c r="CX1536">
        <f>IFERROR($CW1536/$CS1536,"")</f>
        <v>-0.52291956960740316</v>
      </c>
      <c r="CY1536">
        <f>IFERROR($CW1536/$CS1536,"")</f>
        <v>-0.52291956960740316</v>
      </c>
      <c r="CZ1536">
        <f>IFERROR($CW1536/$CT1536,"")</f>
        <v>-0.52291956960740316</v>
      </c>
      <c r="DA1536" s="2">
        <f>IFERROR((CV1536-CU1536)/ABS(CU1536),"")</f>
        <v>-1.2259802334550394</v>
      </c>
      <c r="DB1536" s="1" t="s">
        <v>234</v>
      </c>
      <c r="DC1536" t="str">
        <f>IF(OR($DB1536="prd",$DB1536="std",$DB1536="cit"),"loc",IF(OR($DB1536="eur",$DB1536="reg",$DB1536="coy"),"reg",$DB1536))</f>
        <v>loc</v>
      </c>
      <c r="DD1536" t="s">
        <v>280</v>
      </c>
      <c r="DG1536">
        <v>100</v>
      </c>
      <c r="DH1536" t="str">
        <f>IF(DG1536=0,"0",IF(AND(DG1536&gt;=1,DG1536&lt;=30),"1-30",IF(AND(DG1536&gt;30,DG1536&lt;=70),"31-70",IF(AND(DG1536&gt;70,DG1536&lt;=100),"71-100",IF(DG1536&gt;100,"+100")))))</f>
        <v>71-100</v>
      </c>
      <c r="DI1536">
        <v>0</v>
      </c>
      <c r="DJ1536">
        <v>0</v>
      </c>
      <c r="DK1536">
        <v>1</v>
      </c>
      <c r="DL1536">
        <v>0</v>
      </c>
      <c r="DN1536">
        <f>SUM(DI1536:DL1536)</f>
        <v>1</v>
      </c>
      <c r="DO1536" t="str">
        <f>IF(DN1536=1,INDEX($DI$7:$DL$7,MATCH(1,$DI1536:$DL1536,0)),"mixedProduct")</f>
        <v>PulpPaperInput</v>
      </c>
      <c r="DP1536">
        <f>IF(DI1536=1,DP$7,0)</f>
        <v>0</v>
      </c>
      <c r="DQ1536">
        <f>IF(DJ1536=1,DQ$7,0)</f>
        <v>0</v>
      </c>
      <c r="DR1536" t="str">
        <f>IF(DK1536=1,DR$7,0)</f>
        <v>Pulp/Paper</v>
      </c>
      <c r="DS1536">
        <f>IF(DL1536=1,DS$7,0)</f>
        <v>0</v>
      </c>
      <c r="DT1536">
        <v>0</v>
      </c>
      <c r="DU1536">
        <v>1</v>
      </c>
      <c r="DV1536">
        <v>0</v>
      </c>
      <c r="DW1536" t="s">
        <v>281</v>
      </c>
      <c r="DX1536">
        <v>0</v>
      </c>
      <c r="DY1536">
        <f>SUM(DT1536:DU1536)</f>
        <v>1</v>
      </c>
      <c r="DZ1536" s="143" t="str">
        <f>IF(DT1536=1,"self-calculated DF",IF(DU1536=1,"external DF used","explicit C balance"))</f>
        <v>external DF used</v>
      </c>
      <c r="EA1536">
        <v>0</v>
      </c>
      <c r="EB1536">
        <v>1</v>
      </c>
      <c r="EC1536">
        <v>1</v>
      </c>
      <c r="ED1536">
        <v>1</v>
      </c>
      <c r="EE1536">
        <v>1</v>
      </c>
      <c r="EF1536" s="143">
        <v>0</v>
      </c>
      <c r="EG1536">
        <v>1</v>
      </c>
      <c r="EH1536">
        <v>1</v>
      </c>
      <c r="EI1536">
        <v>0</v>
      </c>
      <c r="EJ1536">
        <v>1</v>
      </c>
      <c r="EK1536">
        <v>1</v>
      </c>
      <c r="EL1536">
        <v>1</v>
      </c>
      <c r="EM1536">
        <v>0</v>
      </c>
      <c r="EN1536" s="2">
        <v>0</v>
      </c>
      <c r="EP1536" t="str">
        <f>IF(AND(AND(AND(OR($EC1536=1,$EB1536=1),OR($EH1536=1,$EF1536=1)),SUM($EA1536:$EE1536,$EK1536)&gt;=3),SUM($EF1536:$EJ1536)&gt;=2),"Whole sector approach","")</f>
        <v>Whole sector approach</v>
      </c>
      <c r="EQ1536" t="str">
        <f>IF(AND(AND(OR($EC1536=1,$EB1536=1),AND($EH1536=0,$EF1536=0)),SUM($EA1536:$EE1536,$EK1536)&gt;=4),"Ecosystem approach","")</f>
        <v/>
      </c>
      <c r="ER1536" s="2" t="str">
        <f>IF(AND(AND(AND($EC1536=0,$EB1536=0),OR($EH1536=1,$EF1536=1)),SUM($EG1536:$EJ1536)&gt;=2),"Technology approach","")</f>
        <v/>
      </c>
      <c r="ES1536" t="str">
        <f>IF(AND($EC1536+$EB1536+$EE1536+$EA1536+$ED1536+$EG1536=0,$N1536="included"),"C neutral forest and HWP assumption","")</f>
        <v/>
      </c>
      <c r="ET1536" t="str">
        <f>IF(AND(AND(AND(AND($EC1536=1,$EB1536+$EA1536+$EG1536&gt;=1),$EF1536=1),$EH1536+$EI1536+$ED1536+$EE1536&gt;=2),$N1536="included"),"All C pools assumption","")</f>
        <v/>
      </c>
      <c r="EU1536" t="str">
        <f>IF(AND($ED1536+$EE1536+$EI1536+$EH1536+$EF1536=0,$N1536="included"),"In-situ only assumption","")</f>
        <v/>
      </c>
      <c r="EY1536" t="str">
        <f>IF(ISNUMBER(BW1536),IF(ABS(BW1536-[2]QC_indicators!$B$2)&gt;3*[2]QC_indicators!$C$2,"C ratio",IF(ISNUMBER(CA1536),IF(ABS(CA1536-[2]QC_indicators!$B$1)&gt;3*[2]QC_indicators!$C$1,"DF","no"))),IF(ISNUMBER(CA1536),IF(ABS(CA1536-[2]QC_indicators!$B$1)&gt;3*[2]QC_indicators!$C$1,"DF","no")))</f>
        <v>no</v>
      </c>
      <c r="EZ1536" t="s">
        <v>286</v>
      </c>
      <c r="FA1536" t="str">
        <f>IF(LEN($CY1536)=0,"",IF(AND($CY1536&lt;(-0.05),$ES1536="C neutral forest and HWP assumption"),"Cneutral paradox",IF(AND($CY1536&gt;0.05,$EU1536="In-situ only assumption"),"In-situ only paradox","")))</f>
        <v/>
      </c>
      <c r="FD1536" s="260" t="s">
        <v>2948</v>
      </c>
    </row>
    <row r="1537" spans="1:160" ht="15" hidden="1" customHeight="1">
      <c r="A1537" s="1" t="s">
        <v>265</v>
      </c>
      <c r="B1537" t="s">
        <v>266</v>
      </c>
      <c r="C1537" t="s">
        <v>267</v>
      </c>
      <c r="D1537" t="s">
        <v>268</v>
      </c>
      <c r="E1537" t="s">
        <v>269</v>
      </c>
      <c r="F1537" t="s">
        <v>270</v>
      </c>
      <c r="G1537" t="s">
        <v>271</v>
      </c>
      <c r="H1537" t="s">
        <v>254</v>
      </c>
      <c r="I1537">
        <v>2022</v>
      </c>
      <c r="J1537">
        <v>0</v>
      </c>
      <c r="K1537" t="s">
        <v>272</v>
      </c>
      <c r="M1537" t="str">
        <f>LEFT($D1537,FIND(",",$D1537)-1)&amp;"_"&amp;I1537&amp;L1537</f>
        <v>Aryapratama_2022</v>
      </c>
      <c r="N1537" t="s">
        <v>222</v>
      </c>
      <c r="O1537" s="145" t="s">
        <v>274</v>
      </c>
      <c r="Q1537" t="s">
        <v>224</v>
      </c>
      <c r="R1537" s="258" t="s">
        <v>223</v>
      </c>
      <c r="S1537" s="1" t="s">
        <v>314</v>
      </c>
      <c r="T1537" t="s">
        <v>317</v>
      </c>
      <c r="U1537" t="s">
        <v>318</v>
      </c>
      <c r="V1537" s="253">
        <v>0</v>
      </c>
      <c r="W1537" s="253">
        <v>0</v>
      </c>
      <c r="X1537">
        <v>0</v>
      </c>
      <c r="Y1537">
        <v>0</v>
      </c>
      <c r="Z1537">
        <v>1</v>
      </c>
      <c r="AA1537">
        <v>0</v>
      </c>
      <c r="AB1537">
        <v>0</v>
      </c>
      <c r="AC1537">
        <v>0</v>
      </c>
      <c r="AD1537">
        <v>0</v>
      </c>
      <c r="AE1537">
        <v>0</v>
      </c>
      <c r="AF1537">
        <v>0</v>
      </c>
      <c r="AG1537">
        <v>0</v>
      </c>
      <c r="AH1537">
        <v>0</v>
      </c>
      <c r="AI1537">
        <v>0</v>
      </c>
      <c r="AJ1537">
        <v>0</v>
      </c>
      <c r="AK1537">
        <v>2</v>
      </c>
      <c r="AL1537">
        <v>0</v>
      </c>
      <c r="AM1537">
        <v>0</v>
      </c>
      <c r="AN1537">
        <v>0</v>
      </c>
      <c r="AO1537">
        <v>0</v>
      </c>
      <c r="AP1537">
        <v>0</v>
      </c>
      <c r="AQ1537">
        <v>0</v>
      </c>
      <c r="AR1537">
        <v>0</v>
      </c>
      <c r="AS1537">
        <v>0</v>
      </c>
      <c r="AT1537">
        <v>0</v>
      </c>
      <c r="AU1537">
        <v>0</v>
      </c>
      <c r="AV1537">
        <v>0</v>
      </c>
      <c r="AW1537">
        <v>0</v>
      </c>
      <c r="AX1537">
        <v>0</v>
      </c>
      <c r="AY1537">
        <v>0</v>
      </c>
      <c r="AZ1537" s="141">
        <f>COUNTIF(X1537:AY1537,"&lt;&gt;0")</f>
        <v>2</v>
      </c>
      <c r="BA1537" s="141">
        <f>COUNTIF(X1537:AN1537,"&lt;&gt;0")</f>
        <v>2</v>
      </c>
      <c r="BB1537">
        <f>COUNTIF(X1537:AE1537,"&lt;&gt;0")</f>
        <v>1</v>
      </c>
      <c r="BC1537">
        <f>COUNTIF(AF1537:AK1537,"&lt;&gt;0")</f>
        <v>1</v>
      </c>
      <c r="BD1537">
        <f>COUNTIF(AL1537:AN1537,"&lt;&gt;0")</f>
        <v>0</v>
      </c>
      <c r="BE1537">
        <f>COUNTIF(AU1537:AY1537,"&lt;&gt;0")</f>
        <v>0</v>
      </c>
      <c r="BF1537">
        <f>COUNTIF(AO1537:AT1537,"&lt;&gt;0")</f>
        <v>0</v>
      </c>
      <c r="BG1537" t="str">
        <f t="array" ref="BG1537">IF(BA1537=1,INDEX($X$7:$AN$7,MATCH(TRUE,INDEX($X1537:$AY1537&lt;&gt;0,),0)),IF(BA1537=0,INDEX($AO$7:$AY$7,MATCH(1,$AO1537:$AY1537,0)),IF(BH1537="Multiple strategies","mixed drivers",IF(BH1537="Supply chain","multiple supply","multiple silviculture"))))</f>
        <v>mixed drivers</v>
      </c>
      <c r="BH1537" s="2" t="str" cm="1">
        <f t="array" ref="BH1537">IF(COUNTIF(BB1537:BD1537,"&lt;&gt;0")=1,INDEX($X$4:$AY$4,MATCH(TRUE,INDEX($X1537:$AY1537&lt;&gt;0,),0)),IF(COUNTIF(BB1537:BD1537,"&lt;&gt;0")=0,INDEX($AO$4:$AY$4,MATCH(1,$AO1537:$AY1537,0)),"Multiple strategies"))</f>
        <v>Multiple strategies</v>
      </c>
      <c r="BI1537" s="1" t="s">
        <v>229</v>
      </c>
      <c r="BJ1537" t="s">
        <v>277</v>
      </c>
      <c r="BK1537" s="260" t="s">
        <v>2785</v>
      </c>
      <c r="BL1537" t="s">
        <v>278</v>
      </c>
      <c r="BM1537">
        <v>455.74756079224562</v>
      </c>
      <c r="BN1537">
        <v>656.10508355919967</v>
      </c>
      <c r="BO1537">
        <f>BN1537/BM1537</f>
        <v>1.4396239058716276</v>
      </c>
      <c r="BP1537">
        <f>BN1537-BM1537</f>
        <v>200.35752276695405</v>
      </c>
      <c r="BQ1537">
        <f>BP1537*tC_to_m3</f>
        <v>869.98490128942274</v>
      </c>
      <c r="BR1537" t="s">
        <v>232</v>
      </c>
      <c r="BS1537" s="153" t="s">
        <v>2786</v>
      </c>
      <c r="BT1537" t="s">
        <v>279</v>
      </c>
      <c r="BU1537">
        <v>23.49403951814293</v>
      </c>
      <c r="BV1537">
        <v>-227.6520247861325</v>
      </c>
      <c r="BW1537" s="144">
        <f>IFERROR(BV1537/BU1537,"")</f>
        <v>-9.6897778949563591</v>
      </c>
      <c r="BX1537">
        <f>BV1537-BU1537</f>
        <v>-251.14606430427543</v>
      </c>
      <c r="BZ1537">
        <f>BX1537</f>
        <v>-251.14606430427543</v>
      </c>
      <c r="CA1537">
        <f>IFERROR(BZ1537/BQ1537,"")</f>
        <v>-0.28867864710300906</v>
      </c>
      <c r="CB1537">
        <v>0</v>
      </c>
      <c r="CC1537">
        <v>0</v>
      </c>
      <c r="CD1537">
        <v>0</v>
      </c>
      <c r="CE1537">
        <v>0</v>
      </c>
      <c r="CF1537">
        <v>0</v>
      </c>
      <c r="CG1537">
        <v>0</v>
      </c>
      <c r="CH1537">
        <v>0</v>
      </c>
      <c r="CI1537">
        <v>0</v>
      </c>
      <c r="CJ1537">
        <v>0</v>
      </c>
      <c r="CK1537">
        <v>0</v>
      </c>
      <c r="CL1537">
        <v>0</v>
      </c>
      <c r="CM1537">
        <v>0</v>
      </c>
      <c r="CN1537">
        <v>0</v>
      </c>
      <c r="CO1537">
        <v>0</v>
      </c>
      <c r="CP1537" t="str">
        <f>IF($BN1537&lt;$BM1537,"refNeedCorrection","refOK")</f>
        <v>refOK</v>
      </c>
      <c r="CQ1537">
        <f>IF($CP1537="refNeedCorrection",BN1537,BM1537)</f>
        <v>455.74756079224562</v>
      </c>
      <c r="CR1537">
        <f>IF($CP1537="refNeedCorrection",BM1537,BN1537)</f>
        <v>656.10508355919967</v>
      </c>
      <c r="CS1537">
        <f>IF($CP1537="refOK",$BQ1537,-$BQ1537)</f>
        <v>869.98490128942274</v>
      </c>
      <c r="CT1537">
        <f>IF(BI1537="Roundwood",$CS1537/2,$CS1537)</f>
        <v>869.98490128942274</v>
      </c>
      <c r="CU1537">
        <f>IF($CP1537="refOK",$BU1537,$BV1537)*IF($BR1537="Emissions positive",-1,1)</f>
        <v>23.49403951814293</v>
      </c>
      <c r="CV1537">
        <f>IF($CP1537="refOK",$BV1537,$BU1537)*IF($BR1537="Emissions positive",-1,1)</f>
        <v>-227.6520247861325</v>
      </c>
      <c r="CW1537">
        <f>IF($CP1537="refNeedCorrection",-BZ1537,BZ1537)*IF($BR1537="Emissions positive",-1,1)</f>
        <v>-251.14606430427543</v>
      </c>
      <c r="CX1537">
        <f>IFERROR($CW1537/$CS1537,"")</f>
        <v>-0.28867864710300906</v>
      </c>
      <c r="CY1537">
        <f>IFERROR($CW1537/$CS1537,"")</f>
        <v>-0.28867864710300906</v>
      </c>
      <c r="CZ1537">
        <f>IFERROR($CW1537/$CT1537,"")</f>
        <v>-0.28867864710300906</v>
      </c>
      <c r="DA1537" s="2">
        <f>IFERROR((CV1537-CU1537)/ABS(CU1537),"")</f>
        <v>-10.689777894956359</v>
      </c>
      <c r="DB1537" s="1" t="s">
        <v>234</v>
      </c>
      <c r="DC1537" t="str">
        <f>IF(OR($DB1537="prd",$DB1537="std",$DB1537="cit"),"loc",IF(OR($DB1537="eur",$DB1537="reg",$DB1537="coy"),"reg",$DB1537))</f>
        <v>loc</v>
      </c>
      <c r="DD1537" t="s">
        <v>280</v>
      </c>
      <c r="DG1537">
        <v>200</v>
      </c>
      <c r="DH1537" t="str">
        <f>IF(DG1537=0,"0",IF(AND(DG1537&gt;=1,DG1537&lt;=30),"1-30",IF(AND(DG1537&gt;30,DG1537&lt;=70),"31-70",IF(AND(DG1537&gt;70,DG1537&lt;=100),"71-100",IF(DG1537&gt;100,"+100")))))</f>
        <v>+100</v>
      </c>
      <c r="DI1537">
        <v>0</v>
      </c>
      <c r="DJ1537">
        <v>0</v>
      </c>
      <c r="DK1537">
        <v>1</v>
      </c>
      <c r="DL1537">
        <v>0</v>
      </c>
      <c r="DN1537">
        <f>SUM(DI1537:DL1537)</f>
        <v>1</v>
      </c>
      <c r="DO1537" t="str">
        <f>IF(DN1537=1,INDEX($DI$7:$DL$7,MATCH(1,$DI1537:$DL1537,0)),"mixedProduct")</f>
        <v>PulpPaperInput</v>
      </c>
      <c r="DP1537">
        <f>IF(DI1537=1,DP$7,0)</f>
        <v>0</v>
      </c>
      <c r="DQ1537">
        <f>IF(DJ1537=1,DQ$7,0)</f>
        <v>0</v>
      </c>
      <c r="DR1537" t="str">
        <f>IF(DK1537=1,DR$7,0)</f>
        <v>Pulp/Paper</v>
      </c>
      <c r="DS1537">
        <f>IF(DL1537=1,DS$7,0)</f>
        <v>0</v>
      </c>
      <c r="DT1537">
        <v>0</v>
      </c>
      <c r="DU1537">
        <v>1</v>
      </c>
      <c r="DV1537">
        <v>0</v>
      </c>
      <c r="DW1537" t="s">
        <v>281</v>
      </c>
      <c r="DX1537">
        <v>0</v>
      </c>
      <c r="DY1537">
        <f>SUM(DT1537:DU1537)</f>
        <v>1</v>
      </c>
      <c r="DZ1537" s="143" t="str">
        <f>IF(DT1537=1,"self-calculated DF",IF(DU1537=1,"external DF used","explicit C balance"))</f>
        <v>external DF used</v>
      </c>
      <c r="EA1537">
        <v>0</v>
      </c>
      <c r="EB1537">
        <v>1</v>
      </c>
      <c r="EC1537">
        <v>1</v>
      </c>
      <c r="ED1537">
        <v>1</v>
      </c>
      <c r="EE1537">
        <v>1</v>
      </c>
      <c r="EF1537" s="143">
        <v>0</v>
      </c>
      <c r="EG1537">
        <v>1</v>
      </c>
      <c r="EH1537">
        <v>1</v>
      </c>
      <c r="EI1537">
        <v>0</v>
      </c>
      <c r="EJ1537">
        <v>1</v>
      </c>
      <c r="EK1537">
        <v>1</v>
      </c>
      <c r="EL1537">
        <v>1</v>
      </c>
      <c r="EM1537">
        <v>0</v>
      </c>
      <c r="EN1537" s="2">
        <v>0</v>
      </c>
      <c r="EP1537" t="str">
        <f>IF(AND(AND(AND(OR($EC1537=1,$EB1537=1),OR($EH1537=1,$EF1537=1)),SUM($EA1537:$EE1537,$EK1537)&gt;=3),SUM($EF1537:$EJ1537)&gt;=2),"Whole sector approach","")</f>
        <v>Whole sector approach</v>
      </c>
      <c r="EQ1537" t="str">
        <f>IF(AND(AND(OR($EC1537=1,$EB1537=1),AND($EH1537=0,$EF1537=0)),SUM($EA1537:$EE1537,$EK1537)&gt;=4),"Ecosystem approach","")</f>
        <v/>
      </c>
      <c r="ER1537" s="2" t="str">
        <f>IF(AND(AND(AND($EC1537=0,$EB1537=0),OR($EH1537=1,$EF1537=1)),SUM($EG1537:$EJ1537)&gt;=2),"Technology approach","")</f>
        <v/>
      </c>
      <c r="ES1537" t="str">
        <f>IF(AND($EC1537+$EB1537+$EE1537+$EA1537+$ED1537+$EG1537=0,$N1537="included"),"C neutral forest and HWP assumption","")</f>
        <v/>
      </c>
      <c r="ET1537" t="str">
        <f>IF(AND(AND(AND(AND($EC1537=1,$EB1537+$EA1537+$EG1537&gt;=1),$EF1537=1),$EH1537+$EI1537+$ED1537+$EE1537&gt;=2),$N1537="included"),"All C pools assumption","")</f>
        <v/>
      </c>
      <c r="EU1537" t="str">
        <f>IF(AND($ED1537+$EE1537+$EI1537+$EH1537+$EF1537=0,$N1537="included"),"In-situ only assumption","")</f>
        <v/>
      </c>
      <c r="EY1537" t="str">
        <f>IF(ISNUMBER(BW1537),IF(ABS(BW1537-[2]QC_indicators!$B$2)&gt;3*[2]QC_indicators!$C$2,"C ratio",IF(ISNUMBER(CA1537),IF(ABS(CA1537-[2]QC_indicators!$B$1)&gt;3*[2]QC_indicators!$C$1,"DF","no"))),IF(ISNUMBER(CA1537),IF(ABS(CA1537-[2]QC_indicators!$B$1)&gt;3*[2]QC_indicators!$C$1,"DF","no")))</f>
        <v>C ratio</v>
      </c>
      <c r="EZ1537" t="s">
        <v>286</v>
      </c>
      <c r="FA1537" t="str">
        <f>IF(LEN($CY1537)=0,"",IF(AND($CY1537&lt;(-0.05),$ES1537="C neutral forest and HWP assumption"),"Cneutral paradox",IF(AND($CY1537&gt;0.05,$EU1537="In-situ only assumption"),"In-situ only paradox","")))</f>
        <v/>
      </c>
      <c r="FD1537" s="260" t="s">
        <v>2948</v>
      </c>
    </row>
    <row r="1538" spans="1:160" ht="15" hidden="1" customHeight="1">
      <c r="A1538" s="1" t="s">
        <v>265</v>
      </c>
      <c r="B1538" t="s">
        <v>266</v>
      </c>
      <c r="C1538" t="s">
        <v>267</v>
      </c>
      <c r="D1538" t="s">
        <v>268</v>
      </c>
      <c r="E1538" t="s">
        <v>269</v>
      </c>
      <c r="F1538" t="s">
        <v>270</v>
      </c>
      <c r="G1538" t="s">
        <v>271</v>
      </c>
      <c r="H1538" t="s">
        <v>254</v>
      </c>
      <c r="I1538">
        <v>2022</v>
      </c>
      <c r="J1538">
        <v>0</v>
      </c>
      <c r="K1538" t="s">
        <v>272</v>
      </c>
      <c r="M1538" t="str">
        <f>LEFT($D1538,FIND(",",$D1538)-1)&amp;"_"&amp;I1538&amp;L1538</f>
        <v>Aryapratama_2022</v>
      </c>
      <c r="N1538" t="s">
        <v>222</v>
      </c>
      <c r="O1538" s="145" t="s">
        <v>274</v>
      </c>
      <c r="Q1538" t="s">
        <v>224</v>
      </c>
      <c r="R1538" s="258" t="s">
        <v>223</v>
      </c>
      <c r="S1538" s="1" t="s">
        <v>314</v>
      </c>
      <c r="T1538" t="s">
        <v>315</v>
      </c>
      <c r="U1538" t="s">
        <v>316</v>
      </c>
      <c r="V1538" s="253">
        <v>0</v>
      </c>
      <c r="W1538" s="253">
        <v>0</v>
      </c>
      <c r="X1538">
        <v>0</v>
      </c>
      <c r="Y1538">
        <v>0</v>
      </c>
      <c r="Z1538">
        <v>1</v>
      </c>
      <c r="AA1538">
        <v>0</v>
      </c>
      <c r="AB1538">
        <v>0</v>
      </c>
      <c r="AC1538">
        <v>0</v>
      </c>
      <c r="AD1538">
        <v>0</v>
      </c>
      <c r="AE1538">
        <v>0</v>
      </c>
      <c r="AF1538">
        <v>0</v>
      </c>
      <c r="AG1538">
        <v>0</v>
      </c>
      <c r="AH1538">
        <v>0</v>
      </c>
      <c r="AI1538">
        <v>0</v>
      </c>
      <c r="AJ1538">
        <v>0</v>
      </c>
      <c r="AK1538">
        <v>2</v>
      </c>
      <c r="AL1538">
        <v>0</v>
      </c>
      <c r="AM1538">
        <v>0</v>
      </c>
      <c r="AN1538">
        <v>0</v>
      </c>
      <c r="AO1538">
        <v>0</v>
      </c>
      <c r="AP1538">
        <v>0</v>
      </c>
      <c r="AQ1538">
        <v>0</v>
      </c>
      <c r="AR1538">
        <v>0</v>
      </c>
      <c r="AS1538">
        <v>0</v>
      </c>
      <c r="AT1538">
        <v>0</v>
      </c>
      <c r="AU1538">
        <v>0</v>
      </c>
      <c r="AV1538">
        <v>0</v>
      </c>
      <c r="AW1538">
        <v>0</v>
      </c>
      <c r="AX1538">
        <v>0</v>
      </c>
      <c r="AY1538">
        <v>0</v>
      </c>
      <c r="AZ1538" s="141">
        <f>COUNTIF(X1538:AY1538,"&lt;&gt;0")</f>
        <v>2</v>
      </c>
      <c r="BA1538" s="141">
        <f>COUNTIF(X1538:AN1538,"&lt;&gt;0")</f>
        <v>2</v>
      </c>
      <c r="BB1538">
        <f>COUNTIF(X1538:AE1538,"&lt;&gt;0")</f>
        <v>1</v>
      </c>
      <c r="BC1538">
        <f>COUNTIF(AF1538:AK1538,"&lt;&gt;0")</f>
        <v>1</v>
      </c>
      <c r="BD1538">
        <f>COUNTIF(AL1538:AN1538,"&lt;&gt;0")</f>
        <v>0</v>
      </c>
      <c r="BE1538">
        <f>COUNTIF(AU1538:AY1538,"&lt;&gt;0")</f>
        <v>0</v>
      </c>
      <c r="BF1538">
        <f>COUNTIF(AO1538:AT1538,"&lt;&gt;0")</f>
        <v>0</v>
      </c>
      <c r="BG1538" t="str">
        <f t="array" ref="BG1538">IF(BA1538=1,INDEX($X$7:$AN$7,MATCH(TRUE,INDEX($X1538:$AY1538&lt;&gt;0,),0)),IF(BA1538=0,INDEX($AO$7:$AY$7,MATCH(1,$AO1538:$AY1538,0)),IF(BH1538="Multiple strategies","mixed drivers",IF(BH1538="Supply chain","multiple supply","multiple silviculture"))))</f>
        <v>mixed drivers</v>
      </c>
      <c r="BH1538" s="2" t="str" cm="1">
        <f t="array" ref="BH1538">IF(COUNTIF(BB1538:BD1538,"&lt;&gt;0")=1,INDEX($X$4:$AY$4,MATCH(TRUE,INDEX($X1538:$AY1538&lt;&gt;0,),0)),IF(COUNTIF(BB1538:BD1538,"&lt;&gt;0")=0,INDEX($AO$4:$AY$4,MATCH(1,$AO1538:$AY1538,0)),"Multiple strategies"))</f>
        <v>Multiple strategies</v>
      </c>
      <c r="BI1538" s="1" t="s">
        <v>229</v>
      </c>
      <c r="BJ1538" t="s">
        <v>277</v>
      </c>
      <c r="BK1538" s="260" t="s">
        <v>2785</v>
      </c>
      <c r="BL1538" t="s">
        <v>278</v>
      </c>
      <c r="BM1538">
        <v>591.32718343375518</v>
      </c>
      <c r="BN1538">
        <v>757.78980054033161</v>
      </c>
      <c r="BO1538">
        <f>BN1538/BM1538</f>
        <v>1.2815067897605368</v>
      </c>
      <c r="BP1538">
        <f>BN1538-BM1538</f>
        <v>166.46261710657643</v>
      </c>
      <c r="BQ1538">
        <f>BP1538*tC_to_m3</f>
        <v>722.80771648535142</v>
      </c>
      <c r="BR1538" t="s">
        <v>232</v>
      </c>
      <c r="BS1538" s="153" t="s">
        <v>2786</v>
      </c>
      <c r="BT1538" t="s">
        <v>279</v>
      </c>
      <c r="BU1538">
        <v>-956.54496754124091</v>
      </c>
      <c r="BV1538">
        <v>-1160.011828609915</v>
      </c>
      <c r="BW1538" s="144">
        <f>IFERROR(BV1538/BU1538,"")</f>
        <v>1.2127101892466983</v>
      </c>
      <c r="BX1538">
        <f>BV1538-BU1538</f>
        <v>-203.46686106867412</v>
      </c>
      <c r="BZ1538">
        <f>BX1538</f>
        <v>-203.46686106867412</v>
      </c>
      <c r="CA1538">
        <f>IFERROR(BZ1538/BQ1538,"")</f>
        <v>-0.2814951423845205</v>
      </c>
      <c r="CB1538">
        <v>0</v>
      </c>
      <c r="CC1538">
        <v>0</v>
      </c>
      <c r="CD1538">
        <v>0</v>
      </c>
      <c r="CE1538">
        <v>0</v>
      </c>
      <c r="CF1538">
        <v>0</v>
      </c>
      <c r="CG1538">
        <v>0</v>
      </c>
      <c r="CH1538">
        <v>0</v>
      </c>
      <c r="CI1538">
        <v>0</v>
      </c>
      <c r="CJ1538">
        <v>0</v>
      </c>
      <c r="CK1538">
        <v>0</v>
      </c>
      <c r="CL1538">
        <v>0</v>
      </c>
      <c r="CM1538">
        <v>0</v>
      </c>
      <c r="CN1538">
        <v>0</v>
      </c>
      <c r="CO1538">
        <v>0</v>
      </c>
      <c r="CP1538" t="str">
        <f>IF($BN1538&lt;$BM1538,"refNeedCorrection","refOK")</f>
        <v>refOK</v>
      </c>
      <c r="CQ1538">
        <f>IF($CP1538="refNeedCorrection",BN1538,BM1538)</f>
        <v>591.32718343375518</v>
      </c>
      <c r="CR1538">
        <f>IF($CP1538="refNeedCorrection",BM1538,BN1538)</f>
        <v>757.78980054033161</v>
      </c>
      <c r="CS1538">
        <f>IF($CP1538="refOK",$BQ1538,-$BQ1538)</f>
        <v>722.80771648535142</v>
      </c>
      <c r="CT1538">
        <f>IF(BI1538="Roundwood",$CS1538/2,$CS1538)</f>
        <v>722.80771648535142</v>
      </c>
      <c r="CU1538">
        <f>IF($CP1538="refOK",$BU1538,$BV1538)*IF($BR1538="Emissions positive",-1,1)</f>
        <v>-956.54496754124091</v>
      </c>
      <c r="CV1538">
        <f>IF($CP1538="refOK",$BV1538,$BU1538)*IF($BR1538="Emissions positive",-1,1)</f>
        <v>-1160.011828609915</v>
      </c>
      <c r="CW1538">
        <f>IF($CP1538="refNeedCorrection",-BZ1538,BZ1538)*IF($BR1538="Emissions positive",-1,1)</f>
        <v>-203.46686106867412</v>
      </c>
      <c r="CX1538">
        <f>IFERROR($CW1538/$CS1538,"")</f>
        <v>-0.2814951423845205</v>
      </c>
      <c r="CY1538">
        <f>IFERROR($CW1538/$CS1538,"")</f>
        <v>-0.2814951423845205</v>
      </c>
      <c r="CZ1538">
        <f>IFERROR($CW1538/$CT1538,"")</f>
        <v>-0.2814951423845205</v>
      </c>
      <c r="DA1538" s="2">
        <f>IFERROR((CV1538-CU1538)/ABS(CU1538),"")</f>
        <v>-0.21271018924669818</v>
      </c>
      <c r="DB1538" s="1" t="s">
        <v>234</v>
      </c>
      <c r="DC1538" t="str">
        <f>IF(OR($DB1538="prd",$DB1538="std",$DB1538="cit"),"loc",IF(OR($DB1538="eur",$DB1538="reg",$DB1538="coy"),"reg",$DB1538))</f>
        <v>loc</v>
      </c>
      <c r="DD1538" t="s">
        <v>280</v>
      </c>
      <c r="DG1538">
        <v>200</v>
      </c>
      <c r="DH1538" t="str">
        <f>IF(DG1538=0,"0",IF(AND(DG1538&gt;=1,DG1538&lt;=30),"1-30",IF(AND(DG1538&gt;30,DG1538&lt;=70),"31-70",IF(AND(DG1538&gt;70,DG1538&lt;=100),"71-100",IF(DG1538&gt;100,"+100")))))</f>
        <v>+100</v>
      </c>
      <c r="DI1538">
        <v>0</v>
      </c>
      <c r="DJ1538">
        <v>0</v>
      </c>
      <c r="DK1538">
        <v>1</v>
      </c>
      <c r="DL1538">
        <v>0</v>
      </c>
      <c r="DN1538">
        <f>SUM(DI1538:DL1538)</f>
        <v>1</v>
      </c>
      <c r="DO1538" t="str">
        <f>IF(DN1538=1,INDEX($DI$7:$DL$7,MATCH(1,$DI1538:$DL1538,0)),"mixedProduct")</f>
        <v>PulpPaperInput</v>
      </c>
      <c r="DP1538">
        <f>IF(DI1538=1,DP$7,0)</f>
        <v>0</v>
      </c>
      <c r="DQ1538">
        <f>IF(DJ1538=1,DQ$7,0)</f>
        <v>0</v>
      </c>
      <c r="DR1538" t="str">
        <f>IF(DK1538=1,DR$7,0)</f>
        <v>Pulp/Paper</v>
      </c>
      <c r="DS1538">
        <f>IF(DL1538=1,DS$7,0)</f>
        <v>0</v>
      </c>
      <c r="DT1538">
        <v>0</v>
      </c>
      <c r="DU1538">
        <v>1</v>
      </c>
      <c r="DV1538">
        <v>0</v>
      </c>
      <c r="DW1538" t="s">
        <v>281</v>
      </c>
      <c r="DX1538">
        <v>0</v>
      </c>
      <c r="DY1538">
        <f>SUM(DT1538:DU1538)</f>
        <v>1</v>
      </c>
      <c r="DZ1538" s="143" t="str">
        <f>IF(DT1538=1,"self-calculated DF",IF(DU1538=1,"external DF used","explicit C balance"))</f>
        <v>external DF used</v>
      </c>
      <c r="EA1538">
        <v>0</v>
      </c>
      <c r="EB1538">
        <v>1</v>
      </c>
      <c r="EC1538">
        <v>1</v>
      </c>
      <c r="ED1538">
        <v>1</v>
      </c>
      <c r="EE1538">
        <v>1</v>
      </c>
      <c r="EF1538" s="143">
        <v>0</v>
      </c>
      <c r="EG1538">
        <v>1</v>
      </c>
      <c r="EH1538">
        <v>1</v>
      </c>
      <c r="EI1538">
        <v>0</v>
      </c>
      <c r="EJ1538">
        <v>1</v>
      </c>
      <c r="EK1538">
        <v>1</v>
      </c>
      <c r="EL1538">
        <v>1</v>
      </c>
      <c r="EM1538">
        <v>0</v>
      </c>
      <c r="EN1538" s="2">
        <v>0</v>
      </c>
      <c r="EP1538" t="str">
        <f>IF(AND(AND(AND(OR($EC1538=1,$EB1538=1),OR($EH1538=1,$EF1538=1)),SUM($EA1538:$EE1538,$EK1538)&gt;=3),SUM($EF1538:$EJ1538)&gt;=2),"Whole sector approach","")</f>
        <v>Whole sector approach</v>
      </c>
      <c r="EQ1538" t="str">
        <f>IF(AND(AND(OR($EC1538=1,$EB1538=1),AND($EH1538=0,$EF1538=0)),SUM($EA1538:$EE1538,$EK1538)&gt;=4),"Ecosystem approach","")</f>
        <v/>
      </c>
      <c r="ER1538" s="2" t="str">
        <f>IF(AND(AND(AND($EC1538=0,$EB1538=0),OR($EH1538=1,$EF1538=1)),SUM($EG1538:$EJ1538)&gt;=2),"Technology approach","")</f>
        <v/>
      </c>
      <c r="ES1538" t="str">
        <f>IF(AND($EC1538+$EB1538+$EE1538+$EA1538+$ED1538+$EG1538=0,$N1538="included"),"C neutral forest and HWP assumption","")</f>
        <v/>
      </c>
      <c r="ET1538" t="str">
        <f>IF(AND(AND(AND(AND($EC1538=1,$EB1538+$EA1538+$EG1538&gt;=1),$EF1538=1),$EH1538+$EI1538+$ED1538+$EE1538&gt;=2),$N1538="included"),"All C pools assumption","")</f>
        <v/>
      </c>
      <c r="EU1538" t="str">
        <f>IF(AND($ED1538+$EE1538+$EI1538+$EH1538+$EF1538=0,$N1538="included"),"In-situ only assumption","")</f>
        <v/>
      </c>
      <c r="EY1538" t="str">
        <f>IF(ISNUMBER(BW1538),IF(ABS(BW1538-[2]QC_indicators!$B$2)&gt;3*[2]QC_indicators!$C$2,"C ratio",IF(ISNUMBER(CA1538),IF(ABS(CA1538-[2]QC_indicators!$B$1)&gt;3*[2]QC_indicators!$C$1,"DF","no"))),IF(ISNUMBER(CA1538),IF(ABS(CA1538-[2]QC_indicators!$B$1)&gt;3*[2]QC_indicators!$C$1,"DF","no")))</f>
        <v>no</v>
      </c>
      <c r="EZ1538" t="s">
        <v>286</v>
      </c>
      <c r="FA1538" t="str">
        <f>IF(LEN($CY1538)=0,"",IF(AND($CY1538&lt;(-0.05),$ES1538="C neutral forest and HWP assumption"),"Cneutral paradox",IF(AND($CY1538&gt;0.05,$EU1538="In-situ only assumption"),"In-situ only paradox","")))</f>
        <v/>
      </c>
      <c r="FD1538" s="260" t="s">
        <v>2948</v>
      </c>
    </row>
    <row r="1539" spans="1:160" ht="15" hidden="1" customHeight="1">
      <c r="A1539" s="1" t="s">
        <v>265</v>
      </c>
      <c r="B1539" t="s">
        <v>266</v>
      </c>
      <c r="C1539" t="s">
        <v>267</v>
      </c>
      <c r="D1539" t="s">
        <v>268</v>
      </c>
      <c r="E1539" t="s">
        <v>269</v>
      </c>
      <c r="F1539" t="s">
        <v>270</v>
      </c>
      <c r="G1539" t="s">
        <v>271</v>
      </c>
      <c r="H1539" t="s">
        <v>254</v>
      </c>
      <c r="I1539">
        <v>2022</v>
      </c>
      <c r="J1539">
        <v>0</v>
      </c>
      <c r="K1539" t="s">
        <v>272</v>
      </c>
      <c r="M1539" t="str">
        <f>LEFT($D1539,FIND(",",$D1539)-1)&amp;"_"&amp;I1539&amp;L1539</f>
        <v>Aryapratama_2022</v>
      </c>
      <c r="N1539" t="s">
        <v>222</v>
      </c>
      <c r="O1539" s="145" t="s">
        <v>274</v>
      </c>
      <c r="Q1539" t="s">
        <v>224</v>
      </c>
      <c r="R1539" s="258" t="s">
        <v>223</v>
      </c>
      <c r="S1539" s="259" t="s">
        <v>2784</v>
      </c>
      <c r="T1539" t="s">
        <v>327</v>
      </c>
      <c r="U1539" t="s">
        <v>326</v>
      </c>
      <c r="V1539" s="253">
        <v>0</v>
      </c>
      <c r="W1539" s="253">
        <v>0</v>
      </c>
      <c r="X1539">
        <v>0</v>
      </c>
      <c r="Y1539">
        <v>0</v>
      </c>
      <c r="Z1539">
        <v>0</v>
      </c>
      <c r="AA1539">
        <v>0</v>
      </c>
      <c r="AB1539">
        <v>0</v>
      </c>
      <c r="AC1539">
        <v>0</v>
      </c>
      <c r="AD1539">
        <v>0</v>
      </c>
      <c r="AE1539">
        <v>0</v>
      </c>
      <c r="AF1539">
        <v>0</v>
      </c>
      <c r="AG1539">
        <v>0</v>
      </c>
      <c r="AH1539">
        <v>0</v>
      </c>
      <c r="AI1539">
        <v>0</v>
      </c>
      <c r="AJ1539">
        <v>0</v>
      </c>
      <c r="AK1539">
        <v>0</v>
      </c>
      <c r="AL1539">
        <v>0</v>
      </c>
      <c r="AM1539">
        <v>1</v>
      </c>
      <c r="AN1539">
        <v>0</v>
      </c>
      <c r="AO1539">
        <v>0</v>
      </c>
      <c r="AP1539">
        <v>0</v>
      </c>
      <c r="AQ1539">
        <v>0</v>
      </c>
      <c r="AR1539">
        <v>0</v>
      </c>
      <c r="AS1539">
        <v>0</v>
      </c>
      <c r="AT1539">
        <v>0</v>
      </c>
      <c r="AU1539">
        <v>0</v>
      </c>
      <c r="AV1539">
        <v>0</v>
      </c>
      <c r="AW1539">
        <v>0</v>
      </c>
      <c r="AX1539">
        <v>0</v>
      </c>
      <c r="AY1539">
        <v>0</v>
      </c>
      <c r="AZ1539" s="141">
        <f>COUNTIF(X1539:AY1539,"&lt;&gt;0")</f>
        <v>1</v>
      </c>
      <c r="BA1539" s="141">
        <f>COUNTIF(X1539:AN1539,"&lt;&gt;0")</f>
        <v>1</v>
      </c>
      <c r="BB1539">
        <f>COUNTIF(X1539:AE1539,"&lt;&gt;0")</f>
        <v>0</v>
      </c>
      <c r="BC1539">
        <f>COUNTIF(AF1539:AK1539,"&lt;&gt;0")</f>
        <v>0</v>
      </c>
      <c r="BD1539">
        <f>COUNTIF(AL1539:AN1539,"&lt;&gt;0")</f>
        <v>1</v>
      </c>
      <c r="BE1539">
        <f>COUNTIF(AU1539:AY1539,"&lt;&gt;0")</f>
        <v>0</v>
      </c>
      <c r="BF1539">
        <f>COUNTIF(AO1539:AT1539,"&lt;&gt;0")</f>
        <v>0</v>
      </c>
      <c r="BG1539" t="str">
        <f t="array" ref="BG1539">IF(BA1539=1,INDEX($X$7:$AN$7,MATCH(TRUE,INDEX($X1539:$AY1539&lt;&gt;0,),0)),IF(BA1539=0,INDEX($AO$7:$AY$7,MATCH(1,$AO1539:$AY1539,0)),IF(BH1539="Multiple strategies","mixed drivers",IF(BH1539="Supply chain","multiple supply","multiple silviculture"))))</f>
        <v>technologies/design switch</v>
      </c>
      <c r="BH1539" s="2" t="str" cm="1">
        <f t="array" ref="BH1539">IF(COUNTIF(BB1539:BD1539,"&lt;&gt;0")=1,INDEX($X$4:$AY$4,MATCH(TRUE,INDEX($X1539:$AY1539&lt;&gt;0,),0)),IF(COUNTIF(BB1539:BD1539,"&lt;&gt;0")=0,INDEX($AO$4:$AY$4,MATCH(1,$AO1539:$AY1539,0)),"Multiple strategies"))</f>
        <v>Technology</v>
      </c>
      <c r="BI1539" s="1" t="s">
        <v>229</v>
      </c>
      <c r="BJ1539" t="s">
        <v>277</v>
      </c>
      <c r="BK1539" s="260" t="s">
        <v>2785</v>
      </c>
      <c r="BL1539" t="s">
        <v>278</v>
      </c>
      <c r="BM1539">
        <v>0</v>
      </c>
      <c r="BN1539">
        <v>290.2995901886793</v>
      </c>
      <c r="BP1539">
        <f>BN1539-BM1539</f>
        <v>290.2995901886793</v>
      </c>
      <c r="BQ1539">
        <f>BP1539*tC_to_m3</f>
        <v>1260.5279643451122</v>
      </c>
      <c r="BR1539" t="s">
        <v>232</v>
      </c>
      <c r="BS1539" s="153" t="s">
        <v>2786</v>
      </c>
      <c r="BT1539" t="s">
        <v>279</v>
      </c>
      <c r="BU1539">
        <v>-719.97535000585367</v>
      </c>
      <c r="BV1539">
        <v>-1282.169207878547</v>
      </c>
      <c r="BW1539" s="144">
        <f>IFERROR(BV1539/BU1539,"")</f>
        <v>1.7808515359145594</v>
      </c>
      <c r="BX1539">
        <f>BV1539-BU1539</f>
        <v>-562.19385787269334</v>
      </c>
      <c r="BZ1539">
        <f>BX1539</f>
        <v>-562.19385787269334</v>
      </c>
      <c r="CA1539">
        <f>IFERROR(BZ1539/BQ1539,"")</f>
        <v>-0.44599871940546154</v>
      </c>
      <c r="CB1539">
        <v>0</v>
      </c>
      <c r="CC1539">
        <v>0</v>
      </c>
      <c r="CD1539">
        <v>0</v>
      </c>
      <c r="CE1539">
        <v>0</v>
      </c>
      <c r="CF1539">
        <v>0</v>
      </c>
      <c r="CG1539">
        <v>0</v>
      </c>
      <c r="CH1539">
        <v>0</v>
      </c>
      <c r="CI1539">
        <v>0</v>
      </c>
      <c r="CJ1539">
        <v>0</v>
      </c>
      <c r="CK1539">
        <v>0</v>
      </c>
      <c r="CL1539">
        <v>0</v>
      </c>
      <c r="CM1539">
        <v>0</v>
      </c>
      <c r="CN1539">
        <v>0</v>
      </c>
      <c r="CO1539">
        <v>0</v>
      </c>
      <c r="CP1539" t="str">
        <f>IF($BN1539&lt;$BM1539,"refNeedCorrection","refOK")</f>
        <v>refOK</v>
      </c>
      <c r="CQ1539">
        <f>IF($CP1539="refOK",$BM1539,$BN1539)</f>
        <v>0</v>
      </c>
      <c r="CR1539">
        <f>IF($CP1539="refOK",$BN1539,$BM1539)</f>
        <v>290.2995901886793</v>
      </c>
      <c r="CS1539">
        <f>IF($CP1539="refOK",$BQ1539,-$BQ1539)</f>
        <v>1260.5279643451122</v>
      </c>
      <c r="CT1539">
        <f>IF(BI1539="Roundwood",$CS1539/2,$CS1539)</f>
        <v>1260.5279643451122</v>
      </c>
      <c r="CU1539">
        <f>IF($CP1539="refOK",$BU1539,$BV1539)*IF($BR1539="Emissions positive",-1,1)</f>
        <v>-719.97535000585367</v>
      </c>
      <c r="CV1539">
        <f>IF($CP1539="refOK",$BV1539,$BU1539)*IF($BR1539="Emissions positive",-1,1)</f>
        <v>-1282.169207878547</v>
      </c>
      <c r="CW1539">
        <f>IF($CP1539="refNeedCorrection",-BZ1539,BZ1539)*IF($BR1539="Emissions positive",-1,1)</f>
        <v>-562.19385787269334</v>
      </c>
      <c r="CX1539">
        <f>IFERROR($CW1539/$CS1539,"")</f>
        <v>-0.44599871940546154</v>
      </c>
      <c r="CY1539">
        <f>IFERROR($CW1539/$CS1539,"")</f>
        <v>-0.44599871940546154</v>
      </c>
      <c r="CZ1539">
        <f>IFERROR($CW1539/$CT1539,"")</f>
        <v>-0.44599871940546154</v>
      </c>
      <c r="DA1539" s="2">
        <f>IFERROR((CV1539-CU1539)/ABS(CU1539),"")</f>
        <v>-0.78085153591455947</v>
      </c>
      <c r="DB1539" s="1" t="s">
        <v>234</v>
      </c>
      <c r="DC1539" t="str">
        <f>IF(OR($DB1539="prd",$DB1539="std",$DB1539="cit"),"loc",IF(OR($DB1539="eur",$DB1539="reg",$DB1539="coy"),"reg",$DB1539))</f>
        <v>loc</v>
      </c>
      <c r="DD1539" t="s">
        <v>280</v>
      </c>
      <c r="DG1539">
        <v>200</v>
      </c>
      <c r="DH1539" t="str">
        <f>IF(DG1539=0,"0",IF(AND(DG1539&gt;=1,DG1539&lt;=30),"1-30",IF(AND(DG1539&gt;30,DG1539&lt;=70),"31-70",IF(AND(DG1539&gt;70,DG1539&lt;=100),"71-100",IF(DG1539&gt;100,"+100")))))</f>
        <v>+100</v>
      </c>
      <c r="DI1539">
        <v>0</v>
      </c>
      <c r="DJ1539">
        <v>1</v>
      </c>
      <c r="DK1539">
        <v>0</v>
      </c>
      <c r="DL1539">
        <v>0</v>
      </c>
      <c r="DN1539">
        <f>SUM(DI1539:DL1539)</f>
        <v>1</v>
      </c>
      <c r="DO1539" t="str">
        <f>IF(DN1539=1,INDEX($DI$7:$DL$7,MATCH(1,$DI1539:$DL1539,0)),"mixedProduct")</f>
        <v>EnergyInput</v>
      </c>
      <c r="DP1539">
        <f>IF(DI1539=1,DP$7,0)</f>
        <v>0</v>
      </c>
      <c r="DQ1539" t="str">
        <f>IF(DJ1539=1,DQ$7,0)</f>
        <v>Energy</v>
      </c>
      <c r="DR1539">
        <f>IF(DK1539=1,DR$7,0)</f>
        <v>0</v>
      </c>
      <c r="DS1539">
        <f>IF(DL1539=1,DS$7,0)</f>
        <v>0</v>
      </c>
      <c r="DT1539">
        <v>0</v>
      </c>
      <c r="DU1539">
        <v>1</v>
      </c>
      <c r="DV1539" t="s">
        <v>304</v>
      </c>
      <c r="DW1539">
        <v>0</v>
      </c>
      <c r="DX1539">
        <v>0</v>
      </c>
      <c r="DY1539">
        <f>SUM(DT1539:DU1539)</f>
        <v>1</v>
      </c>
      <c r="DZ1539" s="143" t="str">
        <f>IF(DT1539=1,"self-calculated DF",IF(DU1539=1,"external DF used","explicit C balance"))</f>
        <v>external DF used</v>
      </c>
      <c r="EA1539">
        <v>0</v>
      </c>
      <c r="EB1539">
        <v>1</v>
      </c>
      <c r="EC1539">
        <v>1</v>
      </c>
      <c r="ED1539">
        <v>1</v>
      </c>
      <c r="EE1539">
        <v>1</v>
      </c>
      <c r="EF1539" s="143">
        <v>0</v>
      </c>
      <c r="EG1539">
        <v>1</v>
      </c>
      <c r="EH1539">
        <v>1</v>
      </c>
      <c r="EI1539">
        <v>0</v>
      </c>
      <c r="EJ1539">
        <v>1</v>
      </c>
      <c r="EK1539">
        <v>1</v>
      </c>
      <c r="EL1539">
        <v>1</v>
      </c>
      <c r="EM1539">
        <v>0</v>
      </c>
      <c r="EN1539" s="2">
        <v>0</v>
      </c>
      <c r="EP1539" t="str">
        <f>IF(AND(AND(AND(OR($EC1539=1,$EB1539=1),OR($EH1539=1,$EF1539=1)),SUM($EA1539:$EE1539,$EK1539)&gt;=3),SUM($EF1539:$EJ1539)&gt;=2),"Whole sector approach","")</f>
        <v>Whole sector approach</v>
      </c>
      <c r="EQ1539" t="str">
        <f>IF(AND(AND(OR($EC1539=1,$EB1539=1),AND($EH1539=0,$EF1539=0)),SUM($EA1539:$EE1539,$EK1539)&gt;=4),"Ecosystem approach","")</f>
        <v/>
      </c>
      <c r="ER1539" s="2" t="str">
        <f>IF(AND(AND(AND($EC1539=0,$EB1539=0),OR($EH1539=1,$EF1539=1)),SUM($EG1539:$EJ1539)&gt;=2),"Technology approach","")</f>
        <v/>
      </c>
      <c r="ES1539" t="str">
        <f>IF(AND($EC1539+$EB1539+$EE1539+$EA1539+$ED1539+$EG1539=0,$N1539="included"),"C neutral forest and HWP assumption","")</f>
        <v/>
      </c>
      <c r="ET1539" t="str">
        <f>IF(AND(AND(AND(AND($EC1539=1,$EB1539+$EA1539+$EG1539&gt;=1),$EF1539=1),$EH1539+$EI1539+$ED1539+$EE1539&gt;=2),$N1539="included"),"All C pools assumption","")</f>
        <v/>
      </c>
      <c r="EU1539" t="str">
        <f>IF(AND($ED1539+$EE1539+$EI1539+$EH1539+$EF1539=0,$N1539="included"),"In-situ only assumption","")</f>
        <v/>
      </c>
      <c r="EY1539" t="str">
        <f>IF(ISNUMBER(BW1539),IF(ABS(BW1539-[2]QC_indicators!$B$2)&gt;3*[2]QC_indicators!$C$2,"C ratio",IF(ISNUMBER(CA1539),IF(ABS(CA1539-[2]QC_indicators!$B$1)&gt;3*[2]QC_indicators!$C$1,"DF","no"))),IF(ISNUMBER(CA1539),IF(ABS(CA1539-[2]QC_indicators!$B$1)&gt;3*[2]QC_indicators!$C$1,"DF","no")))</f>
        <v>no</v>
      </c>
      <c r="EZ1539" t="s">
        <v>286</v>
      </c>
      <c r="FA1539" t="str">
        <f>IF(LEN($CY1539)=0,"",IF(AND($CY1539&lt;(-0.05),$ES1539="C neutral forest and HWP assumption"),"Cneutral paradox",IF(AND($CY1539&gt;0.05,$EU1539="In-situ only assumption"),"In-situ only paradox","")))</f>
        <v/>
      </c>
      <c r="FD1539" s="260" t="s">
        <v>2948</v>
      </c>
    </row>
    <row r="1540" spans="1:160" ht="15" hidden="1" customHeight="1">
      <c r="A1540" s="1" t="s">
        <v>265</v>
      </c>
      <c r="B1540" t="s">
        <v>266</v>
      </c>
      <c r="C1540" t="s">
        <v>267</v>
      </c>
      <c r="D1540" t="s">
        <v>268</v>
      </c>
      <c r="E1540" t="s">
        <v>269</v>
      </c>
      <c r="F1540" t="s">
        <v>270</v>
      </c>
      <c r="G1540" t="s">
        <v>271</v>
      </c>
      <c r="H1540" t="s">
        <v>254</v>
      </c>
      <c r="I1540">
        <v>2022</v>
      </c>
      <c r="J1540">
        <v>0</v>
      </c>
      <c r="K1540" t="s">
        <v>272</v>
      </c>
      <c r="M1540" t="str">
        <f>LEFT($D1540,FIND(",",$D1540)-1)&amp;"_"&amp;I1540&amp;L1540</f>
        <v>Aryapratama_2022</v>
      </c>
      <c r="N1540" t="s">
        <v>222</v>
      </c>
      <c r="O1540" s="145" t="s">
        <v>274</v>
      </c>
      <c r="Q1540" t="s">
        <v>224</v>
      </c>
      <c r="R1540" s="258" t="s">
        <v>223</v>
      </c>
      <c r="S1540" s="259" t="s">
        <v>2784</v>
      </c>
      <c r="T1540" t="s">
        <v>327</v>
      </c>
      <c r="U1540" t="s">
        <v>326</v>
      </c>
      <c r="V1540" s="253">
        <v>0</v>
      </c>
      <c r="W1540" s="253">
        <v>0</v>
      </c>
      <c r="X1540">
        <v>0</v>
      </c>
      <c r="Y1540">
        <v>0</v>
      </c>
      <c r="Z1540">
        <v>0</v>
      </c>
      <c r="AA1540">
        <v>0</v>
      </c>
      <c r="AB1540">
        <v>0</v>
      </c>
      <c r="AC1540">
        <v>0</v>
      </c>
      <c r="AD1540">
        <v>0</v>
      </c>
      <c r="AE1540">
        <v>0</v>
      </c>
      <c r="AF1540">
        <v>0</v>
      </c>
      <c r="AG1540">
        <v>0</v>
      </c>
      <c r="AH1540">
        <v>0</v>
      </c>
      <c r="AI1540">
        <v>0</v>
      </c>
      <c r="AJ1540">
        <v>0</v>
      </c>
      <c r="AK1540">
        <v>0</v>
      </c>
      <c r="AL1540">
        <v>0</v>
      </c>
      <c r="AM1540">
        <v>1</v>
      </c>
      <c r="AN1540">
        <v>0</v>
      </c>
      <c r="AO1540">
        <v>0</v>
      </c>
      <c r="AP1540">
        <v>0</v>
      </c>
      <c r="AQ1540">
        <v>0</v>
      </c>
      <c r="AR1540">
        <v>0</v>
      </c>
      <c r="AS1540">
        <v>0</v>
      </c>
      <c r="AT1540">
        <v>0</v>
      </c>
      <c r="AU1540">
        <v>0</v>
      </c>
      <c r="AV1540">
        <v>0</v>
      </c>
      <c r="AW1540">
        <v>0</v>
      </c>
      <c r="AX1540">
        <v>0</v>
      </c>
      <c r="AY1540">
        <v>0</v>
      </c>
      <c r="AZ1540" s="141">
        <f>COUNTIF(X1540:AY1540,"&lt;&gt;0")</f>
        <v>1</v>
      </c>
      <c r="BA1540" s="141">
        <f>COUNTIF(X1540:AN1540,"&lt;&gt;0")</f>
        <v>1</v>
      </c>
      <c r="BB1540">
        <f>COUNTIF(X1540:AE1540,"&lt;&gt;0")</f>
        <v>0</v>
      </c>
      <c r="BC1540">
        <f>COUNTIF(AF1540:AK1540,"&lt;&gt;0")</f>
        <v>0</v>
      </c>
      <c r="BD1540">
        <f>COUNTIF(AL1540:AN1540,"&lt;&gt;0")</f>
        <v>1</v>
      </c>
      <c r="BE1540">
        <f>COUNTIF(AU1540:AY1540,"&lt;&gt;0")</f>
        <v>0</v>
      </c>
      <c r="BF1540">
        <f>COUNTIF(AO1540:AT1540,"&lt;&gt;0")</f>
        <v>0</v>
      </c>
      <c r="BG1540" t="str">
        <f t="array" ref="BG1540">IF(BA1540=1,INDEX($X$7:$AN$7,MATCH(TRUE,INDEX($X1540:$AY1540&lt;&gt;0,),0)),IF(BA1540=0,INDEX($AO$7:$AY$7,MATCH(1,$AO1540:$AY1540,0)),IF(BH1540="Multiple strategies","mixed drivers",IF(BH1540="Supply chain","multiple supply","multiple silviculture"))))</f>
        <v>technologies/design switch</v>
      </c>
      <c r="BH1540" s="2" t="str" cm="1">
        <f t="array" ref="BH1540">IF(COUNTIF(BB1540:BD1540,"&lt;&gt;0")=1,INDEX($X$4:$AY$4,MATCH(TRUE,INDEX($X1540:$AY1540&lt;&gt;0,),0)),IF(COUNTIF(BB1540:BD1540,"&lt;&gt;0")=0,INDEX($AO$4:$AY$4,MATCH(1,$AO1540:$AY1540,0)),"Multiple strategies"))</f>
        <v>Technology</v>
      </c>
      <c r="BI1540" s="1" t="s">
        <v>229</v>
      </c>
      <c r="BJ1540" t="s">
        <v>277</v>
      </c>
      <c r="BK1540" s="260" t="s">
        <v>2785</v>
      </c>
      <c r="BL1540" t="s">
        <v>278</v>
      </c>
      <c r="BM1540">
        <v>0</v>
      </c>
      <c r="BN1540">
        <v>227.71287018867932</v>
      </c>
      <c r="BP1540">
        <f>BN1540-BM1540</f>
        <v>227.71287018867932</v>
      </c>
      <c r="BQ1540">
        <f>BP1540*tC_to_m3</f>
        <v>988.76626221745255</v>
      </c>
      <c r="BR1540" t="s">
        <v>232</v>
      </c>
      <c r="BS1540" s="153" t="s">
        <v>2786</v>
      </c>
      <c r="BT1540" t="s">
        <v>279</v>
      </c>
      <c r="BU1540">
        <v>-640.9681065668517</v>
      </c>
      <c r="BV1540">
        <v>-1049.6296143500765</v>
      </c>
      <c r="BW1540" s="144">
        <f>IFERROR(BV1540/BU1540,"")</f>
        <v>1.6375691763699356</v>
      </c>
      <c r="BX1540">
        <f>BV1540-BU1540</f>
        <v>-408.66150778322481</v>
      </c>
      <c r="BZ1540">
        <f>BX1540</f>
        <v>-408.66150778322481</v>
      </c>
      <c r="CA1540">
        <f>IFERROR(BZ1540/BQ1540,"")</f>
        <v>-0.41330446173066399</v>
      </c>
      <c r="CB1540">
        <v>0</v>
      </c>
      <c r="CC1540">
        <v>0</v>
      </c>
      <c r="CD1540">
        <v>0</v>
      </c>
      <c r="CE1540">
        <v>0</v>
      </c>
      <c r="CF1540">
        <v>0</v>
      </c>
      <c r="CG1540">
        <v>0</v>
      </c>
      <c r="CH1540">
        <v>0</v>
      </c>
      <c r="CI1540">
        <v>0</v>
      </c>
      <c r="CJ1540">
        <v>0</v>
      </c>
      <c r="CK1540">
        <v>0</v>
      </c>
      <c r="CL1540">
        <v>0</v>
      </c>
      <c r="CM1540">
        <v>0</v>
      </c>
      <c r="CN1540">
        <v>0</v>
      </c>
      <c r="CO1540">
        <v>0</v>
      </c>
      <c r="CP1540" t="str">
        <f>IF($BN1540&lt;$BM1540,"refNeedCorrection","refOK")</f>
        <v>refOK</v>
      </c>
      <c r="CQ1540">
        <f>IF($CP1540="refOK",$BM1540,$BN1540)</f>
        <v>0</v>
      </c>
      <c r="CR1540">
        <f>IF($CP1540="refOK",$BN1540,$BM1540)</f>
        <v>227.71287018867932</v>
      </c>
      <c r="CS1540">
        <f>IF($CP1540="refOK",$BQ1540,-$BQ1540)</f>
        <v>988.76626221745255</v>
      </c>
      <c r="CT1540">
        <f>IF(BI1540="Roundwood",$CS1540/2,$CS1540)</f>
        <v>988.76626221745255</v>
      </c>
      <c r="CU1540">
        <f>IF($CP1540="refOK",$BU1540,$BV1540)*IF($BR1540="Emissions positive",-1,1)</f>
        <v>-640.9681065668517</v>
      </c>
      <c r="CV1540">
        <f>IF($CP1540="refOK",$BV1540,$BU1540)*IF($BR1540="Emissions positive",-1,1)</f>
        <v>-1049.6296143500765</v>
      </c>
      <c r="CW1540">
        <f>IF($CP1540="refNeedCorrection",-BZ1540,BZ1540)*IF($BR1540="Emissions positive",-1,1)</f>
        <v>-408.66150778322481</v>
      </c>
      <c r="CX1540">
        <f>IFERROR($CW1540/$CS1540,"")</f>
        <v>-0.41330446173066399</v>
      </c>
      <c r="CY1540">
        <f>IFERROR($CW1540/$CS1540,"")</f>
        <v>-0.41330446173066399</v>
      </c>
      <c r="CZ1540">
        <f>IFERROR($CW1540/$CT1540,"")</f>
        <v>-0.41330446173066399</v>
      </c>
      <c r="DA1540" s="2">
        <f>IFERROR((CV1540-CU1540)/ABS(CU1540),"")</f>
        <v>-0.63756917636993571</v>
      </c>
      <c r="DB1540" s="1" t="s">
        <v>234</v>
      </c>
      <c r="DC1540" t="str">
        <f>IF(OR($DB1540="prd",$DB1540="std",$DB1540="cit"),"loc",IF(OR($DB1540="eur",$DB1540="reg",$DB1540="coy"),"reg",$DB1540))</f>
        <v>loc</v>
      </c>
      <c r="DD1540" t="s">
        <v>280</v>
      </c>
      <c r="DG1540">
        <v>100</v>
      </c>
      <c r="DH1540" t="str">
        <f>IF(DG1540=0,"0",IF(AND(DG1540&gt;=1,DG1540&lt;=30),"1-30",IF(AND(DG1540&gt;30,DG1540&lt;=70),"31-70",IF(AND(DG1540&gt;70,DG1540&lt;=100),"71-100",IF(DG1540&gt;100,"+100")))))</f>
        <v>71-100</v>
      </c>
      <c r="DI1540">
        <v>0</v>
      </c>
      <c r="DJ1540">
        <v>1</v>
      </c>
      <c r="DK1540">
        <v>0</v>
      </c>
      <c r="DL1540">
        <v>0</v>
      </c>
      <c r="DN1540">
        <f>SUM(DI1540:DL1540)</f>
        <v>1</v>
      </c>
      <c r="DO1540" t="str">
        <f>IF(DN1540=1,INDEX($DI$7:$DL$7,MATCH(1,$DI1540:$DL1540,0)),"mixedProduct")</f>
        <v>EnergyInput</v>
      </c>
      <c r="DP1540">
        <f>IF(DI1540=1,DP$7,0)</f>
        <v>0</v>
      </c>
      <c r="DQ1540" t="str">
        <f>IF(DJ1540=1,DQ$7,0)</f>
        <v>Energy</v>
      </c>
      <c r="DR1540">
        <f>IF(DK1540=1,DR$7,0)</f>
        <v>0</v>
      </c>
      <c r="DS1540">
        <f>IF(DL1540=1,DS$7,0)</f>
        <v>0</v>
      </c>
      <c r="DT1540">
        <v>0</v>
      </c>
      <c r="DU1540">
        <v>1</v>
      </c>
      <c r="DV1540" t="s">
        <v>304</v>
      </c>
      <c r="DW1540">
        <v>0</v>
      </c>
      <c r="DX1540">
        <v>0</v>
      </c>
      <c r="DY1540">
        <f>SUM(DT1540:DU1540)</f>
        <v>1</v>
      </c>
      <c r="DZ1540" s="143" t="str">
        <f>IF(DT1540=1,"self-calculated DF",IF(DU1540=1,"external DF used","explicit C balance"))</f>
        <v>external DF used</v>
      </c>
      <c r="EA1540">
        <v>0</v>
      </c>
      <c r="EB1540">
        <v>1</v>
      </c>
      <c r="EC1540">
        <v>1</v>
      </c>
      <c r="ED1540">
        <v>1</v>
      </c>
      <c r="EE1540">
        <v>1</v>
      </c>
      <c r="EF1540" s="143">
        <v>0</v>
      </c>
      <c r="EG1540">
        <v>1</v>
      </c>
      <c r="EH1540">
        <v>1</v>
      </c>
      <c r="EI1540">
        <v>0</v>
      </c>
      <c r="EJ1540">
        <v>1</v>
      </c>
      <c r="EK1540">
        <v>1</v>
      </c>
      <c r="EL1540">
        <v>1</v>
      </c>
      <c r="EM1540">
        <v>0</v>
      </c>
      <c r="EN1540" s="2">
        <v>0</v>
      </c>
      <c r="EP1540" t="str">
        <f>IF(AND(AND(AND(OR($EC1540=1,$EB1540=1),OR($EH1540=1,$EF1540=1)),SUM($EA1540:$EE1540,$EK1540)&gt;=3),SUM($EF1540:$EJ1540)&gt;=2),"Whole sector approach","")</f>
        <v>Whole sector approach</v>
      </c>
      <c r="EQ1540" t="str">
        <f>IF(AND(AND(OR($EC1540=1,$EB1540=1),AND($EH1540=0,$EF1540=0)),SUM($EA1540:$EE1540,$EK1540)&gt;=4),"Ecosystem approach","")</f>
        <v/>
      </c>
      <c r="ER1540" s="2" t="str">
        <f>IF(AND(AND(AND($EC1540=0,$EB1540=0),OR($EH1540=1,$EF1540=1)),SUM($EG1540:$EJ1540)&gt;=2),"Technology approach","")</f>
        <v/>
      </c>
      <c r="ES1540" t="str">
        <f>IF(AND($EC1540+$EB1540+$EE1540+$EA1540+$ED1540+$EG1540=0,$N1540="included"),"C neutral forest and HWP assumption","")</f>
        <v/>
      </c>
      <c r="ET1540" t="str">
        <f>IF(AND(AND(AND(AND($EC1540=1,$EB1540+$EA1540+$EG1540&gt;=1),$EF1540=1),$EH1540+$EI1540+$ED1540+$EE1540&gt;=2),$N1540="included"),"All C pools assumption","")</f>
        <v/>
      </c>
      <c r="EU1540" t="str">
        <f>IF(AND($ED1540+$EE1540+$EI1540+$EH1540+$EF1540=0,$N1540="included"),"In-situ only assumption","")</f>
        <v/>
      </c>
      <c r="EY1540" t="str">
        <f>IF(ISNUMBER(BW1540),IF(ABS(BW1540-[2]QC_indicators!$B$2)&gt;3*[2]QC_indicators!$C$2,"C ratio",IF(ISNUMBER(CA1540),IF(ABS(CA1540-[2]QC_indicators!$B$1)&gt;3*[2]QC_indicators!$C$1,"DF","no"))),IF(ISNUMBER(CA1540),IF(ABS(CA1540-[2]QC_indicators!$B$1)&gt;3*[2]QC_indicators!$C$1,"DF","no")))</f>
        <v>no</v>
      </c>
      <c r="EZ1540" t="s">
        <v>286</v>
      </c>
      <c r="FA1540" t="str">
        <f>IF(LEN($CY1540)=0,"",IF(AND($CY1540&lt;(-0.05),$ES1540="C neutral forest and HWP assumption"),"Cneutral paradox",IF(AND($CY1540&gt;0.05,$EU1540="In-situ only assumption"),"In-situ only paradox","")))</f>
        <v/>
      </c>
      <c r="FD1540" s="260" t="s">
        <v>2948</v>
      </c>
    </row>
    <row r="1541" spans="1:160" ht="15" hidden="1" customHeight="1">
      <c r="A1541" s="1" t="s">
        <v>265</v>
      </c>
      <c r="B1541" t="s">
        <v>266</v>
      </c>
      <c r="C1541" t="s">
        <v>267</v>
      </c>
      <c r="D1541" t="s">
        <v>268</v>
      </c>
      <c r="E1541" t="s">
        <v>269</v>
      </c>
      <c r="F1541" t="s">
        <v>270</v>
      </c>
      <c r="G1541" t="s">
        <v>271</v>
      </c>
      <c r="H1541" t="s">
        <v>254</v>
      </c>
      <c r="I1541">
        <v>2022</v>
      </c>
      <c r="J1541">
        <v>0</v>
      </c>
      <c r="K1541" t="s">
        <v>272</v>
      </c>
      <c r="M1541" t="str">
        <f>LEFT($D1541,FIND(",",$D1541)-1)&amp;"_"&amp;I1541&amp;L1541</f>
        <v>Aryapratama_2022</v>
      </c>
      <c r="N1541" t="s">
        <v>222</v>
      </c>
      <c r="O1541" s="145" t="s">
        <v>274</v>
      </c>
      <c r="Q1541" t="s">
        <v>224</v>
      </c>
      <c r="R1541" s="258" t="s">
        <v>223</v>
      </c>
      <c r="S1541" s="259" t="s">
        <v>2784</v>
      </c>
      <c r="T1541" t="s">
        <v>327</v>
      </c>
      <c r="U1541" t="s">
        <v>326</v>
      </c>
      <c r="V1541" s="253">
        <v>0</v>
      </c>
      <c r="W1541" s="253">
        <v>0</v>
      </c>
      <c r="X1541">
        <v>0</v>
      </c>
      <c r="Y1541">
        <v>0</v>
      </c>
      <c r="Z1541">
        <v>0</v>
      </c>
      <c r="AA1541">
        <v>0</v>
      </c>
      <c r="AB1541">
        <v>0</v>
      </c>
      <c r="AC1541">
        <v>0</v>
      </c>
      <c r="AD1541">
        <v>0</v>
      </c>
      <c r="AE1541">
        <v>0</v>
      </c>
      <c r="AF1541">
        <v>0</v>
      </c>
      <c r="AG1541">
        <v>0</v>
      </c>
      <c r="AH1541">
        <v>0</v>
      </c>
      <c r="AI1541">
        <v>0</v>
      </c>
      <c r="AJ1541">
        <v>0</v>
      </c>
      <c r="AK1541">
        <v>0</v>
      </c>
      <c r="AL1541">
        <v>0</v>
      </c>
      <c r="AM1541">
        <v>1</v>
      </c>
      <c r="AN1541">
        <v>0</v>
      </c>
      <c r="AO1541">
        <v>0</v>
      </c>
      <c r="AP1541">
        <v>0</v>
      </c>
      <c r="AQ1541">
        <v>0</v>
      </c>
      <c r="AR1541">
        <v>0</v>
      </c>
      <c r="AS1541">
        <v>0</v>
      </c>
      <c r="AT1541">
        <v>0</v>
      </c>
      <c r="AU1541">
        <v>0</v>
      </c>
      <c r="AV1541">
        <v>0</v>
      </c>
      <c r="AW1541">
        <v>0</v>
      </c>
      <c r="AX1541">
        <v>0</v>
      </c>
      <c r="AY1541">
        <v>0</v>
      </c>
      <c r="AZ1541" s="141">
        <f>COUNTIF(X1541:AY1541,"&lt;&gt;0")</f>
        <v>1</v>
      </c>
      <c r="BA1541" s="141">
        <f>COUNTIF(X1541:AN1541,"&lt;&gt;0")</f>
        <v>1</v>
      </c>
      <c r="BB1541">
        <f>COUNTIF(X1541:AE1541,"&lt;&gt;0")</f>
        <v>0</v>
      </c>
      <c r="BC1541">
        <f>COUNTIF(AF1541:AK1541,"&lt;&gt;0")</f>
        <v>0</v>
      </c>
      <c r="BD1541">
        <f>COUNTIF(AL1541:AN1541,"&lt;&gt;0")</f>
        <v>1</v>
      </c>
      <c r="BE1541">
        <f>COUNTIF(AU1541:AY1541,"&lt;&gt;0")</f>
        <v>0</v>
      </c>
      <c r="BF1541">
        <f>COUNTIF(AO1541:AT1541,"&lt;&gt;0")</f>
        <v>0</v>
      </c>
      <c r="BG1541" t="str">
        <f t="array" ref="BG1541">IF(BA1541=1,INDEX($X$7:$AN$7,MATCH(TRUE,INDEX($X1541:$AY1541&lt;&gt;0,),0)),IF(BA1541=0,INDEX($AO$7:$AY$7,MATCH(1,$AO1541:$AY1541,0)),IF(BH1541="Multiple strategies","mixed drivers",IF(BH1541="Supply chain","multiple supply","multiple silviculture"))))</f>
        <v>technologies/design switch</v>
      </c>
      <c r="BH1541" s="2" t="str" cm="1">
        <f t="array" ref="BH1541">IF(COUNTIF(BB1541:BD1541,"&lt;&gt;0")=1,INDEX($X$4:$AY$4,MATCH(TRUE,INDEX($X1541:$AY1541&lt;&gt;0,),0)),IF(COUNTIF(BB1541:BD1541,"&lt;&gt;0")=0,INDEX($AO$4:$AY$4,MATCH(1,$AO1541:$AY1541,0)),"Multiple strategies"))</f>
        <v>Technology</v>
      </c>
      <c r="BI1541" s="1" t="s">
        <v>229</v>
      </c>
      <c r="BJ1541" t="s">
        <v>277</v>
      </c>
      <c r="BK1541" s="260" t="s">
        <v>2785</v>
      </c>
      <c r="BL1541" t="s">
        <v>278</v>
      </c>
      <c r="BM1541">
        <v>0</v>
      </c>
      <c r="BN1541">
        <v>196.41951018867931</v>
      </c>
      <c r="BP1541">
        <f>BN1541-BM1541</f>
        <v>196.41951018867931</v>
      </c>
      <c r="BQ1541">
        <f>BP1541*tC_to_m3</f>
        <v>852.88541115362273</v>
      </c>
      <c r="BR1541" t="s">
        <v>232</v>
      </c>
      <c r="BS1541" s="153" t="s">
        <v>2786</v>
      </c>
      <c r="BT1541" t="s">
        <v>279</v>
      </c>
      <c r="BU1541">
        <v>-601.12201901040225</v>
      </c>
      <c r="BV1541">
        <v>-930.07336759388943</v>
      </c>
      <c r="BW1541" s="144">
        <f>IFERROR(BV1541/BU1541,"")</f>
        <v>1.5472289122348633</v>
      </c>
      <c r="BX1541">
        <f>BV1541-BU1541</f>
        <v>-328.95134858348717</v>
      </c>
      <c r="BZ1541">
        <f>BX1541</f>
        <v>-328.95134858348717</v>
      </c>
      <c r="CA1541">
        <f>IFERROR(BZ1541/BQ1541,"")</f>
        <v>-0.38569231491314143</v>
      </c>
      <c r="CB1541">
        <v>0</v>
      </c>
      <c r="CC1541">
        <v>0</v>
      </c>
      <c r="CD1541">
        <v>0</v>
      </c>
      <c r="CE1541">
        <v>0</v>
      </c>
      <c r="CF1541">
        <v>0</v>
      </c>
      <c r="CG1541">
        <v>0</v>
      </c>
      <c r="CH1541">
        <v>0</v>
      </c>
      <c r="CI1541">
        <v>0</v>
      </c>
      <c r="CJ1541">
        <v>0</v>
      </c>
      <c r="CK1541">
        <v>0</v>
      </c>
      <c r="CL1541">
        <v>0</v>
      </c>
      <c r="CM1541">
        <v>0</v>
      </c>
      <c r="CN1541">
        <v>0</v>
      </c>
      <c r="CO1541">
        <v>0</v>
      </c>
      <c r="CP1541" t="str">
        <f>IF($BN1541&lt;$BM1541,"refNeedCorrection","refOK")</f>
        <v>refOK</v>
      </c>
      <c r="CQ1541">
        <f>IF($CP1541="refOK",$BM1541,$BN1541)</f>
        <v>0</v>
      </c>
      <c r="CR1541">
        <f>IF($CP1541="refOK",$BN1541,$BM1541)</f>
        <v>196.41951018867931</v>
      </c>
      <c r="CS1541">
        <f>IF($CP1541="refOK",$BQ1541,-$BQ1541)</f>
        <v>852.88541115362273</v>
      </c>
      <c r="CT1541">
        <f>IF(BI1541="Roundwood",$CS1541/2,$CS1541)</f>
        <v>852.88541115362273</v>
      </c>
      <c r="CU1541">
        <f>IF($CP1541="refOK",$BU1541,$BV1541)*IF($BR1541="Emissions positive",-1,1)</f>
        <v>-601.12201901040225</v>
      </c>
      <c r="CV1541">
        <f>IF($CP1541="refOK",$BV1541,$BU1541)*IF($BR1541="Emissions positive",-1,1)</f>
        <v>-930.07336759388943</v>
      </c>
      <c r="CW1541">
        <f>IF($CP1541="refNeedCorrection",-BZ1541,BZ1541)*IF($BR1541="Emissions positive",-1,1)</f>
        <v>-328.95134858348717</v>
      </c>
      <c r="CX1541">
        <f>IFERROR($CW1541/$CS1541,"")</f>
        <v>-0.38569231491314143</v>
      </c>
      <c r="CY1541">
        <f>IFERROR($CW1541/$CS1541,"")</f>
        <v>-0.38569231491314143</v>
      </c>
      <c r="CZ1541">
        <f>IFERROR($CW1541/$CT1541,"")</f>
        <v>-0.38569231491314143</v>
      </c>
      <c r="DA1541" s="2">
        <f>IFERROR((CV1541-CU1541)/ABS(CU1541),"")</f>
        <v>-0.54722891223486314</v>
      </c>
      <c r="DB1541" s="1" t="s">
        <v>234</v>
      </c>
      <c r="DC1541" t="str">
        <f>IF(OR($DB1541="prd",$DB1541="std",$DB1541="cit"),"loc",IF(OR($DB1541="eur",$DB1541="reg",$DB1541="coy"),"reg",$DB1541))</f>
        <v>loc</v>
      </c>
      <c r="DD1541" t="s">
        <v>280</v>
      </c>
      <c r="DG1541">
        <v>50</v>
      </c>
      <c r="DH1541" t="str">
        <f>IF(DG1541=0,"0",IF(AND(DG1541&gt;=1,DG1541&lt;=30),"1-30",IF(AND(DG1541&gt;30,DG1541&lt;=70),"31-70",IF(AND(DG1541&gt;70,DG1541&lt;=100),"71-100",IF(DG1541&gt;100,"+100")))))</f>
        <v>31-70</v>
      </c>
      <c r="DI1541">
        <v>0</v>
      </c>
      <c r="DJ1541">
        <v>1</v>
      </c>
      <c r="DK1541">
        <v>0</v>
      </c>
      <c r="DL1541">
        <v>0</v>
      </c>
      <c r="DN1541">
        <f>SUM(DI1541:DL1541)</f>
        <v>1</v>
      </c>
      <c r="DO1541" t="str">
        <f>IF(DN1541=1,INDEX($DI$7:$DL$7,MATCH(1,$DI1541:$DL1541,0)),"mixedProduct")</f>
        <v>EnergyInput</v>
      </c>
      <c r="DP1541">
        <f>IF(DI1541=1,DP$7,0)</f>
        <v>0</v>
      </c>
      <c r="DQ1541" t="str">
        <f>IF(DJ1541=1,DQ$7,0)</f>
        <v>Energy</v>
      </c>
      <c r="DR1541">
        <f>IF(DK1541=1,DR$7,0)</f>
        <v>0</v>
      </c>
      <c r="DS1541">
        <f>IF(DL1541=1,DS$7,0)</f>
        <v>0</v>
      </c>
      <c r="DT1541">
        <v>0</v>
      </c>
      <c r="DU1541">
        <v>1</v>
      </c>
      <c r="DV1541" t="s">
        <v>304</v>
      </c>
      <c r="DW1541">
        <v>0</v>
      </c>
      <c r="DX1541">
        <v>0</v>
      </c>
      <c r="DY1541">
        <f>SUM(DT1541:DU1541)</f>
        <v>1</v>
      </c>
      <c r="DZ1541" s="143" t="str">
        <f>IF(DT1541=1,"self-calculated DF",IF(DU1541=1,"external DF used","explicit C balance"))</f>
        <v>external DF used</v>
      </c>
      <c r="EA1541">
        <v>0</v>
      </c>
      <c r="EB1541">
        <v>1</v>
      </c>
      <c r="EC1541">
        <v>1</v>
      </c>
      <c r="ED1541">
        <v>1</v>
      </c>
      <c r="EE1541">
        <v>1</v>
      </c>
      <c r="EF1541" s="143">
        <v>0</v>
      </c>
      <c r="EG1541">
        <v>1</v>
      </c>
      <c r="EH1541">
        <v>1</v>
      </c>
      <c r="EI1541">
        <v>0</v>
      </c>
      <c r="EJ1541">
        <v>1</v>
      </c>
      <c r="EK1541">
        <v>1</v>
      </c>
      <c r="EL1541">
        <v>1</v>
      </c>
      <c r="EM1541">
        <v>0</v>
      </c>
      <c r="EN1541" s="2">
        <v>0</v>
      </c>
      <c r="EP1541" t="str">
        <f>IF(AND(AND(AND(OR($EC1541=1,$EB1541=1),OR($EH1541=1,$EF1541=1)),SUM($EA1541:$EE1541,$EK1541)&gt;=3),SUM($EF1541:$EJ1541)&gt;=2),"Whole sector approach","")</f>
        <v>Whole sector approach</v>
      </c>
      <c r="EQ1541" t="str">
        <f>IF(AND(AND(OR($EC1541=1,$EB1541=1),AND($EH1541=0,$EF1541=0)),SUM($EA1541:$EE1541,$EK1541)&gt;=4),"Ecosystem approach","")</f>
        <v/>
      </c>
      <c r="ER1541" s="2" t="str">
        <f>IF(AND(AND(AND($EC1541=0,$EB1541=0),OR($EH1541=1,$EF1541=1)),SUM($EG1541:$EJ1541)&gt;=2),"Technology approach","")</f>
        <v/>
      </c>
      <c r="ES1541" t="str">
        <f>IF(AND($EC1541+$EB1541+$EE1541+$EA1541+$ED1541+$EG1541=0,$N1541="included"),"C neutral forest and HWP assumption","")</f>
        <v/>
      </c>
      <c r="ET1541" t="str">
        <f>IF(AND(AND(AND(AND($EC1541=1,$EB1541+$EA1541+$EG1541&gt;=1),$EF1541=1),$EH1541+$EI1541+$ED1541+$EE1541&gt;=2),$N1541="included"),"All C pools assumption","")</f>
        <v/>
      </c>
      <c r="EU1541" t="str">
        <f>IF(AND($ED1541+$EE1541+$EI1541+$EH1541+$EF1541=0,$N1541="included"),"In-situ only assumption","")</f>
        <v/>
      </c>
      <c r="EY1541" t="str">
        <f>IF(ISNUMBER(BW1541),IF(ABS(BW1541-[2]QC_indicators!$B$2)&gt;3*[2]QC_indicators!$C$2,"C ratio",IF(ISNUMBER(CA1541),IF(ABS(CA1541-[2]QC_indicators!$B$1)&gt;3*[2]QC_indicators!$C$1,"DF","no"))),IF(ISNUMBER(CA1541),IF(ABS(CA1541-[2]QC_indicators!$B$1)&gt;3*[2]QC_indicators!$C$1,"DF","no")))</f>
        <v>no</v>
      </c>
      <c r="EZ1541" t="s">
        <v>286</v>
      </c>
      <c r="FA1541" t="str">
        <f>IF(LEN($CY1541)=0,"",IF(AND($CY1541&lt;(-0.05),$ES1541="C neutral forest and HWP assumption"),"Cneutral paradox",IF(AND($CY1541&gt;0.05,$EU1541="In-situ only assumption"),"In-situ only paradox","")))</f>
        <v/>
      </c>
      <c r="FD1541" s="260" t="s">
        <v>2948</v>
      </c>
    </row>
    <row r="1542" spans="1:160" ht="15" hidden="1" customHeight="1">
      <c r="A1542" s="1" t="s">
        <v>265</v>
      </c>
      <c r="B1542" t="s">
        <v>266</v>
      </c>
      <c r="C1542" t="s">
        <v>267</v>
      </c>
      <c r="D1542" t="s">
        <v>268</v>
      </c>
      <c r="E1542" t="s">
        <v>269</v>
      </c>
      <c r="F1542" t="s">
        <v>270</v>
      </c>
      <c r="G1542" t="s">
        <v>271</v>
      </c>
      <c r="H1542" t="s">
        <v>254</v>
      </c>
      <c r="I1542">
        <v>2022</v>
      </c>
      <c r="J1542">
        <v>0</v>
      </c>
      <c r="K1542" t="s">
        <v>272</v>
      </c>
      <c r="M1542" t="str">
        <f>LEFT($D1542,FIND(",",$D1542)-1)&amp;"_"&amp;I1542&amp;L1542</f>
        <v>Aryapratama_2022</v>
      </c>
      <c r="N1542" t="s">
        <v>222</v>
      </c>
      <c r="O1542" s="145" t="s">
        <v>274</v>
      </c>
      <c r="Q1542" t="s">
        <v>224</v>
      </c>
      <c r="R1542" s="258" t="s">
        <v>223</v>
      </c>
      <c r="S1542" s="259" t="s">
        <v>2784</v>
      </c>
      <c r="T1542" t="s">
        <v>328</v>
      </c>
      <c r="U1542" t="s">
        <v>320</v>
      </c>
      <c r="V1542" s="253">
        <v>0</v>
      </c>
      <c r="W1542" s="253">
        <v>0</v>
      </c>
      <c r="X1542">
        <v>0</v>
      </c>
      <c r="Y1542">
        <v>0</v>
      </c>
      <c r="Z1542">
        <v>0</v>
      </c>
      <c r="AA1542">
        <v>0</v>
      </c>
      <c r="AB1542">
        <v>0</v>
      </c>
      <c r="AC1542">
        <v>0</v>
      </c>
      <c r="AD1542">
        <v>0</v>
      </c>
      <c r="AE1542">
        <v>0</v>
      </c>
      <c r="AF1542">
        <v>0</v>
      </c>
      <c r="AG1542">
        <v>0</v>
      </c>
      <c r="AH1542">
        <v>0</v>
      </c>
      <c r="AI1542">
        <v>0</v>
      </c>
      <c r="AJ1542">
        <v>0</v>
      </c>
      <c r="AK1542">
        <v>0</v>
      </c>
      <c r="AL1542">
        <v>0</v>
      </c>
      <c r="AM1542">
        <v>1</v>
      </c>
      <c r="AN1542">
        <v>0</v>
      </c>
      <c r="AO1542">
        <v>0</v>
      </c>
      <c r="AP1542">
        <v>0</v>
      </c>
      <c r="AQ1542">
        <v>0</v>
      </c>
      <c r="AR1542">
        <v>0</v>
      </c>
      <c r="AS1542">
        <v>0</v>
      </c>
      <c r="AT1542">
        <v>0</v>
      </c>
      <c r="AU1542">
        <v>0</v>
      </c>
      <c r="AV1542">
        <v>0</v>
      </c>
      <c r="AW1542">
        <v>0</v>
      </c>
      <c r="AX1542">
        <v>0</v>
      </c>
      <c r="AY1542">
        <v>0</v>
      </c>
      <c r="AZ1542" s="141">
        <f>COUNTIF(X1542:AY1542,"&lt;&gt;0")</f>
        <v>1</v>
      </c>
      <c r="BA1542" s="141">
        <f>COUNTIF(X1542:AN1542,"&lt;&gt;0")</f>
        <v>1</v>
      </c>
      <c r="BB1542">
        <f>COUNTIF(X1542:AE1542,"&lt;&gt;0")</f>
        <v>0</v>
      </c>
      <c r="BC1542">
        <f>COUNTIF(AF1542:AK1542,"&lt;&gt;0")</f>
        <v>0</v>
      </c>
      <c r="BD1542">
        <f>COUNTIF(AL1542:AN1542,"&lt;&gt;0")</f>
        <v>1</v>
      </c>
      <c r="BE1542">
        <f>COUNTIF(AU1542:AY1542,"&lt;&gt;0")</f>
        <v>0</v>
      </c>
      <c r="BF1542">
        <f>COUNTIF(AO1542:AT1542,"&lt;&gt;0")</f>
        <v>0</v>
      </c>
      <c r="BG1542" t="str">
        <f t="array" ref="BG1542">IF(BA1542=1,INDEX($X$7:$AN$7,MATCH(TRUE,INDEX($X1542:$AY1542&lt;&gt;0,),0)),IF(BA1542=0,INDEX($AO$7:$AY$7,MATCH(1,$AO1542:$AY1542,0)),IF(BH1542="Multiple strategies","mixed drivers",IF(BH1542="Supply chain","multiple supply","multiple silviculture"))))</f>
        <v>technologies/design switch</v>
      </c>
      <c r="BH1542" s="2" t="str" cm="1">
        <f t="array" ref="BH1542">IF(COUNTIF(BB1542:BD1542,"&lt;&gt;0")=1,INDEX($X$4:$AY$4,MATCH(TRUE,INDEX($X1542:$AY1542&lt;&gt;0,),0)),IF(COUNTIF(BB1542:BD1542,"&lt;&gt;0")=0,INDEX($AO$4:$AY$4,MATCH(1,$AO1542:$AY1542,0)),"Multiple strategies"))</f>
        <v>Technology</v>
      </c>
      <c r="BI1542" s="1" t="s">
        <v>229</v>
      </c>
      <c r="BJ1542" t="s">
        <v>277</v>
      </c>
      <c r="BK1542" s="260" t="s">
        <v>2785</v>
      </c>
      <c r="BL1542" t="s">
        <v>278</v>
      </c>
      <c r="BM1542">
        <v>0</v>
      </c>
      <c r="BN1542">
        <v>180.77283018867931</v>
      </c>
      <c r="BP1542">
        <f>BN1542-BM1542</f>
        <v>180.77283018867931</v>
      </c>
      <c r="BQ1542">
        <f>BP1542*tC_to_m3</f>
        <v>784.94498562170781</v>
      </c>
      <c r="BR1542" t="s">
        <v>232</v>
      </c>
      <c r="BS1542" s="153" t="s">
        <v>2786</v>
      </c>
      <c r="BT1542" t="s">
        <v>279</v>
      </c>
      <c r="BU1542">
        <v>-184.68959838926031</v>
      </c>
      <c r="BV1542">
        <v>-448.98121307248744</v>
      </c>
      <c r="BW1542" s="144">
        <f>IFERROR(BV1542/BU1542,"")</f>
        <v>2.4310043282794624</v>
      </c>
      <c r="BX1542">
        <f>BV1542-BU1542</f>
        <v>-264.29161468322712</v>
      </c>
      <c r="BZ1542">
        <f>BX1542</f>
        <v>-264.29161468322712</v>
      </c>
      <c r="CA1542">
        <f>IFERROR(BZ1542/BQ1542,"")</f>
        <v>-0.33670081282689845</v>
      </c>
      <c r="CB1542">
        <v>0</v>
      </c>
      <c r="CC1542">
        <v>0</v>
      </c>
      <c r="CD1542">
        <v>0</v>
      </c>
      <c r="CE1542">
        <v>0</v>
      </c>
      <c r="CF1542">
        <v>0</v>
      </c>
      <c r="CG1542">
        <v>0</v>
      </c>
      <c r="CH1542">
        <v>0</v>
      </c>
      <c r="CI1542">
        <v>0</v>
      </c>
      <c r="CJ1542">
        <v>0</v>
      </c>
      <c r="CK1542">
        <v>0</v>
      </c>
      <c r="CL1542">
        <v>0</v>
      </c>
      <c r="CM1542">
        <v>0</v>
      </c>
      <c r="CN1542">
        <v>0</v>
      </c>
      <c r="CO1542">
        <v>0</v>
      </c>
      <c r="CP1542" t="str">
        <f>IF($BN1542&lt;$BM1542,"refNeedCorrection","refOK")</f>
        <v>refOK</v>
      </c>
      <c r="CQ1542">
        <f>IF($CP1542="refOK",$BM1542,$BN1542)</f>
        <v>0</v>
      </c>
      <c r="CR1542">
        <f>IF($CP1542="refOK",$BN1542,$BM1542)</f>
        <v>180.77283018867931</v>
      </c>
      <c r="CS1542">
        <f>IF($CP1542="refOK",$BQ1542,-$BQ1542)</f>
        <v>784.94498562170781</v>
      </c>
      <c r="CT1542">
        <f>IF(BI1542="Roundwood",$CS1542/2,$CS1542)</f>
        <v>784.94498562170781</v>
      </c>
      <c r="CU1542">
        <f>IF($CP1542="refOK",$BU1542,$BV1542)*IF($BR1542="Emissions positive",-1,1)</f>
        <v>-184.68959838926031</v>
      </c>
      <c r="CV1542">
        <f>IF($CP1542="refOK",$BV1542,$BU1542)*IF($BR1542="Emissions positive",-1,1)</f>
        <v>-448.98121307248744</v>
      </c>
      <c r="CW1542">
        <f>IF($CP1542="refNeedCorrection",-BZ1542,BZ1542)*IF($BR1542="Emissions positive",-1,1)</f>
        <v>-264.29161468322712</v>
      </c>
      <c r="CX1542">
        <f>IFERROR($CW1542/$CS1542,"")</f>
        <v>-0.33670081282689845</v>
      </c>
      <c r="CY1542">
        <f>IFERROR($CW1542/$CS1542,"")</f>
        <v>-0.33670081282689845</v>
      </c>
      <c r="CZ1542">
        <f>IFERROR($CW1542/$CT1542,"")</f>
        <v>-0.33670081282689845</v>
      </c>
      <c r="DA1542" s="2">
        <f>IFERROR((CV1542-CU1542)/ABS(CU1542),"")</f>
        <v>-1.4310043282794624</v>
      </c>
      <c r="DB1542" s="1" t="s">
        <v>234</v>
      </c>
      <c r="DC1542" t="str">
        <f>IF(OR($DB1542="prd",$DB1542="std",$DB1542="cit"),"loc",IF(OR($DB1542="eur",$DB1542="reg",$DB1542="coy"),"reg",$DB1542))</f>
        <v>loc</v>
      </c>
      <c r="DD1542" t="s">
        <v>280</v>
      </c>
      <c r="DG1542">
        <v>200</v>
      </c>
      <c r="DH1542" t="str">
        <f>IF(DG1542=0,"0",IF(AND(DG1542&gt;=1,DG1542&lt;=30),"1-30",IF(AND(DG1542&gt;30,DG1542&lt;=70),"31-70",IF(AND(DG1542&gt;70,DG1542&lt;=100),"71-100",IF(DG1542&gt;100,"+100")))))</f>
        <v>+100</v>
      </c>
      <c r="DI1542">
        <v>0</v>
      </c>
      <c r="DJ1542">
        <v>1</v>
      </c>
      <c r="DK1542">
        <v>0</v>
      </c>
      <c r="DL1542">
        <v>0</v>
      </c>
      <c r="DN1542">
        <f>SUM(DI1542:DL1542)</f>
        <v>1</v>
      </c>
      <c r="DO1542" t="str">
        <f>IF(DN1542=1,INDEX($DI$7:$DL$7,MATCH(1,$DI1542:$DL1542,0)),"mixedProduct")</f>
        <v>EnergyInput</v>
      </c>
      <c r="DP1542">
        <f>IF(DI1542=1,DP$7,0)</f>
        <v>0</v>
      </c>
      <c r="DQ1542" t="str">
        <f>IF(DJ1542=1,DQ$7,0)</f>
        <v>Energy</v>
      </c>
      <c r="DR1542">
        <f>IF(DK1542=1,DR$7,0)</f>
        <v>0</v>
      </c>
      <c r="DS1542">
        <f>IF(DL1542=1,DS$7,0)</f>
        <v>0</v>
      </c>
      <c r="DT1542">
        <v>0</v>
      </c>
      <c r="DU1542">
        <v>1</v>
      </c>
      <c r="DV1542" t="s">
        <v>304</v>
      </c>
      <c r="DW1542">
        <v>0</v>
      </c>
      <c r="DX1542">
        <v>0</v>
      </c>
      <c r="DY1542">
        <f>SUM(DT1542:DU1542)</f>
        <v>1</v>
      </c>
      <c r="DZ1542" s="143" t="str">
        <f>IF(DT1542=1,"self-calculated DF",IF(DU1542=1,"external DF used","explicit C balance"))</f>
        <v>external DF used</v>
      </c>
      <c r="EA1542">
        <v>0</v>
      </c>
      <c r="EB1542">
        <v>1</v>
      </c>
      <c r="EC1542">
        <v>1</v>
      </c>
      <c r="ED1542">
        <v>1</v>
      </c>
      <c r="EE1542">
        <v>1</v>
      </c>
      <c r="EF1542" s="143">
        <v>0</v>
      </c>
      <c r="EG1542">
        <v>1</v>
      </c>
      <c r="EH1542">
        <v>1</v>
      </c>
      <c r="EI1542">
        <v>0</v>
      </c>
      <c r="EJ1542">
        <v>1</v>
      </c>
      <c r="EK1542">
        <v>1</v>
      </c>
      <c r="EL1542">
        <v>1</v>
      </c>
      <c r="EM1542">
        <v>0</v>
      </c>
      <c r="EN1542" s="2">
        <v>0</v>
      </c>
      <c r="EP1542" t="str">
        <f>IF(AND(AND(AND(OR($EC1542=1,$EB1542=1),OR($EH1542=1,$EF1542=1)),SUM($EA1542:$EE1542,$EK1542)&gt;=3),SUM($EF1542:$EJ1542)&gt;=2),"Whole sector approach","")</f>
        <v>Whole sector approach</v>
      </c>
      <c r="EQ1542" t="str">
        <f>IF(AND(AND(OR($EC1542=1,$EB1542=1),AND($EH1542=0,$EF1542=0)),SUM($EA1542:$EE1542,$EK1542)&gt;=4),"Ecosystem approach","")</f>
        <v/>
      </c>
      <c r="ER1542" s="2" t="str">
        <f>IF(AND(AND(AND($EC1542=0,$EB1542=0),OR($EH1542=1,$EF1542=1)),SUM($EG1542:$EJ1542)&gt;=2),"Technology approach","")</f>
        <v/>
      </c>
      <c r="ES1542" t="str">
        <f>IF(AND($EC1542+$EB1542+$EE1542+$EA1542+$ED1542+$EG1542=0,$N1542="included"),"C neutral forest and HWP assumption","")</f>
        <v/>
      </c>
      <c r="ET1542" t="str">
        <f>IF(AND(AND(AND(AND($EC1542=1,$EB1542+$EA1542+$EG1542&gt;=1),$EF1542=1),$EH1542+$EI1542+$ED1542+$EE1542&gt;=2),$N1542="included"),"All C pools assumption","")</f>
        <v/>
      </c>
      <c r="EU1542" t="str">
        <f>IF(AND($ED1542+$EE1542+$EI1542+$EH1542+$EF1542=0,$N1542="included"),"In-situ only assumption","")</f>
        <v/>
      </c>
      <c r="EY1542" t="str">
        <f>IF(ISNUMBER(BW1542),IF(ABS(BW1542-[2]QC_indicators!$B$2)&gt;3*[2]QC_indicators!$C$2,"C ratio",IF(ISNUMBER(CA1542),IF(ABS(CA1542-[2]QC_indicators!$B$1)&gt;3*[2]QC_indicators!$C$1,"DF","no"))),IF(ISNUMBER(CA1542),IF(ABS(CA1542-[2]QC_indicators!$B$1)&gt;3*[2]QC_indicators!$C$1,"DF","no")))</f>
        <v>no</v>
      </c>
      <c r="EZ1542" t="s">
        <v>286</v>
      </c>
      <c r="FA1542" t="str">
        <f>IF(LEN($CY1542)=0,"",IF(AND($CY1542&lt;(-0.05),$ES1542="C neutral forest and HWP assumption"),"Cneutral paradox",IF(AND($CY1542&gt;0.05,$EU1542="In-situ only assumption"),"In-situ only paradox","")))</f>
        <v/>
      </c>
      <c r="FD1542" s="260" t="s">
        <v>2948</v>
      </c>
    </row>
    <row r="1543" spans="1:160" ht="15" hidden="1" customHeight="1">
      <c r="A1543" s="1" t="s">
        <v>265</v>
      </c>
      <c r="B1543" t="s">
        <v>266</v>
      </c>
      <c r="C1543" t="s">
        <v>267</v>
      </c>
      <c r="D1543" t="s">
        <v>268</v>
      </c>
      <c r="E1543" t="s">
        <v>269</v>
      </c>
      <c r="F1543" t="s">
        <v>270</v>
      </c>
      <c r="G1543" t="s">
        <v>271</v>
      </c>
      <c r="H1543" t="s">
        <v>254</v>
      </c>
      <c r="I1543">
        <v>2022</v>
      </c>
      <c r="J1543">
        <v>0</v>
      </c>
      <c r="K1543" t="s">
        <v>272</v>
      </c>
      <c r="M1543" t="str">
        <f>LEFT($D1543,FIND(",",$D1543)-1)&amp;"_"&amp;I1543&amp;L1543</f>
        <v>Aryapratama_2022</v>
      </c>
      <c r="N1543" t="s">
        <v>222</v>
      </c>
      <c r="O1543" s="145" t="s">
        <v>274</v>
      </c>
      <c r="Q1543" t="s">
        <v>224</v>
      </c>
      <c r="R1543" s="258" t="s">
        <v>223</v>
      </c>
      <c r="S1543" s="259" t="s">
        <v>2784</v>
      </c>
      <c r="T1543" t="s">
        <v>328</v>
      </c>
      <c r="U1543" t="s">
        <v>320</v>
      </c>
      <c r="V1543" s="253">
        <v>0</v>
      </c>
      <c r="W1543" s="253">
        <v>0</v>
      </c>
      <c r="X1543">
        <v>0</v>
      </c>
      <c r="Y1543">
        <v>0</v>
      </c>
      <c r="Z1543">
        <v>0</v>
      </c>
      <c r="AA1543">
        <v>0</v>
      </c>
      <c r="AB1543">
        <v>0</v>
      </c>
      <c r="AC1543">
        <v>0</v>
      </c>
      <c r="AD1543">
        <v>0</v>
      </c>
      <c r="AE1543">
        <v>0</v>
      </c>
      <c r="AF1543">
        <v>0</v>
      </c>
      <c r="AG1543">
        <v>0</v>
      </c>
      <c r="AH1543">
        <v>0</v>
      </c>
      <c r="AI1543">
        <v>0</v>
      </c>
      <c r="AJ1543">
        <v>0</v>
      </c>
      <c r="AK1543">
        <v>0</v>
      </c>
      <c r="AL1543">
        <v>0</v>
      </c>
      <c r="AM1543">
        <v>1</v>
      </c>
      <c r="AN1543">
        <v>0</v>
      </c>
      <c r="AO1543">
        <v>0</v>
      </c>
      <c r="AP1543">
        <v>0</v>
      </c>
      <c r="AQ1543">
        <v>0</v>
      </c>
      <c r="AR1543">
        <v>0</v>
      </c>
      <c r="AS1543">
        <v>0</v>
      </c>
      <c r="AT1543">
        <v>0</v>
      </c>
      <c r="AU1543">
        <v>0</v>
      </c>
      <c r="AV1543">
        <v>0</v>
      </c>
      <c r="AW1543">
        <v>0</v>
      </c>
      <c r="AX1543">
        <v>0</v>
      </c>
      <c r="AY1543">
        <v>0</v>
      </c>
      <c r="AZ1543" s="141">
        <f>COUNTIF(X1543:AY1543,"&lt;&gt;0")</f>
        <v>1</v>
      </c>
      <c r="BA1543" s="141">
        <f>COUNTIF(X1543:AN1543,"&lt;&gt;0")</f>
        <v>1</v>
      </c>
      <c r="BB1543">
        <f>COUNTIF(X1543:AE1543,"&lt;&gt;0")</f>
        <v>0</v>
      </c>
      <c r="BC1543">
        <f>COUNTIF(AF1543:AK1543,"&lt;&gt;0")</f>
        <v>0</v>
      </c>
      <c r="BD1543">
        <f>COUNTIF(AL1543:AN1543,"&lt;&gt;0")</f>
        <v>1</v>
      </c>
      <c r="BE1543">
        <f>COUNTIF(AU1543:AY1543,"&lt;&gt;0")</f>
        <v>0</v>
      </c>
      <c r="BF1543">
        <f>COUNTIF(AO1543:AT1543,"&lt;&gt;0")</f>
        <v>0</v>
      </c>
      <c r="BG1543" t="str">
        <f t="array" ref="BG1543">IF(BA1543=1,INDEX($X$7:$AN$7,MATCH(TRUE,INDEX($X1543:$AY1543&lt;&gt;0,),0)),IF(BA1543=0,INDEX($AO$7:$AY$7,MATCH(1,$AO1543:$AY1543,0)),IF(BH1543="Multiple strategies","mixed drivers",IF(BH1543="Supply chain","multiple supply","multiple silviculture"))))</f>
        <v>technologies/design switch</v>
      </c>
      <c r="BH1543" s="2" t="str" cm="1">
        <f t="array" ref="BH1543">IF(COUNTIF(BB1543:BD1543,"&lt;&gt;0")=1,INDEX($X$4:$AY$4,MATCH(TRUE,INDEX($X1543:$AY1543&lt;&gt;0,),0)),IF(COUNTIF(BB1543:BD1543,"&lt;&gt;0")=0,INDEX($AO$4:$AY$4,MATCH(1,$AO1543:$AY1543,0)),"Multiple strategies"))</f>
        <v>Technology</v>
      </c>
      <c r="BI1543" s="1" t="s">
        <v>229</v>
      </c>
      <c r="BJ1543" t="s">
        <v>277</v>
      </c>
      <c r="BK1543" s="260" t="s">
        <v>2785</v>
      </c>
      <c r="BL1543" t="s">
        <v>278</v>
      </c>
      <c r="BM1543">
        <v>0</v>
      </c>
      <c r="BN1543">
        <v>180.77283018867931</v>
      </c>
      <c r="BP1543">
        <f>BN1543-BM1543</f>
        <v>180.77283018867931</v>
      </c>
      <c r="BQ1543">
        <f>BP1543*tC_to_m3</f>
        <v>784.94498562170781</v>
      </c>
      <c r="BR1543" t="s">
        <v>232</v>
      </c>
      <c r="BS1543" s="153" t="s">
        <v>2786</v>
      </c>
      <c r="BT1543" t="s">
        <v>279</v>
      </c>
      <c r="BU1543">
        <v>-389.94196865720068</v>
      </c>
      <c r="BV1543">
        <v>-588.42624598329485</v>
      </c>
      <c r="BW1543" s="144">
        <f>IFERROR(BV1543/BU1543,"")</f>
        <v>1.5090097842240273</v>
      </c>
      <c r="BX1543">
        <f>BV1543-BU1543</f>
        <v>-198.48427732609417</v>
      </c>
      <c r="BZ1543">
        <f>BX1543</f>
        <v>-198.48427732609417</v>
      </c>
      <c r="CA1543">
        <f>IFERROR(BZ1543/BQ1543,"")</f>
        <v>-0.25286393436717947</v>
      </c>
      <c r="CB1543">
        <v>0</v>
      </c>
      <c r="CC1543">
        <v>0</v>
      </c>
      <c r="CD1543">
        <v>0</v>
      </c>
      <c r="CE1543">
        <v>0</v>
      </c>
      <c r="CF1543">
        <v>0</v>
      </c>
      <c r="CG1543">
        <v>0</v>
      </c>
      <c r="CH1543">
        <v>0</v>
      </c>
      <c r="CI1543">
        <v>0</v>
      </c>
      <c r="CJ1543">
        <v>0</v>
      </c>
      <c r="CK1543">
        <v>0</v>
      </c>
      <c r="CL1543">
        <v>0</v>
      </c>
      <c r="CM1543">
        <v>0</v>
      </c>
      <c r="CN1543">
        <v>0</v>
      </c>
      <c r="CO1543">
        <v>0</v>
      </c>
      <c r="CP1543" t="str">
        <f>IF($BN1543&lt;$BM1543,"refNeedCorrection","refOK")</f>
        <v>refOK</v>
      </c>
      <c r="CQ1543">
        <f>IF($CP1543="refOK",$BM1543,$BN1543)</f>
        <v>0</v>
      </c>
      <c r="CR1543">
        <f>IF($CP1543="refOK",$BN1543,$BM1543)</f>
        <v>180.77283018867931</v>
      </c>
      <c r="CS1543">
        <f>IF($CP1543="refOK",$BQ1543,-$BQ1543)</f>
        <v>784.94498562170781</v>
      </c>
      <c r="CT1543">
        <f>IF(BI1543="Roundwood",$CS1543/2,$CS1543)</f>
        <v>784.94498562170781</v>
      </c>
      <c r="CU1543">
        <f>IF($CP1543="refOK",$BU1543,$BV1543)*IF($BR1543="Emissions positive",-1,1)</f>
        <v>-389.94196865720068</v>
      </c>
      <c r="CV1543">
        <f>IF($CP1543="refOK",$BV1543,$BU1543)*IF($BR1543="Emissions positive",-1,1)</f>
        <v>-588.42624598329485</v>
      </c>
      <c r="CW1543">
        <f>IF($CP1543="refNeedCorrection",-BZ1543,BZ1543)*IF($BR1543="Emissions positive",-1,1)</f>
        <v>-198.48427732609417</v>
      </c>
      <c r="CX1543">
        <f>IFERROR($CW1543/$CS1543,"")</f>
        <v>-0.25286393436717947</v>
      </c>
      <c r="CY1543">
        <f>IFERROR($CW1543/$CS1543,"")</f>
        <v>-0.25286393436717947</v>
      </c>
      <c r="CZ1543">
        <f>IFERROR($CW1543/$CT1543,"")</f>
        <v>-0.25286393436717947</v>
      </c>
      <c r="DA1543" s="2">
        <f>IFERROR((CV1543-CU1543)/ABS(CU1543),"")</f>
        <v>-0.50900978422402743</v>
      </c>
      <c r="DB1543" s="1" t="s">
        <v>234</v>
      </c>
      <c r="DC1543" t="str">
        <f>IF(OR($DB1543="prd",$DB1543="std",$DB1543="cit"),"loc",IF(OR($DB1543="eur",$DB1543="reg",$DB1543="coy"),"reg",$DB1543))</f>
        <v>loc</v>
      </c>
      <c r="DD1543" t="s">
        <v>280</v>
      </c>
      <c r="DG1543">
        <v>100</v>
      </c>
      <c r="DH1543" t="str">
        <f>IF(DG1543=0,"0",IF(AND(DG1543&gt;=1,DG1543&lt;=30),"1-30",IF(AND(DG1543&gt;30,DG1543&lt;=70),"31-70",IF(AND(DG1543&gt;70,DG1543&lt;=100),"71-100",IF(DG1543&gt;100,"+100")))))</f>
        <v>71-100</v>
      </c>
      <c r="DI1543">
        <v>0</v>
      </c>
      <c r="DJ1543">
        <v>1</v>
      </c>
      <c r="DK1543">
        <v>0</v>
      </c>
      <c r="DL1543">
        <v>0</v>
      </c>
      <c r="DN1543">
        <f>SUM(DI1543:DL1543)</f>
        <v>1</v>
      </c>
      <c r="DO1543" t="str">
        <f>IF(DN1543=1,INDEX($DI$7:$DL$7,MATCH(1,$DI1543:$DL1543,0)),"mixedProduct")</f>
        <v>EnergyInput</v>
      </c>
      <c r="DP1543">
        <f>IF(DI1543=1,DP$7,0)</f>
        <v>0</v>
      </c>
      <c r="DQ1543" t="str">
        <f>IF(DJ1543=1,DQ$7,0)</f>
        <v>Energy</v>
      </c>
      <c r="DR1543">
        <f>IF(DK1543=1,DR$7,0)</f>
        <v>0</v>
      </c>
      <c r="DS1543">
        <f>IF(DL1543=1,DS$7,0)</f>
        <v>0</v>
      </c>
      <c r="DT1543">
        <v>0</v>
      </c>
      <c r="DU1543">
        <v>1</v>
      </c>
      <c r="DV1543" t="s">
        <v>304</v>
      </c>
      <c r="DW1543">
        <v>0</v>
      </c>
      <c r="DX1543">
        <v>0</v>
      </c>
      <c r="DY1543">
        <f>SUM(DT1543:DU1543)</f>
        <v>1</v>
      </c>
      <c r="DZ1543" s="143" t="str">
        <f>IF(DT1543=1,"self-calculated DF",IF(DU1543=1,"external DF used","explicit C balance"))</f>
        <v>external DF used</v>
      </c>
      <c r="EA1543">
        <v>0</v>
      </c>
      <c r="EB1543">
        <v>1</v>
      </c>
      <c r="EC1543">
        <v>1</v>
      </c>
      <c r="ED1543">
        <v>1</v>
      </c>
      <c r="EE1543">
        <v>1</v>
      </c>
      <c r="EF1543" s="143">
        <v>0</v>
      </c>
      <c r="EG1543">
        <v>1</v>
      </c>
      <c r="EH1543">
        <v>1</v>
      </c>
      <c r="EI1543">
        <v>0</v>
      </c>
      <c r="EJ1543">
        <v>1</v>
      </c>
      <c r="EK1543">
        <v>1</v>
      </c>
      <c r="EL1543">
        <v>1</v>
      </c>
      <c r="EM1543">
        <v>0</v>
      </c>
      <c r="EN1543" s="2">
        <v>0</v>
      </c>
      <c r="EP1543" t="str">
        <f>IF(AND(AND(AND(OR($EC1543=1,$EB1543=1),OR($EH1543=1,$EF1543=1)),SUM($EA1543:$EE1543,$EK1543)&gt;=3),SUM($EF1543:$EJ1543)&gt;=2),"Whole sector approach","")</f>
        <v>Whole sector approach</v>
      </c>
      <c r="EQ1543" t="str">
        <f>IF(AND(AND(OR($EC1543=1,$EB1543=1),AND($EH1543=0,$EF1543=0)),SUM($EA1543:$EE1543,$EK1543)&gt;=4),"Ecosystem approach","")</f>
        <v/>
      </c>
      <c r="ER1543" s="2" t="str">
        <f>IF(AND(AND(AND($EC1543=0,$EB1543=0),OR($EH1543=1,$EF1543=1)),SUM($EG1543:$EJ1543)&gt;=2),"Technology approach","")</f>
        <v/>
      </c>
      <c r="ES1543" t="str">
        <f>IF(AND($EC1543+$EB1543+$EE1543+$EA1543+$ED1543+$EG1543=0,$N1543="included"),"C neutral forest and HWP assumption","")</f>
        <v/>
      </c>
      <c r="ET1543" t="str">
        <f>IF(AND(AND(AND(AND($EC1543=1,$EB1543+$EA1543+$EG1543&gt;=1),$EF1543=1),$EH1543+$EI1543+$ED1543+$EE1543&gt;=2),$N1543="included"),"All C pools assumption","")</f>
        <v/>
      </c>
      <c r="EU1543" t="str">
        <f>IF(AND($ED1543+$EE1543+$EI1543+$EH1543+$EF1543=0,$N1543="included"),"In-situ only assumption","")</f>
        <v/>
      </c>
      <c r="EY1543" t="str">
        <f>IF(ISNUMBER(BW1543),IF(ABS(BW1543-[2]QC_indicators!$B$2)&gt;3*[2]QC_indicators!$C$2,"C ratio",IF(ISNUMBER(CA1543),IF(ABS(CA1543-[2]QC_indicators!$B$1)&gt;3*[2]QC_indicators!$C$1,"DF","no"))),IF(ISNUMBER(CA1543),IF(ABS(CA1543-[2]QC_indicators!$B$1)&gt;3*[2]QC_indicators!$C$1,"DF","no")))</f>
        <v>no</v>
      </c>
      <c r="EZ1543" t="s">
        <v>286</v>
      </c>
      <c r="FA1543" t="str">
        <f>IF(LEN($CY1543)=0,"",IF(AND($CY1543&lt;(-0.05),$ES1543="C neutral forest and HWP assumption"),"Cneutral paradox",IF(AND($CY1543&gt;0.05,$EU1543="In-situ only assumption"),"In-situ only paradox","")))</f>
        <v/>
      </c>
      <c r="FD1543" s="260" t="s">
        <v>2948</v>
      </c>
    </row>
    <row r="1544" spans="1:160" ht="15" hidden="1" customHeight="1">
      <c r="A1544" s="1" t="s">
        <v>265</v>
      </c>
      <c r="B1544" t="s">
        <v>266</v>
      </c>
      <c r="C1544" t="s">
        <v>267</v>
      </c>
      <c r="D1544" t="s">
        <v>268</v>
      </c>
      <c r="E1544" t="s">
        <v>269</v>
      </c>
      <c r="F1544" t="s">
        <v>270</v>
      </c>
      <c r="G1544" t="s">
        <v>271</v>
      </c>
      <c r="H1544" t="s">
        <v>254</v>
      </c>
      <c r="I1544">
        <v>2022</v>
      </c>
      <c r="J1544">
        <v>0</v>
      </c>
      <c r="K1544" t="s">
        <v>272</v>
      </c>
      <c r="M1544" t="str">
        <f>LEFT($D1544,FIND(",",$D1544)-1)&amp;"_"&amp;I1544&amp;L1544</f>
        <v>Aryapratama_2022</v>
      </c>
      <c r="N1544" t="s">
        <v>222</v>
      </c>
      <c r="O1544" s="145" t="s">
        <v>274</v>
      </c>
      <c r="Q1544" t="s">
        <v>224</v>
      </c>
      <c r="R1544" s="258" t="s">
        <v>223</v>
      </c>
      <c r="S1544" s="259" t="s">
        <v>2784</v>
      </c>
      <c r="T1544" t="s">
        <v>328</v>
      </c>
      <c r="U1544" t="s">
        <v>320</v>
      </c>
      <c r="V1544" s="253">
        <v>0</v>
      </c>
      <c r="W1544" s="253">
        <v>0</v>
      </c>
      <c r="X1544">
        <v>0</v>
      </c>
      <c r="Y1544">
        <v>0</v>
      </c>
      <c r="Z1544">
        <v>0</v>
      </c>
      <c r="AA1544">
        <v>0</v>
      </c>
      <c r="AB1544">
        <v>0</v>
      </c>
      <c r="AC1544">
        <v>0</v>
      </c>
      <c r="AD1544">
        <v>0</v>
      </c>
      <c r="AE1544">
        <v>0</v>
      </c>
      <c r="AF1544">
        <v>0</v>
      </c>
      <c r="AG1544">
        <v>0</v>
      </c>
      <c r="AH1544">
        <v>0</v>
      </c>
      <c r="AI1544">
        <v>0</v>
      </c>
      <c r="AJ1544">
        <v>0</v>
      </c>
      <c r="AK1544">
        <v>0</v>
      </c>
      <c r="AL1544">
        <v>0</v>
      </c>
      <c r="AM1544">
        <v>1</v>
      </c>
      <c r="AN1544">
        <v>0</v>
      </c>
      <c r="AO1544">
        <v>0</v>
      </c>
      <c r="AP1544">
        <v>0</v>
      </c>
      <c r="AQ1544">
        <v>0</v>
      </c>
      <c r="AR1544">
        <v>0</v>
      </c>
      <c r="AS1544">
        <v>0</v>
      </c>
      <c r="AT1544">
        <v>0</v>
      </c>
      <c r="AU1544">
        <v>0</v>
      </c>
      <c r="AV1544">
        <v>0</v>
      </c>
      <c r="AW1544">
        <v>0</v>
      </c>
      <c r="AX1544">
        <v>0</v>
      </c>
      <c r="AY1544">
        <v>0</v>
      </c>
      <c r="AZ1544" s="141">
        <f>COUNTIF(X1544:AY1544,"&lt;&gt;0")</f>
        <v>1</v>
      </c>
      <c r="BA1544" s="141">
        <f>COUNTIF(X1544:AN1544,"&lt;&gt;0")</f>
        <v>1</v>
      </c>
      <c r="BB1544">
        <f>COUNTIF(X1544:AE1544,"&lt;&gt;0")</f>
        <v>0</v>
      </c>
      <c r="BC1544">
        <f>COUNTIF(AF1544:AK1544,"&lt;&gt;0")</f>
        <v>0</v>
      </c>
      <c r="BD1544">
        <f>COUNTIF(AL1544:AN1544,"&lt;&gt;0")</f>
        <v>1</v>
      </c>
      <c r="BE1544">
        <f>COUNTIF(AU1544:AY1544,"&lt;&gt;0")</f>
        <v>0</v>
      </c>
      <c r="BF1544">
        <f>COUNTIF(AO1544:AT1544,"&lt;&gt;0")</f>
        <v>0</v>
      </c>
      <c r="BG1544" t="str">
        <f t="array" ref="BG1544">IF(BA1544=1,INDEX($X$7:$AN$7,MATCH(TRUE,INDEX($X1544:$AY1544&lt;&gt;0,),0)),IF(BA1544=0,INDEX($AO$7:$AY$7,MATCH(1,$AO1544:$AY1544,0)),IF(BH1544="Multiple strategies","mixed drivers",IF(BH1544="Supply chain","multiple supply","multiple silviculture"))))</f>
        <v>technologies/design switch</v>
      </c>
      <c r="BH1544" s="2" t="str" cm="1">
        <f t="array" ref="BH1544">IF(COUNTIF(BB1544:BD1544,"&lt;&gt;0")=1,INDEX($X$4:$AY$4,MATCH(TRUE,INDEX($X1544:$AY1544&lt;&gt;0,),0)),IF(COUNTIF(BB1544:BD1544,"&lt;&gt;0")=0,INDEX($AO$4:$AY$4,MATCH(1,$AO1544:$AY1544,0)),"Multiple strategies"))</f>
        <v>Technology</v>
      </c>
      <c r="BI1544" s="1" t="s">
        <v>229</v>
      </c>
      <c r="BJ1544" t="s">
        <v>277</v>
      </c>
      <c r="BK1544" s="260" t="s">
        <v>2785</v>
      </c>
      <c r="BL1544" t="s">
        <v>278</v>
      </c>
      <c r="BM1544">
        <v>0</v>
      </c>
      <c r="BN1544">
        <v>180.77283018867931</v>
      </c>
      <c r="BP1544">
        <f>BN1544-BM1544</f>
        <v>180.77283018867931</v>
      </c>
      <c r="BQ1544">
        <f>BP1544*tC_to_m3</f>
        <v>784.94498562170781</v>
      </c>
      <c r="BR1544" t="s">
        <v>232</v>
      </c>
      <c r="BS1544" s="153" t="s">
        <v>2786</v>
      </c>
      <c r="BT1544" t="s">
        <v>279</v>
      </c>
      <c r="BU1544">
        <v>-492.14170694588267</v>
      </c>
      <c r="BV1544">
        <v>-683.46368424028469</v>
      </c>
      <c r="BW1544" s="144">
        <f>IFERROR(BV1544/BU1544,"")</f>
        <v>1.3887538377547837</v>
      </c>
      <c r="BX1544">
        <f>BV1544-BU1544</f>
        <v>-191.32197729440202</v>
      </c>
      <c r="BZ1544">
        <f>BX1544</f>
        <v>-191.32197729440202</v>
      </c>
      <c r="CA1544">
        <f>IFERROR(BZ1544/BQ1544,"")</f>
        <v>-0.24373934581270987</v>
      </c>
      <c r="CB1544">
        <v>0</v>
      </c>
      <c r="CC1544">
        <v>0</v>
      </c>
      <c r="CD1544">
        <v>0</v>
      </c>
      <c r="CE1544">
        <v>0</v>
      </c>
      <c r="CF1544">
        <v>0</v>
      </c>
      <c r="CG1544">
        <v>0</v>
      </c>
      <c r="CH1544">
        <v>0</v>
      </c>
      <c r="CI1544">
        <v>0</v>
      </c>
      <c r="CJ1544">
        <v>0</v>
      </c>
      <c r="CK1544">
        <v>0</v>
      </c>
      <c r="CL1544">
        <v>0</v>
      </c>
      <c r="CM1544">
        <v>0</v>
      </c>
      <c r="CN1544">
        <v>0</v>
      </c>
      <c r="CO1544">
        <v>0</v>
      </c>
      <c r="CP1544" t="str">
        <f>IF($BN1544&lt;$BM1544,"refNeedCorrection","refOK")</f>
        <v>refOK</v>
      </c>
      <c r="CQ1544">
        <f>IF($CP1544="refOK",$BM1544,$BN1544)</f>
        <v>0</v>
      </c>
      <c r="CR1544">
        <f>IF($CP1544="refOK",$BN1544,$BM1544)</f>
        <v>180.77283018867931</v>
      </c>
      <c r="CS1544">
        <f>IF($CP1544="refOK",$BQ1544,-$BQ1544)</f>
        <v>784.94498562170781</v>
      </c>
      <c r="CT1544">
        <f>IF(BI1544="Roundwood",$CS1544/2,$CS1544)</f>
        <v>784.94498562170781</v>
      </c>
      <c r="CU1544">
        <f>IF($CP1544="refOK",$BU1544,$BV1544)*IF($BR1544="Emissions positive",-1,1)</f>
        <v>-492.14170694588267</v>
      </c>
      <c r="CV1544">
        <f>IF($CP1544="refOK",$BV1544,$BU1544)*IF($BR1544="Emissions positive",-1,1)</f>
        <v>-683.46368424028469</v>
      </c>
      <c r="CW1544">
        <f>IF($CP1544="refNeedCorrection",-BZ1544,BZ1544)*IF($BR1544="Emissions positive",-1,1)</f>
        <v>-191.32197729440202</v>
      </c>
      <c r="CX1544">
        <f>IFERROR($CW1544/$CS1544,"")</f>
        <v>-0.24373934581270987</v>
      </c>
      <c r="CY1544">
        <f>IFERROR($CW1544/$CS1544,"")</f>
        <v>-0.24373934581270987</v>
      </c>
      <c r="CZ1544">
        <f>IFERROR($CW1544/$CT1544,"")</f>
        <v>-0.24373934581270987</v>
      </c>
      <c r="DA1544" s="2">
        <f>IFERROR((CV1544-CU1544)/ABS(CU1544),"")</f>
        <v>-0.38875383775478378</v>
      </c>
      <c r="DB1544" s="1" t="s">
        <v>234</v>
      </c>
      <c r="DC1544" t="str">
        <f>IF(OR($DB1544="prd",$DB1544="std",$DB1544="cit"),"loc",IF(OR($DB1544="eur",$DB1544="reg",$DB1544="coy"),"reg",$DB1544))</f>
        <v>loc</v>
      </c>
      <c r="DD1544" t="s">
        <v>280</v>
      </c>
      <c r="DG1544">
        <v>50</v>
      </c>
      <c r="DH1544" t="str">
        <f>IF(DG1544=0,"0",IF(AND(DG1544&gt;=1,DG1544&lt;=30),"1-30",IF(AND(DG1544&gt;30,DG1544&lt;=70),"31-70",IF(AND(DG1544&gt;70,DG1544&lt;=100),"71-100",IF(DG1544&gt;100,"+100")))))</f>
        <v>31-70</v>
      </c>
      <c r="DI1544">
        <v>0</v>
      </c>
      <c r="DJ1544">
        <v>1</v>
      </c>
      <c r="DK1544">
        <v>0</v>
      </c>
      <c r="DL1544">
        <v>0</v>
      </c>
      <c r="DN1544">
        <f>SUM(DI1544:DL1544)</f>
        <v>1</v>
      </c>
      <c r="DO1544" t="str">
        <f>IF(DN1544=1,INDEX($DI$7:$DL$7,MATCH(1,$DI1544:$DL1544,0)),"mixedProduct")</f>
        <v>EnergyInput</v>
      </c>
      <c r="DP1544">
        <f>IF(DI1544=1,DP$7,0)</f>
        <v>0</v>
      </c>
      <c r="DQ1544" t="str">
        <f>IF(DJ1544=1,DQ$7,0)</f>
        <v>Energy</v>
      </c>
      <c r="DR1544">
        <f>IF(DK1544=1,DR$7,0)</f>
        <v>0</v>
      </c>
      <c r="DS1544">
        <f>IF(DL1544=1,DS$7,0)</f>
        <v>0</v>
      </c>
      <c r="DT1544">
        <v>0</v>
      </c>
      <c r="DU1544">
        <v>1</v>
      </c>
      <c r="DV1544" t="s">
        <v>304</v>
      </c>
      <c r="DW1544">
        <v>0</v>
      </c>
      <c r="DX1544">
        <v>0</v>
      </c>
      <c r="DY1544">
        <f>SUM(DT1544:DU1544)</f>
        <v>1</v>
      </c>
      <c r="DZ1544" s="143" t="str">
        <f>IF(DT1544=1,"self-calculated DF",IF(DU1544=1,"external DF used","explicit C balance"))</f>
        <v>external DF used</v>
      </c>
      <c r="EA1544">
        <v>0</v>
      </c>
      <c r="EB1544">
        <v>1</v>
      </c>
      <c r="EC1544">
        <v>1</v>
      </c>
      <c r="ED1544">
        <v>1</v>
      </c>
      <c r="EE1544">
        <v>1</v>
      </c>
      <c r="EF1544" s="143">
        <v>0</v>
      </c>
      <c r="EG1544">
        <v>1</v>
      </c>
      <c r="EH1544">
        <v>1</v>
      </c>
      <c r="EI1544">
        <v>0</v>
      </c>
      <c r="EJ1544">
        <v>1</v>
      </c>
      <c r="EK1544">
        <v>1</v>
      </c>
      <c r="EL1544">
        <v>1</v>
      </c>
      <c r="EM1544">
        <v>0</v>
      </c>
      <c r="EN1544" s="2">
        <v>0</v>
      </c>
      <c r="EP1544" t="str">
        <f>IF(AND(AND(AND(OR($EC1544=1,$EB1544=1),OR($EH1544=1,$EF1544=1)),SUM($EA1544:$EE1544,$EK1544)&gt;=3),SUM($EF1544:$EJ1544)&gt;=2),"Whole sector approach","")</f>
        <v>Whole sector approach</v>
      </c>
      <c r="EQ1544" t="str">
        <f>IF(AND(AND(OR($EC1544=1,$EB1544=1),AND($EH1544=0,$EF1544=0)),SUM($EA1544:$EE1544,$EK1544)&gt;=4),"Ecosystem approach","")</f>
        <v/>
      </c>
      <c r="ER1544" s="2" t="str">
        <f>IF(AND(AND(AND($EC1544=0,$EB1544=0),OR($EH1544=1,$EF1544=1)),SUM($EG1544:$EJ1544)&gt;=2),"Technology approach","")</f>
        <v/>
      </c>
      <c r="ES1544" t="str">
        <f>IF(AND($EC1544+$EB1544+$EE1544+$EA1544+$ED1544+$EG1544=0,$N1544="included"),"C neutral forest and HWP assumption","")</f>
        <v/>
      </c>
      <c r="ET1544" t="str">
        <f>IF(AND(AND(AND(AND($EC1544=1,$EB1544+$EA1544+$EG1544&gt;=1),$EF1544=1),$EH1544+$EI1544+$ED1544+$EE1544&gt;=2),$N1544="included"),"All C pools assumption","")</f>
        <v/>
      </c>
      <c r="EU1544" t="str">
        <f>IF(AND($ED1544+$EE1544+$EI1544+$EH1544+$EF1544=0,$N1544="included"),"In-situ only assumption","")</f>
        <v/>
      </c>
      <c r="EY1544" t="str">
        <f>IF(ISNUMBER(BW1544),IF(ABS(BW1544-[2]QC_indicators!$B$2)&gt;3*[2]QC_indicators!$C$2,"C ratio",IF(ISNUMBER(CA1544),IF(ABS(CA1544-[2]QC_indicators!$B$1)&gt;3*[2]QC_indicators!$C$1,"DF","no"))),IF(ISNUMBER(CA1544),IF(ABS(CA1544-[2]QC_indicators!$B$1)&gt;3*[2]QC_indicators!$C$1,"DF","no")))</f>
        <v>no</v>
      </c>
      <c r="EZ1544" t="s">
        <v>286</v>
      </c>
      <c r="FA1544" t="str">
        <f>IF(LEN($CY1544)=0,"",IF(AND($CY1544&lt;(-0.05),$ES1544="C neutral forest and HWP assumption"),"Cneutral paradox",IF(AND($CY1544&gt;0.05,$EU1544="In-situ only assumption"),"In-situ only paradox","")))</f>
        <v/>
      </c>
      <c r="FD1544" s="260" t="s">
        <v>2948</v>
      </c>
    </row>
    <row r="1545" spans="1:160" ht="15" hidden="1" customHeight="1">
      <c r="A1545" s="1" t="s">
        <v>265</v>
      </c>
      <c r="B1545" t="s">
        <v>266</v>
      </c>
      <c r="C1545" t="s">
        <v>267</v>
      </c>
      <c r="D1545" t="s">
        <v>268</v>
      </c>
      <c r="E1545" t="s">
        <v>269</v>
      </c>
      <c r="F1545" t="s">
        <v>270</v>
      </c>
      <c r="G1545" t="s">
        <v>271</v>
      </c>
      <c r="H1545" t="s">
        <v>254</v>
      </c>
      <c r="I1545">
        <v>2022</v>
      </c>
      <c r="J1545">
        <v>0</v>
      </c>
      <c r="K1545" t="s">
        <v>272</v>
      </c>
      <c r="M1545" t="str">
        <f>LEFT($D1545,FIND(",",$D1545)-1)&amp;"_"&amp;I1545&amp;L1545</f>
        <v>Aryapratama_2022</v>
      </c>
      <c r="N1545" t="s">
        <v>222</v>
      </c>
      <c r="O1545" s="145" t="s">
        <v>274</v>
      </c>
      <c r="Q1545" t="s">
        <v>224</v>
      </c>
      <c r="R1545" s="258" t="s">
        <v>223</v>
      </c>
      <c r="S1545" s="259" t="s">
        <v>2784</v>
      </c>
      <c r="T1545" t="s">
        <v>329</v>
      </c>
      <c r="U1545" t="s">
        <v>330</v>
      </c>
      <c r="V1545" s="253">
        <v>0</v>
      </c>
      <c r="W1545" s="253">
        <v>0</v>
      </c>
      <c r="X1545">
        <v>0</v>
      </c>
      <c r="Y1545">
        <v>0</v>
      </c>
      <c r="Z1545">
        <v>0</v>
      </c>
      <c r="AA1545">
        <v>0</v>
      </c>
      <c r="AB1545">
        <v>0</v>
      </c>
      <c r="AC1545">
        <v>0</v>
      </c>
      <c r="AD1545">
        <v>0</v>
      </c>
      <c r="AE1545">
        <v>0</v>
      </c>
      <c r="AF1545">
        <v>0</v>
      </c>
      <c r="AG1545">
        <v>0</v>
      </c>
      <c r="AH1545">
        <v>0</v>
      </c>
      <c r="AI1545">
        <v>0</v>
      </c>
      <c r="AJ1545">
        <v>0</v>
      </c>
      <c r="AK1545">
        <v>0</v>
      </c>
      <c r="AL1545">
        <v>0</v>
      </c>
      <c r="AM1545">
        <v>1</v>
      </c>
      <c r="AN1545">
        <v>0</v>
      </c>
      <c r="AO1545">
        <v>0</v>
      </c>
      <c r="AP1545">
        <v>0</v>
      </c>
      <c r="AQ1545">
        <v>0</v>
      </c>
      <c r="AR1545">
        <v>0</v>
      </c>
      <c r="AS1545">
        <v>0</v>
      </c>
      <c r="AT1545">
        <v>0</v>
      </c>
      <c r="AU1545">
        <v>0</v>
      </c>
      <c r="AV1545">
        <v>0</v>
      </c>
      <c r="AW1545">
        <v>0</v>
      </c>
      <c r="AX1545">
        <v>0</v>
      </c>
      <c r="AY1545">
        <v>0</v>
      </c>
      <c r="AZ1545" s="141">
        <f>COUNTIF(X1545:AY1545,"&lt;&gt;0")</f>
        <v>1</v>
      </c>
      <c r="BA1545" s="141">
        <f>COUNTIF(X1545:AN1545,"&lt;&gt;0")</f>
        <v>1</v>
      </c>
      <c r="BB1545">
        <f>COUNTIF(X1545:AE1545,"&lt;&gt;0")</f>
        <v>0</v>
      </c>
      <c r="BC1545">
        <f>COUNTIF(AF1545:AK1545,"&lt;&gt;0")</f>
        <v>0</v>
      </c>
      <c r="BD1545">
        <f>COUNTIF(AL1545:AN1545,"&lt;&gt;0")</f>
        <v>1</v>
      </c>
      <c r="BE1545">
        <f>COUNTIF(AU1545:AY1545,"&lt;&gt;0")</f>
        <v>0</v>
      </c>
      <c r="BF1545">
        <f>COUNTIF(AO1545:AT1545,"&lt;&gt;0")</f>
        <v>0</v>
      </c>
      <c r="BG1545" t="str">
        <f t="array" ref="BG1545">IF(BA1545=1,INDEX($X$7:$AN$7,MATCH(TRUE,INDEX($X1545:$AY1545&lt;&gt;0,),0)),IF(BA1545=0,INDEX($AO$7:$AY$7,MATCH(1,$AO1545:$AY1545,0)),IF(BH1545="Multiple strategies","mixed drivers",IF(BH1545="Supply chain","multiple supply","multiple silviculture"))))</f>
        <v>technologies/design switch</v>
      </c>
      <c r="BH1545" s="2" t="str" cm="1">
        <f t="array" ref="BH1545">IF(COUNTIF(BB1545:BD1545,"&lt;&gt;0")=1,INDEX($X$4:$AY$4,MATCH(TRUE,INDEX($X1545:$AY1545&lt;&gt;0,),0)),IF(COUNTIF(BB1545:BD1545,"&lt;&gt;0")=0,INDEX($AO$4:$AY$4,MATCH(1,$AO1545:$AY1545,0)),"Multiple strategies"))</f>
        <v>Technology</v>
      </c>
      <c r="BI1545" s="1" t="s">
        <v>229</v>
      </c>
      <c r="BJ1545" t="s">
        <v>277</v>
      </c>
      <c r="BK1545" s="260" t="s">
        <v>2785</v>
      </c>
      <c r="BL1545" t="s">
        <v>278</v>
      </c>
      <c r="BM1545">
        <v>0</v>
      </c>
      <c r="BN1545">
        <v>228.87547169811316</v>
      </c>
      <c r="BP1545">
        <f>BN1545-BM1545</f>
        <v>228.87547169811316</v>
      </c>
      <c r="BQ1545">
        <f>BP1545*tC_to_m3</f>
        <v>993.81446677426482</v>
      </c>
      <c r="BR1545" t="s">
        <v>232</v>
      </c>
      <c r="BS1545" s="153" t="s">
        <v>2786</v>
      </c>
      <c r="BT1545" t="s">
        <v>279</v>
      </c>
      <c r="BU1545">
        <v>-574.00406694837011</v>
      </c>
      <c r="BV1545">
        <v>-811.16014590587781</v>
      </c>
      <c r="BW1545" s="144">
        <f>IFERROR(BV1545/BU1545,"")</f>
        <v>1.4131609732633466</v>
      </c>
      <c r="BX1545">
        <f>BV1545-BU1545</f>
        <v>-237.1560789575077</v>
      </c>
      <c r="BZ1545">
        <f>BX1545</f>
        <v>-237.1560789575077</v>
      </c>
      <c r="CA1545">
        <f>IFERROR(BZ1545/BQ1545,"")</f>
        <v>-0.23863214602547678</v>
      </c>
      <c r="CB1545">
        <v>0</v>
      </c>
      <c r="CC1545">
        <v>0</v>
      </c>
      <c r="CD1545">
        <v>0</v>
      </c>
      <c r="CE1545">
        <v>0</v>
      </c>
      <c r="CF1545">
        <v>0</v>
      </c>
      <c r="CG1545">
        <v>0</v>
      </c>
      <c r="CH1545">
        <v>0</v>
      </c>
      <c r="CI1545">
        <v>0</v>
      </c>
      <c r="CJ1545">
        <v>0</v>
      </c>
      <c r="CK1545">
        <v>0</v>
      </c>
      <c r="CL1545">
        <v>0</v>
      </c>
      <c r="CM1545">
        <v>0</v>
      </c>
      <c r="CN1545">
        <v>0</v>
      </c>
      <c r="CO1545">
        <v>0</v>
      </c>
      <c r="CP1545" t="str">
        <f>IF($BN1545&lt;$BM1545,"refNeedCorrection","refOK")</f>
        <v>refOK</v>
      </c>
      <c r="CQ1545">
        <f>IF($CP1545="refOK",$BM1545,$BN1545)</f>
        <v>0</v>
      </c>
      <c r="CR1545">
        <f>IF($CP1545="refOK",$BN1545,$BM1545)</f>
        <v>228.87547169811316</v>
      </c>
      <c r="CS1545">
        <f>IF($CP1545="refOK",$BQ1545,-$BQ1545)</f>
        <v>993.81446677426482</v>
      </c>
      <c r="CT1545">
        <f>IF(BI1545="Roundwood",$CS1545/2,$CS1545)</f>
        <v>993.81446677426482</v>
      </c>
      <c r="CU1545">
        <f>IF($CP1545="refOK",$BU1545,$BV1545)*IF($BR1545="Emissions positive",-1,1)</f>
        <v>-574.00406694837011</v>
      </c>
      <c r="CV1545">
        <f>IF($CP1545="refOK",$BV1545,$BU1545)*IF($BR1545="Emissions positive",-1,1)</f>
        <v>-811.16014590587781</v>
      </c>
      <c r="CW1545">
        <f>IF($CP1545="refNeedCorrection",-BZ1545,BZ1545)*IF($BR1545="Emissions positive",-1,1)</f>
        <v>-237.1560789575077</v>
      </c>
      <c r="CX1545">
        <f>IFERROR($CW1545/$CS1545,"")</f>
        <v>-0.23863214602547678</v>
      </c>
      <c r="CY1545">
        <f>IFERROR($CW1545/$CS1545,"")</f>
        <v>-0.23863214602547678</v>
      </c>
      <c r="CZ1545">
        <f>IFERROR($CW1545/$CT1545,"")</f>
        <v>-0.23863214602547678</v>
      </c>
      <c r="DA1545" s="2">
        <f>IFERROR((CV1545-CU1545)/ABS(CU1545),"")</f>
        <v>-0.4131609732633465</v>
      </c>
      <c r="DB1545" s="1" t="s">
        <v>234</v>
      </c>
      <c r="DC1545" t="str">
        <f>IF(OR($DB1545="prd",$DB1545="std",$DB1545="cit"),"loc",IF(OR($DB1545="eur",$DB1545="reg",$DB1545="coy"),"reg",$DB1545))</f>
        <v>loc</v>
      </c>
      <c r="DD1545" t="s">
        <v>280</v>
      </c>
      <c r="DG1545">
        <v>50</v>
      </c>
      <c r="DH1545" t="str">
        <f>IF(DG1545=0,"0",IF(AND(DG1545&gt;=1,DG1545&lt;=30),"1-30",IF(AND(DG1545&gt;30,DG1545&lt;=70),"31-70",IF(AND(DG1545&gt;70,DG1545&lt;=100),"71-100",IF(DG1545&gt;100,"+100")))))</f>
        <v>31-70</v>
      </c>
      <c r="DI1545">
        <v>0</v>
      </c>
      <c r="DJ1545">
        <v>1</v>
      </c>
      <c r="DK1545">
        <v>0</v>
      </c>
      <c r="DL1545">
        <v>0</v>
      </c>
      <c r="DN1545">
        <f>SUM(DI1545:DL1545)</f>
        <v>1</v>
      </c>
      <c r="DO1545" t="str">
        <f>IF(DN1545=1,INDEX($DI$7:$DL$7,MATCH(1,$DI1545:$DL1545,0)),"mixedProduct")</f>
        <v>EnergyInput</v>
      </c>
      <c r="DP1545">
        <f>IF(DI1545=1,DP$7,0)</f>
        <v>0</v>
      </c>
      <c r="DQ1545" t="str">
        <f>IF(DJ1545=1,DQ$7,0)</f>
        <v>Energy</v>
      </c>
      <c r="DR1545">
        <f>IF(DK1545=1,DR$7,0)</f>
        <v>0</v>
      </c>
      <c r="DS1545">
        <f>IF(DL1545=1,DS$7,0)</f>
        <v>0</v>
      </c>
      <c r="DT1545">
        <v>0</v>
      </c>
      <c r="DU1545">
        <v>1</v>
      </c>
      <c r="DV1545" t="s">
        <v>304</v>
      </c>
      <c r="DW1545">
        <v>0</v>
      </c>
      <c r="DX1545">
        <v>0</v>
      </c>
      <c r="DY1545">
        <f>SUM(DT1545:DU1545)</f>
        <v>1</v>
      </c>
      <c r="DZ1545" s="143" t="str">
        <f>IF(DT1545=1,"self-calculated DF",IF(DU1545=1,"external DF used","explicit C balance"))</f>
        <v>external DF used</v>
      </c>
      <c r="EA1545">
        <v>0</v>
      </c>
      <c r="EB1545">
        <v>1</v>
      </c>
      <c r="EC1545">
        <v>1</v>
      </c>
      <c r="ED1545">
        <v>1</v>
      </c>
      <c r="EE1545">
        <v>1</v>
      </c>
      <c r="EF1545" s="143">
        <v>0</v>
      </c>
      <c r="EG1545">
        <v>1</v>
      </c>
      <c r="EH1545">
        <v>1</v>
      </c>
      <c r="EI1545">
        <v>0</v>
      </c>
      <c r="EJ1545">
        <v>1</v>
      </c>
      <c r="EK1545">
        <v>1</v>
      </c>
      <c r="EL1545">
        <v>1</v>
      </c>
      <c r="EM1545">
        <v>0</v>
      </c>
      <c r="EN1545" s="2">
        <v>0</v>
      </c>
      <c r="EP1545" t="str">
        <f>IF(AND(AND(AND(OR($EC1545=1,$EB1545=1),OR($EH1545=1,$EF1545=1)),SUM($EA1545:$EE1545,$EK1545)&gt;=3),SUM($EF1545:$EJ1545)&gt;=2),"Whole sector approach","")</f>
        <v>Whole sector approach</v>
      </c>
      <c r="EQ1545" t="str">
        <f>IF(AND(AND(OR($EC1545=1,$EB1545=1),AND($EH1545=0,$EF1545=0)),SUM($EA1545:$EE1545,$EK1545)&gt;=4),"Ecosystem approach","")</f>
        <v/>
      </c>
      <c r="ER1545" s="2" t="str">
        <f>IF(AND(AND(AND($EC1545=0,$EB1545=0),OR($EH1545=1,$EF1545=1)),SUM($EG1545:$EJ1545)&gt;=2),"Technology approach","")</f>
        <v/>
      </c>
      <c r="ES1545" t="str">
        <f>IF(AND($EC1545+$EB1545+$EE1545+$EA1545+$ED1545+$EG1545=0,$N1545="included"),"C neutral forest and HWP assumption","")</f>
        <v/>
      </c>
      <c r="ET1545" t="str">
        <f>IF(AND(AND(AND(AND($EC1545=1,$EB1545+$EA1545+$EG1545&gt;=1),$EF1545=1),$EH1545+$EI1545+$ED1545+$EE1545&gt;=2),$N1545="included"),"All C pools assumption","")</f>
        <v/>
      </c>
      <c r="EU1545" t="str">
        <f>IF(AND($ED1545+$EE1545+$EI1545+$EH1545+$EF1545=0,$N1545="included"),"In-situ only assumption","")</f>
        <v/>
      </c>
      <c r="EY1545" t="str">
        <f>IF(ISNUMBER(BW1545),IF(ABS(BW1545-[2]QC_indicators!$B$2)&gt;3*[2]QC_indicators!$C$2,"C ratio",IF(ISNUMBER(CA1545),IF(ABS(CA1545-[2]QC_indicators!$B$1)&gt;3*[2]QC_indicators!$C$1,"DF","no"))),IF(ISNUMBER(CA1545),IF(ABS(CA1545-[2]QC_indicators!$B$1)&gt;3*[2]QC_indicators!$C$1,"DF","no")))</f>
        <v>no</v>
      </c>
      <c r="EZ1545" t="s">
        <v>286</v>
      </c>
      <c r="FA1545" t="str">
        <f>IF(LEN($CY1545)=0,"",IF(AND($CY1545&lt;(-0.05),$ES1545="C neutral forest and HWP assumption"),"Cneutral paradox",IF(AND($CY1545&gt;0.05,$EU1545="In-situ only assumption"),"In-situ only paradox","")))</f>
        <v/>
      </c>
      <c r="FD1545" s="260" t="s">
        <v>2948</v>
      </c>
    </row>
    <row r="1546" spans="1:160" ht="15" hidden="1" customHeight="1">
      <c r="A1546" s="1" t="s">
        <v>265</v>
      </c>
      <c r="B1546" t="s">
        <v>266</v>
      </c>
      <c r="C1546" t="s">
        <v>267</v>
      </c>
      <c r="D1546" t="s">
        <v>268</v>
      </c>
      <c r="E1546" t="s">
        <v>269</v>
      </c>
      <c r="F1546" t="s">
        <v>270</v>
      </c>
      <c r="G1546" t="s">
        <v>271</v>
      </c>
      <c r="H1546" t="s">
        <v>254</v>
      </c>
      <c r="I1546">
        <v>2022</v>
      </c>
      <c r="J1546">
        <v>0</v>
      </c>
      <c r="K1546" t="s">
        <v>272</v>
      </c>
      <c r="M1546" t="str">
        <f>LEFT($D1546,FIND(",",$D1546)-1)&amp;"_"&amp;I1546&amp;L1546</f>
        <v>Aryapratama_2022</v>
      </c>
      <c r="N1546" t="s">
        <v>222</v>
      </c>
      <c r="O1546" s="145" t="s">
        <v>274</v>
      </c>
      <c r="Q1546" t="s">
        <v>224</v>
      </c>
      <c r="R1546" s="258" t="s">
        <v>223</v>
      </c>
      <c r="S1546" s="259" t="s">
        <v>2784</v>
      </c>
      <c r="T1546" t="s">
        <v>329</v>
      </c>
      <c r="U1546" t="s">
        <v>330</v>
      </c>
      <c r="V1546" s="253">
        <v>0</v>
      </c>
      <c r="W1546" s="253">
        <v>0</v>
      </c>
      <c r="X1546">
        <v>0</v>
      </c>
      <c r="Y1546">
        <v>0</v>
      </c>
      <c r="Z1546">
        <v>0</v>
      </c>
      <c r="AA1546">
        <v>0</v>
      </c>
      <c r="AB1546">
        <v>0</v>
      </c>
      <c r="AC1546">
        <v>0</v>
      </c>
      <c r="AD1546">
        <v>0</v>
      </c>
      <c r="AE1546">
        <v>0</v>
      </c>
      <c r="AF1546">
        <v>0</v>
      </c>
      <c r="AG1546">
        <v>0</v>
      </c>
      <c r="AH1546">
        <v>0</v>
      </c>
      <c r="AI1546">
        <v>0</v>
      </c>
      <c r="AJ1546">
        <v>0</v>
      </c>
      <c r="AK1546">
        <v>0</v>
      </c>
      <c r="AL1546">
        <v>0</v>
      </c>
      <c r="AM1546">
        <v>1</v>
      </c>
      <c r="AN1546">
        <v>0</v>
      </c>
      <c r="AO1546">
        <v>0</v>
      </c>
      <c r="AP1546">
        <v>0</v>
      </c>
      <c r="AQ1546">
        <v>0</v>
      </c>
      <c r="AR1546">
        <v>0</v>
      </c>
      <c r="AS1546">
        <v>0</v>
      </c>
      <c r="AT1546">
        <v>0</v>
      </c>
      <c r="AU1546">
        <v>0</v>
      </c>
      <c r="AV1546">
        <v>0</v>
      </c>
      <c r="AW1546">
        <v>0</v>
      </c>
      <c r="AX1546">
        <v>0</v>
      </c>
      <c r="AY1546">
        <v>0</v>
      </c>
      <c r="AZ1546" s="141">
        <f>COUNTIF(X1546:AY1546,"&lt;&gt;0")</f>
        <v>1</v>
      </c>
      <c r="BA1546" s="141">
        <f>COUNTIF(X1546:AN1546,"&lt;&gt;0")</f>
        <v>1</v>
      </c>
      <c r="BB1546">
        <f>COUNTIF(X1546:AE1546,"&lt;&gt;0")</f>
        <v>0</v>
      </c>
      <c r="BC1546">
        <f>COUNTIF(AF1546:AK1546,"&lt;&gt;0")</f>
        <v>0</v>
      </c>
      <c r="BD1546">
        <f>COUNTIF(AL1546:AN1546,"&lt;&gt;0")</f>
        <v>1</v>
      </c>
      <c r="BE1546">
        <f>COUNTIF(AU1546:AY1546,"&lt;&gt;0")</f>
        <v>0</v>
      </c>
      <c r="BF1546">
        <f>COUNTIF(AO1546:AT1546,"&lt;&gt;0")</f>
        <v>0</v>
      </c>
      <c r="BG1546" t="str">
        <f t="array" ref="BG1546">IF(BA1546=1,INDEX($X$7:$AN$7,MATCH(TRUE,INDEX($X1546:$AY1546&lt;&gt;0,),0)),IF(BA1546=0,INDEX($AO$7:$AY$7,MATCH(1,$AO1546:$AY1546,0)),IF(BH1546="Multiple strategies","mixed drivers",IF(BH1546="Supply chain","multiple supply","multiple silviculture"))))</f>
        <v>technologies/design switch</v>
      </c>
      <c r="BH1546" s="2" t="str" cm="1">
        <f t="array" ref="BH1546">IF(COUNTIF(BB1546:BD1546,"&lt;&gt;0")=1,INDEX($X$4:$AY$4,MATCH(TRUE,INDEX($X1546:$AY1546&lt;&gt;0,),0)),IF(COUNTIF(BB1546:BD1546,"&lt;&gt;0")=0,INDEX($AO$4:$AY$4,MATCH(1,$AO1546:$AY1546,0)),"Multiple strategies"))</f>
        <v>Technology</v>
      </c>
      <c r="BI1546" s="1" t="s">
        <v>229</v>
      </c>
      <c r="BJ1546" t="s">
        <v>277</v>
      </c>
      <c r="BK1546" s="260" t="s">
        <v>2785</v>
      </c>
      <c r="BL1546" t="s">
        <v>278</v>
      </c>
      <c r="BM1546">
        <v>0</v>
      </c>
      <c r="BN1546">
        <v>276.97811320754715</v>
      </c>
      <c r="BP1546">
        <f>BN1546-BM1546</f>
        <v>276.97811320754715</v>
      </c>
      <c r="BQ1546">
        <f>BP1546*tC_to_m3</f>
        <v>1202.6839479268224</v>
      </c>
      <c r="BR1546" t="s">
        <v>232</v>
      </c>
      <c r="BS1546" s="153" t="s">
        <v>2786</v>
      </c>
      <c r="BT1546" t="s">
        <v>279</v>
      </c>
      <c r="BU1546">
        <v>-627.22269789912832</v>
      </c>
      <c r="BV1546">
        <v>-832.29941220987405</v>
      </c>
      <c r="BW1546" s="144">
        <f>IFERROR(BV1546/BU1546,"")</f>
        <v>1.3269599697167316</v>
      </c>
      <c r="BX1546">
        <f>BV1546-BU1546</f>
        <v>-205.07671431074573</v>
      </c>
      <c r="BZ1546">
        <f>BX1546</f>
        <v>-205.07671431074573</v>
      </c>
      <c r="CA1546">
        <f>IFERROR(BZ1546/BQ1546,"")</f>
        <v>-0.17051588213533192</v>
      </c>
      <c r="CB1546">
        <v>0</v>
      </c>
      <c r="CC1546">
        <v>0</v>
      </c>
      <c r="CD1546">
        <v>0</v>
      </c>
      <c r="CE1546">
        <v>0</v>
      </c>
      <c r="CF1546">
        <v>0</v>
      </c>
      <c r="CG1546">
        <v>0</v>
      </c>
      <c r="CH1546">
        <v>0</v>
      </c>
      <c r="CI1546">
        <v>0</v>
      </c>
      <c r="CJ1546">
        <v>0</v>
      </c>
      <c r="CK1546">
        <v>0</v>
      </c>
      <c r="CL1546">
        <v>0</v>
      </c>
      <c r="CM1546">
        <v>0</v>
      </c>
      <c r="CN1546">
        <v>0</v>
      </c>
      <c r="CO1546">
        <v>0</v>
      </c>
      <c r="CP1546" t="str">
        <f>IF($BN1546&lt;$BM1546,"refNeedCorrection","refOK")</f>
        <v>refOK</v>
      </c>
      <c r="CQ1546">
        <f>IF($CP1546="refOK",$BM1546,$BN1546)</f>
        <v>0</v>
      </c>
      <c r="CR1546">
        <f>IF($CP1546="refOK",$BN1546,$BM1546)</f>
        <v>276.97811320754715</v>
      </c>
      <c r="CS1546">
        <f>IF($CP1546="refOK",$BQ1546,-$BQ1546)</f>
        <v>1202.6839479268224</v>
      </c>
      <c r="CT1546">
        <f>IF(BI1546="Roundwood",$CS1546/2,$CS1546)</f>
        <v>1202.6839479268224</v>
      </c>
      <c r="CU1546">
        <f>IF($CP1546="refOK",$BU1546,$BV1546)*IF($BR1546="Emissions positive",-1,1)</f>
        <v>-627.22269789912832</v>
      </c>
      <c r="CV1546">
        <f>IF($CP1546="refOK",$BV1546,$BU1546)*IF($BR1546="Emissions positive",-1,1)</f>
        <v>-832.29941220987405</v>
      </c>
      <c r="CW1546">
        <f>IF($CP1546="refNeedCorrection",-BZ1546,BZ1546)*IF($BR1546="Emissions positive",-1,1)</f>
        <v>-205.07671431074573</v>
      </c>
      <c r="CX1546">
        <f>IFERROR($CW1546/$CS1546,"")</f>
        <v>-0.17051588213533192</v>
      </c>
      <c r="CY1546">
        <f>IFERROR($CW1546/$CS1546,"")</f>
        <v>-0.17051588213533192</v>
      </c>
      <c r="CZ1546">
        <f>IFERROR($CW1546/$CT1546,"")</f>
        <v>-0.17051588213533192</v>
      </c>
      <c r="DA1546" s="2">
        <f>IFERROR((CV1546-CU1546)/ABS(CU1546),"")</f>
        <v>-0.32695996971673169</v>
      </c>
      <c r="DB1546" s="1" t="s">
        <v>234</v>
      </c>
      <c r="DC1546" t="str">
        <f>IF(OR($DB1546="prd",$DB1546="std",$DB1546="cit"),"loc",IF(OR($DB1546="eur",$DB1546="reg",$DB1546="coy"),"reg",$DB1546))</f>
        <v>loc</v>
      </c>
      <c r="DD1546" t="s">
        <v>280</v>
      </c>
      <c r="DG1546">
        <v>100</v>
      </c>
      <c r="DH1546" t="str">
        <f>IF(DG1546=0,"0",IF(AND(DG1546&gt;=1,DG1546&lt;=30),"1-30",IF(AND(DG1546&gt;30,DG1546&lt;=70),"31-70",IF(AND(DG1546&gt;70,DG1546&lt;=100),"71-100",IF(DG1546&gt;100,"+100")))))</f>
        <v>71-100</v>
      </c>
      <c r="DI1546">
        <v>0</v>
      </c>
      <c r="DJ1546">
        <v>1</v>
      </c>
      <c r="DK1546">
        <v>0</v>
      </c>
      <c r="DL1546">
        <v>0</v>
      </c>
      <c r="DN1546">
        <f>SUM(DI1546:DL1546)</f>
        <v>1</v>
      </c>
      <c r="DO1546" t="str">
        <f>IF(DN1546=1,INDEX($DI$7:$DL$7,MATCH(1,$DI1546:$DL1546,0)),"mixedProduct")</f>
        <v>EnergyInput</v>
      </c>
      <c r="DP1546">
        <f>IF(DI1546=1,DP$7,0)</f>
        <v>0</v>
      </c>
      <c r="DQ1546" t="str">
        <f>IF(DJ1546=1,DQ$7,0)</f>
        <v>Energy</v>
      </c>
      <c r="DR1546">
        <f>IF(DK1546=1,DR$7,0)</f>
        <v>0</v>
      </c>
      <c r="DS1546">
        <f>IF(DL1546=1,DS$7,0)</f>
        <v>0</v>
      </c>
      <c r="DT1546">
        <v>0</v>
      </c>
      <c r="DU1546">
        <v>1</v>
      </c>
      <c r="DV1546" t="s">
        <v>304</v>
      </c>
      <c r="DW1546">
        <v>0</v>
      </c>
      <c r="DX1546">
        <v>0</v>
      </c>
      <c r="DY1546">
        <f>SUM(DT1546:DU1546)</f>
        <v>1</v>
      </c>
      <c r="DZ1546" s="143" t="str">
        <f>IF(DT1546=1,"self-calculated DF",IF(DU1546=1,"external DF used","explicit C balance"))</f>
        <v>external DF used</v>
      </c>
      <c r="EA1546">
        <v>0</v>
      </c>
      <c r="EB1546">
        <v>1</v>
      </c>
      <c r="EC1546">
        <v>1</v>
      </c>
      <c r="ED1546">
        <v>1</v>
      </c>
      <c r="EE1546">
        <v>1</v>
      </c>
      <c r="EF1546" s="143">
        <v>0</v>
      </c>
      <c r="EG1546">
        <v>1</v>
      </c>
      <c r="EH1546">
        <v>1</v>
      </c>
      <c r="EI1546">
        <v>0</v>
      </c>
      <c r="EJ1546">
        <v>1</v>
      </c>
      <c r="EK1546">
        <v>1</v>
      </c>
      <c r="EL1546">
        <v>1</v>
      </c>
      <c r="EM1546">
        <v>0</v>
      </c>
      <c r="EN1546" s="2">
        <v>0</v>
      </c>
      <c r="EP1546" t="str">
        <f>IF(AND(AND(AND(OR($EC1546=1,$EB1546=1),OR($EH1546=1,$EF1546=1)),SUM($EA1546:$EE1546,$EK1546)&gt;=3),SUM($EF1546:$EJ1546)&gt;=2),"Whole sector approach","")</f>
        <v>Whole sector approach</v>
      </c>
      <c r="EQ1546" t="str">
        <f>IF(AND(AND(OR($EC1546=1,$EB1546=1),AND($EH1546=0,$EF1546=0)),SUM($EA1546:$EE1546,$EK1546)&gt;=4),"Ecosystem approach","")</f>
        <v/>
      </c>
      <c r="ER1546" s="2" t="str">
        <f>IF(AND(AND(AND($EC1546=0,$EB1546=0),OR($EH1546=1,$EF1546=1)),SUM($EG1546:$EJ1546)&gt;=2),"Technology approach","")</f>
        <v/>
      </c>
      <c r="ES1546" t="str">
        <f>IF(AND($EC1546+$EB1546+$EE1546+$EA1546+$ED1546+$EG1546=0,$N1546="included"),"C neutral forest and HWP assumption","")</f>
        <v/>
      </c>
      <c r="ET1546" t="str">
        <f>IF(AND(AND(AND(AND($EC1546=1,$EB1546+$EA1546+$EG1546&gt;=1),$EF1546=1),$EH1546+$EI1546+$ED1546+$EE1546&gt;=2),$N1546="included"),"All C pools assumption","")</f>
        <v/>
      </c>
      <c r="EU1546" t="str">
        <f>IF(AND($ED1546+$EE1546+$EI1546+$EH1546+$EF1546=0,$N1546="included"),"In-situ only assumption","")</f>
        <v/>
      </c>
      <c r="EY1546" t="str">
        <f>IF(ISNUMBER(BW1546),IF(ABS(BW1546-[2]QC_indicators!$B$2)&gt;3*[2]QC_indicators!$C$2,"C ratio",IF(ISNUMBER(CA1546),IF(ABS(CA1546-[2]QC_indicators!$B$1)&gt;3*[2]QC_indicators!$C$1,"DF","no"))),IF(ISNUMBER(CA1546),IF(ABS(CA1546-[2]QC_indicators!$B$1)&gt;3*[2]QC_indicators!$C$1,"DF","no")))</f>
        <v>no</v>
      </c>
      <c r="EZ1546" t="s">
        <v>286</v>
      </c>
      <c r="FA1546" t="str">
        <f>IF(LEN($CY1546)=0,"",IF(AND($CY1546&lt;(-0.05),$ES1546="C neutral forest and HWP assumption"),"Cneutral paradox",IF(AND($CY1546&gt;0.05,$EU1546="In-situ only assumption"),"In-situ only paradox","")))</f>
        <v/>
      </c>
      <c r="FD1546" s="260" t="s">
        <v>2948</v>
      </c>
    </row>
    <row r="1547" spans="1:160" ht="15" hidden="1" customHeight="1">
      <c r="A1547" s="1" t="s">
        <v>265</v>
      </c>
      <c r="B1547" t="s">
        <v>266</v>
      </c>
      <c r="C1547" t="s">
        <v>267</v>
      </c>
      <c r="D1547" t="s">
        <v>268</v>
      </c>
      <c r="E1547" t="s">
        <v>269</v>
      </c>
      <c r="F1547" t="s">
        <v>270</v>
      </c>
      <c r="G1547" t="s">
        <v>271</v>
      </c>
      <c r="H1547" t="s">
        <v>254</v>
      </c>
      <c r="I1547">
        <v>2022</v>
      </c>
      <c r="J1547">
        <v>0</v>
      </c>
      <c r="K1547" t="s">
        <v>272</v>
      </c>
      <c r="M1547" t="str">
        <f>LEFT($D1547,FIND(",",$D1547)-1)&amp;"_"&amp;I1547&amp;L1547</f>
        <v>Aryapratama_2022</v>
      </c>
      <c r="N1547" t="s">
        <v>222</v>
      </c>
      <c r="O1547" s="145" t="s">
        <v>274</v>
      </c>
      <c r="Q1547" t="s">
        <v>224</v>
      </c>
      <c r="R1547" s="258" t="s">
        <v>223</v>
      </c>
      <c r="S1547" s="259" t="s">
        <v>2784</v>
      </c>
      <c r="T1547" t="s">
        <v>329</v>
      </c>
      <c r="U1547" t="s">
        <v>330</v>
      </c>
      <c r="V1547" s="253">
        <v>0</v>
      </c>
      <c r="W1547" s="253">
        <v>0</v>
      </c>
      <c r="X1547">
        <v>0</v>
      </c>
      <c r="Y1547">
        <v>0</v>
      </c>
      <c r="Z1547">
        <v>0</v>
      </c>
      <c r="AA1547">
        <v>0</v>
      </c>
      <c r="AB1547">
        <v>0</v>
      </c>
      <c r="AC1547">
        <v>0</v>
      </c>
      <c r="AD1547">
        <v>0</v>
      </c>
      <c r="AE1547">
        <v>0</v>
      </c>
      <c r="AF1547">
        <v>0</v>
      </c>
      <c r="AG1547">
        <v>0</v>
      </c>
      <c r="AH1547">
        <v>0</v>
      </c>
      <c r="AI1547">
        <v>0</v>
      </c>
      <c r="AJ1547">
        <v>0</v>
      </c>
      <c r="AK1547">
        <v>0</v>
      </c>
      <c r="AL1547">
        <v>0</v>
      </c>
      <c r="AM1547">
        <v>1</v>
      </c>
      <c r="AN1547">
        <v>0</v>
      </c>
      <c r="AO1547">
        <v>0</v>
      </c>
      <c r="AP1547">
        <v>0</v>
      </c>
      <c r="AQ1547">
        <v>0</v>
      </c>
      <c r="AR1547">
        <v>0</v>
      </c>
      <c r="AS1547">
        <v>0</v>
      </c>
      <c r="AT1547">
        <v>0</v>
      </c>
      <c r="AU1547">
        <v>0</v>
      </c>
      <c r="AV1547">
        <v>0</v>
      </c>
      <c r="AW1547">
        <v>0</v>
      </c>
      <c r="AX1547">
        <v>0</v>
      </c>
      <c r="AY1547">
        <v>0</v>
      </c>
      <c r="AZ1547" s="141">
        <f>COUNTIF(X1547:AY1547,"&lt;&gt;0")</f>
        <v>1</v>
      </c>
      <c r="BA1547" s="141">
        <f>COUNTIF(X1547:AN1547,"&lt;&gt;0")</f>
        <v>1</v>
      </c>
      <c r="BB1547">
        <f>COUNTIF(X1547:AE1547,"&lt;&gt;0")</f>
        <v>0</v>
      </c>
      <c r="BC1547">
        <f>COUNTIF(AF1547:AK1547,"&lt;&gt;0")</f>
        <v>0</v>
      </c>
      <c r="BD1547">
        <f>COUNTIF(AL1547:AN1547,"&lt;&gt;0")</f>
        <v>1</v>
      </c>
      <c r="BE1547">
        <f>COUNTIF(AU1547:AY1547,"&lt;&gt;0")</f>
        <v>0</v>
      </c>
      <c r="BF1547">
        <f>COUNTIF(AO1547:AT1547,"&lt;&gt;0")</f>
        <v>0</v>
      </c>
      <c r="BG1547" t="str">
        <f t="array" ref="BG1547">IF(BA1547=1,INDEX($X$7:$AN$7,MATCH(TRUE,INDEX($X1547:$AY1547&lt;&gt;0,),0)),IF(BA1547=0,INDEX($AO$7:$AY$7,MATCH(1,$AO1547:$AY1547,0)),IF(BH1547="Multiple strategies","mixed drivers",IF(BH1547="Supply chain","multiple supply","multiple silviculture"))))</f>
        <v>technologies/design switch</v>
      </c>
      <c r="BH1547" s="2" t="str" cm="1">
        <f t="array" ref="BH1547">IF(COUNTIF(BB1547:BD1547,"&lt;&gt;0")=1,INDEX($X$4:$AY$4,MATCH(TRUE,INDEX($X1547:$AY1547&lt;&gt;0,),0)),IF(COUNTIF(BB1547:BD1547,"&lt;&gt;0")=0,INDEX($AO$4:$AY$4,MATCH(1,$AO1547:$AY1547,0)),"Multiple strategies"))</f>
        <v>Technology</v>
      </c>
      <c r="BI1547" s="1" t="s">
        <v>229</v>
      </c>
      <c r="BJ1547" t="s">
        <v>277</v>
      </c>
      <c r="BK1547" s="260" t="s">
        <v>2785</v>
      </c>
      <c r="BL1547" t="s">
        <v>278</v>
      </c>
      <c r="BM1547">
        <v>0</v>
      </c>
      <c r="BN1547">
        <v>373.18339622641508</v>
      </c>
      <c r="BP1547">
        <f>BN1547-BM1547</f>
        <v>373.18339622641508</v>
      </c>
      <c r="BQ1547">
        <f>BP1547*tC_to_m3</f>
        <v>1620.4229102319371</v>
      </c>
      <c r="BR1547" t="s">
        <v>232</v>
      </c>
      <c r="BS1547" s="153" t="s">
        <v>2786</v>
      </c>
      <c r="BT1547" t="s">
        <v>279</v>
      </c>
      <c r="BU1547">
        <v>-729.83506452863935</v>
      </c>
      <c r="BV1547">
        <v>-858.14682671510911</v>
      </c>
      <c r="BW1547" s="144">
        <f>IFERROR(BV1547/BU1547,"")</f>
        <v>1.1758092594103291</v>
      </c>
      <c r="BX1547">
        <f>BV1547-BU1547</f>
        <v>-128.31176218646976</v>
      </c>
      <c r="BZ1547">
        <f>BX1547</f>
        <v>-128.31176218646976</v>
      </c>
      <c r="CA1547">
        <f>IFERROR(BZ1547/BQ1547,"")</f>
        <v>-7.9184120007352921E-2</v>
      </c>
      <c r="CB1547">
        <v>0</v>
      </c>
      <c r="CC1547">
        <v>0</v>
      </c>
      <c r="CD1547">
        <v>0</v>
      </c>
      <c r="CE1547">
        <v>0</v>
      </c>
      <c r="CF1547">
        <v>0</v>
      </c>
      <c r="CG1547">
        <v>0</v>
      </c>
      <c r="CH1547">
        <v>0</v>
      </c>
      <c r="CI1547">
        <v>0</v>
      </c>
      <c r="CJ1547">
        <v>0</v>
      </c>
      <c r="CK1547">
        <v>0</v>
      </c>
      <c r="CL1547">
        <v>0</v>
      </c>
      <c r="CM1547">
        <v>0</v>
      </c>
      <c r="CN1547">
        <v>0</v>
      </c>
      <c r="CO1547">
        <v>0</v>
      </c>
      <c r="CP1547" t="str">
        <f>IF($BN1547&lt;$BM1547,"refNeedCorrection","refOK")</f>
        <v>refOK</v>
      </c>
      <c r="CQ1547">
        <f>IF($CP1547="refOK",$BM1547,$BN1547)</f>
        <v>0</v>
      </c>
      <c r="CR1547">
        <f>IF($CP1547="refOK",$BN1547,$BM1547)</f>
        <v>373.18339622641508</v>
      </c>
      <c r="CS1547">
        <f>IF($CP1547="refOK",$BQ1547,-$BQ1547)</f>
        <v>1620.4229102319371</v>
      </c>
      <c r="CT1547">
        <f>IF(BI1547="Roundwood",$CS1547/2,$CS1547)</f>
        <v>1620.4229102319371</v>
      </c>
      <c r="CU1547">
        <f>IF($CP1547="refOK",$BU1547,$BV1547)*IF($BR1547="Emissions positive",-1,1)</f>
        <v>-729.83506452863935</v>
      </c>
      <c r="CV1547">
        <f>IF($CP1547="refOK",$BV1547,$BU1547)*IF($BR1547="Emissions positive",-1,1)</f>
        <v>-858.14682671510911</v>
      </c>
      <c r="CW1547">
        <f>IF($CP1547="refNeedCorrection",-BZ1547,BZ1547)*IF($BR1547="Emissions positive",-1,1)</f>
        <v>-128.31176218646976</v>
      </c>
      <c r="CX1547">
        <f>IFERROR($CW1547/$CS1547,"")</f>
        <v>-7.9184120007352921E-2</v>
      </c>
      <c r="CY1547">
        <f>IFERROR($CW1547/$CS1547,"")</f>
        <v>-7.9184120007352921E-2</v>
      </c>
      <c r="CZ1547">
        <f>IFERROR($CW1547/$CT1547,"")</f>
        <v>-7.9184120007352921E-2</v>
      </c>
      <c r="DA1547" s="2">
        <f>IFERROR((CV1547-CU1547)/ABS(CU1547),"")</f>
        <v>-0.17580925941032902</v>
      </c>
      <c r="DB1547" s="1" t="s">
        <v>234</v>
      </c>
      <c r="DC1547" t="str">
        <f>IF(OR($DB1547="prd",$DB1547="std",$DB1547="cit"),"loc",IF(OR($DB1547="eur",$DB1547="reg",$DB1547="coy"),"reg",$DB1547))</f>
        <v>loc</v>
      </c>
      <c r="DD1547" t="s">
        <v>280</v>
      </c>
      <c r="DG1547">
        <v>200</v>
      </c>
      <c r="DH1547" t="str">
        <f>IF(DG1547=0,"0",IF(AND(DG1547&gt;=1,DG1547&lt;=30),"1-30",IF(AND(DG1547&gt;30,DG1547&lt;=70),"31-70",IF(AND(DG1547&gt;70,DG1547&lt;=100),"71-100",IF(DG1547&gt;100,"+100")))))</f>
        <v>+100</v>
      </c>
      <c r="DI1547">
        <v>0</v>
      </c>
      <c r="DJ1547">
        <v>1</v>
      </c>
      <c r="DK1547">
        <v>0</v>
      </c>
      <c r="DL1547">
        <v>0</v>
      </c>
      <c r="DN1547">
        <f>SUM(DI1547:DL1547)</f>
        <v>1</v>
      </c>
      <c r="DO1547" t="str">
        <f>IF(DN1547=1,INDEX($DI$7:$DL$7,MATCH(1,$DI1547:$DL1547,0)),"mixedProduct")</f>
        <v>EnergyInput</v>
      </c>
      <c r="DP1547">
        <f>IF(DI1547=1,DP$7,0)</f>
        <v>0</v>
      </c>
      <c r="DQ1547" t="str">
        <f>IF(DJ1547=1,DQ$7,0)</f>
        <v>Energy</v>
      </c>
      <c r="DR1547">
        <f>IF(DK1547=1,DR$7,0)</f>
        <v>0</v>
      </c>
      <c r="DS1547">
        <f>IF(DL1547=1,DS$7,0)</f>
        <v>0</v>
      </c>
      <c r="DT1547">
        <v>0</v>
      </c>
      <c r="DU1547">
        <v>1</v>
      </c>
      <c r="DV1547" t="s">
        <v>304</v>
      </c>
      <c r="DW1547">
        <v>0</v>
      </c>
      <c r="DX1547">
        <v>0</v>
      </c>
      <c r="DY1547">
        <f>SUM(DT1547:DU1547)</f>
        <v>1</v>
      </c>
      <c r="DZ1547" s="143" t="str">
        <f>IF(DT1547=1,"self-calculated DF",IF(DU1547=1,"external DF used","explicit C balance"))</f>
        <v>external DF used</v>
      </c>
      <c r="EA1547">
        <v>0</v>
      </c>
      <c r="EB1547">
        <v>1</v>
      </c>
      <c r="EC1547">
        <v>1</v>
      </c>
      <c r="ED1547">
        <v>1</v>
      </c>
      <c r="EE1547">
        <v>1</v>
      </c>
      <c r="EF1547" s="143">
        <v>0</v>
      </c>
      <c r="EG1547">
        <v>1</v>
      </c>
      <c r="EH1547">
        <v>1</v>
      </c>
      <c r="EI1547">
        <v>0</v>
      </c>
      <c r="EJ1547">
        <v>1</v>
      </c>
      <c r="EK1547">
        <v>1</v>
      </c>
      <c r="EL1547">
        <v>1</v>
      </c>
      <c r="EM1547">
        <v>0</v>
      </c>
      <c r="EN1547" s="2">
        <v>0</v>
      </c>
      <c r="EP1547" t="str">
        <f>IF(AND(AND(AND(OR($EC1547=1,$EB1547=1),OR($EH1547=1,$EF1547=1)),SUM($EA1547:$EE1547,$EK1547)&gt;=3),SUM($EF1547:$EJ1547)&gt;=2),"Whole sector approach","")</f>
        <v>Whole sector approach</v>
      </c>
      <c r="EQ1547" t="str">
        <f>IF(AND(AND(OR($EC1547=1,$EB1547=1),AND($EH1547=0,$EF1547=0)),SUM($EA1547:$EE1547,$EK1547)&gt;=4),"Ecosystem approach","")</f>
        <v/>
      </c>
      <c r="ER1547" s="2" t="str">
        <f>IF(AND(AND(AND($EC1547=0,$EB1547=0),OR($EH1547=1,$EF1547=1)),SUM($EG1547:$EJ1547)&gt;=2),"Technology approach","")</f>
        <v/>
      </c>
      <c r="ES1547" t="str">
        <f>IF(AND($EC1547+$EB1547+$EE1547+$EA1547+$ED1547+$EG1547=0,$N1547="included"),"C neutral forest and HWP assumption","")</f>
        <v/>
      </c>
      <c r="ET1547" t="str">
        <f>IF(AND(AND(AND(AND($EC1547=1,$EB1547+$EA1547+$EG1547&gt;=1),$EF1547=1),$EH1547+$EI1547+$ED1547+$EE1547&gt;=2),$N1547="included"),"All C pools assumption","")</f>
        <v/>
      </c>
      <c r="EU1547" t="str">
        <f>IF(AND($ED1547+$EE1547+$EI1547+$EH1547+$EF1547=0,$N1547="included"),"In-situ only assumption","")</f>
        <v/>
      </c>
      <c r="EY1547" t="str">
        <f>IF(ISNUMBER(BW1547),IF(ABS(BW1547-[2]QC_indicators!$B$2)&gt;3*[2]QC_indicators!$C$2,"C ratio",IF(ISNUMBER(CA1547),IF(ABS(CA1547-[2]QC_indicators!$B$1)&gt;3*[2]QC_indicators!$C$1,"DF","no"))),IF(ISNUMBER(CA1547),IF(ABS(CA1547-[2]QC_indicators!$B$1)&gt;3*[2]QC_indicators!$C$1,"DF","no")))</f>
        <v>no</v>
      </c>
      <c r="EZ1547" t="s">
        <v>286</v>
      </c>
      <c r="FA1547" t="str">
        <f>IF(LEN($CY1547)=0,"",IF(AND($CY1547&lt;(-0.05),$ES1547="C neutral forest and HWP assumption"),"Cneutral paradox",IF(AND($CY1547&gt;0.05,$EU1547="In-situ only assumption"),"In-situ only paradox","")))</f>
        <v/>
      </c>
      <c r="FD1547" s="260" t="s">
        <v>2948</v>
      </c>
    </row>
    <row r="1548" spans="1:160" ht="15" hidden="1" customHeight="1">
      <c r="A1548" s="1" t="s">
        <v>265</v>
      </c>
      <c r="B1548" t="s">
        <v>266</v>
      </c>
      <c r="C1548" t="s">
        <v>267</v>
      </c>
      <c r="D1548" t="s">
        <v>268</v>
      </c>
      <c r="E1548" t="s">
        <v>269</v>
      </c>
      <c r="F1548" t="s">
        <v>270</v>
      </c>
      <c r="G1548" t="s">
        <v>271</v>
      </c>
      <c r="H1548" t="s">
        <v>254</v>
      </c>
      <c r="I1548">
        <v>2022</v>
      </c>
      <c r="J1548">
        <v>0</v>
      </c>
      <c r="K1548" t="s">
        <v>272</v>
      </c>
      <c r="M1548" t="str">
        <f>LEFT($D1548,FIND(",",$D1548)-1)&amp;"_"&amp;I1548&amp;L1548</f>
        <v>Aryapratama_2022</v>
      </c>
      <c r="N1548" t="s">
        <v>222</v>
      </c>
      <c r="O1548" s="145" t="s">
        <v>274</v>
      </c>
      <c r="Q1548" t="s">
        <v>224</v>
      </c>
      <c r="R1548" s="258" t="s">
        <v>223</v>
      </c>
      <c r="S1548" s="259" t="s">
        <v>2784</v>
      </c>
      <c r="T1548" t="s">
        <v>331</v>
      </c>
      <c r="U1548" t="s">
        <v>332</v>
      </c>
      <c r="V1548" s="253">
        <v>0</v>
      </c>
      <c r="W1548" s="253">
        <v>0</v>
      </c>
      <c r="X1548">
        <v>0</v>
      </c>
      <c r="Y1548">
        <v>0</v>
      </c>
      <c r="Z1548">
        <v>0</v>
      </c>
      <c r="AA1548">
        <v>0</v>
      </c>
      <c r="AB1548">
        <v>0</v>
      </c>
      <c r="AC1548">
        <v>0</v>
      </c>
      <c r="AD1548">
        <v>0</v>
      </c>
      <c r="AE1548">
        <v>0</v>
      </c>
      <c r="AF1548">
        <v>0</v>
      </c>
      <c r="AG1548">
        <v>0</v>
      </c>
      <c r="AH1548">
        <v>0</v>
      </c>
      <c r="AI1548">
        <v>0</v>
      </c>
      <c r="AJ1548">
        <v>0</v>
      </c>
      <c r="AK1548">
        <v>0</v>
      </c>
      <c r="AL1548">
        <v>0</v>
      </c>
      <c r="AM1548">
        <v>1</v>
      </c>
      <c r="AN1548">
        <v>0</v>
      </c>
      <c r="AO1548">
        <v>0</v>
      </c>
      <c r="AP1548">
        <v>0</v>
      </c>
      <c r="AQ1548">
        <v>0</v>
      </c>
      <c r="AR1548">
        <v>0</v>
      </c>
      <c r="AS1548">
        <v>0</v>
      </c>
      <c r="AT1548">
        <v>0</v>
      </c>
      <c r="AU1548">
        <v>0</v>
      </c>
      <c r="AV1548">
        <v>0</v>
      </c>
      <c r="AW1548">
        <v>0</v>
      </c>
      <c r="AX1548">
        <v>0</v>
      </c>
      <c r="AY1548">
        <v>0</v>
      </c>
      <c r="AZ1548" s="141">
        <f>COUNTIF(X1548:AY1548,"&lt;&gt;0")</f>
        <v>1</v>
      </c>
      <c r="BA1548" s="141">
        <f>COUNTIF(X1548:AN1548,"&lt;&gt;0")</f>
        <v>1</v>
      </c>
      <c r="BB1548">
        <f>COUNTIF(X1548:AE1548,"&lt;&gt;0")</f>
        <v>0</v>
      </c>
      <c r="BC1548">
        <f>COUNTIF(AF1548:AK1548,"&lt;&gt;0")</f>
        <v>0</v>
      </c>
      <c r="BD1548">
        <f>COUNTIF(AL1548:AN1548,"&lt;&gt;0")</f>
        <v>1</v>
      </c>
      <c r="BE1548">
        <f>COUNTIF(AU1548:AY1548,"&lt;&gt;0")</f>
        <v>0</v>
      </c>
      <c r="BF1548">
        <f>COUNTIF(AO1548:AT1548,"&lt;&gt;0")</f>
        <v>0</v>
      </c>
      <c r="BG1548" t="str">
        <f t="array" ref="BG1548">IF(BA1548=1,INDEX($X$7:$AN$7,MATCH(TRUE,INDEX($X1548:$AY1548&lt;&gt;0,),0)),IF(BA1548=0,INDEX($AO$7:$AY$7,MATCH(1,$AO1548:$AY1548,0)),IF(BH1548="Multiple strategies","mixed drivers",IF(BH1548="Supply chain","multiple supply","multiple silviculture"))))</f>
        <v>technologies/design switch</v>
      </c>
      <c r="BH1548" s="2" t="str" cm="1">
        <f t="array" ref="BH1548">IF(COUNTIF(BB1548:BD1548,"&lt;&gt;0")=1,INDEX($X$4:$AY$4,MATCH(TRUE,INDEX($X1548:$AY1548&lt;&gt;0,),0)),IF(COUNTIF(BB1548:BD1548,"&lt;&gt;0")=0,INDEX($AO$4:$AY$4,MATCH(1,$AO1548:$AY1548,0)),"Multiple strategies"))</f>
        <v>Technology</v>
      </c>
      <c r="BI1548" s="1" t="s">
        <v>229</v>
      </c>
      <c r="BJ1548" t="s">
        <v>277</v>
      </c>
      <c r="BK1548" s="260" t="s">
        <v>2785</v>
      </c>
      <c r="BL1548" t="s">
        <v>278</v>
      </c>
      <c r="BM1548">
        <v>0</v>
      </c>
      <c r="BN1548">
        <v>192.41056603773589</v>
      </c>
      <c r="BP1548">
        <f>BN1548-BM1548</f>
        <v>192.41056603773589</v>
      </c>
      <c r="BQ1548">
        <f>BP1548*tC_to_m3</f>
        <v>835.47792461022971</v>
      </c>
      <c r="BR1548" t="s">
        <v>232</v>
      </c>
      <c r="BS1548" s="153" t="s">
        <v>2786</v>
      </c>
      <c r="BT1548" t="s">
        <v>279</v>
      </c>
      <c r="BU1548">
        <v>-543.07789336691178</v>
      </c>
      <c r="BV1548">
        <v>2.2086925350061422</v>
      </c>
      <c r="BW1548" s="144">
        <f>IFERROR(BV1548/BU1548,"")</f>
        <v>-4.0669903194050939E-3</v>
      </c>
      <c r="BX1548">
        <f>BV1548-BU1548</f>
        <v>545.28658590191787</v>
      </c>
      <c r="BZ1548">
        <f>BX1548</f>
        <v>545.28658590191787</v>
      </c>
      <c r="CA1548">
        <f>IFERROR(BZ1548/BQ1548,"")</f>
        <v>0.65266426537398581</v>
      </c>
      <c r="CB1548">
        <v>0</v>
      </c>
      <c r="CC1548">
        <v>0</v>
      </c>
      <c r="CD1548">
        <v>0</v>
      </c>
      <c r="CE1548">
        <v>0</v>
      </c>
      <c r="CF1548">
        <v>0</v>
      </c>
      <c r="CG1548">
        <v>0</v>
      </c>
      <c r="CH1548">
        <v>0</v>
      </c>
      <c r="CI1548">
        <v>0</v>
      </c>
      <c r="CJ1548">
        <v>0</v>
      </c>
      <c r="CK1548">
        <v>0</v>
      </c>
      <c r="CL1548">
        <v>0</v>
      </c>
      <c r="CM1548">
        <v>0</v>
      </c>
      <c r="CN1548">
        <v>0</v>
      </c>
      <c r="CO1548">
        <v>0</v>
      </c>
      <c r="CP1548" t="str">
        <f>IF($BN1548&lt;$BM1548,"refNeedCorrection","refOK")</f>
        <v>refOK</v>
      </c>
      <c r="CQ1548">
        <f>IF($CP1548="refOK",$BM1548,$BN1548)</f>
        <v>0</v>
      </c>
      <c r="CR1548">
        <f>IF($CP1548="refOK",$BN1548,$BM1548)</f>
        <v>192.41056603773589</v>
      </c>
      <c r="CS1548">
        <f>IF($CP1548="refOK",$BQ1548,-$BQ1548)</f>
        <v>835.47792461022971</v>
      </c>
      <c r="CT1548">
        <f>IF(BI1548="Roundwood",$CS1548/2,$CS1548)</f>
        <v>835.47792461022971</v>
      </c>
      <c r="CU1548">
        <f>IF($CP1548="refOK",$BU1548,$BV1548)*IF($BR1548="Emissions positive",-1,1)</f>
        <v>-543.07789336691178</v>
      </c>
      <c r="CV1548">
        <f>IF($CP1548="refOK",$BV1548,$BU1548)*IF($BR1548="Emissions positive",-1,1)</f>
        <v>2.2086925350061422</v>
      </c>
      <c r="CW1548">
        <f>IF($CP1548="refNeedCorrection",-BZ1548,BZ1548)*IF($BR1548="Emissions positive",-1,1)</f>
        <v>545.28658590191787</v>
      </c>
      <c r="CX1548">
        <f>IFERROR($CW1548/$CS1548,"")</f>
        <v>0.65266426537398581</v>
      </c>
      <c r="CY1548">
        <f>IFERROR($CW1548/$CS1548,"")</f>
        <v>0.65266426537398581</v>
      </c>
      <c r="CZ1548">
        <f>IFERROR($CW1548/$CT1548,"")</f>
        <v>0.65266426537398581</v>
      </c>
      <c r="DA1548" s="2">
        <f>IFERROR((CV1548-CU1548)/ABS(CU1548),"")</f>
        <v>1.0040669903194051</v>
      </c>
      <c r="DB1548" s="1" t="s">
        <v>234</v>
      </c>
      <c r="DC1548" t="str">
        <f>IF(OR($DB1548="prd",$DB1548="std",$DB1548="cit"),"loc",IF(OR($DB1548="eur",$DB1548="reg",$DB1548="coy"),"reg",$DB1548))</f>
        <v>loc</v>
      </c>
      <c r="DD1548" t="s">
        <v>280</v>
      </c>
      <c r="DG1548">
        <v>200</v>
      </c>
      <c r="DH1548" t="str">
        <f>IF(DG1548=0,"0",IF(AND(DG1548&gt;=1,DG1548&lt;=30),"1-30",IF(AND(DG1548&gt;30,DG1548&lt;=70),"31-70",IF(AND(DG1548&gt;70,DG1548&lt;=100),"71-100",IF(DG1548&gt;100,"+100")))))</f>
        <v>+100</v>
      </c>
      <c r="DI1548">
        <v>0</v>
      </c>
      <c r="DJ1548">
        <v>1</v>
      </c>
      <c r="DK1548">
        <v>0</v>
      </c>
      <c r="DL1548">
        <v>0</v>
      </c>
      <c r="DN1548">
        <f>SUM(DI1548:DL1548)</f>
        <v>1</v>
      </c>
      <c r="DO1548" t="str">
        <f>IF(DN1548=1,INDEX($DI$7:$DL$7,MATCH(1,$DI1548:$DL1548,0)),"mixedProduct")</f>
        <v>EnergyInput</v>
      </c>
      <c r="DP1548">
        <f>IF(DI1548=1,DP$7,0)</f>
        <v>0</v>
      </c>
      <c r="DQ1548" t="str">
        <f>IF(DJ1548=1,DQ$7,0)</f>
        <v>Energy</v>
      </c>
      <c r="DR1548">
        <f>IF(DK1548=1,DR$7,0)</f>
        <v>0</v>
      </c>
      <c r="DS1548">
        <f>IF(DL1548=1,DS$7,0)</f>
        <v>0</v>
      </c>
      <c r="DT1548">
        <v>0</v>
      </c>
      <c r="DU1548">
        <v>1</v>
      </c>
      <c r="DV1548" t="s">
        <v>304</v>
      </c>
      <c r="DW1548">
        <v>0</v>
      </c>
      <c r="DX1548">
        <v>0</v>
      </c>
      <c r="DY1548">
        <f>SUM(DT1548:DU1548)</f>
        <v>1</v>
      </c>
      <c r="DZ1548" s="143" t="str">
        <f>IF(DT1548=1,"self-calculated DF",IF(DU1548=1,"external DF used","explicit C balance"))</f>
        <v>external DF used</v>
      </c>
      <c r="EA1548">
        <v>0</v>
      </c>
      <c r="EB1548">
        <v>1</v>
      </c>
      <c r="EC1548">
        <v>1</v>
      </c>
      <c r="ED1548">
        <v>1</v>
      </c>
      <c r="EE1548">
        <v>1</v>
      </c>
      <c r="EF1548" s="143">
        <v>0</v>
      </c>
      <c r="EG1548">
        <v>1</v>
      </c>
      <c r="EH1548">
        <v>1</v>
      </c>
      <c r="EI1548">
        <v>0</v>
      </c>
      <c r="EJ1548">
        <v>1</v>
      </c>
      <c r="EK1548">
        <v>1</v>
      </c>
      <c r="EL1548">
        <v>1</v>
      </c>
      <c r="EM1548">
        <v>0</v>
      </c>
      <c r="EN1548" s="2">
        <v>0</v>
      </c>
      <c r="EP1548" t="str">
        <f>IF(AND(AND(AND(OR($EC1548=1,$EB1548=1),OR($EH1548=1,$EF1548=1)),SUM($EA1548:$EE1548,$EK1548)&gt;=3),SUM($EF1548:$EJ1548)&gt;=2),"Whole sector approach","")</f>
        <v>Whole sector approach</v>
      </c>
      <c r="EQ1548" t="str">
        <f>IF(AND(AND(OR($EC1548=1,$EB1548=1),AND($EH1548=0,$EF1548=0)),SUM($EA1548:$EE1548,$EK1548)&gt;=4),"Ecosystem approach","")</f>
        <v/>
      </c>
      <c r="ER1548" s="2" t="str">
        <f>IF(AND(AND(AND($EC1548=0,$EB1548=0),OR($EH1548=1,$EF1548=1)),SUM($EG1548:$EJ1548)&gt;=2),"Technology approach","")</f>
        <v/>
      </c>
      <c r="ES1548" t="str">
        <f>IF(AND($EC1548+$EB1548+$EE1548+$EA1548+$ED1548+$EG1548=0,$N1548="included"),"C neutral forest and HWP assumption","")</f>
        <v/>
      </c>
      <c r="ET1548" t="str">
        <f>IF(AND(AND(AND(AND($EC1548=1,$EB1548+$EA1548+$EG1548&gt;=1),$EF1548=1),$EH1548+$EI1548+$ED1548+$EE1548&gt;=2),$N1548="included"),"All C pools assumption","")</f>
        <v/>
      </c>
      <c r="EU1548" t="str">
        <f>IF(AND($ED1548+$EE1548+$EI1548+$EH1548+$EF1548=0,$N1548="included"),"In-situ only assumption","")</f>
        <v/>
      </c>
      <c r="EY1548" t="str">
        <f>IF(ISNUMBER(BW1548),IF(ABS(BW1548-[2]QC_indicators!$B$2)&gt;3*[2]QC_indicators!$C$2,"C ratio",IF(ISNUMBER(CA1548),IF(ABS(CA1548-[2]QC_indicators!$B$1)&gt;3*[2]QC_indicators!$C$1,"DF","no"))),IF(ISNUMBER(CA1548),IF(ABS(CA1548-[2]QC_indicators!$B$1)&gt;3*[2]QC_indicators!$C$1,"DF","no")))</f>
        <v>no</v>
      </c>
      <c r="EZ1548" t="s">
        <v>286</v>
      </c>
      <c r="FA1548" t="str">
        <f>IF(LEN($CY1548)=0,"",IF(AND($CY1548&lt;(-0.05),$ES1548="C neutral forest and HWP assumption"),"Cneutral paradox",IF(AND($CY1548&gt;0.05,$EU1548="In-situ only assumption"),"In-situ only paradox","")))</f>
        <v/>
      </c>
      <c r="FD1548" s="260" t="s">
        <v>2948</v>
      </c>
    </row>
    <row r="1549" spans="1:160" ht="15" hidden="1" customHeight="1">
      <c r="A1549" s="1" t="s">
        <v>265</v>
      </c>
      <c r="B1549" t="s">
        <v>266</v>
      </c>
      <c r="C1549" t="s">
        <v>267</v>
      </c>
      <c r="D1549" t="s">
        <v>268</v>
      </c>
      <c r="E1549" t="s">
        <v>269</v>
      </c>
      <c r="F1549" t="s">
        <v>270</v>
      </c>
      <c r="G1549" t="s">
        <v>271</v>
      </c>
      <c r="H1549" t="s">
        <v>254</v>
      </c>
      <c r="I1549">
        <v>2022</v>
      </c>
      <c r="J1549">
        <v>0</v>
      </c>
      <c r="K1549" t="s">
        <v>272</v>
      </c>
      <c r="M1549" t="str">
        <f>LEFT($D1549,FIND(",",$D1549)-1)&amp;"_"&amp;I1549&amp;L1549</f>
        <v>Aryapratama_2022</v>
      </c>
      <c r="N1549" t="s">
        <v>222</v>
      </c>
      <c r="O1549" s="145" t="s">
        <v>274</v>
      </c>
      <c r="Q1549" t="s">
        <v>224</v>
      </c>
      <c r="R1549" s="258" t="s">
        <v>223</v>
      </c>
      <c r="S1549" s="259" t="s">
        <v>2784</v>
      </c>
      <c r="T1549" t="s">
        <v>331</v>
      </c>
      <c r="U1549" t="s">
        <v>332</v>
      </c>
      <c r="V1549" s="253">
        <v>0</v>
      </c>
      <c r="W1549" s="253">
        <v>0</v>
      </c>
      <c r="X1549">
        <v>0</v>
      </c>
      <c r="Y1549">
        <v>0</v>
      </c>
      <c r="Z1549">
        <v>0</v>
      </c>
      <c r="AA1549">
        <v>0</v>
      </c>
      <c r="AB1549">
        <v>0</v>
      </c>
      <c r="AC1549">
        <v>0</v>
      </c>
      <c r="AD1549">
        <v>0</v>
      </c>
      <c r="AE1549">
        <v>0</v>
      </c>
      <c r="AF1549">
        <v>0</v>
      </c>
      <c r="AG1549">
        <v>0</v>
      </c>
      <c r="AH1549">
        <v>0</v>
      </c>
      <c r="AI1549">
        <v>0</v>
      </c>
      <c r="AJ1549">
        <v>0</v>
      </c>
      <c r="AK1549">
        <v>0</v>
      </c>
      <c r="AL1549">
        <v>0</v>
      </c>
      <c r="AM1549">
        <v>1</v>
      </c>
      <c r="AN1549">
        <v>0</v>
      </c>
      <c r="AO1549">
        <v>0</v>
      </c>
      <c r="AP1549">
        <v>0</v>
      </c>
      <c r="AQ1549">
        <v>0</v>
      </c>
      <c r="AR1549">
        <v>0</v>
      </c>
      <c r="AS1549">
        <v>0</v>
      </c>
      <c r="AT1549">
        <v>0</v>
      </c>
      <c r="AU1549">
        <v>0</v>
      </c>
      <c r="AV1549">
        <v>0</v>
      </c>
      <c r="AW1549">
        <v>0</v>
      </c>
      <c r="AX1549">
        <v>0</v>
      </c>
      <c r="AY1549">
        <v>0</v>
      </c>
      <c r="AZ1549" s="141">
        <f>COUNTIF(X1549:AY1549,"&lt;&gt;0")</f>
        <v>1</v>
      </c>
      <c r="BA1549" s="141">
        <f>COUNTIF(X1549:AN1549,"&lt;&gt;0")</f>
        <v>1</v>
      </c>
      <c r="BB1549">
        <f>COUNTIF(X1549:AE1549,"&lt;&gt;0")</f>
        <v>0</v>
      </c>
      <c r="BC1549">
        <f>COUNTIF(AF1549:AK1549,"&lt;&gt;0")</f>
        <v>0</v>
      </c>
      <c r="BD1549">
        <f>COUNTIF(AL1549:AN1549,"&lt;&gt;0")</f>
        <v>1</v>
      </c>
      <c r="BE1549">
        <f>COUNTIF(AU1549:AY1549,"&lt;&gt;0")</f>
        <v>0</v>
      </c>
      <c r="BF1549">
        <f>COUNTIF(AO1549:AT1549,"&lt;&gt;0")</f>
        <v>0</v>
      </c>
      <c r="BG1549" t="str">
        <f t="array" ref="BG1549">IF(BA1549=1,INDEX($X$7:$AN$7,MATCH(TRUE,INDEX($X1549:$AY1549&lt;&gt;0,),0)),IF(BA1549=0,INDEX($AO$7:$AY$7,MATCH(1,$AO1549:$AY1549,0)),IF(BH1549="Multiple strategies","mixed drivers",IF(BH1549="Supply chain","multiple supply","multiple silviculture"))))</f>
        <v>technologies/design switch</v>
      </c>
      <c r="BH1549" s="2" t="str" cm="1">
        <f t="array" ref="BH1549">IF(COUNTIF(BB1549:BD1549,"&lt;&gt;0")=1,INDEX($X$4:$AY$4,MATCH(TRUE,INDEX($X1549:$AY1549&lt;&gt;0,),0)),IF(COUNTIF(BB1549:BD1549,"&lt;&gt;0")=0,INDEX($AO$4:$AY$4,MATCH(1,$AO1549:$AY1549,0)),"Multiple strategies"))</f>
        <v>Technology</v>
      </c>
      <c r="BI1549" s="1" t="s">
        <v>229</v>
      </c>
      <c r="BJ1549" t="s">
        <v>277</v>
      </c>
      <c r="BK1549" s="260" t="s">
        <v>2785</v>
      </c>
      <c r="BL1549" t="s">
        <v>278</v>
      </c>
      <c r="BM1549">
        <v>0</v>
      </c>
      <c r="BN1549">
        <v>96.205283018867945</v>
      </c>
      <c r="BP1549">
        <f>BN1549-BM1549</f>
        <v>96.205283018867945</v>
      </c>
      <c r="BQ1549">
        <f>BP1549*tC_to_m3</f>
        <v>417.73896230511485</v>
      </c>
      <c r="BR1549" t="s">
        <v>232</v>
      </c>
      <c r="BS1549" s="153" t="s">
        <v>2786</v>
      </c>
      <c r="BT1549" t="s">
        <v>279</v>
      </c>
      <c r="BU1549">
        <v>-235.2392539982188</v>
      </c>
      <c r="BV1549">
        <v>42.123869249720393</v>
      </c>
      <c r="BW1549" s="144">
        <f>IFERROR(BV1549/BU1549,"")</f>
        <v>-0.17906819773386695</v>
      </c>
      <c r="BX1549">
        <f>BV1549-BU1549</f>
        <v>277.3631232479392</v>
      </c>
      <c r="BZ1549">
        <f>BX1549</f>
        <v>277.3631232479392</v>
      </c>
      <c r="CA1549">
        <f>IFERROR(BZ1549/BQ1549,"")</f>
        <v>0.663962781248435</v>
      </c>
      <c r="CB1549">
        <v>0</v>
      </c>
      <c r="CC1549">
        <v>0</v>
      </c>
      <c r="CD1549">
        <v>0</v>
      </c>
      <c r="CE1549">
        <v>0</v>
      </c>
      <c r="CF1549">
        <v>0</v>
      </c>
      <c r="CG1549">
        <v>0</v>
      </c>
      <c r="CH1549">
        <v>0</v>
      </c>
      <c r="CI1549">
        <v>0</v>
      </c>
      <c r="CJ1549">
        <v>0</v>
      </c>
      <c r="CK1549">
        <v>0</v>
      </c>
      <c r="CL1549">
        <v>0</v>
      </c>
      <c r="CM1549">
        <v>0</v>
      </c>
      <c r="CN1549">
        <v>0</v>
      </c>
      <c r="CO1549">
        <v>0</v>
      </c>
      <c r="CP1549" t="str">
        <f>IF($BN1549&lt;$BM1549,"refNeedCorrection","refOK")</f>
        <v>refOK</v>
      </c>
      <c r="CQ1549">
        <f>IF($CP1549="refOK",$BM1549,$BN1549)</f>
        <v>0</v>
      </c>
      <c r="CR1549">
        <f>IF($CP1549="refOK",$BN1549,$BM1549)</f>
        <v>96.205283018867945</v>
      </c>
      <c r="CS1549">
        <f>IF($CP1549="refOK",$BQ1549,-$BQ1549)</f>
        <v>417.73896230511485</v>
      </c>
      <c r="CT1549">
        <f>IF(BI1549="Roundwood",$CS1549/2,$CS1549)</f>
        <v>417.73896230511485</v>
      </c>
      <c r="CU1549">
        <f>IF($CP1549="refOK",$BU1549,$BV1549)*IF($BR1549="Emissions positive",-1,1)</f>
        <v>-235.2392539982188</v>
      </c>
      <c r="CV1549">
        <f>IF($CP1549="refOK",$BV1549,$BU1549)*IF($BR1549="Emissions positive",-1,1)</f>
        <v>42.123869249720393</v>
      </c>
      <c r="CW1549">
        <f>IF($CP1549="refNeedCorrection",-BZ1549,BZ1549)*IF($BR1549="Emissions positive",-1,1)</f>
        <v>277.3631232479392</v>
      </c>
      <c r="CX1549">
        <f>IFERROR($CW1549/$CS1549,"")</f>
        <v>0.663962781248435</v>
      </c>
      <c r="CY1549">
        <f>IFERROR($CW1549/$CS1549,"")</f>
        <v>0.663962781248435</v>
      </c>
      <c r="CZ1549">
        <f>IFERROR($CW1549/$CT1549,"")</f>
        <v>0.663962781248435</v>
      </c>
      <c r="DA1549" s="2">
        <f>IFERROR((CV1549-CU1549)/ABS(CU1549),"")</f>
        <v>1.1790681977338671</v>
      </c>
      <c r="DB1549" s="1" t="s">
        <v>234</v>
      </c>
      <c r="DC1549" t="str">
        <f>IF(OR($DB1549="prd",$DB1549="std",$DB1549="cit"),"loc",IF(OR($DB1549="eur",$DB1549="reg",$DB1549="coy"),"reg",$DB1549))</f>
        <v>loc</v>
      </c>
      <c r="DD1549" t="s">
        <v>280</v>
      </c>
      <c r="DG1549">
        <v>100</v>
      </c>
      <c r="DH1549" t="str">
        <f>IF(DG1549=0,"0",IF(AND(DG1549&gt;=1,DG1549&lt;=30),"1-30",IF(AND(DG1549&gt;30,DG1549&lt;=70),"31-70",IF(AND(DG1549&gt;70,DG1549&lt;=100),"71-100",IF(DG1549&gt;100,"+100")))))</f>
        <v>71-100</v>
      </c>
      <c r="DI1549">
        <v>0</v>
      </c>
      <c r="DJ1549">
        <v>1</v>
      </c>
      <c r="DK1549">
        <v>0</v>
      </c>
      <c r="DL1549">
        <v>0</v>
      </c>
      <c r="DN1549">
        <f>SUM(DI1549:DL1549)</f>
        <v>1</v>
      </c>
      <c r="DO1549" t="str">
        <f>IF(DN1549=1,INDEX($DI$7:$DL$7,MATCH(1,$DI1549:$DL1549,0)),"mixedProduct")</f>
        <v>EnergyInput</v>
      </c>
      <c r="DP1549">
        <f>IF(DI1549=1,DP$7,0)</f>
        <v>0</v>
      </c>
      <c r="DQ1549" t="str">
        <f>IF(DJ1549=1,DQ$7,0)</f>
        <v>Energy</v>
      </c>
      <c r="DR1549">
        <f>IF(DK1549=1,DR$7,0)</f>
        <v>0</v>
      </c>
      <c r="DS1549">
        <f>IF(DL1549=1,DS$7,0)</f>
        <v>0</v>
      </c>
      <c r="DT1549">
        <v>0</v>
      </c>
      <c r="DU1549">
        <v>1</v>
      </c>
      <c r="DV1549" t="s">
        <v>304</v>
      </c>
      <c r="DW1549">
        <v>0</v>
      </c>
      <c r="DX1549">
        <v>0</v>
      </c>
      <c r="DY1549">
        <f>SUM(DT1549:DU1549)</f>
        <v>1</v>
      </c>
      <c r="DZ1549" s="143" t="str">
        <f>IF(DT1549=1,"self-calculated DF",IF(DU1549=1,"external DF used","explicit C balance"))</f>
        <v>external DF used</v>
      </c>
      <c r="EA1549">
        <v>0</v>
      </c>
      <c r="EB1549">
        <v>1</v>
      </c>
      <c r="EC1549">
        <v>1</v>
      </c>
      <c r="ED1549">
        <v>1</v>
      </c>
      <c r="EE1549">
        <v>1</v>
      </c>
      <c r="EF1549" s="143">
        <v>0</v>
      </c>
      <c r="EG1549">
        <v>1</v>
      </c>
      <c r="EH1549">
        <v>1</v>
      </c>
      <c r="EI1549">
        <v>0</v>
      </c>
      <c r="EJ1549">
        <v>1</v>
      </c>
      <c r="EK1549">
        <v>1</v>
      </c>
      <c r="EL1549">
        <v>1</v>
      </c>
      <c r="EM1549">
        <v>0</v>
      </c>
      <c r="EN1549" s="2">
        <v>0</v>
      </c>
      <c r="EP1549" t="str">
        <f>IF(AND(AND(AND(OR($EC1549=1,$EB1549=1),OR($EH1549=1,$EF1549=1)),SUM($EA1549:$EE1549,$EK1549)&gt;=3),SUM($EF1549:$EJ1549)&gt;=2),"Whole sector approach","")</f>
        <v>Whole sector approach</v>
      </c>
      <c r="EQ1549" t="str">
        <f>IF(AND(AND(OR($EC1549=1,$EB1549=1),AND($EH1549=0,$EF1549=0)),SUM($EA1549:$EE1549,$EK1549)&gt;=4),"Ecosystem approach","")</f>
        <v/>
      </c>
      <c r="ER1549" s="2" t="str">
        <f>IF(AND(AND(AND($EC1549=0,$EB1549=0),OR($EH1549=1,$EF1549=1)),SUM($EG1549:$EJ1549)&gt;=2),"Technology approach","")</f>
        <v/>
      </c>
      <c r="ES1549" t="str">
        <f>IF(AND($EC1549+$EB1549+$EE1549+$EA1549+$ED1549+$EG1549=0,$N1549="included"),"C neutral forest and HWP assumption","")</f>
        <v/>
      </c>
      <c r="ET1549" t="str">
        <f>IF(AND(AND(AND(AND($EC1549=1,$EB1549+$EA1549+$EG1549&gt;=1),$EF1549=1),$EH1549+$EI1549+$ED1549+$EE1549&gt;=2),$N1549="included"),"All C pools assumption","")</f>
        <v/>
      </c>
      <c r="EU1549" t="str">
        <f>IF(AND($ED1549+$EE1549+$EI1549+$EH1549+$EF1549=0,$N1549="included"),"In-situ only assumption","")</f>
        <v/>
      </c>
      <c r="EY1549" t="str">
        <f>IF(ISNUMBER(BW1549),IF(ABS(BW1549-[2]QC_indicators!$B$2)&gt;3*[2]QC_indicators!$C$2,"C ratio",IF(ISNUMBER(CA1549),IF(ABS(CA1549-[2]QC_indicators!$B$1)&gt;3*[2]QC_indicators!$C$1,"DF","no"))),IF(ISNUMBER(CA1549),IF(ABS(CA1549-[2]QC_indicators!$B$1)&gt;3*[2]QC_indicators!$C$1,"DF","no")))</f>
        <v>no</v>
      </c>
      <c r="EZ1549" t="s">
        <v>286</v>
      </c>
      <c r="FA1549" t="str">
        <f>IF(LEN($CY1549)=0,"",IF(AND($CY1549&lt;(-0.05),$ES1549="C neutral forest and HWP assumption"),"Cneutral paradox",IF(AND($CY1549&gt;0.05,$EU1549="In-situ only assumption"),"In-situ only paradox","")))</f>
        <v/>
      </c>
      <c r="FD1549" s="260" t="s">
        <v>2948</v>
      </c>
    </row>
    <row r="1550" spans="1:160" ht="15" hidden="1" customHeight="1">
      <c r="A1550" s="1" t="s">
        <v>265</v>
      </c>
      <c r="B1550" t="s">
        <v>266</v>
      </c>
      <c r="C1550" t="s">
        <v>267</v>
      </c>
      <c r="D1550" t="s">
        <v>268</v>
      </c>
      <c r="E1550" t="s">
        <v>269</v>
      </c>
      <c r="F1550" t="s">
        <v>270</v>
      </c>
      <c r="G1550" t="s">
        <v>271</v>
      </c>
      <c r="H1550" t="s">
        <v>254</v>
      </c>
      <c r="I1550">
        <v>2022</v>
      </c>
      <c r="J1550">
        <v>0</v>
      </c>
      <c r="K1550" t="s">
        <v>272</v>
      </c>
      <c r="M1550" t="str">
        <f>LEFT($D1550,FIND(",",$D1550)-1)&amp;"_"&amp;I1550&amp;L1550</f>
        <v>Aryapratama_2022</v>
      </c>
      <c r="N1550" t="s">
        <v>222</v>
      </c>
      <c r="O1550" s="145" t="s">
        <v>274</v>
      </c>
      <c r="Q1550" t="s">
        <v>224</v>
      </c>
      <c r="R1550" s="258" t="s">
        <v>223</v>
      </c>
      <c r="S1550" s="259" t="s">
        <v>2784</v>
      </c>
      <c r="T1550" t="s">
        <v>331</v>
      </c>
      <c r="U1550" t="s">
        <v>332</v>
      </c>
      <c r="V1550" s="253">
        <v>0</v>
      </c>
      <c r="W1550" s="253">
        <v>0</v>
      </c>
      <c r="X1550">
        <v>0</v>
      </c>
      <c r="Y1550">
        <v>0</v>
      </c>
      <c r="Z1550">
        <v>0</v>
      </c>
      <c r="AA1550">
        <v>0</v>
      </c>
      <c r="AB1550">
        <v>0</v>
      </c>
      <c r="AC1550">
        <v>0</v>
      </c>
      <c r="AD1550">
        <v>0</v>
      </c>
      <c r="AE1550">
        <v>0</v>
      </c>
      <c r="AF1550">
        <v>0</v>
      </c>
      <c r="AG1550">
        <v>0</v>
      </c>
      <c r="AH1550">
        <v>0</v>
      </c>
      <c r="AI1550">
        <v>0</v>
      </c>
      <c r="AJ1550">
        <v>0</v>
      </c>
      <c r="AK1550">
        <v>0</v>
      </c>
      <c r="AL1550">
        <v>0</v>
      </c>
      <c r="AM1550">
        <v>1</v>
      </c>
      <c r="AN1550">
        <v>0</v>
      </c>
      <c r="AO1550">
        <v>0</v>
      </c>
      <c r="AP1550">
        <v>0</v>
      </c>
      <c r="AQ1550">
        <v>0</v>
      </c>
      <c r="AR1550">
        <v>0</v>
      </c>
      <c r="AS1550">
        <v>0</v>
      </c>
      <c r="AT1550">
        <v>0</v>
      </c>
      <c r="AU1550">
        <v>0</v>
      </c>
      <c r="AV1550">
        <v>0</v>
      </c>
      <c r="AW1550">
        <v>0</v>
      </c>
      <c r="AX1550">
        <v>0</v>
      </c>
      <c r="AY1550">
        <v>0</v>
      </c>
      <c r="AZ1550" s="141">
        <f>COUNTIF(X1550:AY1550,"&lt;&gt;0")</f>
        <v>1</v>
      </c>
      <c r="BA1550" s="141">
        <f>COUNTIF(X1550:AN1550,"&lt;&gt;0")</f>
        <v>1</v>
      </c>
      <c r="BB1550">
        <f>COUNTIF(X1550:AE1550,"&lt;&gt;0")</f>
        <v>0</v>
      </c>
      <c r="BC1550">
        <f>COUNTIF(AF1550:AK1550,"&lt;&gt;0")</f>
        <v>0</v>
      </c>
      <c r="BD1550">
        <f>COUNTIF(AL1550:AN1550,"&lt;&gt;0")</f>
        <v>1</v>
      </c>
      <c r="BE1550">
        <f>COUNTIF(AU1550:AY1550,"&lt;&gt;0")</f>
        <v>0</v>
      </c>
      <c r="BF1550">
        <f>COUNTIF(AO1550:AT1550,"&lt;&gt;0")</f>
        <v>0</v>
      </c>
      <c r="BG1550" t="str">
        <f t="array" ref="BG1550">IF(BA1550=1,INDEX($X$7:$AN$7,MATCH(TRUE,INDEX($X1550:$AY1550&lt;&gt;0,),0)),IF(BA1550=0,INDEX($AO$7:$AY$7,MATCH(1,$AO1550:$AY1550,0)),IF(BH1550="Multiple strategies","mixed drivers",IF(BH1550="Supply chain","multiple supply","multiple silviculture"))))</f>
        <v>technologies/design switch</v>
      </c>
      <c r="BH1550" s="2" t="str" cm="1">
        <f t="array" ref="BH1550">IF(COUNTIF(BB1550:BD1550,"&lt;&gt;0")=1,INDEX($X$4:$AY$4,MATCH(TRUE,INDEX($X1550:$AY1550&lt;&gt;0,),0)),IF(COUNTIF(BB1550:BD1550,"&lt;&gt;0")=0,INDEX($AO$4:$AY$4,MATCH(1,$AO1550:$AY1550,0)),"Multiple strategies"))</f>
        <v>Technology</v>
      </c>
      <c r="BI1550" s="1" t="s">
        <v>229</v>
      </c>
      <c r="BJ1550" t="s">
        <v>277</v>
      </c>
      <c r="BK1550" s="260" t="s">
        <v>2785</v>
      </c>
      <c r="BL1550" t="s">
        <v>278</v>
      </c>
      <c r="BM1550">
        <v>0</v>
      </c>
      <c r="BN1550">
        <v>48.102641509433973</v>
      </c>
      <c r="BP1550">
        <f>BN1550-BM1550</f>
        <v>48.102641509433973</v>
      </c>
      <c r="BQ1550">
        <f>BP1550*tC_to_m3</f>
        <v>208.86948115255743</v>
      </c>
      <c r="BR1550" t="s">
        <v>232</v>
      </c>
      <c r="BS1550" s="153" t="s">
        <v>2786</v>
      </c>
      <c r="BT1550" t="s">
        <v>279</v>
      </c>
      <c r="BU1550">
        <v>-79.816497751704446</v>
      </c>
      <c r="BV1550">
        <v>69.07494766906801</v>
      </c>
      <c r="BW1550" s="144">
        <f>IFERROR(BV1550/BU1550,"")</f>
        <v>-0.86542193174083415</v>
      </c>
      <c r="BX1550">
        <f>BV1550-BU1550</f>
        <v>148.89144542077247</v>
      </c>
      <c r="BZ1550">
        <f>BX1550</f>
        <v>148.89144542077247</v>
      </c>
      <c r="CA1550">
        <f>IFERROR(BZ1550/BQ1550,"")</f>
        <v>0.71284442609412502</v>
      </c>
      <c r="CB1550">
        <v>0</v>
      </c>
      <c r="CC1550">
        <v>0</v>
      </c>
      <c r="CD1550">
        <v>0</v>
      </c>
      <c r="CE1550">
        <v>0</v>
      </c>
      <c r="CF1550">
        <v>0</v>
      </c>
      <c r="CG1550">
        <v>0</v>
      </c>
      <c r="CH1550">
        <v>0</v>
      </c>
      <c r="CI1550">
        <v>0</v>
      </c>
      <c r="CJ1550">
        <v>0</v>
      </c>
      <c r="CK1550">
        <v>0</v>
      </c>
      <c r="CL1550">
        <v>0</v>
      </c>
      <c r="CM1550">
        <v>0</v>
      </c>
      <c r="CN1550">
        <v>0</v>
      </c>
      <c r="CO1550">
        <v>0</v>
      </c>
      <c r="CP1550" t="str">
        <f>IF($BN1550&lt;$BM1550,"refNeedCorrection","refOK")</f>
        <v>refOK</v>
      </c>
      <c r="CQ1550">
        <f>IF($CP1550="refOK",$BM1550,$BN1550)</f>
        <v>0</v>
      </c>
      <c r="CR1550">
        <f>IF($CP1550="refOK",$BN1550,$BM1550)</f>
        <v>48.102641509433973</v>
      </c>
      <c r="CS1550">
        <f>IF($CP1550="refOK",$BQ1550,-$BQ1550)</f>
        <v>208.86948115255743</v>
      </c>
      <c r="CT1550">
        <f>IF(BI1550="Roundwood",$CS1550/2,$CS1550)</f>
        <v>208.86948115255743</v>
      </c>
      <c r="CU1550">
        <f>IF($CP1550="refOK",$BU1550,$BV1550)*IF($BR1550="Emissions positive",-1,1)</f>
        <v>-79.816497751704446</v>
      </c>
      <c r="CV1550">
        <f>IF($CP1550="refOK",$BV1550,$BU1550)*IF($BR1550="Emissions positive",-1,1)</f>
        <v>69.07494766906801</v>
      </c>
      <c r="CW1550">
        <f>IF($CP1550="refNeedCorrection",-BZ1550,BZ1550)*IF($BR1550="Emissions positive",-1,1)</f>
        <v>148.89144542077247</v>
      </c>
      <c r="CX1550">
        <f>IFERROR($CW1550/$CS1550,"")</f>
        <v>0.71284442609412502</v>
      </c>
      <c r="CY1550">
        <f>IFERROR($CW1550/$CS1550,"")</f>
        <v>0.71284442609412502</v>
      </c>
      <c r="CZ1550">
        <f>IFERROR($CW1550/$CT1550,"")</f>
        <v>0.71284442609412502</v>
      </c>
      <c r="DA1550" s="2">
        <f>IFERROR((CV1550-CU1550)/ABS(CU1550),"")</f>
        <v>1.8654219317408343</v>
      </c>
      <c r="DB1550" s="1" t="s">
        <v>234</v>
      </c>
      <c r="DC1550" t="str">
        <f>IF(OR($DB1550="prd",$DB1550="std",$DB1550="cit"),"loc",IF(OR($DB1550="eur",$DB1550="reg",$DB1550="coy"),"reg",$DB1550))</f>
        <v>loc</v>
      </c>
      <c r="DD1550" t="s">
        <v>280</v>
      </c>
      <c r="DG1550">
        <v>50</v>
      </c>
      <c r="DH1550" t="str">
        <f>IF(DG1550=0,"0",IF(AND(DG1550&gt;=1,DG1550&lt;=30),"1-30",IF(AND(DG1550&gt;30,DG1550&lt;=70),"31-70",IF(AND(DG1550&gt;70,DG1550&lt;=100),"71-100",IF(DG1550&gt;100,"+100")))))</f>
        <v>31-70</v>
      </c>
      <c r="DI1550">
        <v>0</v>
      </c>
      <c r="DJ1550">
        <v>1</v>
      </c>
      <c r="DK1550">
        <v>0</v>
      </c>
      <c r="DL1550">
        <v>0</v>
      </c>
      <c r="DN1550">
        <f>SUM(DI1550:DL1550)</f>
        <v>1</v>
      </c>
      <c r="DO1550" t="str">
        <f>IF(DN1550=1,INDEX($DI$7:$DL$7,MATCH(1,$DI1550:$DL1550,0)),"mixedProduct")</f>
        <v>EnergyInput</v>
      </c>
      <c r="DP1550">
        <f>IF(DI1550=1,DP$7,0)</f>
        <v>0</v>
      </c>
      <c r="DQ1550" t="str">
        <f>IF(DJ1550=1,DQ$7,0)</f>
        <v>Energy</v>
      </c>
      <c r="DR1550">
        <f>IF(DK1550=1,DR$7,0)</f>
        <v>0</v>
      </c>
      <c r="DS1550">
        <f>IF(DL1550=1,DS$7,0)</f>
        <v>0</v>
      </c>
      <c r="DT1550">
        <v>0</v>
      </c>
      <c r="DU1550">
        <v>1</v>
      </c>
      <c r="DV1550" t="s">
        <v>304</v>
      </c>
      <c r="DW1550">
        <v>0</v>
      </c>
      <c r="DX1550">
        <v>0</v>
      </c>
      <c r="DY1550">
        <f>SUM(DT1550:DU1550)</f>
        <v>1</v>
      </c>
      <c r="DZ1550" s="143" t="str">
        <f>IF(DT1550=1,"self-calculated DF",IF(DU1550=1,"external DF used","explicit C balance"))</f>
        <v>external DF used</v>
      </c>
      <c r="EA1550">
        <v>0</v>
      </c>
      <c r="EB1550">
        <v>1</v>
      </c>
      <c r="EC1550">
        <v>1</v>
      </c>
      <c r="ED1550">
        <v>1</v>
      </c>
      <c r="EE1550">
        <v>1</v>
      </c>
      <c r="EF1550" s="143">
        <v>0</v>
      </c>
      <c r="EG1550">
        <v>1</v>
      </c>
      <c r="EH1550">
        <v>1</v>
      </c>
      <c r="EI1550">
        <v>0</v>
      </c>
      <c r="EJ1550">
        <v>1</v>
      </c>
      <c r="EK1550">
        <v>1</v>
      </c>
      <c r="EL1550">
        <v>1</v>
      </c>
      <c r="EM1550">
        <v>0</v>
      </c>
      <c r="EN1550" s="2">
        <v>0</v>
      </c>
      <c r="EP1550" t="str">
        <f>IF(AND(AND(AND(OR($EC1550=1,$EB1550=1),OR($EH1550=1,$EF1550=1)),SUM($EA1550:$EE1550,$EK1550)&gt;=3),SUM($EF1550:$EJ1550)&gt;=2),"Whole sector approach","")</f>
        <v>Whole sector approach</v>
      </c>
      <c r="EQ1550" t="str">
        <f>IF(AND(AND(OR($EC1550=1,$EB1550=1),AND($EH1550=0,$EF1550=0)),SUM($EA1550:$EE1550,$EK1550)&gt;=4),"Ecosystem approach","")</f>
        <v/>
      </c>
      <c r="ER1550" s="2" t="str">
        <f>IF(AND(AND(AND($EC1550=0,$EB1550=0),OR($EH1550=1,$EF1550=1)),SUM($EG1550:$EJ1550)&gt;=2),"Technology approach","")</f>
        <v/>
      </c>
      <c r="ES1550" t="str">
        <f>IF(AND($EC1550+$EB1550+$EE1550+$EA1550+$ED1550+$EG1550=0,$N1550="included"),"C neutral forest and HWP assumption","")</f>
        <v/>
      </c>
      <c r="ET1550" t="str">
        <f>IF(AND(AND(AND(AND($EC1550=1,$EB1550+$EA1550+$EG1550&gt;=1),$EF1550=1),$EH1550+$EI1550+$ED1550+$EE1550&gt;=2),$N1550="included"),"All C pools assumption","")</f>
        <v/>
      </c>
      <c r="EU1550" t="str">
        <f>IF(AND($ED1550+$EE1550+$EI1550+$EH1550+$EF1550=0,$N1550="included"),"In-situ only assumption","")</f>
        <v/>
      </c>
      <c r="EY1550" t="str">
        <f>IF(ISNUMBER(BW1550),IF(ABS(BW1550-[2]QC_indicators!$B$2)&gt;3*[2]QC_indicators!$C$2,"C ratio",IF(ISNUMBER(CA1550),IF(ABS(CA1550-[2]QC_indicators!$B$1)&gt;3*[2]QC_indicators!$C$1,"DF","no"))),IF(ISNUMBER(CA1550),IF(ABS(CA1550-[2]QC_indicators!$B$1)&gt;3*[2]QC_indicators!$C$1,"DF","no")))</f>
        <v>no</v>
      </c>
      <c r="EZ1550" t="s">
        <v>286</v>
      </c>
      <c r="FA1550" t="str">
        <f>IF(LEN($CY1550)=0,"",IF(AND($CY1550&lt;(-0.05),$ES1550="C neutral forest and HWP assumption"),"Cneutral paradox",IF(AND($CY1550&gt;0.05,$EU1550="In-situ only assumption"),"In-situ only paradox","")))</f>
        <v/>
      </c>
      <c r="FD1550" s="260" t="s">
        <v>2948</v>
      </c>
    </row>
    <row r="1551" spans="1:160" ht="15" hidden="1" customHeight="1">
      <c r="A1551" s="1" t="s">
        <v>265</v>
      </c>
      <c r="B1551" t="s">
        <v>266</v>
      </c>
      <c r="C1551" t="s">
        <v>267</v>
      </c>
      <c r="D1551" t="s">
        <v>268</v>
      </c>
      <c r="E1551" t="s">
        <v>269</v>
      </c>
      <c r="F1551" t="s">
        <v>270</v>
      </c>
      <c r="G1551" t="s">
        <v>271</v>
      </c>
      <c r="H1551" t="s">
        <v>254</v>
      </c>
      <c r="I1551">
        <v>2022</v>
      </c>
      <c r="J1551">
        <v>0</v>
      </c>
      <c r="K1551" t="s">
        <v>272</v>
      </c>
      <c r="M1551" t="str">
        <f>LEFT($D1551,FIND(",",$D1551)-1)&amp;"_"&amp;I1551&amp;L1551</f>
        <v>Aryapratama_2022</v>
      </c>
      <c r="N1551" t="s">
        <v>222</v>
      </c>
      <c r="O1551" s="145" t="s">
        <v>274</v>
      </c>
      <c r="Q1551" t="s">
        <v>224</v>
      </c>
      <c r="R1551" s="258" t="s">
        <v>223</v>
      </c>
      <c r="S1551" s="259" t="s">
        <v>2784</v>
      </c>
      <c r="T1551" t="s">
        <v>309</v>
      </c>
      <c r="U1551" t="s">
        <v>310</v>
      </c>
      <c r="V1551" s="253">
        <v>0</v>
      </c>
      <c r="W1551" s="253">
        <v>0</v>
      </c>
      <c r="X1551">
        <v>0</v>
      </c>
      <c r="Y1551">
        <v>0</v>
      </c>
      <c r="Z1551">
        <v>0</v>
      </c>
      <c r="AA1551">
        <v>0</v>
      </c>
      <c r="AB1551">
        <v>0</v>
      </c>
      <c r="AC1551">
        <v>0</v>
      </c>
      <c r="AD1551">
        <v>0</v>
      </c>
      <c r="AE1551">
        <v>0</v>
      </c>
      <c r="AF1551">
        <v>0</v>
      </c>
      <c r="AG1551">
        <v>0</v>
      </c>
      <c r="AH1551">
        <v>0</v>
      </c>
      <c r="AI1551">
        <v>0</v>
      </c>
      <c r="AJ1551">
        <v>0</v>
      </c>
      <c r="AK1551">
        <v>0</v>
      </c>
      <c r="AL1551">
        <v>0</v>
      </c>
      <c r="AM1551">
        <v>1</v>
      </c>
      <c r="AN1551">
        <v>0</v>
      </c>
      <c r="AO1551">
        <v>0</v>
      </c>
      <c r="AP1551">
        <v>0</v>
      </c>
      <c r="AQ1551">
        <v>0</v>
      </c>
      <c r="AR1551">
        <v>0</v>
      </c>
      <c r="AS1551">
        <v>0</v>
      </c>
      <c r="AT1551">
        <v>0</v>
      </c>
      <c r="AU1551">
        <v>0</v>
      </c>
      <c r="AV1551">
        <v>0</v>
      </c>
      <c r="AW1551">
        <v>0</v>
      </c>
      <c r="AX1551">
        <v>0</v>
      </c>
      <c r="AY1551">
        <v>0</v>
      </c>
      <c r="AZ1551" s="141">
        <f>COUNTIF(X1551:AY1551,"&lt;&gt;0")</f>
        <v>1</v>
      </c>
      <c r="BA1551" s="141">
        <f>COUNTIF(X1551:AN1551,"&lt;&gt;0")</f>
        <v>1</v>
      </c>
      <c r="BB1551">
        <f>COUNTIF(X1551:AE1551,"&lt;&gt;0")</f>
        <v>0</v>
      </c>
      <c r="BC1551">
        <f>COUNTIF(AF1551:AK1551,"&lt;&gt;0")</f>
        <v>0</v>
      </c>
      <c r="BD1551">
        <f>COUNTIF(AL1551:AN1551,"&lt;&gt;0")</f>
        <v>1</v>
      </c>
      <c r="BE1551">
        <f>COUNTIF(AU1551:AY1551,"&lt;&gt;0")</f>
        <v>0</v>
      </c>
      <c r="BF1551">
        <f>COUNTIF(AO1551:AT1551,"&lt;&gt;0")</f>
        <v>0</v>
      </c>
      <c r="BG1551" t="str">
        <f t="array" ref="BG1551">IF(BA1551=1,INDEX($X$7:$AN$7,MATCH(TRUE,INDEX($X1551:$AY1551&lt;&gt;0,),0)),IF(BA1551=0,INDEX($AO$7:$AY$7,MATCH(1,$AO1551:$AY1551,0)),IF(BH1551="Multiple strategies","mixed drivers",IF(BH1551="Supply chain","multiple supply","multiple silviculture"))))</f>
        <v>technologies/design switch</v>
      </c>
      <c r="BH1551" s="2" t="str" cm="1">
        <f t="array" ref="BH1551">IF(COUNTIF(BB1551:BD1551,"&lt;&gt;0")=1,INDEX($X$4:$AY$4,MATCH(TRUE,INDEX($X1551:$AY1551&lt;&gt;0,),0)),IF(COUNTIF(BB1551:BD1551,"&lt;&gt;0")=0,INDEX($AO$4:$AY$4,MATCH(1,$AO1551:$AY1551,0)),"Multiple strategies"))</f>
        <v>Technology</v>
      </c>
      <c r="BI1551" s="1" t="s">
        <v>229</v>
      </c>
      <c r="BJ1551" t="s">
        <v>277</v>
      </c>
      <c r="BL1551" t="s">
        <v>278</v>
      </c>
      <c r="BM1551">
        <v>0</v>
      </c>
      <c r="BN1551">
        <v>0</v>
      </c>
      <c r="BP1551">
        <f>BN1551-BM1551</f>
        <v>0</v>
      </c>
      <c r="BQ1551">
        <f>BP1551*tC_to_m3</f>
        <v>0</v>
      </c>
      <c r="BR1551" t="s">
        <v>232</v>
      </c>
      <c r="BS1551" s="153" t="s">
        <v>2786</v>
      </c>
      <c r="BT1551" t="s">
        <v>279</v>
      </c>
      <c r="BU1551">
        <v>0</v>
      </c>
      <c r="BV1551">
        <v>161.1445967933179</v>
      </c>
      <c r="BW1551" s="144" t="str">
        <f>IFERROR(BV1551/BU1551,"")</f>
        <v/>
      </c>
      <c r="BX1551">
        <f>BV1551-BU1551</f>
        <v>161.1445967933179</v>
      </c>
      <c r="BZ1551">
        <f>BX1551</f>
        <v>161.1445967933179</v>
      </c>
      <c r="CA1551" t="str">
        <f>IFERROR(BZ1551/BQ1551,"")</f>
        <v/>
      </c>
      <c r="CB1551">
        <v>0</v>
      </c>
      <c r="CC1551">
        <v>0</v>
      </c>
      <c r="CD1551">
        <v>0</v>
      </c>
      <c r="CE1551">
        <v>0</v>
      </c>
      <c r="CF1551">
        <v>0</v>
      </c>
      <c r="CG1551">
        <v>0</v>
      </c>
      <c r="CH1551">
        <v>0</v>
      </c>
      <c r="CI1551">
        <v>0</v>
      </c>
      <c r="CJ1551">
        <v>0</v>
      </c>
      <c r="CK1551">
        <v>0</v>
      </c>
      <c r="CL1551">
        <v>0</v>
      </c>
      <c r="CM1551">
        <v>0</v>
      </c>
      <c r="CN1551">
        <v>0</v>
      </c>
      <c r="CO1551">
        <v>0</v>
      </c>
      <c r="CP1551" t="str">
        <f>IF(BN1551&lt;BM1551,"refNeedCorrection","refOK")</f>
        <v>refOK</v>
      </c>
      <c r="CQ1551">
        <f>IF($CP1551="refOK",$BM1551,$BN1551)</f>
        <v>0</v>
      </c>
      <c r="CR1551">
        <f>IF($CP1551="refOK",$BN1551,$BM1551)</f>
        <v>0</v>
      </c>
      <c r="CS1551">
        <f>IF($CP1551="refOK",$BQ1551,-$BQ1551)</f>
        <v>0</v>
      </c>
      <c r="CT1551">
        <f>IF(BI1551="Roundwood",$CS1551/2,$CS1551)</f>
        <v>0</v>
      </c>
      <c r="CU1551">
        <f>IF($CP1551="refOK",$BU1551,$BV1551)*IF($BR1551="Emissions positive",-1,1)</f>
        <v>0</v>
      </c>
      <c r="CV1551">
        <f>IF($CP1551="refOK",$BV1551,$BU1551)*IF($BR1551="Emissions positive",-1,1)</f>
        <v>161.1445967933179</v>
      </c>
      <c r="CW1551">
        <f>IF($CP1551="refNeedCorrection",-BZ1551,BZ1551)*IF($BR1551="Emissions positive",-1,1)</f>
        <v>161.1445967933179</v>
      </c>
      <c r="CX1551" t="str">
        <f>IFERROR($CW1551/$CS1551,"")</f>
        <v/>
      </c>
      <c r="CY1551" t="str">
        <f>IFERROR($CW1551/$CS1551,"")</f>
        <v/>
      </c>
      <c r="CZ1551" t="str">
        <f>IFERROR($CW1551/$CT1551,"")</f>
        <v/>
      </c>
      <c r="DA1551" s="2" t="str">
        <f>IFERROR((CV1551-CU1551)/ABS(CU1551),"")</f>
        <v/>
      </c>
      <c r="DB1551" s="1" t="s">
        <v>234</v>
      </c>
      <c r="DC1551" t="str">
        <f>IF(OR($DB1551="prd",$DB1551="std",$DB1551="cit"),"loc",IF(OR($DB1551="eur",$DB1551="reg",$DB1551="coy"),"reg",$DB1551))</f>
        <v>loc</v>
      </c>
      <c r="DD1551" t="s">
        <v>280</v>
      </c>
      <c r="DG1551">
        <v>50</v>
      </c>
      <c r="DH1551" t="str">
        <f>IF(DG1551=0,"0",IF(AND(DG1551&gt;=1,DG1551&lt;=30),"1-30",IF(AND(DG1551&gt;30,DG1551&lt;=70),"31-70",IF(AND(DG1551&gt;70,DG1551&lt;=100),"71-100",IF(DG1551&gt;100,"+100")))))</f>
        <v>31-70</v>
      </c>
      <c r="DI1551">
        <v>0</v>
      </c>
      <c r="DJ1551">
        <v>0</v>
      </c>
      <c r="DK1551">
        <v>0</v>
      </c>
      <c r="DL1551">
        <v>1</v>
      </c>
      <c r="DN1551">
        <f>SUM(DI1551:DL1551)</f>
        <v>1</v>
      </c>
      <c r="DO1551" t="str">
        <f>IF(DN1551=1,INDEX($DI$7:$DL$7,MATCH(1,$DI1551:$DL1551,0)),"mixedProduct")</f>
        <v>TimberInput</v>
      </c>
      <c r="DP1551">
        <f>IF(DI1551=1,DP$7,0)</f>
        <v>0</v>
      </c>
      <c r="DQ1551">
        <f>IF(DJ1551=1,DQ$7,0)</f>
        <v>0</v>
      </c>
      <c r="DR1551">
        <f>IF(DK1551=1,DR$7,0)</f>
        <v>0</v>
      </c>
      <c r="DS1551" t="str">
        <f>IF(DL1551=1,DS$7,0)</f>
        <v>Timber</v>
      </c>
      <c r="DT1551">
        <v>0</v>
      </c>
      <c r="DU1551">
        <v>1</v>
      </c>
      <c r="DV1551" t="s">
        <v>304</v>
      </c>
      <c r="DW1551">
        <v>0</v>
      </c>
      <c r="DX1551">
        <v>0</v>
      </c>
      <c r="DY1551">
        <f>SUM(DT1551:DU1551)</f>
        <v>1</v>
      </c>
      <c r="DZ1551" s="143" t="str">
        <f>IF(DT1551=1,"self-calculated DF",IF(DU1551=1,"external DF used","explicit C balance"))</f>
        <v>external DF used</v>
      </c>
      <c r="EA1551">
        <v>0</v>
      </c>
      <c r="EB1551">
        <v>1</v>
      </c>
      <c r="EC1551">
        <v>1</v>
      </c>
      <c r="ED1551">
        <v>1</v>
      </c>
      <c r="EE1551">
        <v>1</v>
      </c>
      <c r="EF1551" s="143">
        <v>0</v>
      </c>
      <c r="EG1551">
        <v>1</v>
      </c>
      <c r="EH1551">
        <v>1</v>
      </c>
      <c r="EI1551">
        <v>0</v>
      </c>
      <c r="EJ1551">
        <v>1</v>
      </c>
      <c r="EK1551">
        <v>1</v>
      </c>
      <c r="EL1551">
        <v>1</v>
      </c>
      <c r="EM1551">
        <v>0</v>
      </c>
      <c r="EN1551" s="2">
        <v>0</v>
      </c>
      <c r="EP1551" t="str">
        <f>IF(AND(AND(AND(OR($EC1551=1,$EB1551=1),OR($EH1551=1,$EF1551=1)),SUM($EA1551:$EE1551,$EK1551)&gt;=3),SUM($EF1551:$EJ1551)&gt;=2),"Whole sector approach","")</f>
        <v>Whole sector approach</v>
      </c>
      <c r="EQ1551" t="str">
        <f>IF(AND(AND(OR($EC1551=1,$EB1551=1),AND($EH1551=0,$EF1551=0)),SUM($EA1551:$EE1551,$EK1551)&gt;=4),"Ecosystem approach","")</f>
        <v/>
      </c>
      <c r="ER1551" s="2" t="str">
        <f>IF(AND(AND(AND($EC1551=0,$EB1551=0),OR($EH1551=1,$EF1551=1)),SUM($EG1551:$EJ1551)&gt;=2),"Technology approach","")</f>
        <v/>
      </c>
      <c r="ES1551" t="str">
        <f>IF(AND($EC1551+$EB1551+$EE1551+$EA1551+$ED1551+$EG1551=0,$N1551="included"),"C neutral forest and HWP assumption","")</f>
        <v/>
      </c>
      <c r="ET1551" t="str">
        <f>IF(AND(AND(AND(AND($EC1551=1,$EB1551+$EA1551+$EG1551&gt;=1),$EF1551=1),$EH1551+$EI1551+$ED1551+$EE1551&gt;=2),$N1551="included"),"All C pools assumption","")</f>
        <v/>
      </c>
      <c r="EU1551" t="str">
        <f>IF(AND($ED1551+$EE1551+$EI1551+$EH1551+$EF1551=0,$N1551="included"),"In-situ only assumption","")</f>
        <v/>
      </c>
      <c r="EY1551" t="b">
        <f>IF(ISNUMBER(BW1551),IF(ABS(BW1551-[2]QC_indicators!$B$2)&gt;3*[2]QC_indicators!$C$2,"C ratio",IF(ISNUMBER(CA1551),IF(ABS(CA1551-[2]QC_indicators!$B$1)&gt;3*[2]QC_indicators!$C$1,"DF","no"))),IF(ISNUMBER(CA1551),IF(ABS(CA1551-[2]QC_indicators!$B$1)&gt;3*[2]QC_indicators!$C$1,"DF","no")))</f>
        <v>0</v>
      </c>
      <c r="EZ1551" t="s">
        <v>286</v>
      </c>
      <c r="FA1551" t="str">
        <f>IF(LEN($CY1551)=0,"",IF(AND($CY1551&lt;(-0.05),$ES1551="C neutral forest and HWP assumption"),"Cneutral paradox",IF(AND($CY1551&gt;0.05,$EU1551="In-situ only assumption"),"In-situ only paradox","")))</f>
        <v/>
      </c>
      <c r="FD1551" s="260" t="s">
        <v>2948</v>
      </c>
    </row>
    <row r="1552" spans="1:160" ht="15" hidden="1" customHeight="1">
      <c r="A1552" s="1" t="s">
        <v>265</v>
      </c>
      <c r="B1552" t="s">
        <v>266</v>
      </c>
      <c r="C1552" t="s">
        <v>267</v>
      </c>
      <c r="D1552" t="s">
        <v>268</v>
      </c>
      <c r="E1552" t="s">
        <v>269</v>
      </c>
      <c r="F1552" t="s">
        <v>270</v>
      </c>
      <c r="G1552" t="s">
        <v>271</v>
      </c>
      <c r="H1552" t="s">
        <v>254</v>
      </c>
      <c r="I1552">
        <v>2022</v>
      </c>
      <c r="J1552">
        <v>0</v>
      </c>
      <c r="K1552" t="s">
        <v>272</v>
      </c>
      <c r="M1552" t="str">
        <f>LEFT($D1552,FIND(",",$D1552)-1)&amp;"_"&amp;I1552&amp;L1552</f>
        <v>Aryapratama_2022</v>
      </c>
      <c r="N1552" t="s">
        <v>222</v>
      </c>
      <c r="O1552" s="145" t="s">
        <v>274</v>
      </c>
      <c r="Q1552" t="s">
        <v>224</v>
      </c>
      <c r="R1552" s="258" t="s">
        <v>223</v>
      </c>
      <c r="S1552" s="259" t="s">
        <v>2787</v>
      </c>
      <c r="T1552" t="s">
        <v>283</v>
      </c>
      <c r="U1552" t="s">
        <v>284</v>
      </c>
      <c r="V1552" s="253">
        <v>0</v>
      </c>
      <c r="W1552" s="253">
        <v>0</v>
      </c>
      <c r="X1552">
        <v>0</v>
      </c>
      <c r="Y1552">
        <v>0</v>
      </c>
      <c r="Z1552">
        <v>0</v>
      </c>
      <c r="AA1552">
        <v>0</v>
      </c>
      <c r="AB1552">
        <v>0</v>
      </c>
      <c r="AC1552">
        <v>0</v>
      </c>
      <c r="AD1552">
        <v>0</v>
      </c>
      <c r="AE1552">
        <v>0</v>
      </c>
      <c r="AF1552">
        <v>1</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s="141">
        <f>COUNTIF(X1552:AY1552,"&lt;&gt;0")</f>
        <v>1</v>
      </c>
      <c r="BA1552" s="141">
        <f>COUNTIF(X1552:AN1552,"&lt;&gt;0")</f>
        <v>1</v>
      </c>
      <c r="BB1552">
        <f>COUNTIF(X1552:AE1552,"&lt;&gt;0")</f>
        <v>0</v>
      </c>
      <c r="BC1552">
        <f>COUNTIF(AF1552:AK1552,"&lt;&gt;0")</f>
        <v>1</v>
      </c>
      <c r="BD1552">
        <f>COUNTIF(AL1552:AN1552,"&lt;&gt;0")</f>
        <v>0</v>
      </c>
      <c r="BE1552">
        <f>COUNTIF(AU1552:AY1552,"&lt;&gt;0")</f>
        <v>0</v>
      </c>
      <c r="BF1552">
        <f>COUNTIF(AO1552:AT1552,"&lt;&gt;0")</f>
        <v>0</v>
      </c>
      <c r="BG1552" t="str">
        <f t="array" ref="BG1552">IF(BA1552=1,INDEX($X$7:$AN$7,MATCH(TRUE,INDEX($X1552:$AY1552&lt;&gt;0,),0)),IF(BA1552=0,INDEX($AO$7:$AY$7,MATCH(1,$AO1552:$AY1552,0)),IF(BH1552="Multiple strategies","mixed drivers",IF(BH1552="Supply chain","multiple supply","multiple silviculture"))))</f>
        <v>harvesting system</v>
      </c>
      <c r="BH1552" s="2" t="str" cm="1">
        <f t="array" ref="BH1552">IF(COUNTIF(BB1552:BD1552,"&lt;&gt;0")=1,INDEX($X$4:$AY$4,MATCH(TRUE,INDEX($X1552:$AY1552&lt;&gt;0,),0)),IF(COUNTIF(BB1552:BD1552,"&lt;&gt;0")=0,INDEX($AO$4:$AY$4,MATCH(1,$AO1552:$AY1552,0)),"Multiple strategies"))</f>
        <v>Supply chain</v>
      </c>
      <c r="BI1552" s="1" t="s">
        <v>229</v>
      </c>
      <c r="BJ1552" t="s">
        <v>285</v>
      </c>
      <c r="BL1552" t="s">
        <v>278</v>
      </c>
      <c r="BM1552">
        <v>34.69360784543791</v>
      </c>
      <c r="BN1552">
        <v>34.69360784543791</v>
      </c>
      <c r="BO1552">
        <f>BN1552/BM1552</f>
        <v>1</v>
      </c>
      <c r="BP1552">
        <f>BN1552-BM1552</f>
        <v>0</v>
      </c>
      <c r="BQ1552">
        <f>BP1552*tC_to_m3</f>
        <v>0</v>
      </c>
      <c r="BR1552" t="s">
        <v>232</v>
      </c>
      <c r="BS1552" s="153" t="s">
        <v>2786</v>
      </c>
      <c r="BT1552" t="s">
        <v>279</v>
      </c>
      <c r="BU1552">
        <v>739.24076084648095</v>
      </c>
      <c r="BV1552">
        <v>377.50107760210591</v>
      </c>
      <c r="BW1552" s="144">
        <f>IFERROR(BV1552/BU1552,"")</f>
        <v>0.51066052847226862</v>
      </c>
      <c r="BX1552">
        <f>BV1552-BU1552</f>
        <v>-361.73968324437504</v>
      </c>
      <c r="BZ1552">
        <f>BX1552</f>
        <v>-361.73968324437504</v>
      </c>
      <c r="CA1552" t="str">
        <f>IFERROR(BZ1552/BQ1552,"")</f>
        <v/>
      </c>
      <c r="CB1552">
        <v>0</v>
      </c>
      <c r="CC1552">
        <v>0</v>
      </c>
      <c r="CD1552">
        <v>0</v>
      </c>
      <c r="CE1552">
        <v>0</v>
      </c>
      <c r="CF1552">
        <v>0</v>
      </c>
      <c r="CG1552">
        <v>0</v>
      </c>
      <c r="CH1552">
        <v>0</v>
      </c>
      <c r="CI1552">
        <v>0</v>
      </c>
      <c r="CJ1552">
        <v>0</v>
      </c>
      <c r="CK1552">
        <v>0</v>
      </c>
      <c r="CL1552">
        <v>0</v>
      </c>
      <c r="CM1552">
        <v>0</v>
      </c>
      <c r="CN1552">
        <v>0</v>
      </c>
      <c r="CO1552">
        <v>0</v>
      </c>
      <c r="CP1552" t="str">
        <f>IF($BN1552&lt;$BM1552,"refNeedCorrection","refOK")</f>
        <v>refOK</v>
      </c>
      <c r="CQ1552">
        <f>IF($CP1552="refOK",$BM1552,$BN1552)</f>
        <v>34.69360784543791</v>
      </c>
      <c r="CR1552">
        <f>IF($CP1552="refOK",$BN1552,$BM1552)</f>
        <v>34.69360784543791</v>
      </c>
      <c r="CS1552">
        <f>IF($CP1552="refOK",$BQ1552,-$BQ1552)</f>
        <v>0</v>
      </c>
      <c r="CT1552">
        <f>IF(BI1552="Roundwood",$CS1552/2,$CS1552)</f>
        <v>0</v>
      </c>
      <c r="CU1552">
        <f>IF($CP1552="refOK",$BU1552,$BV1552)*IF($BR1552="Emissions positive",-1,1)</f>
        <v>739.24076084648095</v>
      </c>
      <c r="CV1552">
        <f>IF($CP1552="refOK",$BV1552,$BU1552)*IF($BR1552="Emissions positive",-1,1)</f>
        <v>377.50107760210591</v>
      </c>
      <c r="CW1552">
        <f>IF($CP1552="refNeedCorrection",-BZ1552,BZ1552)*IF($BR1552="Emissions positive",-1,1)</f>
        <v>-361.73968324437504</v>
      </c>
      <c r="CX1552" t="str">
        <f>IFERROR($CW1552/$CS1552,"")</f>
        <v/>
      </c>
      <c r="CY1552" t="str">
        <f>IFERROR($CW1552/$CS1552,"")</f>
        <v/>
      </c>
      <c r="CZ1552" t="str">
        <f>IFERROR($CW1552/$CT1552,"")</f>
        <v/>
      </c>
      <c r="DA1552" s="2">
        <f>IFERROR((CV1552-CU1552)/ABS(CU1552),"")</f>
        <v>-0.48933947152773138</v>
      </c>
      <c r="DB1552" s="1" t="s">
        <v>234</v>
      </c>
      <c r="DC1552" t="str">
        <f>IF(OR($DB1552="prd",$DB1552="std",$DB1552="cit"),"loc",IF(OR($DB1552="eur",$DB1552="reg",$DB1552="coy"),"reg",$DB1552))</f>
        <v>loc</v>
      </c>
      <c r="DD1552" t="s">
        <v>280</v>
      </c>
      <c r="DG1552">
        <v>200</v>
      </c>
      <c r="DH1552" t="str">
        <f>IF(DG1552=0,"0",IF(AND(DG1552&gt;=1,DG1552&lt;=30),"1-30",IF(AND(DG1552&gt;30,DG1552&lt;=70),"31-70",IF(AND(DG1552&gt;70,DG1552&lt;=100),"71-100",IF(DG1552&gt;100,"+100")))))</f>
        <v>+100</v>
      </c>
      <c r="DI1552">
        <v>0</v>
      </c>
      <c r="DJ1552">
        <v>0</v>
      </c>
      <c r="DK1552">
        <v>0</v>
      </c>
      <c r="DL1552">
        <v>1</v>
      </c>
      <c r="DN1552">
        <f>SUM(DI1552:DL1552)</f>
        <v>1</v>
      </c>
      <c r="DO1552" t="str">
        <f>IF(DN1552=1,INDEX($DI$7:$DL$7,MATCH(1,$DI1552:$DL1552,0)),"mixedProduct")</f>
        <v>TimberInput</v>
      </c>
      <c r="DP1552">
        <f>IF(DI1552=1,DP$7,0)</f>
        <v>0</v>
      </c>
      <c r="DQ1552">
        <f>IF(DJ1552=1,DQ$7,0)</f>
        <v>0</v>
      </c>
      <c r="DR1552">
        <f>IF(DK1552=1,DR$7,0)</f>
        <v>0</v>
      </c>
      <c r="DS1552" t="str">
        <f>IF(DL1552=1,DS$7,0)</f>
        <v>Timber</v>
      </c>
      <c r="DT1552">
        <v>0</v>
      </c>
      <c r="DU1552">
        <v>1</v>
      </c>
      <c r="DV1552">
        <v>0</v>
      </c>
      <c r="DW1552" t="s">
        <v>281</v>
      </c>
      <c r="DX1552">
        <v>0</v>
      </c>
      <c r="DY1552">
        <f>SUM(DT1552:DU1552)</f>
        <v>1</v>
      </c>
      <c r="DZ1552" s="143" t="str">
        <f>IF(DT1552=1,"self-calculated DF",IF(DU1552=1,"external DF used","explicit C balance"))</f>
        <v>external DF used</v>
      </c>
      <c r="EA1552">
        <v>0</v>
      </c>
      <c r="EB1552">
        <v>1</v>
      </c>
      <c r="EC1552">
        <v>1</v>
      </c>
      <c r="ED1552">
        <v>1</v>
      </c>
      <c r="EE1552">
        <v>1</v>
      </c>
      <c r="EF1552" s="143">
        <v>0</v>
      </c>
      <c r="EG1552">
        <v>1</v>
      </c>
      <c r="EH1552">
        <v>1</v>
      </c>
      <c r="EI1552">
        <v>0</v>
      </c>
      <c r="EJ1552">
        <v>1</v>
      </c>
      <c r="EK1552">
        <v>1</v>
      </c>
      <c r="EL1552">
        <v>1</v>
      </c>
      <c r="EM1552">
        <v>0</v>
      </c>
      <c r="EN1552" s="2">
        <v>0</v>
      </c>
      <c r="EP1552" t="str">
        <f>IF(AND(AND(AND(OR($EC1552=1,$EB1552=1),OR($EH1552=1,$EF1552=1)),SUM($EA1552:$EE1552,$EK1552)&gt;=3),SUM($EF1552:$EJ1552)&gt;=2),"Whole sector approach","")</f>
        <v>Whole sector approach</v>
      </c>
      <c r="EQ1552" t="str">
        <f>IF(AND(AND(OR($EC1552=1,$EB1552=1),AND($EH1552=0,$EF1552=0)),SUM($EA1552:$EE1552,$EK1552)&gt;=4),"Ecosystem approach","")</f>
        <v/>
      </c>
      <c r="ER1552" s="2" t="str">
        <f>IF(AND(AND(AND($EC1552=0,$EB1552=0),OR($EH1552=1,$EF1552=1)),SUM($EG1552:$EJ1552)&gt;=2),"Technology approach","")</f>
        <v/>
      </c>
      <c r="ES1552" t="str">
        <f>IF(AND($EC1552+$EB1552+$EE1552+$EA1552+$ED1552+$EG1552=0,$N1552="included"),"C neutral forest and HWP assumption","")</f>
        <v/>
      </c>
      <c r="ET1552" t="str">
        <f>IF(AND(AND(AND(AND($EC1552=1,$EB1552+$EA1552+$EG1552&gt;=1),$EF1552=1),$EH1552+$EI1552+$ED1552+$EE1552&gt;=2),$N1552="included"),"All C pools assumption","")</f>
        <v/>
      </c>
      <c r="EU1552" t="str">
        <f>IF(AND($ED1552+$EE1552+$EI1552+$EH1552+$EF1552=0,$N1552="included"),"In-situ only assumption","")</f>
        <v/>
      </c>
      <c r="EY1552" t="b">
        <f>IF(ISNUMBER(BW1552),IF(ABS(BW1552-[2]QC_indicators!$B$2)&gt;3*[2]QC_indicators!$C$2,"C ratio",IF(ISNUMBER(CA1552),IF(ABS(CA1552-[2]QC_indicators!$B$1)&gt;3*[2]QC_indicators!$C$1,"DF","no"))),IF(ISNUMBER(CA1552),IF(ABS(CA1552-[2]QC_indicators!$B$1)&gt;3*[2]QC_indicators!$C$1,"DF","no")))</f>
        <v>0</v>
      </c>
      <c r="EZ1552" t="s">
        <v>286</v>
      </c>
      <c r="FA1552" t="str">
        <f>IF(LEN($CY1552)=0,"",IF(AND($CY1552&lt;(-0.05),$ES1552="C neutral forest and HWP assumption"),"Cneutral paradox",IF(AND($CY1552&gt;0.05,$EU1552="In-situ only assumption"),"In-situ only paradox","")))</f>
        <v/>
      </c>
      <c r="FD1552" s="260" t="s">
        <v>2948</v>
      </c>
    </row>
    <row r="1553" spans="1:160" ht="15" hidden="1" customHeight="1">
      <c r="A1553" s="1" t="s">
        <v>265</v>
      </c>
      <c r="B1553" t="s">
        <v>266</v>
      </c>
      <c r="C1553" t="s">
        <v>267</v>
      </c>
      <c r="D1553" t="s">
        <v>268</v>
      </c>
      <c r="E1553" t="s">
        <v>269</v>
      </c>
      <c r="F1553" t="s">
        <v>270</v>
      </c>
      <c r="G1553" t="s">
        <v>271</v>
      </c>
      <c r="H1553" t="s">
        <v>254</v>
      </c>
      <c r="I1553">
        <v>2022</v>
      </c>
      <c r="J1553">
        <v>0</v>
      </c>
      <c r="K1553" t="s">
        <v>272</v>
      </c>
      <c r="M1553" t="str">
        <f>LEFT($D1553,FIND(",",$D1553)-1)&amp;"_"&amp;I1553&amp;L1553</f>
        <v>Aryapratama_2022</v>
      </c>
      <c r="N1553" t="s">
        <v>222</v>
      </c>
      <c r="O1553" s="145" t="s">
        <v>274</v>
      </c>
      <c r="Q1553" t="s">
        <v>224</v>
      </c>
      <c r="R1553" s="258" t="s">
        <v>223</v>
      </c>
      <c r="S1553" s="259" t="s">
        <v>2787</v>
      </c>
      <c r="T1553" t="s">
        <v>283</v>
      </c>
      <c r="U1553" t="s">
        <v>284</v>
      </c>
      <c r="V1553" s="253">
        <v>0</v>
      </c>
      <c r="W1553" s="253">
        <v>0</v>
      </c>
      <c r="X1553">
        <v>0</v>
      </c>
      <c r="Y1553">
        <v>0</v>
      </c>
      <c r="Z1553">
        <v>0</v>
      </c>
      <c r="AA1553">
        <v>0</v>
      </c>
      <c r="AB1553">
        <v>0</v>
      </c>
      <c r="AC1553">
        <v>0</v>
      </c>
      <c r="AD1553">
        <v>0</v>
      </c>
      <c r="AE1553">
        <v>0</v>
      </c>
      <c r="AF1553">
        <v>1</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s="141">
        <f>COUNTIF(X1553:AY1553,"&lt;&gt;0")</f>
        <v>1</v>
      </c>
      <c r="BA1553" s="141">
        <f>COUNTIF(X1553:AN1553,"&lt;&gt;0")</f>
        <v>1</v>
      </c>
      <c r="BB1553">
        <f>COUNTIF(X1553:AE1553,"&lt;&gt;0")</f>
        <v>0</v>
      </c>
      <c r="BC1553">
        <f>COUNTIF(AF1553:AK1553,"&lt;&gt;0")</f>
        <v>1</v>
      </c>
      <c r="BD1553">
        <f>COUNTIF(AL1553:AN1553,"&lt;&gt;0")</f>
        <v>0</v>
      </c>
      <c r="BE1553">
        <f>COUNTIF(AU1553:AY1553,"&lt;&gt;0")</f>
        <v>0</v>
      </c>
      <c r="BF1553">
        <f>COUNTIF(AO1553:AT1553,"&lt;&gt;0")</f>
        <v>0</v>
      </c>
      <c r="BG1553" t="str">
        <f t="array" ref="BG1553">IF(BA1553=1,INDEX($X$7:$AN$7,MATCH(TRUE,INDEX($X1553:$AY1553&lt;&gt;0,),0)),IF(BA1553=0,INDEX($AO$7:$AY$7,MATCH(1,$AO1553:$AY1553,0)),IF(BH1553="Multiple strategies","mixed drivers",IF(BH1553="Supply chain","multiple supply","multiple silviculture"))))</f>
        <v>harvesting system</v>
      </c>
      <c r="BH1553" s="2" t="str" cm="1">
        <f t="array" ref="BH1553">IF(COUNTIF(BB1553:BD1553,"&lt;&gt;0")=1,INDEX($X$4:$AY$4,MATCH(TRUE,INDEX($X1553:$AY1553&lt;&gt;0,),0)),IF(COUNTIF(BB1553:BD1553,"&lt;&gt;0")=0,INDEX($AO$4:$AY$4,MATCH(1,$AO1553:$AY1553,0)),"Multiple strategies"))</f>
        <v>Supply chain</v>
      </c>
      <c r="BI1553" s="1" t="s">
        <v>229</v>
      </c>
      <c r="BJ1553" t="s">
        <v>285</v>
      </c>
      <c r="BL1553" t="s">
        <v>278</v>
      </c>
      <c r="BM1553">
        <v>17.346803922718955</v>
      </c>
      <c r="BN1553">
        <v>17.346803922718955</v>
      </c>
      <c r="BO1553">
        <f>BN1553/BM1553</f>
        <v>1</v>
      </c>
      <c r="BP1553">
        <f>BN1553-BM1553</f>
        <v>0</v>
      </c>
      <c r="BQ1553">
        <f>BP1553*tC_to_m3</f>
        <v>0</v>
      </c>
      <c r="BR1553" t="s">
        <v>232</v>
      </c>
      <c r="BS1553" s="153" t="s">
        <v>2786</v>
      </c>
      <c r="BT1553" t="s">
        <v>279</v>
      </c>
      <c r="BU1553">
        <v>369.9239668180054</v>
      </c>
      <c r="BV1553">
        <v>192.24097622198209</v>
      </c>
      <c r="BW1553" s="144">
        <f>IFERROR(BV1553/BU1553,"")</f>
        <v>0.51967699707480841</v>
      </c>
      <c r="BX1553">
        <f>BV1553-BU1553</f>
        <v>-177.6829905960233</v>
      </c>
      <c r="BZ1553">
        <f>BX1553</f>
        <v>-177.6829905960233</v>
      </c>
      <c r="CA1553" t="str">
        <f>IFERROR(BZ1553/BQ1553,"")</f>
        <v/>
      </c>
      <c r="CB1553">
        <v>0</v>
      </c>
      <c r="CC1553">
        <v>0</v>
      </c>
      <c r="CD1553">
        <v>0</v>
      </c>
      <c r="CE1553">
        <v>0</v>
      </c>
      <c r="CF1553">
        <v>0</v>
      </c>
      <c r="CG1553">
        <v>0</v>
      </c>
      <c r="CH1553">
        <v>0</v>
      </c>
      <c r="CI1553">
        <v>0</v>
      </c>
      <c r="CJ1553">
        <v>0</v>
      </c>
      <c r="CK1553">
        <v>0</v>
      </c>
      <c r="CL1553">
        <v>0</v>
      </c>
      <c r="CM1553">
        <v>0</v>
      </c>
      <c r="CN1553">
        <v>0</v>
      </c>
      <c r="CO1553">
        <v>0</v>
      </c>
      <c r="CP1553" t="str">
        <f>IF($BN1553&lt;$BM1553,"refNeedCorrection","refOK")</f>
        <v>refOK</v>
      </c>
      <c r="CQ1553">
        <f>IF($CP1553="refOK",$BM1553,$BN1553)</f>
        <v>17.346803922718955</v>
      </c>
      <c r="CR1553">
        <f>IF($CP1553="refOK",$BN1553,$BM1553)</f>
        <v>17.346803922718955</v>
      </c>
      <c r="CS1553">
        <f>IF($CP1553="refOK",$BQ1553,-$BQ1553)</f>
        <v>0</v>
      </c>
      <c r="CT1553">
        <f>IF(BI1553="Roundwood",$CS1553/2,$CS1553)</f>
        <v>0</v>
      </c>
      <c r="CU1553">
        <f>IF($CP1553="refOK",$BU1553,$BV1553)*IF($BR1553="Emissions positive",-1,1)</f>
        <v>369.9239668180054</v>
      </c>
      <c r="CV1553">
        <f>IF($CP1553="refOK",$BV1553,$BU1553)*IF($BR1553="Emissions positive",-1,1)</f>
        <v>192.24097622198209</v>
      </c>
      <c r="CW1553">
        <f>IF($CP1553="refNeedCorrection",-BZ1553,BZ1553)*IF($BR1553="Emissions positive",-1,1)</f>
        <v>-177.6829905960233</v>
      </c>
      <c r="CX1553" t="str">
        <f>IFERROR($CW1553/$CS1553,"")</f>
        <v/>
      </c>
      <c r="CY1553" t="str">
        <f>IFERROR($CW1553/$CS1553,"")</f>
        <v/>
      </c>
      <c r="CZ1553" t="str">
        <f>IFERROR($CW1553/$CT1553,"")</f>
        <v/>
      </c>
      <c r="DA1553" s="2">
        <f>IFERROR((CV1553-CU1553)/ABS(CU1553),"")</f>
        <v>-0.48032300292519164</v>
      </c>
      <c r="DB1553" s="1" t="s">
        <v>234</v>
      </c>
      <c r="DC1553" t="str">
        <f>IF(OR($DB1553="prd",$DB1553="std",$DB1553="cit"),"loc",IF(OR($DB1553="eur",$DB1553="reg",$DB1553="coy"),"reg",$DB1553))</f>
        <v>loc</v>
      </c>
      <c r="DD1553" t="s">
        <v>280</v>
      </c>
      <c r="DG1553">
        <v>100</v>
      </c>
      <c r="DH1553" t="str">
        <f>IF(DG1553=0,"0",IF(AND(DG1553&gt;=1,DG1553&lt;=30),"1-30",IF(AND(DG1553&gt;30,DG1553&lt;=70),"31-70",IF(AND(DG1553&gt;70,DG1553&lt;=100),"71-100",IF(DG1553&gt;100,"+100")))))</f>
        <v>71-100</v>
      </c>
      <c r="DI1553">
        <v>0</v>
      </c>
      <c r="DJ1553">
        <v>0</v>
      </c>
      <c r="DK1553">
        <v>0</v>
      </c>
      <c r="DL1553">
        <v>1</v>
      </c>
      <c r="DN1553">
        <f>SUM(DI1553:DL1553)</f>
        <v>1</v>
      </c>
      <c r="DO1553" t="str">
        <f>IF(DN1553=1,INDEX($DI$7:$DL$7,MATCH(1,$DI1553:$DL1553,0)),"mixedProduct")</f>
        <v>TimberInput</v>
      </c>
      <c r="DP1553">
        <f>IF(DI1553=1,DP$7,0)</f>
        <v>0</v>
      </c>
      <c r="DQ1553">
        <f>IF(DJ1553=1,DQ$7,0)</f>
        <v>0</v>
      </c>
      <c r="DR1553">
        <f>IF(DK1553=1,DR$7,0)</f>
        <v>0</v>
      </c>
      <c r="DS1553" t="str">
        <f>IF(DL1553=1,DS$7,0)</f>
        <v>Timber</v>
      </c>
      <c r="DT1553">
        <v>0</v>
      </c>
      <c r="DU1553">
        <v>1</v>
      </c>
      <c r="DV1553">
        <v>0</v>
      </c>
      <c r="DW1553" t="s">
        <v>281</v>
      </c>
      <c r="DX1553">
        <v>0</v>
      </c>
      <c r="DY1553">
        <f>SUM(DT1553:DU1553)</f>
        <v>1</v>
      </c>
      <c r="DZ1553" s="143" t="str">
        <f>IF(DT1553=1,"self-calculated DF",IF(DU1553=1,"external DF used","explicit C balance"))</f>
        <v>external DF used</v>
      </c>
      <c r="EA1553">
        <v>0</v>
      </c>
      <c r="EB1553">
        <v>1</v>
      </c>
      <c r="EC1553">
        <v>1</v>
      </c>
      <c r="ED1553">
        <v>1</v>
      </c>
      <c r="EE1553">
        <v>1</v>
      </c>
      <c r="EF1553" s="143">
        <v>0</v>
      </c>
      <c r="EG1553">
        <v>1</v>
      </c>
      <c r="EH1553">
        <v>1</v>
      </c>
      <c r="EI1553">
        <v>0</v>
      </c>
      <c r="EJ1553">
        <v>1</v>
      </c>
      <c r="EK1553">
        <v>1</v>
      </c>
      <c r="EL1553">
        <v>1</v>
      </c>
      <c r="EM1553">
        <v>0</v>
      </c>
      <c r="EN1553" s="2">
        <v>0</v>
      </c>
      <c r="EP1553" t="str">
        <f>IF(AND(AND(AND(OR($EC1553=1,$EB1553=1),OR($EH1553=1,$EF1553=1)),SUM($EA1553:$EE1553,$EK1553)&gt;=3),SUM($EF1553:$EJ1553)&gt;=2),"Whole sector approach","")</f>
        <v>Whole sector approach</v>
      </c>
      <c r="EQ1553" t="str">
        <f>IF(AND(AND(OR($EC1553=1,$EB1553=1),AND($EH1553=0,$EF1553=0)),SUM($EA1553:$EE1553,$EK1553)&gt;=4),"Ecosystem approach","")</f>
        <v/>
      </c>
      <c r="ER1553" s="2" t="str">
        <f>IF(AND(AND(AND($EC1553=0,$EB1553=0),OR($EH1553=1,$EF1553=1)),SUM($EG1553:$EJ1553)&gt;=2),"Technology approach","")</f>
        <v/>
      </c>
      <c r="ES1553" t="str">
        <f>IF(AND($EC1553+$EB1553+$EE1553+$EA1553+$ED1553+$EG1553=0,$N1553="included"),"C neutral forest and HWP assumption","")</f>
        <v/>
      </c>
      <c r="ET1553" t="str">
        <f>IF(AND(AND(AND(AND($EC1553=1,$EB1553+$EA1553+$EG1553&gt;=1),$EF1553=1),$EH1553+$EI1553+$ED1553+$EE1553&gt;=2),$N1553="included"),"All C pools assumption","")</f>
        <v/>
      </c>
      <c r="EU1553" t="str">
        <f>IF(AND($ED1553+$EE1553+$EI1553+$EH1553+$EF1553=0,$N1553="included"),"In-situ only assumption","")</f>
        <v/>
      </c>
      <c r="EY1553" t="b">
        <f>IF(ISNUMBER(BW1553),IF(ABS(BW1553-[2]QC_indicators!$B$2)&gt;3*[2]QC_indicators!$C$2,"C ratio",IF(ISNUMBER(CA1553),IF(ABS(CA1553-[2]QC_indicators!$B$1)&gt;3*[2]QC_indicators!$C$1,"DF","no"))),IF(ISNUMBER(CA1553),IF(ABS(CA1553-[2]QC_indicators!$B$1)&gt;3*[2]QC_indicators!$C$1,"DF","no")))</f>
        <v>0</v>
      </c>
      <c r="EZ1553" t="s">
        <v>286</v>
      </c>
      <c r="FA1553" t="str">
        <f>IF(LEN($CY1553)=0,"",IF(AND($CY1553&lt;(-0.05),$ES1553="C neutral forest and HWP assumption"),"Cneutral paradox",IF(AND($CY1553&gt;0.05,$EU1553="In-situ only assumption"),"In-situ only paradox","")))</f>
        <v/>
      </c>
      <c r="FD1553" s="260" t="s">
        <v>2948</v>
      </c>
    </row>
    <row r="1554" spans="1:160" ht="15" hidden="1" customHeight="1">
      <c r="A1554" s="1" t="s">
        <v>265</v>
      </c>
      <c r="B1554" t="s">
        <v>266</v>
      </c>
      <c r="C1554" t="s">
        <v>267</v>
      </c>
      <c r="D1554" t="s">
        <v>268</v>
      </c>
      <c r="E1554" t="s">
        <v>269</v>
      </c>
      <c r="F1554" t="s">
        <v>270</v>
      </c>
      <c r="G1554" t="s">
        <v>271</v>
      </c>
      <c r="H1554" t="s">
        <v>254</v>
      </c>
      <c r="I1554">
        <v>2022</v>
      </c>
      <c r="J1554">
        <v>0</v>
      </c>
      <c r="K1554" t="s">
        <v>272</v>
      </c>
      <c r="M1554" t="str">
        <f>LEFT($D1554,FIND(",",$D1554)-1)&amp;"_"&amp;I1554&amp;L1554</f>
        <v>Aryapratama_2022</v>
      </c>
      <c r="N1554" t="s">
        <v>222</v>
      </c>
      <c r="O1554" s="145" t="s">
        <v>274</v>
      </c>
      <c r="Q1554" t="s">
        <v>224</v>
      </c>
      <c r="R1554" s="258" t="s">
        <v>223</v>
      </c>
      <c r="S1554" s="259" t="s">
        <v>2787</v>
      </c>
      <c r="T1554" t="s">
        <v>283</v>
      </c>
      <c r="U1554" t="s">
        <v>284</v>
      </c>
      <c r="V1554" s="253">
        <v>0</v>
      </c>
      <c r="W1554" s="253">
        <v>0</v>
      </c>
      <c r="X1554">
        <v>0</v>
      </c>
      <c r="Y1554">
        <v>0</v>
      </c>
      <c r="Z1554">
        <v>0</v>
      </c>
      <c r="AA1554">
        <v>0</v>
      </c>
      <c r="AB1554">
        <v>0</v>
      </c>
      <c r="AC1554">
        <v>0</v>
      </c>
      <c r="AD1554">
        <v>0</v>
      </c>
      <c r="AE1554">
        <v>0</v>
      </c>
      <c r="AF1554">
        <v>1</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s="141">
        <f>COUNTIF(X1554:AY1554,"&lt;&gt;0")</f>
        <v>1</v>
      </c>
      <c r="BA1554" s="141">
        <f>COUNTIF(X1554:AN1554,"&lt;&gt;0")</f>
        <v>1</v>
      </c>
      <c r="BB1554">
        <f>COUNTIF(X1554:AE1554,"&lt;&gt;0")</f>
        <v>0</v>
      </c>
      <c r="BC1554">
        <f>COUNTIF(AF1554:AK1554,"&lt;&gt;0")</f>
        <v>1</v>
      </c>
      <c r="BD1554">
        <f>COUNTIF(AL1554:AN1554,"&lt;&gt;0")</f>
        <v>0</v>
      </c>
      <c r="BE1554">
        <f>COUNTIF(AU1554:AY1554,"&lt;&gt;0")</f>
        <v>0</v>
      </c>
      <c r="BF1554">
        <f>COUNTIF(AO1554:AT1554,"&lt;&gt;0")</f>
        <v>0</v>
      </c>
      <c r="BG1554" t="str">
        <f t="array" ref="BG1554">IF(BA1554=1,INDEX($X$7:$AN$7,MATCH(TRUE,INDEX($X1554:$AY1554&lt;&gt;0,),0)),IF(BA1554=0,INDEX($AO$7:$AY$7,MATCH(1,$AO1554:$AY1554,0)),IF(BH1554="Multiple strategies","mixed drivers",IF(BH1554="Supply chain","multiple supply","multiple silviculture"))))</f>
        <v>harvesting system</v>
      </c>
      <c r="BH1554" s="2" t="str" cm="1">
        <f t="array" ref="BH1554">IF(COUNTIF(BB1554:BD1554,"&lt;&gt;0")=1,INDEX($X$4:$AY$4,MATCH(TRUE,INDEX($X1554:$AY1554&lt;&gt;0,),0)),IF(COUNTIF(BB1554:BD1554,"&lt;&gt;0")=0,INDEX($AO$4:$AY$4,MATCH(1,$AO1554:$AY1554,0)),"Multiple strategies"))</f>
        <v>Supply chain</v>
      </c>
      <c r="BI1554" s="1" t="s">
        <v>229</v>
      </c>
      <c r="BJ1554" t="s">
        <v>285</v>
      </c>
      <c r="BL1554" t="s">
        <v>278</v>
      </c>
      <c r="BM1554">
        <v>11.564535948479303</v>
      </c>
      <c r="BN1554">
        <v>11.564535948479303</v>
      </c>
      <c r="BO1554">
        <f>BN1554/BM1554</f>
        <v>1</v>
      </c>
      <c r="BP1554">
        <f>BN1554-BM1554</f>
        <v>0</v>
      </c>
      <c r="BQ1554">
        <f>BP1554*tC_to_m3</f>
        <v>0</v>
      </c>
      <c r="BR1554" t="s">
        <v>232</v>
      </c>
      <c r="BS1554" s="153" t="s">
        <v>2786</v>
      </c>
      <c r="BT1554" t="s">
        <v>279</v>
      </c>
      <c r="BU1554">
        <v>185.09042564065231</v>
      </c>
      <c r="BV1554">
        <v>100.2569126004381</v>
      </c>
      <c r="BW1554" s="144">
        <f>IFERROR(BV1554/BU1554,"")</f>
        <v>0.54166449860072174</v>
      </c>
      <c r="BX1554">
        <f>BV1554-BU1554</f>
        <v>-84.833513040214214</v>
      </c>
      <c r="BZ1554">
        <f>BX1554</f>
        <v>-84.833513040214214</v>
      </c>
      <c r="CA1554" t="str">
        <f>IFERROR(BZ1554/BQ1554,"")</f>
        <v/>
      </c>
      <c r="CB1554">
        <v>0</v>
      </c>
      <c r="CC1554">
        <v>0</v>
      </c>
      <c r="CD1554">
        <v>0</v>
      </c>
      <c r="CE1554">
        <v>0</v>
      </c>
      <c r="CF1554">
        <v>0</v>
      </c>
      <c r="CG1554">
        <v>0</v>
      </c>
      <c r="CH1554">
        <v>0</v>
      </c>
      <c r="CI1554">
        <v>0</v>
      </c>
      <c r="CJ1554">
        <v>0</v>
      </c>
      <c r="CK1554">
        <v>0</v>
      </c>
      <c r="CL1554">
        <v>0</v>
      </c>
      <c r="CM1554">
        <v>0</v>
      </c>
      <c r="CN1554">
        <v>0</v>
      </c>
      <c r="CO1554">
        <v>0</v>
      </c>
      <c r="CP1554" t="str">
        <f>IF($BN1554&lt;$BM1554,"refNeedCorrection","refOK")</f>
        <v>refOK</v>
      </c>
      <c r="CQ1554">
        <f>IF($CP1554="refOK",$BM1554,$BN1554)</f>
        <v>11.564535948479303</v>
      </c>
      <c r="CR1554">
        <f>IF($CP1554="refOK",$BN1554,$BM1554)</f>
        <v>11.564535948479303</v>
      </c>
      <c r="CS1554">
        <f>IF($CP1554="refOK",$BQ1554,-$BQ1554)</f>
        <v>0</v>
      </c>
      <c r="CT1554">
        <f>IF(BI1554="Roundwood",$CS1554/2,$CS1554)</f>
        <v>0</v>
      </c>
      <c r="CU1554">
        <f>IF($CP1554="refOK",$BU1554,$BV1554)*IF($BR1554="Emissions positive",-1,1)</f>
        <v>185.09042564065231</v>
      </c>
      <c r="CV1554">
        <f>IF($CP1554="refOK",$BV1554,$BU1554)*IF($BR1554="Emissions positive",-1,1)</f>
        <v>100.2569126004381</v>
      </c>
      <c r="CW1554">
        <f>IF($CP1554="refNeedCorrection",-BZ1554,BZ1554)*IF($BR1554="Emissions positive",-1,1)</f>
        <v>-84.833513040214214</v>
      </c>
      <c r="CX1554" t="str">
        <f>IFERROR($CW1554/$CS1554,"")</f>
        <v/>
      </c>
      <c r="CY1554" t="str">
        <f>IFERROR($CW1554/$CS1554,"")</f>
        <v/>
      </c>
      <c r="CZ1554" t="str">
        <f>IFERROR($CW1554/$CT1554,"")</f>
        <v/>
      </c>
      <c r="DA1554" s="2">
        <f>IFERROR((CV1554-CU1554)/ABS(CU1554),"")</f>
        <v>-0.45833550139927831</v>
      </c>
      <c r="DB1554" s="1" t="s">
        <v>234</v>
      </c>
      <c r="DC1554" t="str">
        <f>IF(OR($DB1554="prd",$DB1554="std",$DB1554="cit"),"loc",IF(OR($DB1554="eur",$DB1554="reg",$DB1554="coy"),"reg",$DB1554))</f>
        <v>loc</v>
      </c>
      <c r="DD1554" t="s">
        <v>280</v>
      </c>
      <c r="DG1554">
        <v>50</v>
      </c>
      <c r="DH1554" t="str">
        <f>IF(DG1554=0,"0",IF(AND(DG1554&gt;=1,DG1554&lt;=30),"1-30",IF(AND(DG1554&gt;30,DG1554&lt;=70),"31-70",IF(AND(DG1554&gt;70,DG1554&lt;=100),"71-100",IF(DG1554&gt;100,"+100")))))</f>
        <v>31-70</v>
      </c>
      <c r="DI1554">
        <v>0</v>
      </c>
      <c r="DJ1554">
        <v>0</v>
      </c>
      <c r="DK1554">
        <v>0</v>
      </c>
      <c r="DL1554">
        <v>1</v>
      </c>
      <c r="DN1554">
        <f>SUM(DI1554:DL1554)</f>
        <v>1</v>
      </c>
      <c r="DO1554" t="str">
        <f>IF(DN1554=1,INDEX($DI$7:$DL$7,MATCH(1,$DI1554:$DL1554,0)),"mixedProduct")</f>
        <v>TimberInput</v>
      </c>
      <c r="DP1554">
        <f>IF(DI1554=1,DP$7,0)</f>
        <v>0</v>
      </c>
      <c r="DQ1554">
        <f>IF(DJ1554=1,DQ$7,0)</f>
        <v>0</v>
      </c>
      <c r="DR1554">
        <f>IF(DK1554=1,DR$7,0)</f>
        <v>0</v>
      </c>
      <c r="DS1554" t="str">
        <f>IF(DL1554=1,DS$7,0)</f>
        <v>Timber</v>
      </c>
      <c r="DT1554">
        <v>0</v>
      </c>
      <c r="DU1554">
        <v>1</v>
      </c>
      <c r="DV1554">
        <v>0</v>
      </c>
      <c r="DW1554" t="s">
        <v>281</v>
      </c>
      <c r="DX1554">
        <v>0</v>
      </c>
      <c r="DY1554">
        <f>SUM(DT1554:DU1554)</f>
        <v>1</v>
      </c>
      <c r="DZ1554" s="143" t="str">
        <f>IF(DT1554=1,"self-calculated DF",IF(DU1554=1,"external DF used","explicit C balance"))</f>
        <v>external DF used</v>
      </c>
      <c r="EA1554">
        <v>0</v>
      </c>
      <c r="EB1554">
        <v>1</v>
      </c>
      <c r="EC1554">
        <v>1</v>
      </c>
      <c r="ED1554">
        <v>1</v>
      </c>
      <c r="EE1554">
        <v>1</v>
      </c>
      <c r="EF1554" s="143">
        <v>0</v>
      </c>
      <c r="EG1554">
        <v>1</v>
      </c>
      <c r="EH1554">
        <v>1</v>
      </c>
      <c r="EI1554">
        <v>0</v>
      </c>
      <c r="EJ1554">
        <v>1</v>
      </c>
      <c r="EK1554">
        <v>1</v>
      </c>
      <c r="EL1554">
        <v>1</v>
      </c>
      <c r="EM1554">
        <v>0</v>
      </c>
      <c r="EN1554" s="2">
        <v>0</v>
      </c>
      <c r="EP1554" t="str">
        <f>IF(AND(AND(AND(OR($EC1554=1,$EB1554=1),OR($EH1554=1,$EF1554=1)),SUM($EA1554:$EE1554,$EK1554)&gt;=3),SUM($EF1554:$EJ1554)&gt;=2),"Whole sector approach","")</f>
        <v>Whole sector approach</v>
      </c>
      <c r="EQ1554" t="str">
        <f>IF(AND(AND(OR($EC1554=1,$EB1554=1),AND($EH1554=0,$EF1554=0)),SUM($EA1554:$EE1554,$EK1554)&gt;=4),"Ecosystem approach","")</f>
        <v/>
      </c>
      <c r="ER1554" s="2" t="str">
        <f>IF(AND(AND(AND($EC1554=0,$EB1554=0),OR($EH1554=1,$EF1554=1)),SUM($EG1554:$EJ1554)&gt;=2),"Technology approach","")</f>
        <v/>
      </c>
      <c r="ES1554" t="str">
        <f>IF(AND($EC1554+$EB1554+$EE1554+$EA1554+$ED1554+$EG1554=0,$N1554="included"),"C neutral forest and HWP assumption","")</f>
        <v/>
      </c>
      <c r="ET1554" t="str">
        <f>IF(AND(AND(AND(AND($EC1554=1,$EB1554+$EA1554+$EG1554&gt;=1),$EF1554=1),$EH1554+$EI1554+$ED1554+$EE1554&gt;=2),$N1554="included"),"All C pools assumption","")</f>
        <v/>
      </c>
      <c r="EU1554" t="str">
        <f>IF(AND($ED1554+$EE1554+$EI1554+$EH1554+$EF1554=0,$N1554="included"),"In-situ only assumption","")</f>
        <v/>
      </c>
      <c r="EY1554" t="b">
        <f>IF(ISNUMBER(BW1554),IF(ABS(BW1554-[2]QC_indicators!$B$2)&gt;3*[2]QC_indicators!$C$2,"C ratio",IF(ISNUMBER(CA1554),IF(ABS(CA1554-[2]QC_indicators!$B$1)&gt;3*[2]QC_indicators!$C$1,"DF","no"))),IF(ISNUMBER(CA1554),IF(ABS(CA1554-[2]QC_indicators!$B$1)&gt;3*[2]QC_indicators!$C$1,"DF","no")))</f>
        <v>0</v>
      </c>
      <c r="EZ1554" t="s">
        <v>286</v>
      </c>
      <c r="FA1554" t="str">
        <f>IF(LEN($CY1554)=0,"",IF(AND($CY1554&lt;(-0.05),$ES1554="C neutral forest and HWP assumption"),"Cneutral paradox",IF(AND($CY1554&gt;0.05,$EU1554="In-situ only assumption"),"In-situ only paradox","")))</f>
        <v/>
      </c>
      <c r="FD1554" s="260" t="s">
        <v>2948</v>
      </c>
    </row>
    <row r="1555" spans="1:160" hidden="1">
      <c r="A1555" s="1" t="s">
        <v>265</v>
      </c>
      <c r="B1555" t="s">
        <v>266</v>
      </c>
      <c r="C1555" t="s">
        <v>267</v>
      </c>
      <c r="D1555" t="s">
        <v>268</v>
      </c>
      <c r="E1555" t="s">
        <v>269</v>
      </c>
      <c r="F1555" t="s">
        <v>270</v>
      </c>
      <c r="G1555" t="s">
        <v>271</v>
      </c>
      <c r="H1555" t="s">
        <v>254</v>
      </c>
      <c r="I1555">
        <v>2022</v>
      </c>
      <c r="J1555">
        <v>0</v>
      </c>
      <c r="K1555" t="s">
        <v>272</v>
      </c>
      <c r="M1555" t="str">
        <f>LEFT($D1555,FIND(",",$D1555)-1)&amp;"_"&amp;I1555&amp;L1555</f>
        <v>Aryapratama_2022</v>
      </c>
      <c r="N1555" t="s">
        <v>222</v>
      </c>
      <c r="O1555" s="145" t="s">
        <v>274</v>
      </c>
      <c r="Q1555" t="s">
        <v>224</v>
      </c>
      <c r="R1555" s="258" t="s">
        <v>223</v>
      </c>
      <c r="S1555" s="259" t="s">
        <v>319</v>
      </c>
      <c r="T1555" t="s">
        <v>320</v>
      </c>
      <c r="U1555" t="s">
        <v>275</v>
      </c>
      <c r="V1555" s="253">
        <v>0</v>
      </c>
      <c r="W1555" s="253">
        <v>0</v>
      </c>
      <c r="X1555">
        <v>0</v>
      </c>
      <c r="Y1555">
        <v>0</v>
      </c>
      <c r="Z1555">
        <v>0</v>
      </c>
      <c r="AA1555">
        <v>0</v>
      </c>
      <c r="AB1555">
        <v>0</v>
      </c>
      <c r="AC1555">
        <v>0</v>
      </c>
      <c r="AD1555">
        <v>0</v>
      </c>
      <c r="AE1555">
        <v>0</v>
      </c>
      <c r="AF1555">
        <v>0</v>
      </c>
      <c r="AG1555">
        <v>0</v>
      </c>
      <c r="AH1555">
        <v>1</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s="141">
        <f>COUNTIF(X1555:AY1555,"&lt;&gt;0")</f>
        <v>1</v>
      </c>
      <c r="BA1555" s="141">
        <f>COUNTIF(X1555:AN1555,"&lt;&gt;0")</f>
        <v>1</v>
      </c>
      <c r="BB1555">
        <f>COUNTIF(X1555:AE1555,"&lt;&gt;0")</f>
        <v>0</v>
      </c>
      <c r="BC1555">
        <f>COUNTIF(AF1555:AK1555,"&lt;&gt;0")</f>
        <v>1</v>
      </c>
      <c r="BD1555">
        <f>COUNTIF(AL1555:AN1555,"&lt;&gt;0")</f>
        <v>0</v>
      </c>
      <c r="BE1555">
        <f>COUNTIF(AU1555:AY1555,"&lt;&gt;0")</f>
        <v>0</v>
      </c>
      <c r="BF1555">
        <f>COUNTIF(AO1555:AT1555,"&lt;&gt;0")</f>
        <v>0</v>
      </c>
      <c r="BG1555" t="str">
        <f t="array" ref="BG1555">IF(BA1555=1,INDEX($X$7:$AN$7,MATCH(TRUE,INDEX($X1555:$AY1555&lt;&gt;0,),0)),IF(BA1555=0,INDEX($AO$7:$AY$7,MATCH(1,$AO1555:$AY1555,0)),IF(BH1555="Multiple strategies","mixed drivers",IF(BH1555="Supply chain","multiple supply","multiple silviculture"))))</f>
        <v>supply chain organization</v>
      </c>
      <c r="BH1555" s="2" t="str" cm="1">
        <f t="array" ref="BH1555">IF(COUNTIF(BB1555:BD1555,"&lt;&gt;0")=1,INDEX($X$4:$AY$4,MATCH(TRUE,INDEX($X1555:$AY1555&lt;&gt;0,),0)),IF(COUNTIF(BB1555:BD1555,"&lt;&gt;0")=0,INDEX($AO$4:$AY$4,MATCH(1,$AO1555:$AY1555,0)),"Multiple strategies"))</f>
        <v>Supply chain</v>
      </c>
      <c r="BI1555" s="1" t="s">
        <v>321</v>
      </c>
      <c r="BJ1555" s="146" t="s">
        <v>322</v>
      </c>
      <c r="BK1555" t="s">
        <v>323</v>
      </c>
      <c r="BL1555" t="s">
        <v>278</v>
      </c>
      <c r="BM1555">
        <v>225.96603773584911</v>
      </c>
      <c r="BN1555">
        <v>225.96603773584911</v>
      </c>
      <c r="BO1555">
        <f>BN1555/BM1555</f>
        <v>1</v>
      </c>
      <c r="BP1555">
        <f>BN1555-BM1555</f>
        <v>0</v>
      </c>
      <c r="BQ1555">
        <f>BP1555*tC_to_m3</f>
        <v>0</v>
      </c>
      <c r="BR1555" t="s">
        <v>232</v>
      </c>
      <c r="BS1555" s="153" t="s">
        <v>2786</v>
      </c>
      <c r="BT1555" t="s">
        <v>279</v>
      </c>
      <c r="BU1555">
        <v>-683.46368424028469</v>
      </c>
      <c r="BV1555">
        <v>-430.22235574765915</v>
      </c>
      <c r="BW1555" s="144">
        <f>IFERROR(BU1555/BV1555,"")</f>
        <v>1.5886289382906003</v>
      </c>
      <c r="BX1555">
        <f>BU1555-BV1555</f>
        <v>-253.24132849262554</v>
      </c>
      <c r="BZ1555">
        <f>BX1555</f>
        <v>-253.24132849262554</v>
      </c>
      <c r="CA1555" t="str">
        <f>IFERROR(BZ1555/BQ1555,"")</f>
        <v/>
      </c>
      <c r="CB1555">
        <v>0</v>
      </c>
      <c r="CC1555">
        <v>0</v>
      </c>
      <c r="CD1555">
        <v>0</v>
      </c>
      <c r="CE1555">
        <v>0</v>
      </c>
      <c r="CF1555">
        <v>0</v>
      </c>
      <c r="CG1555">
        <v>0</v>
      </c>
      <c r="CH1555">
        <v>0</v>
      </c>
      <c r="CI1555">
        <v>0</v>
      </c>
      <c r="CJ1555">
        <v>0</v>
      </c>
      <c r="CK1555">
        <v>0</v>
      </c>
      <c r="CL1555">
        <v>0</v>
      </c>
      <c r="CM1555">
        <v>0</v>
      </c>
      <c r="CN1555">
        <v>0</v>
      </c>
      <c r="CO1555">
        <v>0</v>
      </c>
      <c r="CP1555" t="str">
        <f>IF($BN1555&lt;$BM1555,"refNeedCorrection","refOK")</f>
        <v>refOK</v>
      </c>
      <c r="CQ1555">
        <f>IF($CP1555="refOK",$BM1555,$BN1555)</f>
        <v>225.96603773584911</v>
      </c>
      <c r="CR1555">
        <f>IF($CP1555="refOK",$BN1555,$BM1555)</f>
        <v>225.96603773584911</v>
      </c>
      <c r="CS1555">
        <f>IF($CP1555="refOK",$BQ1555,-$BQ1555)</f>
        <v>0</v>
      </c>
      <c r="CT1555">
        <f>IF(BI1555="Roundwood",$CS1555/2,$CS1555)</f>
        <v>0</v>
      </c>
      <c r="CU1555">
        <f>IF($CP1555="refOK",$BV1555,$BU1555)*IF($BR1555="Emissions positive",-1,1)</f>
        <v>-430.22235574765915</v>
      </c>
      <c r="CV1555">
        <f>IF($CP1555="refOK",$BU1555,$BV1555)*IF($BR1555="Emissions positive",-1,1)</f>
        <v>-683.46368424028469</v>
      </c>
      <c r="CW1555">
        <f>IF($CP1555="refNeedCorrection",-BZ1555,BZ1555)*IF($BR1555="Emissions positive",-1,1)</f>
        <v>-253.24132849262554</v>
      </c>
      <c r="CX1555" t="str">
        <f>IFERROR($CW1555/$CS1555,"")</f>
        <v/>
      </c>
      <c r="CY1555" t="str">
        <f>IFERROR($CW1555/$CS1555,"")</f>
        <v/>
      </c>
      <c r="CZ1555" t="str">
        <f>IFERROR($CW1555/$CT1555,"")</f>
        <v/>
      </c>
      <c r="DA1555" s="2">
        <f>IFERROR((CV1555-CU1555)/ABS(CU1555),"")</f>
        <v>-0.58862893829060026</v>
      </c>
      <c r="DB1555" s="1" t="s">
        <v>234</v>
      </c>
      <c r="DC1555" t="str">
        <f>IF(OR($DB1555="prd",$DB1555="std",$DB1555="cit"),"loc",IF(OR($DB1555="eur",$DB1555="reg",$DB1555="coy"),"reg",$DB1555))</f>
        <v>loc</v>
      </c>
      <c r="DD1555" t="s">
        <v>280</v>
      </c>
      <c r="DG1555">
        <v>50</v>
      </c>
      <c r="DH1555" t="str">
        <f>IF(DG1555=0,"0",IF(AND(DG1555&gt;=1,DG1555&lt;=30),"1-30",IF(AND(DG1555&gt;30,DG1555&lt;=70),"31-70",IF(AND(DG1555&gt;70,DG1555&lt;=100),"71-100",IF(DG1555&gt;100,"+100")))))</f>
        <v>31-70</v>
      </c>
      <c r="DI1555">
        <v>0</v>
      </c>
      <c r="DJ1555">
        <v>1</v>
      </c>
      <c r="DK1555">
        <v>0</v>
      </c>
      <c r="DL1555">
        <v>1</v>
      </c>
      <c r="DN1555">
        <f>SUM(DI1555:DL1555)</f>
        <v>2</v>
      </c>
      <c r="DO1555" t="str">
        <f>IF(DN1555=1,INDEX($DI$7:$DL$7,MATCH(1,$DI1555:$DL1555,0)),"mixedProduct")</f>
        <v>mixedProduct</v>
      </c>
      <c r="DP1555">
        <f>IF(DI1555=1,DP$7,0)</f>
        <v>0</v>
      </c>
      <c r="DQ1555" t="str">
        <f>IF(DJ1555=1,DQ$7,0)</f>
        <v>Energy</v>
      </c>
      <c r="DR1555">
        <f>IF(DK1555=1,DR$7,0)</f>
        <v>0</v>
      </c>
      <c r="DS1555" t="str">
        <f>IF(DL1555=1,DS$7,0)</f>
        <v>Timber</v>
      </c>
      <c r="DT1555">
        <v>0</v>
      </c>
      <c r="DU1555">
        <v>1</v>
      </c>
      <c r="DV1555" t="s">
        <v>304</v>
      </c>
      <c r="DW1555" t="s">
        <v>281</v>
      </c>
      <c r="DX1555">
        <v>0</v>
      </c>
      <c r="DY1555">
        <f>SUM(DT1555:DU1555)</f>
        <v>1</v>
      </c>
      <c r="DZ1555" s="143" t="str">
        <f>IF(DT1555=1,"self-calculated DF",IF(DU1555=1,"external DF used","explicit C balance"))</f>
        <v>external DF used</v>
      </c>
      <c r="EA1555">
        <v>0</v>
      </c>
      <c r="EB1555">
        <v>1</v>
      </c>
      <c r="EC1555">
        <v>1</v>
      </c>
      <c r="ED1555">
        <v>1</v>
      </c>
      <c r="EE1555">
        <v>1</v>
      </c>
      <c r="EF1555" s="143">
        <v>0</v>
      </c>
      <c r="EG1555">
        <v>1</v>
      </c>
      <c r="EH1555">
        <v>1</v>
      </c>
      <c r="EI1555">
        <v>0</v>
      </c>
      <c r="EJ1555">
        <v>1</v>
      </c>
      <c r="EK1555">
        <v>1</v>
      </c>
      <c r="EL1555">
        <v>1</v>
      </c>
      <c r="EM1555">
        <v>0</v>
      </c>
      <c r="EN1555" s="2">
        <v>0</v>
      </c>
      <c r="EP1555" t="str">
        <f>IF(AND(AND(AND(OR($EC1555=1,$EB1555=1),OR($EH1555=1,$EF1555=1)),SUM($EA1555:$EE1555,$EK1555)&gt;=3),SUM($EF1555:$EJ1555)&gt;=2),"Whole sector approach","")</f>
        <v>Whole sector approach</v>
      </c>
      <c r="EQ1555" t="str">
        <f>IF(AND(AND(OR($EC1555=1,$EB1555=1),AND($EH1555=0,$EF1555=0)),SUM($EA1555:$EE1555,$EK1555)&gt;=4),"Ecosystem approach","")</f>
        <v/>
      </c>
      <c r="ER1555" s="2" t="str">
        <f>IF(AND(AND(AND($EC1555=0,$EB1555=0),OR($EH1555=1,$EF1555=1)),SUM($EG1555:$EJ1555)&gt;=2),"Technology approach","")</f>
        <v/>
      </c>
      <c r="ES1555" t="str">
        <f>IF(AND($EC1555+$EB1555+$EE1555+$EA1555+$ED1555+$EG1555=0,$N1555="included"),"C neutral forest and HWP assumption","")</f>
        <v/>
      </c>
      <c r="ET1555" t="str">
        <f>IF(AND(AND(AND(AND($EC1555=1,$EB1555+$EA1555+$EG1555&gt;=1),$EF1555=1),$EH1555+$EI1555+$ED1555+$EE1555&gt;=2),$N1555="included"),"All C pools assumption","")</f>
        <v/>
      </c>
      <c r="EU1555" t="str">
        <f>IF(AND($ED1555+$EE1555+$EI1555+$EH1555+$EF1555=0,$N1555="included"),"In-situ only assumption","")</f>
        <v/>
      </c>
      <c r="EW1555" t="s">
        <v>324</v>
      </c>
      <c r="EY1555" t="b">
        <f>IF(ISNUMBER(BW1555),IF(ABS(BW1555-[2]QC_indicators!$B$2)&gt;3*[2]QC_indicators!$C$2,"C ratio",IF(ISNUMBER(CA1555),IF(ABS(CA1555-[2]QC_indicators!$B$1)&gt;3*[2]QC_indicators!$C$1,"DF","no"))),IF(ISNUMBER(CA1555),IF(ABS(CA1555-[2]QC_indicators!$B$1)&gt;3*[2]QC_indicators!$C$1,"DF","no")))</f>
        <v>0</v>
      </c>
      <c r="EZ1555" t="s">
        <v>286</v>
      </c>
      <c r="FA1555" t="str">
        <f>IF(LEN($CY1555)=0,"",IF(AND($CY1555&lt;(-0.05),$ES1555="C neutral forest and HWP assumption"),"Cneutral paradox",IF(AND($CY1555&gt;0.05,$EU1555="In-situ only assumption"),"In-situ only paradox","")))</f>
        <v/>
      </c>
      <c r="FB1555" s="147" t="s">
        <v>325</v>
      </c>
      <c r="FD1555" s="260" t="s">
        <v>2948</v>
      </c>
    </row>
    <row r="1556" spans="1:160" hidden="1">
      <c r="A1556" s="1" t="s">
        <v>265</v>
      </c>
      <c r="B1556" t="s">
        <v>266</v>
      </c>
      <c r="C1556" t="s">
        <v>267</v>
      </c>
      <c r="D1556" t="s">
        <v>268</v>
      </c>
      <c r="E1556" t="s">
        <v>269</v>
      </c>
      <c r="F1556" t="s">
        <v>270</v>
      </c>
      <c r="G1556" t="s">
        <v>271</v>
      </c>
      <c r="H1556" t="s">
        <v>254</v>
      </c>
      <c r="I1556">
        <v>2022</v>
      </c>
      <c r="J1556">
        <v>0</v>
      </c>
      <c r="K1556" t="s">
        <v>272</v>
      </c>
      <c r="M1556" t="str">
        <f>LEFT($D1556,FIND(",",$D1556)-1)&amp;"_"&amp;I1556&amp;L1556</f>
        <v>Aryapratama_2022</v>
      </c>
      <c r="N1556" t="s">
        <v>222</v>
      </c>
      <c r="O1556" s="145" t="s">
        <v>274</v>
      </c>
      <c r="Q1556" t="s">
        <v>224</v>
      </c>
      <c r="R1556" s="258" t="s">
        <v>223</v>
      </c>
      <c r="S1556" s="1" t="s">
        <v>319</v>
      </c>
      <c r="T1556" t="s">
        <v>326</v>
      </c>
      <c r="U1556" t="s">
        <v>276</v>
      </c>
      <c r="V1556" s="253">
        <v>0</v>
      </c>
      <c r="W1556" s="253">
        <v>0</v>
      </c>
      <c r="X1556">
        <v>0</v>
      </c>
      <c r="Y1556">
        <v>0</v>
      </c>
      <c r="Z1556">
        <v>0</v>
      </c>
      <c r="AA1556">
        <v>0</v>
      </c>
      <c r="AB1556">
        <v>0</v>
      </c>
      <c r="AC1556">
        <v>0</v>
      </c>
      <c r="AD1556">
        <v>0</v>
      </c>
      <c r="AE1556">
        <v>0</v>
      </c>
      <c r="AF1556">
        <v>0</v>
      </c>
      <c r="AG1556">
        <v>0</v>
      </c>
      <c r="AH1556">
        <v>1</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s="141">
        <f>COUNTIF(X1556:AY1556,"&lt;&gt;0")</f>
        <v>1</v>
      </c>
      <c r="BA1556" s="141">
        <f>COUNTIF(X1556:AN1556,"&lt;&gt;0")</f>
        <v>1</v>
      </c>
      <c r="BB1556">
        <f>COUNTIF(X1556:AE1556,"&lt;&gt;0")</f>
        <v>0</v>
      </c>
      <c r="BC1556">
        <f>COUNTIF(AF1556:AK1556,"&lt;&gt;0")</f>
        <v>1</v>
      </c>
      <c r="BD1556">
        <f>COUNTIF(AL1556:AN1556,"&lt;&gt;0")</f>
        <v>0</v>
      </c>
      <c r="BE1556">
        <f>COUNTIF(AU1556:AY1556,"&lt;&gt;0")</f>
        <v>0</v>
      </c>
      <c r="BF1556">
        <f>COUNTIF(AO1556:AT1556,"&lt;&gt;0")</f>
        <v>0</v>
      </c>
      <c r="BG1556" t="str">
        <f t="array" ref="BG1556">IF(BA1556=1,INDEX($X$7:$AN$7,MATCH(TRUE,INDEX($X1556:$AY1556&lt;&gt;0,),0)),IF(BA1556=0,INDEX($AO$7:$AY$7,MATCH(1,$AO1556:$AY1556,0)),IF(BH1556="Multiple strategies","mixed drivers",IF(BH1556="Supply chain","multiple supply","multiple silviculture"))))</f>
        <v>supply chain organization</v>
      </c>
      <c r="BH1556" s="2" t="str" cm="1">
        <f t="array" ref="BH1556">IF(COUNTIF(BB1556:BD1556,"&lt;&gt;0")=1,INDEX($X$4:$AY$4,MATCH(TRUE,INDEX($X1556:$AY1556&lt;&gt;0,),0)),IF(COUNTIF(BB1556:BD1556,"&lt;&gt;0")=0,INDEX($AO$4:$AY$4,MATCH(1,$AO1556:$AY1556,0)),"Multiple strategies"))</f>
        <v>Supply chain</v>
      </c>
      <c r="BI1556" s="1" t="s">
        <v>321</v>
      </c>
      <c r="BJ1556" s="146" t="s">
        <v>322</v>
      </c>
      <c r="BK1556" t="s">
        <v>323</v>
      </c>
      <c r="BL1556" t="s">
        <v>278</v>
      </c>
      <c r="BM1556" s="148">
        <v>225.96603773584911</v>
      </c>
      <c r="BN1556" s="148">
        <v>225.96603773584911</v>
      </c>
      <c r="BO1556">
        <f>BN1556/BM1556</f>
        <v>1</v>
      </c>
      <c r="BP1556">
        <f>BN1556-BM1556</f>
        <v>0</v>
      </c>
      <c r="BQ1556">
        <f>BP1556*tC_to_m3</f>
        <v>0</v>
      </c>
      <c r="BR1556" t="s">
        <v>232</v>
      </c>
      <c r="BS1556" s="153" t="s">
        <v>2786</v>
      </c>
      <c r="BT1556" t="s">
        <v>279</v>
      </c>
      <c r="BU1556">
        <v>-930.07336759388943</v>
      </c>
      <c r="BV1556">
        <v>-654.85817268246092</v>
      </c>
      <c r="BW1556" s="144">
        <f>IFERROR(BU1556/BV1556,"")</f>
        <v>1.42026687058677</v>
      </c>
      <c r="BX1556">
        <f>BU1556-BV1556</f>
        <v>-275.21519491142851</v>
      </c>
      <c r="BZ1556">
        <f>BX1556</f>
        <v>-275.21519491142851</v>
      </c>
      <c r="CA1556" t="str">
        <f>IFERROR(BZ1556/BQ1556,"")</f>
        <v/>
      </c>
      <c r="CB1556">
        <v>0</v>
      </c>
      <c r="CC1556">
        <v>0</v>
      </c>
      <c r="CD1556">
        <v>0</v>
      </c>
      <c r="CE1556">
        <v>0</v>
      </c>
      <c r="CF1556">
        <v>0</v>
      </c>
      <c r="CG1556">
        <v>0</v>
      </c>
      <c r="CH1556">
        <v>0</v>
      </c>
      <c r="CI1556">
        <v>0</v>
      </c>
      <c r="CJ1556">
        <v>0</v>
      </c>
      <c r="CK1556">
        <v>0</v>
      </c>
      <c r="CL1556">
        <v>0</v>
      </c>
      <c r="CM1556">
        <v>0</v>
      </c>
      <c r="CN1556">
        <v>0</v>
      </c>
      <c r="CO1556">
        <v>0</v>
      </c>
      <c r="CP1556" t="str">
        <f>IF($BN1556&lt;$BM1556,"refNeedCorrection","refOK")</f>
        <v>refOK</v>
      </c>
      <c r="CQ1556">
        <f>IF($CP1556="refOK",$BM1556,$BN1556)</f>
        <v>225.96603773584911</v>
      </c>
      <c r="CR1556">
        <f>IF($CP1556="refOK",$BN1556,$BM1556)</f>
        <v>225.96603773584911</v>
      </c>
      <c r="CS1556">
        <f>IF($CP1556="refOK",$BQ1556,-$BQ1556)</f>
        <v>0</v>
      </c>
      <c r="CT1556">
        <f>IF(BI1556="Roundwood",$CS1556/2,$CS1556)</f>
        <v>0</v>
      </c>
      <c r="CU1556">
        <f>IF($CP1556="refOK",$BV1556,$BU1556)*IF($BR1556="Emissions positive",-1,1)</f>
        <v>-654.85817268246092</v>
      </c>
      <c r="CV1556">
        <f>IF($CP1556="refOK",$BU1556,$BV1556)*IF($BR1556="Emissions positive",-1,1)</f>
        <v>-930.07336759388943</v>
      </c>
      <c r="CW1556">
        <f>IF($CP1556="refNeedCorrection",-BZ1556,BZ1556)*IF($BR1556="Emissions positive",-1,1)</f>
        <v>-275.21519491142851</v>
      </c>
      <c r="CX1556" t="str">
        <f>IFERROR($CW1556/$CS1556,"")</f>
        <v/>
      </c>
      <c r="CY1556" t="str">
        <f>IFERROR($CW1556/$CS1556,"")</f>
        <v/>
      </c>
      <c r="CZ1556" t="str">
        <f>IFERROR($CW1556/$CT1556,"")</f>
        <v/>
      </c>
      <c r="DA1556" s="2">
        <f>IFERROR((CV1556-CU1556)/ABS(CU1556),"")</f>
        <v>-0.42026687058677004</v>
      </c>
      <c r="DB1556" s="1" t="s">
        <v>234</v>
      </c>
      <c r="DC1556" t="str">
        <f>IF(OR($DB1556="prd",$DB1556="std",$DB1556="cit"),"loc",IF(OR($DB1556="eur",$DB1556="reg",$DB1556="coy"),"reg",$DB1556))</f>
        <v>loc</v>
      </c>
      <c r="DD1556" t="s">
        <v>280</v>
      </c>
      <c r="DG1556">
        <v>50</v>
      </c>
      <c r="DH1556" t="str">
        <f>IF(DG1556=0,"0",IF(AND(DG1556&gt;=1,DG1556&lt;=30),"1-30",IF(AND(DG1556&gt;30,DG1556&lt;=70),"31-70",IF(AND(DG1556&gt;70,DG1556&lt;=100),"71-100",IF(DG1556&gt;100,"+100")))))</f>
        <v>31-70</v>
      </c>
      <c r="DI1556">
        <v>0</v>
      </c>
      <c r="DJ1556">
        <v>1</v>
      </c>
      <c r="DK1556">
        <v>0</v>
      </c>
      <c r="DL1556">
        <v>1</v>
      </c>
      <c r="DN1556">
        <f>SUM(DI1556:DL1556)</f>
        <v>2</v>
      </c>
      <c r="DO1556" t="str">
        <f>IF(DN1556=1,INDEX($DI$7:$DL$7,MATCH(1,$DI1556:$DL1556,0)),"mixedProduct")</f>
        <v>mixedProduct</v>
      </c>
      <c r="DP1556">
        <f>IF(DI1556=1,DP$7,0)</f>
        <v>0</v>
      </c>
      <c r="DQ1556" t="str">
        <f>IF(DJ1556=1,DQ$7,0)</f>
        <v>Energy</v>
      </c>
      <c r="DR1556">
        <f>IF(DK1556=1,DR$7,0)</f>
        <v>0</v>
      </c>
      <c r="DS1556" t="str">
        <f>IF(DL1556=1,DS$7,0)</f>
        <v>Timber</v>
      </c>
      <c r="DT1556">
        <v>0</v>
      </c>
      <c r="DU1556">
        <v>1</v>
      </c>
      <c r="DV1556" t="s">
        <v>304</v>
      </c>
      <c r="DW1556" t="s">
        <v>281</v>
      </c>
      <c r="DX1556">
        <v>0</v>
      </c>
      <c r="DY1556">
        <f>SUM(DT1556:DU1556)</f>
        <v>1</v>
      </c>
      <c r="DZ1556" s="143" t="str">
        <f>IF(DT1556=1,"self-calculated DF",IF(DU1556=1,"external DF used","explicit C balance"))</f>
        <v>external DF used</v>
      </c>
      <c r="EA1556">
        <v>0</v>
      </c>
      <c r="EB1556">
        <v>1</v>
      </c>
      <c r="EC1556">
        <v>1</v>
      </c>
      <c r="ED1556">
        <v>1</v>
      </c>
      <c r="EE1556">
        <v>1</v>
      </c>
      <c r="EF1556" s="143">
        <v>0</v>
      </c>
      <c r="EG1556">
        <v>1</v>
      </c>
      <c r="EH1556">
        <v>1</v>
      </c>
      <c r="EI1556">
        <v>0</v>
      </c>
      <c r="EJ1556">
        <v>1</v>
      </c>
      <c r="EK1556">
        <v>1</v>
      </c>
      <c r="EL1556">
        <v>1</v>
      </c>
      <c r="EM1556">
        <v>0</v>
      </c>
      <c r="EN1556" s="2">
        <v>0</v>
      </c>
      <c r="EP1556" t="str">
        <f>IF(AND(AND(AND(OR($EC1556=1,$EB1556=1),OR($EH1556=1,$EF1556=1)),SUM($EA1556:$EE1556,$EK1556)&gt;=3),SUM($EF1556:$EJ1556)&gt;=2),"Whole sector approach","")</f>
        <v>Whole sector approach</v>
      </c>
      <c r="EQ1556" t="str">
        <f>IF(AND(AND(OR($EC1556=1,$EB1556=1),AND($EH1556=0,$EF1556=0)),SUM($EA1556:$EE1556,$EK1556)&gt;=4),"Ecosystem approach","")</f>
        <v/>
      </c>
      <c r="ER1556" s="2" t="str">
        <f>IF(AND(AND(AND($EC1556=0,$EB1556=0),OR($EH1556=1,$EF1556=1)),SUM($EG1556:$EJ1556)&gt;=2),"Technology approach","")</f>
        <v/>
      </c>
      <c r="ES1556" t="str">
        <f>IF(AND($EC1556+$EB1556+$EE1556+$EA1556+$ED1556+$EG1556=0,$N1556="included"),"C neutral forest and HWP assumption","")</f>
        <v/>
      </c>
      <c r="ET1556" t="str">
        <f>IF(AND(AND(AND(AND($EC1556=1,$EB1556+$EA1556+$EG1556&gt;=1),$EF1556=1),$EH1556+$EI1556+$ED1556+$EE1556&gt;=2),$N1556="included"),"All C pools assumption","")</f>
        <v/>
      </c>
      <c r="EU1556" t="str">
        <f>IF(AND($ED1556+$EE1556+$EI1556+$EH1556+$EF1556=0,$N1556="included"),"In-situ only assumption","")</f>
        <v/>
      </c>
      <c r="EW1556" t="s">
        <v>324</v>
      </c>
      <c r="EY1556" t="b">
        <f>IF(ISNUMBER(BW1556),IF(ABS(BW1556-[2]QC_indicators!$B$2)&gt;3*[2]QC_indicators!$C$2,"C ratio",IF(ISNUMBER(CA1556),IF(ABS(CA1556-[2]QC_indicators!$B$1)&gt;3*[2]QC_indicators!$C$1,"DF","no"))),IF(ISNUMBER(CA1556),IF(ABS(CA1556-[2]QC_indicators!$B$1)&gt;3*[2]QC_indicators!$C$1,"DF","no")))</f>
        <v>0</v>
      </c>
      <c r="EZ1556" t="s">
        <v>286</v>
      </c>
      <c r="FA1556" t="str">
        <f>IF(LEN($CY1556)=0,"",IF(AND($CY1556&lt;(-0.05),$ES1556="C neutral forest and HWP assumption"),"Cneutral paradox",IF(AND($CY1556&gt;0.05,$EU1556="In-situ only assumption"),"In-situ only paradox","")))</f>
        <v/>
      </c>
      <c r="FB1556" s="147" t="s">
        <v>325</v>
      </c>
      <c r="FD1556" s="260" t="s">
        <v>2948</v>
      </c>
    </row>
    <row r="1557" spans="1:160" ht="15" hidden="1" customHeight="1">
      <c r="A1557" s="1" t="s">
        <v>265</v>
      </c>
      <c r="B1557" t="s">
        <v>266</v>
      </c>
      <c r="C1557" t="s">
        <v>267</v>
      </c>
      <c r="D1557" t="s">
        <v>268</v>
      </c>
      <c r="E1557" t="s">
        <v>269</v>
      </c>
      <c r="F1557" t="s">
        <v>270</v>
      </c>
      <c r="G1557" t="s">
        <v>271</v>
      </c>
      <c r="H1557" t="s">
        <v>254</v>
      </c>
      <c r="I1557">
        <v>2022</v>
      </c>
      <c r="J1557">
        <v>0</v>
      </c>
      <c r="K1557" t="s">
        <v>272</v>
      </c>
      <c r="M1557" t="str">
        <f>LEFT($D1557,FIND(",",$D1557)-1)&amp;"_"&amp;I1557&amp;L1557</f>
        <v>Aryapratama_2022</v>
      </c>
      <c r="N1557" t="s">
        <v>222</v>
      </c>
      <c r="O1557" s="145" t="s">
        <v>274</v>
      </c>
      <c r="Q1557" t="s">
        <v>224</v>
      </c>
      <c r="R1557" s="258" t="s">
        <v>223</v>
      </c>
      <c r="S1557" s="1" t="s">
        <v>319</v>
      </c>
      <c r="T1557" t="s">
        <v>303</v>
      </c>
      <c r="U1557" t="s">
        <v>284</v>
      </c>
      <c r="V1557" s="253">
        <v>0</v>
      </c>
      <c r="W1557" s="253">
        <v>0</v>
      </c>
      <c r="X1557">
        <v>0</v>
      </c>
      <c r="Y1557">
        <v>0</v>
      </c>
      <c r="Z1557">
        <v>0</v>
      </c>
      <c r="AA1557">
        <v>0</v>
      </c>
      <c r="AB1557">
        <v>0</v>
      </c>
      <c r="AC1557">
        <v>0</v>
      </c>
      <c r="AD1557">
        <v>0</v>
      </c>
      <c r="AE1557">
        <v>0</v>
      </c>
      <c r="AF1557">
        <v>0</v>
      </c>
      <c r="AG1557">
        <v>0</v>
      </c>
      <c r="AH1557">
        <v>1</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s="141">
        <f>COUNTIF(X1557:AY1557,"&lt;&gt;0")</f>
        <v>1</v>
      </c>
      <c r="BA1557" s="141">
        <f>COUNTIF(X1557:AN1557,"&lt;&gt;0")</f>
        <v>1</v>
      </c>
      <c r="BB1557">
        <f>COUNTIF(X1557:AE1557,"&lt;&gt;0")</f>
        <v>0</v>
      </c>
      <c r="BC1557">
        <f>COUNTIF(AF1557:AK1557,"&lt;&gt;0")</f>
        <v>1</v>
      </c>
      <c r="BD1557">
        <f>COUNTIF(AL1557:AN1557,"&lt;&gt;0")</f>
        <v>0</v>
      </c>
      <c r="BE1557">
        <f>COUNTIF(AU1557:AY1557,"&lt;&gt;0")</f>
        <v>0</v>
      </c>
      <c r="BF1557">
        <f>COUNTIF(AO1557:AT1557,"&lt;&gt;0")</f>
        <v>0</v>
      </c>
      <c r="BG1557" t="str">
        <f t="array" ref="BG1557">IF(BA1557=1,INDEX($X$7:$AN$7,MATCH(TRUE,INDEX($X1557:$AY1557&lt;&gt;0,),0)),IF(BA1557=0,INDEX($AO$7:$AY$7,MATCH(1,$AO1557:$AY1557,0)),IF(BH1557="Multiple strategies","mixed drivers",IF(BH1557="Supply chain","multiple supply","multiple silviculture"))))</f>
        <v>supply chain organization</v>
      </c>
      <c r="BH1557" s="2" t="str" cm="1">
        <f t="array" ref="BH1557">IF(COUNTIF(BB1557:BD1557,"&lt;&gt;0")=1,INDEX($X$4:$AY$4,MATCH(TRUE,INDEX($X1557:$AY1557&lt;&gt;0,),0)),IF(COUNTIF(BB1557:BD1557,"&lt;&gt;0")=0,INDEX($AO$4:$AY$4,MATCH(1,$AO1557:$AY1557,0)),"Multiple strategies"))</f>
        <v>Supply chain</v>
      </c>
      <c r="BI1557" s="1" t="s">
        <v>321</v>
      </c>
      <c r="BJ1557" s="146" t="s">
        <v>322</v>
      </c>
      <c r="BK1557" t="s">
        <v>323</v>
      </c>
      <c r="BL1557" t="s">
        <v>278</v>
      </c>
      <c r="BM1557" s="148">
        <v>9.6371132903994159</v>
      </c>
      <c r="BN1557" s="148">
        <v>9.6371132903994159</v>
      </c>
      <c r="BO1557">
        <f>BN1557/BM1557</f>
        <v>1</v>
      </c>
      <c r="BP1557">
        <f>BN1557-BM1557</f>
        <v>0</v>
      </c>
      <c r="BQ1557">
        <f>BP1557*tC_to_m3</f>
        <v>0</v>
      </c>
      <c r="BR1557" t="s">
        <v>232</v>
      </c>
      <c r="BS1557" s="153" t="s">
        <v>2786</v>
      </c>
      <c r="BT1557" t="s">
        <v>279</v>
      </c>
      <c r="BU1557">
        <v>82.450615050179124</v>
      </c>
      <c r="BV1557">
        <v>100.2569126004381</v>
      </c>
      <c r="BW1557" s="144">
        <f>IFERROR(BU1557/BV1557,"")</f>
        <v>0.82239331844155383</v>
      </c>
      <c r="BX1557">
        <f>BU1557-BV1557</f>
        <v>-17.806297550258975</v>
      </c>
      <c r="BZ1557">
        <f>BX1557</f>
        <v>-17.806297550258975</v>
      </c>
      <c r="CA1557" t="str">
        <f>IFERROR(BZ1557/BQ1557,"")</f>
        <v/>
      </c>
      <c r="CB1557">
        <v>0</v>
      </c>
      <c r="CC1557">
        <v>0</v>
      </c>
      <c r="CD1557">
        <v>0</v>
      </c>
      <c r="CE1557">
        <v>0</v>
      </c>
      <c r="CF1557">
        <v>0</v>
      </c>
      <c r="CG1557">
        <v>0</v>
      </c>
      <c r="CH1557">
        <v>0</v>
      </c>
      <c r="CI1557">
        <v>0</v>
      </c>
      <c r="CJ1557">
        <v>0</v>
      </c>
      <c r="CK1557">
        <v>0</v>
      </c>
      <c r="CL1557">
        <v>0</v>
      </c>
      <c r="CM1557">
        <v>0</v>
      </c>
      <c r="CN1557">
        <v>0</v>
      </c>
      <c r="CO1557">
        <v>0</v>
      </c>
      <c r="CP1557" t="str">
        <f>IF($BN1557&lt;$BM1557,"refNeedCorrection","refOK")</f>
        <v>refOK</v>
      </c>
      <c r="CQ1557">
        <f>IF($CP1557="refOK",$BM1557,$BN1557)</f>
        <v>9.6371132903994159</v>
      </c>
      <c r="CR1557">
        <f>IF($CP1557="refOK",$BN1557,$BM1557)</f>
        <v>9.6371132903994159</v>
      </c>
      <c r="CS1557">
        <f>IF($CP1557="refOK",$BQ1557,-$BQ1557)</f>
        <v>0</v>
      </c>
      <c r="CT1557">
        <f>IF(BI1557="Roundwood",$CS1557/2,$CS1557)</f>
        <v>0</v>
      </c>
      <c r="CU1557">
        <f>IF($CP1557="refOK",$BV1557,$BU1557)*IF($BR1557="Emissions positive",-1,1)</f>
        <v>100.2569126004381</v>
      </c>
      <c r="CV1557">
        <f>IF($CP1557="refOK",$BU1557,$BV1557)*IF($BR1557="Emissions positive",-1,1)</f>
        <v>82.450615050179124</v>
      </c>
      <c r="CW1557">
        <f>IF($CP1557="refNeedCorrection",-BZ1557,BZ1557)*IF($BR1557="Emissions positive",-1,1)</f>
        <v>-17.806297550258975</v>
      </c>
      <c r="CX1557" t="str">
        <f>IFERROR($CW1557/$CS1557,"")</f>
        <v/>
      </c>
      <c r="CY1557" t="str">
        <f>IFERROR($CW1557/$CS1557,"")</f>
        <v/>
      </c>
      <c r="CZ1557" t="str">
        <f>IFERROR($CW1557/$CT1557,"")</f>
        <v/>
      </c>
      <c r="DA1557" s="2">
        <f>IFERROR((CV1557-CU1557)/ABS(CU1557),"")</f>
        <v>-0.17760668155844614</v>
      </c>
      <c r="DB1557" s="1" t="s">
        <v>234</v>
      </c>
      <c r="DC1557" t="str">
        <f>IF(OR($DB1557="prd",$DB1557="std",$DB1557="cit"),"loc",IF(OR($DB1557="eur",$DB1557="reg",$DB1557="coy"),"reg",$DB1557))</f>
        <v>loc</v>
      </c>
      <c r="DD1557" t="s">
        <v>280</v>
      </c>
      <c r="DG1557">
        <v>50</v>
      </c>
      <c r="DH1557" t="str">
        <f>IF(DG1557=0,"0",IF(AND(DG1557&gt;=1,DG1557&lt;=30),"1-30",IF(AND(DG1557&gt;30,DG1557&lt;=70),"31-70",IF(AND(DG1557&gt;70,DG1557&lt;=100),"71-100",IF(DG1557&gt;100,"+100")))))</f>
        <v>31-70</v>
      </c>
      <c r="DI1557">
        <v>0</v>
      </c>
      <c r="DJ1557">
        <v>1</v>
      </c>
      <c r="DK1557">
        <v>0</v>
      </c>
      <c r="DL1557">
        <v>1</v>
      </c>
      <c r="DN1557">
        <f>SUM(DI1557:DL1557)</f>
        <v>2</v>
      </c>
      <c r="DO1557" t="str">
        <f>IF(DN1557=1,INDEX($DI$7:$DL$7,MATCH(1,$DI1557:$DL1557,0)),"mixedProduct")</f>
        <v>mixedProduct</v>
      </c>
      <c r="DP1557">
        <f>IF(DI1557=1,DP$7,0)</f>
        <v>0</v>
      </c>
      <c r="DQ1557" t="str">
        <f>IF(DJ1557=1,DQ$7,0)</f>
        <v>Energy</v>
      </c>
      <c r="DR1557">
        <f>IF(DK1557=1,DR$7,0)</f>
        <v>0</v>
      </c>
      <c r="DS1557" t="str">
        <f>IF(DL1557=1,DS$7,0)</f>
        <v>Timber</v>
      </c>
      <c r="DT1557">
        <v>0</v>
      </c>
      <c r="DU1557">
        <v>1</v>
      </c>
      <c r="DV1557" t="s">
        <v>304</v>
      </c>
      <c r="DW1557" t="s">
        <v>281</v>
      </c>
      <c r="DX1557">
        <v>0</v>
      </c>
      <c r="DY1557">
        <f>SUM(DT1557:DU1557)</f>
        <v>1</v>
      </c>
      <c r="DZ1557" s="143" t="str">
        <f>IF(DT1557=1,"self-calculated DF",IF(DU1557=1,"external DF used","explicit C balance"))</f>
        <v>external DF used</v>
      </c>
      <c r="EA1557">
        <v>0</v>
      </c>
      <c r="EB1557">
        <v>1</v>
      </c>
      <c r="EC1557">
        <v>1</v>
      </c>
      <c r="ED1557">
        <v>1</v>
      </c>
      <c r="EE1557">
        <v>1</v>
      </c>
      <c r="EF1557" s="143">
        <v>0</v>
      </c>
      <c r="EG1557">
        <v>1</v>
      </c>
      <c r="EH1557">
        <v>1</v>
      </c>
      <c r="EI1557">
        <v>0</v>
      </c>
      <c r="EJ1557">
        <v>1</v>
      </c>
      <c r="EK1557">
        <v>1</v>
      </c>
      <c r="EL1557">
        <v>1</v>
      </c>
      <c r="EM1557">
        <v>0</v>
      </c>
      <c r="EN1557" s="2">
        <v>0</v>
      </c>
      <c r="EP1557" t="str">
        <f>IF(AND(AND(AND(OR($EC1557=1,$EB1557=1),OR($EH1557=1,$EF1557=1)),SUM($EA1557:$EE1557,$EK1557)&gt;=3),SUM($EF1557:$EJ1557)&gt;=2),"Whole sector approach","")</f>
        <v>Whole sector approach</v>
      </c>
      <c r="EQ1557" t="str">
        <f>IF(AND(AND(OR($EC1557=1,$EB1557=1),AND($EH1557=0,$EF1557=0)),SUM($EA1557:$EE1557,$EK1557)&gt;=4),"Ecosystem approach","")</f>
        <v/>
      </c>
      <c r="ER1557" s="2" t="str">
        <f>IF(AND(AND(AND($EC1557=0,$EB1557=0),OR($EH1557=1,$EF1557=1)),SUM($EG1557:$EJ1557)&gt;=2),"Technology approach","")</f>
        <v/>
      </c>
      <c r="ES1557" t="str">
        <f>IF(AND($EC1557+$EB1557+$EE1557+$EA1557+$ED1557+$EG1557=0,$N1557="included"),"C neutral forest and HWP assumption","")</f>
        <v/>
      </c>
      <c r="ET1557" t="str">
        <f>IF(AND(AND(AND(AND($EC1557=1,$EB1557+$EA1557+$EG1557&gt;=1),$EF1557=1),$EH1557+$EI1557+$ED1557+$EE1557&gt;=2),$N1557="included"),"All C pools assumption","")</f>
        <v/>
      </c>
      <c r="EU1557" t="str">
        <f>IF(AND($ED1557+$EE1557+$EI1557+$EH1557+$EF1557=0,$N1557="included"),"In-situ only assumption","")</f>
        <v/>
      </c>
      <c r="EW1557" t="s">
        <v>324</v>
      </c>
      <c r="EY1557" t="b">
        <f>IF(ISNUMBER(BW1557),IF(ABS(BW1557-[2]QC_indicators!$B$2)&gt;3*[2]QC_indicators!$C$2,"C ratio",IF(ISNUMBER(CA1557),IF(ABS(CA1557-[2]QC_indicators!$B$1)&gt;3*[2]QC_indicators!$C$1,"DF","no"))),IF(ISNUMBER(CA1557),IF(ABS(CA1557-[2]QC_indicators!$B$1)&gt;3*[2]QC_indicators!$C$1,"DF","no")))</f>
        <v>0</v>
      </c>
      <c r="EZ1557" t="s">
        <v>286</v>
      </c>
      <c r="FA1557" t="str">
        <f>IF(LEN($CY1557)=0,"",IF(AND($CY1557&lt;(-0.05),$ES1557="C neutral forest and HWP assumption"),"Cneutral paradox",IF(AND($CY1557&gt;0.05,$EU1557="In-situ only assumption"),"In-situ only paradox","")))</f>
        <v/>
      </c>
      <c r="FB1557" s="147" t="s">
        <v>325</v>
      </c>
      <c r="FD1557" s="260" t="s">
        <v>2948</v>
      </c>
    </row>
    <row r="1558" spans="1:160" ht="15" hidden="1" customHeight="1">
      <c r="A1558" s="1" t="s">
        <v>265</v>
      </c>
      <c r="B1558" t="s">
        <v>266</v>
      </c>
      <c r="C1558" t="s">
        <v>267</v>
      </c>
      <c r="D1558" t="s">
        <v>268</v>
      </c>
      <c r="E1558" t="s">
        <v>269</v>
      </c>
      <c r="F1558" t="s">
        <v>270</v>
      </c>
      <c r="G1558" t="s">
        <v>271</v>
      </c>
      <c r="H1558" t="s">
        <v>254</v>
      </c>
      <c r="I1558">
        <v>2022</v>
      </c>
      <c r="J1558">
        <v>0</v>
      </c>
      <c r="K1558" t="s">
        <v>272</v>
      </c>
      <c r="M1558" t="str">
        <f>LEFT($D1558,FIND(",",$D1558)-1)&amp;"_"&amp;I1558&amp;L1558</f>
        <v>Aryapratama_2022</v>
      </c>
      <c r="N1558" t="s">
        <v>222</v>
      </c>
      <c r="O1558" s="145" t="s">
        <v>274</v>
      </c>
      <c r="Q1558" t="s">
        <v>224</v>
      </c>
      <c r="R1558" s="258" t="s">
        <v>223</v>
      </c>
      <c r="S1558" s="1" t="s">
        <v>319</v>
      </c>
      <c r="T1558" t="s">
        <v>320</v>
      </c>
      <c r="U1558" t="s">
        <v>275</v>
      </c>
      <c r="V1558" s="253">
        <v>0</v>
      </c>
      <c r="W1558" s="253">
        <v>0</v>
      </c>
      <c r="X1558">
        <v>0</v>
      </c>
      <c r="Y1558">
        <v>0</v>
      </c>
      <c r="Z1558">
        <v>0</v>
      </c>
      <c r="AA1558">
        <v>0</v>
      </c>
      <c r="AB1558">
        <v>0</v>
      </c>
      <c r="AC1558">
        <v>0</v>
      </c>
      <c r="AD1558">
        <v>0</v>
      </c>
      <c r="AE1558">
        <v>0</v>
      </c>
      <c r="AF1558">
        <v>0</v>
      </c>
      <c r="AG1558">
        <v>0</v>
      </c>
      <c r="AH1558">
        <v>1</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s="141">
        <f>COUNTIF(X1558:AY1558,"&lt;&gt;0")</f>
        <v>1</v>
      </c>
      <c r="BA1558" s="141">
        <f>COUNTIF(X1558:AN1558,"&lt;&gt;0")</f>
        <v>1</v>
      </c>
      <c r="BB1558">
        <f>COUNTIF(X1558:AE1558,"&lt;&gt;0")</f>
        <v>0</v>
      </c>
      <c r="BC1558">
        <f>COUNTIF(AF1558:AK1558,"&lt;&gt;0")</f>
        <v>1</v>
      </c>
      <c r="BD1558">
        <f>COUNTIF(AL1558:AN1558,"&lt;&gt;0")</f>
        <v>0</v>
      </c>
      <c r="BE1558">
        <f>COUNTIF(AU1558:AY1558,"&lt;&gt;0")</f>
        <v>0</v>
      </c>
      <c r="BF1558">
        <f>COUNTIF(AO1558:AT1558,"&lt;&gt;0")</f>
        <v>0</v>
      </c>
      <c r="BG1558" t="str">
        <f t="array" ref="BG1558">IF(BA1558=1,INDEX($X$7:$AN$7,MATCH(TRUE,INDEX($X1558:$AY1558&lt;&gt;0,),0)),IF(BA1558=0,INDEX($AO$7:$AY$7,MATCH(1,$AO1558:$AY1558,0)),IF(BH1558="Multiple strategies","mixed drivers",IF(BH1558="Supply chain","multiple supply","multiple silviculture"))))</f>
        <v>supply chain organization</v>
      </c>
      <c r="BH1558" s="2" t="str" cm="1">
        <f t="array" ref="BH1558">IF(COUNTIF(BB1558:BD1558,"&lt;&gt;0")=1,INDEX($X$4:$AY$4,MATCH(TRUE,INDEX($X1558:$AY1558&lt;&gt;0,),0)),IF(COUNTIF(BB1558:BD1558,"&lt;&gt;0")=0,INDEX($AO$4:$AY$4,MATCH(1,$AO1558:$AY1558,0)),"Multiple strategies"))</f>
        <v>Supply chain</v>
      </c>
      <c r="BI1558" s="1" t="s">
        <v>321</v>
      </c>
      <c r="BJ1558" s="146" t="s">
        <v>322</v>
      </c>
      <c r="BK1558" t="s">
        <v>323</v>
      </c>
      <c r="BL1558" t="s">
        <v>278</v>
      </c>
      <c r="BM1558">
        <v>225.96603773584911</v>
      </c>
      <c r="BN1558">
        <v>225.96603773584911</v>
      </c>
      <c r="BO1558">
        <f>BN1558/BM1558</f>
        <v>1</v>
      </c>
      <c r="BP1558">
        <f>BN1558-BM1558</f>
        <v>0</v>
      </c>
      <c r="BQ1558">
        <f>BP1558*tC_to_m3</f>
        <v>0</v>
      </c>
      <c r="BR1558" t="s">
        <v>232</v>
      </c>
      <c r="BS1558" s="153" t="s">
        <v>2786</v>
      </c>
      <c r="BT1558" t="s">
        <v>279</v>
      </c>
      <c r="BU1558">
        <v>-588.42624598329485</v>
      </c>
      <c r="BV1558">
        <v>-502.68675849347369</v>
      </c>
      <c r="BW1558" s="144">
        <f>IFERROR(BU1558/BV1558,"")</f>
        <v>1.1705624547318054</v>
      </c>
      <c r="BX1558">
        <f>BU1558-BV1558</f>
        <v>-85.739487489821158</v>
      </c>
      <c r="BZ1558">
        <f>BX1558</f>
        <v>-85.739487489821158</v>
      </c>
      <c r="CA1558" t="str">
        <f>IFERROR(BZ1558/BQ1558,"")</f>
        <v/>
      </c>
      <c r="CB1558">
        <v>0</v>
      </c>
      <c r="CC1558">
        <v>0</v>
      </c>
      <c r="CD1558">
        <v>0</v>
      </c>
      <c r="CE1558">
        <v>0</v>
      </c>
      <c r="CF1558">
        <v>0</v>
      </c>
      <c r="CG1558">
        <v>0</v>
      </c>
      <c r="CH1558">
        <v>0</v>
      </c>
      <c r="CI1558">
        <v>0</v>
      </c>
      <c r="CJ1558">
        <v>0</v>
      </c>
      <c r="CK1558">
        <v>0</v>
      </c>
      <c r="CL1558">
        <v>0</v>
      </c>
      <c r="CM1558">
        <v>0</v>
      </c>
      <c r="CN1558">
        <v>0</v>
      </c>
      <c r="CO1558">
        <v>0</v>
      </c>
      <c r="CP1558" t="str">
        <f>IF($BN1558&lt;$BM1558,"refNeedCorrection","refOK")</f>
        <v>refOK</v>
      </c>
      <c r="CQ1558">
        <f>IF($CP1558="refOK",$BM1558,$BN1558)</f>
        <v>225.96603773584911</v>
      </c>
      <c r="CR1558">
        <f>IF($CP1558="refOK",$BN1558,$BM1558)</f>
        <v>225.96603773584911</v>
      </c>
      <c r="CS1558">
        <f>IF($CP1558="refOK",$BQ1558,-$BQ1558)</f>
        <v>0</v>
      </c>
      <c r="CT1558">
        <f>IF(BI1558="Roundwood",$CS1558/2,$CS1558)</f>
        <v>0</v>
      </c>
      <c r="CU1558">
        <f>IF($CP1558="refOK",$BV1558,$BU1558)*IF($BR1558="Emissions positive",-1,1)</f>
        <v>-502.68675849347369</v>
      </c>
      <c r="CV1558">
        <f>IF($CP1558="refOK",$BU1558,$BV1558)*IF($BR1558="Emissions positive",-1,1)</f>
        <v>-588.42624598329485</v>
      </c>
      <c r="CW1558">
        <f>IF($CP1558="refNeedCorrection",-BZ1558,BZ1558)*IF($BR1558="Emissions positive",-1,1)</f>
        <v>-85.739487489821158</v>
      </c>
      <c r="CX1558" t="str">
        <f>IFERROR($CW1558/$CS1558,"")</f>
        <v/>
      </c>
      <c r="CY1558" t="str">
        <f>IFERROR($CW1558/$CS1558,"")</f>
        <v/>
      </c>
      <c r="CZ1558" t="str">
        <f>IFERROR($CW1558/$CT1558,"")</f>
        <v/>
      </c>
      <c r="DA1558" s="2">
        <f>IFERROR((CV1558-CU1558)/ABS(CU1558),"")</f>
        <v>-0.17056245473180551</v>
      </c>
      <c r="DB1558" s="1" t="s">
        <v>234</v>
      </c>
      <c r="DC1558" t="str">
        <f>IF(OR($DB1558="prd",$DB1558="std",$DB1558="cit"),"loc",IF(OR($DB1558="eur",$DB1558="reg",$DB1558="coy"),"reg",$DB1558))</f>
        <v>loc</v>
      </c>
      <c r="DD1558" t="s">
        <v>280</v>
      </c>
      <c r="DG1558">
        <v>100</v>
      </c>
      <c r="DH1558" t="str">
        <f>IF(DG1558=0,"0",IF(AND(DG1558&gt;=1,DG1558&lt;=30),"1-30",IF(AND(DG1558&gt;30,DG1558&lt;=70),"31-70",IF(AND(DG1558&gt;70,DG1558&lt;=100),"71-100",IF(DG1558&gt;100,"+100")))))</f>
        <v>71-100</v>
      </c>
      <c r="DI1558">
        <v>0</v>
      </c>
      <c r="DJ1558">
        <v>1</v>
      </c>
      <c r="DK1558">
        <v>0</v>
      </c>
      <c r="DL1558">
        <v>1</v>
      </c>
      <c r="DN1558">
        <f>SUM(DI1558:DL1558)</f>
        <v>2</v>
      </c>
      <c r="DO1558" t="str">
        <f>IF(DN1558=1,INDEX($DI$7:$DL$7,MATCH(1,$DI1558:$DL1558,0)),"mixedProduct")</f>
        <v>mixedProduct</v>
      </c>
      <c r="DP1558">
        <f>IF(DI1558=1,DP$7,0)</f>
        <v>0</v>
      </c>
      <c r="DQ1558" t="str">
        <f>IF(DJ1558=1,DQ$7,0)</f>
        <v>Energy</v>
      </c>
      <c r="DR1558">
        <f>IF(DK1558=1,DR$7,0)</f>
        <v>0</v>
      </c>
      <c r="DS1558" t="str">
        <f>IF(DL1558=1,DS$7,0)</f>
        <v>Timber</v>
      </c>
      <c r="DT1558">
        <v>0</v>
      </c>
      <c r="DU1558">
        <v>1</v>
      </c>
      <c r="DV1558" t="s">
        <v>304</v>
      </c>
      <c r="DW1558" t="s">
        <v>281</v>
      </c>
      <c r="DX1558">
        <v>0</v>
      </c>
      <c r="DY1558">
        <f>SUM(DT1558:DU1558)</f>
        <v>1</v>
      </c>
      <c r="DZ1558" s="143" t="str">
        <f>IF(DT1558=1,"self-calculated DF",IF(DU1558=1,"external DF used","explicit C balance"))</f>
        <v>external DF used</v>
      </c>
      <c r="EA1558">
        <v>0</v>
      </c>
      <c r="EB1558">
        <v>1</v>
      </c>
      <c r="EC1558">
        <v>1</v>
      </c>
      <c r="ED1558">
        <v>1</v>
      </c>
      <c r="EE1558">
        <v>1</v>
      </c>
      <c r="EF1558" s="143">
        <v>0</v>
      </c>
      <c r="EG1558">
        <v>1</v>
      </c>
      <c r="EH1558">
        <v>1</v>
      </c>
      <c r="EI1558">
        <v>0</v>
      </c>
      <c r="EJ1558">
        <v>1</v>
      </c>
      <c r="EK1558">
        <v>1</v>
      </c>
      <c r="EL1558">
        <v>1</v>
      </c>
      <c r="EM1558">
        <v>0</v>
      </c>
      <c r="EN1558" s="2">
        <v>0</v>
      </c>
      <c r="EP1558" t="str">
        <f>IF(AND(AND(AND(OR($EC1558=1,$EB1558=1),OR($EH1558=1,$EF1558=1)),SUM($EA1558:$EE1558,$EK1558)&gt;=3),SUM($EF1558:$EJ1558)&gt;=2),"Whole sector approach","")</f>
        <v>Whole sector approach</v>
      </c>
      <c r="EQ1558" t="str">
        <f>IF(AND(AND(OR($EC1558=1,$EB1558=1),AND($EH1558=0,$EF1558=0)),SUM($EA1558:$EE1558,$EK1558)&gt;=4),"Ecosystem approach","")</f>
        <v/>
      </c>
      <c r="ER1558" s="2" t="str">
        <f>IF(AND(AND(AND($EC1558=0,$EB1558=0),OR($EH1558=1,$EF1558=1)),SUM($EG1558:$EJ1558)&gt;=2),"Technology approach","")</f>
        <v/>
      </c>
      <c r="ES1558" t="str">
        <f>IF(AND($EC1558+$EB1558+$EE1558+$EA1558+$ED1558+$EG1558=0,$N1558="included"),"C neutral forest and HWP assumption","")</f>
        <v/>
      </c>
      <c r="ET1558" t="str">
        <f>IF(AND(AND(AND(AND($EC1558=1,$EB1558+$EA1558+$EG1558&gt;=1),$EF1558=1),$EH1558+$EI1558+$ED1558+$EE1558&gt;=2),$N1558="included"),"All C pools assumption","")</f>
        <v/>
      </c>
      <c r="EU1558" t="str">
        <f>IF(AND($ED1558+$EE1558+$EI1558+$EH1558+$EF1558=0,$N1558="included"),"In-situ only assumption","")</f>
        <v/>
      </c>
      <c r="EW1558" t="s">
        <v>324</v>
      </c>
      <c r="EY1558" t="b">
        <f>IF(ISNUMBER(BW1558),IF(ABS(BW1558-[2]QC_indicators!$B$2)&gt;3*[2]QC_indicators!$C$2,"C ratio",IF(ISNUMBER(CA1558),IF(ABS(CA1558-[2]QC_indicators!$B$1)&gt;3*[2]QC_indicators!$C$1,"DF","no"))),IF(ISNUMBER(CA1558),IF(ABS(CA1558-[2]QC_indicators!$B$1)&gt;3*[2]QC_indicators!$C$1,"DF","no")))</f>
        <v>0</v>
      </c>
      <c r="EZ1558" t="s">
        <v>286</v>
      </c>
      <c r="FA1558" t="str">
        <f>IF(LEN($CY1558)=0,"",IF(AND($CY1558&lt;(-0.05),$ES1558="C neutral forest and HWP assumption"),"Cneutral paradox",IF(AND($CY1558&gt;0.05,$EU1558="In-situ only assumption"),"In-situ only paradox","")))</f>
        <v/>
      </c>
      <c r="FB1558" s="147" t="s">
        <v>325</v>
      </c>
      <c r="FD1558" s="260" t="s">
        <v>2948</v>
      </c>
    </row>
    <row r="1559" spans="1:160" ht="15" hidden="1" customHeight="1">
      <c r="A1559" s="1" t="s">
        <v>265</v>
      </c>
      <c r="B1559" t="s">
        <v>266</v>
      </c>
      <c r="C1559" t="s">
        <v>267</v>
      </c>
      <c r="D1559" t="s">
        <v>268</v>
      </c>
      <c r="E1559" t="s">
        <v>269</v>
      </c>
      <c r="F1559" t="s">
        <v>270</v>
      </c>
      <c r="G1559" t="s">
        <v>271</v>
      </c>
      <c r="H1559" t="s">
        <v>254</v>
      </c>
      <c r="I1559">
        <v>2022</v>
      </c>
      <c r="J1559">
        <v>0</v>
      </c>
      <c r="K1559" t="s">
        <v>272</v>
      </c>
      <c r="M1559" t="str">
        <f>LEFT($D1559,FIND(",",$D1559)-1)&amp;"_"&amp;I1559&amp;L1559</f>
        <v>Aryapratama_2022</v>
      </c>
      <c r="N1559" t="s">
        <v>222</v>
      </c>
      <c r="O1559" s="145" t="s">
        <v>274</v>
      </c>
      <c r="Q1559" t="s">
        <v>224</v>
      </c>
      <c r="R1559" s="258" t="s">
        <v>223</v>
      </c>
      <c r="S1559" s="1" t="s">
        <v>319</v>
      </c>
      <c r="T1559" t="s">
        <v>326</v>
      </c>
      <c r="U1559" t="s">
        <v>276</v>
      </c>
      <c r="V1559" s="253">
        <v>0</v>
      </c>
      <c r="W1559" s="253">
        <v>0</v>
      </c>
      <c r="X1559">
        <v>0</v>
      </c>
      <c r="Y1559">
        <v>0</v>
      </c>
      <c r="Z1559">
        <v>0</v>
      </c>
      <c r="AA1559">
        <v>0</v>
      </c>
      <c r="AB1559">
        <v>0</v>
      </c>
      <c r="AC1559">
        <v>0</v>
      </c>
      <c r="AD1559">
        <v>0</v>
      </c>
      <c r="AE1559">
        <v>0</v>
      </c>
      <c r="AF1559">
        <v>0</v>
      </c>
      <c r="AG1559">
        <v>0</v>
      </c>
      <c r="AH1559">
        <v>1</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s="141">
        <f>COUNTIF(X1559:AY1559,"&lt;&gt;0")</f>
        <v>1</v>
      </c>
      <c r="BA1559" s="141">
        <f>COUNTIF(X1559:AN1559,"&lt;&gt;0")</f>
        <v>1</v>
      </c>
      <c r="BB1559">
        <f>COUNTIF(X1559:AE1559,"&lt;&gt;0")</f>
        <v>0</v>
      </c>
      <c r="BC1559">
        <f>COUNTIF(AF1559:AK1559,"&lt;&gt;0")</f>
        <v>1</v>
      </c>
      <c r="BD1559">
        <f>COUNTIF(AL1559:AN1559,"&lt;&gt;0")</f>
        <v>0</v>
      </c>
      <c r="BE1559">
        <f>COUNTIF(AU1559:AY1559,"&lt;&gt;0")</f>
        <v>0</v>
      </c>
      <c r="BF1559">
        <f>COUNTIF(AO1559:AT1559,"&lt;&gt;0")</f>
        <v>0</v>
      </c>
      <c r="BG1559" t="str">
        <f t="array" ref="BG1559">IF(BA1559=1,INDEX($X$7:$AN$7,MATCH(TRUE,INDEX($X1559:$AY1559&lt;&gt;0,),0)),IF(BA1559=0,INDEX($AO$7:$AY$7,MATCH(1,$AO1559:$AY1559,0)),IF(BH1559="Multiple strategies","mixed drivers",IF(BH1559="Supply chain","multiple supply","multiple silviculture"))))</f>
        <v>supply chain organization</v>
      </c>
      <c r="BH1559" s="2" t="str" cm="1">
        <f t="array" ref="BH1559">IF(COUNTIF(BB1559:BD1559,"&lt;&gt;0")=1,INDEX($X$4:$AY$4,MATCH(TRUE,INDEX($X1559:$AY1559&lt;&gt;0,),0)),IF(COUNTIF(BB1559:BD1559,"&lt;&gt;0")=0,INDEX($AO$4:$AY$4,MATCH(1,$AO1559:$AY1559,0)),"Multiple strategies"))</f>
        <v>Supply chain</v>
      </c>
      <c r="BI1559" s="1" t="s">
        <v>321</v>
      </c>
      <c r="BJ1559" s="146" t="s">
        <v>322</v>
      </c>
      <c r="BK1559" t="s">
        <v>323</v>
      </c>
      <c r="BL1559" t="s">
        <v>278</v>
      </c>
      <c r="BM1559" s="148">
        <v>225.96603773584911</v>
      </c>
      <c r="BN1559" s="148">
        <v>225.96603773584911</v>
      </c>
      <c r="BO1559">
        <f>BN1559/BM1559</f>
        <v>1</v>
      </c>
      <c r="BP1559">
        <f>BN1559-BM1559</f>
        <v>0</v>
      </c>
      <c r="BQ1559">
        <f>BP1559*tC_to_m3</f>
        <v>0</v>
      </c>
      <c r="BR1559" t="s">
        <v>232</v>
      </c>
      <c r="BS1559" s="153" t="s">
        <v>2786</v>
      </c>
      <c r="BT1559" t="s">
        <v>279</v>
      </c>
      <c r="BU1559">
        <v>-1049.6296143500765</v>
      </c>
      <c r="BV1559">
        <v>-922.29525217943831</v>
      </c>
      <c r="BW1559" s="144">
        <f>IFERROR(BU1559/BV1559,"")</f>
        <v>1.1380624717190504</v>
      </c>
      <c r="BX1559">
        <f>BU1559-BV1559</f>
        <v>-127.3343621706382</v>
      </c>
      <c r="BZ1559">
        <f>BX1559</f>
        <v>-127.3343621706382</v>
      </c>
      <c r="CA1559" t="str">
        <f>IFERROR(BZ1559/BQ1559,"")</f>
        <v/>
      </c>
      <c r="CB1559">
        <v>0</v>
      </c>
      <c r="CC1559">
        <v>0</v>
      </c>
      <c r="CD1559">
        <v>0</v>
      </c>
      <c r="CE1559">
        <v>0</v>
      </c>
      <c r="CF1559">
        <v>0</v>
      </c>
      <c r="CG1559">
        <v>0</v>
      </c>
      <c r="CH1559">
        <v>0</v>
      </c>
      <c r="CI1559">
        <v>0</v>
      </c>
      <c r="CJ1559">
        <v>0</v>
      </c>
      <c r="CK1559">
        <v>0</v>
      </c>
      <c r="CL1559">
        <v>0</v>
      </c>
      <c r="CM1559">
        <v>0</v>
      </c>
      <c r="CN1559">
        <v>0</v>
      </c>
      <c r="CO1559">
        <v>0</v>
      </c>
      <c r="CP1559" t="str">
        <f>IF($BN1559&lt;$BM1559,"refNeedCorrection","refOK")</f>
        <v>refOK</v>
      </c>
      <c r="CQ1559">
        <f>IF($CP1559="refOK",$BM1559,$BN1559)</f>
        <v>225.96603773584911</v>
      </c>
      <c r="CR1559">
        <f>IF($CP1559="refOK",$BN1559,$BM1559)</f>
        <v>225.96603773584911</v>
      </c>
      <c r="CS1559">
        <f>IF($CP1559="refOK",$BQ1559,-$BQ1559)</f>
        <v>0</v>
      </c>
      <c r="CT1559">
        <f>IF(BI1559="Roundwood",$CS1559/2,$CS1559)</f>
        <v>0</v>
      </c>
      <c r="CU1559">
        <f>IF($CP1559="refOK",$BV1559,$BU1559)*IF($BR1559="Emissions positive",-1,1)</f>
        <v>-922.29525217943831</v>
      </c>
      <c r="CV1559">
        <f>IF($CP1559="refOK",$BU1559,$BV1559)*IF($BR1559="Emissions positive",-1,1)</f>
        <v>-1049.6296143500765</v>
      </c>
      <c r="CW1559">
        <f>IF($CP1559="refNeedCorrection",-BZ1559,BZ1559)*IF($BR1559="Emissions positive",-1,1)</f>
        <v>-127.3343621706382</v>
      </c>
      <c r="CX1559" t="str">
        <f>IFERROR($CW1559/$CS1559,"")</f>
        <v/>
      </c>
      <c r="CY1559" t="str">
        <f>IFERROR($CW1559/$CS1559,"")</f>
        <v/>
      </c>
      <c r="CZ1559" t="str">
        <f>IFERROR($CW1559/$CT1559,"")</f>
        <v/>
      </c>
      <c r="DA1559" s="2">
        <f>IFERROR((CV1559-CU1559)/ABS(CU1559),"")</f>
        <v>-0.13806247171905045</v>
      </c>
      <c r="DB1559" s="1" t="s">
        <v>234</v>
      </c>
      <c r="DC1559" t="str">
        <f>IF(OR($DB1559="prd",$DB1559="std",$DB1559="cit"),"loc",IF(OR($DB1559="eur",$DB1559="reg",$DB1559="coy"),"reg",$DB1559))</f>
        <v>loc</v>
      </c>
      <c r="DD1559" t="s">
        <v>280</v>
      </c>
      <c r="DG1559">
        <v>100</v>
      </c>
      <c r="DH1559" t="str">
        <f>IF(DG1559=0,"0",IF(AND(DG1559&gt;=1,DG1559&lt;=30),"1-30",IF(AND(DG1559&gt;30,DG1559&lt;=70),"31-70",IF(AND(DG1559&gt;70,DG1559&lt;=100),"71-100",IF(DG1559&gt;100,"+100")))))</f>
        <v>71-100</v>
      </c>
      <c r="DI1559">
        <v>0</v>
      </c>
      <c r="DJ1559">
        <v>1</v>
      </c>
      <c r="DK1559">
        <v>0</v>
      </c>
      <c r="DL1559">
        <v>1</v>
      </c>
      <c r="DN1559">
        <f>SUM(DI1559:DL1559)</f>
        <v>2</v>
      </c>
      <c r="DO1559" t="str">
        <f>IF(DN1559=1,INDEX($DI$7:$DL$7,MATCH(1,$DI1559:$DL1559,0)),"mixedProduct")</f>
        <v>mixedProduct</v>
      </c>
      <c r="DP1559">
        <f>IF(DI1559=1,DP$7,0)</f>
        <v>0</v>
      </c>
      <c r="DQ1559" t="str">
        <f>IF(DJ1559=1,DQ$7,0)</f>
        <v>Energy</v>
      </c>
      <c r="DR1559">
        <f>IF(DK1559=1,DR$7,0)</f>
        <v>0</v>
      </c>
      <c r="DS1559" t="str">
        <f>IF(DL1559=1,DS$7,0)</f>
        <v>Timber</v>
      </c>
      <c r="DT1559">
        <v>0</v>
      </c>
      <c r="DU1559">
        <v>1</v>
      </c>
      <c r="DV1559" t="s">
        <v>304</v>
      </c>
      <c r="DW1559" t="s">
        <v>281</v>
      </c>
      <c r="DX1559">
        <v>0</v>
      </c>
      <c r="DY1559">
        <f>SUM(DT1559:DU1559)</f>
        <v>1</v>
      </c>
      <c r="DZ1559" s="143" t="str">
        <f>IF(DT1559=1,"self-calculated DF",IF(DU1559=1,"external DF used","explicit C balance"))</f>
        <v>external DF used</v>
      </c>
      <c r="EA1559">
        <v>0</v>
      </c>
      <c r="EB1559">
        <v>1</v>
      </c>
      <c r="EC1559">
        <v>1</v>
      </c>
      <c r="ED1559">
        <v>1</v>
      </c>
      <c r="EE1559">
        <v>1</v>
      </c>
      <c r="EF1559" s="143">
        <v>0</v>
      </c>
      <c r="EG1559">
        <v>1</v>
      </c>
      <c r="EH1559">
        <v>1</v>
      </c>
      <c r="EI1559">
        <v>0</v>
      </c>
      <c r="EJ1559">
        <v>1</v>
      </c>
      <c r="EK1559">
        <v>1</v>
      </c>
      <c r="EL1559">
        <v>1</v>
      </c>
      <c r="EM1559">
        <v>0</v>
      </c>
      <c r="EN1559" s="2">
        <v>0</v>
      </c>
      <c r="EP1559" t="str">
        <f>IF(AND(AND(AND(OR($EC1559=1,$EB1559=1),OR($EH1559=1,$EF1559=1)),SUM($EA1559:$EE1559,$EK1559)&gt;=3),SUM($EF1559:$EJ1559)&gt;=2),"Whole sector approach","")</f>
        <v>Whole sector approach</v>
      </c>
      <c r="EQ1559" t="str">
        <f>IF(AND(AND(OR($EC1559=1,$EB1559=1),AND($EH1559=0,$EF1559=0)),SUM($EA1559:$EE1559,$EK1559)&gt;=4),"Ecosystem approach","")</f>
        <v/>
      </c>
      <c r="ER1559" s="2" t="str">
        <f>IF(AND(AND(AND($EC1559=0,$EB1559=0),OR($EH1559=1,$EF1559=1)),SUM($EG1559:$EJ1559)&gt;=2),"Technology approach","")</f>
        <v/>
      </c>
      <c r="ES1559" t="str">
        <f>IF(AND($EC1559+$EB1559+$EE1559+$EA1559+$ED1559+$EG1559=0,$N1559="included"),"C neutral forest and HWP assumption","")</f>
        <v/>
      </c>
      <c r="ET1559" t="str">
        <f>IF(AND(AND(AND(AND($EC1559=1,$EB1559+$EA1559+$EG1559&gt;=1),$EF1559=1),$EH1559+$EI1559+$ED1559+$EE1559&gt;=2),$N1559="included"),"All C pools assumption","")</f>
        <v/>
      </c>
      <c r="EU1559" t="str">
        <f>IF(AND($ED1559+$EE1559+$EI1559+$EH1559+$EF1559=0,$N1559="included"),"In-situ only assumption","")</f>
        <v/>
      </c>
      <c r="EW1559" t="s">
        <v>324</v>
      </c>
      <c r="EY1559" t="b">
        <f>IF(ISNUMBER(BW1559),IF(ABS(BW1559-[2]QC_indicators!$B$2)&gt;3*[2]QC_indicators!$C$2,"C ratio",IF(ISNUMBER(CA1559),IF(ABS(CA1559-[2]QC_indicators!$B$1)&gt;3*[2]QC_indicators!$C$1,"DF","no"))),IF(ISNUMBER(CA1559),IF(ABS(CA1559-[2]QC_indicators!$B$1)&gt;3*[2]QC_indicators!$C$1,"DF","no")))</f>
        <v>0</v>
      </c>
      <c r="EZ1559" t="s">
        <v>286</v>
      </c>
      <c r="FA1559" t="str">
        <f>IF(LEN($CY1559)=0,"",IF(AND($CY1559&lt;(-0.05),$ES1559="C neutral forest and HWP assumption"),"Cneutral paradox",IF(AND($CY1559&gt;0.05,$EU1559="In-situ only assumption"),"In-situ only paradox","")))</f>
        <v/>
      </c>
      <c r="FB1559" s="147" t="s">
        <v>325</v>
      </c>
      <c r="FD1559" s="260" t="s">
        <v>2948</v>
      </c>
    </row>
    <row r="1560" spans="1:160" ht="15" hidden="1" customHeight="1">
      <c r="A1560" s="1" t="s">
        <v>265</v>
      </c>
      <c r="B1560" t="s">
        <v>266</v>
      </c>
      <c r="C1560" t="s">
        <v>267</v>
      </c>
      <c r="D1560" t="s">
        <v>268</v>
      </c>
      <c r="E1560" t="s">
        <v>269</v>
      </c>
      <c r="F1560" t="s">
        <v>270</v>
      </c>
      <c r="G1560" t="s">
        <v>271</v>
      </c>
      <c r="H1560" t="s">
        <v>254</v>
      </c>
      <c r="I1560">
        <v>2022</v>
      </c>
      <c r="J1560">
        <v>0</v>
      </c>
      <c r="K1560" t="s">
        <v>272</v>
      </c>
      <c r="M1560" t="str">
        <f>LEFT($D1560,FIND(",",$D1560)-1)&amp;"_"&amp;I1560&amp;L1560</f>
        <v>Aryapratama_2022</v>
      </c>
      <c r="N1560" t="s">
        <v>222</v>
      </c>
      <c r="O1560" s="145" t="s">
        <v>274</v>
      </c>
      <c r="Q1560" t="s">
        <v>224</v>
      </c>
      <c r="R1560" s="258" t="s">
        <v>223</v>
      </c>
      <c r="S1560" s="1" t="s">
        <v>319</v>
      </c>
      <c r="T1560" t="s">
        <v>312</v>
      </c>
      <c r="U1560" t="s">
        <v>283</v>
      </c>
      <c r="V1560" s="253">
        <v>0</v>
      </c>
      <c r="W1560" s="253">
        <v>0</v>
      </c>
      <c r="X1560">
        <v>0</v>
      </c>
      <c r="Y1560">
        <v>0</v>
      </c>
      <c r="Z1560">
        <v>0</v>
      </c>
      <c r="AA1560">
        <v>0</v>
      </c>
      <c r="AB1560">
        <v>0</v>
      </c>
      <c r="AC1560">
        <v>0</v>
      </c>
      <c r="AD1560">
        <v>0</v>
      </c>
      <c r="AE1560">
        <v>0</v>
      </c>
      <c r="AF1560">
        <v>0</v>
      </c>
      <c r="AG1560">
        <v>0</v>
      </c>
      <c r="AH1560">
        <v>1</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s="141">
        <f>COUNTIF(X1560:AY1560,"&lt;&gt;0")</f>
        <v>1</v>
      </c>
      <c r="BA1560" s="141">
        <f>COUNTIF(X1560:AN1560,"&lt;&gt;0")</f>
        <v>1</v>
      </c>
      <c r="BB1560">
        <f>COUNTIF(X1560:AE1560,"&lt;&gt;0")</f>
        <v>0</v>
      </c>
      <c r="BC1560">
        <f>COUNTIF(AF1560:AK1560,"&lt;&gt;0")</f>
        <v>1</v>
      </c>
      <c r="BD1560">
        <f>COUNTIF(AL1560:AN1560,"&lt;&gt;0")</f>
        <v>0</v>
      </c>
      <c r="BE1560">
        <f>COUNTIF(AU1560:AY1560,"&lt;&gt;0")</f>
        <v>0</v>
      </c>
      <c r="BF1560">
        <f>COUNTIF(AO1560:AT1560,"&lt;&gt;0")</f>
        <v>0</v>
      </c>
      <c r="BG1560" t="str">
        <f t="array" ref="BG1560">IF(BA1560=1,INDEX($X$7:$AN$7,MATCH(TRUE,INDEX($X1560:$AY1560&lt;&gt;0,),0)),IF(BA1560=0,INDEX($AO$7:$AY$7,MATCH(1,$AO1560:$AY1560,0)),IF(BH1560="Multiple strategies","mixed drivers",IF(BH1560="Supply chain","multiple supply","multiple silviculture"))))</f>
        <v>supply chain organization</v>
      </c>
      <c r="BH1560" s="2" t="str" cm="1">
        <f t="array" ref="BH1560">IF(COUNTIF(BB1560:BD1560,"&lt;&gt;0")=1,INDEX($X$4:$AY$4,MATCH(TRUE,INDEX($X1560:$AY1560&lt;&gt;0,),0)),IF(COUNTIF(BB1560:BD1560,"&lt;&gt;0")=0,INDEX($AO$4:$AY$4,MATCH(1,$AO1560:$AY1560,0)),"Multiple strategies"))</f>
        <v>Supply chain</v>
      </c>
      <c r="BI1560" s="1" t="s">
        <v>321</v>
      </c>
      <c r="BJ1560" s="146" t="s">
        <v>322</v>
      </c>
      <c r="BK1560" t="s">
        <v>323</v>
      </c>
      <c r="BL1560" t="s">
        <v>278</v>
      </c>
      <c r="BM1560" s="148">
        <v>9.6371132903994159</v>
      </c>
      <c r="BN1560" s="148">
        <v>9.6371132903994159</v>
      </c>
      <c r="BO1560">
        <f>BN1560/BM1560</f>
        <v>1</v>
      </c>
      <c r="BP1560">
        <f>BN1560-BM1560</f>
        <v>0</v>
      </c>
      <c r="BQ1560">
        <f>BP1560*tC_to_m3</f>
        <v>0</v>
      </c>
      <c r="BR1560" t="s">
        <v>232</v>
      </c>
      <c r="BS1560" s="153" t="s">
        <v>2786</v>
      </c>
      <c r="BT1560" t="s">
        <v>279</v>
      </c>
      <c r="BU1560">
        <v>167.28412809039341</v>
      </c>
      <c r="BV1560">
        <v>185.09042564065231</v>
      </c>
      <c r="BW1560" s="144">
        <f>IFERROR(BU1560/BV1560,"")</f>
        <v>0.90379676588550661</v>
      </c>
      <c r="BX1560">
        <f>BU1560-BV1560</f>
        <v>-17.806297550258904</v>
      </c>
      <c r="BZ1560">
        <f>BX1560</f>
        <v>-17.806297550258904</v>
      </c>
      <c r="CA1560" t="str">
        <f>IFERROR(BZ1560/BQ1560,"")</f>
        <v/>
      </c>
      <c r="CB1560">
        <v>0</v>
      </c>
      <c r="CC1560">
        <v>0</v>
      </c>
      <c r="CD1560">
        <v>0</v>
      </c>
      <c r="CE1560">
        <v>0</v>
      </c>
      <c r="CF1560">
        <v>0</v>
      </c>
      <c r="CG1560">
        <v>0</v>
      </c>
      <c r="CH1560">
        <v>0</v>
      </c>
      <c r="CI1560">
        <v>0</v>
      </c>
      <c r="CJ1560">
        <v>0</v>
      </c>
      <c r="CK1560">
        <v>0</v>
      </c>
      <c r="CL1560">
        <v>0</v>
      </c>
      <c r="CM1560">
        <v>0</v>
      </c>
      <c r="CN1560">
        <v>0</v>
      </c>
      <c r="CO1560">
        <v>0</v>
      </c>
      <c r="CP1560" t="str">
        <f>IF($BN1560&lt;$BM1560,"refNeedCorrection","refOK")</f>
        <v>refOK</v>
      </c>
      <c r="CQ1560">
        <f>IF($CP1560="refOK",$BM1560,$BN1560)</f>
        <v>9.6371132903994159</v>
      </c>
      <c r="CR1560">
        <f>IF($CP1560="refOK",$BN1560,$BM1560)</f>
        <v>9.6371132903994159</v>
      </c>
      <c r="CS1560">
        <f>IF($CP1560="refOK",$BQ1560,-$BQ1560)</f>
        <v>0</v>
      </c>
      <c r="CT1560">
        <f>IF(BI1560="Roundwood",$CS1560/2,$CS1560)</f>
        <v>0</v>
      </c>
      <c r="CU1560">
        <f>IF($CP1560="refOK",$BV1560,$BU1560)*IF($BR1560="Emissions positive",-1,1)</f>
        <v>185.09042564065231</v>
      </c>
      <c r="CV1560">
        <f>IF($CP1560="refOK",$BU1560,$BV1560)*IF($BR1560="Emissions positive",-1,1)</f>
        <v>167.28412809039341</v>
      </c>
      <c r="CW1560">
        <f>IF($CP1560="refNeedCorrection",-BZ1560,BZ1560)*IF($BR1560="Emissions positive",-1,1)</f>
        <v>-17.806297550258904</v>
      </c>
      <c r="CX1560" t="str">
        <f>IFERROR($CW1560/$CS1560,"")</f>
        <v/>
      </c>
      <c r="CY1560" t="str">
        <f>IFERROR($CW1560/$CS1560,"")</f>
        <v/>
      </c>
      <c r="CZ1560" t="str">
        <f>IFERROR($CW1560/$CT1560,"")</f>
        <v/>
      </c>
      <c r="DA1560" s="2">
        <f>IFERROR((CV1560-CU1560)/ABS(CU1560),"")</f>
        <v>-9.6203234114493386E-2</v>
      </c>
      <c r="DB1560" s="1" t="s">
        <v>234</v>
      </c>
      <c r="DC1560" t="str">
        <f>IF(OR($DB1560="prd",$DB1560="std",$DB1560="cit"),"loc",IF(OR($DB1560="eur",$DB1560="reg",$DB1560="coy"),"reg",$DB1560))</f>
        <v>loc</v>
      </c>
      <c r="DD1560" t="s">
        <v>280</v>
      </c>
      <c r="DG1560">
        <v>50</v>
      </c>
      <c r="DH1560" t="str">
        <f>IF(DG1560=0,"0",IF(AND(DG1560&gt;=1,DG1560&lt;=30),"1-30",IF(AND(DG1560&gt;30,DG1560&lt;=70),"31-70",IF(AND(DG1560&gt;70,DG1560&lt;=100),"71-100",IF(DG1560&gt;100,"+100")))))</f>
        <v>31-70</v>
      </c>
      <c r="DI1560">
        <v>0</v>
      </c>
      <c r="DJ1560">
        <v>1</v>
      </c>
      <c r="DK1560">
        <v>0</v>
      </c>
      <c r="DL1560">
        <v>1</v>
      </c>
      <c r="DN1560">
        <f>SUM(DI1560:DL1560)</f>
        <v>2</v>
      </c>
      <c r="DO1560" t="str">
        <f>IF(DN1560=1,INDEX($DI$7:$DL$7,MATCH(1,$DI1560:$DL1560,0)),"mixedProduct")</f>
        <v>mixedProduct</v>
      </c>
      <c r="DP1560">
        <f>IF(DI1560=1,DP$7,0)</f>
        <v>0</v>
      </c>
      <c r="DQ1560" t="str">
        <f>IF(DJ1560=1,DQ$7,0)</f>
        <v>Energy</v>
      </c>
      <c r="DR1560">
        <f>IF(DK1560=1,DR$7,0)</f>
        <v>0</v>
      </c>
      <c r="DS1560" t="str">
        <f>IF(DL1560=1,DS$7,0)</f>
        <v>Timber</v>
      </c>
      <c r="DT1560">
        <v>0</v>
      </c>
      <c r="DU1560">
        <v>1</v>
      </c>
      <c r="DV1560" t="s">
        <v>304</v>
      </c>
      <c r="DW1560" t="s">
        <v>281</v>
      </c>
      <c r="DX1560">
        <v>0</v>
      </c>
      <c r="DY1560">
        <f>SUM(DT1560:DU1560)</f>
        <v>1</v>
      </c>
      <c r="DZ1560" s="143" t="str">
        <f>IF(DT1560=1,"self-calculated DF",IF(DU1560=1,"external DF used","explicit C balance"))</f>
        <v>external DF used</v>
      </c>
      <c r="EA1560">
        <v>0</v>
      </c>
      <c r="EB1560">
        <v>1</v>
      </c>
      <c r="EC1560">
        <v>1</v>
      </c>
      <c r="ED1560">
        <v>1</v>
      </c>
      <c r="EE1560">
        <v>1</v>
      </c>
      <c r="EF1560" s="143">
        <v>0</v>
      </c>
      <c r="EG1560">
        <v>1</v>
      </c>
      <c r="EH1560">
        <v>1</v>
      </c>
      <c r="EI1560">
        <v>0</v>
      </c>
      <c r="EJ1560">
        <v>1</v>
      </c>
      <c r="EK1560">
        <v>1</v>
      </c>
      <c r="EL1560">
        <v>1</v>
      </c>
      <c r="EM1560">
        <v>0</v>
      </c>
      <c r="EN1560" s="2">
        <v>0</v>
      </c>
      <c r="EP1560" t="str">
        <f>IF(AND(AND(AND(OR($EC1560=1,$EB1560=1),OR($EH1560=1,$EF1560=1)),SUM($EA1560:$EE1560,$EK1560)&gt;=3),SUM($EF1560:$EJ1560)&gt;=2),"Whole sector approach","")</f>
        <v>Whole sector approach</v>
      </c>
      <c r="EQ1560" t="str">
        <f>IF(AND(AND(OR($EC1560=1,$EB1560=1),AND($EH1560=0,$EF1560=0)),SUM($EA1560:$EE1560,$EK1560)&gt;=4),"Ecosystem approach","")</f>
        <v/>
      </c>
      <c r="ER1560" s="2" t="str">
        <f>IF(AND(AND(AND($EC1560=0,$EB1560=0),OR($EH1560=1,$EF1560=1)),SUM($EG1560:$EJ1560)&gt;=2),"Technology approach","")</f>
        <v/>
      </c>
      <c r="ES1560" t="str">
        <f>IF(AND($EC1560+$EB1560+$EE1560+$EA1560+$ED1560+$EG1560=0,$N1560="included"),"C neutral forest and HWP assumption","")</f>
        <v/>
      </c>
      <c r="ET1560" t="str">
        <f>IF(AND(AND(AND(AND($EC1560=1,$EB1560+$EA1560+$EG1560&gt;=1),$EF1560=1),$EH1560+$EI1560+$ED1560+$EE1560&gt;=2),$N1560="included"),"All C pools assumption","")</f>
        <v/>
      </c>
      <c r="EU1560" t="str">
        <f>IF(AND($ED1560+$EE1560+$EI1560+$EH1560+$EF1560=0,$N1560="included"),"In-situ only assumption","")</f>
        <v/>
      </c>
      <c r="EW1560" t="s">
        <v>324</v>
      </c>
      <c r="EY1560" t="b">
        <f>IF(ISNUMBER(BW1560),IF(ABS(BW1560-[2]QC_indicators!$B$2)&gt;3*[2]QC_indicators!$C$2,"C ratio",IF(ISNUMBER(CA1560),IF(ABS(CA1560-[2]QC_indicators!$B$1)&gt;3*[2]QC_indicators!$C$1,"DF","no"))),IF(ISNUMBER(CA1560),IF(ABS(CA1560-[2]QC_indicators!$B$1)&gt;3*[2]QC_indicators!$C$1,"DF","no")))</f>
        <v>0</v>
      </c>
      <c r="EZ1560" t="s">
        <v>286</v>
      </c>
      <c r="FA1560" t="str">
        <f>IF(LEN($CY1560)=0,"",IF(AND($CY1560&lt;(-0.05),$ES1560="C neutral forest and HWP assumption"),"Cneutral paradox",IF(AND($CY1560&gt;0.05,$EU1560="In-situ only assumption"),"In-situ only paradox","")))</f>
        <v/>
      </c>
      <c r="FB1560" s="147" t="s">
        <v>325</v>
      </c>
      <c r="FD1560" s="260" t="s">
        <v>2948</v>
      </c>
    </row>
    <row r="1561" spans="1:160" ht="15" hidden="1" customHeight="1">
      <c r="A1561" s="1" t="s">
        <v>265</v>
      </c>
      <c r="B1561" t="s">
        <v>266</v>
      </c>
      <c r="C1561" t="s">
        <v>267</v>
      </c>
      <c r="D1561" t="s">
        <v>268</v>
      </c>
      <c r="E1561" t="s">
        <v>269</v>
      </c>
      <c r="F1561" t="s">
        <v>270</v>
      </c>
      <c r="G1561" t="s">
        <v>271</v>
      </c>
      <c r="H1561" t="s">
        <v>254</v>
      </c>
      <c r="I1561">
        <v>2022</v>
      </c>
      <c r="J1561">
        <v>0</v>
      </c>
      <c r="K1561" t="s">
        <v>272</v>
      </c>
      <c r="M1561" t="str">
        <f>LEFT($D1561,FIND(",",$D1561)-1)&amp;"_"&amp;I1561&amp;L1561</f>
        <v>Aryapratama_2022</v>
      </c>
      <c r="N1561" t="s">
        <v>222</v>
      </c>
      <c r="O1561" s="145" t="s">
        <v>274</v>
      </c>
      <c r="Q1561" t="s">
        <v>224</v>
      </c>
      <c r="R1561" s="258" t="s">
        <v>223</v>
      </c>
      <c r="S1561" s="1" t="s">
        <v>319</v>
      </c>
      <c r="T1561" t="s">
        <v>303</v>
      </c>
      <c r="U1561" t="s">
        <v>284</v>
      </c>
      <c r="V1561" s="253">
        <v>0</v>
      </c>
      <c r="W1561" s="253">
        <v>0</v>
      </c>
      <c r="X1561">
        <v>0</v>
      </c>
      <c r="Y1561">
        <v>0</v>
      </c>
      <c r="Z1561">
        <v>0</v>
      </c>
      <c r="AA1561">
        <v>0</v>
      </c>
      <c r="AB1561">
        <v>0</v>
      </c>
      <c r="AC1561">
        <v>0</v>
      </c>
      <c r="AD1561">
        <v>0</v>
      </c>
      <c r="AE1561">
        <v>0</v>
      </c>
      <c r="AF1561">
        <v>0</v>
      </c>
      <c r="AG1561">
        <v>0</v>
      </c>
      <c r="AH1561">
        <v>1</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s="141">
        <f>COUNTIF(X1561:AY1561,"&lt;&gt;0")</f>
        <v>1</v>
      </c>
      <c r="BA1561" s="141">
        <f>COUNTIF(X1561:AN1561,"&lt;&gt;0")</f>
        <v>1</v>
      </c>
      <c r="BB1561">
        <f>COUNTIF(X1561:AE1561,"&lt;&gt;0")</f>
        <v>0</v>
      </c>
      <c r="BC1561">
        <f>COUNTIF(AF1561:AK1561,"&lt;&gt;0")</f>
        <v>1</v>
      </c>
      <c r="BD1561">
        <f>COUNTIF(AL1561:AN1561,"&lt;&gt;0")</f>
        <v>0</v>
      </c>
      <c r="BE1561">
        <f>COUNTIF(AU1561:AY1561,"&lt;&gt;0")</f>
        <v>0</v>
      </c>
      <c r="BF1561">
        <f>COUNTIF(AO1561:AT1561,"&lt;&gt;0")</f>
        <v>0</v>
      </c>
      <c r="BG1561" t="str">
        <f t="array" ref="BG1561">IF(BA1561=1,INDEX($X$7:$AN$7,MATCH(TRUE,INDEX($X1561:$AY1561&lt;&gt;0,),0)),IF(BA1561=0,INDEX($AO$7:$AY$7,MATCH(1,$AO1561:$AY1561,0)),IF(BH1561="Multiple strategies","mixed drivers",IF(BH1561="Supply chain","multiple supply","multiple silviculture"))))</f>
        <v>supply chain organization</v>
      </c>
      <c r="BH1561" s="2" t="str" cm="1">
        <f t="array" ref="BH1561">IF(COUNTIF(BB1561:BD1561,"&lt;&gt;0")=1,INDEX($X$4:$AY$4,MATCH(TRUE,INDEX($X1561:$AY1561&lt;&gt;0,),0)),IF(COUNTIF(BB1561:BD1561,"&lt;&gt;0")=0,INDEX($AO$4:$AY$4,MATCH(1,$AO1561:$AY1561,0)),"Multiple strategies"))</f>
        <v>Supply chain</v>
      </c>
      <c r="BI1561" s="1" t="s">
        <v>321</v>
      </c>
      <c r="BJ1561" s="146" t="s">
        <v>322</v>
      </c>
      <c r="BK1561" t="s">
        <v>323</v>
      </c>
      <c r="BL1561" t="s">
        <v>278</v>
      </c>
      <c r="BM1561" s="148">
        <v>9.6371132903994159</v>
      </c>
      <c r="BN1561" s="148">
        <v>9.6371132903994159</v>
      </c>
      <c r="BO1561">
        <f>BN1561/BM1561</f>
        <v>1</v>
      </c>
      <c r="BP1561">
        <f>BN1561-BM1561</f>
        <v>0</v>
      </c>
      <c r="BQ1561">
        <f>BP1561*tC_to_m3</f>
        <v>0</v>
      </c>
      <c r="BR1561" t="s">
        <v>232</v>
      </c>
      <c r="BS1561" s="153" t="s">
        <v>2786</v>
      </c>
      <c r="BT1561" t="s">
        <v>279</v>
      </c>
      <c r="BU1561">
        <v>176.62110895178901</v>
      </c>
      <c r="BV1561">
        <v>192.24097622198209</v>
      </c>
      <c r="BW1561" s="144">
        <f>IFERROR(BU1561/BV1561,"")</f>
        <v>0.91874850212913661</v>
      </c>
      <c r="BX1561">
        <f>BU1561-BV1561</f>
        <v>-15.619867270193083</v>
      </c>
      <c r="BZ1561">
        <f>BX1561</f>
        <v>-15.619867270193083</v>
      </c>
      <c r="CA1561" t="str">
        <f>IFERROR(BZ1561/BQ1561,"")</f>
        <v/>
      </c>
      <c r="CB1561">
        <v>0</v>
      </c>
      <c r="CC1561">
        <v>0</v>
      </c>
      <c r="CD1561">
        <v>0</v>
      </c>
      <c r="CE1561">
        <v>0</v>
      </c>
      <c r="CF1561">
        <v>0</v>
      </c>
      <c r="CG1561">
        <v>0</v>
      </c>
      <c r="CH1561">
        <v>0</v>
      </c>
      <c r="CI1561">
        <v>0</v>
      </c>
      <c r="CJ1561">
        <v>0</v>
      </c>
      <c r="CK1561">
        <v>0</v>
      </c>
      <c r="CL1561">
        <v>0</v>
      </c>
      <c r="CM1561">
        <v>0</v>
      </c>
      <c r="CN1561">
        <v>0</v>
      </c>
      <c r="CO1561">
        <v>0</v>
      </c>
      <c r="CP1561" t="str">
        <f>IF($BN1561&lt;$BM1561,"refNeedCorrection","refOK")</f>
        <v>refOK</v>
      </c>
      <c r="CQ1561">
        <f>IF($CP1561="refOK",$BM1561,$BN1561)</f>
        <v>9.6371132903994159</v>
      </c>
      <c r="CR1561">
        <f>IF($CP1561="refOK",$BN1561,$BM1561)</f>
        <v>9.6371132903994159</v>
      </c>
      <c r="CS1561">
        <f>IF($CP1561="refOK",$BQ1561,-$BQ1561)</f>
        <v>0</v>
      </c>
      <c r="CT1561">
        <f>IF(BI1561="Roundwood",$CS1561/2,$CS1561)</f>
        <v>0</v>
      </c>
      <c r="CU1561">
        <f>IF($CP1561="refOK",$BV1561,$BU1561)*IF($BR1561="Emissions positive",-1,1)</f>
        <v>192.24097622198209</v>
      </c>
      <c r="CV1561">
        <f>IF($CP1561="refOK",$BU1561,$BV1561)*IF($BR1561="Emissions positive",-1,1)</f>
        <v>176.62110895178901</v>
      </c>
      <c r="CW1561">
        <f>IF($CP1561="refNeedCorrection",-BZ1561,BZ1561)*IF($BR1561="Emissions positive",-1,1)</f>
        <v>-15.619867270193083</v>
      </c>
      <c r="CX1561" t="str">
        <f>IFERROR($CW1561/$CS1561,"")</f>
        <v/>
      </c>
      <c r="CY1561" t="str">
        <f>IFERROR($CW1561/$CS1561,"")</f>
        <v/>
      </c>
      <c r="CZ1561" t="str">
        <f>IFERROR($CW1561/$CT1561,"")</f>
        <v/>
      </c>
      <c r="DA1561" s="2">
        <f>IFERROR((CV1561-CU1561)/ABS(CU1561),"")</f>
        <v>-8.1251497870863415E-2</v>
      </c>
      <c r="DB1561" s="1" t="s">
        <v>234</v>
      </c>
      <c r="DC1561" t="str">
        <f>IF(OR($DB1561="prd",$DB1561="std",$DB1561="cit"),"loc",IF(OR($DB1561="eur",$DB1561="reg",$DB1561="coy"),"reg",$DB1561))</f>
        <v>loc</v>
      </c>
      <c r="DD1561" t="s">
        <v>280</v>
      </c>
      <c r="DG1561">
        <v>100</v>
      </c>
      <c r="DH1561" t="str">
        <f>IF(DG1561=0,"0",IF(AND(DG1561&gt;=1,DG1561&lt;=30),"1-30",IF(AND(DG1561&gt;30,DG1561&lt;=70),"31-70",IF(AND(DG1561&gt;70,DG1561&lt;=100),"71-100",IF(DG1561&gt;100,"+100")))))</f>
        <v>71-100</v>
      </c>
      <c r="DI1561">
        <v>0</v>
      </c>
      <c r="DJ1561">
        <v>1</v>
      </c>
      <c r="DK1561">
        <v>0</v>
      </c>
      <c r="DL1561">
        <v>1</v>
      </c>
      <c r="DN1561">
        <f>SUM(DI1561:DL1561)</f>
        <v>2</v>
      </c>
      <c r="DO1561" t="str">
        <f>IF(DN1561=1,INDEX($DI$7:$DL$7,MATCH(1,$DI1561:$DL1561,0)),"mixedProduct")</f>
        <v>mixedProduct</v>
      </c>
      <c r="DP1561">
        <f>IF(DI1561=1,DP$7,0)</f>
        <v>0</v>
      </c>
      <c r="DQ1561" t="str">
        <f>IF(DJ1561=1,DQ$7,0)</f>
        <v>Energy</v>
      </c>
      <c r="DR1561">
        <f>IF(DK1561=1,DR$7,0)</f>
        <v>0</v>
      </c>
      <c r="DS1561" t="str">
        <f>IF(DL1561=1,DS$7,0)</f>
        <v>Timber</v>
      </c>
      <c r="DT1561">
        <v>0</v>
      </c>
      <c r="DU1561">
        <v>1</v>
      </c>
      <c r="DV1561" t="s">
        <v>304</v>
      </c>
      <c r="DW1561" t="s">
        <v>281</v>
      </c>
      <c r="DX1561">
        <v>0</v>
      </c>
      <c r="DY1561">
        <f>SUM(DT1561:DU1561)</f>
        <v>1</v>
      </c>
      <c r="DZ1561" s="143" t="str">
        <f>IF(DT1561=1,"self-calculated DF",IF(DU1561=1,"external DF used","explicit C balance"))</f>
        <v>external DF used</v>
      </c>
      <c r="EA1561">
        <v>0</v>
      </c>
      <c r="EB1561">
        <v>1</v>
      </c>
      <c r="EC1561">
        <v>1</v>
      </c>
      <c r="ED1561">
        <v>1</v>
      </c>
      <c r="EE1561">
        <v>1</v>
      </c>
      <c r="EF1561" s="143">
        <v>0</v>
      </c>
      <c r="EG1561">
        <v>1</v>
      </c>
      <c r="EH1561">
        <v>1</v>
      </c>
      <c r="EI1561">
        <v>0</v>
      </c>
      <c r="EJ1561">
        <v>1</v>
      </c>
      <c r="EK1561">
        <v>1</v>
      </c>
      <c r="EL1561">
        <v>1</v>
      </c>
      <c r="EM1561">
        <v>0</v>
      </c>
      <c r="EN1561" s="2">
        <v>0</v>
      </c>
      <c r="EP1561" t="str">
        <f>IF(AND(AND(AND(OR($EC1561=1,$EB1561=1),OR($EH1561=1,$EF1561=1)),SUM($EA1561:$EE1561,$EK1561)&gt;=3),SUM($EF1561:$EJ1561)&gt;=2),"Whole sector approach","")</f>
        <v>Whole sector approach</v>
      </c>
      <c r="EQ1561" t="str">
        <f>IF(AND(AND(OR($EC1561=1,$EB1561=1),AND($EH1561=0,$EF1561=0)),SUM($EA1561:$EE1561,$EK1561)&gt;=4),"Ecosystem approach","")</f>
        <v/>
      </c>
      <c r="ER1561" s="2" t="str">
        <f>IF(AND(AND(AND($EC1561=0,$EB1561=0),OR($EH1561=1,$EF1561=1)),SUM($EG1561:$EJ1561)&gt;=2),"Technology approach","")</f>
        <v/>
      </c>
      <c r="ES1561" t="str">
        <f>IF(AND($EC1561+$EB1561+$EE1561+$EA1561+$ED1561+$EG1561=0,$N1561="included"),"C neutral forest and HWP assumption","")</f>
        <v/>
      </c>
      <c r="ET1561" t="str">
        <f>IF(AND(AND(AND(AND($EC1561=1,$EB1561+$EA1561+$EG1561&gt;=1),$EF1561=1),$EH1561+$EI1561+$ED1561+$EE1561&gt;=2),$N1561="included"),"All C pools assumption","")</f>
        <v/>
      </c>
      <c r="EU1561" t="str">
        <f>IF(AND($ED1561+$EE1561+$EI1561+$EH1561+$EF1561=0,$N1561="included"),"In-situ only assumption","")</f>
        <v/>
      </c>
      <c r="EW1561" t="s">
        <v>324</v>
      </c>
      <c r="EY1561" t="b">
        <f>IF(ISNUMBER(BW1561),IF(ABS(BW1561-[2]QC_indicators!$B$2)&gt;3*[2]QC_indicators!$C$2,"C ratio",IF(ISNUMBER(CA1561),IF(ABS(CA1561-[2]QC_indicators!$B$1)&gt;3*[2]QC_indicators!$C$1,"DF","no"))),IF(ISNUMBER(CA1561),IF(ABS(CA1561-[2]QC_indicators!$B$1)&gt;3*[2]QC_indicators!$C$1,"DF","no")))</f>
        <v>0</v>
      </c>
      <c r="EZ1561" t="s">
        <v>286</v>
      </c>
      <c r="FA1561" t="str">
        <f>IF(LEN($CY1561)=0,"",IF(AND($CY1561&lt;(-0.05),$ES1561="C neutral forest and HWP assumption"),"Cneutral paradox",IF(AND($CY1561&gt;0.05,$EU1561="In-situ only assumption"),"In-situ only paradox","")))</f>
        <v/>
      </c>
      <c r="FB1561" s="147" t="s">
        <v>325</v>
      </c>
      <c r="FD1561" s="260" t="s">
        <v>2948</v>
      </c>
    </row>
    <row r="1562" spans="1:160" ht="15" hidden="1" customHeight="1">
      <c r="A1562" s="1" t="s">
        <v>265</v>
      </c>
      <c r="B1562" t="s">
        <v>266</v>
      </c>
      <c r="C1562" t="s">
        <v>267</v>
      </c>
      <c r="D1562" t="s">
        <v>268</v>
      </c>
      <c r="E1562" t="s">
        <v>269</v>
      </c>
      <c r="F1562" t="s">
        <v>270</v>
      </c>
      <c r="G1562" t="s">
        <v>271</v>
      </c>
      <c r="H1562" t="s">
        <v>254</v>
      </c>
      <c r="I1562">
        <v>2022</v>
      </c>
      <c r="J1562">
        <v>0</v>
      </c>
      <c r="K1562" t="s">
        <v>272</v>
      </c>
      <c r="M1562" t="str">
        <f>LEFT($D1562,FIND(",",$D1562)-1)&amp;"_"&amp;I1562&amp;L1562</f>
        <v>Aryapratama_2022</v>
      </c>
      <c r="N1562" t="s">
        <v>222</v>
      </c>
      <c r="O1562" s="145" t="s">
        <v>274</v>
      </c>
      <c r="Q1562" t="s">
        <v>224</v>
      </c>
      <c r="R1562" s="258" t="s">
        <v>223</v>
      </c>
      <c r="S1562" s="1" t="s">
        <v>319</v>
      </c>
      <c r="T1562" t="s">
        <v>326</v>
      </c>
      <c r="U1562" t="s">
        <v>276</v>
      </c>
      <c r="V1562" s="253">
        <v>0</v>
      </c>
      <c r="W1562" s="253">
        <v>0</v>
      </c>
      <c r="X1562">
        <v>0</v>
      </c>
      <c r="Y1562">
        <v>0</v>
      </c>
      <c r="Z1562">
        <v>0</v>
      </c>
      <c r="AA1562">
        <v>0</v>
      </c>
      <c r="AB1562">
        <v>0</v>
      </c>
      <c r="AC1562">
        <v>0</v>
      </c>
      <c r="AD1562">
        <v>0</v>
      </c>
      <c r="AE1562">
        <v>0</v>
      </c>
      <c r="AF1562">
        <v>0</v>
      </c>
      <c r="AG1562">
        <v>0</v>
      </c>
      <c r="AH1562">
        <v>1</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s="141">
        <f>COUNTIF(X1562:AY1562,"&lt;&gt;0")</f>
        <v>1</v>
      </c>
      <c r="BA1562" s="141">
        <f>COUNTIF(X1562:AN1562,"&lt;&gt;0")</f>
        <v>1</v>
      </c>
      <c r="BB1562">
        <f>COUNTIF(X1562:AE1562,"&lt;&gt;0")</f>
        <v>0</v>
      </c>
      <c r="BC1562">
        <f>COUNTIF(AF1562:AK1562,"&lt;&gt;0")</f>
        <v>1</v>
      </c>
      <c r="BD1562">
        <f>COUNTIF(AL1562:AN1562,"&lt;&gt;0")</f>
        <v>0</v>
      </c>
      <c r="BE1562">
        <f>COUNTIF(AU1562:AY1562,"&lt;&gt;0")</f>
        <v>0</v>
      </c>
      <c r="BF1562">
        <f>COUNTIF(AO1562:AT1562,"&lt;&gt;0")</f>
        <v>0</v>
      </c>
      <c r="BG1562" t="str">
        <f t="array" ref="BG1562">IF(BA1562=1,INDEX($X$7:$AN$7,MATCH(TRUE,INDEX($X1562:$AY1562&lt;&gt;0,),0)),IF(BA1562=0,INDEX($AO$7:$AY$7,MATCH(1,$AO1562:$AY1562,0)),IF(BH1562="Multiple strategies","mixed drivers",IF(BH1562="Supply chain","multiple supply","multiple silviculture"))))</f>
        <v>supply chain organization</v>
      </c>
      <c r="BH1562" s="2" t="str" cm="1">
        <f t="array" ref="BH1562">IF(COUNTIF(BB1562:BD1562,"&lt;&gt;0")=1,INDEX($X$4:$AY$4,MATCH(TRUE,INDEX($X1562:$AY1562&lt;&gt;0,),0)),IF(COUNTIF(BB1562:BD1562,"&lt;&gt;0")=0,INDEX($AO$4:$AY$4,MATCH(1,$AO1562:$AY1562,0)),"Multiple strategies"))</f>
        <v>Supply chain</v>
      </c>
      <c r="BI1562" s="1" t="s">
        <v>321</v>
      </c>
      <c r="BJ1562" s="146" t="s">
        <v>322</v>
      </c>
      <c r="BK1562" t="s">
        <v>323</v>
      </c>
      <c r="BL1562" t="s">
        <v>278</v>
      </c>
      <c r="BM1562" s="148">
        <v>225.96603773584911</v>
      </c>
      <c r="BN1562" s="148">
        <v>225.96603773584911</v>
      </c>
      <c r="BO1562">
        <f>BN1562/BM1562</f>
        <v>1</v>
      </c>
      <c r="BP1562">
        <f>BN1562-BM1562</f>
        <v>0</v>
      </c>
      <c r="BQ1562">
        <f>BP1562*tC_to_m3</f>
        <v>0</v>
      </c>
      <c r="BR1562" t="s">
        <v>232</v>
      </c>
      <c r="BS1562" s="153" t="s">
        <v>2786</v>
      </c>
      <c r="BT1562" t="s">
        <v>279</v>
      </c>
      <c r="BU1562">
        <v>-1282.169207878547</v>
      </c>
      <c r="BV1562">
        <v>-1206.3347109067272</v>
      </c>
      <c r="BW1562" s="144">
        <f>IFERROR(BU1562/BV1562,"")</f>
        <v>1.0628635620663023</v>
      </c>
      <c r="BX1562">
        <f>BU1562-BV1562</f>
        <v>-75.834496971819817</v>
      </c>
      <c r="BZ1562">
        <f>BX1562</f>
        <v>-75.834496971819817</v>
      </c>
      <c r="CA1562" t="str">
        <f>IFERROR(BZ1562/BQ1562,"")</f>
        <v/>
      </c>
      <c r="CB1562">
        <v>0</v>
      </c>
      <c r="CC1562">
        <v>0</v>
      </c>
      <c r="CD1562">
        <v>0</v>
      </c>
      <c r="CE1562">
        <v>0</v>
      </c>
      <c r="CF1562">
        <v>0</v>
      </c>
      <c r="CG1562">
        <v>0</v>
      </c>
      <c r="CH1562">
        <v>0</v>
      </c>
      <c r="CI1562">
        <v>0</v>
      </c>
      <c r="CJ1562">
        <v>0</v>
      </c>
      <c r="CK1562">
        <v>0</v>
      </c>
      <c r="CL1562">
        <v>0</v>
      </c>
      <c r="CM1562">
        <v>0</v>
      </c>
      <c r="CN1562">
        <v>0</v>
      </c>
      <c r="CO1562">
        <v>0</v>
      </c>
      <c r="CP1562" t="str">
        <f>IF($BN1562&lt;$BM1562,"refNeedCorrection","refOK")</f>
        <v>refOK</v>
      </c>
      <c r="CQ1562">
        <f>IF($CP1562="refOK",$BM1562,$BN1562)</f>
        <v>225.96603773584911</v>
      </c>
      <c r="CR1562">
        <f>IF($CP1562="refOK",$BN1562,$BM1562)</f>
        <v>225.96603773584911</v>
      </c>
      <c r="CS1562">
        <f>IF($CP1562="refOK",$BQ1562,-$BQ1562)</f>
        <v>0</v>
      </c>
      <c r="CT1562">
        <f>IF(BI1562="Roundwood",$CS1562/2,$CS1562)</f>
        <v>0</v>
      </c>
      <c r="CU1562">
        <f>IF($CP1562="refOK",$BV1562,$BU1562)*IF($BR1562="Emissions positive",-1,1)</f>
        <v>-1206.3347109067272</v>
      </c>
      <c r="CV1562">
        <f>IF($CP1562="refOK",$BU1562,$BV1562)*IF($BR1562="Emissions positive",-1,1)</f>
        <v>-1282.169207878547</v>
      </c>
      <c r="CW1562">
        <f>IF($CP1562="refNeedCorrection",-BZ1562,BZ1562)*IF($BR1562="Emissions positive",-1,1)</f>
        <v>-75.834496971819817</v>
      </c>
      <c r="CX1562" t="str">
        <f>IFERROR($CW1562/$CS1562,"")</f>
        <v/>
      </c>
      <c r="CY1562" t="str">
        <f>IFERROR($CW1562/$CS1562,"")</f>
        <v/>
      </c>
      <c r="CZ1562" t="str">
        <f>IFERROR($CW1562/$CT1562,"")</f>
        <v/>
      </c>
      <c r="DA1562" s="2">
        <f>IFERROR((CV1562-CU1562)/ABS(CU1562),"")</f>
        <v>-6.2863562066302239E-2</v>
      </c>
      <c r="DB1562" s="1" t="s">
        <v>234</v>
      </c>
      <c r="DC1562" t="str">
        <f>IF(OR($DB1562="prd",$DB1562="std",$DB1562="cit"),"loc",IF(OR($DB1562="eur",$DB1562="reg",$DB1562="coy"),"reg",$DB1562))</f>
        <v>loc</v>
      </c>
      <c r="DD1562" t="s">
        <v>280</v>
      </c>
      <c r="DG1562">
        <v>200</v>
      </c>
      <c r="DH1562" t="str">
        <f>IF(DG1562=0,"0",IF(AND(DG1562&gt;=1,DG1562&lt;=30),"1-30",IF(AND(DG1562&gt;30,DG1562&lt;=70),"31-70",IF(AND(DG1562&gt;70,DG1562&lt;=100),"71-100",IF(DG1562&gt;100,"+100")))))</f>
        <v>+100</v>
      </c>
      <c r="DI1562">
        <v>0</v>
      </c>
      <c r="DJ1562">
        <v>1</v>
      </c>
      <c r="DK1562">
        <v>0</v>
      </c>
      <c r="DL1562">
        <v>1</v>
      </c>
      <c r="DN1562">
        <f>SUM(DI1562:DL1562)</f>
        <v>2</v>
      </c>
      <c r="DO1562" t="str">
        <f>IF(DN1562=1,INDEX($DI$7:$DL$7,MATCH(1,$DI1562:$DL1562,0)),"mixedProduct")</f>
        <v>mixedProduct</v>
      </c>
      <c r="DP1562">
        <f>IF(DI1562=1,DP$7,0)</f>
        <v>0</v>
      </c>
      <c r="DQ1562" t="str">
        <f>IF(DJ1562=1,DQ$7,0)</f>
        <v>Energy</v>
      </c>
      <c r="DR1562">
        <f>IF(DK1562=1,DR$7,0)</f>
        <v>0</v>
      </c>
      <c r="DS1562" t="str">
        <f>IF(DL1562=1,DS$7,0)</f>
        <v>Timber</v>
      </c>
      <c r="DT1562">
        <v>0</v>
      </c>
      <c r="DU1562">
        <v>1</v>
      </c>
      <c r="DV1562" t="s">
        <v>304</v>
      </c>
      <c r="DW1562" t="s">
        <v>281</v>
      </c>
      <c r="DX1562">
        <v>0</v>
      </c>
      <c r="DY1562">
        <f>SUM(DT1562:DU1562)</f>
        <v>1</v>
      </c>
      <c r="DZ1562" s="143" t="str">
        <f>IF(DT1562=1,"self-calculated DF",IF(DU1562=1,"external DF used","explicit C balance"))</f>
        <v>external DF used</v>
      </c>
      <c r="EA1562">
        <v>0</v>
      </c>
      <c r="EB1562">
        <v>1</v>
      </c>
      <c r="EC1562">
        <v>1</v>
      </c>
      <c r="ED1562">
        <v>1</v>
      </c>
      <c r="EE1562">
        <v>1</v>
      </c>
      <c r="EF1562" s="143">
        <v>0</v>
      </c>
      <c r="EG1562">
        <v>1</v>
      </c>
      <c r="EH1562">
        <v>1</v>
      </c>
      <c r="EI1562">
        <v>0</v>
      </c>
      <c r="EJ1562">
        <v>1</v>
      </c>
      <c r="EK1562">
        <v>1</v>
      </c>
      <c r="EL1562">
        <v>1</v>
      </c>
      <c r="EM1562">
        <v>0</v>
      </c>
      <c r="EN1562" s="2">
        <v>0</v>
      </c>
      <c r="EP1562" t="str">
        <f>IF(AND(AND(AND(OR($EC1562=1,$EB1562=1),OR($EH1562=1,$EF1562=1)),SUM($EA1562:$EE1562,$EK1562)&gt;=3),SUM($EF1562:$EJ1562)&gt;=2),"Whole sector approach","")</f>
        <v>Whole sector approach</v>
      </c>
      <c r="EQ1562" t="str">
        <f>IF(AND(AND(OR($EC1562=1,$EB1562=1),AND($EH1562=0,$EF1562=0)),SUM($EA1562:$EE1562,$EK1562)&gt;=4),"Ecosystem approach","")</f>
        <v/>
      </c>
      <c r="ER1562" s="2" t="str">
        <f>IF(AND(AND(AND($EC1562=0,$EB1562=0),OR($EH1562=1,$EF1562=1)),SUM($EG1562:$EJ1562)&gt;=2),"Technology approach","")</f>
        <v/>
      </c>
      <c r="ES1562" t="str">
        <f>IF(AND($EC1562+$EB1562+$EE1562+$EA1562+$ED1562+$EG1562=0,$N1562="included"),"C neutral forest and HWP assumption","")</f>
        <v/>
      </c>
      <c r="ET1562" t="str">
        <f>IF(AND(AND(AND(AND($EC1562=1,$EB1562+$EA1562+$EG1562&gt;=1),$EF1562=1),$EH1562+$EI1562+$ED1562+$EE1562&gt;=2),$N1562="included"),"All C pools assumption","")</f>
        <v/>
      </c>
      <c r="EU1562" t="str">
        <f>IF(AND($ED1562+$EE1562+$EI1562+$EH1562+$EF1562=0,$N1562="included"),"In-situ only assumption","")</f>
        <v/>
      </c>
      <c r="EW1562" t="s">
        <v>324</v>
      </c>
      <c r="EY1562" t="b">
        <f>IF(ISNUMBER(BW1562),IF(ABS(BW1562-[2]QC_indicators!$B$2)&gt;3*[2]QC_indicators!$C$2,"C ratio",IF(ISNUMBER(CA1562),IF(ABS(CA1562-[2]QC_indicators!$B$1)&gt;3*[2]QC_indicators!$C$1,"DF","no"))),IF(ISNUMBER(CA1562),IF(ABS(CA1562-[2]QC_indicators!$B$1)&gt;3*[2]QC_indicators!$C$1,"DF","no")))</f>
        <v>0</v>
      </c>
      <c r="EZ1562" t="s">
        <v>286</v>
      </c>
      <c r="FA1562" t="str">
        <f>IF(LEN($CY1562)=0,"",IF(AND($CY1562&lt;(-0.05),$ES1562="C neutral forest and HWP assumption"),"Cneutral paradox",IF(AND($CY1562&gt;0.05,$EU1562="In-situ only assumption"),"In-situ only paradox","")))</f>
        <v/>
      </c>
      <c r="FB1562" s="147" t="s">
        <v>325</v>
      </c>
      <c r="FD1562" s="260" t="s">
        <v>2948</v>
      </c>
    </row>
    <row r="1563" spans="1:160" ht="15" hidden="1" customHeight="1">
      <c r="A1563" s="1" t="s">
        <v>265</v>
      </c>
      <c r="B1563" t="s">
        <v>266</v>
      </c>
      <c r="C1563" t="s">
        <v>267</v>
      </c>
      <c r="D1563" t="s">
        <v>268</v>
      </c>
      <c r="E1563" t="s">
        <v>269</v>
      </c>
      <c r="F1563" t="s">
        <v>270</v>
      </c>
      <c r="G1563" t="s">
        <v>271</v>
      </c>
      <c r="H1563" t="s">
        <v>254</v>
      </c>
      <c r="I1563">
        <v>2022</v>
      </c>
      <c r="J1563">
        <v>0</v>
      </c>
      <c r="K1563" t="s">
        <v>272</v>
      </c>
      <c r="M1563" t="str">
        <f>LEFT($D1563,FIND(",",$D1563)-1)&amp;"_"&amp;I1563&amp;L1563</f>
        <v>Aryapratama_2022</v>
      </c>
      <c r="N1563" t="s">
        <v>222</v>
      </c>
      <c r="O1563" s="145" t="s">
        <v>274</v>
      </c>
      <c r="Q1563" t="s">
        <v>224</v>
      </c>
      <c r="R1563" s="258" t="s">
        <v>223</v>
      </c>
      <c r="S1563" s="1" t="s">
        <v>319</v>
      </c>
      <c r="T1563" t="s">
        <v>312</v>
      </c>
      <c r="U1563" t="s">
        <v>283</v>
      </c>
      <c r="V1563" s="253">
        <v>0</v>
      </c>
      <c r="W1563" s="253">
        <v>0</v>
      </c>
      <c r="X1563">
        <v>0</v>
      </c>
      <c r="Y1563">
        <v>0</v>
      </c>
      <c r="Z1563">
        <v>0</v>
      </c>
      <c r="AA1563">
        <v>0</v>
      </c>
      <c r="AB1563">
        <v>0</v>
      </c>
      <c r="AC1563">
        <v>0</v>
      </c>
      <c r="AD1563">
        <v>0</v>
      </c>
      <c r="AE1563">
        <v>0</v>
      </c>
      <c r="AF1563">
        <v>0</v>
      </c>
      <c r="AG1563">
        <v>0</v>
      </c>
      <c r="AH1563">
        <v>1</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s="141">
        <f>COUNTIF(X1563:AY1563,"&lt;&gt;0")</f>
        <v>1</v>
      </c>
      <c r="BA1563" s="141">
        <f>COUNTIF(X1563:AN1563,"&lt;&gt;0")</f>
        <v>1</v>
      </c>
      <c r="BB1563">
        <f>COUNTIF(X1563:AE1563,"&lt;&gt;0")</f>
        <v>0</v>
      </c>
      <c r="BC1563">
        <f>COUNTIF(AF1563:AK1563,"&lt;&gt;0")</f>
        <v>1</v>
      </c>
      <c r="BD1563">
        <f>COUNTIF(AL1563:AN1563,"&lt;&gt;0")</f>
        <v>0</v>
      </c>
      <c r="BE1563">
        <f>COUNTIF(AU1563:AY1563,"&lt;&gt;0")</f>
        <v>0</v>
      </c>
      <c r="BF1563">
        <f>COUNTIF(AO1563:AT1563,"&lt;&gt;0")</f>
        <v>0</v>
      </c>
      <c r="BG1563" t="str">
        <f t="array" ref="BG1563">IF(BA1563=1,INDEX($X$7:$AN$7,MATCH(TRUE,INDEX($X1563:$AY1563&lt;&gt;0,),0)),IF(BA1563=0,INDEX($AO$7:$AY$7,MATCH(1,$AO1563:$AY1563,0)),IF(BH1563="Multiple strategies","mixed drivers",IF(BH1563="Supply chain","multiple supply","multiple silviculture"))))</f>
        <v>supply chain organization</v>
      </c>
      <c r="BH1563" s="2" t="str" cm="1">
        <f t="array" ref="BH1563">IF(COUNTIF(BB1563:BD1563,"&lt;&gt;0")=1,INDEX($X$4:$AY$4,MATCH(TRUE,INDEX($X1563:$AY1563&lt;&gt;0,),0)),IF(COUNTIF(BB1563:BD1563,"&lt;&gt;0")=0,INDEX($AO$4:$AY$4,MATCH(1,$AO1563:$AY1563,0)),"Multiple strategies"))</f>
        <v>Supply chain</v>
      </c>
      <c r="BI1563" s="1" t="s">
        <v>321</v>
      </c>
      <c r="BJ1563" s="146" t="s">
        <v>322</v>
      </c>
      <c r="BK1563" t="s">
        <v>323</v>
      </c>
      <c r="BL1563" t="s">
        <v>278</v>
      </c>
      <c r="BM1563" s="148">
        <v>9.6371132903994159</v>
      </c>
      <c r="BN1563" s="148">
        <v>9.6371132903994159</v>
      </c>
      <c r="BO1563">
        <f>BN1563/BM1563</f>
        <v>1</v>
      </c>
      <c r="BP1563">
        <f>BN1563-BM1563</f>
        <v>0</v>
      </c>
      <c r="BQ1563">
        <f>BP1563*tC_to_m3</f>
        <v>0</v>
      </c>
      <c r="BR1563" t="s">
        <v>232</v>
      </c>
      <c r="BS1563" s="153" t="s">
        <v>2786</v>
      </c>
      <c r="BT1563" t="s">
        <v>279</v>
      </c>
      <c r="BU1563">
        <v>354.30409954781243</v>
      </c>
      <c r="BV1563">
        <v>369.9239668180054</v>
      </c>
      <c r="BW1563" s="144">
        <f>IFERROR(BU1563/BV1563,"")</f>
        <v>0.9577754655786398</v>
      </c>
      <c r="BX1563">
        <f>BU1563-BV1563</f>
        <v>-15.619867270192969</v>
      </c>
      <c r="BZ1563">
        <f>BX1563</f>
        <v>-15.619867270192969</v>
      </c>
      <c r="CA1563" t="str">
        <f>IFERROR(BZ1563/BQ1563,"")</f>
        <v/>
      </c>
      <c r="CB1563">
        <v>0</v>
      </c>
      <c r="CC1563">
        <v>0</v>
      </c>
      <c r="CD1563">
        <v>0</v>
      </c>
      <c r="CE1563">
        <v>0</v>
      </c>
      <c r="CF1563">
        <v>0</v>
      </c>
      <c r="CG1563">
        <v>0</v>
      </c>
      <c r="CH1563">
        <v>0</v>
      </c>
      <c r="CI1563">
        <v>0</v>
      </c>
      <c r="CJ1563">
        <v>0</v>
      </c>
      <c r="CK1563">
        <v>0</v>
      </c>
      <c r="CL1563">
        <v>0</v>
      </c>
      <c r="CM1563">
        <v>0</v>
      </c>
      <c r="CN1563">
        <v>0</v>
      </c>
      <c r="CO1563">
        <v>0</v>
      </c>
      <c r="CP1563" t="str">
        <f>IF($BN1563&lt;$BM1563,"refNeedCorrection","refOK")</f>
        <v>refOK</v>
      </c>
      <c r="CQ1563">
        <f>IF($CP1563="refOK",$BM1563,$BN1563)</f>
        <v>9.6371132903994159</v>
      </c>
      <c r="CR1563">
        <f>IF($CP1563="refOK",$BN1563,$BM1563)</f>
        <v>9.6371132903994159</v>
      </c>
      <c r="CS1563">
        <f>IF($CP1563="refOK",$BQ1563,-$BQ1563)</f>
        <v>0</v>
      </c>
      <c r="CT1563">
        <f>IF(BI1563="Roundwood",$CS1563/2,$CS1563)</f>
        <v>0</v>
      </c>
      <c r="CU1563">
        <f>IF($CP1563="refOK",$BV1563,$BU1563)*IF($BR1563="Emissions positive",-1,1)</f>
        <v>369.9239668180054</v>
      </c>
      <c r="CV1563">
        <f>IF($CP1563="refOK",$BU1563,$BV1563)*IF($BR1563="Emissions positive",-1,1)</f>
        <v>354.30409954781243</v>
      </c>
      <c r="CW1563">
        <f>IF($CP1563="refNeedCorrection",-BZ1563,BZ1563)*IF($BR1563="Emissions positive",-1,1)</f>
        <v>-15.619867270192969</v>
      </c>
      <c r="CX1563" t="str">
        <f>IFERROR($CW1563/$CS1563,"")</f>
        <v/>
      </c>
      <c r="CY1563" t="str">
        <f>IFERROR($CW1563/$CS1563,"")</f>
        <v/>
      </c>
      <c r="CZ1563" t="str">
        <f>IFERROR($CW1563/$CT1563,"")</f>
        <v/>
      </c>
      <c r="DA1563" s="2">
        <f>IFERROR((CV1563-CU1563)/ABS(CU1563),"")</f>
        <v>-4.2224534421360177E-2</v>
      </c>
      <c r="DB1563" s="1" t="s">
        <v>234</v>
      </c>
      <c r="DC1563" t="str">
        <f>IF(OR($DB1563="prd",$DB1563="std",$DB1563="cit"),"loc",IF(OR($DB1563="eur",$DB1563="reg",$DB1563="coy"),"reg",$DB1563))</f>
        <v>loc</v>
      </c>
      <c r="DD1563" t="s">
        <v>280</v>
      </c>
      <c r="DG1563">
        <v>100</v>
      </c>
      <c r="DH1563" t="str">
        <f>IF(DG1563=0,"0",IF(AND(DG1563&gt;=1,DG1563&lt;=30),"1-30",IF(AND(DG1563&gt;30,DG1563&lt;=70),"31-70",IF(AND(DG1563&gt;70,DG1563&lt;=100),"71-100",IF(DG1563&gt;100,"+100")))))</f>
        <v>71-100</v>
      </c>
      <c r="DI1563">
        <v>0</v>
      </c>
      <c r="DJ1563">
        <v>1</v>
      </c>
      <c r="DK1563">
        <v>0</v>
      </c>
      <c r="DL1563">
        <v>1</v>
      </c>
      <c r="DN1563">
        <f>SUM(DI1563:DL1563)</f>
        <v>2</v>
      </c>
      <c r="DO1563" t="str">
        <f>IF(DN1563=1,INDEX($DI$7:$DL$7,MATCH(1,$DI1563:$DL1563,0)),"mixedProduct")</f>
        <v>mixedProduct</v>
      </c>
      <c r="DP1563">
        <f>IF(DI1563=1,DP$7,0)</f>
        <v>0</v>
      </c>
      <c r="DQ1563" t="str">
        <f>IF(DJ1563=1,DQ$7,0)</f>
        <v>Energy</v>
      </c>
      <c r="DR1563">
        <f>IF(DK1563=1,DR$7,0)</f>
        <v>0</v>
      </c>
      <c r="DS1563" t="str">
        <f>IF(DL1563=1,DS$7,0)</f>
        <v>Timber</v>
      </c>
      <c r="DT1563">
        <v>0</v>
      </c>
      <c r="DU1563">
        <v>1</v>
      </c>
      <c r="DV1563" t="s">
        <v>304</v>
      </c>
      <c r="DW1563" t="s">
        <v>281</v>
      </c>
      <c r="DX1563">
        <v>0</v>
      </c>
      <c r="DY1563">
        <f>SUM(DT1563:DU1563)</f>
        <v>1</v>
      </c>
      <c r="DZ1563" s="143" t="str">
        <f>IF(DT1563=1,"self-calculated DF",IF(DU1563=1,"external DF used","explicit C balance"))</f>
        <v>external DF used</v>
      </c>
      <c r="EA1563">
        <v>0</v>
      </c>
      <c r="EB1563">
        <v>1</v>
      </c>
      <c r="EC1563">
        <v>1</v>
      </c>
      <c r="ED1563">
        <v>1</v>
      </c>
      <c r="EE1563">
        <v>1</v>
      </c>
      <c r="EF1563" s="143">
        <v>0</v>
      </c>
      <c r="EG1563">
        <v>1</v>
      </c>
      <c r="EH1563">
        <v>1</v>
      </c>
      <c r="EI1563">
        <v>0</v>
      </c>
      <c r="EJ1563">
        <v>1</v>
      </c>
      <c r="EK1563">
        <v>1</v>
      </c>
      <c r="EL1563">
        <v>1</v>
      </c>
      <c r="EM1563">
        <v>0</v>
      </c>
      <c r="EN1563" s="2">
        <v>0</v>
      </c>
      <c r="EP1563" t="str">
        <f>IF(AND(AND(AND(OR($EC1563=1,$EB1563=1),OR($EH1563=1,$EF1563=1)),SUM($EA1563:$EE1563,$EK1563)&gt;=3),SUM($EF1563:$EJ1563)&gt;=2),"Whole sector approach","")</f>
        <v>Whole sector approach</v>
      </c>
      <c r="EQ1563" t="str">
        <f>IF(AND(AND(OR($EC1563=1,$EB1563=1),AND($EH1563=0,$EF1563=0)),SUM($EA1563:$EE1563,$EK1563)&gt;=4),"Ecosystem approach","")</f>
        <v/>
      </c>
      <c r="ER1563" s="2" t="str">
        <f>IF(AND(AND(AND($EC1563=0,$EB1563=0),OR($EH1563=1,$EF1563=1)),SUM($EG1563:$EJ1563)&gt;=2),"Technology approach","")</f>
        <v/>
      </c>
      <c r="ES1563" t="str">
        <f>IF(AND($EC1563+$EB1563+$EE1563+$EA1563+$ED1563+$EG1563=0,$N1563="included"),"C neutral forest and HWP assumption","")</f>
        <v/>
      </c>
      <c r="ET1563" t="str">
        <f>IF(AND(AND(AND(AND($EC1563=1,$EB1563+$EA1563+$EG1563&gt;=1),$EF1563=1),$EH1563+$EI1563+$ED1563+$EE1563&gt;=2),$N1563="included"),"All C pools assumption","")</f>
        <v/>
      </c>
      <c r="EU1563" t="str">
        <f>IF(AND($ED1563+$EE1563+$EI1563+$EH1563+$EF1563=0,$N1563="included"),"In-situ only assumption","")</f>
        <v/>
      </c>
      <c r="EW1563" t="s">
        <v>324</v>
      </c>
      <c r="EY1563" t="b">
        <f>IF(ISNUMBER(BW1563),IF(ABS(BW1563-[2]QC_indicators!$B$2)&gt;3*[2]QC_indicators!$C$2,"C ratio",IF(ISNUMBER(CA1563),IF(ABS(CA1563-[2]QC_indicators!$B$1)&gt;3*[2]QC_indicators!$C$1,"DF","no"))),IF(ISNUMBER(CA1563),IF(ABS(CA1563-[2]QC_indicators!$B$1)&gt;3*[2]QC_indicators!$C$1,"DF","no")))</f>
        <v>0</v>
      </c>
      <c r="EZ1563" t="s">
        <v>286</v>
      </c>
      <c r="FA1563" t="str">
        <f>IF(LEN($CY1563)=0,"",IF(AND($CY1563&lt;(-0.05),$ES1563="C neutral forest and HWP assumption"),"Cneutral paradox",IF(AND($CY1563&gt;0.05,$EU1563="In-situ only assumption"),"In-situ only paradox","")))</f>
        <v/>
      </c>
      <c r="FB1563" s="147" t="s">
        <v>325</v>
      </c>
      <c r="FD1563" s="260" t="s">
        <v>2948</v>
      </c>
    </row>
    <row r="1564" spans="1:160" ht="15" hidden="1" customHeight="1">
      <c r="A1564" s="1" t="s">
        <v>265</v>
      </c>
      <c r="B1564" t="s">
        <v>266</v>
      </c>
      <c r="C1564" t="s">
        <v>267</v>
      </c>
      <c r="D1564" t="s">
        <v>268</v>
      </c>
      <c r="E1564" t="s">
        <v>269</v>
      </c>
      <c r="F1564" t="s">
        <v>270</v>
      </c>
      <c r="G1564" t="s">
        <v>271</v>
      </c>
      <c r="H1564" t="s">
        <v>254</v>
      </c>
      <c r="I1564">
        <v>2022</v>
      </c>
      <c r="J1564">
        <v>0</v>
      </c>
      <c r="K1564" t="s">
        <v>272</v>
      </c>
      <c r="M1564" t="str">
        <f>LEFT($D1564,FIND(",",$D1564)-1)&amp;"_"&amp;I1564&amp;L1564</f>
        <v>Aryapratama_2022</v>
      </c>
      <c r="N1564" t="s">
        <v>222</v>
      </c>
      <c r="O1564" s="145" t="s">
        <v>274</v>
      </c>
      <c r="Q1564" t="s">
        <v>224</v>
      </c>
      <c r="R1564" s="258" t="s">
        <v>223</v>
      </c>
      <c r="S1564" s="1" t="s">
        <v>319</v>
      </c>
      <c r="T1564" t="s">
        <v>303</v>
      </c>
      <c r="U1564" t="s">
        <v>284</v>
      </c>
      <c r="V1564" s="253">
        <v>0</v>
      </c>
      <c r="W1564" s="253">
        <v>0</v>
      </c>
      <c r="X1564">
        <v>0</v>
      </c>
      <c r="Y1564">
        <v>0</v>
      </c>
      <c r="Z1564">
        <v>0</v>
      </c>
      <c r="AA1564">
        <v>0</v>
      </c>
      <c r="AB1564">
        <v>0</v>
      </c>
      <c r="AC1564">
        <v>0</v>
      </c>
      <c r="AD1564">
        <v>0</v>
      </c>
      <c r="AE1564">
        <v>0</v>
      </c>
      <c r="AF1564">
        <v>0</v>
      </c>
      <c r="AG1564">
        <v>0</v>
      </c>
      <c r="AH1564">
        <v>1</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s="141">
        <f>COUNTIF(X1564:AY1564,"&lt;&gt;0")</f>
        <v>1</v>
      </c>
      <c r="BA1564" s="141">
        <f>COUNTIF(X1564:AN1564,"&lt;&gt;0")</f>
        <v>1</v>
      </c>
      <c r="BB1564">
        <f>COUNTIF(X1564:AE1564,"&lt;&gt;0")</f>
        <v>0</v>
      </c>
      <c r="BC1564">
        <f>COUNTIF(AF1564:AK1564,"&lt;&gt;0")</f>
        <v>1</v>
      </c>
      <c r="BD1564">
        <f>COUNTIF(AL1564:AN1564,"&lt;&gt;0")</f>
        <v>0</v>
      </c>
      <c r="BE1564">
        <f>COUNTIF(AU1564:AY1564,"&lt;&gt;0")</f>
        <v>0</v>
      </c>
      <c r="BF1564">
        <f>COUNTIF(AO1564:AT1564,"&lt;&gt;0")</f>
        <v>0</v>
      </c>
      <c r="BG1564" t="str">
        <f t="array" ref="BG1564">IF(BA1564=1,INDEX($X$7:$AN$7,MATCH(TRUE,INDEX($X1564:$AY1564&lt;&gt;0,),0)),IF(BA1564=0,INDEX($AO$7:$AY$7,MATCH(1,$AO1564:$AY1564,0)),IF(BH1564="Multiple strategies","mixed drivers",IF(BH1564="Supply chain","multiple supply","multiple silviculture"))))</f>
        <v>supply chain organization</v>
      </c>
      <c r="BH1564" s="2" t="str" cm="1">
        <f t="array" ref="BH1564">IF(COUNTIF(BB1564:BD1564,"&lt;&gt;0")=1,INDEX($X$4:$AY$4,MATCH(TRUE,INDEX($X1564:$AY1564&lt;&gt;0,),0)),IF(COUNTIF(BB1564:BD1564,"&lt;&gt;0")=0,INDEX($AO$4:$AY$4,MATCH(1,$AO1564:$AY1564,0)),"Multiple strategies"))</f>
        <v>Supply chain</v>
      </c>
      <c r="BI1564" s="1" t="s">
        <v>321</v>
      </c>
      <c r="BJ1564" s="146" t="s">
        <v>322</v>
      </c>
      <c r="BK1564" t="s">
        <v>323</v>
      </c>
      <c r="BL1564" t="s">
        <v>278</v>
      </c>
      <c r="BM1564" s="148">
        <v>9.6371132903994159</v>
      </c>
      <c r="BN1564" s="148">
        <v>9.6371132903994159</v>
      </c>
      <c r="BO1564">
        <f>BN1564/BM1564</f>
        <v>1</v>
      </c>
      <c r="BP1564">
        <f>BN1564-BM1564</f>
        <v>0</v>
      </c>
      <c r="BQ1564">
        <f>BP1564*tC_to_m3</f>
        <v>0</v>
      </c>
      <c r="BR1564" t="s">
        <v>232</v>
      </c>
      <c r="BS1564" s="153" t="s">
        <v>2786</v>
      </c>
      <c r="BT1564" t="s">
        <v>279</v>
      </c>
      <c r="BU1564">
        <v>365.10563504552567</v>
      </c>
      <c r="BV1564">
        <v>377.50107760210591</v>
      </c>
      <c r="BW1564" s="144">
        <f>IFERROR(BU1564/BV1564,"")</f>
        <v>0.96716448431004143</v>
      </c>
      <c r="BX1564">
        <f>BU1564-BV1564</f>
        <v>-12.395442556580235</v>
      </c>
      <c r="BZ1564">
        <f>BX1564</f>
        <v>-12.395442556580235</v>
      </c>
      <c r="CA1564" t="str">
        <f>IFERROR(BZ1564/BQ1564,"")</f>
        <v/>
      </c>
      <c r="CB1564">
        <v>0</v>
      </c>
      <c r="CC1564">
        <v>0</v>
      </c>
      <c r="CD1564">
        <v>0</v>
      </c>
      <c r="CE1564">
        <v>0</v>
      </c>
      <c r="CF1564">
        <v>0</v>
      </c>
      <c r="CG1564">
        <v>0</v>
      </c>
      <c r="CH1564">
        <v>0</v>
      </c>
      <c r="CI1564">
        <v>0</v>
      </c>
      <c r="CJ1564">
        <v>0</v>
      </c>
      <c r="CK1564">
        <v>0</v>
      </c>
      <c r="CL1564">
        <v>0</v>
      </c>
      <c r="CM1564">
        <v>0</v>
      </c>
      <c r="CN1564">
        <v>0</v>
      </c>
      <c r="CO1564">
        <v>0</v>
      </c>
      <c r="CP1564" t="str">
        <f>IF($BN1564&lt;$BM1564,"refNeedCorrection","refOK")</f>
        <v>refOK</v>
      </c>
      <c r="CQ1564">
        <f>IF($CP1564="refOK",$BM1564,$BN1564)</f>
        <v>9.6371132903994159</v>
      </c>
      <c r="CR1564">
        <f>IF($CP1564="refOK",$BN1564,$BM1564)</f>
        <v>9.6371132903994159</v>
      </c>
      <c r="CS1564">
        <f>IF($CP1564="refOK",$BQ1564,-$BQ1564)</f>
        <v>0</v>
      </c>
      <c r="CT1564">
        <f>IF(BI1564="Roundwood",$CS1564/2,$CS1564)</f>
        <v>0</v>
      </c>
      <c r="CU1564">
        <f>IF($CP1564="refOK",$BV1564,$BU1564)*IF($BR1564="Emissions positive",-1,1)</f>
        <v>377.50107760210591</v>
      </c>
      <c r="CV1564">
        <f>IF($CP1564="refOK",$BU1564,$BV1564)*IF($BR1564="Emissions positive",-1,1)</f>
        <v>365.10563504552567</v>
      </c>
      <c r="CW1564">
        <f>IF($CP1564="refNeedCorrection",-BZ1564,BZ1564)*IF($BR1564="Emissions positive",-1,1)</f>
        <v>-12.395442556580235</v>
      </c>
      <c r="CX1564" t="str">
        <f>IFERROR($CW1564/$CS1564,"")</f>
        <v/>
      </c>
      <c r="CY1564" t="str">
        <f>IFERROR($CW1564/$CS1564,"")</f>
        <v/>
      </c>
      <c r="CZ1564" t="str">
        <f>IFERROR($CW1564/$CT1564,"")</f>
        <v/>
      </c>
      <c r="DA1564" s="2">
        <f>IFERROR((CV1564-CU1564)/ABS(CU1564),"")</f>
        <v>-3.2835515689958621E-2</v>
      </c>
      <c r="DB1564" s="1" t="s">
        <v>234</v>
      </c>
      <c r="DC1564" t="str">
        <f>IF(OR($DB1564="prd",$DB1564="std",$DB1564="cit"),"loc",IF(OR($DB1564="eur",$DB1564="reg",$DB1564="coy"),"reg",$DB1564))</f>
        <v>loc</v>
      </c>
      <c r="DD1564" t="s">
        <v>280</v>
      </c>
      <c r="DG1564">
        <v>200</v>
      </c>
      <c r="DH1564" t="str">
        <f>IF(DG1564=0,"0",IF(AND(DG1564&gt;=1,DG1564&lt;=30),"1-30",IF(AND(DG1564&gt;30,DG1564&lt;=70),"31-70",IF(AND(DG1564&gt;70,DG1564&lt;=100),"71-100",IF(DG1564&gt;100,"+100")))))</f>
        <v>+100</v>
      </c>
      <c r="DI1564">
        <v>0</v>
      </c>
      <c r="DJ1564">
        <v>1</v>
      </c>
      <c r="DK1564">
        <v>0</v>
      </c>
      <c r="DL1564">
        <v>1</v>
      </c>
      <c r="DN1564">
        <f>SUM(DI1564:DL1564)</f>
        <v>2</v>
      </c>
      <c r="DO1564" t="str">
        <f>IF(DN1564=1,INDEX($DI$7:$DL$7,MATCH(1,$DI1564:$DL1564,0)),"mixedProduct")</f>
        <v>mixedProduct</v>
      </c>
      <c r="DP1564">
        <f>IF(DI1564=1,DP$7,0)</f>
        <v>0</v>
      </c>
      <c r="DQ1564" t="str">
        <f>IF(DJ1564=1,DQ$7,0)</f>
        <v>Energy</v>
      </c>
      <c r="DR1564">
        <f>IF(DK1564=1,DR$7,0)</f>
        <v>0</v>
      </c>
      <c r="DS1564" t="str">
        <f>IF(DL1564=1,DS$7,0)</f>
        <v>Timber</v>
      </c>
      <c r="DT1564">
        <v>0</v>
      </c>
      <c r="DU1564">
        <v>1</v>
      </c>
      <c r="DV1564" t="s">
        <v>304</v>
      </c>
      <c r="DW1564" t="s">
        <v>281</v>
      </c>
      <c r="DX1564">
        <v>0</v>
      </c>
      <c r="DY1564">
        <f>SUM(DT1564:DU1564)</f>
        <v>1</v>
      </c>
      <c r="DZ1564" s="143" t="str">
        <f>IF(DT1564=1,"self-calculated DF",IF(DU1564=1,"external DF used","explicit C balance"))</f>
        <v>external DF used</v>
      </c>
      <c r="EA1564">
        <v>0</v>
      </c>
      <c r="EB1564">
        <v>1</v>
      </c>
      <c r="EC1564">
        <v>1</v>
      </c>
      <c r="ED1564">
        <v>1</v>
      </c>
      <c r="EE1564">
        <v>1</v>
      </c>
      <c r="EF1564" s="143">
        <v>0</v>
      </c>
      <c r="EG1564">
        <v>1</v>
      </c>
      <c r="EH1564">
        <v>1</v>
      </c>
      <c r="EI1564">
        <v>0</v>
      </c>
      <c r="EJ1564">
        <v>1</v>
      </c>
      <c r="EK1564">
        <v>1</v>
      </c>
      <c r="EL1564">
        <v>1</v>
      </c>
      <c r="EM1564">
        <v>0</v>
      </c>
      <c r="EN1564" s="2">
        <v>0</v>
      </c>
      <c r="EP1564" t="str">
        <f>IF(AND(AND(AND(OR($EC1564=1,$EB1564=1),OR($EH1564=1,$EF1564=1)),SUM($EA1564:$EE1564,$EK1564)&gt;=3),SUM($EF1564:$EJ1564)&gt;=2),"Whole sector approach","")</f>
        <v>Whole sector approach</v>
      </c>
      <c r="EQ1564" t="str">
        <f>IF(AND(AND(OR($EC1564=1,$EB1564=1),AND($EH1564=0,$EF1564=0)),SUM($EA1564:$EE1564,$EK1564)&gt;=4),"Ecosystem approach","")</f>
        <v/>
      </c>
      <c r="ER1564" s="2" t="str">
        <f>IF(AND(AND(AND($EC1564=0,$EB1564=0),OR($EH1564=1,$EF1564=1)),SUM($EG1564:$EJ1564)&gt;=2),"Technology approach","")</f>
        <v/>
      </c>
      <c r="ES1564" t="str">
        <f>IF(AND($EC1564+$EB1564+$EE1564+$EA1564+$ED1564+$EG1564=0,$N1564="included"),"C neutral forest and HWP assumption","")</f>
        <v/>
      </c>
      <c r="ET1564" t="str">
        <f>IF(AND(AND(AND(AND($EC1564=1,$EB1564+$EA1564+$EG1564&gt;=1),$EF1564=1),$EH1564+$EI1564+$ED1564+$EE1564&gt;=2),$N1564="included"),"All C pools assumption","")</f>
        <v/>
      </c>
      <c r="EU1564" t="str">
        <f>IF(AND($ED1564+$EE1564+$EI1564+$EH1564+$EF1564=0,$N1564="included"),"In-situ only assumption","")</f>
        <v/>
      </c>
      <c r="EW1564" t="s">
        <v>324</v>
      </c>
      <c r="EY1564" t="b">
        <f>IF(ISNUMBER(BW1564),IF(ABS(BW1564-[2]QC_indicators!$B$2)&gt;3*[2]QC_indicators!$C$2,"C ratio",IF(ISNUMBER(CA1564),IF(ABS(CA1564-[2]QC_indicators!$B$1)&gt;3*[2]QC_indicators!$C$1,"DF","no"))),IF(ISNUMBER(CA1564),IF(ABS(CA1564-[2]QC_indicators!$B$1)&gt;3*[2]QC_indicators!$C$1,"DF","no")))</f>
        <v>0</v>
      </c>
      <c r="EZ1564" t="s">
        <v>286</v>
      </c>
      <c r="FA1564" t="str">
        <f>IF(LEN($CY1564)=0,"",IF(AND($CY1564&lt;(-0.05),$ES1564="C neutral forest and HWP assumption"),"Cneutral paradox",IF(AND($CY1564&gt;0.05,$EU1564="In-situ only assumption"),"In-situ only paradox","")))</f>
        <v/>
      </c>
      <c r="FB1564" s="147" t="s">
        <v>325</v>
      </c>
      <c r="FD1564" s="260" t="s">
        <v>2948</v>
      </c>
    </row>
    <row r="1565" spans="1:160" hidden="1">
      <c r="A1565" s="1" t="s">
        <v>265</v>
      </c>
      <c r="B1565" t="s">
        <v>266</v>
      </c>
      <c r="C1565" t="s">
        <v>267</v>
      </c>
      <c r="D1565" t="s">
        <v>268</v>
      </c>
      <c r="E1565" t="s">
        <v>269</v>
      </c>
      <c r="F1565" t="s">
        <v>270</v>
      </c>
      <c r="G1565" t="s">
        <v>271</v>
      </c>
      <c r="H1565" t="s">
        <v>254</v>
      </c>
      <c r="I1565">
        <v>2022</v>
      </c>
      <c r="J1565">
        <v>0</v>
      </c>
      <c r="K1565" t="s">
        <v>272</v>
      </c>
      <c r="M1565" t="str">
        <f>LEFT($D1565,FIND(",",$D1565)-1)&amp;"_"&amp;I1565&amp;L1565</f>
        <v>Aryapratama_2022</v>
      </c>
      <c r="N1565" t="s">
        <v>222</v>
      </c>
      <c r="O1565" s="145" t="s">
        <v>274</v>
      </c>
      <c r="Q1565" t="s">
        <v>224</v>
      </c>
      <c r="R1565" s="258" t="s">
        <v>223</v>
      </c>
      <c r="S1565" s="1" t="s">
        <v>319</v>
      </c>
      <c r="T1565" t="s">
        <v>320</v>
      </c>
      <c r="U1565" t="s">
        <v>275</v>
      </c>
      <c r="V1565" s="253">
        <v>0</v>
      </c>
      <c r="W1565" s="253">
        <v>0</v>
      </c>
      <c r="X1565">
        <v>0</v>
      </c>
      <c r="Y1565">
        <v>0</v>
      </c>
      <c r="Z1565">
        <v>0</v>
      </c>
      <c r="AA1565">
        <v>0</v>
      </c>
      <c r="AB1565">
        <v>0</v>
      </c>
      <c r="AC1565">
        <v>0</v>
      </c>
      <c r="AD1565">
        <v>0</v>
      </c>
      <c r="AE1565">
        <v>0</v>
      </c>
      <c r="AF1565">
        <v>0</v>
      </c>
      <c r="AG1565">
        <v>0</v>
      </c>
      <c r="AH1565">
        <v>1</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s="141">
        <f>COUNTIF(X1565:AY1565,"&lt;&gt;0")</f>
        <v>1</v>
      </c>
      <c r="BA1565" s="141">
        <f>COUNTIF(X1565:AN1565,"&lt;&gt;0")</f>
        <v>1</v>
      </c>
      <c r="BB1565">
        <f>COUNTIF(X1565:AE1565,"&lt;&gt;0")</f>
        <v>0</v>
      </c>
      <c r="BC1565">
        <f>COUNTIF(AF1565:AK1565,"&lt;&gt;0")</f>
        <v>1</v>
      </c>
      <c r="BD1565">
        <f>COUNTIF(AL1565:AN1565,"&lt;&gt;0")</f>
        <v>0</v>
      </c>
      <c r="BE1565">
        <f>COUNTIF(AU1565:AY1565,"&lt;&gt;0")</f>
        <v>0</v>
      </c>
      <c r="BF1565">
        <f>COUNTIF(AO1565:AT1565,"&lt;&gt;0")</f>
        <v>0</v>
      </c>
      <c r="BG1565" t="str">
        <f t="array" ref="BG1565">IF(BA1565=1,INDEX($X$7:$AN$7,MATCH(TRUE,INDEX($X1565:$AY1565&lt;&gt;0,),0)),IF(BA1565=0,INDEX($AO$7:$AY$7,MATCH(1,$AO1565:$AY1565,0)),IF(BH1565="Multiple strategies","mixed drivers",IF(BH1565="Supply chain","multiple supply","multiple silviculture"))))</f>
        <v>supply chain organization</v>
      </c>
      <c r="BH1565" s="2" t="str" cm="1">
        <f t="array" ref="BH1565">IF(COUNTIF(BB1565:BD1565,"&lt;&gt;0")=1,INDEX($X$4:$AY$4,MATCH(TRUE,INDEX($X1565:$AY1565&lt;&gt;0,),0)),IF(COUNTIF(BB1565:BD1565,"&lt;&gt;0")=0,INDEX($AO$4:$AY$4,MATCH(1,$AO1565:$AY1565,0)),"Multiple strategies"))</f>
        <v>Supply chain</v>
      </c>
      <c r="BI1565" s="1" t="s">
        <v>321</v>
      </c>
      <c r="BJ1565" s="146" t="s">
        <v>322</v>
      </c>
      <c r="BK1565" t="s">
        <v>323</v>
      </c>
      <c r="BL1565" t="s">
        <v>278</v>
      </c>
      <c r="BM1565">
        <v>225.96603773584911</v>
      </c>
      <c r="BN1565">
        <v>225.96603773584911</v>
      </c>
      <c r="BO1565">
        <f>BN1565/BM1565</f>
        <v>1</v>
      </c>
      <c r="BP1565">
        <f>BN1565-BM1565</f>
        <v>0</v>
      </c>
      <c r="BQ1565">
        <f>BP1565*tC_to_m3</f>
        <v>0</v>
      </c>
      <c r="BR1565" t="s">
        <v>232</v>
      </c>
      <c r="BS1565" s="153" t="s">
        <v>2786</v>
      </c>
      <c r="BT1565" t="s">
        <v>279</v>
      </c>
      <c r="BU1565">
        <v>-448.98121307248744</v>
      </c>
      <c r="BV1565">
        <v>-435.66826611219864</v>
      </c>
      <c r="BW1565" s="144">
        <f>IFERROR(BU1565/BV1565,"")</f>
        <v>1.0305575319476226</v>
      </c>
      <c r="BX1565">
        <f>BU1565-BV1565</f>
        <v>-13.312946960288798</v>
      </c>
      <c r="BZ1565">
        <f>BX1565</f>
        <v>-13.312946960288798</v>
      </c>
      <c r="CA1565" t="str">
        <f>IFERROR(BZ1565/BQ1565,"")</f>
        <v/>
      </c>
      <c r="CB1565">
        <v>0</v>
      </c>
      <c r="CC1565">
        <v>0</v>
      </c>
      <c r="CD1565">
        <v>0</v>
      </c>
      <c r="CE1565">
        <v>0</v>
      </c>
      <c r="CF1565">
        <v>0</v>
      </c>
      <c r="CG1565">
        <v>0</v>
      </c>
      <c r="CH1565">
        <v>0</v>
      </c>
      <c r="CI1565">
        <v>0</v>
      </c>
      <c r="CJ1565">
        <v>0</v>
      </c>
      <c r="CK1565">
        <v>0</v>
      </c>
      <c r="CL1565">
        <v>0</v>
      </c>
      <c r="CM1565">
        <v>0</v>
      </c>
      <c r="CN1565">
        <v>0</v>
      </c>
      <c r="CO1565">
        <v>0</v>
      </c>
      <c r="CP1565" t="str">
        <f>IF($BN1565&lt;$BM1565,"refNeedCorrection","refOK")</f>
        <v>refOK</v>
      </c>
      <c r="CQ1565">
        <f>IF($CP1565="refOK",$BM1565,$BN1565)</f>
        <v>225.96603773584911</v>
      </c>
      <c r="CR1565">
        <f>IF($CP1565="refOK",$BN1565,$BM1565)</f>
        <v>225.96603773584911</v>
      </c>
      <c r="CS1565">
        <f>IF($CP1565="refOK",$BQ1565,-$BQ1565)</f>
        <v>0</v>
      </c>
      <c r="CT1565">
        <f>IF(BI1565="Roundwood",$CS1565/2,$CS1565)</f>
        <v>0</v>
      </c>
      <c r="CU1565">
        <f>IF($CP1565="refOK",$BV1565,$BU1565)*IF($BR1565="Emissions positive",-1,1)</f>
        <v>-435.66826611219864</v>
      </c>
      <c r="CV1565">
        <f>IF($CP1565="refOK",$BU1565,$BV1565)*IF($BR1565="Emissions positive",-1,1)</f>
        <v>-448.98121307248744</v>
      </c>
      <c r="CW1565">
        <f>IF($CP1565="refNeedCorrection",-BZ1565,BZ1565)*IF($BR1565="Emissions positive",-1,1)</f>
        <v>-13.312946960288798</v>
      </c>
      <c r="CX1565" t="str">
        <f>IFERROR($CW1565/$CS1565,"")</f>
        <v/>
      </c>
      <c r="CY1565" t="str">
        <f>IFERROR($CW1565/$CS1565,"")</f>
        <v/>
      </c>
      <c r="CZ1565" t="str">
        <f>IFERROR($CW1565/$CT1565,"")</f>
        <v/>
      </c>
      <c r="DA1565" s="2">
        <f>IFERROR((CV1565-CU1565)/ABS(CU1565),"")</f>
        <v>-3.0557531947622469E-2</v>
      </c>
      <c r="DB1565" s="1" t="s">
        <v>234</v>
      </c>
      <c r="DC1565" t="str">
        <f>IF(OR($DB1565="prd",$DB1565="std",$DB1565="cit"),"loc",IF(OR($DB1565="eur",$DB1565="reg",$DB1565="coy"),"reg",$DB1565))</f>
        <v>loc</v>
      </c>
      <c r="DD1565" t="s">
        <v>280</v>
      </c>
      <c r="DG1565">
        <v>200</v>
      </c>
      <c r="DH1565" t="str">
        <f>IF(DG1565=0,"0",IF(AND(DG1565&gt;=1,DG1565&lt;=30),"1-30",IF(AND(DG1565&gt;30,DG1565&lt;=70),"31-70",IF(AND(DG1565&gt;70,DG1565&lt;=100),"71-100",IF(DG1565&gt;100,"+100")))))</f>
        <v>+100</v>
      </c>
      <c r="DI1565">
        <v>0</v>
      </c>
      <c r="DJ1565">
        <v>1</v>
      </c>
      <c r="DK1565">
        <v>0</v>
      </c>
      <c r="DL1565">
        <v>1</v>
      </c>
      <c r="DN1565">
        <f>SUM(DI1565:DL1565)</f>
        <v>2</v>
      </c>
      <c r="DO1565" t="str">
        <f>IF(DN1565=1,INDEX($DI$7:$DL$7,MATCH(1,$DI1565:$DL1565,0)),"mixedProduct")</f>
        <v>mixedProduct</v>
      </c>
      <c r="DP1565">
        <f>IF(DI1565=1,DP$7,0)</f>
        <v>0</v>
      </c>
      <c r="DQ1565" t="str">
        <f>IF(DJ1565=1,DQ$7,0)</f>
        <v>Energy</v>
      </c>
      <c r="DR1565">
        <f>IF(DK1565=1,DR$7,0)</f>
        <v>0</v>
      </c>
      <c r="DS1565" t="str">
        <f>IF(DL1565=1,DS$7,0)</f>
        <v>Timber</v>
      </c>
      <c r="DT1565">
        <v>0</v>
      </c>
      <c r="DU1565">
        <v>1</v>
      </c>
      <c r="DV1565" t="s">
        <v>304</v>
      </c>
      <c r="DW1565" t="s">
        <v>281</v>
      </c>
      <c r="DX1565">
        <v>0</v>
      </c>
      <c r="DY1565">
        <f>SUM(DT1565:DU1565)</f>
        <v>1</v>
      </c>
      <c r="DZ1565" s="143" t="str">
        <f>IF(DT1565=1,"self-calculated DF",IF(DU1565=1,"external DF used","explicit C balance"))</f>
        <v>external DF used</v>
      </c>
      <c r="EA1565">
        <v>0</v>
      </c>
      <c r="EB1565">
        <v>1</v>
      </c>
      <c r="EC1565">
        <v>1</v>
      </c>
      <c r="ED1565">
        <v>1</v>
      </c>
      <c r="EE1565">
        <v>1</v>
      </c>
      <c r="EF1565" s="143">
        <v>0</v>
      </c>
      <c r="EG1565">
        <v>1</v>
      </c>
      <c r="EH1565">
        <v>1</v>
      </c>
      <c r="EI1565">
        <v>0</v>
      </c>
      <c r="EJ1565">
        <v>1</v>
      </c>
      <c r="EK1565">
        <v>1</v>
      </c>
      <c r="EL1565">
        <v>1</v>
      </c>
      <c r="EM1565">
        <v>0</v>
      </c>
      <c r="EN1565" s="2">
        <v>0</v>
      </c>
      <c r="EP1565" t="str">
        <f>IF(AND(AND(AND(OR($EC1565=1,$EB1565=1),OR($EH1565=1,$EF1565=1)),SUM($EA1565:$EE1565,$EK1565)&gt;=3),SUM($EF1565:$EJ1565)&gt;=2),"Whole sector approach","")</f>
        <v>Whole sector approach</v>
      </c>
      <c r="EQ1565" t="str">
        <f>IF(AND(AND(OR($EC1565=1,$EB1565=1),AND($EH1565=0,$EF1565=0)),SUM($EA1565:$EE1565,$EK1565)&gt;=4),"Ecosystem approach","")</f>
        <v/>
      </c>
      <c r="ER1565" s="2" t="str">
        <f>IF(AND(AND(AND($EC1565=0,$EB1565=0),OR($EH1565=1,$EF1565=1)),SUM($EG1565:$EJ1565)&gt;=2),"Technology approach","")</f>
        <v/>
      </c>
      <c r="ES1565" t="str">
        <f>IF(AND($EC1565+$EB1565+$EE1565+$EA1565+$ED1565+$EG1565=0,$N1565="included"),"C neutral forest and HWP assumption","")</f>
        <v/>
      </c>
      <c r="ET1565" t="str">
        <f>IF(AND(AND(AND(AND($EC1565=1,$EB1565+$EA1565+$EG1565&gt;=1),$EF1565=1),$EH1565+$EI1565+$ED1565+$EE1565&gt;=2),$N1565="included"),"All C pools assumption","")</f>
        <v/>
      </c>
      <c r="EU1565" t="str">
        <f>IF(AND($ED1565+$EE1565+$EI1565+$EH1565+$EF1565=0,$N1565="included"),"In-situ only assumption","")</f>
        <v/>
      </c>
      <c r="EW1565" t="s">
        <v>324</v>
      </c>
      <c r="EY1565" t="b">
        <f>IF(ISNUMBER(BW1565),IF(ABS(BW1565-[2]QC_indicators!$B$2)&gt;3*[2]QC_indicators!$C$2,"C ratio",IF(ISNUMBER(CA1565),IF(ABS(CA1565-[2]QC_indicators!$B$1)&gt;3*[2]QC_indicators!$C$1,"DF","no"))),IF(ISNUMBER(CA1565),IF(ABS(CA1565-[2]QC_indicators!$B$1)&gt;3*[2]QC_indicators!$C$1,"DF","no")))</f>
        <v>0</v>
      </c>
      <c r="EZ1565" t="s">
        <v>286</v>
      </c>
      <c r="FA1565" t="str">
        <f>IF(LEN($CY1565)=0,"",IF(AND($CY1565&lt;(-0.05),$ES1565="C neutral forest and HWP assumption"),"Cneutral paradox",IF(AND($CY1565&gt;0.05,$EU1565="In-situ only assumption"),"In-situ only paradox","")))</f>
        <v/>
      </c>
      <c r="FB1565" s="147" t="s">
        <v>325</v>
      </c>
      <c r="FD1565" s="260" t="s">
        <v>2948</v>
      </c>
    </row>
    <row r="1566" spans="1:160" ht="15" hidden="1" customHeight="1">
      <c r="A1566" s="1" t="s">
        <v>265</v>
      </c>
      <c r="B1566" t="s">
        <v>266</v>
      </c>
      <c r="C1566" t="s">
        <v>267</v>
      </c>
      <c r="D1566" t="s">
        <v>268</v>
      </c>
      <c r="E1566" t="s">
        <v>269</v>
      </c>
      <c r="F1566" t="s">
        <v>270</v>
      </c>
      <c r="G1566" t="s">
        <v>271</v>
      </c>
      <c r="H1566" t="s">
        <v>254</v>
      </c>
      <c r="I1566">
        <v>2022</v>
      </c>
      <c r="J1566">
        <v>0</v>
      </c>
      <c r="K1566" t="s">
        <v>272</v>
      </c>
      <c r="M1566" t="str">
        <f>LEFT($D1566,FIND(",",$D1566)-1)&amp;"_"&amp;I1566&amp;L1566</f>
        <v>Aryapratama_2022</v>
      </c>
      <c r="N1566" t="s">
        <v>222</v>
      </c>
      <c r="O1566" s="145" t="s">
        <v>274</v>
      </c>
      <c r="Q1566" t="s">
        <v>224</v>
      </c>
      <c r="R1566" s="258" t="s">
        <v>223</v>
      </c>
      <c r="S1566" s="1" t="s">
        <v>319</v>
      </c>
      <c r="T1566" t="s">
        <v>312</v>
      </c>
      <c r="U1566" t="s">
        <v>283</v>
      </c>
      <c r="V1566" s="253">
        <v>0</v>
      </c>
      <c r="W1566" s="253">
        <v>0</v>
      </c>
      <c r="X1566">
        <v>0</v>
      </c>
      <c r="Y1566">
        <v>0</v>
      </c>
      <c r="Z1566">
        <v>0</v>
      </c>
      <c r="AA1566">
        <v>0</v>
      </c>
      <c r="AB1566">
        <v>0</v>
      </c>
      <c r="AC1566">
        <v>0</v>
      </c>
      <c r="AD1566">
        <v>0</v>
      </c>
      <c r="AE1566">
        <v>0</v>
      </c>
      <c r="AF1566">
        <v>0</v>
      </c>
      <c r="AG1566">
        <v>0</v>
      </c>
      <c r="AH1566">
        <v>1</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s="141">
        <f>COUNTIF(X1566:AY1566,"&lt;&gt;0")</f>
        <v>1</v>
      </c>
      <c r="BA1566" s="141">
        <f>COUNTIF(X1566:AN1566,"&lt;&gt;0")</f>
        <v>1</v>
      </c>
      <c r="BB1566">
        <f>COUNTIF(X1566:AE1566,"&lt;&gt;0")</f>
        <v>0</v>
      </c>
      <c r="BC1566">
        <f>COUNTIF(AF1566:AK1566,"&lt;&gt;0")</f>
        <v>1</v>
      </c>
      <c r="BD1566">
        <f>COUNTIF(AL1566:AN1566,"&lt;&gt;0")</f>
        <v>0</v>
      </c>
      <c r="BE1566">
        <f>COUNTIF(AU1566:AY1566,"&lt;&gt;0")</f>
        <v>0</v>
      </c>
      <c r="BF1566">
        <f>COUNTIF(AO1566:AT1566,"&lt;&gt;0")</f>
        <v>0</v>
      </c>
      <c r="BG1566" t="str">
        <f t="array" ref="BG1566">IF(BA1566=1,INDEX($X$7:$AN$7,MATCH(TRUE,INDEX($X1566:$AY1566&lt;&gt;0,),0)),IF(BA1566=0,INDEX($AO$7:$AY$7,MATCH(1,$AO1566:$AY1566,0)),IF(BH1566="Multiple strategies","mixed drivers",IF(BH1566="Supply chain","multiple supply","multiple silviculture"))))</f>
        <v>supply chain organization</v>
      </c>
      <c r="BH1566" s="2" t="str" cm="1">
        <f t="array" ref="BH1566">IF(COUNTIF(BB1566:BD1566,"&lt;&gt;0")=1,INDEX($X$4:$AY$4,MATCH(TRUE,INDEX($X1566:$AY1566&lt;&gt;0,),0)),IF(COUNTIF(BB1566:BD1566,"&lt;&gt;0")=0,INDEX($AO$4:$AY$4,MATCH(1,$AO1566:$AY1566,0)),"Multiple strategies"))</f>
        <v>Supply chain</v>
      </c>
      <c r="BI1566" s="1" t="s">
        <v>321</v>
      </c>
      <c r="BJ1566" s="146" t="s">
        <v>322</v>
      </c>
      <c r="BK1566" t="s">
        <v>323</v>
      </c>
      <c r="BL1566" t="s">
        <v>278</v>
      </c>
      <c r="BM1566" s="148">
        <v>9.6371132903994159</v>
      </c>
      <c r="BN1566" s="148">
        <v>9.6371132903994159</v>
      </c>
      <c r="BO1566">
        <f>BN1566/BM1566</f>
        <v>1</v>
      </c>
      <c r="BP1566">
        <f>BN1566-BM1566</f>
        <v>0</v>
      </c>
      <c r="BQ1566">
        <f>BP1566*tC_to_m3</f>
        <v>0</v>
      </c>
      <c r="BR1566" t="s">
        <v>232</v>
      </c>
      <c r="BS1566" s="153" t="s">
        <v>2786</v>
      </c>
      <c r="BT1566" t="s">
        <v>279</v>
      </c>
      <c r="BU1566">
        <v>726.845318289901</v>
      </c>
      <c r="BV1566">
        <v>739.24076084648095</v>
      </c>
      <c r="BW1566" s="144">
        <f>IFERROR(BU1566/BV1566,"")</f>
        <v>0.98323219820510666</v>
      </c>
      <c r="BX1566">
        <f>BU1566-BV1566</f>
        <v>-12.395442556579951</v>
      </c>
      <c r="BZ1566">
        <f>BX1566</f>
        <v>-12.395442556579951</v>
      </c>
      <c r="CA1566" t="str">
        <f>IFERROR(BZ1566/BQ1566,"")</f>
        <v/>
      </c>
      <c r="CB1566">
        <v>0</v>
      </c>
      <c r="CC1566">
        <v>0</v>
      </c>
      <c r="CD1566">
        <v>0</v>
      </c>
      <c r="CE1566">
        <v>0</v>
      </c>
      <c r="CF1566">
        <v>0</v>
      </c>
      <c r="CG1566">
        <v>0</v>
      </c>
      <c r="CH1566">
        <v>0</v>
      </c>
      <c r="CI1566">
        <v>0</v>
      </c>
      <c r="CJ1566">
        <v>0</v>
      </c>
      <c r="CK1566">
        <v>0</v>
      </c>
      <c r="CL1566">
        <v>0</v>
      </c>
      <c r="CM1566">
        <v>0</v>
      </c>
      <c r="CN1566">
        <v>0</v>
      </c>
      <c r="CO1566">
        <v>0</v>
      </c>
      <c r="CP1566" t="str">
        <f>IF($BN1566&lt;$BM1566,"refNeedCorrection","refOK")</f>
        <v>refOK</v>
      </c>
      <c r="CQ1566">
        <f>IF($CP1566="refOK",$BM1566,$BN1566)</f>
        <v>9.6371132903994159</v>
      </c>
      <c r="CR1566">
        <f>IF($CP1566="refOK",$BN1566,$BM1566)</f>
        <v>9.6371132903994159</v>
      </c>
      <c r="CS1566">
        <f>IF($CP1566="refOK",$BQ1566,-$BQ1566)</f>
        <v>0</v>
      </c>
      <c r="CT1566">
        <f>IF(BI1566="Roundwood",$CS1566/2,$CS1566)</f>
        <v>0</v>
      </c>
      <c r="CU1566">
        <f>IF($CP1566="refOK",$BV1566,$BU1566)*IF($BR1566="Emissions positive",-1,1)</f>
        <v>739.24076084648095</v>
      </c>
      <c r="CV1566">
        <f>IF($CP1566="refOK",$BU1566,$BV1566)*IF($BR1566="Emissions positive",-1,1)</f>
        <v>726.845318289901</v>
      </c>
      <c r="CW1566">
        <f>IF($CP1566="refNeedCorrection",-BZ1566,BZ1566)*IF($BR1566="Emissions positive",-1,1)</f>
        <v>-12.395442556579951</v>
      </c>
      <c r="CX1566" t="str">
        <f>IFERROR($CW1566/$CS1566,"")</f>
        <v/>
      </c>
      <c r="CY1566" t="str">
        <f>IFERROR($CW1566/$CS1566,"")</f>
        <v/>
      </c>
      <c r="CZ1566" t="str">
        <f>IFERROR($CW1566/$CT1566,"")</f>
        <v/>
      </c>
      <c r="DA1566" s="2">
        <f>IFERROR((CV1566-CU1566)/ABS(CU1566),"")</f>
        <v>-1.6767801794893351E-2</v>
      </c>
      <c r="DB1566" s="1" t="s">
        <v>234</v>
      </c>
      <c r="DC1566" t="str">
        <f>IF(OR($DB1566="prd",$DB1566="std",$DB1566="cit"),"loc",IF(OR($DB1566="eur",$DB1566="reg",$DB1566="coy"),"reg",$DB1566))</f>
        <v>loc</v>
      </c>
      <c r="DD1566" t="s">
        <v>280</v>
      </c>
      <c r="DG1566">
        <v>200</v>
      </c>
      <c r="DH1566" t="str">
        <f>IF(DG1566=0,"0",IF(AND(DG1566&gt;=1,DG1566&lt;=30),"1-30",IF(AND(DG1566&gt;30,DG1566&lt;=70),"31-70",IF(AND(DG1566&gt;70,DG1566&lt;=100),"71-100",IF(DG1566&gt;100,"+100")))))</f>
        <v>+100</v>
      </c>
      <c r="DI1566">
        <v>0</v>
      </c>
      <c r="DJ1566">
        <v>1</v>
      </c>
      <c r="DK1566">
        <v>0</v>
      </c>
      <c r="DL1566">
        <v>1</v>
      </c>
      <c r="DN1566">
        <f>SUM(DI1566:DL1566)</f>
        <v>2</v>
      </c>
      <c r="DO1566" t="str">
        <f>IF(DN1566=1,INDEX($DI$7:$DL$7,MATCH(1,$DI1566:$DL1566,0)),"mixedProduct")</f>
        <v>mixedProduct</v>
      </c>
      <c r="DP1566">
        <f>IF(DI1566=1,DP$7,0)</f>
        <v>0</v>
      </c>
      <c r="DQ1566" t="str">
        <f>IF(DJ1566=1,DQ$7,0)</f>
        <v>Energy</v>
      </c>
      <c r="DR1566">
        <f>IF(DK1566=1,DR$7,0)</f>
        <v>0</v>
      </c>
      <c r="DS1566" t="str">
        <f>IF(DL1566=1,DS$7,0)</f>
        <v>Timber</v>
      </c>
      <c r="DT1566">
        <v>0</v>
      </c>
      <c r="DU1566">
        <v>1</v>
      </c>
      <c r="DV1566" t="s">
        <v>304</v>
      </c>
      <c r="DW1566" t="s">
        <v>281</v>
      </c>
      <c r="DX1566">
        <v>0</v>
      </c>
      <c r="DY1566">
        <f>SUM(DT1566:DU1566)</f>
        <v>1</v>
      </c>
      <c r="DZ1566" s="143" t="str">
        <f>IF(DT1566=1,"self-calculated DF",IF(DU1566=1,"external DF used","explicit C balance"))</f>
        <v>external DF used</v>
      </c>
      <c r="EA1566">
        <v>0</v>
      </c>
      <c r="EB1566">
        <v>1</v>
      </c>
      <c r="EC1566">
        <v>1</v>
      </c>
      <c r="ED1566">
        <v>1</v>
      </c>
      <c r="EE1566">
        <v>1</v>
      </c>
      <c r="EF1566" s="143">
        <v>0</v>
      </c>
      <c r="EG1566">
        <v>1</v>
      </c>
      <c r="EH1566">
        <v>1</v>
      </c>
      <c r="EI1566">
        <v>0</v>
      </c>
      <c r="EJ1566">
        <v>1</v>
      </c>
      <c r="EK1566">
        <v>1</v>
      </c>
      <c r="EL1566">
        <v>1</v>
      </c>
      <c r="EM1566">
        <v>0</v>
      </c>
      <c r="EN1566" s="2">
        <v>0</v>
      </c>
      <c r="EP1566" t="str">
        <f>IF(AND(AND(AND(OR($EC1566=1,$EB1566=1),OR($EH1566=1,$EF1566=1)),SUM($EA1566:$EE1566,$EK1566)&gt;=3),SUM($EF1566:$EJ1566)&gt;=2),"Whole sector approach","")</f>
        <v>Whole sector approach</v>
      </c>
      <c r="EQ1566" t="str">
        <f>IF(AND(AND(OR($EC1566=1,$EB1566=1),AND($EH1566=0,$EF1566=0)),SUM($EA1566:$EE1566,$EK1566)&gt;=4),"Ecosystem approach","")</f>
        <v/>
      </c>
      <c r="ER1566" s="2" t="str">
        <f>IF(AND(AND(AND($EC1566=0,$EB1566=0),OR($EH1566=1,$EF1566=1)),SUM($EG1566:$EJ1566)&gt;=2),"Technology approach","")</f>
        <v/>
      </c>
      <c r="ES1566" t="str">
        <f>IF(AND($EC1566+$EB1566+$EE1566+$EA1566+$ED1566+$EG1566=0,$N1566="included"),"C neutral forest and HWP assumption","")</f>
        <v/>
      </c>
      <c r="ET1566" t="str">
        <f>IF(AND(AND(AND(AND($EC1566=1,$EB1566+$EA1566+$EG1566&gt;=1),$EF1566=1),$EH1566+$EI1566+$ED1566+$EE1566&gt;=2),$N1566="included"),"All C pools assumption","")</f>
        <v/>
      </c>
      <c r="EU1566" t="str">
        <f>IF(AND($ED1566+$EE1566+$EI1566+$EH1566+$EF1566=0,$N1566="included"),"In-situ only assumption","")</f>
        <v/>
      </c>
      <c r="EW1566" t="s">
        <v>324</v>
      </c>
      <c r="EY1566" t="b">
        <f>IF(ISNUMBER(BW1566),IF(ABS(BW1566-[2]QC_indicators!$B$2)&gt;3*[2]QC_indicators!$C$2,"C ratio",IF(ISNUMBER(CA1566),IF(ABS(CA1566-[2]QC_indicators!$B$1)&gt;3*[2]QC_indicators!$C$1,"DF","no"))),IF(ISNUMBER(CA1566),IF(ABS(CA1566-[2]QC_indicators!$B$1)&gt;3*[2]QC_indicators!$C$1,"DF","no")))</f>
        <v>0</v>
      </c>
      <c r="EZ1566" t="s">
        <v>286</v>
      </c>
      <c r="FA1566" t="str">
        <f>IF(LEN($CY1566)=0,"",IF(AND($CY1566&lt;(-0.05),$ES1566="C neutral forest and HWP assumption"),"Cneutral paradox",IF(AND($CY1566&gt;0.05,$EU1566="In-situ only assumption"),"In-situ only paradox","")))</f>
        <v/>
      </c>
      <c r="FB1566" s="147" t="s">
        <v>325</v>
      </c>
      <c r="FD1566" s="260" t="s">
        <v>2948</v>
      </c>
    </row>
    <row r="1567" spans="1:160" ht="15" hidden="1" customHeight="1">
      <c r="A1567" s="1" t="s">
        <v>265</v>
      </c>
      <c r="B1567" t="s">
        <v>266</v>
      </c>
      <c r="C1567" t="s">
        <v>267</v>
      </c>
      <c r="D1567" t="s">
        <v>268</v>
      </c>
      <c r="E1567" t="s">
        <v>269</v>
      </c>
      <c r="F1567" t="s">
        <v>270</v>
      </c>
      <c r="G1567" t="s">
        <v>271</v>
      </c>
      <c r="H1567" t="s">
        <v>254</v>
      </c>
      <c r="I1567">
        <v>2022</v>
      </c>
      <c r="J1567">
        <v>0</v>
      </c>
      <c r="K1567" t="s">
        <v>272</v>
      </c>
      <c r="M1567" t="str">
        <f>LEFT($D1567,FIND(",",$D1567)-1)&amp;"_"&amp;I1567&amp;L1567</f>
        <v>Aryapratama_2022</v>
      </c>
      <c r="N1567" t="s">
        <v>222</v>
      </c>
      <c r="O1567" s="145" t="s">
        <v>274</v>
      </c>
      <c r="Q1567" t="s">
        <v>224</v>
      </c>
      <c r="R1567" s="258" t="s">
        <v>223</v>
      </c>
      <c r="S1567" s="259" t="s">
        <v>2787</v>
      </c>
      <c r="T1567" t="s">
        <v>312</v>
      </c>
      <c r="U1567" t="s">
        <v>303</v>
      </c>
      <c r="V1567" s="253">
        <v>0</v>
      </c>
      <c r="W1567" s="253">
        <v>0</v>
      </c>
      <c r="X1567">
        <v>0</v>
      </c>
      <c r="Y1567">
        <v>0</v>
      </c>
      <c r="Z1567">
        <v>0</v>
      </c>
      <c r="AA1567">
        <v>0</v>
      </c>
      <c r="AB1567">
        <v>0</v>
      </c>
      <c r="AC1567">
        <v>0</v>
      </c>
      <c r="AD1567">
        <v>0</v>
      </c>
      <c r="AE1567">
        <v>0</v>
      </c>
      <c r="AF1567">
        <v>1</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s="141">
        <f>COUNTIF(X1567:AY1567,"&lt;&gt;0")</f>
        <v>1</v>
      </c>
      <c r="BA1567" s="141">
        <f>COUNTIF(X1567:AN1567,"&lt;&gt;0")</f>
        <v>1</v>
      </c>
      <c r="BB1567">
        <f>COUNTIF(X1567:AE1567,"&lt;&gt;0")</f>
        <v>0</v>
      </c>
      <c r="BC1567">
        <f>COUNTIF(AF1567:AK1567,"&lt;&gt;0")</f>
        <v>1</v>
      </c>
      <c r="BD1567">
        <f>COUNTIF(AL1567:AN1567,"&lt;&gt;0")</f>
        <v>0</v>
      </c>
      <c r="BE1567">
        <f>COUNTIF(AU1567:AY1567,"&lt;&gt;0")</f>
        <v>0</v>
      </c>
      <c r="BF1567">
        <f>COUNTIF(AO1567:AT1567,"&lt;&gt;0")</f>
        <v>0</v>
      </c>
      <c r="BG1567" t="str">
        <f t="array" ref="BG1567">IF(BA1567=1,INDEX($X$7:$AN$7,MATCH(TRUE,INDEX($X1567:$AY1567&lt;&gt;0,),0)),IF(BA1567=0,INDEX($AO$7:$AY$7,MATCH(1,$AO1567:$AY1567,0)),IF(BH1567="Multiple strategies","mixed drivers",IF(BH1567="Supply chain","multiple supply","multiple silviculture"))))</f>
        <v>harvesting system</v>
      </c>
      <c r="BH1567" s="2" t="str" cm="1">
        <f t="array" ref="BH1567">IF(COUNTIF(BB1567:BD1567,"&lt;&gt;0")=1,INDEX($X$4:$AY$4,MATCH(TRUE,INDEX($X1567:$AY1567&lt;&gt;0,),0)),IF(COUNTIF(BB1567:BD1567,"&lt;&gt;0")=0,INDEX($AO$4:$AY$4,MATCH(1,$AO1567:$AY1567,0)),"Multiple strategies"))</f>
        <v>Supply chain</v>
      </c>
      <c r="BI1567" s="1" t="s">
        <v>229</v>
      </c>
      <c r="BJ1567" t="s">
        <v>285</v>
      </c>
      <c r="BL1567" t="s">
        <v>278</v>
      </c>
      <c r="BM1567">
        <v>15.419381264639073</v>
      </c>
      <c r="BN1567">
        <v>15.419381264639073</v>
      </c>
      <c r="BO1567">
        <f>BN1567/BM1567</f>
        <v>1</v>
      </c>
      <c r="BP1567">
        <f>BN1567-BM1567</f>
        <v>0</v>
      </c>
      <c r="BQ1567">
        <f>BP1567*tC_to_m3</f>
        <v>0</v>
      </c>
      <c r="BR1567" t="s">
        <v>232</v>
      </c>
      <c r="BS1567" s="153" t="s">
        <v>2786</v>
      </c>
      <c r="BT1567" t="s">
        <v>279</v>
      </c>
      <c r="BU1567">
        <v>167.28412809039341</v>
      </c>
      <c r="BV1567">
        <v>82.450615050179124</v>
      </c>
      <c r="BW1567" s="144">
        <f>IFERROR(BV1567/BU1567,"")</f>
        <v>0.49287769253055635</v>
      </c>
      <c r="BX1567">
        <f>BV1567-BU1567</f>
        <v>-84.833513040214285</v>
      </c>
      <c r="BZ1567">
        <f>BX1567</f>
        <v>-84.833513040214285</v>
      </c>
      <c r="CA1567" t="str">
        <f>IFERROR(BZ1567/BQ1567,"")</f>
        <v/>
      </c>
      <c r="CB1567">
        <v>0</v>
      </c>
      <c r="CC1567">
        <v>0</v>
      </c>
      <c r="CD1567">
        <v>0</v>
      </c>
      <c r="CE1567">
        <v>0</v>
      </c>
      <c r="CF1567">
        <v>0</v>
      </c>
      <c r="CG1567">
        <v>0</v>
      </c>
      <c r="CH1567">
        <v>0</v>
      </c>
      <c r="CI1567">
        <v>0</v>
      </c>
      <c r="CJ1567">
        <v>0</v>
      </c>
      <c r="CK1567">
        <v>0</v>
      </c>
      <c r="CL1567">
        <v>0</v>
      </c>
      <c r="CM1567">
        <v>0</v>
      </c>
      <c r="CN1567">
        <v>0</v>
      </c>
      <c r="CO1567">
        <v>0</v>
      </c>
      <c r="CP1567" t="str">
        <f>IF($BN1567&lt;$BM1567,"refNeedCorrection","refOK")</f>
        <v>refOK</v>
      </c>
      <c r="CQ1567">
        <f>IF($CP1567="refOK",$BM1567,$BN1567)</f>
        <v>15.419381264639073</v>
      </c>
      <c r="CR1567">
        <f>IF($CP1567="refOK",$BN1567,$BM1567)</f>
        <v>15.419381264639073</v>
      </c>
      <c r="CS1567">
        <f>IF($CP1567="refOK",$BQ1567,-$BQ1567)</f>
        <v>0</v>
      </c>
      <c r="CT1567">
        <f>IF(BI1567="Roundwood",$CS1567/2,$CS1567)</f>
        <v>0</v>
      </c>
      <c r="CU1567">
        <f>IF($CP1567="refOK",$BU1567,$BV1567)*IF($BR1567="Emissions positive",-1,1)</f>
        <v>167.28412809039341</v>
      </c>
      <c r="CV1567">
        <f>IF($CP1567="refOK",$BV1567,$BU1567)*IF($BR1567="Emissions positive",-1,1)</f>
        <v>82.450615050179124</v>
      </c>
      <c r="CW1567">
        <f>IF($CP1567="refNeedCorrection",-BZ1567,BZ1567)*IF($BR1567="Emissions positive",-1,1)</f>
        <v>-84.833513040214285</v>
      </c>
      <c r="CX1567" t="str">
        <f>IFERROR($CW1567/$CS1567,"")</f>
        <v/>
      </c>
      <c r="CY1567" t="str">
        <f>IFERROR($CW1567/$CS1567,"")</f>
        <v/>
      </c>
      <c r="CZ1567" t="str">
        <f>IFERROR($CW1567/$CT1567,"")</f>
        <v/>
      </c>
      <c r="DA1567" s="2">
        <f>IFERROR((CV1567-CU1567)/ABS(CU1567),"")</f>
        <v>-0.50712230746944365</v>
      </c>
      <c r="DB1567" s="1" t="s">
        <v>234</v>
      </c>
      <c r="DC1567" t="str">
        <f>IF(OR($DB1567="prd",$DB1567="std",$DB1567="cit"),"loc",IF(OR($DB1567="eur",$DB1567="reg",$DB1567="coy"),"reg",$DB1567))</f>
        <v>loc</v>
      </c>
      <c r="DD1567" t="s">
        <v>280</v>
      </c>
      <c r="DG1567">
        <v>50</v>
      </c>
      <c r="DH1567" t="str">
        <f>IF(DG1567=0,"0",IF(AND(DG1567&gt;=1,DG1567&lt;=30),"1-30",IF(AND(DG1567&gt;30,DG1567&lt;=70),"31-70",IF(AND(DG1567&gt;70,DG1567&lt;=100),"71-100",IF(DG1567&gt;100,"+100")))))</f>
        <v>31-70</v>
      </c>
      <c r="DI1567">
        <v>0</v>
      </c>
      <c r="DJ1567">
        <v>1</v>
      </c>
      <c r="DK1567">
        <v>0</v>
      </c>
      <c r="DL1567">
        <v>0</v>
      </c>
      <c r="DN1567">
        <f>SUM(DI1567:DL1567)</f>
        <v>1</v>
      </c>
      <c r="DO1567" t="str">
        <f>IF(DN1567=1,INDEX($DI$7:$DL$7,MATCH(1,$DI1567:$DL1567,0)),"mixedProduct")</f>
        <v>EnergyInput</v>
      </c>
      <c r="DP1567">
        <f>IF(DI1567=1,DP$7,0)</f>
        <v>0</v>
      </c>
      <c r="DQ1567" t="str">
        <f>IF(DJ1567=1,DQ$7,0)</f>
        <v>Energy</v>
      </c>
      <c r="DR1567">
        <f>IF(DK1567=1,DR$7,0)</f>
        <v>0</v>
      </c>
      <c r="DS1567">
        <f>IF(DL1567=1,DS$7,0)</f>
        <v>0</v>
      </c>
      <c r="DT1567">
        <v>0</v>
      </c>
      <c r="DU1567">
        <v>1</v>
      </c>
      <c r="DV1567" t="s">
        <v>304</v>
      </c>
      <c r="DW1567" t="s">
        <v>281</v>
      </c>
      <c r="DX1567">
        <v>0</v>
      </c>
      <c r="DY1567">
        <f>SUM(DT1567:DU1567)</f>
        <v>1</v>
      </c>
      <c r="DZ1567" s="143" t="str">
        <f>IF(DT1567=1,"self-calculated DF",IF(DU1567=1,"external DF used","explicit C balance"))</f>
        <v>external DF used</v>
      </c>
      <c r="EA1567">
        <v>0</v>
      </c>
      <c r="EB1567">
        <v>1</v>
      </c>
      <c r="EC1567">
        <v>1</v>
      </c>
      <c r="ED1567">
        <v>1</v>
      </c>
      <c r="EE1567">
        <v>1</v>
      </c>
      <c r="EF1567" s="143">
        <v>0</v>
      </c>
      <c r="EG1567">
        <v>1</v>
      </c>
      <c r="EH1567">
        <v>1</v>
      </c>
      <c r="EI1567">
        <v>0</v>
      </c>
      <c r="EJ1567">
        <v>1</v>
      </c>
      <c r="EK1567">
        <v>1</v>
      </c>
      <c r="EL1567">
        <v>1</v>
      </c>
      <c r="EM1567">
        <v>0</v>
      </c>
      <c r="EN1567" s="2">
        <v>0</v>
      </c>
      <c r="EP1567" t="str">
        <f>IF(AND(AND(AND(OR($EC1567=1,$EB1567=1),OR($EH1567=1,$EF1567=1)),SUM($EA1567:$EE1567,$EK1567)&gt;=3),SUM($EF1567:$EJ1567)&gt;=2),"Whole sector approach","")</f>
        <v>Whole sector approach</v>
      </c>
      <c r="EQ1567" t="str">
        <f>IF(AND(AND(OR($EC1567=1,$EB1567=1),AND($EH1567=0,$EF1567=0)),SUM($EA1567:$EE1567,$EK1567)&gt;=4),"Ecosystem approach","")</f>
        <v/>
      </c>
      <c r="ER1567" s="2" t="str">
        <f>IF(AND(AND(AND($EC1567=0,$EB1567=0),OR($EH1567=1,$EF1567=1)),SUM($EG1567:$EJ1567)&gt;=2),"Technology approach","")</f>
        <v/>
      </c>
      <c r="ES1567" t="str">
        <f>IF(AND($EC1567+$EB1567+$EE1567+$EA1567+$ED1567+$EG1567=0,$N1567="included"),"C neutral forest and HWP assumption","")</f>
        <v/>
      </c>
      <c r="ET1567" t="str">
        <f>IF(AND(AND(AND(AND($EC1567=1,$EB1567+$EA1567+$EG1567&gt;=1),$EF1567=1),$EH1567+$EI1567+$ED1567+$EE1567&gt;=2),$N1567="included"),"All C pools assumption","")</f>
        <v/>
      </c>
      <c r="EU1567" t="str">
        <f>IF(AND($ED1567+$EE1567+$EI1567+$EH1567+$EF1567=0,$N1567="included"),"In-situ only assumption","")</f>
        <v/>
      </c>
      <c r="EY1567" t="b">
        <f>IF(ISNUMBER(BW1567),IF(ABS(BW1567-[2]QC_indicators!$B$2)&gt;3*[2]QC_indicators!$C$2,"C ratio",IF(ISNUMBER(CA1567),IF(ABS(CA1567-[2]QC_indicators!$B$1)&gt;3*[2]QC_indicators!$C$1,"DF","no"))),IF(ISNUMBER(CA1567),IF(ABS(CA1567-[2]QC_indicators!$B$1)&gt;3*[2]QC_indicators!$C$1,"DF","no")))</f>
        <v>0</v>
      </c>
      <c r="EZ1567" t="s">
        <v>286</v>
      </c>
      <c r="FA1567" t="str">
        <f>IF(LEN($CY1567)=0,"",IF(AND($CY1567&lt;(-0.05),$ES1567="C neutral forest and HWP assumption"),"Cneutral paradox",IF(AND($CY1567&gt;0.05,$EU1567="In-situ only assumption"),"In-situ only paradox","")))</f>
        <v/>
      </c>
      <c r="FD1567" s="260" t="s">
        <v>2948</v>
      </c>
    </row>
    <row r="1568" spans="1:160" hidden="1">
      <c r="A1568" s="1" t="s">
        <v>265</v>
      </c>
      <c r="B1568" t="s">
        <v>266</v>
      </c>
      <c r="C1568" t="s">
        <v>267</v>
      </c>
      <c r="D1568" t="s">
        <v>268</v>
      </c>
      <c r="E1568" t="s">
        <v>269</v>
      </c>
      <c r="F1568" t="s">
        <v>270</v>
      </c>
      <c r="G1568" t="s">
        <v>271</v>
      </c>
      <c r="H1568" t="s">
        <v>254</v>
      </c>
      <c r="I1568">
        <v>2022</v>
      </c>
      <c r="J1568">
        <v>0</v>
      </c>
      <c r="K1568" t="s">
        <v>272</v>
      </c>
      <c r="M1568" t="str">
        <f>LEFT($D1568,FIND(",",$D1568)-1)&amp;"_"&amp;I1568&amp;L1568</f>
        <v>Aryapratama_2022</v>
      </c>
      <c r="N1568" t="s">
        <v>222</v>
      </c>
      <c r="O1568" s="145" t="s">
        <v>274</v>
      </c>
      <c r="Q1568" t="s">
        <v>224</v>
      </c>
      <c r="R1568" s="258" t="s">
        <v>223</v>
      </c>
      <c r="S1568" s="259" t="s">
        <v>2787</v>
      </c>
      <c r="T1568" t="s">
        <v>312</v>
      </c>
      <c r="U1568" t="s">
        <v>303</v>
      </c>
      <c r="V1568" s="253">
        <v>0</v>
      </c>
      <c r="W1568" s="253">
        <v>0</v>
      </c>
      <c r="X1568">
        <v>0</v>
      </c>
      <c r="Y1568">
        <v>0</v>
      </c>
      <c r="Z1568">
        <v>0</v>
      </c>
      <c r="AA1568">
        <v>0</v>
      </c>
      <c r="AB1568">
        <v>0</v>
      </c>
      <c r="AC1568">
        <v>0</v>
      </c>
      <c r="AD1568">
        <v>0</v>
      </c>
      <c r="AE1568">
        <v>0</v>
      </c>
      <c r="AF1568">
        <v>1</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s="141">
        <f>COUNTIF(X1568:AY1568,"&lt;&gt;0")</f>
        <v>1</v>
      </c>
      <c r="BA1568" s="141">
        <f>COUNTIF(X1568:AN1568,"&lt;&gt;0")</f>
        <v>1</v>
      </c>
      <c r="BB1568">
        <f>COUNTIF(X1568:AE1568,"&lt;&gt;0")</f>
        <v>0</v>
      </c>
      <c r="BC1568">
        <f>COUNTIF(AF1568:AK1568,"&lt;&gt;0")</f>
        <v>1</v>
      </c>
      <c r="BD1568">
        <f>COUNTIF(AL1568:AN1568,"&lt;&gt;0")</f>
        <v>0</v>
      </c>
      <c r="BE1568">
        <f>COUNTIF(AU1568:AY1568,"&lt;&gt;0")</f>
        <v>0</v>
      </c>
      <c r="BF1568">
        <f>COUNTIF(AO1568:AT1568,"&lt;&gt;0")</f>
        <v>0</v>
      </c>
      <c r="BG1568" t="str">
        <f t="array" ref="BG1568">IF(BA1568=1,INDEX($X$7:$AN$7,MATCH(TRUE,INDEX($X1568:$AY1568&lt;&gt;0,),0)),IF(BA1568=0,INDEX($AO$7:$AY$7,MATCH(1,$AO1568:$AY1568,0)),IF(BH1568="Multiple strategies","mixed drivers",IF(BH1568="Supply chain","multiple supply","multiple silviculture"))))</f>
        <v>harvesting system</v>
      </c>
      <c r="BH1568" s="2" t="str" cm="1">
        <f t="array" ref="BH1568">IF(COUNTIF(BB1568:BD1568,"&lt;&gt;0")=1,INDEX($X$4:$AY$4,MATCH(TRUE,INDEX($X1568:$AY1568&lt;&gt;0,),0)),IF(COUNTIF(BB1568:BD1568,"&lt;&gt;0")=0,INDEX($AO$4:$AY$4,MATCH(1,$AO1568:$AY1568,0)),"Multiple strategies"))</f>
        <v>Supply chain</v>
      </c>
      <c r="BI1568" s="1" t="s">
        <v>229</v>
      </c>
      <c r="BJ1568" t="s">
        <v>285</v>
      </c>
      <c r="BL1568" t="s">
        <v>278</v>
      </c>
      <c r="BM1568">
        <v>23.12907189695861</v>
      </c>
      <c r="BN1568">
        <v>23.12907189695861</v>
      </c>
      <c r="BO1568">
        <f>BN1568/BM1568</f>
        <v>1</v>
      </c>
      <c r="BP1568">
        <f>BN1568-BM1568</f>
        <v>0</v>
      </c>
      <c r="BQ1568">
        <f>BP1568*tC_to_m3</f>
        <v>0</v>
      </c>
      <c r="BR1568" t="s">
        <v>232</v>
      </c>
      <c r="BS1568" s="153" t="s">
        <v>2786</v>
      </c>
      <c r="BT1568" t="s">
        <v>279</v>
      </c>
      <c r="BU1568">
        <v>354.30409954781243</v>
      </c>
      <c r="BV1568">
        <v>176.62110895178901</v>
      </c>
      <c r="BW1568" s="144">
        <f>IFERROR(BV1568/BU1568,"")</f>
        <v>0.49850145447711491</v>
      </c>
      <c r="BX1568">
        <f>BV1568-BU1568</f>
        <v>-177.68299059602342</v>
      </c>
      <c r="BZ1568">
        <f>BX1568</f>
        <v>-177.68299059602342</v>
      </c>
      <c r="CA1568" t="str">
        <f>IFERROR(BZ1568/BQ1568,"")</f>
        <v/>
      </c>
      <c r="CB1568">
        <v>0</v>
      </c>
      <c r="CC1568">
        <v>0</v>
      </c>
      <c r="CD1568">
        <v>0</v>
      </c>
      <c r="CE1568">
        <v>0</v>
      </c>
      <c r="CF1568">
        <v>0</v>
      </c>
      <c r="CG1568">
        <v>0</v>
      </c>
      <c r="CH1568">
        <v>0</v>
      </c>
      <c r="CI1568">
        <v>0</v>
      </c>
      <c r="CJ1568">
        <v>0</v>
      </c>
      <c r="CK1568">
        <v>0</v>
      </c>
      <c r="CL1568">
        <v>0</v>
      </c>
      <c r="CM1568">
        <v>0</v>
      </c>
      <c r="CN1568">
        <v>0</v>
      </c>
      <c r="CO1568">
        <v>0</v>
      </c>
      <c r="CP1568" t="str">
        <f>IF($BN1568&lt;$BM1568,"refNeedCorrection","refOK")</f>
        <v>refOK</v>
      </c>
      <c r="CQ1568">
        <f>IF($CP1568="refOK",$BM1568,$BN1568)</f>
        <v>23.12907189695861</v>
      </c>
      <c r="CR1568">
        <f>IF($CP1568="refOK",$BN1568,$BM1568)</f>
        <v>23.12907189695861</v>
      </c>
      <c r="CS1568">
        <f>IF($CP1568="refOK",$BQ1568,-$BQ1568)</f>
        <v>0</v>
      </c>
      <c r="CT1568">
        <f>IF(BI1568="Roundwood",$CS1568/2,$CS1568)</f>
        <v>0</v>
      </c>
      <c r="CU1568">
        <f>IF($CP1568="refOK",$BU1568,$BV1568)*IF($BR1568="Emissions positive",-1,1)</f>
        <v>354.30409954781243</v>
      </c>
      <c r="CV1568">
        <f>IF($CP1568="refOK",$BV1568,$BU1568)*IF($BR1568="Emissions positive",-1,1)</f>
        <v>176.62110895178901</v>
      </c>
      <c r="CW1568">
        <f>IF($CP1568="refNeedCorrection",-BZ1568,BZ1568)*IF($BR1568="Emissions positive",-1,1)</f>
        <v>-177.68299059602342</v>
      </c>
      <c r="CX1568" t="str">
        <f>IFERROR($CW1568/$CS1568,"")</f>
        <v/>
      </c>
      <c r="CY1568" t="str">
        <f>IFERROR($CW1568/$CS1568,"")</f>
        <v/>
      </c>
      <c r="CZ1568" t="str">
        <f>IFERROR($CW1568/$CT1568,"")</f>
        <v/>
      </c>
      <c r="DA1568" s="2">
        <f>IFERROR((CV1568-CU1568)/ABS(CU1568),"")</f>
        <v>-0.50149854552288509</v>
      </c>
      <c r="DB1568" s="1" t="s">
        <v>234</v>
      </c>
      <c r="DC1568" t="str">
        <f>IF(OR($DB1568="prd",$DB1568="std",$DB1568="cit"),"loc",IF(OR($DB1568="eur",$DB1568="reg",$DB1568="coy"),"reg",$DB1568))</f>
        <v>loc</v>
      </c>
      <c r="DD1568" t="s">
        <v>280</v>
      </c>
      <c r="DG1568">
        <v>100</v>
      </c>
      <c r="DH1568" t="str">
        <f>IF(DG1568=0,"0",IF(AND(DG1568&gt;=1,DG1568&lt;=30),"1-30",IF(AND(DG1568&gt;30,DG1568&lt;=70),"31-70",IF(AND(DG1568&gt;70,DG1568&lt;=100),"71-100",IF(DG1568&gt;100,"+100")))))</f>
        <v>71-100</v>
      </c>
      <c r="DI1568">
        <v>0</v>
      </c>
      <c r="DJ1568">
        <v>1</v>
      </c>
      <c r="DK1568">
        <v>0</v>
      </c>
      <c r="DL1568">
        <v>0</v>
      </c>
      <c r="DN1568">
        <f>SUM(DI1568:DL1568)</f>
        <v>1</v>
      </c>
      <c r="DO1568" t="str">
        <f>IF(DN1568=1,INDEX($DI$7:$DL$7,MATCH(1,$DI1568:$DL1568,0)),"mixedProduct")</f>
        <v>EnergyInput</v>
      </c>
      <c r="DP1568">
        <f>IF(DI1568=1,DP$7,0)</f>
        <v>0</v>
      </c>
      <c r="DQ1568" t="str">
        <f>IF(DJ1568=1,DQ$7,0)</f>
        <v>Energy</v>
      </c>
      <c r="DR1568">
        <f>IF(DK1568=1,DR$7,0)</f>
        <v>0</v>
      </c>
      <c r="DS1568">
        <f>IF(DL1568=1,DS$7,0)</f>
        <v>0</v>
      </c>
      <c r="DT1568">
        <v>0</v>
      </c>
      <c r="DU1568">
        <v>1</v>
      </c>
      <c r="DV1568" t="s">
        <v>304</v>
      </c>
      <c r="DW1568" t="s">
        <v>281</v>
      </c>
      <c r="DX1568">
        <v>0</v>
      </c>
      <c r="DY1568">
        <f>SUM(DT1568:DU1568)</f>
        <v>1</v>
      </c>
      <c r="DZ1568" s="143" t="str">
        <f>IF(DT1568=1,"self-calculated DF",IF(DU1568=1,"external DF used","explicit C balance"))</f>
        <v>external DF used</v>
      </c>
      <c r="EA1568">
        <v>0</v>
      </c>
      <c r="EB1568">
        <v>1</v>
      </c>
      <c r="EC1568">
        <v>1</v>
      </c>
      <c r="ED1568">
        <v>1</v>
      </c>
      <c r="EE1568">
        <v>1</v>
      </c>
      <c r="EF1568" s="143">
        <v>0</v>
      </c>
      <c r="EG1568">
        <v>1</v>
      </c>
      <c r="EH1568">
        <v>1</v>
      </c>
      <c r="EI1568">
        <v>0</v>
      </c>
      <c r="EJ1568">
        <v>1</v>
      </c>
      <c r="EK1568">
        <v>1</v>
      </c>
      <c r="EL1568">
        <v>1</v>
      </c>
      <c r="EM1568">
        <v>0</v>
      </c>
      <c r="EN1568" s="2">
        <v>0</v>
      </c>
      <c r="EP1568" t="str">
        <f>IF(AND(AND(AND(OR($EC1568=1,$EB1568=1),OR($EH1568=1,$EF1568=1)),SUM($EA1568:$EE1568,$EK1568)&gt;=3),SUM($EF1568:$EJ1568)&gt;=2),"Whole sector approach","")</f>
        <v>Whole sector approach</v>
      </c>
      <c r="EQ1568" t="str">
        <f>IF(AND(AND(OR($EC1568=1,$EB1568=1),AND($EH1568=0,$EF1568=0)),SUM($EA1568:$EE1568,$EK1568)&gt;=4),"Ecosystem approach","")</f>
        <v/>
      </c>
      <c r="ER1568" s="2" t="str">
        <f>IF(AND(AND(AND($EC1568=0,$EB1568=0),OR($EH1568=1,$EF1568=1)),SUM($EG1568:$EJ1568)&gt;=2),"Technology approach","")</f>
        <v/>
      </c>
      <c r="ES1568" t="str">
        <f>IF(AND($EC1568+$EB1568+$EE1568+$EA1568+$ED1568+$EG1568=0,$N1568="included"),"C neutral forest and HWP assumption","")</f>
        <v/>
      </c>
      <c r="ET1568" t="str">
        <f>IF(AND(AND(AND(AND($EC1568=1,$EB1568+$EA1568+$EG1568&gt;=1),$EF1568=1),$EH1568+$EI1568+$ED1568+$EE1568&gt;=2),$N1568="included"),"All C pools assumption","")</f>
        <v/>
      </c>
      <c r="EU1568" t="str">
        <f>IF(AND($ED1568+$EE1568+$EI1568+$EH1568+$EF1568=0,$N1568="included"),"In-situ only assumption","")</f>
        <v/>
      </c>
      <c r="EY1568" t="b">
        <f>IF(ISNUMBER(BW1568),IF(ABS(BW1568-[2]QC_indicators!$B$2)&gt;3*[2]QC_indicators!$C$2,"C ratio",IF(ISNUMBER(CA1568),IF(ABS(CA1568-[2]QC_indicators!$B$1)&gt;3*[2]QC_indicators!$C$1,"DF","no"))),IF(ISNUMBER(CA1568),IF(ABS(CA1568-[2]QC_indicators!$B$1)&gt;3*[2]QC_indicators!$C$1,"DF","no")))</f>
        <v>0</v>
      </c>
      <c r="EZ1568" t="s">
        <v>286</v>
      </c>
      <c r="FA1568" t="str">
        <f>IF(LEN($CY1568)=0,"",IF(AND($CY1568&lt;(-0.05),$ES1568="C neutral forest and HWP assumption"),"Cneutral paradox",IF(AND($CY1568&gt;0.05,$EU1568="In-situ only assumption"),"In-situ only paradox","")))</f>
        <v/>
      </c>
      <c r="FD1568" s="260" t="s">
        <v>2948</v>
      </c>
    </row>
    <row r="1569" spans="1:160" ht="15" hidden="1" customHeight="1">
      <c r="A1569" s="1" t="s">
        <v>265</v>
      </c>
      <c r="B1569" t="s">
        <v>266</v>
      </c>
      <c r="C1569" t="s">
        <v>267</v>
      </c>
      <c r="D1569" t="s">
        <v>268</v>
      </c>
      <c r="E1569" t="s">
        <v>269</v>
      </c>
      <c r="F1569" t="s">
        <v>270</v>
      </c>
      <c r="G1569" t="s">
        <v>271</v>
      </c>
      <c r="H1569" t="s">
        <v>254</v>
      </c>
      <c r="I1569">
        <v>2022</v>
      </c>
      <c r="J1569">
        <v>0</v>
      </c>
      <c r="K1569" t="s">
        <v>272</v>
      </c>
      <c r="M1569" t="str">
        <f>LEFT($D1569,FIND(",",$D1569)-1)&amp;"_"&amp;I1569&amp;L1569</f>
        <v>Aryapratama_2022</v>
      </c>
      <c r="N1569" t="s">
        <v>222</v>
      </c>
      <c r="O1569" s="145" t="s">
        <v>274</v>
      </c>
      <c r="Q1569" t="s">
        <v>224</v>
      </c>
      <c r="R1569" s="258" t="s">
        <v>223</v>
      </c>
      <c r="S1569" s="259" t="s">
        <v>2787</v>
      </c>
      <c r="T1569" t="s">
        <v>312</v>
      </c>
      <c r="U1569" t="s">
        <v>303</v>
      </c>
      <c r="V1569" s="253">
        <v>0</v>
      </c>
      <c r="W1569" s="253">
        <v>0</v>
      </c>
      <c r="X1569">
        <v>0</v>
      </c>
      <c r="Y1569">
        <v>0</v>
      </c>
      <c r="Z1569">
        <v>0</v>
      </c>
      <c r="AA1569">
        <v>0</v>
      </c>
      <c r="AB1569">
        <v>0</v>
      </c>
      <c r="AC1569">
        <v>0</v>
      </c>
      <c r="AD1569">
        <v>0</v>
      </c>
      <c r="AE1569">
        <v>0</v>
      </c>
      <c r="AF1569">
        <v>1</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s="141">
        <f>COUNTIF(X1569:AY1569,"&lt;&gt;0")</f>
        <v>1</v>
      </c>
      <c r="BA1569" s="141">
        <f>COUNTIF(X1569:AN1569,"&lt;&gt;0")</f>
        <v>1</v>
      </c>
      <c r="BB1569">
        <f>COUNTIF(X1569:AE1569,"&lt;&gt;0")</f>
        <v>0</v>
      </c>
      <c r="BC1569">
        <f>COUNTIF(AF1569:AK1569,"&lt;&gt;0")</f>
        <v>1</v>
      </c>
      <c r="BD1569">
        <f>COUNTIF(AL1569:AN1569,"&lt;&gt;0")</f>
        <v>0</v>
      </c>
      <c r="BE1569">
        <f>COUNTIF(AU1569:AY1569,"&lt;&gt;0")</f>
        <v>0</v>
      </c>
      <c r="BF1569">
        <f>COUNTIF(AO1569:AT1569,"&lt;&gt;0")</f>
        <v>0</v>
      </c>
      <c r="BG1569" t="str">
        <f t="array" ref="BG1569">IF(BA1569=1,INDEX($X$7:$AN$7,MATCH(TRUE,INDEX($X1569:$AY1569&lt;&gt;0,),0)),IF(BA1569=0,INDEX($AO$7:$AY$7,MATCH(1,$AO1569:$AY1569,0)),IF(BH1569="Multiple strategies","mixed drivers",IF(BH1569="Supply chain","multiple supply","multiple silviculture"))))</f>
        <v>harvesting system</v>
      </c>
      <c r="BH1569" s="2" t="str" cm="1">
        <f t="array" ref="BH1569">IF(COUNTIF(BB1569:BD1569,"&lt;&gt;0")=1,INDEX($X$4:$AY$4,MATCH(TRUE,INDEX($X1569:$AY1569&lt;&gt;0,),0)),IF(COUNTIF(BB1569:BD1569,"&lt;&gt;0")=0,INDEX($AO$4:$AY$4,MATCH(1,$AO1569:$AY1569,0)),"Multiple strategies"))</f>
        <v>Supply chain</v>
      </c>
      <c r="BI1569" s="1" t="s">
        <v>229</v>
      </c>
      <c r="BJ1569" t="s">
        <v>285</v>
      </c>
      <c r="BL1569" t="s">
        <v>278</v>
      </c>
      <c r="BM1569">
        <v>46.25814379391722</v>
      </c>
      <c r="BN1569">
        <v>46.25814379391722</v>
      </c>
      <c r="BO1569">
        <f>BN1569/BM1569</f>
        <v>1</v>
      </c>
      <c r="BP1569">
        <f>BN1569-BM1569</f>
        <v>0</v>
      </c>
      <c r="BQ1569">
        <f>BP1569*tC_to_m3</f>
        <v>0</v>
      </c>
      <c r="BR1569" t="s">
        <v>232</v>
      </c>
      <c r="BS1569" s="153" t="s">
        <v>2786</v>
      </c>
      <c r="BT1569" t="s">
        <v>279</v>
      </c>
      <c r="BU1569">
        <v>726.845318289901</v>
      </c>
      <c r="BV1569">
        <v>365.10563504552567</v>
      </c>
      <c r="BW1569" s="144">
        <f>IFERROR(BV1569/BU1569,"")</f>
        <v>0.50231545262551158</v>
      </c>
      <c r="BX1569">
        <f>BV1569-BU1569</f>
        <v>-361.73968324437533</v>
      </c>
      <c r="BZ1569">
        <f>BX1569</f>
        <v>-361.73968324437533</v>
      </c>
      <c r="CA1569" t="str">
        <f>IFERROR(BZ1569/BQ1569,"")</f>
        <v/>
      </c>
      <c r="CB1569">
        <v>0</v>
      </c>
      <c r="CC1569">
        <v>0</v>
      </c>
      <c r="CD1569">
        <v>0</v>
      </c>
      <c r="CE1569">
        <v>0</v>
      </c>
      <c r="CF1569">
        <v>0</v>
      </c>
      <c r="CG1569">
        <v>0</v>
      </c>
      <c r="CH1569">
        <v>0</v>
      </c>
      <c r="CI1569">
        <v>0</v>
      </c>
      <c r="CJ1569">
        <v>0</v>
      </c>
      <c r="CK1569">
        <v>0</v>
      </c>
      <c r="CL1569">
        <v>0</v>
      </c>
      <c r="CM1569">
        <v>0</v>
      </c>
      <c r="CN1569">
        <v>0</v>
      </c>
      <c r="CO1569">
        <v>0</v>
      </c>
      <c r="CP1569" t="str">
        <f>IF($BN1569&lt;$BM1569,"refNeedCorrection","refOK")</f>
        <v>refOK</v>
      </c>
      <c r="CQ1569">
        <f>IF($CP1569="refOK",$BM1569,$BN1569)</f>
        <v>46.25814379391722</v>
      </c>
      <c r="CR1569">
        <f>IF($CP1569="refOK",$BN1569,$BM1569)</f>
        <v>46.25814379391722</v>
      </c>
      <c r="CS1569">
        <f>IF($CP1569="refOK",$BQ1569,-$BQ1569)</f>
        <v>0</v>
      </c>
      <c r="CT1569">
        <f>IF(BI1569="Roundwood",$CS1569/2,$CS1569)</f>
        <v>0</v>
      </c>
      <c r="CU1569">
        <f>IF($CP1569="refOK",$BU1569,$BV1569)*IF($BR1569="Emissions positive",-1,1)</f>
        <v>726.845318289901</v>
      </c>
      <c r="CV1569">
        <f>IF($CP1569="refOK",$BV1569,$BU1569)*IF($BR1569="Emissions positive",-1,1)</f>
        <v>365.10563504552567</v>
      </c>
      <c r="CW1569">
        <f>IF($CP1569="refNeedCorrection",-BZ1569,BZ1569)*IF($BR1569="Emissions positive",-1,1)</f>
        <v>-361.73968324437533</v>
      </c>
      <c r="CX1569" t="str">
        <f>IFERROR($CW1569/$CS1569,"")</f>
        <v/>
      </c>
      <c r="CY1569" t="str">
        <f>IFERROR($CW1569/$CS1569,"")</f>
        <v/>
      </c>
      <c r="CZ1569" t="str">
        <f>IFERROR($CW1569/$CT1569,"")</f>
        <v/>
      </c>
      <c r="DA1569" s="2">
        <f>IFERROR((CV1569-CU1569)/ABS(CU1569),"")</f>
        <v>-0.49768454737448842</v>
      </c>
      <c r="DB1569" s="1" t="s">
        <v>234</v>
      </c>
      <c r="DC1569" t="str">
        <f>IF(OR($DB1569="prd",$DB1569="std",$DB1569="cit"),"loc",IF(OR($DB1569="eur",$DB1569="reg",$DB1569="coy"),"reg",$DB1569))</f>
        <v>loc</v>
      </c>
      <c r="DD1569" t="s">
        <v>280</v>
      </c>
      <c r="DG1569">
        <v>200</v>
      </c>
      <c r="DH1569" t="str">
        <f>IF(DG1569=0,"0",IF(AND(DG1569&gt;=1,DG1569&lt;=30),"1-30",IF(AND(DG1569&gt;30,DG1569&lt;=70),"31-70",IF(AND(DG1569&gt;70,DG1569&lt;=100),"71-100",IF(DG1569&gt;100,"+100")))))</f>
        <v>+100</v>
      </c>
      <c r="DI1569">
        <v>0</v>
      </c>
      <c r="DJ1569">
        <v>1</v>
      </c>
      <c r="DK1569">
        <v>0</v>
      </c>
      <c r="DL1569">
        <v>0</v>
      </c>
      <c r="DN1569">
        <f>SUM(DI1569:DL1569)</f>
        <v>1</v>
      </c>
      <c r="DO1569" t="str">
        <f>IF(DN1569=1,INDEX($DI$7:$DL$7,MATCH(1,$DI1569:$DL1569,0)),"mixedProduct")</f>
        <v>EnergyInput</v>
      </c>
      <c r="DP1569">
        <f>IF(DI1569=1,DP$7,0)</f>
        <v>0</v>
      </c>
      <c r="DQ1569" t="str">
        <f>IF(DJ1569=1,DQ$7,0)</f>
        <v>Energy</v>
      </c>
      <c r="DR1569">
        <f>IF(DK1569=1,DR$7,0)</f>
        <v>0</v>
      </c>
      <c r="DS1569">
        <f>IF(DL1569=1,DS$7,0)</f>
        <v>0</v>
      </c>
      <c r="DT1569">
        <v>0</v>
      </c>
      <c r="DU1569">
        <v>1</v>
      </c>
      <c r="DV1569" t="s">
        <v>304</v>
      </c>
      <c r="DW1569" t="s">
        <v>281</v>
      </c>
      <c r="DX1569">
        <v>0</v>
      </c>
      <c r="DY1569">
        <f>SUM(DT1569:DU1569)</f>
        <v>1</v>
      </c>
      <c r="DZ1569" s="143" t="str">
        <f>IF(DT1569=1,"self-calculated DF",IF(DU1569=1,"external DF used","explicit C balance"))</f>
        <v>external DF used</v>
      </c>
      <c r="EA1569">
        <v>0</v>
      </c>
      <c r="EB1569">
        <v>1</v>
      </c>
      <c r="EC1569">
        <v>1</v>
      </c>
      <c r="ED1569">
        <v>1</v>
      </c>
      <c r="EE1569">
        <v>1</v>
      </c>
      <c r="EF1569" s="143">
        <v>0</v>
      </c>
      <c r="EG1569">
        <v>1</v>
      </c>
      <c r="EH1569">
        <v>1</v>
      </c>
      <c r="EI1569">
        <v>0</v>
      </c>
      <c r="EJ1569">
        <v>1</v>
      </c>
      <c r="EK1569">
        <v>1</v>
      </c>
      <c r="EL1569">
        <v>1</v>
      </c>
      <c r="EM1569">
        <v>0</v>
      </c>
      <c r="EN1569" s="2">
        <v>0</v>
      </c>
      <c r="EP1569" t="str">
        <f>IF(AND(AND(AND(OR($EC1569=1,$EB1569=1),OR($EH1569=1,$EF1569=1)),SUM($EA1569:$EE1569,$EK1569)&gt;=3),SUM($EF1569:$EJ1569)&gt;=2),"Whole sector approach","")</f>
        <v>Whole sector approach</v>
      </c>
      <c r="EQ1569" t="str">
        <f>IF(AND(AND(OR($EC1569=1,$EB1569=1),AND($EH1569=0,$EF1569=0)),SUM($EA1569:$EE1569,$EK1569)&gt;=4),"Ecosystem approach","")</f>
        <v/>
      </c>
      <c r="ER1569" s="2" t="str">
        <f>IF(AND(AND(AND($EC1569=0,$EB1569=0),OR($EH1569=1,$EF1569=1)),SUM($EG1569:$EJ1569)&gt;=2),"Technology approach","")</f>
        <v/>
      </c>
      <c r="ES1569" t="str">
        <f>IF(AND($EC1569+$EB1569+$EE1569+$EA1569+$ED1569+$EG1569=0,$N1569="included"),"C neutral forest and HWP assumption","")</f>
        <v/>
      </c>
      <c r="ET1569" t="str">
        <f>IF(AND(AND(AND(AND($EC1569=1,$EB1569+$EA1569+$EG1569&gt;=1),$EF1569=1),$EH1569+$EI1569+$ED1569+$EE1569&gt;=2),$N1569="included"),"All C pools assumption","")</f>
        <v/>
      </c>
      <c r="EU1569" t="str">
        <f>IF(AND($ED1569+$EE1569+$EI1569+$EH1569+$EF1569=0,$N1569="included"),"In-situ only assumption","")</f>
        <v/>
      </c>
      <c r="EY1569" t="b">
        <f>IF(ISNUMBER(BW1569),IF(ABS(BW1569-[2]QC_indicators!$B$2)&gt;3*[2]QC_indicators!$C$2,"C ratio",IF(ISNUMBER(CA1569),IF(ABS(CA1569-[2]QC_indicators!$B$1)&gt;3*[2]QC_indicators!$C$1,"DF","no"))),IF(ISNUMBER(CA1569),IF(ABS(CA1569-[2]QC_indicators!$B$1)&gt;3*[2]QC_indicators!$C$1,"DF","no")))</f>
        <v>0</v>
      </c>
      <c r="EZ1569" t="s">
        <v>286</v>
      </c>
      <c r="FA1569" t="str">
        <f>IF(LEN($CY1569)=0,"",IF(AND($CY1569&lt;(-0.05),$ES1569="C neutral forest and HWP assumption"),"Cneutral paradox",IF(AND($CY1569&gt;0.05,$EU1569="In-situ only assumption"),"In-situ only paradox","")))</f>
        <v/>
      </c>
      <c r="FD1569" s="260" t="s">
        <v>2948</v>
      </c>
    </row>
    <row r="1570" spans="1:160" ht="15" hidden="1" customHeight="1">
      <c r="A1570" s="1" t="s">
        <v>380</v>
      </c>
      <c r="B1570" t="s">
        <v>381</v>
      </c>
      <c r="C1570" t="s">
        <v>382</v>
      </c>
      <c r="D1570" t="s">
        <v>383</v>
      </c>
      <c r="E1570" t="s">
        <v>384</v>
      </c>
      <c r="F1570" t="s">
        <v>385</v>
      </c>
      <c r="G1570" t="s">
        <v>386</v>
      </c>
      <c r="H1570" t="s">
        <v>254</v>
      </c>
      <c r="I1570">
        <v>2022</v>
      </c>
      <c r="J1570">
        <v>1</v>
      </c>
      <c r="K1570" t="s">
        <v>387</v>
      </c>
      <c r="L1570" t="s">
        <v>388</v>
      </c>
      <c r="M1570" t="str">
        <f>LEFT($D1570,FIND(",",$D1570)-1)&amp;"_"&amp;I1570&amp;L1570</f>
        <v>Balasbaneh_2022a</v>
      </c>
      <c r="N1570" t="s">
        <v>222</v>
      </c>
      <c r="O1570" s="145" t="s">
        <v>223</v>
      </c>
      <c r="Q1570" s="260" t="s">
        <v>389</v>
      </c>
      <c r="R1570" s="264" t="s">
        <v>341</v>
      </c>
      <c r="S1570" s="259" t="s">
        <v>390</v>
      </c>
      <c r="T1570" s="260" t="s">
        <v>391</v>
      </c>
      <c r="U1570" s="260" t="s">
        <v>392</v>
      </c>
      <c r="V1570" s="253">
        <v>0</v>
      </c>
      <c r="W1570" s="253">
        <v>0</v>
      </c>
      <c r="X1570">
        <v>0</v>
      </c>
      <c r="Y1570">
        <v>0</v>
      </c>
      <c r="Z1570">
        <v>0</v>
      </c>
      <c r="AA1570">
        <v>0</v>
      </c>
      <c r="AB1570">
        <v>0</v>
      </c>
      <c r="AC1570">
        <v>0</v>
      </c>
      <c r="AD1570">
        <v>0</v>
      </c>
      <c r="AE1570">
        <v>0</v>
      </c>
      <c r="AF1570">
        <v>0</v>
      </c>
      <c r="AG1570">
        <v>0</v>
      </c>
      <c r="AH1570">
        <v>0</v>
      </c>
      <c r="AI1570">
        <v>0</v>
      </c>
      <c r="AJ1570">
        <v>0</v>
      </c>
      <c r="AK1570">
        <v>0</v>
      </c>
      <c r="AL1570">
        <v>0</v>
      </c>
      <c r="AM1570">
        <v>1</v>
      </c>
      <c r="AN1570">
        <v>0</v>
      </c>
      <c r="AO1570">
        <v>0</v>
      </c>
      <c r="AP1570">
        <v>0</v>
      </c>
      <c r="AQ1570">
        <v>0</v>
      </c>
      <c r="AR1570">
        <v>0</v>
      </c>
      <c r="AS1570">
        <v>0</v>
      </c>
      <c r="AT1570">
        <v>0</v>
      </c>
      <c r="AU1570">
        <v>0</v>
      </c>
      <c r="AV1570">
        <v>0</v>
      </c>
      <c r="AW1570">
        <v>0</v>
      </c>
      <c r="AX1570">
        <v>0</v>
      </c>
      <c r="AY1570">
        <v>0</v>
      </c>
      <c r="AZ1570" s="141">
        <f>COUNTIF(X1570:AY1570,"&lt;&gt;0")</f>
        <v>1</v>
      </c>
      <c r="BA1570" s="141">
        <f>COUNTIF(X1570:AN1570,"&lt;&gt;0")</f>
        <v>1</v>
      </c>
      <c r="BB1570">
        <f>COUNTIF(X1570:AE1570,"&lt;&gt;0")</f>
        <v>0</v>
      </c>
      <c r="BC1570">
        <f>COUNTIF(AF1570:AK1570,"&lt;&gt;0")</f>
        <v>0</v>
      </c>
      <c r="BD1570">
        <f>COUNTIF(AL1570:AN1570,"&lt;&gt;0")</f>
        <v>1</v>
      </c>
      <c r="BE1570">
        <f>COUNTIF(AU1570:AY1570,"&lt;&gt;0")</f>
        <v>0</v>
      </c>
      <c r="BF1570">
        <f>COUNTIF(AO1570:AT1570,"&lt;&gt;0")</f>
        <v>0</v>
      </c>
      <c r="BG1570" t="str" cm="1">
        <f t="array" ref="BG1570">IF(BA1570=1,INDEX($X$7:$AN$7,MATCH(TRUE,INDEX($X1570:$AY1570&lt;&gt;0,),0)),IF(BA1570=0,INDEX($AO$7:$AY$7,MATCH(1,$AO1570:$AY1570,0)),IF(BH1570="Multiple strategies","mixed drivers",IF(BH1570="Supply chain","multiple supply","multiple silviculture"))))</f>
        <v>technologies/design switch</v>
      </c>
      <c r="BH1570" s="2" t="str" cm="1">
        <f t="array" ref="BH1570">IF(COUNTIF(BB1570:BD1570,"&lt;&gt;0")=1,INDEX($X$4:$AY$4,MATCH(TRUE,INDEX($X1570:$AY1570&lt;&gt;0,),0)),IF(COUNTIF(BB1570:BD1570,"&lt;&gt;0")=0,INDEX($AO$4:$AY$4,MATCH(1,$AO1570:$AY1570,0)),"Multiple strategies"))</f>
        <v>Technology</v>
      </c>
      <c r="BI1570" s="1" t="s">
        <v>229</v>
      </c>
      <c r="BJ1570" s="260" t="s">
        <v>393</v>
      </c>
      <c r="BK1570" s="260" t="s">
        <v>394</v>
      </c>
      <c r="BL1570" s="260" t="s">
        <v>345</v>
      </c>
      <c r="BM1570">
        <v>0</v>
      </c>
      <c r="BN1570">
        <f>500+9300</f>
        <v>9800</v>
      </c>
      <c r="BP1570">
        <f>BN1570-BM1570</f>
        <v>9800</v>
      </c>
      <c r="BQ1570">
        <f>BP1570*kg_to_m3</f>
        <v>20.000000000000004</v>
      </c>
      <c r="BR1570" s="260" t="s">
        <v>395</v>
      </c>
      <c r="BS1570" s="260" t="s">
        <v>396</v>
      </c>
      <c r="BT1570" s="260" t="s">
        <v>397</v>
      </c>
      <c r="BU1570">
        <v>26513</v>
      </c>
      <c r="BV1570">
        <v>9005</v>
      </c>
      <c r="BW1570" s="144">
        <f>IFERROR(BV1570/BU1570,"")</f>
        <v>0.33964470259872515</v>
      </c>
      <c r="BX1570">
        <f>BV1570-BU1570</f>
        <v>-17508</v>
      </c>
      <c r="BZ1570">
        <f>BX1570/1000</f>
        <v>-17.507999999999999</v>
      </c>
      <c r="CA1570">
        <f>IFERROR(BZ1570/BQ1570,"")</f>
        <v>-0.87539999999999984</v>
      </c>
      <c r="CB1570">
        <v>1</v>
      </c>
      <c r="CC1570">
        <v>0</v>
      </c>
      <c r="CD1570">
        <v>0</v>
      </c>
      <c r="CE1570">
        <v>0</v>
      </c>
      <c r="CF1570">
        <v>0</v>
      </c>
      <c r="CG1570">
        <v>0</v>
      </c>
      <c r="CH1570">
        <v>0</v>
      </c>
      <c r="CI1570">
        <v>0</v>
      </c>
      <c r="CJ1570">
        <v>0</v>
      </c>
      <c r="CK1570">
        <v>0</v>
      </c>
      <c r="CL1570">
        <v>0</v>
      </c>
      <c r="CM1570">
        <v>0</v>
      </c>
      <c r="CN1570">
        <v>0</v>
      </c>
      <c r="CO1570">
        <v>0</v>
      </c>
      <c r="CP1570" t="str">
        <f>IF($BN1570&lt;$BM1570,"refNeedCorrection","refOK")</f>
        <v>refOK</v>
      </c>
      <c r="CQ1570"/>
      <c r="CR1570"/>
      <c r="CS1570">
        <f>IF($CP1570="refOK",$BQ1570,-$BQ1570)</f>
        <v>20.000000000000004</v>
      </c>
      <c r="CT1570">
        <f>IF(BI1570="Roundwood",$CS1570/2,$CS1570)</f>
        <v>20.000000000000004</v>
      </c>
      <c r="CU1570">
        <f>IF($CP1570="refOK",$BU1570,$BV1570)*IF($BR1570="Emissions positive",-1,1)</f>
        <v>-26513</v>
      </c>
      <c r="CV1570">
        <f>IF($CP1570="refOK",$BV1570,$BU1570)*IF($BR1570="Emissions positive",-1,1)</f>
        <v>-9005</v>
      </c>
      <c r="CW1570">
        <f>IF($CP1570="refNeedCorrection",-BZ1570,BZ1570)*IF($BR1570="Emissions positive",-1,1)</f>
        <v>17.507999999999999</v>
      </c>
      <c r="CX1570">
        <f>IFERROR($CW1570/$CS1570,"")</f>
        <v>0.87539999999999984</v>
      </c>
      <c r="CY1570">
        <f>IFERROR($CW1570/$CS1570,"")</f>
        <v>0.87539999999999984</v>
      </c>
      <c r="CZ1570">
        <f>IFERROR($CW1570/$CT1570,"")</f>
        <v>0.87539999999999984</v>
      </c>
      <c r="DA1570" s="2">
        <f>IFERROR((CV1570-CU1570)/ABS(CU1570),"")</f>
        <v>0.66035529740127485</v>
      </c>
      <c r="DB1570" s="259" t="s">
        <v>263</v>
      </c>
      <c r="DC1570" s="260" t="str">
        <f>IF(OR($DB1570="prd",$DB1570="std",$DB1570="cit"),"loc",IF(OR($DB1570="eur",$DB1570="reg",$DB1570="coy"),"reg",$DB1570))</f>
        <v>loc</v>
      </c>
      <c r="DD1570" s="260" t="s">
        <v>348</v>
      </c>
      <c r="DG1570">
        <v>0</v>
      </c>
      <c r="DH1570" t="str">
        <f>IF(DG1570=0,"0",IF(AND(DG1570&gt;=1,DG1570&lt;=30),"1-30",IF(AND(DG1570&gt;30,DG1570&lt;=70),"31-70",IF(AND(DG1570&gt;70,DG1570&lt;=100),"71-100",IF(DG1570&gt;100,"+100")))))</f>
        <v>0</v>
      </c>
      <c r="DI1570">
        <v>0</v>
      </c>
      <c r="DJ1570">
        <v>0</v>
      </c>
      <c r="DK1570">
        <v>0</v>
      </c>
      <c r="DL1570">
        <v>1</v>
      </c>
      <c r="DM1570">
        <v>0</v>
      </c>
      <c r="DN1570">
        <f>SUM(DI1570:DM1570)</f>
        <v>1</v>
      </c>
      <c r="DO1570" t="str">
        <f>IF(DN1570=1,INDEX($DI$7:$DL$7,MATCH(1,$DI1570:$DL1570,0)),"mixedProduct")</f>
        <v>TimberInput</v>
      </c>
      <c r="DP1570">
        <f>IF(DI1570=1,DP$7,0)</f>
        <v>0</v>
      </c>
      <c r="DQ1570">
        <f>IF(DJ1570=1,DQ$7,0)</f>
        <v>0</v>
      </c>
      <c r="DR1570">
        <f>IF(DK1570=1,DR$7,0)</f>
        <v>0</v>
      </c>
      <c r="DS1570" t="str">
        <f>IF(DL1570=1,DS$7,0)</f>
        <v>Timber</v>
      </c>
      <c r="DT1570">
        <v>0</v>
      </c>
      <c r="DU1570">
        <v>0</v>
      </c>
      <c r="DV1570">
        <v>0</v>
      </c>
      <c r="DW1570">
        <v>0</v>
      </c>
      <c r="DX1570">
        <v>0</v>
      </c>
      <c r="DY1570">
        <f>SUM(DT1570:DU1570)</f>
        <v>0</v>
      </c>
      <c r="DZ1570" t="str">
        <f>IF(DT1570=1,"self-calculated DF",IF(DU1570=1,"external DF used","explicit C balance"))</f>
        <v>explicit C balance</v>
      </c>
      <c r="EA1570">
        <v>0</v>
      </c>
      <c r="EB1570">
        <v>0</v>
      </c>
      <c r="EC1570">
        <v>0</v>
      </c>
      <c r="ED1570">
        <v>0</v>
      </c>
      <c r="EE1570">
        <v>0</v>
      </c>
      <c r="EF1570" s="143">
        <v>1</v>
      </c>
      <c r="EG1570">
        <v>1</v>
      </c>
      <c r="EH1570">
        <v>1</v>
      </c>
      <c r="EI1570">
        <v>1</v>
      </c>
      <c r="EJ1570">
        <v>1</v>
      </c>
      <c r="EK1570">
        <v>0</v>
      </c>
      <c r="EL1570">
        <v>0</v>
      </c>
      <c r="EM1570">
        <v>0</v>
      </c>
      <c r="EN1570" s="2">
        <v>0</v>
      </c>
      <c r="EP1570" t="str">
        <f>IF(AND(AND(AND(OR($EC1570=1,$EB1570=1),OR($EH1570=1,$EF1570=1)),SUM($EA1570:$EE1570,$EK1570)&gt;=3),SUM($EF1570:$EJ1570)&gt;=2),"Whole sector approach","")</f>
        <v/>
      </c>
      <c r="EQ1570" t="str">
        <f>IF(AND(AND(OR($EC1570=1,$EB1570=1),AND($EH1570=0,$EF1570=0)),SUM($EA1570:$EE1570,$EK1570)&gt;=4),"Ecosystem approach","")</f>
        <v/>
      </c>
      <c r="ER1570" s="2" t="str">
        <f>IF(AND(AND(AND($EC1570=0,$EB1570=0),OR($EH1570=1,$EF1570=1)),SUM($EG1570:$EJ1570)&gt;=2),"Technology approach","")</f>
        <v>Technology approach</v>
      </c>
      <c r="ES1570" t="str">
        <f>IF(AND($EC1570+$EB1570+$EE1570+$EA1570+$ED1570+$EG1570=0,$N1570="included"),"C neutral forest and HWP assumption","")</f>
        <v/>
      </c>
      <c r="ET1570" t="str">
        <f>IF(AND(AND(AND(AND($EC1570=1,$EB1570+$EA1570+$EG1570&gt;=1),$EF1570=1),$EH1570+$EI1570+$ED1570+$EE1570&gt;=2),$N1570="included"),"All C pools assumption","")</f>
        <v/>
      </c>
      <c r="EU1570" t="str">
        <f>IF(AND($ED1570+$EE1570+$EI1570+$EH1570+$EF1570=0,$N1570="included"),"In-situ only assumption","")</f>
        <v/>
      </c>
      <c r="EY1570" t="str">
        <f>IF(ISNUMBER(BW1570),IF(ABS(BW1570-[5]QC_indicators!$B$2)&gt;3*[5]QC_indicators!$C$2,"C ratio",IF(ISNUMBER(CA1570),IF(ABS(CA1570-[5]QC_indicators!$B$1)&gt;3*[5]QC_indicators!$C$1,"DF","no"))),IF(ISNUMBER(CA1570),IF(ABS(CA1570-[5]QC_indicators!$B$1)&gt;3*[5]QC_indicators!$C$1,"DF","no")))</f>
        <v>no</v>
      </c>
      <c r="FA1570" t="str">
        <f>IF(LEN($CY1570)=0,"",IF(AND($CY1570&lt;(-0.05),$ES1570="C neutral forest and HWP assumption"),"Cneutral paradox",IF(AND($CY1570&gt;0.05,$EU1570="In-situ only assumption"),"In-situ only paradox","")))</f>
        <v/>
      </c>
      <c r="FD1570" s="294" t="s">
        <v>1039</v>
      </c>
    </row>
    <row r="1571" spans="1:160" ht="15" hidden="1" customHeight="1">
      <c r="A1571" s="1" t="s">
        <v>398</v>
      </c>
      <c r="B1571" t="s">
        <v>399</v>
      </c>
      <c r="C1571" t="s">
        <v>400</v>
      </c>
      <c r="D1571" t="s">
        <v>401</v>
      </c>
      <c r="E1571" t="s">
        <v>402</v>
      </c>
      <c r="F1571" t="s">
        <v>403</v>
      </c>
      <c r="G1571" t="s">
        <v>404</v>
      </c>
      <c r="H1571" t="s">
        <v>254</v>
      </c>
      <c r="I1571">
        <v>2022</v>
      </c>
      <c r="J1571">
        <v>2</v>
      </c>
      <c r="K1571" s="260" t="s">
        <v>405</v>
      </c>
      <c r="L1571" t="s">
        <v>406</v>
      </c>
      <c r="M1571" t="str">
        <f>LEFT($D1571,FIND(",",$D1571)-1)&amp;"_"&amp;I1571&amp;L1571</f>
        <v>Balasbaneh_2022b</v>
      </c>
      <c r="N1571" t="s">
        <v>222</v>
      </c>
      <c r="O1571" s="145" t="s">
        <v>223</v>
      </c>
      <c r="Q1571" t="s">
        <v>389</v>
      </c>
      <c r="R1571" s="264" t="s">
        <v>274</v>
      </c>
      <c r="S1571" s="1" t="s">
        <v>390</v>
      </c>
      <c r="T1571" t="s">
        <v>407</v>
      </c>
      <c r="U1571" t="s">
        <v>408</v>
      </c>
      <c r="V1571" s="253">
        <v>0</v>
      </c>
      <c r="W1571" s="253">
        <v>0</v>
      </c>
      <c r="X1571">
        <v>0</v>
      </c>
      <c r="Y1571">
        <v>0</v>
      </c>
      <c r="Z1571">
        <v>0</v>
      </c>
      <c r="AA1571">
        <v>0</v>
      </c>
      <c r="AB1571">
        <v>0</v>
      </c>
      <c r="AC1571">
        <v>0</v>
      </c>
      <c r="AD1571">
        <v>0</v>
      </c>
      <c r="AE1571">
        <v>0</v>
      </c>
      <c r="AF1571">
        <v>0</v>
      </c>
      <c r="AG1571">
        <v>0</v>
      </c>
      <c r="AH1571">
        <v>0</v>
      </c>
      <c r="AI1571">
        <v>0</v>
      </c>
      <c r="AJ1571">
        <v>0</v>
      </c>
      <c r="AK1571">
        <v>0</v>
      </c>
      <c r="AL1571">
        <v>0</v>
      </c>
      <c r="AM1571">
        <v>1</v>
      </c>
      <c r="AN1571">
        <v>0</v>
      </c>
      <c r="AO1571">
        <v>0</v>
      </c>
      <c r="AP1571">
        <v>0</v>
      </c>
      <c r="AQ1571">
        <v>0</v>
      </c>
      <c r="AR1571">
        <v>0</v>
      </c>
      <c r="AS1571">
        <v>0</v>
      </c>
      <c r="AT1571">
        <v>0</v>
      </c>
      <c r="AU1571">
        <v>0</v>
      </c>
      <c r="AV1571">
        <v>0</v>
      </c>
      <c r="AW1571">
        <v>0</v>
      </c>
      <c r="AX1571">
        <v>0</v>
      </c>
      <c r="AY1571">
        <v>0</v>
      </c>
      <c r="AZ1571" s="141">
        <f>COUNTIF(X1571:AY1571,"&lt;&gt;0")</f>
        <v>1</v>
      </c>
      <c r="BA1571" s="141">
        <f>COUNTIF(X1571:AN1571,"&lt;&gt;0")</f>
        <v>1</v>
      </c>
      <c r="BB1571">
        <f>COUNTIF(X1571:AE1571,"&lt;&gt;0")</f>
        <v>0</v>
      </c>
      <c r="BC1571">
        <f>COUNTIF(AF1571:AK1571,"&lt;&gt;0")</f>
        <v>0</v>
      </c>
      <c r="BD1571">
        <f>COUNTIF(AL1571:AN1571,"&lt;&gt;0")</f>
        <v>1</v>
      </c>
      <c r="BE1571">
        <f>COUNTIF(AU1571:AY1571,"&lt;&gt;0")</f>
        <v>0</v>
      </c>
      <c r="BF1571">
        <f>COUNTIF(AO1571:AT1571,"&lt;&gt;0")</f>
        <v>0</v>
      </c>
      <c r="BG1571" t="str">
        <f t="array" ref="BG1571">IF(BA1571=1,INDEX($X$7:$AN$7,MATCH(TRUE,INDEX($X1571:$AY1571&lt;&gt;0,),0)),IF(BA1571=0,INDEX($AO$7:$AY$7,MATCH(1,$AO1571:$AY1571,0)),IF(BH1571="Multiple strategies","mixed drivers",IF(BH1571="Supply chain","multiple supply","multiple silviculture"))))</f>
        <v>technologies/design switch</v>
      </c>
      <c r="BH1571" s="2" t="str" cm="1">
        <f t="array" ref="BH1571">IF(COUNTIF(BB1571:BD1571,"&lt;&gt;0")=1,INDEX($X$4:$AY$4,MATCH(TRUE,INDEX($X1571:$AY1571&lt;&gt;0,),0)),IF(COUNTIF(BB1571:BD1571,"&lt;&gt;0")=0,INDEX($AO$4:$AY$4,MATCH(1,$AO1571:$AY1571,0)),"Multiple strategies"))</f>
        <v>Technology</v>
      </c>
      <c r="BI1571" s="1" t="s">
        <v>229</v>
      </c>
      <c r="BJ1571" s="260" t="s">
        <v>409</v>
      </c>
      <c r="BK1571" t="s">
        <v>410</v>
      </c>
      <c r="BL1571" t="s">
        <v>345</v>
      </c>
      <c r="BM1571">
        <v>0</v>
      </c>
      <c r="BN1571">
        <v>5500</v>
      </c>
      <c r="BP1571">
        <f>BN1571-BM1571</f>
        <v>5500</v>
      </c>
      <c r="BQ1571">
        <f>BP1571*kg_to_m3</f>
        <v>11.224489795918368</v>
      </c>
      <c r="BR1571" t="s">
        <v>395</v>
      </c>
      <c r="BS1571" t="s">
        <v>411</v>
      </c>
      <c r="BT1571" t="s">
        <v>397</v>
      </c>
      <c r="BU1571">
        <f>13000-2500</f>
        <v>10500</v>
      </c>
      <c r="BV1571">
        <f>8500-3200</f>
        <v>5300</v>
      </c>
      <c r="BW1571" s="144">
        <f>IFERROR(BV1571/BU1571,"")</f>
        <v>0.50476190476190474</v>
      </c>
      <c r="BX1571">
        <f>BV1571-BU1571</f>
        <v>-5200</v>
      </c>
      <c r="BZ1571">
        <f>BX1571/1000</f>
        <v>-5.2</v>
      </c>
      <c r="CA1571">
        <f>IFERROR(BZ1571/BQ1571,"")</f>
        <v>-0.46327272727272728</v>
      </c>
      <c r="CB1571">
        <v>1</v>
      </c>
      <c r="CC1571">
        <v>0</v>
      </c>
      <c r="CD1571">
        <v>0</v>
      </c>
      <c r="CE1571">
        <v>0</v>
      </c>
      <c r="CF1571">
        <v>0</v>
      </c>
      <c r="CG1571">
        <v>0</v>
      </c>
      <c r="CH1571">
        <v>0</v>
      </c>
      <c r="CI1571">
        <v>0</v>
      </c>
      <c r="CJ1571">
        <v>0</v>
      </c>
      <c r="CK1571">
        <v>0</v>
      </c>
      <c r="CL1571">
        <v>0</v>
      </c>
      <c r="CM1571">
        <v>0</v>
      </c>
      <c r="CN1571">
        <v>0</v>
      </c>
      <c r="CO1571">
        <v>0</v>
      </c>
      <c r="CP1571" t="str">
        <f>IF($BN1571&lt;$BM1571,"refNeedCorrection","refOK")</f>
        <v>refOK</v>
      </c>
      <c r="CQ1571"/>
      <c r="CR1571"/>
      <c r="CS1571">
        <f>IF($CP1571="refOK",$BQ1571,-$BQ1571)</f>
        <v>11.224489795918368</v>
      </c>
      <c r="CT1571">
        <f>IF(BI1571="Roundwood",$CS1571/2,$CS1571)</f>
        <v>11.224489795918368</v>
      </c>
      <c r="CU1571">
        <f>IF($CP1571="refOK",$BU1571,$BV1571)*IF($BR1571="Emissions positive",-1,1)</f>
        <v>-10500</v>
      </c>
      <c r="CV1571">
        <f>IF($CP1571="refOK",$BV1571,$BU1571)*IF($BR1571="Emissions positive",-1,1)</f>
        <v>-5300</v>
      </c>
      <c r="CW1571">
        <f>IF($CP1571="refNeedCorrection",-BZ1571,BZ1571)*IF($BR1571="Emissions positive",-1,1)</f>
        <v>5.2</v>
      </c>
      <c r="CX1571">
        <f>IFERROR($CW1571/$CS1571,"")</f>
        <v>0.46327272727272728</v>
      </c>
      <c r="CY1571">
        <f>IFERROR($CW1571/$CS1571,"")</f>
        <v>0.46327272727272728</v>
      </c>
      <c r="CZ1571">
        <f>IFERROR($CW1571/$CT1571,"")</f>
        <v>0.46327272727272728</v>
      </c>
      <c r="DA1571" s="2">
        <f>IFERROR((CV1571-CU1571)/ABS(CU1571),"")</f>
        <v>0.49523809523809526</v>
      </c>
      <c r="DB1571" s="1" t="s">
        <v>263</v>
      </c>
      <c r="DC1571" t="str">
        <f>IF(OR($DB1571="prd",$DB1571="std",$DB1571="cit"),"loc",IF(OR($DB1571="eur",$DB1571="reg",$DB1571="coy"),"reg",$DB1571))</f>
        <v>loc</v>
      </c>
      <c r="DD1571" t="s">
        <v>348</v>
      </c>
      <c r="DG1571">
        <v>0</v>
      </c>
      <c r="DH1571" t="str">
        <f>IF(DG1571=0,"0",IF(AND(DG1571&gt;=1,DG1571&lt;=30),"1-30",IF(AND(DG1571&gt;30,DG1571&lt;=70),"31-70",IF(AND(DG1571&gt;70,DG1571&lt;=100),"71-100",IF(DG1571&gt;100,"+100")))))</f>
        <v>0</v>
      </c>
      <c r="DI1571">
        <v>0</v>
      </c>
      <c r="DJ1571">
        <v>0</v>
      </c>
      <c r="DK1571">
        <v>0</v>
      </c>
      <c r="DL1571">
        <v>1</v>
      </c>
      <c r="DM1571">
        <v>0</v>
      </c>
      <c r="DN1571">
        <f>SUM(DI1571:DM1571)</f>
        <v>1</v>
      </c>
      <c r="DO1571" t="str">
        <f>IF(DN1571=1,INDEX($DI$7:$DL$7,MATCH(1,$DI1571:$DL1571,0)),"mixedProduct")</f>
        <v>TimberInput</v>
      </c>
      <c r="DP1571">
        <f>IF(DI1571=1,DP$7,0)</f>
        <v>0</v>
      </c>
      <c r="DQ1571">
        <f>IF(DJ1571=1,DQ$7,0)</f>
        <v>0</v>
      </c>
      <c r="DR1571">
        <f>IF(DK1571=1,DR$7,0)</f>
        <v>0</v>
      </c>
      <c r="DS1571" t="str">
        <f>IF(DL1571=1,DS$7,0)</f>
        <v>Timber</v>
      </c>
      <c r="DT1571">
        <v>0</v>
      </c>
      <c r="DU1571">
        <v>0</v>
      </c>
      <c r="DV1571">
        <v>0</v>
      </c>
      <c r="DW1571">
        <v>0</v>
      </c>
      <c r="DX1571">
        <v>0</v>
      </c>
      <c r="DY1571">
        <f>SUM(DT1571:DU1571)</f>
        <v>0</v>
      </c>
      <c r="DZ1571" t="str">
        <f>IF(DT1571=1,"self-calculated DF",IF(DU1571=1,"external DF used","explicit C balance"))</f>
        <v>explicit C balance</v>
      </c>
      <c r="EA1571">
        <v>0</v>
      </c>
      <c r="EB1571">
        <v>0</v>
      </c>
      <c r="EC1571">
        <v>0</v>
      </c>
      <c r="ED1571">
        <v>0</v>
      </c>
      <c r="EE1571">
        <v>0</v>
      </c>
      <c r="EF1571" s="143">
        <v>1</v>
      </c>
      <c r="EG1571">
        <v>1</v>
      </c>
      <c r="EH1571">
        <v>1</v>
      </c>
      <c r="EI1571">
        <v>0</v>
      </c>
      <c r="EJ1571">
        <v>1</v>
      </c>
      <c r="EK1571">
        <v>0</v>
      </c>
      <c r="EL1571">
        <v>0</v>
      </c>
      <c r="EM1571">
        <v>0</v>
      </c>
      <c r="EN1571" s="2">
        <v>0</v>
      </c>
      <c r="EP1571" t="str">
        <f>IF(AND(AND(AND(OR($EC1571=1,$EB1571=1),OR($EH1571=1,$EF1571=1)),SUM($EA1571:$EE1571,$EK1571)&gt;=3),SUM($EF1571:$EJ1571)&gt;=2),"Whole sector approach","")</f>
        <v/>
      </c>
      <c r="EQ1571" t="str">
        <f>IF(AND(AND(OR($EC1571=1,$EB1571=1),AND($EH1571=0,$EF1571=0)),SUM($EA1571:$EE1571,$EK1571)&gt;=4),"Ecosystem approach","")</f>
        <v/>
      </c>
      <c r="ER1571" s="2" t="str">
        <f>IF(AND(AND(AND($EC1571=0,$EB1571=0),OR($EH1571=1,$EF1571=1)),SUM($EG1571:$EJ1571)&gt;=2),"Technology approach","")</f>
        <v>Technology approach</v>
      </c>
      <c r="ES1571" t="str">
        <f>IF(AND($EC1571+$EB1571+$EE1571+$EA1571+$ED1571+$EG1571=0,$N1571="included"),"C neutral forest and HWP assumption","")</f>
        <v/>
      </c>
      <c r="ET1571" t="str">
        <f>IF(AND(AND(AND(AND($EC1571=1,$EB1571+$EA1571+$EG1571&gt;=1),$EF1571=1),$EH1571+$EI1571+$ED1571+$EE1571&gt;=2),$N1571="included"),"All C pools assumption","")</f>
        <v/>
      </c>
      <c r="EU1571" t="str">
        <f>IF(AND($ED1571+$EE1571+$EI1571+$EH1571+$EF1571=0,$N1571="included"),"In-situ only assumption","")</f>
        <v/>
      </c>
      <c r="EY1571" t="str">
        <f>IF(ISNUMBER(BW1571),IF(ABS(BW1571-[3]QC_indicators!$B$2)&gt;3*[3]QC_indicators!$C$2,"C ratio",IF(ISNUMBER(CA1571),IF(ABS(CA1571-[3]QC_indicators!$B$1)&gt;3*[3]QC_indicators!$C$1,"DF","no"))),IF(ISNUMBER(CA1571),IF(ABS(CA1571-[3]QC_indicators!$B$1)&gt;3*[3]QC_indicators!$C$1,"DF","no")))</f>
        <v>no</v>
      </c>
      <c r="FA1571" t="str">
        <f>IF(LEN($CY1571)=0,"",IF(AND($CY1571&lt;(-0.05),$ES1571="C neutral forest and HWP assumption"),"Cneutral paradox",IF(AND($CY1571&gt;0.05,$EU1571="In-situ only assumption"),"In-situ only paradox","")))</f>
        <v/>
      </c>
      <c r="FD1571" s="260" t="s">
        <v>2827</v>
      </c>
    </row>
    <row r="1572" spans="1:160" ht="15" hidden="1" customHeight="1">
      <c r="A1572" s="1" t="s">
        <v>412</v>
      </c>
      <c r="B1572" t="s">
        <v>413</v>
      </c>
      <c r="C1572" t="s">
        <v>414</v>
      </c>
      <c r="D1572" t="s">
        <v>415</v>
      </c>
      <c r="E1572" t="s">
        <v>416</v>
      </c>
      <c r="F1572" t="s">
        <v>417</v>
      </c>
      <c r="G1572" t="s">
        <v>418</v>
      </c>
      <c r="H1572" t="s">
        <v>254</v>
      </c>
      <c r="I1572">
        <v>2022</v>
      </c>
      <c r="J1572">
        <v>4</v>
      </c>
      <c r="K1572" t="s">
        <v>419</v>
      </c>
      <c r="M1572" t="str">
        <f>LEFT($D1572,FIND(",",$D1572)-1)&amp;"_"&amp;I1572&amp;L1572</f>
        <v>Bergman_2022</v>
      </c>
      <c r="N1572" t="s">
        <v>222</v>
      </c>
      <c r="O1572" s="145" t="s">
        <v>223</v>
      </c>
      <c r="Q1572" t="s">
        <v>389</v>
      </c>
      <c r="R1572" s="251" t="s">
        <v>225</v>
      </c>
      <c r="S1572" s="1" t="s">
        <v>420</v>
      </c>
      <c r="T1572" t="s">
        <v>421</v>
      </c>
      <c r="U1572" t="s">
        <v>422</v>
      </c>
      <c r="V1572" s="253">
        <v>0</v>
      </c>
      <c r="W1572" s="253">
        <v>0</v>
      </c>
      <c r="X1572">
        <v>0</v>
      </c>
      <c r="Y1572">
        <v>0</v>
      </c>
      <c r="Z1572">
        <v>0</v>
      </c>
      <c r="AA1572">
        <v>0</v>
      </c>
      <c r="AB1572">
        <v>0</v>
      </c>
      <c r="AC1572">
        <v>0</v>
      </c>
      <c r="AD1572">
        <v>0</v>
      </c>
      <c r="AE1572">
        <v>0</v>
      </c>
      <c r="AF1572">
        <v>0</v>
      </c>
      <c r="AG1572">
        <v>0</v>
      </c>
      <c r="AH1572">
        <v>0</v>
      </c>
      <c r="AI1572">
        <v>0</v>
      </c>
      <c r="AJ1572">
        <v>0</v>
      </c>
      <c r="AK1572">
        <v>0</v>
      </c>
      <c r="AL1572">
        <v>1</v>
      </c>
      <c r="AM1572">
        <v>0</v>
      </c>
      <c r="AN1572">
        <v>0</v>
      </c>
      <c r="AO1572">
        <v>0</v>
      </c>
      <c r="AP1572">
        <v>0</v>
      </c>
      <c r="AQ1572">
        <v>0</v>
      </c>
      <c r="AR1572">
        <v>0</v>
      </c>
      <c r="AS1572">
        <v>0</v>
      </c>
      <c r="AT1572">
        <v>0</v>
      </c>
      <c r="AU1572">
        <v>0</v>
      </c>
      <c r="AV1572">
        <v>0</v>
      </c>
      <c r="AW1572">
        <v>0</v>
      </c>
      <c r="AX1572">
        <v>0</v>
      </c>
      <c r="AY1572">
        <v>0</v>
      </c>
      <c r="AZ1572" s="141">
        <f>COUNTIF(X1572:AY1572,"&lt;&gt;0")</f>
        <v>1</v>
      </c>
      <c r="BA1572" s="141">
        <f>COUNTIF(X1572:AN1572,"&lt;&gt;0")</f>
        <v>1</v>
      </c>
      <c r="BB1572">
        <f>COUNTIF(X1572:AE1572,"&lt;&gt;0")</f>
        <v>0</v>
      </c>
      <c r="BC1572">
        <f>COUNTIF(AF1572:AK1572,"&lt;&gt;0")</f>
        <v>0</v>
      </c>
      <c r="BD1572">
        <f>COUNTIF(AL1572:AN1572,"&lt;&gt;0")</f>
        <v>1</v>
      </c>
      <c r="BE1572">
        <f>COUNTIF(AU1572:AY1572,"&lt;&gt;0")</f>
        <v>0</v>
      </c>
      <c r="BF1572">
        <f>COUNTIF(AO1572:AT1572,"&lt;&gt;0")</f>
        <v>0</v>
      </c>
      <c r="BG1572" t="str">
        <f t="array" ref="BG1572">IF(BA1572=1,INDEX($X$7:$AN$7,MATCH(TRUE,INDEX($X1572:$AY1572&lt;&gt;0,),0)),IF(BA1572=0,INDEX($AO$7:$AY$7,MATCH(1,$AO1572:$AY1572,0)),IF(BH1572="Multiple strategies","mixed drivers",IF(BH1572="Supply chain","multiple supply","multiple silviculture"))))</f>
        <v>efficiency improvement</v>
      </c>
      <c r="BH1572" s="2" t="str" cm="1">
        <f t="array" ref="BH1572">IF(COUNTIF(BB1572:BD1572,"&lt;&gt;0")=1,INDEX($X$4:$AY$4,MATCH(TRUE,INDEX($X1572:$AY1572&lt;&gt;0,),0)),IF(COUNTIF(BB1572:BD1572,"&lt;&gt;0")=0,INDEX($AO$4:$AY$4,MATCH(1,$AO1572:$AY1572,0)),"Multiple strategies"))</f>
        <v>Technology</v>
      </c>
      <c r="BI1572" s="1" t="s">
        <v>229</v>
      </c>
      <c r="BJ1572" t="s">
        <v>423</v>
      </c>
      <c r="BK1572" t="s">
        <v>424</v>
      </c>
      <c r="BL1572" t="s">
        <v>425</v>
      </c>
      <c r="BM1572">
        <v>5932</v>
      </c>
      <c r="BN1572">
        <v>15385</v>
      </c>
      <c r="BP1572">
        <f>BN1572-BM1572</f>
        <v>9453</v>
      </c>
      <c r="BQ1572">
        <f>BP1572*kg_to_m3</f>
        <v>19.291836734693881</v>
      </c>
      <c r="BR1572" t="s">
        <v>395</v>
      </c>
      <c r="BS1572" s="256" t="s">
        <v>2947</v>
      </c>
      <c r="BT1572" t="s">
        <v>427</v>
      </c>
      <c r="BU1572">
        <f>101+19+246+24+17</f>
        <v>407</v>
      </c>
      <c r="BV1572">
        <f>260+712+27+17</f>
        <v>1016</v>
      </c>
      <c r="BW1572" s="144">
        <f>IFERROR(BV1572/BU1572,"")</f>
        <v>2.4963144963144965</v>
      </c>
      <c r="BX1572">
        <f>BV1572-BU1572</f>
        <v>609</v>
      </c>
      <c r="BZ1572">
        <f>BX1572/1000</f>
        <v>0.60899999999999999</v>
      </c>
      <c r="CA1572">
        <f>IFERROR(BZ1572/BQ1572,"")</f>
        <v>3.1567756267851473E-2</v>
      </c>
      <c r="CB1572">
        <v>0</v>
      </c>
      <c r="CC1572">
        <v>0</v>
      </c>
      <c r="CD1572">
        <v>0</v>
      </c>
      <c r="CE1572">
        <v>0</v>
      </c>
      <c r="CF1572">
        <v>0</v>
      </c>
      <c r="CG1572">
        <v>0</v>
      </c>
      <c r="CH1572">
        <v>0</v>
      </c>
      <c r="CI1572">
        <v>0</v>
      </c>
      <c r="CJ1572">
        <v>0</v>
      </c>
      <c r="CK1572">
        <v>0</v>
      </c>
      <c r="CL1572">
        <v>0</v>
      </c>
      <c r="CM1572">
        <v>0</v>
      </c>
      <c r="CN1572">
        <v>0</v>
      </c>
      <c r="CO1572">
        <v>0</v>
      </c>
      <c r="CP1572" t="str">
        <f>IF($BN1572&lt;$BM1572,"refNeedCorrection","refOK")</f>
        <v>refOK</v>
      </c>
      <c r="CQ1572"/>
      <c r="CR1572"/>
      <c r="CS1572">
        <f>IF($CP1572="refOK",$BQ1572,-$BQ1572)</f>
        <v>19.291836734693881</v>
      </c>
      <c r="CT1572">
        <f>IF(BI1572="Roundwood",$CS1572/2,$CS1572)</f>
        <v>19.291836734693881</v>
      </c>
      <c r="CU1572">
        <f>IF($CP1572="refOK",$BV1572,$BU1572)*IF($BR1572="Emissions positive",-1,1)</f>
        <v>-1016</v>
      </c>
      <c r="CV1572">
        <f>IF($CP1572="refOK",$BU1572,$BV1572)*IF($BR1572="Emissions positive",-1,1)</f>
        <v>-407</v>
      </c>
      <c r="CW1572">
        <f>IF($CP1572="refNeedCorrection",-BZ1572,BZ1572)*IF($BR1572="Emissions positive",-1,1)</f>
        <v>-0.60899999999999999</v>
      </c>
      <c r="CX1572">
        <f>IFERROR($CW1572/$CS1572,"")</f>
        <v>-3.1567756267851473E-2</v>
      </c>
      <c r="CY1572">
        <f>IFERROR($CW1572/$CS1572,"")</f>
        <v>-3.1567756267851473E-2</v>
      </c>
      <c r="CZ1572">
        <f>IFERROR($CW1572/$CT1572,"")</f>
        <v>-3.1567756267851473E-2</v>
      </c>
      <c r="DA1572" s="2">
        <f>IFERROR((CV1572-CU1572)/ABS(CU1572),"")</f>
        <v>0.59940944881889768</v>
      </c>
      <c r="DB1572" s="1" t="s">
        <v>263</v>
      </c>
      <c r="DC1572" t="str">
        <f>IF(OR($DB1572="prd",$DB1572="std",$DB1572="cit"),"loc",IF(OR($DB1572="eur",$DB1572="reg",$DB1572="coy"),"reg",$DB1572))</f>
        <v>loc</v>
      </c>
      <c r="DD1572" t="s">
        <v>428</v>
      </c>
      <c r="DG1572">
        <v>0</v>
      </c>
      <c r="DH1572" t="str">
        <f>IF(DG1572=0,"0",IF(AND(DG1572&gt;=1,DG1572&lt;=30),"1-30",IF(AND(DG1572&gt;30,DG1572&lt;=70),"31-70",IF(AND(DG1572&gt;70,DG1572&lt;=100),"71-100",IF(DG1572&gt;100,"+100")))))</f>
        <v>0</v>
      </c>
      <c r="DI1572">
        <v>0</v>
      </c>
      <c r="DJ1572">
        <v>1</v>
      </c>
      <c r="DK1572">
        <v>0</v>
      </c>
      <c r="DL1572">
        <v>0</v>
      </c>
      <c r="DM1572">
        <v>0</v>
      </c>
      <c r="DN1572">
        <f>SUM(DI1572:DM1572)</f>
        <v>1</v>
      </c>
      <c r="DO1572" t="str">
        <f>IF(DN1572=1,INDEX($DI$7:$DL$7,MATCH(1,$DI1572:$DL1572,0)),"mixedProduct")</f>
        <v>EnergyInput</v>
      </c>
      <c r="DP1572">
        <f>IF(DI1572=1,DP$7,0)</f>
        <v>0</v>
      </c>
      <c r="DQ1572" t="str">
        <f>IF(DJ1572=1,DQ$7,0)</f>
        <v>Energy</v>
      </c>
      <c r="DR1572">
        <f>IF(DK1572=1,DR$7,0)</f>
        <v>0</v>
      </c>
      <c r="DS1572">
        <f>IF(DL1572=1,DS$7,0)</f>
        <v>0</v>
      </c>
      <c r="DT1572">
        <v>0</v>
      </c>
      <c r="DU1572">
        <v>0</v>
      </c>
      <c r="DV1572">
        <v>0</v>
      </c>
      <c r="DW1572">
        <v>0</v>
      </c>
      <c r="DX1572">
        <v>0</v>
      </c>
      <c r="DY1572">
        <f>SUM(DT1572:DU1572)</f>
        <v>0</v>
      </c>
      <c r="DZ1572" t="str">
        <f>IF(DT1572=1,"self-calculated DF",IF(DU1572=1,"external DF used","explicit C balance"))</f>
        <v>explicit C balance</v>
      </c>
      <c r="EA1572">
        <v>0</v>
      </c>
      <c r="EB1572">
        <v>1</v>
      </c>
      <c r="EC1572">
        <v>0</v>
      </c>
      <c r="ED1572">
        <v>0</v>
      </c>
      <c r="EE1572">
        <v>1</v>
      </c>
      <c r="EF1572" s="143">
        <v>0</v>
      </c>
      <c r="EG1572">
        <v>1</v>
      </c>
      <c r="EH1572">
        <v>1</v>
      </c>
      <c r="EI1572">
        <v>0</v>
      </c>
      <c r="EJ1572">
        <v>0</v>
      </c>
      <c r="EK1572">
        <v>0</v>
      </c>
      <c r="EL1572">
        <v>0</v>
      </c>
      <c r="EM1572">
        <v>0</v>
      </c>
      <c r="EN1572" s="2">
        <v>0</v>
      </c>
      <c r="EP1572" t="str">
        <f>IF(AND(AND(AND(OR($EC1572=1,$EB1572=1),OR($EH1572=1,$EF1572=1)),SUM($EA1572:$EE1572,$EK1572)&gt;=3),SUM($EF1572:$EJ1572)&gt;=2),"Whole sector approach","")</f>
        <v/>
      </c>
      <c r="EQ1572" t="str">
        <f>IF(AND(AND(OR($EC1572=1,$EB1572=1),AND($EH1572=0,$EF1572=0)),SUM($EA1572:$EE1572,$EK1572)&gt;=4),"Ecosystem approach","")</f>
        <v/>
      </c>
      <c r="ER1572" s="2" t="str">
        <f>IF(AND(AND(AND($EC1572=0,$EB1572=0),OR($EH1572=1,$EF1572=1)),SUM($EG1572:$EJ1572)&gt;=2),"Technology approach","")</f>
        <v/>
      </c>
      <c r="ES1572" t="str">
        <f>IF(AND($EC1572+$EB1572+$EE1572+$EA1572+$ED1572+$EG1572=0,$N1572="included"),"C neutral forest and HWP assumption","")</f>
        <v/>
      </c>
      <c r="ET1572" t="str">
        <f>IF(AND(AND(AND(AND($EC1572=1,$EB1572+$EA1572+$EG1572&gt;=1),$EF1572=1),$EH1572+$EI1572+$ED1572+$EE1572&gt;=2),$N1572="included"),"All C pools assumption","")</f>
        <v/>
      </c>
      <c r="EU1572" t="str">
        <f>IF(AND($ED1572+$EE1572+$EI1572+$EH1572+$EF1572=0,$N1572="included"),"In-situ only assumption","")</f>
        <v/>
      </c>
      <c r="EY1572" t="str">
        <f>IF(ISNUMBER(BW1572),IF(ABS(BW1572-[6]QC_indicators!$B$2)&gt;3*[6]QC_indicators!$C$2,"C ratio",IF(ISNUMBER(CA1572),IF(ABS(CA1572-[6]QC_indicators!$B$1)&gt;3*[6]QC_indicators!$C$1,"DF","no"))),IF(ISNUMBER(CA1572),IF(ABS(CA1572-[6]QC_indicators!$B$1)&gt;3*[6]QC_indicators!$C$1,"DF","no")))</f>
        <v>no</v>
      </c>
      <c r="FA1572" t="str">
        <f>IF(LEN($CY1572)=0,"",IF(AND($CY1572&lt;(-0.05),$ES1572="C neutral forest and HWP assumption"),"Cneutral paradox",IF(AND($CY1572&gt;0.05,$EU1572="In-situ only assumption"),"In-situ only paradox","")))</f>
        <v/>
      </c>
      <c r="FD1572" s="260" t="s">
        <v>2948</v>
      </c>
    </row>
    <row r="1573" spans="1:160" ht="15" hidden="1" customHeight="1">
      <c r="A1573" s="1" t="s">
        <v>412</v>
      </c>
      <c r="B1573" t="s">
        <v>413</v>
      </c>
      <c r="C1573" t="s">
        <v>414</v>
      </c>
      <c r="D1573" t="s">
        <v>415</v>
      </c>
      <c r="E1573" t="s">
        <v>416</v>
      </c>
      <c r="F1573" t="s">
        <v>417</v>
      </c>
      <c r="G1573" t="s">
        <v>418</v>
      </c>
      <c r="H1573" t="s">
        <v>254</v>
      </c>
      <c r="I1573">
        <v>2022</v>
      </c>
      <c r="J1573">
        <v>4</v>
      </c>
      <c r="K1573" t="s">
        <v>419</v>
      </c>
      <c r="M1573" t="str">
        <f>LEFT($D1573,FIND(",",$D1573)-1)&amp;"_"&amp;I1573&amp;L1573</f>
        <v>Bergman_2022</v>
      </c>
      <c r="N1573" t="s">
        <v>222</v>
      </c>
      <c r="O1573" s="145" t="s">
        <v>223</v>
      </c>
      <c r="Q1573" t="s">
        <v>389</v>
      </c>
      <c r="R1573" s="251" t="s">
        <v>225</v>
      </c>
      <c r="S1573" s="1" t="s">
        <v>420</v>
      </c>
      <c r="T1573" t="s">
        <v>421</v>
      </c>
      <c r="U1573" t="s">
        <v>422</v>
      </c>
      <c r="V1573" s="253">
        <v>0</v>
      </c>
      <c r="W1573" s="253">
        <v>0</v>
      </c>
      <c r="X1573">
        <v>0</v>
      </c>
      <c r="Y1573">
        <v>0</v>
      </c>
      <c r="Z1573">
        <v>0</v>
      </c>
      <c r="AA1573">
        <v>0</v>
      </c>
      <c r="AB1573">
        <v>0</v>
      </c>
      <c r="AC1573">
        <v>0</v>
      </c>
      <c r="AD1573">
        <v>0</v>
      </c>
      <c r="AE1573">
        <v>0</v>
      </c>
      <c r="AF1573">
        <v>0</v>
      </c>
      <c r="AG1573">
        <v>0</v>
      </c>
      <c r="AH1573">
        <v>0</v>
      </c>
      <c r="AI1573">
        <v>0</v>
      </c>
      <c r="AJ1573">
        <v>0</v>
      </c>
      <c r="AK1573">
        <v>0</v>
      </c>
      <c r="AL1573">
        <v>1</v>
      </c>
      <c r="AM1573">
        <v>0</v>
      </c>
      <c r="AN1573">
        <v>0</v>
      </c>
      <c r="AO1573">
        <v>0</v>
      </c>
      <c r="AP1573">
        <v>0</v>
      </c>
      <c r="AQ1573">
        <v>0</v>
      </c>
      <c r="AR1573">
        <v>0</v>
      </c>
      <c r="AS1573">
        <v>0</v>
      </c>
      <c r="AT1573">
        <v>0</v>
      </c>
      <c r="AU1573">
        <v>0</v>
      </c>
      <c r="AV1573">
        <v>0</v>
      </c>
      <c r="AW1573">
        <v>0</v>
      </c>
      <c r="AX1573">
        <v>0</v>
      </c>
      <c r="AY1573">
        <v>0</v>
      </c>
      <c r="AZ1573" s="141">
        <f>COUNTIF(X1573:AY1573,"&lt;&gt;0")</f>
        <v>1</v>
      </c>
      <c r="BA1573" s="141">
        <f>COUNTIF(X1573:AN1573,"&lt;&gt;0")</f>
        <v>1</v>
      </c>
      <c r="BB1573">
        <f>COUNTIF(X1573:AE1573,"&lt;&gt;0")</f>
        <v>0</v>
      </c>
      <c r="BC1573">
        <f>COUNTIF(AF1573:AK1573,"&lt;&gt;0")</f>
        <v>0</v>
      </c>
      <c r="BD1573">
        <f>COUNTIF(AL1573:AN1573,"&lt;&gt;0")</f>
        <v>1</v>
      </c>
      <c r="BE1573">
        <f>COUNTIF(AU1573:AY1573,"&lt;&gt;0")</f>
        <v>0</v>
      </c>
      <c r="BF1573">
        <f>COUNTIF(AO1573:AT1573,"&lt;&gt;0")</f>
        <v>0</v>
      </c>
      <c r="BG1573" t="str">
        <f t="array" ref="BG1573">IF(BA1573=1,INDEX($X$7:$AN$7,MATCH(TRUE,INDEX($X1573:$AY1573&lt;&gt;0,),0)),IF(BA1573=0,INDEX($AO$7:$AY$7,MATCH(1,$AO1573:$AY1573,0)),IF(BH1573="Multiple strategies","mixed drivers",IF(BH1573="Supply chain","multiple supply","multiple silviculture"))))</f>
        <v>efficiency improvement</v>
      </c>
      <c r="BH1573" s="2" t="str" cm="1">
        <f t="array" ref="BH1573">IF(COUNTIF(BB1573:BD1573,"&lt;&gt;0")=1,INDEX($X$4:$AY$4,MATCH(TRUE,INDEX($X1573:$AY1573&lt;&gt;0,),0)),IF(COUNTIF(BB1573:BD1573,"&lt;&gt;0")=0,INDEX($AO$4:$AY$4,MATCH(1,$AO1573:$AY1573,0)),"Multiple strategies"))</f>
        <v>Technology</v>
      </c>
      <c r="BI1573" s="1" t="s">
        <v>229</v>
      </c>
      <c r="BJ1573" t="s">
        <v>423</v>
      </c>
      <c r="BK1573" t="s">
        <v>424</v>
      </c>
      <c r="BL1573" t="s">
        <v>425</v>
      </c>
      <c r="BM1573">
        <v>5932</v>
      </c>
      <c r="BN1573">
        <v>15385</v>
      </c>
      <c r="BP1573">
        <f>BN1573-BM1573</f>
        <v>9453</v>
      </c>
      <c r="BQ1573">
        <f>BP1573*kg_to_m3</f>
        <v>19.291836734693881</v>
      </c>
      <c r="BR1573" t="s">
        <v>395</v>
      </c>
      <c r="BS1573" s="256" t="s">
        <v>2947</v>
      </c>
      <c r="BT1573" t="s">
        <v>427</v>
      </c>
      <c r="BU1573">
        <f>84+16+242+53+48</f>
        <v>443</v>
      </c>
      <c r="BV1573">
        <f>260+641+60+48</f>
        <v>1009</v>
      </c>
      <c r="BW1573" s="144">
        <f>IFERROR(BV1573/BU1573,"")</f>
        <v>2.2776523702031604</v>
      </c>
      <c r="BX1573">
        <f>BV1573-BU1573</f>
        <v>566</v>
      </c>
      <c r="BZ1573">
        <f>BX1573/1000</f>
        <v>0.56599999999999995</v>
      </c>
      <c r="CA1573">
        <f>IFERROR(BZ1573/BQ1573,"")</f>
        <v>2.9338834232518769E-2</v>
      </c>
      <c r="CB1573">
        <v>0</v>
      </c>
      <c r="CC1573">
        <v>0</v>
      </c>
      <c r="CD1573">
        <v>0</v>
      </c>
      <c r="CE1573">
        <v>0</v>
      </c>
      <c r="CF1573">
        <v>0</v>
      </c>
      <c r="CG1573">
        <v>0</v>
      </c>
      <c r="CH1573">
        <v>0</v>
      </c>
      <c r="CI1573">
        <v>0</v>
      </c>
      <c r="CJ1573">
        <v>0</v>
      </c>
      <c r="CK1573">
        <v>0</v>
      </c>
      <c r="CL1573">
        <v>0</v>
      </c>
      <c r="CM1573">
        <v>0</v>
      </c>
      <c r="CN1573">
        <v>0</v>
      </c>
      <c r="CO1573">
        <v>0</v>
      </c>
      <c r="CP1573" t="str">
        <f>IF($BN1573&lt;$BN1572,"refNeedCorrection","refOK")</f>
        <v>refOK</v>
      </c>
      <c r="CQ1573"/>
      <c r="CR1573"/>
      <c r="CS1573">
        <f>IF($CP1573="refOK",$BQ1573,-$BQ1573)</f>
        <v>19.291836734693881</v>
      </c>
      <c r="CT1573">
        <f>IF(BI1573="Roundwood",$CS1573/2,$CS1573)</f>
        <v>19.291836734693881</v>
      </c>
      <c r="CU1573">
        <f>IF($CP1573="refOK",$BV1573,$BU1573)*IF($BR1573="Emissions positive",-1,1)</f>
        <v>-1009</v>
      </c>
      <c r="CV1573">
        <f>IF($CP1573="refOK",$BU1573,$BV1573)*IF($BR1573="Emissions positive",-1,1)</f>
        <v>-443</v>
      </c>
      <c r="CW1573">
        <f>IF($CP1573="refNeedCorrection",-BZ1573,BZ1573)*IF($BR1573="Emissions positive",-1,1)</f>
        <v>-0.56599999999999995</v>
      </c>
      <c r="CX1573">
        <f>IFERROR($CW1573/$CS1573,"")</f>
        <v>-2.9338834232518769E-2</v>
      </c>
      <c r="CY1573">
        <f>IFERROR($CW1573/$CS1573,"")</f>
        <v>-2.9338834232518769E-2</v>
      </c>
      <c r="CZ1573">
        <f>IFERROR($CW1573/$CT1573,"")</f>
        <v>-2.9338834232518769E-2</v>
      </c>
      <c r="DA1573" s="2">
        <f>IFERROR((CV1573-CU1573)/ABS(CU1573),"")</f>
        <v>0.56095143706640238</v>
      </c>
      <c r="DB1573" s="1" t="s">
        <v>263</v>
      </c>
      <c r="DC1573" t="str">
        <f>IF(OR($DB1573="prd",$DB1573="std",$DB1573="cit"),"loc",IF(OR($DB1573="eur",$DB1573="reg",$DB1573="coy"),"reg",$DB1573))</f>
        <v>loc</v>
      </c>
      <c r="DD1573" t="s">
        <v>428</v>
      </c>
      <c r="DG1573">
        <v>0</v>
      </c>
      <c r="DH1573" t="str">
        <f>IF(DG1573=0,"0",IF(AND(DG1573&gt;=1,DG1573&lt;=30),"1-30",IF(AND(DG1573&gt;30,DG1573&lt;=70),"31-70",IF(AND(DG1573&gt;70,DG1573&lt;=100),"71-100",IF(DG1573&gt;100,"+100")))))</f>
        <v>0</v>
      </c>
      <c r="DI1573">
        <v>0</v>
      </c>
      <c r="DJ1573">
        <v>1</v>
      </c>
      <c r="DK1573">
        <v>0</v>
      </c>
      <c r="DL1573">
        <v>0</v>
      </c>
      <c r="DM1573">
        <v>0</v>
      </c>
      <c r="DN1573">
        <f>SUM(DI1573:DM1573)</f>
        <v>1</v>
      </c>
      <c r="DO1573" t="str">
        <f>IF(DN1573=1,INDEX($DI$7:$DL$7,MATCH(1,$DI1573:$DL1573,0)),"mixedProduct")</f>
        <v>EnergyInput</v>
      </c>
      <c r="DP1573">
        <f>IF(DI1573=1,DP$7,0)</f>
        <v>0</v>
      </c>
      <c r="DQ1573" t="str">
        <f>IF(DJ1573=1,DQ$7,0)</f>
        <v>Energy</v>
      </c>
      <c r="DR1573">
        <f>IF(DK1573=1,DR$7,0)</f>
        <v>0</v>
      </c>
      <c r="DS1573">
        <f>IF(DL1573=1,DS$7,0)</f>
        <v>0</v>
      </c>
      <c r="DT1573">
        <v>0</v>
      </c>
      <c r="DU1573">
        <v>0</v>
      </c>
      <c r="DV1573">
        <v>0</v>
      </c>
      <c r="DW1573">
        <v>0</v>
      </c>
      <c r="DX1573">
        <v>0</v>
      </c>
      <c r="DY1573">
        <f>SUM(DT1573:DU1573)</f>
        <v>0</v>
      </c>
      <c r="DZ1573" t="str">
        <f>IF(DT1573=1,"self-calculated DF",IF(DU1573=1,"external DF used","explicit C balance"))</f>
        <v>explicit C balance</v>
      </c>
      <c r="EA1573">
        <v>0</v>
      </c>
      <c r="EB1573">
        <v>1</v>
      </c>
      <c r="EC1573">
        <v>0</v>
      </c>
      <c r="ED1573">
        <v>0</v>
      </c>
      <c r="EE1573">
        <v>1</v>
      </c>
      <c r="EF1573" s="143">
        <v>0</v>
      </c>
      <c r="EG1573">
        <v>1</v>
      </c>
      <c r="EH1573">
        <v>1</v>
      </c>
      <c r="EI1573">
        <v>0</v>
      </c>
      <c r="EJ1573">
        <v>0</v>
      </c>
      <c r="EK1573">
        <v>0</v>
      </c>
      <c r="EL1573">
        <v>0</v>
      </c>
      <c r="EM1573">
        <v>0</v>
      </c>
      <c r="EN1573" s="2">
        <v>0</v>
      </c>
      <c r="EP1573" t="str">
        <f>IF(AND(AND(AND(OR($EC1573=1,$EB1573=1),OR($EH1573=1,$EF1573=1)),SUM($EA1573:$EE1573,$EK1573)&gt;=3),SUM($EF1573:$EJ1573)&gt;=2),"Whole sector approach","")</f>
        <v/>
      </c>
      <c r="EQ1573" t="str">
        <f>IF(AND(AND(OR($EC1573=1,$EB1573=1),AND($EH1573=0,$EF1573=0)),SUM($EA1573:$EE1573,$EK1573)&gt;=4),"Ecosystem approach","")</f>
        <v/>
      </c>
      <c r="ER1573" s="2" t="str">
        <f>IF(AND(AND(AND($EC1573=0,$EB1573=0),OR($EH1573=1,$EF1573=1)),SUM($EG1573:$EJ1573)&gt;=2),"Technology approach","")</f>
        <v/>
      </c>
      <c r="ES1573" t="str">
        <f>IF(AND($EC1573+$EB1573+$EE1573+$EA1573+$ED1573+$EG1573=0,$N1573="included"),"C neutral forest and HWP assumption","")</f>
        <v/>
      </c>
      <c r="ET1573" t="str">
        <f>IF(AND(AND(AND(AND($EC1573=1,$EB1573+$EA1573+$EG1573&gt;=1),$EF1573=1),$EH1573+$EI1573+$ED1573+$EE1573&gt;=2),$N1573="included"),"All C pools assumption","")</f>
        <v/>
      </c>
      <c r="EU1573" t="str">
        <f>IF(AND($ED1573+$EE1573+$EI1573+$EH1573+$EF1573=0,$N1573="included"),"In-situ only assumption","")</f>
        <v/>
      </c>
      <c r="EY1573" t="str">
        <f>IF(ISNUMBER(BW1573),IF(ABS(BW1573-[6]QC_indicators!$B$2)&gt;3*[6]QC_indicators!$C$2,"C ratio",IF(ISNUMBER(CA1573),IF(ABS(CA1573-[6]QC_indicators!$B$1)&gt;3*[6]QC_indicators!$C$1,"DF","no"))),IF(ISNUMBER(CA1573),IF(ABS(CA1573-[6]QC_indicators!$B$1)&gt;3*[6]QC_indicators!$C$1,"DF","no")))</f>
        <v>no</v>
      </c>
      <c r="FA1573" t="str">
        <f>IF(LEN($CY1573)=0,"",IF(AND($CY1573&lt;(-0.05),$ES1573="C neutral forest and HWP assumption"),"Cneutral paradox",IF(AND($CY1573&gt;0.05,$EU1573="In-situ only assumption"),"In-situ only paradox","")))</f>
        <v/>
      </c>
      <c r="FD1573" s="260" t="s">
        <v>2948</v>
      </c>
    </row>
    <row r="1574" spans="1:160" ht="15" hidden="1" customHeight="1">
      <c r="A1574" s="1" t="s">
        <v>412</v>
      </c>
      <c r="B1574" t="s">
        <v>413</v>
      </c>
      <c r="C1574" t="s">
        <v>414</v>
      </c>
      <c r="D1574" t="s">
        <v>415</v>
      </c>
      <c r="E1574" t="s">
        <v>416</v>
      </c>
      <c r="F1574" t="s">
        <v>417</v>
      </c>
      <c r="G1574" t="s">
        <v>418</v>
      </c>
      <c r="H1574" t="s">
        <v>254</v>
      </c>
      <c r="I1574">
        <v>2022</v>
      </c>
      <c r="J1574">
        <v>4</v>
      </c>
      <c r="K1574" t="s">
        <v>419</v>
      </c>
      <c r="M1574" t="str">
        <f>LEFT($D1574,FIND(",",$D1574)-1)&amp;"_"&amp;I1574&amp;L1574</f>
        <v>Bergman_2022</v>
      </c>
      <c r="N1574" t="s">
        <v>222</v>
      </c>
      <c r="O1574" s="145" t="s">
        <v>223</v>
      </c>
      <c r="Q1574" t="s">
        <v>389</v>
      </c>
      <c r="R1574" s="251" t="s">
        <v>225</v>
      </c>
      <c r="S1574" s="1" t="s">
        <v>420</v>
      </c>
      <c r="T1574" t="s">
        <v>421</v>
      </c>
      <c r="U1574" t="s">
        <v>422</v>
      </c>
      <c r="V1574" s="253">
        <v>0</v>
      </c>
      <c r="W1574" s="253">
        <v>0</v>
      </c>
      <c r="X1574">
        <v>0</v>
      </c>
      <c r="Y1574">
        <v>0</v>
      </c>
      <c r="Z1574">
        <v>0</v>
      </c>
      <c r="AA1574">
        <v>0</v>
      </c>
      <c r="AB1574">
        <v>0</v>
      </c>
      <c r="AC1574">
        <v>0</v>
      </c>
      <c r="AD1574">
        <v>0</v>
      </c>
      <c r="AE1574">
        <v>0</v>
      </c>
      <c r="AF1574">
        <v>0</v>
      </c>
      <c r="AG1574">
        <v>0</v>
      </c>
      <c r="AH1574">
        <v>0</v>
      </c>
      <c r="AI1574">
        <v>0</v>
      </c>
      <c r="AJ1574">
        <v>0</v>
      </c>
      <c r="AK1574">
        <v>0</v>
      </c>
      <c r="AL1574">
        <v>1</v>
      </c>
      <c r="AM1574">
        <v>0</v>
      </c>
      <c r="AN1574">
        <v>0</v>
      </c>
      <c r="AO1574">
        <v>0</v>
      </c>
      <c r="AP1574">
        <v>0</v>
      </c>
      <c r="AQ1574">
        <v>0</v>
      </c>
      <c r="AR1574">
        <v>0</v>
      </c>
      <c r="AS1574">
        <v>0</v>
      </c>
      <c r="AT1574">
        <v>0</v>
      </c>
      <c r="AU1574">
        <v>0</v>
      </c>
      <c r="AV1574">
        <v>0</v>
      </c>
      <c r="AW1574">
        <v>0</v>
      </c>
      <c r="AX1574">
        <v>0</v>
      </c>
      <c r="AY1574">
        <v>0</v>
      </c>
      <c r="AZ1574" s="141">
        <f>COUNTIF(X1574:AY1574,"&lt;&gt;0")</f>
        <v>1</v>
      </c>
      <c r="BA1574" s="141">
        <f>COUNTIF(X1574:AN1574,"&lt;&gt;0")</f>
        <v>1</v>
      </c>
      <c r="BB1574">
        <f>COUNTIF(X1574:AE1574,"&lt;&gt;0")</f>
        <v>0</v>
      </c>
      <c r="BC1574">
        <f>COUNTIF(AF1574:AK1574,"&lt;&gt;0")</f>
        <v>0</v>
      </c>
      <c r="BD1574">
        <f>COUNTIF(AL1574:AN1574,"&lt;&gt;0")</f>
        <v>1</v>
      </c>
      <c r="BE1574">
        <f>COUNTIF(AU1574:AY1574,"&lt;&gt;0")</f>
        <v>0</v>
      </c>
      <c r="BF1574">
        <f>COUNTIF(AO1574:AT1574,"&lt;&gt;0")</f>
        <v>0</v>
      </c>
      <c r="BG1574" t="str">
        <f t="array" ref="BG1574">IF(BA1574=1,INDEX($X$7:$AN$7,MATCH(TRUE,INDEX($X1574:$AY1574&lt;&gt;0,),0)),IF(BA1574=0,INDEX($AO$7:$AY$7,MATCH(1,$AO1574:$AY1574,0)),IF(BH1574="Multiple strategies","mixed drivers",IF(BH1574="Supply chain","multiple supply","multiple silviculture"))))</f>
        <v>efficiency improvement</v>
      </c>
      <c r="BH1574" s="2" t="str" cm="1">
        <f t="array" ref="BH1574">IF(COUNTIF(BB1574:BD1574,"&lt;&gt;0")=1,INDEX($X$4:$AY$4,MATCH(TRUE,INDEX($X1574:$AY1574&lt;&gt;0,),0)),IF(COUNTIF(BB1574:BD1574,"&lt;&gt;0")=0,INDEX($AO$4:$AY$4,MATCH(1,$AO1574:$AY1574,0)),"Multiple strategies"))</f>
        <v>Technology</v>
      </c>
      <c r="BI1574" s="1" t="s">
        <v>229</v>
      </c>
      <c r="BJ1574" t="s">
        <v>423</v>
      </c>
      <c r="BK1574" t="s">
        <v>424</v>
      </c>
      <c r="BL1574" t="s">
        <v>425</v>
      </c>
      <c r="BM1574">
        <v>5932</v>
      </c>
      <c r="BN1574">
        <v>15385</v>
      </c>
      <c r="BP1574">
        <f>BN1574-BM1574</f>
        <v>9453</v>
      </c>
      <c r="BQ1574">
        <f>BP1574*kg_to_m3</f>
        <v>19.291836734693881</v>
      </c>
      <c r="BR1574" t="s">
        <v>395</v>
      </c>
      <c r="BS1574" s="256" t="s">
        <v>2947</v>
      </c>
      <c r="BT1574" t="s">
        <v>427</v>
      </c>
      <c r="BU1574">
        <f>19+246+24+17</f>
        <v>306</v>
      </c>
      <c r="BV1574">
        <f>712+27+17</f>
        <v>756</v>
      </c>
      <c r="BW1574" s="144">
        <f>IFERROR(BV1574/BU1574,"")</f>
        <v>2.4705882352941178</v>
      </c>
      <c r="BX1574">
        <f>BV1574-BU1574</f>
        <v>450</v>
      </c>
      <c r="BZ1574">
        <f>BX1574/1000</f>
        <v>0.45</v>
      </c>
      <c r="CA1574">
        <f>IFERROR(BZ1574/BQ1574,"")</f>
        <v>2.3325928276737542E-2</v>
      </c>
      <c r="CB1574">
        <v>0</v>
      </c>
      <c r="CC1574">
        <v>0</v>
      </c>
      <c r="CD1574">
        <v>0</v>
      </c>
      <c r="CE1574">
        <v>0</v>
      </c>
      <c r="CF1574">
        <v>0</v>
      </c>
      <c r="CG1574">
        <v>0</v>
      </c>
      <c r="CH1574">
        <v>0</v>
      </c>
      <c r="CI1574">
        <v>0</v>
      </c>
      <c r="CJ1574">
        <v>0</v>
      </c>
      <c r="CK1574">
        <v>0</v>
      </c>
      <c r="CL1574">
        <v>0</v>
      </c>
      <c r="CM1574">
        <v>0</v>
      </c>
      <c r="CN1574">
        <v>0</v>
      </c>
      <c r="CO1574">
        <v>0</v>
      </c>
      <c r="CP1574" t="str">
        <f>IF($BN1574&lt;$BM1574,"refNeedCorrection","refOK")</f>
        <v>refOK</v>
      </c>
      <c r="CQ1574"/>
      <c r="CR1574"/>
      <c r="CS1574">
        <f>IF($CP1574="refOK",$BQ1574,-$BQ1574)</f>
        <v>19.291836734693881</v>
      </c>
      <c r="CT1574">
        <f>IF(BI1574="Roundwood",$CS1574/2,$CS1574)</f>
        <v>19.291836734693881</v>
      </c>
      <c r="CU1574">
        <f>IF($CP1574="refOK",$BV1574,$BU1574)*IF($BR1574="Emissions positive",-1,1)</f>
        <v>-756</v>
      </c>
      <c r="CV1574">
        <f>IF($CP1574="refOK",$BU1574,$BV1574)*IF($BR1574="Emissions positive",-1,1)</f>
        <v>-306</v>
      </c>
      <c r="CW1574">
        <f>IF($CP1574="refNeedCorrection",-BZ1574,BZ1574)*IF($BR1574="Emissions positive",-1,1)</f>
        <v>-0.45</v>
      </c>
      <c r="CX1574">
        <f>IFERROR($CW1574/$CS1574,"")</f>
        <v>-2.3325928276737542E-2</v>
      </c>
      <c r="CY1574">
        <f>IFERROR($CW1574/$CS1574,"")</f>
        <v>-2.3325928276737542E-2</v>
      </c>
      <c r="CZ1574">
        <f>IFERROR($CW1574/$CT1574,"")</f>
        <v>-2.3325928276737542E-2</v>
      </c>
      <c r="DA1574" s="2">
        <f>IFERROR((CV1574-CU1574)/ABS(CU1574),"")</f>
        <v>0.59523809523809523</v>
      </c>
      <c r="DB1574" s="1" t="s">
        <v>263</v>
      </c>
      <c r="DC1574" t="str">
        <f>IF(OR($DB1574="prd",$DB1574="std",$DB1574="cit"),"loc",IF(OR($DB1574="eur",$DB1574="reg",$DB1574="coy"),"reg",$DB1574))</f>
        <v>loc</v>
      </c>
      <c r="DD1574" t="s">
        <v>428</v>
      </c>
      <c r="DG1574">
        <v>0</v>
      </c>
      <c r="DH1574" t="str">
        <f>IF(DG1574=0,"0",IF(AND(DG1574&gt;=1,DG1574&lt;=30),"1-30",IF(AND(DG1574&gt;30,DG1574&lt;=70),"31-70",IF(AND(DG1574&gt;70,DG1574&lt;=100),"71-100",IF(DG1574&gt;100,"+100")))))</f>
        <v>0</v>
      </c>
      <c r="DI1574">
        <v>0</v>
      </c>
      <c r="DJ1574">
        <v>1</v>
      </c>
      <c r="DK1574">
        <v>0</v>
      </c>
      <c r="DL1574">
        <v>0</v>
      </c>
      <c r="DM1574">
        <v>0</v>
      </c>
      <c r="DN1574">
        <f>SUM(DI1574:DM1574)</f>
        <v>1</v>
      </c>
      <c r="DO1574" t="str">
        <f>IF(DN1574=1,INDEX($DI$7:$DL$7,MATCH(1,$DI1574:$DL1574,0)),"mixedProduct")</f>
        <v>EnergyInput</v>
      </c>
      <c r="DP1574">
        <f>IF(DI1574=1,DP$7,0)</f>
        <v>0</v>
      </c>
      <c r="DQ1574" t="str">
        <f>IF(DJ1574=1,DQ$7,0)</f>
        <v>Energy</v>
      </c>
      <c r="DR1574">
        <f>IF(DK1574=1,DR$7,0)</f>
        <v>0</v>
      </c>
      <c r="DS1574">
        <f>IF(DL1574=1,DS$7,0)</f>
        <v>0</v>
      </c>
      <c r="DT1574">
        <v>0</v>
      </c>
      <c r="DU1574">
        <v>0</v>
      </c>
      <c r="DV1574">
        <v>0</v>
      </c>
      <c r="DW1574">
        <v>0</v>
      </c>
      <c r="DX1574">
        <v>0</v>
      </c>
      <c r="DY1574">
        <f>SUM(DT1574:DU1574)</f>
        <v>0</v>
      </c>
      <c r="DZ1574" t="str">
        <f>IF(DT1574=1,"self-calculated DF",IF(DU1574=1,"external DF used","explicit C balance"))</f>
        <v>explicit C balance</v>
      </c>
      <c r="EA1574">
        <v>0</v>
      </c>
      <c r="EB1574">
        <v>1</v>
      </c>
      <c r="EC1574">
        <v>0</v>
      </c>
      <c r="ED1574">
        <v>0</v>
      </c>
      <c r="EE1574">
        <v>1</v>
      </c>
      <c r="EF1574" s="143">
        <v>0</v>
      </c>
      <c r="EG1574">
        <v>0</v>
      </c>
      <c r="EH1574">
        <v>1</v>
      </c>
      <c r="EI1574">
        <v>0</v>
      </c>
      <c r="EJ1574">
        <v>0</v>
      </c>
      <c r="EK1574">
        <v>0</v>
      </c>
      <c r="EL1574">
        <v>0</v>
      </c>
      <c r="EM1574">
        <v>0</v>
      </c>
      <c r="EN1574" s="2">
        <v>0</v>
      </c>
      <c r="EP1574" t="str">
        <f>IF(AND(AND(AND(OR($EC1574=1,$EB1574=1),OR($EH1574=1,$EF1574=1)),SUM($EA1574:$EE1574,$EK1574)&gt;=3),SUM($EF1574:$EJ1574)&gt;=2),"Whole sector approach","")</f>
        <v/>
      </c>
      <c r="EQ1574" t="str">
        <f>IF(AND(AND(OR($EC1574=1,$EB1574=1),AND($EH1574=0,$EF1574=0)),SUM($EA1574:$EE1574,$EK1574)&gt;=4),"Ecosystem approach","")</f>
        <v/>
      </c>
      <c r="ER1574" s="2" t="str">
        <f>IF(AND(AND(AND($EC1574=0,$EB1574=0),OR($EH1574=1,$EF1574=1)),SUM($EG1574:$EJ1574)&gt;=2),"Technology approach","")</f>
        <v/>
      </c>
      <c r="ES1574" t="str">
        <f>IF(AND($EC1574+$EB1574+$EE1574+$EA1574+$ED1574+$EG1574=0,$N1574="included"),"C neutral forest and HWP assumption","")</f>
        <v/>
      </c>
      <c r="ET1574" t="str">
        <f>IF(AND(AND(AND(AND($EC1574=1,$EB1574+$EA1574+$EG1574&gt;=1),$EF1574=1),$EH1574+$EI1574+$ED1574+$EE1574&gt;=2),$N1574="included"),"All C pools assumption","")</f>
        <v/>
      </c>
      <c r="EU1574" t="str">
        <f>IF(AND($ED1574+$EE1574+$EI1574+$EH1574+$EF1574=0,$N1574="included"),"In-situ only assumption","")</f>
        <v/>
      </c>
      <c r="EY1574" t="str">
        <f>IF(ISNUMBER(BW1574),IF(ABS(BW1574-[6]QC_indicators!$B$2)&gt;3*[6]QC_indicators!$C$2,"C ratio",IF(ISNUMBER(CA1574),IF(ABS(CA1574-[6]QC_indicators!$B$1)&gt;3*[6]QC_indicators!$C$1,"DF","no"))),IF(ISNUMBER(CA1574),IF(ABS(CA1574-[6]QC_indicators!$B$1)&gt;3*[6]QC_indicators!$C$1,"DF","no")))</f>
        <v>no</v>
      </c>
      <c r="FA1574" t="str">
        <f>IF(LEN($CY1574)=0,"",IF(AND($CY1574&lt;(-0.05),$ES1574="C neutral forest and HWP assumption"),"Cneutral paradox",IF(AND($CY1574&gt;0.05,$EU1574="In-situ only assumption"),"In-situ only paradox","")))</f>
        <v/>
      </c>
      <c r="FD1574" s="260" t="s">
        <v>2948</v>
      </c>
    </row>
    <row r="1575" spans="1:160" ht="15" hidden="1" customHeight="1">
      <c r="A1575" s="1" t="s">
        <v>412</v>
      </c>
      <c r="B1575" t="s">
        <v>413</v>
      </c>
      <c r="C1575" t="s">
        <v>414</v>
      </c>
      <c r="D1575" t="s">
        <v>415</v>
      </c>
      <c r="E1575" t="s">
        <v>416</v>
      </c>
      <c r="F1575" t="s">
        <v>417</v>
      </c>
      <c r="G1575" t="s">
        <v>418</v>
      </c>
      <c r="H1575" t="s">
        <v>254</v>
      </c>
      <c r="I1575">
        <v>2022</v>
      </c>
      <c r="J1575">
        <v>4</v>
      </c>
      <c r="K1575" t="s">
        <v>419</v>
      </c>
      <c r="M1575" t="str">
        <f>LEFT($D1575,FIND(",",$D1575)-1)&amp;"_"&amp;I1575&amp;L1575</f>
        <v>Bergman_2022</v>
      </c>
      <c r="N1575" t="s">
        <v>222</v>
      </c>
      <c r="O1575" s="145" t="s">
        <v>223</v>
      </c>
      <c r="Q1575" t="s">
        <v>389</v>
      </c>
      <c r="R1575" s="251" t="s">
        <v>225</v>
      </c>
      <c r="S1575" s="1" t="s">
        <v>420</v>
      </c>
      <c r="T1575" t="s">
        <v>421</v>
      </c>
      <c r="U1575" t="s">
        <v>422</v>
      </c>
      <c r="V1575" s="253">
        <v>0</v>
      </c>
      <c r="W1575" s="253">
        <v>0</v>
      </c>
      <c r="X1575">
        <v>0</v>
      </c>
      <c r="Y1575">
        <v>0</v>
      </c>
      <c r="Z1575">
        <v>0</v>
      </c>
      <c r="AA1575">
        <v>0</v>
      </c>
      <c r="AB1575">
        <v>0</v>
      </c>
      <c r="AC1575">
        <v>0</v>
      </c>
      <c r="AD1575">
        <v>0</v>
      </c>
      <c r="AE1575">
        <v>0</v>
      </c>
      <c r="AF1575">
        <v>0</v>
      </c>
      <c r="AG1575">
        <v>0</v>
      </c>
      <c r="AH1575">
        <v>0</v>
      </c>
      <c r="AI1575">
        <v>0</v>
      </c>
      <c r="AJ1575">
        <v>0</v>
      </c>
      <c r="AK1575">
        <v>0</v>
      </c>
      <c r="AL1575">
        <v>1</v>
      </c>
      <c r="AM1575">
        <v>0</v>
      </c>
      <c r="AN1575">
        <v>0</v>
      </c>
      <c r="AO1575">
        <v>0</v>
      </c>
      <c r="AP1575">
        <v>0</v>
      </c>
      <c r="AQ1575">
        <v>0</v>
      </c>
      <c r="AR1575">
        <v>0</v>
      </c>
      <c r="AS1575">
        <v>0</v>
      </c>
      <c r="AT1575">
        <v>0</v>
      </c>
      <c r="AU1575">
        <v>0</v>
      </c>
      <c r="AV1575">
        <v>0</v>
      </c>
      <c r="AW1575">
        <v>0</v>
      </c>
      <c r="AX1575">
        <v>0</v>
      </c>
      <c r="AY1575">
        <v>0</v>
      </c>
      <c r="AZ1575" s="141">
        <f>COUNTIF(X1575:AY1575,"&lt;&gt;0")</f>
        <v>1</v>
      </c>
      <c r="BA1575" s="141">
        <f>COUNTIF(X1575:AN1575,"&lt;&gt;0")</f>
        <v>1</v>
      </c>
      <c r="BB1575">
        <f>COUNTIF(X1575:AE1575,"&lt;&gt;0")</f>
        <v>0</v>
      </c>
      <c r="BC1575">
        <f>COUNTIF(AF1575:AK1575,"&lt;&gt;0")</f>
        <v>0</v>
      </c>
      <c r="BD1575">
        <f>COUNTIF(AL1575:AN1575,"&lt;&gt;0")</f>
        <v>1</v>
      </c>
      <c r="BE1575">
        <f>COUNTIF(AU1575:AY1575,"&lt;&gt;0")</f>
        <v>0</v>
      </c>
      <c r="BF1575">
        <f>COUNTIF(AO1575:AT1575,"&lt;&gt;0")</f>
        <v>0</v>
      </c>
      <c r="BG1575" t="str">
        <f t="array" ref="BG1575">IF(BA1575=1,INDEX($X$7:$AN$7,MATCH(TRUE,INDEX($X1575:$AY1575&lt;&gt;0,),0)),IF(BA1575=0,INDEX($AO$7:$AY$7,MATCH(1,$AO1575:$AY1575,0)),IF(BH1575="Multiple strategies","mixed drivers",IF(BH1575="Supply chain","multiple supply","multiple silviculture"))))</f>
        <v>efficiency improvement</v>
      </c>
      <c r="BH1575" s="2" t="str" cm="1">
        <f t="array" ref="BH1575">IF(COUNTIF(BB1575:BD1575,"&lt;&gt;0")=1,INDEX($X$4:$AY$4,MATCH(TRUE,INDEX($X1575:$AY1575&lt;&gt;0,),0)),IF(COUNTIF(BB1575:BD1575,"&lt;&gt;0")=0,INDEX($AO$4:$AY$4,MATCH(1,$AO1575:$AY1575,0)),"Multiple strategies"))</f>
        <v>Technology</v>
      </c>
      <c r="BI1575" s="1" t="s">
        <v>229</v>
      </c>
      <c r="BJ1575" t="s">
        <v>423</v>
      </c>
      <c r="BK1575" t="s">
        <v>424</v>
      </c>
      <c r="BL1575" t="s">
        <v>425</v>
      </c>
      <c r="BM1575">
        <v>5932</v>
      </c>
      <c r="BN1575">
        <v>15385</v>
      </c>
      <c r="BP1575">
        <f>BN1575-BM1575</f>
        <v>9453</v>
      </c>
      <c r="BQ1575">
        <f>BP1575*kg_to_m3</f>
        <v>19.291836734693881</v>
      </c>
      <c r="BR1575" t="s">
        <v>395</v>
      </c>
      <c r="BS1575" s="256" t="s">
        <v>2947</v>
      </c>
      <c r="BT1575" t="s">
        <v>427</v>
      </c>
      <c r="BU1575">
        <f>242+16+53+48</f>
        <v>359</v>
      </c>
      <c r="BV1575">
        <f>641+60+48</f>
        <v>749</v>
      </c>
      <c r="BW1575" s="144">
        <f>IFERROR(BV1575/BU1575,"")</f>
        <v>2.0863509749303621</v>
      </c>
      <c r="BX1575">
        <f>BV1575-BU1575</f>
        <v>390</v>
      </c>
      <c r="BZ1575">
        <f>BX1575/1000</f>
        <v>0.39</v>
      </c>
      <c r="CA1575">
        <f>IFERROR(BZ1575/BQ1575,"")</f>
        <v>2.0215804506505869E-2</v>
      </c>
      <c r="CB1575">
        <v>0</v>
      </c>
      <c r="CC1575">
        <v>0</v>
      </c>
      <c r="CD1575">
        <v>0</v>
      </c>
      <c r="CE1575">
        <v>0</v>
      </c>
      <c r="CF1575">
        <v>0</v>
      </c>
      <c r="CG1575">
        <v>0</v>
      </c>
      <c r="CH1575">
        <v>0</v>
      </c>
      <c r="CI1575">
        <v>0</v>
      </c>
      <c r="CJ1575">
        <v>0</v>
      </c>
      <c r="CK1575">
        <v>0</v>
      </c>
      <c r="CL1575">
        <v>0</v>
      </c>
      <c r="CM1575">
        <v>0</v>
      </c>
      <c r="CN1575">
        <v>0</v>
      </c>
      <c r="CO1575">
        <v>0</v>
      </c>
      <c r="CP1575" t="str">
        <f>IF($BN1575&lt;$BM1575,"refNeedCorrection","refOK")</f>
        <v>refOK</v>
      </c>
      <c r="CQ1575">
        <f>IF($CP1575="refOK",$BM1575,$BN1575)</f>
        <v>5932</v>
      </c>
      <c r="CR1575">
        <f>IF($CP1575="refOK",$BN1575,$BM1575)</f>
        <v>15385</v>
      </c>
      <c r="CS1575">
        <f>IF($CP1575="refOK",$BQ1575,-$BQ1575)</f>
        <v>19.291836734693881</v>
      </c>
      <c r="CT1575">
        <f>IF(BI1575="Roundwood",$CS1575/2,$CS1575)</f>
        <v>19.291836734693881</v>
      </c>
      <c r="CU1575">
        <f>IF($CP1575="refOK",$BV1575,$BU1575)*IF($BR1575="Emissions positive",-1,1)</f>
        <v>-749</v>
      </c>
      <c r="CV1575">
        <f>IF($CP1575="refOK",$BU1575,$BV1575)*IF($BR1575="Emissions positive",-1,1)</f>
        <v>-359</v>
      </c>
      <c r="CW1575">
        <f>IF($CP1575="refNeedCorrection",-BZ1575,BZ1575)*IF($BR1575="Emissions positive",-1,1)</f>
        <v>-0.39</v>
      </c>
      <c r="CX1575">
        <f>IFERROR($CW1575/$CS1575,"")</f>
        <v>-2.0215804506505869E-2</v>
      </c>
      <c r="CY1575">
        <f>IFERROR($CW1575/$CS1575,"")</f>
        <v>-2.0215804506505869E-2</v>
      </c>
      <c r="CZ1575">
        <f>IFERROR($CW1575/$CT1575,"")</f>
        <v>-2.0215804506505869E-2</v>
      </c>
      <c r="DA1575" s="2">
        <f>IFERROR((CV1575-CU1575)/ABS(CU1575),"")</f>
        <v>0.52069425901201605</v>
      </c>
      <c r="DB1575" s="1" t="s">
        <v>263</v>
      </c>
      <c r="DC1575" t="str">
        <f>IF(OR($DB1575="prd",$DB1575="std",$DB1575="cit"),"loc",IF(OR($DB1575="eur",$DB1575="reg",$DB1575="coy"),"reg",$DB1575))</f>
        <v>loc</v>
      </c>
      <c r="DD1575" t="s">
        <v>428</v>
      </c>
      <c r="DG1575">
        <v>0</v>
      </c>
      <c r="DH1575" t="str">
        <f>IF(DG1575=0,"0",IF(AND(DG1575&gt;=1,DG1575&lt;=30),"1-30",IF(AND(DG1575&gt;30,DG1575&lt;=70),"31-70",IF(AND(DG1575&gt;70,DG1575&lt;=100),"71-100",IF(DG1575&gt;100,"+100")))))</f>
        <v>0</v>
      </c>
      <c r="DI1575">
        <v>0</v>
      </c>
      <c r="DJ1575">
        <v>1</v>
      </c>
      <c r="DK1575">
        <v>0</v>
      </c>
      <c r="DL1575">
        <v>0</v>
      </c>
      <c r="DM1575">
        <v>0</v>
      </c>
      <c r="DN1575">
        <f>SUM(DI1575:DM1575)</f>
        <v>1</v>
      </c>
      <c r="DO1575" t="str">
        <f>IF(DN1575=1,INDEX($DI$7:$DL$7,MATCH(1,$DI1575:$DL1575,0)),"mixedProduct")</f>
        <v>EnergyInput</v>
      </c>
      <c r="DP1575">
        <f>IF(DI1575=1,DP$7,0)</f>
        <v>0</v>
      </c>
      <c r="DQ1575" t="str">
        <f>IF(DJ1575=1,DQ$7,0)</f>
        <v>Energy</v>
      </c>
      <c r="DR1575">
        <f>IF(DK1575=1,DR$7,0)</f>
        <v>0</v>
      </c>
      <c r="DS1575">
        <f>IF(DL1575=1,DS$7,0)</f>
        <v>0</v>
      </c>
      <c r="DT1575">
        <v>0</v>
      </c>
      <c r="DU1575">
        <v>0</v>
      </c>
      <c r="DV1575">
        <v>0</v>
      </c>
      <c r="DW1575">
        <v>0</v>
      </c>
      <c r="DX1575">
        <v>0</v>
      </c>
      <c r="DY1575">
        <f>SUM(DT1575:DU1575)</f>
        <v>0</v>
      </c>
      <c r="DZ1575" t="str">
        <f>IF(DT1575=1,"self-calculated DF",IF(DU1575=1,"external DF used","explicit C balance"))</f>
        <v>explicit C balance</v>
      </c>
      <c r="EA1575">
        <v>0</v>
      </c>
      <c r="EB1575">
        <v>1</v>
      </c>
      <c r="EC1575">
        <v>0</v>
      </c>
      <c r="ED1575">
        <v>0</v>
      </c>
      <c r="EE1575">
        <v>1</v>
      </c>
      <c r="EF1575" s="143">
        <v>0</v>
      </c>
      <c r="EG1575">
        <v>0</v>
      </c>
      <c r="EH1575">
        <v>1</v>
      </c>
      <c r="EI1575">
        <v>0</v>
      </c>
      <c r="EJ1575">
        <v>0</v>
      </c>
      <c r="EK1575">
        <v>0</v>
      </c>
      <c r="EL1575">
        <v>0</v>
      </c>
      <c r="EM1575">
        <v>0</v>
      </c>
      <c r="EN1575" s="2">
        <v>0</v>
      </c>
      <c r="EP1575" t="str">
        <f>IF(AND(AND(AND(OR($EC1575=1,$EB1575=1),OR($EH1575=1,$EF1575=1)),SUM($EA1575:$EE1575,$EK1575)&gt;=3),SUM($EF1575:$EJ1575)&gt;=2),"Whole sector approach","")</f>
        <v/>
      </c>
      <c r="EQ1575" t="str">
        <f>IF(AND(AND(OR($EC1575=1,$EB1575=1),AND($EH1575=0,$EF1575=0)),SUM($EA1575:$EE1575,$EK1575)&gt;=4),"Ecosystem approach","")</f>
        <v/>
      </c>
      <c r="ER1575" s="2" t="str">
        <f>IF(AND(AND(AND($EC1575=0,$EB1575=0),OR($EH1575=1,$EF1575=1)),SUM($EG1575:$EJ1575)&gt;=2),"Technology approach","")</f>
        <v/>
      </c>
      <c r="ES1575" t="str">
        <f>IF(AND($EC1575+$EB1575+$EE1575+$EA1575+$ED1575+$EG1575=0,$N1575="included"),"C neutral forest and HWP assumption","")</f>
        <v/>
      </c>
      <c r="ET1575" t="str">
        <f>IF(AND(AND(AND(AND($EC1575=1,$EB1575+$EA1575+$EG1575&gt;=1),$EF1575=1),$EH1575+$EI1575+$ED1575+$EE1575&gt;=2),$N1575="included"),"All C pools assumption","")</f>
        <v/>
      </c>
      <c r="EU1575" t="str">
        <f>IF(AND($ED1575+$EE1575+$EI1575+$EH1575+$EF1575=0,$N1575="included"),"In-situ only assumption","")</f>
        <v/>
      </c>
      <c r="EY1575" t="str">
        <f>IF(ISNUMBER(BW1575),IF(ABS(BW1575-[6]QC_indicators!$B$2)&gt;3*[6]QC_indicators!$C$2,"C ratio",IF(ISNUMBER(CA1575),IF(ABS(CA1575-[6]QC_indicators!$B$1)&gt;3*[6]QC_indicators!$C$1,"DF","no"))),IF(ISNUMBER(CA1575),IF(ABS(CA1575-[6]QC_indicators!$B$1)&gt;3*[6]QC_indicators!$C$1,"DF","no")))</f>
        <v>no</v>
      </c>
      <c r="FA1575" t="str">
        <f>IF(LEN($CY1575)=0,"",IF(AND($CY1575&lt;(-0.05),$ES1575="C neutral forest and HWP assumption"),"Cneutral paradox",IF(AND($CY1575&gt;0.05,$EU1575="In-situ only assumption"),"In-situ only paradox","")))</f>
        <v/>
      </c>
      <c r="FD1575" s="260" t="s">
        <v>2948</v>
      </c>
    </row>
    <row r="1576" spans="1:160" ht="15" hidden="1" customHeight="1">
      <c r="A1576" s="1" t="s">
        <v>500</v>
      </c>
      <c r="B1576" t="s">
        <v>501</v>
      </c>
      <c r="C1576" t="s">
        <v>502</v>
      </c>
      <c r="D1576" t="s">
        <v>503</v>
      </c>
      <c r="E1576" t="s">
        <v>504</v>
      </c>
      <c r="F1576" t="s">
        <v>505</v>
      </c>
      <c r="G1576" t="s">
        <v>506</v>
      </c>
      <c r="H1576" t="s">
        <v>254</v>
      </c>
      <c r="I1576">
        <v>2021</v>
      </c>
      <c r="J1576">
        <v>7</v>
      </c>
      <c r="K1576" t="s">
        <v>507</v>
      </c>
      <c r="M1576" t="str">
        <f>LEFT($D1576,FIND(",",$D1576)-1)&amp;"_"&amp;I1576&amp;L1576</f>
        <v>Caldas_2021</v>
      </c>
      <c r="N1576" t="s">
        <v>222</v>
      </c>
      <c r="O1576" s="145" t="s">
        <v>223</v>
      </c>
      <c r="P1576" t="s">
        <v>508</v>
      </c>
      <c r="Q1576" s="317" t="s">
        <v>256</v>
      </c>
      <c r="R1576" s="318" t="s">
        <v>1029</v>
      </c>
      <c r="S1576" s="1" t="s">
        <v>514</v>
      </c>
      <c r="T1576" t="s">
        <v>4906</v>
      </c>
      <c r="U1576" t="s">
        <v>4907</v>
      </c>
      <c r="V1576" s="253">
        <v>0</v>
      </c>
      <c r="W1576" s="253">
        <v>0</v>
      </c>
      <c r="X1576">
        <v>0</v>
      </c>
      <c r="Y1576">
        <v>0</v>
      </c>
      <c r="Z1576">
        <v>0</v>
      </c>
      <c r="AA1576">
        <v>0</v>
      </c>
      <c r="AB1576">
        <v>0</v>
      </c>
      <c r="AC1576">
        <v>0</v>
      </c>
      <c r="AD1576">
        <v>0</v>
      </c>
      <c r="AE1576">
        <v>0</v>
      </c>
      <c r="AF1576">
        <v>0</v>
      </c>
      <c r="AG1576">
        <v>0</v>
      </c>
      <c r="AH1576">
        <v>1</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s="141">
        <f>COUNTIF(X1576:AY1576,"&lt;&gt;0")</f>
        <v>1</v>
      </c>
      <c r="BA1576" s="141">
        <f>COUNTIF(X1576:AN1576,"&lt;&gt;0")</f>
        <v>1</v>
      </c>
      <c r="BB1576">
        <f>COUNTIF(X1576:AE1576,"&lt;&gt;0")</f>
        <v>0</v>
      </c>
      <c r="BC1576">
        <f>COUNTIF(AF1576:AK1576,"&lt;&gt;0")</f>
        <v>1</v>
      </c>
      <c r="BD1576">
        <f>COUNTIF(AL1576:AN1576,"&lt;&gt;0")</f>
        <v>0</v>
      </c>
      <c r="BE1576">
        <f>COUNTIF(AU1576:AY1576,"&lt;&gt;0")</f>
        <v>0</v>
      </c>
      <c r="BF1576">
        <f>COUNTIF(AO1576:AT1576,"&lt;&gt;0")</f>
        <v>0</v>
      </c>
      <c r="BG1576" t="str" cm="1">
        <f t="array" ref="BG1576">IF(BA1576=1,INDEX($X$7:$AN$7,MATCH(TRUE,INDEX($X1576:$AY1576&lt;&gt;0,),0)),IF(BA1576=0,INDEX($AO$7:$AY$7,MATCH(1,$AO1576:$AY1576,0)),IF(BH1576="Multiple strategies","mixed drivers",IF(BH1576="Supply chain","multiple supply","multiple silviculture"))))</f>
        <v>supply chain organization</v>
      </c>
      <c r="BH1576" s="2" t="str" cm="1">
        <f t="array" ref="BH1576">IF(COUNTIF(BB1576:BD1576,"&lt;&gt;0")=1,INDEX($X$4:$AY$4,MATCH(TRUE,INDEX($X1576:$AY1576&lt;&gt;0,),0)),IF(COUNTIF(BB1576:BD1576,"&lt;&gt;0")=0,INDEX($AO$4:$AY$4,MATCH(1,$AO1576:$AY1576,0)),"Multiple strategies"))</f>
        <v>Supply chain</v>
      </c>
      <c r="BI1576" s="1" t="s">
        <v>229</v>
      </c>
      <c r="BJ1576" t="s">
        <v>510</v>
      </c>
      <c r="BK1576" s="141" t="s">
        <v>4892</v>
      </c>
      <c r="BL1576" t="s">
        <v>511</v>
      </c>
      <c r="BM1576">
        <v>247</v>
      </c>
      <c r="BN1576">
        <v>247</v>
      </c>
      <c r="BP1576">
        <f>BN1576-BM1576</f>
        <v>0</v>
      </c>
      <c r="BQ1576">
        <f>BP1576*kg_to_m3</f>
        <v>0</v>
      </c>
      <c r="BR1576" s="317" t="s">
        <v>232</v>
      </c>
      <c r="BS1576" s="141" t="s">
        <v>4892</v>
      </c>
      <c r="BT1576" t="s">
        <v>512</v>
      </c>
      <c r="BU1576">
        <v>-922</v>
      </c>
      <c r="BV1576">
        <f>-680</f>
        <v>-680</v>
      </c>
      <c r="BW1576" s="144">
        <f>IFERROR(BV1576/BU1576,"")</f>
        <v>0.73752711496746204</v>
      </c>
      <c r="BX1576" s="175">
        <f>BV1576-BU1576</f>
        <v>242</v>
      </c>
      <c r="BZ1576">
        <f>BX1576/1000</f>
        <v>0.24199999999999999</v>
      </c>
      <c r="CA1576" t="str">
        <f>IFERROR(BZ1576/BQ1576,"")</f>
        <v/>
      </c>
      <c r="CB1576" s="143">
        <v>0</v>
      </c>
      <c r="CC1576" s="143">
        <v>0</v>
      </c>
      <c r="CD1576" s="143">
        <v>0</v>
      </c>
      <c r="CE1576" s="143">
        <v>0</v>
      </c>
      <c r="CF1576" s="143">
        <v>0</v>
      </c>
      <c r="CG1576" s="143">
        <v>0</v>
      </c>
      <c r="CH1576" s="143">
        <v>0</v>
      </c>
      <c r="CI1576" s="143">
        <v>0</v>
      </c>
      <c r="CJ1576" s="143">
        <v>0</v>
      </c>
      <c r="CK1576" s="143">
        <v>0</v>
      </c>
      <c r="CL1576" s="143">
        <v>0</v>
      </c>
      <c r="CM1576" s="143">
        <v>0</v>
      </c>
      <c r="CN1576" s="143">
        <v>0</v>
      </c>
      <c r="CO1576">
        <v>0</v>
      </c>
      <c r="CP1576" t="str">
        <f>IF($BN1576&lt;$BM1576,"refNeedCorrection","refOK")</f>
        <v>refOK</v>
      </c>
      <c r="CQ1576">
        <f>IF($CP1576="refOK",$BM1576,$BN1576)</f>
        <v>247</v>
      </c>
      <c r="CR1576">
        <f>IF($CP1576="refOK",$BN1576,$BM1576)</f>
        <v>247</v>
      </c>
      <c r="CS1576">
        <f>IF($CP1576="refOK",$BQ1576,-$BQ1576)</f>
        <v>0</v>
      </c>
      <c r="CT1576">
        <f>IF(BI1576="Roundwood",$CS1576/2,$CS1576)</f>
        <v>0</v>
      </c>
      <c r="CU1576">
        <f>IF($CP1576="refOK",$BU1576,$BV1576)*IF($BR1576="Emissions positive",-1,1)</f>
        <v>-922</v>
      </c>
      <c r="CV1576">
        <f>IF($CP1576="refOK",$BV1576,$BU1576)*IF($BR1576="Emissions positive",-1,1)</f>
        <v>-680</v>
      </c>
      <c r="CW1576"/>
      <c r="CX1576" t="str">
        <f>IFERROR($CW1576/$CS1576,"")</f>
        <v/>
      </c>
      <c r="CY1576" t="str">
        <f>IFERROR($CW1576/$CS1576,"")</f>
        <v/>
      </c>
      <c r="CZ1576" t="str">
        <f>IFERROR($CW1576/$CT1576,"")</f>
        <v/>
      </c>
      <c r="DA1576" s="2"/>
      <c r="DB1576" s="1" t="s">
        <v>263</v>
      </c>
      <c r="DC1576" s="317" t="str">
        <f>IF(OR($DB1576="prd",$DB1576="std",$DB1576="cit"),"loc",IF(OR($DB1576="eur",$DB1576="reg",$DB1576="coy"),"reg",$DB1576))</f>
        <v>loc</v>
      </c>
      <c r="DD1576" t="s">
        <v>513</v>
      </c>
      <c r="DE1576">
        <v>2014</v>
      </c>
      <c r="DF1576">
        <v>2014</v>
      </c>
      <c r="DG1576">
        <f>DF1576-DE1576</f>
        <v>0</v>
      </c>
      <c r="DH1576" t="str">
        <f>IF(DG1576=0,"0",IF(AND(DG1576&gt;=1,DG1576&lt;=30),"1-30",IF(AND(DG1576&gt;30,DG1576&lt;=70),"31-70",IF(AND(DG1576&gt;70,DG1576&lt;=100),"71-100",IF(DG1576&gt;100,"+100")))))</f>
        <v>0</v>
      </c>
      <c r="DI1576">
        <v>0</v>
      </c>
      <c r="DJ1576">
        <v>0</v>
      </c>
      <c r="DK1576">
        <v>0</v>
      </c>
      <c r="DL1576">
        <v>1</v>
      </c>
      <c r="DN1576">
        <f>SUM(DI1576:DL1576)</f>
        <v>1</v>
      </c>
      <c r="DO1576" t="str">
        <f>IF(DN1576=1,INDEX($DI$7:$DL$7,MATCH(1,$DI1576:$DL1576,0)),"mixedProduct")</f>
        <v>TimberInput</v>
      </c>
      <c r="DP1576">
        <f>IF(DI1576=1,DP$7,0)</f>
        <v>0</v>
      </c>
      <c r="DQ1576">
        <f>IF(DJ1576=1,DQ$7,0)</f>
        <v>0</v>
      </c>
      <c r="DR1576">
        <f>IF(DK1576=1,DR$7,0)</f>
        <v>0</v>
      </c>
      <c r="DS1576" t="str">
        <f>IF(DL1576=1,DS$7,0)</f>
        <v>Timber</v>
      </c>
      <c r="DT1576">
        <v>0</v>
      </c>
      <c r="DU1576" s="143">
        <v>0</v>
      </c>
      <c r="DV1576" s="143">
        <v>0</v>
      </c>
      <c r="DW1576" s="143">
        <v>0</v>
      </c>
      <c r="DX1576">
        <v>0</v>
      </c>
      <c r="DY1576">
        <f>SUM(DT1576:DU1576)</f>
        <v>0</v>
      </c>
      <c r="DZ1576" s="143" t="str">
        <f>IF(DT1576=1,"self-calculated DF",IF(DU1576=1,"external DF used","explicit C balance"))</f>
        <v>explicit C balance</v>
      </c>
      <c r="EA1576">
        <v>0</v>
      </c>
      <c r="EB1576" s="143">
        <v>0</v>
      </c>
      <c r="EC1576" s="143">
        <v>0</v>
      </c>
      <c r="ED1576" s="143">
        <v>0</v>
      </c>
      <c r="EE1576">
        <v>0</v>
      </c>
      <c r="EF1576" s="143">
        <v>1</v>
      </c>
      <c r="EG1576">
        <v>0</v>
      </c>
      <c r="EH1576" s="143">
        <v>1</v>
      </c>
      <c r="EI1576" s="143">
        <v>0</v>
      </c>
      <c r="EJ1576">
        <v>0</v>
      </c>
      <c r="EK1576">
        <v>0</v>
      </c>
      <c r="EL1576" s="143">
        <v>0</v>
      </c>
      <c r="EM1576" s="143">
        <v>0</v>
      </c>
      <c r="EN1576" s="2">
        <v>0</v>
      </c>
      <c r="EP1576" t="str">
        <f>IF(AND(AND(AND(OR($EC1576=1,$EB1576=1),OR($EH1576=1,$EF1576=1)),SUM($EA1576:$EE1576,$EK1576)&gt;=3),SUM($EF1576:$EJ1576)&gt;=2),"Whole sector approach","")</f>
        <v/>
      </c>
      <c r="EQ1576" t="str">
        <f>IF(AND(AND(OR($EC1576=1,$EB1576=1),AND($EH1576=0,$EF1576=0)),SUM($EA1576:$EE1576,$EK1576)&gt;=3),"Ecosystem approach","")</f>
        <v/>
      </c>
      <c r="ER1576" s="2" t="str">
        <f>IF(AND(AND(AND($EC1576=0,$EB1576=0),OR($EH1576=1,$EF1576=1)),SUM($EG1576:$EJ1576)&gt;=2),"Technology approach","")</f>
        <v/>
      </c>
      <c r="ES1576" t="str">
        <f>IF(AND($EC1576+$EB1576+$EE1576+$EA1576+$ED1576+$EG1576=0,$N1576="included"),"C neutral forest and HWP assumption","")</f>
        <v>C neutral forest and HWP assumption</v>
      </c>
      <c r="ET1576" t="str">
        <f>IF(AND(AND(AND(AND($EC1576=1,$EB1576+$EA1576+$EG1576&gt;=1),$EF1576=1),$EH1576+$EI1576+$ED1576+$EE1576&gt;=2),$N1576="included"),"All C pools assumption","")</f>
        <v/>
      </c>
      <c r="EU1576" t="str">
        <f>IF(AND($ED1576+$EE1576+$EI1576+$EH1576+$EF1576=0,$N1576="included"),"In-situ only assumption","")</f>
        <v/>
      </c>
      <c r="EY1576" t="b">
        <f>IF(ISNUMBER(BW1576),IF(ABS(BW1576-[4]QC_indicators!$B$2)&gt;3*[4]QC_indicators!$C$2,"C ratio",IF(ISNUMBER(CA1576),IF(ABS(CA1576-[4]QC_indicators!$B$1)&gt;3*[4]QC_indicators!$C$1,"DF","no"))),IF(ISNUMBER(CA1576),IF(ABS(CA1576-[4]QC_indicators!$B$1)&gt;3*[4]QC_indicators!$C$1,"DF","no")))</f>
        <v>0</v>
      </c>
      <c r="FA1576" t="str">
        <f>IF(LEN($CY1576)=0,"",IF(AND($CY1576&lt;(-0.05),$ES1576="C neutral forest and HWP assumption"),"Cneutral paradox",IF(AND($CY1576&gt;0.05,$EU1576="In-situ only assumption"),"In-situ only paradox","")))</f>
        <v/>
      </c>
      <c r="FB1576" s="319" t="s">
        <v>349</v>
      </c>
      <c r="FD1576" s="145" t="s">
        <v>4893</v>
      </c>
    </row>
    <row r="1577" spans="1:160" ht="15" hidden="1" customHeight="1">
      <c r="A1577" s="1" t="s">
        <v>500</v>
      </c>
      <c r="B1577" t="s">
        <v>501</v>
      </c>
      <c r="C1577" t="s">
        <v>502</v>
      </c>
      <c r="D1577" t="s">
        <v>503</v>
      </c>
      <c r="E1577" t="s">
        <v>504</v>
      </c>
      <c r="F1577" t="s">
        <v>505</v>
      </c>
      <c r="G1577" t="s">
        <v>506</v>
      </c>
      <c r="H1577" t="s">
        <v>254</v>
      </c>
      <c r="I1577">
        <v>2021</v>
      </c>
      <c r="J1577">
        <v>7</v>
      </c>
      <c r="K1577" t="s">
        <v>507</v>
      </c>
      <c r="M1577" t="str">
        <f>LEFT($D1577,FIND(",",$D1577)-1)&amp;"_"&amp;I1577&amp;L1577</f>
        <v>Caldas_2021</v>
      </c>
      <c r="N1577" t="s">
        <v>222</v>
      </c>
      <c r="O1577" s="145" t="s">
        <v>223</v>
      </c>
      <c r="P1577" t="s">
        <v>508</v>
      </c>
      <c r="Q1577" s="317" t="s">
        <v>256</v>
      </c>
      <c r="R1577" s="318" t="s">
        <v>1029</v>
      </c>
      <c r="S1577" s="1" t="s">
        <v>509</v>
      </c>
      <c r="T1577" t="s">
        <v>4894</v>
      </c>
      <c r="U1577" t="s">
        <v>4895</v>
      </c>
      <c r="V1577" s="253">
        <v>0</v>
      </c>
      <c r="W1577" s="253">
        <v>0</v>
      </c>
      <c r="X1577">
        <v>0</v>
      </c>
      <c r="Y1577">
        <v>0</v>
      </c>
      <c r="Z1577">
        <v>0</v>
      </c>
      <c r="AA1577">
        <v>0</v>
      </c>
      <c r="AB1577">
        <v>0</v>
      </c>
      <c r="AC1577">
        <v>0</v>
      </c>
      <c r="AD1577">
        <v>0</v>
      </c>
      <c r="AE1577">
        <v>0</v>
      </c>
      <c r="AF1577">
        <v>0</v>
      </c>
      <c r="AG1577">
        <v>1</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s="141">
        <f>COUNTIF(X1577:AY1577,"&lt;&gt;0")</f>
        <v>1</v>
      </c>
      <c r="BA1577" s="141">
        <f>COUNTIF(X1577:AN1577,"&lt;&gt;0")</f>
        <v>1</v>
      </c>
      <c r="BB1577">
        <f>COUNTIF(X1577:AE1577,"&lt;&gt;0")</f>
        <v>0</v>
      </c>
      <c r="BC1577">
        <f>COUNTIF(AF1577:AK1577,"&lt;&gt;0")</f>
        <v>1</v>
      </c>
      <c r="BD1577">
        <f>COUNTIF(AL1577:AN1577,"&lt;&gt;0")</f>
        <v>0</v>
      </c>
      <c r="BE1577">
        <f>COUNTIF(AU1577:AY1577,"&lt;&gt;0")</f>
        <v>0</v>
      </c>
      <c r="BF1577">
        <f>COUNTIF(AO1577:AT1577,"&lt;&gt;0")</f>
        <v>0</v>
      </c>
      <c r="BG1577" t="str" cm="1">
        <f t="array" ref="BG1577">IF(BA1577=1,INDEX($X$7:$AN$7,MATCH(TRUE,INDEX($X1577:$AY1577&lt;&gt;0,),0)),IF(BA1577=0,INDEX($AO$7:$AY$7,MATCH(1,$AO1577:$AY1577,0)),IF(BH1577="Multiple strategies","mixed drivers",IF(BH1577="Supply chain","multiple supply","multiple silviculture"))))</f>
        <v>location of industry</v>
      </c>
      <c r="BH1577" s="2" t="str" cm="1">
        <f t="array" ref="BH1577">IF(COUNTIF(BB1577:BD1577,"&lt;&gt;0")=1,INDEX($X$4:$AY$4,MATCH(TRUE,INDEX($X1577:$AY1577&lt;&gt;0,),0)),IF(COUNTIF(BB1577:BD1577,"&lt;&gt;0")=0,INDEX($AO$4:$AY$4,MATCH(1,$AO1577:$AY1577,0)),"Multiple strategies"))</f>
        <v>Supply chain</v>
      </c>
      <c r="BI1577" s="1" t="s">
        <v>229</v>
      </c>
      <c r="BJ1577" t="s">
        <v>510</v>
      </c>
      <c r="BK1577" s="141" t="s">
        <v>4892</v>
      </c>
      <c r="BL1577" t="s">
        <v>511</v>
      </c>
      <c r="BM1577">
        <v>247</v>
      </c>
      <c r="BN1577">
        <v>247</v>
      </c>
      <c r="BP1577">
        <f>BN1577-BM1577</f>
        <v>0</v>
      </c>
      <c r="BQ1577">
        <f>BP1577*kg_to_m3</f>
        <v>0</v>
      </c>
      <c r="BR1577" s="317" t="s">
        <v>232</v>
      </c>
      <c r="BS1577" s="141" t="s">
        <v>4892</v>
      </c>
      <c r="BT1577" t="s">
        <v>512</v>
      </c>
      <c r="BU1577">
        <v>-372</v>
      </c>
      <c r="BV1577">
        <v>-530.29999999999995</v>
      </c>
      <c r="BW1577" s="144">
        <f>IFERROR(BV1577/BU1577,"")</f>
        <v>1.4255376344086019</v>
      </c>
      <c r="BX1577" s="175">
        <f>BV1577-BU1577</f>
        <v>-158.29999999999995</v>
      </c>
      <c r="BZ1577">
        <f>BX1577/1000</f>
        <v>-0.15829999999999994</v>
      </c>
      <c r="CA1577" t="str">
        <f>IFERROR(BZ1577/BQ1577,"")</f>
        <v/>
      </c>
      <c r="CB1577" s="143">
        <v>0</v>
      </c>
      <c r="CC1577" s="143">
        <v>0</v>
      </c>
      <c r="CD1577" s="143">
        <v>0</v>
      </c>
      <c r="CE1577" s="143">
        <v>0</v>
      </c>
      <c r="CF1577" s="143">
        <v>0</v>
      </c>
      <c r="CG1577" s="143">
        <v>0</v>
      </c>
      <c r="CH1577" s="143">
        <v>0</v>
      </c>
      <c r="CI1577" s="143">
        <v>0</v>
      </c>
      <c r="CJ1577" s="143">
        <v>0</v>
      </c>
      <c r="CK1577" s="143">
        <v>0</v>
      </c>
      <c r="CL1577" s="143">
        <v>0</v>
      </c>
      <c r="CM1577" s="143">
        <v>0</v>
      </c>
      <c r="CN1577" s="143">
        <v>0</v>
      </c>
      <c r="CO1577">
        <v>0</v>
      </c>
      <c r="CP1577" t="str">
        <f>IF($BN1577&lt;$BM1577,"refNeedCorrection","refOK")</f>
        <v>refOK</v>
      </c>
      <c r="CQ1577">
        <f>IF($CP1577="refOK",$BM1577,$BN1577)</f>
        <v>247</v>
      </c>
      <c r="CR1577">
        <f>IF($CP1577="refOK",$BN1577,$BM1577)</f>
        <v>247</v>
      </c>
      <c r="CS1577">
        <f>IF($CP1577="refOK",$BQ1577,-$BQ1577)</f>
        <v>0</v>
      </c>
      <c r="CT1577">
        <f>IF(BI1577="Roundwood",$CS1577/2,$CS1577)</f>
        <v>0</v>
      </c>
      <c r="CU1577">
        <f>IF($CP1577="refOK",$BU1577,$BV1577)*IF($BR1577="Emissions positive",-1,1)</f>
        <v>-372</v>
      </c>
      <c r="CV1577">
        <f>IF($CP1577="refOK",$BV1577,$BU1577)*IF($BR1577="Emissions positive",-1,1)</f>
        <v>-530.29999999999995</v>
      </c>
      <c r="CW1577">
        <f>IF($CP1577="refNeedCorrection",-BZ1577,BZ1577)*IF($BR1577="Emissions positive",-1,1)</f>
        <v>-0.15829999999999994</v>
      </c>
      <c r="CX1577" t="str">
        <f>IFERROR($CW1577/$CS1577,"")</f>
        <v/>
      </c>
      <c r="CY1577" t="str">
        <f>IFERROR($CW1577/$CS1577,"")</f>
        <v/>
      </c>
      <c r="CZ1577" t="str">
        <f>IFERROR($CW1577/$CT1577,"")</f>
        <v/>
      </c>
      <c r="DA1577" s="2">
        <f>IFERROR((CV1577-CU1577)/ABS(CU1577),"")</f>
        <v>-0.42553763440860204</v>
      </c>
      <c r="DB1577" s="1" t="s">
        <v>263</v>
      </c>
      <c r="DC1577" s="317" t="str">
        <f>IF(OR($DB1577="prd",$DB1577="std",$DB1577="cit"),"loc",IF(OR($DB1577="eur",$DB1577="reg",$DB1577="coy"),"reg",$DB1577))</f>
        <v>loc</v>
      </c>
      <c r="DD1577" t="s">
        <v>513</v>
      </c>
      <c r="DE1577">
        <v>2014</v>
      </c>
      <c r="DF1577">
        <v>2014</v>
      </c>
      <c r="DG1577">
        <f>DF1577-DE1577</f>
        <v>0</v>
      </c>
      <c r="DH1577" t="str">
        <f>IF(DG1577=0,"0",IF(AND(DG1577&gt;=1,DG1577&lt;=30),"1-30",IF(AND(DG1577&gt;30,DG1577&lt;=70),"31-70",IF(AND(DG1577&gt;70,DG1577&lt;=100),"71-100",IF(DG1577&gt;100,"+100")))))</f>
        <v>0</v>
      </c>
      <c r="DI1577">
        <v>0</v>
      </c>
      <c r="DJ1577">
        <v>0</v>
      </c>
      <c r="DK1577">
        <v>0</v>
      </c>
      <c r="DL1577">
        <v>1</v>
      </c>
      <c r="DN1577">
        <f>SUM(DI1577:DL1577)</f>
        <v>1</v>
      </c>
      <c r="DO1577" t="str">
        <f>IF(DN1577=1,INDEX($DI$7:$DL$7,MATCH(1,$DI1577:$DL1577,0)),"mixedProduct")</f>
        <v>TimberInput</v>
      </c>
      <c r="DP1577">
        <f>IF(DI1577=1,DP$7,0)</f>
        <v>0</v>
      </c>
      <c r="DQ1577">
        <f>IF(DJ1577=1,DQ$7,0)</f>
        <v>0</v>
      </c>
      <c r="DR1577">
        <f>IF(DK1577=1,DR$7,0)</f>
        <v>0</v>
      </c>
      <c r="DS1577" t="str">
        <f>IF(DL1577=1,DS$7,0)</f>
        <v>Timber</v>
      </c>
      <c r="DT1577">
        <v>0</v>
      </c>
      <c r="DU1577" s="143">
        <v>0</v>
      </c>
      <c r="DV1577" s="143">
        <v>0</v>
      </c>
      <c r="DW1577" s="143">
        <v>0</v>
      </c>
      <c r="DX1577">
        <v>0</v>
      </c>
      <c r="DY1577">
        <f>SUM(DT1577:DU1577)</f>
        <v>0</v>
      </c>
      <c r="DZ1577" s="143" t="str">
        <f>IF(DT1577=1,"self-calculated DF",IF(DU1577=1,"external DF used","explicit C balance"))</f>
        <v>explicit C balance</v>
      </c>
      <c r="EA1577">
        <v>0</v>
      </c>
      <c r="EB1577" s="143">
        <v>0</v>
      </c>
      <c r="EC1577" s="143">
        <v>0</v>
      </c>
      <c r="ED1577" s="143">
        <v>0</v>
      </c>
      <c r="EE1577">
        <v>0</v>
      </c>
      <c r="EF1577" s="143">
        <v>1</v>
      </c>
      <c r="EG1577">
        <v>0</v>
      </c>
      <c r="EH1577" s="143">
        <v>1</v>
      </c>
      <c r="EI1577" s="143">
        <v>0</v>
      </c>
      <c r="EJ1577">
        <v>0</v>
      </c>
      <c r="EK1577">
        <v>0</v>
      </c>
      <c r="EL1577" s="143">
        <v>0</v>
      </c>
      <c r="EM1577" s="143">
        <v>0</v>
      </c>
      <c r="EN1577" s="2">
        <v>0</v>
      </c>
      <c r="EP1577" t="str">
        <f>IF(AND(AND(AND(OR($EC1577=1,$EB1577=1),OR($EH1577=1,$EF1577=1)),SUM($EA1577:$EE1577,$EK1577)&gt;=3),SUM($EF1577:$EJ1577)&gt;=2),"Whole sector approach","")</f>
        <v/>
      </c>
      <c r="EQ1577" t="str">
        <f>IF(AND(AND(OR($EC1577=1,$EB1577=1),AND($EH1577=0,$EF1577=0)),SUM($EA1577:$EE1577,$EK1577)&gt;=3),"Ecosystem approach","")</f>
        <v/>
      </c>
      <c r="ER1577" s="2" t="str">
        <f>IF(AND(AND(AND($EC1577=0,$EB1577=0),OR($EH1577=1,$EF1577=1)),SUM($EG1577:$EJ1577)&gt;=2),"Technology approach","")</f>
        <v/>
      </c>
      <c r="ES1577" t="str">
        <f>IF(AND($EC1577+$EB1577+$EE1577+$EA1577+$ED1577+$EG1577=0,$N1577="included"),"C neutral forest and HWP assumption","")</f>
        <v>C neutral forest and HWP assumption</v>
      </c>
      <c r="ET1577" t="str">
        <f>IF(AND(AND(AND(AND($EC1577=1,$EB1577+$EA1577+$EG1577&gt;=1),$EF1577=1),$EH1577+$EI1577+$ED1577+$EE1577&gt;=2),$N1577="included"),"All C pools assumption","")</f>
        <v/>
      </c>
      <c r="EU1577" t="str">
        <f>IF(AND($ED1577+$EE1577+$EI1577+$EH1577+$EF1577=0,$N1577="included"),"In-situ only assumption","")</f>
        <v/>
      </c>
      <c r="EY1577" t="b">
        <f>IF(ISNUMBER(BW1577),IF(ABS(BW1577-[4]QC_indicators!$B$2)&gt;3*[4]QC_indicators!$C$2,"C ratio",IF(ISNUMBER(CA1577),IF(ABS(CA1577-[4]QC_indicators!$B$1)&gt;3*[4]QC_indicators!$C$1,"DF","no"))),IF(ISNUMBER(CA1577),IF(ABS(CA1577-[4]QC_indicators!$B$1)&gt;3*[4]QC_indicators!$C$1,"DF","no")))</f>
        <v>0</v>
      </c>
      <c r="FA1577" t="str">
        <f>IF(LEN($CY1577)=0,"",IF(AND($CY1577&lt;(-0.05),$ES1577="C neutral forest and HWP assumption"),"Cneutral paradox",IF(AND($CY1577&gt;0.05,$EU1577="In-situ only assumption"),"In-situ only paradox","")))</f>
        <v/>
      </c>
      <c r="FB1577" s="319" t="s">
        <v>349</v>
      </c>
      <c r="FD1577" s="145" t="s">
        <v>4893</v>
      </c>
    </row>
    <row r="1578" spans="1:160" ht="15" hidden="1" customHeight="1">
      <c r="A1578" s="1" t="s">
        <v>586</v>
      </c>
      <c r="B1578" t="s">
        <v>587</v>
      </c>
      <c r="C1578" t="s">
        <v>588</v>
      </c>
      <c r="D1578" t="s">
        <v>589</v>
      </c>
      <c r="E1578" t="s">
        <v>590</v>
      </c>
      <c r="F1578" t="s">
        <v>591</v>
      </c>
      <c r="G1578" t="s">
        <v>592</v>
      </c>
      <c r="H1578" t="s">
        <v>254</v>
      </c>
      <c r="I1578">
        <v>2022</v>
      </c>
      <c r="J1578">
        <v>15</v>
      </c>
      <c r="K1578" t="s">
        <v>593</v>
      </c>
      <c r="M1578" t="str">
        <f>LEFT($D1578,FIND(",",$D1578)-1)&amp;"_"&amp;I1578&amp;L1578</f>
        <v>Dani_2022</v>
      </c>
      <c r="N1578" t="s">
        <v>222</v>
      </c>
      <c r="O1578" s="145" t="s">
        <v>223</v>
      </c>
      <c r="Q1578" t="s">
        <v>389</v>
      </c>
      <c r="R1578" s="251" t="s">
        <v>225</v>
      </c>
      <c r="S1578" s="1" t="s">
        <v>594</v>
      </c>
      <c r="T1578" t="s">
        <v>595</v>
      </c>
      <c r="U1578" t="s">
        <v>596</v>
      </c>
      <c r="V1578" s="253">
        <v>0</v>
      </c>
      <c r="W1578" s="253">
        <v>0</v>
      </c>
      <c r="X1578">
        <v>0</v>
      </c>
      <c r="Y1578">
        <v>0</v>
      </c>
      <c r="Z1578">
        <v>0</v>
      </c>
      <c r="AA1578">
        <v>0</v>
      </c>
      <c r="AB1578">
        <v>0</v>
      </c>
      <c r="AC1578">
        <v>0</v>
      </c>
      <c r="AD1578">
        <v>0</v>
      </c>
      <c r="AE1578">
        <v>0</v>
      </c>
      <c r="AF1578">
        <v>0</v>
      </c>
      <c r="AG1578">
        <v>0</v>
      </c>
      <c r="AH1578">
        <v>0</v>
      </c>
      <c r="AI1578">
        <v>0</v>
      </c>
      <c r="AJ1578">
        <v>0</v>
      </c>
      <c r="AK1578">
        <v>0</v>
      </c>
      <c r="AL1578">
        <v>0</v>
      </c>
      <c r="AM1578">
        <v>1</v>
      </c>
      <c r="AN1578">
        <v>0</v>
      </c>
      <c r="AO1578">
        <v>0</v>
      </c>
      <c r="AP1578">
        <v>0</v>
      </c>
      <c r="AQ1578">
        <v>0</v>
      </c>
      <c r="AR1578">
        <v>0</v>
      </c>
      <c r="AS1578">
        <v>0</v>
      </c>
      <c r="AT1578">
        <v>0</v>
      </c>
      <c r="AU1578">
        <v>0</v>
      </c>
      <c r="AV1578">
        <v>0</v>
      </c>
      <c r="AW1578">
        <v>0</v>
      </c>
      <c r="AX1578">
        <v>0</v>
      </c>
      <c r="AY1578">
        <v>0</v>
      </c>
      <c r="AZ1578" s="141">
        <f>COUNTIF(X1578:AY1578,"&lt;&gt;0")</f>
        <v>1</v>
      </c>
      <c r="BA1578" s="141">
        <f>COUNTIF(X1578:AN1578,"&lt;&gt;0")</f>
        <v>1</v>
      </c>
      <c r="BB1578">
        <f>COUNTIF(X1578:AE1578,"&lt;&gt;0")</f>
        <v>0</v>
      </c>
      <c r="BC1578">
        <f>COUNTIF(AF1578:AK1578,"&lt;&gt;0")</f>
        <v>0</v>
      </c>
      <c r="BD1578">
        <f>COUNTIF(AL1578:AN1578,"&lt;&gt;0")</f>
        <v>1</v>
      </c>
      <c r="BE1578">
        <f>COUNTIF(AU1578:AY1578,"&lt;&gt;0")</f>
        <v>0</v>
      </c>
      <c r="BF1578">
        <f>COUNTIF(AO1578:AT1578,"&lt;&gt;0")</f>
        <v>0</v>
      </c>
      <c r="BG1578" t="str">
        <f t="array" ref="BG1578">IF(BA1578=1,INDEX($X$7:$AN$7,MATCH(TRUE,INDEX($X1578:$AY1578&lt;&gt;0,),0)),IF(BA1578=0,INDEX($AO$7:$AY$7,MATCH(1,$AO1578:$AY1578,0)),IF(BH1578="Multiple strategies","mixed drivers",IF(BH1578="Supply chain","multiple supply","multiple silviculture"))))</f>
        <v>technologies/design switch</v>
      </c>
      <c r="BH1578" s="2" t="str" cm="1">
        <f t="array" ref="BH1578">IF(COUNTIF(BB1578:BD1578,"&lt;&gt;0")=1,INDEX($X$4:$AY$4,MATCH(TRUE,INDEX($X1578:$AY1578&lt;&gt;0,),0)),IF(COUNTIF(BB1578:BD1578,"&lt;&gt;0")=0,INDEX($AO$4:$AY$4,MATCH(1,$AO1578:$AY1578,0)),"Multiple strategies"))</f>
        <v>Technology</v>
      </c>
      <c r="BI1578" s="1" t="s">
        <v>229</v>
      </c>
      <c r="BJ1578" t="s">
        <v>597</v>
      </c>
      <c r="BK1578" t="s">
        <v>424</v>
      </c>
      <c r="BL1578" t="s">
        <v>498</v>
      </c>
      <c r="BM1578">
        <f>0.041+0.652</f>
        <v>0.69300000000000006</v>
      </c>
      <c r="BN1578">
        <f>0.298+2.905+0.284+3.758+0.808+6.645+2.786+0.678</f>
        <v>18.161999999999999</v>
      </c>
      <c r="BP1578">
        <f>BN1578-BM1578</f>
        <v>17.468999999999998</v>
      </c>
      <c r="BQ1578">
        <f>BP1578</f>
        <v>17.468999999999998</v>
      </c>
      <c r="BR1578" t="s">
        <v>395</v>
      </c>
      <c r="BS1578" s="337" t="s">
        <v>2977</v>
      </c>
      <c r="BT1578" t="s">
        <v>599</v>
      </c>
      <c r="BU1578">
        <f>146*(4.66+0.31)</f>
        <v>725.62</v>
      </c>
      <c r="BV1578">
        <f>107*(2.31+0.49)</f>
        <v>299.59999999999997</v>
      </c>
      <c r="BW1578" s="144">
        <f>IFERROR(BV1578/BU1578,"")</f>
        <v>0.41288828863592508</v>
      </c>
      <c r="BX1578">
        <f>BV1578-BU1578</f>
        <v>-426.02000000000004</v>
      </c>
      <c r="BZ1578">
        <f>BX1578/1000</f>
        <v>-0.42602000000000007</v>
      </c>
      <c r="CA1578">
        <f>IFERROR(BZ1578/BQ1578,"")</f>
        <v>-2.4387200183181645E-2</v>
      </c>
      <c r="CB1578">
        <v>0</v>
      </c>
      <c r="CC1578">
        <v>0</v>
      </c>
      <c r="CD1578">
        <v>0</v>
      </c>
      <c r="CE1578">
        <v>0</v>
      </c>
      <c r="CF1578">
        <v>0</v>
      </c>
      <c r="CG1578">
        <v>0</v>
      </c>
      <c r="CH1578">
        <v>0</v>
      </c>
      <c r="CI1578">
        <v>0</v>
      </c>
      <c r="CJ1578">
        <v>0</v>
      </c>
      <c r="CK1578">
        <v>0</v>
      </c>
      <c r="CL1578">
        <v>0</v>
      </c>
      <c r="CM1578">
        <v>0</v>
      </c>
      <c r="CN1578">
        <v>0</v>
      </c>
      <c r="CO1578">
        <v>0</v>
      </c>
      <c r="CP1578" t="str">
        <f>IF($BN1578&lt;$BM1578,"refNeedCorrection","refOK")</f>
        <v>refOK</v>
      </c>
      <c r="CQ1578"/>
      <c r="CR1578"/>
      <c r="CS1578">
        <f>IF($CP1578="refOK",$BQ1578,-$BQ1578)</f>
        <v>17.468999999999998</v>
      </c>
      <c r="CT1578">
        <f>IF(BI1578="Roundwood",$CS1578/2,$CS1578)</f>
        <v>17.468999999999998</v>
      </c>
      <c r="CU1578">
        <f>IF($CP1578="refOK",$BU1578,$BV1578)*IF($BR1578="Emissions positive",-1,1)</f>
        <v>-725.62</v>
      </c>
      <c r="CV1578">
        <f>IF($CP1578="refOK",$BV1578,$BU1578)*IF($BR1578="Emissions positive",-1,1)</f>
        <v>-299.59999999999997</v>
      </c>
      <c r="CW1578">
        <f>IF($CP1578="refNeedCorrection",-BZ1578,BZ1578)*IF($BR1578="Emissions positive",-1,1)</f>
        <v>0.42602000000000007</v>
      </c>
      <c r="CX1578">
        <f>IFERROR($CW1578/$CS1578,"")</f>
        <v>2.4387200183181645E-2</v>
      </c>
      <c r="CY1578">
        <f>IFERROR($CW1578/$CS1578,"")</f>
        <v>2.4387200183181645E-2</v>
      </c>
      <c r="CZ1578">
        <f>IFERROR($CW1578/$CT1578,"")</f>
        <v>2.4387200183181645E-2</v>
      </c>
      <c r="DA1578" s="2">
        <f>IFERROR((CV1578-CU1578)/ABS(CU1578),"")</f>
        <v>0.58711171136407492</v>
      </c>
      <c r="DB1578" s="1" t="s">
        <v>263</v>
      </c>
      <c r="DC1578" t="str">
        <f>IF(OR($DB1578="prd",$DB1578="std",$DB1578="cit"),"loc",IF(OR($DB1578="eur",$DB1578="reg",$DB1578="coy"),"reg",$DB1578))</f>
        <v>loc</v>
      </c>
      <c r="DD1578" t="s">
        <v>600</v>
      </c>
      <c r="DG1578">
        <v>0</v>
      </c>
      <c r="DH1578" t="str">
        <f>IF(DG1578=0,"0",IF(AND(DG1578&gt;=1,DG1578&lt;=30),"1-30",IF(AND(DG1578&gt;30,DG1578&lt;=70),"31-70",IF(AND(DG1578&gt;70,DG1578&lt;=100),"71-100",IF(DG1578&gt;100,"+100")))))</f>
        <v>0</v>
      </c>
      <c r="DI1578">
        <v>0</v>
      </c>
      <c r="DJ1578">
        <v>0</v>
      </c>
      <c r="DK1578">
        <v>0</v>
      </c>
      <c r="DL1578">
        <v>1</v>
      </c>
      <c r="DM1578">
        <v>0</v>
      </c>
      <c r="DN1578">
        <f>SUM(DI1578:DM1578)</f>
        <v>1</v>
      </c>
      <c r="DO1578" t="str">
        <f>IF(DN1578=1,INDEX($DI$7:$DL$7,MATCH(1,$DI1578:$DL1578,0)),"mixedProduct")</f>
        <v>TimberInput</v>
      </c>
      <c r="DP1578">
        <f>IF(DI1578=1,DP$7,0)</f>
        <v>0</v>
      </c>
      <c r="DQ1578">
        <f>IF(DJ1578=1,DQ$7,0)</f>
        <v>0</v>
      </c>
      <c r="DR1578">
        <f>IF(DK1578=1,DR$7,0)</f>
        <v>0</v>
      </c>
      <c r="DS1578" t="str">
        <f>IF(DL1578=1,DS$7,0)</f>
        <v>Timber</v>
      </c>
      <c r="DT1578">
        <v>0</v>
      </c>
      <c r="DU1578">
        <v>0</v>
      </c>
      <c r="DV1578">
        <v>0</v>
      </c>
      <c r="DW1578">
        <v>0</v>
      </c>
      <c r="DX1578">
        <v>0</v>
      </c>
      <c r="DY1578">
        <f>SUM(DT1578:DU1578)</f>
        <v>0</v>
      </c>
      <c r="DZ1578" t="str">
        <f>IF(DT1578=1,"self-calculated DF",IF(DU1578=1,"external DF used","explicit C balance"))</f>
        <v>explicit C balance</v>
      </c>
      <c r="EA1578">
        <v>0</v>
      </c>
      <c r="EB1578">
        <v>0</v>
      </c>
      <c r="EC1578">
        <v>0</v>
      </c>
      <c r="ED1578">
        <v>0</v>
      </c>
      <c r="EE1578">
        <v>0</v>
      </c>
      <c r="EF1578" s="143">
        <v>0</v>
      </c>
      <c r="EG1578">
        <v>1</v>
      </c>
      <c r="EH1578">
        <v>1</v>
      </c>
      <c r="EI1578">
        <v>0</v>
      </c>
      <c r="EJ1578">
        <v>0</v>
      </c>
      <c r="EK1578">
        <v>0</v>
      </c>
      <c r="EL1578">
        <v>0</v>
      </c>
      <c r="EM1578">
        <v>0</v>
      </c>
      <c r="EN1578" s="2">
        <v>0</v>
      </c>
      <c r="EP1578" t="str">
        <f>IF(AND(AND(AND(OR($EC1578=1,$EB1578=1),OR($EH1578=1,$EF1578=1)),SUM($EA1578:$EE1578,$EK1578)&gt;=3),SUM($EF1578:$EJ1578)&gt;=2),"Whole sector approach","")</f>
        <v/>
      </c>
      <c r="EQ1578" t="str">
        <f>IF(AND(AND(OR($EC1578=1,$EB1578=1),AND($EH1578=0,$EF1578=0)),SUM($EA1578:$EE1578,$EK1578)&gt;=4),"Ecosystem approach","")</f>
        <v/>
      </c>
      <c r="ER1578" s="2" t="str">
        <f>IF(AND(AND(AND($EC1578=0,$EB1578=0),OR($EH1578=1,$EF1578=1)),SUM($EG1578:$EJ1578)&gt;=2),"Technology approach","")</f>
        <v>Technology approach</v>
      </c>
      <c r="ES1578" t="str">
        <f>IF(AND($EC1578+$EB1578+$EE1578+$EA1578+$ED1578+$EG1578=0,$N1578="included"),"C neutral forest and HWP assumption","")</f>
        <v/>
      </c>
      <c r="ET1578" t="str">
        <f>IF(AND(AND(AND(AND($EC1578=1,$EB1578+$EA1578+$EG1578&gt;=1),$EF1578=1),$EH1578+$EI1578+$ED1578+$EE1578&gt;=2),$N1578="included"),"All C pools assumption","")</f>
        <v/>
      </c>
      <c r="EU1578" t="str">
        <f>IF(AND($ED1578+$EE1578+$EI1578+$EH1578+$EF1578=0,$N1578="included"),"In-situ only assumption","")</f>
        <v/>
      </c>
      <c r="EY1578" t="str">
        <f>IF(ISNUMBER(BW1578),IF(ABS(BW1578-[6]QC_indicators!$B$2)&gt;3*[6]QC_indicators!$C$2,"C ratio",IF(ISNUMBER(CA1578),IF(ABS(CA1578-[6]QC_indicators!$B$1)&gt;3*[6]QC_indicators!$C$1,"DF","no"))),IF(ISNUMBER(CA1578),IF(ABS(CA1578-[6]QC_indicators!$B$1)&gt;3*[6]QC_indicators!$C$1,"DF","no")))</f>
        <v>no</v>
      </c>
      <c r="FA1578" t="str">
        <f>IF(LEN($CY1578)=0,"",IF(AND($CY1578&lt;(-0.05),$ES1578="C neutral forest and HWP assumption"),"Cneutral paradox",IF(AND($CY1578&gt;0.05,$EU1578="In-situ only assumption"),"In-situ only paradox","")))</f>
        <v/>
      </c>
      <c r="FD1578" s="260" t="s">
        <v>2948</v>
      </c>
    </row>
    <row r="1579" spans="1:160" ht="18" hidden="1" customHeight="1">
      <c r="A1579" s="1" t="s">
        <v>500</v>
      </c>
      <c r="B1579" t="s">
        <v>501</v>
      </c>
      <c r="C1579" t="s">
        <v>502</v>
      </c>
      <c r="D1579" t="s">
        <v>503</v>
      </c>
      <c r="E1579" t="s">
        <v>504</v>
      </c>
      <c r="F1579" t="s">
        <v>505</v>
      </c>
      <c r="G1579" t="s">
        <v>506</v>
      </c>
      <c r="H1579" t="s">
        <v>254</v>
      </c>
      <c r="I1579">
        <v>2021</v>
      </c>
      <c r="J1579">
        <v>7</v>
      </c>
      <c r="K1579" t="s">
        <v>507</v>
      </c>
      <c r="M1579" t="str">
        <f>LEFT($D1579,FIND(",",$D1579)-1)&amp;"_"&amp;I1579&amp;L1579</f>
        <v>Caldas_2021</v>
      </c>
      <c r="N1579" t="s">
        <v>222</v>
      </c>
      <c r="O1579" s="145" t="s">
        <v>223</v>
      </c>
      <c r="P1579" t="s">
        <v>508</v>
      </c>
      <c r="Q1579" s="317" t="s">
        <v>256</v>
      </c>
      <c r="R1579" s="318" t="s">
        <v>1029</v>
      </c>
      <c r="S1579" s="1" t="s">
        <v>509</v>
      </c>
      <c r="T1579" t="s">
        <v>4890</v>
      </c>
      <c r="U1579" t="s">
        <v>4891</v>
      </c>
      <c r="V1579" s="253">
        <v>0</v>
      </c>
      <c r="W1579" s="253">
        <v>0</v>
      </c>
      <c r="X1579">
        <v>0</v>
      </c>
      <c r="Y1579">
        <v>0</v>
      </c>
      <c r="Z1579">
        <v>0</v>
      </c>
      <c r="AA1579">
        <v>0</v>
      </c>
      <c r="AB1579">
        <v>0</v>
      </c>
      <c r="AC1579">
        <v>0</v>
      </c>
      <c r="AD1579">
        <v>0</v>
      </c>
      <c r="AE1579">
        <v>0</v>
      </c>
      <c r="AF1579">
        <v>0</v>
      </c>
      <c r="AG1579">
        <v>1</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s="141">
        <f>COUNTIF(X1579:AY1579,"&lt;&gt;0")</f>
        <v>1</v>
      </c>
      <c r="BA1579" s="141">
        <f>COUNTIF(X1579:AN1579,"&lt;&gt;0")</f>
        <v>1</v>
      </c>
      <c r="BB1579">
        <f>COUNTIF(X1579:AE1579,"&lt;&gt;0")</f>
        <v>0</v>
      </c>
      <c r="BC1579">
        <f>COUNTIF(AF1579:AK1579,"&lt;&gt;0")</f>
        <v>1</v>
      </c>
      <c r="BD1579">
        <f>COUNTIF(AL1579:AN1579,"&lt;&gt;0")</f>
        <v>0</v>
      </c>
      <c r="BE1579">
        <f>COUNTIF(AU1579:AY1579,"&lt;&gt;0")</f>
        <v>0</v>
      </c>
      <c r="BF1579">
        <f>COUNTIF(AO1579:AT1579,"&lt;&gt;0")</f>
        <v>0</v>
      </c>
      <c r="BG1579" t="str" cm="1">
        <f t="array" ref="BG1579">IF(BA1579=1,INDEX($X$7:$AN$7,MATCH(TRUE,INDEX($X1579:$AY1579&lt;&gt;0,),0)),IF(BA1579=0,INDEX($AO$7:$AY$7,MATCH(1,$AO1579:$AY1579,0)),IF(BH1579="Multiple strategies","mixed drivers",IF(BH1579="Supply chain","multiple supply","multiple silviculture"))))</f>
        <v>location of industry</v>
      </c>
      <c r="BH1579" s="2" t="str" cm="1">
        <f t="array" ref="BH1579">IF(COUNTIF(BB1579:BD1579,"&lt;&gt;0")=1,INDEX($X$4:$AY$4,MATCH(TRUE,INDEX($X1579:$AY1579&lt;&gt;0,),0)),IF(COUNTIF(BB1579:BD1579,"&lt;&gt;0")=0,INDEX($AO$4:$AY$4,MATCH(1,$AO1579:$AY1579,0)),"Multiple strategies"))</f>
        <v>Supply chain</v>
      </c>
      <c r="BI1579" s="1" t="s">
        <v>229</v>
      </c>
      <c r="BJ1579" t="s">
        <v>510</v>
      </c>
      <c r="BK1579" s="141" t="s">
        <v>4892</v>
      </c>
      <c r="BL1579" t="s">
        <v>511</v>
      </c>
      <c r="BM1579">
        <v>140</v>
      </c>
      <c r="BN1579">
        <v>140</v>
      </c>
      <c r="BP1579">
        <f>BN1579-BM1579</f>
        <v>0</v>
      </c>
      <c r="BQ1579">
        <f>BP1579*kg_to_m3</f>
        <v>0</v>
      </c>
      <c r="BR1579" s="317" t="s">
        <v>232</v>
      </c>
      <c r="BS1579" s="141" t="s">
        <v>4892</v>
      </c>
      <c r="BT1579" t="s">
        <v>512</v>
      </c>
      <c r="BU1579">
        <v>-436</v>
      </c>
      <c r="BV1579">
        <v>-288</v>
      </c>
      <c r="BW1579" s="144">
        <f>IFERROR(BV1579/BU1579,"")</f>
        <v>0.66055045871559637</v>
      </c>
      <c r="BX1579" s="175">
        <f>BV1579-BU1579</f>
        <v>148</v>
      </c>
      <c r="BZ1579">
        <f>BX1579/1000</f>
        <v>0.14799999999999999</v>
      </c>
      <c r="CA1579" t="str">
        <f>IFERROR(BZ1579/BQ1579,"")</f>
        <v/>
      </c>
      <c r="CB1579" s="143">
        <v>0</v>
      </c>
      <c r="CC1579" s="143">
        <v>0</v>
      </c>
      <c r="CD1579" s="143">
        <v>0</v>
      </c>
      <c r="CE1579" s="143">
        <v>0</v>
      </c>
      <c r="CF1579" s="143">
        <v>0</v>
      </c>
      <c r="CG1579" s="143">
        <v>0</v>
      </c>
      <c r="CH1579" s="143">
        <v>0</v>
      </c>
      <c r="CI1579" s="143">
        <v>0</v>
      </c>
      <c r="CJ1579" s="143">
        <v>0</v>
      </c>
      <c r="CK1579" s="143">
        <v>0</v>
      </c>
      <c r="CL1579" s="143">
        <v>0</v>
      </c>
      <c r="CM1579" s="143">
        <v>0</v>
      </c>
      <c r="CN1579" s="143">
        <v>0</v>
      </c>
      <c r="CO1579">
        <v>0</v>
      </c>
      <c r="CP1579" t="str">
        <f>IF($BN1579&lt;$BM1579,"refNeedCorrection","refOK")</f>
        <v>refOK</v>
      </c>
      <c r="CQ1579">
        <f>IF($CP1579="refOK",$BM1579,$BN1579)</f>
        <v>140</v>
      </c>
      <c r="CR1579">
        <f>IF($CP1579="refOK",$BN1579,$BM1579)</f>
        <v>140</v>
      </c>
      <c r="CS1579">
        <f>IF($CP1579="refOK",$BQ1579,-$BQ1579)</f>
        <v>0</v>
      </c>
      <c r="CT1579">
        <f>IF(BI1579="Roundwood",$CS1579/2,$CS1579)</f>
        <v>0</v>
      </c>
      <c r="CU1579">
        <f>IF($CP1579="refOK",$BU1579,$BV1579)*IF($BR1579="Emissions positive",-1,1)</f>
        <v>-436</v>
      </c>
      <c r="CV1579">
        <f>IF($CP1579="refOK",$BV1579,$BU1579)*IF($BR1579="Emissions positive",-1,1)</f>
        <v>-288</v>
      </c>
      <c r="CW1579">
        <f>IF($CP1579="refNeedCorrection",-BZ1579,BZ1579)*IF($BR1579="Emissions positive",-1,1)</f>
        <v>0.14799999999999999</v>
      </c>
      <c r="CX1579" t="str">
        <f>IFERROR($CW1579/$CS1579,"")</f>
        <v/>
      </c>
      <c r="CY1579" t="str">
        <f>IFERROR($CW1579/$CS1579,"")</f>
        <v/>
      </c>
      <c r="CZ1579" t="str">
        <f>IFERROR($CW1579/$CT1579,"")</f>
        <v/>
      </c>
      <c r="DA1579" s="2">
        <f>IFERROR((CV1579-CU1579)/ABS(CU1579),"")</f>
        <v>0.33944954128440369</v>
      </c>
      <c r="DB1579" s="1" t="s">
        <v>263</v>
      </c>
      <c r="DC1579" s="317" t="str">
        <f>IF(OR($DB1579="prd",$DB1579="std",$DB1579="cit"),"loc",IF(OR($DB1579="eur",$DB1579="reg",$DB1579="coy"),"reg",$DB1579))</f>
        <v>loc</v>
      </c>
      <c r="DD1579" t="s">
        <v>513</v>
      </c>
      <c r="DE1579">
        <v>2014</v>
      </c>
      <c r="DF1579">
        <v>2014</v>
      </c>
      <c r="DG1579">
        <f>DF1579-DE1579</f>
        <v>0</v>
      </c>
      <c r="DH1579" t="str">
        <f>IF(DG1579=0,"0",IF(AND(DG1579&gt;=1,DG1579&lt;=30),"1-30",IF(AND(DG1579&gt;30,DG1579&lt;=70),"31-70",IF(AND(DG1579&gt;70,DG1579&lt;=100),"71-100",IF(DG1579&gt;100,"+100")))))</f>
        <v>0</v>
      </c>
      <c r="DI1579">
        <v>0</v>
      </c>
      <c r="DJ1579">
        <v>0</v>
      </c>
      <c r="DK1579">
        <v>0</v>
      </c>
      <c r="DL1579">
        <v>1</v>
      </c>
      <c r="DN1579">
        <f>SUM(DI1579:DL1579)</f>
        <v>1</v>
      </c>
      <c r="DO1579" t="str">
        <f>IF(DN1579=1,INDEX($DI$7:$DL$7,MATCH(1,$DI1579:$DL1579,0)),"mixedProduct")</f>
        <v>TimberInput</v>
      </c>
      <c r="DP1579">
        <f>IF(DI1579=1,DP$7,0)</f>
        <v>0</v>
      </c>
      <c r="DQ1579">
        <f>IF(DJ1579=1,DQ$7,0)</f>
        <v>0</v>
      </c>
      <c r="DR1579">
        <f>IF(DK1579=1,DR$7,0)</f>
        <v>0</v>
      </c>
      <c r="DS1579" t="str">
        <f>IF(DL1579=1,DS$7,0)</f>
        <v>Timber</v>
      </c>
      <c r="DT1579">
        <v>0</v>
      </c>
      <c r="DU1579" s="143">
        <v>0</v>
      </c>
      <c r="DV1579" s="143">
        <v>0</v>
      </c>
      <c r="DW1579" s="143">
        <v>0</v>
      </c>
      <c r="DX1579">
        <v>0</v>
      </c>
      <c r="DY1579">
        <f>SUM(DT1579:DU1579)</f>
        <v>0</v>
      </c>
      <c r="DZ1579" s="143" t="str">
        <f>IF(DT1579=1,"self-calculated DF",IF(DU1579=1,"external DF used","explicit C balance"))</f>
        <v>explicit C balance</v>
      </c>
      <c r="EA1579">
        <v>0</v>
      </c>
      <c r="EB1579" s="143">
        <v>0</v>
      </c>
      <c r="EC1579" s="143">
        <v>0</v>
      </c>
      <c r="ED1579" s="143">
        <v>0</v>
      </c>
      <c r="EE1579">
        <v>0</v>
      </c>
      <c r="EF1579" s="143">
        <v>1</v>
      </c>
      <c r="EG1579">
        <v>0</v>
      </c>
      <c r="EH1579" s="143">
        <v>1</v>
      </c>
      <c r="EI1579" s="143">
        <v>0</v>
      </c>
      <c r="EJ1579">
        <v>0</v>
      </c>
      <c r="EK1579">
        <v>0</v>
      </c>
      <c r="EL1579" s="143">
        <v>0</v>
      </c>
      <c r="EM1579" s="143">
        <v>0</v>
      </c>
      <c r="EN1579" s="2">
        <v>0</v>
      </c>
      <c r="EP1579" t="str">
        <f>IF(AND(AND(AND(OR($EC1579=1,$EB1579=1),OR($EH1579=1,$EF1579=1)),SUM($EA1579:$EE1579,$EK1579)&gt;=3),SUM($EF1579:$EJ1579)&gt;=2),"Whole sector approach","")</f>
        <v/>
      </c>
      <c r="EQ1579" t="str">
        <f>IF(AND(AND(OR($EC1579=1,$EB1579=1),AND($EH1579=0,$EF1579=0)),SUM($EA1579:$EE1579,$EK1579)&gt;=3),"Ecosystem approach","")</f>
        <v/>
      </c>
      <c r="ER1579" s="2" t="str">
        <f>IF(AND(AND(AND($EC1579=0,$EB1579=0),OR($EH1579=1,$EF1579=1)),SUM($EG1579:$EJ1579)&gt;=2),"Technology approach","")</f>
        <v/>
      </c>
      <c r="ES1579" t="str">
        <f>IF(AND($EC1579+$EB1579+$EE1579+$EA1579+$ED1579+$EG1579=0,$N1579="included"),"C neutral forest and HWP assumption","")</f>
        <v>C neutral forest and HWP assumption</v>
      </c>
      <c r="ET1579" t="str">
        <f>IF(AND(AND(AND(AND($EC1579=1,$EB1579+$EA1579+$EG1579&gt;=1),$EF1579=1),$EH1579+$EI1579+$ED1579+$EE1579&gt;=2),$N1579="included"),"All C pools assumption","")</f>
        <v/>
      </c>
      <c r="EU1579" t="str">
        <f>IF(AND($ED1579+$EE1579+$EI1579+$EH1579+$EF1579=0,$N1579="included"),"In-situ only assumption","")</f>
        <v/>
      </c>
      <c r="EY1579" t="b">
        <f>IF(ISNUMBER(BW1579),IF(ABS(BW1579-[4]QC_indicators!$B$2)&gt;3*[4]QC_indicators!$C$2,"C ratio",IF(ISNUMBER(CA1579),IF(ABS(CA1579-[4]QC_indicators!$B$1)&gt;3*[4]QC_indicators!$C$1,"DF","no"))),IF(ISNUMBER(CA1579),IF(ABS(CA1579-[4]QC_indicators!$B$1)&gt;3*[4]QC_indicators!$C$1,"DF","no")))</f>
        <v>0</v>
      </c>
      <c r="FA1579" t="str">
        <f>IF(LEN($CY1579)=0,"",IF(AND($CY1579&lt;(-0.05),$ES1579="C neutral forest and HWP assumption"),"Cneutral paradox",IF(AND($CY1579&gt;0.05,$EU1579="In-situ only assumption"),"In-situ only paradox","")))</f>
        <v/>
      </c>
      <c r="FB1579" s="319" t="s">
        <v>349</v>
      </c>
      <c r="FD1579" s="145" t="s">
        <v>4893</v>
      </c>
    </row>
    <row r="1580" spans="1:160" ht="15" hidden="1" customHeight="1">
      <c r="A1580" s="1" t="s">
        <v>586</v>
      </c>
      <c r="B1580" t="s">
        <v>587</v>
      </c>
      <c r="C1580" t="s">
        <v>588</v>
      </c>
      <c r="D1580" t="s">
        <v>589</v>
      </c>
      <c r="E1580" t="s">
        <v>590</v>
      </c>
      <c r="F1580" t="s">
        <v>591</v>
      </c>
      <c r="G1580" t="s">
        <v>592</v>
      </c>
      <c r="H1580" t="s">
        <v>254</v>
      </c>
      <c r="I1580">
        <v>2022</v>
      </c>
      <c r="J1580">
        <v>15</v>
      </c>
      <c r="K1580" t="s">
        <v>593</v>
      </c>
      <c r="M1580" t="str">
        <f>LEFT($D1580,FIND(",",$D1580)-1)&amp;"_"&amp;I1580&amp;L1580</f>
        <v>Dani_2022</v>
      </c>
      <c r="N1580" t="s">
        <v>222</v>
      </c>
      <c r="O1580" s="145" t="s">
        <v>223</v>
      </c>
      <c r="Q1580" t="s">
        <v>389</v>
      </c>
      <c r="R1580" s="251" t="s">
        <v>225</v>
      </c>
      <c r="S1580" s="1" t="s">
        <v>594</v>
      </c>
      <c r="T1580" t="s">
        <v>595</v>
      </c>
      <c r="U1580" t="s">
        <v>596</v>
      </c>
      <c r="V1580" s="253">
        <v>0</v>
      </c>
      <c r="W1580" s="253">
        <v>0</v>
      </c>
      <c r="X1580">
        <v>0</v>
      </c>
      <c r="Y1580">
        <v>0</v>
      </c>
      <c r="Z1580">
        <v>0</v>
      </c>
      <c r="AA1580">
        <v>0</v>
      </c>
      <c r="AB1580">
        <v>0</v>
      </c>
      <c r="AC1580">
        <v>0</v>
      </c>
      <c r="AD1580">
        <v>0</v>
      </c>
      <c r="AE1580">
        <v>0</v>
      </c>
      <c r="AF1580">
        <v>0</v>
      </c>
      <c r="AG1580">
        <v>0</v>
      </c>
      <c r="AH1580">
        <v>0</v>
      </c>
      <c r="AI1580">
        <v>0</v>
      </c>
      <c r="AJ1580">
        <v>0</v>
      </c>
      <c r="AK1580">
        <v>0</v>
      </c>
      <c r="AL1580">
        <v>0</v>
      </c>
      <c r="AM1580">
        <v>1</v>
      </c>
      <c r="AN1580">
        <v>0</v>
      </c>
      <c r="AO1580">
        <v>0</v>
      </c>
      <c r="AP1580">
        <v>0</v>
      </c>
      <c r="AQ1580">
        <v>0</v>
      </c>
      <c r="AR1580">
        <v>0</v>
      </c>
      <c r="AS1580">
        <v>0</v>
      </c>
      <c r="AT1580">
        <v>0</v>
      </c>
      <c r="AU1580">
        <v>0</v>
      </c>
      <c r="AV1580">
        <v>0</v>
      </c>
      <c r="AW1580">
        <v>0</v>
      </c>
      <c r="AX1580">
        <v>0</v>
      </c>
      <c r="AY1580">
        <v>0</v>
      </c>
      <c r="AZ1580" s="141">
        <f>COUNTIF(X1580:AY1580,"&lt;&gt;0")</f>
        <v>1</v>
      </c>
      <c r="BA1580" s="141">
        <f>COUNTIF(X1580:AN1580,"&lt;&gt;0")</f>
        <v>1</v>
      </c>
      <c r="BB1580">
        <f>COUNTIF(X1580:AE1580,"&lt;&gt;0")</f>
        <v>0</v>
      </c>
      <c r="BC1580">
        <f>COUNTIF(AF1580:AK1580,"&lt;&gt;0")</f>
        <v>0</v>
      </c>
      <c r="BD1580">
        <f>COUNTIF(AL1580:AN1580,"&lt;&gt;0")</f>
        <v>1</v>
      </c>
      <c r="BE1580">
        <f>COUNTIF(AU1580:AY1580,"&lt;&gt;0")</f>
        <v>0</v>
      </c>
      <c r="BF1580">
        <f>COUNTIF(AO1580:AT1580,"&lt;&gt;0")</f>
        <v>0</v>
      </c>
      <c r="BG1580" t="str">
        <f t="array" ref="BG1580">IF(BA1580=1,INDEX($X$7:$AN$7,MATCH(TRUE,INDEX($X1580:$AY1580&lt;&gt;0,),0)),IF(BA1580=0,INDEX($AO$7:$AY$7,MATCH(1,$AO1580:$AY1580,0)),IF(BH1580="Multiple strategies","mixed drivers",IF(BH1580="Supply chain","multiple supply","multiple silviculture"))))</f>
        <v>technologies/design switch</v>
      </c>
      <c r="BH1580" s="2" t="str" cm="1">
        <f t="array" ref="BH1580">IF(COUNTIF(BB1580:BD1580,"&lt;&gt;0")=1,INDEX($X$4:$AY$4,MATCH(TRUE,INDEX($X1580:$AY1580&lt;&gt;0,),0)),IF(COUNTIF(BB1580:BD1580,"&lt;&gt;0")=0,INDEX($AO$4:$AY$4,MATCH(1,$AO1580:$AY1580,0)),"Multiple strategies"))</f>
        <v>Technology</v>
      </c>
      <c r="BI1580" s="1" t="s">
        <v>229</v>
      </c>
      <c r="BJ1580" t="s">
        <v>597</v>
      </c>
      <c r="BK1580" t="s">
        <v>424</v>
      </c>
      <c r="BL1580" t="s">
        <v>498</v>
      </c>
      <c r="BM1580">
        <f>0.041+0.652</f>
        <v>0.69300000000000006</v>
      </c>
      <c r="BN1580">
        <f>0.298+2.905+0.284+3.758+0.808+6.645+2.786+0.678</f>
        <v>18.161999999999999</v>
      </c>
      <c r="BP1580">
        <f>BN1580-BM1580</f>
        <v>17.468999999999998</v>
      </c>
      <c r="BQ1580">
        <f>BP1580</f>
        <v>17.468999999999998</v>
      </c>
      <c r="BR1580" t="s">
        <v>395</v>
      </c>
      <c r="BS1580" s="337" t="s">
        <v>2975</v>
      </c>
      <c r="BT1580" t="s">
        <v>599</v>
      </c>
      <c r="BU1580">
        <f>146*(15.41)</f>
        <v>2249.86</v>
      </c>
      <c r="BV1580">
        <f>107*13.72</f>
        <v>1468.04</v>
      </c>
      <c r="BW1580" s="144">
        <f>IFERROR(BV1580/BU1580,"")</f>
        <v>0.65250282239783808</v>
      </c>
      <c r="BX1580">
        <f>BV1580-BU1580</f>
        <v>-781.82000000000016</v>
      </c>
      <c r="BZ1580">
        <f>BX1580/1000</f>
        <v>-0.78182000000000018</v>
      </c>
      <c r="CA1580">
        <f>IFERROR(BZ1580/BQ1580,"")</f>
        <v>-4.4754708340488884E-2</v>
      </c>
      <c r="CB1580">
        <v>0</v>
      </c>
      <c r="CC1580">
        <v>0</v>
      </c>
      <c r="CD1580">
        <v>0</v>
      </c>
      <c r="CE1580">
        <v>0</v>
      </c>
      <c r="CF1580">
        <v>0</v>
      </c>
      <c r="CG1580">
        <v>0</v>
      </c>
      <c r="CH1580">
        <v>0</v>
      </c>
      <c r="CI1580">
        <v>0</v>
      </c>
      <c r="CJ1580">
        <v>0</v>
      </c>
      <c r="CK1580">
        <v>0</v>
      </c>
      <c r="CL1580">
        <v>0</v>
      </c>
      <c r="CM1580">
        <v>0</v>
      </c>
      <c r="CN1580">
        <v>0</v>
      </c>
      <c r="CO1580">
        <v>0</v>
      </c>
      <c r="CP1580" t="str">
        <f>IF($BN1580&lt;$BM1580,"refNeedCorrection","refOK")</f>
        <v>refOK</v>
      </c>
      <c r="CQ1580"/>
      <c r="CR1580"/>
      <c r="CS1580">
        <f>IF($CP1580="refOK",$BQ1580,-$BQ1580)</f>
        <v>17.468999999999998</v>
      </c>
      <c r="CT1580">
        <f>IF(BI1580="Roundwood",$CS1580/2,$CS1580)</f>
        <v>17.468999999999998</v>
      </c>
      <c r="CU1580">
        <f>IF($CP1580="refOK",$BU1580,$BV1580)*IF($BR1580="Emissions positive",-1,1)</f>
        <v>-2249.86</v>
      </c>
      <c r="CV1580">
        <f>IF($CP1580="refOK",$BV1580,$BU1580)*IF($BR1580="Emissions positive",-1,1)</f>
        <v>-1468.04</v>
      </c>
      <c r="CW1580">
        <f>IF($CP1580="refNeedCorrection",-BZ1580,BZ1580)*IF($BR1580="Emissions positive",-1,1)</f>
        <v>0.78182000000000018</v>
      </c>
      <c r="CX1580">
        <f>IFERROR($CW1580/$CS1580,"")</f>
        <v>4.4754708340488884E-2</v>
      </c>
      <c r="CY1580">
        <f>IFERROR($CW1580/$CS1580,"")</f>
        <v>4.4754708340488884E-2</v>
      </c>
      <c r="CZ1580">
        <f>IFERROR($CW1580/$CT1580,"")</f>
        <v>4.4754708340488884E-2</v>
      </c>
      <c r="DA1580" s="2">
        <f>IFERROR((CV1580-CU1580)/ABS(CU1580),"")</f>
        <v>0.34749717760216198</v>
      </c>
      <c r="DB1580" s="1" t="s">
        <v>263</v>
      </c>
      <c r="DC1580" t="str">
        <f>IF(OR($DB1580="prd",$DB1580="std",$DB1580="cit"),"loc",IF(OR($DB1580="eur",$DB1580="reg",$DB1580="coy"),"reg",$DB1580))</f>
        <v>loc</v>
      </c>
      <c r="DD1580" t="s">
        <v>600</v>
      </c>
      <c r="DG1580">
        <v>0</v>
      </c>
      <c r="DH1580" t="str">
        <f>IF(DG1580=0,"0",IF(AND(DG1580&gt;=1,DG1580&lt;=30),"1-30",IF(AND(DG1580&gt;30,DG1580&lt;=70),"31-70",IF(AND(DG1580&gt;70,DG1580&lt;=100),"71-100",IF(DG1580&gt;100,"+100")))))</f>
        <v>0</v>
      </c>
      <c r="DI1580">
        <v>0</v>
      </c>
      <c r="DJ1580">
        <v>0</v>
      </c>
      <c r="DK1580">
        <v>0</v>
      </c>
      <c r="DL1580">
        <v>1</v>
      </c>
      <c r="DM1580">
        <v>0</v>
      </c>
      <c r="DN1580">
        <f>SUM(DI1580:DM1580)</f>
        <v>1</v>
      </c>
      <c r="DO1580" t="str">
        <f>IF(DN1580=1,INDEX($DI$7:$DL$7,MATCH(1,$DI1580:$DL1580,0)),"mixedProduct")</f>
        <v>TimberInput</v>
      </c>
      <c r="DP1580">
        <f>IF(DI1580=1,DP$7,0)</f>
        <v>0</v>
      </c>
      <c r="DQ1580">
        <f>IF(DJ1580=1,DQ$7,0)</f>
        <v>0</v>
      </c>
      <c r="DR1580">
        <f>IF(DK1580=1,DR$7,0)</f>
        <v>0</v>
      </c>
      <c r="DS1580" t="str">
        <f>IF(DL1580=1,DS$7,0)</f>
        <v>Timber</v>
      </c>
      <c r="DT1580">
        <v>0</v>
      </c>
      <c r="DU1580">
        <v>0</v>
      </c>
      <c r="DV1580">
        <v>0</v>
      </c>
      <c r="DW1580">
        <v>0</v>
      </c>
      <c r="DX1580">
        <v>0</v>
      </c>
      <c r="DY1580">
        <f>SUM(DT1580:DU1580)</f>
        <v>0</v>
      </c>
      <c r="DZ1580" t="str">
        <f>IF(DT1580=1,"self-calculated DF",IF(DU1580=1,"external DF used","explicit C balance"))</f>
        <v>explicit C balance</v>
      </c>
      <c r="EA1580">
        <v>0</v>
      </c>
      <c r="EB1580">
        <v>0</v>
      </c>
      <c r="EC1580">
        <v>0</v>
      </c>
      <c r="ED1580">
        <v>0</v>
      </c>
      <c r="EE1580">
        <v>0</v>
      </c>
      <c r="EF1580" s="260">
        <v>1</v>
      </c>
      <c r="EG1580">
        <v>1</v>
      </c>
      <c r="EH1580">
        <v>1</v>
      </c>
      <c r="EI1580">
        <v>1</v>
      </c>
      <c r="EJ1580">
        <v>1</v>
      </c>
      <c r="EK1580">
        <v>0</v>
      </c>
      <c r="EL1580">
        <v>0</v>
      </c>
      <c r="EM1580">
        <v>0</v>
      </c>
      <c r="EN1580" s="2">
        <v>0</v>
      </c>
      <c r="EP1580" t="str">
        <f>IF(AND(AND(AND(OR($EC1580=1,$EB1580=1),OR($EH1580=1,$EF1580=1)),SUM($EA1580:$EE1580,$EK1580)&gt;=3),SUM($EF1580:$EJ1580)&gt;=2),"Whole sector approach","")</f>
        <v/>
      </c>
      <c r="EQ1580" t="str">
        <f>IF(AND(AND(OR($EC1580=1,$EB1580=1),AND($EH1580=0,$EF1580=0)),SUM($EA1580:$EE1580,$EK1580)&gt;=4),"Ecosystem approach","")</f>
        <v/>
      </c>
      <c r="ER1580" s="2" t="str">
        <f>IF(AND(AND(AND($EC1580=0,$EB1580=0),OR($EH1580=1,$EF1580=1)),SUM($EG1580:$EJ1580)&gt;=2),"Technology approach","")</f>
        <v>Technology approach</v>
      </c>
      <c r="ES1580" t="str">
        <f>IF(AND($EC1580+$EB1580+$EE1580+$EA1580+$ED1580+$EG1580=0,$N1580="included"),"C neutral forest and HWP assumption","")</f>
        <v/>
      </c>
      <c r="ET1580" t="str">
        <f>IF(AND(AND(AND(AND($EC1580=1,$EB1580+$EA1580+$EG1580&gt;=1),$EF1580=1),$EH1580+$EI1580+$ED1580+$EE1580&gt;=2),$N1580="included"),"All C pools assumption","")</f>
        <v/>
      </c>
      <c r="EU1580" t="str">
        <f>IF(AND($ED1580+$EE1580+$EI1580+$EH1580+$EF1580=0,$N1580="included"),"In-situ only assumption","")</f>
        <v/>
      </c>
      <c r="EY1580" t="str">
        <f>IF(ISNUMBER(BW1580),IF(ABS(BW1580-[6]QC_indicators!$B$2)&gt;3*[6]QC_indicators!$C$2,"C ratio",IF(ISNUMBER(CA1580),IF(ABS(CA1580-[6]QC_indicators!$B$1)&gt;3*[6]QC_indicators!$C$1,"DF","no"))),IF(ISNUMBER(CA1580),IF(ABS(CA1580-[6]QC_indicators!$B$1)&gt;3*[6]QC_indicators!$C$1,"DF","no")))</f>
        <v>no</v>
      </c>
      <c r="FA1580" t="str">
        <f>IF(LEN($CY1580)=0,"",IF(AND($CY1580&lt;(-0.05),$ES1580="C neutral forest and HWP assumption"),"Cneutral paradox",IF(AND($CY1580&gt;0.05,$EU1580="In-situ only assumption"),"In-situ only paradox","")))</f>
        <v/>
      </c>
      <c r="FD1580" s="260" t="s">
        <v>2948</v>
      </c>
    </row>
    <row r="1581" spans="1:160" hidden="1">
      <c r="A1581" s="1" t="s">
        <v>500</v>
      </c>
      <c r="B1581" t="s">
        <v>501</v>
      </c>
      <c r="C1581" t="s">
        <v>502</v>
      </c>
      <c r="D1581" t="s">
        <v>503</v>
      </c>
      <c r="E1581" t="s">
        <v>504</v>
      </c>
      <c r="F1581" t="s">
        <v>505</v>
      </c>
      <c r="G1581" t="s">
        <v>506</v>
      </c>
      <c r="H1581" t="s">
        <v>254</v>
      </c>
      <c r="I1581">
        <v>2021</v>
      </c>
      <c r="J1581">
        <v>7</v>
      </c>
      <c r="K1581" t="s">
        <v>507</v>
      </c>
      <c r="M1581" t="str">
        <f>LEFT($D1581,FIND(",",$D1581)-1)&amp;"_"&amp;I1581&amp;L1581</f>
        <v>Caldas_2021</v>
      </c>
      <c r="N1581" t="s">
        <v>222</v>
      </c>
      <c r="O1581" s="145" t="s">
        <v>223</v>
      </c>
      <c r="P1581" t="s">
        <v>508</v>
      </c>
      <c r="Q1581" s="317" t="s">
        <v>256</v>
      </c>
      <c r="R1581" s="318" t="s">
        <v>1029</v>
      </c>
      <c r="S1581" s="1" t="s">
        <v>509</v>
      </c>
      <c r="T1581" t="s">
        <v>4898</v>
      </c>
      <c r="U1581" t="s">
        <v>4899</v>
      </c>
      <c r="V1581" s="253">
        <v>0</v>
      </c>
      <c r="W1581" s="253">
        <v>0</v>
      </c>
      <c r="X1581">
        <v>0</v>
      </c>
      <c r="Y1581">
        <v>0</v>
      </c>
      <c r="Z1581">
        <v>0</v>
      </c>
      <c r="AA1581">
        <v>0</v>
      </c>
      <c r="AB1581">
        <v>0</v>
      </c>
      <c r="AC1581">
        <v>0</v>
      </c>
      <c r="AD1581">
        <v>0</v>
      </c>
      <c r="AE1581">
        <v>0</v>
      </c>
      <c r="AF1581">
        <v>0</v>
      </c>
      <c r="AG1581">
        <v>1</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s="141">
        <f>COUNTIF(X1581:AY1581,"&lt;&gt;0")</f>
        <v>1</v>
      </c>
      <c r="BA1581" s="141">
        <f>COUNTIF(X1581:AN1581,"&lt;&gt;0")</f>
        <v>1</v>
      </c>
      <c r="BB1581">
        <f>COUNTIF(X1581:AE1581,"&lt;&gt;0")</f>
        <v>0</v>
      </c>
      <c r="BC1581">
        <f>COUNTIF(AF1581:AK1581,"&lt;&gt;0")</f>
        <v>1</v>
      </c>
      <c r="BD1581">
        <f>COUNTIF(AL1581:AN1581,"&lt;&gt;0")</f>
        <v>0</v>
      </c>
      <c r="BE1581">
        <f>COUNTIF(AU1581:AY1581,"&lt;&gt;0")</f>
        <v>0</v>
      </c>
      <c r="BF1581">
        <f>COUNTIF(AO1581:AT1581,"&lt;&gt;0")</f>
        <v>0</v>
      </c>
      <c r="BG1581" t="str" cm="1">
        <f t="array" ref="BG1581">IF(BA1581=1,INDEX($X$7:$AN$7,MATCH(TRUE,INDEX($X1581:$AY1581&lt;&gt;0,),0)),IF(BA1581=0,INDEX($AO$7:$AY$7,MATCH(1,$AO1581:$AY1581,0)),IF(BH1581="Multiple strategies","mixed drivers",IF(BH1581="Supply chain","multiple supply","multiple silviculture"))))</f>
        <v>location of industry</v>
      </c>
      <c r="BH1581" s="2" t="str" cm="1">
        <f t="array" ref="BH1581">IF(COUNTIF(BB1581:BD1581,"&lt;&gt;0")=1,INDEX($X$4:$AY$4,MATCH(TRUE,INDEX($X1581:$AY1581&lt;&gt;0,),0)),IF(COUNTIF(BB1581:BD1581,"&lt;&gt;0")=0,INDEX($AO$4:$AY$4,MATCH(1,$AO1581:$AY1581,0)),"Multiple strategies"))</f>
        <v>Supply chain</v>
      </c>
      <c r="BI1581" s="1" t="s">
        <v>229</v>
      </c>
      <c r="BJ1581" t="s">
        <v>510</v>
      </c>
      <c r="BK1581" s="141" t="s">
        <v>4892</v>
      </c>
      <c r="BL1581" t="s">
        <v>511</v>
      </c>
      <c r="BM1581">
        <v>247</v>
      </c>
      <c r="BN1581">
        <v>247</v>
      </c>
      <c r="BP1581">
        <f>BN1581-BM1581</f>
        <v>0</v>
      </c>
      <c r="BQ1581">
        <f>BP1581*kg_to_m3</f>
        <v>0</v>
      </c>
      <c r="BR1581" s="317" t="s">
        <v>232</v>
      </c>
      <c r="BS1581" s="141" t="s">
        <v>4892</v>
      </c>
      <c r="BT1581" t="s">
        <v>512</v>
      </c>
      <c r="BU1581">
        <v>-801</v>
      </c>
      <c r="BV1581">
        <v>-515</v>
      </c>
      <c r="BW1581" s="144">
        <f>IFERROR(BV1581/BU1581,"")</f>
        <v>0.64294631710362049</v>
      </c>
      <c r="BX1581" s="175">
        <f>BV1581-BU1581</f>
        <v>286</v>
      </c>
      <c r="BZ1581">
        <f>BX1581/1000</f>
        <v>0.28599999999999998</v>
      </c>
      <c r="CA1581" t="str">
        <f>IFERROR(BZ1581/BQ1581,"")</f>
        <v/>
      </c>
      <c r="CB1581" s="143">
        <v>0</v>
      </c>
      <c r="CC1581" s="143">
        <v>0</v>
      </c>
      <c r="CD1581" s="143">
        <v>0</v>
      </c>
      <c r="CE1581" s="143">
        <v>0</v>
      </c>
      <c r="CF1581" s="143">
        <v>0</v>
      </c>
      <c r="CG1581" s="143">
        <v>0</v>
      </c>
      <c r="CH1581" s="143">
        <v>0</v>
      </c>
      <c r="CI1581" s="143">
        <v>0</v>
      </c>
      <c r="CJ1581" s="143">
        <v>0</v>
      </c>
      <c r="CK1581" s="143">
        <v>0</v>
      </c>
      <c r="CL1581" s="143">
        <v>0</v>
      </c>
      <c r="CM1581" s="143">
        <v>0</v>
      </c>
      <c r="CN1581" s="143">
        <v>0</v>
      </c>
      <c r="CO1581">
        <v>0</v>
      </c>
      <c r="CP1581" t="str">
        <f>IF($BN1581&lt;$BM1581,"refNeedCorrection","refOK")</f>
        <v>refOK</v>
      </c>
      <c r="CQ1581">
        <f>IF($CP1581="refOK",$BM1581,$BN1581)</f>
        <v>247</v>
      </c>
      <c r="CR1581">
        <f>IF($CP1581="refOK",$BN1581,$BM1581)</f>
        <v>247</v>
      </c>
      <c r="CS1581">
        <f>IF($CP1581="refOK",$BQ1581,-$BQ1581)</f>
        <v>0</v>
      </c>
      <c r="CT1581">
        <f>IF(BI1581="Roundwood",$CS1581/2,$CS1581)</f>
        <v>0</v>
      </c>
      <c r="CU1581">
        <f>IF($CP1581="refOK",$BU1581,$BV1581)*IF($BR1581="Emissions positive",-1,1)</f>
        <v>-801</v>
      </c>
      <c r="CV1581">
        <f>IF($CP1581="refOK",$BV1581,$BU1581)*IF($BR1581="Emissions positive",-1,1)</f>
        <v>-515</v>
      </c>
      <c r="CW1581">
        <f>IF($CP1581="refNeedCorrection",-BZ1581,BZ1581)*IF($BR1581="Emissions positive",-1,1)</f>
        <v>0.28599999999999998</v>
      </c>
      <c r="CX1581" t="str">
        <f>IFERROR($CW1581/$CS1581,"")</f>
        <v/>
      </c>
      <c r="CY1581" t="str">
        <f>IFERROR($CW1581/$CS1581,"")</f>
        <v/>
      </c>
      <c r="CZ1581" t="str">
        <f>IFERROR($CW1581/$CT1581,"")</f>
        <v/>
      </c>
      <c r="DA1581" s="2">
        <f>IFERROR((CV1581-CU1581)/ABS(CU1581),"")</f>
        <v>0.35705368289637951</v>
      </c>
      <c r="DB1581" s="1" t="s">
        <v>263</v>
      </c>
      <c r="DC1581" s="317" t="str">
        <f>IF(OR($DB1581="prd",$DB1581="std",$DB1581="cit"),"loc",IF(OR($DB1581="eur",$DB1581="reg",$DB1581="coy"),"reg",$DB1581))</f>
        <v>loc</v>
      </c>
      <c r="DD1581" t="s">
        <v>513</v>
      </c>
      <c r="DE1581">
        <v>2014</v>
      </c>
      <c r="DF1581">
        <v>2014</v>
      </c>
      <c r="DG1581">
        <f>DF1581-DE1581</f>
        <v>0</v>
      </c>
      <c r="DH1581" t="str">
        <f>IF(DG1581=0,"0",IF(AND(DG1581&gt;=1,DG1581&lt;=30),"1-30",IF(AND(DG1581&gt;30,DG1581&lt;=70),"31-70",IF(AND(DG1581&gt;70,DG1581&lt;=100),"71-100",IF(DG1581&gt;100,"+100")))))</f>
        <v>0</v>
      </c>
      <c r="DI1581">
        <v>0</v>
      </c>
      <c r="DJ1581">
        <v>0</v>
      </c>
      <c r="DK1581">
        <v>0</v>
      </c>
      <c r="DL1581">
        <v>1</v>
      </c>
      <c r="DN1581">
        <f>SUM(DI1581:DL1581)</f>
        <v>1</v>
      </c>
      <c r="DO1581" t="str">
        <f>IF(DN1581=1,INDEX($DI$7:$DL$7,MATCH(1,$DI1581:$DL1581,0)),"mixedProduct")</f>
        <v>TimberInput</v>
      </c>
      <c r="DP1581">
        <f>IF(DI1581=1,DP$7,0)</f>
        <v>0</v>
      </c>
      <c r="DQ1581">
        <f>IF(DJ1581=1,DQ$7,0)</f>
        <v>0</v>
      </c>
      <c r="DR1581">
        <f>IF(DK1581=1,DR$7,0)</f>
        <v>0</v>
      </c>
      <c r="DS1581" t="str">
        <f>IF(DL1581=1,DS$7,0)</f>
        <v>Timber</v>
      </c>
      <c r="DT1581">
        <v>0</v>
      </c>
      <c r="DU1581" s="143">
        <v>0</v>
      </c>
      <c r="DV1581" s="143">
        <v>0</v>
      </c>
      <c r="DW1581" s="143">
        <v>0</v>
      </c>
      <c r="DX1581">
        <v>0</v>
      </c>
      <c r="DY1581">
        <f>SUM(DT1581:DU1581)</f>
        <v>0</v>
      </c>
      <c r="DZ1581" s="143" t="str">
        <f>IF(DT1581=1,"self-calculated DF",IF(DU1581=1,"external DF used","explicit C balance"))</f>
        <v>explicit C balance</v>
      </c>
      <c r="EA1581">
        <v>0</v>
      </c>
      <c r="EB1581" s="143">
        <v>0</v>
      </c>
      <c r="EC1581" s="143">
        <v>0</v>
      </c>
      <c r="ED1581" s="143">
        <v>0</v>
      </c>
      <c r="EE1581">
        <v>0</v>
      </c>
      <c r="EF1581" s="143">
        <v>1</v>
      </c>
      <c r="EG1581">
        <v>0</v>
      </c>
      <c r="EH1581" s="143">
        <v>1</v>
      </c>
      <c r="EI1581" s="143">
        <v>0</v>
      </c>
      <c r="EJ1581">
        <v>0</v>
      </c>
      <c r="EK1581">
        <v>0</v>
      </c>
      <c r="EL1581" s="143">
        <v>0</v>
      </c>
      <c r="EM1581" s="143">
        <v>0</v>
      </c>
      <c r="EN1581" s="2">
        <v>0</v>
      </c>
      <c r="EP1581" t="str">
        <f>IF(AND(AND(AND(OR($EC1581=1,$EB1581=1),OR($EH1581=1,$EF1581=1)),SUM($EA1581:$EE1581,$EK1581)&gt;=3),SUM($EF1581:$EJ1581)&gt;=2),"Whole sector approach","")</f>
        <v/>
      </c>
      <c r="EQ1581" t="str">
        <f>IF(AND(AND(OR($EC1581=1,$EB1581=1),AND($EH1581=0,$EF1581=0)),SUM($EA1581:$EE1581,$EK1581)&gt;=3),"Ecosystem approach","")</f>
        <v/>
      </c>
      <c r="ER1581" s="2" t="str">
        <f>IF(AND(AND(AND($EC1581=0,$EB1581=0),OR($EH1581=1,$EF1581=1)),SUM($EG1581:$EJ1581)&gt;=2),"Technology approach","")</f>
        <v/>
      </c>
      <c r="ES1581" t="str">
        <f>IF(AND($EC1581+$EB1581+$EE1581+$EA1581+$ED1581+$EG1581=0,$N1581="included"),"C neutral forest and HWP assumption","")</f>
        <v>C neutral forest and HWP assumption</v>
      </c>
      <c r="ET1581" t="str">
        <f>IF(AND(AND(AND(AND($EC1581=1,$EB1581+$EA1581+$EG1581&gt;=1),$EF1581=1),$EH1581+$EI1581+$ED1581+$EE1581&gt;=2),$N1581="included"),"All C pools assumption","")</f>
        <v/>
      </c>
      <c r="EU1581" t="str">
        <f>IF(AND($ED1581+$EE1581+$EI1581+$EH1581+$EF1581=0,$N1581="included"),"In-situ only assumption","")</f>
        <v/>
      </c>
      <c r="EY1581" t="b">
        <f>IF(ISNUMBER(BW1581),IF(ABS(BW1581-[4]QC_indicators!$B$2)&gt;3*[4]QC_indicators!$C$2,"C ratio",IF(ISNUMBER(CA1581),IF(ABS(CA1581-[4]QC_indicators!$B$1)&gt;3*[4]QC_indicators!$C$1,"DF","no"))),IF(ISNUMBER(CA1581),IF(ABS(CA1581-[4]QC_indicators!$B$1)&gt;3*[4]QC_indicators!$C$1,"DF","no")))</f>
        <v>0</v>
      </c>
      <c r="FA1581" t="str">
        <f>IF(LEN($CY1581)=0,"",IF(AND($CY1581&lt;(-0.05),$ES1581="C neutral forest and HWP assumption"),"Cneutral paradox",IF(AND($CY1581&gt;0.05,$EU1581="In-situ only assumption"),"In-situ only paradox","")))</f>
        <v/>
      </c>
      <c r="FB1581" s="319" t="s">
        <v>349</v>
      </c>
      <c r="FD1581" s="145" t="s">
        <v>4893</v>
      </c>
    </row>
    <row r="1582" spans="1:160" ht="15" hidden="1" customHeight="1">
      <c r="A1582" s="1" t="s">
        <v>500</v>
      </c>
      <c r="B1582" t="s">
        <v>501</v>
      </c>
      <c r="C1582" t="s">
        <v>502</v>
      </c>
      <c r="D1582" t="s">
        <v>503</v>
      </c>
      <c r="E1582" t="s">
        <v>504</v>
      </c>
      <c r="F1582" t="s">
        <v>505</v>
      </c>
      <c r="G1582" t="s">
        <v>506</v>
      </c>
      <c r="H1582" t="s">
        <v>254</v>
      </c>
      <c r="I1582">
        <v>2021</v>
      </c>
      <c r="J1582">
        <v>7</v>
      </c>
      <c r="K1582" t="s">
        <v>507</v>
      </c>
      <c r="M1582" t="str">
        <f>LEFT($D1582,FIND(",",$D1582)-1)&amp;"_"&amp;I1582&amp;L1582</f>
        <v>Caldas_2021</v>
      </c>
      <c r="N1582" t="s">
        <v>222</v>
      </c>
      <c r="O1582" s="145" t="s">
        <v>223</v>
      </c>
      <c r="P1582" t="s">
        <v>508</v>
      </c>
      <c r="Q1582" s="317" t="s">
        <v>256</v>
      </c>
      <c r="R1582" s="318" t="s">
        <v>1029</v>
      </c>
      <c r="S1582" s="1" t="s">
        <v>509</v>
      </c>
      <c r="T1582" t="s">
        <v>4896</v>
      </c>
      <c r="U1582" t="s">
        <v>4897</v>
      </c>
      <c r="V1582" s="253">
        <v>0</v>
      </c>
      <c r="W1582" s="253">
        <v>0</v>
      </c>
      <c r="X1582">
        <v>0</v>
      </c>
      <c r="Y1582">
        <v>0</v>
      </c>
      <c r="Z1582">
        <v>0</v>
      </c>
      <c r="AA1582">
        <v>0</v>
      </c>
      <c r="AB1582">
        <v>0</v>
      </c>
      <c r="AC1582">
        <v>0</v>
      </c>
      <c r="AD1582">
        <v>0</v>
      </c>
      <c r="AE1582">
        <v>0</v>
      </c>
      <c r="AF1582">
        <v>0</v>
      </c>
      <c r="AG1582">
        <v>1</v>
      </c>
      <c r="AH1582">
        <v>0</v>
      </c>
      <c r="AI1582">
        <v>0</v>
      </c>
      <c r="AJ1582">
        <v>0</v>
      </c>
      <c r="AK1582">
        <v>0</v>
      </c>
      <c r="AL1582">
        <v>0</v>
      </c>
      <c r="AM1582">
        <v>0</v>
      </c>
      <c r="AN1582">
        <v>0</v>
      </c>
      <c r="AO1582">
        <v>0</v>
      </c>
      <c r="AP1582">
        <v>0</v>
      </c>
      <c r="AQ1582">
        <v>0</v>
      </c>
      <c r="AR1582">
        <v>0</v>
      </c>
      <c r="AS1582">
        <v>0</v>
      </c>
      <c r="AT1582">
        <v>0</v>
      </c>
      <c r="AU1582">
        <v>0</v>
      </c>
      <c r="AV1582">
        <v>0</v>
      </c>
      <c r="AW1582">
        <v>0</v>
      </c>
      <c r="AX1582">
        <v>0</v>
      </c>
      <c r="AY1582">
        <v>0</v>
      </c>
      <c r="AZ1582" s="141">
        <f>COUNTIF(X1582:AY1582,"&lt;&gt;0")</f>
        <v>1</v>
      </c>
      <c r="BA1582" s="141">
        <f>COUNTIF(X1582:AN1582,"&lt;&gt;0")</f>
        <v>1</v>
      </c>
      <c r="BB1582">
        <f>COUNTIF(X1582:AE1582,"&lt;&gt;0")</f>
        <v>0</v>
      </c>
      <c r="BC1582">
        <f>COUNTIF(AF1582:AK1582,"&lt;&gt;0")</f>
        <v>1</v>
      </c>
      <c r="BD1582">
        <f>COUNTIF(AL1582:AN1582,"&lt;&gt;0")</f>
        <v>0</v>
      </c>
      <c r="BE1582">
        <f>COUNTIF(AU1582:AY1582,"&lt;&gt;0")</f>
        <v>0</v>
      </c>
      <c r="BF1582">
        <f>COUNTIF(AO1582:AT1582,"&lt;&gt;0")</f>
        <v>0</v>
      </c>
      <c r="BG1582" t="str" cm="1">
        <f t="array" ref="BG1582">IF(BA1582=1,INDEX($X$7:$AN$7,MATCH(TRUE,INDEX($X1582:$AY1582&lt;&gt;0,),0)),IF(BA1582=0,INDEX($AO$7:$AY$7,MATCH(1,$AO1582:$AY1582,0)),IF(BH1582="Multiple strategies","mixed drivers",IF(BH1582="Supply chain","multiple supply","multiple silviculture"))))</f>
        <v>location of industry</v>
      </c>
      <c r="BH1582" s="2" t="str" cm="1">
        <f t="array" ref="BH1582">IF(COUNTIF(BB1582:BD1582,"&lt;&gt;0")=1,INDEX($X$4:$AY$4,MATCH(TRUE,INDEX($X1582:$AY1582&lt;&gt;0,),0)),IF(COUNTIF(BB1582:BD1582,"&lt;&gt;0")=0,INDEX($AO$4:$AY$4,MATCH(1,$AO1582:$AY1582,0)),"Multiple strategies"))</f>
        <v>Supply chain</v>
      </c>
      <c r="BI1582" s="1" t="s">
        <v>229</v>
      </c>
      <c r="BJ1582" t="s">
        <v>510</v>
      </c>
      <c r="BK1582" s="141" t="s">
        <v>4892</v>
      </c>
      <c r="BL1582" t="s">
        <v>511</v>
      </c>
      <c r="BM1582">
        <v>140</v>
      </c>
      <c r="BN1582">
        <v>140</v>
      </c>
      <c r="BP1582">
        <f>BN1582-BM1582</f>
        <v>0</v>
      </c>
      <c r="BQ1582">
        <f>BP1582*kg_to_m3</f>
        <v>0</v>
      </c>
      <c r="BR1582" s="317" t="s">
        <v>232</v>
      </c>
      <c r="BS1582" s="141" t="s">
        <v>4892</v>
      </c>
      <c r="BT1582" t="s">
        <v>512</v>
      </c>
      <c r="BU1582">
        <v>-691</v>
      </c>
      <c r="BV1582">
        <v>-78</v>
      </c>
      <c r="BW1582" s="144">
        <f>IFERROR(BV1582/BU1582,"")</f>
        <v>0.11287988422575977</v>
      </c>
      <c r="BX1582" s="175">
        <f>BV1582-BU1582</f>
        <v>613</v>
      </c>
      <c r="BZ1582">
        <f>BX1582/1000</f>
        <v>0.61299999999999999</v>
      </c>
      <c r="CA1582" t="str">
        <f>IFERROR(BZ1582/BQ1582,"")</f>
        <v/>
      </c>
      <c r="CB1582" s="143">
        <v>0</v>
      </c>
      <c r="CC1582" s="143">
        <v>0</v>
      </c>
      <c r="CD1582" s="143">
        <v>0</v>
      </c>
      <c r="CE1582" s="143">
        <v>0</v>
      </c>
      <c r="CF1582" s="143">
        <v>0</v>
      </c>
      <c r="CG1582" s="143">
        <v>0</v>
      </c>
      <c r="CH1582" s="143">
        <v>0</v>
      </c>
      <c r="CI1582" s="143">
        <v>0</v>
      </c>
      <c r="CJ1582" s="143">
        <v>0</v>
      </c>
      <c r="CK1582" s="143">
        <v>0</v>
      </c>
      <c r="CL1582" s="143">
        <v>0</v>
      </c>
      <c r="CM1582" s="143">
        <v>0</v>
      </c>
      <c r="CN1582" s="143">
        <v>0</v>
      </c>
      <c r="CO1582">
        <v>0</v>
      </c>
      <c r="CP1582" t="str">
        <f>IF($BN1582&lt;$BM1582,"refNeedCorrection","refOK")</f>
        <v>refOK</v>
      </c>
      <c r="CQ1582">
        <f>IF($CP1582="refOK",$BM1582,$BN1582)</f>
        <v>140</v>
      </c>
      <c r="CR1582">
        <f>IF($CP1582="refOK",$BN1582,$BM1582)</f>
        <v>140</v>
      </c>
      <c r="CS1582">
        <f>IF($CP1582="refOK",$BQ1582,-$BQ1582)</f>
        <v>0</v>
      </c>
      <c r="CT1582">
        <f>IF(BI1582="Roundwood",$CS1582/2,$CS1582)</f>
        <v>0</v>
      </c>
      <c r="CU1582">
        <f>IF($CP1582="refOK",$BU1582,$BV1582)*IF($BR1582="Emissions positive",-1,1)</f>
        <v>-691</v>
      </c>
      <c r="CV1582">
        <f>IF($CP1582="refOK",$BV1582,$BU1582)*IF($BR1582="Emissions positive",-1,1)</f>
        <v>-78</v>
      </c>
      <c r="CW1582">
        <f>IF($CP1582="refNeedCorrection",-BZ1582,BZ1582)*IF($BR1582="Emissions positive",-1,1)</f>
        <v>0.61299999999999999</v>
      </c>
      <c r="CX1582" t="str">
        <f>IFERROR($CW1582/$CS1582,"")</f>
        <v/>
      </c>
      <c r="CY1582" t="str">
        <f>IFERROR($CW1582/$CS1582,"")</f>
        <v/>
      </c>
      <c r="CZ1582" t="str">
        <f>IFERROR($CW1582/$CT1582,"")</f>
        <v/>
      </c>
      <c r="DA1582" s="2">
        <f>IFERROR((CV1582-CU1582)/ABS(CU1582),"")</f>
        <v>0.88712011577424021</v>
      </c>
      <c r="DB1582" s="1" t="s">
        <v>263</v>
      </c>
      <c r="DC1582" s="317" t="str">
        <f>IF(OR($DB1582="prd",$DB1582="std",$DB1582="cit"),"loc",IF(OR($DB1582="eur",$DB1582="reg",$DB1582="coy"),"reg",$DB1582))</f>
        <v>loc</v>
      </c>
      <c r="DD1582" t="s">
        <v>513</v>
      </c>
      <c r="DE1582">
        <v>2014</v>
      </c>
      <c r="DF1582">
        <v>2014</v>
      </c>
      <c r="DG1582">
        <f>DF1582-DE1582</f>
        <v>0</v>
      </c>
      <c r="DH1582" t="str">
        <f>IF(DG1582=0,"0",IF(AND(DG1582&gt;=1,DG1582&lt;=30),"1-30",IF(AND(DG1582&gt;30,DG1582&lt;=70),"31-70",IF(AND(DG1582&gt;70,DG1582&lt;=100),"71-100",IF(DG1582&gt;100,"+100")))))</f>
        <v>0</v>
      </c>
      <c r="DI1582">
        <v>0</v>
      </c>
      <c r="DJ1582">
        <v>0</v>
      </c>
      <c r="DK1582">
        <v>0</v>
      </c>
      <c r="DL1582">
        <v>1</v>
      </c>
      <c r="DN1582">
        <f>SUM(DI1582:DL1582)</f>
        <v>1</v>
      </c>
      <c r="DO1582" t="str">
        <f>IF(DN1582=1,INDEX($DI$7:$DL$7,MATCH(1,$DI1582:$DL1582,0)),"mixedProduct")</f>
        <v>TimberInput</v>
      </c>
      <c r="DP1582">
        <f>IF(DI1582=1,DP$7,0)</f>
        <v>0</v>
      </c>
      <c r="DQ1582">
        <f>IF(DJ1582=1,DQ$7,0)</f>
        <v>0</v>
      </c>
      <c r="DR1582">
        <f>IF(DK1582=1,DR$7,0)</f>
        <v>0</v>
      </c>
      <c r="DS1582" t="str">
        <f>IF(DL1582=1,DS$7,0)</f>
        <v>Timber</v>
      </c>
      <c r="DT1582">
        <v>0</v>
      </c>
      <c r="DU1582" s="143">
        <v>0</v>
      </c>
      <c r="DV1582" s="143">
        <v>0</v>
      </c>
      <c r="DW1582" s="143">
        <v>0</v>
      </c>
      <c r="DX1582">
        <v>0</v>
      </c>
      <c r="DY1582">
        <f>SUM(DT1582:DU1582)</f>
        <v>0</v>
      </c>
      <c r="DZ1582" s="143" t="str">
        <f>IF(DT1582=1,"self-calculated DF",IF(DU1582=1,"external DF used","explicit C balance"))</f>
        <v>explicit C balance</v>
      </c>
      <c r="EA1582">
        <v>0</v>
      </c>
      <c r="EB1582" s="143">
        <v>0</v>
      </c>
      <c r="EC1582" s="143">
        <v>0</v>
      </c>
      <c r="ED1582" s="143">
        <v>0</v>
      </c>
      <c r="EE1582">
        <v>0</v>
      </c>
      <c r="EF1582" s="143">
        <v>1</v>
      </c>
      <c r="EG1582">
        <v>0</v>
      </c>
      <c r="EH1582" s="143">
        <v>1</v>
      </c>
      <c r="EI1582" s="143">
        <v>0</v>
      </c>
      <c r="EJ1582">
        <v>0</v>
      </c>
      <c r="EK1582">
        <v>0</v>
      </c>
      <c r="EL1582" s="143">
        <v>0</v>
      </c>
      <c r="EM1582" s="143">
        <v>0</v>
      </c>
      <c r="EN1582" s="2">
        <v>0</v>
      </c>
      <c r="EP1582" t="str">
        <f>IF(AND(AND(AND(OR($EC1582=1,$EB1582=1),OR($EH1582=1,$EF1582=1)),SUM($EA1582:$EE1582,$EK1582)&gt;=3),SUM($EF1582:$EJ1582)&gt;=2),"Whole sector approach","")</f>
        <v/>
      </c>
      <c r="EQ1582" t="str">
        <f>IF(AND(AND(OR($EC1582=1,$EB1582=1),AND($EH1582=0,$EF1582=0)),SUM($EA1582:$EE1582,$EK1582)&gt;=3),"Ecosystem approach","")</f>
        <v/>
      </c>
      <c r="ER1582" s="2" t="str">
        <f>IF(AND(AND(AND($EC1582=0,$EB1582=0),OR($EH1582=1,$EF1582=1)),SUM($EG1582:$EJ1582)&gt;=2),"Technology approach","")</f>
        <v/>
      </c>
      <c r="ES1582" t="str">
        <f>IF(AND($EC1582+$EB1582+$EE1582+$EA1582+$ED1582+$EG1582=0,$N1582="included"),"C neutral forest and HWP assumption","")</f>
        <v>C neutral forest and HWP assumption</v>
      </c>
      <c r="ET1582" t="str">
        <f>IF(AND(AND(AND(AND($EC1582=1,$EB1582+$EA1582+$EG1582&gt;=1),$EF1582=1),$EH1582+$EI1582+$ED1582+$EE1582&gt;=2),$N1582="included"),"All C pools assumption","")</f>
        <v/>
      </c>
      <c r="EU1582" t="str">
        <f>IF(AND($ED1582+$EE1582+$EI1582+$EH1582+$EF1582=0,$N1582="included"),"In-situ only assumption","")</f>
        <v/>
      </c>
      <c r="EY1582" t="b">
        <f>IF(ISNUMBER(BW1582),IF(ABS(BW1582-[4]QC_indicators!$B$2)&gt;3*[4]QC_indicators!$C$2,"C ratio",IF(ISNUMBER(CA1582),IF(ABS(CA1582-[4]QC_indicators!$B$1)&gt;3*[4]QC_indicators!$C$1,"DF","no"))),IF(ISNUMBER(CA1582),IF(ABS(CA1582-[4]QC_indicators!$B$1)&gt;3*[4]QC_indicators!$C$1,"DF","no")))</f>
        <v>0</v>
      </c>
      <c r="FA1582" t="str">
        <f>IF(LEN($CY1582)=0,"",IF(AND($CY1582&lt;(-0.05),$ES1582="C neutral forest and HWP assumption"),"Cneutral paradox",IF(AND($CY1582&gt;0.05,$EU1582="In-situ only assumption"),"In-situ only paradox","")))</f>
        <v/>
      </c>
      <c r="FB1582" s="319" t="s">
        <v>349</v>
      </c>
      <c r="FD1582" s="145" t="s">
        <v>4893</v>
      </c>
    </row>
    <row r="1583" spans="1:160" hidden="1">
      <c r="A1583" s="1" t="s">
        <v>398</v>
      </c>
      <c r="B1583" t="s">
        <v>668</v>
      </c>
      <c r="C1583" t="s">
        <v>669</v>
      </c>
      <c r="D1583" t="s">
        <v>670</v>
      </c>
      <c r="E1583" t="s">
        <v>671</v>
      </c>
      <c r="F1583" t="s">
        <v>672</v>
      </c>
      <c r="G1583" t="s">
        <v>404</v>
      </c>
      <c r="H1583" t="s">
        <v>254</v>
      </c>
      <c r="I1583">
        <v>2022</v>
      </c>
      <c r="J1583">
        <v>1</v>
      </c>
      <c r="K1583" t="s">
        <v>673</v>
      </c>
      <c r="M1583" t="str">
        <f>LEFT($D1583,FIND(",",$D1583)-1)&amp;"_"&amp;I1583&amp;L1583</f>
        <v>Duan_2022</v>
      </c>
      <c r="N1583" t="s">
        <v>222</v>
      </c>
      <c r="O1583" s="145" t="s">
        <v>223</v>
      </c>
      <c r="Q1583" t="s">
        <v>389</v>
      </c>
      <c r="R1583" s="276" t="s">
        <v>225</v>
      </c>
      <c r="S1583" s="1" t="s">
        <v>594</v>
      </c>
      <c r="T1583" s="151" t="s">
        <v>790</v>
      </c>
      <c r="U1583" t="s">
        <v>259</v>
      </c>
      <c r="V1583" s="253">
        <v>0</v>
      </c>
      <c r="W1583" s="253">
        <v>0</v>
      </c>
      <c r="X1583">
        <v>0</v>
      </c>
      <c r="Y1583">
        <v>0</v>
      </c>
      <c r="Z1583">
        <v>0</v>
      </c>
      <c r="AA1583">
        <v>0</v>
      </c>
      <c r="AB1583">
        <v>0</v>
      </c>
      <c r="AC1583">
        <v>0</v>
      </c>
      <c r="AD1583">
        <v>0</v>
      </c>
      <c r="AE1583">
        <v>0</v>
      </c>
      <c r="AF1583">
        <v>0</v>
      </c>
      <c r="AG1583">
        <v>0</v>
      </c>
      <c r="AH1583">
        <v>0</v>
      </c>
      <c r="AI1583">
        <v>0</v>
      </c>
      <c r="AJ1583">
        <v>0</v>
      </c>
      <c r="AK1583">
        <v>0</v>
      </c>
      <c r="AL1583">
        <v>0</v>
      </c>
      <c r="AM1583">
        <v>1</v>
      </c>
      <c r="AN1583">
        <v>0</v>
      </c>
      <c r="AO1583">
        <v>0</v>
      </c>
      <c r="AP1583">
        <v>0</v>
      </c>
      <c r="AQ1583">
        <v>0</v>
      </c>
      <c r="AR1583">
        <v>0</v>
      </c>
      <c r="AS1583">
        <v>0</v>
      </c>
      <c r="AT1583">
        <v>0</v>
      </c>
      <c r="AU1583">
        <v>0</v>
      </c>
      <c r="AV1583">
        <v>0</v>
      </c>
      <c r="AW1583">
        <v>0</v>
      </c>
      <c r="AX1583">
        <v>0</v>
      </c>
      <c r="AY1583">
        <v>0</v>
      </c>
      <c r="AZ1583" s="141">
        <f>COUNTIF(X1583:AY1583,"&lt;&gt;0")</f>
        <v>1</v>
      </c>
      <c r="BA1583" s="141">
        <f>COUNTIF(X1583:AN1583,"&lt;&gt;0")</f>
        <v>1</v>
      </c>
      <c r="BB1583">
        <f>COUNTIF(X1583:AE1583,"&lt;&gt;0")</f>
        <v>0</v>
      </c>
      <c r="BC1583">
        <f>COUNTIF(AF1583:AK1583,"&lt;&gt;0")</f>
        <v>0</v>
      </c>
      <c r="BD1583">
        <f>COUNTIF(AL1583:AN1583,"&lt;&gt;0")</f>
        <v>1</v>
      </c>
      <c r="BE1583">
        <f>COUNTIF(AU1583:AY1583,"&lt;&gt;0")</f>
        <v>0</v>
      </c>
      <c r="BF1583">
        <f>COUNTIF(AO1583:AT1583,"&lt;&gt;0")</f>
        <v>0</v>
      </c>
      <c r="BG1583" t="str">
        <f t="array" ref="BG1583">IF(BA1583=1,INDEX($X$7:$AN$7,MATCH(TRUE,INDEX($X1583:$AY1583&lt;&gt;0,),0)),IF(BA1583=0,INDEX($AO$7:$AY$7,MATCH(1,$AO1583:$AY1583,0)),IF(BH1583="Multiple strategies","mixed drivers",IF(BH1583="Supply chain","multiple supply","multiple silviculture"))))</f>
        <v>technologies/design switch</v>
      </c>
      <c r="BH1583" s="2" t="str" cm="1">
        <f t="array" ref="BH1583">IF(COUNTIF(BB1583:BD1583,"&lt;&gt;0")=1,INDEX($X$4:$AY$4,MATCH(TRUE,INDEX($X1583:$AY1583&lt;&gt;0,),0)),IF(COUNTIF(BB1583:BD1583,"&lt;&gt;0")=0,INDEX($AO$4:$AY$4,MATCH(1,$AO1583:$AY1583,0)),"Multiple strategies"))</f>
        <v>Technology</v>
      </c>
      <c r="BI1583" s="1" t="s">
        <v>229</v>
      </c>
      <c r="BJ1583" t="s">
        <v>674</v>
      </c>
      <c r="BK1583" s="141" t="s">
        <v>675</v>
      </c>
      <c r="BL1583" t="s">
        <v>638</v>
      </c>
      <c r="BM1583">
        <f>25.35</f>
        <v>25.35</v>
      </c>
      <c r="BN1583">
        <f>25.35+3.2+500.73</f>
        <v>529.28</v>
      </c>
      <c r="BP1583">
        <f>BN1583-BM1583</f>
        <v>503.92999999999995</v>
      </c>
      <c r="BQ1583">
        <f>BP1583*t_to_m3</f>
        <v>1028.4285714285713</v>
      </c>
      <c r="BR1583" t="s">
        <v>395</v>
      </c>
      <c r="BS1583" s="344" t="s">
        <v>5080</v>
      </c>
      <c r="BT1583" t="s">
        <v>262</v>
      </c>
      <c r="BU1583">
        <f>(1193.28+769.2)*2347</f>
        <v>4605940.5599999996</v>
      </c>
      <c r="BV1583">
        <f>(1343.23+411.39)*2347</f>
        <v>4118093.1399999997</v>
      </c>
      <c r="BW1583" s="144">
        <f>IFERROR(BV1583/BU1583,"")</f>
        <v>0.89408299702417349</v>
      </c>
      <c r="BX1583">
        <f>BV1583-BU1583</f>
        <v>-487847.41999999993</v>
      </c>
      <c r="BZ1583">
        <f>BX1583/1000</f>
        <v>-487.84741999999994</v>
      </c>
      <c r="CA1583">
        <f>IFERROR(BZ1583/BQ1583,"")</f>
        <v>-0.47436198638699817</v>
      </c>
      <c r="CB1583">
        <v>0</v>
      </c>
      <c r="CC1583">
        <v>0</v>
      </c>
      <c r="CD1583">
        <v>0</v>
      </c>
      <c r="CE1583">
        <v>0</v>
      </c>
      <c r="CF1583">
        <v>0</v>
      </c>
      <c r="CG1583">
        <v>0</v>
      </c>
      <c r="CH1583">
        <v>0</v>
      </c>
      <c r="CI1583">
        <v>0</v>
      </c>
      <c r="CJ1583">
        <v>0</v>
      </c>
      <c r="CK1583">
        <v>0</v>
      </c>
      <c r="CL1583">
        <v>0</v>
      </c>
      <c r="CM1583">
        <v>0</v>
      </c>
      <c r="CN1583">
        <v>0</v>
      </c>
      <c r="CO1583">
        <v>0</v>
      </c>
      <c r="CP1583" t="str">
        <f>IF($BN1583&lt;$BM1583,"refNeedCorrection","refOK")</f>
        <v>refOK</v>
      </c>
      <c r="CQ1583"/>
      <c r="CR1583"/>
      <c r="CS1583">
        <f>IF($CP1583="refOK",$BQ1583,-$BQ1583)</f>
        <v>1028.4285714285713</v>
      </c>
      <c r="CT1583">
        <f>IF(BI1583="Roundwood",$CS1583/2,$CS1583)</f>
        <v>1028.4285714285713</v>
      </c>
      <c r="CU1583">
        <f>IF($CP1583="refOK",$BU1583,$BV1583)*IF($BR1583="Emissions positive",-1,1)</f>
        <v>-4605940.5599999996</v>
      </c>
      <c r="CV1583">
        <f>IF($CP1583="refOK",$BV1583,$BU1583)*IF($BR1583="Emissions positive",-1,1)</f>
        <v>-4118093.1399999997</v>
      </c>
      <c r="CW1583">
        <f>IF($CP1583="refNeedCorrection",-BZ1583,BZ1583)*IF($BR1583="Emissions positive",-1,1)</f>
        <v>487.84741999999994</v>
      </c>
      <c r="CX1583">
        <f>IFERROR($CW1583/$CS1583,"")</f>
        <v>0.47436198638699817</v>
      </c>
      <c r="CY1583">
        <f>IFERROR($CW1583/$CS1583,"")</f>
        <v>0.47436198638699817</v>
      </c>
      <c r="CZ1583">
        <f>IFERROR($CW1583/$CT1583,"")</f>
        <v>0.47436198638699817</v>
      </c>
      <c r="DA1583" s="2">
        <f>IFERROR((CV1583-CU1583)/ABS(CU1583),"")</f>
        <v>0.1059170029758265</v>
      </c>
      <c r="DB1583" s="1" t="s">
        <v>263</v>
      </c>
      <c r="DC1583" t="str">
        <f>IF(OR($DB1583="prd",$DB1583="std",$DB1583="cit"),"loc",IF(OR($DB1583="eur",$DB1583="reg",$DB1583="coy"),"reg",$DB1583))</f>
        <v>loc</v>
      </c>
      <c r="DD1583" t="s">
        <v>677</v>
      </c>
      <c r="DG1583">
        <v>0</v>
      </c>
      <c r="DH1583" t="str">
        <f>IF(DG1583=0,"0",IF(AND(DG1583&gt;=1,DG1583&lt;=30),"1-30",IF(AND(DG1583&gt;30,DG1583&lt;=70),"31-70",IF(AND(DG1583&gt;70,DG1583&lt;=100),"71-100",IF(DG1583&gt;100,"+100")))))</f>
        <v>0</v>
      </c>
      <c r="DI1583">
        <v>0</v>
      </c>
      <c r="DJ1583">
        <v>0</v>
      </c>
      <c r="DK1583">
        <v>0</v>
      </c>
      <c r="DL1583">
        <v>1</v>
      </c>
      <c r="DM1583">
        <v>0</v>
      </c>
      <c r="DN1583">
        <f>SUM(DI1583:DM1583)</f>
        <v>1</v>
      </c>
      <c r="DO1583" t="str">
        <f>IF(DN1583=1,INDEX($DI$7:$DL$7,MATCH(1,$DI1583:$DL1583,0)),"mixedProduct")</f>
        <v>TimberInput</v>
      </c>
      <c r="DP1583">
        <f>IF(DI1583=1,DP$7,0)</f>
        <v>0</v>
      </c>
      <c r="DQ1583">
        <f>IF(DJ1583=1,DQ$7,0)</f>
        <v>0</v>
      </c>
      <c r="DR1583">
        <f>IF(DK1583=1,DR$7,0)</f>
        <v>0</v>
      </c>
      <c r="DS1583" t="str">
        <f>IF(DL1583=1,DS$7,0)</f>
        <v>Timber</v>
      </c>
      <c r="DT1583">
        <v>0</v>
      </c>
      <c r="DU1583">
        <v>0</v>
      </c>
      <c r="DV1583">
        <v>0</v>
      </c>
      <c r="DW1583">
        <v>0</v>
      </c>
      <c r="DX1583">
        <v>0</v>
      </c>
      <c r="DY1583">
        <f>SUM(DT1583:DU1583)</f>
        <v>0</v>
      </c>
      <c r="DZ1583" t="str">
        <f>IF(DT1583=1,"self-calculated DF",IF(DU1583=1,"external DF used","explicit C balance"))</f>
        <v>explicit C balance</v>
      </c>
      <c r="EA1583">
        <v>0</v>
      </c>
      <c r="EB1583">
        <v>0</v>
      </c>
      <c r="EC1583">
        <v>0</v>
      </c>
      <c r="ED1583">
        <v>0</v>
      </c>
      <c r="EE1583">
        <v>0</v>
      </c>
      <c r="EF1583" s="143">
        <v>0</v>
      </c>
      <c r="EG1583">
        <v>1</v>
      </c>
      <c r="EH1583">
        <v>1</v>
      </c>
      <c r="EI1583">
        <v>1</v>
      </c>
      <c r="EJ1583">
        <v>0</v>
      </c>
      <c r="EK1583">
        <v>0</v>
      </c>
      <c r="EL1583">
        <v>0</v>
      </c>
      <c r="EM1583">
        <v>0</v>
      </c>
      <c r="EN1583" s="2">
        <v>0</v>
      </c>
      <c r="EP1583" t="str">
        <f>IF(AND(AND(AND(OR($EC1583=1,$EB1583=1),OR($EH1583=1,$EF1583=1)),SUM($EA1583:$EE1583,$EK1583)&gt;=3),SUM($EF1583:$EJ1583)&gt;=2),"Whole sector approach","")</f>
        <v/>
      </c>
      <c r="EQ1583" t="str">
        <f>IF(AND(AND(OR($EC1583=1,$EB1583=1),AND($EH1583=0,$EF1583=0)),SUM($EA1583:$EE1583,$EK1583)&gt;=4),"Ecosystem approach","")</f>
        <v/>
      </c>
      <c r="ER1583" s="2" t="str">
        <f>IF(AND(AND(AND($EC1583=0,$EB1583=0),OR($EH1583=1,$EF1583=1)),SUM($EG1583:$EJ1583)&gt;=2),"Technology approach","")</f>
        <v>Technology approach</v>
      </c>
      <c r="ES1583" t="str">
        <f>IF(AND($EC1583+$EB1583+$EE1583+$EA1583+$ED1583+$EG1583=0,$N1583="included"),"C neutral forest and HWP assumption","")</f>
        <v/>
      </c>
      <c r="ET1583" t="str">
        <f>IF(AND(AND(AND(AND($EC1583=1,$EB1583+$EA1583+$EG1583&gt;=1),$EF1583=1),$EH1583+$EI1583+$ED1583+$EE1583&gt;=2),$N1583="included"),"All C pools assumption","")</f>
        <v/>
      </c>
      <c r="EU1583" t="str">
        <f>IF(AND($ED1583+$EE1583+$EI1583+$EH1583+$EF1583=0,$N1583="included"),"In-situ only assumption","")</f>
        <v/>
      </c>
      <c r="EY1583" t="str">
        <f>IF(ISNUMBER(BW1583),IF(ABS(BW1583-[6]QC_indicators!$B$2)&gt;3*[6]QC_indicators!$C$2,"C ratio",IF(ISNUMBER(CA1583),IF(ABS(CA1583-[6]QC_indicators!$B$1)&gt;3*[6]QC_indicators!$C$1,"DF","no"))),IF(ISNUMBER(CA1583),IF(ABS(CA1583-[6]QC_indicators!$B$1)&gt;3*[6]QC_indicators!$C$1,"DF","no")))</f>
        <v>no</v>
      </c>
      <c r="FA1583" t="str">
        <f>IF(LEN($CY1583)=0,"",IF(AND($CY1583&lt;(-0.05),$ES1583="C neutral forest and HWP assumption"),"Cneutral paradox",IF(AND($CY1583&gt;0.05,$EU1583="In-situ only assumption"),"In-situ only paradox","")))</f>
        <v/>
      </c>
      <c r="FD1583" t="s">
        <v>2948</v>
      </c>
    </row>
    <row r="1584" spans="1:160" ht="15" hidden="1" customHeight="1">
      <c r="A1584" s="1" t="s">
        <v>398</v>
      </c>
      <c r="B1584" t="s">
        <v>668</v>
      </c>
      <c r="C1584" t="s">
        <v>669</v>
      </c>
      <c r="D1584" t="s">
        <v>670</v>
      </c>
      <c r="E1584" t="s">
        <v>671</v>
      </c>
      <c r="F1584" t="s">
        <v>672</v>
      </c>
      <c r="G1584" t="s">
        <v>404</v>
      </c>
      <c r="H1584" t="s">
        <v>254</v>
      </c>
      <c r="I1584">
        <v>2022</v>
      </c>
      <c r="J1584">
        <v>1</v>
      </c>
      <c r="K1584" t="s">
        <v>673</v>
      </c>
      <c r="M1584" t="str">
        <f>LEFT($D1584,FIND(",",$D1584)-1)&amp;"_"&amp;I1584&amp;L1584</f>
        <v>Duan_2022</v>
      </c>
      <c r="N1584" t="s">
        <v>222</v>
      </c>
      <c r="O1584" s="145" t="s">
        <v>223</v>
      </c>
      <c r="Q1584" t="s">
        <v>389</v>
      </c>
      <c r="R1584" s="276" t="s">
        <v>225</v>
      </c>
      <c r="S1584" s="1" t="s">
        <v>594</v>
      </c>
      <c r="T1584" s="151" t="s">
        <v>790</v>
      </c>
      <c r="U1584" t="s">
        <v>259</v>
      </c>
      <c r="V1584" s="253">
        <v>0</v>
      </c>
      <c r="W1584" s="253">
        <v>0</v>
      </c>
      <c r="X1584">
        <v>0</v>
      </c>
      <c r="Y1584">
        <v>0</v>
      </c>
      <c r="Z1584">
        <v>0</v>
      </c>
      <c r="AA1584">
        <v>0</v>
      </c>
      <c r="AB1584">
        <v>0</v>
      </c>
      <c r="AC1584">
        <v>0</v>
      </c>
      <c r="AD1584">
        <v>0</v>
      </c>
      <c r="AE1584">
        <v>0</v>
      </c>
      <c r="AF1584">
        <v>0</v>
      </c>
      <c r="AG1584">
        <v>0</v>
      </c>
      <c r="AH1584">
        <v>0</v>
      </c>
      <c r="AI1584">
        <v>0</v>
      </c>
      <c r="AJ1584">
        <v>0</v>
      </c>
      <c r="AK1584">
        <v>0</v>
      </c>
      <c r="AL1584">
        <v>0</v>
      </c>
      <c r="AM1584">
        <v>1</v>
      </c>
      <c r="AN1584">
        <v>0</v>
      </c>
      <c r="AO1584">
        <v>0</v>
      </c>
      <c r="AP1584">
        <v>0</v>
      </c>
      <c r="AQ1584">
        <v>0</v>
      </c>
      <c r="AR1584">
        <v>0</v>
      </c>
      <c r="AS1584">
        <v>0</v>
      </c>
      <c r="AT1584">
        <v>0</v>
      </c>
      <c r="AU1584">
        <v>0</v>
      </c>
      <c r="AV1584">
        <v>0</v>
      </c>
      <c r="AW1584">
        <v>0</v>
      </c>
      <c r="AX1584">
        <v>0</v>
      </c>
      <c r="AY1584">
        <v>0</v>
      </c>
      <c r="AZ1584" s="141">
        <f>COUNTIF(X1584:AY1584,"&lt;&gt;0")</f>
        <v>1</v>
      </c>
      <c r="BA1584" s="141">
        <f>COUNTIF(X1584:AN1584,"&lt;&gt;0")</f>
        <v>1</v>
      </c>
      <c r="BB1584">
        <f>COUNTIF(X1584:AE1584,"&lt;&gt;0")</f>
        <v>0</v>
      </c>
      <c r="BC1584">
        <f>COUNTIF(AF1584:AK1584,"&lt;&gt;0")</f>
        <v>0</v>
      </c>
      <c r="BD1584">
        <f>COUNTIF(AL1584:AN1584,"&lt;&gt;0")</f>
        <v>1</v>
      </c>
      <c r="BE1584">
        <f>COUNTIF(AU1584:AY1584,"&lt;&gt;0")</f>
        <v>0</v>
      </c>
      <c r="BF1584">
        <f>COUNTIF(AO1584:AT1584,"&lt;&gt;0")</f>
        <v>0</v>
      </c>
      <c r="BG1584" t="str">
        <f t="array" ref="BG1584">IF(BA1584=1,INDEX($X$7:$AN$7,MATCH(TRUE,INDEX($X1584:$AY1584&lt;&gt;0,),0)),IF(BA1584=0,INDEX($AO$7:$AY$7,MATCH(1,$AO1584:$AY1584,0)),IF(BH1584="Multiple strategies","mixed drivers",IF(BH1584="Supply chain","multiple supply","multiple silviculture"))))</f>
        <v>technologies/design switch</v>
      </c>
      <c r="BH1584" s="2" t="str" cm="1">
        <f t="array" ref="BH1584">IF(COUNTIF(BB1584:BD1584,"&lt;&gt;0")=1,INDEX($X$4:$AY$4,MATCH(TRUE,INDEX($X1584:$AY1584&lt;&gt;0,),0)),IF(COUNTIF(BB1584:BD1584,"&lt;&gt;0")=0,INDEX($AO$4:$AY$4,MATCH(1,$AO1584:$AY1584,0)),"Multiple strategies"))</f>
        <v>Technology</v>
      </c>
      <c r="BI1584" s="1" t="s">
        <v>229</v>
      </c>
      <c r="BJ1584" t="s">
        <v>674</v>
      </c>
      <c r="BK1584" s="141" t="s">
        <v>675</v>
      </c>
      <c r="BL1584" t="s">
        <v>638</v>
      </c>
      <c r="BM1584">
        <f>25.35</f>
        <v>25.35</v>
      </c>
      <c r="BN1584">
        <f>25.35+3.2+500.73</f>
        <v>529.28</v>
      </c>
      <c r="BP1584">
        <f>BN1584-BM1584</f>
        <v>503.92999999999995</v>
      </c>
      <c r="BQ1584">
        <f>BP1584*t_to_m3</f>
        <v>1028.4285714285713</v>
      </c>
      <c r="BR1584" t="s">
        <v>395</v>
      </c>
      <c r="BS1584" s="344" t="s">
        <v>5081</v>
      </c>
      <c r="BT1584" t="s">
        <v>262</v>
      </c>
      <c r="BU1584">
        <f>(7.62+3.7+9.26+769.2+1193.28)*2347</f>
        <v>4654241.82</v>
      </c>
      <c r="BV1584">
        <f>(3.63+1.99+3.75+411.39+1343.23)*2347</f>
        <v>4140084.53</v>
      </c>
      <c r="BW1584" s="144">
        <f>IFERROR(BV1584/BU1584,"")</f>
        <v>0.88952931328351126</v>
      </c>
      <c r="BX1584">
        <f>BV1584-BU1584</f>
        <v>-514157.2900000005</v>
      </c>
      <c r="BZ1584">
        <f>BX1584/1000</f>
        <v>-514.15729000000056</v>
      </c>
      <c r="CA1584">
        <f>IFERROR(BZ1584/BQ1584,"")</f>
        <v>-0.49994457980275098</v>
      </c>
      <c r="CB1584">
        <v>0</v>
      </c>
      <c r="CC1584">
        <v>0</v>
      </c>
      <c r="CD1584">
        <v>0</v>
      </c>
      <c r="CE1584">
        <v>0</v>
      </c>
      <c r="CF1584">
        <v>0</v>
      </c>
      <c r="CG1584">
        <v>0</v>
      </c>
      <c r="CH1584">
        <v>0</v>
      </c>
      <c r="CI1584">
        <v>0</v>
      </c>
      <c r="CJ1584">
        <v>0</v>
      </c>
      <c r="CK1584">
        <v>0</v>
      </c>
      <c r="CL1584">
        <v>0</v>
      </c>
      <c r="CM1584">
        <v>0</v>
      </c>
      <c r="CN1584">
        <v>0</v>
      </c>
      <c r="CO1584">
        <v>0</v>
      </c>
      <c r="CP1584" t="str">
        <f>IF($BN1584&lt;$BM1584,"refNeedCorrection","refOK")</f>
        <v>refOK</v>
      </c>
      <c r="CQ1584"/>
      <c r="CR1584"/>
      <c r="CS1584">
        <f>IF($CP1584="refOK",$BQ1584,-$BQ1584)</f>
        <v>1028.4285714285713</v>
      </c>
      <c r="CT1584">
        <f>IF(BI1584="Roundwood",$CS1584/2,$CS1584)</f>
        <v>1028.4285714285713</v>
      </c>
      <c r="CU1584">
        <f>IF($CP1584="refOK",$BU1584,$BV1584)*IF($BR1584="Emissions positive",-1,1)</f>
        <v>-4654241.82</v>
      </c>
      <c r="CV1584">
        <f>IF($CP1584="refOK",$BV1584,$BU1584)*IF($BR1584="Emissions positive",-1,1)</f>
        <v>-4140084.53</v>
      </c>
      <c r="CW1584">
        <f>IF($CP1584="refNeedCorrection",-BZ1584,BZ1584)*IF($BR1584="Emissions positive",-1,1)</f>
        <v>514.15729000000056</v>
      </c>
      <c r="CX1584">
        <f>IFERROR($CW1584/$CS1584,"")</f>
        <v>0.49994457980275098</v>
      </c>
      <c r="CY1584">
        <f>IFERROR($CW1584/$CS1584,"")</f>
        <v>0.49994457980275098</v>
      </c>
      <c r="CZ1584">
        <f>IFERROR($CW1584/$CT1584,"")</f>
        <v>0.49994457980275098</v>
      </c>
      <c r="DA1584" s="2">
        <f>IFERROR((CV1584-CU1584)/ABS(CU1584),"")</f>
        <v>0.11047068671648876</v>
      </c>
      <c r="DB1584" s="1" t="s">
        <v>263</v>
      </c>
      <c r="DC1584" t="str">
        <f>IF(OR($DB1584="prd",$DB1584="std",$DB1584="cit"),"loc",IF(OR($DB1584="eur",$DB1584="reg",$DB1584="coy"),"reg",$DB1584))</f>
        <v>loc</v>
      </c>
      <c r="DD1584" t="s">
        <v>677</v>
      </c>
      <c r="DG1584">
        <v>0</v>
      </c>
      <c r="DH1584" t="str">
        <f>IF(DG1584=0,"0",IF(AND(DG1584&gt;=1,DG1584&lt;=30),"1-30",IF(AND(DG1584&gt;30,DG1584&lt;=70),"31-70",IF(AND(DG1584&gt;70,DG1584&lt;=100),"71-100",IF(DG1584&gt;100,"+100")))))</f>
        <v>0</v>
      </c>
      <c r="DI1584">
        <v>0</v>
      </c>
      <c r="DJ1584">
        <v>0</v>
      </c>
      <c r="DK1584">
        <v>0</v>
      </c>
      <c r="DL1584">
        <v>1</v>
      </c>
      <c r="DM1584">
        <v>0</v>
      </c>
      <c r="DN1584">
        <f>SUM(DI1584:DM1584)</f>
        <v>1</v>
      </c>
      <c r="DO1584" t="str">
        <f>IF(DN1584=1,INDEX($DI$7:$DL$7,MATCH(1,$DI1584:$DL1584,0)),"mixedProduct")</f>
        <v>TimberInput</v>
      </c>
      <c r="DP1584">
        <f>IF(DI1584=1,DP$7,0)</f>
        <v>0</v>
      </c>
      <c r="DQ1584">
        <f>IF(DJ1584=1,DQ$7,0)</f>
        <v>0</v>
      </c>
      <c r="DR1584">
        <f>IF(DK1584=1,DR$7,0)</f>
        <v>0</v>
      </c>
      <c r="DS1584" t="str">
        <f>IF(DL1584=1,DS$7,0)</f>
        <v>Timber</v>
      </c>
      <c r="DT1584">
        <v>0</v>
      </c>
      <c r="DU1584">
        <v>0</v>
      </c>
      <c r="DV1584">
        <v>0</v>
      </c>
      <c r="DW1584">
        <v>0</v>
      </c>
      <c r="DX1584">
        <v>0</v>
      </c>
      <c r="DY1584">
        <f>SUM(DT1584:DU1584)</f>
        <v>0</v>
      </c>
      <c r="DZ1584" t="str">
        <f>IF(DT1584=1,"self-calculated DF",IF(DU1584=1,"external DF used","explicit C balance"))</f>
        <v>explicit C balance</v>
      </c>
      <c r="EA1584">
        <v>0</v>
      </c>
      <c r="EB1584">
        <v>0</v>
      </c>
      <c r="EC1584">
        <v>0</v>
      </c>
      <c r="ED1584">
        <v>0</v>
      </c>
      <c r="EE1584">
        <v>0</v>
      </c>
      <c r="EF1584" s="143">
        <v>0</v>
      </c>
      <c r="EG1584">
        <v>1</v>
      </c>
      <c r="EH1584">
        <v>1</v>
      </c>
      <c r="EI1584">
        <v>1</v>
      </c>
      <c r="EJ1584">
        <v>1</v>
      </c>
      <c r="EK1584">
        <v>0</v>
      </c>
      <c r="EL1584">
        <v>0</v>
      </c>
      <c r="EM1584">
        <v>0</v>
      </c>
      <c r="EN1584" s="2">
        <v>0</v>
      </c>
      <c r="EP1584" t="str">
        <f>IF(AND(AND(AND(OR($EC1584=1,$EB1584=1),OR($EH1584=1,$EF1584=1)),SUM($EA1584:$EE1584,$EK1584)&gt;=3),SUM($EF1584:$EJ1584)&gt;=2),"Whole sector approach","")</f>
        <v/>
      </c>
      <c r="EQ1584" t="str">
        <f>IF(AND(AND(OR($EC1584=1,$EB1584=1),AND($EH1584=0,$EF1584=0)),SUM($EA1584:$EE1584,$EK1584)&gt;=4),"Ecosystem approach","")</f>
        <v/>
      </c>
      <c r="ER1584" s="2" t="str">
        <f>IF(AND(AND(AND($EC1584=0,$EB1584=0),OR($EH1584=1,$EF1584=1)),SUM($EG1584:$EJ1584)&gt;=2),"Technology approach","")</f>
        <v>Technology approach</v>
      </c>
      <c r="ES1584" t="str">
        <f>IF(AND($EC1584+$EB1584+$EE1584+$EA1584+$ED1584+$EG1584=0,$N1584="included"),"C neutral forest and HWP assumption","")</f>
        <v/>
      </c>
      <c r="ET1584" t="str">
        <f>IF(AND(AND(AND(AND($EC1584=1,$EB1584+$EA1584+$EG1584&gt;=1),$EF1584=1),$EH1584+$EI1584+$ED1584+$EE1584&gt;=2),$N1584="included"),"All C pools assumption","")</f>
        <v/>
      </c>
      <c r="EU1584" t="str">
        <f>IF(AND($ED1584+$EE1584+$EI1584+$EH1584+$EF1584=0,$N1584="included"),"In-situ only assumption","")</f>
        <v/>
      </c>
      <c r="EY1584" t="str">
        <f>IF(ISNUMBER(BW1584),IF(ABS(BW1584-[6]QC_indicators!$B$2)&gt;3*[6]QC_indicators!$C$2,"C ratio",IF(ISNUMBER(CA1584),IF(ABS(CA1584-[6]QC_indicators!$B$1)&gt;3*[6]QC_indicators!$C$1,"DF","no"))),IF(ISNUMBER(CA1584),IF(ABS(CA1584-[6]QC_indicators!$B$1)&gt;3*[6]QC_indicators!$C$1,"DF","no")))</f>
        <v>no</v>
      </c>
      <c r="FA1584" t="str">
        <f>IF(LEN($CY1584)=0,"",IF(AND($CY1584&lt;(-0.05),$ES1584="C neutral forest and HWP assumption"),"Cneutral paradox",IF(AND($CY1584&gt;0.05,$EU1584="In-situ only assumption"),"In-situ only paradox","")))</f>
        <v/>
      </c>
      <c r="FD1584" t="s">
        <v>2948</v>
      </c>
    </row>
    <row r="1585" spans="1:160" ht="15" hidden="1" customHeight="1">
      <c r="A1585" s="1" t="s">
        <v>398</v>
      </c>
      <c r="B1585" t="s">
        <v>668</v>
      </c>
      <c r="C1585" t="s">
        <v>669</v>
      </c>
      <c r="D1585" t="s">
        <v>670</v>
      </c>
      <c r="E1585" t="s">
        <v>671</v>
      </c>
      <c r="F1585" t="s">
        <v>672</v>
      </c>
      <c r="G1585" t="s">
        <v>404</v>
      </c>
      <c r="H1585" t="s">
        <v>254</v>
      </c>
      <c r="I1585">
        <v>2022</v>
      </c>
      <c r="J1585">
        <v>1</v>
      </c>
      <c r="K1585" t="s">
        <v>673</v>
      </c>
      <c r="M1585" t="str">
        <f>LEFT($D1585,FIND(",",$D1585)-1)&amp;"_"&amp;I1585&amp;L1585</f>
        <v>Duan_2022</v>
      </c>
      <c r="N1585" t="s">
        <v>222</v>
      </c>
      <c r="O1585" s="145" t="s">
        <v>223</v>
      </c>
      <c r="Q1585" t="s">
        <v>389</v>
      </c>
      <c r="R1585" s="276" t="s">
        <v>225</v>
      </c>
      <c r="S1585" s="1" t="s">
        <v>594</v>
      </c>
      <c r="T1585" s="151" t="s">
        <v>790</v>
      </c>
      <c r="U1585" t="s">
        <v>259</v>
      </c>
      <c r="V1585" s="253">
        <v>0</v>
      </c>
      <c r="W1585" s="253">
        <v>0</v>
      </c>
      <c r="X1585">
        <v>0</v>
      </c>
      <c r="Y1585">
        <v>0</v>
      </c>
      <c r="Z1585">
        <v>0</v>
      </c>
      <c r="AA1585">
        <v>0</v>
      </c>
      <c r="AB1585">
        <v>0</v>
      </c>
      <c r="AC1585">
        <v>0</v>
      </c>
      <c r="AD1585">
        <v>0</v>
      </c>
      <c r="AE1585">
        <v>0</v>
      </c>
      <c r="AF1585">
        <v>0</v>
      </c>
      <c r="AG1585">
        <v>0</v>
      </c>
      <c r="AH1585">
        <v>0</v>
      </c>
      <c r="AI1585">
        <v>0</v>
      </c>
      <c r="AJ1585">
        <v>0</v>
      </c>
      <c r="AK1585">
        <v>0</v>
      </c>
      <c r="AL1585">
        <v>0</v>
      </c>
      <c r="AM1585">
        <v>1</v>
      </c>
      <c r="AN1585">
        <v>0</v>
      </c>
      <c r="AO1585">
        <v>0</v>
      </c>
      <c r="AP1585">
        <v>0</v>
      </c>
      <c r="AQ1585">
        <v>0</v>
      </c>
      <c r="AR1585">
        <v>0</v>
      </c>
      <c r="AS1585">
        <v>0</v>
      </c>
      <c r="AT1585">
        <v>0</v>
      </c>
      <c r="AU1585">
        <v>0</v>
      </c>
      <c r="AV1585">
        <v>0</v>
      </c>
      <c r="AW1585">
        <v>0</v>
      </c>
      <c r="AX1585">
        <v>0</v>
      </c>
      <c r="AY1585">
        <v>0</v>
      </c>
      <c r="AZ1585" s="141">
        <f>COUNTIF(X1585:AY1585,"&lt;&gt;0")</f>
        <v>1</v>
      </c>
      <c r="BA1585" s="141">
        <f>COUNTIF(X1585:AN1585,"&lt;&gt;0")</f>
        <v>1</v>
      </c>
      <c r="BB1585">
        <f>COUNTIF(X1585:AE1585,"&lt;&gt;0")</f>
        <v>0</v>
      </c>
      <c r="BC1585">
        <f>COUNTIF(AF1585:AK1585,"&lt;&gt;0")</f>
        <v>0</v>
      </c>
      <c r="BD1585">
        <f>COUNTIF(AL1585:AN1585,"&lt;&gt;0")</f>
        <v>1</v>
      </c>
      <c r="BE1585">
        <f>COUNTIF(AU1585:AY1585,"&lt;&gt;0")</f>
        <v>0</v>
      </c>
      <c r="BF1585">
        <f>COUNTIF(AO1585:AT1585,"&lt;&gt;0")</f>
        <v>0</v>
      </c>
      <c r="BG1585" t="str">
        <f t="array" ref="BG1585">IF(BA1585=1,INDEX($X$7:$AN$7,MATCH(TRUE,INDEX($X1585:$AY1585&lt;&gt;0,),0)),IF(BA1585=0,INDEX($AO$7:$AY$7,MATCH(1,$AO1585:$AY1585,0)),IF(BH1585="Multiple strategies","mixed drivers",IF(BH1585="Supply chain","multiple supply","multiple silviculture"))))</f>
        <v>technologies/design switch</v>
      </c>
      <c r="BH1585" s="2" t="str" cm="1">
        <f t="array" ref="BH1585">IF(COUNTIF(BB1585:BD1585,"&lt;&gt;0")=1,INDEX($X$4:$AY$4,MATCH(TRUE,INDEX($X1585:$AY1585&lt;&gt;0,),0)),IF(COUNTIF(BB1585:BD1585,"&lt;&gt;0")=0,INDEX($AO$4:$AY$4,MATCH(1,$AO1585:$AY1585,0)),"Multiple strategies"))</f>
        <v>Technology</v>
      </c>
      <c r="BI1585" s="1" t="s">
        <v>229</v>
      </c>
      <c r="BJ1585" t="s">
        <v>674</v>
      </c>
      <c r="BK1585" s="141" t="s">
        <v>675</v>
      </c>
      <c r="BL1585" t="s">
        <v>638</v>
      </c>
      <c r="BM1585">
        <f>25.35</f>
        <v>25.35</v>
      </c>
      <c r="BN1585">
        <f>25.35+3.2+500.73</f>
        <v>529.28</v>
      </c>
      <c r="BP1585">
        <f>BN1585-BM1585</f>
        <v>503.92999999999995</v>
      </c>
      <c r="BQ1585">
        <f>BP1585*t_to_m3</f>
        <v>1028.4285714285713</v>
      </c>
      <c r="BR1585" t="s">
        <v>395</v>
      </c>
      <c r="BS1585" s="344" t="s">
        <v>5082</v>
      </c>
      <c r="BT1585" t="s">
        <v>262</v>
      </c>
      <c r="BU1585">
        <f>(-101.91+769.2+1193.28)*2347</f>
        <v>4366757.79</v>
      </c>
      <c r="BV1585">
        <f>(-173.12+411.39+1343.23)*2347</f>
        <v>3711780.5</v>
      </c>
      <c r="BW1585" s="144">
        <f>IFERROR(BV1585/BU1585,"")</f>
        <v>0.85000833078035221</v>
      </c>
      <c r="BX1585">
        <f>BV1585-BU1585</f>
        <v>-654977.29</v>
      </c>
      <c r="BZ1585">
        <f>BX1585/1000</f>
        <v>-654.97729000000004</v>
      </c>
      <c r="CA1585">
        <f>IFERROR(BZ1585/BQ1585,"")</f>
        <v>-0.63687193082372562</v>
      </c>
      <c r="CB1585">
        <v>0</v>
      </c>
      <c r="CC1585">
        <v>0</v>
      </c>
      <c r="CD1585">
        <v>0</v>
      </c>
      <c r="CE1585">
        <v>0</v>
      </c>
      <c r="CF1585">
        <v>0</v>
      </c>
      <c r="CG1585">
        <v>0</v>
      </c>
      <c r="CH1585">
        <v>0</v>
      </c>
      <c r="CI1585">
        <v>0</v>
      </c>
      <c r="CJ1585">
        <v>0</v>
      </c>
      <c r="CK1585">
        <v>0</v>
      </c>
      <c r="CL1585">
        <v>0</v>
      </c>
      <c r="CM1585">
        <v>0</v>
      </c>
      <c r="CN1585">
        <v>0</v>
      </c>
      <c r="CO1585">
        <v>0</v>
      </c>
      <c r="CP1585" t="str">
        <f>IF($BN1585&lt;$BM1585,"refNeedCorrection","refOK")</f>
        <v>refOK</v>
      </c>
      <c r="CQ1585"/>
      <c r="CR1585"/>
      <c r="CS1585">
        <f>IF($CP1585="refOK",$BQ1585,-$BQ1585)</f>
        <v>1028.4285714285713</v>
      </c>
      <c r="CT1585">
        <f>IF(BI1585="Roundwood",$CS1585/2,$CS1585)</f>
        <v>1028.4285714285713</v>
      </c>
      <c r="CU1585">
        <f>IF($CP1585="refOK",$BU1585,$BV1585)*IF($BR1585="Emissions positive",-1,1)</f>
        <v>-4366757.79</v>
      </c>
      <c r="CV1585">
        <f>IF($CP1585="refOK",$BV1585,$BU1585)*IF($BR1585="Emissions positive",-1,1)</f>
        <v>-3711780.5</v>
      </c>
      <c r="CW1585">
        <f>IF($CP1585="refNeedCorrection",-BZ1585,BZ1585)*IF($BR1585="Emissions positive",-1,1)</f>
        <v>654.97729000000004</v>
      </c>
      <c r="CX1585">
        <f>IFERROR($CW1585/$CS1585,"")</f>
        <v>0.63687193082372562</v>
      </c>
      <c r="CY1585">
        <f>IFERROR($CW1585/$CS1585,"")</f>
        <v>0.63687193082372562</v>
      </c>
      <c r="CZ1585">
        <f>IFERROR($CW1585/$CT1585,"")</f>
        <v>0.63687193082372562</v>
      </c>
      <c r="DA1585" s="2">
        <f>IFERROR((CV1585-CU1585)/ABS(CU1585),"")</f>
        <v>0.14999166921964774</v>
      </c>
      <c r="DB1585" s="1" t="s">
        <v>263</v>
      </c>
      <c r="DC1585" t="str">
        <f>IF(OR($DB1585="prd",$DB1585="std",$DB1585="cit"),"loc",IF(OR($DB1585="eur",$DB1585="reg",$DB1585="coy"),"reg",$DB1585))</f>
        <v>loc</v>
      </c>
      <c r="DD1585" t="s">
        <v>677</v>
      </c>
      <c r="DG1585">
        <v>0</v>
      </c>
      <c r="DH1585" t="str">
        <f>IF(DG1585=0,"0",IF(AND(DG1585&gt;=1,DG1585&lt;=30),"1-30",IF(AND(DG1585&gt;30,DG1585&lt;=70),"31-70",IF(AND(DG1585&gt;70,DG1585&lt;=100),"71-100",IF(DG1585&gt;100,"+100")))))</f>
        <v>0</v>
      </c>
      <c r="DI1585">
        <v>0</v>
      </c>
      <c r="DJ1585">
        <v>0</v>
      </c>
      <c r="DK1585">
        <v>0</v>
      </c>
      <c r="DL1585">
        <v>1</v>
      </c>
      <c r="DM1585">
        <v>0</v>
      </c>
      <c r="DN1585">
        <f>SUM(DI1585:DM1585)</f>
        <v>1</v>
      </c>
      <c r="DO1585" t="str">
        <f>IF(DN1585=1,INDEX($DI$7:$DL$7,MATCH(1,$DI1585:$DL1585,0)),"mixedProduct")</f>
        <v>TimberInput</v>
      </c>
      <c r="DP1585">
        <f>IF(DI1585=1,DP$7,0)</f>
        <v>0</v>
      </c>
      <c r="DQ1585">
        <f>IF(DJ1585=1,DQ$7,0)</f>
        <v>0</v>
      </c>
      <c r="DR1585">
        <f>IF(DK1585=1,DR$7,0)</f>
        <v>0</v>
      </c>
      <c r="DS1585" t="str">
        <f>IF(DL1585=1,DS$7,0)</f>
        <v>Timber</v>
      </c>
      <c r="DT1585">
        <v>0</v>
      </c>
      <c r="DU1585">
        <v>0</v>
      </c>
      <c r="DV1585">
        <v>0</v>
      </c>
      <c r="DW1585">
        <v>0</v>
      </c>
      <c r="DX1585">
        <v>0</v>
      </c>
      <c r="DY1585">
        <f>SUM(DT1585:DU1585)</f>
        <v>0</v>
      </c>
      <c r="DZ1585" t="str">
        <f>IF(DT1585=1,"self-calculated DF",IF(DU1585=1,"external DF used","explicit C balance"))</f>
        <v>explicit C balance</v>
      </c>
      <c r="EA1585">
        <v>0</v>
      </c>
      <c r="EB1585">
        <v>0</v>
      </c>
      <c r="EC1585">
        <v>0</v>
      </c>
      <c r="ED1585">
        <v>0</v>
      </c>
      <c r="EE1585">
        <v>0</v>
      </c>
      <c r="EF1585" s="143">
        <v>1</v>
      </c>
      <c r="EG1585">
        <v>1</v>
      </c>
      <c r="EH1585">
        <v>1</v>
      </c>
      <c r="EI1585">
        <v>1</v>
      </c>
      <c r="EJ1585">
        <v>1</v>
      </c>
      <c r="EK1585">
        <v>0</v>
      </c>
      <c r="EL1585">
        <v>0</v>
      </c>
      <c r="EM1585">
        <v>0</v>
      </c>
      <c r="EN1585" s="2">
        <v>0</v>
      </c>
      <c r="EP1585" t="str">
        <f>IF(AND(AND(AND(OR($EC1585=1,$EB1585=1),OR($EH1585=1,$EF1585=1)),SUM($EA1585:$EE1585,$EK1585)&gt;=3),SUM($EF1585:$EJ1585)&gt;=2),"Whole sector approach","")</f>
        <v/>
      </c>
      <c r="EQ1585" t="str">
        <f>IF(AND(AND(OR($EC1585=1,$EB1585=1),AND($EH1585=0,$EF1585=0)),SUM($EA1585:$EE1585,$EK1585)&gt;=4),"Ecosystem approach","")</f>
        <v/>
      </c>
      <c r="ER1585" s="2" t="str">
        <f>IF(AND(AND(AND($EC1585=0,$EB1585=0),OR($EH1585=1,$EF1585=1)),SUM($EG1585:$EJ1585)&gt;=2),"Technology approach","")</f>
        <v>Technology approach</v>
      </c>
      <c r="ES1585" t="str">
        <f>IF(AND($EC1585+$EB1585+$EE1585+$EA1585+$ED1585+$EG1585=0,$N1585="included"),"C neutral forest and HWP assumption","")</f>
        <v/>
      </c>
      <c r="ET1585" t="str">
        <f>IF(AND(AND(AND(AND($EC1585=1,$EB1585+$EA1585+$EG1585&gt;=1),$EF1585=1),$EH1585+$EI1585+$ED1585+$EE1585&gt;=2),$N1585="included"),"All C pools assumption","")</f>
        <v/>
      </c>
      <c r="EU1585" t="str">
        <f>IF(AND($ED1585+$EE1585+$EI1585+$EH1585+$EF1585=0,$N1585="included"),"In-situ only assumption","")</f>
        <v/>
      </c>
      <c r="EY1585" t="str">
        <f>IF(ISNUMBER(BW1585),IF(ABS(BW1585-[6]QC_indicators!$B$2)&gt;3*[6]QC_indicators!$C$2,"C ratio",IF(ISNUMBER(CA1585),IF(ABS(CA1585-[6]QC_indicators!$B$1)&gt;3*[6]QC_indicators!$C$1,"DF","no"))),IF(ISNUMBER(CA1585),IF(ABS(CA1585-[6]QC_indicators!$B$1)&gt;3*[6]QC_indicators!$C$1,"DF","no")))</f>
        <v>no</v>
      </c>
      <c r="FA1585" t="str">
        <f>IF(LEN($CY1585)=0,"",IF(AND($CY1585&lt;(-0.05),$ES1585="C neutral forest and HWP assumption"),"Cneutral paradox",IF(AND($CY1585&gt;0.05,$EU1585="In-situ only assumption"),"In-situ only paradox","")))</f>
        <v/>
      </c>
      <c r="FD1585" t="s">
        <v>2948</v>
      </c>
    </row>
    <row r="1586" spans="1:160" ht="15" hidden="1" customHeight="1">
      <c r="A1586" s="1" t="s">
        <v>398</v>
      </c>
      <c r="B1586" t="s">
        <v>668</v>
      </c>
      <c r="C1586" t="s">
        <v>669</v>
      </c>
      <c r="D1586" t="s">
        <v>670</v>
      </c>
      <c r="E1586" t="s">
        <v>671</v>
      </c>
      <c r="F1586" t="s">
        <v>672</v>
      </c>
      <c r="G1586" t="s">
        <v>404</v>
      </c>
      <c r="H1586" t="s">
        <v>254</v>
      </c>
      <c r="I1586">
        <v>2022</v>
      </c>
      <c r="J1586">
        <v>1</v>
      </c>
      <c r="K1586" t="s">
        <v>673</v>
      </c>
      <c r="M1586" t="str">
        <f>LEFT($D1586,FIND(",",$D1586)-1)&amp;"_"&amp;I1586&amp;L1586</f>
        <v>Duan_2022</v>
      </c>
      <c r="N1586" t="s">
        <v>222</v>
      </c>
      <c r="O1586" s="145" t="s">
        <v>223</v>
      </c>
      <c r="Q1586" t="s">
        <v>389</v>
      </c>
      <c r="R1586" s="276" t="s">
        <v>225</v>
      </c>
      <c r="S1586" s="1" t="s">
        <v>594</v>
      </c>
      <c r="T1586" s="151" t="s">
        <v>790</v>
      </c>
      <c r="U1586" t="s">
        <v>259</v>
      </c>
      <c r="V1586" s="253">
        <v>0</v>
      </c>
      <c r="W1586" s="253">
        <v>0</v>
      </c>
      <c r="X1586">
        <v>0</v>
      </c>
      <c r="Y1586">
        <v>0</v>
      </c>
      <c r="Z1586">
        <v>0</v>
      </c>
      <c r="AA1586">
        <v>0</v>
      </c>
      <c r="AB1586">
        <v>0</v>
      </c>
      <c r="AC1586">
        <v>0</v>
      </c>
      <c r="AD1586">
        <v>0</v>
      </c>
      <c r="AE1586">
        <v>0</v>
      </c>
      <c r="AF1586">
        <v>0</v>
      </c>
      <c r="AG1586">
        <v>0</v>
      </c>
      <c r="AH1586">
        <v>0</v>
      </c>
      <c r="AI1586">
        <v>0</v>
      </c>
      <c r="AJ1586">
        <v>0</v>
      </c>
      <c r="AK1586">
        <v>0</v>
      </c>
      <c r="AL1586">
        <v>0</v>
      </c>
      <c r="AM1586">
        <v>1</v>
      </c>
      <c r="AN1586">
        <v>0</v>
      </c>
      <c r="AO1586">
        <v>0</v>
      </c>
      <c r="AP1586">
        <v>0</v>
      </c>
      <c r="AQ1586">
        <v>0</v>
      </c>
      <c r="AR1586">
        <v>0</v>
      </c>
      <c r="AS1586">
        <v>0</v>
      </c>
      <c r="AT1586">
        <v>0</v>
      </c>
      <c r="AU1586">
        <v>0</v>
      </c>
      <c r="AV1586">
        <v>0</v>
      </c>
      <c r="AW1586">
        <v>0</v>
      </c>
      <c r="AX1586">
        <v>0</v>
      </c>
      <c r="AY1586">
        <v>0</v>
      </c>
      <c r="AZ1586" s="141">
        <f>COUNTIF(X1586:AY1586,"&lt;&gt;0")</f>
        <v>1</v>
      </c>
      <c r="BA1586" s="141">
        <f>COUNTIF(X1586:AN1586,"&lt;&gt;0")</f>
        <v>1</v>
      </c>
      <c r="BB1586">
        <f>COUNTIF(X1586:AE1586,"&lt;&gt;0")</f>
        <v>0</v>
      </c>
      <c r="BC1586">
        <f>COUNTIF(AF1586:AK1586,"&lt;&gt;0")</f>
        <v>0</v>
      </c>
      <c r="BD1586">
        <f>COUNTIF(AL1586:AN1586,"&lt;&gt;0")</f>
        <v>1</v>
      </c>
      <c r="BE1586">
        <f>COUNTIF(AU1586:AY1586,"&lt;&gt;0")</f>
        <v>0</v>
      </c>
      <c r="BF1586">
        <f>COUNTIF(AO1586:AT1586,"&lt;&gt;0")</f>
        <v>0</v>
      </c>
      <c r="BG1586" t="str">
        <f t="array" ref="BG1586">IF(BA1586=1,INDEX($X$7:$AN$7,MATCH(TRUE,INDEX($X1586:$AY1586&lt;&gt;0,),0)),IF(BA1586=0,INDEX($AO$7:$AY$7,MATCH(1,$AO1586:$AY1586,0)),IF(BH1586="Multiple strategies","mixed drivers",IF(BH1586="Supply chain","multiple supply","multiple silviculture"))))</f>
        <v>technologies/design switch</v>
      </c>
      <c r="BH1586" s="2" t="str" cm="1">
        <f t="array" ref="BH1586">IF(COUNTIF(BB1586:BD1586,"&lt;&gt;0")=1,INDEX($X$4:$AY$4,MATCH(TRUE,INDEX($X1586:$AY1586&lt;&gt;0,),0)),IF(COUNTIF(BB1586:BD1586,"&lt;&gt;0")=0,INDEX($AO$4:$AY$4,MATCH(1,$AO1586:$AY1586,0)),"Multiple strategies"))</f>
        <v>Technology</v>
      </c>
      <c r="BI1586" s="1" t="s">
        <v>229</v>
      </c>
      <c r="BJ1586" t="s">
        <v>674</v>
      </c>
      <c r="BK1586" s="141" t="s">
        <v>675</v>
      </c>
      <c r="BL1586" t="s">
        <v>638</v>
      </c>
      <c r="BM1586">
        <f>25.35</f>
        <v>25.35</v>
      </c>
      <c r="BN1586">
        <f>25.35+3.2+500.73</f>
        <v>529.28</v>
      </c>
      <c r="BP1586">
        <f>BN1586-BM1586</f>
        <v>503.92999999999995</v>
      </c>
      <c r="BQ1586">
        <f>BP1586*t_to_m3</f>
        <v>1028.4285714285713</v>
      </c>
      <c r="BR1586" t="s">
        <v>395</v>
      </c>
      <c r="BS1586" t="s">
        <v>2758</v>
      </c>
      <c r="BT1586" t="s">
        <v>262</v>
      </c>
      <c r="BU1586">
        <f>769.2*2347</f>
        <v>1805312.4000000001</v>
      </c>
      <c r="BV1586">
        <f>411.39*2347</f>
        <v>965532.33</v>
      </c>
      <c r="BW1586" s="144">
        <f>IFERROR(BV1586/BU1586,"")</f>
        <v>0.53482839313572539</v>
      </c>
      <c r="BX1586">
        <f>BV1586-BU1586</f>
        <v>-839780.07000000018</v>
      </c>
      <c r="BZ1586">
        <f>BX1586/1000</f>
        <v>-839.78007000000014</v>
      </c>
      <c r="CA1586">
        <f>IFERROR(BZ1586/BQ1586,"")</f>
        <v>-0.81656625781358538</v>
      </c>
      <c r="CB1586">
        <v>0</v>
      </c>
      <c r="CC1586">
        <v>0</v>
      </c>
      <c r="CD1586">
        <v>0</v>
      </c>
      <c r="CE1586">
        <v>0</v>
      </c>
      <c r="CF1586">
        <v>0</v>
      </c>
      <c r="CG1586">
        <v>0</v>
      </c>
      <c r="CH1586">
        <v>0</v>
      </c>
      <c r="CI1586">
        <v>0</v>
      </c>
      <c r="CJ1586">
        <v>0</v>
      </c>
      <c r="CK1586">
        <v>0</v>
      </c>
      <c r="CL1586">
        <v>0</v>
      </c>
      <c r="CM1586">
        <v>0</v>
      </c>
      <c r="CN1586">
        <v>0</v>
      </c>
      <c r="CO1586">
        <v>0</v>
      </c>
      <c r="CP1586" t="str">
        <f>IF($BN1586&lt;$BM1586,"refNeedCorrection","refOK")</f>
        <v>refOK</v>
      </c>
      <c r="CQ1586"/>
      <c r="CR1586"/>
      <c r="CS1586">
        <f>IF($CP1586="refOK",$BQ1586,-$BQ1586)</f>
        <v>1028.4285714285713</v>
      </c>
      <c r="CT1586">
        <f>IF(BI1586="Roundwood",$CS1586/2,$CS1586)</f>
        <v>1028.4285714285713</v>
      </c>
      <c r="CU1586">
        <f>IF($CP1586="refOK",$BU1586,$BV1586)*IF($BR1586="Emissions positive",-1,1)</f>
        <v>-1805312.4000000001</v>
      </c>
      <c r="CV1586">
        <f>IF($CP1586="refOK",$BV1586,$BU1586)*IF($BR1586="Emissions positive",-1,1)</f>
        <v>-965532.33</v>
      </c>
      <c r="CW1586">
        <f>IF($CP1586="refNeedCorrection",-BZ1586,BZ1586)*IF($BR1586="Emissions positive",-1,1)</f>
        <v>839.78007000000014</v>
      </c>
      <c r="CX1586">
        <f>IFERROR($CW1586/$CS1586,"")</f>
        <v>0.81656625781358538</v>
      </c>
      <c r="CY1586">
        <f>IFERROR($CW1586/$CS1586,"")</f>
        <v>0.81656625781358538</v>
      </c>
      <c r="CZ1586">
        <f>IFERROR($CW1586/$CT1586,"")</f>
        <v>0.81656625781358538</v>
      </c>
      <c r="DA1586" s="2">
        <f>IFERROR((CV1586-CU1586)/ABS(CU1586),"")</f>
        <v>0.46517160686427461</v>
      </c>
      <c r="DB1586" s="1" t="s">
        <v>263</v>
      </c>
      <c r="DC1586" t="str">
        <f>IF(OR($DB1586="prd",$DB1586="std",$DB1586="cit"),"loc",IF(OR($DB1586="eur",$DB1586="reg",$DB1586="coy"),"reg",$DB1586))</f>
        <v>loc</v>
      </c>
      <c r="DD1586" t="s">
        <v>677</v>
      </c>
      <c r="DG1586">
        <v>0</v>
      </c>
      <c r="DH1586" t="str">
        <f>IF(DG1586=0,"0",IF(AND(DG1586&gt;=1,DG1586&lt;=30),"1-30",IF(AND(DG1586&gt;30,DG1586&lt;=70),"31-70",IF(AND(DG1586&gt;70,DG1586&lt;=100),"71-100",IF(DG1586&gt;100,"+100")))))</f>
        <v>0</v>
      </c>
      <c r="DI1586">
        <v>0</v>
      </c>
      <c r="DJ1586">
        <v>0</v>
      </c>
      <c r="DK1586">
        <v>0</v>
      </c>
      <c r="DL1586">
        <v>1</v>
      </c>
      <c r="DM1586">
        <v>0</v>
      </c>
      <c r="DN1586">
        <f>SUM(DI1586:DM1586)</f>
        <v>1</v>
      </c>
      <c r="DO1586" t="str">
        <f>IF(DN1586=1,INDEX($DI$7:$DL$7,MATCH(1,$DI1586:$DL1586,0)),"mixedProduct")</f>
        <v>TimberInput</v>
      </c>
      <c r="DP1586">
        <f>IF(DI1586=1,DP$7,0)</f>
        <v>0</v>
      </c>
      <c r="DQ1586">
        <f>IF(DJ1586=1,DQ$7,0)</f>
        <v>0</v>
      </c>
      <c r="DR1586">
        <f>IF(DK1586=1,DR$7,0)</f>
        <v>0</v>
      </c>
      <c r="DS1586" t="str">
        <f>IF(DL1586=1,DS$7,0)</f>
        <v>Timber</v>
      </c>
      <c r="DT1586">
        <v>0</v>
      </c>
      <c r="DU1586">
        <v>0</v>
      </c>
      <c r="DV1586">
        <v>0</v>
      </c>
      <c r="DW1586">
        <v>0</v>
      </c>
      <c r="DX1586">
        <v>0</v>
      </c>
      <c r="DY1586">
        <f>SUM(DT1586:DU1586)</f>
        <v>0</v>
      </c>
      <c r="DZ1586" t="str">
        <f>IF(DT1586=1,"self-calculated DF",IF(DU1586=1,"external DF used","explicit C balance"))</f>
        <v>explicit C balance</v>
      </c>
      <c r="EA1586">
        <v>0</v>
      </c>
      <c r="EB1586">
        <v>0</v>
      </c>
      <c r="EC1586">
        <v>0</v>
      </c>
      <c r="ED1586">
        <v>0</v>
      </c>
      <c r="EE1586">
        <v>0</v>
      </c>
      <c r="EF1586" s="143">
        <v>0</v>
      </c>
      <c r="EG1586">
        <v>1</v>
      </c>
      <c r="EH1586">
        <v>1</v>
      </c>
      <c r="EI1586">
        <v>0</v>
      </c>
      <c r="EJ1586">
        <v>0</v>
      </c>
      <c r="EK1586">
        <v>0</v>
      </c>
      <c r="EL1586">
        <v>0</v>
      </c>
      <c r="EM1586">
        <v>0</v>
      </c>
      <c r="EN1586" s="2">
        <v>0</v>
      </c>
      <c r="EP1586" t="str">
        <f>IF(AND(AND(AND(OR($EC1586=1,$EB1586=1),OR($EH1586=1,$EF1586=1)),SUM($EA1586:$EE1586,$EK1586)&gt;=3),SUM($EF1586:$EJ1586)&gt;=2),"Whole sector approach","")</f>
        <v/>
      </c>
      <c r="EQ1586" t="str">
        <f>IF(AND(AND(OR($EC1586=1,$EB1586=1),AND($EH1586=0,$EF1586=0)),SUM($EA1586:$EE1586,$EK1586)&gt;=4),"Ecosystem approach","")</f>
        <v/>
      </c>
      <c r="ER1586" s="2" t="str">
        <f>IF(AND(AND(AND($EC1586=0,$EB1586=0),OR($EH1586=1,$EF1586=1)),SUM($EG1586:$EJ1586)&gt;=2),"Technology approach","")</f>
        <v>Technology approach</v>
      </c>
      <c r="ES1586" t="str">
        <f>IF(AND($EC1586+$EB1586+$EE1586+$EA1586+$ED1586+$EG1586=0,$N1586="included"),"C neutral forest and HWP assumption","")</f>
        <v/>
      </c>
      <c r="ET1586" t="str">
        <f>IF(AND(AND(AND(AND($EC1586=1,$EB1586+$EA1586+$EG1586&gt;=1),$EF1586=1),$EH1586+$EI1586+$ED1586+$EE1586&gt;=2),$N1586="included"),"All C pools assumption","")</f>
        <v/>
      </c>
      <c r="EU1586" t="str">
        <f>IF(AND($ED1586+$EE1586+$EI1586+$EH1586+$EF1586=0,$N1586="included"),"In-situ only assumption","")</f>
        <v/>
      </c>
      <c r="EY1586" t="str">
        <f>IF(ISNUMBER(BW1586),IF(ABS(BW1586-[6]QC_indicators!$B$2)&gt;3*[6]QC_indicators!$C$2,"C ratio",IF(ISNUMBER(CA1586),IF(ABS(CA1586-[6]QC_indicators!$B$1)&gt;3*[6]QC_indicators!$C$1,"DF","no"))),IF(ISNUMBER(CA1586),IF(ABS(CA1586-[6]QC_indicators!$B$1)&gt;3*[6]QC_indicators!$C$1,"DF","no")))</f>
        <v>no</v>
      </c>
      <c r="FA1586" t="str">
        <f>IF(LEN($CY1586)=0,"",IF(AND($CY1586&lt;(-0.05),$ES1586="C neutral forest and HWP assumption"),"Cneutral paradox",IF(AND($CY1586&gt;0.05,$EU1586="In-situ only assumption"),"In-situ only paradox","")))</f>
        <v/>
      </c>
      <c r="FD1586" t="s">
        <v>2948</v>
      </c>
    </row>
    <row r="1587" spans="1:160" hidden="1">
      <c r="A1587" s="1" t="s">
        <v>643</v>
      </c>
      <c r="B1587" t="s">
        <v>693</v>
      </c>
      <c r="C1587" t="s">
        <v>531</v>
      </c>
      <c r="D1587" t="s">
        <v>694</v>
      </c>
      <c r="E1587" t="s">
        <v>695</v>
      </c>
      <c r="F1587" t="s">
        <v>696</v>
      </c>
      <c r="G1587" t="s">
        <v>649</v>
      </c>
      <c r="H1587" t="s">
        <v>254</v>
      </c>
      <c r="I1587">
        <v>2022</v>
      </c>
      <c r="J1587">
        <v>4</v>
      </c>
      <c r="K1587" t="s">
        <v>697</v>
      </c>
      <c r="M1587" t="str">
        <f>LEFT($D1587,FIND(",",$D1587)-1)&amp;"_"&amp;I1587&amp;L1587</f>
        <v>Felmer_2022</v>
      </c>
      <c r="N1587" t="s">
        <v>222</v>
      </c>
      <c r="O1587" s="145" t="s">
        <v>223</v>
      </c>
      <c r="Q1587" s="317" t="s">
        <v>389</v>
      </c>
      <c r="R1587" s="318" t="s">
        <v>1029</v>
      </c>
      <c r="S1587" s="320" t="s">
        <v>698</v>
      </c>
      <c r="T1587" s="317" t="s">
        <v>699</v>
      </c>
      <c r="U1587" s="317" t="s">
        <v>700</v>
      </c>
      <c r="V1587" s="253">
        <v>0</v>
      </c>
      <c r="W1587" s="253">
        <v>0</v>
      </c>
      <c r="X1587">
        <v>0</v>
      </c>
      <c r="Y1587">
        <v>0</v>
      </c>
      <c r="Z1587">
        <v>0</v>
      </c>
      <c r="AA1587">
        <v>0</v>
      </c>
      <c r="AB1587">
        <v>0</v>
      </c>
      <c r="AC1587">
        <v>0</v>
      </c>
      <c r="AD1587">
        <v>0</v>
      </c>
      <c r="AE1587">
        <v>0</v>
      </c>
      <c r="AF1587">
        <v>0</v>
      </c>
      <c r="AG1587">
        <v>0</v>
      </c>
      <c r="AH1587">
        <v>0</v>
      </c>
      <c r="AI1587">
        <v>0</v>
      </c>
      <c r="AJ1587">
        <v>0</v>
      </c>
      <c r="AK1587">
        <v>0</v>
      </c>
      <c r="AL1587">
        <v>0</v>
      </c>
      <c r="AM1587">
        <v>1</v>
      </c>
      <c r="AN1587">
        <v>0</v>
      </c>
      <c r="AO1587">
        <v>0</v>
      </c>
      <c r="AP1587">
        <v>0</v>
      </c>
      <c r="AQ1587">
        <v>0</v>
      </c>
      <c r="AR1587">
        <v>0</v>
      </c>
      <c r="AS1587">
        <v>0</v>
      </c>
      <c r="AT1587">
        <v>0</v>
      </c>
      <c r="AU1587">
        <v>0</v>
      </c>
      <c r="AV1587">
        <v>0</v>
      </c>
      <c r="AW1587">
        <v>0</v>
      </c>
      <c r="AX1587">
        <v>0</v>
      </c>
      <c r="AY1587">
        <v>0</v>
      </c>
      <c r="AZ1587" s="141">
        <f>COUNTIF(X1587:AY1587,"&lt;&gt;0")</f>
        <v>1</v>
      </c>
      <c r="BA1587" s="141">
        <f>COUNTIF(X1587:AN1587,"&lt;&gt;0")</f>
        <v>1</v>
      </c>
      <c r="BB1587">
        <f>COUNTIF(X1587:AE1587,"&lt;&gt;0")</f>
        <v>0</v>
      </c>
      <c r="BC1587">
        <f>COUNTIF(AF1587:AK1587,"&lt;&gt;0")</f>
        <v>0</v>
      </c>
      <c r="BD1587">
        <f>COUNTIF(AL1587:AN1587,"&lt;&gt;0")</f>
        <v>1</v>
      </c>
      <c r="BE1587">
        <f>COUNTIF(AU1587:AY1587,"&lt;&gt;0")</f>
        <v>0</v>
      </c>
      <c r="BF1587">
        <f>COUNTIF(AO1587:AT1587,"&lt;&gt;0")</f>
        <v>0</v>
      </c>
      <c r="BG1587" t="str" cm="1">
        <f t="array" ref="BG1587">IF(BA1587=1,INDEX($X$7:$AN$7,MATCH(TRUE,INDEX($X1587:$AY1587&lt;&gt;0,),0)),IF(BA1587=0,INDEX($AO$7:$AY$7,MATCH(1,$AO1587:$AY1587,0)),IF(BH1587="Multiple strategies","mixed drivers",IF(BH1587="Supply chain","multiple supply","multiple silviculture"))))</f>
        <v>technologies/design switch</v>
      </c>
      <c r="BH1587" s="2" t="str" cm="1">
        <f t="array" ref="BH1587">IF(COUNTIF(BB1587:BD1587,"&lt;&gt;0")=1,INDEX($X$4:$AY$4,MATCH(TRUE,INDEX($X1587:$AY1587&lt;&gt;0,),0)),IF(COUNTIF(BB1587:BD1587,"&lt;&gt;0")=0,INDEX($AO$4:$AY$4,MATCH(1,$AO1587:$AY1587,0)),"Multiple strategies"))</f>
        <v>Technology</v>
      </c>
      <c r="BI1587" s="1" t="s">
        <v>229</v>
      </c>
      <c r="BJ1587" s="317" t="s">
        <v>701</v>
      </c>
      <c r="BK1587" s="317" t="s">
        <v>702</v>
      </c>
      <c r="BL1587" s="143" t="s">
        <v>4931</v>
      </c>
      <c r="BM1587">
        <v>0</v>
      </c>
      <c r="BN1587">
        <f>45+153.9+97+212.6+18.2</f>
        <v>526.70000000000005</v>
      </c>
      <c r="BP1587">
        <f>BN1587-BM1587</f>
        <v>526.70000000000005</v>
      </c>
      <c r="BQ1587">
        <f>BP1587</f>
        <v>526.70000000000005</v>
      </c>
      <c r="BR1587" t="s">
        <v>232</v>
      </c>
      <c r="BS1587" s="317" t="s">
        <v>767</v>
      </c>
      <c r="BT1587" s="317" t="s">
        <v>703</v>
      </c>
      <c r="BU1587">
        <f>-234.2-262</f>
        <v>-496.2</v>
      </c>
      <c r="BV1587">
        <f>-42.9-141.2</f>
        <v>-184.1</v>
      </c>
      <c r="BW1587" s="144">
        <f>IFERROR(BV1587/BU1587,"")</f>
        <v>0.37101975010076582</v>
      </c>
      <c r="BX1587">
        <f>BV1587-BU1587</f>
        <v>312.10000000000002</v>
      </c>
      <c r="BZ1587">
        <f>BX1587</f>
        <v>312.10000000000002</v>
      </c>
      <c r="CA1587">
        <f>IFERROR(BZ1587/BQ1587,"")</f>
        <v>0.59255743307385611</v>
      </c>
      <c r="CB1587">
        <v>0</v>
      </c>
      <c r="CC1587">
        <v>0</v>
      </c>
      <c r="CD1587">
        <v>0</v>
      </c>
      <c r="CE1587">
        <v>0</v>
      </c>
      <c r="CF1587">
        <v>0</v>
      </c>
      <c r="CG1587">
        <v>0</v>
      </c>
      <c r="CH1587">
        <v>0</v>
      </c>
      <c r="CI1587">
        <v>0</v>
      </c>
      <c r="CJ1587">
        <v>0</v>
      </c>
      <c r="CK1587">
        <v>0</v>
      </c>
      <c r="CL1587">
        <v>0</v>
      </c>
      <c r="CM1587">
        <v>0</v>
      </c>
      <c r="CN1587">
        <v>0</v>
      </c>
      <c r="CO1587">
        <v>0</v>
      </c>
      <c r="CP1587" t="str">
        <f>IF($BN1587&lt;$BM1587,"refNeedCorrection","refOK")</f>
        <v>refOK</v>
      </c>
      <c r="CQ1587"/>
      <c r="CR1587"/>
      <c r="CS1587">
        <f>IF($CP1587="refOK",$BQ1587,-$BQ1587)</f>
        <v>526.70000000000005</v>
      </c>
      <c r="CT1587">
        <f>IF(BI1587="Roundwood",$CS1587/2,$CS1587)</f>
        <v>526.70000000000005</v>
      </c>
      <c r="CU1587">
        <f>IF($CP1587="refOK",$BU1587,$BV1587)*IF($BR1587="Emissions positive",-1,1)</f>
        <v>-496.2</v>
      </c>
      <c r="CV1587">
        <f>IF($CP1587="refOK",$BV1587,$BU1587)*IF($BR1587="Emissions positive",-1,1)</f>
        <v>-184.1</v>
      </c>
      <c r="CW1587">
        <f>IF($CP1587="refNeedCorrection",-BZ1587,BZ1587)*IF($BR1587="Emissions positive",-1,1)</f>
        <v>312.10000000000002</v>
      </c>
      <c r="CX1587">
        <f>IFERROR($CW1587/$CS1587,"")</f>
        <v>0.59255743307385611</v>
      </c>
      <c r="CY1587">
        <f>IFERROR($CW1587/$CS1587,"")</f>
        <v>0.59255743307385611</v>
      </c>
      <c r="CZ1587">
        <f>IFERROR($CW1587/$CT1587,"")</f>
        <v>0.59255743307385611</v>
      </c>
      <c r="DA1587" s="2">
        <f>IFERROR((CV1587-CU1587)/ABS(CU1587),"")</f>
        <v>0.62898024989923429</v>
      </c>
      <c r="DB1587" s="320" t="s">
        <v>263</v>
      </c>
      <c r="DC1587" s="317" t="str">
        <f>IF(OR($DB1587="prd",$DB1587="std",$DB1587="cit"),"loc",IF(OR($DB1587="eur",$DB1587="reg",$DB1587="coy"),"reg",$DB1587))</f>
        <v>loc</v>
      </c>
      <c r="DD1587" s="317" t="s">
        <v>704</v>
      </c>
      <c r="DG1587">
        <v>0</v>
      </c>
      <c r="DH1587" t="str">
        <f>IF(DG1587=0,"0",IF(AND(DG1587&gt;=1,DG1587&lt;=30),"1-30",IF(AND(DG1587&gt;30,DG1587&lt;=70),"31-70",IF(AND(DG1587&gt;70,DG1587&lt;=100),"71-100",IF(DG1587&gt;100,"+100")))))</f>
        <v>0</v>
      </c>
      <c r="DI1587">
        <v>0</v>
      </c>
      <c r="DJ1587">
        <v>0</v>
      </c>
      <c r="DK1587">
        <v>0</v>
      </c>
      <c r="DL1587">
        <v>1</v>
      </c>
      <c r="DM1587">
        <v>0</v>
      </c>
      <c r="DN1587">
        <f>SUM(DI1587:DM1587)</f>
        <v>1</v>
      </c>
      <c r="DO1587" t="str">
        <f>IF(DN1587=1,INDEX($DI$7:$DL$7,MATCH(1,$DI1587:$DL1587,0)),"mixedProduct")</f>
        <v>TimberInput</v>
      </c>
      <c r="DP1587">
        <f>IF(DI1587=1,DP$7,0)</f>
        <v>0</v>
      </c>
      <c r="DQ1587">
        <f>IF(DJ1587=1,DQ$7,0)</f>
        <v>0</v>
      </c>
      <c r="DR1587">
        <f>IF(DK1587=1,DR$7,0)</f>
        <v>0</v>
      </c>
      <c r="DS1587" t="str">
        <f>IF(DL1587=1,DS$7,0)</f>
        <v>Timber</v>
      </c>
      <c r="DT1587">
        <v>0</v>
      </c>
      <c r="DU1587">
        <v>0</v>
      </c>
      <c r="DV1587">
        <v>0</v>
      </c>
      <c r="DW1587">
        <v>0</v>
      </c>
      <c r="DX1587">
        <v>0</v>
      </c>
      <c r="DY1587">
        <f>SUM(DT1587:DU1587)</f>
        <v>0</v>
      </c>
      <c r="DZ1587" t="str">
        <f>IF(DT1587=1,"self-calculated DF",IF(DU1587=1,"external DF used","explicit C balance"))</f>
        <v>explicit C balance</v>
      </c>
      <c r="EA1587">
        <v>0</v>
      </c>
      <c r="EB1587">
        <v>0</v>
      </c>
      <c r="EC1587">
        <v>0</v>
      </c>
      <c r="ED1587">
        <v>0</v>
      </c>
      <c r="EE1587">
        <v>0</v>
      </c>
      <c r="EF1587" s="143">
        <v>1</v>
      </c>
      <c r="EG1587">
        <v>1</v>
      </c>
      <c r="EH1587">
        <v>1</v>
      </c>
      <c r="EI1587">
        <v>1</v>
      </c>
      <c r="EJ1587">
        <v>0</v>
      </c>
      <c r="EK1587">
        <v>0</v>
      </c>
      <c r="EL1587">
        <v>0</v>
      </c>
      <c r="EM1587">
        <v>0</v>
      </c>
      <c r="EN1587" s="2">
        <v>0</v>
      </c>
      <c r="EP1587" t="str">
        <f>IF(AND(AND(AND(OR($EC1587=1,$EB1587=1),OR($EH1587=1,$EF1587=1)),SUM($EA1587:$EE1587,$EK1587)&gt;=3),SUM($EF1587:$EJ1587)&gt;=2),"Whole sector approach","")</f>
        <v/>
      </c>
      <c r="EQ1587" t="str">
        <f>IF(AND(AND(OR($EC1587=1,$EB1587=1),AND($EH1587=0,$EF1587=0)),SUM($EA1587:$EE1587,$EK1587)&gt;=3),"Ecosystem approach","")</f>
        <v/>
      </c>
      <c r="ER1587" s="2" t="str">
        <f>IF(AND(AND(AND($EC1587=0,$EB1587=0),OR($EH1587=1,$EF1587=1)),SUM($EG1587:$EJ1587)&gt;=2),"Technology approach","")</f>
        <v>Technology approach</v>
      </c>
      <c r="ES1587" t="str">
        <f>IF(AND($EC1587+$EB1587+$EE1587+$EA1587+$ED1587+$EG1587=0,$N1587="included"),"C neutral forest and HWP assumption","")</f>
        <v/>
      </c>
      <c r="ET1587" t="str">
        <f>IF(AND(AND(AND(AND($EC1587=1,$EB1587+$EA1587+$EG1587&gt;=1),$EF1587=1),$EH1587+$EI1587+$ED1587+$EE1587&gt;=2),$N1587="included"),"All C pools assumption","")</f>
        <v/>
      </c>
      <c r="EU1587" t="str">
        <f>IF(AND($ED1587+$EE1587+$EI1587+$EH1587+$EF1587=0,$N1587="included"),"In-situ only assumption","")</f>
        <v/>
      </c>
      <c r="EY1587" t="str">
        <f>IF(ISNUMBER(BW1587),IF(ABS(BW1587-[4]QC_indicators!$B$2)&gt;3*[4]QC_indicators!$C$2,"C ratio",IF(ISNUMBER(CA1587),IF(ABS(CA1587-[4]QC_indicators!$B$1)&gt;3*[4]QC_indicators!$C$1,"DF","no"))),IF(ISNUMBER(CA1587),IF(ABS(CA1587-[4]QC_indicators!$B$1)&gt;3*[4]QC_indicators!$C$1,"DF","no")))</f>
        <v>no</v>
      </c>
      <c r="FA1587" t="str">
        <f>IF(LEN($CY1587)=0,"",IF(AND($CY1587&lt;(-0.05),$ES1587="C neutral forest and HWP assumption"),"Cneutral paradox",IF(AND($CY1587&gt;0.05,$EU1587="In-situ only assumption"),"In-situ only paradox","")))</f>
        <v/>
      </c>
      <c r="FD1587" t="s">
        <v>4932</v>
      </c>
    </row>
    <row r="1588" spans="1:160" ht="15" hidden="1" customHeight="1">
      <c r="A1588" s="1" t="s">
        <v>643</v>
      </c>
      <c r="B1588" t="s">
        <v>693</v>
      </c>
      <c r="C1588" t="s">
        <v>531</v>
      </c>
      <c r="D1588" t="s">
        <v>694</v>
      </c>
      <c r="E1588" t="s">
        <v>695</v>
      </c>
      <c r="F1588" t="s">
        <v>696</v>
      </c>
      <c r="G1588" t="s">
        <v>649</v>
      </c>
      <c r="H1588" t="s">
        <v>254</v>
      </c>
      <c r="I1588">
        <v>2022</v>
      </c>
      <c r="J1588">
        <v>4</v>
      </c>
      <c r="K1588" t="s">
        <v>697</v>
      </c>
      <c r="M1588" t="str">
        <f>LEFT($D1588,FIND(",",$D1588)-1)&amp;"_"&amp;I1588&amp;L1588</f>
        <v>Felmer_2022</v>
      </c>
      <c r="N1588" t="s">
        <v>222</v>
      </c>
      <c r="O1588" s="145" t="s">
        <v>223</v>
      </c>
      <c r="Q1588" s="317" t="s">
        <v>389</v>
      </c>
      <c r="R1588" s="318" t="s">
        <v>1029</v>
      </c>
      <c r="S1588" s="320" t="s">
        <v>698</v>
      </c>
      <c r="T1588" s="317" t="s">
        <v>699</v>
      </c>
      <c r="U1588" s="317" t="s">
        <v>700</v>
      </c>
      <c r="V1588" s="253">
        <v>0</v>
      </c>
      <c r="W1588" s="253">
        <v>0</v>
      </c>
      <c r="X1588">
        <v>0</v>
      </c>
      <c r="Y1588">
        <v>0</v>
      </c>
      <c r="Z1588">
        <v>0</v>
      </c>
      <c r="AA1588">
        <v>0</v>
      </c>
      <c r="AB1588">
        <v>0</v>
      </c>
      <c r="AC1588">
        <v>0</v>
      </c>
      <c r="AD1588">
        <v>0</v>
      </c>
      <c r="AE1588">
        <v>0</v>
      </c>
      <c r="AF1588">
        <v>0</v>
      </c>
      <c r="AG1588">
        <v>0</v>
      </c>
      <c r="AH1588">
        <v>0</v>
      </c>
      <c r="AI1588">
        <v>0</v>
      </c>
      <c r="AJ1588">
        <v>0</v>
      </c>
      <c r="AK1588">
        <v>0</v>
      </c>
      <c r="AL1588">
        <v>0</v>
      </c>
      <c r="AM1588">
        <v>1</v>
      </c>
      <c r="AN1588">
        <v>0</v>
      </c>
      <c r="AO1588">
        <v>0</v>
      </c>
      <c r="AP1588">
        <v>0</v>
      </c>
      <c r="AQ1588">
        <v>0</v>
      </c>
      <c r="AR1588">
        <v>0</v>
      </c>
      <c r="AS1588">
        <v>0</v>
      </c>
      <c r="AT1588">
        <v>0</v>
      </c>
      <c r="AU1588">
        <v>0</v>
      </c>
      <c r="AV1588">
        <v>0</v>
      </c>
      <c r="AW1588">
        <v>0</v>
      </c>
      <c r="AX1588">
        <v>0</v>
      </c>
      <c r="AY1588">
        <v>0</v>
      </c>
      <c r="AZ1588" s="141">
        <f>COUNTIF(X1588:AY1588,"&lt;&gt;0")</f>
        <v>1</v>
      </c>
      <c r="BA1588" s="141">
        <f>COUNTIF(X1588:AN1588,"&lt;&gt;0")</f>
        <v>1</v>
      </c>
      <c r="BB1588">
        <f>COUNTIF(X1588:AE1588,"&lt;&gt;0")</f>
        <v>0</v>
      </c>
      <c r="BC1588">
        <f>COUNTIF(AF1588:AK1588,"&lt;&gt;0")</f>
        <v>0</v>
      </c>
      <c r="BD1588">
        <f>COUNTIF(AL1588:AN1588,"&lt;&gt;0")</f>
        <v>1</v>
      </c>
      <c r="BE1588">
        <f>COUNTIF(AU1588:AY1588,"&lt;&gt;0")</f>
        <v>0</v>
      </c>
      <c r="BF1588">
        <f>COUNTIF(AO1588:AT1588,"&lt;&gt;0")</f>
        <v>0</v>
      </c>
      <c r="BG1588" t="str" cm="1">
        <f t="array" ref="BG1588">IF(BA1588=1,INDEX($X$7:$AN$7,MATCH(TRUE,INDEX($X1588:$AY1588&lt;&gt;0,),0)),IF(BA1588=0,INDEX($AO$7:$AY$7,MATCH(1,$AO1588:$AY1588,0)),IF(BH1588="Multiple strategies","mixed drivers",IF(BH1588="Supply chain","multiple supply","multiple silviculture"))))</f>
        <v>technologies/design switch</v>
      </c>
      <c r="BH1588" s="2" t="str" cm="1">
        <f t="array" ref="BH1588">IF(COUNTIF(BB1588:BD1588,"&lt;&gt;0")=1,INDEX($X$4:$AY$4,MATCH(TRUE,INDEX($X1588:$AY1588&lt;&gt;0,),0)),IF(COUNTIF(BB1588:BD1588,"&lt;&gt;0")=0,INDEX($AO$4:$AY$4,MATCH(1,$AO1588:$AY1588,0)),"Multiple strategies"))</f>
        <v>Technology</v>
      </c>
      <c r="BI1588" s="1" t="s">
        <v>229</v>
      </c>
      <c r="BJ1588" s="317" t="s">
        <v>701</v>
      </c>
      <c r="BK1588" s="317" t="s">
        <v>702</v>
      </c>
      <c r="BL1588" s="143" t="s">
        <v>4931</v>
      </c>
      <c r="BM1588">
        <v>0</v>
      </c>
      <c r="BN1588">
        <f>45+153.9+97+212.6+18.2</f>
        <v>526.70000000000005</v>
      </c>
      <c r="BP1588">
        <f>BN1588-BM1588</f>
        <v>526.70000000000005</v>
      </c>
      <c r="BQ1588">
        <f>BP1588</f>
        <v>526.70000000000005</v>
      </c>
      <c r="BR1588" t="s">
        <v>232</v>
      </c>
      <c r="BS1588" s="317" t="s">
        <v>767</v>
      </c>
      <c r="BT1588" s="317" t="s">
        <v>703</v>
      </c>
      <c r="BU1588">
        <f>-234.2-262</f>
        <v>-496.2</v>
      </c>
      <c r="BV1588">
        <f>263</f>
        <v>263</v>
      </c>
      <c r="BW1588" s="144">
        <f>IFERROR(BV1588/BU1588,"")</f>
        <v>-0.53002821442966552</v>
      </c>
      <c r="BX1588">
        <f>BV1588-BU1588</f>
        <v>759.2</v>
      </c>
      <c r="BZ1588">
        <f>BX1588</f>
        <v>759.2</v>
      </c>
      <c r="CA1588">
        <f>IFERROR(BZ1588/BQ1588,"")</f>
        <v>1.4414277577368522</v>
      </c>
      <c r="CB1588">
        <v>0</v>
      </c>
      <c r="CC1588">
        <v>0</v>
      </c>
      <c r="CD1588">
        <v>0</v>
      </c>
      <c r="CE1588">
        <v>0</v>
      </c>
      <c r="CF1588">
        <v>0</v>
      </c>
      <c r="CG1588">
        <v>0</v>
      </c>
      <c r="CH1588">
        <v>0</v>
      </c>
      <c r="CI1588">
        <v>0</v>
      </c>
      <c r="CJ1588">
        <v>0</v>
      </c>
      <c r="CK1588">
        <v>0</v>
      </c>
      <c r="CL1588">
        <v>0</v>
      </c>
      <c r="CM1588">
        <v>0</v>
      </c>
      <c r="CN1588">
        <v>0</v>
      </c>
      <c r="CO1588">
        <v>0</v>
      </c>
      <c r="CP1588" t="str">
        <f>IF($BN1588&lt;$BM1588,"refNeedCorrection","refOK")</f>
        <v>refOK</v>
      </c>
      <c r="CQ1588"/>
      <c r="CR1588"/>
      <c r="CS1588">
        <f>IF($CP1588="refOK",$BQ1588,-$BQ1588)</f>
        <v>526.70000000000005</v>
      </c>
      <c r="CT1588">
        <f>IF(BI1588="Roundwood",$CS1588/2,$CS1588)</f>
        <v>526.70000000000005</v>
      </c>
      <c r="CU1588">
        <f>IF($CP1588="refOK",$BU1588,$BV1588)*IF($BR1588="Emissions positive",-1,1)</f>
        <v>-496.2</v>
      </c>
      <c r="CV1588">
        <f>IF($CP1588="refOK",$BV1588,$BU1588)*IF($BR1588="Emissions positive",-1,1)</f>
        <v>263</v>
      </c>
      <c r="CW1588">
        <f>IF($CP1588="refNeedCorrection",-BZ1588,BZ1588)*IF($BR1588="Emissions positive",-1,1)</f>
        <v>759.2</v>
      </c>
      <c r="CX1588">
        <f>IFERROR($CW1588/$CS1588,"")</f>
        <v>1.4414277577368522</v>
      </c>
      <c r="CY1588">
        <f>IFERROR($CW1588/$CS1588,"")</f>
        <v>1.4414277577368522</v>
      </c>
      <c r="CZ1588">
        <f>IFERROR($CW1588/$CT1588,"")</f>
        <v>1.4414277577368522</v>
      </c>
      <c r="DA1588" s="2">
        <f>IFERROR((CV1588-CU1588)/ABS(CU1588),"")</f>
        <v>1.5300282144296655</v>
      </c>
      <c r="DB1588" s="320" t="s">
        <v>263</v>
      </c>
      <c r="DC1588" s="317" t="str">
        <f>IF(OR($DB1588="prd",$DB1588="std",$DB1588="cit"),"loc",IF(OR($DB1588="eur",$DB1588="reg",$DB1588="coy"),"reg",$DB1588))</f>
        <v>loc</v>
      </c>
      <c r="DD1588" s="317" t="s">
        <v>704</v>
      </c>
      <c r="DG1588">
        <v>0</v>
      </c>
      <c r="DH1588" t="str">
        <f>IF(DG1588=0,"0",IF(AND(DG1588&gt;=1,DG1588&lt;=30),"1-30",IF(AND(DG1588&gt;30,DG1588&lt;=70),"31-70",IF(AND(DG1588&gt;70,DG1588&lt;=100),"71-100",IF(DG1588&gt;100,"+100")))))</f>
        <v>0</v>
      </c>
      <c r="DI1588">
        <v>0</v>
      </c>
      <c r="DJ1588">
        <v>0</v>
      </c>
      <c r="DK1588">
        <v>0</v>
      </c>
      <c r="DL1588">
        <v>1</v>
      </c>
      <c r="DM1588">
        <v>0</v>
      </c>
      <c r="DN1588">
        <f>SUM(DI1588:DM1588)</f>
        <v>1</v>
      </c>
      <c r="DO1588" t="str">
        <f>IF(DN1588=1,INDEX($DI$7:$DL$7,MATCH(1,$DI1588:$DL1588,0)),"mixedProduct")</f>
        <v>TimberInput</v>
      </c>
      <c r="DP1588">
        <f>IF(DI1588=1,DP$7,0)</f>
        <v>0</v>
      </c>
      <c r="DQ1588">
        <f>IF(DJ1588=1,DQ$7,0)</f>
        <v>0</v>
      </c>
      <c r="DR1588">
        <f>IF(DK1588=1,DR$7,0)</f>
        <v>0</v>
      </c>
      <c r="DS1588" t="str">
        <f>IF(DL1588=1,DS$7,0)</f>
        <v>Timber</v>
      </c>
      <c r="DT1588">
        <v>0</v>
      </c>
      <c r="DU1588">
        <v>0</v>
      </c>
      <c r="DV1588">
        <v>0</v>
      </c>
      <c r="DW1588">
        <v>0</v>
      </c>
      <c r="DX1588">
        <v>0</v>
      </c>
      <c r="DY1588">
        <f>SUM(DT1588:DU1588)</f>
        <v>0</v>
      </c>
      <c r="DZ1588" t="str">
        <f>IF(DT1588=1,"self-calculated DF",IF(DU1588=1,"external DF used","explicit C balance"))</f>
        <v>explicit C balance</v>
      </c>
      <c r="EA1588">
        <v>0</v>
      </c>
      <c r="EB1588">
        <v>0</v>
      </c>
      <c r="EC1588">
        <v>0</v>
      </c>
      <c r="ED1588">
        <v>1</v>
      </c>
      <c r="EE1588">
        <v>0</v>
      </c>
      <c r="EF1588" s="143">
        <v>1</v>
      </c>
      <c r="EG1588">
        <v>1</v>
      </c>
      <c r="EH1588">
        <v>1</v>
      </c>
      <c r="EI1588">
        <v>1</v>
      </c>
      <c r="EJ1588">
        <v>0</v>
      </c>
      <c r="EK1588">
        <v>0</v>
      </c>
      <c r="EL1588">
        <v>0</v>
      </c>
      <c r="EM1588">
        <v>0</v>
      </c>
      <c r="EN1588" s="2">
        <v>0</v>
      </c>
      <c r="EP1588" t="str">
        <f>IF(AND(AND(AND(OR($EC1588=1,$EB1588=1),OR($EH1588=1,$EF1588=1)),SUM($EA1588:$EE1588,$EK1588)&gt;=3),SUM($EF1588:$EJ1588)&gt;=2),"Whole sector approach","")</f>
        <v/>
      </c>
      <c r="EQ1588" t="str">
        <f>IF(AND(AND(OR($EC1588=1,$EB1588=1),AND($EH1588=0,$EF1588=0)),SUM($EA1588:$EE1588,$EK1588)&gt;=3),"Ecosystem approach","")</f>
        <v/>
      </c>
      <c r="ER1588" s="2" t="str">
        <f>IF(AND(AND(AND($EC1588=0,$EB1588=0),OR($EH1588=1,$EF1588=1)),SUM($EG1588:$EJ1588)&gt;=2),"Technology approach","")</f>
        <v>Technology approach</v>
      </c>
      <c r="ES1588" t="str">
        <f>IF(AND($EC1588+$EB1588+$EE1588+$EA1588+$ED1588+$EG1588=0,$N1588="included"),"C neutral forest and HWP assumption","")</f>
        <v/>
      </c>
      <c r="ET1588" t="str">
        <f>IF(AND(AND(AND(AND($EC1588=1,$EB1588+$EA1588+$EG1588&gt;=1),$EF1588=1),$EH1588+$EI1588+$ED1588+$EE1588&gt;=2),$N1588="included"),"All C pools assumption","")</f>
        <v/>
      </c>
      <c r="EU1588" t="str">
        <f>IF(AND($ED1588+$EE1588+$EI1588+$EH1588+$EF1588=0,$N1588="included"),"In-situ only assumption","")</f>
        <v/>
      </c>
      <c r="EY1588" t="str">
        <f>IF(ISNUMBER(BW1588),IF(ABS(BW1588-[4]QC_indicators!$B$2)&gt;3*[4]QC_indicators!$C$2,"C ratio",IF(ISNUMBER(CA1588),IF(ABS(CA1588-[4]QC_indicators!$B$1)&gt;3*[4]QC_indicators!$C$1,"DF","no"))),IF(ISNUMBER(CA1588),IF(ABS(CA1588-[4]QC_indicators!$B$1)&gt;3*[4]QC_indicators!$C$1,"DF","no")))</f>
        <v>no</v>
      </c>
      <c r="FA1588" t="str">
        <f>IF(LEN($CY1588)=0,"",IF(AND($CY1588&lt;(-0.05),$ES1588="C neutral forest and HWP assumption"),"Cneutral paradox",IF(AND($CY1588&gt;0.05,$EU1588="In-situ only assumption"),"In-situ only paradox","")))</f>
        <v/>
      </c>
      <c r="FD1588" t="s">
        <v>4932</v>
      </c>
    </row>
    <row r="1589" spans="1:160" hidden="1">
      <c r="A1589" s="1" t="s">
        <v>1489</v>
      </c>
      <c r="B1589" t="s">
        <v>1490</v>
      </c>
      <c r="C1589" t="s">
        <v>1491</v>
      </c>
      <c r="D1589" t="s">
        <v>1492</v>
      </c>
      <c r="E1589" t="s">
        <v>1493</v>
      </c>
      <c r="F1589" t="s">
        <v>1494</v>
      </c>
      <c r="G1589" t="s">
        <v>1495</v>
      </c>
      <c r="H1589" t="s">
        <v>254</v>
      </c>
      <c r="I1589">
        <v>2022</v>
      </c>
      <c r="J1589">
        <v>0</v>
      </c>
      <c r="K1589" t="s">
        <v>1496</v>
      </c>
      <c r="M1589" t="str">
        <f>LEFT($D1589,FIND(",",$D1589)-1)&amp;"_"&amp;I1589&amp;L1589</f>
        <v>Gregor_2022</v>
      </c>
      <c r="N1589" t="s">
        <v>222</v>
      </c>
      <c r="O1589" s="161" t="s">
        <v>223</v>
      </c>
      <c r="Q1589" s="317" t="s">
        <v>389</v>
      </c>
      <c r="R1589" s="318" t="s">
        <v>1029</v>
      </c>
      <c r="S1589" s="154" t="s">
        <v>1497</v>
      </c>
      <c r="T1589" s="319" t="s">
        <v>1507</v>
      </c>
      <c r="U1589" s="317" t="s">
        <v>1499</v>
      </c>
      <c r="V1589" s="253">
        <v>0</v>
      </c>
      <c r="W1589" s="253">
        <v>0</v>
      </c>
      <c r="X1589">
        <v>0</v>
      </c>
      <c r="Y1589">
        <v>0</v>
      </c>
      <c r="Z1589">
        <v>0</v>
      </c>
      <c r="AA1589">
        <v>0</v>
      </c>
      <c r="AB1589">
        <v>1</v>
      </c>
      <c r="AC1589">
        <v>0</v>
      </c>
      <c r="AD1589">
        <v>0</v>
      </c>
      <c r="AE1589">
        <v>0</v>
      </c>
      <c r="AF1589">
        <v>0</v>
      </c>
      <c r="AG1589">
        <v>0</v>
      </c>
      <c r="AH1589">
        <v>2</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s="141">
        <f>COUNTIF(X1589:AY1589,"&lt;&gt;0")</f>
        <v>2</v>
      </c>
      <c r="BA1589" s="141">
        <f>COUNTIF(X1589:AN1589,"&lt;&gt;0")</f>
        <v>2</v>
      </c>
      <c r="BB1589">
        <f>COUNTIF(X1589:AE1589,"&lt;&gt;0")</f>
        <v>1</v>
      </c>
      <c r="BC1589">
        <f>COUNTIF(AF1589:AK1589,"&lt;&gt;0")</f>
        <v>1</v>
      </c>
      <c r="BD1589">
        <f>COUNTIF(AL1589:AN1589,"&lt;&gt;0")</f>
        <v>0</v>
      </c>
      <c r="BE1589">
        <f>COUNTIF(AU1589:AY1589,"&lt;&gt;0")</f>
        <v>0</v>
      </c>
      <c r="BF1589">
        <f>COUNTIF(AO1589:AT1589,"&lt;&gt;0")</f>
        <v>0</v>
      </c>
      <c r="BG1589" t="str" cm="1">
        <f t="array" ref="BG1589">IF(BA1589=1,INDEX($X$7:$AN$7,MATCH(TRUE,INDEX($X1589:$AY1589&lt;&gt;0,),0)),IF(BA1589=0,INDEX($AO$7:$AY$7,MATCH(1,$AO1589:$AY1589,0)),IF(BH1589="Multiple strategies","mixed drivers",IF(BH1589="Supply chain","multiple supply","multiple silviculture"))))</f>
        <v>mixed drivers</v>
      </c>
      <c r="BH1589" s="2" t="str" cm="1">
        <f t="array" ref="BH1589">IF(COUNTIF(BB1589:BD1589,"&lt;&gt;0")=1,INDEX($X$4:$AY$4,MATCH(TRUE,INDEX($X1589:$AY1589&lt;&gt;0,),0)),IF(COUNTIF(BB1589:BD1589,"&lt;&gt;0")=0,INDEX($AO$4:$AY$4,MATCH(1,$AO1589:$AY1589,0)),"Multiple strategies"))</f>
        <v>Multiple strategies</v>
      </c>
      <c r="BI1589" s="1" t="s">
        <v>321</v>
      </c>
      <c r="BJ1589" s="317" t="s">
        <v>1500</v>
      </c>
      <c r="BK1589" s="317" t="s">
        <v>675</v>
      </c>
      <c r="BL1589" s="317" t="s">
        <v>1501</v>
      </c>
      <c r="BM1589">
        <f>2.77*(2115-2020)</f>
        <v>263.14999999999998</v>
      </c>
      <c r="BN1589">
        <f>2.99*(2115-2020)</f>
        <v>284.05</v>
      </c>
      <c r="BO1589">
        <f>BN1589/BM1589</f>
        <v>1.0794223826714804</v>
      </c>
      <c r="BP1589">
        <f>BN1589-BM1589</f>
        <v>20.900000000000034</v>
      </c>
      <c r="BQ1589">
        <f>BN1589-BM1589</f>
        <v>20.900000000000034</v>
      </c>
      <c r="BR1589" s="317" t="s">
        <v>232</v>
      </c>
      <c r="BS1589" s="317" t="s">
        <v>1505</v>
      </c>
      <c r="BT1589" s="317" t="s">
        <v>1503</v>
      </c>
      <c r="BU1589" s="317">
        <f>10.1*10000</f>
        <v>101000</v>
      </c>
      <c r="BV1589" s="317">
        <f>9.8*10000</f>
        <v>98000</v>
      </c>
      <c r="BW1589" s="144">
        <f>IFERROR(BV1589/BU1589,"")</f>
        <v>0.97029702970297027</v>
      </c>
      <c r="BX1589">
        <f>BV1589-BU1589</f>
        <v>-3000</v>
      </c>
      <c r="BZ1589">
        <f>BX1589/1000*C_to_CO2</f>
        <v>-11.01</v>
      </c>
      <c r="CA1589">
        <f>IFERROR(BZ1589/BQ1589,"")</f>
        <v>-0.52679425837320493</v>
      </c>
      <c r="CB1589">
        <v>0</v>
      </c>
      <c r="CC1589">
        <v>0</v>
      </c>
      <c r="CD1589">
        <v>0</v>
      </c>
      <c r="CE1589">
        <v>0</v>
      </c>
      <c r="CF1589">
        <v>0</v>
      </c>
      <c r="CG1589">
        <v>0</v>
      </c>
      <c r="CH1589">
        <v>0</v>
      </c>
      <c r="CI1589">
        <v>0</v>
      </c>
      <c r="CJ1589">
        <v>0</v>
      </c>
      <c r="CK1589">
        <v>1</v>
      </c>
      <c r="CL1589">
        <v>0</v>
      </c>
      <c r="CM1589">
        <v>0</v>
      </c>
      <c r="CN1589">
        <v>1</v>
      </c>
      <c r="CO1589">
        <v>0</v>
      </c>
      <c r="CP1589" t="str">
        <f>IF($BN1589&lt;$BM1589,"refNeedCorrection","refOK")</f>
        <v>refOK</v>
      </c>
      <c r="CQ1589">
        <f>IF($CP1589="refOK",$BM1589,$BN1589)</f>
        <v>263.14999999999998</v>
      </c>
      <c r="CR1589">
        <f>IF($CP1589="refOK",$BN1589,$BM1589)</f>
        <v>284.05</v>
      </c>
      <c r="CS1589">
        <f>IF($CP1589="refOK",$BQ1589,-$BQ1589)</f>
        <v>20.900000000000034</v>
      </c>
      <c r="CT1589">
        <f>IF(BI1589="Roundwood",$CS1589/2,$CS1589)</f>
        <v>10.450000000000017</v>
      </c>
      <c r="CU1589">
        <f>IF($CP1589="refOK",$BU1589,$BV1589)*IF($BR1589="Emissions positive",-1,1)</f>
        <v>101000</v>
      </c>
      <c r="CV1589">
        <f>IF($CP1589="refOK",$BV1589,$BU1589)*IF($BR1589="Emissions positive",-1,1)</f>
        <v>98000</v>
      </c>
      <c r="CW1589">
        <f>IF($CP1589="refNeedCorrection",-BZ1589,BZ1589)*IF($BR1589="Emissions positive",-1,1)</f>
        <v>-11.01</v>
      </c>
      <c r="CX1589">
        <f>IFERROR($CW1589/$CS1589,"")</f>
        <v>-0.52679425837320493</v>
      </c>
      <c r="CY1589">
        <f>IFERROR($CW1589/$CS1589,"")</f>
        <v>-0.52679425837320493</v>
      </c>
      <c r="CZ1589">
        <f>IFERROR($CW1589/$CT1589,"")</f>
        <v>-1.0535885167464099</v>
      </c>
      <c r="DA1589" s="2">
        <f>IFERROR((CV1589-CU1589)/ABS(CU1589),"")</f>
        <v>-2.9702970297029702E-2</v>
      </c>
      <c r="DB1589" s="162" t="s">
        <v>1334</v>
      </c>
      <c r="DC1589" s="317" t="str">
        <f>IF(OR($DB1589="prd",$DB1589="std",$DB1589="cit"),"loc",IF(OR($DB1589="eur",$DB1589="reg",$DB1589="coy"),"reg",$DB1589))</f>
        <v>reg</v>
      </c>
      <c r="DD1589" s="155" t="s">
        <v>729</v>
      </c>
      <c r="DE1589">
        <v>2010</v>
      </c>
      <c r="DF1589">
        <v>2115</v>
      </c>
      <c r="DG1589">
        <f>DF1589-DE1589</f>
        <v>105</v>
      </c>
      <c r="DH1589" t="str">
        <f>IF(DG1589=0,"0",IF(AND(DG1589&gt;=1,DG1589&lt;=30),"1-30",IF(AND(DG1589&gt;30,DG1589&lt;=70),"31-70",IF(AND(DG1589&gt;70,DG1589&lt;=100),"71-100",IF(DG1589&gt;100,"+100")))))</f>
        <v>+100</v>
      </c>
      <c r="DI1589">
        <v>0</v>
      </c>
      <c r="DJ1589">
        <v>1</v>
      </c>
      <c r="DK1589">
        <v>1</v>
      </c>
      <c r="DL1589">
        <v>1</v>
      </c>
      <c r="DM1589">
        <v>0</v>
      </c>
      <c r="DN1589">
        <f>SUM(DI1589:DL1589)</f>
        <v>3</v>
      </c>
      <c r="DO1589" t="str">
        <f>IF(DN1589=1,INDEX($DI$7:$DL$7,MATCH(1,$DI1589:$DL1589,0)),"mixedProduct")</f>
        <v>mixedProduct</v>
      </c>
      <c r="DP1589">
        <f>IF(DI1589=1,DP$7,0)</f>
        <v>0</v>
      </c>
      <c r="DQ1589" t="str">
        <f>IF(DJ1589=1,DQ$7,0)</f>
        <v>Energy</v>
      </c>
      <c r="DR1589" t="str">
        <f>IF(DK1589=1,DR$7,0)</f>
        <v>Pulp/Paper</v>
      </c>
      <c r="DS1589" t="str">
        <f>IF(DL1589=1,DS$7,0)</f>
        <v>Timber</v>
      </c>
      <c r="DT1589">
        <v>0</v>
      </c>
      <c r="DU1589">
        <v>1</v>
      </c>
      <c r="DV1589" s="317" t="s">
        <v>1504</v>
      </c>
      <c r="DW1589" s="317" t="s">
        <v>1504</v>
      </c>
      <c r="DX1589" s="317" t="s">
        <v>1504</v>
      </c>
      <c r="DY1589">
        <f>SUM(DT1589:DU1589)</f>
        <v>1</v>
      </c>
      <c r="DZ1589" s="143" t="str">
        <f>IF(DT1589=1,"self-calculated DF",IF(DU1589=1,"external DF used","explicit C balance"))</f>
        <v>external DF used</v>
      </c>
      <c r="EA1589">
        <v>1</v>
      </c>
      <c r="EB1589">
        <v>1</v>
      </c>
      <c r="EC1589">
        <v>1</v>
      </c>
      <c r="ED1589">
        <v>1</v>
      </c>
      <c r="EE1589">
        <v>0</v>
      </c>
      <c r="EF1589">
        <v>0</v>
      </c>
      <c r="EG1589">
        <v>0</v>
      </c>
      <c r="EH1589">
        <v>0</v>
      </c>
      <c r="EI1589">
        <v>0</v>
      </c>
      <c r="EJ1589">
        <v>0</v>
      </c>
      <c r="EK1589">
        <v>1</v>
      </c>
      <c r="EL1589">
        <v>0</v>
      </c>
      <c r="EM1589">
        <v>1</v>
      </c>
      <c r="EN1589" s="2">
        <v>0</v>
      </c>
      <c r="EP1589" t="str">
        <f>IF(AND(AND(AND(OR($EC1589=1,$EB1589=1),OR($EH1589=1,$EF1589=1)),SUM($EA1589:$EE1589,$EK1589)&gt;=3),SUM($EF1589:$EJ1589)&gt;=2),"Whole sector approach","")</f>
        <v/>
      </c>
      <c r="EQ1589" t="str">
        <f>IF(AND(AND(OR($EC1589=1,$EB1589=1),AND($EH1589=0,$EF1589=0)),SUM($EA1589:$EE1589,$EK1589)&gt;=3),"Ecosystem approach","")</f>
        <v>Ecosystem approach</v>
      </c>
      <c r="ER1589" s="2" t="str">
        <f>IF(AND(AND(AND($EC1589=0,$EB1589=0),OR($EH1589=1,$EF1589=1)),SUM($EG1589:$EJ1589)&gt;=2),"Technology approach","")</f>
        <v/>
      </c>
      <c r="ES1589" t="str">
        <f>IF(AND($EC1589+$EB1589+$EE1589+$EA1589+$ED1589+$EG1589=0,$N1589="included"),"C neutral forest and HWP assumption","")</f>
        <v/>
      </c>
      <c r="ET1589" t="str">
        <f>IF(AND(AND(AND(AND($EC1589=1,$EB1589+$EA1589+$EG1589&gt;=1),$EF1589=1),$EH1589+$EI1589+$ED1589+$EE1589&gt;=2),$N1589="included"),"All C pools assumption","")</f>
        <v/>
      </c>
      <c r="EU1589" t="str">
        <f>IF(AND($ED1589+$EE1589+$EI1589+$EH1589+$EF1589=0,$N1589="included"),"In-situ only assumption","")</f>
        <v/>
      </c>
      <c r="EY1589" t="str">
        <f>IF(ISNUMBER(BW1589),IF(ABS(BW1589-[4]QC_indicators!$B$2)&gt;3*[4]QC_indicators!$C$2,"C ratio",IF(ISNUMBER(CA1589),IF(ABS(CA1589-[4]QC_indicators!$B$1)&gt;3*[4]QC_indicators!$C$1,"DF","no"))),IF(ISNUMBER(CA1589),IF(ABS(CA1589-[4]QC_indicators!$B$1)&gt;3*[4]QC_indicators!$C$1,"DF","no")))</f>
        <v>no</v>
      </c>
      <c r="FA1589" t="str">
        <f>IF(LEN($CY1589)=0,"",IF(AND($CY1589&lt;(-0.05),$ES1589="C neutral forest and HWP assumption"),"Cneutral paradox",IF(AND($CY1589&gt;0.05,$EU1589="In-situ only assumption"),"In-situ only paradox","")))</f>
        <v/>
      </c>
      <c r="FD1589" t="s">
        <v>4971</v>
      </c>
    </row>
    <row r="1590" spans="1:160" ht="15" hidden="1" customHeight="1">
      <c r="A1590" s="1" t="s">
        <v>1489</v>
      </c>
      <c r="B1590" t="s">
        <v>1490</v>
      </c>
      <c r="C1590" t="s">
        <v>1491</v>
      </c>
      <c r="D1590" t="s">
        <v>1492</v>
      </c>
      <c r="E1590" t="s">
        <v>1493</v>
      </c>
      <c r="F1590" t="s">
        <v>1494</v>
      </c>
      <c r="G1590" t="s">
        <v>1495</v>
      </c>
      <c r="H1590" t="s">
        <v>254</v>
      </c>
      <c r="I1590">
        <v>2022</v>
      </c>
      <c r="J1590">
        <v>0</v>
      </c>
      <c r="K1590" t="s">
        <v>1496</v>
      </c>
      <c r="M1590" t="str">
        <f>LEFT($D1590,FIND(",",$D1590)-1)&amp;"_"&amp;I1590&amp;L1590</f>
        <v>Gregor_2022</v>
      </c>
      <c r="N1590" t="s">
        <v>222</v>
      </c>
      <c r="O1590" s="161" t="s">
        <v>223</v>
      </c>
      <c r="Q1590" s="317" t="s">
        <v>389</v>
      </c>
      <c r="R1590" s="318" t="s">
        <v>1029</v>
      </c>
      <c r="S1590" s="154" t="s">
        <v>1497</v>
      </c>
      <c r="T1590" s="149" t="s">
        <v>1498</v>
      </c>
      <c r="U1590" s="317" t="s">
        <v>1499</v>
      </c>
      <c r="V1590">
        <v>1</v>
      </c>
      <c r="W1590">
        <v>0</v>
      </c>
      <c r="X1590">
        <v>1</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s="141">
        <f>COUNTIF(X1590:AY1590,"&lt;&gt;0")</f>
        <v>1</v>
      </c>
      <c r="BA1590" s="141">
        <f>COUNTIF(X1590:AN1590,"&lt;&gt;0")</f>
        <v>1</v>
      </c>
      <c r="BB1590">
        <f>COUNTIF(X1590:AE1590,"&lt;&gt;0")</f>
        <v>1</v>
      </c>
      <c r="BC1590">
        <f>COUNTIF(AF1590:AK1590,"&lt;&gt;0")</f>
        <v>0</v>
      </c>
      <c r="BD1590">
        <f>COUNTIF(AL1590:AN1590,"&lt;&gt;0")</f>
        <v>0</v>
      </c>
      <c r="BE1590">
        <f>COUNTIF(AU1590:AY1590,"&lt;&gt;0")</f>
        <v>0</v>
      </c>
      <c r="BF1590">
        <f>COUNTIF(AO1590:AT1590,"&lt;&gt;0")</f>
        <v>0</v>
      </c>
      <c r="BG1590" t="str" cm="1">
        <f t="array" ref="BG1590">IF(BA1590=1,INDEX($X$7:$AN$7,MATCH(TRUE,INDEX($X1590:$AY1590&lt;&gt;0,),0)),IF(BA1590=0,INDEX($AO$7:$AY$7,MATCH(1,$AO1590:$AY1590,0)),IF(BH1590="Multiple strategies","mixed drivers",IF(BH1590="Supply chain","multiple supply","multiple silviculture"))))</f>
        <v>area subject to harvest</v>
      </c>
      <c r="BH1590" s="2" t="str" cm="1">
        <f t="array" ref="BH1590">IF(COUNTIF(BB1590:BD1590,"&lt;&gt;0")=1,INDEX($X$4:$AY$4,MATCH(TRUE,INDEX($X1590:$AY1590&lt;&gt;0,),0)),IF(COUNTIF(BB1590:BD1590,"&lt;&gt;0")=0,INDEX($AO$4:$AY$4,MATCH(1,$AO1590:$AY1590,0)),"Multiple strategies"))</f>
        <v>Silviculture for removals</v>
      </c>
      <c r="BI1590" s="1" t="s">
        <v>321</v>
      </c>
      <c r="BJ1590" s="317" t="s">
        <v>1500</v>
      </c>
      <c r="BK1590" s="317" t="s">
        <v>675</v>
      </c>
      <c r="BL1590" s="317" t="s">
        <v>1501</v>
      </c>
      <c r="BM1590">
        <f>0.08*(2115-2020)</f>
        <v>7.6000000000000005</v>
      </c>
      <c r="BN1590">
        <f>2.99*(2115-2020)</f>
        <v>284.05</v>
      </c>
      <c r="BO1590">
        <f>BN1590/BM1590</f>
        <v>37.375</v>
      </c>
      <c r="BP1590">
        <f>BN1590-BM1590</f>
        <v>276.45</v>
      </c>
      <c r="BQ1590">
        <f>BN1590-BM1590</f>
        <v>276.45</v>
      </c>
      <c r="BR1590" s="317" t="s">
        <v>232</v>
      </c>
      <c r="BS1590" s="317" t="s">
        <v>1505</v>
      </c>
      <c r="BT1590" s="317" t="s">
        <v>1503</v>
      </c>
      <c r="BU1590" s="317">
        <f>12.2*10000</f>
        <v>122000</v>
      </c>
      <c r="BV1590" s="317">
        <f>9.8*10000</f>
        <v>98000</v>
      </c>
      <c r="BW1590" s="144">
        <f>IFERROR(BV1590/BU1590,"")</f>
        <v>0.80327868852459017</v>
      </c>
      <c r="BX1590">
        <f>BV1590-BU1590</f>
        <v>-24000</v>
      </c>
      <c r="BZ1590">
        <f>BX1590/1000*C_to_CO2</f>
        <v>-88.08</v>
      </c>
      <c r="CA1590">
        <f>IFERROR(BZ1590/BQ1590,"")</f>
        <v>-0.31861096039066739</v>
      </c>
      <c r="CB1590">
        <v>0</v>
      </c>
      <c r="CC1590">
        <v>0</v>
      </c>
      <c r="CD1590">
        <v>0</v>
      </c>
      <c r="CE1590">
        <v>0</v>
      </c>
      <c r="CF1590">
        <v>0</v>
      </c>
      <c r="CG1590">
        <v>0</v>
      </c>
      <c r="CH1590">
        <v>0</v>
      </c>
      <c r="CI1590">
        <v>0</v>
      </c>
      <c r="CJ1590">
        <v>0</v>
      </c>
      <c r="CK1590">
        <v>1</v>
      </c>
      <c r="CL1590">
        <v>0</v>
      </c>
      <c r="CM1590">
        <v>0</v>
      </c>
      <c r="CN1590">
        <v>1</v>
      </c>
      <c r="CO1590">
        <v>0</v>
      </c>
      <c r="CP1590" t="str">
        <f>IF($BN1590&lt;$BM1590,"refNeedCorrection","refOK")</f>
        <v>refOK</v>
      </c>
      <c r="CQ1590">
        <f>IF($CP1590="refOK",$BM1590,$BN1590)</f>
        <v>7.6000000000000005</v>
      </c>
      <c r="CR1590">
        <f>IF($CP1590="refOK",$BN1590,$BM1590)</f>
        <v>284.05</v>
      </c>
      <c r="CS1590">
        <f>IF($CP1590="refOK",$BQ1590,-$BQ1590)</f>
        <v>276.45</v>
      </c>
      <c r="CT1590">
        <f>IF(BI1590="Roundwood",$CS1590/2,$CS1590)</f>
        <v>138.22499999999999</v>
      </c>
      <c r="CU1590">
        <f>IF($CP1590="refOK",$BU1590,$BV1590)*IF($BR1590="Emissions positive",-1,1)</f>
        <v>122000</v>
      </c>
      <c r="CV1590">
        <f>IF($CP1590="refOK",$BV1590,$BU1590)*IF($BR1590="Emissions positive",-1,1)</f>
        <v>98000</v>
      </c>
      <c r="CW1590">
        <f>IF($CP1590="refNeedCorrection",-BZ1590,BZ1590)*IF($BR1590="Emissions positive",-1,1)</f>
        <v>-88.08</v>
      </c>
      <c r="CX1590">
        <f>IFERROR($CW1590/$CS1590,"")</f>
        <v>-0.31861096039066739</v>
      </c>
      <c r="CY1590">
        <f>IFERROR($CW1590/$CS1590,"")</f>
        <v>-0.31861096039066739</v>
      </c>
      <c r="CZ1590">
        <f>IFERROR($CW1590/$CT1590,"")</f>
        <v>-0.63722192078133477</v>
      </c>
      <c r="DA1590" s="2">
        <f>IFERROR((CV1590-CU1590)/ABS(CU1590),"")</f>
        <v>-0.19672131147540983</v>
      </c>
      <c r="DB1590" s="162" t="s">
        <v>1334</v>
      </c>
      <c r="DC1590" s="317" t="str">
        <f>IF(OR($DB1590="prd",$DB1590="std",$DB1590="cit"),"loc",IF(OR($DB1590="eur",$DB1590="reg",$DB1590="coy"),"reg",$DB1590))</f>
        <v>reg</v>
      </c>
      <c r="DD1590" s="155" t="s">
        <v>729</v>
      </c>
      <c r="DE1590">
        <v>2020</v>
      </c>
      <c r="DF1590">
        <v>2115</v>
      </c>
      <c r="DG1590">
        <f>DF1590-DE1590</f>
        <v>95</v>
      </c>
      <c r="DH1590" t="str">
        <f>IF(DG1590=0,"0",IF(AND(DG1590&gt;=1,DG1590&lt;=30),"1-30",IF(AND(DG1590&gt;30,DG1590&lt;=70),"31-70",IF(AND(DG1590&gt;70,DG1590&lt;=100),"71-100",IF(DG1590&gt;100,"+100")))))</f>
        <v>71-100</v>
      </c>
      <c r="DI1590">
        <v>0</v>
      </c>
      <c r="DJ1590">
        <v>1</v>
      </c>
      <c r="DK1590">
        <v>1</v>
      </c>
      <c r="DL1590">
        <v>1</v>
      </c>
      <c r="DM1590">
        <v>0</v>
      </c>
      <c r="DN1590">
        <f>SUM(DI1590:DL1590)</f>
        <v>3</v>
      </c>
      <c r="DO1590" t="str">
        <f>IF(DN1590=1,INDEX($DI$7:$DL$7,MATCH(1,$DI1590:$DL1590,0)),"mixedProduct")</f>
        <v>mixedProduct</v>
      </c>
      <c r="DP1590">
        <f>IF(DI1590=1,DP$7,0)</f>
        <v>0</v>
      </c>
      <c r="DQ1590" t="str">
        <f>IF(DJ1590=1,DQ$7,0)</f>
        <v>Energy</v>
      </c>
      <c r="DR1590" t="str">
        <f>IF(DK1590=1,DR$7,0)</f>
        <v>Pulp/Paper</v>
      </c>
      <c r="DS1590" t="str">
        <f>IF(DL1590=1,DS$7,0)</f>
        <v>Timber</v>
      </c>
      <c r="DT1590">
        <v>0</v>
      </c>
      <c r="DU1590">
        <v>1</v>
      </c>
      <c r="DV1590" s="317" t="s">
        <v>1504</v>
      </c>
      <c r="DW1590" s="317" t="s">
        <v>1504</v>
      </c>
      <c r="DX1590" s="317" t="s">
        <v>1504</v>
      </c>
      <c r="DY1590">
        <f>SUM(DT1590:DU1590)</f>
        <v>1</v>
      </c>
      <c r="DZ1590" s="143" t="str">
        <f>IF(DT1590=1,"self-calculated DF",IF(DU1590=1,"external DF used","explicit C balance"))</f>
        <v>external DF used</v>
      </c>
      <c r="EA1590">
        <v>1</v>
      </c>
      <c r="EB1590">
        <v>1</v>
      </c>
      <c r="EC1590">
        <v>1</v>
      </c>
      <c r="ED1590">
        <v>1</v>
      </c>
      <c r="EE1590">
        <v>0</v>
      </c>
      <c r="EF1590">
        <v>0</v>
      </c>
      <c r="EG1590">
        <v>0</v>
      </c>
      <c r="EH1590">
        <v>0</v>
      </c>
      <c r="EI1590">
        <v>0</v>
      </c>
      <c r="EJ1590">
        <v>0</v>
      </c>
      <c r="EK1590">
        <v>1</v>
      </c>
      <c r="EL1590">
        <v>0</v>
      </c>
      <c r="EM1590">
        <v>1</v>
      </c>
      <c r="EN1590" s="2">
        <v>0</v>
      </c>
      <c r="EP1590" t="str">
        <f>IF(AND(AND(AND(OR($EC1590=1,$EB1590=1),OR($EH1590=1,$EF1590=1)),SUM($EA1590:$EE1590,$EK1590)&gt;=3),SUM($EF1590:$EJ1590)&gt;=2),"Whole sector approach","")</f>
        <v/>
      </c>
      <c r="EQ1590" t="str">
        <f>IF(AND(AND(OR($EC1590=1,$EB1590=1),AND($EH1590=0,$EF1590=0)),SUM($EA1590:$EE1590,$EK1590)&gt;=3),"Ecosystem approach","")</f>
        <v>Ecosystem approach</v>
      </c>
      <c r="ER1590" s="2" t="str">
        <f>IF(AND(AND(AND($EC1590=0,$EB1590=0),OR($EH1590=1,$EF1590=1)),SUM($EG1590:$EJ1590)&gt;=2),"Technology approach","")</f>
        <v/>
      </c>
      <c r="ES1590" t="str">
        <f>IF(AND($EC1590+$EB1590+$EE1590+$EA1590+$ED1590+$EG1590=0,$N1590="included"),"C neutral forest and HWP assumption","")</f>
        <v/>
      </c>
      <c r="ET1590" t="str">
        <f>IF(AND(AND(AND(AND($EC1590=1,$EB1590+$EA1590+$EG1590&gt;=1),$EF1590=1),$EH1590+$EI1590+$ED1590+$EE1590&gt;=2),$N1590="included"),"All C pools assumption","")</f>
        <v/>
      </c>
      <c r="EU1590" t="str">
        <f>IF(AND($ED1590+$EE1590+$EI1590+$EH1590+$EF1590=0,$N1590="included"),"In-situ only assumption","")</f>
        <v/>
      </c>
      <c r="EY1590" t="str">
        <f>IF(ISNUMBER(BW1590),IF(ABS(BW1590-[4]QC_indicators!$B$2)&gt;3*[4]QC_indicators!$C$2,"C ratio",IF(ISNUMBER(CA1590),IF(ABS(CA1590-[4]QC_indicators!$B$1)&gt;3*[4]QC_indicators!$C$1,"DF","no"))),IF(ISNUMBER(CA1590),IF(ABS(CA1590-[4]QC_indicators!$B$1)&gt;3*[4]QC_indicators!$C$1,"DF","no")))</f>
        <v>no</v>
      </c>
      <c r="FA1590" t="str">
        <f>IF(LEN($CY1590)=0,"",IF(AND($CY1590&lt;(-0.05),$ES1590="C neutral forest and HWP assumption"),"Cneutral paradox",IF(AND($CY1590&gt;0.05,$EU1590="In-situ only assumption"),"In-situ only paradox","")))</f>
        <v/>
      </c>
      <c r="FD1590" t="s">
        <v>4971</v>
      </c>
    </row>
    <row r="1591" spans="1:160" ht="15" hidden="1" customHeight="1">
      <c r="A1591" s="1" t="s">
        <v>1489</v>
      </c>
      <c r="B1591" t="s">
        <v>1490</v>
      </c>
      <c r="C1591" t="s">
        <v>1491</v>
      </c>
      <c r="D1591" t="s">
        <v>1492</v>
      </c>
      <c r="E1591" t="s">
        <v>1493</v>
      </c>
      <c r="F1591" t="s">
        <v>1494</v>
      </c>
      <c r="G1591" t="s">
        <v>1495</v>
      </c>
      <c r="H1591" t="s">
        <v>254</v>
      </c>
      <c r="I1591">
        <v>2022</v>
      </c>
      <c r="J1591">
        <v>0</v>
      </c>
      <c r="K1591" t="s">
        <v>1496</v>
      </c>
      <c r="M1591" t="str">
        <f>LEFT($D1591,FIND(",",$D1591)-1)&amp;"_"&amp;I1591&amp;L1591</f>
        <v>Gregor_2022</v>
      </c>
      <c r="N1591" t="s">
        <v>222</v>
      </c>
      <c r="O1591" s="161" t="s">
        <v>223</v>
      </c>
      <c r="Q1591" s="317" t="s">
        <v>389</v>
      </c>
      <c r="R1591" s="318" t="s">
        <v>1029</v>
      </c>
      <c r="S1591" s="154" t="s">
        <v>1497</v>
      </c>
      <c r="T1591" s="319" t="s">
        <v>1499</v>
      </c>
      <c r="U1591" s="317" t="s">
        <v>1506</v>
      </c>
      <c r="V1591" s="253">
        <v>0</v>
      </c>
      <c r="W1591" s="253">
        <v>0</v>
      </c>
      <c r="X1591">
        <v>0</v>
      </c>
      <c r="Y1591">
        <v>0</v>
      </c>
      <c r="Z1591">
        <v>0</v>
      </c>
      <c r="AA1591">
        <v>0</v>
      </c>
      <c r="AB1591">
        <v>1</v>
      </c>
      <c r="AC1591">
        <v>0</v>
      </c>
      <c r="AD1591">
        <v>0</v>
      </c>
      <c r="AE1591">
        <v>0</v>
      </c>
      <c r="AF1591">
        <v>0</v>
      </c>
      <c r="AG1591">
        <v>0</v>
      </c>
      <c r="AH1591">
        <v>2</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s="141">
        <f>COUNTIF(X1591:AY1591,"&lt;&gt;0")</f>
        <v>2</v>
      </c>
      <c r="BA1591" s="141">
        <f>COUNTIF(X1591:AN1591,"&lt;&gt;0")</f>
        <v>2</v>
      </c>
      <c r="BB1591">
        <f>COUNTIF(X1591:AE1591,"&lt;&gt;0")</f>
        <v>1</v>
      </c>
      <c r="BC1591">
        <f>COUNTIF(AF1591:AK1591,"&lt;&gt;0")</f>
        <v>1</v>
      </c>
      <c r="BD1591">
        <f>COUNTIF(AL1591:AN1591,"&lt;&gt;0")</f>
        <v>0</v>
      </c>
      <c r="BE1591">
        <f>COUNTIF(AU1591:AY1591,"&lt;&gt;0")</f>
        <v>0</v>
      </c>
      <c r="BF1591">
        <f>COUNTIF(AO1591:AT1591,"&lt;&gt;0")</f>
        <v>0</v>
      </c>
      <c r="BG1591" t="str" cm="1">
        <f t="array" ref="BG1591">IF(BA1591=1,INDEX($X$7:$AN$7,MATCH(TRUE,INDEX($X1591:$AY1591&lt;&gt;0,),0)),IF(BA1591=0,INDEX($AO$7:$AY$7,MATCH(1,$AO1591:$AY1591,0)),IF(BH1591="Multiple strategies","mixed drivers",IF(BH1591="Supply chain","multiple supply","multiple silviculture"))))</f>
        <v>mixed drivers</v>
      </c>
      <c r="BH1591" s="2" t="str" cm="1">
        <f t="array" ref="BH1591">IF(COUNTIF(BB1591:BD1591,"&lt;&gt;0")=1,INDEX($X$4:$AY$4,MATCH(TRUE,INDEX($X1591:$AY1591&lt;&gt;0,),0)),IF(COUNTIF(BB1591:BD1591,"&lt;&gt;0")=0,INDEX($AO$4:$AY$4,MATCH(1,$AO1591:$AY1591,0)),"Multiple strategies"))</f>
        <v>Multiple strategies</v>
      </c>
      <c r="BI1591" s="1" t="s">
        <v>321</v>
      </c>
      <c r="BJ1591" s="317" t="s">
        <v>1500</v>
      </c>
      <c r="BK1591" s="317" t="s">
        <v>675</v>
      </c>
      <c r="BL1591" s="317" t="s">
        <v>1501</v>
      </c>
      <c r="BM1591">
        <f>2.99*(2115-2020)</f>
        <v>284.05</v>
      </c>
      <c r="BN1591">
        <f>3.2*(2115-2020)</f>
        <v>304</v>
      </c>
      <c r="BO1591">
        <f>BN1591/BM1591</f>
        <v>1.0702341137123745</v>
      </c>
      <c r="BP1591">
        <f>BN1591-BM1591</f>
        <v>19.949999999999989</v>
      </c>
      <c r="BQ1591">
        <f>BN1591-BM1591</f>
        <v>19.949999999999989</v>
      </c>
      <c r="BR1591" s="317" t="s">
        <v>232</v>
      </c>
      <c r="BS1591" s="317" t="s">
        <v>1505</v>
      </c>
      <c r="BT1591" s="317" t="s">
        <v>1503</v>
      </c>
      <c r="BU1591" s="317">
        <f>9.8*10000</f>
        <v>98000</v>
      </c>
      <c r="BV1591" s="317">
        <f>9.7*10000</f>
        <v>97000</v>
      </c>
      <c r="BW1591" s="144">
        <f>IFERROR(BV1591/BU1591,"")</f>
        <v>0.98979591836734693</v>
      </c>
      <c r="BX1591">
        <f>BV1591-BU1591</f>
        <v>-1000</v>
      </c>
      <c r="BZ1591">
        <f>BX1591/1000*C_to_CO2</f>
        <v>-3.67</v>
      </c>
      <c r="CA1591">
        <f>IFERROR(BZ1591/BQ1591,"")</f>
        <v>-0.18395989974937355</v>
      </c>
      <c r="CB1591">
        <v>0</v>
      </c>
      <c r="CC1591">
        <v>0</v>
      </c>
      <c r="CD1591">
        <v>0</v>
      </c>
      <c r="CE1591">
        <v>0</v>
      </c>
      <c r="CF1591">
        <v>0</v>
      </c>
      <c r="CG1591">
        <v>0</v>
      </c>
      <c r="CH1591">
        <v>0</v>
      </c>
      <c r="CI1591">
        <v>0</v>
      </c>
      <c r="CJ1591">
        <v>0</v>
      </c>
      <c r="CK1591">
        <v>1</v>
      </c>
      <c r="CL1591">
        <v>0</v>
      </c>
      <c r="CM1591">
        <v>0</v>
      </c>
      <c r="CN1591">
        <v>1</v>
      </c>
      <c r="CO1591">
        <v>0</v>
      </c>
      <c r="CP1591" t="str">
        <f>IF($BN1591&lt;$BM1591,"refNeedCorrection","refOK")</f>
        <v>refOK</v>
      </c>
      <c r="CQ1591">
        <f>IF($CP1591="refOK",$BM1591,$BN1591)</f>
        <v>284.05</v>
      </c>
      <c r="CR1591">
        <f>IF($CP1591="refOK",$BN1591,$BM1591)</f>
        <v>304</v>
      </c>
      <c r="CS1591">
        <f>IF($CP1591="refOK",$BQ1591,-$BQ1591)</f>
        <v>19.949999999999989</v>
      </c>
      <c r="CT1591">
        <f>IF(BI1591="Roundwood",$CS1591/2,$CS1591)</f>
        <v>9.9749999999999943</v>
      </c>
      <c r="CU1591">
        <f>IF($CP1591="refOK",$BU1591,$BV1591)*IF($BR1591="Emissions positive",-1,1)</f>
        <v>98000</v>
      </c>
      <c r="CV1591">
        <f>IF($CP1591="refOK",$BV1591,$BU1591)*IF($BR1591="Emissions positive",-1,1)</f>
        <v>97000</v>
      </c>
      <c r="CW1591">
        <f>IF($CP1591="refNeedCorrection",-BZ1591,BZ1591)*IF($BR1591="Emissions positive",-1,1)</f>
        <v>-3.67</v>
      </c>
      <c r="CX1591">
        <f>IFERROR($CW1591/$CS1591,"")</f>
        <v>-0.18395989974937355</v>
      </c>
      <c r="CY1591">
        <f>IFERROR($CW1591/$CS1591,"")</f>
        <v>-0.18395989974937355</v>
      </c>
      <c r="CZ1591">
        <f>IFERROR($CW1591/$CT1591,"")</f>
        <v>-0.36791979949874709</v>
      </c>
      <c r="DA1591" s="2">
        <f>IFERROR((CV1591-CU1591)/ABS(CU1591),"")</f>
        <v>-1.020408163265306E-2</v>
      </c>
      <c r="DB1591" s="162" t="s">
        <v>1334</v>
      </c>
      <c r="DC1591" s="317" t="str">
        <f>IF(OR($DB1591="prd",$DB1591="std",$DB1591="cit"),"loc",IF(OR($DB1591="eur",$DB1591="reg",$DB1591="coy"),"reg",$DB1591))</f>
        <v>reg</v>
      </c>
      <c r="DD1591" s="155" t="s">
        <v>729</v>
      </c>
      <c r="DE1591">
        <v>2010</v>
      </c>
      <c r="DF1591">
        <v>2115</v>
      </c>
      <c r="DG1591">
        <f>DF1591-DE1591</f>
        <v>105</v>
      </c>
      <c r="DH1591" t="str">
        <f>IF(DG1591=0,"0",IF(AND(DG1591&gt;=1,DG1591&lt;=30),"1-30",IF(AND(DG1591&gt;30,DG1591&lt;=70),"31-70",IF(AND(DG1591&gt;70,DG1591&lt;=100),"71-100",IF(DG1591&gt;100,"+100")))))</f>
        <v>+100</v>
      </c>
      <c r="DI1591">
        <v>0</v>
      </c>
      <c r="DJ1591">
        <v>1</v>
      </c>
      <c r="DK1591">
        <v>1</v>
      </c>
      <c r="DL1591">
        <v>1</v>
      </c>
      <c r="DM1591">
        <v>0</v>
      </c>
      <c r="DN1591">
        <f>SUM(DI1591:DL1591)</f>
        <v>3</v>
      </c>
      <c r="DO1591" t="str">
        <f>IF(DN1591=1,INDEX($DI$7:$DL$7,MATCH(1,$DI1591:$DL1591,0)),"mixedProduct")</f>
        <v>mixedProduct</v>
      </c>
      <c r="DP1591">
        <f>IF(DI1591=1,DP$7,0)</f>
        <v>0</v>
      </c>
      <c r="DQ1591" t="str">
        <f>IF(DJ1591=1,DQ$7,0)</f>
        <v>Energy</v>
      </c>
      <c r="DR1591" t="str">
        <f>IF(DK1591=1,DR$7,0)</f>
        <v>Pulp/Paper</v>
      </c>
      <c r="DS1591" t="str">
        <f>IF(DL1591=1,DS$7,0)</f>
        <v>Timber</v>
      </c>
      <c r="DT1591">
        <v>0</v>
      </c>
      <c r="DU1591">
        <v>1</v>
      </c>
      <c r="DV1591" s="317" t="s">
        <v>1504</v>
      </c>
      <c r="DW1591" s="317" t="s">
        <v>1504</v>
      </c>
      <c r="DX1591" s="317" t="s">
        <v>1504</v>
      </c>
      <c r="DY1591">
        <f>SUM(DT1591:DU1591)</f>
        <v>1</v>
      </c>
      <c r="DZ1591" s="143" t="str">
        <f>IF(DT1591=1,"self-calculated DF",IF(DU1591=1,"external DF used","explicit C balance"))</f>
        <v>external DF used</v>
      </c>
      <c r="EA1591">
        <v>1</v>
      </c>
      <c r="EB1591">
        <v>1</v>
      </c>
      <c r="EC1591">
        <v>1</v>
      </c>
      <c r="ED1591">
        <v>1</v>
      </c>
      <c r="EE1591">
        <v>0</v>
      </c>
      <c r="EF1591">
        <v>0</v>
      </c>
      <c r="EG1591">
        <v>0</v>
      </c>
      <c r="EH1591">
        <v>0</v>
      </c>
      <c r="EI1591">
        <v>0</v>
      </c>
      <c r="EJ1591">
        <v>0</v>
      </c>
      <c r="EK1591">
        <v>1</v>
      </c>
      <c r="EL1591">
        <v>0</v>
      </c>
      <c r="EM1591">
        <v>1</v>
      </c>
      <c r="EN1591" s="2">
        <v>0</v>
      </c>
      <c r="EP1591" t="str">
        <f>IF(AND(AND(AND(OR($EC1591=1,$EB1591=1),OR($EH1591=1,$EF1591=1)),SUM($EA1591:$EE1591,$EK1591)&gt;=3),SUM($EF1591:$EJ1591)&gt;=2),"Whole sector approach","")</f>
        <v/>
      </c>
      <c r="EQ1591" t="str">
        <f>IF(AND(AND(OR($EC1591=1,$EB1591=1),AND($EH1591=0,$EF1591=0)),SUM($EA1591:$EE1591,$EK1591)&gt;=3),"Ecosystem approach","")</f>
        <v>Ecosystem approach</v>
      </c>
      <c r="ER1591" s="2" t="str">
        <f>IF(AND(AND(AND($EC1591=0,$EB1591=0),OR($EH1591=1,$EF1591=1)),SUM($EG1591:$EJ1591)&gt;=2),"Technology approach","")</f>
        <v/>
      </c>
      <c r="ES1591" t="str">
        <f>IF(AND($EC1591+$EB1591+$EE1591+$EA1591+$ED1591+$EG1591=0,$N1591="included"),"C neutral forest and HWP assumption","")</f>
        <v/>
      </c>
      <c r="ET1591" t="str">
        <f>IF(AND(AND(AND(AND($EC1591=1,$EB1591+$EA1591+$EG1591&gt;=1),$EF1591=1),$EH1591+$EI1591+$ED1591+$EE1591&gt;=2),$N1591="included"),"All C pools assumption","")</f>
        <v/>
      </c>
      <c r="EU1591" t="str">
        <f>IF(AND($ED1591+$EE1591+$EI1591+$EH1591+$EF1591=0,$N1591="included"),"In-situ only assumption","")</f>
        <v/>
      </c>
      <c r="EY1591" t="str">
        <f>IF(ISNUMBER(BW1591),IF(ABS(BW1591-[4]QC_indicators!$B$2)&gt;3*[4]QC_indicators!$C$2,"C ratio",IF(ISNUMBER(CA1591),IF(ABS(CA1591-[4]QC_indicators!$B$1)&gt;3*[4]QC_indicators!$C$1,"DF","no"))),IF(ISNUMBER(CA1591),IF(ABS(CA1591-[4]QC_indicators!$B$1)&gt;3*[4]QC_indicators!$C$1,"DF","no")))</f>
        <v>no</v>
      </c>
      <c r="FA1591" t="str">
        <f>IF(LEN($CY1591)=0,"",IF(AND($CY1591&lt;(-0.05),$ES1591="C neutral forest and HWP assumption"),"Cneutral paradox",IF(AND($CY1591&gt;0.05,$EU1591="In-situ only assumption"),"In-situ only paradox","")))</f>
        <v/>
      </c>
      <c r="FD1591" t="s">
        <v>4971</v>
      </c>
    </row>
    <row r="1592" spans="1:160" ht="15" hidden="1" customHeight="1">
      <c r="A1592" s="1" t="s">
        <v>1489</v>
      </c>
      <c r="B1592" t="s">
        <v>1490</v>
      </c>
      <c r="C1592" t="s">
        <v>1491</v>
      </c>
      <c r="D1592" t="s">
        <v>1492</v>
      </c>
      <c r="E1592" t="s">
        <v>1493</v>
      </c>
      <c r="F1592" t="s">
        <v>1494</v>
      </c>
      <c r="G1592" t="s">
        <v>1495</v>
      </c>
      <c r="H1592" t="s">
        <v>254</v>
      </c>
      <c r="I1592">
        <v>2022</v>
      </c>
      <c r="J1592">
        <v>0</v>
      </c>
      <c r="K1592" t="s">
        <v>1496</v>
      </c>
      <c r="M1592" t="str">
        <f>LEFT($D1592,FIND(",",$D1592)-1)&amp;"_"&amp;I1592&amp;L1592</f>
        <v>Gregor_2022</v>
      </c>
      <c r="N1592" t="s">
        <v>222</v>
      </c>
      <c r="O1592" s="161" t="s">
        <v>223</v>
      </c>
      <c r="Q1592" s="317" t="s">
        <v>389</v>
      </c>
      <c r="R1592" s="318" t="s">
        <v>1029</v>
      </c>
      <c r="S1592" s="154" t="s">
        <v>1497</v>
      </c>
      <c r="T1592" s="149" t="s">
        <v>1498</v>
      </c>
      <c r="U1592" s="317" t="s">
        <v>1499</v>
      </c>
      <c r="V1592">
        <v>1</v>
      </c>
      <c r="W1592">
        <v>0</v>
      </c>
      <c r="X1592">
        <v>1</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s="141">
        <f>COUNTIF(X1592:AY1592,"&lt;&gt;0")</f>
        <v>1</v>
      </c>
      <c r="BA1592" s="141">
        <f>COUNTIF(X1592:AN1592,"&lt;&gt;0")</f>
        <v>1</v>
      </c>
      <c r="BB1592">
        <f>COUNTIF(X1592:AE1592,"&lt;&gt;0")</f>
        <v>1</v>
      </c>
      <c r="BC1592">
        <f>COUNTIF(AF1592:AK1592,"&lt;&gt;0")</f>
        <v>0</v>
      </c>
      <c r="BD1592">
        <f>COUNTIF(AL1592:AN1592,"&lt;&gt;0")</f>
        <v>0</v>
      </c>
      <c r="BE1592">
        <f>COUNTIF(AU1592:AY1592,"&lt;&gt;0")</f>
        <v>0</v>
      </c>
      <c r="BF1592">
        <f>COUNTIF(AO1592:AT1592,"&lt;&gt;0")</f>
        <v>0</v>
      </c>
      <c r="BG1592" t="str" cm="1">
        <f t="array" ref="BG1592">IF(BA1592=1,INDEX($X$7:$AN$7,MATCH(TRUE,INDEX($X1592:$AY1592&lt;&gt;0,),0)),IF(BA1592=0,INDEX($AO$7:$AY$7,MATCH(1,$AO1592:$AY1592,0)),IF(BH1592="Multiple strategies","mixed drivers",IF(BH1592="Supply chain","multiple supply","multiple silviculture"))))</f>
        <v>area subject to harvest</v>
      </c>
      <c r="BH1592" s="2" t="str" cm="1">
        <f t="array" ref="BH1592">IF(COUNTIF(BB1592:BD1592,"&lt;&gt;0")=1,INDEX($X$4:$AY$4,MATCH(TRUE,INDEX($X1592:$AY1592&lt;&gt;0,),0)),IF(COUNTIF(BB1592:BD1592,"&lt;&gt;0")=0,INDEX($AO$4:$AY$4,MATCH(1,$AO1592:$AY1592,0)),"Multiple strategies"))</f>
        <v>Silviculture for removals</v>
      </c>
      <c r="BI1592" s="1" t="s">
        <v>321</v>
      </c>
      <c r="BJ1592" s="317" t="s">
        <v>1500</v>
      </c>
      <c r="BK1592" s="317" t="s">
        <v>675</v>
      </c>
      <c r="BL1592" s="317" t="s">
        <v>1501</v>
      </c>
      <c r="BM1592">
        <f>0.08*(2115-2020)</f>
        <v>7.6000000000000005</v>
      </c>
      <c r="BN1592">
        <f>2.99*(2115-2020)</f>
        <v>284.05</v>
      </c>
      <c r="BO1592">
        <f>BN1592/BM1592</f>
        <v>37.375</v>
      </c>
      <c r="BP1592">
        <f>BN1592-BM1592</f>
        <v>276.45</v>
      </c>
      <c r="BQ1592">
        <f>BN1592-BM1592</f>
        <v>276.45</v>
      </c>
      <c r="BR1592" s="317" t="s">
        <v>232</v>
      </c>
      <c r="BS1592" s="317" t="s">
        <v>1502</v>
      </c>
      <c r="BT1592" s="317" t="s">
        <v>1503</v>
      </c>
      <c r="BU1592" s="317">
        <f>1.8*10000</f>
        <v>18000</v>
      </c>
      <c r="BV1592" s="317">
        <f>1.7*10000</f>
        <v>17000</v>
      </c>
      <c r="BW1592" s="144">
        <f>IFERROR(BV1592/BU1592,"")</f>
        <v>0.94444444444444442</v>
      </c>
      <c r="BX1592">
        <f>BV1592-BU1592</f>
        <v>-1000</v>
      </c>
      <c r="BZ1592">
        <f>BX1592/1000*C_to_CO2</f>
        <v>-3.67</v>
      </c>
      <c r="CA1592">
        <f>IFERROR(BZ1592/BQ1592,"")</f>
        <v>-1.3275456682944475E-2</v>
      </c>
      <c r="CB1592">
        <v>0</v>
      </c>
      <c r="CC1592">
        <v>0</v>
      </c>
      <c r="CD1592">
        <v>0</v>
      </c>
      <c r="CE1592">
        <v>0</v>
      </c>
      <c r="CF1592">
        <v>0</v>
      </c>
      <c r="CG1592">
        <v>0</v>
      </c>
      <c r="CH1592">
        <v>0</v>
      </c>
      <c r="CI1592">
        <v>0</v>
      </c>
      <c r="CJ1592">
        <v>0</v>
      </c>
      <c r="CK1592">
        <v>1</v>
      </c>
      <c r="CL1592">
        <v>0</v>
      </c>
      <c r="CM1592">
        <v>0</v>
      </c>
      <c r="CN1592">
        <v>1</v>
      </c>
      <c r="CO1592">
        <v>0</v>
      </c>
      <c r="CP1592" t="str">
        <f>IF($BN1592&lt;$BM1592,"refNeedCorrection","refOK")</f>
        <v>refOK</v>
      </c>
      <c r="CQ1592">
        <f>IF($CP1592="refOK",$BM1592,$BN1592)</f>
        <v>7.6000000000000005</v>
      </c>
      <c r="CR1592">
        <f>IF($CP1592="refOK",$BN1592,$BM1592)</f>
        <v>284.05</v>
      </c>
      <c r="CS1592">
        <f>IF($CP1592="refOK",$BQ1592,-$BQ1592)</f>
        <v>276.45</v>
      </c>
      <c r="CT1592">
        <f>IF(BI1592="Roundwood",$CS1592/2,$CS1592)</f>
        <v>138.22499999999999</v>
      </c>
      <c r="CU1592">
        <f>IF($CP1592="refOK",$BU1592,$BV1592)*IF($BR1592="Emissions positive",-1,1)</f>
        <v>18000</v>
      </c>
      <c r="CV1592">
        <f>IF($CP1592="refOK",$BV1592,$BU1592)*IF($BR1592="Emissions positive",-1,1)</f>
        <v>17000</v>
      </c>
      <c r="CW1592">
        <f>IF($CP1592="refNeedCorrection",-BZ1592,BZ1592)*IF($BR1592="Emissions positive",-1,1)</f>
        <v>-3.67</v>
      </c>
      <c r="CX1592">
        <f>IFERROR($CW1592/$CS1592,"")</f>
        <v>-1.3275456682944475E-2</v>
      </c>
      <c r="CY1592">
        <f>IFERROR($CW1592/$CS1592,"")</f>
        <v>-1.3275456682944475E-2</v>
      </c>
      <c r="CZ1592">
        <f>IFERROR($CW1592/$CT1592,"")</f>
        <v>-2.655091336588895E-2</v>
      </c>
      <c r="DA1592" s="2">
        <f>IFERROR((CV1592-CU1592)/ABS(CU1592),"")</f>
        <v>-5.5555555555555552E-2</v>
      </c>
      <c r="DB1592" s="162" t="s">
        <v>1334</v>
      </c>
      <c r="DC1592" s="317" t="str">
        <f>IF(OR($DB1592="prd",$DB1592="std",$DB1592="cit"),"loc",IF(OR($DB1592="eur",$DB1592="reg",$DB1592="coy"),"reg",$DB1592))</f>
        <v>reg</v>
      </c>
      <c r="DD1592" s="155" t="s">
        <v>729</v>
      </c>
      <c r="DE1592">
        <v>2010</v>
      </c>
      <c r="DF1592">
        <v>2115</v>
      </c>
      <c r="DG1592">
        <f>DF1592-DE1592</f>
        <v>105</v>
      </c>
      <c r="DH1592" t="str">
        <f>IF(DG1592=0,"0",IF(AND(DG1592&gt;=1,DG1592&lt;=30),"1-30",IF(AND(DG1592&gt;30,DG1592&lt;=70),"31-70",IF(AND(DG1592&gt;70,DG1592&lt;=100),"71-100",IF(DG1592&gt;100,"+100")))))</f>
        <v>+100</v>
      </c>
      <c r="DI1592">
        <v>0</v>
      </c>
      <c r="DJ1592">
        <v>1</v>
      </c>
      <c r="DK1592">
        <v>1</v>
      </c>
      <c r="DL1592">
        <v>1</v>
      </c>
      <c r="DM1592">
        <v>0</v>
      </c>
      <c r="DN1592">
        <f>SUM(DI1592:DL1592)</f>
        <v>3</v>
      </c>
      <c r="DO1592" t="str">
        <f>IF(DN1592=1,INDEX($DI$7:$DL$7,MATCH(1,$DI1592:$DL1592,0)),"mixedProduct")</f>
        <v>mixedProduct</v>
      </c>
      <c r="DP1592">
        <f>IF(DI1592=1,DP$7,0)</f>
        <v>0</v>
      </c>
      <c r="DQ1592" t="str">
        <f>IF(DJ1592=1,DQ$7,0)</f>
        <v>Energy</v>
      </c>
      <c r="DR1592" t="str">
        <f>IF(DK1592=1,DR$7,0)</f>
        <v>Pulp/Paper</v>
      </c>
      <c r="DS1592" t="str">
        <f>IF(DL1592=1,DS$7,0)</f>
        <v>Timber</v>
      </c>
      <c r="DT1592">
        <v>0</v>
      </c>
      <c r="DU1592">
        <v>1</v>
      </c>
      <c r="DV1592" s="317" t="s">
        <v>1504</v>
      </c>
      <c r="DW1592" s="317" t="s">
        <v>1504</v>
      </c>
      <c r="DX1592" s="317" t="s">
        <v>1504</v>
      </c>
      <c r="DY1592">
        <f>SUM(DT1592:DU1592)</f>
        <v>1</v>
      </c>
      <c r="DZ1592" s="143" t="str">
        <f>IF(DT1592=1,"self-calculated DF",IF(DU1592=1,"external DF used","explicit C balance"))</f>
        <v>external DF used</v>
      </c>
      <c r="EA1592">
        <v>1</v>
      </c>
      <c r="EB1592">
        <v>1</v>
      </c>
      <c r="EC1592">
        <v>1</v>
      </c>
      <c r="ED1592">
        <v>1</v>
      </c>
      <c r="EE1592">
        <v>1</v>
      </c>
      <c r="EF1592">
        <v>1</v>
      </c>
      <c r="EG1592">
        <v>1</v>
      </c>
      <c r="EH1592">
        <v>1</v>
      </c>
      <c r="EI1592">
        <v>0</v>
      </c>
      <c r="EJ1592">
        <v>0</v>
      </c>
      <c r="EK1592">
        <v>1</v>
      </c>
      <c r="EL1592">
        <v>0</v>
      </c>
      <c r="EM1592">
        <v>1</v>
      </c>
      <c r="EN1592" s="2">
        <v>0</v>
      </c>
      <c r="EP1592" t="str">
        <f>IF(AND(AND(AND(OR($EC1592=1,$EB1592=1),OR($EH1592=1,$EF1592=1)),SUM($EA1592:$EE1592,$EK1592)&gt;=3),SUM($EF1592:$EJ1592)&gt;=2),"Whole sector approach","")</f>
        <v>Whole sector approach</v>
      </c>
      <c r="EQ1592" t="str">
        <f>IF(AND(AND(OR($EC1592=1,$EB1592=1),AND($EH1592=0,$EF1592=0)),SUM($EA1592:$EE1592,$EK1592)&gt;=3),"Ecosystem approach","")</f>
        <v/>
      </c>
      <c r="ER1592" s="2" t="str">
        <f>IF(AND(AND(AND($EC1592=0,$EB1592=0),OR($EH1592=1,$EF1592=1)),SUM($EG1592:$EJ1592)&gt;=2),"Technology approach","")</f>
        <v/>
      </c>
      <c r="ES1592" t="str">
        <f>IF(AND($EC1592+$EB1592+$EE1592+$EA1592+$ED1592+$EG1592=0,$N1592="included"),"C neutral forest and HWP assumption","")</f>
        <v/>
      </c>
      <c r="ET1592" t="str">
        <f>IF(AND(AND(AND(AND($EC1592=1,$EB1592+$EA1592+$EG1592&gt;=1),$EF1592=1),$EH1592+$EI1592+$ED1592+$EE1592&gt;=2),$N1592="included"),"All C pools assumption","")</f>
        <v>All C pools assumption</v>
      </c>
      <c r="EU1592" t="str">
        <f>IF(AND($ED1592+$EE1592+$EI1592+$EH1592+$EF1592=0,$N1592="included"),"In-situ only assumption","")</f>
        <v/>
      </c>
      <c r="EY1592" t="str">
        <f>IF(ISNUMBER(BW1592),IF(ABS(BW1592-[4]QC_indicators!$B$2)&gt;3*[4]QC_indicators!$C$2,"C ratio",IF(ISNUMBER(CA1592),IF(ABS(CA1592-[4]QC_indicators!$B$1)&gt;3*[4]QC_indicators!$C$1,"DF","no"))),IF(ISNUMBER(CA1592),IF(ABS(CA1592-[4]QC_indicators!$B$1)&gt;3*[4]QC_indicators!$C$1,"DF","no")))</f>
        <v>no</v>
      </c>
      <c r="FA1592" t="str">
        <f>IF(LEN($CY1592)=0,"",IF(AND($CY1592&lt;(-0.05),$ES1592="C neutral forest and HWP assumption"),"Cneutral paradox",IF(AND($CY1592&gt;0.05,$EU1592="In-situ only assumption"),"In-situ only paradox","")))</f>
        <v/>
      </c>
      <c r="FD1592" t="s">
        <v>4971</v>
      </c>
    </row>
    <row r="1593" spans="1:160" hidden="1">
      <c r="A1593" s="1" t="s">
        <v>1489</v>
      </c>
      <c r="B1593" t="s">
        <v>1490</v>
      </c>
      <c r="C1593" t="s">
        <v>1491</v>
      </c>
      <c r="D1593" t="s">
        <v>1492</v>
      </c>
      <c r="E1593" t="s">
        <v>1493</v>
      </c>
      <c r="F1593" t="s">
        <v>1494</v>
      </c>
      <c r="G1593" t="s">
        <v>1495</v>
      </c>
      <c r="H1593" t="s">
        <v>254</v>
      </c>
      <c r="I1593">
        <v>2022</v>
      </c>
      <c r="J1593">
        <v>0</v>
      </c>
      <c r="K1593" t="s">
        <v>1496</v>
      </c>
      <c r="M1593" t="str">
        <f>LEFT($D1593,FIND(",",$D1593)-1)&amp;"_"&amp;I1593&amp;L1593</f>
        <v>Gregor_2022</v>
      </c>
      <c r="N1593" t="s">
        <v>222</v>
      </c>
      <c r="O1593" s="161" t="s">
        <v>223</v>
      </c>
      <c r="Q1593" s="317" t="s">
        <v>389</v>
      </c>
      <c r="R1593" s="318" t="s">
        <v>1029</v>
      </c>
      <c r="S1593" s="154" t="s">
        <v>1497</v>
      </c>
      <c r="T1593" s="319" t="s">
        <v>1507</v>
      </c>
      <c r="U1593" s="317" t="s">
        <v>1499</v>
      </c>
      <c r="V1593" s="253">
        <v>0</v>
      </c>
      <c r="W1593" s="253">
        <v>0</v>
      </c>
      <c r="X1593">
        <v>0</v>
      </c>
      <c r="Y1593">
        <v>0</v>
      </c>
      <c r="Z1593">
        <v>0</v>
      </c>
      <c r="AA1593">
        <v>0</v>
      </c>
      <c r="AB1593">
        <v>1</v>
      </c>
      <c r="AC1593">
        <v>0</v>
      </c>
      <c r="AD1593">
        <v>0</v>
      </c>
      <c r="AE1593">
        <v>0</v>
      </c>
      <c r="AF1593">
        <v>0</v>
      </c>
      <c r="AG1593">
        <v>0</v>
      </c>
      <c r="AH1593">
        <v>2</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s="141">
        <f>COUNTIF(X1593:AY1593,"&lt;&gt;0")</f>
        <v>2</v>
      </c>
      <c r="BA1593" s="141">
        <f>COUNTIF(X1593:AN1593,"&lt;&gt;0")</f>
        <v>2</v>
      </c>
      <c r="BB1593">
        <f>COUNTIF(X1593:AE1593,"&lt;&gt;0")</f>
        <v>1</v>
      </c>
      <c r="BC1593">
        <f>COUNTIF(AF1593:AK1593,"&lt;&gt;0")</f>
        <v>1</v>
      </c>
      <c r="BD1593">
        <f>COUNTIF(AL1593:AN1593,"&lt;&gt;0")</f>
        <v>0</v>
      </c>
      <c r="BE1593">
        <f>COUNTIF(AU1593:AY1593,"&lt;&gt;0")</f>
        <v>0</v>
      </c>
      <c r="BF1593">
        <f>COUNTIF(AO1593:AT1593,"&lt;&gt;0")</f>
        <v>0</v>
      </c>
      <c r="BG1593" t="str" cm="1">
        <f t="array" ref="BG1593">IF(BA1593=1,INDEX($X$7:$AN$7,MATCH(TRUE,INDEX($X1593:$AY1593&lt;&gt;0,),0)),IF(BA1593=0,INDEX($AO$7:$AY$7,MATCH(1,$AO1593:$AY1593,0)),IF(BH1593="Multiple strategies","mixed drivers",IF(BH1593="Supply chain","multiple supply","multiple silviculture"))))</f>
        <v>mixed drivers</v>
      </c>
      <c r="BH1593" s="2" t="str" cm="1">
        <f t="array" ref="BH1593">IF(COUNTIF(BB1593:BD1593,"&lt;&gt;0")=1,INDEX($X$4:$AY$4,MATCH(TRUE,INDEX($X1593:$AY1593&lt;&gt;0,),0)),IF(COUNTIF(BB1593:BD1593,"&lt;&gt;0")=0,INDEX($AO$4:$AY$4,MATCH(1,$AO1593:$AY1593,0)),"Multiple strategies"))</f>
        <v>Multiple strategies</v>
      </c>
      <c r="BI1593" s="1" t="s">
        <v>321</v>
      </c>
      <c r="BJ1593" s="317" t="s">
        <v>1500</v>
      </c>
      <c r="BK1593" s="317" t="s">
        <v>675</v>
      </c>
      <c r="BL1593" s="317" t="s">
        <v>1501</v>
      </c>
      <c r="BM1593">
        <f>2.77*(2115-2020)</f>
        <v>263.14999999999998</v>
      </c>
      <c r="BN1593">
        <f>2.99*(2115-2020)</f>
        <v>284.05</v>
      </c>
      <c r="BO1593">
        <f>BN1593/BM1593</f>
        <v>1.0794223826714804</v>
      </c>
      <c r="BP1593">
        <f>BN1593-BM1593</f>
        <v>20.900000000000034</v>
      </c>
      <c r="BQ1593">
        <f>BN1593-BM1593</f>
        <v>20.900000000000034</v>
      </c>
      <c r="BR1593" s="317" t="s">
        <v>232</v>
      </c>
      <c r="BS1593" s="317" t="s">
        <v>1502</v>
      </c>
      <c r="BT1593" s="317" t="s">
        <v>1503</v>
      </c>
      <c r="BU1593" s="317">
        <f>1.7*10000</f>
        <v>17000</v>
      </c>
      <c r="BV1593" s="317">
        <f>1.7*10000</f>
        <v>17000</v>
      </c>
      <c r="BW1593" s="144">
        <f>IFERROR(BV1593/BU1593,"")</f>
        <v>1</v>
      </c>
      <c r="BX1593">
        <f>BV1593-BU1593</f>
        <v>0</v>
      </c>
      <c r="BZ1593">
        <f>BX1593/1000*C_to_CO2</f>
        <v>0</v>
      </c>
      <c r="CA1593">
        <f>IFERROR(BZ1593/BQ1593,"")</f>
        <v>0</v>
      </c>
      <c r="CB1593">
        <v>0</v>
      </c>
      <c r="CC1593">
        <v>0</v>
      </c>
      <c r="CD1593">
        <v>0</v>
      </c>
      <c r="CE1593">
        <v>0</v>
      </c>
      <c r="CF1593">
        <v>0</v>
      </c>
      <c r="CG1593">
        <v>0</v>
      </c>
      <c r="CH1593">
        <v>0</v>
      </c>
      <c r="CI1593">
        <v>0</v>
      </c>
      <c r="CJ1593">
        <v>0</v>
      </c>
      <c r="CK1593">
        <v>1</v>
      </c>
      <c r="CL1593">
        <v>0</v>
      </c>
      <c r="CM1593">
        <v>0</v>
      </c>
      <c r="CN1593">
        <v>1</v>
      </c>
      <c r="CO1593">
        <v>0</v>
      </c>
      <c r="CP1593" t="str">
        <f>IF($BN1593&lt;$BM1593,"refNeedCorrection","refOK")</f>
        <v>refOK</v>
      </c>
      <c r="CQ1593">
        <f>IF($CP1593="refOK",$BM1593,$BN1593)</f>
        <v>263.14999999999998</v>
      </c>
      <c r="CR1593">
        <f>IF($CP1593="refOK",$BN1593,$BM1593)</f>
        <v>284.05</v>
      </c>
      <c r="CS1593">
        <f>IF($CP1593="refOK",$BQ1593,-$BQ1593)</f>
        <v>20.900000000000034</v>
      </c>
      <c r="CT1593">
        <f>IF(BI1593="Roundwood",$CS1593/2,$CS1593)</f>
        <v>10.450000000000017</v>
      </c>
      <c r="CU1593">
        <f>IF($CP1593="refOK",$BU1593,$BV1593)*IF($BR1593="Emissions positive",-1,1)</f>
        <v>17000</v>
      </c>
      <c r="CV1593">
        <f>IF($CP1593="refOK",$BV1593,$BU1593)*IF($BR1593="Emissions positive",-1,1)</f>
        <v>17000</v>
      </c>
      <c r="CW1593">
        <f>IF($CP1593="refNeedCorrection",-BZ1593,BZ1593)*IF($BR1593="Emissions positive",-1,1)</f>
        <v>0</v>
      </c>
      <c r="CX1593">
        <f>IFERROR($CW1593/$CS1593,"")</f>
        <v>0</v>
      </c>
      <c r="CY1593">
        <f>IFERROR($CW1593/$CS1593,"")</f>
        <v>0</v>
      </c>
      <c r="CZ1593">
        <f>IFERROR($CW1593/$CT1593,"")</f>
        <v>0</v>
      </c>
      <c r="DA1593" s="2">
        <f>IFERROR((CV1593-CU1593)/ABS(CU1593),"")</f>
        <v>0</v>
      </c>
      <c r="DB1593" s="162" t="s">
        <v>1334</v>
      </c>
      <c r="DC1593" s="317" t="str">
        <f>IF(OR($DB1593="prd",$DB1593="std",$DB1593="cit"),"loc",IF(OR($DB1593="eur",$DB1593="reg",$DB1593="coy"),"reg",$DB1593))</f>
        <v>reg</v>
      </c>
      <c r="DD1593" s="155" t="s">
        <v>729</v>
      </c>
      <c r="DE1593">
        <v>2010</v>
      </c>
      <c r="DF1593">
        <v>2115</v>
      </c>
      <c r="DG1593">
        <f>DF1593-DE1593</f>
        <v>105</v>
      </c>
      <c r="DH1593" t="str">
        <f>IF(DG1593=0,"0",IF(AND(DG1593&gt;=1,DG1593&lt;=30),"1-30",IF(AND(DG1593&gt;30,DG1593&lt;=70),"31-70",IF(AND(DG1593&gt;70,DG1593&lt;=100),"71-100",IF(DG1593&gt;100,"+100")))))</f>
        <v>+100</v>
      </c>
      <c r="DI1593">
        <v>0</v>
      </c>
      <c r="DJ1593">
        <v>1</v>
      </c>
      <c r="DK1593">
        <v>1</v>
      </c>
      <c r="DL1593">
        <v>1</v>
      </c>
      <c r="DM1593">
        <v>0</v>
      </c>
      <c r="DN1593">
        <f>SUM(DI1593:DL1593)</f>
        <v>3</v>
      </c>
      <c r="DO1593" t="str">
        <f>IF(DN1593=1,INDEX($DI$7:$DL$7,MATCH(1,$DI1593:$DL1593,0)),"mixedProduct")</f>
        <v>mixedProduct</v>
      </c>
      <c r="DP1593">
        <f>IF(DI1593=1,DP$7,0)</f>
        <v>0</v>
      </c>
      <c r="DQ1593" t="str">
        <f>IF(DJ1593=1,DQ$7,0)</f>
        <v>Energy</v>
      </c>
      <c r="DR1593" t="str">
        <f>IF(DK1593=1,DR$7,0)</f>
        <v>Pulp/Paper</v>
      </c>
      <c r="DS1593" t="str">
        <f>IF(DL1593=1,DS$7,0)</f>
        <v>Timber</v>
      </c>
      <c r="DT1593">
        <v>0</v>
      </c>
      <c r="DU1593">
        <v>1</v>
      </c>
      <c r="DV1593" s="317" t="s">
        <v>1504</v>
      </c>
      <c r="DW1593" s="317" t="s">
        <v>1504</v>
      </c>
      <c r="DX1593" s="317" t="s">
        <v>1504</v>
      </c>
      <c r="DY1593">
        <f>SUM(DT1593:DU1593)</f>
        <v>1</v>
      </c>
      <c r="DZ1593" s="143" t="str">
        <f>IF(DT1593=1,"self-calculated DF",IF(DU1593=1,"external DF used","explicit C balance"))</f>
        <v>external DF used</v>
      </c>
      <c r="EA1593">
        <v>1</v>
      </c>
      <c r="EB1593">
        <v>1</v>
      </c>
      <c r="EC1593">
        <v>1</v>
      </c>
      <c r="ED1593">
        <v>1</v>
      </c>
      <c r="EE1593">
        <v>1</v>
      </c>
      <c r="EF1593">
        <v>1</v>
      </c>
      <c r="EG1593">
        <v>1</v>
      </c>
      <c r="EH1593">
        <v>1</v>
      </c>
      <c r="EI1593">
        <v>0</v>
      </c>
      <c r="EJ1593">
        <v>0</v>
      </c>
      <c r="EK1593">
        <v>1</v>
      </c>
      <c r="EL1593">
        <v>0</v>
      </c>
      <c r="EM1593">
        <v>1</v>
      </c>
      <c r="EN1593" s="2">
        <v>0</v>
      </c>
      <c r="EP1593" t="str">
        <f>IF(AND(AND(AND(OR($EC1593=1,$EB1593=1),OR($EH1593=1,$EF1593=1)),SUM($EA1593:$EE1593,$EK1593)&gt;=3),SUM($EF1593:$EJ1593)&gt;=2),"Whole sector approach","")</f>
        <v>Whole sector approach</v>
      </c>
      <c r="EQ1593" t="str">
        <f>IF(AND(AND(OR($EC1593=1,$EB1593=1),AND($EH1593=0,$EF1593=0)),SUM($EA1593:$EE1593,$EK1593)&gt;=3),"Ecosystem approach","")</f>
        <v/>
      </c>
      <c r="ER1593" s="2" t="str">
        <f>IF(AND(AND(AND($EC1593=0,$EB1593=0),OR($EH1593=1,$EF1593=1)),SUM($EG1593:$EJ1593)&gt;=2),"Technology approach","")</f>
        <v/>
      </c>
      <c r="ES1593" t="str">
        <f>IF(AND($EC1593+$EB1593+$EE1593+$EA1593+$ED1593+$EG1593=0,$N1593="included"),"C neutral forest and HWP assumption","")</f>
        <v/>
      </c>
      <c r="ET1593" t="str">
        <f>IF(AND(AND(AND(AND($EC1593=1,$EB1593+$EA1593+$EG1593&gt;=1),$EF1593=1),$EH1593+$EI1593+$ED1593+$EE1593&gt;=2),$N1593="included"),"All C pools assumption","")</f>
        <v>All C pools assumption</v>
      </c>
      <c r="EU1593" t="str">
        <f>IF(AND($ED1593+$EE1593+$EI1593+$EH1593+$EF1593=0,$N1593="included"),"In-situ only assumption","")</f>
        <v/>
      </c>
      <c r="EY1593" t="str">
        <f>IF(ISNUMBER(BW1593),IF(ABS(BW1593-[4]QC_indicators!$B$2)&gt;3*[4]QC_indicators!$C$2,"C ratio",IF(ISNUMBER(CA1593),IF(ABS(CA1593-[4]QC_indicators!$B$1)&gt;3*[4]QC_indicators!$C$1,"DF","no"))),IF(ISNUMBER(CA1593),IF(ABS(CA1593-[4]QC_indicators!$B$1)&gt;3*[4]QC_indicators!$C$1,"DF","no")))</f>
        <v>no</v>
      </c>
      <c r="FA1593" t="str">
        <f>IF(LEN($CY1593)=0,"",IF(AND($CY1593&lt;(-0.05),$ES1593="C neutral forest and HWP assumption"),"Cneutral paradox",IF(AND($CY1593&gt;0.05,$EU1593="In-situ only assumption"),"In-situ only paradox","")))</f>
        <v/>
      </c>
      <c r="FD1593" t="s">
        <v>4971</v>
      </c>
    </row>
    <row r="1594" spans="1:160" hidden="1">
      <c r="A1594" s="1" t="s">
        <v>1489</v>
      </c>
      <c r="B1594" t="s">
        <v>1490</v>
      </c>
      <c r="C1594" t="s">
        <v>1491</v>
      </c>
      <c r="D1594" t="s">
        <v>1492</v>
      </c>
      <c r="E1594" t="s">
        <v>1493</v>
      </c>
      <c r="F1594" t="s">
        <v>1494</v>
      </c>
      <c r="G1594" t="s">
        <v>1495</v>
      </c>
      <c r="H1594" t="s">
        <v>254</v>
      </c>
      <c r="I1594">
        <v>2022</v>
      </c>
      <c r="J1594">
        <v>0</v>
      </c>
      <c r="K1594" t="s">
        <v>1496</v>
      </c>
      <c r="M1594" t="str">
        <f>LEFT($D1594,FIND(",",$D1594)-1)&amp;"_"&amp;I1594&amp;L1594</f>
        <v>Gregor_2022</v>
      </c>
      <c r="N1594" t="s">
        <v>222</v>
      </c>
      <c r="O1594" s="161" t="s">
        <v>223</v>
      </c>
      <c r="Q1594" s="317" t="s">
        <v>389</v>
      </c>
      <c r="R1594" s="318" t="s">
        <v>1029</v>
      </c>
      <c r="S1594" s="154" t="s">
        <v>1497</v>
      </c>
      <c r="T1594" s="319" t="s">
        <v>1499</v>
      </c>
      <c r="U1594" s="317" t="s">
        <v>1506</v>
      </c>
      <c r="V1594" s="253">
        <v>0</v>
      </c>
      <c r="W1594" s="253">
        <v>0</v>
      </c>
      <c r="X1594">
        <v>0</v>
      </c>
      <c r="Y1594">
        <v>0</v>
      </c>
      <c r="Z1594">
        <v>0</v>
      </c>
      <c r="AA1594">
        <v>0</v>
      </c>
      <c r="AB1594">
        <v>1</v>
      </c>
      <c r="AC1594">
        <v>0</v>
      </c>
      <c r="AD1594">
        <v>0</v>
      </c>
      <c r="AE1594">
        <v>0</v>
      </c>
      <c r="AF1594">
        <v>0</v>
      </c>
      <c r="AG1594">
        <v>0</v>
      </c>
      <c r="AH1594">
        <v>2</v>
      </c>
      <c r="AI1594">
        <v>0</v>
      </c>
      <c r="AJ1594">
        <v>0</v>
      </c>
      <c r="AK1594">
        <v>0</v>
      </c>
      <c r="AL1594">
        <v>0</v>
      </c>
      <c r="AM1594">
        <v>0</v>
      </c>
      <c r="AN1594">
        <v>0</v>
      </c>
      <c r="AO1594">
        <v>0</v>
      </c>
      <c r="AP1594">
        <v>0</v>
      </c>
      <c r="AQ1594">
        <v>0</v>
      </c>
      <c r="AR1594">
        <v>0</v>
      </c>
      <c r="AS1594">
        <v>0</v>
      </c>
      <c r="AT1594">
        <v>0</v>
      </c>
      <c r="AU1594">
        <v>0</v>
      </c>
      <c r="AV1594">
        <v>0</v>
      </c>
      <c r="AW1594">
        <v>0</v>
      </c>
      <c r="AX1594">
        <v>0</v>
      </c>
      <c r="AY1594">
        <v>0</v>
      </c>
      <c r="AZ1594" s="141">
        <f>COUNTIF(X1594:AY1594,"&lt;&gt;0")</f>
        <v>2</v>
      </c>
      <c r="BA1594" s="141">
        <f>COUNTIF(X1594:AN1594,"&lt;&gt;0")</f>
        <v>2</v>
      </c>
      <c r="BB1594">
        <f>COUNTIF(X1594:AE1594,"&lt;&gt;0")</f>
        <v>1</v>
      </c>
      <c r="BC1594">
        <f>COUNTIF(AF1594:AK1594,"&lt;&gt;0")</f>
        <v>1</v>
      </c>
      <c r="BD1594">
        <f>COUNTIF(AL1594:AN1594,"&lt;&gt;0")</f>
        <v>0</v>
      </c>
      <c r="BE1594">
        <f>COUNTIF(AU1594:AY1594,"&lt;&gt;0")</f>
        <v>0</v>
      </c>
      <c r="BF1594">
        <f>COUNTIF(AO1594:AT1594,"&lt;&gt;0")</f>
        <v>0</v>
      </c>
      <c r="BG1594" t="str" cm="1">
        <f t="array" ref="BG1594">IF(BA1594=1,INDEX($X$7:$AN$7,MATCH(TRUE,INDEX($X1594:$AY1594&lt;&gt;0,),0)),IF(BA1594=0,INDEX($AO$7:$AY$7,MATCH(1,$AO1594:$AY1594,0)),IF(BH1594="Multiple strategies","mixed drivers",IF(BH1594="Supply chain","multiple supply","multiple silviculture"))))</f>
        <v>mixed drivers</v>
      </c>
      <c r="BH1594" s="2" t="str" cm="1">
        <f t="array" ref="BH1594">IF(COUNTIF(BB1594:BD1594,"&lt;&gt;0")=1,INDEX($X$4:$AY$4,MATCH(TRUE,INDEX($X1594:$AY1594&lt;&gt;0,),0)),IF(COUNTIF(BB1594:BD1594,"&lt;&gt;0")=0,INDEX($AO$4:$AY$4,MATCH(1,$AO1594:$AY1594,0)),"Multiple strategies"))</f>
        <v>Multiple strategies</v>
      </c>
      <c r="BI1594" s="1" t="s">
        <v>321</v>
      </c>
      <c r="BJ1594" s="317" t="s">
        <v>1500</v>
      </c>
      <c r="BK1594" s="317" t="s">
        <v>675</v>
      </c>
      <c r="BL1594" s="317" t="s">
        <v>1501</v>
      </c>
      <c r="BM1594">
        <f>2.99*(2115-2020)</f>
        <v>284.05</v>
      </c>
      <c r="BN1594">
        <f>3.2*(2115-2020)</f>
        <v>304</v>
      </c>
      <c r="BO1594">
        <f>BN1594/BM1594</f>
        <v>1.0702341137123745</v>
      </c>
      <c r="BP1594">
        <f>BN1594-BM1594</f>
        <v>19.949999999999989</v>
      </c>
      <c r="BQ1594">
        <f>BN1594-BM1594</f>
        <v>19.949999999999989</v>
      </c>
      <c r="BR1594" s="317" t="s">
        <v>232</v>
      </c>
      <c r="BS1594" s="317" t="s">
        <v>1502</v>
      </c>
      <c r="BT1594" s="317" t="s">
        <v>1503</v>
      </c>
      <c r="BU1594" s="317">
        <f>1.7*10000</f>
        <v>17000</v>
      </c>
      <c r="BV1594" s="317">
        <f>1.7*10000</f>
        <v>17000</v>
      </c>
      <c r="BW1594" s="144">
        <f>IFERROR(BV1594/BU1594,"")</f>
        <v>1</v>
      </c>
      <c r="BX1594">
        <f>BV1594-BU1594</f>
        <v>0</v>
      </c>
      <c r="BZ1594">
        <f>BX1594/1000*C_to_CO2</f>
        <v>0</v>
      </c>
      <c r="CA1594">
        <f>IFERROR(BZ1594/BQ1594,"")</f>
        <v>0</v>
      </c>
      <c r="CB1594">
        <v>0</v>
      </c>
      <c r="CC1594">
        <v>0</v>
      </c>
      <c r="CD1594">
        <v>0</v>
      </c>
      <c r="CE1594">
        <v>0</v>
      </c>
      <c r="CF1594">
        <v>0</v>
      </c>
      <c r="CG1594">
        <v>0</v>
      </c>
      <c r="CH1594">
        <v>0</v>
      </c>
      <c r="CI1594">
        <v>0</v>
      </c>
      <c r="CJ1594">
        <v>0</v>
      </c>
      <c r="CK1594">
        <v>1</v>
      </c>
      <c r="CL1594">
        <v>0</v>
      </c>
      <c r="CM1594">
        <v>0</v>
      </c>
      <c r="CN1594">
        <v>1</v>
      </c>
      <c r="CO1594">
        <v>0</v>
      </c>
      <c r="CP1594" t="str">
        <f>IF($BN1594&lt;$BM1594,"refNeedCorrection","refOK")</f>
        <v>refOK</v>
      </c>
      <c r="CQ1594">
        <f>IF($CP1594="refOK",$BM1594,$BN1594)</f>
        <v>284.05</v>
      </c>
      <c r="CR1594">
        <f>IF($CP1594="refOK",$BN1594,$BM1594)</f>
        <v>304</v>
      </c>
      <c r="CS1594">
        <f>IF($CP1594="refOK",$BQ1594,-$BQ1594)</f>
        <v>19.949999999999989</v>
      </c>
      <c r="CT1594">
        <f>IF(BI1594="Roundwood",$CS1594/2,$CS1594)</f>
        <v>9.9749999999999943</v>
      </c>
      <c r="CU1594">
        <f>IF($CP1594="refOK",$BU1594,$BV1594)*IF($BR1594="Emissions positive",-1,1)</f>
        <v>17000</v>
      </c>
      <c r="CV1594">
        <f>IF($CP1594="refOK",$BV1594,$BU1594)*IF($BR1594="Emissions positive",-1,1)</f>
        <v>17000</v>
      </c>
      <c r="CW1594">
        <f>IF($CP1594="refNeedCorrection",-BZ1594,BZ1594)*IF($BR1594="Emissions positive",-1,1)</f>
        <v>0</v>
      </c>
      <c r="CX1594">
        <f>IFERROR($CW1594/$CS1594,"")</f>
        <v>0</v>
      </c>
      <c r="CY1594">
        <f>IFERROR($CW1594/$CS1594,"")</f>
        <v>0</v>
      </c>
      <c r="CZ1594">
        <f>IFERROR($CW1594/$CT1594,"")</f>
        <v>0</v>
      </c>
      <c r="DA1594" s="2">
        <f>IFERROR((CV1594-CU1594)/ABS(CU1594),"")</f>
        <v>0</v>
      </c>
      <c r="DB1594" s="162" t="s">
        <v>1334</v>
      </c>
      <c r="DC1594" s="317" t="str">
        <f>IF(OR($DB1594="prd",$DB1594="std",$DB1594="cit"),"loc",IF(OR($DB1594="eur",$DB1594="reg",$DB1594="coy"),"reg",$DB1594))</f>
        <v>reg</v>
      </c>
      <c r="DD1594" s="155" t="s">
        <v>729</v>
      </c>
      <c r="DE1594">
        <v>2010</v>
      </c>
      <c r="DF1594">
        <v>2115</v>
      </c>
      <c r="DG1594">
        <f>DF1594-DE1594</f>
        <v>105</v>
      </c>
      <c r="DH1594" t="str">
        <f>IF(DG1594=0,"0",IF(AND(DG1594&gt;=1,DG1594&lt;=30),"1-30",IF(AND(DG1594&gt;30,DG1594&lt;=70),"31-70",IF(AND(DG1594&gt;70,DG1594&lt;=100),"71-100",IF(DG1594&gt;100,"+100")))))</f>
        <v>+100</v>
      </c>
      <c r="DI1594">
        <v>0</v>
      </c>
      <c r="DJ1594">
        <v>1</v>
      </c>
      <c r="DK1594">
        <v>1</v>
      </c>
      <c r="DL1594">
        <v>1</v>
      </c>
      <c r="DM1594">
        <v>0</v>
      </c>
      <c r="DN1594">
        <f>SUM(DI1594:DL1594)</f>
        <v>3</v>
      </c>
      <c r="DO1594" t="str">
        <f>IF(DN1594=1,INDEX($DI$7:$DL$7,MATCH(1,$DI1594:$DL1594,0)),"mixedProduct")</f>
        <v>mixedProduct</v>
      </c>
      <c r="DP1594">
        <f>IF(DI1594=1,DP$7,0)</f>
        <v>0</v>
      </c>
      <c r="DQ1594" t="str">
        <f>IF(DJ1594=1,DQ$7,0)</f>
        <v>Energy</v>
      </c>
      <c r="DR1594" t="str">
        <f>IF(DK1594=1,DR$7,0)</f>
        <v>Pulp/Paper</v>
      </c>
      <c r="DS1594" t="str">
        <f>IF(DL1594=1,DS$7,0)</f>
        <v>Timber</v>
      </c>
      <c r="DT1594">
        <v>0</v>
      </c>
      <c r="DU1594">
        <v>1</v>
      </c>
      <c r="DV1594" s="317" t="s">
        <v>1504</v>
      </c>
      <c r="DW1594" s="317" t="s">
        <v>1504</v>
      </c>
      <c r="DX1594" s="317" t="s">
        <v>1504</v>
      </c>
      <c r="DY1594">
        <f>SUM(DT1594:DU1594)</f>
        <v>1</v>
      </c>
      <c r="DZ1594" s="143" t="str">
        <f>IF(DT1594=1,"self-calculated DF",IF(DU1594=1,"external DF used","explicit C balance"))</f>
        <v>external DF used</v>
      </c>
      <c r="EA1594">
        <v>1</v>
      </c>
      <c r="EB1594">
        <v>1</v>
      </c>
      <c r="EC1594">
        <v>1</v>
      </c>
      <c r="ED1594">
        <v>1</v>
      </c>
      <c r="EE1594">
        <v>1</v>
      </c>
      <c r="EF1594">
        <v>1</v>
      </c>
      <c r="EG1594">
        <v>1</v>
      </c>
      <c r="EH1594">
        <v>1</v>
      </c>
      <c r="EI1594">
        <v>0</v>
      </c>
      <c r="EJ1594">
        <v>0</v>
      </c>
      <c r="EK1594">
        <v>1</v>
      </c>
      <c r="EL1594">
        <v>0</v>
      </c>
      <c r="EM1594">
        <v>1</v>
      </c>
      <c r="EN1594" s="2">
        <v>0</v>
      </c>
      <c r="EP1594" t="str">
        <f>IF(AND(AND(AND(OR($EC1594=1,$EB1594=1),OR($EH1594=1,$EF1594=1)),SUM($EA1594:$EE1594,$EK1594)&gt;=3),SUM($EF1594:$EJ1594)&gt;=2),"Whole sector approach","")</f>
        <v>Whole sector approach</v>
      </c>
      <c r="EQ1594" t="str">
        <f>IF(AND(AND(OR($EC1594=1,$EB1594=1),AND($EH1594=0,$EF1594=0)),SUM($EA1594:$EE1594,$EK1594)&gt;=3),"Ecosystem approach","")</f>
        <v/>
      </c>
      <c r="ER1594" s="2" t="str">
        <f>IF(AND(AND(AND($EC1594=0,$EB1594=0),OR($EH1594=1,$EF1594=1)),SUM($EG1594:$EJ1594)&gt;=2),"Technology approach","")</f>
        <v/>
      </c>
      <c r="ES1594" t="str">
        <f>IF(AND($EC1594+$EB1594+$EE1594+$EA1594+$ED1594+$EG1594=0,$N1594="included"),"C neutral forest and HWP assumption","")</f>
        <v/>
      </c>
      <c r="ET1594" t="str">
        <f>IF(AND(AND(AND(AND($EC1594=1,$EB1594+$EA1594+$EG1594&gt;=1),$EF1594=1),$EH1594+$EI1594+$ED1594+$EE1594&gt;=2),$N1594="included"),"All C pools assumption","")</f>
        <v>All C pools assumption</v>
      </c>
      <c r="EU1594" t="str">
        <f>IF(AND($ED1594+$EE1594+$EI1594+$EH1594+$EF1594=0,$N1594="included"),"In-situ only assumption","")</f>
        <v/>
      </c>
      <c r="EY1594" t="str">
        <f>IF(ISNUMBER(BW1594),IF(ABS(BW1594-[4]QC_indicators!$B$2)&gt;3*[4]QC_indicators!$C$2,"C ratio",IF(ISNUMBER(CA1594),IF(ABS(CA1594-[4]QC_indicators!$B$1)&gt;3*[4]QC_indicators!$C$1,"DF","no"))),IF(ISNUMBER(CA1594),IF(ABS(CA1594-[4]QC_indicators!$B$1)&gt;3*[4]QC_indicators!$C$1,"DF","no")))</f>
        <v>no</v>
      </c>
      <c r="FA1594" t="str">
        <f>IF(LEN($CY1594)=0,"",IF(AND($CY1594&lt;(-0.05),$ES1594="C neutral forest and HWP assumption"),"Cneutral paradox",IF(AND($CY1594&gt;0.05,$EU1594="In-situ only assumption"),"In-situ only paradox","")))</f>
        <v/>
      </c>
      <c r="FD1594" t="s">
        <v>4971</v>
      </c>
    </row>
    <row r="1595" spans="1:160" ht="15" hidden="1" customHeight="1">
      <c r="A1595" s="1" t="s">
        <v>586</v>
      </c>
      <c r="B1595" t="s">
        <v>768</v>
      </c>
      <c r="C1595" t="s">
        <v>769</v>
      </c>
      <c r="D1595" t="s">
        <v>770</v>
      </c>
      <c r="E1595" t="s">
        <v>771</v>
      </c>
      <c r="F1595" t="s">
        <v>772</v>
      </c>
      <c r="G1595" t="s">
        <v>592</v>
      </c>
      <c r="H1595" t="s">
        <v>254</v>
      </c>
      <c r="I1595">
        <v>2022</v>
      </c>
      <c r="J1595">
        <v>2</v>
      </c>
      <c r="K1595" t="s">
        <v>773</v>
      </c>
      <c r="M1595" t="str">
        <f>LEFT($D1595,FIND(",",$D1595)-1)&amp;"_"&amp;I1595&amp;L1595</f>
        <v>Hegeir_2022</v>
      </c>
      <c r="N1595" t="s">
        <v>222</v>
      </c>
      <c r="O1595" s="161" t="s">
        <v>223</v>
      </c>
      <c r="Q1595" t="s">
        <v>389</v>
      </c>
      <c r="R1595" s="2" t="s">
        <v>274</v>
      </c>
      <c r="S1595" s="154" t="s">
        <v>774</v>
      </c>
      <c r="T1595" s="149" t="s">
        <v>616</v>
      </c>
      <c r="U1595" t="s">
        <v>611</v>
      </c>
      <c r="V1595" s="253">
        <v>0</v>
      </c>
      <c r="W1595" s="253">
        <v>0</v>
      </c>
      <c r="X1595">
        <v>0</v>
      </c>
      <c r="Y1595">
        <v>0</v>
      </c>
      <c r="Z1595">
        <v>0</v>
      </c>
      <c r="AA1595">
        <v>0</v>
      </c>
      <c r="AB1595">
        <v>0</v>
      </c>
      <c r="AC1595">
        <v>0</v>
      </c>
      <c r="AD1595">
        <v>0</v>
      </c>
      <c r="AE1595">
        <v>0</v>
      </c>
      <c r="AF1595">
        <v>0</v>
      </c>
      <c r="AG1595">
        <v>0</v>
      </c>
      <c r="AH1595">
        <v>0</v>
      </c>
      <c r="AI1595">
        <v>0</v>
      </c>
      <c r="AJ1595">
        <v>0</v>
      </c>
      <c r="AK1595">
        <v>0</v>
      </c>
      <c r="AL1595">
        <v>0</v>
      </c>
      <c r="AM1595">
        <v>1</v>
      </c>
      <c r="AN1595">
        <v>0</v>
      </c>
      <c r="AO1595">
        <v>0</v>
      </c>
      <c r="AP1595">
        <v>0</v>
      </c>
      <c r="AQ1595">
        <v>0</v>
      </c>
      <c r="AR1595">
        <v>0</v>
      </c>
      <c r="AS1595">
        <v>0</v>
      </c>
      <c r="AT1595">
        <v>0</v>
      </c>
      <c r="AU1595">
        <v>0</v>
      </c>
      <c r="AV1595">
        <v>0</v>
      </c>
      <c r="AW1595">
        <v>0</v>
      </c>
      <c r="AX1595">
        <v>0</v>
      </c>
      <c r="AY1595">
        <v>0</v>
      </c>
      <c r="AZ1595" s="141">
        <f>COUNTIF(X1595:AY1595,"&lt;&gt;0")</f>
        <v>1</v>
      </c>
      <c r="BA1595" s="141">
        <f>COUNTIF(X1595:AN1595,"&lt;&gt;0")</f>
        <v>1</v>
      </c>
      <c r="BB1595">
        <f>COUNTIF(X1595:AE1595,"&lt;&gt;0")</f>
        <v>0</v>
      </c>
      <c r="BC1595">
        <f>COUNTIF(AF1595:AK1595,"&lt;&gt;0")</f>
        <v>0</v>
      </c>
      <c r="BD1595">
        <f>COUNTIF(AL1595:AN1595,"&lt;&gt;0")</f>
        <v>1</v>
      </c>
      <c r="BE1595">
        <f>COUNTIF(AU1595:AY1595,"&lt;&gt;0")</f>
        <v>0</v>
      </c>
      <c r="BF1595">
        <f>COUNTIF(AO1595:AT1595,"&lt;&gt;0")</f>
        <v>0</v>
      </c>
      <c r="BG1595" t="str">
        <f t="array" ref="BG1595">IF(BA1595=1,INDEX($X$7:$AN$7,MATCH(TRUE,INDEX($X1595:$AY1595&lt;&gt;0,),0)),IF(BA1595=0,INDEX($AO$7:$AY$7,MATCH(1,$AO1595:$AY1595,0)),IF(BH1595="Multiple strategies","mixed drivers",IF(BH1595="Supply chain","multiple supply","multiple silviculture"))))</f>
        <v>technologies/design switch</v>
      </c>
      <c r="BH1595" s="2" t="str" cm="1">
        <f t="array" ref="BH1595">IF(COUNTIF(BB1595:BD1595,"&lt;&gt;0")=1,INDEX($X$4:$AY$4,MATCH(TRUE,INDEX($X1595:$AY1595&lt;&gt;0,),0)),IF(COUNTIF(BB1595:BD1595,"&lt;&gt;0")=0,INDEX($AO$4:$AY$4,MATCH(1,$AO1595:$AY1595,0)),"Multiple strategies"))</f>
        <v>Technology</v>
      </c>
      <c r="BI1595" s="1" t="s">
        <v>229</v>
      </c>
      <c r="BJ1595" t="s">
        <v>776</v>
      </c>
      <c r="BL1595" t="s">
        <v>777</v>
      </c>
      <c r="BM1595">
        <v>0</v>
      </c>
      <c r="BN1595">
        <f>94.91/(25*42)</f>
        <v>9.0390476190476188E-2</v>
      </c>
      <c r="BP1595">
        <f>BN1595-BM1595</f>
        <v>9.0390476190476188E-2</v>
      </c>
      <c r="BQ1595">
        <f>BN1595-BM1595</f>
        <v>9.0390476190476188E-2</v>
      </c>
      <c r="BR1595" t="s">
        <v>395</v>
      </c>
      <c r="BT1595" t="s">
        <v>262</v>
      </c>
      <c r="BU1595">
        <v>39.29</v>
      </c>
      <c r="BV1595">
        <v>-39.9</v>
      </c>
      <c r="BX1595">
        <f>BV1595-BU1595</f>
        <v>-79.19</v>
      </c>
      <c r="BZ1595">
        <f>BX1595/1000</f>
        <v>-7.9189999999999997E-2</v>
      </c>
      <c r="CA1595">
        <f>IFERROR(BZ1595/BQ1595,"")</f>
        <v>-0.87608787272152566</v>
      </c>
      <c r="CB1595">
        <v>0</v>
      </c>
      <c r="CC1595">
        <v>0</v>
      </c>
      <c r="CD1595">
        <v>0</v>
      </c>
      <c r="CE1595">
        <v>0</v>
      </c>
      <c r="CF1595">
        <v>0</v>
      </c>
      <c r="CG1595">
        <v>0</v>
      </c>
      <c r="CH1595">
        <v>0</v>
      </c>
      <c r="CI1595">
        <v>0</v>
      </c>
      <c r="CJ1595">
        <v>0</v>
      </c>
      <c r="CK1595">
        <v>0</v>
      </c>
      <c r="CL1595">
        <v>0</v>
      </c>
      <c r="CM1595">
        <v>0</v>
      </c>
      <c r="CN1595">
        <v>0</v>
      </c>
      <c r="CO1595">
        <v>0</v>
      </c>
      <c r="CP1595" t="str">
        <f>IF($BN1595&lt;$BM1595,"refNeedCorrection","refOK")</f>
        <v>refOK</v>
      </c>
      <c r="CQ1595">
        <f>IF($CP1595="refOK",$BM1595,$BN1595)</f>
        <v>0</v>
      </c>
      <c r="CR1595">
        <f>IF($CP1595="refOK",$BN1595,$BM1595)</f>
        <v>9.0390476190476188E-2</v>
      </c>
      <c r="CS1595">
        <f>IF($CP1595="refOK",$BQ1595,-$BQ1595)</f>
        <v>9.0390476190476188E-2</v>
      </c>
      <c r="CT1595">
        <f>IF(BI1595="Roundwood",$CS1595/2,$CS1595)</f>
        <v>9.0390476190476188E-2</v>
      </c>
      <c r="CU1595">
        <f>IF($CP1595="refOK",$BU1595,$BV1595)*IF($BR1595="Emissions positive",-1,1)</f>
        <v>-39.29</v>
      </c>
      <c r="CV1595">
        <f>IF($CP1595="refOK",$BV1595,$BU1595)*IF($BR1595="Emissions positive",-1,1)</f>
        <v>39.9</v>
      </c>
      <c r="CW1595">
        <f>IF($CP1595="refNeedCorrection",-BZ1595,BZ1595)*IF($BR1595="Emissions positive",-1,1)</f>
        <v>7.9189999999999997E-2</v>
      </c>
      <c r="CX1595">
        <f>IFERROR($CW1595/$CS1595,"")</f>
        <v>0.87608787272152566</v>
      </c>
      <c r="CY1595">
        <f>IFERROR($CW1595/$CS1595,"")</f>
        <v>0.87608787272152566</v>
      </c>
      <c r="CZ1595">
        <f>IFERROR($CW1595/$CT1595,"")</f>
        <v>0.87608787272152566</v>
      </c>
      <c r="DA1595" s="2">
        <f>IFERROR((CV1595-CU1595)/ABS(CU1595),"")</f>
        <v>2.0155255790277424</v>
      </c>
      <c r="DB1595" s="162" t="s">
        <v>263</v>
      </c>
      <c r="DC1595" t="str">
        <f>IF(OR($DB1595="prd",$DB1595="std",$DB1595="cit"),"loc",IF(OR($DB1595="eur",$DB1595="reg",$DB1595="coy"),"reg",$DB1595))</f>
        <v>loc</v>
      </c>
      <c r="DD1595" t="s">
        <v>264</v>
      </c>
      <c r="DG1595">
        <v>0</v>
      </c>
      <c r="DH1595" t="str">
        <f>IF(DG1595=0,"0",IF(AND(DG1595&gt;=1,DG1595&lt;=30),"1-30",IF(AND(DG1595&gt;30,DG1595&lt;=70),"31-70",IF(AND(DG1595&gt;70,DG1595&lt;=100),"71-100",IF(DG1595&gt;100,"+100")))))</f>
        <v>0</v>
      </c>
      <c r="DI1595">
        <v>0</v>
      </c>
      <c r="DJ1595">
        <v>0</v>
      </c>
      <c r="DK1595">
        <v>0</v>
      </c>
      <c r="DL1595">
        <v>1</v>
      </c>
      <c r="DM1595">
        <v>0</v>
      </c>
      <c r="DN1595">
        <f>SUM(DI1595:DL1595)</f>
        <v>1</v>
      </c>
      <c r="DO1595" t="str">
        <f>IF(DN1595=1,INDEX($DI$7:$DL$7,MATCH(1,$DI1595:$DL1595,0)),"mixedProduct")</f>
        <v>TimberInput</v>
      </c>
      <c r="DP1595">
        <f>IF(DI1595=1,DP$7,0)</f>
        <v>0</v>
      </c>
      <c r="DQ1595">
        <f>IF(DJ1595=1,DQ$7,0)</f>
        <v>0</v>
      </c>
      <c r="DR1595">
        <f>IF(DK1595=1,DR$7,0)</f>
        <v>0</v>
      </c>
      <c r="DS1595" t="str">
        <f>IF(DL1595=1,DS$7,0)</f>
        <v>Timber</v>
      </c>
      <c r="DT1595">
        <v>0</v>
      </c>
      <c r="DU1595">
        <v>0</v>
      </c>
      <c r="DV1595">
        <v>0</v>
      </c>
      <c r="DW1595">
        <v>0</v>
      </c>
      <c r="DX1595">
        <v>0</v>
      </c>
      <c r="DY1595">
        <f>SUM(DT1595:DU1595)</f>
        <v>0</v>
      </c>
      <c r="DZ1595" s="143" t="str">
        <f>IF(DT1595=1,"self-calculated DF",IF(DU1595=1,"external DF used","explicit C balance"))</f>
        <v>explicit C balance</v>
      </c>
      <c r="EA1595">
        <v>0</v>
      </c>
      <c r="EB1595">
        <v>0</v>
      </c>
      <c r="EC1595">
        <v>0</v>
      </c>
      <c r="ED1595">
        <v>1</v>
      </c>
      <c r="EE1595">
        <v>0</v>
      </c>
      <c r="EF1595">
        <v>0</v>
      </c>
      <c r="EG1595">
        <v>1</v>
      </c>
      <c r="EH1595">
        <v>1</v>
      </c>
      <c r="EI1595">
        <v>0</v>
      </c>
      <c r="EJ1595">
        <v>0</v>
      </c>
      <c r="EK1595">
        <v>0</v>
      </c>
      <c r="EL1595">
        <v>0</v>
      </c>
      <c r="EM1595">
        <v>0</v>
      </c>
      <c r="EN1595" s="2">
        <v>0</v>
      </c>
      <c r="EP1595" t="str">
        <f>IF(AND(AND(AND(OR($EC1595=1,$EB1595=1),OR($EH1595=1,$EF1595=1)),SUM($EA1595:$EE1595,$EK1595)&gt;=3),SUM($EF1595:$EJ1595)&gt;=2),"Whole sector approach","")</f>
        <v/>
      </c>
      <c r="EQ1595" t="str">
        <f>IF(AND(AND(OR($EC1595=1,$EB1595=1),AND($EH1595=0,$EF1595=0)),SUM($EA1595:$EE1595,$EK1595)&gt;=4),"Ecosystem approach","")</f>
        <v/>
      </c>
      <c r="ER1595" s="2" t="str">
        <f>IF(AND(AND(AND($EC1595=0,$EB1595=0),OR($EH1595=1,$EF1595=1)),SUM($EG1595:$EJ1595)&gt;=2),"Technology approach","")</f>
        <v>Technology approach</v>
      </c>
      <c r="ES1595" t="str">
        <f>IF(AND($EC1595+$EB1595+$EE1595+$EA1595+$ED1595+$EG1595=0,$N1595="included"),"C neutral forest and HWP assumption","")</f>
        <v/>
      </c>
      <c r="ET1595" t="str">
        <f>IF(AND(AND(AND(AND($EC1595=1,$EB1595+$EA1595+$EG1595&gt;=1),$EF1595=1),$EH1595+$EI1595+$ED1595+$EE1595&gt;=2),$N1595="included"),"All C pools assumption","")</f>
        <v/>
      </c>
      <c r="EU1595" t="str">
        <f>IF(AND($ED1595+$EE1595+$EI1595+$EH1595+$EF1595=0,$N1595="included"),"In-situ only assumption","")</f>
        <v/>
      </c>
      <c r="EY1595" t="str">
        <f>IF(ISNUMBER(BW1595),IF(ABS(BW1595-[3]QC_indicators!$B$2)&gt;3*[3]QC_indicators!$C$2,"C ratio",IF(ISNUMBER(CA1595),IF(ABS(CA1595-[3]QC_indicators!$B$1)&gt;3*[3]QC_indicators!$C$1,"DF","no"))),IF(ISNUMBER(CA1595),IF(ABS(CA1595-[3]QC_indicators!$B$1)&gt;3*[3]QC_indicators!$C$1,"DF","no")))</f>
        <v>no</v>
      </c>
      <c r="FA1595" t="str">
        <f>IF(LEN($CY1595)=0,"",IF(AND($CY1595&lt;(-0.05),$ES1595="C neutral forest and HWP assumption"),"Cneutral paradox",IF(AND($CY1595&gt;0.05,$EU1595="In-situ only assumption"),"In-situ only paradox","")))</f>
        <v/>
      </c>
      <c r="FD1595" s="260" t="s">
        <v>2827</v>
      </c>
    </row>
    <row r="1596" spans="1:160" ht="15" hidden="1" customHeight="1">
      <c r="A1596" s="1" t="s">
        <v>586</v>
      </c>
      <c r="B1596" t="s">
        <v>768</v>
      </c>
      <c r="C1596" t="s">
        <v>769</v>
      </c>
      <c r="D1596" t="s">
        <v>770</v>
      </c>
      <c r="E1596" t="s">
        <v>771</v>
      </c>
      <c r="F1596" t="s">
        <v>772</v>
      </c>
      <c r="G1596" t="s">
        <v>592</v>
      </c>
      <c r="H1596" t="s">
        <v>254</v>
      </c>
      <c r="I1596">
        <v>2022</v>
      </c>
      <c r="J1596">
        <v>2</v>
      </c>
      <c r="K1596" t="s">
        <v>773</v>
      </c>
      <c r="M1596" t="str">
        <f>LEFT($D1596,FIND(",",$D1596)-1)&amp;"_"&amp;I1596&amp;L1596</f>
        <v>Hegeir_2022</v>
      </c>
      <c r="N1596" t="s">
        <v>222</v>
      </c>
      <c r="O1596" s="161" t="s">
        <v>223</v>
      </c>
      <c r="Q1596" t="s">
        <v>389</v>
      </c>
      <c r="R1596" s="2" t="s">
        <v>274</v>
      </c>
      <c r="S1596" s="154" t="s">
        <v>774</v>
      </c>
      <c r="T1596" s="149" t="s">
        <v>775</v>
      </c>
      <c r="U1596" t="s">
        <v>611</v>
      </c>
      <c r="V1596" s="253">
        <v>0</v>
      </c>
      <c r="W1596" s="253">
        <v>0</v>
      </c>
      <c r="X1596">
        <v>0</v>
      </c>
      <c r="Y1596">
        <v>0</v>
      </c>
      <c r="Z1596">
        <v>0</v>
      </c>
      <c r="AA1596">
        <v>0</v>
      </c>
      <c r="AB1596">
        <v>0</v>
      </c>
      <c r="AC1596">
        <v>0</v>
      </c>
      <c r="AD1596">
        <v>0</v>
      </c>
      <c r="AE1596">
        <v>0</v>
      </c>
      <c r="AF1596">
        <v>0</v>
      </c>
      <c r="AG1596">
        <v>0</v>
      </c>
      <c r="AH1596">
        <v>0</v>
      </c>
      <c r="AI1596">
        <v>0</v>
      </c>
      <c r="AJ1596">
        <v>0</v>
      </c>
      <c r="AK1596">
        <v>0</v>
      </c>
      <c r="AL1596">
        <v>0</v>
      </c>
      <c r="AM1596">
        <v>1</v>
      </c>
      <c r="AN1596">
        <v>0</v>
      </c>
      <c r="AO1596">
        <v>0</v>
      </c>
      <c r="AP1596">
        <v>0</v>
      </c>
      <c r="AQ1596">
        <v>0</v>
      </c>
      <c r="AR1596">
        <v>0</v>
      </c>
      <c r="AS1596">
        <v>0</v>
      </c>
      <c r="AT1596">
        <v>0</v>
      </c>
      <c r="AU1596">
        <v>0</v>
      </c>
      <c r="AV1596">
        <v>0</v>
      </c>
      <c r="AW1596">
        <v>0</v>
      </c>
      <c r="AX1596">
        <v>0</v>
      </c>
      <c r="AY1596">
        <v>0</v>
      </c>
      <c r="AZ1596" s="141">
        <f>COUNTIF(X1596:AY1596,"&lt;&gt;0")</f>
        <v>1</v>
      </c>
      <c r="BA1596" s="141">
        <f>COUNTIF(X1596:AN1596,"&lt;&gt;0")</f>
        <v>1</v>
      </c>
      <c r="BB1596">
        <f>COUNTIF(X1596:AE1596,"&lt;&gt;0")</f>
        <v>0</v>
      </c>
      <c r="BC1596">
        <f>COUNTIF(AF1596:AK1596,"&lt;&gt;0")</f>
        <v>0</v>
      </c>
      <c r="BD1596">
        <f>COUNTIF(AL1596:AN1596,"&lt;&gt;0")</f>
        <v>1</v>
      </c>
      <c r="BE1596">
        <f>COUNTIF(AU1596:AY1596,"&lt;&gt;0")</f>
        <v>0</v>
      </c>
      <c r="BF1596">
        <f>COUNTIF(AO1596:AT1596,"&lt;&gt;0")</f>
        <v>0</v>
      </c>
      <c r="BG1596" t="str">
        <f t="array" ref="BG1596">IF(BA1596=1,INDEX($X$7:$AN$7,MATCH(TRUE,INDEX($X1596:$AY1596&lt;&gt;0,),0)),IF(BA1596=0,INDEX($AO$7:$AY$7,MATCH(1,$AO1596:$AY1596,0)),IF(BH1596="Multiple strategies","mixed drivers",IF(BH1596="Supply chain","multiple supply","multiple silviculture"))))</f>
        <v>technologies/design switch</v>
      </c>
      <c r="BH1596" s="2" t="str" cm="1">
        <f t="array" ref="BH1596">IF(COUNTIF(BB1596:BD1596,"&lt;&gt;0")=1,INDEX($X$4:$AY$4,MATCH(TRUE,INDEX($X1596:$AY1596&lt;&gt;0,),0)),IF(COUNTIF(BB1596:BD1596,"&lt;&gt;0")=0,INDEX($AO$4:$AY$4,MATCH(1,$AO1596:$AY1596,0)),"Multiple strategies"))</f>
        <v>Technology</v>
      </c>
      <c r="BI1596" s="1" t="s">
        <v>229</v>
      </c>
      <c r="BJ1596" t="s">
        <v>776</v>
      </c>
      <c r="BL1596" t="s">
        <v>777</v>
      </c>
      <c r="BM1596">
        <v>0</v>
      </c>
      <c r="BN1596">
        <f>94.91/(25*42)</f>
        <v>9.0390476190476188E-2</v>
      </c>
      <c r="BP1596">
        <f>BN1596-BM1596</f>
        <v>9.0390476190476188E-2</v>
      </c>
      <c r="BQ1596">
        <f>BN1596-BM1596</f>
        <v>9.0390476190476188E-2</v>
      </c>
      <c r="BR1596" t="s">
        <v>395</v>
      </c>
      <c r="BT1596" t="s">
        <v>262</v>
      </c>
      <c r="BU1596">
        <v>47.96</v>
      </c>
      <c r="BV1596">
        <v>-39.9</v>
      </c>
      <c r="BX1596">
        <f>BV1596-BU1596</f>
        <v>-87.86</v>
      </c>
      <c r="BZ1596">
        <f>BX1596/1000</f>
        <v>-8.7859999999999994E-2</v>
      </c>
      <c r="CA1596">
        <f>IFERROR(BZ1596/BQ1596,"")</f>
        <v>-0.97200505742282162</v>
      </c>
      <c r="CB1596">
        <v>0</v>
      </c>
      <c r="CC1596">
        <v>0</v>
      </c>
      <c r="CD1596">
        <v>0</v>
      </c>
      <c r="CE1596">
        <v>0</v>
      </c>
      <c r="CF1596">
        <v>0</v>
      </c>
      <c r="CG1596">
        <v>0</v>
      </c>
      <c r="CH1596">
        <v>0</v>
      </c>
      <c r="CI1596">
        <v>0</v>
      </c>
      <c r="CJ1596">
        <v>0</v>
      </c>
      <c r="CK1596">
        <v>0</v>
      </c>
      <c r="CL1596">
        <v>0</v>
      </c>
      <c r="CM1596">
        <v>0</v>
      </c>
      <c r="CN1596">
        <v>0</v>
      </c>
      <c r="CO1596">
        <v>0</v>
      </c>
      <c r="CP1596" t="str">
        <f>IF($BN1596&lt;$BM1596,"refNeedCorrection","refOK")</f>
        <v>refOK</v>
      </c>
      <c r="CQ1596">
        <f>IF($CP1596="refOK",$BM1596,$BN1596)</f>
        <v>0</v>
      </c>
      <c r="CR1596">
        <f>IF($CP1596="refOK",$BN1596,$BM1596)</f>
        <v>9.0390476190476188E-2</v>
      </c>
      <c r="CS1596">
        <f>IF($CP1596="refOK",$BQ1596,-$BQ1596)</f>
        <v>9.0390476190476188E-2</v>
      </c>
      <c r="CT1596">
        <f>IF(BI1596="Roundwood",$CS1596/2,$CS1596)</f>
        <v>9.0390476190476188E-2</v>
      </c>
      <c r="CU1596">
        <f>IF($CP1596="refOK",$BU1596,$BV1596)*IF($BR1596="Emissions positive",-1,1)</f>
        <v>-47.96</v>
      </c>
      <c r="CV1596">
        <f>IF($CP1596="refOK",$BV1596,$BU1596)*IF($BR1596="Emissions positive",-1,1)</f>
        <v>39.9</v>
      </c>
      <c r="CW1596">
        <f>IF($CP1596="refNeedCorrection",-BZ1596,BZ1596)*IF($BR1596="Emissions positive",-1,1)</f>
        <v>8.7859999999999994E-2</v>
      </c>
      <c r="CX1596">
        <f>IFERROR($CW1596/$CS1596,"")</f>
        <v>0.97200505742282162</v>
      </c>
      <c r="CY1596">
        <f>IFERROR($CW1596/$CS1596,"")</f>
        <v>0.97200505742282162</v>
      </c>
      <c r="CZ1596">
        <f>IFERROR($CW1596/$CT1596,"")</f>
        <v>0.97200505742282162</v>
      </c>
      <c r="DA1596" s="2">
        <f>IFERROR((CV1596-CU1596)/ABS(CU1596),"")</f>
        <v>1.8319432860717264</v>
      </c>
      <c r="DB1596" s="162" t="s">
        <v>263</v>
      </c>
      <c r="DC1596" t="str">
        <f>IF(OR($DB1596="prd",$DB1596="std",$DB1596="cit"),"loc",IF(OR($DB1596="eur",$DB1596="reg",$DB1596="coy"),"reg",$DB1596))</f>
        <v>loc</v>
      </c>
      <c r="DD1596" t="s">
        <v>264</v>
      </c>
      <c r="DG1596">
        <v>0</v>
      </c>
      <c r="DH1596" t="str">
        <f>IF(DG1596=0,"0",IF(AND(DG1596&gt;=1,DG1596&lt;=30),"1-30",IF(AND(DG1596&gt;30,DG1596&lt;=70),"31-70",IF(AND(DG1596&gt;70,DG1596&lt;=100),"71-100",IF(DG1596&gt;100,"+100")))))</f>
        <v>0</v>
      </c>
      <c r="DI1596">
        <v>0</v>
      </c>
      <c r="DJ1596">
        <v>0</v>
      </c>
      <c r="DK1596">
        <v>0</v>
      </c>
      <c r="DL1596">
        <v>1</v>
      </c>
      <c r="DM1596">
        <v>0</v>
      </c>
      <c r="DN1596">
        <f>SUM(DI1596:DL1596)</f>
        <v>1</v>
      </c>
      <c r="DO1596" t="str">
        <f>IF(DN1596=1,INDEX($DI$7:$DL$7,MATCH(1,$DI1596:$DL1596,0)),"mixedProduct")</f>
        <v>TimberInput</v>
      </c>
      <c r="DP1596">
        <f>IF(DI1596=1,DP$7,0)</f>
        <v>0</v>
      </c>
      <c r="DQ1596">
        <f>IF(DJ1596=1,DQ$7,0)</f>
        <v>0</v>
      </c>
      <c r="DR1596">
        <f>IF(DK1596=1,DR$7,0)</f>
        <v>0</v>
      </c>
      <c r="DS1596" t="str">
        <f>IF(DL1596=1,DS$7,0)</f>
        <v>Timber</v>
      </c>
      <c r="DT1596">
        <v>0</v>
      </c>
      <c r="DU1596">
        <v>0</v>
      </c>
      <c r="DV1596">
        <v>0</v>
      </c>
      <c r="DW1596">
        <v>0</v>
      </c>
      <c r="DX1596">
        <v>0</v>
      </c>
      <c r="DY1596">
        <f>SUM(DT1596:DU1596)</f>
        <v>0</v>
      </c>
      <c r="DZ1596" s="143" t="str">
        <f>IF(DT1596=1,"self-calculated DF",IF(DU1596=1,"external DF used","explicit C balance"))</f>
        <v>explicit C balance</v>
      </c>
      <c r="EA1596">
        <v>0</v>
      </c>
      <c r="EB1596">
        <v>0</v>
      </c>
      <c r="EC1596">
        <v>0</v>
      </c>
      <c r="ED1596">
        <v>1</v>
      </c>
      <c r="EE1596">
        <v>0</v>
      </c>
      <c r="EF1596">
        <v>0</v>
      </c>
      <c r="EG1596">
        <v>1</v>
      </c>
      <c r="EH1596">
        <v>1</v>
      </c>
      <c r="EI1596">
        <v>0</v>
      </c>
      <c r="EJ1596">
        <v>0</v>
      </c>
      <c r="EK1596">
        <v>0</v>
      </c>
      <c r="EL1596">
        <v>0</v>
      </c>
      <c r="EM1596">
        <v>0</v>
      </c>
      <c r="EN1596" s="2">
        <v>0</v>
      </c>
      <c r="EP1596" t="str">
        <f>IF(AND(AND(AND(OR($EC1596=1,$EB1596=1),OR($EH1596=1,$EF1596=1)),SUM($EA1596:$EE1596,$EK1596)&gt;=3),SUM($EF1596:$EJ1596)&gt;=2),"Whole sector approach","")</f>
        <v/>
      </c>
      <c r="EQ1596" t="str">
        <f>IF(AND(AND(OR($EC1596=1,$EB1596=1),AND($EH1596=0,$EF1596=0)),SUM($EA1596:$EE1596,$EK1596)&gt;=4),"Ecosystem approach","")</f>
        <v/>
      </c>
      <c r="ER1596" s="2" t="str">
        <f>IF(AND(AND(AND($EC1596=0,$EB1596=0),OR($EH1596=1,$EF1596=1)),SUM($EG1596:$EJ1596)&gt;=2),"Technology approach","")</f>
        <v>Technology approach</v>
      </c>
      <c r="ES1596" t="str">
        <f>IF(AND($EC1596+$EB1596+$EE1596+$EA1596+$ED1596+$EG1596=0,$N1596="included"),"C neutral forest and HWP assumption","")</f>
        <v/>
      </c>
      <c r="ET1596" t="str">
        <f>IF(AND(AND(AND(AND($EC1596=1,$EB1596+$EA1596+$EG1596&gt;=1),$EF1596=1),$EH1596+$EI1596+$ED1596+$EE1596&gt;=2),$N1596="included"),"All C pools assumption","")</f>
        <v/>
      </c>
      <c r="EU1596" t="str">
        <f>IF(AND($ED1596+$EE1596+$EI1596+$EH1596+$EF1596=0,$N1596="included"),"In-situ only assumption","")</f>
        <v/>
      </c>
      <c r="EY1596" t="str">
        <f>IF(ISNUMBER(BW1596),IF(ABS(BW1596-[3]QC_indicators!$B$2)&gt;3*[3]QC_indicators!$C$2,"C ratio",IF(ISNUMBER(CA1596),IF(ABS(CA1596-[3]QC_indicators!$B$1)&gt;3*[3]QC_indicators!$C$1,"DF","no"))),IF(ISNUMBER(CA1596),IF(ABS(CA1596-[3]QC_indicators!$B$1)&gt;3*[3]QC_indicators!$C$1,"DF","no")))</f>
        <v>no</v>
      </c>
      <c r="FA1596" t="str">
        <f>IF(LEN($CY1596)=0,"",IF(AND($CY1596&lt;(-0.05),$ES1596="C neutral forest and HWP assumption"),"Cneutral paradox",IF(AND($CY1596&gt;0.05,$EU1596="In-situ only assumption"),"In-situ only paradox","")))</f>
        <v/>
      </c>
      <c r="FD1596" s="260" t="s">
        <v>2827</v>
      </c>
    </row>
    <row r="1597" spans="1:160" ht="18" hidden="1" customHeight="1">
      <c r="A1597" s="1" t="s">
        <v>398</v>
      </c>
      <c r="B1597" t="s">
        <v>867</v>
      </c>
      <c r="C1597" t="s">
        <v>868</v>
      </c>
      <c r="D1597" t="s">
        <v>869</v>
      </c>
      <c r="E1597" t="s">
        <v>870</v>
      </c>
      <c r="F1597" t="s">
        <v>871</v>
      </c>
      <c r="G1597" t="s">
        <v>404</v>
      </c>
      <c r="H1597" t="s">
        <v>254</v>
      </c>
      <c r="I1597">
        <v>2022</v>
      </c>
      <c r="J1597">
        <v>0</v>
      </c>
      <c r="K1597" t="s">
        <v>872</v>
      </c>
      <c r="M1597" t="str">
        <f>LEFT($D1597,FIND(",",$D1597)-1)&amp;"_"&amp;I1597&amp;L1597</f>
        <v>Lei_2022</v>
      </c>
      <c r="N1597" t="s">
        <v>222</v>
      </c>
      <c r="O1597" s="161" t="s">
        <v>223</v>
      </c>
      <c r="Q1597" s="317" t="s">
        <v>389</v>
      </c>
      <c r="R1597" s="318" t="s">
        <v>1029</v>
      </c>
      <c r="S1597" s="154" t="s">
        <v>257</v>
      </c>
      <c r="T1597" s="319" t="s">
        <v>258</v>
      </c>
      <c r="U1597" s="317" t="s">
        <v>259</v>
      </c>
      <c r="V1597" s="253">
        <v>0</v>
      </c>
      <c r="W1597" s="253">
        <v>0</v>
      </c>
      <c r="X1597">
        <v>0</v>
      </c>
      <c r="Y1597">
        <v>0</v>
      </c>
      <c r="Z1597">
        <v>0</v>
      </c>
      <c r="AA1597">
        <v>0</v>
      </c>
      <c r="AB1597">
        <v>0</v>
      </c>
      <c r="AC1597">
        <v>0</v>
      </c>
      <c r="AD1597">
        <v>0</v>
      </c>
      <c r="AE1597">
        <v>0</v>
      </c>
      <c r="AF1597">
        <v>0</v>
      </c>
      <c r="AG1597">
        <v>0</v>
      </c>
      <c r="AH1597">
        <v>0</v>
      </c>
      <c r="AI1597">
        <v>0</v>
      </c>
      <c r="AJ1597">
        <v>0</v>
      </c>
      <c r="AK1597">
        <v>0</v>
      </c>
      <c r="AL1597">
        <v>0</v>
      </c>
      <c r="AM1597">
        <v>1</v>
      </c>
      <c r="AN1597">
        <v>0</v>
      </c>
      <c r="AO1597">
        <v>0</v>
      </c>
      <c r="AP1597">
        <v>0</v>
      </c>
      <c r="AQ1597">
        <v>0</v>
      </c>
      <c r="AR1597">
        <v>0</v>
      </c>
      <c r="AS1597">
        <v>0</v>
      </c>
      <c r="AT1597">
        <v>0</v>
      </c>
      <c r="AU1597">
        <v>0</v>
      </c>
      <c r="AV1597">
        <v>0</v>
      </c>
      <c r="AW1597">
        <v>0</v>
      </c>
      <c r="AX1597">
        <v>0</v>
      </c>
      <c r="AY1597">
        <v>0</v>
      </c>
      <c r="AZ1597" s="141">
        <f>COUNTIF(X1597:AY1597,"&lt;&gt;0")</f>
        <v>1</v>
      </c>
      <c r="BA1597" s="141">
        <f>COUNTIF(X1597:AN1597,"&lt;&gt;0")</f>
        <v>1</v>
      </c>
      <c r="BB1597">
        <f>COUNTIF(X1597:AE1597,"&lt;&gt;0")</f>
        <v>0</v>
      </c>
      <c r="BC1597">
        <f>COUNTIF(AF1597:AK1597,"&lt;&gt;0")</f>
        <v>0</v>
      </c>
      <c r="BD1597">
        <f>COUNTIF(AL1597:AN1597,"&lt;&gt;0")</f>
        <v>1</v>
      </c>
      <c r="BE1597">
        <f>COUNTIF(AU1597:AY1597,"&lt;&gt;0")</f>
        <v>0</v>
      </c>
      <c r="BF1597">
        <f>COUNTIF(AO1597:AT1597,"&lt;&gt;0")</f>
        <v>0</v>
      </c>
      <c r="BG1597" t="str" cm="1">
        <f t="array" ref="BG1597">IF(BA1597=1,INDEX($X$7:$AN$7,MATCH(TRUE,INDEX($X1597:$AY1597&lt;&gt;0,),0)),IF(BA1597=0,INDEX($AO$7:$AY$7,MATCH(1,$AO1597:$AY1597,0)),IF(BH1597="Multiple strategies","mixed drivers",IF(BH1597="Supply chain","multiple supply","multiple silviculture"))))</f>
        <v>technologies/design switch</v>
      </c>
      <c r="BH1597" s="2" t="str" cm="1">
        <f t="array" ref="BH1597">IF(COUNTIF(BB1597:BD1597,"&lt;&gt;0")=1,INDEX($X$4:$AY$4,MATCH(TRUE,INDEX($X1597:$AY1597&lt;&gt;0,),0)),IF(COUNTIF(BB1597:BD1597,"&lt;&gt;0")=0,INDEX($AO$4:$AY$4,MATCH(1,$AO1597:$AY1597,0)),"Multiple strategies"))</f>
        <v>Technology</v>
      </c>
      <c r="BI1597" s="1" t="s">
        <v>229</v>
      </c>
      <c r="BJ1597" s="317" t="s">
        <v>873</v>
      </c>
      <c r="BK1597" s="317" t="s">
        <v>410</v>
      </c>
      <c r="BL1597" s="317" t="s">
        <v>4981</v>
      </c>
      <c r="BM1597">
        <v>0</v>
      </c>
      <c r="BN1597">
        <f>(119193/485+8552/1000)/(1248)</f>
        <v>0.20377464974887655</v>
      </c>
      <c r="BP1597">
        <f>BN1597-BM1597</f>
        <v>0.20377464974887655</v>
      </c>
      <c r="BQ1597">
        <f>BP1597</f>
        <v>0.20377464974887655</v>
      </c>
      <c r="BR1597" s="317" t="s">
        <v>232</v>
      </c>
      <c r="BS1597" s="155" t="s">
        <v>1025</v>
      </c>
      <c r="BT1597" s="317" t="s">
        <v>262</v>
      </c>
      <c r="BU1597">
        <v>-488</v>
      </c>
      <c r="BV1597">
        <v>-280</v>
      </c>
      <c r="BW1597" s="144">
        <f>IFERROR(BV1597/BU1597,"")</f>
        <v>0.57377049180327866</v>
      </c>
      <c r="BX1597">
        <f>BV1597-BU1597</f>
        <v>208</v>
      </c>
      <c r="BZ1597">
        <f>BX1597/1000</f>
        <v>0.20799999999999999</v>
      </c>
      <c r="CA1597">
        <f>IFERROR(BZ1597/BQ1597,"")</f>
        <v>1.0207354067659082</v>
      </c>
      <c r="CB1597">
        <v>0</v>
      </c>
      <c r="CC1597">
        <v>0</v>
      </c>
      <c r="CD1597">
        <v>0</v>
      </c>
      <c r="CE1597">
        <v>0</v>
      </c>
      <c r="CF1597">
        <v>0</v>
      </c>
      <c r="CG1597">
        <v>0</v>
      </c>
      <c r="CH1597">
        <v>0</v>
      </c>
      <c r="CI1597">
        <v>0</v>
      </c>
      <c r="CJ1597">
        <v>0</v>
      </c>
      <c r="CK1597">
        <v>0</v>
      </c>
      <c r="CL1597">
        <v>0</v>
      </c>
      <c r="CM1597">
        <v>0</v>
      </c>
      <c r="CN1597">
        <v>0</v>
      </c>
      <c r="CO1597">
        <v>0</v>
      </c>
      <c r="CP1597" t="str">
        <f>IF($BN1597&lt;$BM1597,"refNeedCorrection","refOK")</f>
        <v>refOK</v>
      </c>
      <c r="CQ1597">
        <f>IF($CP1597="refOK",$BM1597,$BN1597)</f>
        <v>0</v>
      </c>
      <c r="CR1597">
        <f>IF($CP1597="refOK",$BN1597,$BM1597)</f>
        <v>0.20377464974887655</v>
      </c>
      <c r="CS1597">
        <f>IF($CP1597="refOK",$BQ1597,-$BQ1597)</f>
        <v>0.20377464974887655</v>
      </c>
      <c r="CT1597">
        <f>IF(BI1597="Roundwood",$CS1597/2,$CS1597)</f>
        <v>0.20377464974887655</v>
      </c>
      <c r="CU1597">
        <f>IF($CP1597="refOK",$BU1597,$BV1597)*IF($BR1597="Emissions positive",-1,1)</f>
        <v>-488</v>
      </c>
      <c r="CV1597">
        <f>IF($CP1597="refOK",$BV1597,$BU1597)*IF($BR1597="Emissions positive",-1,1)</f>
        <v>-280</v>
      </c>
      <c r="CW1597">
        <f>IF($CP1597="refNeedCorrection",-BZ1597,BZ1597)*IF($BR1597="Emissions positive",-1,1)</f>
        <v>0.20799999999999999</v>
      </c>
      <c r="CX1597">
        <f>IFERROR($CW1597/$CS1597,"")</f>
        <v>1.0207354067659082</v>
      </c>
      <c r="CY1597">
        <f>IFERROR($CW1597/$CS1597,"")</f>
        <v>1.0207354067659082</v>
      </c>
      <c r="CZ1597">
        <f>IFERROR($CW1597/$CT1597,"")</f>
        <v>1.0207354067659082</v>
      </c>
      <c r="DA1597" s="2">
        <f>IFERROR((CV1597-CU1597)/ABS(CU1597),"")</f>
        <v>0.42622950819672129</v>
      </c>
      <c r="DB1597" s="320" t="s">
        <v>263</v>
      </c>
      <c r="DC1597" s="317" t="str">
        <f>IF(OR($DB1597="prd",$DB1597="std",$DB1597="cit"),"loc",IF(OR($DB1597="eur",$DB1597="reg",$DB1597="coy"),"reg",$DB1597))</f>
        <v>loc</v>
      </c>
      <c r="DD1597" s="317" t="s">
        <v>561</v>
      </c>
      <c r="DG1597">
        <v>0</v>
      </c>
      <c r="DH1597" t="str">
        <f>IF(DG1597=0,"0",IF(AND(DG1597&gt;=1,DG1597&lt;=30),"1-30",IF(AND(DG1597&gt;30,DG1597&lt;=70),"31-70",IF(AND(DG1597&gt;70,DG1597&lt;=100),"71-100",IF(DG1597&gt;100,"+100")))))</f>
        <v>0</v>
      </c>
      <c r="DI1597">
        <v>0</v>
      </c>
      <c r="DJ1597">
        <v>0</v>
      </c>
      <c r="DK1597">
        <v>0</v>
      </c>
      <c r="DL1597">
        <v>1</v>
      </c>
      <c r="DM1597">
        <v>0</v>
      </c>
      <c r="DN1597">
        <f>SUM(DI1597:DL1597)</f>
        <v>1</v>
      </c>
      <c r="DO1597" t="str">
        <f>IF(DN1597=1,INDEX($DI$7:$DL$7,MATCH(1,$DI1597:$DL1597,0)),"mixedProduct")</f>
        <v>TimberInput</v>
      </c>
      <c r="DP1597">
        <f>IF(DI1597=1,DP$7,0)</f>
        <v>0</v>
      </c>
      <c r="DQ1597">
        <f>IF(DJ1597=1,DQ$7,0)</f>
        <v>0</v>
      </c>
      <c r="DR1597">
        <f>IF(DK1597=1,DR$7,0)</f>
        <v>0</v>
      </c>
      <c r="DS1597" t="str">
        <f>IF(DL1597=1,DS$7,0)</f>
        <v>Timber</v>
      </c>
      <c r="DT1597">
        <v>0</v>
      </c>
      <c r="DU1597">
        <v>0</v>
      </c>
      <c r="DV1597">
        <v>0</v>
      </c>
      <c r="DW1597">
        <v>0</v>
      </c>
      <c r="DX1597">
        <v>0</v>
      </c>
      <c r="DY1597">
        <f>SUM(DT1597:DU1597)</f>
        <v>0</v>
      </c>
      <c r="DZ1597" s="143" t="str">
        <f>IF(DT1597=1,"self-calculated DF",IF(DU1597=1,"external DF used","explicit C balance"))</f>
        <v>explicit C balance</v>
      </c>
      <c r="EA1597">
        <v>0</v>
      </c>
      <c r="EB1597">
        <v>0</v>
      </c>
      <c r="EC1597">
        <v>0</v>
      </c>
      <c r="ED1597">
        <v>0</v>
      </c>
      <c r="EE1597">
        <v>1</v>
      </c>
      <c r="EF1597">
        <v>1</v>
      </c>
      <c r="EG1597">
        <v>1</v>
      </c>
      <c r="EH1597" s="317">
        <v>1</v>
      </c>
      <c r="EI1597" s="317">
        <v>1</v>
      </c>
      <c r="EJ1597" s="317">
        <v>1</v>
      </c>
      <c r="EK1597" s="317">
        <v>0</v>
      </c>
      <c r="EL1597" s="317">
        <v>0</v>
      </c>
      <c r="EM1597" s="317">
        <v>0</v>
      </c>
      <c r="EN1597" s="318">
        <v>0</v>
      </c>
      <c r="EP1597" t="str">
        <f>IF(AND(AND(AND(OR($EC1597=1,$EB1597=1),OR($EH1597=1,$EF1597=1)),SUM($EA1597:$EE1597,$EK1597)&gt;=3),SUM($EF1597:$EJ1597)&gt;=2),"Whole sector approach","")</f>
        <v/>
      </c>
      <c r="EQ1597" t="str">
        <f>IF(AND(AND(OR($EC1597=1,$EB1597=1),AND($EH1597=0,$EF1597=0)),SUM($EA1597:$EE1597,$EK1597)&gt;=3),"Ecosystem approach","")</f>
        <v/>
      </c>
      <c r="ER1597" s="2" t="str">
        <f>IF(AND(AND(AND($EC1597=0,$EB1597=0),OR($EH1597=1,$EF1597=1)),SUM($EG1597:$EJ1597)&gt;=2),"Technology approach","")</f>
        <v>Technology approach</v>
      </c>
      <c r="ES1597" t="str">
        <f>IF(AND($EC1597+$EB1597+$EE1597+$EA1597+$ED1597+$EG1597=0,$N1597="included"),"C neutral forest and HWP assumption","")</f>
        <v/>
      </c>
      <c r="ET1597" t="str">
        <f>IF(AND(AND(AND(AND($EC1597=1,$EB1597+$EA1597+$EG1597&gt;=1),$EF1597=1),$EH1597+$EI1597+$ED1597+$EE1597&gt;=2),$N1597="included"),"All C pools assumption","")</f>
        <v/>
      </c>
      <c r="EU1597" t="str">
        <f>IF(AND($ED1597+$EE1597+$EI1597+$EH1597+$EF1597=0,$N1597="included"),"In-situ only assumption","")</f>
        <v/>
      </c>
      <c r="EY1597" t="str">
        <f>IF(ISNUMBER(BW1597),IF(ABS(BW1597-[4]QC_indicators!$B$2)&gt;3*[4]QC_indicators!$C$2,"C ratio",IF(ISNUMBER(CA1597),IF(ABS(CA1597-[4]QC_indicators!$B$1)&gt;3*[4]QC_indicators!$C$1,"DF","no"))),IF(ISNUMBER(CA1597),IF(ABS(CA1597-[4]QC_indicators!$B$1)&gt;3*[4]QC_indicators!$C$1,"DF","no")))</f>
        <v>no</v>
      </c>
      <c r="FA1597" t="str">
        <f>IF(LEN($CY1597)=0,"",IF(AND($CY1597&lt;(-0.05),$ES1597="C neutral forest and HWP assumption"),"Cneutral paradox",IF(AND($CY1597&gt;0.05,$EU1597="In-situ only assumption"),"In-situ only paradox","")))</f>
        <v/>
      </c>
      <c r="FD1597" t="s">
        <v>4982</v>
      </c>
    </row>
    <row r="1598" spans="1:160" hidden="1">
      <c r="A1598" s="1" t="s">
        <v>265</v>
      </c>
      <c r="B1598" t="s">
        <v>1822</v>
      </c>
      <c r="C1598" t="s">
        <v>1823</v>
      </c>
      <c r="D1598" t="s">
        <v>1824</v>
      </c>
      <c r="E1598" t="s">
        <v>1825</v>
      </c>
      <c r="F1598" t="s">
        <v>1826</v>
      </c>
      <c r="G1598" t="s">
        <v>271</v>
      </c>
      <c r="H1598" t="s">
        <v>254</v>
      </c>
      <c r="I1598">
        <v>2022</v>
      </c>
      <c r="J1598">
        <v>0</v>
      </c>
      <c r="K1598" t="s">
        <v>1827</v>
      </c>
      <c r="M1598" t="str">
        <f>LEFT($D1598,FIND(",",$D1598)-1)&amp;"_"&amp;I1598&amp;L1598</f>
        <v>Nandimandalam_2022</v>
      </c>
      <c r="N1598" t="s">
        <v>222</v>
      </c>
      <c r="O1598" s="157" t="s">
        <v>274</v>
      </c>
      <c r="P1598" t="s">
        <v>924</v>
      </c>
      <c r="Q1598" t="s">
        <v>389</v>
      </c>
      <c r="R1598" s="258" t="s">
        <v>223</v>
      </c>
      <c r="S1598" s="1" t="s">
        <v>1828</v>
      </c>
      <c r="T1598" t="s">
        <v>1829</v>
      </c>
      <c r="U1598" t="s">
        <v>1833</v>
      </c>
      <c r="V1598" s="253">
        <v>0</v>
      </c>
      <c r="W1598" s="253">
        <v>0</v>
      </c>
      <c r="X1598">
        <v>0</v>
      </c>
      <c r="Y1598">
        <v>0</v>
      </c>
      <c r="Z1598">
        <v>0</v>
      </c>
      <c r="AA1598">
        <v>0</v>
      </c>
      <c r="AB1598">
        <v>0</v>
      </c>
      <c r="AC1598">
        <v>0</v>
      </c>
      <c r="AD1598">
        <v>0</v>
      </c>
      <c r="AE1598">
        <v>0</v>
      </c>
      <c r="AF1598">
        <v>1</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s="141">
        <f>COUNTIF(X1598:AY1598,"&lt;&gt;0")</f>
        <v>1</v>
      </c>
      <c r="BA1598" s="141">
        <f>COUNTIF(X1598:AN1598,"&lt;&gt;0")</f>
        <v>1</v>
      </c>
      <c r="BB1598">
        <f>COUNTIF(X1598:AE1598,"&lt;&gt;0")</f>
        <v>0</v>
      </c>
      <c r="BC1598">
        <f>COUNTIF(AF1598:AK1598,"&lt;&gt;0")</f>
        <v>1</v>
      </c>
      <c r="BD1598">
        <f>COUNTIF(AL1598:AN1598,"&lt;&gt;0")</f>
        <v>0</v>
      </c>
      <c r="BE1598">
        <f>COUNTIF(AU1598:AY1598,"&lt;&gt;0")</f>
        <v>0</v>
      </c>
      <c r="BF1598">
        <f>COUNTIF(AO1598:AT1598,"&lt;&gt;0")</f>
        <v>0</v>
      </c>
      <c r="BG1598" t="str">
        <f t="array" ref="BG1598">IF(BA1598=1,INDEX($X$7:$AN$7,MATCH(TRUE,INDEX($X1598:$AY1598&lt;&gt;0,),0)),IF(BA1598=0,INDEX($AO$7:$AY$7,MATCH(1,$AO1598:$AY1598,0)),IF(BH1598="Multiple strategies","mixed drivers",IF(BH1598="Supply chain","multiple supply","multiple silviculture"))))</f>
        <v>harvesting system</v>
      </c>
      <c r="BH1598" s="2" t="str" cm="1">
        <f t="array" ref="BH1598">IF(COUNTIF(BB1598:BD1598,"&lt;&gt;0")=1,INDEX($X$4:$AY$4,MATCH(TRUE,INDEX($X1598:$AY1598&lt;&gt;0,),0)),IF(COUNTIF(BB1598:BD1598,"&lt;&gt;0")=0,INDEX($AO$4:$AY$4,MATCH(1,$AO1598:$AY1598,0)),"Multiple strategies"))</f>
        <v>Supply chain</v>
      </c>
      <c r="BI1598" s="1" t="s">
        <v>321</v>
      </c>
      <c r="BJ1598" t="s">
        <v>1831</v>
      </c>
      <c r="BK1598" s="260" t="s">
        <v>2859</v>
      </c>
      <c r="BL1598" s="260" t="s">
        <v>2860</v>
      </c>
      <c r="BM1598">
        <v>352.14772479999999</v>
      </c>
      <c r="BN1598">
        <v>18066.118399999999</v>
      </c>
      <c r="BO1598">
        <v>51.302669668703764</v>
      </c>
      <c r="BP1598">
        <f>BN1598-BM1598</f>
        <v>17713.970675199998</v>
      </c>
      <c r="BQ1598">
        <f>BP1598</f>
        <v>17713.970675199998</v>
      </c>
      <c r="BR1598" t="s">
        <v>395</v>
      </c>
      <c r="BS1598" s="260" t="s">
        <v>2861</v>
      </c>
      <c r="BT1598" t="s">
        <v>1832</v>
      </c>
      <c r="BU1598">
        <f>0.0011646</f>
        <v>1.1646E-3</v>
      </c>
      <c r="BV1598" s="260">
        <f>0.0011461</f>
        <v>1.1460999999999999E-3</v>
      </c>
      <c r="BW1598" s="144">
        <v>0.9841147174995708</v>
      </c>
      <c r="BX1598">
        <f>BV1598-BU1598</f>
        <v>-1.850000000000007E-5</v>
      </c>
      <c r="BZ1598">
        <f>BX1598*(11.3+35.4+2.7+4.3)*12*10^6</f>
        <v>-11921.400000000045</v>
      </c>
      <c r="CA1598">
        <f>IFERROR(BZ1598/BQ1598,"")</f>
        <v>-0.67299422690646671</v>
      </c>
      <c r="CB1598">
        <v>0</v>
      </c>
      <c r="CC1598">
        <v>0</v>
      </c>
      <c r="CD1598">
        <v>0</v>
      </c>
      <c r="CE1598">
        <v>0</v>
      </c>
      <c r="CF1598">
        <v>0</v>
      </c>
      <c r="CG1598">
        <v>0</v>
      </c>
      <c r="CH1598">
        <v>0</v>
      </c>
      <c r="CI1598">
        <v>0</v>
      </c>
      <c r="CJ1598">
        <v>0</v>
      </c>
      <c r="CK1598">
        <v>0</v>
      </c>
      <c r="CL1598">
        <v>0</v>
      </c>
      <c r="CM1598">
        <v>0</v>
      </c>
      <c r="CN1598">
        <v>0</v>
      </c>
      <c r="CO1598">
        <v>0</v>
      </c>
      <c r="CP1598" t="str">
        <f>IF($BN1598&lt;$BM1598,"refNeedCorrection","refOK")</f>
        <v>refOK</v>
      </c>
      <c r="CQ1598">
        <f>IF($CP1598="refOK",$BM1598,$BN1598)</f>
        <v>352.14772479999999</v>
      </c>
      <c r="CR1598">
        <f>IF($CP1598="refOK",$BN1598,$BM1598)</f>
        <v>18066.118399999999</v>
      </c>
      <c r="CS1598">
        <f>IF($CP1598="refOK",$BQ1598,-$BQ1598)</f>
        <v>17713.970675199998</v>
      </c>
      <c r="CT1598">
        <f>IF(BI1598="Roundwood",$CS1598/2,$CS1598)</f>
        <v>8856.9853375999992</v>
      </c>
      <c r="CU1598">
        <f>IF($CP1598="refOK",$BU1598,$BV1598)*IF($BR1598="Emissions positive",-1,1)</f>
        <v>-1.1646E-3</v>
      </c>
      <c r="CV1598">
        <f>IF($CP1598="refOK",$BV1598,$BU1598)*IF($BR1598="Emissions positive",-1,1)</f>
        <v>-1.1460999999999999E-3</v>
      </c>
      <c r="CW1598">
        <f>IF($CP1598="refNeedCorrection",-BZ1598,BZ1598)*IF($BR1598="Emissions positive",-1,1)</f>
        <v>11921.400000000045</v>
      </c>
      <c r="CX1598">
        <f>IFERROR($CW1598/$CS1598,"")</f>
        <v>0.67299422690646671</v>
      </c>
      <c r="CY1598">
        <f>IFERROR($CW1598/$CS1598,"")</f>
        <v>0.67299422690646671</v>
      </c>
      <c r="CZ1598">
        <f>IFERROR($CW1598/$CT1598,"")</f>
        <v>1.3459884538129334</v>
      </c>
      <c r="DA1598" s="2">
        <f>IFERROR((CV1598-CU1598)/ABS(CU1598),"")</f>
        <v>1.5885282500429393E-2</v>
      </c>
      <c r="DB1598" s="1" t="s">
        <v>1074</v>
      </c>
      <c r="DC1598" t="str">
        <f>IF(OR($DB1598="prd",$DB1598="std",$DB1598="cit"),"loc",IF(OR($DB1598="eur",$DB1598="reg",$DB1598="coy"),"reg",$DB1598))</f>
        <v>reg</v>
      </c>
      <c r="DD1598" t="s">
        <v>428</v>
      </c>
      <c r="DE1598">
        <v>2010</v>
      </c>
      <c r="DF1598">
        <v>2018</v>
      </c>
      <c r="DG1598">
        <v>1</v>
      </c>
      <c r="DH1598" t="str">
        <f>IF(DG1598=0,"0",IF(AND(DG1598&gt;=1,DG1598&lt;=30),"1-30",IF(AND(DG1598&gt;30,DG1598&lt;=70),"31-70",IF(AND(DG1598&gt;70,DG1598&lt;=100),"71-100",IF(DG1598&gt;100,"+100")))))</f>
        <v>1-30</v>
      </c>
      <c r="DI1598">
        <v>0</v>
      </c>
      <c r="DJ1598">
        <v>1</v>
      </c>
      <c r="DK1598">
        <v>0</v>
      </c>
      <c r="DL1598">
        <v>0</v>
      </c>
      <c r="DM1598">
        <v>0</v>
      </c>
      <c r="DN1598">
        <v>1</v>
      </c>
      <c r="DO1598" t="str">
        <f>IF(DN1598=1,INDEX($DI$7:$DL$7,MATCH(1,$DI1598:$DL1598,0)),"mixedProduct")</f>
        <v>EnergyInput</v>
      </c>
      <c r="DP1598">
        <f>IF(DI1598=1,DP$7,0)</f>
        <v>0</v>
      </c>
      <c r="DQ1598" t="str">
        <f>IF(DJ1598=1,DQ$7,0)</f>
        <v>Energy</v>
      </c>
      <c r="DR1598">
        <f>IF(DK1598=1,DR$7,0)</f>
        <v>0</v>
      </c>
      <c r="DS1598">
        <f>IF(DL1598=1,DS$7,0)</f>
        <v>0</v>
      </c>
      <c r="DT1598">
        <v>0</v>
      </c>
      <c r="DU1598">
        <v>0</v>
      </c>
      <c r="DV1598">
        <v>0</v>
      </c>
      <c r="DW1598">
        <v>0</v>
      </c>
      <c r="DX1598">
        <v>0</v>
      </c>
      <c r="DY1598">
        <f>SUM(DT1598:DU1598)</f>
        <v>0</v>
      </c>
      <c r="DZ1598" s="143" t="s">
        <v>926</v>
      </c>
      <c r="EA1598">
        <v>0</v>
      </c>
      <c r="EB1598">
        <v>1</v>
      </c>
      <c r="EC1598">
        <v>0</v>
      </c>
      <c r="ED1598">
        <v>0</v>
      </c>
      <c r="EE1598">
        <v>0</v>
      </c>
      <c r="EF1598" s="143">
        <v>0</v>
      </c>
      <c r="EG1598">
        <v>1</v>
      </c>
      <c r="EH1598">
        <v>1</v>
      </c>
      <c r="EI1598">
        <v>0</v>
      </c>
      <c r="EJ1598">
        <v>0</v>
      </c>
      <c r="EK1598">
        <v>0</v>
      </c>
      <c r="EL1598">
        <v>0</v>
      </c>
      <c r="EM1598">
        <v>0</v>
      </c>
      <c r="EN1598" s="2">
        <v>0</v>
      </c>
      <c r="EP1598" t="str">
        <f>IF(AND(AND(AND(OR($EC1598=1,$EB1598=1),OR($EH1598=1,$EF1598=1)),SUM($EA1598:$EE1598,$EK1598)&gt;=3),SUM($EF1598:$EJ1598)&gt;=2),"Whole sector approach","")</f>
        <v/>
      </c>
      <c r="EQ1598" t="str">
        <f>IF(AND(AND(OR($EC1598=1,$EB1598=1),AND($EH1598=0,$EF1598=0)),SUM($EA1598:$EE1598,$EK1598)&gt;=4),"Ecosystem approach","")</f>
        <v/>
      </c>
      <c r="ER1598" s="2" t="str">
        <f>IF(AND(AND(AND($EC1598=0,$EB1598=0),OR($EH1598=1,$EF1598=1)),SUM($EG1598:$EJ1598)&gt;=2),"Technology approach","")</f>
        <v/>
      </c>
      <c r="ES1598" t="str">
        <f>IF(AND($EC1598+$EB1598+$EE1598+$EA1598+$ED1598+$EG1598=0,$N1598="included"),"C neutral forest and HWP assumption","")</f>
        <v/>
      </c>
      <c r="ET1598" t="str">
        <f>IF(AND(AND(AND(AND($EC1598=1,$EB1598+$EA1598+$EG1598&gt;=1),$EF1598=1),$EH1598+$EI1598+$ED1598+$EE1598&gt;=2),$N1598="included"),"All C pools assumption","")</f>
        <v/>
      </c>
      <c r="EU1598" t="str">
        <f>IF(AND($ED1598+$EE1598+$EI1598+$EH1598+$EF1598=0,$N1598="included"),"In-situ only assumption","")</f>
        <v/>
      </c>
      <c r="EY1598" t="str">
        <f>IF(ISNUMBER(BW1598),IF(ABS(BW1598-[2]QC_indicators!$B$2)&gt;3*[2]QC_indicators!$C$2,"C ratio",IF(ISNUMBER(CA1598),IF(ABS(CA1598-[2]QC_indicators!$B$1)&gt;3*[2]QC_indicators!$C$1,"DF","no"))),IF(ISNUMBER(CA1598),IF(ABS(CA1598-[2]QC_indicators!$B$1)&gt;3*[2]QC_indicators!$C$1,"DF","no")))</f>
        <v>no</v>
      </c>
      <c r="FA1598" t="str">
        <f>IF(LEN($CY1598)=0,"",IF(AND($CY1598&lt;(-0.05),$ES1598="C neutral forest and HWP assumption"),"Cneutral paradox",IF(AND($CY1598&gt;0.05,$EU1598="In-situ only assumption"),"In-situ only paradox","")))</f>
        <v/>
      </c>
      <c r="FD1598" s="260" t="s">
        <v>2862</v>
      </c>
    </row>
    <row r="1599" spans="1:160" hidden="1">
      <c r="A1599" s="1" t="s">
        <v>265</v>
      </c>
      <c r="B1599" t="s">
        <v>1822</v>
      </c>
      <c r="C1599" t="s">
        <v>1823</v>
      </c>
      <c r="D1599" t="s">
        <v>1824</v>
      </c>
      <c r="E1599" t="s">
        <v>1825</v>
      </c>
      <c r="F1599" t="s">
        <v>1826</v>
      </c>
      <c r="G1599" t="s">
        <v>271</v>
      </c>
      <c r="H1599" t="s">
        <v>254</v>
      </c>
      <c r="I1599">
        <v>2022</v>
      </c>
      <c r="J1599">
        <v>0</v>
      </c>
      <c r="K1599" t="s">
        <v>1827</v>
      </c>
      <c r="M1599" t="str">
        <f>LEFT($D1599,FIND(",",$D1599)-1)&amp;"_"&amp;I1599&amp;L1599</f>
        <v>Nandimandalam_2022</v>
      </c>
      <c r="N1599" t="s">
        <v>222</v>
      </c>
      <c r="O1599" s="157" t="s">
        <v>274</v>
      </c>
      <c r="P1599" t="s">
        <v>924</v>
      </c>
      <c r="Q1599" t="s">
        <v>389</v>
      </c>
      <c r="R1599" s="258" t="s">
        <v>223</v>
      </c>
      <c r="S1599" s="1" t="s">
        <v>1828</v>
      </c>
      <c r="T1599" t="s">
        <v>1829</v>
      </c>
      <c r="U1599" t="s">
        <v>1830</v>
      </c>
      <c r="V1599" s="253">
        <v>0</v>
      </c>
      <c r="W1599" s="253">
        <v>0</v>
      </c>
      <c r="X1599">
        <v>0</v>
      </c>
      <c r="Y1599">
        <v>0</v>
      </c>
      <c r="Z1599">
        <v>0</v>
      </c>
      <c r="AA1599">
        <v>0</v>
      </c>
      <c r="AB1599">
        <v>0</v>
      </c>
      <c r="AC1599">
        <v>0</v>
      </c>
      <c r="AD1599">
        <v>0</v>
      </c>
      <c r="AE1599">
        <v>0</v>
      </c>
      <c r="AF1599">
        <v>1</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s="141">
        <f>COUNTIF(X1599:AY1599,"&lt;&gt;0")</f>
        <v>1</v>
      </c>
      <c r="BA1599" s="141">
        <f>COUNTIF(X1599:AN1599,"&lt;&gt;0")</f>
        <v>1</v>
      </c>
      <c r="BB1599">
        <f>COUNTIF(X1599:AE1599,"&lt;&gt;0")</f>
        <v>0</v>
      </c>
      <c r="BC1599">
        <f>COUNTIF(AF1599:AK1599,"&lt;&gt;0")</f>
        <v>1</v>
      </c>
      <c r="BD1599">
        <f>COUNTIF(AL1599:AN1599,"&lt;&gt;0")</f>
        <v>0</v>
      </c>
      <c r="BE1599">
        <f>COUNTIF(AU1599:AY1599,"&lt;&gt;0")</f>
        <v>0</v>
      </c>
      <c r="BF1599">
        <f>COUNTIF(AO1599:AT1599,"&lt;&gt;0")</f>
        <v>0</v>
      </c>
      <c r="BG1599" t="str">
        <f t="array" ref="BG1599">IF(BA1599=1,INDEX($X$7:$AN$7,MATCH(TRUE,INDEX($X1599:$AY1599&lt;&gt;0,),0)),IF(BA1599=0,INDEX($AO$7:$AY$7,MATCH(1,$AO1599:$AY1599,0)),IF(BH1599="Multiple strategies","mixed drivers",IF(BH1599="Supply chain","multiple supply","multiple silviculture"))))</f>
        <v>harvesting system</v>
      </c>
      <c r="BH1599" s="2" t="str" cm="1">
        <f t="array" ref="BH1599">IF(COUNTIF(BB1599:BD1599,"&lt;&gt;0")=1,INDEX($X$4:$AY$4,MATCH(TRUE,INDEX($X1599:$AY1599&lt;&gt;0,),0)),IF(COUNTIF(BB1599:BD1599,"&lt;&gt;0")=0,INDEX($AO$4:$AY$4,MATCH(1,$AO1599:$AY1599,0)),"Multiple strategies"))</f>
        <v>Supply chain</v>
      </c>
      <c r="BI1599" s="1" t="s">
        <v>321</v>
      </c>
      <c r="BJ1599" t="s">
        <v>1831</v>
      </c>
      <c r="BK1599" s="260" t="s">
        <v>2859</v>
      </c>
      <c r="BL1599" s="260" t="s">
        <v>2860</v>
      </c>
      <c r="BM1599">
        <v>352.14772479999999</v>
      </c>
      <c r="BN1599">
        <v>18066.118399999999</v>
      </c>
      <c r="BO1599">
        <v>51.302669668703764</v>
      </c>
      <c r="BP1599">
        <f>BN1599-BM1599</f>
        <v>17713.970675199998</v>
      </c>
      <c r="BQ1599">
        <f>BP1599</f>
        <v>17713.970675199998</v>
      </c>
      <c r="BR1599" t="s">
        <v>395</v>
      </c>
      <c r="BS1599" s="260" t="s">
        <v>2861</v>
      </c>
      <c r="BT1599" t="s">
        <v>1832</v>
      </c>
      <c r="BU1599" s="260">
        <f>0.0011646</f>
        <v>1.1646E-3</v>
      </c>
      <c r="BV1599" s="260">
        <f>0.0011452</f>
        <v>1.1452000000000001E-3</v>
      </c>
      <c r="BW1599" s="144">
        <v>0.98334191997252296</v>
      </c>
      <c r="BX1599">
        <f>BV1599-BU1599</f>
        <v>-1.9399999999999929E-5</v>
      </c>
      <c r="BZ1599">
        <f>BX1599*(11.3+35.4+2.7+4.3)*12*10^6</f>
        <v>-12501.359999999955</v>
      </c>
      <c r="CA1599">
        <f>IFERROR(BZ1599/BQ1599,"")</f>
        <v>-0.70573448659380311</v>
      </c>
      <c r="CB1599">
        <v>0</v>
      </c>
      <c r="CC1599">
        <v>0</v>
      </c>
      <c r="CD1599">
        <v>0</v>
      </c>
      <c r="CE1599">
        <v>0</v>
      </c>
      <c r="CF1599">
        <v>0</v>
      </c>
      <c r="CG1599">
        <v>0</v>
      </c>
      <c r="CH1599">
        <v>0</v>
      </c>
      <c r="CI1599">
        <v>0</v>
      </c>
      <c r="CJ1599">
        <v>0</v>
      </c>
      <c r="CK1599">
        <v>0</v>
      </c>
      <c r="CL1599">
        <v>0</v>
      </c>
      <c r="CM1599">
        <v>0</v>
      </c>
      <c r="CN1599">
        <v>0</v>
      </c>
      <c r="CO1599">
        <v>0</v>
      </c>
      <c r="CP1599" t="str">
        <f>IF($BN1599&lt;$BM1599,"refNeedCorrection","refOK")</f>
        <v>refOK</v>
      </c>
      <c r="CQ1599">
        <f>IF($CP1599="refOK",$BM1599,$BN1599)</f>
        <v>352.14772479999999</v>
      </c>
      <c r="CR1599">
        <f>IF($CP1599="refOK",$BN1599,$BM1599)</f>
        <v>18066.118399999999</v>
      </c>
      <c r="CS1599">
        <f>IF($CP1599="refOK",$BQ1599,-$BQ1599)</f>
        <v>17713.970675199998</v>
      </c>
      <c r="CT1599">
        <f>IF(BI1599="Roundwood",$CS1599/2,$CS1599)</f>
        <v>8856.9853375999992</v>
      </c>
      <c r="CU1599">
        <f>IF($CP1599="refOK",$BU1599,$BV1599)*IF($BR1599="Emissions positive",-1,1)</f>
        <v>-1.1646E-3</v>
      </c>
      <c r="CV1599">
        <f>IF($CP1599="refOK",$BV1599,$BU1599)*IF($BR1599="Emissions positive",-1,1)</f>
        <v>-1.1452000000000001E-3</v>
      </c>
      <c r="CW1599">
        <f>IF($CP1599="refNeedCorrection",-BZ1599,BZ1599)*IF($BR1599="Emissions positive",-1,1)</f>
        <v>12501.359999999955</v>
      </c>
      <c r="CX1599">
        <f>IFERROR($CW1599/$CS1599,"")</f>
        <v>0.70573448659380311</v>
      </c>
      <c r="CY1599">
        <f>IFERROR($CW1599/$CS1599,"")</f>
        <v>0.70573448659380311</v>
      </c>
      <c r="CZ1599">
        <f>IFERROR($CW1599/$CT1599,"")</f>
        <v>1.4114689731876062</v>
      </c>
      <c r="DA1599" s="2">
        <f>IFERROR((CV1599-CU1599)/ABS(CU1599),"")</f>
        <v>1.6658080027477186E-2</v>
      </c>
      <c r="DB1599" s="1" t="s">
        <v>1074</v>
      </c>
      <c r="DC1599" t="str">
        <f>IF(OR($DB1599="prd",$DB1599="std",$DB1599="cit"),"loc",IF(OR($DB1599="eur",$DB1599="reg",$DB1599="coy"),"reg",$DB1599))</f>
        <v>reg</v>
      </c>
      <c r="DD1599" t="s">
        <v>428</v>
      </c>
      <c r="DE1599">
        <v>2010</v>
      </c>
      <c r="DF1599">
        <v>2018</v>
      </c>
      <c r="DG1599">
        <v>1</v>
      </c>
      <c r="DH1599" t="str">
        <f>IF(DG1599=0,"0",IF(AND(DG1599&gt;=1,DG1599&lt;=30),"1-30",IF(AND(DG1599&gt;30,DG1599&lt;=70),"31-70",IF(AND(DG1599&gt;70,DG1599&lt;=100),"71-100",IF(DG1599&gt;100,"+100")))))</f>
        <v>1-30</v>
      </c>
      <c r="DI1599">
        <v>0</v>
      </c>
      <c r="DJ1599">
        <v>1</v>
      </c>
      <c r="DK1599">
        <v>0</v>
      </c>
      <c r="DL1599">
        <v>0</v>
      </c>
      <c r="DM1599">
        <v>0</v>
      </c>
      <c r="DN1599">
        <v>1</v>
      </c>
      <c r="DO1599" t="str">
        <f>IF(DN1599=1,INDEX($DI$7:$DL$7,MATCH(1,$DI1599:$DL1599,0)),"mixedProduct")</f>
        <v>EnergyInput</v>
      </c>
      <c r="DP1599">
        <f>IF(DI1599=1,DP$7,0)</f>
        <v>0</v>
      </c>
      <c r="DQ1599" t="str">
        <f>IF(DJ1599=1,DQ$7,0)</f>
        <v>Energy</v>
      </c>
      <c r="DR1599">
        <f>IF(DK1599=1,DR$7,0)</f>
        <v>0</v>
      </c>
      <c r="DS1599">
        <f>IF(DL1599=1,DS$7,0)</f>
        <v>0</v>
      </c>
      <c r="DT1599">
        <v>0</v>
      </c>
      <c r="DU1599">
        <v>0</v>
      </c>
      <c r="DV1599">
        <v>0</v>
      </c>
      <c r="DW1599">
        <v>0</v>
      </c>
      <c r="DX1599">
        <v>0</v>
      </c>
      <c r="DY1599">
        <f>SUM(DT1599:DU1599)</f>
        <v>0</v>
      </c>
      <c r="DZ1599" s="143" t="s">
        <v>926</v>
      </c>
      <c r="EA1599">
        <v>0</v>
      </c>
      <c r="EB1599">
        <v>1</v>
      </c>
      <c r="EC1599">
        <v>0</v>
      </c>
      <c r="ED1599">
        <v>0</v>
      </c>
      <c r="EE1599">
        <v>0</v>
      </c>
      <c r="EF1599" s="143">
        <v>0</v>
      </c>
      <c r="EG1599">
        <v>1</v>
      </c>
      <c r="EH1599">
        <v>1</v>
      </c>
      <c r="EI1599">
        <v>0</v>
      </c>
      <c r="EJ1599">
        <v>0</v>
      </c>
      <c r="EK1599">
        <v>0</v>
      </c>
      <c r="EL1599">
        <v>0</v>
      </c>
      <c r="EM1599">
        <v>0</v>
      </c>
      <c r="EN1599" s="2">
        <v>0</v>
      </c>
      <c r="EP1599" t="str">
        <f>IF(AND(AND(AND(OR($EC1599=1,$EB1599=1),OR($EH1599=1,$EF1599=1)),SUM($EA1599:$EE1599,$EK1599)&gt;=3),SUM($EF1599:$EJ1599)&gt;=2),"Whole sector approach","")</f>
        <v/>
      </c>
      <c r="EQ1599" t="str">
        <f>IF(AND(AND(OR($EC1599=1,$EB1599=1),AND($EH1599=0,$EF1599=0)),SUM($EA1599:$EE1599,$EK1599)&gt;=4),"Ecosystem approach","")</f>
        <v/>
      </c>
      <c r="ER1599" s="2" t="str">
        <f>IF(AND(AND(AND($EC1599=0,$EB1599=0),OR($EH1599=1,$EF1599=1)),SUM($EG1599:$EJ1599)&gt;=2),"Technology approach","")</f>
        <v/>
      </c>
      <c r="ES1599" t="str">
        <f>IF(AND($EC1599+$EB1599+$EE1599+$EA1599+$ED1599+$EG1599=0,$N1599="included"),"C neutral forest and HWP assumption","")</f>
        <v/>
      </c>
      <c r="ET1599" t="str">
        <f>IF(AND(AND(AND(AND($EC1599=1,$EB1599+$EA1599+$EG1599&gt;=1),$EF1599=1),$EH1599+$EI1599+$ED1599+$EE1599&gt;=2),$N1599="included"),"All C pools assumption","")</f>
        <v/>
      </c>
      <c r="EU1599" t="str">
        <f>IF(AND($ED1599+$EE1599+$EI1599+$EH1599+$EF1599=0,$N1599="included"),"In-situ only assumption","")</f>
        <v/>
      </c>
      <c r="EY1599" t="str">
        <f>IF(ISNUMBER(BW1599),IF(ABS(BW1599-[2]QC_indicators!$B$2)&gt;3*[2]QC_indicators!$C$2,"C ratio",IF(ISNUMBER(CA1599),IF(ABS(CA1599-[2]QC_indicators!$B$1)&gt;3*[2]QC_indicators!$C$1,"DF","no"))),IF(ISNUMBER(CA1599),IF(ABS(CA1599-[2]QC_indicators!$B$1)&gt;3*[2]QC_indicators!$C$1,"DF","no")))</f>
        <v>no</v>
      </c>
      <c r="FA1599" t="str">
        <f>IF(LEN($CY1599)=0,"",IF(AND($CY1599&lt;(-0.05),$ES1599="C neutral forest and HWP assumption"),"Cneutral paradox",IF(AND($CY1599&gt;0.05,$EU1599="In-situ only assumption"),"In-situ only paradox","")))</f>
        <v/>
      </c>
      <c r="FD1599" s="260" t="s">
        <v>2862</v>
      </c>
    </row>
    <row r="1600" spans="1:160" ht="15" hidden="1" customHeight="1">
      <c r="A1600" s="1" t="s">
        <v>265</v>
      </c>
      <c r="B1600" t="s">
        <v>1822</v>
      </c>
      <c r="C1600" t="s">
        <v>1823</v>
      </c>
      <c r="D1600" t="s">
        <v>1824</v>
      </c>
      <c r="E1600" t="s">
        <v>1825</v>
      </c>
      <c r="F1600" t="s">
        <v>1826</v>
      </c>
      <c r="G1600" t="s">
        <v>271</v>
      </c>
      <c r="H1600" t="s">
        <v>254</v>
      </c>
      <c r="I1600">
        <v>2022</v>
      </c>
      <c r="J1600">
        <v>0</v>
      </c>
      <c r="K1600" t="s">
        <v>1827</v>
      </c>
      <c r="M1600" t="str">
        <f>LEFT($D1600,FIND(",",$D1600)-1)&amp;"_"&amp;I1600&amp;L1600</f>
        <v>Nandimandalam_2022</v>
      </c>
      <c r="N1600" t="s">
        <v>222</v>
      </c>
      <c r="O1600" s="157" t="s">
        <v>274</v>
      </c>
      <c r="P1600" t="s">
        <v>924</v>
      </c>
      <c r="Q1600" t="s">
        <v>389</v>
      </c>
      <c r="R1600" s="258" t="s">
        <v>223</v>
      </c>
      <c r="S1600" s="1" t="s">
        <v>1828</v>
      </c>
      <c r="T1600" t="s">
        <v>1834</v>
      </c>
      <c r="U1600" t="s">
        <v>1835</v>
      </c>
      <c r="V1600" s="253">
        <v>0</v>
      </c>
      <c r="W1600" s="253">
        <v>0</v>
      </c>
      <c r="X1600">
        <v>0</v>
      </c>
      <c r="Y1600">
        <v>0</v>
      </c>
      <c r="Z1600">
        <v>0</v>
      </c>
      <c r="AA1600">
        <v>0</v>
      </c>
      <c r="AB1600">
        <v>0</v>
      </c>
      <c r="AC1600">
        <v>0</v>
      </c>
      <c r="AD1600">
        <v>0</v>
      </c>
      <c r="AE1600">
        <v>0</v>
      </c>
      <c r="AF1600">
        <v>1</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s="141">
        <f>COUNTIF(X1600:AY1600,"&lt;&gt;0")</f>
        <v>1</v>
      </c>
      <c r="BA1600" s="141">
        <f>COUNTIF(X1600:AN1600,"&lt;&gt;0")</f>
        <v>1</v>
      </c>
      <c r="BB1600">
        <f>COUNTIF(X1600:AE1600,"&lt;&gt;0")</f>
        <v>0</v>
      </c>
      <c r="BC1600">
        <f>COUNTIF(AF1600:AK1600,"&lt;&gt;0")</f>
        <v>1</v>
      </c>
      <c r="BD1600">
        <f>COUNTIF(AL1600:AN1600,"&lt;&gt;0")</f>
        <v>0</v>
      </c>
      <c r="BE1600">
        <f>COUNTIF(AU1600:AY1600,"&lt;&gt;0")</f>
        <v>0</v>
      </c>
      <c r="BF1600">
        <f>COUNTIF(AO1600:AT1600,"&lt;&gt;0")</f>
        <v>0</v>
      </c>
      <c r="BG1600" t="str">
        <f t="array" ref="BG1600">IF(BA1600=1,INDEX($X$7:$AN$7,MATCH(TRUE,INDEX($X1600:$AY1600&lt;&gt;0,),0)),IF(BA1600=0,INDEX($AO$7:$AY$7,MATCH(1,$AO1600:$AY1600,0)),IF(BH1600="Multiple strategies","mixed drivers",IF(BH1600="Supply chain","multiple supply","multiple silviculture"))))</f>
        <v>harvesting system</v>
      </c>
      <c r="BH1600" s="2" t="str" cm="1">
        <f t="array" ref="BH1600">IF(COUNTIF(BB1600:BD1600,"&lt;&gt;0")=1,INDEX($X$4:$AY$4,MATCH(TRUE,INDEX($X1600:$AY1600&lt;&gt;0,),0)),IF(COUNTIF(BB1600:BD1600,"&lt;&gt;0")=0,INDEX($AO$4:$AY$4,MATCH(1,$AO1600:$AY1600,0)),"Multiple strategies"))</f>
        <v>Supply chain</v>
      </c>
      <c r="BI1600" s="1" t="s">
        <v>321</v>
      </c>
      <c r="BJ1600" t="s">
        <v>1831</v>
      </c>
      <c r="BK1600" s="260" t="s">
        <v>2859</v>
      </c>
      <c r="BL1600" s="260" t="s">
        <v>2860</v>
      </c>
      <c r="BM1600">
        <v>18066.118399999999</v>
      </c>
      <c r="BN1600">
        <v>18066.118399999999</v>
      </c>
      <c r="BO1600">
        <v>1</v>
      </c>
      <c r="BP1600">
        <f>BN1600-BM1600</f>
        <v>0</v>
      </c>
      <c r="BQ1600">
        <f>BP1600</f>
        <v>0</v>
      </c>
      <c r="BR1600" t="s">
        <v>395</v>
      </c>
      <c r="BS1600" s="260" t="s">
        <v>2861</v>
      </c>
      <c r="BT1600" t="s">
        <v>1832</v>
      </c>
      <c r="BU1600">
        <f>0.0011452</f>
        <v>1.1452000000000001E-3</v>
      </c>
      <c r="BV1600" s="260">
        <f>0.0011461</f>
        <v>1.1460999999999999E-3</v>
      </c>
      <c r="BW1600" s="144">
        <v>1.0007858889276982</v>
      </c>
      <c r="BX1600">
        <f>BV1600-BU1600</f>
        <v>8.9999999999985925E-7</v>
      </c>
      <c r="BZ1600">
        <f>BX1600*(11.3+35.4+2.7+4.3)*12*10^6</f>
        <v>579.95999999990943</v>
      </c>
      <c r="CA1600" t="str">
        <f>IFERROR(BZ1600/BQ1600,"")</f>
        <v/>
      </c>
      <c r="CB1600">
        <v>0</v>
      </c>
      <c r="CC1600">
        <v>0</v>
      </c>
      <c r="CD1600">
        <v>0</v>
      </c>
      <c r="CE1600">
        <v>0</v>
      </c>
      <c r="CF1600">
        <v>0</v>
      </c>
      <c r="CG1600">
        <v>0</v>
      </c>
      <c r="CH1600">
        <v>0</v>
      </c>
      <c r="CI1600">
        <v>0</v>
      </c>
      <c r="CJ1600">
        <v>0</v>
      </c>
      <c r="CK1600">
        <v>0</v>
      </c>
      <c r="CL1600">
        <v>0</v>
      </c>
      <c r="CM1600">
        <v>0</v>
      </c>
      <c r="CN1600">
        <v>0</v>
      </c>
      <c r="CO1600">
        <v>0</v>
      </c>
      <c r="CP1600" t="str">
        <f>IF($BN1600&lt;$BM1600,"refNeedCorrection","refOK")</f>
        <v>refOK</v>
      </c>
      <c r="CQ1600">
        <f>IF($CP1600="refOK",$BM1600,$BN1600)</f>
        <v>18066.118399999999</v>
      </c>
      <c r="CR1600">
        <f>IF($CP1600="refOK",$BN1600,$BM1600)</f>
        <v>18066.118399999999</v>
      </c>
      <c r="CS1600">
        <f>IF($CP1600="refOK",$BQ1600,-$BQ1600)</f>
        <v>0</v>
      </c>
      <c r="CT1600">
        <f>IF(BI1600="Roundwood",$CS1600/2,$CS1600)</f>
        <v>0</v>
      </c>
      <c r="CU1600">
        <f>IF($CP1600="refOK",$BU1600,$BV1600)*IF($BR1600="Emissions positive",-1,1)</f>
        <v>-1.1452000000000001E-3</v>
      </c>
      <c r="CV1600">
        <f>IF($CP1600="refOK",$BV1600,$BU1600)*IF($BR1600="Emissions positive",-1,1)</f>
        <v>-1.1460999999999999E-3</v>
      </c>
      <c r="CW1600">
        <f>IF($CP1600="refNeedCorrection",-BZ1600,BZ1600)*IF($BR1600="Emissions positive",-1,1)</f>
        <v>-579.95999999990943</v>
      </c>
      <c r="CX1600" t="str">
        <f>IFERROR($CW1600/$CS1600,"")</f>
        <v/>
      </c>
      <c r="CY1600" t="str">
        <f>IFERROR($CW1600/$CS1600,"")</f>
        <v/>
      </c>
      <c r="CZ1600" t="str">
        <f>IFERROR($CW1600/$CT1600,"")</f>
        <v/>
      </c>
      <c r="DA1600" s="2">
        <f>IFERROR((CV1600-CU1600)/ABS(CU1600),"")</f>
        <v>-7.8588892769809564E-4</v>
      </c>
      <c r="DB1600" s="1" t="s">
        <v>1074</v>
      </c>
      <c r="DC1600" t="str">
        <f>IF(OR($DB1600="prd",$DB1600="std",$DB1600="cit"),"loc",IF(OR($DB1600="eur",$DB1600="reg",$DB1600="coy"),"reg",$DB1600))</f>
        <v>reg</v>
      </c>
      <c r="DD1600" t="s">
        <v>428</v>
      </c>
      <c r="DE1600">
        <v>2010</v>
      </c>
      <c r="DF1600">
        <v>2018</v>
      </c>
      <c r="DG1600">
        <v>1</v>
      </c>
      <c r="DH1600" t="str">
        <f>IF(DG1600=0,"0",IF(AND(DG1600&gt;=1,DG1600&lt;=30),"1-30",IF(AND(DG1600&gt;30,DG1600&lt;=70),"31-70",IF(AND(DG1600&gt;70,DG1600&lt;=100),"71-100",IF(DG1600&gt;100,"+100")))))</f>
        <v>1-30</v>
      </c>
      <c r="DI1600">
        <v>0</v>
      </c>
      <c r="DJ1600">
        <v>1</v>
      </c>
      <c r="DK1600">
        <v>0</v>
      </c>
      <c r="DL1600">
        <v>0</v>
      </c>
      <c r="DM1600">
        <v>0</v>
      </c>
      <c r="DN1600">
        <v>1</v>
      </c>
      <c r="DO1600" t="str">
        <f>IF(DN1600=1,INDEX($DI$7:$DL$7,MATCH(1,$DI1600:$DL1600,0)),"mixedProduct")</f>
        <v>EnergyInput</v>
      </c>
      <c r="DP1600">
        <f>IF(DI1600=1,DP$7,0)</f>
        <v>0</v>
      </c>
      <c r="DQ1600" t="str">
        <f>IF(DJ1600=1,DQ$7,0)</f>
        <v>Energy</v>
      </c>
      <c r="DR1600">
        <f>IF(DK1600=1,DR$7,0)</f>
        <v>0</v>
      </c>
      <c r="DS1600">
        <f>IF(DL1600=1,DS$7,0)</f>
        <v>0</v>
      </c>
      <c r="DT1600">
        <v>0</v>
      </c>
      <c r="DU1600">
        <v>0</v>
      </c>
      <c r="DV1600">
        <v>0</v>
      </c>
      <c r="DW1600">
        <v>0</v>
      </c>
      <c r="DX1600">
        <v>0</v>
      </c>
      <c r="DY1600">
        <f>SUM(DT1600:DU1600)</f>
        <v>0</v>
      </c>
      <c r="DZ1600" s="143" t="s">
        <v>926</v>
      </c>
      <c r="EA1600">
        <v>0</v>
      </c>
      <c r="EB1600">
        <v>1</v>
      </c>
      <c r="EC1600">
        <v>0</v>
      </c>
      <c r="ED1600">
        <v>0</v>
      </c>
      <c r="EE1600">
        <v>0</v>
      </c>
      <c r="EF1600" s="143">
        <v>0</v>
      </c>
      <c r="EG1600">
        <v>1</v>
      </c>
      <c r="EH1600">
        <v>1</v>
      </c>
      <c r="EI1600">
        <v>0</v>
      </c>
      <c r="EJ1600">
        <v>0</v>
      </c>
      <c r="EK1600">
        <v>0</v>
      </c>
      <c r="EL1600">
        <v>0</v>
      </c>
      <c r="EM1600">
        <v>0</v>
      </c>
      <c r="EN1600" s="2">
        <v>0</v>
      </c>
      <c r="EP1600" t="str">
        <f>IF(AND(AND(AND(OR($EC1600=1,$EB1600=1),OR($EH1600=1,$EF1600=1)),SUM($EA1600:$EE1600,$EK1600)&gt;=3),SUM($EF1600:$EJ1600)&gt;=2),"Whole sector approach","")</f>
        <v/>
      </c>
      <c r="EQ1600" t="str">
        <f>IF(AND(AND(OR($EC1600=1,$EB1600=1),AND($EH1600=0,$EF1600=0)),SUM($EA1600:$EE1600,$EK1600)&gt;=4),"Ecosystem approach","")</f>
        <v/>
      </c>
      <c r="ER1600" s="2" t="str">
        <f>IF(AND(AND(AND($EC1600=0,$EB1600=0),OR($EH1600=1,$EF1600=1)),SUM($EG1600:$EJ1600)&gt;=2),"Technology approach","")</f>
        <v/>
      </c>
      <c r="ES1600" t="str">
        <f>IF(AND($EC1600+$EB1600+$EE1600+$EA1600+$ED1600+$EG1600=0,$N1600="included"),"C neutral forest and HWP assumption","")</f>
        <v/>
      </c>
      <c r="ET1600" t="str">
        <f>IF(AND(AND(AND(AND($EC1600=1,$EB1600+$EA1600+$EG1600&gt;=1),$EF1600=1),$EH1600+$EI1600+$ED1600+$EE1600&gt;=2),$N1600="included"),"All C pools assumption","")</f>
        <v/>
      </c>
      <c r="EU1600" t="str">
        <f>IF(AND($ED1600+$EE1600+$EI1600+$EH1600+$EF1600=0,$N1600="included"),"In-situ only assumption","")</f>
        <v/>
      </c>
      <c r="EY1600" t="b">
        <f>IF(ISNUMBER(BW1600),IF(ABS(BW1600-[2]QC_indicators!$B$2)&gt;3*[2]QC_indicators!$C$2,"C ratio",IF(ISNUMBER(CA1600),IF(ABS(CA1600-[2]QC_indicators!$B$1)&gt;3*[2]QC_indicators!$C$1,"DF","no"))),IF(ISNUMBER(CA1600),IF(ABS(CA1600-[2]QC_indicators!$B$1)&gt;3*[2]QC_indicators!$C$1,"DF","no")))</f>
        <v>0</v>
      </c>
      <c r="FA1600" t="str">
        <f>IF(LEN($CY1600)=0,"",IF(AND($CY1600&lt;(-0.05),$ES1600="C neutral forest and HWP assumption"),"Cneutral paradox",IF(AND($CY1600&gt;0.05,$EU1600="In-situ only assumption"),"In-situ only paradox","")))</f>
        <v/>
      </c>
      <c r="FD1600" s="260" t="s">
        <v>2862</v>
      </c>
    </row>
    <row r="1601" spans="1:160">
      <c r="A1601" s="1" t="s">
        <v>333</v>
      </c>
      <c r="B1601" t="s">
        <v>989</v>
      </c>
      <c r="C1601" t="s">
        <v>990</v>
      </c>
      <c r="D1601" t="s">
        <v>991</v>
      </c>
      <c r="E1601" t="s">
        <v>992</v>
      </c>
      <c r="F1601" t="s">
        <v>993</v>
      </c>
      <c r="G1601" t="s">
        <v>339</v>
      </c>
      <c r="H1601" t="s">
        <v>254</v>
      </c>
      <c r="I1601">
        <v>2022</v>
      </c>
      <c r="J1601">
        <v>3</v>
      </c>
      <c r="K1601" t="s">
        <v>994</v>
      </c>
      <c r="M1601" t="str">
        <f>LEFT($D1601,FIND(",",$D1601)-1)&amp;"_"&amp;I1601&amp;L1601</f>
        <v>Robati_2022</v>
      </c>
      <c r="N1601" t="s">
        <v>222</v>
      </c>
      <c r="O1601" s="317" t="s">
        <v>223</v>
      </c>
      <c r="Q1601" s="317" t="s">
        <v>389</v>
      </c>
      <c r="R1601" s="318" t="s">
        <v>1029</v>
      </c>
      <c r="S1601" s="320" t="s">
        <v>5052</v>
      </c>
      <c r="T1601" s="317" t="s">
        <v>999</v>
      </c>
      <c r="U1601" s="317" t="s">
        <v>995</v>
      </c>
      <c r="V1601" s="253">
        <v>0</v>
      </c>
      <c r="W1601" s="253">
        <v>0</v>
      </c>
      <c r="X1601">
        <v>0</v>
      </c>
      <c r="Y1601">
        <v>0</v>
      </c>
      <c r="Z1601">
        <v>0</v>
      </c>
      <c r="AA1601">
        <v>0</v>
      </c>
      <c r="AB1601">
        <v>0</v>
      </c>
      <c r="AC1601">
        <v>0</v>
      </c>
      <c r="AD1601">
        <v>0</v>
      </c>
      <c r="AE1601">
        <v>0</v>
      </c>
      <c r="AF1601">
        <v>0</v>
      </c>
      <c r="AG1601">
        <v>0</v>
      </c>
      <c r="AH1601">
        <v>0</v>
      </c>
      <c r="AI1601">
        <v>0</v>
      </c>
      <c r="AJ1601">
        <v>0</v>
      </c>
      <c r="AK1601">
        <v>0</v>
      </c>
      <c r="AL1601">
        <v>0</v>
      </c>
      <c r="AM1601">
        <v>1</v>
      </c>
      <c r="AN1601">
        <v>0</v>
      </c>
      <c r="AO1601">
        <v>0</v>
      </c>
      <c r="AP1601">
        <v>0</v>
      </c>
      <c r="AQ1601">
        <v>0</v>
      </c>
      <c r="AR1601">
        <v>0</v>
      </c>
      <c r="AS1601">
        <v>0</v>
      </c>
      <c r="AT1601">
        <v>0</v>
      </c>
      <c r="AU1601">
        <v>0</v>
      </c>
      <c r="AV1601">
        <v>0</v>
      </c>
      <c r="AW1601">
        <v>0</v>
      </c>
      <c r="AX1601">
        <v>0</v>
      </c>
      <c r="AY1601">
        <v>0</v>
      </c>
      <c r="AZ1601" s="141">
        <f>COUNTIF(X1601:AY1601,"&lt;&gt;0")</f>
        <v>1</v>
      </c>
      <c r="BA1601" s="141">
        <f>COUNTIF(X1601:AN1601,"&lt;&gt;0")</f>
        <v>1</v>
      </c>
      <c r="BB1601">
        <f>COUNTIF(X1601:AE1601,"&lt;&gt;0")</f>
        <v>0</v>
      </c>
      <c r="BC1601">
        <f>COUNTIF(AF1601:AK1601,"&lt;&gt;0")</f>
        <v>0</v>
      </c>
      <c r="BD1601">
        <f>COUNTIF(AL1601:AN1601,"&lt;&gt;0")</f>
        <v>1</v>
      </c>
      <c r="BE1601">
        <f>COUNTIF(AU1601:AY1601,"&lt;&gt;0")</f>
        <v>0</v>
      </c>
      <c r="BF1601">
        <f>COUNTIF(AO1601:AT1601,"&lt;&gt;0")</f>
        <v>0</v>
      </c>
      <c r="BG1601" t="str" cm="1">
        <f t="array" ref="BG1601">IF(BA1601=1,INDEX($X$7:$AN$7,MATCH(TRUE,INDEX($X1601:$AY1601&lt;&gt;0,),0)),IF(BA1601=0,INDEX($AO$7:$AY$7,MATCH(1,$AO1601:$AY1601,0)),IF(BH1601="Multiple strategies","mixed drivers",IF(BH1601="Supply chain","multiple supply","multiple silviculture"))))</f>
        <v>technologies/design switch</v>
      </c>
      <c r="BH1601" s="2" t="str" cm="1">
        <f t="array" ref="BH1601">IF(COUNTIF(BB1601:BD1601,"&lt;&gt;0")=1,INDEX($X$4:$AY$4,MATCH(TRUE,INDEX($X1601:$AY1601&lt;&gt;0,),0)),IF(COUNTIF(BB1601:BD1601,"&lt;&gt;0")=0,INDEX($AO$4:$AY$4,MATCH(1,$AO1601:$AY1601,0)),"Multiple strategies"))</f>
        <v>Technology</v>
      </c>
      <c r="BI1601" s="1" t="s">
        <v>229</v>
      </c>
      <c r="BJ1601" s="317" t="s">
        <v>996</v>
      </c>
      <c r="BK1601" s="317" t="s">
        <v>702</v>
      </c>
      <c r="BL1601" s="317" t="s">
        <v>997</v>
      </c>
      <c r="BM1601">
        <f>(6.17+4901.94+10375.04)/43229</f>
        <v>0.35353929075389212</v>
      </c>
      <c r="BN1601">
        <f>(6.17+4901.94+10375.04+8069.52+1195.9)/43229</f>
        <v>0.56787272432857583</v>
      </c>
      <c r="BO1601" s="317">
        <f>BN1601/BM1601</f>
        <v>1.606250674762729</v>
      </c>
      <c r="BP1601">
        <f>BN1601-BM1601</f>
        <v>0.21433343357468371</v>
      </c>
      <c r="BQ1601">
        <f>BN1601-BM1601</f>
        <v>0.21433343357468371</v>
      </c>
      <c r="BR1601" t="s">
        <v>232</v>
      </c>
      <c r="BS1601" s="317" t="s">
        <v>5053</v>
      </c>
      <c r="BT1601" s="317" t="s">
        <v>998</v>
      </c>
      <c r="BU1601">
        <f>-1.25</f>
        <v>-1.25</v>
      </c>
      <c r="BV1601">
        <f>-64.7</f>
        <v>-64.7</v>
      </c>
      <c r="BW1601" s="144">
        <f>IFERROR(BV1601/BU1601,"")</f>
        <v>51.760000000000005</v>
      </c>
      <c r="BX1601">
        <f>BV1601-BU1601</f>
        <v>-63.45</v>
      </c>
      <c r="BZ1601">
        <f>BX1601/1000</f>
        <v>-6.3450000000000006E-2</v>
      </c>
      <c r="CA1601">
        <f>IFERROR(BZ1601/BQ1601,"")</f>
        <v>-0.29603407616708144</v>
      </c>
      <c r="CB1601">
        <v>0</v>
      </c>
      <c r="CC1601">
        <v>0</v>
      </c>
      <c r="CD1601">
        <v>0</v>
      </c>
      <c r="CE1601">
        <v>0</v>
      </c>
      <c r="CF1601">
        <v>0</v>
      </c>
      <c r="CG1601">
        <v>0</v>
      </c>
      <c r="CH1601">
        <v>0</v>
      </c>
      <c r="CI1601">
        <v>0</v>
      </c>
      <c r="CJ1601">
        <v>0</v>
      </c>
      <c r="CK1601">
        <v>0</v>
      </c>
      <c r="CL1601">
        <v>0</v>
      </c>
      <c r="CM1601">
        <v>0</v>
      </c>
      <c r="CN1601">
        <v>0</v>
      </c>
      <c r="CO1601">
        <v>0</v>
      </c>
      <c r="CP1601" t="str">
        <f>IF($BN1601&lt;$BM1601,"refNeedCorrection","refOK")</f>
        <v>refOK</v>
      </c>
      <c r="CQ1601">
        <f>IF($CP1601="refOK",$BM1601,$BN1601)</f>
        <v>0.35353929075389212</v>
      </c>
      <c r="CR1601">
        <f>IF($CP1601="refOK",$BN1601,$BM1601)</f>
        <v>0.56787272432857583</v>
      </c>
      <c r="CS1601">
        <f>IF($CP1601="refOK",$BQ1601,-$BQ1601)</f>
        <v>0.21433343357468371</v>
      </c>
      <c r="CT1601">
        <f>IF(BI1601="Roundwood",$CS1601/2,$CS1601)</f>
        <v>0.21433343357468371</v>
      </c>
      <c r="CU1601">
        <f>IF($CP1601="refOK",$BU1601,$BV1601)*IF($BR1601="Emissions positive",-1,1)</f>
        <v>-1.25</v>
      </c>
      <c r="CV1601">
        <f>IF($CP1601="refOK",$BV1601,$BU1601)*IF($BR1601="Emissions positive",-1,1)</f>
        <v>-64.7</v>
      </c>
      <c r="CW1601">
        <f>IF($CP1601="refNeedCorrection",-BZ1601,BZ1601)*IF($BR1601="Emissions positive",-1,1)</f>
        <v>-6.3450000000000006E-2</v>
      </c>
      <c r="CX1601">
        <f>IFERROR($CW1601/$CS1601,"")</f>
        <v>-0.29603407616708144</v>
      </c>
      <c r="CY1601">
        <f>IFERROR($CW1601/$CS1601,"")</f>
        <v>-0.29603407616708144</v>
      </c>
      <c r="CZ1601">
        <f>IFERROR($CW1601/$CT1601,"")</f>
        <v>-0.29603407616708144</v>
      </c>
      <c r="DA1601" s="2">
        <f>IFERROR((CV1601-CU1601)/ABS(CU1601),"")</f>
        <v>-50.760000000000005</v>
      </c>
      <c r="DB1601" s="320" t="s">
        <v>263</v>
      </c>
      <c r="DC1601" s="317" t="str">
        <f>IF(OR($DB1601="prd",$DB1601="std",$DB1601="cit"),"loc",IF(OR($DB1601="eur",$DB1601="reg",$DB1601="coy"),"reg",$DB1601))</f>
        <v>loc</v>
      </c>
      <c r="DD1601" s="317" t="s">
        <v>561</v>
      </c>
      <c r="DG1601">
        <v>0</v>
      </c>
      <c r="DH1601" t="str">
        <f>IF(DG1601=0,"0",IF(AND(DG1601&gt;=1,DG1601&lt;=30),"1-30",IF(AND(DG1601&gt;30,DG1601&lt;=70),"31-70",IF(AND(DG1601&gt;70,DG1601&lt;=100),"71-100",IF(DG1601&gt;100,"+100")))))</f>
        <v>0</v>
      </c>
      <c r="DI1601">
        <v>0</v>
      </c>
      <c r="DJ1601">
        <v>0</v>
      </c>
      <c r="DK1601">
        <v>0</v>
      </c>
      <c r="DL1601">
        <v>1</v>
      </c>
      <c r="DM1601">
        <v>0</v>
      </c>
      <c r="DN1601">
        <f>SUM(DI1601:DL1601)</f>
        <v>1</v>
      </c>
      <c r="DO1601" t="str">
        <f>IF(DN1601=1,INDEX($DI$7:$DL$7,MATCH(1,$DI1601:$DL1601,0)),"mixedProduct")</f>
        <v>TimberInput</v>
      </c>
      <c r="DP1601">
        <f>IF(DI1601=1,DP$7,0)</f>
        <v>0</v>
      </c>
      <c r="DQ1601">
        <f>IF(DJ1601=1,DQ$7,0)</f>
        <v>0</v>
      </c>
      <c r="DR1601">
        <f>IF(DK1601=1,DR$7,0)</f>
        <v>0</v>
      </c>
      <c r="DS1601" t="str">
        <f>IF(DL1601=1,DS$7,0)</f>
        <v>Timber</v>
      </c>
      <c r="DT1601">
        <v>0</v>
      </c>
      <c r="DU1601">
        <v>0</v>
      </c>
      <c r="DV1601">
        <v>0</v>
      </c>
      <c r="DW1601">
        <v>0</v>
      </c>
      <c r="DX1601">
        <v>0</v>
      </c>
      <c r="DY1601">
        <f>SUM(DT1601:DU1601)</f>
        <v>0</v>
      </c>
      <c r="DZ1601" s="143" t="str">
        <f>IF(DT1601=1,"self-calculated DF",IF(DU1601=1,"external DF used","explicit C balance"))</f>
        <v>explicit C balance</v>
      </c>
      <c r="EA1601">
        <v>0</v>
      </c>
      <c r="EB1601">
        <v>1</v>
      </c>
      <c r="EC1601">
        <v>0</v>
      </c>
      <c r="ED1601">
        <v>0</v>
      </c>
      <c r="EE1601">
        <v>0</v>
      </c>
      <c r="EF1601">
        <v>0</v>
      </c>
      <c r="EG1601">
        <v>0</v>
      </c>
      <c r="EH1601">
        <v>0</v>
      </c>
      <c r="EI1601">
        <v>0</v>
      </c>
      <c r="EJ1601">
        <v>0</v>
      </c>
      <c r="EK1601">
        <v>0</v>
      </c>
      <c r="EL1601">
        <v>0</v>
      </c>
      <c r="EM1601">
        <v>0</v>
      </c>
      <c r="EN1601" s="2">
        <v>0</v>
      </c>
      <c r="EP1601" t="str">
        <f>IF(AND(AND(AND(OR($EC1601=1,$EB1601=1),OR($EH1601=1,$EF1601=1)),SUM($EA1601:$EE1601,$EK1601)&gt;=3),SUM($EF1601:$EJ1601)&gt;=2),"Whole sector approach","")</f>
        <v/>
      </c>
      <c r="EQ1601" t="str">
        <f>IF(AND(AND(OR($EC1601=1,$EB1601=1),AND($EH1601=0,$EF1601=0)),SUM($EA1601:$EE1601,$EK1601)&gt;=3),"Ecosystem approach","")</f>
        <v/>
      </c>
      <c r="ER1601" s="2" t="str">
        <f>IF(AND(AND(AND($EC1601=0,$EB1601=0),OR($EH1601=1,$EF1601=1)),SUM($EG1601:$EJ1601)&gt;=2),"Technology approach","")</f>
        <v/>
      </c>
      <c r="ES1601" t="str">
        <f>IF(AND($EC1601+$EB1601+$EE1601+$EA1601+$ED1601+$EG1601=0,$N1601="included"),"C neutral forest and HWP assumption","")</f>
        <v/>
      </c>
      <c r="ET1601" t="str">
        <f>IF(AND(AND(AND(AND($EC1601=1,$EB1601+$EA1601+$EG1601&gt;=1),$EF1601=1),$EH1601+$EI1601+$ED1601+$EE1601&gt;=2),$N1601="included"),"All C pools assumption","")</f>
        <v/>
      </c>
      <c r="EU1601" t="str">
        <f>IF(AND($ED1601+$EE1601+$EI1601+$EH1601+$EF1601=0,$N1601="included"),"In-situ only assumption","")</f>
        <v>In-situ only assumption</v>
      </c>
      <c r="EY1601" t="str">
        <f>IF(ISNUMBER(BW1601),IF(ABS(BW1601-[4]QC_indicators!$B$2)&gt;3*[4]QC_indicators!$C$2,"C ratio",IF(ISNUMBER(CA1601),IF(ABS(CA1601-[4]QC_indicators!$B$1)&gt;3*[4]QC_indicators!$C$1,"DF","no"))),IF(ISNUMBER(CA1601),IF(ABS(CA1601-[4]QC_indicators!$B$1)&gt;3*[4]QC_indicators!$C$1,"DF","no")))</f>
        <v>C ratio</v>
      </c>
      <c r="FA1601" t="str">
        <f>IF(LEN($CY1601)=0,"",IF(AND($CY1601&lt;(-0.05),$ES1601="C neutral forest and HWP assumption"),"Cneutral paradox",IF(AND($CY1601&gt;0.05,$EU1601="In-situ only assumption"),"In-situ only paradox","")))</f>
        <v/>
      </c>
      <c r="FD1601" t="s">
        <v>5054</v>
      </c>
    </row>
    <row r="1602" spans="1:160" hidden="1">
      <c r="A1602" s="1" t="s">
        <v>333</v>
      </c>
      <c r="B1602" t="s">
        <v>989</v>
      </c>
      <c r="C1602" t="s">
        <v>990</v>
      </c>
      <c r="D1602" t="s">
        <v>991</v>
      </c>
      <c r="E1602" t="s">
        <v>992</v>
      </c>
      <c r="F1602" t="s">
        <v>993</v>
      </c>
      <c r="G1602" t="s">
        <v>339</v>
      </c>
      <c r="H1602" t="s">
        <v>254</v>
      </c>
      <c r="I1602">
        <v>2022</v>
      </c>
      <c r="J1602">
        <v>3</v>
      </c>
      <c r="K1602" t="s">
        <v>994</v>
      </c>
      <c r="M1602" t="str">
        <f>LEFT($D1602,FIND(",",$D1602)-1)&amp;"_"&amp;I1602&amp;L1602</f>
        <v>Robati_2022</v>
      </c>
      <c r="N1602" t="s">
        <v>222</v>
      </c>
      <c r="O1602" s="317" t="s">
        <v>223</v>
      </c>
      <c r="Q1602" s="317" t="s">
        <v>389</v>
      </c>
      <c r="R1602" s="318" t="s">
        <v>1029</v>
      </c>
      <c r="S1602" s="320" t="s">
        <v>5055</v>
      </c>
      <c r="T1602" s="317" t="s">
        <v>999</v>
      </c>
      <c r="U1602" s="317" t="s">
        <v>995</v>
      </c>
      <c r="V1602" s="253">
        <v>0</v>
      </c>
      <c r="W1602" s="253">
        <v>0</v>
      </c>
      <c r="X1602">
        <v>0</v>
      </c>
      <c r="Y1602">
        <v>0</v>
      </c>
      <c r="Z1602">
        <v>0</v>
      </c>
      <c r="AA1602">
        <v>0</v>
      </c>
      <c r="AB1602">
        <v>0</v>
      </c>
      <c r="AC1602">
        <v>0</v>
      </c>
      <c r="AD1602">
        <v>0</v>
      </c>
      <c r="AE1602">
        <v>0</v>
      </c>
      <c r="AF1602">
        <v>0</v>
      </c>
      <c r="AG1602">
        <v>0</v>
      </c>
      <c r="AH1602">
        <v>0</v>
      </c>
      <c r="AI1602">
        <v>0</v>
      </c>
      <c r="AJ1602">
        <v>0</v>
      </c>
      <c r="AK1602">
        <v>0</v>
      </c>
      <c r="AL1602">
        <v>0</v>
      </c>
      <c r="AM1602">
        <v>1</v>
      </c>
      <c r="AN1602">
        <v>0</v>
      </c>
      <c r="AO1602">
        <v>0</v>
      </c>
      <c r="AP1602">
        <v>0</v>
      </c>
      <c r="AQ1602">
        <v>0</v>
      </c>
      <c r="AR1602">
        <v>0</v>
      </c>
      <c r="AS1602">
        <v>0</v>
      </c>
      <c r="AT1602">
        <v>0</v>
      </c>
      <c r="AU1602">
        <v>0</v>
      </c>
      <c r="AV1602">
        <v>0</v>
      </c>
      <c r="AW1602">
        <v>0</v>
      </c>
      <c r="AX1602">
        <v>0</v>
      </c>
      <c r="AY1602">
        <v>0</v>
      </c>
      <c r="AZ1602" s="141">
        <f>COUNTIF(X1602:AY1602,"&lt;&gt;0")</f>
        <v>1</v>
      </c>
      <c r="BA1602" s="141">
        <f>COUNTIF(X1602:AN1602,"&lt;&gt;0")</f>
        <v>1</v>
      </c>
      <c r="BB1602">
        <f>COUNTIF(X1602:AE1602,"&lt;&gt;0")</f>
        <v>0</v>
      </c>
      <c r="BC1602">
        <f>COUNTIF(AF1602:AK1602,"&lt;&gt;0")</f>
        <v>0</v>
      </c>
      <c r="BD1602">
        <f>COUNTIF(AL1602:AN1602,"&lt;&gt;0")</f>
        <v>1</v>
      </c>
      <c r="BE1602">
        <f>COUNTIF(AU1602:AY1602,"&lt;&gt;0")</f>
        <v>0</v>
      </c>
      <c r="BF1602">
        <f>COUNTIF(AO1602:AT1602,"&lt;&gt;0")</f>
        <v>0</v>
      </c>
      <c r="BG1602" t="str" cm="1">
        <f t="array" ref="BG1602">IF(BA1602=1,INDEX($X$7:$AN$7,MATCH(TRUE,INDEX($X1602:$AY1602&lt;&gt;0,),0)),IF(BA1602=0,INDEX($AO$7:$AY$7,MATCH(1,$AO1602:$AY1602,0)),IF(BH1602="Multiple strategies","mixed drivers",IF(BH1602="Supply chain","multiple supply","multiple silviculture"))))</f>
        <v>technologies/design switch</v>
      </c>
      <c r="BH1602" s="2" t="str" cm="1">
        <f t="array" ref="BH1602">IF(COUNTIF(BB1602:BD1602,"&lt;&gt;0")=1,INDEX($X$4:$AY$4,MATCH(TRUE,INDEX($X1602:$AY1602&lt;&gt;0,),0)),IF(COUNTIF(BB1602:BD1602,"&lt;&gt;0")=0,INDEX($AO$4:$AY$4,MATCH(1,$AO1602:$AY1602,0)),"Multiple strategies"))</f>
        <v>Technology</v>
      </c>
      <c r="BI1602" s="1" t="s">
        <v>229</v>
      </c>
      <c r="BJ1602" s="317" t="s">
        <v>996</v>
      </c>
      <c r="BK1602" s="317" t="s">
        <v>702</v>
      </c>
      <c r="BL1602" s="317" t="s">
        <v>997</v>
      </c>
      <c r="BM1602">
        <f>(6.17+4901.94+10375.04)/43229</f>
        <v>0.35353929075389212</v>
      </c>
      <c r="BN1602">
        <f>(6.17+4901.94+10375.04+8069.52+1195.9)/43229</f>
        <v>0.56787272432857583</v>
      </c>
      <c r="BO1602" s="317">
        <f>BN1602/BM1602</f>
        <v>1.606250674762729</v>
      </c>
      <c r="BP1602">
        <f>BN1602-BM1602</f>
        <v>0.21433343357468371</v>
      </c>
      <c r="BQ1602">
        <f>BN1602-BM1602</f>
        <v>0.21433343357468371</v>
      </c>
      <c r="BR1602" t="s">
        <v>232</v>
      </c>
      <c r="BS1602" s="317" t="s">
        <v>5053</v>
      </c>
      <c r="BT1602" s="317" t="s">
        <v>998</v>
      </c>
      <c r="BU1602">
        <f>-1.25+2.1</f>
        <v>0.85000000000000009</v>
      </c>
      <c r="BV1602">
        <f>-64.7+158</f>
        <v>93.3</v>
      </c>
      <c r="BW1602" s="144">
        <f>IFERROR(BV1602/BU1602,"")</f>
        <v>109.76470588235293</v>
      </c>
      <c r="BX1602">
        <f>BV1602-BU1602</f>
        <v>92.45</v>
      </c>
      <c r="BZ1602">
        <f>BX1602/1000</f>
        <v>9.2450000000000004E-2</v>
      </c>
      <c r="CA1602">
        <f>IFERROR(BZ1602/BQ1602,"")</f>
        <v>0.43133727882815881</v>
      </c>
      <c r="CB1602">
        <v>0</v>
      </c>
      <c r="CC1602">
        <v>0</v>
      </c>
      <c r="CD1602">
        <v>0</v>
      </c>
      <c r="CE1602">
        <v>0</v>
      </c>
      <c r="CF1602">
        <v>0</v>
      </c>
      <c r="CG1602">
        <v>0</v>
      </c>
      <c r="CH1602">
        <v>0</v>
      </c>
      <c r="CI1602">
        <v>0</v>
      </c>
      <c r="CJ1602">
        <v>0</v>
      </c>
      <c r="CK1602">
        <v>0</v>
      </c>
      <c r="CL1602">
        <v>0</v>
      </c>
      <c r="CM1602">
        <v>0</v>
      </c>
      <c r="CN1602">
        <v>0</v>
      </c>
      <c r="CO1602">
        <v>0</v>
      </c>
      <c r="CP1602" t="str">
        <f>IF($BN1602&lt;$BM1602,"refNeedCorrection","refOK")</f>
        <v>refOK</v>
      </c>
      <c r="CQ1602">
        <f>IF($CP1602="refOK",$BM1602,$BN1602)</f>
        <v>0.35353929075389212</v>
      </c>
      <c r="CR1602">
        <f>IF($CP1602="refOK",$BN1602,$BM1602)</f>
        <v>0.56787272432857583</v>
      </c>
      <c r="CS1602">
        <f>IF($CP1602="refOK",$BQ1602,-$BQ1602)</f>
        <v>0.21433343357468371</v>
      </c>
      <c r="CT1602">
        <f>IF(BI1602="Roundwood",$CS1602/2,$CS1602)</f>
        <v>0.21433343357468371</v>
      </c>
      <c r="CU1602">
        <f>IF($CP1602="refOK",$BU1602,$BV1602)*IF($BR1602="Emissions positive",-1,1)</f>
        <v>0.85000000000000009</v>
      </c>
      <c r="CV1602">
        <f>IF($CP1602="refOK",$BV1602,$BU1602)*IF($BR1602="Emissions positive",-1,1)</f>
        <v>93.3</v>
      </c>
      <c r="CW1602">
        <f>IF($CP1602="refNeedCorrection",-BZ1602,BZ1602)*IF($BR1602="Emissions positive",-1,1)</f>
        <v>9.2450000000000004E-2</v>
      </c>
      <c r="CX1602">
        <f>IFERROR($CW1602/$CS1602,"")</f>
        <v>0.43133727882815881</v>
      </c>
      <c r="CY1602">
        <f>IFERROR($CW1602/$CS1602,"")</f>
        <v>0.43133727882815881</v>
      </c>
      <c r="CZ1602">
        <f>IFERROR($CW1602/$CT1602,"")</f>
        <v>0.43133727882815881</v>
      </c>
      <c r="DA1602" s="2">
        <f>IFERROR((CV1602-CU1602)/ABS(CU1602),"")</f>
        <v>108.76470588235293</v>
      </c>
      <c r="DB1602" s="320" t="s">
        <v>263</v>
      </c>
      <c r="DC1602" s="317" t="str">
        <f>IF(OR($DB1602="prd",$DB1602="std",$DB1602="cit"),"loc",IF(OR($DB1602="eur",$DB1602="reg",$DB1602="coy"),"reg",$DB1602))</f>
        <v>loc</v>
      </c>
      <c r="DD1602" s="317" t="s">
        <v>561</v>
      </c>
      <c r="DG1602">
        <v>0</v>
      </c>
      <c r="DH1602" t="str">
        <f>IF(DG1602=0,"0",IF(AND(DG1602&gt;=1,DG1602&lt;=30),"1-30",IF(AND(DG1602&gt;30,DG1602&lt;=70),"31-70",IF(AND(DG1602&gt;70,DG1602&lt;=100),"71-100",IF(DG1602&gt;100,"+100")))))</f>
        <v>0</v>
      </c>
      <c r="DI1602">
        <v>0</v>
      </c>
      <c r="DJ1602">
        <v>0</v>
      </c>
      <c r="DK1602">
        <v>0</v>
      </c>
      <c r="DL1602">
        <v>1</v>
      </c>
      <c r="DM1602">
        <v>0</v>
      </c>
      <c r="DN1602">
        <f>SUM(DI1602:DL1602)</f>
        <v>1</v>
      </c>
      <c r="DO1602" t="str">
        <f>IF(DN1602=1,INDEX($DI$7:$DL$7,MATCH(1,$DI1602:$DL1602,0)),"mixedProduct")</f>
        <v>TimberInput</v>
      </c>
      <c r="DP1602">
        <f>IF(DI1602=1,DP$7,0)</f>
        <v>0</v>
      </c>
      <c r="DQ1602">
        <f>IF(DJ1602=1,DQ$7,0)</f>
        <v>0</v>
      </c>
      <c r="DR1602">
        <f>IF(DK1602=1,DR$7,0)</f>
        <v>0</v>
      </c>
      <c r="DS1602" t="str">
        <f>IF(DL1602=1,DS$7,0)</f>
        <v>Timber</v>
      </c>
      <c r="DT1602">
        <v>0</v>
      </c>
      <c r="DU1602">
        <v>0</v>
      </c>
      <c r="DV1602">
        <v>0</v>
      </c>
      <c r="DW1602">
        <v>0</v>
      </c>
      <c r="DX1602">
        <v>0</v>
      </c>
      <c r="DY1602">
        <f>SUM(DT1602:DU1602)</f>
        <v>0</v>
      </c>
      <c r="DZ1602" s="143" t="str">
        <f>IF(DT1602=1,"self-calculated DF",IF(DU1602=1,"external DF used","explicit C balance"))</f>
        <v>explicit C balance</v>
      </c>
      <c r="EA1602">
        <v>0</v>
      </c>
      <c r="EB1602">
        <v>1</v>
      </c>
      <c r="EC1602">
        <v>0</v>
      </c>
      <c r="ED1602">
        <v>1</v>
      </c>
      <c r="EE1602">
        <v>0</v>
      </c>
      <c r="EF1602">
        <v>0</v>
      </c>
      <c r="EG1602">
        <v>0</v>
      </c>
      <c r="EH1602">
        <v>0</v>
      </c>
      <c r="EI1602">
        <v>0</v>
      </c>
      <c r="EJ1602">
        <v>0</v>
      </c>
      <c r="EK1602">
        <v>0</v>
      </c>
      <c r="EL1602">
        <v>0</v>
      </c>
      <c r="EM1602">
        <v>0</v>
      </c>
      <c r="EN1602" s="2">
        <v>0</v>
      </c>
      <c r="EP1602" t="str">
        <f>IF(AND(AND(AND(OR($EC1602=1,$EB1602=1),OR($EH1602=1,$EF1602=1)),SUM($EA1602:$EE1602,$EK1602)&gt;=3),SUM($EF1602:$EJ1602)&gt;=2),"Whole sector approach","")</f>
        <v/>
      </c>
      <c r="EQ1602" t="str">
        <f>IF(AND(AND(OR($EC1602=1,$EB1602=1),AND($EH1602=0,$EF1602=0)),SUM($EA1602:$EE1602,$EK1602)&gt;=3),"Ecosystem approach","")</f>
        <v/>
      </c>
      <c r="ER1602" s="2" t="str">
        <f>IF(AND(AND(AND($EC1602=0,$EB1602=0),OR($EH1602=1,$EF1602=1)),SUM($EG1602:$EJ1602)&gt;=2),"Technology approach","")</f>
        <v/>
      </c>
      <c r="ES1602" t="str">
        <f>IF(AND($EC1602+$EB1602+$EE1602+$EA1602+$ED1602+$EG1602=0,$N1602="included"),"C neutral forest and HWP assumption","")</f>
        <v/>
      </c>
      <c r="ET1602" t="str">
        <f>IF(AND(AND(AND(AND($EC1602=1,$EB1602+$EA1602+$EG1602&gt;=1),$EF1602=1),$EH1602+$EI1602+$ED1602+$EE1602&gt;=2),$N1602="included"),"All C pools assumption","")</f>
        <v/>
      </c>
      <c r="EU1602" t="str">
        <f>IF(AND($ED1602+$EE1602+$EI1602+$EH1602+$EF1602=0,$N1602="included"),"In-situ only assumption","")</f>
        <v/>
      </c>
      <c r="EY1602" t="str">
        <f>IF(ISNUMBER(BW1602),IF(ABS(BW1602-[4]QC_indicators!$B$2)&gt;3*[4]QC_indicators!$C$2,"C ratio",IF(ISNUMBER(CA1602),IF(ABS(CA1602-[4]QC_indicators!$B$1)&gt;3*[4]QC_indicators!$C$1,"DF","no"))),IF(ISNUMBER(CA1602),IF(ABS(CA1602-[4]QC_indicators!$B$1)&gt;3*[4]QC_indicators!$C$1,"DF","no")))</f>
        <v>C ratio</v>
      </c>
      <c r="FA1602" t="str">
        <f>IF(LEN($CY1602)=0,"",IF(AND($CY1602&lt;(-0.05),$ES1602="C neutral forest and HWP assumption"),"Cneutral paradox",IF(AND($CY1602&gt;0.05,$EU1602="In-situ only assumption"),"In-situ only paradox","")))</f>
        <v/>
      </c>
      <c r="FD1602" t="s">
        <v>5054</v>
      </c>
    </row>
    <row r="1603" spans="1:160" ht="15" hidden="1" customHeight="1">
      <c r="A1603" s="1" t="s">
        <v>333</v>
      </c>
      <c r="B1603" t="s">
        <v>989</v>
      </c>
      <c r="C1603" t="s">
        <v>990</v>
      </c>
      <c r="D1603" t="s">
        <v>991</v>
      </c>
      <c r="E1603" t="s">
        <v>992</v>
      </c>
      <c r="F1603" t="s">
        <v>993</v>
      </c>
      <c r="G1603" t="s">
        <v>339</v>
      </c>
      <c r="H1603" t="s">
        <v>254</v>
      </c>
      <c r="I1603">
        <v>2022</v>
      </c>
      <c r="J1603">
        <v>3</v>
      </c>
      <c r="K1603" t="s">
        <v>994</v>
      </c>
      <c r="M1603" t="str">
        <f>LEFT($D1603,FIND(",",$D1603)-1)&amp;"_"&amp;I1603&amp;L1603</f>
        <v>Robati_2022</v>
      </c>
      <c r="N1603" t="s">
        <v>222</v>
      </c>
      <c r="O1603" s="317" t="s">
        <v>223</v>
      </c>
      <c r="Q1603" s="317" t="s">
        <v>389</v>
      </c>
      <c r="R1603" s="318" t="s">
        <v>1029</v>
      </c>
      <c r="S1603" s="320" t="s">
        <v>5058</v>
      </c>
      <c r="T1603" s="317" t="s">
        <v>999</v>
      </c>
      <c r="U1603" s="317" t="s">
        <v>995</v>
      </c>
      <c r="V1603" s="253">
        <v>0</v>
      </c>
      <c r="W1603" s="253">
        <v>0</v>
      </c>
      <c r="X1603">
        <v>0</v>
      </c>
      <c r="Y1603">
        <v>0</v>
      </c>
      <c r="Z1603">
        <v>0</v>
      </c>
      <c r="AA1603">
        <v>0</v>
      </c>
      <c r="AB1603">
        <v>0</v>
      </c>
      <c r="AC1603">
        <v>0</v>
      </c>
      <c r="AD1603">
        <v>0</v>
      </c>
      <c r="AE1603">
        <v>0</v>
      </c>
      <c r="AF1603">
        <v>0</v>
      </c>
      <c r="AG1603">
        <v>0</v>
      </c>
      <c r="AH1603">
        <v>0</v>
      </c>
      <c r="AI1603">
        <v>0</v>
      </c>
      <c r="AJ1603">
        <v>0</v>
      </c>
      <c r="AK1603">
        <v>0</v>
      </c>
      <c r="AL1603">
        <v>0</v>
      </c>
      <c r="AM1603">
        <v>1</v>
      </c>
      <c r="AN1603">
        <v>0</v>
      </c>
      <c r="AO1603">
        <v>0</v>
      </c>
      <c r="AP1603">
        <v>0</v>
      </c>
      <c r="AQ1603">
        <v>0</v>
      </c>
      <c r="AR1603">
        <v>0</v>
      </c>
      <c r="AS1603">
        <v>0</v>
      </c>
      <c r="AT1603">
        <v>0</v>
      </c>
      <c r="AU1603">
        <v>0</v>
      </c>
      <c r="AV1603">
        <v>0</v>
      </c>
      <c r="AW1603">
        <v>0</v>
      </c>
      <c r="AX1603">
        <v>0</v>
      </c>
      <c r="AY1603">
        <v>0</v>
      </c>
      <c r="AZ1603" s="141">
        <f>COUNTIF(X1603:AY1603,"&lt;&gt;0")</f>
        <v>1</v>
      </c>
      <c r="BA1603" s="141">
        <f>COUNTIF(X1603:AN1603,"&lt;&gt;0")</f>
        <v>1</v>
      </c>
      <c r="BB1603">
        <f>COUNTIF(X1603:AE1603,"&lt;&gt;0")</f>
        <v>0</v>
      </c>
      <c r="BC1603">
        <f>COUNTIF(AF1603:AK1603,"&lt;&gt;0")</f>
        <v>0</v>
      </c>
      <c r="BD1603">
        <f>COUNTIF(AL1603:AN1603,"&lt;&gt;0")</f>
        <v>1</v>
      </c>
      <c r="BE1603">
        <f>COUNTIF(AU1603:AY1603,"&lt;&gt;0")</f>
        <v>0</v>
      </c>
      <c r="BF1603">
        <f>COUNTIF(AO1603:AT1603,"&lt;&gt;0")</f>
        <v>0</v>
      </c>
      <c r="BG1603" t="str" cm="1">
        <f t="array" ref="BG1603">IF(BA1603=1,INDEX($X$7:$AN$7,MATCH(TRUE,INDEX($X1603:$AY1603&lt;&gt;0,),0)),IF(BA1603=0,INDEX($AO$7:$AY$7,MATCH(1,$AO1603:$AY1603,0)),IF(BH1603="Multiple strategies","mixed drivers",IF(BH1603="Supply chain","multiple supply","multiple silviculture"))))</f>
        <v>technologies/design switch</v>
      </c>
      <c r="BH1603" s="2" t="str" cm="1">
        <f t="array" ref="BH1603">IF(COUNTIF(BB1603:BD1603,"&lt;&gt;0")=1,INDEX($X$4:$AY$4,MATCH(TRUE,INDEX($X1603:$AY1603&lt;&gt;0,),0)),IF(COUNTIF(BB1603:BD1603,"&lt;&gt;0")=0,INDEX($AO$4:$AY$4,MATCH(1,$AO1603:$AY1603,0)),"Multiple strategies"))</f>
        <v>Technology</v>
      </c>
      <c r="BI1603" s="1" t="s">
        <v>229</v>
      </c>
      <c r="BJ1603" s="317" t="s">
        <v>996</v>
      </c>
      <c r="BK1603" s="317" t="s">
        <v>702</v>
      </c>
      <c r="BL1603" s="317" t="s">
        <v>997</v>
      </c>
      <c r="BM1603">
        <f>(6.17+4901.94+10375.04)/43229</f>
        <v>0.35353929075389212</v>
      </c>
      <c r="BN1603">
        <f>(6.17+4901.94+10375.04+8069.52+1195.9)/43229</f>
        <v>0.56787272432857583</v>
      </c>
      <c r="BO1603" s="317">
        <f>BN1603/BM1603</f>
        <v>1.606250674762729</v>
      </c>
      <c r="BP1603">
        <f>BN1603-BM1603</f>
        <v>0.21433343357468371</v>
      </c>
      <c r="BQ1603">
        <f>BN1603-BM1603</f>
        <v>0.21433343357468371</v>
      </c>
      <c r="BR1603" t="s">
        <v>232</v>
      </c>
      <c r="BS1603" s="317" t="s">
        <v>5053</v>
      </c>
      <c r="BT1603" s="317" t="s">
        <v>998</v>
      </c>
      <c r="BU1603">
        <f>-1.25+2.1-367.23-1.27+2.1-135.7+5.2</f>
        <v>-496.04999999999995</v>
      </c>
      <c r="BV1603">
        <f>-64.7+158-327.79-6.56+1.89-49.8-86.188</f>
        <v>-375.14800000000002</v>
      </c>
      <c r="BW1603" s="144">
        <f>IFERROR(BV1603/BU1603,"")</f>
        <v>0.75627053724422955</v>
      </c>
      <c r="BX1603">
        <f>BV1603-BU1603</f>
        <v>120.90199999999993</v>
      </c>
      <c r="BZ1603">
        <f>BX1603/1000</f>
        <v>0.12090199999999993</v>
      </c>
      <c r="CA1603">
        <f>IFERROR(BZ1603/BQ1603,"")</f>
        <v>0.56408371752170927</v>
      </c>
      <c r="CB1603">
        <v>0</v>
      </c>
      <c r="CC1603">
        <v>0</v>
      </c>
      <c r="CD1603">
        <v>0</v>
      </c>
      <c r="CE1603">
        <v>0</v>
      </c>
      <c r="CF1603">
        <v>0</v>
      </c>
      <c r="CG1603">
        <v>0</v>
      </c>
      <c r="CH1603">
        <v>0</v>
      </c>
      <c r="CI1603">
        <v>0</v>
      </c>
      <c r="CJ1603">
        <v>0</v>
      </c>
      <c r="CK1603">
        <v>0</v>
      </c>
      <c r="CL1603">
        <v>0</v>
      </c>
      <c r="CM1603">
        <v>0</v>
      </c>
      <c r="CN1603">
        <v>0</v>
      </c>
      <c r="CO1603">
        <v>0</v>
      </c>
      <c r="CP1603" t="str">
        <f>IF($BN1603&lt;$BM1603,"refNeedCorrection","refOK")</f>
        <v>refOK</v>
      </c>
      <c r="CQ1603">
        <f>IF($CP1603="refOK",$BM1603,$BN1603)</f>
        <v>0.35353929075389212</v>
      </c>
      <c r="CR1603">
        <f>IF($CP1603="refOK",$BN1603,$BM1603)</f>
        <v>0.56787272432857583</v>
      </c>
      <c r="CS1603">
        <f>IF($CP1603="refOK",$BQ1603,-$BQ1603)</f>
        <v>0.21433343357468371</v>
      </c>
      <c r="CT1603">
        <f>IF(BI1603="Roundwood",$CS1603/2,$CS1603)</f>
        <v>0.21433343357468371</v>
      </c>
      <c r="CU1603">
        <f>IF($CP1603="refOK",$BU1603,$BV1603)*IF($BR1603="Emissions positive",-1,1)</f>
        <v>-496.04999999999995</v>
      </c>
      <c r="CV1603">
        <f>IF($CP1603="refOK",$BV1603,$BU1603)*IF($BR1603="Emissions positive",-1,1)</f>
        <v>-375.14800000000002</v>
      </c>
      <c r="CW1603">
        <f>IF($CP1603="refNeedCorrection",-BZ1603,BZ1603)*IF($BR1603="Emissions positive",-1,1)</f>
        <v>0.12090199999999993</v>
      </c>
      <c r="CX1603">
        <f>IFERROR($CW1603/$CS1603,"")</f>
        <v>0.56408371752170927</v>
      </c>
      <c r="CY1603">
        <f>IFERROR($CW1603/$CS1603,"")</f>
        <v>0.56408371752170927</v>
      </c>
      <c r="CZ1603">
        <f>IFERROR($CW1603/$CT1603,"")</f>
        <v>0.56408371752170927</v>
      </c>
      <c r="DA1603" s="2">
        <f>IFERROR((CV1603-CU1603)/ABS(CU1603),"")</f>
        <v>0.24372946275577048</v>
      </c>
      <c r="DB1603" s="320" t="s">
        <v>263</v>
      </c>
      <c r="DC1603" s="317" t="str">
        <f>IF(OR($DB1603="prd",$DB1603="std",$DB1603="cit"),"loc",IF(OR($DB1603="eur",$DB1603="reg",$DB1603="coy"),"reg",$DB1603))</f>
        <v>loc</v>
      </c>
      <c r="DD1603" s="317" t="s">
        <v>561</v>
      </c>
      <c r="DG1603">
        <v>0</v>
      </c>
      <c r="DH1603" t="str">
        <f>IF(DG1603=0,"0",IF(AND(DG1603&gt;=1,DG1603&lt;=30),"1-30",IF(AND(DG1603&gt;30,DG1603&lt;=70),"31-70",IF(AND(DG1603&gt;70,DG1603&lt;=100),"71-100",IF(DG1603&gt;100,"+100")))))</f>
        <v>0</v>
      </c>
      <c r="DI1603">
        <v>0</v>
      </c>
      <c r="DJ1603">
        <v>0</v>
      </c>
      <c r="DK1603">
        <v>0</v>
      </c>
      <c r="DL1603">
        <v>1</v>
      </c>
      <c r="DM1603">
        <v>0</v>
      </c>
      <c r="DN1603">
        <f>SUM(DI1603:DL1603)</f>
        <v>1</v>
      </c>
      <c r="DO1603" t="str">
        <f>IF(DN1603=1,INDEX($DI$7:$DL$7,MATCH(1,$DI1603:$DL1603,0)),"mixedProduct")</f>
        <v>TimberInput</v>
      </c>
      <c r="DP1603">
        <f>IF(DI1603=1,DP$7,0)</f>
        <v>0</v>
      </c>
      <c r="DQ1603">
        <f>IF(DJ1603=1,DQ$7,0)</f>
        <v>0</v>
      </c>
      <c r="DR1603">
        <f>IF(DK1603=1,DR$7,0)</f>
        <v>0</v>
      </c>
      <c r="DS1603" t="str">
        <f>IF(DL1603=1,DS$7,0)</f>
        <v>Timber</v>
      </c>
      <c r="DT1603">
        <v>0</v>
      </c>
      <c r="DU1603">
        <v>0</v>
      </c>
      <c r="DV1603">
        <v>0</v>
      </c>
      <c r="DW1603">
        <v>0</v>
      </c>
      <c r="DX1603">
        <v>0</v>
      </c>
      <c r="DY1603">
        <f>SUM(DT1603:DU1603)</f>
        <v>0</v>
      </c>
      <c r="DZ1603" s="143" t="str">
        <f>IF(DT1603=1,"self-calculated DF",IF(DU1603=1,"external DF used","explicit C balance"))</f>
        <v>explicit C balance</v>
      </c>
      <c r="EA1603">
        <v>0</v>
      </c>
      <c r="EB1603">
        <v>0</v>
      </c>
      <c r="EC1603">
        <v>0</v>
      </c>
      <c r="ED1603">
        <v>0</v>
      </c>
      <c r="EE1603">
        <v>1</v>
      </c>
      <c r="EF1603">
        <v>1</v>
      </c>
      <c r="EG1603">
        <v>0</v>
      </c>
      <c r="EH1603">
        <v>1</v>
      </c>
      <c r="EI1603">
        <v>0</v>
      </c>
      <c r="EJ1603">
        <v>1</v>
      </c>
      <c r="EK1603">
        <v>0</v>
      </c>
      <c r="EL1603">
        <v>0</v>
      </c>
      <c r="EM1603">
        <v>0</v>
      </c>
      <c r="EN1603" s="2">
        <v>0</v>
      </c>
      <c r="EP1603" t="str">
        <f>IF(AND(AND(AND(OR($EC1603=1,$EB1603=1),OR($EH1603=1,$EF1603=1)),SUM($EA1603:$EE1603,$EK1603)&gt;=3),SUM($EF1603:$EJ1603)&gt;=2),"Whole sector approach","")</f>
        <v/>
      </c>
      <c r="EQ1603" t="str">
        <f>IF(AND(AND(OR($EC1603=1,$EB1603=1),AND($EH1603=0,$EF1603=0)),SUM($EA1603:$EE1603,$EK1603)&gt;=3),"Ecosystem approach","")</f>
        <v/>
      </c>
      <c r="ER1603" s="2" t="str">
        <f>IF(AND(AND(AND($EC1603=0,$EB1603=0),OR($EH1603=1,$EF1603=1)),SUM($EG1603:$EJ1603)&gt;=2),"Technology approach","")</f>
        <v>Technology approach</v>
      </c>
      <c r="ES1603" t="str">
        <f>IF(AND($EC1603+$EB1603+$EE1603+$EA1603+$ED1603+$EG1603=0,$N1603="included"),"C neutral forest and HWP assumption","")</f>
        <v/>
      </c>
      <c r="ET1603" t="str">
        <f>IF(AND(AND(AND(AND($EC1603=1,$EB1603+$EA1603+$EG1603&gt;=1),$EF1603=1),$EH1603+$EI1603+$ED1603+$EE1603&gt;=2),$N1603="included"),"All C pools assumption","")</f>
        <v/>
      </c>
      <c r="EU1603" t="str">
        <f>IF(AND($ED1603+$EE1603+$EI1603+$EH1603+$EF1603=0,$N1603="included"),"In-situ only assumption","")</f>
        <v/>
      </c>
      <c r="EY1603" t="str">
        <f>IF(ISNUMBER(BW1603),IF(ABS(BW1603-[4]QC_indicators!$B$2)&gt;3*[4]QC_indicators!$C$2,"C ratio",IF(ISNUMBER(CA1603),IF(ABS(CA1603-[4]QC_indicators!$B$1)&gt;3*[4]QC_indicators!$C$1,"DF","no"))),IF(ISNUMBER(CA1603),IF(ABS(CA1603-[4]QC_indicators!$B$1)&gt;3*[4]QC_indicators!$C$1,"DF","no")))</f>
        <v>no</v>
      </c>
      <c r="FA1603" t="str">
        <f>IF(LEN($CY1603)=0,"",IF(AND($CY1603&lt;(-0.05),$ES1603="C neutral forest and HWP assumption"),"Cneutral paradox",IF(AND($CY1603&gt;0.05,$EU1603="In-situ only assumption"),"In-situ only paradox","")))</f>
        <v/>
      </c>
      <c r="FD1603" t="s">
        <v>5054</v>
      </c>
    </row>
    <row r="1604" spans="1:160" hidden="1">
      <c r="A1604" s="1" t="s">
        <v>333</v>
      </c>
      <c r="B1604" t="s">
        <v>989</v>
      </c>
      <c r="C1604" t="s">
        <v>990</v>
      </c>
      <c r="D1604" t="s">
        <v>991</v>
      </c>
      <c r="E1604" t="s">
        <v>992</v>
      </c>
      <c r="F1604" t="s">
        <v>993</v>
      </c>
      <c r="G1604" t="s">
        <v>339</v>
      </c>
      <c r="H1604" t="s">
        <v>254</v>
      </c>
      <c r="I1604">
        <v>2022</v>
      </c>
      <c r="J1604">
        <v>3</v>
      </c>
      <c r="K1604" t="s">
        <v>994</v>
      </c>
      <c r="M1604" t="str">
        <f>LEFT($D1604,FIND(",",$D1604)-1)&amp;"_"&amp;I1604&amp;L1604</f>
        <v>Robati_2022</v>
      </c>
      <c r="N1604" t="s">
        <v>222</v>
      </c>
      <c r="O1604" s="317" t="s">
        <v>223</v>
      </c>
      <c r="Q1604" s="317" t="s">
        <v>389</v>
      </c>
      <c r="R1604" s="318" t="s">
        <v>1029</v>
      </c>
      <c r="S1604" s="320" t="s">
        <v>5056</v>
      </c>
      <c r="T1604" s="317" t="s">
        <v>999</v>
      </c>
      <c r="U1604" s="317" t="s">
        <v>995</v>
      </c>
      <c r="V1604" s="253">
        <v>0</v>
      </c>
      <c r="W1604" s="253">
        <v>0</v>
      </c>
      <c r="X1604">
        <v>0</v>
      </c>
      <c r="Y1604">
        <v>0</v>
      </c>
      <c r="Z1604">
        <v>0</v>
      </c>
      <c r="AA1604">
        <v>0</v>
      </c>
      <c r="AB1604">
        <v>0</v>
      </c>
      <c r="AC1604">
        <v>0</v>
      </c>
      <c r="AD1604">
        <v>0</v>
      </c>
      <c r="AE1604">
        <v>0</v>
      </c>
      <c r="AF1604">
        <v>0</v>
      </c>
      <c r="AG1604">
        <v>0</v>
      </c>
      <c r="AH1604">
        <v>0</v>
      </c>
      <c r="AI1604">
        <v>0</v>
      </c>
      <c r="AJ1604">
        <v>0</v>
      </c>
      <c r="AK1604">
        <v>0</v>
      </c>
      <c r="AL1604">
        <v>0</v>
      </c>
      <c r="AM1604">
        <v>1</v>
      </c>
      <c r="AN1604">
        <v>0</v>
      </c>
      <c r="AO1604">
        <v>0</v>
      </c>
      <c r="AP1604">
        <v>0</v>
      </c>
      <c r="AQ1604">
        <v>0</v>
      </c>
      <c r="AR1604">
        <v>0</v>
      </c>
      <c r="AS1604">
        <v>0</v>
      </c>
      <c r="AT1604">
        <v>0</v>
      </c>
      <c r="AU1604">
        <v>0</v>
      </c>
      <c r="AV1604">
        <v>0</v>
      </c>
      <c r="AW1604">
        <v>0</v>
      </c>
      <c r="AX1604">
        <v>0</v>
      </c>
      <c r="AY1604">
        <v>0</v>
      </c>
      <c r="AZ1604" s="141">
        <f>COUNTIF(X1604:AY1604,"&lt;&gt;0")</f>
        <v>1</v>
      </c>
      <c r="BA1604" s="141">
        <f>COUNTIF(X1604:AN1604,"&lt;&gt;0")</f>
        <v>1</v>
      </c>
      <c r="BB1604">
        <f>COUNTIF(X1604:AE1604,"&lt;&gt;0")</f>
        <v>0</v>
      </c>
      <c r="BC1604">
        <f>COUNTIF(AF1604:AK1604,"&lt;&gt;0")</f>
        <v>0</v>
      </c>
      <c r="BD1604">
        <f>COUNTIF(AL1604:AN1604,"&lt;&gt;0")</f>
        <v>1</v>
      </c>
      <c r="BE1604">
        <f>COUNTIF(AU1604:AY1604,"&lt;&gt;0")</f>
        <v>0</v>
      </c>
      <c r="BF1604">
        <f>COUNTIF(AO1604:AT1604,"&lt;&gt;0")</f>
        <v>0</v>
      </c>
      <c r="BG1604" t="str" cm="1">
        <f t="array" ref="BG1604">IF(BA1604=1,INDEX($X$7:$AN$7,MATCH(TRUE,INDEX($X1604:$AY1604&lt;&gt;0,),0)),IF(BA1604=0,INDEX($AO$7:$AY$7,MATCH(1,$AO1604:$AY1604,0)),IF(BH1604="Multiple strategies","mixed drivers",IF(BH1604="Supply chain","multiple supply","multiple silviculture"))))</f>
        <v>technologies/design switch</v>
      </c>
      <c r="BH1604" s="2" t="str" cm="1">
        <f t="array" ref="BH1604">IF(COUNTIF(BB1604:BD1604,"&lt;&gt;0")=1,INDEX($X$4:$AY$4,MATCH(TRUE,INDEX($X1604:$AY1604&lt;&gt;0,),0)),IF(COUNTIF(BB1604:BD1604,"&lt;&gt;0")=0,INDEX($AO$4:$AY$4,MATCH(1,$AO1604:$AY1604,0)),"Multiple strategies"))</f>
        <v>Technology</v>
      </c>
      <c r="BI1604" s="1" t="s">
        <v>229</v>
      </c>
      <c r="BJ1604" s="317" t="s">
        <v>996</v>
      </c>
      <c r="BK1604" s="317" t="s">
        <v>702</v>
      </c>
      <c r="BL1604" s="317" t="s">
        <v>997</v>
      </c>
      <c r="BM1604">
        <f>(6.17+4901.94+10375.04)/43229</f>
        <v>0.35353929075389212</v>
      </c>
      <c r="BN1604">
        <f>(6.17+4901.94+10375.04+8069.52+1195.9)/43229</f>
        <v>0.56787272432857583</v>
      </c>
      <c r="BO1604" s="317">
        <f>BN1604/BM1604</f>
        <v>1.606250674762729</v>
      </c>
      <c r="BP1604">
        <f>BN1604-BM1604</f>
        <v>0.21433343357468371</v>
      </c>
      <c r="BQ1604">
        <f>BN1604-BM1604</f>
        <v>0.21433343357468371</v>
      </c>
      <c r="BR1604" t="s">
        <v>232</v>
      </c>
      <c r="BS1604" s="317" t="s">
        <v>5053</v>
      </c>
      <c r="BT1604" s="317" t="s">
        <v>998</v>
      </c>
      <c r="BU1604">
        <f>-1.25+2.1-367.23-1.27</f>
        <v>-367.65</v>
      </c>
      <c r="BV1604">
        <f>-64.7+158-327.79-6.56</f>
        <v>-241.05</v>
      </c>
      <c r="BW1604" s="144">
        <f>IFERROR(BV1604/BU1604,"")</f>
        <v>0.65565075479396173</v>
      </c>
      <c r="BX1604">
        <f>BV1604-BU1604</f>
        <v>126.59999999999997</v>
      </c>
      <c r="BZ1604">
        <f>BX1604/1000</f>
        <v>0.12659999999999996</v>
      </c>
      <c r="CA1604">
        <f>IFERROR(BZ1604/BQ1604,"")</f>
        <v>0.59066846403077222</v>
      </c>
      <c r="CB1604">
        <v>0</v>
      </c>
      <c r="CC1604">
        <v>0</v>
      </c>
      <c r="CD1604">
        <v>0</v>
      </c>
      <c r="CE1604">
        <v>0</v>
      </c>
      <c r="CF1604">
        <v>0</v>
      </c>
      <c r="CG1604">
        <v>0</v>
      </c>
      <c r="CH1604">
        <v>0</v>
      </c>
      <c r="CI1604">
        <v>0</v>
      </c>
      <c r="CJ1604">
        <v>0</v>
      </c>
      <c r="CK1604">
        <v>0</v>
      </c>
      <c r="CL1604">
        <v>0</v>
      </c>
      <c r="CM1604">
        <v>0</v>
      </c>
      <c r="CN1604">
        <v>0</v>
      </c>
      <c r="CO1604">
        <v>0</v>
      </c>
      <c r="CP1604" t="str">
        <f>IF($BN1604&lt;$BM1604,"refNeedCorrection","refOK")</f>
        <v>refOK</v>
      </c>
      <c r="CQ1604">
        <f>IF($CP1604="refOK",$BM1604,$BN1604)</f>
        <v>0.35353929075389212</v>
      </c>
      <c r="CR1604">
        <f>IF($CP1604="refOK",$BN1604,$BM1604)</f>
        <v>0.56787272432857583</v>
      </c>
      <c r="CS1604">
        <f>IF($CP1604="refOK",$BQ1604,-$BQ1604)</f>
        <v>0.21433343357468371</v>
      </c>
      <c r="CT1604">
        <f>IF(BI1604="Roundwood",$CS1604/2,$CS1604)</f>
        <v>0.21433343357468371</v>
      </c>
      <c r="CU1604">
        <f>IF($CP1604="refOK",$BU1604,$BV1604)*IF($BR1604="Emissions positive",-1,1)</f>
        <v>-367.65</v>
      </c>
      <c r="CV1604">
        <f>IF($CP1604="refOK",$BV1604,$BU1604)*IF($BR1604="Emissions positive",-1,1)</f>
        <v>-241.05</v>
      </c>
      <c r="CW1604">
        <f>IF($CP1604="refNeedCorrection",-BZ1604,BZ1604)*IF($BR1604="Emissions positive",-1,1)</f>
        <v>0.12659999999999996</v>
      </c>
      <c r="CX1604">
        <f>IFERROR($CW1604/$CS1604,"")</f>
        <v>0.59066846403077222</v>
      </c>
      <c r="CY1604">
        <f>IFERROR($CW1604/$CS1604,"")</f>
        <v>0.59066846403077222</v>
      </c>
      <c r="CZ1604">
        <f>IFERROR($CW1604/$CT1604,"")</f>
        <v>0.59066846403077222</v>
      </c>
      <c r="DA1604" s="2">
        <f>IFERROR((CV1604-CU1604)/ABS(CU1604),"")</f>
        <v>0.34434924520603827</v>
      </c>
      <c r="DB1604" s="320" t="s">
        <v>263</v>
      </c>
      <c r="DC1604" s="317" t="str">
        <f>IF(OR($DB1604="prd",$DB1604="std",$DB1604="cit"),"loc",IF(OR($DB1604="eur",$DB1604="reg",$DB1604="coy"),"reg",$DB1604))</f>
        <v>loc</v>
      </c>
      <c r="DD1604" s="317" t="s">
        <v>561</v>
      </c>
      <c r="DG1604">
        <v>0</v>
      </c>
      <c r="DH1604" t="str">
        <f>IF(DG1604=0,"0",IF(AND(DG1604&gt;=1,DG1604&lt;=30),"1-30",IF(AND(DG1604&gt;30,DG1604&lt;=70),"31-70",IF(AND(DG1604&gt;70,DG1604&lt;=100),"71-100",IF(DG1604&gt;100,"+100")))))</f>
        <v>0</v>
      </c>
      <c r="DI1604">
        <v>0</v>
      </c>
      <c r="DJ1604">
        <v>0</v>
      </c>
      <c r="DK1604">
        <v>0</v>
      </c>
      <c r="DL1604">
        <v>1</v>
      </c>
      <c r="DM1604">
        <v>0</v>
      </c>
      <c r="DN1604">
        <f>SUM(DI1604:DL1604)</f>
        <v>1</v>
      </c>
      <c r="DO1604" t="str">
        <f>IF(DN1604=1,INDEX($DI$7:$DL$7,MATCH(1,$DI1604:$DL1604,0)),"mixedProduct")</f>
        <v>TimberInput</v>
      </c>
      <c r="DP1604">
        <f>IF(DI1604=1,DP$7,0)</f>
        <v>0</v>
      </c>
      <c r="DQ1604">
        <f>IF(DJ1604=1,DQ$7,0)</f>
        <v>0</v>
      </c>
      <c r="DR1604">
        <f>IF(DK1604=1,DR$7,0)</f>
        <v>0</v>
      </c>
      <c r="DS1604" t="str">
        <f>IF(DL1604=1,DS$7,0)</f>
        <v>Timber</v>
      </c>
      <c r="DT1604">
        <v>0</v>
      </c>
      <c r="DU1604">
        <v>0</v>
      </c>
      <c r="DV1604">
        <v>0</v>
      </c>
      <c r="DW1604">
        <v>0</v>
      </c>
      <c r="DX1604">
        <v>0</v>
      </c>
      <c r="DY1604">
        <f>SUM(DT1604:DU1604)</f>
        <v>0</v>
      </c>
      <c r="DZ1604" s="143" t="str">
        <f>IF(DT1604=1,"self-calculated DF",IF(DU1604=1,"external DF used","explicit C balance"))</f>
        <v>explicit C balance</v>
      </c>
      <c r="EA1604">
        <v>0</v>
      </c>
      <c r="EB1604">
        <v>1</v>
      </c>
      <c r="EC1604">
        <v>0</v>
      </c>
      <c r="ED1604">
        <v>1</v>
      </c>
      <c r="EE1604">
        <v>0</v>
      </c>
      <c r="EF1604">
        <v>1</v>
      </c>
      <c r="EG1604">
        <v>1</v>
      </c>
      <c r="EH1604">
        <v>1</v>
      </c>
      <c r="EI1604">
        <v>0</v>
      </c>
      <c r="EJ1604">
        <v>0</v>
      </c>
      <c r="EK1604">
        <v>0</v>
      </c>
      <c r="EL1604">
        <v>0</v>
      </c>
      <c r="EM1604">
        <v>0</v>
      </c>
      <c r="EN1604" s="2">
        <v>0</v>
      </c>
      <c r="EP1604" t="str">
        <f>IF(AND(AND(AND(OR($EC1604=1,$EB1604=1),OR($EH1604=1,$EF1604=1)),SUM($EA1604:$EE1604,$EK1604)&gt;=3),SUM($EF1604:$EJ1604)&gt;=2),"Whole sector approach","")</f>
        <v/>
      </c>
      <c r="EQ1604" t="str">
        <f>IF(AND(AND(OR($EC1604=1,$EB1604=1),AND($EH1604=0,$EF1604=0)),SUM($EA1604:$EE1604,$EK1604)&gt;=3),"Ecosystem approach","")</f>
        <v/>
      </c>
      <c r="ER1604" s="2" t="str">
        <f>IF(AND(AND(AND($EC1604=0,$EB1604=0),OR($EH1604=1,$EF1604=1)),SUM($EG1604:$EJ1604)&gt;=2),"Technology approach","")</f>
        <v/>
      </c>
      <c r="ES1604" t="str">
        <f>IF(AND($EC1604+$EB1604+$EE1604+$EA1604+$ED1604+$EG1604=0,$N1604="included"),"C neutral forest and HWP assumption","")</f>
        <v/>
      </c>
      <c r="ET1604" t="str">
        <f>IF(AND(AND(AND(AND($EC1604=1,$EB1604+$EA1604+$EG1604&gt;=1),$EF1604=1),$EH1604+$EI1604+$ED1604+$EE1604&gt;=2),$N1604="included"),"All C pools assumption","")</f>
        <v/>
      </c>
      <c r="EU1604" t="str">
        <f>IF(AND($ED1604+$EE1604+$EI1604+$EH1604+$EF1604=0,$N1604="included"),"In-situ only assumption","")</f>
        <v/>
      </c>
      <c r="EY1604" t="str">
        <f>IF(ISNUMBER(BW1604),IF(ABS(BW1604-[4]QC_indicators!$B$2)&gt;3*[4]QC_indicators!$C$2,"C ratio",IF(ISNUMBER(CA1604),IF(ABS(CA1604-[4]QC_indicators!$B$1)&gt;3*[4]QC_indicators!$C$1,"DF","no"))),IF(ISNUMBER(CA1604),IF(ABS(CA1604-[4]QC_indicators!$B$1)&gt;3*[4]QC_indicators!$C$1,"DF","no")))</f>
        <v>no</v>
      </c>
      <c r="FA1604" t="str">
        <f>IF(LEN($CY1604)=0,"",IF(AND($CY1604&lt;(-0.05),$ES1604="C neutral forest and HWP assumption"),"Cneutral paradox",IF(AND($CY1604&gt;0.05,$EU1604="In-situ only assumption"),"In-situ only paradox","")))</f>
        <v/>
      </c>
      <c r="FD1604" t="s">
        <v>5054</v>
      </c>
    </row>
    <row r="1605" spans="1:160" hidden="1">
      <c r="A1605" s="1" t="s">
        <v>333</v>
      </c>
      <c r="B1605" t="s">
        <v>989</v>
      </c>
      <c r="C1605" t="s">
        <v>990</v>
      </c>
      <c r="D1605" t="s">
        <v>991</v>
      </c>
      <c r="E1605" t="s">
        <v>992</v>
      </c>
      <c r="F1605" t="s">
        <v>993</v>
      </c>
      <c r="G1605" t="s">
        <v>339</v>
      </c>
      <c r="H1605" t="s">
        <v>254</v>
      </c>
      <c r="I1605">
        <v>2022</v>
      </c>
      <c r="J1605">
        <v>3</v>
      </c>
      <c r="K1605" t="s">
        <v>994</v>
      </c>
      <c r="M1605" t="str">
        <f>LEFT($D1605,FIND(",",$D1605)-1)&amp;"_"&amp;I1605&amp;L1605</f>
        <v>Robati_2022</v>
      </c>
      <c r="N1605" t="s">
        <v>222</v>
      </c>
      <c r="O1605" s="317" t="s">
        <v>223</v>
      </c>
      <c r="Q1605" s="317" t="s">
        <v>389</v>
      </c>
      <c r="R1605" s="318" t="s">
        <v>1029</v>
      </c>
      <c r="S1605" s="320" t="s">
        <v>5057</v>
      </c>
      <c r="T1605" s="317" t="s">
        <v>999</v>
      </c>
      <c r="U1605" s="317" t="s">
        <v>995</v>
      </c>
      <c r="V1605" s="253">
        <v>0</v>
      </c>
      <c r="W1605" s="253">
        <v>0</v>
      </c>
      <c r="X1605">
        <v>0</v>
      </c>
      <c r="Y1605">
        <v>0</v>
      </c>
      <c r="Z1605">
        <v>0</v>
      </c>
      <c r="AA1605">
        <v>0</v>
      </c>
      <c r="AB1605">
        <v>0</v>
      </c>
      <c r="AC1605">
        <v>0</v>
      </c>
      <c r="AD1605">
        <v>0</v>
      </c>
      <c r="AE1605">
        <v>0</v>
      </c>
      <c r="AF1605">
        <v>0</v>
      </c>
      <c r="AG1605">
        <v>0</v>
      </c>
      <c r="AH1605">
        <v>0</v>
      </c>
      <c r="AI1605">
        <v>0</v>
      </c>
      <c r="AJ1605">
        <v>0</v>
      </c>
      <c r="AK1605">
        <v>0</v>
      </c>
      <c r="AL1605">
        <v>0</v>
      </c>
      <c r="AM1605">
        <v>1</v>
      </c>
      <c r="AN1605">
        <v>0</v>
      </c>
      <c r="AO1605">
        <v>0</v>
      </c>
      <c r="AP1605">
        <v>0</v>
      </c>
      <c r="AQ1605">
        <v>0</v>
      </c>
      <c r="AR1605">
        <v>0</v>
      </c>
      <c r="AS1605">
        <v>0</v>
      </c>
      <c r="AT1605">
        <v>0</v>
      </c>
      <c r="AU1605">
        <v>0</v>
      </c>
      <c r="AV1605">
        <v>0</v>
      </c>
      <c r="AW1605">
        <v>0</v>
      </c>
      <c r="AX1605">
        <v>0</v>
      </c>
      <c r="AY1605">
        <v>0</v>
      </c>
      <c r="AZ1605" s="141">
        <f>COUNTIF(X1605:AY1605,"&lt;&gt;0")</f>
        <v>1</v>
      </c>
      <c r="BA1605" s="141">
        <f>COUNTIF(X1605:AN1605,"&lt;&gt;0")</f>
        <v>1</v>
      </c>
      <c r="BB1605">
        <f>COUNTIF(X1605:AE1605,"&lt;&gt;0")</f>
        <v>0</v>
      </c>
      <c r="BC1605">
        <f>COUNTIF(AF1605:AK1605,"&lt;&gt;0")</f>
        <v>0</v>
      </c>
      <c r="BD1605">
        <f>COUNTIF(AL1605:AN1605,"&lt;&gt;0")</f>
        <v>1</v>
      </c>
      <c r="BE1605">
        <f>COUNTIF(AU1605:AY1605,"&lt;&gt;0")</f>
        <v>0</v>
      </c>
      <c r="BF1605">
        <f>COUNTIF(AO1605:AT1605,"&lt;&gt;0")</f>
        <v>0</v>
      </c>
      <c r="BG1605" t="str" cm="1">
        <f t="array" ref="BG1605">IF(BA1605=1,INDEX($X$7:$AN$7,MATCH(TRUE,INDEX($X1605:$AY1605&lt;&gt;0,),0)),IF(BA1605=0,INDEX($AO$7:$AY$7,MATCH(1,$AO1605:$AY1605,0)),IF(BH1605="Multiple strategies","mixed drivers",IF(BH1605="Supply chain","multiple supply","multiple silviculture"))))</f>
        <v>technologies/design switch</v>
      </c>
      <c r="BH1605" s="2" t="str" cm="1">
        <f t="array" ref="BH1605">IF(COUNTIF(BB1605:BD1605,"&lt;&gt;0")=1,INDEX($X$4:$AY$4,MATCH(TRUE,INDEX($X1605:$AY1605&lt;&gt;0,),0)),IF(COUNTIF(BB1605:BD1605,"&lt;&gt;0")=0,INDEX($AO$4:$AY$4,MATCH(1,$AO1605:$AY1605,0)),"Multiple strategies"))</f>
        <v>Technology</v>
      </c>
      <c r="BI1605" s="1" t="s">
        <v>229</v>
      </c>
      <c r="BJ1605" s="317" t="s">
        <v>996</v>
      </c>
      <c r="BK1605" s="317" t="s">
        <v>702</v>
      </c>
      <c r="BL1605" s="317" t="s">
        <v>997</v>
      </c>
      <c r="BM1605">
        <f>(6.17+4901.94+10375.04)/43229</f>
        <v>0.35353929075389212</v>
      </c>
      <c r="BN1605">
        <f>(6.17+4901.94+10375.04+8069.52+1195.9)/43229</f>
        <v>0.56787272432857583</v>
      </c>
      <c r="BO1605" s="317">
        <f>BN1605/BM1605</f>
        <v>1.606250674762729</v>
      </c>
      <c r="BP1605">
        <f>BN1605-BM1605</f>
        <v>0.21433343357468371</v>
      </c>
      <c r="BQ1605">
        <f>BN1605-BM1605</f>
        <v>0.21433343357468371</v>
      </c>
      <c r="BR1605" t="s">
        <v>232</v>
      </c>
      <c r="BS1605" s="317" t="s">
        <v>5053</v>
      </c>
      <c r="BT1605" s="317" t="s">
        <v>998</v>
      </c>
      <c r="BU1605">
        <f>-1.25+2.1-367.23-1.27+2.1-135.7</f>
        <v>-501.24999999999994</v>
      </c>
      <c r="BV1605">
        <f>-64.7+158-327.79-6.56+1.89-49.8</f>
        <v>-288.96000000000004</v>
      </c>
      <c r="BW1605" s="144">
        <f>IFERROR(BV1605/BU1605,"")</f>
        <v>0.57647880299251886</v>
      </c>
      <c r="BX1605">
        <f>BV1605-BU1605</f>
        <v>212.28999999999991</v>
      </c>
      <c r="BZ1605">
        <f>BX1605/1000</f>
        <v>0.2122899999999999</v>
      </c>
      <c r="CA1605">
        <f>IFERROR(BZ1605/BQ1605,"")</f>
        <v>0.99046609975586575</v>
      </c>
      <c r="CB1605">
        <v>0</v>
      </c>
      <c r="CC1605">
        <v>0</v>
      </c>
      <c r="CD1605">
        <v>0</v>
      </c>
      <c r="CE1605">
        <v>0</v>
      </c>
      <c r="CF1605">
        <v>0</v>
      </c>
      <c r="CG1605">
        <v>0</v>
      </c>
      <c r="CH1605">
        <v>0</v>
      </c>
      <c r="CI1605">
        <v>0</v>
      </c>
      <c r="CJ1605">
        <v>0</v>
      </c>
      <c r="CK1605">
        <v>0</v>
      </c>
      <c r="CL1605">
        <v>0</v>
      </c>
      <c r="CM1605">
        <v>0</v>
      </c>
      <c r="CN1605">
        <v>0</v>
      </c>
      <c r="CO1605">
        <v>0</v>
      </c>
      <c r="CP1605" t="str">
        <f>IF($BN1605&lt;$BM1605,"refNeedCorrection","refOK")</f>
        <v>refOK</v>
      </c>
      <c r="CQ1605">
        <f>IF($CP1605="refOK",$BM1605,$BN1605)</f>
        <v>0.35353929075389212</v>
      </c>
      <c r="CR1605">
        <f>IF($CP1605="refOK",$BN1605,$BM1605)</f>
        <v>0.56787272432857583</v>
      </c>
      <c r="CS1605">
        <f>IF($CP1605="refOK",$BQ1605,-$BQ1605)</f>
        <v>0.21433343357468371</v>
      </c>
      <c r="CT1605">
        <f>IF(BI1605="Roundwood",$CS1605/2,$CS1605)</f>
        <v>0.21433343357468371</v>
      </c>
      <c r="CU1605">
        <f>IF($CP1605="refOK",$BU1605,$BV1605)*IF($BR1605="Emissions positive",-1,1)</f>
        <v>-501.24999999999994</v>
      </c>
      <c r="CV1605">
        <f>IF($CP1605="refOK",$BV1605,$BU1605)*IF($BR1605="Emissions positive",-1,1)</f>
        <v>-288.96000000000004</v>
      </c>
      <c r="CW1605">
        <f>IF($CP1605="refNeedCorrection",-BZ1605,BZ1605)*IF($BR1605="Emissions positive",-1,1)</f>
        <v>0.2122899999999999</v>
      </c>
      <c r="CX1605">
        <f>IFERROR($CW1605/$CS1605,"")</f>
        <v>0.99046609975586575</v>
      </c>
      <c r="CY1605">
        <f>IFERROR($CW1605/$CS1605,"")</f>
        <v>0.99046609975586575</v>
      </c>
      <c r="CZ1605">
        <f>IFERROR($CW1605/$CT1605,"")</f>
        <v>0.99046609975586575</v>
      </c>
      <c r="DA1605" s="2">
        <f>IFERROR((CV1605-CU1605)/ABS(CU1605),"")</f>
        <v>0.42352119700748114</v>
      </c>
      <c r="DB1605" s="320" t="s">
        <v>263</v>
      </c>
      <c r="DC1605" s="317" t="str">
        <f>IF(OR($DB1605="prd",$DB1605="std",$DB1605="cit"),"loc",IF(OR($DB1605="eur",$DB1605="reg",$DB1605="coy"),"reg",$DB1605))</f>
        <v>loc</v>
      </c>
      <c r="DD1605" s="317" t="s">
        <v>561</v>
      </c>
      <c r="DG1605">
        <v>0</v>
      </c>
      <c r="DH1605" t="str">
        <f>IF(DG1605=0,"0",IF(AND(DG1605&gt;=1,DG1605&lt;=30),"1-30",IF(AND(DG1605&gt;30,DG1605&lt;=70),"31-70",IF(AND(DG1605&gt;70,DG1605&lt;=100),"71-100",IF(DG1605&gt;100,"+100")))))</f>
        <v>0</v>
      </c>
      <c r="DI1605">
        <v>0</v>
      </c>
      <c r="DJ1605">
        <v>0</v>
      </c>
      <c r="DK1605">
        <v>0</v>
      </c>
      <c r="DL1605">
        <v>1</v>
      </c>
      <c r="DM1605">
        <v>0</v>
      </c>
      <c r="DN1605">
        <f>SUM(DI1605:DL1605)</f>
        <v>1</v>
      </c>
      <c r="DO1605" t="str">
        <f>IF(DN1605=1,INDEX($DI$7:$DL$7,MATCH(1,$DI1605:$DL1605,0)),"mixedProduct")</f>
        <v>TimberInput</v>
      </c>
      <c r="DP1605">
        <f>IF(DI1605=1,DP$7,0)</f>
        <v>0</v>
      </c>
      <c r="DQ1605">
        <f>IF(DJ1605=1,DQ$7,0)</f>
        <v>0</v>
      </c>
      <c r="DR1605">
        <f>IF(DK1605=1,DR$7,0)</f>
        <v>0</v>
      </c>
      <c r="DS1605" t="str">
        <f>IF(DL1605=1,DS$7,0)</f>
        <v>Timber</v>
      </c>
      <c r="DT1605">
        <v>0</v>
      </c>
      <c r="DU1605">
        <v>0</v>
      </c>
      <c r="DV1605">
        <v>0</v>
      </c>
      <c r="DW1605">
        <v>0</v>
      </c>
      <c r="DX1605">
        <v>0</v>
      </c>
      <c r="DY1605">
        <f>SUM(DT1605:DU1605)</f>
        <v>0</v>
      </c>
      <c r="DZ1605" s="143" t="str">
        <f>IF(DT1605=1,"self-calculated DF",IF(DU1605=1,"external DF used","explicit C balance"))</f>
        <v>explicit C balance</v>
      </c>
      <c r="EA1605">
        <v>0</v>
      </c>
      <c r="EB1605">
        <v>1</v>
      </c>
      <c r="EC1605">
        <v>0</v>
      </c>
      <c r="ED1605">
        <v>1</v>
      </c>
      <c r="EE1605">
        <v>0</v>
      </c>
      <c r="EF1605">
        <v>1</v>
      </c>
      <c r="EG1605">
        <v>1</v>
      </c>
      <c r="EH1605">
        <v>1</v>
      </c>
      <c r="EI1605">
        <v>1</v>
      </c>
      <c r="EJ1605">
        <v>0</v>
      </c>
      <c r="EK1605">
        <v>0</v>
      </c>
      <c r="EL1605">
        <v>0</v>
      </c>
      <c r="EM1605">
        <v>0</v>
      </c>
      <c r="EN1605" s="2">
        <v>0</v>
      </c>
      <c r="EP1605" t="str">
        <f>IF(AND(AND(AND(OR($EC1605=1,$EB1605=1),OR($EH1605=1,$EF1605=1)),SUM($EA1605:$EE1605,$EK1605)&gt;=3),SUM($EF1605:$EJ1605)&gt;=2),"Whole sector approach","")</f>
        <v/>
      </c>
      <c r="EQ1605" t="str">
        <f>IF(AND(AND(OR($EC1605=1,$EB1605=1),AND($EH1605=0,$EF1605=0)),SUM($EA1605:$EE1605,$EK1605)&gt;=3),"Ecosystem approach","")</f>
        <v/>
      </c>
      <c r="ER1605" s="2" t="str">
        <f>IF(AND(AND(AND($EC1605=0,$EB1605=0),OR($EH1605=1,$EF1605=1)),SUM($EG1605:$EJ1605)&gt;=2),"Technology approach","")</f>
        <v/>
      </c>
      <c r="ES1605" t="str">
        <f>IF(AND($EC1605+$EB1605+$EE1605+$EA1605+$ED1605+$EG1605=0,$N1605="included"),"C neutral forest and HWP assumption","")</f>
        <v/>
      </c>
      <c r="ET1605" t="str">
        <f>IF(AND(AND(AND(AND($EC1605=1,$EB1605+$EA1605+$EG1605&gt;=1),$EF1605=1),$EH1605+$EI1605+$ED1605+$EE1605&gt;=2),$N1605="included"),"All C pools assumption","")</f>
        <v/>
      </c>
      <c r="EU1605" t="str">
        <f>IF(AND($ED1605+$EE1605+$EI1605+$EH1605+$EF1605=0,$N1605="included"),"In-situ only assumption","")</f>
        <v/>
      </c>
      <c r="EY1605" t="str">
        <f>IF(ISNUMBER(BW1605),IF(ABS(BW1605-[4]QC_indicators!$B$2)&gt;3*[4]QC_indicators!$C$2,"C ratio",IF(ISNUMBER(CA1605),IF(ABS(CA1605-[4]QC_indicators!$B$1)&gt;3*[4]QC_indicators!$C$1,"DF","no"))),IF(ISNUMBER(CA1605),IF(ABS(CA1605-[4]QC_indicators!$B$1)&gt;3*[4]QC_indicators!$C$1,"DF","no")))</f>
        <v>no</v>
      </c>
      <c r="FA1605" t="str">
        <f>IF(LEN($CY1605)=0,"",IF(AND($CY1605&lt;(-0.05),$ES1605="C neutral forest and HWP assumption"),"Cneutral paradox",IF(AND($CY1605&gt;0.05,$EU1605="In-situ only assumption"),"In-situ only paradox","")))</f>
        <v/>
      </c>
      <c r="FD1605" t="s">
        <v>5054</v>
      </c>
    </row>
    <row r="1606" spans="1:160" ht="18" hidden="1" customHeight="1">
      <c r="A1606" s="1" t="s">
        <v>643</v>
      </c>
      <c r="B1606" t="s">
        <v>1019</v>
      </c>
      <c r="C1606" t="s">
        <v>1020</v>
      </c>
      <c r="D1606" t="s">
        <v>5061</v>
      </c>
      <c r="E1606" t="s">
        <v>1021</v>
      </c>
      <c r="F1606" t="s">
        <v>1022</v>
      </c>
      <c r="G1606" t="s">
        <v>649</v>
      </c>
      <c r="H1606" t="s">
        <v>254</v>
      </c>
      <c r="I1606">
        <v>2022</v>
      </c>
      <c r="J1606">
        <v>1</v>
      </c>
      <c r="K1606" t="s">
        <v>1023</v>
      </c>
      <c r="M1606" t="str">
        <f>LEFT($D1606,FIND(",",$D1606)-1)&amp;"_"&amp;I1606&amp;L1606</f>
        <v>Sun_2022</v>
      </c>
      <c r="N1606" t="s">
        <v>222</v>
      </c>
      <c r="O1606" s="317" t="s">
        <v>223</v>
      </c>
      <c r="Q1606" s="317" t="s">
        <v>389</v>
      </c>
      <c r="R1606" s="318" t="s">
        <v>1029</v>
      </c>
      <c r="S1606" s="320" t="s">
        <v>257</v>
      </c>
      <c r="T1606" s="317" t="s">
        <v>790</v>
      </c>
      <c r="U1606" s="317" t="s">
        <v>259</v>
      </c>
      <c r="V1606" s="253">
        <v>0</v>
      </c>
      <c r="W1606" s="253">
        <v>0</v>
      </c>
      <c r="X1606">
        <v>0</v>
      </c>
      <c r="Y1606">
        <v>0</v>
      </c>
      <c r="Z1606">
        <v>0</v>
      </c>
      <c r="AA1606">
        <v>0</v>
      </c>
      <c r="AB1606">
        <v>0</v>
      </c>
      <c r="AC1606">
        <v>0</v>
      </c>
      <c r="AD1606">
        <v>0</v>
      </c>
      <c r="AE1606">
        <v>0</v>
      </c>
      <c r="AF1606">
        <v>0</v>
      </c>
      <c r="AG1606">
        <v>0</v>
      </c>
      <c r="AH1606">
        <v>0</v>
      </c>
      <c r="AI1606">
        <v>0</v>
      </c>
      <c r="AJ1606">
        <v>0</v>
      </c>
      <c r="AK1606">
        <v>0</v>
      </c>
      <c r="AL1606">
        <v>0</v>
      </c>
      <c r="AM1606">
        <v>1</v>
      </c>
      <c r="AN1606">
        <v>0</v>
      </c>
      <c r="AO1606">
        <v>0</v>
      </c>
      <c r="AP1606">
        <v>0</v>
      </c>
      <c r="AQ1606">
        <v>0</v>
      </c>
      <c r="AR1606">
        <v>0</v>
      </c>
      <c r="AS1606">
        <v>0</v>
      </c>
      <c r="AT1606">
        <v>0</v>
      </c>
      <c r="AU1606">
        <v>0</v>
      </c>
      <c r="AV1606">
        <v>0</v>
      </c>
      <c r="AW1606">
        <v>0</v>
      </c>
      <c r="AX1606">
        <v>0</v>
      </c>
      <c r="AY1606">
        <v>0</v>
      </c>
      <c r="AZ1606" s="141">
        <f>COUNTIF(X1606:AY1606,"&lt;&gt;0")</f>
        <v>1</v>
      </c>
      <c r="BA1606" s="141">
        <f>COUNTIF(X1606:AN1606,"&lt;&gt;0")</f>
        <v>1</v>
      </c>
      <c r="BB1606">
        <f>COUNTIF(X1606:AE1606,"&lt;&gt;0")</f>
        <v>0</v>
      </c>
      <c r="BC1606">
        <f>COUNTIF(AF1606:AK1606,"&lt;&gt;0")</f>
        <v>0</v>
      </c>
      <c r="BD1606">
        <f>COUNTIF(AL1606:AN1606,"&lt;&gt;0")</f>
        <v>1</v>
      </c>
      <c r="BE1606">
        <f>COUNTIF(AU1606:AY1606,"&lt;&gt;0")</f>
        <v>0</v>
      </c>
      <c r="BF1606">
        <f>COUNTIF(AO1606:AT1606,"&lt;&gt;0")</f>
        <v>0</v>
      </c>
      <c r="BG1606" t="str" cm="1">
        <f t="array" ref="BG1606">IF(BA1606=1,INDEX($X$7:$AN$7,MATCH(TRUE,INDEX($X1606:$AY1606&lt;&gt;0,),0)),IF(BA1606=0,INDEX($AO$7:$AY$7,MATCH(1,$AO1606:$AY1606,0)),IF(BH1606="Multiple strategies","mixed drivers",IF(BH1606="Supply chain","multiple supply","multiple silviculture"))))</f>
        <v>technologies/design switch</v>
      </c>
      <c r="BH1606" s="2" t="str" cm="1">
        <f t="array" ref="BH1606">IF(COUNTIF(BB1606:BD1606,"&lt;&gt;0")=1,INDEX($X$4:$AY$4,MATCH(TRUE,INDEX($X1606:$AY1606&lt;&gt;0,),0)),IF(COUNTIF(BB1606:BD1606,"&lt;&gt;0")=0,INDEX($AO$4:$AY$4,MATCH(1,$AO1606:$AY1606,0)),"Multiple strategies"))</f>
        <v>Technology</v>
      </c>
      <c r="BI1606" s="1" t="s">
        <v>229</v>
      </c>
      <c r="BJ1606" t="s">
        <v>1024</v>
      </c>
      <c r="BK1606" s="317" t="s">
        <v>1025</v>
      </c>
      <c r="BL1606" s="317" t="s">
        <v>1026</v>
      </c>
      <c r="BM1606">
        <f>2332/3000</f>
        <v>0.77733333333333332</v>
      </c>
      <c r="BN1606">
        <f>(565731+64622+51138+7369)/3000</f>
        <v>229.62</v>
      </c>
      <c r="BO1606" s="317">
        <f>BN1606/BM1606</f>
        <v>295.39451114922815</v>
      </c>
      <c r="BP1606">
        <f>BN1606-BM1606</f>
        <v>228.84266666666667</v>
      </c>
      <c r="BQ1606">
        <f>BP1606*kg_to_m3</f>
        <v>0.46702585034013611</v>
      </c>
      <c r="BR1606" s="317" t="s">
        <v>232</v>
      </c>
      <c r="BS1606" s="317" t="s">
        <v>1027</v>
      </c>
      <c r="BT1606" s="317" t="s">
        <v>1028</v>
      </c>
      <c r="BU1606">
        <f>-182</f>
        <v>-182</v>
      </c>
      <c r="BV1606">
        <v>212</v>
      </c>
      <c r="BW1606" s="144">
        <v>0.43825665859564172</v>
      </c>
      <c r="BX1606">
        <f>BV1606-BU1606</f>
        <v>394</v>
      </c>
      <c r="BZ1606">
        <f>BX1606/1000</f>
        <v>0.39400000000000002</v>
      </c>
      <c r="CA1606">
        <f>IFERROR(BZ1606/BQ1606,"")</f>
        <v>0.84363638482334291</v>
      </c>
      <c r="CB1606">
        <v>0</v>
      </c>
      <c r="CC1606">
        <v>0</v>
      </c>
      <c r="CD1606">
        <v>0</v>
      </c>
      <c r="CE1606">
        <v>0</v>
      </c>
      <c r="CF1606">
        <v>0</v>
      </c>
      <c r="CG1606">
        <v>0</v>
      </c>
      <c r="CH1606">
        <v>0</v>
      </c>
      <c r="CI1606">
        <v>0</v>
      </c>
      <c r="CJ1606">
        <v>0</v>
      </c>
      <c r="CK1606">
        <v>0</v>
      </c>
      <c r="CL1606">
        <v>0</v>
      </c>
      <c r="CM1606">
        <v>0</v>
      </c>
      <c r="CN1606">
        <v>0</v>
      </c>
      <c r="CO1606">
        <v>0</v>
      </c>
      <c r="CP1606" t="str">
        <f>IF($BN1606&lt;$BM1606,"refNeedCorrection","refOK")</f>
        <v>refOK</v>
      </c>
      <c r="CQ1606">
        <f>IF($CP1606="refOK",$BM1606,$BN1606)</f>
        <v>0.77733333333333332</v>
      </c>
      <c r="CR1606">
        <f>IF($CP1606="refOK",$BN1606,$BM1606)</f>
        <v>229.62</v>
      </c>
      <c r="CS1606">
        <f>IF($CP1606="refOK",$BQ1606,-$BQ1606)</f>
        <v>0.46702585034013611</v>
      </c>
      <c r="CT1606">
        <f>IF(BI1606="Roundwood",$CS1606/2,$CS1606)</f>
        <v>0.46702585034013611</v>
      </c>
      <c r="CU1606">
        <f>IF($CP1606="refOK",$BU1606,$BV1606)*IF($BR1606="Emissions positive",-1,1)</f>
        <v>-182</v>
      </c>
      <c r="CV1606">
        <f>IF($CP1606="refOK",$BV1606,$BU1606)*IF($BR1606="Emissions positive",-1,1)</f>
        <v>212</v>
      </c>
      <c r="CW1606">
        <f>IF($CP1606="refNeedCorrection",-BZ1606,BZ1606)*IF($BR1606="Emissions positive",-1,1)</f>
        <v>0.39400000000000002</v>
      </c>
      <c r="CX1606">
        <f>IFERROR($CW1606/$CS1606,"")</f>
        <v>0.84363638482334291</v>
      </c>
      <c r="CY1606">
        <f>IFERROR($CW1606/$CS1606,"")</f>
        <v>0.84363638482334291</v>
      </c>
      <c r="CZ1606">
        <f>IFERROR($CW1606/$CT1606,"")</f>
        <v>0.84363638482334291</v>
      </c>
      <c r="DA1606" s="2">
        <f>IFERROR((CV1606-CU1606)/ABS(CU1606),"")</f>
        <v>2.1648351648351647</v>
      </c>
      <c r="DB1606" s="320" t="s">
        <v>263</v>
      </c>
      <c r="DC1606" s="317" t="str">
        <f>IF(OR($DB1606="prd",$DB1606="std",$DB1606="cit"),"loc",IF(OR($DB1606="eur",$DB1606="reg",$DB1606="coy"),"reg",$DB1606))</f>
        <v>loc</v>
      </c>
      <c r="DD1606" s="317" t="s">
        <v>677</v>
      </c>
      <c r="DG1606">
        <v>50</v>
      </c>
      <c r="DH1606" t="str">
        <f>IF(DG1606=0,"0",IF(AND(DG1606&gt;=1,DG1606&lt;=30),"1-30",IF(AND(DG1606&gt;30,DG1606&lt;=70),"31-70",IF(AND(DG1606&gt;70,DG1606&lt;=100),"71-100",IF(DG1606&gt;100,"+100")))))</f>
        <v>31-70</v>
      </c>
      <c r="DI1606">
        <v>0</v>
      </c>
      <c r="DJ1606">
        <v>0</v>
      </c>
      <c r="DK1606">
        <v>0</v>
      </c>
      <c r="DL1606">
        <v>1</v>
      </c>
      <c r="DM1606">
        <v>0</v>
      </c>
      <c r="DN1606">
        <f>SUM(DI1606:DL1606)</f>
        <v>1</v>
      </c>
      <c r="DO1606" t="str">
        <f>IF(DN1606=1,INDEX($DI$7:$DL$7,MATCH(1,$DI1606:$DL1606,0)),"mixedProduct")</f>
        <v>TimberInput</v>
      </c>
      <c r="DP1606">
        <f>IF(DI1606=1,DP$7,0)</f>
        <v>0</v>
      </c>
      <c r="DQ1606">
        <f>IF(DJ1606=1,DQ$7,0)</f>
        <v>0</v>
      </c>
      <c r="DR1606">
        <f>IF(DK1606=1,DR$7,0)</f>
        <v>0</v>
      </c>
      <c r="DS1606" t="str">
        <f>IF(DL1606=1,DS$7,0)</f>
        <v>Timber</v>
      </c>
      <c r="DT1606">
        <v>0</v>
      </c>
      <c r="DU1606">
        <v>0</v>
      </c>
      <c r="DV1606">
        <v>0</v>
      </c>
      <c r="DW1606">
        <v>0</v>
      </c>
      <c r="DX1606">
        <v>0</v>
      </c>
      <c r="DY1606">
        <f>SUM(DT1606:DU1606)</f>
        <v>0</v>
      </c>
      <c r="DZ1606" s="143" t="str">
        <f>IF(DT1606=1,"self-calculated DF",IF(DU1606=1,"external DF used","explicit C balance"))</f>
        <v>explicit C balance</v>
      </c>
      <c r="EA1606">
        <v>0</v>
      </c>
      <c r="EB1606">
        <v>0</v>
      </c>
      <c r="EC1606">
        <v>0</v>
      </c>
      <c r="ED1606">
        <v>1</v>
      </c>
      <c r="EE1606">
        <v>0</v>
      </c>
      <c r="EF1606">
        <v>1</v>
      </c>
      <c r="EG1606">
        <v>1</v>
      </c>
      <c r="EH1606">
        <v>1</v>
      </c>
      <c r="EI1606">
        <v>1</v>
      </c>
      <c r="EJ1606">
        <v>0</v>
      </c>
      <c r="EK1606">
        <v>0</v>
      </c>
      <c r="EL1606">
        <v>0</v>
      </c>
      <c r="EM1606">
        <v>0</v>
      </c>
      <c r="EN1606" s="2">
        <v>0</v>
      </c>
      <c r="EP1606" t="str">
        <f>IF(AND(AND(AND(OR($EC1606=1,$EB1606=1),OR($EH1606=1,$EF1606=1)),SUM($EA1606:$EE1606,$EK1606)&gt;=3),SUM($EF1606:$EJ1606)&gt;=2),"Whole sector approach","")</f>
        <v/>
      </c>
      <c r="EQ1606" t="str">
        <f>IF(AND(AND(OR($EC1606=1,$EB1606=1),AND($EH1606=0,$EF1606=0)),SUM($EA1606:$EE1606,$EK1606)&gt;=3),"Ecosystem approach","")</f>
        <v/>
      </c>
      <c r="ER1606" s="2" t="str">
        <f>IF(AND(AND(AND($EC1606=0,$EB1606=0),OR($EH1606=1,$EF1606=1)),SUM($EG1606:$EJ1606)&gt;=2),"Technology approach","")</f>
        <v>Technology approach</v>
      </c>
      <c r="ES1606" t="str">
        <f>IF(AND($EC1606+$EB1606+$EE1606+$EA1606+$ED1606+$EG1606=0,$N1606="included"),"C neutral forest and HWP assumption","")</f>
        <v/>
      </c>
      <c r="ET1606" t="str">
        <f>IF(AND(AND(AND(AND($EC1606=1,$EB1606+$EA1606+$EG1606&gt;=1),$EF1606=1),$EH1606+$EI1606+$ED1606+$EE1606&gt;=2),$N1606="included"),"All C pools assumption","")</f>
        <v/>
      </c>
      <c r="EU1606" t="str">
        <f>IF(AND($ED1606+$EE1606+$EI1606+$EH1606+$EF1606=0,$N1606="included"),"In-situ only assumption","")</f>
        <v/>
      </c>
      <c r="EY1606" t="str">
        <f>IF(ISNUMBER(BW1606),IF(ABS(BW1606-[4]QC_indicators!$B$2)&gt;3*[4]QC_indicators!$C$2,"C ratio",IF(ISNUMBER(CA1606),IF(ABS(CA1606-[4]QC_indicators!$B$1)&gt;3*[4]QC_indicators!$C$1,"DF","no"))),IF(ISNUMBER(CA1606),IF(ABS(CA1606-[4]QC_indicators!$B$1)&gt;3*[4]QC_indicators!$C$1,"DF","no")))</f>
        <v>no</v>
      </c>
      <c r="FA1606" t="str">
        <f>IF(LEN($CY1606)=0,"",IF(AND($CY1606&lt;(-0.05),$ES1606="C neutral forest and HWP assumption"),"Cneutral paradox",IF(AND($CY1606&gt;0.05,$EU1606="In-situ only assumption"),"In-situ only paradox","")))</f>
        <v/>
      </c>
      <c r="FD1606" t="s">
        <v>5062</v>
      </c>
    </row>
    <row r="1607" spans="1:160" hidden="1">
      <c r="A1607" s="1" t="s">
        <v>643</v>
      </c>
      <c r="B1607" t="s">
        <v>1019</v>
      </c>
      <c r="C1607" t="s">
        <v>1020</v>
      </c>
      <c r="D1607" t="s">
        <v>5061</v>
      </c>
      <c r="E1607" t="s">
        <v>1021</v>
      </c>
      <c r="F1607" t="s">
        <v>1022</v>
      </c>
      <c r="G1607" t="s">
        <v>649</v>
      </c>
      <c r="H1607" t="s">
        <v>254</v>
      </c>
      <c r="I1607">
        <v>2022</v>
      </c>
      <c r="J1607">
        <v>1</v>
      </c>
      <c r="K1607" t="s">
        <v>1023</v>
      </c>
      <c r="M1607" t="str">
        <f>LEFT($D1607,FIND(",",$D1607)-1)&amp;"_"&amp;I1607&amp;L1607</f>
        <v>Sun_2022</v>
      </c>
      <c r="N1607" t="s">
        <v>222</v>
      </c>
      <c r="O1607" s="317" t="s">
        <v>223</v>
      </c>
      <c r="Q1607" s="317" t="s">
        <v>389</v>
      </c>
      <c r="R1607" s="318" t="s">
        <v>1029</v>
      </c>
      <c r="S1607" s="320" t="s">
        <v>257</v>
      </c>
      <c r="T1607" s="317" t="s">
        <v>790</v>
      </c>
      <c r="U1607" s="317" t="s">
        <v>259</v>
      </c>
      <c r="V1607" s="253">
        <v>0</v>
      </c>
      <c r="W1607" s="253">
        <v>0</v>
      </c>
      <c r="X1607">
        <v>0</v>
      </c>
      <c r="Y1607">
        <v>0</v>
      </c>
      <c r="Z1607">
        <v>0</v>
      </c>
      <c r="AA1607">
        <v>0</v>
      </c>
      <c r="AB1607">
        <v>0</v>
      </c>
      <c r="AC1607">
        <v>0</v>
      </c>
      <c r="AD1607">
        <v>0</v>
      </c>
      <c r="AE1607">
        <v>0</v>
      </c>
      <c r="AF1607">
        <v>0</v>
      </c>
      <c r="AG1607">
        <v>0</v>
      </c>
      <c r="AH1607">
        <v>0</v>
      </c>
      <c r="AI1607">
        <v>0</v>
      </c>
      <c r="AJ1607">
        <v>0</v>
      </c>
      <c r="AK1607">
        <v>0</v>
      </c>
      <c r="AL1607">
        <v>0</v>
      </c>
      <c r="AM1607">
        <v>1</v>
      </c>
      <c r="AN1607">
        <v>0</v>
      </c>
      <c r="AO1607">
        <v>0</v>
      </c>
      <c r="AP1607">
        <v>0</v>
      </c>
      <c r="AQ1607">
        <v>0</v>
      </c>
      <c r="AR1607">
        <v>0</v>
      </c>
      <c r="AS1607">
        <v>0</v>
      </c>
      <c r="AT1607">
        <v>0</v>
      </c>
      <c r="AU1607">
        <v>0</v>
      </c>
      <c r="AV1607">
        <v>0</v>
      </c>
      <c r="AW1607">
        <v>0</v>
      </c>
      <c r="AX1607">
        <v>0</v>
      </c>
      <c r="AY1607">
        <v>0</v>
      </c>
      <c r="AZ1607" s="141">
        <f>COUNTIF(X1607:AY1607,"&lt;&gt;0")</f>
        <v>1</v>
      </c>
      <c r="BA1607" s="141">
        <f>COUNTIF(X1607:AN1607,"&lt;&gt;0")</f>
        <v>1</v>
      </c>
      <c r="BB1607">
        <f>COUNTIF(X1607:AE1607,"&lt;&gt;0")</f>
        <v>0</v>
      </c>
      <c r="BC1607">
        <f>COUNTIF(AF1607:AK1607,"&lt;&gt;0")</f>
        <v>0</v>
      </c>
      <c r="BD1607">
        <f>COUNTIF(AL1607:AN1607,"&lt;&gt;0")</f>
        <v>1</v>
      </c>
      <c r="BE1607">
        <f>COUNTIF(AU1607:AY1607,"&lt;&gt;0")</f>
        <v>0</v>
      </c>
      <c r="BF1607">
        <f>COUNTIF(AO1607:AT1607,"&lt;&gt;0")</f>
        <v>0</v>
      </c>
      <c r="BG1607" t="str" cm="1">
        <f t="array" ref="BG1607">IF(BA1607=1,INDEX($X$7:$AN$7,MATCH(TRUE,INDEX($X1607:$AY1607&lt;&gt;0,),0)),IF(BA1607=0,INDEX($AO$7:$AY$7,MATCH(1,$AO1607:$AY1607,0)),IF(BH1607="Multiple strategies","mixed drivers",IF(BH1607="Supply chain","multiple supply","multiple silviculture"))))</f>
        <v>technologies/design switch</v>
      </c>
      <c r="BH1607" s="2" t="str" cm="1">
        <f t="array" ref="BH1607">IF(COUNTIF(BB1607:BD1607,"&lt;&gt;0")=1,INDEX($X$4:$AY$4,MATCH(TRUE,INDEX($X1607:$AY1607&lt;&gt;0,),0)),IF(COUNTIF(BB1607:BD1607,"&lt;&gt;0")=0,INDEX($AO$4:$AY$4,MATCH(1,$AO1607:$AY1607,0)),"Multiple strategies"))</f>
        <v>Technology</v>
      </c>
      <c r="BI1607" s="1" t="s">
        <v>229</v>
      </c>
      <c r="BJ1607" t="s">
        <v>1024</v>
      </c>
      <c r="BK1607" s="317" t="s">
        <v>1025</v>
      </c>
      <c r="BL1607" s="317" t="s">
        <v>1026</v>
      </c>
      <c r="BM1607">
        <f>2332/3000</f>
        <v>0.77733333333333332</v>
      </c>
      <c r="BN1607">
        <f>(565731+64622+51138+7369)/3000</f>
        <v>229.62</v>
      </c>
      <c r="BO1607" s="317">
        <f>BN1607/BM1607</f>
        <v>295.39451114922815</v>
      </c>
      <c r="BP1607">
        <f>BN1607-BM1607</f>
        <v>228.84266666666667</v>
      </c>
      <c r="BQ1607">
        <f>BP1607*kg_to_m3</f>
        <v>0.46702585034013611</v>
      </c>
      <c r="BR1607" s="317" t="s">
        <v>232</v>
      </c>
      <c r="BS1607" s="317" t="s">
        <v>1027</v>
      </c>
      <c r="BT1607" s="317" t="s">
        <v>1028</v>
      </c>
      <c r="BU1607">
        <f>-221</f>
        <v>-221</v>
      </c>
      <c r="BV1607">
        <v>174</v>
      </c>
      <c r="BW1607" s="144">
        <v>0.43825665859564172</v>
      </c>
      <c r="BX1607">
        <f>BV1607-BU1607</f>
        <v>395</v>
      </c>
      <c r="BZ1607">
        <f>BX1607/1000</f>
        <v>0.39500000000000002</v>
      </c>
      <c r="CA1607">
        <f>IFERROR(BZ1607/BQ1607,"")</f>
        <v>0.84577759392187934</v>
      </c>
      <c r="CB1607">
        <v>0</v>
      </c>
      <c r="CC1607">
        <v>0</v>
      </c>
      <c r="CD1607">
        <v>0</v>
      </c>
      <c r="CE1607">
        <v>0</v>
      </c>
      <c r="CF1607">
        <v>0</v>
      </c>
      <c r="CG1607">
        <v>0</v>
      </c>
      <c r="CH1607">
        <v>0</v>
      </c>
      <c r="CI1607">
        <v>0</v>
      </c>
      <c r="CJ1607">
        <v>0</v>
      </c>
      <c r="CK1607">
        <v>0</v>
      </c>
      <c r="CL1607">
        <v>0</v>
      </c>
      <c r="CM1607">
        <v>0</v>
      </c>
      <c r="CN1607">
        <v>0</v>
      </c>
      <c r="CO1607">
        <v>0</v>
      </c>
      <c r="CP1607" t="str">
        <f>IF($BN1607&lt;$BM1607,"refNeedCorrection","refOK")</f>
        <v>refOK</v>
      </c>
      <c r="CQ1607">
        <f>IF($CP1607="refOK",$BM1607,$BN1607)</f>
        <v>0.77733333333333332</v>
      </c>
      <c r="CR1607">
        <f>IF($CP1607="refOK",$BN1607,$BM1607)</f>
        <v>229.62</v>
      </c>
      <c r="CS1607">
        <f>IF($CP1607="refOK",$BQ1607,-$BQ1607)</f>
        <v>0.46702585034013611</v>
      </c>
      <c r="CT1607">
        <f>IF(BI1607="Roundwood",$CS1607/2,$CS1607)</f>
        <v>0.46702585034013611</v>
      </c>
      <c r="CU1607">
        <f>IF($CP1607="refOK",$BU1607,$BV1607)*IF($BR1607="Emissions positive",-1,1)</f>
        <v>-221</v>
      </c>
      <c r="CV1607">
        <f>IF($CP1607="refOK",$BV1607,$BU1607)*IF($BR1607="Emissions positive",-1,1)</f>
        <v>174</v>
      </c>
      <c r="CW1607">
        <f>IF($CP1607="refNeedCorrection",-BZ1607,BZ1607)*IF($BR1607="Emissions positive",-1,1)</f>
        <v>0.39500000000000002</v>
      </c>
      <c r="CX1607">
        <f>IFERROR($CW1607/$CS1607,"")</f>
        <v>0.84577759392187934</v>
      </c>
      <c r="CY1607">
        <f>IFERROR($CW1607/$CS1607,"")</f>
        <v>0.84577759392187934</v>
      </c>
      <c r="CZ1607">
        <f>IFERROR($CW1607/$CT1607,"")</f>
        <v>0.84577759392187934</v>
      </c>
      <c r="DA1607" s="2">
        <f>IFERROR((CV1607-CU1607)/ABS(CU1607),"")</f>
        <v>1.7873303167420815</v>
      </c>
      <c r="DB1607" s="320" t="s">
        <v>263</v>
      </c>
      <c r="DC1607" s="317" t="str">
        <f>IF(OR($DB1607="prd",$DB1607="std",$DB1607="cit"),"loc",IF(OR($DB1607="eur",$DB1607="reg",$DB1607="coy"),"reg",$DB1607))</f>
        <v>loc</v>
      </c>
      <c r="DD1607" s="317" t="s">
        <v>677</v>
      </c>
      <c r="DG1607">
        <v>100</v>
      </c>
      <c r="DH1607" t="str">
        <f>IF(DG1607=0,"0",IF(AND(DG1607&gt;=1,DG1607&lt;=30),"1-30",IF(AND(DG1607&gt;30,DG1607&lt;=70),"31-70",IF(AND(DG1607&gt;70,DG1607&lt;=100),"71-100",IF(DG1607&gt;100,"+100")))))</f>
        <v>71-100</v>
      </c>
      <c r="DI1607">
        <v>0</v>
      </c>
      <c r="DJ1607">
        <v>0</v>
      </c>
      <c r="DK1607">
        <v>0</v>
      </c>
      <c r="DL1607">
        <v>1</v>
      </c>
      <c r="DM1607">
        <v>0</v>
      </c>
      <c r="DN1607">
        <f>SUM(DI1607:DL1607)</f>
        <v>1</v>
      </c>
      <c r="DO1607" t="str">
        <f>IF(DN1607=1,INDEX($DI$7:$DL$7,MATCH(1,$DI1607:$DL1607,0)),"mixedProduct")</f>
        <v>TimberInput</v>
      </c>
      <c r="DP1607">
        <f>IF(DI1607=1,DP$7,0)</f>
        <v>0</v>
      </c>
      <c r="DQ1607">
        <f>IF(DJ1607=1,DQ$7,0)</f>
        <v>0</v>
      </c>
      <c r="DR1607">
        <f>IF(DK1607=1,DR$7,0)</f>
        <v>0</v>
      </c>
      <c r="DS1607" t="str">
        <f>IF(DL1607=1,DS$7,0)</f>
        <v>Timber</v>
      </c>
      <c r="DT1607">
        <v>0</v>
      </c>
      <c r="DU1607">
        <v>0</v>
      </c>
      <c r="DV1607">
        <v>0</v>
      </c>
      <c r="DW1607">
        <v>0</v>
      </c>
      <c r="DX1607">
        <v>0</v>
      </c>
      <c r="DY1607">
        <f>SUM(DT1607:DU1607)</f>
        <v>0</v>
      </c>
      <c r="DZ1607" s="143" t="str">
        <f>IF(DT1607=1,"self-calculated DF",IF(DU1607=1,"external DF used","explicit C balance"))</f>
        <v>explicit C balance</v>
      </c>
      <c r="EA1607">
        <v>0</v>
      </c>
      <c r="EB1607">
        <v>0</v>
      </c>
      <c r="EC1607">
        <v>0</v>
      </c>
      <c r="ED1607">
        <v>1</v>
      </c>
      <c r="EE1607">
        <v>0</v>
      </c>
      <c r="EF1607">
        <v>1</v>
      </c>
      <c r="EG1607">
        <v>1</v>
      </c>
      <c r="EH1607">
        <v>1</v>
      </c>
      <c r="EI1607">
        <v>1</v>
      </c>
      <c r="EJ1607">
        <v>0</v>
      </c>
      <c r="EK1607">
        <v>0</v>
      </c>
      <c r="EL1607">
        <v>0</v>
      </c>
      <c r="EM1607">
        <v>0</v>
      </c>
      <c r="EN1607" s="2">
        <v>0</v>
      </c>
      <c r="EP1607" t="str">
        <f>IF(AND(AND(AND(OR($EC1607=1,$EB1607=1),OR($EH1607=1,$EF1607=1)),SUM($EA1607:$EE1607,$EK1607)&gt;=3),SUM($EF1607:$EJ1607)&gt;=2),"Whole sector approach","")</f>
        <v/>
      </c>
      <c r="EQ1607" t="str">
        <f>IF(AND(AND(OR($EC1607=1,$EB1607=1),AND($EH1607=0,$EF1607=0)),SUM($EA1607:$EE1607,$EK1607)&gt;=3),"Ecosystem approach","")</f>
        <v/>
      </c>
      <c r="ER1607" s="2" t="str">
        <f>IF(AND(AND(AND($EC1607=0,$EB1607=0),OR($EH1607=1,$EF1607=1)),SUM($EG1607:$EJ1607)&gt;=2),"Technology approach","")</f>
        <v>Technology approach</v>
      </c>
      <c r="ES1607" t="str">
        <f>IF(AND($EC1607+$EB1607+$EE1607+$EA1607+$ED1607+$EG1607=0,$N1607="included"),"C neutral forest and HWP assumption","")</f>
        <v/>
      </c>
      <c r="ET1607" t="str">
        <f>IF(AND(AND(AND(AND($EC1607=1,$EB1607+$EA1607+$EG1607&gt;=1),$EF1607=1),$EH1607+$EI1607+$ED1607+$EE1607&gt;=2),$N1607="included"),"All C pools assumption","")</f>
        <v/>
      </c>
      <c r="EU1607" t="str">
        <f>IF(AND($ED1607+$EE1607+$EI1607+$EH1607+$EF1607=0,$N1607="included"),"In-situ only assumption","")</f>
        <v/>
      </c>
      <c r="EY1607" t="str">
        <f>IF(ISNUMBER(BW1607),IF(ABS(BW1607-[4]QC_indicators!$B$2)&gt;3*[4]QC_indicators!$C$2,"C ratio",IF(ISNUMBER(CA1607),IF(ABS(CA1607-[4]QC_indicators!$B$1)&gt;3*[4]QC_indicators!$C$1,"DF","no"))),IF(ISNUMBER(CA1607),IF(ABS(CA1607-[4]QC_indicators!$B$1)&gt;3*[4]QC_indicators!$C$1,"DF","no")))</f>
        <v>no</v>
      </c>
      <c r="FA1607" t="str">
        <f>IF(LEN($CY1607)=0,"",IF(AND($CY1607&lt;(-0.05),$ES1607="C neutral forest and HWP assumption"),"Cneutral paradox",IF(AND($CY1607&gt;0.05,$EU1607="In-situ only assumption"),"In-situ only paradox","")))</f>
        <v/>
      </c>
      <c r="FD1607" t="s">
        <v>5062</v>
      </c>
    </row>
    <row r="1608" spans="1:160" ht="15" hidden="1" customHeight="1">
      <c r="A1608" s="1" t="s">
        <v>643</v>
      </c>
      <c r="B1608" t="s">
        <v>1019</v>
      </c>
      <c r="C1608" t="s">
        <v>1020</v>
      </c>
      <c r="D1608" t="s">
        <v>5061</v>
      </c>
      <c r="E1608" t="s">
        <v>1021</v>
      </c>
      <c r="F1608" t="s">
        <v>1022</v>
      </c>
      <c r="G1608" t="s">
        <v>649</v>
      </c>
      <c r="H1608" t="s">
        <v>254</v>
      </c>
      <c r="I1608">
        <v>2022</v>
      </c>
      <c r="J1608">
        <v>1</v>
      </c>
      <c r="K1608" t="s">
        <v>1023</v>
      </c>
      <c r="M1608" t="str">
        <f>LEFT($D1608,FIND(",",$D1608)-1)&amp;"_"&amp;I1608&amp;L1608</f>
        <v>Sun_2022</v>
      </c>
      <c r="N1608" t="s">
        <v>222</v>
      </c>
      <c r="O1608" s="317" t="s">
        <v>223</v>
      </c>
      <c r="Q1608" s="317" t="s">
        <v>389</v>
      </c>
      <c r="R1608" s="318" t="s">
        <v>1029</v>
      </c>
      <c r="S1608" s="320" t="s">
        <v>257</v>
      </c>
      <c r="T1608" s="317" t="s">
        <v>790</v>
      </c>
      <c r="U1608" s="317" t="s">
        <v>259</v>
      </c>
      <c r="V1608" s="253">
        <v>0</v>
      </c>
      <c r="W1608" s="253">
        <v>0</v>
      </c>
      <c r="X1608">
        <v>0</v>
      </c>
      <c r="Y1608">
        <v>0</v>
      </c>
      <c r="Z1608">
        <v>0</v>
      </c>
      <c r="AA1608">
        <v>0</v>
      </c>
      <c r="AB1608">
        <v>0</v>
      </c>
      <c r="AC1608">
        <v>0</v>
      </c>
      <c r="AD1608">
        <v>0</v>
      </c>
      <c r="AE1608">
        <v>0</v>
      </c>
      <c r="AF1608">
        <v>0</v>
      </c>
      <c r="AG1608">
        <v>0</v>
      </c>
      <c r="AH1608">
        <v>0</v>
      </c>
      <c r="AI1608">
        <v>0</v>
      </c>
      <c r="AJ1608">
        <v>0</v>
      </c>
      <c r="AK1608">
        <v>0</v>
      </c>
      <c r="AL1608">
        <v>0</v>
      </c>
      <c r="AM1608">
        <v>1</v>
      </c>
      <c r="AN1608">
        <v>0</v>
      </c>
      <c r="AO1608">
        <v>0</v>
      </c>
      <c r="AP1608">
        <v>0</v>
      </c>
      <c r="AQ1608">
        <v>0</v>
      </c>
      <c r="AR1608">
        <v>0</v>
      </c>
      <c r="AS1608">
        <v>0</v>
      </c>
      <c r="AT1608">
        <v>0</v>
      </c>
      <c r="AU1608">
        <v>0</v>
      </c>
      <c r="AV1608">
        <v>0</v>
      </c>
      <c r="AW1608">
        <v>0</v>
      </c>
      <c r="AX1608">
        <v>0</v>
      </c>
      <c r="AY1608">
        <v>0</v>
      </c>
      <c r="AZ1608" s="141">
        <f>COUNTIF(X1608:AY1608,"&lt;&gt;0")</f>
        <v>1</v>
      </c>
      <c r="BA1608" s="141">
        <f>COUNTIF(X1608:AN1608,"&lt;&gt;0")</f>
        <v>1</v>
      </c>
      <c r="BB1608">
        <f>COUNTIF(X1608:AE1608,"&lt;&gt;0")</f>
        <v>0</v>
      </c>
      <c r="BC1608">
        <f>COUNTIF(AF1608:AK1608,"&lt;&gt;0")</f>
        <v>0</v>
      </c>
      <c r="BD1608">
        <f>COUNTIF(AL1608:AN1608,"&lt;&gt;0")</f>
        <v>1</v>
      </c>
      <c r="BE1608">
        <f>COUNTIF(AU1608:AY1608,"&lt;&gt;0")</f>
        <v>0</v>
      </c>
      <c r="BF1608">
        <f>COUNTIF(AO1608:AT1608,"&lt;&gt;0")</f>
        <v>0</v>
      </c>
      <c r="BG1608" t="str" cm="1">
        <f t="array" ref="BG1608">IF(BA1608=1,INDEX($X$7:$AN$7,MATCH(TRUE,INDEX($X1608:$AY1608&lt;&gt;0,),0)),IF(BA1608=0,INDEX($AO$7:$AY$7,MATCH(1,$AO1608:$AY1608,0)),IF(BH1608="Multiple strategies","mixed drivers",IF(BH1608="Supply chain","multiple supply","multiple silviculture"))))</f>
        <v>technologies/design switch</v>
      </c>
      <c r="BH1608" s="2" t="str" cm="1">
        <f t="array" ref="BH1608">IF(COUNTIF(BB1608:BD1608,"&lt;&gt;0")=1,INDEX($X$4:$AY$4,MATCH(TRUE,INDEX($X1608:$AY1608&lt;&gt;0,),0)),IF(COUNTIF(BB1608:BD1608,"&lt;&gt;0")=0,INDEX($AO$4:$AY$4,MATCH(1,$AO1608:$AY1608,0)),"Multiple strategies"))</f>
        <v>Technology</v>
      </c>
      <c r="BI1608" s="1" t="s">
        <v>229</v>
      </c>
      <c r="BJ1608" t="s">
        <v>1024</v>
      </c>
      <c r="BK1608" s="317" t="s">
        <v>1025</v>
      </c>
      <c r="BL1608" s="317" t="s">
        <v>1026</v>
      </c>
      <c r="BM1608">
        <f>2332/3000</f>
        <v>0.77733333333333332</v>
      </c>
      <c r="BN1608">
        <f>(565731+64622+51138+7369)/3000</f>
        <v>229.62</v>
      </c>
      <c r="BO1608" s="317">
        <f>BN1608/BM1608</f>
        <v>295.39451114922815</v>
      </c>
      <c r="BP1608">
        <f>BN1608-BM1608</f>
        <v>228.84266666666667</v>
      </c>
      <c r="BQ1608">
        <f>BP1608*kg_to_m3</f>
        <v>0.46702585034013611</v>
      </c>
      <c r="BR1608" s="317" t="s">
        <v>232</v>
      </c>
      <c r="BS1608" s="317" t="s">
        <v>1027</v>
      </c>
      <c r="BT1608" s="317" t="s">
        <v>1028</v>
      </c>
      <c r="BU1608">
        <f>-410</f>
        <v>-410</v>
      </c>
      <c r="BV1608">
        <v>54.6</v>
      </c>
      <c r="BW1608" s="144">
        <v>0.43825665859564172</v>
      </c>
      <c r="BX1608">
        <f>BV1608-BU1608</f>
        <v>464.6</v>
      </c>
      <c r="BZ1608">
        <f>BX1608/1000</f>
        <v>0.46460000000000001</v>
      </c>
      <c r="CA1608">
        <f>IFERROR(BZ1608/BQ1608,"")</f>
        <v>0.99480574718001302</v>
      </c>
      <c r="CB1608">
        <v>0</v>
      </c>
      <c r="CC1608">
        <v>0</v>
      </c>
      <c r="CD1608">
        <v>0</v>
      </c>
      <c r="CE1608">
        <v>0</v>
      </c>
      <c r="CF1608">
        <v>0</v>
      </c>
      <c r="CG1608">
        <v>0</v>
      </c>
      <c r="CH1608">
        <v>0</v>
      </c>
      <c r="CI1608">
        <v>0</v>
      </c>
      <c r="CJ1608">
        <v>0</v>
      </c>
      <c r="CK1608">
        <v>0</v>
      </c>
      <c r="CL1608">
        <v>0</v>
      </c>
      <c r="CM1608">
        <v>0</v>
      </c>
      <c r="CN1608">
        <v>0</v>
      </c>
      <c r="CO1608">
        <v>0</v>
      </c>
      <c r="CP1608" t="str">
        <f>IF($BN1608&lt;$BM1608,"refNeedCorrection","refOK")</f>
        <v>refOK</v>
      </c>
      <c r="CQ1608">
        <f>IF($CP1608="refOK",$BM1608,$BN1608)</f>
        <v>0.77733333333333332</v>
      </c>
      <c r="CR1608">
        <f>IF($CP1608="refOK",$BN1608,$BM1608)</f>
        <v>229.62</v>
      </c>
      <c r="CS1608">
        <f>IF($CP1608="refOK",$BQ1608,-$BQ1608)</f>
        <v>0.46702585034013611</v>
      </c>
      <c r="CT1608">
        <f>IF(BI1608="Roundwood",$CS1608/2,$CS1608)</f>
        <v>0.46702585034013611</v>
      </c>
      <c r="CU1608">
        <f>IF($CP1608="refOK",$BU1608,$BV1608)*IF($BR1608="Emissions positive",-1,1)</f>
        <v>-410</v>
      </c>
      <c r="CV1608">
        <f>IF($CP1608="refOK",$BV1608,$BU1608)*IF($BR1608="Emissions positive",-1,1)</f>
        <v>54.6</v>
      </c>
      <c r="CW1608">
        <f>IF($CP1608="refNeedCorrection",-BZ1608,BZ1608)*IF($BR1608="Emissions positive",-1,1)</f>
        <v>0.46460000000000001</v>
      </c>
      <c r="CX1608">
        <f>IFERROR($CW1608/$CS1608,"")</f>
        <v>0.99480574718001302</v>
      </c>
      <c r="CY1608">
        <f>IFERROR($CW1608/$CS1608,"")</f>
        <v>0.99480574718001302</v>
      </c>
      <c r="CZ1608">
        <f>IFERROR($CW1608/$CT1608,"")</f>
        <v>0.99480574718001302</v>
      </c>
      <c r="DA1608" s="2">
        <f>IFERROR((CV1608-CU1608)/ABS(CU1608),"")</f>
        <v>1.1331707317073172</v>
      </c>
      <c r="DB1608" s="320" t="s">
        <v>263</v>
      </c>
      <c r="DC1608" s="317" t="str">
        <f>IF(OR($DB1608="prd",$DB1608="std",$DB1608="cit"),"loc",IF(OR($DB1608="eur",$DB1608="reg",$DB1608="coy"),"reg",$DB1608))</f>
        <v>loc</v>
      </c>
      <c r="DD1608" s="317" t="s">
        <v>677</v>
      </c>
      <c r="DG1608">
        <v>150</v>
      </c>
      <c r="DH1608" t="str">
        <f>IF(DG1608=0,"0",IF(AND(DG1608&gt;=1,DG1608&lt;=30),"1-30",IF(AND(DG1608&gt;30,DG1608&lt;=70),"31-70",IF(AND(DG1608&gt;70,DG1608&lt;=100),"71-100",IF(DG1608&gt;100,"+100")))))</f>
        <v>+100</v>
      </c>
      <c r="DI1608">
        <v>0</v>
      </c>
      <c r="DJ1608">
        <v>0</v>
      </c>
      <c r="DK1608">
        <v>0</v>
      </c>
      <c r="DL1608">
        <v>1</v>
      </c>
      <c r="DM1608">
        <v>0</v>
      </c>
      <c r="DN1608">
        <f>SUM(DI1608:DL1608)</f>
        <v>1</v>
      </c>
      <c r="DO1608" t="str">
        <f>IF(DN1608=1,INDEX($DI$7:$DL$7,MATCH(1,$DI1608:$DL1608,0)),"mixedProduct")</f>
        <v>TimberInput</v>
      </c>
      <c r="DP1608">
        <f>IF(DI1608=1,DP$7,0)</f>
        <v>0</v>
      </c>
      <c r="DQ1608">
        <f>IF(DJ1608=1,DQ$7,0)</f>
        <v>0</v>
      </c>
      <c r="DR1608">
        <f>IF(DK1608=1,DR$7,0)</f>
        <v>0</v>
      </c>
      <c r="DS1608" t="str">
        <f>IF(DL1608=1,DS$7,0)</f>
        <v>Timber</v>
      </c>
      <c r="DT1608">
        <v>0</v>
      </c>
      <c r="DU1608">
        <v>0</v>
      </c>
      <c r="DV1608">
        <v>0</v>
      </c>
      <c r="DW1608">
        <v>0</v>
      </c>
      <c r="DX1608">
        <v>0</v>
      </c>
      <c r="DY1608">
        <f>SUM(DT1608:DU1608)</f>
        <v>0</v>
      </c>
      <c r="DZ1608" s="143" t="str">
        <f>IF(DT1608=1,"self-calculated DF",IF(DU1608=1,"external DF used","explicit C balance"))</f>
        <v>explicit C balance</v>
      </c>
      <c r="EA1608">
        <v>0</v>
      </c>
      <c r="EB1608">
        <v>0</v>
      </c>
      <c r="EC1608">
        <v>0</v>
      </c>
      <c r="ED1608">
        <v>1</v>
      </c>
      <c r="EE1608">
        <v>0</v>
      </c>
      <c r="EF1608">
        <v>1</v>
      </c>
      <c r="EG1608">
        <v>1</v>
      </c>
      <c r="EH1608">
        <v>1</v>
      </c>
      <c r="EI1608">
        <v>1</v>
      </c>
      <c r="EJ1608">
        <v>0</v>
      </c>
      <c r="EK1608">
        <v>0</v>
      </c>
      <c r="EL1608">
        <v>0</v>
      </c>
      <c r="EM1608">
        <v>0</v>
      </c>
      <c r="EN1608" s="2">
        <v>0</v>
      </c>
      <c r="EP1608" t="str">
        <f>IF(AND(AND(AND(OR($EC1608=1,$EB1608=1),OR($EH1608=1,$EF1608=1)),SUM($EA1608:$EE1608,$EK1608)&gt;=3),SUM($EF1608:$EJ1608)&gt;=2),"Whole sector approach","")</f>
        <v/>
      </c>
      <c r="EQ1608" t="str">
        <f>IF(AND(AND(OR($EC1608=1,$EB1608=1),AND($EH1608=0,$EF1608=0)),SUM($EA1608:$EE1608,$EK1608)&gt;=3),"Ecosystem approach","")</f>
        <v/>
      </c>
      <c r="ER1608" s="2" t="str">
        <f>IF(AND(AND(AND($EC1608=0,$EB1608=0),OR($EH1608=1,$EF1608=1)),SUM($EG1608:$EJ1608)&gt;=2),"Technology approach","")</f>
        <v>Technology approach</v>
      </c>
      <c r="ES1608" t="str">
        <f>IF(AND($EC1608+$EB1608+$EE1608+$EA1608+$ED1608+$EG1608=0,$N1608="included"),"C neutral forest and HWP assumption","")</f>
        <v/>
      </c>
      <c r="ET1608" t="str">
        <f>IF(AND(AND(AND(AND($EC1608=1,$EB1608+$EA1608+$EG1608&gt;=1),$EF1608=1),$EH1608+$EI1608+$ED1608+$EE1608&gt;=2),$N1608="included"),"All C pools assumption","")</f>
        <v/>
      </c>
      <c r="EU1608" t="str">
        <f>IF(AND($ED1608+$EE1608+$EI1608+$EH1608+$EF1608=0,$N1608="included"),"In-situ only assumption","")</f>
        <v/>
      </c>
      <c r="EY1608" t="str">
        <f>IF(ISNUMBER(BW1608),IF(ABS(BW1608-[4]QC_indicators!$B$2)&gt;3*[4]QC_indicators!$C$2,"C ratio",IF(ISNUMBER(CA1608),IF(ABS(CA1608-[4]QC_indicators!$B$1)&gt;3*[4]QC_indicators!$C$1,"DF","no"))),IF(ISNUMBER(CA1608),IF(ABS(CA1608-[4]QC_indicators!$B$1)&gt;3*[4]QC_indicators!$C$1,"DF","no")))</f>
        <v>no</v>
      </c>
      <c r="FA1608" t="str">
        <f>IF(LEN($CY1608)=0,"",IF(AND($CY1608&lt;(-0.05),$ES1608="C neutral forest and HWP assumption"),"Cneutral paradox",IF(AND($CY1608&gt;0.05,$EU1608="In-situ only assumption"),"In-situ only paradox","")))</f>
        <v/>
      </c>
      <c r="FD1608" t="s">
        <v>5062</v>
      </c>
    </row>
    <row r="1609" spans="1:160" ht="15" hidden="1" customHeight="1">
      <c r="A1609" s="1" t="s">
        <v>4119</v>
      </c>
      <c r="B1609" t="s">
        <v>4120</v>
      </c>
      <c r="C1609" t="s">
        <v>4121</v>
      </c>
      <c r="D1609" t="s">
        <v>3544</v>
      </c>
      <c r="E1609" t="s">
        <v>4122</v>
      </c>
      <c r="F1609" t="s">
        <v>4123</v>
      </c>
      <c r="G1609" t="s">
        <v>4124</v>
      </c>
      <c r="H1609" t="s">
        <v>254</v>
      </c>
      <c r="I1609">
        <v>2012</v>
      </c>
      <c r="J1609">
        <v>29</v>
      </c>
      <c r="K1609" t="s">
        <v>4125</v>
      </c>
      <c r="M1609" t="str">
        <f t="shared" ref="M1584:M1647" si="598">LEFT($D1609,FIND(",",$D1609)-1)&amp;"_"&amp;I1609&amp;L1609</f>
        <v>Newell_2012</v>
      </c>
      <c r="N1609" s="297" t="s">
        <v>4878</v>
      </c>
      <c r="O1609" s="157" t="s">
        <v>274</v>
      </c>
      <c r="P1609" t="s">
        <v>924</v>
      </c>
      <c r="Q1609" s="297" t="s">
        <v>389</v>
      </c>
      <c r="R1609" s="298"/>
      <c r="AZ1609" s="141"/>
      <c r="BA1609" s="141"/>
      <c r="BG1609"/>
      <c r="BH1609" s="2"/>
      <c r="BW1609" s="144"/>
      <c r="CA1609" t="str">
        <f t="shared" ref="CA1577:CA1640" si="599">IFERROR(BZ1609/BQ1609,"")</f>
        <v/>
      </c>
      <c r="CP1609"/>
      <c r="CQ1609"/>
      <c r="CR1609"/>
      <c r="CS1609"/>
      <c r="CT1609">
        <f t="shared" ref="CT1549:CT1609" si="600">IF(BI1609="Roundwood",$CS1609/2,$CS1609)</f>
        <v>0</v>
      </c>
      <c r="CU1609"/>
      <c r="CV1609"/>
      <c r="CW1609"/>
      <c r="CX1609" t="str">
        <f t="shared" ref="CX1581:CX1609" si="601">IFERROR($CW1609/$CS1609,"")</f>
        <v/>
      </c>
      <c r="CY1609"/>
      <c r="CZ1609" t="str">
        <f t="shared" ref="CZ1549:CZ1609" si="602">IFERROR($CW1609/$CT1609,"")</f>
        <v/>
      </c>
      <c r="DA1609" s="2"/>
      <c r="DC1609"/>
      <c r="DH1609"/>
      <c r="DN1609"/>
      <c r="DO1609"/>
      <c r="DP1609"/>
      <c r="DQ1609"/>
      <c r="DR1609"/>
      <c r="DS1609"/>
      <c r="DY1609"/>
      <c r="DZ1609" s="143"/>
      <c r="EP1609" t="str">
        <f t="shared" ref="EP1549:EP1609" si="603">IF(AND(AND(AND(OR($EC1609=1,$EB1609=1),OR($EH1609=1,$EF1609=1)),SUM($EA1609:$EE1609,$EK1609)&gt;=3),SUM($EF1609:$EJ1609)&gt;=2),"Whole sector approach","")</f>
        <v/>
      </c>
      <c r="EQ1609" t="str">
        <f>IF(AND(AND(OR($EC1609=1,$EB1609=1),AND($EH1609=0,$EF1609=0)),SUM($EA1609:$EE1609,$EK1609)&gt;=3),"Ecosystem approach","")</f>
        <v/>
      </c>
      <c r="ER1609" s="2" t="str">
        <f t="shared" ref="ER1580:ER1609" si="604">IF(AND(AND(AND($EC1609=0,$EB1609=0),OR($EH1609=1,$EF1609=1)),SUM($EG1609:$EJ1609)&gt;=2),"Technology approach","")</f>
        <v/>
      </c>
      <c r="ES1609" t="str">
        <f>IF(AND($EC1609+$EB1609+$EE1609+$EA1609+$EF1609+$EG1609=0,$N1609="included"),"C neutral forest and HWP assumption","")</f>
        <v/>
      </c>
      <c r="ET1609" t="str">
        <f>IF(AND(AND(AND($EC1609+$EB1609+$EA1609+$EG1609&gt;=2,$EF1609+$EH1609+$EI1609&gt;=1),$ED1609+$EE1609&gt;=1),$N1609="included"),"All C pools assumption","")</f>
        <v/>
      </c>
      <c r="EU1609" t="str">
        <f t="shared" ref="EU1549:EU1609" si="605">IF(AND($ED1609+$EE1609+$EI1609+$EH1609+$EF1609=0,$N1609="included"),"In-situ only assumption","")</f>
        <v/>
      </c>
      <c r="EY1609" t="b">
        <f>IF(ISNUMBER(BW1609),IF(ABS(BW1609-[1]QC_indicators!$B$2)&gt;3*[1]QC_indicators!$C$2,"C ratio",IF(ISNUMBER(CA1609),IF(ABS(CA1609-[1]QC_indicators!$B$1)&gt;3*[1]QC_indicators!$C$1,"DF","no"))),IF(ISNUMBER(CA1609),IF(ABS(CA1609-[1]QC_indicators!$B$1)&gt;3*[1]QC_indicators!$C$1,"DF","no")))</f>
        <v>0</v>
      </c>
      <c r="FA1609" t="str">
        <f t="shared" ref="FA1549:FA1609" si="606">IF(LEN($CY1609)=0,"",IF(AND($CY1609&lt;(-0.05),$ES1609="C neutral forest and HWP assumption"),"Cneutral paradox",IF(AND($CY1609&gt;0.05,$EU1609="In-situ only assumption"),"In-situ only paradox","")))</f>
        <v/>
      </c>
    </row>
    <row r="1610" spans="1:160" ht="15" hidden="1" customHeight="1">
      <c r="A1610" s="1" t="s">
        <v>5111</v>
      </c>
      <c r="B1610" t="s">
        <v>5112</v>
      </c>
      <c r="C1610" t="s">
        <v>5113</v>
      </c>
      <c r="D1610" t="s">
        <v>5114</v>
      </c>
      <c r="E1610" t="s">
        <v>5115</v>
      </c>
      <c r="F1610" t="s">
        <v>5116</v>
      </c>
      <c r="G1610" t="s">
        <v>5117</v>
      </c>
      <c r="H1610" t="s">
        <v>254</v>
      </c>
      <c r="I1610">
        <v>2014</v>
      </c>
      <c r="J1610">
        <v>23</v>
      </c>
      <c r="K1610" t="s">
        <v>5118</v>
      </c>
      <c r="M1610" t="str">
        <f t="shared" si="598"/>
        <v>Pyorala_2014</v>
      </c>
      <c r="N1610" s="349" t="s">
        <v>4878</v>
      </c>
      <c r="O1610" s="145" t="s">
        <v>225</v>
      </c>
      <c r="Q1610" s="349" t="s">
        <v>389</v>
      </c>
      <c r="R1610" s="350" t="s">
        <v>1029</v>
      </c>
    </row>
    <row r="1611" spans="1:160" ht="15" hidden="1" customHeight="1">
      <c r="A1611" s="1" t="s">
        <v>3820</v>
      </c>
      <c r="B1611" t="s">
        <v>4072</v>
      </c>
      <c r="C1611" t="s">
        <v>4073</v>
      </c>
      <c r="D1611" t="s">
        <v>4074</v>
      </c>
      <c r="E1611" t="s">
        <v>4075</v>
      </c>
      <c r="F1611" t="s">
        <v>4076</v>
      </c>
      <c r="G1611" t="s">
        <v>3826</v>
      </c>
      <c r="H1611" t="s">
        <v>254</v>
      </c>
      <c r="I1611">
        <v>2019</v>
      </c>
      <c r="J1611">
        <v>14</v>
      </c>
      <c r="K1611" t="s">
        <v>4077</v>
      </c>
      <c r="M1611" t="str">
        <f t="shared" si="598"/>
        <v>Albers_2019</v>
      </c>
      <c r="N1611" s="297" t="s">
        <v>2265</v>
      </c>
      <c r="O1611" s="297" t="s">
        <v>1029</v>
      </c>
      <c r="Q1611" s="297" t="s">
        <v>389</v>
      </c>
      <c r="R1611" s="298"/>
      <c r="BG1611"/>
      <c r="BH1611" s="2"/>
      <c r="CA1611" t="str">
        <f t="shared" ref="CA1611:CA1633" si="607">IFERROR(BZ1611/BQ1611,"")</f>
        <v/>
      </c>
      <c r="CP1611"/>
      <c r="CQ1611"/>
      <c r="CR1611"/>
      <c r="CS1611"/>
      <c r="CT1611">
        <f t="shared" ref="CT1611:CT1633" si="608">IF(BI1611="Roundwood",$CS1611/2,$CS1611)</f>
        <v>0</v>
      </c>
      <c r="CU1611"/>
      <c r="CV1611"/>
      <c r="CW1611"/>
      <c r="CX1611" t="str">
        <f t="shared" ref="CX1611:CX1633" si="609">IFERROR($CW1611/$CS1611,"")</f>
        <v/>
      </c>
      <c r="CY1611"/>
      <c r="CZ1611" t="str">
        <f t="shared" ref="CZ1611:CZ1633" si="610">IFERROR($CW1611/$CT1611,"")</f>
        <v/>
      </c>
      <c r="DA1611" s="2"/>
      <c r="DC1611"/>
      <c r="DH1611" t="str">
        <f>IF(DG1611=0,"0",IF(AND(DG1611&gt;=1,DG1611&lt;=70),"1-70",IF(AND(DG1611&gt;70,DG1611&lt;=100),"70-100",IF(DG1611&gt;100,"+100"))))</f>
        <v>0</v>
      </c>
      <c r="DN1611"/>
      <c r="DO1611"/>
      <c r="DP1611"/>
      <c r="DQ1611"/>
      <c r="DR1611"/>
      <c r="DS1611"/>
      <c r="DY1611"/>
      <c r="DZ1611"/>
      <c r="EP1611" t="str">
        <f t="shared" ref="EP1611:EP1633" si="611">IF(AND(AND(AND(OR($EC1611=1,$EB1611=1),OR($EH1611=1,$EF1611=1)),SUM($EA1611:$EE1611,$EK1611)&gt;=3),SUM($EF1611:$EJ1611)&gt;=2),"Whole sector approach","")</f>
        <v/>
      </c>
      <c r="EQ1611" t="str">
        <f>IF(AND(AND(OR($EC1611=1,$EB1611=1),AND($EH1611=0,$EF1611=0)),SUM($EA1611:$EE1611,$EK1611)&gt;=3),"Ecosystem approach","")</f>
        <v/>
      </c>
      <c r="ER1611" s="2" t="str">
        <f t="shared" ref="ER1611:ER1633" si="612">IF(AND(AND(AND($EC1611=0,$EB1611=0),OR($EH1611=1,$EF1611=1)),SUM($EG1611:$EJ1611)&gt;=2),"Technology approach","")</f>
        <v/>
      </c>
      <c r="ES1611" t="str">
        <f t="shared" ref="ES1611:ES1639" si="613">IF(AND($EC1611+$EB1611+$EE1611+$EA1611+$EF1611+$EG1611=0,$N1611="included"),"C neutral forest and HWP assumption","")</f>
        <v/>
      </c>
      <c r="ET1611" t="str">
        <f t="shared" ref="ET1611:ET1639" si="614">IF(AND(AND(AND($EC1611+$EB1611+$EA1611+$EG1611&gt;=2,$EF1611+$EH1611+$EI1611&gt;=1),$ED1611+$EE1611&gt;=1),$N1611="included"),"All C pools assumption","")</f>
        <v/>
      </c>
      <c r="EU1611" t="str">
        <f t="shared" ref="EU1611:EU1639" si="615">IF(AND($ED1611+$EE1611+$EI1611+$EH1611+$EF1611=0,$N1611="included"),"In-situ only assumption","")</f>
        <v/>
      </c>
      <c r="EW1611" t="s">
        <v>4078</v>
      </c>
      <c r="EY1611" t="b">
        <f>IF(ISNUMBER(BW1611),IF(ABS(BW1611-[1]QC_indicators!$B$2)&gt;3*[1]QC_indicators!$C$2,"C ratio",IF(ISNUMBER(CA1611),IF(ABS(CA1611-[1]QC_indicators!$B$1)&gt;3*[1]QC_indicators!$C$1,"DF","no"))),IF(ISNUMBER(CA1611),IF(ABS(CA1611-[1]QC_indicators!$B$1)&gt;3*[1]QC_indicators!$C$1,"DF","no")))</f>
        <v>0</v>
      </c>
      <c r="FA1611" t="str">
        <f t="shared" ref="FA1611:FA1639" si="616">IF(LEN($CY1611)=0,"",IF(AND($CY1611&lt;(-0.05),$ES1611="C neutral forest and HWP assumption"),"Cneutral paradox",IF(AND($CY1611&gt;0.05,$EU1611="In-situ only assumption"),"In-situ only paradox","")))</f>
        <v/>
      </c>
    </row>
    <row r="1612" spans="1:160" ht="15" hidden="1" customHeight="1">
      <c r="A1612" s="1" t="s">
        <v>643</v>
      </c>
      <c r="B1612" t="s">
        <v>4079</v>
      </c>
      <c r="C1612" t="s">
        <v>4080</v>
      </c>
      <c r="D1612" t="s">
        <v>4081</v>
      </c>
      <c r="E1612" t="s">
        <v>4082</v>
      </c>
      <c r="F1612" t="s">
        <v>4083</v>
      </c>
      <c r="G1612" t="s">
        <v>649</v>
      </c>
      <c r="H1612" t="s">
        <v>254</v>
      </c>
      <c r="I1612">
        <v>2020</v>
      </c>
      <c r="J1612">
        <v>10</v>
      </c>
      <c r="K1612" t="s">
        <v>4084</v>
      </c>
      <c r="M1612" t="str">
        <f t="shared" si="598"/>
        <v>Chen_2020</v>
      </c>
      <c r="N1612" t="s">
        <v>2265</v>
      </c>
      <c r="O1612" s="145" t="s">
        <v>223</v>
      </c>
      <c r="Q1612" s="297" t="s">
        <v>256</v>
      </c>
      <c r="R1612" s="298"/>
      <c r="AZ1612" s="141"/>
      <c r="BA1612" s="141"/>
      <c r="BG1612"/>
      <c r="BH1612" s="2"/>
      <c r="BR1612" s="143"/>
      <c r="BS1612" s="143"/>
      <c r="BW1612" s="144"/>
      <c r="CA1612" t="str">
        <f t="shared" si="607"/>
        <v/>
      </c>
      <c r="CP1612"/>
      <c r="CQ1612"/>
      <c r="CR1612"/>
      <c r="CS1612"/>
      <c r="CT1612">
        <f t="shared" si="608"/>
        <v>0</v>
      </c>
      <c r="CU1612"/>
      <c r="CV1612"/>
      <c r="CW1612"/>
      <c r="CX1612" t="str">
        <f t="shared" si="609"/>
        <v/>
      </c>
      <c r="CY1612"/>
      <c r="CZ1612" t="str">
        <f t="shared" si="610"/>
        <v/>
      </c>
      <c r="DA1612" s="2"/>
      <c r="DC1612" s="297"/>
      <c r="DH1612"/>
      <c r="DN1612"/>
      <c r="DO1612"/>
      <c r="DP1612"/>
      <c r="DQ1612"/>
      <c r="DR1612"/>
      <c r="DS1612"/>
      <c r="DY1612"/>
      <c r="DZ1612" s="143"/>
      <c r="EP1612" t="str">
        <f t="shared" si="611"/>
        <v/>
      </c>
      <c r="EQ1612" t="str">
        <f>IF(AND(AND(OR($EC1612=1,$EB1612=1),AND($EH1612=0,$EF1612=0)),SUM($EA1612:$EE1612,$EK1612)&gt;=3),"Ecosystem approach","")</f>
        <v/>
      </c>
      <c r="ER1612" s="2" t="str">
        <f t="shared" si="612"/>
        <v/>
      </c>
      <c r="ES1612" t="str">
        <f t="shared" si="613"/>
        <v/>
      </c>
      <c r="ET1612" t="str">
        <f t="shared" si="614"/>
        <v/>
      </c>
      <c r="EU1612" t="str">
        <f t="shared" si="615"/>
        <v/>
      </c>
      <c r="EW1612" t="s">
        <v>4085</v>
      </c>
      <c r="EX1612" t="s">
        <v>450</v>
      </c>
      <c r="EY1612" t="b">
        <f>IF(ISNUMBER(BW1612),IF(ABS(BW1612-[1]QC_indicators!$B$2)&gt;3*[1]QC_indicators!$C$2,"C ratio",IF(ISNUMBER(CA1612),IF(ABS(CA1612-[1]QC_indicators!$B$1)&gt;3*[1]QC_indicators!$C$1,"DF","no"))),IF(ISNUMBER(CA1612),IF(ABS(CA1612-[1]QC_indicators!$B$1)&gt;3*[1]QC_indicators!$C$1,"DF","no")))</f>
        <v>0</v>
      </c>
      <c r="FA1612" t="str">
        <f t="shared" si="616"/>
        <v/>
      </c>
    </row>
    <row r="1613" spans="1:160" hidden="1">
      <c r="A1613" s="1" t="s">
        <v>643</v>
      </c>
      <c r="B1613" t="s">
        <v>4079</v>
      </c>
      <c r="C1613" t="s">
        <v>4080</v>
      </c>
      <c r="D1613" t="s">
        <v>4081</v>
      </c>
      <c r="E1613" t="s">
        <v>4082</v>
      </c>
      <c r="F1613" t="s">
        <v>4083</v>
      </c>
      <c r="G1613" t="s">
        <v>649</v>
      </c>
      <c r="H1613" t="s">
        <v>254</v>
      </c>
      <c r="I1613">
        <v>2020</v>
      </c>
      <c r="J1613">
        <v>10</v>
      </c>
      <c r="K1613" t="s">
        <v>4084</v>
      </c>
      <c r="M1613" t="str">
        <f t="shared" si="598"/>
        <v>Chen_2020</v>
      </c>
      <c r="N1613" t="s">
        <v>2265</v>
      </c>
      <c r="O1613" s="145" t="s">
        <v>223</v>
      </c>
      <c r="Q1613" s="297" t="s">
        <v>256</v>
      </c>
      <c r="R1613" s="298"/>
      <c r="AZ1613" s="141"/>
      <c r="BA1613" s="141"/>
      <c r="BG1613"/>
      <c r="BH1613" s="2"/>
      <c r="BR1613" s="143"/>
      <c r="BS1613" s="143"/>
      <c r="CA1613" t="str">
        <f t="shared" si="607"/>
        <v/>
      </c>
      <c r="CP1613"/>
      <c r="CQ1613"/>
      <c r="CR1613"/>
      <c r="CS1613"/>
      <c r="CT1613">
        <f t="shared" si="608"/>
        <v>0</v>
      </c>
      <c r="CU1613"/>
      <c r="CV1613"/>
      <c r="CW1613"/>
      <c r="CX1613" t="str">
        <f t="shared" si="609"/>
        <v/>
      </c>
      <c r="CY1613"/>
      <c r="CZ1613" t="str">
        <f t="shared" si="610"/>
        <v/>
      </c>
      <c r="DA1613" s="2"/>
      <c r="DC1613" s="297"/>
      <c r="DH1613"/>
      <c r="DN1613"/>
      <c r="DO1613"/>
      <c r="DP1613"/>
      <c r="DQ1613"/>
      <c r="DR1613"/>
      <c r="DS1613"/>
      <c r="DY1613"/>
      <c r="DZ1613" s="143"/>
      <c r="EP1613" t="str">
        <f t="shared" si="611"/>
        <v/>
      </c>
      <c r="EQ1613" t="str">
        <f>IF(AND(AND(OR($EC1613=1,$EB1613=1),AND($EH1613=0,$EF1613=0)),SUM($EA1613:$EE1613,$EK1613)&gt;=3),"Ecosystem approach","")</f>
        <v/>
      </c>
      <c r="ER1613" s="2" t="str">
        <f t="shared" si="612"/>
        <v/>
      </c>
      <c r="ES1613" t="str">
        <f t="shared" si="613"/>
        <v/>
      </c>
      <c r="ET1613" t="str">
        <f t="shared" si="614"/>
        <v/>
      </c>
      <c r="EU1613" t="str">
        <f t="shared" si="615"/>
        <v/>
      </c>
      <c r="EW1613" t="s">
        <v>4085</v>
      </c>
      <c r="EX1613" t="s">
        <v>450</v>
      </c>
      <c r="EY1613" t="b">
        <f>IF(ISNUMBER(BW1613),IF(ABS(BW1613-[1]QC_indicators!$B$2)&gt;3*[1]QC_indicators!$C$2,"C ratio",IF(ISNUMBER(CA1613),IF(ABS(CA1613-[1]QC_indicators!$B$1)&gt;3*[1]QC_indicators!$C$1,"DF","no"))),IF(ISNUMBER(CA1613),IF(ABS(CA1613-[1]QC_indicators!$B$1)&gt;3*[1]QC_indicators!$C$1,"DF","no")))</f>
        <v>0</v>
      </c>
      <c r="FA1613" t="str">
        <f t="shared" si="616"/>
        <v/>
      </c>
    </row>
    <row r="1614" spans="1:160" ht="15" hidden="1" customHeight="1">
      <c r="A1614" s="1" t="s">
        <v>4086</v>
      </c>
      <c r="B1614" t="s">
        <v>4087</v>
      </c>
      <c r="C1614" t="s">
        <v>4088</v>
      </c>
      <c r="D1614" t="s">
        <v>4089</v>
      </c>
      <c r="E1614" t="s">
        <v>4090</v>
      </c>
      <c r="F1614" t="s">
        <v>4091</v>
      </c>
      <c r="G1614" t="s">
        <v>4092</v>
      </c>
      <c r="H1614" t="s">
        <v>254</v>
      </c>
      <c r="I1614">
        <v>2011</v>
      </c>
      <c r="J1614">
        <v>4</v>
      </c>
      <c r="K1614" t="s">
        <v>4093</v>
      </c>
      <c r="M1614" t="str">
        <f t="shared" si="598"/>
        <v>Etoh_2011</v>
      </c>
      <c r="N1614" t="s">
        <v>2265</v>
      </c>
      <c r="O1614" s="145" t="s">
        <v>274</v>
      </c>
      <c r="Q1614" s="297" t="s">
        <v>256</v>
      </c>
      <c r="R1614" s="298"/>
      <c r="AZ1614" s="141"/>
      <c r="BA1614" s="141"/>
      <c r="BG1614"/>
      <c r="BH1614" s="2"/>
      <c r="BW1614" s="144"/>
      <c r="CA1614" t="str">
        <f t="shared" si="607"/>
        <v/>
      </c>
      <c r="CP1614"/>
      <c r="CQ1614"/>
      <c r="CR1614"/>
      <c r="CS1614"/>
      <c r="CT1614">
        <f t="shared" si="608"/>
        <v>0</v>
      </c>
      <c r="CU1614"/>
      <c r="CV1614"/>
      <c r="CW1614"/>
      <c r="CX1614" t="str">
        <f t="shared" si="609"/>
        <v/>
      </c>
      <c r="CY1614"/>
      <c r="CZ1614" t="str">
        <f t="shared" si="610"/>
        <v/>
      </c>
      <c r="DA1614" s="2"/>
      <c r="DC1614" s="297"/>
      <c r="DH1614"/>
      <c r="DN1614"/>
      <c r="DO1614"/>
      <c r="DP1614"/>
      <c r="DQ1614"/>
      <c r="DR1614"/>
      <c r="DS1614"/>
      <c r="DY1614"/>
      <c r="DZ1614" s="143"/>
      <c r="EP1614" t="str">
        <f t="shared" si="611"/>
        <v/>
      </c>
      <c r="EQ1614" t="str">
        <f>IF(AND(AND(OR($EC1614=1,$EB1614=1),AND($EH1614=0,$EF1614=0)),SUM($EA1614:$EE1614,$EK1614)&gt;=3),"Ecosystem approach","")</f>
        <v/>
      </c>
      <c r="ER1614" s="2" t="str">
        <f t="shared" si="612"/>
        <v/>
      </c>
      <c r="ES1614" t="str">
        <f t="shared" si="613"/>
        <v/>
      </c>
      <c r="ET1614" t="str">
        <f t="shared" si="614"/>
        <v/>
      </c>
      <c r="EU1614" t="str">
        <f t="shared" si="615"/>
        <v/>
      </c>
      <c r="EX1614" t="s">
        <v>4094</v>
      </c>
      <c r="EY1614" t="b">
        <f>IF(ISNUMBER(BW1614),IF(ABS(BW1614-[1]QC_indicators!$B$2)&gt;3*[1]QC_indicators!$C$2,"C ratio",IF(ISNUMBER(CA1614),IF(ABS(CA1614-[1]QC_indicators!$B$1)&gt;3*[1]QC_indicators!$C$1,"DF","no"))),IF(ISNUMBER(CA1614),IF(ABS(CA1614-[1]QC_indicators!$B$1)&gt;3*[1]QC_indicators!$C$1,"DF","no")))</f>
        <v>0</v>
      </c>
      <c r="FA1614" t="str">
        <f t="shared" si="616"/>
        <v/>
      </c>
    </row>
    <row r="1615" spans="1:160" ht="15" hidden="1" customHeight="1">
      <c r="A1615" s="1" t="s">
        <v>1005</v>
      </c>
      <c r="B1615" t="s">
        <v>4095</v>
      </c>
      <c r="C1615" t="s">
        <v>4096</v>
      </c>
      <c r="D1615" t="s">
        <v>4097</v>
      </c>
      <c r="E1615" t="s">
        <v>4098</v>
      </c>
      <c r="F1615" t="s">
        <v>4099</v>
      </c>
      <c r="G1615" t="s">
        <v>1011</v>
      </c>
      <c r="H1615" t="s">
        <v>254</v>
      </c>
      <c r="I1615">
        <v>2017</v>
      </c>
      <c r="J1615">
        <v>71</v>
      </c>
      <c r="K1615" t="s">
        <v>4100</v>
      </c>
      <c r="L1615" t="s">
        <v>388</v>
      </c>
      <c r="M1615" t="str">
        <f t="shared" si="598"/>
        <v>Hildebrandt_2017a</v>
      </c>
      <c r="N1615" t="s">
        <v>2265</v>
      </c>
      <c r="O1615" s="145" t="s">
        <v>508</v>
      </c>
      <c r="Q1615" s="297" t="s">
        <v>256</v>
      </c>
      <c r="R1615" s="298"/>
      <c r="AZ1615" s="141"/>
      <c r="BA1615" s="141"/>
      <c r="BG1615"/>
      <c r="BH1615" s="2"/>
      <c r="BW1615" s="144"/>
      <c r="CA1615" t="str">
        <f t="shared" si="607"/>
        <v/>
      </c>
      <c r="CP1615"/>
      <c r="CQ1615"/>
      <c r="CR1615"/>
      <c r="CS1615"/>
      <c r="CT1615">
        <f t="shared" si="608"/>
        <v>0</v>
      </c>
      <c r="CU1615"/>
      <c r="CV1615"/>
      <c r="CW1615"/>
      <c r="CX1615" t="str">
        <f t="shared" si="609"/>
        <v/>
      </c>
      <c r="CY1615"/>
      <c r="CZ1615" t="str">
        <f t="shared" si="610"/>
        <v/>
      </c>
      <c r="DA1615" s="2"/>
      <c r="DC1615" s="297"/>
      <c r="DH1615"/>
      <c r="DN1615"/>
      <c r="DO1615"/>
      <c r="DP1615"/>
      <c r="DQ1615"/>
      <c r="DR1615"/>
      <c r="DS1615"/>
      <c r="DY1615"/>
      <c r="DZ1615" s="143"/>
      <c r="EP1615" t="str">
        <f t="shared" si="611"/>
        <v/>
      </c>
      <c r="EQ1615" t="str">
        <f>IF(AND(AND(OR($EC1615=1,$EB1615=1),AND($EH1615=0,$EF1615=0)),SUM($EA1615:$EE1615,$EK1615)&gt;=3),"Ecosystem approach","")</f>
        <v/>
      </c>
      <c r="ER1615" s="2" t="str">
        <f t="shared" si="612"/>
        <v/>
      </c>
      <c r="ES1615" t="str">
        <f t="shared" si="613"/>
        <v/>
      </c>
      <c r="ET1615" t="str">
        <f t="shared" si="614"/>
        <v/>
      </c>
      <c r="EU1615" t="str">
        <f t="shared" si="615"/>
        <v/>
      </c>
      <c r="EW1615" t="s">
        <v>4101</v>
      </c>
      <c r="EX1615" t="s">
        <v>4102</v>
      </c>
      <c r="EY1615" t="b">
        <f>IF(ISNUMBER(BW1615),IF(ABS(BW1615-[1]QC_indicators!$B$2)&gt;3*[1]QC_indicators!$C$2,"C ratio",IF(ISNUMBER(CA1615),IF(ABS(CA1615-[1]QC_indicators!$B$1)&gt;3*[1]QC_indicators!$C$1,"DF","no"))),IF(ISNUMBER(CA1615),IF(ABS(CA1615-[1]QC_indicators!$B$1)&gt;3*[1]QC_indicators!$C$1,"DF","no")))</f>
        <v>0</v>
      </c>
      <c r="FA1615" t="str">
        <f t="shared" si="616"/>
        <v/>
      </c>
    </row>
    <row r="1616" spans="1:160" ht="15" hidden="1" customHeight="1">
      <c r="A1616" s="1" t="s">
        <v>895</v>
      </c>
      <c r="B1616" t="s">
        <v>1695</v>
      </c>
      <c r="C1616" t="s">
        <v>1696</v>
      </c>
      <c r="D1616" t="s">
        <v>1697</v>
      </c>
      <c r="E1616" t="s">
        <v>1698</v>
      </c>
      <c r="F1616" t="s">
        <v>1699</v>
      </c>
      <c r="G1616" t="s">
        <v>901</v>
      </c>
      <c r="H1616" t="s">
        <v>254</v>
      </c>
      <c r="I1616">
        <v>2019</v>
      </c>
      <c r="J1616">
        <v>8</v>
      </c>
      <c r="K1616" t="s">
        <v>1700</v>
      </c>
      <c r="M1616" t="str">
        <f t="shared" si="598"/>
        <v>Kogler_2019</v>
      </c>
      <c r="N1616" t="s">
        <v>2265</v>
      </c>
      <c r="O1616" s="171" t="s">
        <v>508</v>
      </c>
      <c r="P1616" t="s">
        <v>924</v>
      </c>
      <c r="Q1616" t="s">
        <v>389</v>
      </c>
      <c r="R1616" s="258" t="s">
        <v>223</v>
      </c>
      <c r="S1616" s="1" t="s">
        <v>1701</v>
      </c>
      <c r="T1616" t="s">
        <v>1710</v>
      </c>
      <c r="U1616" t="s">
        <v>1712</v>
      </c>
      <c r="X1616">
        <v>0</v>
      </c>
      <c r="Y1616">
        <v>0</v>
      </c>
      <c r="Z1616">
        <v>0</v>
      </c>
      <c r="AA1616">
        <v>1</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s="141">
        <f t="shared" ref="AZ1616:AZ1633" si="617">COUNTIF(X1616:AY1616,"&lt;&gt;0")</f>
        <v>1</v>
      </c>
      <c r="BA1616" s="141">
        <f t="shared" ref="BA1616:BA1633" si="618">COUNTIF(X1616:AN1616,"&lt;&gt;0")</f>
        <v>1</v>
      </c>
      <c r="BB1616">
        <f t="shared" ref="BB1616:BB1633" si="619">COUNTIF(X1616:AE1616,"&lt;&gt;0")</f>
        <v>1</v>
      </c>
      <c r="BC1616">
        <f t="shared" ref="BC1616:BC1633" si="620">COUNTIF(AF1616:AK1616,"&lt;&gt;0")</f>
        <v>0</v>
      </c>
      <c r="BD1616">
        <f t="shared" ref="BD1616:BD1633" si="621">COUNTIF(AL1616:AN1616,"&lt;&gt;0")</f>
        <v>0</v>
      </c>
      <c r="BE1616">
        <f t="shared" ref="BE1616:BE1633" si="622">COUNTIF(AU1616:AY1616,"&lt;&gt;0")</f>
        <v>0</v>
      </c>
      <c r="BF1616">
        <f t="shared" ref="BF1616:BF1633" si="623">COUNTIF(AO1616:AT1616,"&lt;&gt;0")</f>
        <v>0</v>
      </c>
      <c r="BG1616" t="str">
        <f t="array" ref="BG1616">IF(BA1616=1,INDEX($X$7:$AN$7,MATCH(TRUE,INDEX($X1616:$AY1616&lt;&gt;0,),0)),IF(BA1616=0,INDEX($AO$7:$AY$7,MATCH(1,$AO1616:$AY1616,0)),IF(BH1616="Multiple strategies","mixed drivers",IF(BH1616="Supply chain","multiple supply","multiple silviculture"))))</f>
        <v xml:space="preserve">cutting intensity </v>
      </c>
      <c r="BH1616" s="2" t="str" cm="1">
        <f t="array" ref="BH1616">IF(COUNTIF(BB1616:BD1616,"&lt;&gt;0")=1,INDEX($X$4:$AY$4,MATCH(TRUE,INDEX($X1616:$AY1616&lt;&gt;0,),0)),IF(COUNTIF(BB1616:BD1616,"&lt;&gt;0")=0,INDEX($AO$4:$AY$4,MATCH(1,$AO1616:$AY1616,0)),"Multiple strategies"))</f>
        <v>Silviculture for removals</v>
      </c>
      <c r="BI1616" s="1" t="s">
        <v>321</v>
      </c>
      <c r="BJ1616" t="s">
        <v>1704</v>
      </c>
      <c r="BK1616" t="s">
        <v>598</v>
      </c>
      <c r="BL1616" t="s">
        <v>498</v>
      </c>
      <c r="BM1616">
        <v>37628</v>
      </c>
      <c r="BN1616">
        <v>75469</v>
      </c>
      <c r="BO1616" t="s">
        <v>531</v>
      </c>
      <c r="BP1616">
        <f t="shared" ref="BP1616:BP1633" si="624">BN1616-BM1616</f>
        <v>37841</v>
      </c>
      <c r="BQ1616">
        <f t="shared" ref="BQ1616:BQ1633" si="625">BP1616</f>
        <v>37841</v>
      </c>
      <c r="BR1616" t="s">
        <v>395</v>
      </c>
      <c r="BS1616" t="s">
        <v>1705</v>
      </c>
      <c r="BT1616" s="260" t="s">
        <v>2825</v>
      </c>
      <c r="BU1616">
        <v>721</v>
      </c>
      <c r="BV1616">
        <v>1447</v>
      </c>
      <c r="BW1616" s="144">
        <v>2.0069348127600555</v>
      </c>
      <c r="BX1616" s="152">
        <f t="shared" ref="BX1616:BX1633" si="626">BV1616-BU1616</f>
        <v>726</v>
      </c>
      <c r="BZ1616">
        <f t="shared" ref="BZ1616:BZ1633" si="627">BX1616*10^6</f>
        <v>726000000</v>
      </c>
      <c r="CA1616">
        <f t="shared" si="607"/>
        <v>19185.539494199413</v>
      </c>
      <c r="CB1616">
        <v>0</v>
      </c>
      <c r="CC1616">
        <v>0</v>
      </c>
      <c r="CD1616">
        <v>0</v>
      </c>
      <c r="CE1616">
        <v>0</v>
      </c>
      <c r="CF1616">
        <v>0</v>
      </c>
      <c r="CG1616">
        <v>0</v>
      </c>
      <c r="CH1616">
        <v>0</v>
      </c>
      <c r="CI1616">
        <v>0</v>
      </c>
      <c r="CJ1616">
        <v>0</v>
      </c>
      <c r="CK1616">
        <v>0</v>
      </c>
      <c r="CL1616">
        <v>0</v>
      </c>
      <c r="CM1616">
        <v>0</v>
      </c>
      <c r="CN1616">
        <v>0</v>
      </c>
      <c r="CO1616">
        <v>0</v>
      </c>
      <c r="CP1616" t="str">
        <f t="shared" ref="CP1616:CP1633" si="628">IF($BN1616&lt;$BM1616,"refNeedCorrection","refOK")</f>
        <v>refOK</v>
      </c>
      <c r="CQ1616">
        <f t="shared" ref="CQ1616:CQ1633" si="629">IF($CP1616="refOK",$BM1616,$BN1616)</f>
        <v>37628</v>
      </c>
      <c r="CR1616">
        <f t="shared" ref="CR1616:CR1633" si="630">IF($CP1616="refOK",$BN1616,$BM1616)</f>
        <v>75469</v>
      </c>
      <c r="CS1616">
        <f t="shared" ref="CS1616:CS1633" si="631">IF($CP1616="refOK",$BQ1616,-$BQ1616)</f>
        <v>37841</v>
      </c>
      <c r="CT1616">
        <f t="shared" si="608"/>
        <v>18920.5</v>
      </c>
      <c r="CU1616">
        <f t="shared" ref="CU1616:CU1633" si="632">IF($CP1616="refOK",$BU1616,$BV1616)*IF($BR1616="Emissions positive",-1,1)</f>
        <v>-721</v>
      </c>
      <c r="CV1616">
        <f t="shared" ref="CV1616:CV1633" si="633">IF($CP1616="refOK",$BV1616,$BU1616)*IF($BR1616="Emissions positive",-1,1)</f>
        <v>-1447</v>
      </c>
      <c r="CW1616">
        <f t="shared" ref="CW1616:CW1633" si="634">IF($CP1616="refNeedCorrection",-BZ1616,BZ1616)*IF($BR1616="Emissions positive",-1,1)</f>
        <v>-726000000</v>
      </c>
      <c r="CX1616">
        <f t="shared" si="609"/>
        <v>-19185.539494199413</v>
      </c>
      <c r="CY1616">
        <f t="shared" ref="CY1616:CY1633" si="635">IFERROR($CW1616/$CS1616,"")</f>
        <v>-19185.539494199413</v>
      </c>
      <c r="CZ1616">
        <f t="shared" si="610"/>
        <v>-38371.078988398825</v>
      </c>
      <c r="DA1616" s="2">
        <f t="shared" ref="DA1616:DA1633" si="636">IFERROR((CV1616-CU1616)/ABS(CU1616),"")</f>
        <v>-1.0069348127600555</v>
      </c>
      <c r="DB1616" s="1" t="s">
        <v>1078</v>
      </c>
      <c r="DC1616" t="str">
        <f t="shared" ref="DC1616:DC1633" si="637">IF(OR($DB1616="prd",$DB1616="std",$DB1616="cit"),"loc",IF(OR($DB1616="eur",$DB1616="reg",$DB1616="coy"),"reg",$DB1616))</f>
        <v>reg</v>
      </c>
      <c r="DD1616" t="s">
        <v>653</v>
      </c>
      <c r="DE1616">
        <v>0</v>
      </c>
      <c r="DF1616">
        <v>0</v>
      </c>
      <c r="DG1616">
        <v>0</v>
      </c>
      <c r="DH1616" t="str">
        <f t="shared" ref="DH1616:DH1633" si="638">IF(DG1616=0,"0",IF(AND(DG1616&gt;=1,DG1616&lt;=30),"1-30",IF(AND(DG1616&gt;30,DG1616&lt;=70),"31-70",IF(AND(DG1616&gt;70,DG1616&lt;=100),"71-100",IF(DG1616&gt;100,"+100")))))</f>
        <v>0</v>
      </c>
      <c r="DI1616">
        <v>1</v>
      </c>
      <c r="DJ1616">
        <v>0</v>
      </c>
      <c r="DK1616">
        <v>0</v>
      </c>
      <c r="DL1616">
        <v>0</v>
      </c>
      <c r="DN1616">
        <v>1</v>
      </c>
      <c r="DO1616" t="str">
        <f t="shared" ref="DO1616:DO1633" si="639">IF(DN1616=1,INDEX($DI$7:$DL$7,MATCH(1,$DI1616:$DL1616,0)),"mixedProduct")</f>
        <v>UpstreamInput</v>
      </c>
      <c r="DP1616" t="str">
        <f t="shared" ref="DP1616:DP1633" si="640">IF(DI1616=1,DP$7,0)</f>
        <v>Upstream</v>
      </c>
      <c r="DQ1616">
        <f t="shared" ref="DQ1616:DQ1633" si="641">IF(DJ1616=1,DQ$7,0)</f>
        <v>0</v>
      </c>
      <c r="DR1616">
        <f t="shared" ref="DR1616:DR1633" si="642">IF(DK1616=1,DR$7,0)</f>
        <v>0</v>
      </c>
      <c r="DS1616">
        <f t="shared" ref="DS1616:DS1633" si="643">IF(DL1616=1,DS$7,0)</f>
        <v>0</v>
      </c>
      <c r="DT1616">
        <v>0</v>
      </c>
      <c r="DU1616">
        <v>0</v>
      </c>
      <c r="DV1616">
        <v>0</v>
      </c>
      <c r="DW1616">
        <v>0</v>
      </c>
      <c r="DX1616">
        <v>0</v>
      </c>
      <c r="DY1616">
        <f t="shared" ref="DY1616:DY1633" si="644">SUM(DT1616:DU1616)</f>
        <v>0</v>
      </c>
      <c r="DZ1616" s="143" t="s">
        <v>926</v>
      </c>
      <c r="EA1616">
        <v>0</v>
      </c>
      <c r="EB1616">
        <v>0</v>
      </c>
      <c r="EC1616">
        <v>0</v>
      </c>
      <c r="ED1616">
        <v>0</v>
      </c>
      <c r="EE1616">
        <v>0</v>
      </c>
      <c r="EF1616" s="143">
        <v>0</v>
      </c>
      <c r="EG1616">
        <v>1</v>
      </c>
      <c r="EH1616">
        <v>0</v>
      </c>
      <c r="EI1616">
        <v>0</v>
      </c>
      <c r="EJ1616">
        <v>0</v>
      </c>
      <c r="EK1616">
        <v>0</v>
      </c>
      <c r="EL1616">
        <v>0</v>
      </c>
      <c r="EM1616">
        <v>0</v>
      </c>
      <c r="EN1616" s="2">
        <v>0</v>
      </c>
      <c r="EP1616" t="str">
        <f t="shared" si="611"/>
        <v/>
      </c>
      <c r="EQ1616" t="str">
        <f t="shared" ref="EQ1616:EQ1633" si="645">IF(AND(AND(OR($EC1616=1,$EB1616=1),AND($EH1616=0,$EF1616=0)),SUM($EA1616:$EE1616,$EK1616)&gt;=4),"Ecosystem approach","")</f>
        <v/>
      </c>
      <c r="ER1616" s="2" t="str">
        <f t="shared" si="612"/>
        <v/>
      </c>
      <c r="ES1616" t="str">
        <f t="shared" si="613"/>
        <v/>
      </c>
      <c r="ET1616" t="str">
        <f t="shared" si="614"/>
        <v/>
      </c>
      <c r="EU1616" t="str">
        <f t="shared" si="615"/>
        <v/>
      </c>
      <c r="EY1616" t="str">
        <f>IF(ISNUMBER(BW1616),IF(ABS(BW1616-[2]QC_indicators!$B$2)&gt;3*[2]QC_indicators!$C$2,"C ratio",IF(ISNUMBER(CA1616),IF(ABS(CA1616-[2]QC_indicators!$B$1)&gt;3*[2]QC_indicators!$C$1,"DF","no"))),IF(ISNUMBER(CA1616),IF(ABS(CA1616-[2]QC_indicators!$B$1)&gt;3*[2]QC_indicators!$C$1,"DF","no")))</f>
        <v>no</v>
      </c>
      <c r="FA1616" t="str">
        <f t="shared" si="616"/>
        <v/>
      </c>
      <c r="FD1616" s="260" t="s">
        <v>2826</v>
      </c>
    </row>
    <row r="1617" spans="1:160" ht="15" hidden="1" customHeight="1">
      <c r="A1617" s="1" t="s">
        <v>895</v>
      </c>
      <c r="B1617" t="s">
        <v>1695</v>
      </c>
      <c r="C1617" t="s">
        <v>1696</v>
      </c>
      <c r="D1617" t="s">
        <v>1697</v>
      </c>
      <c r="E1617" t="s">
        <v>1698</v>
      </c>
      <c r="F1617" t="s">
        <v>1699</v>
      </c>
      <c r="G1617" t="s">
        <v>901</v>
      </c>
      <c r="H1617" t="s">
        <v>254</v>
      </c>
      <c r="I1617">
        <v>2019</v>
      </c>
      <c r="J1617">
        <v>8</v>
      </c>
      <c r="K1617" t="s">
        <v>1700</v>
      </c>
      <c r="M1617" t="str">
        <f t="shared" si="598"/>
        <v>Kogler_2019</v>
      </c>
      <c r="N1617" t="s">
        <v>2265</v>
      </c>
      <c r="O1617" s="171" t="s">
        <v>508</v>
      </c>
      <c r="P1617" t="s">
        <v>924</v>
      </c>
      <c r="Q1617" t="s">
        <v>389</v>
      </c>
      <c r="R1617" s="258" t="s">
        <v>223</v>
      </c>
      <c r="S1617" s="1" t="s">
        <v>1701</v>
      </c>
      <c r="T1617" t="s">
        <v>1707</v>
      </c>
      <c r="U1617" t="s">
        <v>1709</v>
      </c>
      <c r="X1617">
        <v>0</v>
      </c>
      <c r="Y1617">
        <v>0</v>
      </c>
      <c r="Z1617">
        <v>0</v>
      </c>
      <c r="AA1617">
        <v>1</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s="141">
        <f t="shared" si="617"/>
        <v>1</v>
      </c>
      <c r="BA1617" s="141">
        <f t="shared" si="618"/>
        <v>1</v>
      </c>
      <c r="BB1617">
        <f t="shared" si="619"/>
        <v>1</v>
      </c>
      <c r="BC1617">
        <f t="shared" si="620"/>
        <v>0</v>
      </c>
      <c r="BD1617">
        <f t="shared" si="621"/>
        <v>0</v>
      </c>
      <c r="BE1617">
        <f t="shared" si="622"/>
        <v>0</v>
      </c>
      <c r="BF1617">
        <f t="shared" si="623"/>
        <v>0</v>
      </c>
      <c r="BG1617" t="str">
        <f t="array" ref="BG1617">IF(BA1617=1,INDEX($X$7:$AN$7,MATCH(TRUE,INDEX($X1617:$AY1617&lt;&gt;0,),0)),IF(BA1617=0,INDEX($AO$7:$AY$7,MATCH(1,$AO1617:$AY1617,0)),IF(BH1617="Multiple strategies","mixed drivers",IF(BH1617="Supply chain","multiple supply","multiple silviculture"))))</f>
        <v xml:space="preserve">cutting intensity </v>
      </c>
      <c r="BH1617" s="2" t="str" cm="1">
        <f t="array" ref="BH1617">IF(COUNTIF(BB1617:BD1617,"&lt;&gt;0")=1,INDEX($X$4:$AY$4,MATCH(TRUE,INDEX($X1617:$AY1617&lt;&gt;0,),0)),IF(COUNTIF(BB1617:BD1617,"&lt;&gt;0")=0,INDEX($AO$4:$AY$4,MATCH(1,$AO1617:$AY1617,0)),"Multiple strategies"))</f>
        <v>Silviculture for removals</v>
      </c>
      <c r="BI1617" s="1" t="s">
        <v>321</v>
      </c>
      <c r="BJ1617" t="s">
        <v>1704</v>
      </c>
      <c r="BK1617" t="s">
        <v>598</v>
      </c>
      <c r="BL1617" t="s">
        <v>498</v>
      </c>
      <c r="BM1617">
        <v>38360</v>
      </c>
      <c r="BN1617">
        <v>86651</v>
      </c>
      <c r="BO1617" t="s">
        <v>531</v>
      </c>
      <c r="BP1617">
        <f t="shared" si="624"/>
        <v>48291</v>
      </c>
      <c r="BQ1617">
        <f t="shared" si="625"/>
        <v>48291</v>
      </c>
      <c r="BR1617" t="s">
        <v>395</v>
      </c>
      <c r="BS1617" t="s">
        <v>1705</v>
      </c>
      <c r="BT1617" s="260" t="s">
        <v>2825</v>
      </c>
      <c r="BU1617">
        <v>665</v>
      </c>
      <c r="BV1617">
        <v>1500</v>
      </c>
      <c r="BW1617" s="144">
        <v>2.255639097744361</v>
      </c>
      <c r="BX1617" s="152">
        <f t="shared" si="626"/>
        <v>835</v>
      </c>
      <c r="BZ1617">
        <f t="shared" si="627"/>
        <v>835000000</v>
      </c>
      <c r="CA1617">
        <f t="shared" si="607"/>
        <v>17291.006605785758</v>
      </c>
      <c r="CB1617">
        <v>0</v>
      </c>
      <c r="CC1617">
        <v>0</v>
      </c>
      <c r="CD1617">
        <v>0</v>
      </c>
      <c r="CE1617">
        <v>0</v>
      </c>
      <c r="CF1617">
        <v>0</v>
      </c>
      <c r="CG1617">
        <v>0</v>
      </c>
      <c r="CH1617">
        <v>0</v>
      </c>
      <c r="CI1617">
        <v>0</v>
      </c>
      <c r="CJ1617">
        <v>0</v>
      </c>
      <c r="CK1617">
        <v>0</v>
      </c>
      <c r="CL1617">
        <v>0</v>
      </c>
      <c r="CM1617">
        <v>0</v>
      </c>
      <c r="CN1617">
        <v>0</v>
      </c>
      <c r="CO1617">
        <v>0</v>
      </c>
      <c r="CP1617" t="str">
        <f t="shared" si="628"/>
        <v>refOK</v>
      </c>
      <c r="CQ1617">
        <f t="shared" si="629"/>
        <v>38360</v>
      </c>
      <c r="CR1617">
        <f t="shared" si="630"/>
        <v>86651</v>
      </c>
      <c r="CS1617">
        <f t="shared" si="631"/>
        <v>48291</v>
      </c>
      <c r="CT1617">
        <f t="shared" si="608"/>
        <v>24145.5</v>
      </c>
      <c r="CU1617">
        <f t="shared" si="632"/>
        <v>-665</v>
      </c>
      <c r="CV1617">
        <f t="shared" si="633"/>
        <v>-1500</v>
      </c>
      <c r="CW1617">
        <f t="shared" si="634"/>
        <v>-835000000</v>
      </c>
      <c r="CX1617">
        <f t="shared" si="609"/>
        <v>-17291.006605785758</v>
      </c>
      <c r="CY1617">
        <f t="shared" si="635"/>
        <v>-17291.006605785758</v>
      </c>
      <c r="CZ1617">
        <f t="shared" si="610"/>
        <v>-34582.013211571517</v>
      </c>
      <c r="DA1617" s="2">
        <f t="shared" si="636"/>
        <v>-1.255639097744361</v>
      </c>
      <c r="DB1617" s="1" t="s">
        <v>1078</v>
      </c>
      <c r="DC1617" t="str">
        <f t="shared" si="637"/>
        <v>reg</v>
      </c>
      <c r="DD1617" t="s">
        <v>653</v>
      </c>
      <c r="DE1617">
        <v>0</v>
      </c>
      <c r="DF1617">
        <v>0</v>
      </c>
      <c r="DG1617">
        <v>0</v>
      </c>
      <c r="DH1617" t="str">
        <f t="shared" si="638"/>
        <v>0</v>
      </c>
      <c r="DI1617">
        <v>1</v>
      </c>
      <c r="DJ1617">
        <v>0</v>
      </c>
      <c r="DK1617">
        <v>0</v>
      </c>
      <c r="DL1617">
        <v>0</v>
      </c>
      <c r="DN1617">
        <v>1</v>
      </c>
      <c r="DO1617" t="str">
        <f t="shared" si="639"/>
        <v>UpstreamInput</v>
      </c>
      <c r="DP1617" t="str">
        <f t="shared" si="640"/>
        <v>Upstream</v>
      </c>
      <c r="DQ1617">
        <f t="shared" si="641"/>
        <v>0</v>
      </c>
      <c r="DR1617">
        <f t="shared" si="642"/>
        <v>0</v>
      </c>
      <c r="DS1617">
        <f t="shared" si="643"/>
        <v>0</v>
      </c>
      <c r="DT1617">
        <v>0</v>
      </c>
      <c r="DU1617">
        <v>0</v>
      </c>
      <c r="DV1617">
        <v>0</v>
      </c>
      <c r="DW1617">
        <v>0</v>
      </c>
      <c r="DX1617">
        <v>0</v>
      </c>
      <c r="DY1617">
        <f t="shared" si="644"/>
        <v>0</v>
      </c>
      <c r="DZ1617" s="143" t="s">
        <v>926</v>
      </c>
      <c r="EA1617">
        <v>0</v>
      </c>
      <c r="EB1617">
        <v>0</v>
      </c>
      <c r="EC1617">
        <v>0</v>
      </c>
      <c r="ED1617">
        <v>0</v>
      </c>
      <c r="EE1617">
        <v>0</v>
      </c>
      <c r="EF1617" s="143">
        <v>0</v>
      </c>
      <c r="EG1617">
        <v>1</v>
      </c>
      <c r="EH1617">
        <v>0</v>
      </c>
      <c r="EI1617">
        <v>0</v>
      </c>
      <c r="EJ1617">
        <v>0</v>
      </c>
      <c r="EK1617">
        <v>0</v>
      </c>
      <c r="EL1617">
        <v>0</v>
      </c>
      <c r="EM1617">
        <v>0</v>
      </c>
      <c r="EN1617" s="2">
        <v>0</v>
      </c>
      <c r="EP1617" t="str">
        <f t="shared" si="611"/>
        <v/>
      </c>
      <c r="EQ1617" t="str">
        <f t="shared" si="645"/>
        <v/>
      </c>
      <c r="ER1617" s="2" t="str">
        <f t="shared" si="612"/>
        <v/>
      </c>
      <c r="ES1617" t="str">
        <f t="shared" si="613"/>
        <v/>
      </c>
      <c r="ET1617" t="str">
        <f t="shared" si="614"/>
        <v/>
      </c>
      <c r="EU1617" t="str">
        <f t="shared" si="615"/>
        <v/>
      </c>
      <c r="EY1617" t="str">
        <f>IF(ISNUMBER(BW1617),IF(ABS(BW1617-[2]QC_indicators!$B$2)&gt;3*[2]QC_indicators!$C$2,"C ratio",IF(ISNUMBER(CA1617),IF(ABS(CA1617-[2]QC_indicators!$B$1)&gt;3*[2]QC_indicators!$C$1,"DF","no"))),IF(ISNUMBER(CA1617),IF(ABS(CA1617-[2]QC_indicators!$B$1)&gt;3*[2]QC_indicators!$C$1,"DF","no")))</f>
        <v>no</v>
      </c>
      <c r="FA1617" t="str">
        <f t="shared" si="616"/>
        <v/>
      </c>
      <c r="FD1617" s="260" t="s">
        <v>2826</v>
      </c>
    </row>
    <row r="1618" spans="1:160" ht="15" hidden="1" customHeight="1">
      <c r="A1618" s="1" t="s">
        <v>895</v>
      </c>
      <c r="B1618" t="s">
        <v>1695</v>
      </c>
      <c r="C1618" t="s">
        <v>1696</v>
      </c>
      <c r="D1618" t="s">
        <v>1697</v>
      </c>
      <c r="E1618" t="s">
        <v>1698</v>
      </c>
      <c r="F1618" t="s">
        <v>1699</v>
      </c>
      <c r="G1618" t="s">
        <v>901</v>
      </c>
      <c r="H1618" t="s">
        <v>254</v>
      </c>
      <c r="I1618">
        <v>2019</v>
      </c>
      <c r="J1618">
        <v>8</v>
      </c>
      <c r="K1618" t="s">
        <v>1700</v>
      </c>
      <c r="M1618" t="str">
        <f t="shared" si="598"/>
        <v>Kogler_2019</v>
      </c>
      <c r="N1618" t="s">
        <v>2265</v>
      </c>
      <c r="O1618" s="171" t="s">
        <v>508</v>
      </c>
      <c r="P1618" t="s">
        <v>924</v>
      </c>
      <c r="Q1618" t="s">
        <v>389</v>
      </c>
      <c r="R1618" s="258" t="s">
        <v>223</v>
      </c>
      <c r="S1618" s="1" t="s">
        <v>1701</v>
      </c>
      <c r="T1618" t="s">
        <v>1702</v>
      </c>
      <c r="U1618" t="s">
        <v>1706</v>
      </c>
      <c r="X1618">
        <v>0</v>
      </c>
      <c r="Y1618">
        <v>0</v>
      </c>
      <c r="Z1618">
        <v>0</v>
      </c>
      <c r="AA1618">
        <v>1</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s="141">
        <f t="shared" si="617"/>
        <v>1</v>
      </c>
      <c r="BA1618" s="141">
        <f t="shared" si="618"/>
        <v>1</v>
      </c>
      <c r="BB1618">
        <f t="shared" si="619"/>
        <v>1</v>
      </c>
      <c r="BC1618">
        <f t="shared" si="620"/>
        <v>0</v>
      </c>
      <c r="BD1618">
        <f t="shared" si="621"/>
        <v>0</v>
      </c>
      <c r="BE1618">
        <f t="shared" si="622"/>
        <v>0</v>
      </c>
      <c r="BF1618">
        <f t="shared" si="623"/>
        <v>0</v>
      </c>
      <c r="BG1618" t="str">
        <f t="array" ref="BG1618">IF(BA1618=1,INDEX($X$7:$AN$7,MATCH(TRUE,INDEX($X1618:$AY1618&lt;&gt;0,),0)),IF(BA1618=0,INDEX($AO$7:$AY$7,MATCH(1,$AO1618:$AY1618,0)),IF(BH1618="Multiple strategies","mixed drivers",IF(BH1618="Supply chain","multiple supply","multiple silviculture"))))</f>
        <v xml:space="preserve">cutting intensity </v>
      </c>
      <c r="BH1618" s="2" t="str" cm="1">
        <f t="array" ref="BH1618">IF(COUNTIF(BB1618:BD1618,"&lt;&gt;0")=1,INDEX($X$4:$AY$4,MATCH(TRUE,INDEX($X1618:$AY1618&lt;&gt;0,),0)),IF(COUNTIF(BB1618:BD1618,"&lt;&gt;0")=0,INDEX($AO$4:$AY$4,MATCH(1,$AO1618:$AY1618,0)),"Multiple strategies"))</f>
        <v>Silviculture for removals</v>
      </c>
      <c r="BI1618" s="1" t="s">
        <v>321</v>
      </c>
      <c r="BJ1618" t="s">
        <v>1704</v>
      </c>
      <c r="BK1618" t="s">
        <v>598</v>
      </c>
      <c r="BL1618" t="s">
        <v>498</v>
      </c>
      <c r="BM1618">
        <v>35082</v>
      </c>
      <c r="BN1618">
        <v>80258</v>
      </c>
      <c r="BO1618" t="s">
        <v>531</v>
      </c>
      <c r="BP1618">
        <f t="shared" si="624"/>
        <v>45176</v>
      </c>
      <c r="BQ1618">
        <f t="shared" si="625"/>
        <v>45176</v>
      </c>
      <c r="BR1618" t="s">
        <v>395</v>
      </c>
      <c r="BS1618" t="s">
        <v>1705</v>
      </c>
      <c r="BT1618" s="260" t="s">
        <v>2825</v>
      </c>
      <c r="BU1618">
        <v>541</v>
      </c>
      <c r="BV1618">
        <v>1270</v>
      </c>
      <c r="BW1618" s="144">
        <v>2.3475046210720887</v>
      </c>
      <c r="BX1618" s="152">
        <f t="shared" si="626"/>
        <v>729</v>
      </c>
      <c r="BZ1618">
        <f t="shared" si="627"/>
        <v>729000000</v>
      </c>
      <c r="CA1618">
        <f t="shared" si="607"/>
        <v>16136.886842571277</v>
      </c>
      <c r="CB1618">
        <v>0</v>
      </c>
      <c r="CC1618">
        <v>0</v>
      </c>
      <c r="CD1618">
        <v>0</v>
      </c>
      <c r="CE1618">
        <v>0</v>
      </c>
      <c r="CF1618">
        <v>0</v>
      </c>
      <c r="CG1618">
        <v>0</v>
      </c>
      <c r="CH1618">
        <v>0</v>
      </c>
      <c r="CI1618">
        <v>0</v>
      </c>
      <c r="CJ1618">
        <v>0</v>
      </c>
      <c r="CK1618">
        <v>0</v>
      </c>
      <c r="CL1618">
        <v>0</v>
      </c>
      <c r="CM1618">
        <v>0</v>
      </c>
      <c r="CN1618">
        <v>0</v>
      </c>
      <c r="CO1618">
        <v>0</v>
      </c>
      <c r="CP1618" t="str">
        <f t="shared" si="628"/>
        <v>refOK</v>
      </c>
      <c r="CQ1618">
        <f t="shared" si="629"/>
        <v>35082</v>
      </c>
      <c r="CR1618">
        <f t="shared" si="630"/>
        <v>80258</v>
      </c>
      <c r="CS1618">
        <f t="shared" si="631"/>
        <v>45176</v>
      </c>
      <c r="CT1618">
        <f t="shared" si="608"/>
        <v>22588</v>
      </c>
      <c r="CU1618">
        <f t="shared" si="632"/>
        <v>-541</v>
      </c>
      <c r="CV1618">
        <f t="shared" si="633"/>
        <v>-1270</v>
      </c>
      <c r="CW1618">
        <f t="shared" si="634"/>
        <v>-729000000</v>
      </c>
      <c r="CX1618">
        <f t="shared" si="609"/>
        <v>-16136.886842571277</v>
      </c>
      <c r="CY1618">
        <f t="shared" si="635"/>
        <v>-16136.886842571277</v>
      </c>
      <c r="CZ1618">
        <f t="shared" si="610"/>
        <v>-32273.773685142554</v>
      </c>
      <c r="DA1618" s="2">
        <f t="shared" si="636"/>
        <v>-1.3475046210720887</v>
      </c>
      <c r="DB1618" s="1" t="s">
        <v>1078</v>
      </c>
      <c r="DC1618" t="str">
        <f t="shared" si="637"/>
        <v>reg</v>
      </c>
      <c r="DD1618" t="s">
        <v>653</v>
      </c>
      <c r="DE1618">
        <v>0</v>
      </c>
      <c r="DF1618">
        <v>0</v>
      </c>
      <c r="DG1618">
        <v>0</v>
      </c>
      <c r="DH1618" t="str">
        <f t="shared" si="638"/>
        <v>0</v>
      </c>
      <c r="DI1618">
        <v>1</v>
      </c>
      <c r="DJ1618">
        <v>0</v>
      </c>
      <c r="DK1618">
        <v>0</v>
      </c>
      <c r="DL1618">
        <v>0</v>
      </c>
      <c r="DN1618">
        <v>1</v>
      </c>
      <c r="DO1618" t="str">
        <f t="shared" si="639"/>
        <v>UpstreamInput</v>
      </c>
      <c r="DP1618" t="str">
        <f t="shared" si="640"/>
        <v>Upstream</v>
      </c>
      <c r="DQ1618">
        <f t="shared" si="641"/>
        <v>0</v>
      </c>
      <c r="DR1618">
        <f t="shared" si="642"/>
        <v>0</v>
      </c>
      <c r="DS1618">
        <f t="shared" si="643"/>
        <v>0</v>
      </c>
      <c r="DT1618">
        <v>0</v>
      </c>
      <c r="DU1618">
        <v>0</v>
      </c>
      <c r="DV1618">
        <v>0</v>
      </c>
      <c r="DW1618">
        <v>0</v>
      </c>
      <c r="DX1618">
        <v>0</v>
      </c>
      <c r="DY1618">
        <f t="shared" si="644"/>
        <v>0</v>
      </c>
      <c r="DZ1618" s="143" t="s">
        <v>926</v>
      </c>
      <c r="EA1618">
        <v>0</v>
      </c>
      <c r="EB1618">
        <v>0</v>
      </c>
      <c r="EC1618">
        <v>0</v>
      </c>
      <c r="ED1618">
        <v>0</v>
      </c>
      <c r="EE1618">
        <v>0</v>
      </c>
      <c r="EF1618" s="143">
        <v>0</v>
      </c>
      <c r="EG1618">
        <v>1</v>
      </c>
      <c r="EH1618">
        <v>0</v>
      </c>
      <c r="EI1618">
        <v>0</v>
      </c>
      <c r="EJ1618">
        <v>0</v>
      </c>
      <c r="EK1618">
        <v>0</v>
      </c>
      <c r="EL1618">
        <v>0</v>
      </c>
      <c r="EM1618">
        <v>0</v>
      </c>
      <c r="EN1618" s="2">
        <v>0</v>
      </c>
      <c r="EP1618" t="str">
        <f t="shared" si="611"/>
        <v/>
      </c>
      <c r="EQ1618" t="str">
        <f t="shared" si="645"/>
        <v/>
      </c>
      <c r="ER1618" s="2" t="str">
        <f t="shared" si="612"/>
        <v/>
      </c>
      <c r="ES1618" t="str">
        <f t="shared" si="613"/>
        <v/>
      </c>
      <c r="ET1618" t="str">
        <f t="shared" si="614"/>
        <v/>
      </c>
      <c r="EU1618" t="str">
        <f t="shared" si="615"/>
        <v/>
      </c>
      <c r="EY1618" t="str">
        <f>IF(ISNUMBER(BW1618),IF(ABS(BW1618-[2]QC_indicators!$B$2)&gt;3*[2]QC_indicators!$C$2,"C ratio",IF(ISNUMBER(CA1618),IF(ABS(CA1618-[2]QC_indicators!$B$1)&gt;3*[2]QC_indicators!$C$1,"DF","no"))),IF(ISNUMBER(CA1618),IF(ABS(CA1618-[2]QC_indicators!$B$1)&gt;3*[2]QC_indicators!$C$1,"DF","no")))</f>
        <v>no</v>
      </c>
      <c r="FA1618" t="str">
        <f t="shared" si="616"/>
        <v/>
      </c>
      <c r="FD1618" s="260" t="s">
        <v>2826</v>
      </c>
    </row>
    <row r="1619" spans="1:160" hidden="1">
      <c r="A1619" s="1" t="s">
        <v>895</v>
      </c>
      <c r="B1619" t="s">
        <v>1695</v>
      </c>
      <c r="C1619" t="s">
        <v>1696</v>
      </c>
      <c r="D1619" t="s">
        <v>1697</v>
      </c>
      <c r="E1619" t="s">
        <v>1698</v>
      </c>
      <c r="F1619" t="s">
        <v>1699</v>
      </c>
      <c r="G1619" t="s">
        <v>901</v>
      </c>
      <c r="H1619" t="s">
        <v>254</v>
      </c>
      <c r="I1619">
        <v>2019</v>
      </c>
      <c r="J1619">
        <v>8</v>
      </c>
      <c r="K1619" t="s">
        <v>1700</v>
      </c>
      <c r="M1619" t="str">
        <f t="shared" si="598"/>
        <v>Kogler_2019</v>
      </c>
      <c r="N1619" t="s">
        <v>2265</v>
      </c>
      <c r="O1619" s="171" t="s">
        <v>508</v>
      </c>
      <c r="P1619" t="s">
        <v>924</v>
      </c>
      <c r="Q1619" t="s">
        <v>389</v>
      </c>
      <c r="R1619" s="258" t="s">
        <v>223</v>
      </c>
      <c r="S1619" s="1" t="s">
        <v>1713</v>
      </c>
      <c r="T1619" t="s">
        <v>1703</v>
      </c>
      <c r="U1619" t="s">
        <v>1711</v>
      </c>
      <c r="X1619">
        <v>0</v>
      </c>
      <c r="Y1619">
        <v>0</v>
      </c>
      <c r="Z1619">
        <v>0</v>
      </c>
      <c r="AA1619">
        <v>0</v>
      </c>
      <c r="AB1619">
        <v>0</v>
      </c>
      <c r="AC1619">
        <v>0</v>
      </c>
      <c r="AD1619">
        <v>0</v>
      </c>
      <c r="AE1619">
        <v>0</v>
      </c>
      <c r="AF1619">
        <v>0</v>
      </c>
      <c r="AG1619">
        <v>0</v>
      </c>
      <c r="AH1619">
        <v>1</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s="141">
        <f t="shared" si="617"/>
        <v>1</v>
      </c>
      <c r="BA1619" s="141">
        <f t="shared" si="618"/>
        <v>1</v>
      </c>
      <c r="BB1619">
        <f t="shared" si="619"/>
        <v>0</v>
      </c>
      <c r="BC1619">
        <f t="shared" si="620"/>
        <v>1</v>
      </c>
      <c r="BD1619">
        <f t="shared" si="621"/>
        <v>0</v>
      </c>
      <c r="BE1619">
        <f t="shared" si="622"/>
        <v>0</v>
      </c>
      <c r="BF1619">
        <f t="shared" si="623"/>
        <v>0</v>
      </c>
      <c r="BG1619" t="str">
        <f t="array" ref="BG1619">IF(BA1619=1,INDEX($X$7:$AN$7,MATCH(TRUE,INDEX($X1619:$AY1619&lt;&gt;0,),0)),IF(BA1619=0,INDEX($AO$7:$AY$7,MATCH(1,$AO1619:$AY1619,0)),IF(BH1619="Multiple strategies","mixed drivers",IF(BH1619="Supply chain","multiple supply","multiple silviculture"))))</f>
        <v>supply chain organization</v>
      </c>
      <c r="BH1619" s="2" t="str" cm="1">
        <f t="array" ref="BH1619">IF(COUNTIF(BB1619:BD1619,"&lt;&gt;0")=1,INDEX($X$4:$AY$4,MATCH(TRUE,INDEX($X1619:$AY1619&lt;&gt;0,),0)),IF(COUNTIF(BB1619:BD1619,"&lt;&gt;0")=0,INDEX($AO$4:$AY$4,MATCH(1,$AO1619:$AY1619,0)),"Multiple strategies"))</f>
        <v>Supply chain</v>
      </c>
      <c r="BI1619" s="1" t="s">
        <v>321</v>
      </c>
      <c r="BJ1619" t="s">
        <v>1704</v>
      </c>
      <c r="BK1619" t="s">
        <v>598</v>
      </c>
      <c r="BL1619" t="s">
        <v>498</v>
      </c>
      <c r="BM1619">
        <v>37563</v>
      </c>
      <c r="BN1619">
        <v>39771</v>
      </c>
      <c r="BO1619">
        <v>1.0587812475041929</v>
      </c>
      <c r="BP1619">
        <f t="shared" si="624"/>
        <v>2208</v>
      </c>
      <c r="BQ1619">
        <f t="shared" si="625"/>
        <v>2208</v>
      </c>
      <c r="BR1619" t="s">
        <v>395</v>
      </c>
      <c r="BS1619" t="s">
        <v>1705</v>
      </c>
      <c r="BT1619" s="260" t="s">
        <v>2825</v>
      </c>
      <c r="BU1619">
        <v>579</v>
      </c>
      <c r="BV1619">
        <v>762</v>
      </c>
      <c r="BW1619" s="144">
        <v>1.3160621761658031</v>
      </c>
      <c r="BX1619" s="152">
        <f t="shared" si="626"/>
        <v>183</v>
      </c>
      <c r="BZ1619">
        <f t="shared" si="627"/>
        <v>183000000</v>
      </c>
      <c r="CA1619">
        <f t="shared" si="607"/>
        <v>82880.434782608689</v>
      </c>
      <c r="CB1619">
        <v>0</v>
      </c>
      <c r="CC1619">
        <v>0</v>
      </c>
      <c r="CD1619">
        <v>0</v>
      </c>
      <c r="CE1619">
        <v>0</v>
      </c>
      <c r="CF1619">
        <v>0</v>
      </c>
      <c r="CG1619">
        <v>0</v>
      </c>
      <c r="CH1619">
        <v>0</v>
      </c>
      <c r="CI1619">
        <v>0</v>
      </c>
      <c r="CJ1619">
        <v>0</v>
      </c>
      <c r="CK1619">
        <v>0</v>
      </c>
      <c r="CL1619">
        <v>0</v>
      </c>
      <c r="CM1619">
        <v>0</v>
      </c>
      <c r="CN1619">
        <v>0</v>
      </c>
      <c r="CO1619">
        <v>0</v>
      </c>
      <c r="CP1619" t="str">
        <f t="shared" si="628"/>
        <v>refOK</v>
      </c>
      <c r="CQ1619">
        <f t="shared" si="629"/>
        <v>37563</v>
      </c>
      <c r="CR1619">
        <f t="shared" si="630"/>
        <v>39771</v>
      </c>
      <c r="CS1619">
        <f t="shared" si="631"/>
        <v>2208</v>
      </c>
      <c r="CT1619">
        <f t="shared" si="608"/>
        <v>1104</v>
      </c>
      <c r="CU1619">
        <f t="shared" si="632"/>
        <v>-579</v>
      </c>
      <c r="CV1619">
        <f t="shared" si="633"/>
        <v>-762</v>
      </c>
      <c r="CW1619">
        <f t="shared" si="634"/>
        <v>-183000000</v>
      </c>
      <c r="CX1619">
        <f t="shared" si="609"/>
        <v>-82880.434782608689</v>
      </c>
      <c r="CY1619">
        <f t="shared" si="635"/>
        <v>-82880.434782608689</v>
      </c>
      <c r="CZ1619">
        <f t="shared" si="610"/>
        <v>-165760.86956521738</v>
      </c>
      <c r="DA1619" s="2">
        <f t="shared" si="636"/>
        <v>-0.31606217616580312</v>
      </c>
      <c r="DB1619" s="1" t="s">
        <v>1078</v>
      </c>
      <c r="DC1619" t="str">
        <f t="shared" si="637"/>
        <v>reg</v>
      </c>
      <c r="DD1619" t="s">
        <v>653</v>
      </c>
      <c r="DE1619">
        <v>0</v>
      </c>
      <c r="DF1619">
        <v>0</v>
      </c>
      <c r="DG1619">
        <v>0</v>
      </c>
      <c r="DH1619" t="str">
        <f t="shared" si="638"/>
        <v>0</v>
      </c>
      <c r="DI1619">
        <v>1</v>
      </c>
      <c r="DJ1619">
        <v>0</v>
      </c>
      <c r="DK1619">
        <v>0</v>
      </c>
      <c r="DL1619">
        <v>0</v>
      </c>
      <c r="DN1619">
        <v>1</v>
      </c>
      <c r="DO1619" t="str">
        <f t="shared" si="639"/>
        <v>UpstreamInput</v>
      </c>
      <c r="DP1619" t="str">
        <f t="shared" si="640"/>
        <v>Upstream</v>
      </c>
      <c r="DQ1619">
        <f t="shared" si="641"/>
        <v>0</v>
      </c>
      <c r="DR1619">
        <f t="shared" si="642"/>
        <v>0</v>
      </c>
      <c r="DS1619">
        <f t="shared" si="643"/>
        <v>0</v>
      </c>
      <c r="DT1619">
        <v>0</v>
      </c>
      <c r="DU1619">
        <v>0</v>
      </c>
      <c r="DV1619">
        <v>0</v>
      </c>
      <c r="DW1619">
        <v>0</v>
      </c>
      <c r="DX1619">
        <v>0</v>
      </c>
      <c r="DY1619">
        <f t="shared" si="644"/>
        <v>0</v>
      </c>
      <c r="DZ1619" s="143" t="s">
        <v>926</v>
      </c>
      <c r="EA1619">
        <v>0</v>
      </c>
      <c r="EB1619">
        <v>0</v>
      </c>
      <c r="EC1619">
        <v>0</v>
      </c>
      <c r="ED1619">
        <v>0</v>
      </c>
      <c r="EE1619">
        <v>0</v>
      </c>
      <c r="EF1619" s="143">
        <v>0</v>
      </c>
      <c r="EG1619">
        <v>1</v>
      </c>
      <c r="EH1619">
        <v>0</v>
      </c>
      <c r="EI1619">
        <v>0</v>
      </c>
      <c r="EJ1619">
        <v>0</v>
      </c>
      <c r="EK1619">
        <v>0</v>
      </c>
      <c r="EL1619">
        <v>0</v>
      </c>
      <c r="EM1619">
        <v>0</v>
      </c>
      <c r="EN1619" s="2">
        <v>0</v>
      </c>
      <c r="EP1619" t="str">
        <f t="shared" si="611"/>
        <v/>
      </c>
      <c r="EQ1619" t="str">
        <f t="shared" si="645"/>
        <v/>
      </c>
      <c r="ER1619" s="2" t="str">
        <f t="shared" si="612"/>
        <v/>
      </c>
      <c r="ES1619" t="str">
        <f t="shared" si="613"/>
        <v/>
      </c>
      <c r="ET1619" t="str">
        <f t="shared" si="614"/>
        <v/>
      </c>
      <c r="EU1619" t="str">
        <f t="shared" si="615"/>
        <v/>
      </c>
      <c r="EY1619" t="str">
        <f>IF(ISNUMBER(BW1619),IF(ABS(BW1619-[2]QC_indicators!$B$2)&gt;3*[2]QC_indicators!$C$2,"C ratio",IF(ISNUMBER(CA1619),IF(ABS(CA1619-[2]QC_indicators!$B$1)&gt;3*[2]QC_indicators!$C$1,"DF","no"))),IF(ISNUMBER(CA1619),IF(ABS(CA1619-[2]QC_indicators!$B$1)&gt;3*[2]QC_indicators!$C$1,"DF","no")))</f>
        <v>DF</v>
      </c>
      <c r="FA1619" t="str">
        <f t="shared" si="616"/>
        <v/>
      </c>
      <c r="FD1619" s="260" t="s">
        <v>2826</v>
      </c>
    </row>
    <row r="1620" spans="1:160" hidden="1">
      <c r="A1620" s="1" t="s">
        <v>895</v>
      </c>
      <c r="B1620" t="s">
        <v>1695</v>
      </c>
      <c r="C1620" t="s">
        <v>1696</v>
      </c>
      <c r="D1620" t="s">
        <v>1697</v>
      </c>
      <c r="E1620" t="s">
        <v>1698</v>
      </c>
      <c r="F1620" t="s">
        <v>1699</v>
      </c>
      <c r="G1620" t="s">
        <v>901</v>
      </c>
      <c r="H1620" t="s">
        <v>254</v>
      </c>
      <c r="I1620">
        <v>2019</v>
      </c>
      <c r="J1620">
        <v>8</v>
      </c>
      <c r="K1620" t="s">
        <v>1700</v>
      </c>
      <c r="M1620" t="str">
        <f t="shared" si="598"/>
        <v>Kogler_2019</v>
      </c>
      <c r="N1620" t="s">
        <v>2265</v>
      </c>
      <c r="O1620" s="171" t="s">
        <v>508</v>
      </c>
      <c r="P1620" t="s">
        <v>924</v>
      </c>
      <c r="Q1620" t="s">
        <v>389</v>
      </c>
      <c r="R1620" s="258" t="s">
        <v>223</v>
      </c>
      <c r="S1620" s="1" t="s">
        <v>1713</v>
      </c>
      <c r="T1620" t="s">
        <v>1702</v>
      </c>
      <c r="U1620" t="s">
        <v>1714</v>
      </c>
      <c r="X1620">
        <v>0</v>
      </c>
      <c r="Y1620">
        <v>0</v>
      </c>
      <c r="Z1620">
        <v>0</v>
      </c>
      <c r="AA1620">
        <v>0</v>
      </c>
      <c r="AB1620">
        <v>0</v>
      </c>
      <c r="AC1620">
        <v>0</v>
      </c>
      <c r="AD1620">
        <v>0</v>
      </c>
      <c r="AE1620">
        <v>0</v>
      </c>
      <c r="AF1620">
        <v>0</v>
      </c>
      <c r="AG1620">
        <v>0</v>
      </c>
      <c r="AH1620">
        <v>1</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s="141">
        <f t="shared" si="617"/>
        <v>1</v>
      </c>
      <c r="BA1620" s="141">
        <f t="shared" si="618"/>
        <v>1</v>
      </c>
      <c r="BB1620">
        <f t="shared" si="619"/>
        <v>0</v>
      </c>
      <c r="BC1620">
        <f t="shared" si="620"/>
        <v>1</v>
      </c>
      <c r="BD1620">
        <f t="shared" si="621"/>
        <v>0</v>
      </c>
      <c r="BE1620">
        <f t="shared" si="622"/>
        <v>0</v>
      </c>
      <c r="BF1620">
        <f t="shared" si="623"/>
        <v>0</v>
      </c>
      <c r="BG1620" t="str">
        <f t="array" ref="BG1620">IF(BA1620=1,INDEX($X$7:$AN$7,MATCH(TRUE,INDEX($X1620:$AY1620&lt;&gt;0,),0)),IF(BA1620=0,INDEX($AO$7:$AY$7,MATCH(1,$AO1620:$AY1620,0)),IF(BH1620="Multiple strategies","mixed drivers",IF(BH1620="Supply chain","multiple supply","multiple silviculture"))))</f>
        <v>supply chain organization</v>
      </c>
      <c r="BH1620" s="2" t="str" cm="1">
        <f t="array" ref="BH1620">IF(COUNTIF(BB1620:BD1620,"&lt;&gt;0")=1,INDEX($X$4:$AY$4,MATCH(TRUE,INDEX($X1620:$AY1620&lt;&gt;0,),0)),IF(COUNTIF(BB1620:BD1620,"&lt;&gt;0")=0,INDEX($AO$4:$AY$4,MATCH(1,$AO1620:$AY1620,0)),"Multiple strategies"))</f>
        <v>Supply chain</v>
      </c>
      <c r="BI1620" s="1" t="s">
        <v>321</v>
      </c>
      <c r="BJ1620" t="s">
        <v>1704</v>
      </c>
      <c r="BK1620" t="s">
        <v>598</v>
      </c>
      <c r="BL1620" t="s">
        <v>498</v>
      </c>
      <c r="BM1620">
        <v>35082</v>
      </c>
      <c r="BN1620">
        <v>37628</v>
      </c>
      <c r="BO1620">
        <v>1.0725728293711876</v>
      </c>
      <c r="BP1620">
        <f t="shared" si="624"/>
        <v>2546</v>
      </c>
      <c r="BQ1620">
        <f t="shared" si="625"/>
        <v>2546</v>
      </c>
      <c r="BR1620" t="s">
        <v>395</v>
      </c>
      <c r="BS1620" t="s">
        <v>1705</v>
      </c>
      <c r="BT1620" s="260" t="s">
        <v>2825</v>
      </c>
      <c r="BU1620">
        <v>541</v>
      </c>
      <c r="BV1620">
        <v>721</v>
      </c>
      <c r="BW1620" s="144">
        <v>1.33271719038817</v>
      </c>
      <c r="BX1620" s="152">
        <f t="shared" si="626"/>
        <v>180</v>
      </c>
      <c r="BZ1620">
        <f t="shared" si="627"/>
        <v>180000000</v>
      </c>
      <c r="CA1620">
        <f t="shared" si="607"/>
        <v>70699.135899450121</v>
      </c>
      <c r="CB1620">
        <v>0</v>
      </c>
      <c r="CC1620">
        <v>0</v>
      </c>
      <c r="CD1620">
        <v>0</v>
      </c>
      <c r="CE1620">
        <v>0</v>
      </c>
      <c r="CF1620">
        <v>0</v>
      </c>
      <c r="CG1620">
        <v>0</v>
      </c>
      <c r="CH1620">
        <v>0</v>
      </c>
      <c r="CI1620">
        <v>0</v>
      </c>
      <c r="CJ1620">
        <v>0</v>
      </c>
      <c r="CK1620">
        <v>0</v>
      </c>
      <c r="CL1620">
        <v>0</v>
      </c>
      <c r="CM1620">
        <v>0</v>
      </c>
      <c r="CN1620">
        <v>0</v>
      </c>
      <c r="CO1620">
        <v>0</v>
      </c>
      <c r="CP1620" t="str">
        <f t="shared" si="628"/>
        <v>refOK</v>
      </c>
      <c r="CQ1620">
        <f t="shared" si="629"/>
        <v>35082</v>
      </c>
      <c r="CR1620">
        <f t="shared" si="630"/>
        <v>37628</v>
      </c>
      <c r="CS1620">
        <f t="shared" si="631"/>
        <v>2546</v>
      </c>
      <c r="CT1620">
        <f t="shared" si="608"/>
        <v>1273</v>
      </c>
      <c r="CU1620">
        <f t="shared" si="632"/>
        <v>-541</v>
      </c>
      <c r="CV1620">
        <f t="shared" si="633"/>
        <v>-721</v>
      </c>
      <c r="CW1620">
        <f t="shared" si="634"/>
        <v>-180000000</v>
      </c>
      <c r="CX1620">
        <f t="shared" si="609"/>
        <v>-70699.135899450121</v>
      </c>
      <c r="CY1620">
        <f t="shared" si="635"/>
        <v>-70699.135899450121</v>
      </c>
      <c r="CZ1620">
        <f t="shared" si="610"/>
        <v>-141398.27179890024</v>
      </c>
      <c r="DA1620" s="2">
        <f t="shared" si="636"/>
        <v>-0.33271719038817005</v>
      </c>
      <c r="DB1620" s="1" t="s">
        <v>1078</v>
      </c>
      <c r="DC1620" t="str">
        <f t="shared" si="637"/>
        <v>reg</v>
      </c>
      <c r="DD1620" t="s">
        <v>653</v>
      </c>
      <c r="DE1620">
        <v>0</v>
      </c>
      <c r="DF1620">
        <v>0</v>
      </c>
      <c r="DG1620">
        <v>0</v>
      </c>
      <c r="DH1620" t="str">
        <f t="shared" si="638"/>
        <v>0</v>
      </c>
      <c r="DI1620">
        <v>1</v>
      </c>
      <c r="DJ1620">
        <v>0</v>
      </c>
      <c r="DK1620">
        <v>0</v>
      </c>
      <c r="DL1620">
        <v>0</v>
      </c>
      <c r="DN1620">
        <v>1</v>
      </c>
      <c r="DO1620" t="str">
        <f t="shared" si="639"/>
        <v>UpstreamInput</v>
      </c>
      <c r="DP1620" t="str">
        <f t="shared" si="640"/>
        <v>Upstream</v>
      </c>
      <c r="DQ1620">
        <f t="shared" si="641"/>
        <v>0</v>
      </c>
      <c r="DR1620">
        <f t="shared" si="642"/>
        <v>0</v>
      </c>
      <c r="DS1620">
        <f t="shared" si="643"/>
        <v>0</v>
      </c>
      <c r="DT1620">
        <v>0</v>
      </c>
      <c r="DU1620">
        <v>0</v>
      </c>
      <c r="DV1620">
        <v>0</v>
      </c>
      <c r="DW1620">
        <v>0</v>
      </c>
      <c r="DX1620">
        <v>0</v>
      </c>
      <c r="DY1620">
        <f t="shared" si="644"/>
        <v>0</v>
      </c>
      <c r="DZ1620" s="143" t="s">
        <v>926</v>
      </c>
      <c r="EA1620">
        <v>0</v>
      </c>
      <c r="EB1620">
        <v>0</v>
      </c>
      <c r="EC1620">
        <v>0</v>
      </c>
      <c r="ED1620">
        <v>0</v>
      </c>
      <c r="EE1620">
        <v>0</v>
      </c>
      <c r="EF1620" s="143">
        <v>0</v>
      </c>
      <c r="EG1620">
        <v>1</v>
      </c>
      <c r="EH1620">
        <v>0</v>
      </c>
      <c r="EI1620">
        <v>0</v>
      </c>
      <c r="EJ1620">
        <v>0</v>
      </c>
      <c r="EK1620">
        <v>0</v>
      </c>
      <c r="EL1620">
        <v>0</v>
      </c>
      <c r="EM1620">
        <v>0</v>
      </c>
      <c r="EN1620" s="2">
        <v>0</v>
      </c>
      <c r="EP1620" t="str">
        <f t="shared" si="611"/>
        <v/>
      </c>
      <c r="EQ1620" t="str">
        <f t="shared" si="645"/>
        <v/>
      </c>
      <c r="ER1620" s="2" t="str">
        <f t="shared" si="612"/>
        <v/>
      </c>
      <c r="ES1620" t="str">
        <f t="shared" si="613"/>
        <v/>
      </c>
      <c r="ET1620" t="str">
        <f t="shared" si="614"/>
        <v/>
      </c>
      <c r="EU1620" t="str">
        <f t="shared" si="615"/>
        <v/>
      </c>
      <c r="EY1620" t="str">
        <f>IF(ISNUMBER(BW1620),IF(ABS(BW1620-[2]QC_indicators!$B$2)&gt;3*[2]QC_indicators!$C$2,"C ratio",IF(ISNUMBER(CA1620),IF(ABS(CA1620-[2]QC_indicators!$B$1)&gt;3*[2]QC_indicators!$C$1,"DF","no"))),IF(ISNUMBER(CA1620),IF(ABS(CA1620-[2]QC_indicators!$B$1)&gt;3*[2]QC_indicators!$C$1,"DF","no")))</f>
        <v>DF</v>
      </c>
      <c r="FA1620" t="str">
        <f t="shared" si="616"/>
        <v/>
      </c>
      <c r="FD1620" s="260" t="s">
        <v>2826</v>
      </c>
    </row>
    <row r="1621" spans="1:160" hidden="1">
      <c r="A1621" s="1" t="s">
        <v>895</v>
      </c>
      <c r="B1621" t="s">
        <v>1695</v>
      </c>
      <c r="C1621" t="s">
        <v>1696</v>
      </c>
      <c r="D1621" t="s">
        <v>1697</v>
      </c>
      <c r="E1621" t="s">
        <v>1698</v>
      </c>
      <c r="F1621" t="s">
        <v>1699</v>
      </c>
      <c r="G1621" t="s">
        <v>901</v>
      </c>
      <c r="H1621" t="s">
        <v>254</v>
      </c>
      <c r="I1621">
        <v>2019</v>
      </c>
      <c r="J1621">
        <v>8</v>
      </c>
      <c r="K1621" t="s">
        <v>1700</v>
      </c>
      <c r="M1621" t="str">
        <f t="shared" si="598"/>
        <v>Kogler_2019</v>
      </c>
      <c r="N1621" t="s">
        <v>2265</v>
      </c>
      <c r="O1621" s="171" t="s">
        <v>508</v>
      </c>
      <c r="P1621" t="s">
        <v>924</v>
      </c>
      <c r="Q1621" t="s">
        <v>389</v>
      </c>
      <c r="R1621" s="258" t="s">
        <v>223</v>
      </c>
      <c r="S1621" s="1" t="s">
        <v>1713</v>
      </c>
      <c r="T1621" t="s">
        <v>1702</v>
      </c>
      <c r="U1621" t="s">
        <v>1707</v>
      </c>
      <c r="X1621">
        <v>0</v>
      </c>
      <c r="Y1621">
        <v>0</v>
      </c>
      <c r="Z1621">
        <v>0</v>
      </c>
      <c r="AA1621">
        <v>0</v>
      </c>
      <c r="AB1621">
        <v>0</v>
      </c>
      <c r="AC1621">
        <v>0</v>
      </c>
      <c r="AD1621">
        <v>0</v>
      </c>
      <c r="AE1621">
        <v>0</v>
      </c>
      <c r="AF1621">
        <v>0</v>
      </c>
      <c r="AG1621">
        <v>0</v>
      </c>
      <c r="AH1621">
        <v>1</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s="141">
        <f t="shared" si="617"/>
        <v>1</v>
      </c>
      <c r="BA1621" s="141">
        <f t="shared" si="618"/>
        <v>1</v>
      </c>
      <c r="BB1621">
        <f t="shared" si="619"/>
        <v>0</v>
      </c>
      <c r="BC1621">
        <f t="shared" si="620"/>
        <v>1</v>
      </c>
      <c r="BD1621">
        <f t="shared" si="621"/>
        <v>0</v>
      </c>
      <c r="BE1621">
        <f t="shared" si="622"/>
        <v>0</v>
      </c>
      <c r="BF1621">
        <f t="shared" si="623"/>
        <v>0</v>
      </c>
      <c r="BG1621" t="str">
        <f t="array" ref="BG1621">IF(BA1621=1,INDEX($X$7:$AN$7,MATCH(TRUE,INDEX($X1621:$AY1621&lt;&gt;0,),0)),IF(BA1621=0,INDEX($AO$7:$AY$7,MATCH(1,$AO1621:$AY1621,0)),IF(BH1621="Multiple strategies","mixed drivers",IF(BH1621="Supply chain","multiple supply","multiple silviculture"))))</f>
        <v>supply chain organization</v>
      </c>
      <c r="BH1621" s="2" t="str" cm="1">
        <f t="array" ref="BH1621">IF(COUNTIF(BB1621:BD1621,"&lt;&gt;0")=1,INDEX($X$4:$AY$4,MATCH(TRUE,INDEX($X1621:$AY1621&lt;&gt;0,),0)),IF(COUNTIF(BB1621:BD1621,"&lt;&gt;0")=0,INDEX($AO$4:$AY$4,MATCH(1,$AO1621:$AY1621,0)),"Multiple strategies"))</f>
        <v>Supply chain</v>
      </c>
      <c r="BI1621" s="1" t="s">
        <v>321</v>
      </c>
      <c r="BJ1621" t="s">
        <v>1704</v>
      </c>
      <c r="BK1621" t="s">
        <v>598</v>
      </c>
      <c r="BL1621" t="s">
        <v>498</v>
      </c>
      <c r="BM1621">
        <v>35082</v>
      </c>
      <c r="BN1621">
        <v>38360</v>
      </c>
      <c r="BO1621">
        <v>1.0934382304315604</v>
      </c>
      <c r="BP1621">
        <f t="shared" si="624"/>
        <v>3278</v>
      </c>
      <c r="BQ1621">
        <f t="shared" si="625"/>
        <v>3278</v>
      </c>
      <c r="BR1621" t="s">
        <v>395</v>
      </c>
      <c r="BS1621" t="s">
        <v>1705</v>
      </c>
      <c r="BT1621" s="260" t="s">
        <v>2825</v>
      </c>
      <c r="BU1621">
        <v>541</v>
      </c>
      <c r="BV1621">
        <v>665</v>
      </c>
      <c r="BW1621" s="144">
        <v>1.2292051756007394</v>
      </c>
      <c r="BX1621" s="152">
        <f t="shared" si="626"/>
        <v>124</v>
      </c>
      <c r="BZ1621">
        <f t="shared" si="627"/>
        <v>124000000</v>
      </c>
      <c r="CA1621">
        <f t="shared" si="607"/>
        <v>37827.943868212322</v>
      </c>
      <c r="CB1621">
        <v>0</v>
      </c>
      <c r="CC1621">
        <v>0</v>
      </c>
      <c r="CD1621">
        <v>0</v>
      </c>
      <c r="CE1621">
        <v>0</v>
      </c>
      <c r="CF1621">
        <v>0</v>
      </c>
      <c r="CG1621">
        <v>0</v>
      </c>
      <c r="CH1621">
        <v>0</v>
      </c>
      <c r="CI1621">
        <v>0</v>
      </c>
      <c r="CJ1621">
        <v>0</v>
      </c>
      <c r="CK1621">
        <v>0</v>
      </c>
      <c r="CL1621">
        <v>0</v>
      </c>
      <c r="CM1621">
        <v>0</v>
      </c>
      <c r="CN1621">
        <v>0</v>
      </c>
      <c r="CO1621">
        <v>0</v>
      </c>
      <c r="CP1621" t="str">
        <f t="shared" si="628"/>
        <v>refOK</v>
      </c>
      <c r="CQ1621">
        <f t="shared" si="629"/>
        <v>35082</v>
      </c>
      <c r="CR1621">
        <f t="shared" si="630"/>
        <v>38360</v>
      </c>
      <c r="CS1621">
        <f t="shared" si="631"/>
        <v>3278</v>
      </c>
      <c r="CT1621">
        <f t="shared" si="608"/>
        <v>1639</v>
      </c>
      <c r="CU1621">
        <f t="shared" si="632"/>
        <v>-541</v>
      </c>
      <c r="CV1621">
        <f t="shared" si="633"/>
        <v>-665</v>
      </c>
      <c r="CW1621">
        <f t="shared" si="634"/>
        <v>-124000000</v>
      </c>
      <c r="CX1621">
        <f t="shared" si="609"/>
        <v>-37827.943868212322</v>
      </c>
      <c r="CY1621">
        <f t="shared" si="635"/>
        <v>-37827.943868212322</v>
      </c>
      <c r="CZ1621">
        <f t="shared" si="610"/>
        <v>-75655.887736424644</v>
      </c>
      <c r="DA1621" s="2">
        <f t="shared" si="636"/>
        <v>-0.22920517560073936</v>
      </c>
      <c r="DB1621" s="1" t="s">
        <v>1078</v>
      </c>
      <c r="DC1621" t="str">
        <f t="shared" si="637"/>
        <v>reg</v>
      </c>
      <c r="DD1621" t="s">
        <v>653</v>
      </c>
      <c r="DE1621">
        <v>0</v>
      </c>
      <c r="DF1621">
        <v>0</v>
      </c>
      <c r="DG1621">
        <v>0</v>
      </c>
      <c r="DH1621" t="str">
        <f t="shared" si="638"/>
        <v>0</v>
      </c>
      <c r="DI1621">
        <v>1</v>
      </c>
      <c r="DJ1621">
        <v>0</v>
      </c>
      <c r="DK1621">
        <v>0</v>
      </c>
      <c r="DL1621">
        <v>0</v>
      </c>
      <c r="DN1621">
        <v>1</v>
      </c>
      <c r="DO1621" t="str">
        <f t="shared" si="639"/>
        <v>UpstreamInput</v>
      </c>
      <c r="DP1621" t="str">
        <f t="shared" si="640"/>
        <v>Upstream</v>
      </c>
      <c r="DQ1621">
        <f t="shared" si="641"/>
        <v>0</v>
      </c>
      <c r="DR1621">
        <f t="shared" si="642"/>
        <v>0</v>
      </c>
      <c r="DS1621">
        <f t="shared" si="643"/>
        <v>0</v>
      </c>
      <c r="DT1621">
        <v>0</v>
      </c>
      <c r="DU1621">
        <v>0</v>
      </c>
      <c r="DV1621">
        <v>0</v>
      </c>
      <c r="DW1621">
        <v>0</v>
      </c>
      <c r="DX1621">
        <v>0</v>
      </c>
      <c r="DY1621">
        <f t="shared" si="644"/>
        <v>0</v>
      </c>
      <c r="DZ1621" s="143" t="s">
        <v>926</v>
      </c>
      <c r="EA1621">
        <v>0</v>
      </c>
      <c r="EB1621">
        <v>0</v>
      </c>
      <c r="EC1621">
        <v>0</v>
      </c>
      <c r="ED1621">
        <v>0</v>
      </c>
      <c r="EE1621">
        <v>0</v>
      </c>
      <c r="EF1621" s="143">
        <v>0</v>
      </c>
      <c r="EG1621">
        <v>1</v>
      </c>
      <c r="EH1621">
        <v>0</v>
      </c>
      <c r="EI1621">
        <v>0</v>
      </c>
      <c r="EJ1621">
        <v>0</v>
      </c>
      <c r="EK1621">
        <v>0</v>
      </c>
      <c r="EL1621">
        <v>0</v>
      </c>
      <c r="EM1621">
        <v>0</v>
      </c>
      <c r="EN1621" s="2">
        <v>0</v>
      </c>
      <c r="EP1621" t="str">
        <f t="shared" si="611"/>
        <v/>
      </c>
      <c r="EQ1621" t="str">
        <f t="shared" si="645"/>
        <v/>
      </c>
      <c r="ER1621" s="2" t="str">
        <f t="shared" si="612"/>
        <v/>
      </c>
      <c r="ES1621" t="str">
        <f t="shared" si="613"/>
        <v/>
      </c>
      <c r="ET1621" t="str">
        <f t="shared" si="614"/>
        <v/>
      </c>
      <c r="EU1621" t="str">
        <f t="shared" si="615"/>
        <v/>
      </c>
      <c r="EY1621" t="str">
        <f>IF(ISNUMBER(BW1621),IF(ABS(BW1621-[2]QC_indicators!$B$2)&gt;3*[2]QC_indicators!$C$2,"C ratio",IF(ISNUMBER(CA1621),IF(ABS(CA1621-[2]QC_indicators!$B$1)&gt;3*[2]QC_indicators!$C$1,"DF","no"))),IF(ISNUMBER(CA1621),IF(ABS(CA1621-[2]QC_indicators!$B$1)&gt;3*[2]QC_indicators!$C$1,"DF","no")))</f>
        <v>DF</v>
      </c>
      <c r="FA1621" t="str">
        <f t="shared" si="616"/>
        <v/>
      </c>
      <c r="FD1621" s="260" t="s">
        <v>2826</v>
      </c>
    </row>
    <row r="1622" spans="1:160" ht="15" hidden="1" customHeight="1">
      <c r="A1622" s="1" t="s">
        <v>895</v>
      </c>
      <c r="B1622" t="s">
        <v>1695</v>
      </c>
      <c r="C1622" t="s">
        <v>1696</v>
      </c>
      <c r="D1622" t="s">
        <v>1697</v>
      </c>
      <c r="E1622" t="s">
        <v>1698</v>
      </c>
      <c r="F1622" t="s">
        <v>1699</v>
      </c>
      <c r="G1622" t="s">
        <v>901</v>
      </c>
      <c r="H1622" t="s">
        <v>254</v>
      </c>
      <c r="I1622">
        <v>2019</v>
      </c>
      <c r="J1622">
        <v>8</v>
      </c>
      <c r="K1622" t="s">
        <v>1700</v>
      </c>
      <c r="M1622" t="str">
        <f t="shared" si="598"/>
        <v>Kogler_2019</v>
      </c>
      <c r="N1622" t="s">
        <v>2265</v>
      </c>
      <c r="O1622" s="171" t="s">
        <v>508</v>
      </c>
      <c r="P1622" t="s">
        <v>924</v>
      </c>
      <c r="Q1622" t="s">
        <v>389</v>
      </c>
      <c r="R1622" s="258" t="s">
        <v>223</v>
      </c>
      <c r="S1622" s="1" t="s">
        <v>1713</v>
      </c>
      <c r="T1622" t="s">
        <v>1706</v>
      </c>
      <c r="U1622" t="s">
        <v>1709</v>
      </c>
      <c r="X1622">
        <v>0</v>
      </c>
      <c r="Y1622">
        <v>0</v>
      </c>
      <c r="Z1622">
        <v>0</v>
      </c>
      <c r="AA1622">
        <v>0</v>
      </c>
      <c r="AB1622">
        <v>0</v>
      </c>
      <c r="AC1622">
        <v>0</v>
      </c>
      <c r="AD1622">
        <v>0</v>
      </c>
      <c r="AE1622">
        <v>0</v>
      </c>
      <c r="AF1622">
        <v>0</v>
      </c>
      <c r="AG1622">
        <v>0</v>
      </c>
      <c r="AH1622">
        <v>1</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s="141">
        <f t="shared" si="617"/>
        <v>1</v>
      </c>
      <c r="BA1622" s="141">
        <f t="shared" si="618"/>
        <v>1</v>
      </c>
      <c r="BB1622">
        <f t="shared" si="619"/>
        <v>0</v>
      </c>
      <c r="BC1622">
        <f t="shared" si="620"/>
        <v>1</v>
      </c>
      <c r="BD1622">
        <f t="shared" si="621"/>
        <v>0</v>
      </c>
      <c r="BE1622">
        <f t="shared" si="622"/>
        <v>0</v>
      </c>
      <c r="BF1622">
        <f t="shared" si="623"/>
        <v>0</v>
      </c>
      <c r="BG1622" t="str">
        <f t="array" ref="BG1622">IF(BA1622=1,INDEX($X$7:$AN$7,MATCH(TRUE,INDEX($X1622:$AY1622&lt;&gt;0,),0)),IF(BA1622=0,INDEX($AO$7:$AY$7,MATCH(1,$AO1622:$AY1622,0)),IF(BH1622="Multiple strategies","mixed drivers",IF(BH1622="Supply chain","multiple supply","multiple silviculture"))))</f>
        <v>supply chain organization</v>
      </c>
      <c r="BH1622" s="2" t="str" cm="1">
        <f t="array" ref="BH1622">IF(COUNTIF(BB1622:BD1622,"&lt;&gt;0")=1,INDEX($X$4:$AY$4,MATCH(TRUE,INDEX($X1622:$AY1622&lt;&gt;0,),0)),IF(COUNTIF(BB1622:BD1622,"&lt;&gt;0")=0,INDEX($AO$4:$AY$4,MATCH(1,$AO1622:$AY1622,0)),"Multiple strategies"))</f>
        <v>Supply chain</v>
      </c>
      <c r="BI1622" s="1" t="s">
        <v>321</v>
      </c>
      <c r="BJ1622" t="s">
        <v>1704</v>
      </c>
      <c r="BK1622" t="s">
        <v>598</v>
      </c>
      <c r="BL1622" t="s">
        <v>498</v>
      </c>
      <c r="BM1622">
        <v>80258</v>
      </c>
      <c r="BN1622">
        <v>86651</v>
      </c>
      <c r="BO1622">
        <v>1.0796556106556356</v>
      </c>
      <c r="BP1622">
        <f t="shared" si="624"/>
        <v>6393</v>
      </c>
      <c r="BQ1622">
        <f t="shared" si="625"/>
        <v>6393</v>
      </c>
      <c r="BR1622" t="s">
        <v>395</v>
      </c>
      <c r="BS1622" t="s">
        <v>1705</v>
      </c>
      <c r="BT1622" s="260" t="s">
        <v>2825</v>
      </c>
      <c r="BU1622">
        <v>1270</v>
      </c>
      <c r="BV1622">
        <v>1500</v>
      </c>
      <c r="BW1622" s="144">
        <v>1.1811023622047243</v>
      </c>
      <c r="BX1622" s="152">
        <f t="shared" si="626"/>
        <v>230</v>
      </c>
      <c r="BZ1622">
        <f t="shared" si="627"/>
        <v>230000000</v>
      </c>
      <c r="CA1622">
        <f t="shared" si="607"/>
        <v>35976.849679336774</v>
      </c>
      <c r="CB1622">
        <v>0</v>
      </c>
      <c r="CC1622">
        <v>0</v>
      </c>
      <c r="CD1622">
        <v>0</v>
      </c>
      <c r="CE1622">
        <v>0</v>
      </c>
      <c r="CF1622">
        <v>0</v>
      </c>
      <c r="CG1622">
        <v>0</v>
      </c>
      <c r="CH1622">
        <v>0</v>
      </c>
      <c r="CI1622">
        <v>0</v>
      </c>
      <c r="CJ1622">
        <v>0</v>
      </c>
      <c r="CK1622">
        <v>0</v>
      </c>
      <c r="CL1622">
        <v>0</v>
      </c>
      <c r="CM1622">
        <v>0</v>
      </c>
      <c r="CN1622">
        <v>0</v>
      </c>
      <c r="CO1622">
        <v>0</v>
      </c>
      <c r="CP1622" t="str">
        <f t="shared" si="628"/>
        <v>refOK</v>
      </c>
      <c r="CQ1622">
        <f t="shared" si="629"/>
        <v>80258</v>
      </c>
      <c r="CR1622">
        <f t="shared" si="630"/>
        <v>86651</v>
      </c>
      <c r="CS1622">
        <f t="shared" si="631"/>
        <v>6393</v>
      </c>
      <c r="CT1622">
        <f t="shared" si="608"/>
        <v>3196.5</v>
      </c>
      <c r="CU1622">
        <f t="shared" si="632"/>
        <v>-1270</v>
      </c>
      <c r="CV1622">
        <f t="shared" si="633"/>
        <v>-1500</v>
      </c>
      <c r="CW1622">
        <f t="shared" si="634"/>
        <v>-230000000</v>
      </c>
      <c r="CX1622">
        <f t="shared" si="609"/>
        <v>-35976.849679336774</v>
      </c>
      <c r="CY1622">
        <f t="shared" si="635"/>
        <v>-35976.849679336774</v>
      </c>
      <c r="CZ1622">
        <f t="shared" si="610"/>
        <v>-71953.699358673548</v>
      </c>
      <c r="DA1622" s="2">
        <f t="shared" si="636"/>
        <v>-0.18110236220472442</v>
      </c>
      <c r="DB1622" s="1" t="s">
        <v>1078</v>
      </c>
      <c r="DC1622" t="str">
        <f t="shared" si="637"/>
        <v>reg</v>
      </c>
      <c r="DD1622" t="s">
        <v>653</v>
      </c>
      <c r="DE1622">
        <v>0</v>
      </c>
      <c r="DF1622">
        <v>0</v>
      </c>
      <c r="DG1622">
        <v>0</v>
      </c>
      <c r="DH1622" t="str">
        <f t="shared" si="638"/>
        <v>0</v>
      </c>
      <c r="DI1622">
        <v>1</v>
      </c>
      <c r="DJ1622">
        <v>0</v>
      </c>
      <c r="DK1622">
        <v>0</v>
      </c>
      <c r="DL1622">
        <v>0</v>
      </c>
      <c r="DN1622">
        <v>1</v>
      </c>
      <c r="DO1622" t="str">
        <f t="shared" si="639"/>
        <v>UpstreamInput</v>
      </c>
      <c r="DP1622" t="str">
        <f t="shared" si="640"/>
        <v>Upstream</v>
      </c>
      <c r="DQ1622">
        <f t="shared" si="641"/>
        <v>0</v>
      </c>
      <c r="DR1622">
        <f t="shared" si="642"/>
        <v>0</v>
      </c>
      <c r="DS1622">
        <f t="shared" si="643"/>
        <v>0</v>
      </c>
      <c r="DT1622">
        <v>0</v>
      </c>
      <c r="DU1622">
        <v>0</v>
      </c>
      <c r="DV1622">
        <v>0</v>
      </c>
      <c r="DW1622">
        <v>0</v>
      </c>
      <c r="DX1622">
        <v>0</v>
      </c>
      <c r="DY1622">
        <f t="shared" si="644"/>
        <v>0</v>
      </c>
      <c r="DZ1622" s="143" t="s">
        <v>926</v>
      </c>
      <c r="EA1622">
        <v>0</v>
      </c>
      <c r="EB1622">
        <v>0</v>
      </c>
      <c r="EC1622">
        <v>0</v>
      </c>
      <c r="ED1622">
        <v>0</v>
      </c>
      <c r="EE1622">
        <v>0</v>
      </c>
      <c r="EF1622" s="143">
        <v>0</v>
      </c>
      <c r="EG1622">
        <v>1</v>
      </c>
      <c r="EH1622">
        <v>0</v>
      </c>
      <c r="EI1622">
        <v>0</v>
      </c>
      <c r="EJ1622">
        <v>0</v>
      </c>
      <c r="EK1622">
        <v>0</v>
      </c>
      <c r="EL1622">
        <v>0</v>
      </c>
      <c r="EM1622">
        <v>0</v>
      </c>
      <c r="EN1622" s="2">
        <v>0</v>
      </c>
      <c r="EP1622" t="str">
        <f t="shared" si="611"/>
        <v/>
      </c>
      <c r="EQ1622" t="str">
        <f t="shared" si="645"/>
        <v/>
      </c>
      <c r="ER1622" s="2" t="str">
        <f t="shared" si="612"/>
        <v/>
      </c>
      <c r="ES1622" t="str">
        <f t="shared" si="613"/>
        <v/>
      </c>
      <c r="ET1622" t="str">
        <f t="shared" si="614"/>
        <v/>
      </c>
      <c r="EU1622" t="str">
        <f t="shared" si="615"/>
        <v/>
      </c>
      <c r="EY1622" t="str">
        <f>IF(ISNUMBER(BW1622),IF(ABS(BW1622-[2]QC_indicators!$B$2)&gt;3*[2]QC_indicators!$C$2,"C ratio",IF(ISNUMBER(CA1622),IF(ABS(CA1622-[2]QC_indicators!$B$1)&gt;3*[2]QC_indicators!$C$1,"DF","no"))),IF(ISNUMBER(CA1622),IF(ABS(CA1622-[2]QC_indicators!$B$1)&gt;3*[2]QC_indicators!$C$1,"DF","no")))</f>
        <v>DF</v>
      </c>
      <c r="FA1622" t="str">
        <f t="shared" si="616"/>
        <v/>
      </c>
      <c r="FD1622" s="260" t="s">
        <v>2826</v>
      </c>
    </row>
    <row r="1623" spans="1:160" ht="15" hidden="1" customHeight="1">
      <c r="A1623" s="1" t="s">
        <v>895</v>
      </c>
      <c r="B1623" t="s">
        <v>1695</v>
      </c>
      <c r="C1623" t="s">
        <v>1696</v>
      </c>
      <c r="D1623" t="s">
        <v>1697</v>
      </c>
      <c r="E1623" t="s">
        <v>1698</v>
      </c>
      <c r="F1623" t="s">
        <v>1699</v>
      </c>
      <c r="G1623" t="s">
        <v>901</v>
      </c>
      <c r="H1623" t="s">
        <v>254</v>
      </c>
      <c r="I1623">
        <v>2019</v>
      </c>
      <c r="J1623">
        <v>8</v>
      </c>
      <c r="K1623" t="s">
        <v>1700</v>
      </c>
      <c r="M1623" t="str">
        <f t="shared" si="598"/>
        <v>Kogler_2019</v>
      </c>
      <c r="N1623" t="s">
        <v>2265</v>
      </c>
      <c r="O1623" s="171" t="s">
        <v>508</v>
      </c>
      <c r="P1623" t="s">
        <v>924</v>
      </c>
      <c r="Q1623" t="s">
        <v>389</v>
      </c>
      <c r="R1623" s="258" t="s">
        <v>223</v>
      </c>
      <c r="S1623" s="1" t="s">
        <v>1713</v>
      </c>
      <c r="T1623" t="s">
        <v>1703</v>
      </c>
      <c r="U1623" t="s">
        <v>1708</v>
      </c>
      <c r="X1623">
        <v>0</v>
      </c>
      <c r="Y1623">
        <v>0</v>
      </c>
      <c r="Z1623">
        <v>0</v>
      </c>
      <c r="AA1623">
        <v>0</v>
      </c>
      <c r="AB1623">
        <v>0</v>
      </c>
      <c r="AC1623">
        <v>0</v>
      </c>
      <c r="AD1623">
        <v>0</v>
      </c>
      <c r="AE1623">
        <v>0</v>
      </c>
      <c r="AF1623">
        <v>0</v>
      </c>
      <c r="AG1623">
        <v>0</v>
      </c>
      <c r="AH1623">
        <v>1</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s="141">
        <f t="shared" si="617"/>
        <v>1</v>
      </c>
      <c r="BA1623" s="141">
        <f t="shared" si="618"/>
        <v>1</v>
      </c>
      <c r="BB1623">
        <f t="shared" si="619"/>
        <v>0</v>
      </c>
      <c r="BC1623">
        <f t="shared" si="620"/>
        <v>1</v>
      </c>
      <c r="BD1623">
        <f t="shared" si="621"/>
        <v>0</v>
      </c>
      <c r="BE1623">
        <f t="shared" si="622"/>
        <v>0</v>
      </c>
      <c r="BF1623">
        <f t="shared" si="623"/>
        <v>0</v>
      </c>
      <c r="BG1623" t="str">
        <f t="array" ref="BG1623">IF(BA1623=1,INDEX($X$7:$AN$7,MATCH(TRUE,INDEX($X1623:$AY1623&lt;&gt;0,),0)),IF(BA1623=0,INDEX($AO$7:$AY$7,MATCH(1,$AO1623:$AY1623,0)),IF(BH1623="Multiple strategies","mixed drivers",IF(BH1623="Supply chain","multiple supply","multiple silviculture"))))</f>
        <v>supply chain organization</v>
      </c>
      <c r="BH1623" s="2" t="str" cm="1">
        <f t="array" ref="BH1623">IF(COUNTIF(BB1623:BD1623,"&lt;&gt;0")=1,INDEX($X$4:$AY$4,MATCH(TRUE,INDEX($X1623:$AY1623&lt;&gt;0,),0)),IF(COUNTIF(BB1623:BD1623,"&lt;&gt;0")=0,INDEX($AO$4:$AY$4,MATCH(1,$AO1623:$AY1623,0)),"Multiple strategies"))</f>
        <v>Supply chain</v>
      </c>
      <c r="BI1623" s="1" t="s">
        <v>321</v>
      </c>
      <c r="BJ1623" t="s">
        <v>1704</v>
      </c>
      <c r="BK1623" t="s">
        <v>598</v>
      </c>
      <c r="BL1623" t="s">
        <v>498</v>
      </c>
      <c r="BM1623">
        <v>37563</v>
      </c>
      <c r="BN1623">
        <v>41581</v>
      </c>
      <c r="BO1623">
        <v>1.1069669621702207</v>
      </c>
      <c r="BP1623">
        <f t="shared" si="624"/>
        <v>4018</v>
      </c>
      <c r="BQ1623">
        <f t="shared" si="625"/>
        <v>4018</v>
      </c>
      <c r="BR1623" t="s">
        <v>395</v>
      </c>
      <c r="BS1623" t="s">
        <v>1705</v>
      </c>
      <c r="BT1623" s="260" t="s">
        <v>2825</v>
      </c>
      <c r="BU1623">
        <v>579</v>
      </c>
      <c r="BV1623">
        <v>719</v>
      </c>
      <c r="BW1623" s="144">
        <v>1.241796200345423</v>
      </c>
      <c r="BX1623" s="152">
        <f t="shared" si="626"/>
        <v>140</v>
      </c>
      <c r="BZ1623">
        <f t="shared" si="627"/>
        <v>140000000</v>
      </c>
      <c r="CA1623">
        <f t="shared" si="607"/>
        <v>34843.205574912892</v>
      </c>
      <c r="CB1623">
        <v>0</v>
      </c>
      <c r="CC1623">
        <v>0</v>
      </c>
      <c r="CD1623">
        <v>0</v>
      </c>
      <c r="CE1623">
        <v>0</v>
      </c>
      <c r="CF1623">
        <v>0</v>
      </c>
      <c r="CG1623">
        <v>0</v>
      </c>
      <c r="CH1623">
        <v>0</v>
      </c>
      <c r="CI1623">
        <v>0</v>
      </c>
      <c r="CJ1623">
        <v>0</v>
      </c>
      <c r="CK1623">
        <v>0</v>
      </c>
      <c r="CL1623">
        <v>0</v>
      </c>
      <c r="CM1623">
        <v>0</v>
      </c>
      <c r="CN1623">
        <v>0</v>
      </c>
      <c r="CO1623">
        <v>0</v>
      </c>
      <c r="CP1623" t="str">
        <f t="shared" si="628"/>
        <v>refOK</v>
      </c>
      <c r="CQ1623">
        <f t="shared" si="629"/>
        <v>37563</v>
      </c>
      <c r="CR1623">
        <f t="shared" si="630"/>
        <v>41581</v>
      </c>
      <c r="CS1623">
        <f t="shared" si="631"/>
        <v>4018</v>
      </c>
      <c r="CT1623">
        <f t="shared" si="608"/>
        <v>2009</v>
      </c>
      <c r="CU1623">
        <f t="shared" si="632"/>
        <v>-579</v>
      </c>
      <c r="CV1623">
        <f t="shared" si="633"/>
        <v>-719</v>
      </c>
      <c r="CW1623">
        <f t="shared" si="634"/>
        <v>-140000000</v>
      </c>
      <c r="CX1623">
        <f t="shared" si="609"/>
        <v>-34843.205574912892</v>
      </c>
      <c r="CY1623">
        <f t="shared" si="635"/>
        <v>-34843.205574912892</v>
      </c>
      <c r="CZ1623">
        <f t="shared" si="610"/>
        <v>-69686.411149825784</v>
      </c>
      <c r="DA1623" s="2">
        <f t="shared" si="636"/>
        <v>-0.24179620034542315</v>
      </c>
      <c r="DB1623" s="1" t="s">
        <v>1078</v>
      </c>
      <c r="DC1623" t="str">
        <f t="shared" si="637"/>
        <v>reg</v>
      </c>
      <c r="DD1623" t="s">
        <v>653</v>
      </c>
      <c r="DE1623">
        <v>0</v>
      </c>
      <c r="DF1623">
        <v>0</v>
      </c>
      <c r="DG1623">
        <v>0</v>
      </c>
      <c r="DH1623" t="str">
        <f t="shared" si="638"/>
        <v>0</v>
      </c>
      <c r="DI1623">
        <v>1</v>
      </c>
      <c r="DJ1623">
        <v>0</v>
      </c>
      <c r="DK1623">
        <v>0</v>
      </c>
      <c r="DL1623">
        <v>0</v>
      </c>
      <c r="DN1623">
        <v>1</v>
      </c>
      <c r="DO1623" t="str">
        <f t="shared" si="639"/>
        <v>UpstreamInput</v>
      </c>
      <c r="DP1623" t="str">
        <f t="shared" si="640"/>
        <v>Upstream</v>
      </c>
      <c r="DQ1623">
        <f t="shared" si="641"/>
        <v>0</v>
      </c>
      <c r="DR1623">
        <f t="shared" si="642"/>
        <v>0</v>
      </c>
      <c r="DS1623">
        <f t="shared" si="643"/>
        <v>0</v>
      </c>
      <c r="DT1623">
        <v>0</v>
      </c>
      <c r="DU1623">
        <v>0</v>
      </c>
      <c r="DV1623">
        <v>0</v>
      </c>
      <c r="DW1623">
        <v>0</v>
      </c>
      <c r="DX1623">
        <v>0</v>
      </c>
      <c r="DY1623">
        <f t="shared" si="644"/>
        <v>0</v>
      </c>
      <c r="DZ1623" s="143" t="s">
        <v>926</v>
      </c>
      <c r="EA1623">
        <v>0</v>
      </c>
      <c r="EB1623">
        <v>0</v>
      </c>
      <c r="EC1623">
        <v>0</v>
      </c>
      <c r="ED1623">
        <v>0</v>
      </c>
      <c r="EE1623">
        <v>0</v>
      </c>
      <c r="EF1623" s="143">
        <v>0</v>
      </c>
      <c r="EG1623">
        <v>1</v>
      </c>
      <c r="EH1623">
        <v>0</v>
      </c>
      <c r="EI1623">
        <v>0</v>
      </c>
      <c r="EJ1623">
        <v>0</v>
      </c>
      <c r="EK1623">
        <v>0</v>
      </c>
      <c r="EL1623">
        <v>0</v>
      </c>
      <c r="EM1623">
        <v>0</v>
      </c>
      <c r="EN1623" s="2">
        <v>0</v>
      </c>
      <c r="EP1623" t="str">
        <f t="shared" si="611"/>
        <v/>
      </c>
      <c r="EQ1623" t="str">
        <f t="shared" si="645"/>
        <v/>
      </c>
      <c r="ER1623" s="2" t="str">
        <f t="shared" si="612"/>
        <v/>
      </c>
      <c r="ES1623" t="str">
        <f t="shared" si="613"/>
        <v/>
      </c>
      <c r="ET1623" t="str">
        <f t="shared" si="614"/>
        <v/>
      </c>
      <c r="EU1623" t="str">
        <f t="shared" si="615"/>
        <v/>
      </c>
      <c r="EY1623" t="str">
        <f>IF(ISNUMBER(BW1623),IF(ABS(BW1623-[2]QC_indicators!$B$2)&gt;3*[2]QC_indicators!$C$2,"C ratio",IF(ISNUMBER(CA1623),IF(ABS(CA1623-[2]QC_indicators!$B$1)&gt;3*[2]QC_indicators!$C$1,"DF","no"))),IF(ISNUMBER(CA1623),IF(ABS(CA1623-[2]QC_indicators!$B$1)&gt;3*[2]QC_indicators!$C$1,"DF","no")))</f>
        <v>DF</v>
      </c>
      <c r="FA1623" t="str">
        <f t="shared" si="616"/>
        <v/>
      </c>
      <c r="FD1623" s="260" t="s">
        <v>2826</v>
      </c>
    </row>
    <row r="1624" spans="1:160" ht="15" hidden="1" customHeight="1">
      <c r="A1624" s="1" t="s">
        <v>895</v>
      </c>
      <c r="B1624" t="s">
        <v>1695</v>
      </c>
      <c r="C1624" t="s">
        <v>1696</v>
      </c>
      <c r="D1624" t="s">
        <v>1697</v>
      </c>
      <c r="E1624" t="s">
        <v>1698</v>
      </c>
      <c r="F1624" t="s">
        <v>1699</v>
      </c>
      <c r="G1624" t="s">
        <v>901</v>
      </c>
      <c r="H1624" t="s">
        <v>254</v>
      </c>
      <c r="I1624">
        <v>2019</v>
      </c>
      <c r="J1624">
        <v>8</v>
      </c>
      <c r="K1624" t="s">
        <v>1700</v>
      </c>
      <c r="M1624" t="str">
        <f t="shared" si="598"/>
        <v>Kogler_2019</v>
      </c>
      <c r="N1624" t="s">
        <v>2265</v>
      </c>
      <c r="O1624" s="171" t="s">
        <v>508</v>
      </c>
      <c r="P1624" t="s">
        <v>924</v>
      </c>
      <c r="Q1624" t="s">
        <v>389</v>
      </c>
      <c r="R1624" s="258" t="s">
        <v>223</v>
      </c>
      <c r="S1624" s="1" t="s">
        <v>1713</v>
      </c>
      <c r="T1624" t="s">
        <v>1712</v>
      </c>
      <c r="U1624" t="s">
        <v>1709</v>
      </c>
      <c r="X1624">
        <v>0</v>
      </c>
      <c r="Y1624">
        <v>0</v>
      </c>
      <c r="Z1624">
        <v>0</v>
      </c>
      <c r="AA1624">
        <v>0</v>
      </c>
      <c r="AB1624">
        <v>0</v>
      </c>
      <c r="AC1624">
        <v>0</v>
      </c>
      <c r="AD1624">
        <v>0</v>
      </c>
      <c r="AE1624">
        <v>0</v>
      </c>
      <c r="AF1624">
        <v>0</v>
      </c>
      <c r="AG1624">
        <v>0</v>
      </c>
      <c r="AH1624">
        <v>1</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s="141">
        <f t="shared" si="617"/>
        <v>1</v>
      </c>
      <c r="BA1624" s="141">
        <f t="shared" si="618"/>
        <v>1</v>
      </c>
      <c r="BB1624">
        <f t="shared" si="619"/>
        <v>0</v>
      </c>
      <c r="BC1624">
        <f t="shared" si="620"/>
        <v>1</v>
      </c>
      <c r="BD1624">
        <f t="shared" si="621"/>
        <v>0</v>
      </c>
      <c r="BE1624">
        <f t="shared" si="622"/>
        <v>0</v>
      </c>
      <c r="BF1624">
        <f t="shared" si="623"/>
        <v>0</v>
      </c>
      <c r="BG1624" t="str">
        <f t="array" ref="BG1624">IF(BA1624=1,INDEX($X$7:$AN$7,MATCH(TRUE,INDEX($X1624:$AY1624&lt;&gt;0,),0)),IF(BA1624=0,INDEX($AO$7:$AY$7,MATCH(1,$AO1624:$AY1624,0)),IF(BH1624="Multiple strategies","mixed drivers",IF(BH1624="Supply chain","multiple supply","multiple silviculture"))))</f>
        <v>supply chain organization</v>
      </c>
      <c r="BH1624" s="2" t="str" cm="1">
        <f t="array" ref="BH1624">IF(COUNTIF(BB1624:BD1624,"&lt;&gt;0")=1,INDEX($X$4:$AY$4,MATCH(TRUE,INDEX($X1624:$AY1624&lt;&gt;0,),0)),IF(COUNTIF(BB1624:BD1624,"&lt;&gt;0")=0,INDEX($AO$4:$AY$4,MATCH(1,$AO1624:$AY1624,0)),"Multiple strategies"))</f>
        <v>Supply chain</v>
      </c>
      <c r="BI1624" s="1" t="s">
        <v>321</v>
      </c>
      <c r="BJ1624" t="s">
        <v>1704</v>
      </c>
      <c r="BK1624" t="s">
        <v>598</v>
      </c>
      <c r="BL1624" t="s">
        <v>498</v>
      </c>
      <c r="BM1624">
        <v>75469</v>
      </c>
      <c r="BN1624">
        <v>86651</v>
      </c>
      <c r="BO1624">
        <v>1.1481667969629914</v>
      </c>
      <c r="BP1624">
        <f t="shared" si="624"/>
        <v>11182</v>
      </c>
      <c r="BQ1624">
        <f t="shared" si="625"/>
        <v>11182</v>
      </c>
      <c r="BR1624" t="s">
        <v>395</v>
      </c>
      <c r="BS1624" t="s">
        <v>1705</v>
      </c>
      <c r="BT1624" s="260" t="s">
        <v>2825</v>
      </c>
      <c r="BU1624">
        <v>1447</v>
      </c>
      <c r="BV1624">
        <v>1500</v>
      </c>
      <c r="BW1624" s="144">
        <v>1.0366275051831375</v>
      </c>
      <c r="BX1624" s="152">
        <f t="shared" si="626"/>
        <v>53</v>
      </c>
      <c r="BZ1624">
        <f t="shared" si="627"/>
        <v>53000000</v>
      </c>
      <c r="CA1624">
        <f t="shared" si="607"/>
        <v>4739.7603291003397</v>
      </c>
      <c r="CB1624">
        <v>0</v>
      </c>
      <c r="CC1624">
        <v>0</v>
      </c>
      <c r="CD1624">
        <v>0</v>
      </c>
      <c r="CE1624">
        <v>0</v>
      </c>
      <c r="CF1624">
        <v>0</v>
      </c>
      <c r="CG1624">
        <v>0</v>
      </c>
      <c r="CH1624">
        <v>0</v>
      </c>
      <c r="CI1624">
        <v>0</v>
      </c>
      <c r="CJ1624">
        <v>0</v>
      </c>
      <c r="CK1624">
        <v>0</v>
      </c>
      <c r="CL1624">
        <v>0</v>
      </c>
      <c r="CM1624">
        <v>0</v>
      </c>
      <c r="CN1624">
        <v>0</v>
      </c>
      <c r="CO1624">
        <v>0</v>
      </c>
      <c r="CP1624" t="str">
        <f t="shared" si="628"/>
        <v>refOK</v>
      </c>
      <c r="CQ1624">
        <f t="shared" si="629"/>
        <v>75469</v>
      </c>
      <c r="CR1624">
        <f t="shared" si="630"/>
        <v>86651</v>
      </c>
      <c r="CS1624">
        <f t="shared" si="631"/>
        <v>11182</v>
      </c>
      <c r="CT1624">
        <f t="shared" si="608"/>
        <v>5591</v>
      </c>
      <c r="CU1624">
        <f t="shared" si="632"/>
        <v>-1447</v>
      </c>
      <c r="CV1624">
        <f t="shared" si="633"/>
        <v>-1500</v>
      </c>
      <c r="CW1624">
        <f t="shared" si="634"/>
        <v>-53000000</v>
      </c>
      <c r="CX1624">
        <f t="shared" si="609"/>
        <v>-4739.7603291003397</v>
      </c>
      <c r="CY1624">
        <f t="shared" si="635"/>
        <v>-4739.7603291003397</v>
      </c>
      <c r="CZ1624">
        <f t="shared" si="610"/>
        <v>-9479.5206582006795</v>
      </c>
      <c r="DA1624" s="2">
        <f t="shared" si="636"/>
        <v>-3.6627505183137524E-2</v>
      </c>
      <c r="DB1624" s="1" t="s">
        <v>1078</v>
      </c>
      <c r="DC1624" t="str">
        <f t="shared" si="637"/>
        <v>reg</v>
      </c>
      <c r="DD1624" t="s">
        <v>653</v>
      </c>
      <c r="DE1624">
        <v>0</v>
      </c>
      <c r="DF1624">
        <v>0</v>
      </c>
      <c r="DG1624">
        <v>0</v>
      </c>
      <c r="DH1624" t="str">
        <f t="shared" si="638"/>
        <v>0</v>
      </c>
      <c r="DI1624">
        <v>1</v>
      </c>
      <c r="DJ1624">
        <v>0</v>
      </c>
      <c r="DK1624">
        <v>0</v>
      </c>
      <c r="DL1624">
        <v>0</v>
      </c>
      <c r="DN1624">
        <v>1</v>
      </c>
      <c r="DO1624" t="str">
        <f t="shared" si="639"/>
        <v>UpstreamInput</v>
      </c>
      <c r="DP1624" t="str">
        <f t="shared" si="640"/>
        <v>Upstream</v>
      </c>
      <c r="DQ1624">
        <f t="shared" si="641"/>
        <v>0</v>
      </c>
      <c r="DR1624">
        <f t="shared" si="642"/>
        <v>0</v>
      </c>
      <c r="DS1624">
        <f t="shared" si="643"/>
        <v>0</v>
      </c>
      <c r="DT1624">
        <v>0</v>
      </c>
      <c r="DU1624">
        <v>0</v>
      </c>
      <c r="DV1624">
        <v>0</v>
      </c>
      <c r="DW1624">
        <v>0</v>
      </c>
      <c r="DX1624">
        <v>0</v>
      </c>
      <c r="DY1624">
        <f t="shared" si="644"/>
        <v>0</v>
      </c>
      <c r="DZ1624" s="143" t="s">
        <v>926</v>
      </c>
      <c r="EA1624">
        <v>0</v>
      </c>
      <c r="EB1624">
        <v>0</v>
      </c>
      <c r="EC1624">
        <v>0</v>
      </c>
      <c r="ED1624">
        <v>0</v>
      </c>
      <c r="EE1624">
        <v>0</v>
      </c>
      <c r="EF1624" s="143">
        <v>0</v>
      </c>
      <c r="EG1624">
        <v>1</v>
      </c>
      <c r="EH1624">
        <v>0</v>
      </c>
      <c r="EI1624">
        <v>0</v>
      </c>
      <c r="EJ1624">
        <v>0</v>
      </c>
      <c r="EK1624">
        <v>0</v>
      </c>
      <c r="EL1624">
        <v>0</v>
      </c>
      <c r="EM1624">
        <v>0</v>
      </c>
      <c r="EN1624" s="2">
        <v>0</v>
      </c>
      <c r="EP1624" t="str">
        <f t="shared" si="611"/>
        <v/>
      </c>
      <c r="EQ1624" t="str">
        <f t="shared" si="645"/>
        <v/>
      </c>
      <c r="ER1624" s="2" t="str">
        <f t="shared" si="612"/>
        <v/>
      </c>
      <c r="ES1624" t="str">
        <f t="shared" si="613"/>
        <v/>
      </c>
      <c r="ET1624" t="str">
        <f t="shared" si="614"/>
        <v/>
      </c>
      <c r="EU1624" t="str">
        <f t="shared" si="615"/>
        <v/>
      </c>
      <c r="EY1624" t="str">
        <f>IF(ISNUMBER(BW1624),IF(ABS(BW1624-[2]QC_indicators!$B$2)&gt;3*[2]QC_indicators!$C$2,"C ratio",IF(ISNUMBER(CA1624),IF(ABS(CA1624-[2]QC_indicators!$B$1)&gt;3*[2]QC_indicators!$C$1,"DF","no"))),IF(ISNUMBER(CA1624),IF(ABS(CA1624-[2]QC_indicators!$B$1)&gt;3*[2]QC_indicators!$C$1,"DF","no")))</f>
        <v>no</v>
      </c>
      <c r="FA1624" t="str">
        <f t="shared" si="616"/>
        <v/>
      </c>
      <c r="FD1624" s="260" t="s">
        <v>2826</v>
      </c>
    </row>
    <row r="1625" spans="1:160" ht="15" hidden="1" customHeight="1">
      <c r="A1625" s="1" t="s">
        <v>895</v>
      </c>
      <c r="B1625" t="s">
        <v>1695</v>
      </c>
      <c r="C1625" t="s">
        <v>1696</v>
      </c>
      <c r="D1625" t="s">
        <v>1697</v>
      </c>
      <c r="E1625" t="s">
        <v>1698</v>
      </c>
      <c r="F1625" t="s">
        <v>1699</v>
      </c>
      <c r="G1625" t="s">
        <v>901</v>
      </c>
      <c r="H1625" t="s">
        <v>254</v>
      </c>
      <c r="I1625">
        <v>2019</v>
      </c>
      <c r="J1625">
        <v>8</v>
      </c>
      <c r="K1625" t="s">
        <v>1700</v>
      </c>
      <c r="M1625" t="str">
        <f t="shared" si="598"/>
        <v>Kogler_2019</v>
      </c>
      <c r="N1625" t="s">
        <v>2265</v>
      </c>
      <c r="O1625" s="171" t="s">
        <v>508</v>
      </c>
      <c r="P1625" t="s">
        <v>924</v>
      </c>
      <c r="Q1625" t="s">
        <v>389</v>
      </c>
      <c r="R1625" s="258" t="s">
        <v>223</v>
      </c>
      <c r="S1625" s="1" t="s">
        <v>1713</v>
      </c>
      <c r="T1625" t="s">
        <v>1711</v>
      </c>
      <c r="U1625" t="s">
        <v>1708</v>
      </c>
      <c r="X1625">
        <v>0</v>
      </c>
      <c r="Y1625">
        <v>0</v>
      </c>
      <c r="Z1625">
        <v>0</v>
      </c>
      <c r="AA1625">
        <v>0</v>
      </c>
      <c r="AB1625">
        <v>0</v>
      </c>
      <c r="AC1625">
        <v>0</v>
      </c>
      <c r="AD1625">
        <v>0</v>
      </c>
      <c r="AE1625">
        <v>0</v>
      </c>
      <c r="AF1625">
        <v>0</v>
      </c>
      <c r="AG1625">
        <v>0</v>
      </c>
      <c r="AH1625">
        <v>1</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s="141">
        <f t="shared" si="617"/>
        <v>1</v>
      </c>
      <c r="BA1625" s="141">
        <f t="shared" si="618"/>
        <v>1</v>
      </c>
      <c r="BB1625">
        <f t="shared" si="619"/>
        <v>0</v>
      </c>
      <c r="BC1625">
        <f t="shared" si="620"/>
        <v>1</v>
      </c>
      <c r="BD1625">
        <f t="shared" si="621"/>
        <v>0</v>
      </c>
      <c r="BE1625">
        <f t="shared" si="622"/>
        <v>0</v>
      </c>
      <c r="BF1625">
        <f t="shared" si="623"/>
        <v>0</v>
      </c>
      <c r="BG1625" t="str">
        <f t="array" ref="BG1625">IF(BA1625=1,INDEX($X$7:$AN$7,MATCH(TRUE,INDEX($X1625:$AY1625&lt;&gt;0,),0)),IF(BA1625=0,INDEX($AO$7:$AY$7,MATCH(1,$AO1625:$AY1625,0)),IF(BH1625="Multiple strategies","mixed drivers",IF(BH1625="Supply chain","multiple supply","multiple silviculture"))))</f>
        <v>supply chain organization</v>
      </c>
      <c r="BH1625" s="2" t="str" cm="1">
        <f t="array" ref="BH1625">IF(COUNTIF(BB1625:BD1625,"&lt;&gt;0")=1,INDEX($X$4:$AY$4,MATCH(TRUE,INDEX($X1625:$AY1625&lt;&gt;0,),0)),IF(COUNTIF(BB1625:BD1625,"&lt;&gt;0")=0,INDEX($AO$4:$AY$4,MATCH(1,$AO1625:$AY1625,0)),"Multiple strategies"))</f>
        <v>Supply chain</v>
      </c>
      <c r="BI1625" s="1" t="s">
        <v>321</v>
      </c>
      <c r="BJ1625" t="s">
        <v>1704</v>
      </c>
      <c r="BK1625" t="s">
        <v>598</v>
      </c>
      <c r="BL1625" t="s">
        <v>498</v>
      </c>
      <c r="BM1625">
        <v>39771</v>
      </c>
      <c r="BN1625">
        <v>41581</v>
      </c>
      <c r="BO1625">
        <v>1.0455105478866511</v>
      </c>
      <c r="BP1625">
        <f t="shared" si="624"/>
        <v>1810</v>
      </c>
      <c r="BQ1625">
        <f t="shared" si="625"/>
        <v>1810</v>
      </c>
      <c r="BR1625" t="s">
        <v>395</v>
      </c>
      <c r="BS1625" t="s">
        <v>1705</v>
      </c>
      <c r="BT1625" s="260" t="s">
        <v>2825</v>
      </c>
      <c r="BU1625">
        <v>762</v>
      </c>
      <c r="BV1625">
        <v>719</v>
      </c>
      <c r="BW1625" s="144">
        <v>0.94356955380577423</v>
      </c>
      <c r="BX1625" s="152">
        <f t="shared" si="626"/>
        <v>-43</v>
      </c>
      <c r="BZ1625">
        <f t="shared" si="627"/>
        <v>-43000000</v>
      </c>
      <c r="CA1625">
        <f t="shared" si="607"/>
        <v>-23756.906077348067</v>
      </c>
      <c r="CB1625">
        <v>0</v>
      </c>
      <c r="CC1625">
        <v>0</v>
      </c>
      <c r="CD1625">
        <v>0</v>
      </c>
      <c r="CE1625">
        <v>0</v>
      </c>
      <c r="CF1625">
        <v>0</v>
      </c>
      <c r="CG1625">
        <v>0</v>
      </c>
      <c r="CH1625">
        <v>0</v>
      </c>
      <c r="CI1625">
        <v>0</v>
      </c>
      <c r="CJ1625">
        <v>0</v>
      </c>
      <c r="CK1625">
        <v>0</v>
      </c>
      <c r="CL1625">
        <v>0</v>
      </c>
      <c r="CM1625">
        <v>0</v>
      </c>
      <c r="CN1625">
        <v>0</v>
      </c>
      <c r="CO1625">
        <v>0</v>
      </c>
      <c r="CP1625" t="str">
        <f t="shared" si="628"/>
        <v>refOK</v>
      </c>
      <c r="CQ1625">
        <f t="shared" si="629"/>
        <v>39771</v>
      </c>
      <c r="CR1625">
        <f t="shared" si="630"/>
        <v>41581</v>
      </c>
      <c r="CS1625">
        <f t="shared" si="631"/>
        <v>1810</v>
      </c>
      <c r="CT1625">
        <f t="shared" si="608"/>
        <v>905</v>
      </c>
      <c r="CU1625">
        <f t="shared" si="632"/>
        <v>-762</v>
      </c>
      <c r="CV1625">
        <f t="shared" si="633"/>
        <v>-719</v>
      </c>
      <c r="CW1625">
        <f t="shared" si="634"/>
        <v>43000000</v>
      </c>
      <c r="CX1625">
        <f t="shared" si="609"/>
        <v>23756.906077348067</v>
      </c>
      <c r="CY1625">
        <f t="shared" si="635"/>
        <v>23756.906077348067</v>
      </c>
      <c r="CZ1625">
        <f t="shared" si="610"/>
        <v>47513.812154696134</v>
      </c>
      <c r="DA1625" s="2">
        <f t="shared" si="636"/>
        <v>5.6430446194225721E-2</v>
      </c>
      <c r="DB1625" s="1" t="s">
        <v>1078</v>
      </c>
      <c r="DC1625" t="str">
        <f t="shared" si="637"/>
        <v>reg</v>
      </c>
      <c r="DD1625" t="s">
        <v>653</v>
      </c>
      <c r="DE1625">
        <v>0</v>
      </c>
      <c r="DF1625">
        <v>0</v>
      </c>
      <c r="DG1625">
        <v>0</v>
      </c>
      <c r="DH1625" t="str">
        <f t="shared" si="638"/>
        <v>0</v>
      </c>
      <c r="DI1625">
        <v>1</v>
      </c>
      <c r="DJ1625">
        <v>0</v>
      </c>
      <c r="DK1625">
        <v>0</v>
      </c>
      <c r="DL1625">
        <v>0</v>
      </c>
      <c r="DN1625">
        <v>1</v>
      </c>
      <c r="DO1625" t="str">
        <f t="shared" si="639"/>
        <v>UpstreamInput</v>
      </c>
      <c r="DP1625" t="str">
        <f t="shared" si="640"/>
        <v>Upstream</v>
      </c>
      <c r="DQ1625">
        <f t="shared" si="641"/>
        <v>0</v>
      </c>
      <c r="DR1625">
        <f t="shared" si="642"/>
        <v>0</v>
      </c>
      <c r="DS1625">
        <f t="shared" si="643"/>
        <v>0</v>
      </c>
      <c r="DT1625">
        <v>0</v>
      </c>
      <c r="DU1625">
        <v>0</v>
      </c>
      <c r="DV1625">
        <v>0</v>
      </c>
      <c r="DW1625">
        <v>0</v>
      </c>
      <c r="DX1625">
        <v>0</v>
      </c>
      <c r="DY1625">
        <f t="shared" si="644"/>
        <v>0</v>
      </c>
      <c r="DZ1625" s="143" t="s">
        <v>926</v>
      </c>
      <c r="EA1625">
        <v>0</v>
      </c>
      <c r="EB1625">
        <v>0</v>
      </c>
      <c r="EC1625">
        <v>0</v>
      </c>
      <c r="ED1625">
        <v>0</v>
      </c>
      <c r="EE1625">
        <v>0</v>
      </c>
      <c r="EF1625" s="143">
        <v>0</v>
      </c>
      <c r="EG1625">
        <v>1</v>
      </c>
      <c r="EH1625">
        <v>0</v>
      </c>
      <c r="EI1625">
        <v>0</v>
      </c>
      <c r="EJ1625">
        <v>0</v>
      </c>
      <c r="EK1625">
        <v>0</v>
      </c>
      <c r="EL1625">
        <v>0</v>
      </c>
      <c r="EM1625">
        <v>0</v>
      </c>
      <c r="EN1625" s="2">
        <v>0</v>
      </c>
      <c r="EP1625" t="str">
        <f t="shared" si="611"/>
        <v/>
      </c>
      <c r="EQ1625" t="str">
        <f t="shared" si="645"/>
        <v/>
      </c>
      <c r="ER1625" s="2" t="str">
        <f t="shared" si="612"/>
        <v/>
      </c>
      <c r="ES1625" t="str">
        <f t="shared" si="613"/>
        <v/>
      </c>
      <c r="ET1625" t="str">
        <f t="shared" si="614"/>
        <v/>
      </c>
      <c r="EU1625" t="str">
        <f t="shared" si="615"/>
        <v/>
      </c>
      <c r="EY1625" t="str">
        <f>IF(ISNUMBER(BW1625),IF(ABS(BW1625-[2]QC_indicators!$B$2)&gt;3*[2]QC_indicators!$C$2,"C ratio",IF(ISNUMBER(CA1625),IF(ABS(CA1625-[2]QC_indicators!$B$1)&gt;3*[2]QC_indicators!$C$1,"DF","no"))),IF(ISNUMBER(CA1625),IF(ABS(CA1625-[2]QC_indicators!$B$1)&gt;3*[2]QC_indicators!$C$1,"DF","no")))</f>
        <v>DF</v>
      </c>
      <c r="FA1625" t="str">
        <f t="shared" si="616"/>
        <v/>
      </c>
      <c r="FD1625" s="260" t="s">
        <v>2826</v>
      </c>
    </row>
    <row r="1626" spans="1:160" ht="15" hidden="1" customHeight="1">
      <c r="A1626" s="1" t="s">
        <v>895</v>
      </c>
      <c r="B1626" t="s">
        <v>1695</v>
      </c>
      <c r="C1626" t="s">
        <v>1696</v>
      </c>
      <c r="D1626" t="s">
        <v>1697</v>
      </c>
      <c r="E1626" t="s">
        <v>1698</v>
      </c>
      <c r="F1626" t="s">
        <v>1699</v>
      </c>
      <c r="G1626" t="s">
        <v>901</v>
      </c>
      <c r="H1626" t="s">
        <v>254</v>
      </c>
      <c r="I1626">
        <v>2019</v>
      </c>
      <c r="J1626">
        <v>8</v>
      </c>
      <c r="K1626" t="s">
        <v>1700</v>
      </c>
      <c r="M1626" t="str">
        <f t="shared" si="598"/>
        <v>Kogler_2019</v>
      </c>
      <c r="N1626" t="s">
        <v>2265</v>
      </c>
      <c r="O1626" s="171" t="s">
        <v>508</v>
      </c>
      <c r="P1626" t="s">
        <v>924</v>
      </c>
      <c r="Q1626" t="s">
        <v>389</v>
      </c>
      <c r="R1626" s="258" t="s">
        <v>223</v>
      </c>
      <c r="S1626" s="1" t="s">
        <v>1713</v>
      </c>
      <c r="T1626" t="s">
        <v>1712</v>
      </c>
      <c r="U1626" t="s">
        <v>1706</v>
      </c>
      <c r="X1626">
        <v>0</v>
      </c>
      <c r="Y1626">
        <v>0</v>
      </c>
      <c r="Z1626">
        <v>0</v>
      </c>
      <c r="AA1626">
        <v>0</v>
      </c>
      <c r="AB1626">
        <v>0</v>
      </c>
      <c r="AC1626">
        <v>0</v>
      </c>
      <c r="AD1626">
        <v>0</v>
      </c>
      <c r="AE1626">
        <v>0</v>
      </c>
      <c r="AF1626">
        <v>0</v>
      </c>
      <c r="AG1626">
        <v>0</v>
      </c>
      <c r="AH1626">
        <v>1</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s="141">
        <f t="shared" si="617"/>
        <v>1</v>
      </c>
      <c r="BA1626" s="141">
        <f t="shared" si="618"/>
        <v>1</v>
      </c>
      <c r="BB1626">
        <f t="shared" si="619"/>
        <v>0</v>
      </c>
      <c r="BC1626">
        <f t="shared" si="620"/>
        <v>1</v>
      </c>
      <c r="BD1626">
        <f t="shared" si="621"/>
        <v>0</v>
      </c>
      <c r="BE1626">
        <f t="shared" si="622"/>
        <v>0</v>
      </c>
      <c r="BF1626">
        <f t="shared" si="623"/>
        <v>0</v>
      </c>
      <c r="BG1626" t="str">
        <f t="array" ref="BG1626">IF(BA1626=1,INDEX($X$7:$AN$7,MATCH(TRUE,INDEX($X1626:$AY1626&lt;&gt;0,),0)),IF(BA1626=0,INDEX($AO$7:$AY$7,MATCH(1,$AO1626:$AY1626,0)),IF(BH1626="Multiple strategies","mixed drivers",IF(BH1626="Supply chain","multiple supply","multiple silviculture"))))</f>
        <v>supply chain organization</v>
      </c>
      <c r="BH1626" s="2" t="str" cm="1">
        <f t="array" ref="BH1626">IF(COUNTIF(BB1626:BD1626,"&lt;&gt;0")=1,INDEX($X$4:$AY$4,MATCH(TRUE,INDEX($X1626:$AY1626&lt;&gt;0,),0)),IF(COUNTIF(BB1626:BD1626,"&lt;&gt;0")=0,INDEX($AO$4:$AY$4,MATCH(1,$AO1626:$AY1626,0)),"Multiple strategies"))</f>
        <v>Supply chain</v>
      </c>
      <c r="BI1626" s="1" t="s">
        <v>321</v>
      </c>
      <c r="BJ1626" t="s">
        <v>1704</v>
      </c>
      <c r="BK1626" t="s">
        <v>598</v>
      </c>
      <c r="BL1626" t="s">
        <v>498</v>
      </c>
      <c r="BM1626">
        <v>75469</v>
      </c>
      <c r="BN1626">
        <v>80258</v>
      </c>
      <c r="BO1626">
        <v>1.0634565185705389</v>
      </c>
      <c r="BP1626">
        <f t="shared" si="624"/>
        <v>4789</v>
      </c>
      <c r="BQ1626">
        <f t="shared" si="625"/>
        <v>4789</v>
      </c>
      <c r="BR1626" t="s">
        <v>395</v>
      </c>
      <c r="BS1626" t="s">
        <v>1705</v>
      </c>
      <c r="BT1626" s="260" t="s">
        <v>2825</v>
      </c>
      <c r="BU1626">
        <v>1447</v>
      </c>
      <c r="BV1626">
        <v>1270</v>
      </c>
      <c r="BW1626" s="144">
        <v>0.8776779543883898</v>
      </c>
      <c r="BX1626" s="152">
        <f t="shared" si="626"/>
        <v>-177</v>
      </c>
      <c r="BZ1626">
        <f t="shared" si="627"/>
        <v>-177000000</v>
      </c>
      <c r="CA1626">
        <f t="shared" si="607"/>
        <v>-36959.699310920863</v>
      </c>
      <c r="CB1626">
        <v>0</v>
      </c>
      <c r="CC1626">
        <v>0</v>
      </c>
      <c r="CD1626">
        <v>0</v>
      </c>
      <c r="CE1626">
        <v>0</v>
      </c>
      <c r="CF1626">
        <v>0</v>
      </c>
      <c r="CG1626">
        <v>0</v>
      </c>
      <c r="CH1626">
        <v>0</v>
      </c>
      <c r="CI1626">
        <v>0</v>
      </c>
      <c r="CJ1626">
        <v>0</v>
      </c>
      <c r="CK1626">
        <v>0</v>
      </c>
      <c r="CL1626">
        <v>0</v>
      </c>
      <c r="CM1626">
        <v>0</v>
      </c>
      <c r="CN1626">
        <v>0</v>
      </c>
      <c r="CO1626">
        <v>0</v>
      </c>
      <c r="CP1626" t="str">
        <f t="shared" si="628"/>
        <v>refOK</v>
      </c>
      <c r="CQ1626">
        <f t="shared" si="629"/>
        <v>75469</v>
      </c>
      <c r="CR1626">
        <f t="shared" si="630"/>
        <v>80258</v>
      </c>
      <c r="CS1626">
        <f t="shared" si="631"/>
        <v>4789</v>
      </c>
      <c r="CT1626">
        <f t="shared" si="608"/>
        <v>2394.5</v>
      </c>
      <c r="CU1626">
        <f t="shared" si="632"/>
        <v>-1447</v>
      </c>
      <c r="CV1626">
        <f t="shared" si="633"/>
        <v>-1270</v>
      </c>
      <c r="CW1626">
        <f t="shared" si="634"/>
        <v>177000000</v>
      </c>
      <c r="CX1626">
        <f t="shared" si="609"/>
        <v>36959.699310920863</v>
      </c>
      <c r="CY1626">
        <f t="shared" si="635"/>
        <v>36959.699310920863</v>
      </c>
      <c r="CZ1626">
        <f t="shared" si="610"/>
        <v>73919.398621841727</v>
      </c>
      <c r="DA1626" s="2">
        <f t="shared" si="636"/>
        <v>0.12232204561161023</v>
      </c>
      <c r="DB1626" s="1" t="s">
        <v>1078</v>
      </c>
      <c r="DC1626" t="str">
        <f t="shared" si="637"/>
        <v>reg</v>
      </c>
      <c r="DD1626" t="s">
        <v>653</v>
      </c>
      <c r="DE1626">
        <v>0</v>
      </c>
      <c r="DF1626">
        <v>0</v>
      </c>
      <c r="DG1626">
        <v>0</v>
      </c>
      <c r="DH1626" t="str">
        <f t="shared" si="638"/>
        <v>0</v>
      </c>
      <c r="DI1626">
        <v>1</v>
      </c>
      <c r="DJ1626">
        <v>0</v>
      </c>
      <c r="DK1626">
        <v>0</v>
      </c>
      <c r="DL1626">
        <v>0</v>
      </c>
      <c r="DN1626">
        <v>1</v>
      </c>
      <c r="DO1626" t="str">
        <f t="shared" si="639"/>
        <v>UpstreamInput</v>
      </c>
      <c r="DP1626" t="str">
        <f t="shared" si="640"/>
        <v>Upstream</v>
      </c>
      <c r="DQ1626">
        <f t="shared" si="641"/>
        <v>0</v>
      </c>
      <c r="DR1626">
        <f t="shared" si="642"/>
        <v>0</v>
      </c>
      <c r="DS1626">
        <f t="shared" si="643"/>
        <v>0</v>
      </c>
      <c r="DT1626">
        <v>0</v>
      </c>
      <c r="DU1626">
        <v>0</v>
      </c>
      <c r="DV1626">
        <v>0</v>
      </c>
      <c r="DW1626">
        <v>0</v>
      </c>
      <c r="DX1626">
        <v>0</v>
      </c>
      <c r="DY1626">
        <f t="shared" si="644"/>
        <v>0</v>
      </c>
      <c r="DZ1626" s="143" t="s">
        <v>926</v>
      </c>
      <c r="EA1626">
        <v>0</v>
      </c>
      <c r="EB1626">
        <v>0</v>
      </c>
      <c r="EC1626">
        <v>0</v>
      </c>
      <c r="ED1626">
        <v>0</v>
      </c>
      <c r="EE1626">
        <v>0</v>
      </c>
      <c r="EF1626" s="143">
        <v>0</v>
      </c>
      <c r="EG1626">
        <v>1</v>
      </c>
      <c r="EH1626">
        <v>0</v>
      </c>
      <c r="EI1626">
        <v>0</v>
      </c>
      <c r="EJ1626">
        <v>0</v>
      </c>
      <c r="EK1626">
        <v>0</v>
      </c>
      <c r="EL1626">
        <v>0</v>
      </c>
      <c r="EM1626">
        <v>0</v>
      </c>
      <c r="EN1626" s="2">
        <v>0</v>
      </c>
      <c r="EP1626" t="str">
        <f t="shared" si="611"/>
        <v/>
      </c>
      <c r="EQ1626" t="str">
        <f t="shared" si="645"/>
        <v/>
      </c>
      <c r="ER1626" s="2" t="str">
        <f t="shared" si="612"/>
        <v/>
      </c>
      <c r="ES1626" t="str">
        <f t="shared" si="613"/>
        <v/>
      </c>
      <c r="ET1626" t="str">
        <f t="shared" si="614"/>
        <v/>
      </c>
      <c r="EU1626" t="str">
        <f t="shared" si="615"/>
        <v/>
      </c>
      <c r="EY1626" t="str">
        <f>IF(ISNUMBER(BW1626),IF(ABS(BW1626-[2]QC_indicators!$B$2)&gt;3*[2]QC_indicators!$C$2,"C ratio",IF(ISNUMBER(CA1626),IF(ABS(CA1626-[2]QC_indicators!$B$1)&gt;3*[2]QC_indicators!$C$1,"DF","no"))),IF(ISNUMBER(CA1626),IF(ABS(CA1626-[2]QC_indicators!$B$1)&gt;3*[2]QC_indicators!$C$1,"DF","no")))</f>
        <v>DF</v>
      </c>
      <c r="FA1626" t="str">
        <f t="shared" si="616"/>
        <v/>
      </c>
      <c r="FD1626" s="260" t="s">
        <v>2826</v>
      </c>
    </row>
    <row r="1627" spans="1:160" ht="15" hidden="1" customHeight="1">
      <c r="A1627" s="1" t="s">
        <v>895</v>
      </c>
      <c r="B1627" t="s">
        <v>1695</v>
      </c>
      <c r="C1627" t="s">
        <v>1696</v>
      </c>
      <c r="D1627" t="s">
        <v>1697</v>
      </c>
      <c r="E1627" t="s">
        <v>1698</v>
      </c>
      <c r="F1627" t="s">
        <v>1699</v>
      </c>
      <c r="G1627" t="s">
        <v>901</v>
      </c>
      <c r="H1627" t="s">
        <v>254</v>
      </c>
      <c r="I1627">
        <v>2019</v>
      </c>
      <c r="J1627">
        <v>8</v>
      </c>
      <c r="K1627" t="s">
        <v>1700</v>
      </c>
      <c r="M1627" t="str">
        <f t="shared" si="598"/>
        <v>Kogler_2019</v>
      </c>
      <c r="N1627" t="s">
        <v>2265</v>
      </c>
      <c r="O1627" s="171" t="s">
        <v>508</v>
      </c>
      <c r="P1627" t="s">
        <v>924</v>
      </c>
      <c r="Q1627" t="s">
        <v>389</v>
      </c>
      <c r="R1627" s="258" t="s">
        <v>223</v>
      </c>
      <c r="S1627" s="1" t="s">
        <v>1713</v>
      </c>
      <c r="T1627" t="s">
        <v>1714</v>
      </c>
      <c r="U1627" t="s">
        <v>1707</v>
      </c>
      <c r="X1627">
        <v>0</v>
      </c>
      <c r="Y1627">
        <v>0</v>
      </c>
      <c r="Z1627">
        <v>0</v>
      </c>
      <c r="AA1627">
        <v>0</v>
      </c>
      <c r="AB1627">
        <v>0</v>
      </c>
      <c r="AC1627">
        <v>0</v>
      </c>
      <c r="AD1627">
        <v>0</v>
      </c>
      <c r="AE1627">
        <v>0</v>
      </c>
      <c r="AF1627">
        <v>0</v>
      </c>
      <c r="AG1627">
        <v>0</v>
      </c>
      <c r="AH1627">
        <v>1</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s="141">
        <f t="shared" si="617"/>
        <v>1</v>
      </c>
      <c r="BA1627" s="141">
        <f t="shared" si="618"/>
        <v>1</v>
      </c>
      <c r="BB1627">
        <f t="shared" si="619"/>
        <v>0</v>
      </c>
      <c r="BC1627">
        <f t="shared" si="620"/>
        <v>1</v>
      </c>
      <c r="BD1627">
        <f t="shared" si="621"/>
        <v>0</v>
      </c>
      <c r="BE1627">
        <f t="shared" si="622"/>
        <v>0</v>
      </c>
      <c r="BF1627">
        <f t="shared" si="623"/>
        <v>0</v>
      </c>
      <c r="BG1627" t="str">
        <f t="array" ref="BG1627">IF(BA1627=1,INDEX($X$7:$AN$7,MATCH(TRUE,INDEX($X1627:$AY1627&lt;&gt;0,),0)),IF(BA1627=0,INDEX($AO$7:$AY$7,MATCH(1,$AO1627:$AY1627,0)),IF(BH1627="Multiple strategies","mixed drivers",IF(BH1627="Supply chain","multiple supply","multiple silviculture"))))</f>
        <v>supply chain organization</v>
      </c>
      <c r="BH1627" s="2" t="str" cm="1">
        <f t="array" ref="BH1627">IF(COUNTIF(BB1627:BD1627,"&lt;&gt;0")=1,INDEX($X$4:$AY$4,MATCH(TRUE,INDEX($X1627:$AY1627&lt;&gt;0,),0)),IF(COUNTIF(BB1627:BD1627,"&lt;&gt;0")=0,INDEX($AO$4:$AY$4,MATCH(1,$AO1627:$AY1627,0)),"Multiple strategies"))</f>
        <v>Supply chain</v>
      </c>
      <c r="BI1627" s="1" t="s">
        <v>321</v>
      </c>
      <c r="BJ1627" t="s">
        <v>1704</v>
      </c>
      <c r="BK1627" t="s">
        <v>598</v>
      </c>
      <c r="BL1627" t="s">
        <v>498</v>
      </c>
      <c r="BM1627">
        <v>37628</v>
      </c>
      <c r="BN1627">
        <v>38360</v>
      </c>
      <c r="BO1627">
        <v>1.0194535983841819</v>
      </c>
      <c r="BP1627">
        <f t="shared" si="624"/>
        <v>732</v>
      </c>
      <c r="BQ1627">
        <f t="shared" si="625"/>
        <v>732</v>
      </c>
      <c r="BR1627" t="s">
        <v>395</v>
      </c>
      <c r="BS1627" t="s">
        <v>1705</v>
      </c>
      <c r="BT1627" s="260" t="s">
        <v>2825</v>
      </c>
      <c r="BU1627">
        <v>721</v>
      </c>
      <c r="BV1627">
        <v>665</v>
      </c>
      <c r="BW1627" s="144">
        <v>0.92233009708737868</v>
      </c>
      <c r="BX1627" s="152">
        <f t="shared" si="626"/>
        <v>-56</v>
      </c>
      <c r="BZ1627">
        <f t="shared" si="627"/>
        <v>-56000000</v>
      </c>
      <c r="CA1627">
        <f t="shared" si="607"/>
        <v>-76502.732240437152</v>
      </c>
      <c r="CB1627">
        <v>0</v>
      </c>
      <c r="CC1627">
        <v>0</v>
      </c>
      <c r="CD1627">
        <v>0</v>
      </c>
      <c r="CE1627">
        <v>0</v>
      </c>
      <c r="CF1627">
        <v>0</v>
      </c>
      <c r="CG1627">
        <v>0</v>
      </c>
      <c r="CH1627">
        <v>0</v>
      </c>
      <c r="CI1627">
        <v>0</v>
      </c>
      <c r="CJ1627">
        <v>0</v>
      </c>
      <c r="CK1627">
        <v>0</v>
      </c>
      <c r="CL1627">
        <v>0</v>
      </c>
      <c r="CM1627">
        <v>0</v>
      </c>
      <c r="CN1627">
        <v>0</v>
      </c>
      <c r="CO1627">
        <v>0</v>
      </c>
      <c r="CP1627" t="str">
        <f t="shared" si="628"/>
        <v>refOK</v>
      </c>
      <c r="CQ1627">
        <f t="shared" si="629"/>
        <v>37628</v>
      </c>
      <c r="CR1627">
        <f t="shared" si="630"/>
        <v>38360</v>
      </c>
      <c r="CS1627">
        <f t="shared" si="631"/>
        <v>732</v>
      </c>
      <c r="CT1627">
        <f t="shared" si="608"/>
        <v>366</v>
      </c>
      <c r="CU1627">
        <f t="shared" si="632"/>
        <v>-721</v>
      </c>
      <c r="CV1627">
        <f t="shared" si="633"/>
        <v>-665</v>
      </c>
      <c r="CW1627">
        <f t="shared" si="634"/>
        <v>56000000</v>
      </c>
      <c r="CX1627">
        <f t="shared" si="609"/>
        <v>76502.732240437152</v>
      </c>
      <c r="CY1627">
        <f t="shared" si="635"/>
        <v>76502.732240437152</v>
      </c>
      <c r="CZ1627">
        <f t="shared" si="610"/>
        <v>153005.4644808743</v>
      </c>
      <c r="DA1627" s="2">
        <f t="shared" si="636"/>
        <v>7.7669902912621352E-2</v>
      </c>
      <c r="DB1627" s="1" t="s">
        <v>1078</v>
      </c>
      <c r="DC1627" t="str">
        <f t="shared" si="637"/>
        <v>reg</v>
      </c>
      <c r="DD1627" t="s">
        <v>653</v>
      </c>
      <c r="DE1627">
        <v>0</v>
      </c>
      <c r="DF1627">
        <v>0</v>
      </c>
      <c r="DG1627">
        <v>0</v>
      </c>
      <c r="DH1627" t="str">
        <f t="shared" si="638"/>
        <v>0</v>
      </c>
      <c r="DI1627">
        <v>1</v>
      </c>
      <c r="DJ1627">
        <v>0</v>
      </c>
      <c r="DK1627">
        <v>0</v>
      </c>
      <c r="DL1627">
        <v>0</v>
      </c>
      <c r="DN1627">
        <v>1</v>
      </c>
      <c r="DO1627" t="str">
        <f t="shared" si="639"/>
        <v>UpstreamInput</v>
      </c>
      <c r="DP1627" t="str">
        <f t="shared" si="640"/>
        <v>Upstream</v>
      </c>
      <c r="DQ1627">
        <f t="shared" si="641"/>
        <v>0</v>
      </c>
      <c r="DR1627">
        <f t="shared" si="642"/>
        <v>0</v>
      </c>
      <c r="DS1627">
        <f t="shared" si="643"/>
        <v>0</v>
      </c>
      <c r="DT1627">
        <v>0</v>
      </c>
      <c r="DU1627">
        <v>0</v>
      </c>
      <c r="DV1627">
        <v>0</v>
      </c>
      <c r="DW1627">
        <v>0</v>
      </c>
      <c r="DX1627">
        <v>0</v>
      </c>
      <c r="DY1627">
        <f t="shared" si="644"/>
        <v>0</v>
      </c>
      <c r="DZ1627" s="143" t="s">
        <v>926</v>
      </c>
      <c r="EA1627">
        <v>0</v>
      </c>
      <c r="EB1627">
        <v>0</v>
      </c>
      <c r="EC1627">
        <v>0</v>
      </c>
      <c r="ED1627">
        <v>0</v>
      </c>
      <c r="EE1627">
        <v>0</v>
      </c>
      <c r="EF1627" s="143">
        <v>0</v>
      </c>
      <c r="EG1627">
        <v>1</v>
      </c>
      <c r="EH1627">
        <v>0</v>
      </c>
      <c r="EI1627">
        <v>0</v>
      </c>
      <c r="EJ1627">
        <v>0</v>
      </c>
      <c r="EK1627">
        <v>0</v>
      </c>
      <c r="EL1627">
        <v>0</v>
      </c>
      <c r="EM1627">
        <v>0</v>
      </c>
      <c r="EN1627" s="2">
        <v>0</v>
      </c>
      <c r="EP1627" t="str">
        <f t="shared" si="611"/>
        <v/>
      </c>
      <c r="EQ1627" t="str">
        <f t="shared" si="645"/>
        <v/>
      </c>
      <c r="ER1627" s="2" t="str">
        <f t="shared" si="612"/>
        <v/>
      </c>
      <c r="ES1627" t="str">
        <f t="shared" si="613"/>
        <v/>
      </c>
      <c r="ET1627" t="str">
        <f t="shared" si="614"/>
        <v/>
      </c>
      <c r="EU1627" t="str">
        <f t="shared" si="615"/>
        <v/>
      </c>
      <c r="EY1627" t="str">
        <f>IF(ISNUMBER(BW1627),IF(ABS(BW1627-[2]QC_indicators!$B$2)&gt;3*[2]QC_indicators!$C$2,"C ratio",IF(ISNUMBER(CA1627),IF(ABS(CA1627-[2]QC_indicators!$B$1)&gt;3*[2]QC_indicators!$C$1,"DF","no"))),IF(ISNUMBER(CA1627),IF(ABS(CA1627-[2]QC_indicators!$B$1)&gt;3*[2]QC_indicators!$C$1,"DF","no")))</f>
        <v>DF</v>
      </c>
      <c r="FA1627" t="str">
        <f t="shared" si="616"/>
        <v/>
      </c>
      <c r="FD1627" s="260" t="s">
        <v>2826</v>
      </c>
    </row>
    <row r="1628" spans="1:160" ht="15" hidden="1" customHeight="1">
      <c r="A1628" s="1" t="s">
        <v>895</v>
      </c>
      <c r="B1628" t="s">
        <v>1695</v>
      </c>
      <c r="C1628" t="s">
        <v>1696</v>
      </c>
      <c r="D1628" t="s">
        <v>1697</v>
      </c>
      <c r="E1628" t="s">
        <v>1698</v>
      </c>
      <c r="F1628" t="s">
        <v>1699</v>
      </c>
      <c r="G1628" t="s">
        <v>901</v>
      </c>
      <c r="H1628" t="s">
        <v>254</v>
      </c>
      <c r="I1628">
        <v>2019</v>
      </c>
      <c r="J1628">
        <v>8</v>
      </c>
      <c r="K1628" t="s">
        <v>1700</v>
      </c>
      <c r="M1628" t="str">
        <f t="shared" si="598"/>
        <v>Kogler_2019</v>
      </c>
      <c r="N1628" t="s">
        <v>2265</v>
      </c>
      <c r="O1628" s="171" t="s">
        <v>508</v>
      </c>
      <c r="P1628" t="s">
        <v>924</v>
      </c>
      <c r="Q1628" t="s">
        <v>389</v>
      </c>
      <c r="R1628" s="258" t="s">
        <v>223</v>
      </c>
      <c r="S1628" s="1" t="s">
        <v>1701</v>
      </c>
      <c r="T1628" t="s">
        <v>1711</v>
      </c>
      <c r="U1628" t="s">
        <v>1712</v>
      </c>
      <c r="X1628">
        <v>0</v>
      </c>
      <c r="Y1628">
        <v>0</v>
      </c>
      <c r="Z1628">
        <v>0</v>
      </c>
      <c r="AA1628">
        <v>1</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2</v>
      </c>
      <c r="AT1628">
        <v>0</v>
      </c>
      <c r="AU1628">
        <v>0</v>
      </c>
      <c r="AV1628">
        <v>0</v>
      </c>
      <c r="AW1628">
        <v>0</v>
      </c>
      <c r="AX1628">
        <v>0</v>
      </c>
      <c r="AY1628">
        <v>0</v>
      </c>
      <c r="AZ1628" s="141">
        <f t="shared" si="617"/>
        <v>2</v>
      </c>
      <c r="BA1628" s="141">
        <f t="shared" si="618"/>
        <v>1</v>
      </c>
      <c r="BB1628">
        <f t="shared" si="619"/>
        <v>1</v>
      </c>
      <c r="BC1628">
        <f t="shared" si="620"/>
        <v>0</v>
      </c>
      <c r="BD1628">
        <f t="shared" si="621"/>
        <v>0</v>
      </c>
      <c r="BE1628">
        <f t="shared" si="622"/>
        <v>0</v>
      </c>
      <c r="BF1628">
        <f t="shared" si="623"/>
        <v>1</v>
      </c>
      <c r="BG1628" t="str">
        <f t="array" ref="BG1628">IF(BA1628=1,INDEX($X$7:$AN$7,MATCH(TRUE,INDEX($X1628:$AY1628&lt;&gt;0,),0)),IF(BA1628=0,INDEX($AO$7:$AY$7,MATCH(1,$AO1628:$AY1628,0)),IF(BH1628="Multiple strategies","mixed drivers",IF(BH1628="Supply chain","multiple supply","multiple silviculture"))))</f>
        <v xml:space="preserve">cutting intensity </v>
      </c>
      <c r="BH1628" s="2" t="str" cm="1">
        <f t="array" ref="BH1628">IF(COUNTIF(BB1628:BD1628,"&lt;&gt;0")=1,INDEX($X$4:$AY$4,MATCH(TRUE,INDEX($X1628:$AY1628&lt;&gt;0,),0)),IF(COUNTIF(BB1628:BD1628,"&lt;&gt;0")=0,INDEX($AO$4:$AY$4,MATCH(1,$AO1628:$AY1628,0)),"Multiple strategies"))</f>
        <v>Silviculture for removals</v>
      </c>
      <c r="BI1628" s="1" t="s">
        <v>321</v>
      </c>
      <c r="BJ1628" t="s">
        <v>1704</v>
      </c>
      <c r="BK1628" t="s">
        <v>598</v>
      </c>
      <c r="BL1628" t="s">
        <v>498</v>
      </c>
      <c r="BM1628">
        <v>39771</v>
      </c>
      <c r="BN1628">
        <v>75469</v>
      </c>
      <c r="BO1628" t="s">
        <v>531</v>
      </c>
      <c r="BP1628">
        <f t="shared" si="624"/>
        <v>35698</v>
      </c>
      <c r="BQ1628">
        <f t="shared" si="625"/>
        <v>35698</v>
      </c>
      <c r="BR1628" t="s">
        <v>395</v>
      </c>
      <c r="BS1628" t="s">
        <v>1705</v>
      </c>
      <c r="BT1628" s="260" t="s">
        <v>2825</v>
      </c>
      <c r="BU1628">
        <v>762</v>
      </c>
      <c r="BV1628">
        <v>1447</v>
      </c>
      <c r="BW1628" s="144">
        <v>1.8989501312335959</v>
      </c>
      <c r="BX1628" s="152">
        <f t="shared" si="626"/>
        <v>685</v>
      </c>
      <c r="BZ1628">
        <f t="shared" si="627"/>
        <v>685000000</v>
      </c>
      <c r="CA1628">
        <f t="shared" si="607"/>
        <v>19188.750070031936</v>
      </c>
      <c r="CB1628">
        <v>0</v>
      </c>
      <c r="CC1628">
        <v>0</v>
      </c>
      <c r="CD1628">
        <v>0</v>
      </c>
      <c r="CE1628">
        <v>0</v>
      </c>
      <c r="CF1628">
        <v>0</v>
      </c>
      <c r="CG1628">
        <v>0</v>
      </c>
      <c r="CH1628">
        <v>0</v>
      </c>
      <c r="CI1628">
        <v>0</v>
      </c>
      <c r="CJ1628">
        <v>0</v>
      </c>
      <c r="CK1628">
        <v>0</v>
      </c>
      <c r="CL1628">
        <v>0</v>
      </c>
      <c r="CM1628">
        <v>0</v>
      </c>
      <c r="CN1628">
        <v>0</v>
      </c>
      <c r="CO1628">
        <v>0</v>
      </c>
      <c r="CP1628" t="str">
        <f t="shared" si="628"/>
        <v>refOK</v>
      </c>
      <c r="CQ1628">
        <f t="shared" si="629"/>
        <v>39771</v>
      </c>
      <c r="CR1628">
        <f t="shared" si="630"/>
        <v>75469</v>
      </c>
      <c r="CS1628">
        <f t="shared" si="631"/>
        <v>35698</v>
      </c>
      <c r="CT1628">
        <f t="shared" si="608"/>
        <v>17849</v>
      </c>
      <c r="CU1628">
        <f t="shared" si="632"/>
        <v>-762</v>
      </c>
      <c r="CV1628">
        <f t="shared" si="633"/>
        <v>-1447</v>
      </c>
      <c r="CW1628">
        <f t="shared" si="634"/>
        <v>-685000000</v>
      </c>
      <c r="CX1628">
        <f t="shared" si="609"/>
        <v>-19188.750070031936</v>
      </c>
      <c r="CY1628">
        <f t="shared" si="635"/>
        <v>-19188.750070031936</v>
      </c>
      <c r="CZ1628">
        <f t="shared" si="610"/>
        <v>-38377.500140063872</v>
      </c>
      <c r="DA1628" s="2">
        <f t="shared" si="636"/>
        <v>-0.89895013123359579</v>
      </c>
      <c r="DB1628" s="1" t="s">
        <v>1078</v>
      </c>
      <c r="DC1628" t="str">
        <f t="shared" si="637"/>
        <v>reg</v>
      </c>
      <c r="DD1628" t="s">
        <v>653</v>
      </c>
      <c r="DE1628">
        <v>0</v>
      </c>
      <c r="DF1628">
        <v>0</v>
      </c>
      <c r="DG1628">
        <v>0</v>
      </c>
      <c r="DH1628" t="str">
        <f t="shared" si="638"/>
        <v>0</v>
      </c>
      <c r="DI1628">
        <v>1</v>
      </c>
      <c r="DJ1628">
        <v>0</v>
      </c>
      <c r="DK1628">
        <v>0</v>
      </c>
      <c r="DL1628">
        <v>0</v>
      </c>
      <c r="DN1628">
        <v>1</v>
      </c>
      <c r="DO1628" t="str">
        <f t="shared" si="639"/>
        <v>UpstreamInput</v>
      </c>
      <c r="DP1628" t="str">
        <f t="shared" si="640"/>
        <v>Upstream</v>
      </c>
      <c r="DQ1628">
        <f t="shared" si="641"/>
        <v>0</v>
      </c>
      <c r="DR1628">
        <f t="shared" si="642"/>
        <v>0</v>
      </c>
      <c r="DS1628">
        <f t="shared" si="643"/>
        <v>0</v>
      </c>
      <c r="DT1628">
        <v>0</v>
      </c>
      <c r="DU1628">
        <v>0</v>
      </c>
      <c r="DV1628">
        <v>0</v>
      </c>
      <c r="DW1628">
        <v>0</v>
      </c>
      <c r="DX1628">
        <v>0</v>
      </c>
      <c r="DY1628">
        <f t="shared" si="644"/>
        <v>0</v>
      </c>
      <c r="DZ1628" s="143" t="s">
        <v>926</v>
      </c>
      <c r="EA1628">
        <v>0</v>
      </c>
      <c r="EB1628">
        <v>0</v>
      </c>
      <c r="EC1628">
        <v>0</v>
      </c>
      <c r="ED1628">
        <v>0</v>
      </c>
      <c r="EE1628">
        <v>0</v>
      </c>
      <c r="EF1628" s="143">
        <v>0</v>
      </c>
      <c r="EG1628">
        <v>1</v>
      </c>
      <c r="EH1628">
        <v>0</v>
      </c>
      <c r="EI1628">
        <v>0</v>
      </c>
      <c r="EJ1628">
        <v>0</v>
      </c>
      <c r="EK1628">
        <v>0</v>
      </c>
      <c r="EL1628">
        <v>0</v>
      </c>
      <c r="EM1628">
        <v>0</v>
      </c>
      <c r="EN1628" s="2">
        <v>0</v>
      </c>
      <c r="EP1628" t="str">
        <f t="shared" si="611"/>
        <v/>
      </c>
      <c r="EQ1628" t="str">
        <f t="shared" si="645"/>
        <v/>
      </c>
      <c r="ER1628" s="2" t="str">
        <f t="shared" si="612"/>
        <v/>
      </c>
      <c r="ES1628" t="str">
        <f t="shared" si="613"/>
        <v/>
      </c>
      <c r="ET1628" t="str">
        <f t="shared" si="614"/>
        <v/>
      </c>
      <c r="EU1628" t="str">
        <f t="shared" si="615"/>
        <v/>
      </c>
      <c r="EY1628" t="str">
        <f>IF(ISNUMBER(BW1628),IF(ABS(BW1628-[2]QC_indicators!$B$2)&gt;3*[2]QC_indicators!$C$2,"C ratio",IF(ISNUMBER(CA1628),IF(ABS(CA1628-[2]QC_indicators!$B$1)&gt;3*[2]QC_indicators!$C$1,"DF","no"))),IF(ISNUMBER(CA1628),IF(ABS(CA1628-[2]QC_indicators!$B$1)&gt;3*[2]QC_indicators!$C$1,"DF","no")))</f>
        <v>no</v>
      </c>
      <c r="FA1628" t="str">
        <f t="shared" si="616"/>
        <v/>
      </c>
      <c r="FD1628" s="260" t="s">
        <v>2826</v>
      </c>
    </row>
    <row r="1629" spans="1:160" hidden="1">
      <c r="A1629" s="1" t="s">
        <v>895</v>
      </c>
      <c r="B1629" t="s">
        <v>1695</v>
      </c>
      <c r="C1629" t="s">
        <v>1696</v>
      </c>
      <c r="D1629" t="s">
        <v>1697</v>
      </c>
      <c r="E1629" t="s">
        <v>1698</v>
      </c>
      <c r="F1629" t="s">
        <v>1699</v>
      </c>
      <c r="G1629" t="s">
        <v>901</v>
      </c>
      <c r="H1629" t="s">
        <v>254</v>
      </c>
      <c r="I1629">
        <v>2019</v>
      </c>
      <c r="J1629">
        <v>8</v>
      </c>
      <c r="K1629" t="s">
        <v>1700</v>
      </c>
      <c r="M1629" t="str">
        <f t="shared" si="598"/>
        <v>Kogler_2019</v>
      </c>
      <c r="N1629" t="s">
        <v>2265</v>
      </c>
      <c r="O1629" s="171" t="s">
        <v>508</v>
      </c>
      <c r="P1629" t="s">
        <v>924</v>
      </c>
      <c r="Q1629" t="s">
        <v>389</v>
      </c>
      <c r="R1629" s="258" t="s">
        <v>223</v>
      </c>
      <c r="S1629" s="1" t="s">
        <v>1701</v>
      </c>
      <c r="T1629" t="s">
        <v>1710</v>
      </c>
      <c r="U1629" t="s">
        <v>1711</v>
      </c>
      <c r="X1629">
        <v>0</v>
      </c>
      <c r="Y1629">
        <v>0</v>
      </c>
      <c r="Z1629">
        <v>0</v>
      </c>
      <c r="AA1629">
        <v>1</v>
      </c>
      <c r="AB1629">
        <v>0</v>
      </c>
      <c r="AC1629">
        <v>0</v>
      </c>
      <c r="AD1629">
        <v>0</v>
      </c>
      <c r="AE1629">
        <v>0</v>
      </c>
      <c r="AF1629">
        <v>0</v>
      </c>
      <c r="AG1629">
        <v>0</v>
      </c>
      <c r="AH1629">
        <v>0</v>
      </c>
      <c r="AI1629">
        <v>0</v>
      </c>
      <c r="AJ1629">
        <v>0</v>
      </c>
      <c r="AK1629">
        <v>0</v>
      </c>
      <c r="AL1629">
        <v>0</v>
      </c>
      <c r="AM1629">
        <v>0</v>
      </c>
      <c r="AN1629">
        <v>0</v>
      </c>
      <c r="AO1629">
        <v>0</v>
      </c>
      <c r="AP1629">
        <v>0</v>
      </c>
      <c r="AQ1629">
        <v>2</v>
      </c>
      <c r="AR1629">
        <v>0</v>
      </c>
      <c r="AS1629">
        <v>0</v>
      </c>
      <c r="AT1629">
        <v>0</v>
      </c>
      <c r="AU1629">
        <v>0</v>
      </c>
      <c r="AV1629">
        <v>0</v>
      </c>
      <c r="AW1629">
        <v>0</v>
      </c>
      <c r="AX1629">
        <v>0</v>
      </c>
      <c r="AY1629">
        <v>0</v>
      </c>
      <c r="AZ1629" s="141">
        <f t="shared" si="617"/>
        <v>2</v>
      </c>
      <c r="BA1629" s="141">
        <f t="shared" si="618"/>
        <v>1</v>
      </c>
      <c r="BB1629">
        <f t="shared" si="619"/>
        <v>1</v>
      </c>
      <c r="BC1629">
        <f t="shared" si="620"/>
        <v>0</v>
      </c>
      <c r="BD1629">
        <f t="shared" si="621"/>
        <v>0</v>
      </c>
      <c r="BE1629">
        <f t="shared" si="622"/>
        <v>0</v>
      </c>
      <c r="BF1629">
        <f t="shared" si="623"/>
        <v>1</v>
      </c>
      <c r="BG1629" t="str">
        <f t="array" ref="BG1629">IF(BA1629=1,INDEX($X$7:$AN$7,MATCH(TRUE,INDEX($X1629:$AY1629&lt;&gt;0,),0)),IF(BA1629=0,INDEX($AO$7:$AY$7,MATCH(1,$AO1629:$AY1629,0)),IF(BH1629="Multiple strategies","mixed drivers",IF(BH1629="Supply chain","multiple supply","multiple silviculture"))))</f>
        <v xml:space="preserve">cutting intensity </v>
      </c>
      <c r="BH1629" s="2" t="str" cm="1">
        <f t="array" ref="BH1629">IF(COUNTIF(BB1629:BD1629,"&lt;&gt;0")=1,INDEX($X$4:$AY$4,MATCH(TRUE,INDEX($X1629:$AY1629&lt;&gt;0,),0)),IF(COUNTIF(BB1629:BD1629,"&lt;&gt;0")=0,INDEX($AO$4:$AY$4,MATCH(1,$AO1629:$AY1629,0)),"Multiple strategies"))</f>
        <v>Silviculture for removals</v>
      </c>
      <c r="BI1629" s="1" t="s">
        <v>321</v>
      </c>
      <c r="BJ1629" t="s">
        <v>1704</v>
      </c>
      <c r="BK1629" t="s">
        <v>598</v>
      </c>
      <c r="BL1629" t="s">
        <v>498</v>
      </c>
      <c r="BM1629">
        <v>37628</v>
      </c>
      <c r="BN1629">
        <v>39771</v>
      </c>
      <c r="BO1629" t="s">
        <v>531</v>
      </c>
      <c r="BP1629">
        <f t="shared" si="624"/>
        <v>2143</v>
      </c>
      <c r="BQ1629">
        <f t="shared" si="625"/>
        <v>2143</v>
      </c>
      <c r="BR1629" t="s">
        <v>395</v>
      </c>
      <c r="BS1629" t="s">
        <v>1705</v>
      </c>
      <c r="BT1629" s="260" t="s">
        <v>2825</v>
      </c>
      <c r="BU1629">
        <v>721</v>
      </c>
      <c r="BV1629">
        <v>762</v>
      </c>
      <c r="BW1629" s="144">
        <v>1.0568654646324549</v>
      </c>
      <c r="BX1629" s="152">
        <f t="shared" si="626"/>
        <v>41</v>
      </c>
      <c r="BZ1629">
        <f t="shared" si="627"/>
        <v>41000000</v>
      </c>
      <c r="CA1629">
        <f t="shared" si="607"/>
        <v>19132.057862809146</v>
      </c>
      <c r="CB1629">
        <v>0</v>
      </c>
      <c r="CC1629">
        <v>0</v>
      </c>
      <c r="CD1629">
        <v>0</v>
      </c>
      <c r="CE1629">
        <v>0</v>
      </c>
      <c r="CF1629">
        <v>0</v>
      </c>
      <c r="CG1629">
        <v>0</v>
      </c>
      <c r="CH1629">
        <v>0</v>
      </c>
      <c r="CI1629">
        <v>0</v>
      </c>
      <c r="CJ1629">
        <v>0</v>
      </c>
      <c r="CK1629">
        <v>0</v>
      </c>
      <c r="CL1629">
        <v>0</v>
      </c>
      <c r="CM1629">
        <v>0</v>
      </c>
      <c r="CN1629">
        <v>0</v>
      </c>
      <c r="CO1629">
        <v>0</v>
      </c>
      <c r="CP1629" t="str">
        <f t="shared" si="628"/>
        <v>refOK</v>
      </c>
      <c r="CQ1629">
        <f t="shared" si="629"/>
        <v>37628</v>
      </c>
      <c r="CR1629">
        <f t="shared" si="630"/>
        <v>39771</v>
      </c>
      <c r="CS1629">
        <f t="shared" si="631"/>
        <v>2143</v>
      </c>
      <c r="CT1629">
        <f t="shared" si="608"/>
        <v>1071.5</v>
      </c>
      <c r="CU1629">
        <f t="shared" si="632"/>
        <v>-721</v>
      </c>
      <c r="CV1629">
        <f t="shared" si="633"/>
        <v>-762</v>
      </c>
      <c r="CW1629">
        <f t="shared" si="634"/>
        <v>-41000000</v>
      </c>
      <c r="CX1629">
        <f t="shared" si="609"/>
        <v>-19132.057862809146</v>
      </c>
      <c r="CY1629">
        <f t="shared" si="635"/>
        <v>-19132.057862809146</v>
      </c>
      <c r="CZ1629">
        <f t="shared" si="610"/>
        <v>-38264.115725618292</v>
      </c>
      <c r="DA1629" s="2">
        <f t="shared" si="636"/>
        <v>-5.6865464632454926E-2</v>
      </c>
      <c r="DB1629" s="1" t="s">
        <v>1078</v>
      </c>
      <c r="DC1629" t="str">
        <f t="shared" si="637"/>
        <v>reg</v>
      </c>
      <c r="DD1629" t="s">
        <v>653</v>
      </c>
      <c r="DE1629">
        <v>0</v>
      </c>
      <c r="DF1629">
        <v>0</v>
      </c>
      <c r="DG1629">
        <v>0</v>
      </c>
      <c r="DH1629" t="str">
        <f t="shared" si="638"/>
        <v>0</v>
      </c>
      <c r="DI1629">
        <v>1</v>
      </c>
      <c r="DJ1629">
        <v>0</v>
      </c>
      <c r="DK1629">
        <v>0</v>
      </c>
      <c r="DL1629">
        <v>0</v>
      </c>
      <c r="DN1629">
        <v>1</v>
      </c>
      <c r="DO1629" t="str">
        <f t="shared" si="639"/>
        <v>UpstreamInput</v>
      </c>
      <c r="DP1629" t="str">
        <f t="shared" si="640"/>
        <v>Upstream</v>
      </c>
      <c r="DQ1629">
        <f t="shared" si="641"/>
        <v>0</v>
      </c>
      <c r="DR1629">
        <f t="shared" si="642"/>
        <v>0</v>
      </c>
      <c r="DS1629">
        <f t="shared" si="643"/>
        <v>0</v>
      </c>
      <c r="DT1629">
        <v>0</v>
      </c>
      <c r="DU1629">
        <v>0</v>
      </c>
      <c r="DV1629">
        <v>0</v>
      </c>
      <c r="DW1629">
        <v>0</v>
      </c>
      <c r="DX1629">
        <v>0</v>
      </c>
      <c r="DY1629">
        <f t="shared" si="644"/>
        <v>0</v>
      </c>
      <c r="DZ1629" s="143" t="s">
        <v>926</v>
      </c>
      <c r="EA1629">
        <v>0</v>
      </c>
      <c r="EB1629">
        <v>0</v>
      </c>
      <c r="EC1629">
        <v>0</v>
      </c>
      <c r="ED1629">
        <v>0</v>
      </c>
      <c r="EE1629">
        <v>0</v>
      </c>
      <c r="EF1629" s="143">
        <v>0</v>
      </c>
      <c r="EG1629">
        <v>1</v>
      </c>
      <c r="EH1629">
        <v>0</v>
      </c>
      <c r="EI1629">
        <v>0</v>
      </c>
      <c r="EJ1629">
        <v>0</v>
      </c>
      <c r="EK1629">
        <v>0</v>
      </c>
      <c r="EL1629">
        <v>0</v>
      </c>
      <c r="EM1629">
        <v>0</v>
      </c>
      <c r="EN1629" s="2">
        <v>0</v>
      </c>
      <c r="EP1629" t="str">
        <f t="shared" si="611"/>
        <v/>
      </c>
      <c r="EQ1629" t="str">
        <f t="shared" si="645"/>
        <v/>
      </c>
      <c r="ER1629" s="2" t="str">
        <f t="shared" si="612"/>
        <v/>
      </c>
      <c r="ES1629" t="str">
        <f t="shared" si="613"/>
        <v/>
      </c>
      <c r="ET1629" t="str">
        <f t="shared" si="614"/>
        <v/>
      </c>
      <c r="EU1629" t="str">
        <f t="shared" si="615"/>
        <v/>
      </c>
      <c r="EY1629" t="str">
        <f>IF(ISNUMBER(BW1629),IF(ABS(BW1629-[2]QC_indicators!$B$2)&gt;3*[2]QC_indicators!$C$2,"C ratio",IF(ISNUMBER(CA1629),IF(ABS(CA1629-[2]QC_indicators!$B$1)&gt;3*[2]QC_indicators!$C$1,"DF","no"))),IF(ISNUMBER(CA1629),IF(ABS(CA1629-[2]QC_indicators!$B$1)&gt;3*[2]QC_indicators!$C$1,"DF","no")))</f>
        <v>no</v>
      </c>
      <c r="FA1629" t="str">
        <f t="shared" si="616"/>
        <v/>
      </c>
      <c r="FD1629" s="260" t="s">
        <v>2826</v>
      </c>
    </row>
    <row r="1630" spans="1:160" ht="15" hidden="1" customHeight="1">
      <c r="A1630" s="1" t="s">
        <v>895</v>
      </c>
      <c r="B1630" t="s">
        <v>1695</v>
      </c>
      <c r="C1630" t="s">
        <v>1696</v>
      </c>
      <c r="D1630" t="s">
        <v>1697</v>
      </c>
      <c r="E1630" t="s">
        <v>1698</v>
      </c>
      <c r="F1630" t="s">
        <v>1699</v>
      </c>
      <c r="G1630" t="s">
        <v>901</v>
      </c>
      <c r="H1630" t="s">
        <v>254</v>
      </c>
      <c r="I1630">
        <v>2019</v>
      </c>
      <c r="J1630">
        <v>8</v>
      </c>
      <c r="K1630" t="s">
        <v>1700</v>
      </c>
      <c r="M1630" t="str">
        <f t="shared" si="598"/>
        <v>Kogler_2019</v>
      </c>
      <c r="N1630" t="s">
        <v>2265</v>
      </c>
      <c r="O1630" s="171" t="s">
        <v>508</v>
      </c>
      <c r="P1630" t="s">
        <v>924</v>
      </c>
      <c r="Q1630" t="s">
        <v>389</v>
      </c>
      <c r="R1630" s="258" t="s">
        <v>223</v>
      </c>
      <c r="S1630" s="1" t="s">
        <v>1701</v>
      </c>
      <c r="T1630" t="s">
        <v>1708</v>
      </c>
      <c r="U1630" t="s">
        <v>1709</v>
      </c>
      <c r="X1630">
        <v>0</v>
      </c>
      <c r="Y1630">
        <v>0</v>
      </c>
      <c r="Z1630">
        <v>0</v>
      </c>
      <c r="AA1630">
        <v>1</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2</v>
      </c>
      <c r="AT1630">
        <v>0</v>
      </c>
      <c r="AU1630">
        <v>0</v>
      </c>
      <c r="AV1630">
        <v>0</v>
      </c>
      <c r="AW1630">
        <v>0</v>
      </c>
      <c r="AX1630">
        <v>0</v>
      </c>
      <c r="AY1630">
        <v>0</v>
      </c>
      <c r="AZ1630" s="141">
        <f t="shared" si="617"/>
        <v>2</v>
      </c>
      <c r="BA1630" s="141">
        <f t="shared" si="618"/>
        <v>1</v>
      </c>
      <c r="BB1630">
        <f t="shared" si="619"/>
        <v>1</v>
      </c>
      <c r="BC1630">
        <f t="shared" si="620"/>
        <v>0</v>
      </c>
      <c r="BD1630">
        <f t="shared" si="621"/>
        <v>0</v>
      </c>
      <c r="BE1630">
        <f t="shared" si="622"/>
        <v>0</v>
      </c>
      <c r="BF1630">
        <f t="shared" si="623"/>
        <v>1</v>
      </c>
      <c r="BG1630" t="str">
        <f t="array" ref="BG1630">IF(BA1630=1,INDEX($X$7:$AN$7,MATCH(TRUE,INDEX($X1630:$AY1630&lt;&gt;0,),0)),IF(BA1630=0,INDEX($AO$7:$AY$7,MATCH(1,$AO1630:$AY1630,0)),IF(BH1630="Multiple strategies","mixed drivers",IF(BH1630="Supply chain","multiple supply","multiple silviculture"))))</f>
        <v xml:space="preserve">cutting intensity </v>
      </c>
      <c r="BH1630" s="2" t="str" cm="1">
        <f t="array" ref="BH1630">IF(COUNTIF(BB1630:BD1630,"&lt;&gt;0")=1,INDEX($X$4:$AY$4,MATCH(TRUE,INDEX($X1630:$AY1630&lt;&gt;0,),0)),IF(COUNTIF(BB1630:BD1630,"&lt;&gt;0")=0,INDEX($AO$4:$AY$4,MATCH(1,$AO1630:$AY1630,0)),"Multiple strategies"))</f>
        <v>Silviculture for removals</v>
      </c>
      <c r="BI1630" s="1" t="s">
        <v>321</v>
      </c>
      <c r="BJ1630" t="s">
        <v>1704</v>
      </c>
      <c r="BK1630" t="s">
        <v>598</v>
      </c>
      <c r="BL1630" t="s">
        <v>498</v>
      </c>
      <c r="BM1630">
        <v>41581</v>
      </c>
      <c r="BN1630">
        <v>86651</v>
      </c>
      <c r="BO1630" t="s">
        <v>531</v>
      </c>
      <c r="BP1630">
        <f t="shared" si="624"/>
        <v>45070</v>
      </c>
      <c r="BQ1630">
        <f t="shared" si="625"/>
        <v>45070</v>
      </c>
      <c r="BR1630" t="s">
        <v>395</v>
      </c>
      <c r="BS1630" t="s">
        <v>1705</v>
      </c>
      <c r="BT1630" s="260" t="s">
        <v>2825</v>
      </c>
      <c r="BU1630">
        <v>719</v>
      </c>
      <c r="BV1630">
        <v>1500</v>
      </c>
      <c r="BW1630" s="144">
        <v>2.0862308762169679</v>
      </c>
      <c r="BX1630" s="152">
        <f t="shared" si="626"/>
        <v>781</v>
      </c>
      <c r="BZ1630">
        <f t="shared" si="627"/>
        <v>781000000</v>
      </c>
      <c r="CA1630">
        <f t="shared" si="607"/>
        <v>17328.599955624584</v>
      </c>
      <c r="CB1630">
        <v>0</v>
      </c>
      <c r="CC1630">
        <v>0</v>
      </c>
      <c r="CD1630">
        <v>0</v>
      </c>
      <c r="CE1630">
        <v>0</v>
      </c>
      <c r="CF1630">
        <v>0</v>
      </c>
      <c r="CG1630">
        <v>0</v>
      </c>
      <c r="CH1630">
        <v>0</v>
      </c>
      <c r="CI1630">
        <v>0</v>
      </c>
      <c r="CJ1630">
        <v>0</v>
      </c>
      <c r="CK1630">
        <v>0</v>
      </c>
      <c r="CL1630">
        <v>0</v>
      </c>
      <c r="CM1630">
        <v>0</v>
      </c>
      <c r="CN1630">
        <v>0</v>
      </c>
      <c r="CO1630">
        <v>0</v>
      </c>
      <c r="CP1630" t="str">
        <f t="shared" si="628"/>
        <v>refOK</v>
      </c>
      <c r="CQ1630">
        <f t="shared" si="629"/>
        <v>41581</v>
      </c>
      <c r="CR1630">
        <f t="shared" si="630"/>
        <v>86651</v>
      </c>
      <c r="CS1630">
        <f t="shared" si="631"/>
        <v>45070</v>
      </c>
      <c r="CT1630">
        <f t="shared" si="608"/>
        <v>22535</v>
      </c>
      <c r="CU1630">
        <f t="shared" si="632"/>
        <v>-719</v>
      </c>
      <c r="CV1630">
        <f t="shared" si="633"/>
        <v>-1500</v>
      </c>
      <c r="CW1630">
        <f t="shared" si="634"/>
        <v>-781000000</v>
      </c>
      <c r="CX1630">
        <f t="shared" si="609"/>
        <v>-17328.599955624584</v>
      </c>
      <c r="CY1630">
        <f t="shared" si="635"/>
        <v>-17328.599955624584</v>
      </c>
      <c r="CZ1630">
        <f t="shared" si="610"/>
        <v>-34657.199911249169</v>
      </c>
      <c r="DA1630" s="2">
        <f t="shared" si="636"/>
        <v>-1.0862308762169681</v>
      </c>
      <c r="DB1630" s="1" t="s">
        <v>1078</v>
      </c>
      <c r="DC1630" t="str">
        <f t="shared" si="637"/>
        <v>reg</v>
      </c>
      <c r="DD1630" t="s">
        <v>653</v>
      </c>
      <c r="DE1630">
        <v>0</v>
      </c>
      <c r="DF1630">
        <v>0</v>
      </c>
      <c r="DG1630">
        <v>0</v>
      </c>
      <c r="DH1630" t="str">
        <f t="shared" si="638"/>
        <v>0</v>
      </c>
      <c r="DI1630">
        <v>1</v>
      </c>
      <c r="DJ1630">
        <v>0</v>
      </c>
      <c r="DK1630">
        <v>0</v>
      </c>
      <c r="DL1630">
        <v>0</v>
      </c>
      <c r="DN1630">
        <v>1</v>
      </c>
      <c r="DO1630" t="str">
        <f t="shared" si="639"/>
        <v>UpstreamInput</v>
      </c>
      <c r="DP1630" t="str">
        <f t="shared" si="640"/>
        <v>Upstream</v>
      </c>
      <c r="DQ1630">
        <f t="shared" si="641"/>
        <v>0</v>
      </c>
      <c r="DR1630">
        <f t="shared" si="642"/>
        <v>0</v>
      </c>
      <c r="DS1630">
        <f t="shared" si="643"/>
        <v>0</v>
      </c>
      <c r="DT1630">
        <v>0</v>
      </c>
      <c r="DU1630">
        <v>0</v>
      </c>
      <c r="DV1630">
        <v>0</v>
      </c>
      <c r="DW1630">
        <v>0</v>
      </c>
      <c r="DX1630">
        <v>0</v>
      </c>
      <c r="DY1630">
        <f t="shared" si="644"/>
        <v>0</v>
      </c>
      <c r="DZ1630" s="143" t="s">
        <v>926</v>
      </c>
      <c r="EA1630">
        <v>0</v>
      </c>
      <c r="EB1630">
        <v>0</v>
      </c>
      <c r="EC1630">
        <v>0</v>
      </c>
      <c r="ED1630">
        <v>0</v>
      </c>
      <c r="EE1630">
        <v>0</v>
      </c>
      <c r="EF1630" s="143">
        <v>0</v>
      </c>
      <c r="EG1630">
        <v>1</v>
      </c>
      <c r="EH1630">
        <v>0</v>
      </c>
      <c r="EI1630">
        <v>0</v>
      </c>
      <c r="EJ1630">
        <v>0</v>
      </c>
      <c r="EK1630">
        <v>0</v>
      </c>
      <c r="EL1630">
        <v>0</v>
      </c>
      <c r="EM1630">
        <v>0</v>
      </c>
      <c r="EN1630" s="2">
        <v>0</v>
      </c>
      <c r="EP1630" t="str">
        <f t="shared" si="611"/>
        <v/>
      </c>
      <c r="EQ1630" t="str">
        <f t="shared" si="645"/>
        <v/>
      </c>
      <c r="ER1630" s="2" t="str">
        <f t="shared" si="612"/>
        <v/>
      </c>
      <c r="ES1630" t="str">
        <f t="shared" si="613"/>
        <v/>
      </c>
      <c r="ET1630" t="str">
        <f t="shared" si="614"/>
        <v/>
      </c>
      <c r="EU1630" t="str">
        <f t="shared" si="615"/>
        <v/>
      </c>
      <c r="EY1630" t="str">
        <f>IF(ISNUMBER(BW1630),IF(ABS(BW1630-[2]QC_indicators!$B$2)&gt;3*[2]QC_indicators!$C$2,"C ratio",IF(ISNUMBER(CA1630),IF(ABS(CA1630-[2]QC_indicators!$B$1)&gt;3*[2]QC_indicators!$C$1,"DF","no"))),IF(ISNUMBER(CA1630),IF(ABS(CA1630-[2]QC_indicators!$B$1)&gt;3*[2]QC_indicators!$C$1,"DF","no")))</f>
        <v>no</v>
      </c>
      <c r="FA1630" t="str">
        <f t="shared" si="616"/>
        <v/>
      </c>
      <c r="FD1630" s="260" t="s">
        <v>2826</v>
      </c>
    </row>
    <row r="1631" spans="1:160" hidden="1">
      <c r="A1631" s="1" t="s">
        <v>895</v>
      </c>
      <c r="B1631" t="s">
        <v>1695</v>
      </c>
      <c r="C1631" t="s">
        <v>1696</v>
      </c>
      <c r="D1631" t="s">
        <v>1697</v>
      </c>
      <c r="E1631" t="s">
        <v>1698</v>
      </c>
      <c r="F1631" t="s">
        <v>1699</v>
      </c>
      <c r="G1631" t="s">
        <v>901</v>
      </c>
      <c r="H1631" t="s">
        <v>254</v>
      </c>
      <c r="I1631">
        <v>2019</v>
      </c>
      <c r="J1631">
        <v>8</v>
      </c>
      <c r="K1631" t="s">
        <v>1700</v>
      </c>
      <c r="M1631" t="str">
        <f t="shared" si="598"/>
        <v>Kogler_2019</v>
      </c>
      <c r="N1631" t="s">
        <v>2265</v>
      </c>
      <c r="O1631" s="171" t="s">
        <v>508</v>
      </c>
      <c r="P1631" t="s">
        <v>924</v>
      </c>
      <c r="Q1631" t="s">
        <v>389</v>
      </c>
      <c r="R1631" s="258" t="s">
        <v>223</v>
      </c>
      <c r="S1631" s="1" t="s">
        <v>1701</v>
      </c>
      <c r="T1631" t="s">
        <v>1707</v>
      </c>
      <c r="U1631" t="s">
        <v>1708</v>
      </c>
      <c r="X1631">
        <v>0</v>
      </c>
      <c r="Y1631">
        <v>0</v>
      </c>
      <c r="Z1631">
        <v>0</v>
      </c>
      <c r="AA1631">
        <v>1</v>
      </c>
      <c r="AB1631">
        <v>0</v>
      </c>
      <c r="AC1631">
        <v>0</v>
      </c>
      <c r="AD1631">
        <v>0</v>
      </c>
      <c r="AE1631">
        <v>0</v>
      </c>
      <c r="AF1631">
        <v>0</v>
      </c>
      <c r="AG1631">
        <v>0</v>
      </c>
      <c r="AH1631">
        <v>0</v>
      </c>
      <c r="AI1631">
        <v>0</v>
      </c>
      <c r="AJ1631">
        <v>0</v>
      </c>
      <c r="AK1631">
        <v>0</v>
      </c>
      <c r="AL1631">
        <v>0</v>
      </c>
      <c r="AM1631">
        <v>0</v>
      </c>
      <c r="AN1631">
        <v>0</v>
      </c>
      <c r="AO1631">
        <v>0</v>
      </c>
      <c r="AP1631">
        <v>0</v>
      </c>
      <c r="AQ1631">
        <v>2</v>
      </c>
      <c r="AR1631">
        <v>0</v>
      </c>
      <c r="AS1631">
        <v>0</v>
      </c>
      <c r="AT1631">
        <v>0</v>
      </c>
      <c r="AU1631">
        <v>0</v>
      </c>
      <c r="AV1631">
        <v>0</v>
      </c>
      <c r="AW1631">
        <v>0</v>
      </c>
      <c r="AX1631">
        <v>0</v>
      </c>
      <c r="AY1631">
        <v>0</v>
      </c>
      <c r="AZ1631" s="141">
        <f t="shared" si="617"/>
        <v>2</v>
      </c>
      <c r="BA1631" s="141">
        <f t="shared" si="618"/>
        <v>1</v>
      </c>
      <c r="BB1631">
        <f t="shared" si="619"/>
        <v>1</v>
      </c>
      <c r="BC1631">
        <f t="shared" si="620"/>
        <v>0</v>
      </c>
      <c r="BD1631">
        <f t="shared" si="621"/>
        <v>0</v>
      </c>
      <c r="BE1631">
        <f t="shared" si="622"/>
        <v>0</v>
      </c>
      <c r="BF1631">
        <f t="shared" si="623"/>
        <v>1</v>
      </c>
      <c r="BG1631" t="str">
        <f t="array" ref="BG1631">IF(BA1631=1,INDEX($X$7:$AN$7,MATCH(TRUE,INDEX($X1631:$AY1631&lt;&gt;0,),0)),IF(BA1631=0,INDEX($AO$7:$AY$7,MATCH(1,$AO1631:$AY1631,0)),IF(BH1631="Multiple strategies","mixed drivers",IF(BH1631="Supply chain","multiple supply","multiple silviculture"))))</f>
        <v xml:space="preserve">cutting intensity </v>
      </c>
      <c r="BH1631" s="2" t="str" cm="1">
        <f t="array" ref="BH1631">IF(COUNTIF(BB1631:BD1631,"&lt;&gt;0")=1,INDEX($X$4:$AY$4,MATCH(TRUE,INDEX($X1631:$AY1631&lt;&gt;0,),0)),IF(COUNTIF(BB1631:BD1631,"&lt;&gt;0")=0,INDEX($AO$4:$AY$4,MATCH(1,$AO1631:$AY1631,0)),"Multiple strategies"))</f>
        <v>Silviculture for removals</v>
      </c>
      <c r="BI1631" s="1" t="s">
        <v>321</v>
      </c>
      <c r="BJ1631" t="s">
        <v>1704</v>
      </c>
      <c r="BK1631" t="s">
        <v>598</v>
      </c>
      <c r="BL1631" t="s">
        <v>498</v>
      </c>
      <c r="BM1631">
        <v>38360</v>
      </c>
      <c r="BN1631">
        <v>41581</v>
      </c>
      <c r="BO1631" t="s">
        <v>531</v>
      </c>
      <c r="BP1631">
        <f t="shared" si="624"/>
        <v>3221</v>
      </c>
      <c r="BQ1631">
        <f t="shared" si="625"/>
        <v>3221</v>
      </c>
      <c r="BR1631" t="s">
        <v>395</v>
      </c>
      <c r="BS1631" t="s">
        <v>1705</v>
      </c>
      <c r="BT1631" s="260" t="s">
        <v>2825</v>
      </c>
      <c r="BU1631">
        <v>665</v>
      </c>
      <c r="BV1631">
        <v>719</v>
      </c>
      <c r="BW1631" s="144">
        <v>1.0812030075187971</v>
      </c>
      <c r="BX1631" s="152">
        <f t="shared" si="626"/>
        <v>54</v>
      </c>
      <c r="BZ1631">
        <f t="shared" si="627"/>
        <v>54000000</v>
      </c>
      <c r="CA1631">
        <f t="shared" si="607"/>
        <v>16764.979819931697</v>
      </c>
      <c r="CB1631">
        <v>0</v>
      </c>
      <c r="CC1631">
        <v>0</v>
      </c>
      <c r="CD1631">
        <v>0</v>
      </c>
      <c r="CE1631">
        <v>0</v>
      </c>
      <c r="CF1631">
        <v>0</v>
      </c>
      <c r="CG1631">
        <v>0</v>
      </c>
      <c r="CH1631">
        <v>0</v>
      </c>
      <c r="CI1631">
        <v>0</v>
      </c>
      <c r="CJ1631">
        <v>0</v>
      </c>
      <c r="CK1631">
        <v>0</v>
      </c>
      <c r="CL1631">
        <v>0</v>
      </c>
      <c r="CM1631">
        <v>0</v>
      </c>
      <c r="CN1631">
        <v>0</v>
      </c>
      <c r="CO1631">
        <v>0</v>
      </c>
      <c r="CP1631" t="str">
        <f t="shared" si="628"/>
        <v>refOK</v>
      </c>
      <c r="CQ1631">
        <f t="shared" si="629"/>
        <v>38360</v>
      </c>
      <c r="CR1631">
        <f t="shared" si="630"/>
        <v>41581</v>
      </c>
      <c r="CS1631">
        <f t="shared" si="631"/>
        <v>3221</v>
      </c>
      <c r="CT1631">
        <f t="shared" si="608"/>
        <v>1610.5</v>
      </c>
      <c r="CU1631">
        <f t="shared" si="632"/>
        <v>-665</v>
      </c>
      <c r="CV1631">
        <f t="shared" si="633"/>
        <v>-719</v>
      </c>
      <c r="CW1631">
        <f t="shared" si="634"/>
        <v>-54000000</v>
      </c>
      <c r="CX1631">
        <f t="shared" si="609"/>
        <v>-16764.979819931697</v>
      </c>
      <c r="CY1631">
        <f t="shared" si="635"/>
        <v>-16764.979819931697</v>
      </c>
      <c r="CZ1631">
        <f t="shared" si="610"/>
        <v>-33529.959639863395</v>
      </c>
      <c r="DA1631" s="2">
        <f t="shared" si="636"/>
        <v>-8.1203007518796999E-2</v>
      </c>
      <c r="DB1631" s="1" t="s">
        <v>1078</v>
      </c>
      <c r="DC1631" t="str">
        <f t="shared" si="637"/>
        <v>reg</v>
      </c>
      <c r="DD1631" t="s">
        <v>653</v>
      </c>
      <c r="DE1631">
        <v>0</v>
      </c>
      <c r="DF1631">
        <v>0</v>
      </c>
      <c r="DG1631">
        <v>0</v>
      </c>
      <c r="DH1631" t="str">
        <f t="shared" si="638"/>
        <v>0</v>
      </c>
      <c r="DI1631">
        <v>1</v>
      </c>
      <c r="DJ1631">
        <v>0</v>
      </c>
      <c r="DK1631">
        <v>0</v>
      </c>
      <c r="DL1631">
        <v>0</v>
      </c>
      <c r="DN1631">
        <v>1</v>
      </c>
      <c r="DO1631" t="str">
        <f t="shared" si="639"/>
        <v>UpstreamInput</v>
      </c>
      <c r="DP1631" t="str">
        <f t="shared" si="640"/>
        <v>Upstream</v>
      </c>
      <c r="DQ1631">
        <f t="shared" si="641"/>
        <v>0</v>
      </c>
      <c r="DR1631">
        <f t="shared" si="642"/>
        <v>0</v>
      </c>
      <c r="DS1631">
        <f t="shared" si="643"/>
        <v>0</v>
      </c>
      <c r="DT1631">
        <v>0</v>
      </c>
      <c r="DU1631">
        <v>0</v>
      </c>
      <c r="DV1631">
        <v>0</v>
      </c>
      <c r="DW1631">
        <v>0</v>
      </c>
      <c r="DX1631">
        <v>0</v>
      </c>
      <c r="DY1631">
        <f t="shared" si="644"/>
        <v>0</v>
      </c>
      <c r="DZ1631" s="143" t="s">
        <v>926</v>
      </c>
      <c r="EA1631">
        <v>0</v>
      </c>
      <c r="EB1631">
        <v>0</v>
      </c>
      <c r="EC1631">
        <v>0</v>
      </c>
      <c r="ED1631">
        <v>0</v>
      </c>
      <c r="EE1631">
        <v>0</v>
      </c>
      <c r="EF1631" s="143">
        <v>0</v>
      </c>
      <c r="EG1631">
        <v>1</v>
      </c>
      <c r="EH1631">
        <v>0</v>
      </c>
      <c r="EI1631">
        <v>0</v>
      </c>
      <c r="EJ1631">
        <v>0</v>
      </c>
      <c r="EK1631">
        <v>0</v>
      </c>
      <c r="EL1631">
        <v>0</v>
      </c>
      <c r="EM1631">
        <v>0</v>
      </c>
      <c r="EN1631" s="2">
        <v>0</v>
      </c>
      <c r="EP1631" t="str">
        <f t="shared" si="611"/>
        <v/>
      </c>
      <c r="EQ1631" t="str">
        <f t="shared" si="645"/>
        <v/>
      </c>
      <c r="ER1631" s="2" t="str">
        <f t="shared" si="612"/>
        <v/>
      </c>
      <c r="ES1631" t="str">
        <f t="shared" si="613"/>
        <v/>
      </c>
      <c r="ET1631" t="str">
        <f t="shared" si="614"/>
        <v/>
      </c>
      <c r="EU1631" t="str">
        <f t="shared" si="615"/>
        <v/>
      </c>
      <c r="EY1631" t="str">
        <f>IF(ISNUMBER(BW1631),IF(ABS(BW1631-[2]QC_indicators!$B$2)&gt;3*[2]QC_indicators!$C$2,"C ratio",IF(ISNUMBER(CA1631),IF(ABS(CA1631-[2]QC_indicators!$B$1)&gt;3*[2]QC_indicators!$C$1,"DF","no"))),IF(ISNUMBER(CA1631),IF(ABS(CA1631-[2]QC_indicators!$B$1)&gt;3*[2]QC_indicators!$C$1,"DF","no")))</f>
        <v>no</v>
      </c>
      <c r="FA1631" t="str">
        <f t="shared" si="616"/>
        <v/>
      </c>
      <c r="FD1631" s="260" t="s">
        <v>2826</v>
      </c>
    </row>
    <row r="1632" spans="1:160" ht="15" hidden="1" customHeight="1">
      <c r="A1632" s="1" t="s">
        <v>895</v>
      </c>
      <c r="B1632" t="s">
        <v>1695</v>
      </c>
      <c r="C1632" t="s">
        <v>1696</v>
      </c>
      <c r="D1632" t="s">
        <v>1697</v>
      </c>
      <c r="E1632" t="s">
        <v>1698</v>
      </c>
      <c r="F1632" t="s">
        <v>1699</v>
      </c>
      <c r="G1632" t="s">
        <v>901</v>
      </c>
      <c r="H1632" t="s">
        <v>254</v>
      </c>
      <c r="I1632">
        <v>2019</v>
      </c>
      <c r="J1632">
        <v>8</v>
      </c>
      <c r="K1632" t="s">
        <v>1700</v>
      </c>
      <c r="M1632" t="str">
        <f t="shared" si="598"/>
        <v>Kogler_2019</v>
      </c>
      <c r="N1632" t="s">
        <v>2265</v>
      </c>
      <c r="O1632" s="171" t="s">
        <v>508</v>
      </c>
      <c r="P1632" t="s">
        <v>924</v>
      </c>
      <c r="Q1632" t="s">
        <v>389</v>
      </c>
      <c r="R1632" s="258" t="s">
        <v>223</v>
      </c>
      <c r="S1632" s="1" t="s">
        <v>1701</v>
      </c>
      <c r="T1632" t="s">
        <v>1703</v>
      </c>
      <c r="U1632" t="s">
        <v>1706</v>
      </c>
      <c r="X1632">
        <v>0</v>
      </c>
      <c r="Y1632">
        <v>0</v>
      </c>
      <c r="Z1632">
        <v>0</v>
      </c>
      <c r="AA1632">
        <v>1</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2</v>
      </c>
      <c r="AT1632">
        <v>0</v>
      </c>
      <c r="AU1632">
        <v>0</v>
      </c>
      <c r="AV1632">
        <v>0</v>
      </c>
      <c r="AW1632">
        <v>0</v>
      </c>
      <c r="AX1632">
        <v>0</v>
      </c>
      <c r="AY1632">
        <v>0</v>
      </c>
      <c r="AZ1632" s="141">
        <f t="shared" si="617"/>
        <v>2</v>
      </c>
      <c r="BA1632" s="141">
        <f t="shared" si="618"/>
        <v>1</v>
      </c>
      <c r="BB1632">
        <f t="shared" si="619"/>
        <v>1</v>
      </c>
      <c r="BC1632">
        <f t="shared" si="620"/>
        <v>0</v>
      </c>
      <c r="BD1632">
        <f t="shared" si="621"/>
        <v>0</v>
      </c>
      <c r="BE1632">
        <f t="shared" si="622"/>
        <v>0</v>
      </c>
      <c r="BF1632">
        <f t="shared" si="623"/>
        <v>1</v>
      </c>
      <c r="BG1632" t="str">
        <f t="array" ref="BG1632">IF(BA1632=1,INDEX($X$7:$AN$7,MATCH(TRUE,INDEX($X1632:$AY1632&lt;&gt;0,),0)),IF(BA1632=0,INDEX($AO$7:$AY$7,MATCH(1,$AO1632:$AY1632,0)),IF(BH1632="Multiple strategies","mixed drivers",IF(BH1632="Supply chain","multiple supply","multiple silviculture"))))</f>
        <v xml:space="preserve">cutting intensity </v>
      </c>
      <c r="BH1632" s="2" t="str" cm="1">
        <f t="array" ref="BH1632">IF(COUNTIF(BB1632:BD1632,"&lt;&gt;0")=1,INDEX($X$4:$AY$4,MATCH(TRUE,INDEX($X1632:$AY1632&lt;&gt;0,),0)),IF(COUNTIF(BB1632:BD1632,"&lt;&gt;0")=0,INDEX($AO$4:$AY$4,MATCH(1,$AO1632:$AY1632,0)),"Multiple strategies"))</f>
        <v>Silviculture for removals</v>
      </c>
      <c r="BI1632" s="1" t="s">
        <v>321</v>
      </c>
      <c r="BJ1632" t="s">
        <v>1704</v>
      </c>
      <c r="BK1632" t="s">
        <v>598</v>
      </c>
      <c r="BL1632" t="s">
        <v>498</v>
      </c>
      <c r="BM1632">
        <v>37563</v>
      </c>
      <c r="BN1632">
        <v>80258</v>
      </c>
      <c r="BO1632" t="s">
        <v>531</v>
      </c>
      <c r="BP1632">
        <f t="shared" si="624"/>
        <v>42695</v>
      </c>
      <c r="BQ1632">
        <f t="shared" si="625"/>
        <v>42695</v>
      </c>
      <c r="BR1632" t="s">
        <v>395</v>
      </c>
      <c r="BS1632" t="s">
        <v>1705</v>
      </c>
      <c r="BT1632" s="260" t="s">
        <v>2825</v>
      </c>
      <c r="BU1632">
        <v>579</v>
      </c>
      <c r="BV1632">
        <v>1270</v>
      </c>
      <c r="BW1632" s="144">
        <v>2.1934369602763386</v>
      </c>
      <c r="BX1632" s="152">
        <f t="shared" si="626"/>
        <v>691</v>
      </c>
      <c r="BZ1632">
        <f t="shared" si="627"/>
        <v>691000000</v>
      </c>
      <c r="CA1632">
        <f t="shared" si="607"/>
        <v>16184.564937346293</v>
      </c>
      <c r="CB1632">
        <v>0</v>
      </c>
      <c r="CC1632">
        <v>0</v>
      </c>
      <c r="CD1632">
        <v>0</v>
      </c>
      <c r="CE1632">
        <v>0</v>
      </c>
      <c r="CF1632">
        <v>0</v>
      </c>
      <c r="CG1632">
        <v>0</v>
      </c>
      <c r="CH1632">
        <v>0</v>
      </c>
      <c r="CI1632">
        <v>0</v>
      </c>
      <c r="CJ1632">
        <v>0</v>
      </c>
      <c r="CK1632">
        <v>0</v>
      </c>
      <c r="CL1632">
        <v>0</v>
      </c>
      <c r="CM1632">
        <v>0</v>
      </c>
      <c r="CN1632">
        <v>0</v>
      </c>
      <c r="CO1632">
        <v>0</v>
      </c>
      <c r="CP1632" t="str">
        <f t="shared" si="628"/>
        <v>refOK</v>
      </c>
      <c r="CQ1632">
        <f t="shared" si="629"/>
        <v>37563</v>
      </c>
      <c r="CR1632">
        <f t="shared" si="630"/>
        <v>80258</v>
      </c>
      <c r="CS1632">
        <f t="shared" si="631"/>
        <v>42695</v>
      </c>
      <c r="CT1632">
        <f t="shared" si="608"/>
        <v>21347.5</v>
      </c>
      <c r="CU1632">
        <f t="shared" si="632"/>
        <v>-579</v>
      </c>
      <c r="CV1632">
        <f t="shared" si="633"/>
        <v>-1270</v>
      </c>
      <c r="CW1632">
        <f t="shared" si="634"/>
        <v>-691000000</v>
      </c>
      <c r="CX1632">
        <f t="shared" si="609"/>
        <v>-16184.564937346293</v>
      </c>
      <c r="CY1632">
        <f t="shared" si="635"/>
        <v>-16184.564937346293</v>
      </c>
      <c r="CZ1632">
        <f t="shared" si="610"/>
        <v>-32369.129874692586</v>
      </c>
      <c r="DA1632" s="2">
        <f t="shared" si="636"/>
        <v>-1.1934369602763386</v>
      </c>
      <c r="DB1632" s="1" t="s">
        <v>1078</v>
      </c>
      <c r="DC1632" t="str">
        <f t="shared" si="637"/>
        <v>reg</v>
      </c>
      <c r="DD1632" t="s">
        <v>653</v>
      </c>
      <c r="DE1632">
        <v>0</v>
      </c>
      <c r="DF1632">
        <v>0</v>
      </c>
      <c r="DG1632">
        <v>0</v>
      </c>
      <c r="DH1632" t="str">
        <f t="shared" si="638"/>
        <v>0</v>
      </c>
      <c r="DI1632">
        <v>1</v>
      </c>
      <c r="DJ1632">
        <v>0</v>
      </c>
      <c r="DK1632">
        <v>0</v>
      </c>
      <c r="DL1632">
        <v>0</v>
      </c>
      <c r="DN1632">
        <v>1</v>
      </c>
      <c r="DO1632" t="str">
        <f t="shared" si="639"/>
        <v>UpstreamInput</v>
      </c>
      <c r="DP1632" t="str">
        <f t="shared" si="640"/>
        <v>Upstream</v>
      </c>
      <c r="DQ1632">
        <f t="shared" si="641"/>
        <v>0</v>
      </c>
      <c r="DR1632">
        <f t="shared" si="642"/>
        <v>0</v>
      </c>
      <c r="DS1632">
        <f t="shared" si="643"/>
        <v>0</v>
      </c>
      <c r="DT1632">
        <v>0</v>
      </c>
      <c r="DU1632">
        <v>0</v>
      </c>
      <c r="DV1632">
        <v>0</v>
      </c>
      <c r="DW1632">
        <v>0</v>
      </c>
      <c r="DX1632">
        <v>0</v>
      </c>
      <c r="DY1632">
        <f t="shared" si="644"/>
        <v>0</v>
      </c>
      <c r="DZ1632" s="143" t="s">
        <v>926</v>
      </c>
      <c r="EA1632">
        <v>0</v>
      </c>
      <c r="EB1632">
        <v>0</v>
      </c>
      <c r="EC1632">
        <v>0</v>
      </c>
      <c r="ED1632">
        <v>0</v>
      </c>
      <c r="EE1632">
        <v>0</v>
      </c>
      <c r="EF1632" s="143">
        <v>0</v>
      </c>
      <c r="EG1632">
        <v>1</v>
      </c>
      <c r="EH1632">
        <v>0</v>
      </c>
      <c r="EI1632">
        <v>0</v>
      </c>
      <c r="EJ1632">
        <v>0</v>
      </c>
      <c r="EK1632">
        <v>0</v>
      </c>
      <c r="EL1632">
        <v>0</v>
      </c>
      <c r="EM1632">
        <v>0</v>
      </c>
      <c r="EN1632" s="2">
        <v>0</v>
      </c>
      <c r="EP1632" t="str">
        <f t="shared" si="611"/>
        <v/>
      </c>
      <c r="EQ1632" t="str">
        <f t="shared" si="645"/>
        <v/>
      </c>
      <c r="ER1632" s="2" t="str">
        <f t="shared" si="612"/>
        <v/>
      </c>
      <c r="ES1632" t="str">
        <f t="shared" si="613"/>
        <v/>
      </c>
      <c r="ET1632" t="str">
        <f t="shared" si="614"/>
        <v/>
      </c>
      <c r="EU1632" t="str">
        <f t="shared" si="615"/>
        <v/>
      </c>
      <c r="EY1632" t="str">
        <f>IF(ISNUMBER(BW1632),IF(ABS(BW1632-[2]QC_indicators!$B$2)&gt;3*[2]QC_indicators!$C$2,"C ratio",IF(ISNUMBER(CA1632),IF(ABS(CA1632-[2]QC_indicators!$B$1)&gt;3*[2]QC_indicators!$C$1,"DF","no"))),IF(ISNUMBER(CA1632),IF(ABS(CA1632-[2]QC_indicators!$B$1)&gt;3*[2]QC_indicators!$C$1,"DF","no")))</f>
        <v>no</v>
      </c>
      <c r="FA1632" t="str">
        <f t="shared" si="616"/>
        <v/>
      </c>
      <c r="FD1632" s="260" t="s">
        <v>2826</v>
      </c>
    </row>
    <row r="1633" spans="1:161" ht="15" hidden="1" customHeight="1">
      <c r="A1633" s="1" t="s">
        <v>895</v>
      </c>
      <c r="B1633" t="s">
        <v>1695</v>
      </c>
      <c r="C1633" t="s">
        <v>1696</v>
      </c>
      <c r="D1633" t="s">
        <v>1697</v>
      </c>
      <c r="E1633" t="s">
        <v>1698</v>
      </c>
      <c r="F1633" t="s">
        <v>1699</v>
      </c>
      <c r="G1633" t="s">
        <v>901</v>
      </c>
      <c r="H1633" t="s">
        <v>254</v>
      </c>
      <c r="I1633">
        <v>2019</v>
      </c>
      <c r="J1633">
        <v>8</v>
      </c>
      <c r="K1633" t="s">
        <v>1700</v>
      </c>
      <c r="M1633" t="str">
        <f t="shared" si="598"/>
        <v>Kogler_2019</v>
      </c>
      <c r="N1633" t="s">
        <v>2265</v>
      </c>
      <c r="O1633" s="171" t="s">
        <v>508</v>
      </c>
      <c r="P1633" t="s">
        <v>924</v>
      </c>
      <c r="Q1633" t="s">
        <v>389</v>
      </c>
      <c r="R1633" s="258" t="s">
        <v>223</v>
      </c>
      <c r="S1633" s="1" t="s">
        <v>1701</v>
      </c>
      <c r="T1633" t="s">
        <v>1702</v>
      </c>
      <c r="U1633" t="s">
        <v>1703</v>
      </c>
      <c r="X1633">
        <v>0</v>
      </c>
      <c r="Y1633">
        <v>0</v>
      </c>
      <c r="Z1633">
        <v>0</v>
      </c>
      <c r="AA1633">
        <v>1</v>
      </c>
      <c r="AB1633">
        <v>0</v>
      </c>
      <c r="AC1633">
        <v>0</v>
      </c>
      <c r="AD1633">
        <v>0</v>
      </c>
      <c r="AE1633">
        <v>0</v>
      </c>
      <c r="AF1633">
        <v>0</v>
      </c>
      <c r="AG1633">
        <v>0</v>
      </c>
      <c r="AH1633">
        <v>0</v>
      </c>
      <c r="AI1633">
        <v>0</v>
      </c>
      <c r="AJ1633">
        <v>0</v>
      </c>
      <c r="AK1633">
        <v>0</v>
      </c>
      <c r="AL1633">
        <v>0</v>
      </c>
      <c r="AM1633">
        <v>0</v>
      </c>
      <c r="AN1633">
        <v>0</v>
      </c>
      <c r="AO1633">
        <v>0</v>
      </c>
      <c r="AP1633">
        <v>0</v>
      </c>
      <c r="AQ1633">
        <v>2</v>
      </c>
      <c r="AR1633">
        <v>0</v>
      </c>
      <c r="AS1633">
        <v>0</v>
      </c>
      <c r="AT1633">
        <v>0</v>
      </c>
      <c r="AU1633">
        <v>0</v>
      </c>
      <c r="AV1633">
        <v>0</v>
      </c>
      <c r="AW1633">
        <v>0</v>
      </c>
      <c r="AX1633">
        <v>0</v>
      </c>
      <c r="AY1633">
        <v>0</v>
      </c>
      <c r="AZ1633" s="141">
        <f t="shared" si="617"/>
        <v>2</v>
      </c>
      <c r="BA1633" s="141">
        <f t="shared" si="618"/>
        <v>1</v>
      </c>
      <c r="BB1633">
        <f t="shared" si="619"/>
        <v>1</v>
      </c>
      <c r="BC1633">
        <f t="shared" si="620"/>
        <v>0</v>
      </c>
      <c r="BD1633">
        <f t="shared" si="621"/>
        <v>0</v>
      </c>
      <c r="BE1633">
        <f t="shared" si="622"/>
        <v>0</v>
      </c>
      <c r="BF1633">
        <f t="shared" si="623"/>
        <v>1</v>
      </c>
      <c r="BG1633" t="str">
        <f t="array" ref="BG1633">IF(BA1633=1,INDEX($X$7:$AN$7,MATCH(TRUE,INDEX($X1633:$AY1633&lt;&gt;0,),0)),IF(BA1633=0,INDEX($AO$7:$AY$7,MATCH(1,$AO1633:$AY1633,0)),IF(BH1633="Multiple strategies","mixed drivers",IF(BH1633="Supply chain","multiple supply","multiple silviculture"))))</f>
        <v xml:space="preserve">cutting intensity </v>
      </c>
      <c r="BH1633" s="2" t="str" cm="1">
        <f t="array" ref="BH1633">IF(COUNTIF(BB1633:BD1633,"&lt;&gt;0")=1,INDEX($X$4:$AY$4,MATCH(TRUE,INDEX($X1633:$AY1633&lt;&gt;0,),0)),IF(COUNTIF(BB1633:BD1633,"&lt;&gt;0")=0,INDEX($AO$4:$AY$4,MATCH(1,$AO1633:$AY1633,0)),"Multiple strategies"))</f>
        <v>Silviculture for removals</v>
      </c>
      <c r="BI1633" s="1" t="s">
        <v>321</v>
      </c>
      <c r="BJ1633" t="s">
        <v>1704</v>
      </c>
      <c r="BK1633" t="s">
        <v>598</v>
      </c>
      <c r="BL1633" t="s">
        <v>498</v>
      </c>
      <c r="BM1633">
        <v>35082</v>
      </c>
      <c r="BN1633">
        <v>37563</v>
      </c>
      <c r="BO1633" t="s">
        <v>531</v>
      </c>
      <c r="BP1633">
        <f t="shared" si="624"/>
        <v>2481</v>
      </c>
      <c r="BQ1633">
        <f t="shared" si="625"/>
        <v>2481</v>
      </c>
      <c r="BR1633" t="s">
        <v>395</v>
      </c>
      <c r="BS1633" t="s">
        <v>1705</v>
      </c>
      <c r="BT1633" s="260" t="s">
        <v>2825</v>
      </c>
      <c r="BU1633">
        <v>541</v>
      </c>
      <c r="BV1633">
        <v>579</v>
      </c>
      <c r="BW1633" s="144">
        <v>1.0702402957486137</v>
      </c>
      <c r="BX1633" s="152">
        <f t="shared" si="626"/>
        <v>38</v>
      </c>
      <c r="BZ1633">
        <f t="shared" si="627"/>
        <v>38000000</v>
      </c>
      <c r="CA1633">
        <f t="shared" si="607"/>
        <v>15316.404675534059</v>
      </c>
      <c r="CB1633">
        <v>0</v>
      </c>
      <c r="CC1633">
        <v>0</v>
      </c>
      <c r="CD1633">
        <v>0</v>
      </c>
      <c r="CE1633">
        <v>0</v>
      </c>
      <c r="CF1633">
        <v>0</v>
      </c>
      <c r="CG1633">
        <v>0</v>
      </c>
      <c r="CH1633">
        <v>0</v>
      </c>
      <c r="CI1633">
        <v>0</v>
      </c>
      <c r="CJ1633">
        <v>0</v>
      </c>
      <c r="CK1633">
        <v>0</v>
      </c>
      <c r="CL1633">
        <v>0</v>
      </c>
      <c r="CM1633">
        <v>0</v>
      </c>
      <c r="CN1633">
        <v>0</v>
      </c>
      <c r="CO1633">
        <v>0</v>
      </c>
      <c r="CP1633" t="str">
        <f t="shared" si="628"/>
        <v>refOK</v>
      </c>
      <c r="CQ1633">
        <f t="shared" si="629"/>
        <v>35082</v>
      </c>
      <c r="CR1633">
        <f t="shared" si="630"/>
        <v>37563</v>
      </c>
      <c r="CS1633">
        <f t="shared" si="631"/>
        <v>2481</v>
      </c>
      <c r="CT1633">
        <f t="shared" si="608"/>
        <v>1240.5</v>
      </c>
      <c r="CU1633">
        <f t="shared" si="632"/>
        <v>-541</v>
      </c>
      <c r="CV1633">
        <f t="shared" si="633"/>
        <v>-579</v>
      </c>
      <c r="CW1633">
        <f t="shared" si="634"/>
        <v>-38000000</v>
      </c>
      <c r="CX1633">
        <f t="shared" si="609"/>
        <v>-15316.404675534059</v>
      </c>
      <c r="CY1633">
        <f t="shared" si="635"/>
        <v>-15316.404675534059</v>
      </c>
      <c r="CZ1633">
        <f t="shared" si="610"/>
        <v>-30632.809351068117</v>
      </c>
      <c r="DA1633" s="2">
        <f t="shared" si="636"/>
        <v>-7.0240295748613679E-2</v>
      </c>
      <c r="DB1633" s="1" t="s">
        <v>1078</v>
      </c>
      <c r="DC1633" t="str">
        <f t="shared" si="637"/>
        <v>reg</v>
      </c>
      <c r="DD1633" t="s">
        <v>653</v>
      </c>
      <c r="DE1633">
        <v>0</v>
      </c>
      <c r="DF1633">
        <v>0</v>
      </c>
      <c r="DG1633">
        <v>0</v>
      </c>
      <c r="DH1633" t="str">
        <f t="shared" si="638"/>
        <v>0</v>
      </c>
      <c r="DI1633">
        <v>1</v>
      </c>
      <c r="DJ1633">
        <v>0</v>
      </c>
      <c r="DK1633">
        <v>0</v>
      </c>
      <c r="DL1633">
        <v>0</v>
      </c>
      <c r="DN1633">
        <v>1</v>
      </c>
      <c r="DO1633" t="str">
        <f t="shared" si="639"/>
        <v>UpstreamInput</v>
      </c>
      <c r="DP1633" t="str">
        <f t="shared" si="640"/>
        <v>Upstream</v>
      </c>
      <c r="DQ1633">
        <f t="shared" si="641"/>
        <v>0</v>
      </c>
      <c r="DR1633">
        <f t="shared" si="642"/>
        <v>0</v>
      </c>
      <c r="DS1633">
        <f t="shared" si="643"/>
        <v>0</v>
      </c>
      <c r="DT1633">
        <v>0</v>
      </c>
      <c r="DU1633">
        <v>0</v>
      </c>
      <c r="DV1633">
        <v>0</v>
      </c>
      <c r="DW1633">
        <v>0</v>
      </c>
      <c r="DX1633">
        <v>0</v>
      </c>
      <c r="DY1633">
        <f t="shared" si="644"/>
        <v>0</v>
      </c>
      <c r="DZ1633" s="143" t="s">
        <v>926</v>
      </c>
      <c r="EA1633">
        <v>0</v>
      </c>
      <c r="EB1633">
        <v>0</v>
      </c>
      <c r="EC1633">
        <v>0</v>
      </c>
      <c r="ED1633">
        <v>0</v>
      </c>
      <c r="EE1633">
        <v>0</v>
      </c>
      <c r="EF1633" s="143">
        <v>0</v>
      </c>
      <c r="EG1633">
        <v>1</v>
      </c>
      <c r="EH1633">
        <v>0</v>
      </c>
      <c r="EI1633">
        <v>0</v>
      </c>
      <c r="EJ1633">
        <v>0</v>
      </c>
      <c r="EK1633">
        <v>0</v>
      </c>
      <c r="EL1633">
        <v>0</v>
      </c>
      <c r="EM1633">
        <v>0</v>
      </c>
      <c r="EN1633" s="2">
        <v>0</v>
      </c>
      <c r="EP1633" t="str">
        <f t="shared" si="611"/>
        <v/>
      </c>
      <c r="EQ1633" t="str">
        <f t="shared" si="645"/>
        <v/>
      </c>
      <c r="ER1633" s="2" t="str">
        <f t="shared" si="612"/>
        <v/>
      </c>
      <c r="ES1633" t="str">
        <f t="shared" si="613"/>
        <v/>
      </c>
      <c r="ET1633" t="str">
        <f t="shared" si="614"/>
        <v/>
      </c>
      <c r="EU1633" t="str">
        <f t="shared" si="615"/>
        <v/>
      </c>
      <c r="EY1633" t="str">
        <f>IF(ISNUMBER(BW1633),IF(ABS(BW1633-[2]QC_indicators!$B$2)&gt;3*[2]QC_indicators!$C$2,"C ratio",IF(ISNUMBER(CA1633),IF(ABS(CA1633-[2]QC_indicators!$B$1)&gt;3*[2]QC_indicators!$C$1,"DF","no"))),IF(ISNUMBER(CA1633),IF(ABS(CA1633-[2]QC_indicators!$B$1)&gt;3*[2]QC_indicators!$C$1,"DF","no")))</f>
        <v>no</v>
      </c>
      <c r="FA1633" t="str">
        <f t="shared" si="616"/>
        <v/>
      </c>
      <c r="FD1633" s="260" t="s">
        <v>2826</v>
      </c>
    </row>
    <row r="1634" spans="1:161" hidden="1">
      <c r="A1634" s="1" t="s">
        <v>1145</v>
      </c>
      <c r="B1634" t="s">
        <v>5083</v>
      </c>
      <c r="C1634" t="s">
        <v>5084</v>
      </c>
      <c r="D1634" t="s">
        <v>5085</v>
      </c>
      <c r="E1634" t="s">
        <v>5086</v>
      </c>
      <c r="F1634" t="s">
        <v>5087</v>
      </c>
      <c r="G1634" t="s">
        <v>1151</v>
      </c>
      <c r="H1634" t="s">
        <v>254</v>
      </c>
      <c r="I1634">
        <v>2019</v>
      </c>
      <c r="J1634">
        <v>2</v>
      </c>
      <c r="K1634" t="s">
        <v>5088</v>
      </c>
      <c r="M1634" t="str">
        <f t="shared" si="598"/>
        <v>Kucuker_2019</v>
      </c>
      <c r="N1634" s="349" t="s">
        <v>2265</v>
      </c>
      <c r="O1634" s="145" t="s">
        <v>225</v>
      </c>
      <c r="Q1634" s="349" t="s">
        <v>256</v>
      </c>
      <c r="R1634" s="350" t="s">
        <v>1029</v>
      </c>
      <c r="ES1634" t="str">
        <f t="shared" si="613"/>
        <v/>
      </c>
      <c r="ET1634" t="str">
        <f t="shared" si="614"/>
        <v/>
      </c>
      <c r="EU1634" t="str">
        <f t="shared" si="615"/>
        <v/>
      </c>
      <c r="FA1634" t="str">
        <f t="shared" si="616"/>
        <v/>
      </c>
    </row>
    <row r="1635" spans="1:161" hidden="1">
      <c r="A1635" s="1" t="s">
        <v>4103</v>
      </c>
      <c r="B1635" t="s">
        <v>4104</v>
      </c>
      <c r="C1635" t="s">
        <v>4105</v>
      </c>
      <c r="D1635" t="s">
        <v>4106</v>
      </c>
      <c r="E1635" t="s">
        <v>4107</v>
      </c>
      <c r="F1635" t="s">
        <v>4108</v>
      </c>
      <c r="G1635" t="s">
        <v>4109</v>
      </c>
      <c r="H1635" t="s">
        <v>254</v>
      </c>
      <c r="I1635">
        <v>2014</v>
      </c>
      <c r="J1635">
        <v>44</v>
      </c>
      <c r="K1635" t="s">
        <v>4110</v>
      </c>
      <c r="M1635" t="str">
        <f t="shared" si="598"/>
        <v>Shoyama_2014</v>
      </c>
      <c r="N1635" t="s">
        <v>2265</v>
      </c>
      <c r="O1635" s="145" t="s">
        <v>341</v>
      </c>
      <c r="Q1635" s="297" t="s">
        <v>256</v>
      </c>
      <c r="R1635" s="298"/>
      <c r="AZ1635" s="141"/>
      <c r="BA1635" s="141"/>
      <c r="BG1635"/>
      <c r="BH1635" s="2"/>
      <c r="BI1635" s="304"/>
      <c r="BM1635" s="152"/>
      <c r="BO1635" s="297"/>
      <c r="BP1635" s="152"/>
      <c r="BQ1635" s="152"/>
      <c r="BW1635" s="144"/>
      <c r="CA1635" t="str">
        <f>IFERROR(BZ1635/BQ1635,"")</f>
        <v/>
      </c>
      <c r="CP1635"/>
      <c r="CQ1635"/>
      <c r="CR1635"/>
      <c r="CS1635"/>
      <c r="CT1635">
        <f>IF(BI1635="Roundwood",$CS1635/2,$CS1635)</f>
        <v>0</v>
      </c>
      <c r="CU1635"/>
      <c r="CV1635"/>
      <c r="CW1635"/>
      <c r="CX1635" t="str">
        <f>IFERROR($CW1635/$CS1635,"")</f>
        <v/>
      </c>
      <c r="CY1635"/>
      <c r="CZ1635" t="str">
        <f>IFERROR($CW1635/$CT1635,"")</f>
        <v/>
      </c>
      <c r="DA1635" s="2"/>
      <c r="DC1635" s="297"/>
      <c r="DH1635"/>
      <c r="DN1635"/>
      <c r="DO1635"/>
      <c r="DP1635"/>
      <c r="DQ1635"/>
      <c r="DR1635"/>
      <c r="DS1635"/>
      <c r="DX1635" s="288"/>
      <c r="DY1635"/>
      <c r="DZ1635" s="143"/>
      <c r="EP1635" t="str">
        <f>IF(AND(AND(AND(OR($EC1635=1,$EB1635=1),OR($EH1635=1,$EF1635=1)),SUM($EA1635:$EE1635,$EK1635)&gt;=3),SUM($EF1635:$EJ1635)&gt;=2),"Whole sector approach","")</f>
        <v/>
      </c>
      <c r="EQ1635" t="str">
        <f>IF(AND(AND(OR($EC1635=1,$EB1635=1),AND($EH1635=0,$EF1635=0)),SUM($EA1635:$EE1635,$EK1635)&gt;=3),"Ecosystem approach","")</f>
        <v/>
      </c>
      <c r="ER1635" s="2" t="str">
        <f>IF(AND(AND(AND($EC1635=0,$EB1635=0),OR($EH1635=1,$EF1635=1)),SUM($EG1635:$EJ1635)&gt;=2),"Technology approach","")</f>
        <v/>
      </c>
      <c r="ES1635" t="str">
        <f t="shared" si="613"/>
        <v/>
      </c>
      <c r="ET1635" t="str">
        <f t="shared" si="614"/>
        <v/>
      </c>
      <c r="EU1635" t="str">
        <f t="shared" si="615"/>
        <v/>
      </c>
      <c r="EW1635" s="297" t="s">
        <v>4111</v>
      </c>
      <c r="EY1635" t="b">
        <f>IF(ISNUMBER(BW1635),IF(ABS(BW1635-[1]QC_indicators!$B$2)&gt;3*[1]QC_indicators!$C$2,"C ratio",IF(ISNUMBER(CA1635),IF(ABS(CA1635-[1]QC_indicators!$B$1)&gt;3*[1]QC_indicators!$C$1,"DF","no"))),IF(ISNUMBER(CA1635),IF(ABS(CA1635-[1]QC_indicators!$B$1)&gt;3*[1]QC_indicators!$C$1,"DF","no")))</f>
        <v>0</v>
      </c>
      <c r="FA1635" t="str">
        <f t="shared" si="616"/>
        <v/>
      </c>
    </row>
    <row r="1636" spans="1:161" hidden="1">
      <c r="A1636" s="1" t="s">
        <v>412</v>
      </c>
      <c r="B1636" t="s">
        <v>4112</v>
      </c>
      <c r="C1636" t="s">
        <v>4113</v>
      </c>
      <c r="D1636" t="s">
        <v>4114</v>
      </c>
      <c r="E1636" t="s">
        <v>4115</v>
      </c>
      <c r="F1636" t="s">
        <v>4116</v>
      </c>
      <c r="G1636" t="s">
        <v>418</v>
      </c>
      <c r="H1636" t="s">
        <v>254</v>
      </c>
      <c r="I1636">
        <v>2018</v>
      </c>
      <c r="J1636">
        <v>3</v>
      </c>
      <c r="K1636" t="s">
        <v>4117</v>
      </c>
      <c r="L1636" t="s">
        <v>388</v>
      </c>
      <c r="M1636" t="str">
        <f t="shared" si="598"/>
        <v>Zhang_2018a</v>
      </c>
      <c r="N1636" t="s">
        <v>2265</v>
      </c>
      <c r="O1636" s="145" t="s">
        <v>1029</v>
      </c>
      <c r="Q1636" s="297" t="s">
        <v>256</v>
      </c>
      <c r="R1636" s="298"/>
      <c r="AZ1636" s="141"/>
      <c r="BA1636" s="141"/>
      <c r="BG1636"/>
      <c r="BH1636" s="2"/>
      <c r="BO1636" s="143"/>
      <c r="BP1636" s="143"/>
      <c r="BW1636" s="144"/>
      <c r="BX1636" s="144"/>
      <c r="BY1636" s="144"/>
      <c r="BZ1636" s="144"/>
      <c r="CA1636" t="str">
        <f>IFERROR(BZ1636/BQ1636,"")</f>
        <v/>
      </c>
      <c r="CP1636"/>
      <c r="CQ1636"/>
      <c r="CR1636"/>
      <c r="CS1636"/>
      <c r="CT1636">
        <f>IF(BI1636="Roundwood",$CS1636/2,$CS1636)</f>
        <v>0</v>
      </c>
      <c r="CU1636"/>
      <c r="CV1636"/>
      <c r="CW1636"/>
      <c r="CX1636" t="str">
        <f>IFERROR($CW1636/$CS1636,"")</f>
        <v/>
      </c>
      <c r="CY1636"/>
      <c r="CZ1636" t="str">
        <f>IFERROR($CW1636/$CT1636,"")</f>
        <v/>
      </c>
      <c r="DA1636" s="2"/>
      <c r="DC1636" s="297"/>
      <c r="DH1636"/>
      <c r="DN1636"/>
      <c r="DO1636"/>
      <c r="DP1636"/>
      <c r="DQ1636"/>
      <c r="DR1636"/>
      <c r="DS1636"/>
      <c r="DY1636"/>
      <c r="DZ1636" s="143"/>
      <c r="EP1636" t="str">
        <f>IF(AND(AND(AND(OR($EC1636=1,$EB1636=1),OR($EH1636=1,$EF1636=1)),SUM($EA1636:$EE1636,$EK1636)&gt;=3),SUM($EF1636:$EJ1636)&gt;=2),"Whole sector approach","")</f>
        <v/>
      </c>
      <c r="EQ1636" t="str">
        <f>IF(AND(AND(OR($EC1636=1,$EB1636=1),AND($EH1636=0,$EF1636=0)),SUM($EA1636:$EE1636,$EK1636)&gt;=3),"Ecosystem approach","")</f>
        <v/>
      </c>
      <c r="ER1636" s="2" t="str">
        <f>IF(AND(AND(AND($EC1636=0,$EB1636=0),OR($EH1636=1,$EF1636=1)),SUM($EG1636:$EJ1636)&gt;=2),"Technology approach","")</f>
        <v/>
      </c>
      <c r="ES1636" t="str">
        <f t="shared" si="613"/>
        <v/>
      </c>
      <c r="ET1636" t="str">
        <f t="shared" si="614"/>
        <v/>
      </c>
      <c r="EU1636" t="str">
        <f t="shared" si="615"/>
        <v/>
      </c>
      <c r="EW1636" t="s">
        <v>4118</v>
      </c>
      <c r="EX1636" t="s">
        <v>4004</v>
      </c>
      <c r="EY1636" t="b">
        <f>IF(ISNUMBER(BW1636),IF(ABS(BW1636-[1]QC_indicators!$B$2)&gt;3*[1]QC_indicators!$C$2,"C ratio",IF(ISNUMBER(CA1636),IF(ABS(CA1636-[1]QC_indicators!$B$1)&gt;3*[1]QC_indicators!$C$1,"DF","no"))),IF(ISNUMBER(CA1636),IF(ABS(CA1636-[1]QC_indicators!$B$1)&gt;3*[1]QC_indicators!$C$1,"DF","no")))</f>
        <v>0</v>
      </c>
      <c r="FA1636" t="str">
        <f t="shared" si="616"/>
        <v/>
      </c>
    </row>
    <row r="1637" spans="1:161" hidden="1">
      <c r="A1637" s="1" t="s">
        <v>412</v>
      </c>
      <c r="B1637" t="s">
        <v>4112</v>
      </c>
      <c r="C1637" t="s">
        <v>4113</v>
      </c>
      <c r="D1637" t="s">
        <v>4114</v>
      </c>
      <c r="E1637" t="s">
        <v>4115</v>
      </c>
      <c r="F1637" t="s">
        <v>4116</v>
      </c>
      <c r="G1637" t="s">
        <v>418</v>
      </c>
      <c r="H1637" t="s">
        <v>254</v>
      </c>
      <c r="I1637">
        <v>2018</v>
      </c>
      <c r="J1637">
        <v>3</v>
      </c>
      <c r="K1637" t="s">
        <v>4117</v>
      </c>
      <c r="L1637" t="s">
        <v>388</v>
      </c>
      <c r="M1637" t="str">
        <f t="shared" si="598"/>
        <v>Zhang_2018a</v>
      </c>
      <c r="N1637" t="s">
        <v>2265</v>
      </c>
      <c r="O1637" s="145" t="s">
        <v>1029</v>
      </c>
      <c r="Q1637" s="297" t="s">
        <v>256</v>
      </c>
      <c r="R1637" s="298"/>
      <c r="AZ1637" s="141"/>
      <c r="BA1637" s="141"/>
      <c r="BG1637"/>
      <c r="BH1637" s="2"/>
      <c r="BO1637" s="143"/>
      <c r="BP1637" s="143"/>
      <c r="BW1637" s="144"/>
      <c r="BX1637" s="144"/>
      <c r="BY1637" s="144"/>
      <c r="BZ1637" s="144"/>
      <c r="CA1637" t="str">
        <f>IFERROR(BZ1637/BQ1637,"")</f>
        <v/>
      </c>
      <c r="CP1637"/>
      <c r="CQ1637"/>
      <c r="CR1637"/>
      <c r="CS1637"/>
      <c r="CT1637">
        <f>IF(BI1637="Roundwood",$CS1637/2,$CS1637)</f>
        <v>0</v>
      </c>
      <c r="CU1637"/>
      <c r="CV1637"/>
      <c r="CW1637"/>
      <c r="CX1637" t="str">
        <f>IFERROR($CW1637/$CS1637,"")</f>
        <v/>
      </c>
      <c r="CY1637"/>
      <c r="CZ1637" t="str">
        <f>IFERROR($CW1637/$CT1637,"")</f>
        <v/>
      </c>
      <c r="DA1637" s="2"/>
      <c r="DC1637" s="297"/>
      <c r="DH1637"/>
      <c r="DN1637"/>
      <c r="DO1637"/>
      <c r="DP1637"/>
      <c r="DQ1637"/>
      <c r="DR1637"/>
      <c r="DS1637"/>
      <c r="DY1637"/>
      <c r="DZ1637" s="143"/>
      <c r="EP1637" t="str">
        <f>IF(AND(AND(AND(OR($EC1637=1,$EB1637=1),OR($EH1637=1,$EF1637=1)),SUM($EA1637:$EE1637,$EK1637)&gt;=3),SUM($EF1637:$EJ1637)&gt;=2),"Whole sector approach","")</f>
        <v/>
      </c>
      <c r="EQ1637" t="str">
        <f>IF(AND(AND(OR($EC1637=1,$EB1637=1),AND($EH1637=0,$EF1637=0)),SUM($EA1637:$EE1637,$EK1637)&gt;=3),"Ecosystem approach","")</f>
        <v/>
      </c>
      <c r="ER1637" s="2" t="str">
        <f>IF(AND(AND(AND($EC1637=0,$EB1637=0),OR($EH1637=1,$EF1637=1)),SUM($EG1637:$EJ1637)&gt;=2),"Technology approach","")</f>
        <v/>
      </c>
      <c r="ES1637" t="str">
        <f t="shared" si="613"/>
        <v/>
      </c>
      <c r="ET1637" t="str">
        <f t="shared" si="614"/>
        <v/>
      </c>
      <c r="EU1637" t="str">
        <f t="shared" si="615"/>
        <v/>
      </c>
      <c r="EW1637" t="s">
        <v>4118</v>
      </c>
      <c r="EX1637" t="s">
        <v>4004</v>
      </c>
      <c r="EY1637" t="b">
        <f>IF(ISNUMBER(BW1637),IF(ABS(BW1637-[1]QC_indicators!$B$2)&gt;3*[1]QC_indicators!$C$2,"C ratio",IF(ISNUMBER(CA1637),IF(ABS(CA1637-[1]QC_indicators!$B$1)&gt;3*[1]QC_indicators!$C$1,"DF","no"))),IF(ISNUMBER(CA1637),IF(ABS(CA1637-[1]QC_indicators!$B$1)&gt;3*[1]QC_indicators!$C$1,"DF","no")))</f>
        <v>0</v>
      </c>
      <c r="FA1637" t="str">
        <f t="shared" si="616"/>
        <v/>
      </c>
      <c r="FD1637" s="184"/>
    </row>
    <row r="1638" spans="1:161" hidden="1">
      <c r="A1638" s="173" t="s">
        <v>1779</v>
      </c>
      <c r="B1638" s="141" t="s">
        <v>4059</v>
      </c>
      <c r="C1638" s="141" t="s">
        <v>4060</v>
      </c>
      <c r="D1638" s="141" t="s">
        <v>4061</v>
      </c>
      <c r="E1638" s="141" t="s">
        <v>4062</v>
      </c>
      <c r="F1638" s="141" t="s">
        <v>4063</v>
      </c>
      <c r="G1638" s="141" t="s">
        <v>1780</v>
      </c>
      <c r="H1638" s="141"/>
      <c r="I1638" s="141">
        <v>2020</v>
      </c>
      <c r="J1638" s="141"/>
      <c r="K1638" s="141" t="s">
        <v>4064</v>
      </c>
      <c r="L1638" s="141"/>
      <c r="M1638" t="str">
        <f t="shared" si="598"/>
        <v>Biber_2020</v>
      </c>
      <c r="N1638" t="s">
        <v>2268</v>
      </c>
      <c r="O1638" s="141" t="s">
        <v>225</v>
      </c>
      <c r="P1638" s="141"/>
      <c r="Q1638" s="297" t="s">
        <v>224</v>
      </c>
      <c r="R1638" s="298"/>
      <c r="S1638" s="173"/>
      <c r="T1638" s="141"/>
      <c r="U1638" s="163"/>
      <c r="V1638" s="163"/>
      <c r="W1638" s="163"/>
      <c r="X1638" s="141"/>
      <c r="Y1638" s="141"/>
      <c r="Z1638" s="141"/>
      <c r="AA1638" s="141"/>
      <c r="AB1638" s="141"/>
      <c r="AC1638" s="141"/>
      <c r="AD1638" s="141"/>
      <c r="AE1638" s="141"/>
      <c r="AF1638" s="141"/>
      <c r="AG1638" s="141"/>
      <c r="AH1638" s="141"/>
      <c r="AI1638" s="141"/>
      <c r="AJ1638" s="141"/>
      <c r="AK1638" s="141"/>
      <c r="AL1638" s="141"/>
      <c r="AM1638" s="141"/>
      <c r="AN1638" s="141"/>
      <c r="AO1638" s="141"/>
      <c r="AP1638" s="141"/>
      <c r="AQ1638" s="141"/>
      <c r="AR1638" s="141"/>
      <c r="AS1638" s="141"/>
      <c r="AT1638" s="141"/>
      <c r="AU1638" s="141"/>
      <c r="AV1638" s="141"/>
      <c r="AW1638" s="141"/>
      <c r="AX1638" s="141"/>
      <c r="AY1638" s="141"/>
      <c r="AZ1638" s="141"/>
      <c r="BA1638" s="141"/>
      <c r="BG1638"/>
      <c r="BH1638" s="2"/>
      <c r="BI1638" s="172"/>
      <c r="BJ1638" s="141"/>
      <c r="BK1638" s="141"/>
      <c r="BL1638" s="163"/>
      <c r="BM1638" s="141"/>
      <c r="BN1638" s="163"/>
      <c r="BO1638" s="163"/>
      <c r="BP1638" s="163"/>
      <c r="BQ1638" s="163"/>
      <c r="BR1638" s="163"/>
      <c r="BS1638" s="163"/>
      <c r="BT1638" s="141"/>
      <c r="BU1638" s="163"/>
      <c r="BV1638" s="141"/>
      <c r="BW1638" s="144"/>
      <c r="BX1638" s="141"/>
      <c r="BY1638" s="141"/>
      <c r="BZ1638" s="141"/>
      <c r="CA1638" t="str">
        <f>IFERROR(BZ1638/BQ1638,"")</f>
        <v/>
      </c>
      <c r="CB1638" s="141"/>
      <c r="CC1638" s="141"/>
      <c r="CD1638" s="141"/>
      <c r="CE1638" s="141"/>
      <c r="CF1638" s="141"/>
      <c r="CG1638" s="141"/>
      <c r="CH1638" s="141"/>
      <c r="CI1638" s="141"/>
      <c r="CJ1638" s="141"/>
      <c r="CK1638" s="141"/>
      <c r="CL1638" s="141"/>
      <c r="CM1638" s="141"/>
      <c r="CN1638" s="141"/>
      <c r="CO1638" s="141"/>
      <c r="CP1638"/>
      <c r="CQ1638"/>
      <c r="CR1638"/>
      <c r="CS1638"/>
      <c r="CT1638">
        <f>IF(BI1638="Roundwood",$CS1638/2,$CS1638)</f>
        <v>0</v>
      </c>
      <c r="CU1638"/>
      <c r="CV1638"/>
      <c r="CW1638"/>
      <c r="CX1638" t="str">
        <f>IFERROR($CW1638/$CS1638,"")</f>
        <v/>
      </c>
      <c r="CY1638"/>
      <c r="CZ1638" t="str">
        <f>IFERROR($CW1638/$CT1638,"")</f>
        <v/>
      </c>
      <c r="DA1638" s="2"/>
      <c r="DB1638" s="173"/>
      <c r="DC1638" s="297"/>
      <c r="DD1638" s="141"/>
      <c r="DE1638" s="141"/>
      <c r="DF1638" s="163"/>
      <c r="DG1638" s="163"/>
      <c r="DH1638"/>
      <c r="DI1638" s="141"/>
      <c r="DJ1638" s="141"/>
      <c r="DK1638" s="141"/>
      <c r="DL1638" s="141"/>
      <c r="DN1638"/>
      <c r="DO1638"/>
      <c r="DP1638"/>
      <c r="DQ1638"/>
      <c r="DR1638"/>
      <c r="DS1638"/>
      <c r="DT1638" s="163"/>
      <c r="DU1638" s="141"/>
      <c r="DV1638" s="163"/>
      <c r="DW1638" s="141"/>
      <c r="DX1638" s="163"/>
      <c r="DY1638"/>
      <c r="DZ1638" s="143"/>
      <c r="EA1638" s="163"/>
      <c r="EB1638" s="141"/>
      <c r="EC1638" s="163"/>
      <c r="ED1638" s="163"/>
      <c r="EE1638" s="141"/>
      <c r="EF1638" s="141"/>
      <c r="EG1638" s="163"/>
      <c r="EH1638" s="141"/>
      <c r="EI1638" s="163"/>
      <c r="EJ1638" s="141"/>
      <c r="EK1638" s="141"/>
      <c r="EL1638" s="163"/>
      <c r="EM1638" s="141"/>
      <c r="EN1638" s="176"/>
      <c r="EP1638" t="str">
        <f>IF(AND(AND(AND(OR($EC1638=1,$EB1638=1),OR($EH1638=1,$EF1638=1)),SUM($EA1638:$EE1638,$EK1638)&gt;=3),SUM($EF1638:$EJ1638)&gt;=2),"Whole sector approach","")</f>
        <v/>
      </c>
      <c r="EQ1638" t="str">
        <f>IF(AND(AND(OR($EC1638=1,$EB1638=1),AND($EH1638=0,$EF1638=0)),SUM($EA1638:$EE1638,$EK1638)&gt;=3),"Ecosystem approach","")</f>
        <v/>
      </c>
      <c r="ER1638" s="2" t="str">
        <f>IF(AND(AND(AND($EC1638=0,$EB1638=0),OR($EH1638=1,$EF1638=1)),SUM($EG1638:$EJ1638)&gt;=2),"Technology approach","")</f>
        <v/>
      </c>
      <c r="ES1638" t="str">
        <f t="shared" si="613"/>
        <v/>
      </c>
      <c r="ET1638" t="str">
        <f t="shared" si="614"/>
        <v/>
      </c>
      <c r="EU1638" t="str">
        <f t="shared" si="615"/>
        <v/>
      </c>
      <c r="EW1638" s="141"/>
      <c r="EX1638" t="s">
        <v>4065</v>
      </c>
      <c r="EY1638" t="b">
        <f>IF(ISNUMBER(BW1638),IF(ABS(BW1638-[1]QC_indicators!$B$2)&gt;3*[1]QC_indicators!$C$2,"C ratio",IF(ISNUMBER(CA1638),IF(ABS(CA1638-[1]QC_indicators!$B$1)&gt;3*[1]QC_indicators!$C$1,"DF","no"))),IF(ISNUMBER(CA1638),IF(ABS(CA1638-[1]QC_indicators!$B$1)&gt;3*[1]QC_indicators!$C$1,"DF","no")))</f>
        <v>0</v>
      </c>
      <c r="FA1638" t="str">
        <f t="shared" si="616"/>
        <v/>
      </c>
      <c r="FE1638" s="139"/>
    </row>
    <row r="1639" spans="1:161" hidden="1">
      <c r="A1639" s="1" t="s">
        <v>1001</v>
      </c>
      <c r="B1639" t="s">
        <v>4066</v>
      </c>
      <c r="C1639" t="s">
        <v>4067</v>
      </c>
      <c r="D1639" t="s">
        <v>4068</v>
      </c>
      <c r="E1639" s="297" t="s">
        <v>4069</v>
      </c>
      <c r="F1639" t="s">
        <v>4070</v>
      </c>
      <c r="G1639" t="s">
        <v>1002</v>
      </c>
      <c r="H1639" t="s">
        <v>254</v>
      </c>
      <c r="I1639">
        <v>2016</v>
      </c>
      <c r="J1639">
        <v>19</v>
      </c>
      <c r="K1639" t="s">
        <v>4071</v>
      </c>
      <c r="M1639" t="str">
        <f t="shared" si="598"/>
        <v>Kilpelainen_2016</v>
      </c>
      <c r="N1639" s="297" t="s">
        <v>2268</v>
      </c>
      <c r="O1639" s="171" t="s">
        <v>508</v>
      </c>
      <c r="P1639" t="s">
        <v>223</v>
      </c>
      <c r="Q1639" s="297" t="s">
        <v>389</v>
      </c>
      <c r="R1639" s="298"/>
      <c r="U1639" s="143"/>
      <c r="V1639" s="143"/>
      <c r="W1639" s="143"/>
      <c r="AZ1639" s="141"/>
      <c r="BA1639" s="141"/>
      <c r="BG1639"/>
      <c r="BH1639" s="2"/>
      <c r="BI1639" s="142"/>
      <c r="BL1639" s="143"/>
      <c r="BN1639" s="143"/>
      <c r="BP1639" s="158"/>
      <c r="BQ1639" s="159"/>
      <c r="BU1639" s="151"/>
      <c r="BV1639" s="151"/>
      <c r="BW1639" s="144"/>
      <c r="CA1639" t="str">
        <f>IFERROR(BZ1639/BQ1639,"")</f>
        <v/>
      </c>
      <c r="CB1639" s="143"/>
      <c r="CC1639" s="143"/>
      <c r="CD1639" s="143"/>
      <c r="CE1639" s="143"/>
      <c r="CF1639" s="143"/>
      <c r="CG1639" s="143"/>
      <c r="CH1639" s="143"/>
      <c r="CI1639" s="143"/>
      <c r="CJ1639" s="143"/>
      <c r="CK1639" s="143"/>
      <c r="CL1639" s="143"/>
      <c r="CM1639" s="143"/>
      <c r="CN1639" s="143"/>
      <c r="CP1639"/>
      <c r="CQ1639"/>
      <c r="CR1639"/>
      <c r="CS1639"/>
      <c r="CT1639">
        <f>IF(BI1639="Roundwood",$CS1639/2,$CS1639)</f>
        <v>0</v>
      </c>
      <c r="CU1639"/>
      <c r="CV1639"/>
      <c r="CW1639"/>
      <c r="CX1639" t="str">
        <f>IFERROR($CW1639/$CS1639,"")</f>
        <v/>
      </c>
      <c r="CY1639"/>
      <c r="CZ1639" t="str">
        <f>IFERROR($CW1639/$CT1639,"")</f>
        <v/>
      </c>
      <c r="DA1639" s="2"/>
      <c r="DC1639" s="297"/>
      <c r="DF1639" s="143"/>
      <c r="DG1639" s="143"/>
      <c r="DH1639"/>
      <c r="DN1639"/>
      <c r="DO1639"/>
      <c r="DP1639"/>
      <c r="DQ1639"/>
      <c r="DR1639"/>
      <c r="DS1639"/>
      <c r="DU1639" s="143"/>
      <c r="DV1639" s="143"/>
      <c r="DX1639" s="143"/>
      <c r="DY1639"/>
      <c r="DZ1639" s="143"/>
      <c r="EA1639" s="143"/>
      <c r="EB1639" s="143"/>
      <c r="EC1639" s="143"/>
      <c r="ED1639" s="143"/>
      <c r="EG1639" s="143"/>
      <c r="EH1639" s="143"/>
      <c r="EI1639" s="143"/>
      <c r="EL1639" s="143"/>
      <c r="EM1639" s="143"/>
      <c r="EP1639" t="str">
        <f>IF(AND(AND(AND(OR($EC1639=1,$EB1639=1),OR($EH1639=1,$EF1639=1)),SUM($EA1639:$EE1639,$EK1639)&gt;=3),SUM($EF1639:$EJ1639)&gt;=2),"Whole sector approach","")</f>
        <v/>
      </c>
      <c r="EQ1639" t="str">
        <f>IF(AND(AND(OR($EC1639=1,$EB1639=1),AND($EH1639=0,$EF1639=0)),SUM($EA1639:$EE1639,$EK1639)&gt;=3),"Ecosystem approach","")</f>
        <v/>
      </c>
      <c r="ER1639" s="2" t="str">
        <f>IF(AND(AND(AND($EC1639=0,$EB1639=0),OR($EH1639=1,$EF1639=1)),SUM($EG1639:$EJ1639)&gt;=2),"Technology approach","")</f>
        <v/>
      </c>
      <c r="ES1639" t="str">
        <f t="shared" si="613"/>
        <v/>
      </c>
      <c r="ET1639" t="str">
        <f t="shared" si="614"/>
        <v/>
      </c>
      <c r="EU1639" t="str">
        <f t="shared" si="615"/>
        <v/>
      </c>
      <c r="EY1639" t="b">
        <f>IF(ISNUMBER(BW1639),IF(ABS(BW1639-[1]QC_indicators!$B$2)&gt;3*[1]QC_indicators!$C$2,"C ratio",IF(ISNUMBER(CA1639),IF(ABS(CA1639-[1]QC_indicators!$B$1)&gt;3*[1]QC_indicators!$C$1,"DF","no"))),IF(ISNUMBER(CA1639),IF(ABS(CA1639-[1]QC_indicators!$B$1)&gt;3*[1]QC_indicators!$C$1,"DF","no")))</f>
        <v>0</v>
      </c>
      <c r="FA1639" t="str">
        <f t="shared" si="616"/>
        <v/>
      </c>
    </row>
  </sheetData>
  <autoFilter ref="A7:ID1639" xr:uid="{00000000-0009-0000-0000-000000000000}">
    <filterColumn colId="13">
      <filters>
        <filter val="included"/>
      </filters>
    </filterColumn>
    <filterColumn colId="150">
      <customFilters>
        <customFilter operator="notEqual" val=" "/>
      </customFilters>
    </filterColumn>
    <sortState xmlns:xlrd2="http://schemas.microsoft.com/office/spreadsheetml/2017/richdata2" ref="A604:FE1582">
      <sortCondition ref="CY7:CY1639"/>
    </sortState>
  </autoFilter>
  <sortState xmlns:xlrd2="http://schemas.microsoft.com/office/spreadsheetml/2017/richdata2" ref="A4:DA954">
    <sortCondition ref="D4:D954"/>
    <sortCondition ref="I4:I954"/>
  </sortState>
  <conditionalFormatting sqref="T958">
    <cfRule type="cellIs" dxfId="256" priority="232" operator="equal">
      <formula>0</formula>
    </cfRule>
  </conditionalFormatting>
  <conditionalFormatting sqref="T1006:T1020">
    <cfRule type="cellIs" dxfId="255" priority="231" operator="equal">
      <formula>0</formula>
    </cfRule>
  </conditionalFormatting>
  <conditionalFormatting sqref="T1264 U1267:W1268">
    <cfRule type="cellIs" dxfId="254" priority="136" operator="equal">
      <formula>0</formula>
    </cfRule>
  </conditionalFormatting>
  <conditionalFormatting sqref="T1269">
    <cfRule type="cellIs" dxfId="253" priority="135" operator="equal">
      <formula>0</formula>
    </cfRule>
  </conditionalFormatting>
  <conditionalFormatting sqref="U8:U10">
    <cfRule type="cellIs" dxfId="252" priority="307" operator="equal">
      <formula>0</formula>
    </cfRule>
  </conditionalFormatting>
  <conditionalFormatting sqref="U12">
    <cfRule type="cellIs" dxfId="251" priority="306" operator="equal">
      <formula>0</formula>
    </cfRule>
  </conditionalFormatting>
  <conditionalFormatting sqref="U1164:W1164 U1165">
    <cfRule type="cellIs" dxfId="250" priority="169" operator="equal">
      <formula>0</formula>
    </cfRule>
    <cfRule type="cellIs" dxfId="249" priority="170" operator="equal">
      <formula>0</formula>
    </cfRule>
  </conditionalFormatting>
  <conditionalFormatting sqref="U1261:W1263">
    <cfRule type="cellIs" dxfId="248" priority="128" operator="equal">
      <formula>0</formula>
    </cfRule>
  </conditionalFormatting>
  <conditionalFormatting sqref="U1265:W1265">
    <cfRule type="cellIs" dxfId="247" priority="127" operator="equal">
      <formula>0</formula>
    </cfRule>
  </conditionalFormatting>
  <conditionalFormatting sqref="V8:V37 V39:V76 V83:W85 W86:W87">
    <cfRule type="cellIs" dxfId="246" priority="11" operator="equal">
      <formula>0</formula>
    </cfRule>
  </conditionalFormatting>
  <conditionalFormatting sqref="V88:W120">
    <cfRule type="cellIs" dxfId="245" priority="10" operator="equal">
      <formula>0</formula>
    </cfRule>
  </conditionalFormatting>
  <conditionalFormatting sqref="V184:W227 DO922:DS1034 DY922:DY1034 DM958:DN1020 AZ958:AZ1249 V980:W1011 X1035:BA1183 EQ1035:ER1183 DY1037:DY1247 DI1069:DX1149 EV1124:EV1183 DO1156:DS1247 DN1194:DN1247 X1395:BA1633 EV1396:EV1515 BI1396:BI1596 DI1396:DY1610 EA1396:EO1610 EQ1396:ER1610 CB1396:CO1633 V1453:W1497 V229:W261 V275:W477 V483:W521 V533:W586 V589:W592 V686:W726 V731:W756 V766:W769 V777:W841 V854:W855 V857:W861 V922:W942 V951:W954 V956:W970 V1013:W1015 V1020:W1060 V1087:W1130 V1165:W1209 V1234:W1238 V1275:W1275 V1277:W1303 V1311:W1320 V1338:W1340 V1342:W1345 V1352:W1383 V1391:W1404 V1411:W1416 V1438:W1440 EA1035:EO1183 BI1035:BI1164 CB1035:CO1183 V864:W898">
    <cfRule type="cellIs" dxfId="244" priority="691" operator="equal">
      <formula>0</formula>
    </cfRule>
  </conditionalFormatting>
  <conditionalFormatting sqref="V229:W261 V275:W477 V483:W521 V533:W586 V589:W592 V686:W726 V731:W756 V766:W769 V777:W841 V854:W855 V857:W861 V922:W942 V951:W954 V956:W970 V1013:W1015 V1020:W1060 V1087:W1130 V1165:W1209 V1234:W1238 V1275:W1275 V1277:W1303 V1311:W1320 V1338:W1340 V1342:W1345 V1352:W1383 V1391:W1404 V1411:W1416 V1438:W1440">
    <cfRule type="cellIs" dxfId="243" priority="291" operator="equal">
      <formula>0</formula>
    </cfRule>
  </conditionalFormatting>
  <conditionalFormatting sqref="V864:W901">
    <cfRule type="cellIs" dxfId="242" priority="4" operator="equal">
      <formula>0</formula>
    </cfRule>
  </conditionalFormatting>
  <conditionalFormatting sqref="V899:W901">
    <cfRule type="cellIs" dxfId="241" priority="3" operator="equal">
      <formula>0</formula>
    </cfRule>
  </conditionalFormatting>
  <conditionalFormatting sqref="W8:W82">
    <cfRule type="cellIs" dxfId="240" priority="7" operator="equal">
      <formula>0</formula>
    </cfRule>
  </conditionalFormatting>
  <conditionalFormatting sqref="W56:W67 ER41:ER902 X41:BA957 BI41:BI957 CB41:CO957 EA41:EO957 EV41:EV957 DI88:DY912 V597:W682 DI913:DS921 DU913:DY921 DT913:DT923">
    <cfRule type="cellIs" dxfId="239" priority="8" operator="equal">
      <formula>0</formula>
    </cfRule>
  </conditionalFormatting>
  <conditionalFormatting sqref="W124:W126 W131 W138:W140 W143:W170">
    <cfRule type="cellIs" dxfId="238" priority="9" operator="equal">
      <formula>0</formula>
    </cfRule>
  </conditionalFormatting>
  <conditionalFormatting sqref="X1022:BA1259 EV1102:EV1112 AB1111:AE1111 AA1111:AA1114 X1111:Y1118 AF1111:AK1118 AC1112:AC1118 AE1112:AE1118 EF1137:EF1145">
    <cfRule type="cellIs" dxfId="237" priority="226" operator="equal">
      <formula>0</formula>
    </cfRule>
  </conditionalFormatting>
  <conditionalFormatting sqref="X1270:BA1299 CB1267:CO1312 EA1383:EE1394 EG1383:EO1394 AZ1395">
    <cfRule type="cellIs" dxfId="236" priority="114" operator="equal">
      <formula>0</formula>
    </cfRule>
  </conditionalFormatting>
  <conditionalFormatting sqref="X8:BF902 V597:W682 EA8:EV8 T11 U14:U15">
    <cfRule type="cellIs" dxfId="235" priority="315" operator="equal">
      <formula>0</formula>
    </cfRule>
  </conditionalFormatting>
  <conditionalFormatting sqref="X1260:BF1269 DI1260:DY1269">
    <cfRule type="cellIs" dxfId="234" priority="125" operator="equal">
      <formula>0</formula>
    </cfRule>
  </conditionalFormatting>
  <conditionalFormatting sqref="Y1021:BA1021 EA1021 T1022:T1033">
    <cfRule type="cellIs" dxfId="233" priority="233" operator="equal">
      <formula>0</formula>
    </cfRule>
  </conditionalFormatting>
  <conditionalFormatting sqref="Z53:AA53">
    <cfRule type="cellIs" dxfId="232" priority="317" operator="equal">
      <formula>0</formula>
    </cfRule>
    <cfRule type="cellIs" dxfId="231" priority="319" operator="equal">
      <formula>0</formula>
    </cfRule>
  </conditionalFormatting>
  <conditionalFormatting sqref="Z1108:AA1108">
    <cfRule type="cellIs" dxfId="230" priority="225" operator="equal">
      <formula>0</formula>
    </cfRule>
  </conditionalFormatting>
  <conditionalFormatting sqref="Z1108:AA1109">
    <cfRule type="cellIs" dxfId="229" priority="200" operator="equal">
      <formula>0</formula>
    </cfRule>
  </conditionalFormatting>
  <conditionalFormatting sqref="AO50:AR50">
    <cfRule type="cellIs" dxfId="228" priority="320" operator="equal">
      <formula>0</formula>
    </cfRule>
    <cfRule type="cellIs" dxfId="227" priority="318" operator="equal">
      <formula>0</formula>
    </cfRule>
  </conditionalFormatting>
  <conditionalFormatting sqref="AZ1270:AZ1312 DI1270:DL1312 DN1270:DY1312 DM1270:DM1313 AF1300:AJ1300 X1300:AE1312 AL1300:AY1312 BA1300:BA1312 AF1301:AK1312">
    <cfRule type="cellIs" dxfId="226" priority="113" operator="equal">
      <formula>0</formula>
    </cfRule>
  </conditionalFormatting>
  <conditionalFormatting sqref="AZ1298:AZ1312 CB1298:CO1312 EA1383:EE1394 EG1383:EO1394 AZ1395 EA1298:EO1312 EQ1298:ER1312 EV1298:EV1312 EQ1383:ER1395 EA1395:EO1395">
    <cfRule type="cellIs" dxfId="225" priority="117" operator="equal">
      <formula>0</formula>
    </cfRule>
  </conditionalFormatting>
  <conditionalFormatting sqref="BB1270:BF1382 X1383:BF1394 DI1383:DL1394 DN1383:DY1394">
    <cfRule type="cellIs" dxfId="224" priority="94" operator="equal">
      <formula>0</formula>
    </cfRule>
  </conditionalFormatting>
  <conditionalFormatting sqref="BB1270:BF1395 DI1383:DL1394 DN1383:DY1394 X1383:BA1395">
    <cfRule type="cellIs" dxfId="223" priority="93" operator="equal">
      <formula>0</formula>
    </cfRule>
  </conditionalFormatting>
  <conditionalFormatting sqref="BI1166:BI1192">
    <cfRule type="cellIs" dxfId="222" priority="155" operator="equal">
      <formula>0</formula>
    </cfRule>
  </conditionalFormatting>
  <conditionalFormatting sqref="BI1184:BI1188">
    <cfRule type="cellIs" dxfId="221" priority="154" operator="equal">
      <formula>0</formula>
    </cfRule>
  </conditionalFormatting>
  <conditionalFormatting sqref="BI1298:BI1395">
    <cfRule type="cellIs" dxfId="220" priority="83" operator="equal">
      <formula>0</formula>
    </cfRule>
  </conditionalFormatting>
  <conditionalFormatting sqref="BI1598:BI1603">
    <cfRule type="cellIs" dxfId="219" priority="69" operator="equal">
      <formula>0</formula>
    </cfRule>
    <cfRule type="cellIs" dxfId="218" priority="66" operator="equal">
      <formula>0</formula>
    </cfRule>
  </conditionalFormatting>
  <conditionalFormatting sqref="BI1605:BI1611">
    <cfRule type="cellIs" dxfId="217" priority="32" operator="equal">
      <formula>0</formula>
    </cfRule>
    <cfRule type="cellIs" dxfId="216" priority="31" operator="equal">
      <formula>0</formula>
    </cfRule>
  </conditionalFormatting>
  <conditionalFormatting sqref="BI1613:BI1621 BI1627:BI1633">
    <cfRule type="cellIs" dxfId="215" priority="48" operator="equal">
      <formula>0</formula>
    </cfRule>
  </conditionalFormatting>
  <conditionalFormatting sqref="BI1618:BI1621 BI1629">
    <cfRule type="cellIs" dxfId="214" priority="47" operator="equal">
      <formula>0</formula>
    </cfRule>
  </conditionalFormatting>
  <conditionalFormatting sqref="BI1623">
    <cfRule type="cellIs" dxfId="213" priority="39" operator="equal">
      <formula>0</formula>
    </cfRule>
  </conditionalFormatting>
  <conditionalFormatting sqref="BI1623:BI1625">
    <cfRule type="cellIs" dxfId="212" priority="40" operator="equal">
      <formula>0</formula>
    </cfRule>
  </conditionalFormatting>
  <conditionalFormatting sqref="BL87:BL96 BL99:BL102 DM8:DS87 DY8:DY87 DI41:DL87 DT41:DX87">
    <cfRule type="cellIs" dxfId="211" priority="312" operator="equal">
      <formula>0</formula>
    </cfRule>
  </conditionalFormatting>
  <conditionalFormatting sqref="BL548:BL557 BL560:BL563">
    <cfRule type="cellIs" dxfId="210" priority="290" operator="equal">
      <formula>0</formula>
    </cfRule>
    <cfRule type="cellIs" dxfId="209" priority="288" operator="equal">
      <formula>0</formula>
    </cfRule>
  </conditionalFormatting>
  <conditionalFormatting sqref="BM8:BM13 BM19 BM26 CP866:CP868 BM1006:BM1012 BM1019 BM1034 CP1411:CP1413">
    <cfRule type="expression" dxfId="208" priority="324">
      <formula>$BM8&lt;#REF!</formula>
    </cfRule>
  </conditionalFormatting>
  <conditionalFormatting sqref="BM16">
    <cfRule type="expression" dxfId="207" priority="321">
      <formula>$BM16&lt;#REF!</formula>
    </cfRule>
  </conditionalFormatting>
  <conditionalFormatting sqref="BM88:BM91">
    <cfRule type="expression" dxfId="206" priority="326">
      <formula>$BM88&lt;#REF!</formula>
    </cfRule>
  </conditionalFormatting>
  <conditionalFormatting sqref="BM98 BN99:BN272 BN276:BN362 BN364:BN548 BM559 BN863:BN865 CP863:CS865 CQ866:CS868 BN869:BN957 CP869:CS957 CV931:CW957 BM942:BM944 BN959:BN972 CW959:CW1172 BN1003:BN1005 BN1016:BN1018 BN1020 BM1115:BN1116 BN1123:BN1162 BM1124:BM1129 BN1166:BN1172 BN1174:BN1183 CW1174:CW1272 BN1244:BN1259 BN1270:BN1272 BN1275:BN1276 CW1275:CW1312 BN1279:BN1280 BN1283:BN1312 CW1378:CW1394 BM1395 BN1408:BN1410 CP1408:CS1410 CW1408:CW1556 CQ1411:CS1413 BN1414:BN1556 CP1414:CS1556 CP1558:CS1568 BN1558:BN1570 CW1558:CW1570 BN1573:BN1574 CW1573:CW1574 BN1577 BN1579:BN1633 BI1597:BJ1597 BL1597:BM1597 BI1604:BJ1604 BL1604:BM1604 BI1612:BJ1612 BL1612:BM1612 BI1622:BJ1622 BL1622:BM1622">
    <cfRule type="expression" dxfId="205" priority="46">
      <formula>$BN98&lt;$BM98</formula>
    </cfRule>
  </conditionalFormatting>
  <conditionalFormatting sqref="BM549:BM552">
    <cfRule type="expression" dxfId="204" priority="292">
      <formula>$BM549&lt;#REF!</formula>
    </cfRule>
  </conditionalFormatting>
  <conditionalFormatting sqref="BM861 CQ861:CS861 CW861 BM1396:BM1406 CW1396:CW1406 CP1405:CS1405 CQ1406:CS1406 BM1571:BM1572 CW1571:CW1572 BM1575 CQ1575:CS1575 CW1575">
    <cfRule type="expression" dxfId="203" priority="261">
      <formula>$BM861&lt;$BN861</formula>
    </cfRule>
  </conditionalFormatting>
  <conditionalFormatting sqref="BM866:BM868">
    <cfRule type="expression" dxfId="202" priority="275">
      <formula>$BM866&lt;#REF!</formula>
    </cfRule>
  </conditionalFormatting>
  <conditionalFormatting sqref="BM958">
    <cfRule type="expression" dxfId="201" priority="236">
      <formula>$BM958&lt;#REF!</formula>
    </cfRule>
  </conditionalFormatting>
  <conditionalFormatting sqref="BM1108:BM1109">
    <cfRule type="expression" dxfId="200" priority="229">
      <formula>#REF!&lt;$BM1108</formula>
    </cfRule>
  </conditionalFormatting>
  <conditionalFormatting sqref="BM1173">
    <cfRule type="expression" dxfId="199" priority="144">
      <formula>$BM1173&lt;$BN1173</formula>
    </cfRule>
  </conditionalFormatting>
  <conditionalFormatting sqref="BM1260:BM1266">
    <cfRule type="expression" dxfId="198" priority="140">
      <formula>$BM1260&lt;#REF!</formula>
    </cfRule>
  </conditionalFormatting>
  <conditionalFormatting sqref="BM1269">
    <cfRule type="expression" dxfId="197" priority="137">
      <formula>$BM1269&lt;#REF!</formula>
    </cfRule>
  </conditionalFormatting>
  <conditionalFormatting sqref="BM1411:BM1413">
    <cfRule type="expression" dxfId="196" priority="75">
      <formula>$BM1411&lt;#REF!</formula>
    </cfRule>
  </conditionalFormatting>
  <conditionalFormatting sqref="BN17:BN87">
    <cfRule type="expression" dxfId="195" priority="305">
      <formula>$BN17&lt;$BM17</formula>
    </cfRule>
  </conditionalFormatting>
  <conditionalFormatting sqref="BN92:BN97">
    <cfRule type="expression" dxfId="194" priority="304">
      <formula>$BN92&lt;$BM92</formula>
    </cfRule>
  </conditionalFormatting>
  <conditionalFormatting sqref="BN553:BN558">
    <cfRule type="expression" dxfId="193" priority="285">
      <formula>$BN553&lt;$BM553</formula>
    </cfRule>
  </conditionalFormatting>
  <conditionalFormatting sqref="BN973:BN980 BN982:BN988 BN1278 BN1282">
    <cfRule type="expression" dxfId="192" priority="237">
      <formula>$BN973&lt;$BM972</formula>
    </cfRule>
  </conditionalFormatting>
  <conditionalFormatting sqref="BN981">
    <cfRule type="expression" dxfId="191" priority="244">
      <formula>$BN981&lt;#REF!</formula>
    </cfRule>
  </conditionalFormatting>
  <conditionalFormatting sqref="BN989:BN997 BN1000:BN1002">
    <cfRule type="expression" dxfId="190" priority="238">
      <formula>$BN989&lt;$BM987</formula>
    </cfRule>
  </conditionalFormatting>
  <conditionalFormatting sqref="BN998:BN999">
    <cfRule type="expression" dxfId="189" priority="1216">
      <formula>$BN998&lt;#REF!</formula>
    </cfRule>
  </conditionalFormatting>
  <conditionalFormatting sqref="BN1022:BN1107">
    <cfRule type="expression" dxfId="188" priority="191">
      <formula>$BN1022&lt;$BM1022</formula>
    </cfRule>
  </conditionalFormatting>
  <conditionalFormatting sqref="BN1110:BN1113">
    <cfRule type="expression" dxfId="187" priority="196">
      <formula>$BN1110&lt;$BM1110</formula>
    </cfRule>
  </conditionalFormatting>
  <conditionalFormatting sqref="BN1204:BN1207">
    <cfRule type="expression" dxfId="186" priority="146">
      <formula>$BM1204&lt;#REF!</formula>
    </cfRule>
  </conditionalFormatting>
  <conditionalFormatting sqref="BN1267:BN1268">
    <cfRule type="expression" dxfId="185" priority="138">
      <formula>$BN1267&lt;$BM1267</formula>
    </cfRule>
  </conditionalFormatting>
  <conditionalFormatting sqref="BN1274">
    <cfRule type="expression" dxfId="184" priority="118">
      <formula>$BN1274&lt;$BM1273</formula>
    </cfRule>
  </conditionalFormatting>
  <conditionalFormatting sqref="BN1378">
    <cfRule type="expression" dxfId="183" priority="123">
      <formula>$BI1378&lt;$CO1378</formula>
    </cfRule>
  </conditionalFormatting>
  <conditionalFormatting sqref="BN1383:BN1395">
    <cfRule type="expression" dxfId="182" priority="84">
      <formula>$BN1383&lt;$BM1383</formula>
    </cfRule>
  </conditionalFormatting>
  <conditionalFormatting sqref="BN1576 CW1576">
    <cfRule type="expression" dxfId="181" priority="78">
      <formula>$BN1576&lt;#REF!</formula>
    </cfRule>
  </conditionalFormatting>
  <conditionalFormatting sqref="BU358:BU454 BV163:BV168 BU14:BU25 BU92:BU95 BV88:BV91 BU97 BV98 BU27:BU32 BU34:BU87 BU270:BU356 BU103:BU266">
    <cfRule type="duplicateValues" dxfId="180" priority="323"/>
  </conditionalFormatting>
  <conditionalFormatting sqref="BU455:BU482 BU484:BU485 BU487:BU534">
    <cfRule type="duplicateValues" dxfId="179" priority="301"/>
  </conditionalFormatting>
  <conditionalFormatting sqref="BU549:BU552 BV557:BW557 BW558:BW862 BW958:BW1020 BW1117:BX1136">
    <cfRule type="cellIs" dxfId="178" priority="289" operator="greaterThan">
      <formula>3</formula>
    </cfRule>
  </conditionalFormatting>
  <conditionalFormatting sqref="BU724:BU810 BV624:BV629 BU553:BU556 BV549:BV552 BU558 BV559 BU564:BU720 BU535:BU548 BU812:BU860">
    <cfRule type="duplicateValues" dxfId="177" priority="293"/>
  </conditionalFormatting>
  <conditionalFormatting sqref="BU863:BU892 BV861:BV862 BU898:BU902">
    <cfRule type="duplicateValues" dxfId="176" priority="1174"/>
  </conditionalFormatting>
  <conditionalFormatting sqref="BU1022:BU1034 BU958:BU1020">
    <cfRule type="duplicateValues" dxfId="175" priority="241"/>
  </conditionalFormatting>
  <conditionalFormatting sqref="BU1041">
    <cfRule type="duplicateValues" dxfId="174" priority="218"/>
  </conditionalFormatting>
  <conditionalFormatting sqref="BU1042">
    <cfRule type="duplicateValues" dxfId="173" priority="220"/>
  </conditionalFormatting>
  <conditionalFormatting sqref="BU1043">
    <cfRule type="duplicateValues" dxfId="172" priority="224"/>
  </conditionalFormatting>
  <conditionalFormatting sqref="BU1044">
    <cfRule type="duplicateValues" dxfId="171" priority="223"/>
  </conditionalFormatting>
  <conditionalFormatting sqref="BU1045">
    <cfRule type="duplicateValues" dxfId="170" priority="222"/>
  </conditionalFormatting>
  <conditionalFormatting sqref="BU1046">
    <cfRule type="duplicateValues" dxfId="169" priority="217"/>
  </conditionalFormatting>
  <conditionalFormatting sqref="BU1048">
    <cfRule type="duplicateValues" dxfId="168" priority="216"/>
  </conditionalFormatting>
  <conditionalFormatting sqref="BU1049">
    <cfRule type="duplicateValues" dxfId="167" priority="215"/>
  </conditionalFormatting>
  <conditionalFormatting sqref="BU1050">
    <cfRule type="duplicateValues" dxfId="166" priority="214"/>
  </conditionalFormatting>
  <conditionalFormatting sqref="BU1061:BU1070">
    <cfRule type="duplicateValues" dxfId="165" priority="228"/>
  </conditionalFormatting>
  <conditionalFormatting sqref="BU1071">
    <cfRule type="duplicateValues" dxfId="164" priority="213"/>
  </conditionalFormatting>
  <conditionalFormatting sqref="BU1072:BU1076">
    <cfRule type="duplicateValues" dxfId="163" priority="212"/>
  </conditionalFormatting>
  <conditionalFormatting sqref="BU1077">
    <cfRule type="duplicateValues" dxfId="162" priority="211"/>
  </conditionalFormatting>
  <conditionalFormatting sqref="BU1078:BU1082">
    <cfRule type="duplicateValues" dxfId="161" priority="210"/>
  </conditionalFormatting>
  <conditionalFormatting sqref="BU1083">
    <cfRule type="duplicateValues" dxfId="160" priority="209"/>
  </conditionalFormatting>
  <conditionalFormatting sqref="BU1084:BU1088">
    <cfRule type="duplicateValues" dxfId="159" priority="208"/>
  </conditionalFormatting>
  <conditionalFormatting sqref="BU1089">
    <cfRule type="duplicateValues" dxfId="158" priority="207"/>
  </conditionalFormatting>
  <conditionalFormatting sqref="BU1090:BU1094">
    <cfRule type="duplicateValues" dxfId="157" priority="206"/>
  </conditionalFormatting>
  <conditionalFormatting sqref="BU1095">
    <cfRule type="duplicateValues" dxfId="156" priority="205"/>
  </conditionalFormatting>
  <conditionalFormatting sqref="BU1096:BU1100">
    <cfRule type="duplicateValues" dxfId="155" priority="204"/>
  </conditionalFormatting>
  <conditionalFormatting sqref="BU1101">
    <cfRule type="duplicateValues" dxfId="154" priority="203"/>
  </conditionalFormatting>
  <conditionalFormatting sqref="BU1102:BU1106">
    <cfRule type="duplicateValues" dxfId="153" priority="202"/>
  </conditionalFormatting>
  <conditionalFormatting sqref="BU1109">
    <cfRule type="duplicateValues" dxfId="152" priority="201"/>
  </conditionalFormatting>
  <conditionalFormatting sqref="BU1111">
    <cfRule type="duplicateValues" dxfId="151" priority="199"/>
  </conditionalFormatting>
  <conditionalFormatting sqref="BU1112">
    <cfRule type="duplicateValues" dxfId="150" priority="198"/>
  </conditionalFormatting>
  <conditionalFormatting sqref="BU1113">
    <cfRule type="duplicateValues" dxfId="149" priority="197"/>
  </conditionalFormatting>
  <conditionalFormatting sqref="BU1114">
    <cfRule type="duplicateValues" dxfId="148" priority="195"/>
  </conditionalFormatting>
  <conditionalFormatting sqref="BU1115">
    <cfRule type="duplicateValues" dxfId="147" priority="194"/>
  </conditionalFormatting>
  <conditionalFormatting sqref="BU1116">
    <cfRule type="duplicateValues" dxfId="146" priority="193"/>
  </conditionalFormatting>
  <conditionalFormatting sqref="BU1117">
    <cfRule type="duplicateValues" dxfId="145" priority="190"/>
  </conditionalFormatting>
  <conditionalFormatting sqref="BU1119">
    <cfRule type="duplicateValues" dxfId="144" priority="189"/>
  </conditionalFormatting>
  <conditionalFormatting sqref="BU1120">
    <cfRule type="duplicateValues" dxfId="143" priority="230"/>
  </conditionalFormatting>
  <conditionalFormatting sqref="BU1121">
    <cfRule type="duplicateValues" dxfId="142" priority="187"/>
  </conditionalFormatting>
  <conditionalFormatting sqref="BU1122">
    <cfRule type="duplicateValues" dxfId="141" priority="188"/>
  </conditionalFormatting>
  <conditionalFormatting sqref="BU1123">
    <cfRule type="duplicateValues" dxfId="140" priority="185"/>
  </conditionalFormatting>
  <conditionalFormatting sqref="BU1124">
    <cfRule type="duplicateValues" dxfId="139" priority="186"/>
  </conditionalFormatting>
  <conditionalFormatting sqref="BU1125">
    <cfRule type="duplicateValues" dxfId="138" priority="183"/>
  </conditionalFormatting>
  <conditionalFormatting sqref="BU1126">
    <cfRule type="duplicateValues" dxfId="137" priority="184"/>
  </conditionalFormatting>
  <conditionalFormatting sqref="BU1127">
    <cfRule type="duplicateValues" dxfId="136" priority="181"/>
  </conditionalFormatting>
  <conditionalFormatting sqref="BU1128">
    <cfRule type="duplicateValues" dxfId="135" priority="182"/>
  </conditionalFormatting>
  <conditionalFormatting sqref="BU1129">
    <cfRule type="duplicateValues" dxfId="134" priority="180"/>
  </conditionalFormatting>
  <conditionalFormatting sqref="BU1130 BU1110 BU1107:BU1108 BU1051:BU1060 BU1118 BU1035:BU1038">
    <cfRule type="duplicateValues" dxfId="133" priority="227"/>
  </conditionalFormatting>
  <conditionalFormatting sqref="BU1131:BU1132">
    <cfRule type="duplicateValues" dxfId="132" priority="1243"/>
  </conditionalFormatting>
  <conditionalFormatting sqref="BU1133">
    <cfRule type="duplicateValues" dxfId="131" priority="178"/>
  </conditionalFormatting>
  <conditionalFormatting sqref="BU1134:BU1136">
    <cfRule type="duplicateValues" dxfId="130" priority="177"/>
  </conditionalFormatting>
  <conditionalFormatting sqref="BU1137:BU1172 BU1174:BU1183">
    <cfRule type="duplicateValues" dxfId="129" priority="243"/>
  </conditionalFormatting>
  <conditionalFormatting sqref="BU1184:BU1208">
    <cfRule type="duplicateValues" dxfId="128" priority="165"/>
  </conditionalFormatting>
  <conditionalFormatting sqref="BU1226">
    <cfRule type="duplicateValues" dxfId="127" priority="151"/>
  </conditionalFormatting>
  <conditionalFormatting sqref="BU1227">
    <cfRule type="duplicateValues" dxfId="126" priority="150"/>
  </conditionalFormatting>
  <conditionalFormatting sqref="BU1228">
    <cfRule type="duplicateValues" dxfId="125" priority="149"/>
  </conditionalFormatting>
  <conditionalFormatting sqref="BU1244:BU1259">
    <cfRule type="duplicateValues" dxfId="124" priority="242"/>
  </conditionalFormatting>
  <conditionalFormatting sqref="BU1267:BU1269">
    <cfRule type="duplicateValues" dxfId="123" priority="139"/>
  </conditionalFormatting>
  <conditionalFormatting sqref="BU1270:BU1312">
    <cfRule type="duplicateValues" dxfId="122" priority="122"/>
  </conditionalFormatting>
  <conditionalFormatting sqref="BU1343:BU1345 BU1313:BU1340 BU1379:BU1382 BU1348:BU1377">
    <cfRule type="duplicateValues" dxfId="121" priority="119"/>
  </conditionalFormatting>
  <conditionalFormatting sqref="BU1378">
    <cfRule type="duplicateValues" dxfId="120" priority="107"/>
  </conditionalFormatting>
  <conditionalFormatting sqref="BU1383">
    <cfRule type="duplicateValues" dxfId="119" priority="106"/>
  </conditionalFormatting>
  <conditionalFormatting sqref="BU1384">
    <cfRule type="duplicateValues" dxfId="118" priority="105"/>
  </conditionalFormatting>
  <conditionalFormatting sqref="BU1385">
    <cfRule type="duplicateValues" dxfId="117" priority="104"/>
  </conditionalFormatting>
  <conditionalFormatting sqref="BU1386">
    <cfRule type="duplicateValues" dxfId="116" priority="103"/>
  </conditionalFormatting>
  <conditionalFormatting sqref="BU1387">
    <cfRule type="duplicateValues" dxfId="115" priority="102"/>
  </conditionalFormatting>
  <conditionalFormatting sqref="BU1388">
    <cfRule type="duplicateValues" dxfId="114" priority="101"/>
  </conditionalFormatting>
  <conditionalFormatting sqref="BU1389">
    <cfRule type="duplicateValues" dxfId="113" priority="100"/>
  </conditionalFormatting>
  <conditionalFormatting sqref="BU1390">
    <cfRule type="duplicateValues" dxfId="112" priority="99"/>
  </conditionalFormatting>
  <conditionalFormatting sqref="BU1391">
    <cfRule type="duplicateValues" dxfId="111" priority="98"/>
  </conditionalFormatting>
  <conditionalFormatting sqref="BU1392">
    <cfRule type="duplicateValues" dxfId="110" priority="97"/>
  </conditionalFormatting>
  <conditionalFormatting sqref="BU1393">
    <cfRule type="duplicateValues" dxfId="109" priority="96"/>
  </conditionalFormatting>
  <conditionalFormatting sqref="BU1394">
    <cfRule type="duplicateValues" dxfId="108" priority="95"/>
  </conditionalFormatting>
  <conditionalFormatting sqref="BU1537">
    <cfRule type="duplicateValues" dxfId="107" priority="56"/>
  </conditionalFormatting>
  <conditionalFormatting sqref="BU1538">
    <cfRule type="duplicateValues" dxfId="106" priority="57"/>
  </conditionalFormatting>
  <conditionalFormatting sqref="BU1539">
    <cfRule type="duplicateValues" dxfId="105" priority="58"/>
  </conditionalFormatting>
  <conditionalFormatting sqref="BU1610">
    <cfRule type="duplicateValues" dxfId="104" priority="35"/>
  </conditionalFormatting>
  <conditionalFormatting sqref="BU1615:BU1617">
    <cfRule type="duplicateValues" dxfId="103" priority="52"/>
  </conditionalFormatting>
  <conditionalFormatting sqref="BU1623">
    <cfRule type="duplicateValues" dxfId="102" priority="41"/>
  </conditionalFormatting>
  <conditionalFormatting sqref="BU1624:BU1625 BU1627:BU1628">
    <cfRule type="duplicateValues" dxfId="101" priority="81"/>
  </conditionalFormatting>
  <conditionalFormatting sqref="BU1626">
    <cfRule type="duplicateValues" dxfId="100" priority="38"/>
  </conditionalFormatting>
  <conditionalFormatting sqref="BU1629 BU1618:BU1622">
    <cfRule type="duplicateValues" dxfId="99" priority="49"/>
  </conditionalFormatting>
  <conditionalFormatting sqref="BU1634:BU1048576 BU4:BU7">
    <cfRule type="duplicateValues" dxfId="98" priority="1159"/>
  </conditionalFormatting>
  <conditionalFormatting sqref="BV8 BV10:BV12">
    <cfRule type="duplicateValues" dxfId="97" priority="325"/>
  </conditionalFormatting>
  <conditionalFormatting sqref="BV267:BV268">
    <cfRule type="duplicateValues" dxfId="96" priority="303"/>
  </conditionalFormatting>
  <conditionalFormatting sqref="BV483">
    <cfRule type="duplicateValues" dxfId="95" priority="294"/>
  </conditionalFormatting>
  <conditionalFormatting sqref="BV721:BV723">
    <cfRule type="duplicateValues" dxfId="94" priority="284"/>
  </conditionalFormatting>
  <conditionalFormatting sqref="BV928 BV926 BV932 BV930 BV934:BV935 BU903:BU957">
    <cfRule type="duplicateValues" dxfId="93" priority="240"/>
  </conditionalFormatting>
  <conditionalFormatting sqref="BV1039">
    <cfRule type="duplicateValues" dxfId="92" priority="221"/>
  </conditionalFormatting>
  <conditionalFormatting sqref="BV1042">
    <cfRule type="duplicateValues" dxfId="91" priority="219"/>
  </conditionalFormatting>
  <conditionalFormatting sqref="BV1261 BV1263:BV1265">
    <cfRule type="duplicateValues" dxfId="90" priority="141"/>
  </conditionalFormatting>
  <conditionalFormatting sqref="BV1502:BV1512 BV1557 BU1408:BU1459 BU1558:BU1566 BU1573:BU1574 BV1575 BW1571:BW1572 BU1461:BU1465 BU1467:BU1474 BU1476 BU1478:BU1483 BU1485:BU1500 BU1513 BV1396:BV1407 BU1515:BU1536 BU1568:BU1570 BU1540:BU1556 BU1577:BU1609 BU1630 BU1611:BU1614">
    <cfRule type="duplicateValues" dxfId="89" priority="77"/>
  </conditionalFormatting>
  <conditionalFormatting sqref="BV1514">
    <cfRule type="duplicateValues" dxfId="88" priority="61"/>
  </conditionalFormatting>
  <conditionalFormatting sqref="BV1567">
    <cfRule type="duplicateValues" dxfId="87" priority="60"/>
  </conditionalFormatting>
  <conditionalFormatting sqref="BV1571:BV1572">
    <cfRule type="duplicateValues" dxfId="86" priority="64"/>
  </conditionalFormatting>
  <conditionalFormatting sqref="BW8:BW95 BU88:BU91 BV96:BW96 BW97:BW556">
    <cfRule type="cellIs" dxfId="85" priority="311" operator="greaterThan">
      <formula>3</formula>
    </cfRule>
  </conditionalFormatting>
  <conditionalFormatting sqref="BW1022:BW1034">
    <cfRule type="cellIs" dxfId="84" priority="234" operator="greaterThan">
      <formula>3</formula>
    </cfRule>
  </conditionalFormatting>
  <conditionalFormatting sqref="BW1050:BW1116">
    <cfRule type="cellIs" dxfId="83" priority="192" operator="greaterThan">
      <formula>3</formula>
    </cfRule>
  </conditionalFormatting>
  <conditionalFormatting sqref="BW1137:BW1163 BV1164:BV1165 BW1166:BW1238">
    <cfRule type="cellIs" dxfId="82" priority="168" operator="greaterThan">
      <formula>3</formula>
    </cfRule>
  </conditionalFormatting>
  <conditionalFormatting sqref="BW1243:BW1259">
    <cfRule type="cellIs" dxfId="81" priority="156" operator="greaterThan">
      <formula>3</formula>
    </cfRule>
  </conditionalFormatting>
  <conditionalFormatting sqref="BW1261:BW1312">
    <cfRule type="cellIs" dxfId="80" priority="111" operator="greaterThan">
      <formula>3</formula>
    </cfRule>
  </conditionalFormatting>
  <conditionalFormatting sqref="BW1362:BW1369">
    <cfRule type="cellIs" dxfId="79" priority="110" operator="greaterThan">
      <formula>3</formula>
    </cfRule>
  </conditionalFormatting>
  <conditionalFormatting sqref="BW1378:BW1394">
    <cfRule type="cellIs" dxfId="78" priority="92" operator="greaterThan">
      <formula>3</formula>
    </cfRule>
  </conditionalFormatting>
  <conditionalFormatting sqref="BW1396:BW1404 BW1457:BW1460">
    <cfRule type="cellIs" dxfId="77" priority="59" operator="greaterThan">
      <formula>3</formula>
    </cfRule>
  </conditionalFormatting>
  <conditionalFormatting sqref="BW1406:BW1407">
    <cfRule type="cellIs" dxfId="76" priority="73" operator="greaterThan">
      <formula>3</formula>
    </cfRule>
  </conditionalFormatting>
  <conditionalFormatting sqref="BW1035:BX1049">
    <cfRule type="cellIs" dxfId="75" priority="148" operator="greaterThan">
      <formula>3</formula>
    </cfRule>
  </conditionalFormatting>
  <conditionalFormatting sqref="BX43:BX48">
    <cfRule type="cellIs" dxfId="74" priority="316" operator="greaterThan">
      <formula>3</formula>
    </cfRule>
  </conditionalFormatting>
  <conditionalFormatting sqref="CA8:CO1633 BZ1164:BZ1165">
    <cfRule type="cellIs" dxfId="73" priority="166" operator="lessThan">
      <formula>-4</formula>
    </cfRule>
    <cfRule type="cellIs" dxfId="72" priority="167" operator="greaterThan">
      <formula>4</formula>
    </cfRule>
  </conditionalFormatting>
  <conditionalFormatting sqref="CB1260:CB1266 CC1261:CO1266 T1266">
    <cfRule type="cellIs" dxfId="71" priority="130" operator="equal">
      <formula>0</formula>
    </cfRule>
  </conditionalFormatting>
  <conditionalFormatting sqref="CB1378:CO1378">
    <cfRule type="cellIs" dxfId="70" priority="109" operator="equal">
      <formula>0</formula>
    </cfRule>
    <cfRule type="cellIs" dxfId="69" priority="108" operator="equal">
      <formula>0</formula>
    </cfRule>
  </conditionalFormatting>
  <conditionalFormatting sqref="CB1383:CO1394">
    <cfRule type="cellIs" dxfId="68" priority="91" operator="equal">
      <formula>0</formula>
    </cfRule>
    <cfRule type="cellIs" dxfId="67" priority="90" operator="equal">
      <formula>0</formula>
    </cfRule>
  </conditionalFormatting>
  <conditionalFormatting sqref="CC1260:CN1260">
    <cfRule type="cellIs" dxfId="66" priority="129" operator="equal">
      <formula>0</formula>
    </cfRule>
  </conditionalFormatting>
  <conditionalFormatting sqref="CP861">
    <cfRule type="cellIs" dxfId="65" priority="272" operator="greaterThan">
      <formula>4</formula>
    </cfRule>
    <cfRule type="expression" dxfId="64" priority="260">
      <formula>$BN861&lt;$BM861</formula>
    </cfRule>
    <cfRule type="cellIs" dxfId="63" priority="271" operator="lessThan">
      <formula>-4</formula>
    </cfRule>
  </conditionalFormatting>
  <conditionalFormatting sqref="CP1396:CP1404">
    <cfRule type="cellIs" dxfId="62" priority="67" operator="lessThan">
      <formula>-4</formula>
    </cfRule>
    <cfRule type="cellIs" dxfId="61" priority="68" operator="greaterThan">
      <formula>4</formula>
    </cfRule>
    <cfRule type="expression" dxfId="60" priority="76">
      <formula>$BN1396&lt;$BM1396</formula>
    </cfRule>
  </conditionalFormatting>
  <conditionalFormatting sqref="CP1406 CP1504">
    <cfRule type="cellIs" dxfId="59" priority="72" operator="greaterThan">
      <formula>4</formula>
    </cfRule>
    <cfRule type="cellIs" dxfId="58" priority="71" operator="lessThan">
      <formula>-4</formula>
    </cfRule>
  </conditionalFormatting>
  <conditionalFormatting sqref="CP1406">
    <cfRule type="expression" dxfId="57" priority="62">
      <formula>$BN1406&lt;$BM1406</formula>
    </cfRule>
  </conditionalFormatting>
  <conditionalFormatting sqref="CP1557:CS1557 CW1557">
    <cfRule type="expression" dxfId="56" priority="74">
      <formula>#REF!&lt;$BN1557</formula>
    </cfRule>
  </conditionalFormatting>
  <conditionalFormatting sqref="CP1576:CS1576">
    <cfRule type="expression" dxfId="55" priority="80">
      <formula>$BN1576&lt;#REF!</formula>
    </cfRule>
  </conditionalFormatting>
  <conditionalFormatting sqref="CP1577:CS1633">
    <cfRule type="expression" dxfId="54" priority="34">
      <formula>$BN1577&lt;$BM1577</formula>
    </cfRule>
  </conditionalFormatting>
  <conditionalFormatting sqref="CQ862:CS862 CW862">
    <cfRule type="expression" dxfId="53" priority="278">
      <formula>$BM1146&lt;$BN1146</formula>
    </cfRule>
  </conditionalFormatting>
  <conditionalFormatting sqref="CQ1396:CS1404">
    <cfRule type="expression" dxfId="52" priority="63">
      <formula>$BM1396&lt;$BN1396</formula>
    </cfRule>
  </conditionalFormatting>
  <conditionalFormatting sqref="CQ1407:CS1407 CW1407">
    <cfRule type="expression" dxfId="51" priority="79">
      <formula>$BM1917&lt;$BN1917</formula>
    </cfRule>
  </conditionalFormatting>
  <conditionalFormatting sqref="CW8:CW860 BN14:BN15 BN560:BN860">
    <cfRule type="expression" dxfId="50" priority="322">
      <formula>$BN8&lt;$BM8</formula>
    </cfRule>
  </conditionalFormatting>
  <conditionalFormatting sqref="CW863:CW930">
    <cfRule type="expression" dxfId="49" priority="143">
      <formula>$BN863&lt;$BM863</formula>
    </cfRule>
  </conditionalFormatting>
  <conditionalFormatting sqref="CW958">
    <cfRule type="expression" dxfId="48" priority="239">
      <formula>$BM958&lt;#REF!</formula>
    </cfRule>
  </conditionalFormatting>
  <conditionalFormatting sqref="CW1173">
    <cfRule type="expression" dxfId="47" priority="245">
      <formula>#REF!&lt;#REF!</formula>
    </cfRule>
  </conditionalFormatting>
  <conditionalFormatting sqref="CW1273">
    <cfRule type="expression" dxfId="46" priority="120">
      <formula>$BN1274&lt;$BM1273</formula>
    </cfRule>
  </conditionalFormatting>
  <conditionalFormatting sqref="CW1274">
    <cfRule type="expression" dxfId="45" priority="121">
      <formula>#REF!&lt;$BM1274</formula>
    </cfRule>
  </conditionalFormatting>
  <conditionalFormatting sqref="CW1577:CW1633">
    <cfRule type="expression" dxfId="44" priority="29">
      <formula>$BN1577&lt;$BM1577</formula>
    </cfRule>
  </conditionalFormatting>
  <conditionalFormatting sqref="DI1192:DM1194 DL1195:DM1195 CB8:CO1195 DU922:DX923 U959:U970 ED1021:EO1021 EA1022:EO1197 CB1200:CO1208 CB1248:CO1259">
    <cfRule type="cellIs" dxfId="43" priority="162" operator="equal">
      <formula>0</formula>
    </cfRule>
  </conditionalFormatting>
  <conditionalFormatting sqref="DI1196:DM1208 EG1198:EO1198 EA1198:EC1209 EG1199:EH1199 EI1199:EO1200 EH1200">
    <cfRule type="cellIs" dxfId="42" priority="164" operator="equal">
      <formula>0</formula>
    </cfRule>
  </conditionalFormatting>
  <conditionalFormatting sqref="DI1244:DM1247 DI1248:DY1259">
    <cfRule type="cellIs" dxfId="41" priority="158" operator="equal">
      <formula>0</formula>
    </cfRule>
  </conditionalFormatting>
  <conditionalFormatting sqref="DI922:DN1020 DO922:DS1110 DY922:DY1247 DO1156:DX1247 DN1192:DN1247 EQ9:ER1312 BB903:BF1259 EV1124:EV1312 EA1210:EO1312 EQ1383:ER1610 EA1395:EO1610 DI1395:DY1610 BI1261:BI1596 EV9:EV1085 EV1388:EV1515 BI8:BI1020 EA9:EO1020 X903:BA1020 EP9:EP1633 ES9:EU1635 T13 BL87:BL96 BL99:BL102 U971:W979 U980:U1005 V980:W1011 AZ1021:AZ1238 DI1111:DX1149 BI1194:BI1259 DI1209:DL1243 X1396:BF1633 CB1396:CO1633 V1453:W1497">
    <cfRule type="cellIs" dxfId="40" priority="308" operator="equal">
      <formula>0</formula>
    </cfRule>
  </conditionalFormatting>
  <conditionalFormatting sqref="DI1156:DN1191">
    <cfRule type="cellIs" dxfId="39" priority="163" operator="equal">
      <formula>0</formula>
    </cfRule>
  </conditionalFormatting>
  <conditionalFormatting sqref="DI1150:DU1151 DT924:DX1056 DI1022:DN1110 BI1022:BI1164">
    <cfRule type="cellIs" dxfId="38" priority="174" operator="equal">
      <formula>0</formula>
    </cfRule>
  </conditionalFormatting>
  <conditionalFormatting sqref="DI1150:DU1151">
    <cfRule type="cellIs" dxfId="37" priority="173" operator="equal">
      <formula>0</formula>
    </cfRule>
  </conditionalFormatting>
  <conditionalFormatting sqref="DI1037:DX1068">
    <cfRule type="cellIs" dxfId="36" priority="1" operator="equal">
      <formula>0</formula>
    </cfRule>
  </conditionalFormatting>
  <conditionalFormatting sqref="DI1152:DX1155 DI1156:DN1171 DI1172:DM1183 DN1172:DN1185 DU922:DX923 BI1166:BI1183 DI922:DN957 DT924:DX957 DI1035:DY1036 DT1156:DX1183">
    <cfRule type="cellIs" dxfId="35" priority="172" operator="equal">
      <formula>0</formula>
    </cfRule>
  </conditionalFormatting>
  <conditionalFormatting sqref="DI1152:DX1155">
    <cfRule type="cellIs" dxfId="34" priority="171" operator="equal">
      <formula>0</formula>
    </cfRule>
  </conditionalFormatting>
  <conditionalFormatting sqref="DI8:DY912 DI913:DS921 DU913:DY921 DT913:DT923 T16 V184:W227">
    <cfRule type="cellIs" dxfId="33" priority="314" operator="equal">
      <formula>0</formula>
    </cfRule>
  </conditionalFormatting>
  <conditionalFormatting sqref="DI1395:DY1395">
    <cfRule type="cellIs" dxfId="32" priority="87" operator="equal">
      <formula>0</formula>
    </cfRule>
  </conditionalFormatting>
  <conditionalFormatting sqref="DI1611:DY1617 EA1611:EO1617 EQ1611:ER1617 EV1611:EV1617 EE1618:EE1622 EE1629 BI1627:BI1628 BI1630:BI1633 BI1624:BI1625">
    <cfRule type="cellIs" dxfId="31" priority="70" operator="equal">
      <formula>0</formula>
    </cfRule>
  </conditionalFormatting>
  <conditionalFormatting sqref="DI1615:DY1633 EA1615:EO1633 EQ1615:ER1633 EV1615:EV1633 BI1626">
    <cfRule type="cellIs" dxfId="30" priority="36" operator="equal">
      <formula>0</formula>
    </cfRule>
  </conditionalFormatting>
  <conditionalFormatting sqref="DI1615:DY1633 EQ1615:ER1633 EV1615:EV1633 EA1618:EO1633 BI1626">
    <cfRule type="cellIs" dxfId="29" priority="37" operator="equal">
      <formula>0</formula>
    </cfRule>
  </conditionalFormatting>
  <conditionalFormatting sqref="DM1184:DM1185 DM1186:DN1193 DM1194:DM1208">
    <cfRule type="cellIs" dxfId="28" priority="161" operator="equal">
      <formula>0</formula>
    </cfRule>
  </conditionalFormatting>
  <conditionalFormatting sqref="DM1244:DM1259 DN1248:DS1259">
    <cfRule type="cellIs" dxfId="27" priority="157" operator="equal">
      <formula>0</formula>
    </cfRule>
  </conditionalFormatting>
  <conditionalFormatting sqref="DM1316 DM1318:DM1323 DM1328:DM1333 DM1335:DM1394">
    <cfRule type="cellIs" dxfId="26" priority="88" operator="equal">
      <formula>0</formula>
    </cfRule>
    <cfRule type="cellIs" dxfId="25" priority="89" operator="equal">
      <formula>0</formula>
    </cfRule>
  </conditionalFormatting>
  <conditionalFormatting sqref="DM1022:DN1034">
    <cfRule type="cellIs" dxfId="24" priority="235" operator="equal">
      <formula>0</formula>
    </cfRule>
  </conditionalFormatting>
  <conditionalFormatting sqref="DN1270:DS1312 DY1270:DY1312 DM1270:DM1313 X1298:BA1299 DI1298:DL1312 DT1298:DX1312 AF1300:AJ1300 X1300:AE1312 AL1300:BA1312 AF1301:AK1312">
    <cfRule type="cellIs" dxfId="23" priority="112" operator="equal">
      <formula>0</formula>
    </cfRule>
  </conditionalFormatting>
  <conditionalFormatting sqref="DT1057:DX1110">
    <cfRule type="cellIs" dxfId="22" priority="2" operator="equal">
      <formula>0</formula>
    </cfRule>
  </conditionalFormatting>
  <conditionalFormatting sqref="DY1248:DY1269 DM1260:DS1269">
    <cfRule type="cellIs" dxfId="21" priority="134" operator="equal">
      <formula>0</formula>
    </cfRule>
  </conditionalFormatting>
  <conditionalFormatting sqref="EA1611:EO1617 EE1629 EE1618:EE1622 DI1611:DY1617 EQ1611:ER1617 EV1611:EV1617">
    <cfRule type="cellIs" dxfId="20" priority="65" operator="equal">
      <formula>0</formula>
    </cfRule>
  </conditionalFormatting>
  <conditionalFormatting sqref="ED1198:EE1205 EG1200:EG1203 EH1201:EO1203 EG1205 EH1205:EO1209 ED1206:EG1209 EF1210:EF1219">
    <cfRule type="cellIs" dxfId="19" priority="159" operator="equal">
      <formula>0</formula>
    </cfRule>
  </conditionalFormatting>
  <conditionalFormatting sqref="EE1617:EE1623">
    <cfRule type="cellIs" dxfId="18" priority="44" operator="equal">
      <formula>0</formula>
    </cfRule>
    <cfRule type="cellIs" dxfId="17" priority="45" operator="equal">
      <formula>0</formula>
    </cfRule>
  </conditionalFormatting>
  <conditionalFormatting sqref="EE1623">
    <cfRule type="cellIs" dxfId="16" priority="43" operator="equal">
      <formula>0</formula>
    </cfRule>
    <cfRule type="cellIs" dxfId="15" priority="42" operator="equal">
      <formula>0</formula>
    </cfRule>
  </conditionalFormatting>
  <conditionalFormatting sqref="EE1629 BI1613:BI1617 EA1615:EO1617">
    <cfRule type="cellIs" dxfId="14" priority="51" operator="equal">
      <formula>0</formula>
    </cfRule>
  </conditionalFormatting>
  <conditionalFormatting sqref="EE1629">
    <cfRule type="cellIs" dxfId="13" priority="50" operator="equal">
      <formula>0</formula>
    </cfRule>
  </conditionalFormatting>
  <conditionalFormatting sqref="EF1191:EF1205">
    <cfRule type="cellIs" dxfId="12" priority="147" operator="equal">
      <formula>0</formula>
    </cfRule>
  </conditionalFormatting>
  <conditionalFormatting sqref="EG1204:EO1204">
    <cfRule type="cellIs" dxfId="11" priority="145" operator="equal">
      <formula>0</formula>
    </cfRule>
  </conditionalFormatting>
  <conditionalFormatting sqref="EH912:EH948 EI913:EI948 EL916:EL948 DI1195:DK1195">
    <cfRule type="cellIs" dxfId="10" priority="160" operator="equal">
      <formula>0</formula>
    </cfRule>
  </conditionalFormatting>
  <conditionalFormatting sqref="EQ903:ER957 BB1250:BF1259">
    <cfRule type="cellIs" dxfId="9" priority="153" operator="equal">
      <formula>0</formula>
    </cfRule>
  </conditionalFormatting>
  <conditionalFormatting sqref="EV960:EV963">
    <cfRule type="cellIs" dxfId="8" priority="16" operator="equal">
      <formula>0</formula>
    </cfRule>
  </conditionalFormatting>
  <conditionalFormatting sqref="EV1035:EV1112">
    <cfRule type="cellIs" dxfId="7" priority="24" operator="equal">
      <formula>0</formula>
    </cfRule>
  </conditionalFormatting>
  <conditionalFormatting sqref="EV1086:EV1101">
    <cfRule type="cellIs" dxfId="6" priority="23" operator="equal">
      <formula>0</formula>
    </cfRule>
  </conditionalFormatting>
  <conditionalFormatting sqref="EV1113:EV1123">
    <cfRule type="cellIs" dxfId="5" priority="15" operator="equal">
      <formula>0</formula>
    </cfRule>
    <cfRule type="cellIs" dxfId="4" priority="14" operator="equal">
      <formula>0</formula>
    </cfRule>
  </conditionalFormatting>
  <conditionalFormatting sqref="EV1376:EV1387">
    <cfRule type="cellIs" dxfId="3" priority="19" operator="equal">
      <formula>0</formula>
    </cfRule>
  </conditionalFormatting>
  <conditionalFormatting sqref="EV1376:EV1395">
    <cfRule type="cellIs" dxfId="2" priority="20" operator="equal">
      <formula>0</formula>
    </cfRule>
  </conditionalFormatting>
  <conditionalFormatting sqref="EV1550:EV1610">
    <cfRule type="cellIs" dxfId="1" priority="33" operator="equal">
      <formula>0</formula>
    </cfRule>
    <cfRule type="cellIs" dxfId="0" priority="30" operator="equal">
      <formula>0</formula>
    </cfRule>
  </conditionalFormatting>
  <dataValidations disablePrompts="1" count="3">
    <dataValidation type="list" allowBlank="1" showInputMessage="1" showErrorMessage="1" sqref="BQ1164:BQ1165 BR464:BR534 BR1270:BR1312 BR1383:BR1394 BT1503:BT1526 BR1458:BR1633 BR903:BR1020 BR1022:BR1259" xr:uid="{00EA00FB-000A-4C71-8CC3-005600850013}">
      <formula1>"Sequestration positive, Emissions positive"</formula1>
    </dataValidation>
    <dataValidation type="list" allowBlank="1" showInputMessage="1" showErrorMessage="1" sqref="BI1166:BI1192 BI8:BI860 BI903:BI1020 BI1022:BI1164 BI1194:BI1394" xr:uid="{00A3004F-0081-4EFA-904F-007B00CB008E}">
      <formula1>"Roundwood,HWP"</formula1>
    </dataValidation>
    <dataValidation type="list" allowBlank="1" showInputMessage="1" showErrorMessage="1" sqref="BI1396:BI1399" xr:uid="{BC38383E-BDBC-7942-A394-A07B26662959}"/>
  </dataValidations>
  <hyperlinks>
    <hyperlink ref="K1184" r:id="rId1" xr:uid="{234DECE6-5DA0-184B-8644-8BDA2EAE2C87}"/>
    <hyperlink ref="K1183" r:id="rId2" xr:uid="{DF6B5B33-E65C-CE40-8A22-582131215E2D}"/>
    <hyperlink ref="K1171" r:id="rId3" xr:uid="{4A0E88A9-E1C7-3E40-982F-1D7CB1B0DEB9}"/>
    <hyperlink ref="K1181" r:id="rId4" xr:uid="{19F58F5C-23B2-6042-A692-19499F1D4E8D}"/>
    <hyperlink ref="K1182" r:id="rId5" xr:uid="{65E71C8C-8B4D-894D-A181-6958181AEF7F}"/>
    <hyperlink ref="K1169" r:id="rId6" xr:uid="{66592C4F-8D89-1147-8135-B17F0EB59896}"/>
    <hyperlink ref="K1180" r:id="rId7" xr:uid="{151A8410-F251-7149-A1AC-726887D0376F}"/>
    <hyperlink ref="K1179" r:id="rId8" xr:uid="{F2372D1B-BEF5-8A48-9B35-B993F7777402}"/>
    <hyperlink ref="K1166" r:id="rId9" xr:uid="{472970FD-C4EC-AE4F-88F4-B467D864A7F0}"/>
    <hyperlink ref="K1164" r:id="rId10" xr:uid="{956D207C-2D2F-924C-BA23-188DF06FE247}"/>
    <hyperlink ref="K1178" r:id="rId11" xr:uid="{C065CDE7-2023-A447-8521-D0F28AA40CC6}"/>
    <hyperlink ref="K1163" r:id="rId12" xr:uid="{743B5599-DE79-7E44-A4EC-820E14AB9E91}"/>
    <hyperlink ref="K1177" r:id="rId13" xr:uid="{396A741F-B175-114D-9B51-F39B1E439CE1}"/>
    <hyperlink ref="K1176" r:id="rId14" xr:uid="{BC9372FB-9C29-6C49-B4DB-7C8AC5F95664}"/>
    <hyperlink ref="K1175" r:id="rId15" xr:uid="{503278C0-E6F3-C34D-B63A-6548438FD66E}"/>
    <hyperlink ref="K1161" r:id="rId16" xr:uid="{1A9AF777-2F1A-6444-A851-534468BA0B12}"/>
    <hyperlink ref="K1174" r:id="rId17" xr:uid="{8022E0F0-93D8-8D48-B181-2D3A297D0623}"/>
    <hyperlink ref="K1173" r:id="rId18" xr:uid="{EEBB5FE0-4379-E14C-B697-5AEA022FC405}"/>
    <hyperlink ref="K1172" r:id="rId19" xr:uid="{CC1AC87E-F37F-4A43-9782-C557FA4F73A9}"/>
    <hyperlink ref="K1170" r:id="rId20" xr:uid="{556CF1F3-07CE-F445-A477-E7CE4F4A6CA1}"/>
    <hyperlink ref="K1168" r:id="rId21" xr:uid="{E35D0972-33F0-5842-8998-AAE318325355}"/>
    <hyperlink ref="K1167" r:id="rId22" xr:uid="{4EAC3483-DD9B-EC44-BE6E-8441216D2783}"/>
    <hyperlink ref="K1165" r:id="rId23" xr:uid="{F599DFA5-DDB7-614E-8FB9-F6DEA35C5EAF}"/>
    <hyperlink ref="K1162" r:id="rId24" xr:uid="{A132F346-F09E-3D48-96AC-E9C7D4247C54}"/>
    <hyperlink ref="K962" r:id="rId25" tooltip="Persistent link using digital object identifier" xr:uid="{7DFC1F5B-8307-C045-889B-21616BE7D238}"/>
    <hyperlink ref="DV407" r:id="rId26" xr:uid="{78B1A249-A921-474F-AD28-E999AF9BBB03}"/>
    <hyperlink ref="DV408" r:id="rId27" xr:uid="{76A36272-C944-504F-A914-7ACA4DEB0C94}"/>
    <hyperlink ref="DV409" r:id="rId28" xr:uid="{7FC9C951-6CBF-8040-BB78-B7EA92171677}"/>
    <hyperlink ref="DV410" r:id="rId29" xr:uid="{748BBD92-907C-774B-99C9-CCFD34AD10CD}"/>
    <hyperlink ref="DV411" r:id="rId30" xr:uid="{CB20C8C3-3524-3743-83EA-0EB035D851E3}"/>
    <hyperlink ref="K207" r:id="rId31" tooltip="Persistent link using digital object identifier" xr:uid="{4100F648-71B1-B14B-BE4A-12A59657697D}"/>
    <hyperlink ref="K209" r:id="rId32" tooltip="Persistent link using digital object identifier" xr:uid="{0DD55305-30FA-A54D-B50B-DBF6484974A1}"/>
    <hyperlink ref="K208" r:id="rId33" tooltip="Persistent link using digital object identifier" xr:uid="{C77DA0DF-02EB-0A49-A518-544C660FDDF1}"/>
    <hyperlink ref="K218" r:id="rId34" tooltip="Persistent link using digital object identifier" xr:uid="{E8F7500E-8EDB-C146-A675-1DEE42169C84}"/>
    <hyperlink ref="K217" r:id="rId35" tooltip="Persistent link using digital object identifier" xr:uid="{06C42981-73C2-7F48-A7CC-F566D5DA23F1}"/>
    <hyperlink ref="K214" r:id="rId36" tooltip="Persistent link using digital object identifier" xr:uid="{0767CC07-EFE9-9D4C-A72A-927CB4484A93}"/>
    <hyperlink ref="K213" r:id="rId37" tooltip="Persistent link using digital object identifier" xr:uid="{D67F649E-3A64-4F4E-95E7-BE901EADE7D1}"/>
    <hyperlink ref="K212" r:id="rId38" tooltip="Persistent link using digital object identifier" xr:uid="{C44D47BD-3856-D043-A6DD-0508A203476F}"/>
    <hyperlink ref="K216" r:id="rId39" tooltip="Persistent link using digital object identifier" xr:uid="{9DAEFCF6-862A-AF40-93CE-5C1EC558D77F}"/>
    <hyperlink ref="K215" r:id="rId40" tooltip="Persistent link using digital object identifier" xr:uid="{8C0D7609-B0A8-BE47-A053-A9E6ED57337C}"/>
    <hyperlink ref="K210" r:id="rId41" tooltip="Persistent link using digital object identifier" xr:uid="{EED51307-EEE7-7A43-A1DE-557ECB31A307}"/>
    <hyperlink ref="K211" r:id="rId42" tooltip="Persistent link using digital object identifier" xr:uid="{0EC3CE59-B3D7-3B40-9753-85F36656AE9A}"/>
    <hyperlink ref="K330" r:id="rId43" display="http://dx.doi.org/10.22382/wfs-2018-011" xr:uid="{ADFBDF3A-4595-EA4D-9D6A-6E3C1687EE21}"/>
    <hyperlink ref="K163" r:id="rId44" tooltip="Persistent link using digital object identifier" display="https://doi.org/10.1016/j.jenvman.2013.07.021" xr:uid="{762BD820-C265-3540-858A-45FB28FAC534}"/>
    <hyperlink ref="K496" r:id="rId45" xr:uid="{99590726-C44F-4344-8792-8151E8E142BE}"/>
    <hyperlink ref="K534" r:id="rId46" xr:uid="{92DB2F4D-E2C9-F147-A47D-050DA3A9D165}"/>
    <hyperlink ref="K22" r:id="rId47" xr:uid="{1BEF8CDB-95ED-8B48-A7FC-8D4E1C4506A9}"/>
    <hyperlink ref="K20" r:id="rId48" display="https://doi.org/10.1093/jof/109.s1.S7" xr:uid="{56C55E2C-362B-AD43-8B15-682613E0A182}"/>
    <hyperlink ref="K1605:K1607" r:id="rId49" tooltip="Persistent link using digital object identifier" display="https://doi.org/10.1016/j.jenvman.2013.07.021" xr:uid="{7B6DED8A-CA20-5F46-AF8C-DC70EDF06856}"/>
    <hyperlink ref="K1461:K1463" r:id="rId50" display="https://doi.org/10.1139/X06-257" xr:uid="{91097087-7C9A-604C-8554-7F632ABD056D}"/>
    <hyperlink ref="K587" r:id="rId51" display="10.1088/1748-9326/aaaa03" xr:uid="{CE505C20-11B7-E34C-AD82-E3EEAAF40BE0}"/>
    <hyperlink ref="K589" r:id="rId52" display="10.1088/1748-9326/aaaa03" xr:uid="{098702DD-8924-4049-9429-F4A71550C4A3}"/>
    <hyperlink ref="K592" r:id="rId53" display="10.1088/1748-9326/aaaa03" xr:uid="{32B246EA-E747-8A44-9EF7-17B12CF0D318}"/>
    <hyperlink ref="K591" r:id="rId54" display="10.1088/1748-9326/aaaa03" xr:uid="{15EDF5A9-A481-A34F-893E-5AF69A5F7BFF}"/>
    <hyperlink ref="K588" r:id="rId55" display="10.1088/1748-9326/aaaa03" xr:uid="{2CC21E7E-F1D4-5E40-93C1-4D640425A26E}"/>
    <hyperlink ref="K584" r:id="rId56" display="10.1088/1748-9326/aaaa03" xr:uid="{24B1F14B-B70D-7742-B323-AE12C2CD54A1}"/>
    <hyperlink ref="K583" r:id="rId57" display="10.1088/1748-9326/aaaa03" xr:uid="{92C35DB2-73D5-B84D-BD0C-E69EB4139ECD}"/>
    <hyperlink ref="K585" r:id="rId58" display="10.1088/1748-9326/aaaa03" xr:uid="{D0547EDA-F4DD-CF4F-A8CF-CE0175DACBDA}"/>
    <hyperlink ref="K586" r:id="rId59" display="10.1088/1748-9326/aaaa03" xr:uid="{D97394CB-2CD6-EE49-A117-0E91CF2267AA}"/>
    <hyperlink ref="K590" r:id="rId60" display="10.1088/1748-9326/aaaa03" xr:uid="{64A66D21-974F-4345-B194-2243EBF6F274}"/>
    <hyperlink ref="K597" r:id="rId61" xr:uid="{2448B357-3F1A-D545-B52D-29E85C76870B}"/>
    <hyperlink ref="K594" r:id="rId62" xr:uid="{1209B4E9-C44A-2E48-BFAD-5B0BA7A015BF}"/>
    <hyperlink ref="K595" r:id="rId63" xr:uid="{6B58F34A-0E7D-8744-942C-7F0BB6254F36}"/>
    <hyperlink ref="K593" r:id="rId64" xr:uid="{F8AF2A1F-D85C-8C43-8566-F95A6FFDB448}"/>
    <hyperlink ref="K602" r:id="rId65" xr:uid="{07D5A661-1808-154E-945F-AF86B9CAAC41}"/>
    <hyperlink ref="K601" r:id="rId66" xr:uid="{6D1A9A06-6C1A-6A4C-A7E2-5C4D3F6B0FEB}"/>
    <hyperlink ref="K600" r:id="rId67" xr:uid="{B38555D7-6D17-B148-B3E4-F64D5BEC4FDF}"/>
    <hyperlink ref="K599" r:id="rId68" xr:uid="{3ABBE1E8-C1A9-2749-BF69-4F3CEDDC67BE}"/>
    <hyperlink ref="K596" r:id="rId69" xr:uid="{0C764D98-A03E-4F49-981F-DDD6642400E4}"/>
    <hyperlink ref="K598" r:id="rId70" xr:uid="{BBDEC18A-5ADD-7845-93F5-87BF3934C3B7}"/>
    <hyperlink ref="K603" r:id="rId71" xr:uid="{38E0F44A-67B0-7048-8B2D-48F79EE00141}"/>
    <hyperlink ref="K582" r:id="rId72" display="10.1088/1748-9326/aaaa03" xr:uid="{19CBF67F-B642-0448-9023-79CF4CAF03EB}"/>
  </hyperlinks>
  <pageMargins left="0.7" right="0.7" top="0.75" bottom="0.75" header="0.3" footer="0.3"/>
  <pageSetup paperSize="9" orientation="portrait"/>
  <legacyDrawing r:id="rId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6"/>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workbookViewId="0">
      <selection activeCell="D21" sqref="D21"/>
    </sheetView>
  </sheetViews>
  <sheetFormatPr baseColWidth="10" defaultColWidth="10.6640625" defaultRowHeight="16"/>
  <cols>
    <col min="4" max="4" width="20" customWidth="1"/>
  </cols>
  <sheetData>
    <row r="1" spans="1:8">
      <c r="H1" t="s">
        <v>2157</v>
      </c>
    </row>
    <row r="2" spans="1:8">
      <c r="A2" t="s">
        <v>2270</v>
      </c>
      <c r="B2">
        <f>1000/E2</f>
        <v>2.0408163265306123</v>
      </c>
      <c r="D2" t="s">
        <v>2271</v>
      </c>
      <c r="E2">
        <f>AVERAGE(400,580)</f>
        <v>490</v>
      </c>
      <c r="F2" t="s">
        <v>665</v>
      </c>
      <c r="G2" t="s">
        <v>2272</v>
      </c>
      <c r="H2" t="s">
        <v>2273</v>
      </c>
    </row>
    <row r="3" spans="1:8">
      <c r="A3" t="s">
        <v>2274</v>
      </c>
      <c r="B3">
        <f>1/E2</f>
        <v>2.0408163265306124E-3</v>
      </c>
      <c r="D3" t="s">
        <v>2275</v>
      </c>
      <c r="E3">
        <v>0.47</v>
      </c>
      <c r="F3" t="s">
        <v>2276</v>
      </c>
      <c r="H3" t="s">
        <v>2273</v>
      </c>
    </row>
    <row r="4" spans="1:8">
      <c r="A4" t="s">
        <v>2277</v>
      </c>
      <c r="B4">
        <f>+B2/E3</f>
        <v>4.3421623968736434</v>
      </c>
    </row>
    <row r="5" spans="1:8">
      <c r="A5" t="s">
        <v>2278</v>
      </c>
      <c r="B5" s="195">
        <f>3.67</f>
        <v>3.67</v>
      </c>
    </row>
    <row r="9" spans="1:8">
      <c r="A9" t="s">
        <v>2279</v>
      </c>
    </row>
    <row r="10" spans="1:8">
      <c r="A10" t="s">
        <v>222</v>
      </c>
    </row>
    <row r="11" spans="1:8">
      <c r="A11" t="s">
        <v>2267</v>
      </c>
    </row>
    <row r="12" spans="1:8">
      <c r="A12" t="s">
        <v>2269</v>
      </c>
    </row>
    <row r="13" spans="1:8">
      <c r="A13" t="s">
        <v>2266</v>
      </c>
    </row>
    <row r="14" spans="1:8">
      <c r="A14" t="s">
        <v>2268</v>
      </c>
    </row>
    <row r="15" spans="1:8">
      <c r="A15" t="s">
        <v>1225</v>
      </c>
    </row>
    <row r="16" spans="1:8">
      <c r="A16" t="s">
        <v>2265</v>
      </c>
    </row>
    <row r="17" spans="1:1">
      <c r="A17" s="297" t="s">
        <v>4058</v>
      </c>
    </row>
  </sheetData>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3"/>
  <sheetViews>
    <sheetView topLeftCell="A76" workbookViewId="0">
      <selection activeCell="A81" sqref="A81"/>
    </sheetView>
  </sheetViews>
  <sheetFormatPr baseColWidth="10" defaultRowHeight="16"/>
  <cols>
    <col min="1" max="1" width="22.1640625" bestFit="1" customWidth="1"/>
    <col min="2" max="2" width="27.6640625" bestFit="1" customWidth="1"/>
    <col min="3" max="3" width="30.5" bestFit="1" customWidth="1"/>
    <col min="4" max="4" width="5.83203125" customWidth="1"/>
    <col min="5" max="5" width="19.33203125" customWidth="1"/>
    <col min="6" max="6" width="13.83203125" customWidth="1"/>
    <col min="7" max="7" width="29.5" customWidth="1"/>
    <col min="8" max="8" width="9.5" style="149" customWidth="1"/>
    <col min="9" max="9" width="27.1640625" style="149" customWidth="1"/>
    <col min="11" max="114" width="5.83203125" customWidth="1"/>
  </cols>
  <sheetData>
    <row r="1" spans="1:11">
      <c r="E1" s="143" t="s">
        <v>2280</v>
      </c>
      <c r="F1" s="149" t="s">
        <v>2281</v>
      </c>
      <c r="G1" t="s">
        <v>2282</v>
      </c>
      <c r="H1" s="149" t="s">
        <v>2283</v>
      </c>
      <c r="I1" s="149" t="s">
        <v>2284</v>
      </c>
      <c r="J1" s="149" t="s">
        <v>2285</v>
      </c>
    </row>
    <row r="2" spans="1:11">
      <c r="A2" t="str">
        <f t="array" ref="A2:C119">TRANSPOSE(Sheet1!A2:'Sheet1'!CA7)</f>
        <v>Paper description</v>
      </c>
      <c r="B2">
        <v>0</v>
      </c>
      <c r="C2" t="str">
        <v>Publication</v>
      </c>
      <c r="E2" t="str" cm="1">
        <f t="array" ref="E2">INDEX(Sheet1!$A$4:$DA$4,MATCH(0,COUNTIF($E$1:E1,Sheet1!$A$4:$DA$4),0))</f>
        <v>Publication</v>
      </c>
      <c r="F2" s="196" t="s">
        <v>2286</v>
      </c>
      <c r="G2" t="str">
        <f>INDEX(Sheet1!A$2:DA$2,MATCH($E2,Sheet1!A$4:DA$4,0))</f>
        <v>Paper description</v>
      </c>
      <c r="H2" s="196" t="s">
        <v>2286</v>
      </c>
      <c r="I2" t="str">
        <f>INDEX(Sheet1!C$1:EX$1,MATCH($E2,Sheet1!C$4:EX$4,0))</f>
        <v>Metadata</v>
      </c>
      <c r="K2" t="e">
        <f>INDEX($B$2:$B$193, MATCH(0, COUNTIF($E$1:E1, $B$2:$B$193), 0))</f>
        <v>#N/A</v>
      </c>
    </row>
    <row r="3" spans="1:11">
      <c r="A3" t="str">
        <v>Paper description</v>
      </c>
      <c r="B3">
        <v>0</v>
      </c>
      <c r="C3" t="str">
        <v>Topic</v>
      </c>
      <c r="E3" t="str">
        <f t="array" ref="E3">INDEX(Sheet1!$A$4:$DA$4,MATCH(0,COUNTIF($E$1:E2,Sheet1!$A$4:$DA$4),0))</f>
        <v>Topic</v>
      </c>
      <c r="F3" s="196" t="s">
        <v>2286</v>
      </c>
      <c r="G3" t="str">
        <f>INDEX(Sheet1!A$2:DA$2,MATCH($E3,Sheet1!A$4:DA$4,0))</f>
        <v>Paper description</v>
      </c>
      <c r="H3" s="196" t="s">
        <v>2286</v>
      </c>
      <c r="I3" t="str">
        <f>INDEX(Sheet1!C$1:EX$1,MATCH($E3,Sheet1!C$4:EX$4,0))</f>
        <v>Metadata</v>
      </c>
    </row>
    <row r="4" spans="1:11">
      <c r="A4" s="197" t="str">
        <v>Paper description</v>
      </c>
      <c r="B4" s="197">
        <v>0</v>
      </c>
      <c r="C4" s="197" t="str">
        <v>Topic</v>
      </c>
      <c r="D4" s="197"/>
      <c r="E4" t="str">
        <f t="array" ref="E4">INDEX(Sheet1!$A$4:$DA$4,MATCH(0,COUNTIF($E$1:E3,Sheet1!$A$4:$DA$4),0))</f>
        <v>Authors</v>
      </c>
      <c r="F4" s="196" t="s">
        <v>2286</v>
      </c>
      <c r="G4" t="str">
        <f>INDEX(Sheet1!A$2:DA$2,MATCH($E4,Sheet1!A$4:DA$4,0))</f>
        <v>Paper description</v>
      </c>
      <c r="H4" s="196" t="s">
        <v>2286</v>
      </c>
      <c r="I4" t="str">
        <f>INDEX(Sheet1!C$1:EX$1,MATCH($E4,Sheet1!C$4:EX$4,0))</f>
        <v>Metadata</v>
      </c>
    </row>
    <row r="5" spans="1:11">
      <c r="A5" s="197" t="str">
        <v>Paper description</v>
      </c>
      <c r="B5" s="197">
        <v>0</v>
      </c>
      <c r="C5" s="197" t="str">
        <v>Authors</v>
      </c>
      <c r="D5" s="197"/>
      <c r="E5" t="str">
        <f t="array" ref="E5">INDEX(Sheet1!$A$4:$DA$4,MATCH(0,COUNTIF($E$1:E4,Sheet1!$A$4:$DA$4),0))</f>
        <v>Journal</v>
      </c>
      <c r="F5" s="196" t="s">
        <v>2286</v>
      </c>
      <c r="G5" t="str">
        <f>INDEX(Sheet1!A$2:DA$2,MATCH($E5,Sheet1!A$4:DA$4,0))</f>
        <v>Paper description</v>
      </c>
      <c r="H5" s="196" t="s">
        <v>2286</v>
      </c>
      <c r="I5" t="str">
        <f>INDEX(Sheet1!C$1:EX$1,MATCH($E5,Sheet1!C$4:EX$4,0))</f>
        <v>Metadata</v>
      </c>
    </row>
    <row r="6" spans="1:11">
      <c r="A6" s="197" t="str">
        <v>Paper description</v>
      </c>
      <c r="B6" s="197">
        <v>0</v>
      </c>
      <c r="C6" s="197" t="str">
        <v>Topic</v>
      </c>
      <c r="D6" s="197"/>
      <c r="E6" t="str">
        <f t="array" ref="E6">INDEX(Sheet1!$A$4:$DA$4,MATCH(0,COUNTIF($E$1:E5,Sheet1!$A$4:$DA$4),0))</f>
        <v>Exclusion</v>
      </c>
      <c r="F6" s="196" t="s">
        <v>2286</v>
      </c>
      <c r="G6" t="str">
        <f>INDEX(Sheet1!A$2:DA$2,MATCH($E6,Sheet1!A$4:DA$4,0))</f>
        <v>Protocol</v>
      </c>
      <c r="H6" s="196" t="s">
        <v>2286</v>
      </c>
      <c r="I6" t="str">
        <f>INDEX(Sheet1!C$1:EX$1,MATCH($E6,Sheet1!C$4:EX$4,0))</f>
        <v>Metadata</v>
      </c>
    </row>
    <row r="7" spans="1:11">
      <c r="A7" s="197" t="str">
        <v>Paper description</v>
      </c>
      <c r="B7" s="197">
        <v>0</v>
      </c>
      <c r="C7" s="197" t="str">
        <v>Topic</v>
      </c>
      <c r="D7" s="197"/>
      <c r="E7" t="str">
        <f t="array" ref="E7">INDEX(Sheet1!$A$4:$DA$4,MATCH(0,COUNTIF($E$1:E6,Sheet1!$A$4:$DA$4),0))</f>
        <v>Full revision</v>
      </c>
      <c r="F7" s="196" t="s">
        <v>2286</v>
      </c>
      <c r="G7" t="str">
        <f>INDEX(Sheet1!A$2:DA$2,MATCH($E7,Sheet1!A$4:DA$4,0))</f>
        <v>Extraction</v>
      </c>
      <c r="H7" s="196" t="s">
        <v>2286</v>
      </c>
      <c r="I7" t="str">
        <f>INDEX(Sheet1!C$1:EX$1,MATCH($E7,Sheet1!C$4:EX$4,0))</f>
        <v>Protocol</v>
      </c>
    </row>
    <row r="8" spans="1:11">
      <c r="A8" s="197" t="str">
        <v>Paper description</v>
      </c>
      <c r="B8" s="197">
        <v>0</v>
      </c>
      <c r="C8" s="197" t="str">
        <v>Journal</v>
      </c>
      <c r="D8" s="197"/>
      <c r="E8" t="str">
        <f t="array" ref="E8">INDEX(Sheet1!$A$4:$DA$4,MATCH(0,COUNTIF($E$1:E7,Sheet1!$A$4:$DA$4),0))</f>
        <v>Revision</v>
      </c>
      <c r="F8" s="196" t="s">
        <v>2286</v>
      </c>
      <c r="G8" t="str">
        <f>INDEX(Sheet1!A$2:DA$2,MATCH($E8,Sheet1!A$4:DA$4,0))</f>
        <v>Post-extraction</v>
      </c>
      <c r="H8" s="196" t="s">
        <v>2286</v>
      </c>
      <c r="I8" t="str">
        <f>INDEX(Sheet1!C$1:EX$1,MATCH($E8,Sheet1!C$4:EX$4,0))</f>
        <v>Protocol</v>
      </c>
    </row>
    <row r="9" spans="1:11">
      <c r="A9" s="197" t="str">
        <v>Paper description</v>
      </c>
      <c r="B9" s="197">
        <v>0</v>
      </c>
      <c r="C9" s="197" t="str">
        <v>Publication</v>
      </c>
      <c r="D9" s="197"/>
      <c r="E9">
        <f t="array" ref="E9">INDEX(Sheet1!$A$4:$DA$4,MATCH(0,COUNTIF($E$1:E8,Sheet1!$A$4:$DA$4),0))</f>
        <v>0</v>
      </c>
      <c r="F9" s="196" t="s">
        <v>2286</v>
      </c>
      <c r="G9" t="e">
        <f>INDEX(Sheet1!A$2:DA$2,MATCH($E9,Sheet1!A$4:DA$4,0))</f>
        <v>#N/A</v>
      </c>
      <c r="H9" s="196" t="s">
        <v>2286</v>
      </c>
      <c r="I9" t="e">
        <f>INDEX(Sheet1!C$1:EX$1,MATCH($E9,Sheet1!C$4:EX$4,0))</f>
        <v>#N/A</v>
      </c>
    </row>
    <row r="10" spans="1:11">
      <c r="A10" s="197" t="str">
        <v>Paper description</v>
      </c>
      <c r="B10" s="197">
        <v>0</v>
      </c>
      <c r="C10" s="197" t="str">
        <v>Publication</v>
      </c>
      <c r="D10" s="197"/>
      <c r="E10" t="str">
        <f t="array" ref="E10">INDEX(Sheet1!$A$4:$DA$4,MATCH(0,COUNTIF($E$1:E9,Sheet1!$A$4:$DA$4),0))</f>
        <v>driver description</v>
      </c>
      <c r="F10" s="196" t="s">
        <v>2286</v>
      </c>
      <c r="G10" t="str">
        <f>INDEX(Sheet1!A$2:DA$2,MATCH($E10,Sheet1!A$4:DA$4,0))</f>
        <v>Driver</v>
      </c>
      <c r="H10" s="196" t="s">
        <v>2286</v>
      </c>
      <c r="I10" t="str">
        <f>INDEX(Sheet1!C$1:EX$1,MATCH($E10,Sheet1!C$4:EX$4,0))</f>
        <v>Drivers</v>
      </c>
    </row>
    <row r="11" spans="1:11">
      <c r="A11" s="197" t="str">
        <v>Paper description</v>
      </c>
      <c r="B11" s="197">
        <v>0</v>
      </c>
      <c r="C11" s="197" t="str">
        <v>Publication</v>
      </c>
      <c r="D11" s="197"/>
      <c r="E11" t="str">
        <f t="array" ref="E11">INDEX(Sheet1!$A$4:$DA$4,MATCH(0,COUNTIF($E$1:E10,Sheet1!$A$4:$DA$4),0))</f>
        <v>Silviculture for removals</v>
      </c>
      <c r="F11" s="196" t="s">
        <v>2286</v>
      </c>
      <c r="G11">
        <f>INDEX(Sheet1!A$2:DA$2,MATCH($E11,Sheet1!A$4:DA$4,0))</f>
        <v>0</v>
      </c>
      <c r="H11" s="196" t="s">
        <v>2286</v>
      </c>
      <c r="I11">
        <f>INDEX(Sheet1!C$1:EX$1,MATCH($E11,Sheet1!C$4:EX$4,0))</f>
        <v>0</v>
      </c>
    </row>
    <row r="12" spans="1:11">
      <c r="A12" s="197" t="str">
        <v>Paper description</v>
      </c>
      <c r="B12" s="197">
        <v>0</v>
      </c>
      <c r="C12" s="197" t="str">
        <v>Publication</v>
      </c>
      <c r="D12" s="197"/>
      <c r="E12" t="str">
        <f t="array" ref="E12">INDEX(Sheet1!$A$4:$DA$4,MATCH(0,COUNTIF($E$1:E11,Sheet1!$A$4:$DA$4),0))</f>
        <v>Silviculture for productivity</v>
      </c>
      <c r="F12" s="196" t="s">
        <v>2286</v>
      </c>
      <c r="G12" t="str">
        <f>INDEX(Sheet1!A$2:DA$2,MATCH($E12,Sheet1!A$4:DA$4,0))</f>
        <v>Change in practices</v>
      </c>
      <c r="H12" s="196" t="s">
        <v>2286</v>
      </c>
      <c r="I12" t="str">
        <f>INDEX(Sheet1!C$1:EX$1,MATCH($E12,Sheet1!C$4:EX$4,0))</f>
        <v>Drivers</v>
      </c>
    </row>
    <row r="13" spans="1:11">
      <c r="A13" s="197" t="str">
        <v>Paper description</v>
      </c>
      <c r="B13" s="197">
        <v>0</v>
      </c>
      <c r="C13" s="197" t="str">
        <v>Publication</v>
      </c>
      <c r="D13" s="197"/>
      <c r="E13" t="str">
        <f t="array" ref="E13">INDEX(Sheet1!$A$4:$DA$4,MATCH(0,COUNTIF($E$1:E12,Sheet1!$A$4:$DA$4),0))</f>
        <v>Supply chain</v>
      </c>
      <c r="F13" s="196" t="s">
        <v>2286</v>
      </c>
      <c r="G13" t="str">
        <f>INDEX(Sheet1!A$2:DA$2,MATCH($E13,Sheet1!A$4:DA$4,0))</f>
        <v>Change in practices</v>
      </c>
      <c r="H13" s="196" t="s">
        <v>2286</v>
      </c>
      <c r="I13" t="str">
        <f>INDEX(Sheet1!C$1:EX$1,MATCH($E13,Sheet1!C$4:EX$4,0))</f>
        <v>Drivers</v>
      </c>
    </row>
    <row r="14" spans="1:11">
      <c r="A14" s="197" t="str">
        <v>Paper description</v>
      </c>
      <c r="B14" s="197">
        <v>0</v>
      </c>
      <c r="C14" s="197" t="str">
        <v>Authors</v>
      </c>
      <c r="D14" s="197"/>
      <c r="E14" t="str">
        <f t="array" ref="E14">INDEX(Sheet1!$A$4:$DA$4,MATCH(0,COUNTIF($E$1:E13,Sheet1!$A$4:$DA$4),0))</f>
        <v>Technology</v>
      </c>
      <c r="F14" s="196" t="s">
        <v>2286</v>
      </c>
      <c r="G14" t="str">
        <f>INDEX(Sheet1!A$2:DA$2,MATCH($E14,Sheet1!A$4:DA$4,0))</f>
        <v>Change in practices</v>
      </c>
      <c r="H14" s="196" t="s">
        <v>2286</v>
      </c>
      <c r="I14" t="str">
        <f>INDEX(Sheet1!C$1:EX$1,MATCH($E14,Sheet1!C$4:EX$4,0))</f>
        <v>Drivers</v>
      </c>
      <c r="J14" s="198" t="s">
        <v>22</v>
      </c>
    </row>
    <row r="15" spans="1:11">
      <c r="A15" s="197" t="str">
        <v>Protocol</v>
      </c>
      <c r="B15" s="197">
        <v>0</v>
      </c>
      <c r="C15" s="197" t="str">
        <v>Exclusion</v>
      </c>
      <c r="D15" s="197"/>
      <c r="E15" t="str" cm="1">
        <f t="array" ref="E15">INDEX(Sheet1!$A$4:$DA$4,MATCH(0,COUNTIF($E$1:E14,Sheet1!$A$4:$DA$4),0))</f>
        <v>Environmental change</v>
      </c>
      <c r="F15" s="198" t="s">
        <v>23</v>
      </c>
      <c r="G15" t="str">
        <f>INDEX(Sheet1!A$2:DA$2,MATCH($E15,Sheet1!A$4:DA$4,0))</f>
        <v>Environmental change</v>
      </c>
      <c r="H15" s="198" t="s">
        <v>23</v>
      </c>
      <c r="I15" t="str">
        <f>INDEX(Sheet1!C$1:EX$1,MATCH($E15,Sheet1!C$4:EX$4,0))</f>
        <v>Drivers</v>
      </c>
      <c r="J15" s="198" t="s">
        <v>22</v>
      </c>
    </row>
    <row r="16" spans="1:11">
      <c r="A16" s="197" t="str">
        <v>Extraction</v>
      </c>
      <c r="B16" s="197">
        <v>0</v>
      </c>
      <c r="C16" s="197" t="str">
        <v>Full revision</v>
      </c>
      <c r="D16" s="197"/>
      <c r="E16" t="str">
        <f t="array" ref="E16">INDEX(Sheet1!$A$4:$DA$4,MATCH(0,COUNTIF($E$1:E15,Sheet1!$A$4:$DA$4),0))</f>
        <v>Demand</v>
      </c>
      <c r="F16" s="198" t="s">
        <v>23</v>
      </c>
      <c r="G16" t="str">
        <f>INDEX(Sheet1!A$2:DA$2,MATCH($E16,Sheet1!A$4:DA$4,0))</f>
        <v>Environmental change</v>
      </c>
      <c r="H16" s="198" t="s">
        <v>23</v>
      </c>
      <c r="I16" t="str">
        <f>INDEX(Sheet1!C$1:EX$1,MATCH($E16,Sheet1!C$4:EX$4,0))</f>
        <v>Drivers</v>
      </c>
      <c r="J16" s="198" t="s">
        <v>22</v>
      </c>
    </row>
    <row r="17" spans="1:10">
      <c r="A17" s="197" t="str">
        <v>Post-extraction</v>
      </c>
      <c r="B17" s="197">
        <v>0</v>
      </c>
      <c r="C17" s="197" t="str">
        <v>Revision</v>
      </c>
      <c r="D17" s="197"/>
      <c r="E17" t="str">
        <f t="array" ref="E17">INDEX(Sheet1!$A$4:$DA$4,MATCH(0,COUNTIF($E$1:E16,Sheet1!$A$4:$DA$4),0))</f>
        <v>QC</v>
      </c>
      <c r="F17" s="198" t="s">
        <v>23</v>
      </c>
      <c r="G17" t="str">
        <f>INDEX(Sheet1!A$2:DA$2,MATCH($E17,Sheet1!A$4:DA$4,0))</f>
        <v>Post-extraction</v>
      </c>
      <c r="H17" s="198" t="s">
        <v>23</v>
      </c>
      <c r="I17" t="str">
        <f>INDEX(Sheet1!C$1:EX$1,MATCH($E17,Sheet1!C$4:EX$4,0))</f>
        <v>Protocol</v>
      </c>
      <c r="J17" s="198" t="s">
        <v>22</v>
      </c>
    </row>
    <row r="18" spans="1:10">
      <c r="A18" s="197" t="str">
        <v>Extraction round</v>
      </c>
      <c r="B18" s="197">
        <v>0</v>
      </c>
      <c r="C18" s="197">
        <v>0</v>
      </c>
      <c r="D18" s="197"/>
      <c r="E18" t="str">
        <f t="array" ref="E18">INDEX(Sheet1!$A$4:$DA$4,MATCH(0,COUNTIF($E$1:E17,Sheet1!$A$4:$DA$4),0))</f>
        <v>All</v>
      </c>
      <c r="F18" s="198" t="s">
        <v>23</v>
      </c>
      <c r="G18" t="str">
        <f>INDEX(Sheet1!A$2:DA$2,MATCH($E18,Sheet1!A$4:DA$4,0))</f>
        <v>QC</v>
      </c>
      <c r="H18" s="198" t="s">
        <v>23</v>
      </c>
      <c r="I18" t="str">
        <f>INDEX(Sheet1!C$1:EX$1,MATCH($E18,Sheet1!C$4:EX$4,0))</f>
        <v>Protocol</v>
      </c>
      <c r="J18" s="198" t="s">
        <v>22</v>
      </c>
    </row>
    <row r="19" spans="1:10">
      <c r="A19" s="197">
        <v>0</v>
      </c>
      <c r="B19" s="197">
        <v>0</v>
      </c>
      <c r="C19" s="197">
        <v>0</v>
      </c>
      <c r="D19" s="197"/>
      <c r="E19" t="str">
        <f t="array" ref="E19">INDEX(Sheet1!$A$4:$DA$4,MATCH(0,COUNTIF($E$1:E18,Sheet1!$A$4:$DA$4),0))</f>
        <v>AllEnvir</v>
      </c>
      <c r="F19" s="196" t="s">
        <v>2286</v>
      </c>
      <c r="G19" t="str">
        <f>INDEX(Sheet1!A$2:DA$2,MATCH($E19,Sheet1!A$4:DA$4,0))</f>
        <v>QC</v>
      </c>
      <c r="H19" s="196" t="s">
        <v>2286</v>
      </c>
      <c r="I19" t="str">
        <f>INDEX(Sheet1!C$1:EX$1,MATCH($E19,Sheet1!C$4:EX$4,0))</f>
        <v>Protocol</v>
      </c>
      <c r="J19" s="198" t="s">
        <v>23</v>
      </c>
    </row>
    <row r="20" spans="1:10">
      <c r="A20" s="197" t="str">
        <v>Driver</v>
      </c>
      <c r="B20" s="197">
        <v>0</v>
      </c>
      <c r="C20" s="197" t="str">
        <v>driver description</v>
      </c>
      <c r="D20" s="197"/>
      <c r="E20" t="str" cm="1">
        <f t="array" ref="E20">INDEX(Sheet1!$A$4:$DA$4,MATCH(0,COUNTIF($E$1:E19,Sheet1!$A$4:$DA$4),0))</f>
        <v>MainDriver</v>
      </c>
      <c r="F20" s="199" t="s">
        <v>61</v>
      </c>
      <c r="G20" t="str">
        <f>INDEX(Sheet1!A$2:DA$2,MATCH($E20,Sheet1!A$4:DA$4,0))</f>
        <v>DataCorrection</v>
      </c>
      <c r="H20" s="199" t="s">
        <v>61</v>
      </c>
      <c r="I20" t="str">
        <f>INDEX(Sheet1!C$1:EX$1,MATCH($E20,Sheet1!C$4:EX$4,0))</f>
        <v>Drivers</v>
      </c>
      <c r="J20" s="198" t="s">
        <v>24</v>
      </c>
    </row>
    <row r="21" spans="1:10">
      <c r="A21" s="197" t="str">
        <v>Driver</v>
      </c>
      <c r="B21" s="197">
        <v>0</v>
      </c>
      <c r="C21" s="197" t="str">
        <v>driver description</v>
      </c>
      <c r="D21" s="197"/>
      <c r="E21" t="str">
        <f t="array" ref="E21">INDEX(Sheet1!$A$4:$DA$4,MATCH(0,COUNTIF($E$1:E20,Sheet1!$A$4:$DA$4),0))</f>
        <v>Wood amount</v>
      </c>
      <c r="F21" s="199" t="s">
        <v>61</v>
      </c>
      <c r="G21" t="str">
        <f>INDEX(Sheet1!A$2:DA$2,MATCH($E21,Sheet1!A$4:DA$4,0))</f>
        <v>Carbon_outcome</v>
      </c>
      <c r="H21" s="199" t="s">
        <v>61</v>
      </c>
      <c r="I21" t="str">
        <f>INDEX(Sheet1!C$1:EX$1,MATCH($E21,Sheet1!C$4:EX$4,0))</f>
        <v>Outcomes</v>
      </c>
      <c r="J21" s="198" t="s">
        <v>25</v>
      </c>
    </row>
    <row r="22" spans="1:10">
      <c r="A22" s="197" t="str">
        <v>Driver</v>
      </c>
      <c r="B22" s="197">
        <v>0</v>
      </c>
      <c r="C22" s="197" t="str">
        <v>driver description</v>
      </c>
      <c r="D22" s="197"/>
      <c r="E22" t="str">
        <f t="array" ref="E22">INDEX(Sheet1!$A$4:$DA$4,MATCH(0,COUNTIF($E$1:E21,Sheet1!$A$4:$DA$4),0))</f>
        <v>Cumulated C balance</v>
      </c>
      <c r="F22" s="200" t="s">
        <v>2287</v>
      </c>
      <c r="G22" t="str">
        <f>INDEX(Sheet1!A$2:DA$2,MATCH($E22,Sheet1!A$4:DA$4,0))</f>
        <v>Carbon_outcome</v>
      </c>
      <c r="H22" s="201" t="s">
        <v>2288</v>
      </c>
      <c r="I22" t="str">
        <f>INDEX(Sheet1!C$1:EX$1,MATCH($E22,Sheet1!C$4:EX$4,0))</f>
        <v>Outcomes</v>
      </c>
      <c r="J22" s="198" t="s">
        <v>26</v>
      </c>
    </row>
    <row r="23" spans="1:10">
      <c r="A23" s="197">
        <v>0</v>
      </c>
      <c r="B23" s="197">
        <v>0</v>
      </c>
      <c r="C23" s="197" t="str">
        <v>Silviculture for removals</v>
      </c>
      <c r="D23" s="197"/>
      <c r="E23" t="str">
        <f t="array" ref="E23">INDEX(Sheet1!$A$4:$DA$4,MATCH(0,COUNTIF($E$1:E22,Sheet1!$A$4:$DA$4),0))</f>
        <v>Substitution coefficient</v>
      </c>
      <c r="F23" s="202" t="s">
        <v>2289</v>
      </c>
      <c r="G23">
        <f>INDEX(Sheet1!A$2:DA$2,MATCH($E23,Sheet1!A$4:DA$4,0))</f>
        <v>0</v>
      </c>
      <c r="H23" s="201" t="s">
        <v>2288</v>
      </c>
      <c r="I23" t="str">
        <f>INDEX(Sheet1!C$1:EX$1,MATCH($E23,Sheet1!C$4:EX$4,0))</f>
        <v>Outcomes</v>
      </c>
    </row>
    <row r="24" spans="1:10">
      <c r="A24" s="197">
        <v>0</v>
      </c>
      <c r="B24" s="197">
        <v>0</v>
      </c>
      <c r="C24" s="197">
        <v>0</v>
      </c>
      <c r="D24" s="197"/>
      <c r="E24" t="str">
        <f t="array" ref="E24">INDEX(Sheet1!$A$4:$DA$4,MATCH(0,COUNTIF($E$1:E23,Sheet1!$A$4:$DA$4),0))</f>
        <v>LCAOutcomes</v>
      </c>
      <c r="F24" s="201" t="s">
        <v>2288</v>
      </c>
      <c r="G24" t="str">
        <f>INDEX(Sheet1!A$2:DA$2,MATCH($E24,Sheet1!A$4:DA$4,0))</f>
        <v>Non_c_outcomes</v>
      </c>
      <c r="H24" s="201" t="s">
        <v>2288</v>
      </c>
      <c r="I24" t="str">
        <f>INDEX(Sheet1!C$1:EX$1,MATCH($E24,Sheet1!C$4:EX$4,0))</f>
        <v>Outcomes</v>
      </c>
      <c r="J24" s="203" t="s">
        <v>19</v>
      </c>
    </row>
    <row r="25" spans="1:10">
      <c r="A25" s="197" t="str">
        <v>Change in practices</v>
      </c>
      <c r="B25" s="197" t="str">
        <v>#CAACCB</v>
      </c>
      <c r="C25" s="197" t="str">
        <v>Silviculture for removals</v>
      </c>
      <c r="D25" s="197"/>
      <c r="E25" t="str">
        <f t="array" ref="E25">INDEX(Sheet1!$A$4:$DA$4,MATCH(0,COUNTIF($E$1:E24,Sheet1!$A$4:$DA$4),0))</f>
        <v>biogeochemicalOutcomes</v>
      </c>
      <c r="F25" s="196" t="s">
        <v>2286</v>
      </c>
      <c r="G25" t="str">
        <f>INDEX(Sheet1!A$2:DA$2,MATCH($E25,Sheet1!A$4:DA$4,0))</f>
        <v>Non_c_outcomes</v>
      </c>
      <c r="H25" s="196" t="s">
        <v>2286</v>
      </c>
      <c r="I25" t="str">
        <f>INDEX(Sheet1!C$1:EX$1,MATCH($E25,Sheet1!C$4:EX$4,0))</f>
        <v>Outcomes</v>
      </c>
      <c r="J25" s="203" t="s">
        <v>19</v>
      </c>
    </row>
    <row r="26" spans="1:10">
      <c r="A26" s="197" t="str">
        <v>Change in practices</v>
      </c>
      <c r="B26" s="197" t="str">
        <v>#CAACCB</v>
      </c>
      <c r="C26" s="197" t="str">
        <v>Silviculture for removals</v>
      </c>
      <c r="D26" s="197"/>
      <c r="E26" t="str">
        <f t="array" ref="E26">INDEX(Sheet1!$A$4:$DA$4,MATCH(0,COUNTIF($E$1:E25,Sheet1!$A$4:$DA$4),0))</f>
        <v>biophysicalOutcomes</v>
      </c>
      <c r="F26" s="196" t="s">
        <v>2286</v>
      </c>
      <c r="G26" t="str">
        <f>INDEX(Sheet1!A$2:DA$2,MATCH($E26,Sheet1!A$4:DA$4,0))</f>
        <v>Non_c_outcomes</v>
      </c>
      <c r="H26" s="196" t="s">
        <v>2286</v>
      </c>
      <c r="I26" t="str">
        <f>INDEX(Sheet1!C$1:EX$1,MATCH($E26,Sheet1!C$4:EX$4,0))</f>
        <v>Outcomes</v>
      </c>
      <c r="J26" s="203" t="s">
        <v>19</v>
      </c>
    </row>
    <row r="27" spans="1:10">
      <c r="A27" s="197" t="str">
        <v>Change in practices</v>
      </c>
      <c r="B27" s="197" t="str">
        <v>#CAACCB</v>
      </c>
      <c r="C27" s="197" t="str">
        <v>Silviculture for removals</v>
      </c>
      <c r="D27" s="197"/>
      <c r="E27" t="str">
        <f t="array" ref="E27">INDEX(Sheet1!$A$4:$DA$4,MATCH(0,COUNTIF($E$1:E26,Sheet1!$A$4:$DA$4),0))</f>
        <v>ecologicalOutcomes</v>
      </c>
      <c r="F27" s="204" t="s">
        <v>57</v>
      </c>
      <c r="G27" t="str">
        <f>INDEX(Sheet1!A$2:DA$2,MATCH($E27,Sheet1!A$4:DA$4,0))</f>
        <v>Non_c_outcomes</v>
      </c>
      <c r="H27" s="203" t="s">
        <v>19</v>
      </c>
      <c r="I27" t="str">
        <f>INDEX(Sheet1!C$1:EX$1,MATCH($E27,Sheet1!C$4:EX$4,0))</f>
        <v>Outcomes</v>
      </c>
      <c r="J27" s="203" t="s">
        <v>19</v>
      </c>
    </row>
    <row r="28" spans="1:10">
      <c r="A28" s="197" t="str">
        <v>Change in practices</v>
      </c>
      <c r="B28" s="197" t="str">
        <v>#CAACCB</v>
      </c>
      <c r="C28" s="197" t="str">
        <v>Silviculture for removals</v>
      </c>
      <c r="D28" s="197"/>
      <c r="E28" t="str">
        <f t="array" ref="E28">INDEX(Sheet1!$A$4:$DA$4,MATCH(0,COUNTIF($E$1:E27,Sheet1!$A$4:$DA$4),0))</f>
        <v>economicalOutcomes</v>
      </c>
      <c r="F28" s="203" t="s">
        <v>19</v>
      </c>
      <c r="G28" t="str">
        <f>INDEX(Sheet1!A$2:DA$2,MATCH($E28,Sheet1!A$4:DA$4,0))</f>
        <v>Non_c_outcomes</v>
      </c>
      <c r="H28" s="203" t="s">
        <v>19</v>
      </c>
      <c r="I28" t="str">
        <f>INDEX(Sheet1!C$1:EX$1,MATCH($E28,Sheet1!C$4:EX$4,0))</f>
        <v>Outcomes</v>
      </c>
      <c r="J28" s="203" t="s">
        <v>19</v>
      </c>
    </row>
    <row r="29" spans="1:10">
      <c r="A29" s="197" t="str">
        <v>Change in practices</v>
      </c>
      <c r="B29" s="197" t="str">
        <v>#CAACCB</v>
      </c>
      <c r="C29" s="197" t="str">
        <v>Silviculture for productivity</v>
      </c>
      <c r="D29" s="197"/>
      <c r="E29" t="str">
        <f t="array" ref="E29">INDEX(Sheet1!$A$4:$DA$4,MATCH(0,COUNTIF($E$1:E28,Sheet1!$A$4:$DA$4),0))</f>
        <v>Carbon_outcome</v>
      </c>
      <c r="F29" s="205" t="s">
        <v>58</v>
      </c>
      <c r="G29" t="str">
        <f>INDEX(Sheet1!A$2:DA$2,MATCH($E29,Sheet1!A$4:DA$4,0))</f>
        <v>DataCorrection</v>
      </c>
      <c r="H29" s="203" t="s">
        <v>19</v>
      </c>
      <c r="I29" t="str">
        <f>INDEX(Sheet1!C$1:EX$1,MATCH($E29,Sheet1!C$4:EX$4,0))</f>
        <v>Outcomes</v>
      </c>
      <c r="J29" s="203" t="s">
        <v>19</v>
      </c>
    </row>
    <row r="30" spans="1:10">
      <c r="A30" s="197" t="str">
        <v>Change in practices</v>
      </c>
      <c r="B30" s="197" t="str">
        <v>#CAACCB</v>
      </c>
      <c r="C30" s="197" t="str">
        <v>Silviculture for productivity</v>
      </c>
      <c r="D30" s="197"/>
      <c r="E30" t="e">
        <f t="array" ref="E30">INDEX(Sheet1!$A$4:$DA$4,MATCH(0,COUNTIF($E$1:E29,Sheet1!$A$4:$DA$4),0))</f>
        <v>#N/A</v>
      </c>
      <c r="F30" s="206" t="s">
        <v>59</v>
      </c>
      <c r="G30" t="e">
        <f>INDEX(Sheet1!A$2:DA$2,MATCH($E30,Sheet1!A$4:DA$4,0))</f>
        <v>#N/A</v>
      </c>
      <c r="H30" s="207" t="s">
        <v>60</v>
      </c>
      <c r="I30" t="e">
        <f>INDEX(Sheet1!C$1:EX$1,MATCH($E30,Sheet1!C$4:EX$4,0))</f>
        <v>#N/A</v>
      </c>
      <c r="J30" s="203" t="s">
        <v>19</v>
      </c>
    </row>
    <row r="31" spans="1:10">
      <c r="A31" s="197" t="str">
        <v>Change in practices</v>
      </c>
      <c r="B31" s="197" t="str">
        <v>#CAACCB</v>
      </c>
      <c r="C31" s="197" t="str">
        <v>Silviculture for productivity</v>
      </c>
      <c r="D31" s="197"/>
      <c r="E31" t="e">
        <f t="array" ref="E31">INDEX(Sheet1!$A$4:$DA$4,MATCH(0,COUNTIF($E$1:E30,Sheet1!$A$4:$DA$4),0))</f>
        <v>#N/A</v>
      </c>
      <c r="F31" s="207" t="s">
        <v>60</v>
      </c>
      <c r="G31" t="e">
        <f>INDEX(Sheet1!A$2:DA$2,MATCH($E31,Sheet1!A$4:DA$4,0))</f>
        <v>#N/A</v>
      </c>
      <c r="H31" s="207" t="s">
        <v>60</v>
      </c>
      <c r="I31" t="e">
        <f>INDEX(Sheet1!C$1:EX$1,MATCH($E31,Sheet1!C$4:EX$4,0))</f>
        <v>#N/A</v>
      </c>
    </row>
    <row r="32" spans="1:10">
      <c r="A32" s="197" t="str">
        <v>Change in practices</v>
      </c>
      <c r="B32" s="197" t="str">
        <v>#CAACCB</v>
      </c>
      <c r="C32" s="197" t="str">
        <v>Silviculture for productivity</v>
      </c>
      <c r="D32" s="197"/>
      <c r="E32" t="e">
        <f t="array" ref="E32">INDEX(Sheet1!$A$4:$DA$4,MATCH(0,COUNTIF($E$1:E31,Sheet1!$A$4:$DA$4),0))</f>
        <v>#N/A</v>
      </c>
      <c r="F32" s="207" t="s">
        <v>60</v>
      </c>
      <c r="G32" t="e">
        <f>INDEX(Sheet1!A$2:DA$2,MATCH($E32,Sheet1!A$4:DA$4,0))</f>
        <v>#N/A</v>
      </c>
      <c r="H32" s="207" t="s">
        <v>60</v>
      </c>
      <c r="I32" t="e">
        <f>INDEX(Sheet1!C$1:EX$1,MATCH($E32,Sheet1!C$4:EX$4,0))</f>
        <v>#N/A</v>
      </c>
    </row>
    <row r="33" spans="1:9">
      <c r="A33" s="197" t="str">
        <v>Change in practices</v>
      </c>
      <c r="B33" s="197" t="str">
        <v>#CAACCB</v>
      </c>
      <c r="C33" s="197" t="str">
        <v>Supply chain</v>
      </c>
      <c r="D33" s="197"/>
      <c r="E33" t="e">
        <f t="array" ref="E33">INDEX(Sheet1!$A$4:$DA$4,MATCH(0,COUNTIF($E$1:E32,Sheet1!$A$4:$DA$4),0))</f>
        <v>#N/A</v>
      </c>
      <c r="F33" s="208" t="s">
        <v>2290</v>
      </c>
      <c r="G33" t="e">
        <f>INDEX(Sheet1!A$2:DA$2,MATCH($E33,Sheet1!A$4:DA$4,0))</f>
        <v>#N/A</v>
      </c>
      <c r="H33" s="208" t="s">
        <v>2290</v>
      </c>
      <c r="I33" t="e">
        <f>INDEX(Sheet1!C$1:EX$1,MATCH($E33,Sheet1!C$4:EX$4,0))</f>
        <v>#N/A</v>
      </c>
    </row>
    <row r="34" spans="1:9">
      <c r="A34" s="197" t="str">
        <v>Change in practices</v>
      </c>
      <c r="B34" s="197" t="str">
        <v>#CAACCB</v>
      </c>
      <c r="C34" s="197" t="str">
        <v>Supply chain</v>
      </c>
      <c r="D34" s="197"/>
      <c r="E34" t="e">
        <f t="array" ref="E34">INDEX(Sheet1!$A$4:$DA$4,MATCH(0,COUNTIF($E$1:E33,Sheet1!$A$4:$DA$4),0))</f>
        <v>#N/A</v>
      </c>
      <c r="F34" s="208" t="s">
        <v>2290</v>
      </c>
      <c r="G34" t="e">
        <f>INDEX(Sheet1!A$2:DA$2,MATCH($E34,Sheet1!A$4:DA$4,0))</f>
        <v>#N/A</v>
      </c>
      <c r="H34" s="208" t="s">
        <v>2290</v>
      </c>
      <c r="I34" t="e">
        <f>INDEX(Sheet1!C$1:EX$1,MATCH($E34,Sheet1!C$4:EX$4,0))</f>
        <v>#N/A</v>
      </c>
    </row>
    <row r="35" spans="1:9">
      <c r="A35" s="197" t="str">
        <v>Change in practices</v>
      </c>
      <c r="B35" s="197" t="str">
        <v>#CAACCB</v>
      </c>
      <c r="C35" s="197" t="str">
        <v>Supply chain</v>
      </c>
      <c r="D35" s="197"/>
      <c r="E35" t="e">
        <f t="array" ref="E35">INDEX(Sheet1!$A$4:$DA$4,MATCH(0,COUNTIF($E$1:E34,Sheet1!$A$4:$DA$4),0))</f>
        <v>#N/A</v>
      </c>
      <c r="F35" s="208" t="s">
        <v>2290</v>
      </c>
      <c r="G35" t="e">
        <f>INDEX(Sheet1!A$2:DA$2,MATCH($E35,Sheet1!A$4:DA$4,0))</f>
        <v>#N/A</v>
      </c>
      <c r="H35" s="208" t="s">
        <v>2290</v>
      </c>
      <c r="I35" t="e">
        <f>INDEX(Sheet1!C$1:EX$1,MATCH($E35,Sheet1!C$4:EX$4,0))</f>
        <v>#N/A</v>
      </c>
    </row>
    <row r="36" spans="1:9">
      <c r="A36" s="197" t="str">
        <v>Change in practices</v>
      </c>
      <c r="B36" s="197" t="str">
        <v>#CAACCB</v>
      </c>
      <c r="C36" s="197" t="str">
        <v>Supply chain</v>
      </c>
      <c r="D36" s="197"/>
      <c r="E36" t="e">
        <f t="array" ref="E36">INDEX(Sheet1!$A$4:$DA$4,MATCH(0,COUNTIF($E$1:E35,Sheet1!$A$4:$DA$4),0))</f>
        <v>#N/A</v>
      </c>
      <c r="F36" s="208" t="s">
        <v>2290</v>
      </c>
      <c r="G36" t="e">
        <f>INDEX(Sheet1!A$2:DA$2,MATCH($E36,Sheet1!A$4:DA$4,0))</f>
        <v>#N/A</v>
      </c>
      <c r="H36" s="208" t="s">
        <v>2290</v>
      </c>
      <c r="I36" t="e">
        <f>INDEX(Sheet1!C$1:EX$1,MATCH($E36,Sheet1!C$4:EX$4,0))</f>
        <v>#N/A</v>
      </c>
    </row>
    <row r="37" spans="1:9">
      <c r="A37" s="197" t="str">
        <v>Change in practices</v>
      </c>
      <c r="B37" s="197" t="str">
        <v>#CAACCB</v>
      </c>
      <c r="C37" s="197" t="str">
        <v>Supply chain</v>
      </c>
      <c r="D37" s="197"/>
      <c r="E37" t="e">
        <f t="array" ref="E37">INDEX(Sheet1!$A$4:$DA$4,MATCH(0,COUNTIF($E$1:E36,Sheet1!$A$4:$DA$4),0))</f>
        <v>#N/A</v>
      </c>
      <c r="F37" s="209" t="s">
        <v>2291</v>
      </c>
      <c r="G37" t="e">
        <f>INDEX(Sheet1!A$2:DA$2,MATCH($E37,Sheet1!A$4:DA$4,0))</f>
        <v>#N/A</v>
      </c>
      <c r="H37" s="208" t="s">
        <v>2290</v>
      </c>
      <c r="I37" t="e">
        <f>INDEX(Sheet1!C$1:EX$1,MATCH($E37,Sheet1!C$4:EX$4,0))</f>
        <v>#N/A</v>
      </c>
    </row>
    <row r="38" spans="1:9">
      <c r="A38" s="197" t="str">
        <v>Change in practices</v>
      </c>
      <c r="B38" s="197" t="str">
        <v>#CAACCB</v>
      </c>
      <c r="C38" s="197" t="str">
        <v>Supply chain</v>
      </c>
      <c r="D38" s="197"/>
      <c r="E38" t="e">
        <f t="array" ref="E38">INDEX(Sheet1!$A$4:$DA$4,MATCH(0,COUNTIF($E$1:E37,Sheet1!$A$4:$DA$4),0))</f>
        <v>#N/A</v>
      </c>
      <c r="F38" s="210" t="s">
        <v>2292</v>
      </c>
      <c r="G38" t="e">
        <f>INDEX(Sheet1!A$2:DA$2,MATCH($E38,Sheet1!A$4:DA$4,0))</f>
        <v>#N/A</v>
      </c>
      <c r="H38" s="208" t="s">
        <v>2290</v>
      </c>
      <c r="I38" t="e">
        <f>INDEX(Sheet1!C$1:EX$1,MATCH($E38,Sheet1!C$4:EX$4,0))</f>
        <v>#N/A</v>
      </c>
    </row>
    <row r="39" spans="1:9">
      <c r="A39" s="197" t="str">
        <v>Change in practices</v>
      </c>
      <c r="B39" s="197" t="str">
        <v>#CAACCB</v>
      </c>
      <c r="C39" s="197" t="str">
        <v>Technology</v>
      </c>
      <c r="D39" s="197"/>
      <c r="E39" t="e">
        <f t="array" ref="E39">INDEX(Sheet1!$A$4:$DA$4,MATCH(0,COUNTIF($E$1:E38,Sheet1!$A$4:$DA$4),0))</f>
        <v>#N/A</v>
      </c>
      <c r="F39" s="211" t="s">
        <v>2293</v>
      </c>
      <c r="G39" t="e">
        <f>INDEX(Sheet1!A$2:DA$2,MATCH($E39,Sheet1!A$4:DA$4,0))</f>
        <v>#N/A</v>
      </c>
      <c r="H39" s="208" t="s">
        <v>2290</v>
      </c>
      <c r="I39" t="e">
        <f>INDEX(Sheet1!C$1:EX$1,MATCH($E39,Sheet1!C$4:EX$4,0))</f>
        <v>#N/A</v>
      </c>
    </row>
    <row r="40" spans="1:9">
      <c r="A40" s="197" t="str">
        <v>Change in practices</v>
      </c>
      <c r="B40" s="197" t="str">
        <v>#CAACCB</v>
      </c>
      <c r="C40" s="197" t="str">
        <v>Technology</v>
      </c>
      <c r="D40" s="197"/>
      <c r="E40" t="e">
        <f t="array" ref="E40">INDEX(Sheet1!$A$4:$DA$4,MATCH(0,COUNTIF($E$1:E39,Sheet1!$A$4:$DA$4),0))</f>
        <v>#N/A</v>
      </c>
      <c r="G40" t="e">
        <f>INDEX(Sheet1!A$2:DA$2,MATCH($E40,Sheet1!A$4:DA$4,0))</f>
        <v>#N/A</v>
      </c>
      <c r="I40" t="e">
        <f>INDEX(Sheet1!C$1:EX$1,MATCH($E40,Sheet1!C$4:EX$4,0))</f>
        <v>#N/A</v>
      </c>
    </row>
    <row r="41" spans="1:9">
      <c r="A41" s="197" t="str">
        <v>Change in practices</v>
      </c>
      <c r="B41" s="197" t="str">
        <v>#CAACCB</v>
      </c>
      <c r="C41" s="197" t="str">
        <v>Technology</v>
      </c>
      <c r="D41" s="197"/>
      <c r="E41" t="e">
        <f t="array" ref="E41">INDEX(Sheet1!$A$4:$DA$4,MATCH(0,COUNTIF($E$1:E40,Sheet1!$A$4:$DA$4),0))</f>
        <v>#N/A</v>
      </c>
      <c r="G41" t="e">
        <f>INDEX(Sheet1!A$2:DA$2,MATCH($E41,Sheet1!A$4:DA$4,0))</f>
        <v>#N/A</v>
      </c>
      <c r="I41" t="e">
        <f>INDEX(Sheet1!C$1:EX$1,MATCH($E41,Sheet1!C$4:EX$4,0))</f>
        <v>#N/A</v>
      </c>
    </row>
    <row r="42" spans="1:9">
      <c r="A42" s="197" t="str">
        <v>Environmental change</v>
      </c>
      <c r="B42" s="197" t="str">
        <v>#994F93</v>
      </c>
      <c r="C42" s="197" t="str">
        <v>Environmental change</v>
      </c>
      <c r="D42" s="197"/>
      <c r="E42" t="e">
        <f t="array" ref="E42">INDEX(Sheet1!$A$4:$DA$4,MATCH(0,COUNTIF($E$1:E41,Sheet1!$A$4:$DA$4),0))</f>
        <v>#N/A</v>
      </c>
      <c r="G42" t="e">
        <f>INDEX(Sheet1!A$2:DA$2,MATCH($E42,Sheet1!A$4:DA$4,0))</f>
        <v>#N/A</v>
      </c>
      <c r="I42" t="e">
        <f>INDEX(Sheet1!C$1:EX$1,MATCH($E42,Sheet1!C$4:EX$4,0))</f>
        <v>#N/A</v>
      </c>
    </row>
    <row r="43" spans="1:9">
      <c r="A43" s="197" t="str">
        <v>Environmental change</v>
      </c>
      <c r="B43" s="197" t="str">
        <v>#994F93</v>
      </c>
      <c r="C43" s="197" t="str">
        <v>Environmental change</v>
      </c>
      <c r="D43" s="197"/>
      <c r="E43" t="e">
        <f t="array" ref="E43">INDEX(Sheet1!$A$4:$DA$4,MATCH(0,COUNTIF($E$1:E42,Sheet1!$A$4:$DA$4),0))</f>
        <v>#N/A</v>
      </c>
      <c r="G43" t="e">
        <f>INDEX(Sheet1!A$2:DA$2,MATCH($E43,Sheet1!A$4:DA$4,0))</f>
        <v>#N/A</v>
      </c>
      <c r="I43" t="e">
        <f>INDEX(Sheet1!C$1:EX$1,MATCH($E43,Sheet1!C$4:EX$4,0))</f>
        <v>#N/A</v>
      </c>
    </row>
    <row r="44" spans="1:9">
      <c r="A44" s="197" t="str">
        <v>Environmental change</v>
      </c>
      <c r="B44" s="197" t="str">
        <v>#994F93</v>
      </c>
      <c r="C44" s="197" t="str">
        <v>Environmental change</v>
      </c>
      <c r="D44" s="197"/>
      <c r="E44" t="e">
        <f t="array" ref="E44">INDEX(Sheet1!$A$4:$DA$4,MATCH(0,COUNTIF($E$1:E43,Sheet1!$A$4:$DA$4),0))</f>
        <v>#N/A</v>
      </c>
      <c r="G44" t="e">
        <f>INDEX(Sheet1!A$2:DA$2,MATCH($E44,Sheet1!A$4:DA$4,0))</f>
        <v>#N/A</v>
      </c>
      <c r="I44" t="e">
        <f>INDEX(Sheet1!C$1:EX$1,MATCH($E44,Sheet1!C$4:EX$4,0))</f>
        <v>#N/A</v>
      </c>
    </row>
    <row r="45" spans="1:9">
      <c r="A45" s="197" t="str">
        <v>Environmental change</v>
      </c>
      <c r="B45" s="197" t="str">
        <v>#994F93</v>
      </c>
      <c r="C45" s="197" t="str">
        <v>Environmental change</v>
      </c>
      <c r="D45" s="197"/>
      <c r="E45" t="e">
        <f t="array" ref="E45">INDEX(Sheet1!$A$4:$DA$4,MATCH(0,COUNTIF($E$1:E44,Sheet1!$A$4:$DA$4),0))</f>
        <v>#N/A</v>
      </c>
      <c r="I45"/>
    </row>
    <row r="46" spans="1:9">
      <c r="A46" s="197" t="str">
        <v>Environmental change</v>
      </c>
      <c r="B46" s="197" t="str">
        <v>#994F93</v>
      </c>
      <c r="C46" s="197" t="str">
        <v>Environmental change</v>
      </c>
      <c r="D46" s="197"/>
      <c r="E46" t="e">
        <f t="array" ref="E46">INDEX(Sheet1!$A$4:$DA$4,MATCH(0,COUNTIF($E$1:E45,Sheet1!$A$4:$DA$4),0))</f>
        <v>#N/A</v>
      </c>
      <c r="I46"/>
    </row>
    <row r="47" spans="1:9">
      <c r="A47" s="197" t="str">
        <v>Environmental change</v>
      </c>
      <c r="B47" s="197" t="str">
        <v>#994F93</v>
      </c>
      <c r="C47" s="197" t="str">
        <v>Environmental change</v>
      </c>
      <c r="D47" s="197"/>
      <c r="I47"/>
    </row>
    <row r="48" spans="1:9">
      <c r="A48" s="197" t="str">
        <v>Environmental change</v>
      </c>
      <c r="B48" s="197" t="str">
        <v>#994F93</v>
      </c>
      <c r="C48" s="197" t="str">
        <v>Demand</v>
      </c>
      <c r="D48" s="197"/>
      <c r="I48"/>
    </row>
    <row r="49" spans="1:9">
      <c r="A49" s="197" t="str">
        <v>Environmental change</v>
      </c>
      <c r="B49" s="197" t="str">
        <v>#994F93</v>
      </c>
      <c r="C49" s="197" t="str">
        <v>Demand</v>
      </c>
      <c r="D49" s="197"/>
      <c r="I49"/>
    </row>
    <row r="50" spans="1:9">
      <c r="A50" s="197" t="str">
        <v>Environmental change</v>
      </c>
      <c r="B50" s="197" t="str">
        <v>#994F93</v>
      </c>
      <c r="C50" s="197" t="str">
        <v>Demand</v>
      </c>
      <c r="D50" s="197"/>
      <c r="I50"/>
    </row>
    <row r="51" spans="1:9">
      <c r="A51" s="197" t="str">
        <v>Environmental change</v>
      </c>
      <c r="B51" s="197" t="str">
        <v>#994F93</v>
      </c>
      <c r="C51" s="197" t="str">
        <v>Demand</v>
      </c>
      <c r="D51" s="197"/>
      <c r="I51"/>
    </row>
    <row r="52" spans="1:9">
      <c r="A52" s="197" t="str">
        <v>Environmental change</v>
      </c>
      <c r="B52" s="197" t="str">
        <v>#994F93</v>
      </c>
      <c r="C52" s="197" t="str">
        <v>Demand</v>
      </c>
      <c r="D52" s="197"/>
      <c r="I52"/>
    </row>
    <row r="53" spans="1:9">
      <c r="A53" s="197" t="str">
        <v>Post-extraction</v>
      </c>
      <c r="B53" s="197">
        <v>0</v>
      </c>
      <c r="C53" s="197" t="str">
        <v>QC</v>
      </c>
      <c r="D53" s="197"/>
      <c r="I53"/>
    </row>
    <row r="54" spans="1:9">
      <c r="A54" s="197" t="str">
        <v>QC</v>
      </c>
      <c r="B54" s="197">
        <v>0</v>
      </c>
      <c r="C54" s="197" t="str">
        <v>All</v>
      </c>
      <c r="D54" s="197"/>
      <c r="I54"/>
    </row>
    <row r="55" spans="1:9">
      <c r="A55" s="197">
        <v>0</v>
      </c>
      <c r="B55" s="197">
        <v>0</v>
      </c>
      <c r="C55" s="197">
        <v>0</v>
      </c>
      <c r="D55" s="197"/>
      <c r="I55"/>
    </row>
    <row r="56" spans="1:9">
      <c r="A56" s="197">
        <v>0</v>
      </c>
      <c r="B56" s="197">
        <v>0</v>
      </c>
      <c r="C56" s="197">
        <v>0</v>
      </c>
      <c r="D56" s="197"/>
      <c r="I56"/>
    </row>
    <row r="57" spans="1:9">
      <c r="A57" s="197">
        <v>0</v>
      </c>
      <c r="B57" s="197">
        <v>0</v>
      </c>
      <c r="C57" s="197">
        <v>0</v>
      </c>
      <c r="D57" s="197"/>
      <c r="I57"/>
    </row>
    <row r="58" spans="1:9">
      <c r="A58" s="197" t="str">
        <v>QC</v>
      </c>
      <c r="B58" s="197">
        <v>0</v>
      </c>
      <c r="C58" s="197" t="str">
        <v>AllEnvir</v>
      </c>
      <c r="D58" s="197"/>
      <c r="I58"/>
    </row>
    <row r="59" spans="1:9">
      <c r="A59" s="197" t="str">
        <v>QC</v>
      </c>
      <c r="B59" s="197">
        <v>0</v>
      </c>
      <c r="C59" s="197" t="str">
        <v>AllEnvir</v>
      </c>
      <c r="D59" s="197"/>
      <c r="I59"/>
    </row>
    <row r="60" spans="1:9">
      <c r="A60" s="197" t="str">
        <v>DataCorrection</v>
      </c>
      <c r="B60" s="197">
        <v>0</v>
      </c>
      <c r="C60" s="197" t="str">
        <v>MainDriver</v>
      </c>
      <c r="D60" s="197"/>
      <c r="I60"/>
    </row>
    <row r="61" spans="1:9">
      <c r="A61" s="197" t="str">
        <v>DataCorrection</v>
      </c>
      <c r="B61" s="197">
        <v>0</v>
      </c>
      <c r="C61" s="197" t="str">
        <v>MainDriver</v>
      </c>
      <c r="D61" s="197"/>
      <c r="I61"/>
    </row>
    <row r="62" spans="1:9">
      <c r="A62" s="197" t="str">
        <v>Carbon_outcome</v>
      </c>
      <c r="B62" s="197">
        <v>0</v>
      </c>
      <c r="C62" s="197" t="str">
        <v>Wood amount</v>
      </c>
      <c r="D62" s="197"/>
      <c r="I62"/>
    </row>
    <row r="63" spans="1:9">
      <c r="A63" s="197" t="str">
        <v>Carbon_outcome</v>
      </c>
      <c r="B63" s="197">
        <v>0</v>
      </c>
      <c r="C63" s="197" t="str">
        <v>Wood amount</v>
      </c>
      <c r="D63" s="197"/>
      <c r="I63"/>
    </row>
    <row r="64" spans="1:9">
      <c r="A64" s="197">
        <v>0</v>
      </c>
      <c r="B64" s="197">
        <v>0</v>
      </c>
      <c r="C64" s="197">
        <v>0</v>
      </c>
      <c r="D64" s="197"/>
      <c r="I64"/>
    </row>
    <row r="65" spans="1:9">
      <c r="A65" s="197" t="str">
        <v>Carbon_outcome</v>
      </c>
      <c r="B65" s="197">
        <v>0</v>
      </c>
      <c r="C65" s="197" t="str">
        <v>Wood amount</v>
      </c>
      <c r="D65" s="197"/>
      <c r="I65"/>
    </row>
    <row r="66" spans="1:9">
      <c r="A66" s="197" t="str">
        <v>Carbon_outcome</v>
      </c>
      <c r="B66" s="197">
        <v>0</v>
      </c>
      <c r="C66" s="197" t="str">
        <v>Wood amount</v>
      </c>
      <c r="D66" s="197"/>
      <c r="I66"/>
    </row>
    <row r="67" spans="1:9">
      <c r="A67" s="197" t="str">
        <v>Carbon_outcome</v>
      </c>
      <c r="B67" s="197">
        <v>0</v>
      </c>
      <c r="C67" s="197" t="str">
        <v>Wood amount</v>
      </c>
      <c r="D67" s="197"/>
      <c r="I67"/>
    </row>
    <row r="68" spans="1:9">
      <c r="A68" s="197" t="str">
        <v>Carbon_outcome</v>
      </c>
      <c r="B68" s="197">
        <v>0</v>
      </c>
      <c r="C68" s="197" t="str">
        <v>Wood amount</v>
      </c>
      <c r="D68" s="197"/>
      <c r="I68"/>
    </row>
    <row r="69" spans="1:9">
      <c r="A69" s="197" t="str">
        <v>Carbon_outcome</v>
      </c>
      <c r="B69" s="197">
        <v>0</v>
      </c>
      <c r="C69" s="197" t="str">
        <v>Wood amount</v>
      </c>
      <c r="D69" s="197"/>
      <c r="I69"/>
    </row>
    <row r="70" spans="1:9">
      <c r="A70" s="197" t="str">
        <v>Carbon_outcome</v>
      </c>
      <c r="B70" s="197">
        <v>0</v>
      </c>
      <c r="C70" s="197" t="str">
        <v>Wood amount</v>
      </c>
      <c r="D70" s="197"/>
      <c r="I70"/>
    </row>
    <row r="71" spans="1:9">
      <c r="A71" s="197" t="str">
        <v>Carbon_outcome</v>
      </c>
      <c r="B71" s="197">
        <v>0</v>
      </c>
      <c r="C71" s="197" t="str">
        <v>Cumulated C balance</v>
      </c>
      <c r="D71" s="197"/>
      <c r="I71"/>
    </row>
    <row r="72" spans="1:9">
      <c r="A72" s="197">
        <v>0</v>
      </c>
      <c r="B72" s="197">
        <v>0</v>
      </c>
      <c r="C72" s="197" t="str">
        <v>Cumulated C balance</v>
      </c>
      <c r="D72" s="197"/>
      <c r="I72"/>
    </row>
    <row r="73" spans="1:9">
      <c r="A73" s="197" t="str">
        <v>Carbon_outcome</v>
      </c>
      <c r="B73" s="197">
        <v>0</v>
      </c>
      <c r="C73" s="197" t="str">
        <v>Cumulated C balance</v>
      </c>
      <c r="D73" s="197"/>
      <c r="I73"/>
    </row>
    <row r="74" spans="1:9">
      <c r="A74" s="197" t="str">
        <v>Carbon_outcome</v>
      </c>
      <c r="B74" s="197">
        <v>0</v>
      </c>
      <c r="C74" s="197" t="str">
        <v>Cumulated C balance</v>
      </c>
      <c r="D74" s="197"/>
      <c r="I74"/>
    </row>
    <row r="75" spans="1:9">
      <c r="A75" s="197" t="str">
        <v>Carbon_outcome</v>
      </c>
      <c r="B75" s="197">
        <v>0</v>
      </c>
      <c r="C75" s="197" t="str">
        <v>Cumulated C balance</v>
      </c>
      <c r="D75" s="197"/>
      <c r="I75"/>
    </row>
    <row r="76" spans="1:9">
      <c r="A76" s="197" t="str">
        <v>Carbon_outcome</v>
      </c>
      <c r="B76" s="197">
        <v>0</v>
      </c>
      <c r="C76" s="197" t="str">
        <v>Cumulated C balance</v>
      </c>
      <c r="D76" s="197"/>
      <c r="I76"/>
    </row>
    <row r="77" spans="1:9">
      <c r="A77" s="197" t="str">
        <v>Carbon_outcome</v>
      </c>
      <c r="B77" s="197">
        <v>0</v>
      </c>
      <c r="C77" s="197" t="str">
        <v>Cumulated C balance</v>
      </c>
      <c r="D77" s="197"/>
      <c r="I77"/>
    </row>
    <row r="78" spans="1:9">
      <c r="A78" s="197">
        <v>0</v>
      </c>
      <c r="B78" s="197">
        <v>0</v>
      </c>
      <c r="C78" s="197">
        <v>0</v>
      </c>
      <c r="D78" s="197"/>
      <c r="I78"/>
    </row>
    <row r="79" spans="1:9">
      <c r="A79" s="197" t="str">
        <v>Carbon_outcome</v>
      </c>
      <c r="B79" s="197">
        <v>0</v>
      </c>
      <c r="C79" s="197" t="str">
        <v>Cumulated C balance</v>
      </c>
      <c r="D79" s="197"/>
      <c r="I79"/>
    </row>
    <row r="80" spans="1:9">
      <c r="A80" s="197">
        <v>0</v>
      </c>
      <c r="B80" s="197">
        <v>0</v>
      </c>
      <c r="C80" s="197" t="str">
        <v>Substitution coefficient</v>
      </c>
      <c r="D80" s="197"/>
      <c r="I80"/>
    </row>
    <row r="81" spans="1:9">
      <c r="A81" s="197" t="e">
        <v>#N/A</v>
      </c>
      <c r="B81" s="197" t="e">
        <v>#N/A</v>
      </c>
      <c r="C81" s="197" t="e">
        <v>#N/A</v>
      </c>
      <c r="D81" s="197"/>
      <c r="I81"/>
    </row>
    <row r="82" spans="1:9">
      <c r="A82" s="197" t="e">
        <v>#N/A</v>
      </c>
      <c r="B82" s="197" t="e">
        <v>#N/A</v>
      </c>
      <c r="C82" s="197" t="e">
        <v>#N/A</v>
      </c>
      <c r="D82" s="197"/>
      <c r="I82"/>
    </row>
    <row r="83" spans="1:9">
      <c r="A83" s="197" t="e">
        <v>#N/A</v>
      </c>
      <c r="B83" s="197" t="e">
        <v>#N/A</v>
      </c>
      <c r="C83" s="197" t="e">
        <v>#N/A</v>
      </c>
      <c r="D83" s="197"/>
      <c r="I83"/>
    </row>
    <row r="84" spans="1:9">
      <c r="A84" s="197" t="e">
        <v>#N/A</v>
      </c>
      <c r="B84" s="197" t="e">
        <v>#N/A</v>
      </c>
      <c r="C84" s="197" t="e">
        <v>#N/A</v>
      </c>
      <c r="D84" s="197"/>
      <c r="I84"/>
    </row>
    <row r="85" spans="1:9">
      <c r="A85" s="197" t="e">
        <v>#N/A</v>
      </c>
      <c r="B85" s="197" t="e">
        <v>#N/A</v>
      </c>
      <c r="C85" s="197" t="e">
        <v>#N/A</v>
      </c>
      <c r="D85" s="197"/>
      <c r="I85"/>
    </row>
    <row r="86" spans="1:9">
      <c r="A86" s="197" t="e">
        <v>#N/A</v>
      </c>
      <c r="B86" s="197" t="e">
        <v>#N/A</v>
      </c>
      <c r="C86" s="197" t="e">
        <v>#N/A</v>
      </c>
      <c r="D86" s="197"/>
      <c r="I86"/>
    </row>
    <row r="87" spans="1:9">
      <c r="A87" s="197" t="e">
        <v>#N/A</v>
      </c>
      <c r="B87" s="197" t="e">
        <v>#N/A</v>
      </c>
      <c r="C87" s="197" t="e">
        <v>#N/A</v>
      </c>
      <c r="D87" s="197"/>
      <c r="I87"/>
    </row>
    <row r="88" spans="1:9">
      <c r="A88" s="197" t="e">
        <v>#N/A</v>
      </c>
      <c r="B88" s="197" t="e">
        <v>#N/A</v>
      </c>
      <c r="C88" s="197" t="e">
        <v>#N/A</v>
      </c>
      <c r="D88" s="197"/>
      <c r="I88"/>
    </row>
    <row r="89" spans="1:9">
      <c r="A89" s="197" t="e">
        <v>#N/A</v>
      </c>
      <c r="B89" s="197" t="e">
        <v>#N/A</v>
      </c>
      <c r="C89" s="197" t="e">
        <v>#N/A</v>
      </c>
      <c r="D89" s="197"/>
      <c r="I89"/>
    </row>
    <row r="90" spans="1:9">
      <c r="A90" s="197" t="e">
        <v>#N/A</v>
      </c>
      <c r="B90" s="197" t="e">
        <v>#N/A</v>
      </c>
      <c r="C90" s="197" t="e">
        <v>#N/A</v>
      </c>
      <c r="D90" s="197"/>
      <c r="I90"/>
    </row>
    <row r="91" spans="1:9">
      <c r="A91" s="197" t="e">
        <v>#N/A</v>
      </c>
      <c r="B91" s="197" t="e">
        <v>#N/A</v>
      </c>
      <c r="C91" s="197" t="e">
        <v>#N/A</v>
      </c>
      <c r="D91" s="197"/>
      <c r="I91"/>
    </row>
    <row r="92" spans="1:9">
      <c r="A92" s="197" t="e">
        <v>#N/A</v>
      </c>
      <c r="B92" s="197" t="e">
        <v>#N/A</v>
      </c>
      <c r="C92" s="197" t="e">
        <v>#N/A</v>
      </c>
      <c r="D92" s="197"/>
      <c r="I92"/>
    </row>
    <row r="93" spans="1:9">
      <c r="A93" s="197" t="e">
        <v>#N/A</v>
      </c>
      <c r="B93" s="197" t="e">
        <v>#N/A</v>
      </c>
      <c r="C93" s="197" t="e">
        <v>#N/A</v>
      </c>
      <c r="D93" s="197"/>
      <c r="I93"/>
    </row>
    <row r="94" spans="1:9">
      <c r="A94" s="197" t="e">
        <v>#N/A</v>
      </c>
      <c r="B94" s="197" t="e">
        <v>#N/A</v>
      </c>
      <c r="C94" s="197" t="e">
        <v>#N/A</v>
      </c>
      <c r="D94" s="197"/>
      <c r="I94"/>
    </row>
    <row r="95" spans="1:9">
      <c r="A95" s="197" t="e">
        <v>#N/A</v>
      </c>
      <c r="B95" s="197" t="e">
        <v>#N/A</v>
      </c>
      <c r="C95" s="197" t="e">
        <v>#N/A</v>
      </c>
      <c r="D95" s="197"/>
      <c r="I95"/>
    </row>
    <row r="96" spans="1:9">
      <c r="A96" s="197" t="e">
        <v>#N/A</v>
      </c>
      <c r="B96" s="197" t="e">
        <v>#N/A</v>
      </c>
      <c r="C96" s="197" t="e">
        <v>#N/A</v>
      </c>
      <c r="D96" s="197"/>
      <c r="I96"/>
    </row>
    <row r="97" spans="1:9">
      <c r="A97" s="197" t="e">
        <v>#N/A</v>
      </c>
      <c r="B97" s="197" t="e">
        <v>#N/A</v>
      </c>
      <c r="C97" s="197" t="e">
        <v>#N/A</v>
      </c>
      <c r="D97" s="197"/>
      <c r="I97"/>
    </row>
    <row r="98" spans="1:9">
      <c r="A98" s="197" t="e">
        <v>#N/A</v>
      </c>
      <c r="B98" s="197" t="e">
        <v>#N/A</v>
      </c>
      <c r="C98" s="197" t="e">
        <v>#N/A</v>
      </c>
      <c r="D98" s="197"/>
      <c r="I98"/>
    </row>
    <row r="99" spans="1:9">
      <c r="A99" s="197" t="e">
        <v>#N/A</v>
      </c>
      <c r="B99" s="197" t="e">
        <v>#N/A</v>
      </c>
      <c r="C99" s="197" t="e">
        <v>#N/A</v>
      </c>
      <c r="D99" s="197"/>
      <c r="I99"/>
    </row>
    <row r="100" spans="1:9">
      <c r="A100" s="197" t="e">
        <v>#N/A</v>
      </c>
      <c r="B100" s="197" t="e">
        <v>#N/A</v>
      </c>
      <c r="C100" s="197" t="e">
        <v>#N/A</v>
      </c>
      <c r="D100" s="197"/>
      <c r="I100"/>
    </row>
    <row r="101" spans="1:9">
      <c r="A101" s="197" t="e">
        <v>#N/A</v>
      </c>
      <c r="B101" s="197" t="e">
        <v>#N/A</v>
      </c>
      <c r="C101" s="197" t="e">
        <v>#N/A</v>
      </c>
      <c r="D101" s="197"/>
      <c r="I101"/>
    </row>
    <row r="102" spans="1:9">
      <c r="A102" s="197" t="e">
        <v>#N/A</v>
      </c>
      <c r="B102" s="197" t="e">
        <v>#N/A</v>
      </c>
      <c r="C102" s="197" t="e">
        <v>#N/A</v>
      </c>
      <c r="D102" s="197"/>
      <c r="I102"/>
    </row>
    <row r="103" spans="1:9">
      <c r="A103" s="197" t="e">
        <v>#N/A</v>
      </c>
      <c r="B103" s="197" t="e">
        <v>#N/A</v>
      </c>
      <c r="C103" s="197" t="e">
        <v>#N/A</v>
      </c>
      <c r="D103" s="197"/>
      <c r="I103"/>
    </row>
    <row r="104" spans="1:9">
      <c r="A104" s="197" t="e">
        <v>#N/A</v>
      </c>
      <c r="B104" s="197" t="e">
        <v>#N/A</v>
      </c>
      <c r="C104" s="197" t="e">
        <v>#N/A</v>
      </c>
      <c r="D104" s="197"/>
      <c r="I104"/>
    </row>
    <row r="105" spans="1:9">
      <c r="A105" s="197" t="e">
        <v>#N/A</v>
      </c>
      <c r="B105" s="197" t="e">
        <v>#N/A</v>
      </c>
      <c r="C105" s="197" t="e">
        <v>#N/A</v>
      </c>
      <c r="D105" s="197"/>
      <c r="I105"/>
    </row>
    <row r="106" spans="1:9">
      <c r="A106" s="197" t="e">
        <v>#N/A</v>
      </c>
      <c r="B106" s="197" t="e">
        <v>#N/A</v>
      </c>
      <c r="C106" s="197" t="e">
        <v>#N/A</v>
      </c>
      <c r="D106" s="197"/>
      <c r="I106"/>
    </row>
    <row r="107" spans="1:9">
      <c r="A107" s="197" t="e">
        <v>#N/A</v>
      </c>
      <c r="B107" s="197" t="e">
        <v>#N/A</v>
      </c>
      <c r="C107" s="197" t="e">
        <v>#N/A</v>
      </c>
      <c r="D107" s="197"/>
      <c r="I107"/>
    </row>
    <row r="108" spans="1:9">
      <c r="A108" s="197" t="e">
        <v>#N/A</v>
      </c>
      <c r="B108" s="197" t="e">
        <v>#N/A</v>
      </c>
      <c r="C108" s="197" t="e">
        <v>#N/A</v>
      </c>
      <c r="D108" s="197"/>
      <c r="I108"/>
    </row>
    <row r="109" spans="1:9">
      <c r="A109" s="197" t="e">
        <v>#N/A</v>
      </c>
      <c r="B109" s="197" t="e">
        <v>#N/A</v>
      </c>
      <c r="C109" s="197" t="e">
        <v>#N/A</v>
      </c>
      <c r="D109" s="197"/>
      <c r="I109"/>
    </row>
    <row r="110" spans="1:9">
      <c r="A110" s="197" t="e">
        <v>#N/A</v>
      </c>
      <c r="B110" s="197" t="e">
        <v>#N/A</v>
      </c>
      <c r="C110" s="197" t="e">
        <v>#N/A</v>
      </c>
      <c r="D110" s="197"/>
      <c r="I110"/>
    </row>
    <row r="111" spans="1:9">
      <c r="A111" s="197" t="e">
        <v>#N/A</v>
      </c>
      <c r="B111" s="197" t="e">
        <v>#N/A</v>
      </c>
      <c r="C111" s="197" t="e">
        <v>#N/A</v>
      </c>
      <c r="D111" s="197"/>
      <c r="I111"/>
    </row>
    <row r="112" spans="1:9">
      <c r="A112" s="197" t="e">
        <v>#N/A</v>
      </c>
      <c r="B112" s="197" t="e">
        <v>#N/A</v>
      </c>
      <c r="C112" s="197" t="e">
        <v>#N/A</v>
      </c>
      <c r="D112" s="197"/>
      <c r="I112"/>
    </row>
    <row r="113" spans="1:9">
      <c r="A113" s="197" t="e">
        <v>#N/A</v>
      </c>
      <c r="B113" s="197" t="e">
        <v>#N/A</v>
      </c>
      <c r="C113" s="197" t="e">
        <v>#N/A</v>
      </c>
      <c r="D113" s="197"/>
      <c r="I113"/>
    </row>
    <row r="114" spans="1:9">
      <c r="A114" s="197" t="e">
        <v>#N/A</v>
      </c>
      <c r="B114" s="197" t="e">
        <v>#N/A</v>
      </c>
      <c r="C114" s="197" t="e">
        <v>#N/A</v>
      </c>
      <c r="D114" s="197"/>
      <c r="I114"/>
    </row>
    <row r="115" spans="1:9">
      <c r="A115" s="197" t="e">
        <v>#N/A</v>
      </c>
      <c r="B115" s="197" t="e">
        <v>#N/A</v>
      </c>
      <c r="C115" s="197" t="e">
        <v>#N/A</v>
      </c>
      <c r="D115" s="197"/>
      <c r="I115"/>
    </row>
    <row r="116" spans="1:9">
      <c r="A116" s="197" t="e">
        <v>#N/A</v>
      </c>
      <c r="B116" s="197" t="e">
        <v>#N/A</v>
      </c>
      <c r="C116" s="197" t="e">
        <v>#N/A</v>
      </c>
      <c r="D116" s="197"/>
      <c r="I116"/>
    </row>
    <row r="117" spans="1:9">
      <c r="A117" s="197" t="e">
        <v>#N/A</v>
      </c>
      <c r="B117" s="197" t="e">
        <v>#N/A</v>
      </c>
      <c r="C117" s="197" t="e">
        <v>#N/A</v>
      </c>
      <c r="D117" s="197"/>
      <c r="I117"/>
    </row>
    <row r="118" spans="1:9">
      <c r="A118" s="197" t="e">
        <v>#N/A</v>
      </c>
      <c r="B118" s="197" t="e">
        <v>#N/A</v>
      </c>
      <c r="C118" s="197" t="e">
        <v>#N/A</v>
      </c>
      <c r="D118" s="197"/>
      <c r="I118"/>
    </row>
    <row r="119" spans="1:9">
      <c r="A119" s="197" t="e">
        <v>#N/A</v>
      </c>
      <c r="B119" s="197" t="e">
        <v>#N/A</v>
      </c>
      <c r="C119" s="197" t="e">
        <v>#N/A</v>
      </c>
      <c r="D119" s="197"/>
      <c r="I119"/>
    </row>
    <row r="120" spans="1:9">
      <c r="A120" s="197"/>
      <c r="B120" s="197"/>
      <c r="C120" s="197"/>
      <c r="D120" s="197"/>
      <c r="I120"/>
    </row>
    <row r="121" spans="1:9">
      <c r="A121" s="197"/>
      <c r="B121" s="197"/>
      <c r="C121" s="197"/>
      <c r="D121" s="197"/>
      <c r="I121"/>
    </row>
    <row r="122" spans="1:9">
      <c r="A122" s="197"/>
      <c r="B122" s="197"/>
      <c r="C122" s="197"/>
      <c r="D122" s="197"/>
      <c r="I122"/>
    </row>
    <row r="123" spans="1:9">
      <c r="A123" s="197"/>
      <c r="B123" s="197"/>
      <c r="C123" s="197"/>
      <c r="D123" s="197"/>
      <c r="I123"/>
    </row>
    <row r="124" spans="1:9">
      <c r="A124" s="197"/>
      <c r="B124" s="197"/>
      <c r="C124" s="197"/>
      <c r="D124" s="197"/>
      <c r="I124"/>
    </row>
    <row r="125" spans="1:9">
      <c r="A125" s="197"/>
      <c r="B125" s="197"/>
      <c r="C125" s="197"/>
      <c r="D125" s="197"/>
      <c r="I125"/>
    </row>
    <row r="126" spans="1:9">
      <c r="A126" s="197"/>
      <c r="B126" s="197"/>
      <c r="C126" s="197"/>
      <c r="D126" s="197"/>
      <c r="I126"/>
    </row>
    <row r="127" spans="1:9">
      <c r="A127" s="197"/>
      <c r="B127" s="197"/>
      <c r="C127" s="197"/>
      <c r="D127" s="197"/>
      <c r="I127"/>
    </row>
    <row r="128" spans="1:9">
      <c r="A128" s="197"/>
      <c r="B128" s="197"/>
      <c r="C128" s="197"/>
      <c r="D128" s="197"/>
      <c r="I128"/>
    </row>
    <row r="129" spans="1:9">
      <c r="A129" s="197"/>
      <c r="B129" s="197"/>
      <c r="C129" s="197"/>
      <c r="D129" s="197"/>
      <c r="I129"/>
    </row>
    <row r="130" spans="1:9">
      <c r="A130" s="197"/>
      <c r="B130" s="197"/>
      <c r="C130" s="197"/>
      <c r="D130" s="197"/>
      <c r="I130"/>
    </row>
    <row r="131" spans="1:9">
      <c r="A131" s="197"/>
      <c r="B131" s="197"/>
      <c r="C131" s="197"/>
      <c r="D131" s="197"/>
      <c r="I131"/>
    </row>
    <row r="132" spans="1:9">
      <c r="A132" s="197"/>
      <c r="B132" s="197"/>
      <c r="C132" s="197"/>
      <c r="D132" s="197"/>
      <c r="I132"/>
    </row>
    <row r="133" spans="1:9">
      <c r="A133" s="197"/>
      <c r="B133" s="197"/>
      <c r="C133" s="197"/>
      <c r="D133" s="197"/>
      <c r="I133"/>
    </row>
    <row r="134" spans="1:9">
      <c r="A134" s="197"/>
      <c r="B134" s="197"/>
      <c r="C134" s="197"/>
      <c r="D134" s="197"/>
    </row>
    <row r="135" spans="1:9">
      <c r="A135" s="197"/>
      <c r="B135" s="197"/>
      <c r="C135" s="197"/>
      <c r="D135" s="197"/>
    </row>
    <row r="136" spans="1:9">
      <c r="A136" s="197"/>
      <c r="B136" s="197"/>
      <c r="C136" s="197"/>
      <c r="D136" s="197"/>
    </row>
    <row r="137" spans="1:9">
      <c r="A137" s="197"/>
      <c r="B137" s="197"/>
      <c r="C137" s="197"/>
      <c r="D137" s="197"/>
    </row>
    <row r="138" spans="1:9">
      <c r="A138" s="197"/>
      <c r="B138" s="197"/>
      <c r="C138" s="197"/>
      <c r="D138" s="197"/>
    </row>
    <row r="139" spans="1:9">
      <c r="A139" s="197"/>
      <c r="B139" s="197"/>
      <c r="C139" s="197"/>
      <c r="D139" s="197"/>
    </row>
    <row r="140" spans="1:9">
      <c r="A140" s="197"/>
      <c r="B140" s="197"/>
      <c r="C140" s="197"/>
      <c r="D140" s="197"/>
    </row>
    <row r="141" spans="1:9">
      <c r="A141" s="197"/>
      <c r="B141" s="197"/>
      <c r="C141" s="197"/>
      <c r="D141" s="197"/>
    </row>
    <row r="142" spans="1:9">
      <c r="A142" s="197"/>
      <c r="B142" s="197"/>
      <c r="C142" s="197"/>
      <c r="D142" s="197"/>
    </row>
    <row r="143" spans="1:9">
      <c r="A143" s="197"/>
      <c r="B143" s="197"/>
      <c r="C143" s="197"/>
      <c r="D143" s="197"/>
    </row>
    <row r="144" spans="1:9">
      <c r="A144" s="197"/>
      <c r="B144" s="197"/>
      <c r="C144" s="197"/>
      <c r="D144" s="197"/>
    </row>
    <row r="145" spans="1:4">
      <c r="A145" s="197"/>
      <c r="B145" s="197"/>
      <c r="C145" s="197"/>
      <c r="D145" s="197"/>
    </row>
    <row r="146" spans="1:4">
      <c r="A146" s="197"/>
      <c r="B146" s="197"/>
      <c r="C146" s="197"/>
      <c r="D146" s="197"/>
    </row>
    <row r="147" spans="1:4">
      <c r="A147" s="197"/>
      <c r="B147" s="197"/>
      <c r="C147" s="197"/>
      <c r="D147" s="197"/>
    </row>
    <row r="148" spans="1:4">
      <c r="A148" s="197"/>
      <c r="B148" s="197"/>
      <c r="C148" s="197"/>
      <c r="D148" s="197"/>
    </row>
    <row r="149" spans="1:4">
      <c r="A149" s="197"/>
      <c r="B149" s="197"/>
      <c r="C149" s="197"/>
      <c r="D149" s="197"/>
    </row>
    <row r="150" spans="1:4">
      <c r="A150" s="197"/>
      <c r="B150" s="197"/>
      <c r="C150" s="197"/>
      <c r="D150" s="197"/>
    </row>
    <row r="151" spans="1:4">
      <c r="A151" s="197"/>
      <c r="B151" s="197"/>
      <c r="C151" s="197"/>
      <c r="D151" s="197"/>
    </row>
    <row r="152" spans="1:4">
      <c r="A152" s="197"/>
      <c r="B152" s="197"/>
      <c r="C152" s="197"/>
      <c r="D152" s="197"/>
    </row>
    <row r="153" spans="1:4">
      <c r="A153" s="197"/>
      <c r="B153" s="197"/>
      <c r="C153" s="197"/>
      <c r="D153" s="197"/>
    </row>
    <row r="154" spans="1:4">
      <c r="A154" s="197"/>
      <c r="B154" s="197"/>
      <c r="C154" s="197"/>
      <c r="D154" s="197"/>
    </row>
    <row r="155" spans="1:4">
      <c r="A155" s="197"/>
      <c r="B155" s="197"/>
      <c r="C155" s="197"/>
      <c r="D155" s="197"/>
    </row>
    <row r="156" spans="1:4">
      <c r="A156" s="197"/>
      <c r="B156" s="197"/>
      <c r="C156" s="197"/>
      <c r="D156" s="197"/>
    </row>
    <row r="157" spans="1:4">
      <c r="A157" s="197"/>
      <c r="B157" s="197"/>
      <c r="C157" s="197"/>
      <c r="D157" s="197"/>
    </row>
    <row r="158" spans="1:4">
      <c r="A158" s="197"/>
      <c r="B158" s="197"/>
      <c r="C158" s="197"/>
      <c r="D158" s="197"/>
    </row>
    <row r="159" spans="1:4">
      <c r="A159" s="197"/>
      <c r="B159" s="197"/>
      <c r="C159" s="197"/>
      <c r="D159" s="197"/>
    </row>
    <row r="160" spans="1:4">
      <c r="A160" s="197"/>
      <c r="B160" s="197"/>
      <c r="C160" s="197"/>
      <c r="D160" s="197"/>
    </row>
    <row r="161" spans="1:4">
      <c r="A161" s="197"/>
      <c r="B161" s="197"/>
      <c r="C161" s="197"/>
      <c r="D161" s="197"/>
    </row>
    <row r="162" spans="1:4">
      <c r="A162" s="197"/>
      <c r="B162" s="197"/>
      <c r="C162" s="197"/>
      <c r="D162" s="197"/>
    </row>
    <row r="163" spans="1:4">
      <c r="A163" s="197"/>
      <c r="B163" s="197"/>
      <c r="C163" s="197"/>
      <c r="D163" s="197"/>
    </row>
    <row r="164" spans="1:4">
      <c r="A164" s="197"/>
      <c r="B164" s="197"/>
      <c r="C164" s="197"/>
      <c r="D164" s="197"/>
    </row>
    <row r="165" spans="1:4">
      <c r="A165" s="197"/>
      <c r="B165" s="197"/>
      <c r="C165" s="197"/>
      <c r="D165" s="197"/>
    </row>
    <row r="166" spans="1:4">
      <c r="A166" s="197"/>
      <c r="B166" s="197"/>
      <c r="C166" s="197"/>
      <c r="D166" s="197"/>
    </row>
    <row r="167" spans="1:4">
      <c r="A167" s="197"/>
      <c r="B167" s="197"/>
      <c r="C167" s="197"/>
      <c r="D167" s="197"/>
    </row>
    <row r="168" spans="1:4">
      <c r="A168" s="197"/>
      <c r="B168" s="197"/>
      <c r="C168" s="197"/>
      <c r="D168" s="197"/>
    </row>
    <row r="169" spans="1:4">
      <c r="A169" s="197"/>
      <c r="B169" s="197"/>
      <c r="C169" s="197"/>
      <c r="D169" s="197"/>
    </row>
    <row r="170" spans="1:4">
      <c r="A170" s="197"/>
      <c r="B170" s="197"/>
      <c r="C170" s="197"/>
      <c r="D170" s="197"/>
    </row>
    <row r="171" spans="1:4">
      <c r="A171" s="197"/>
      <c r="B171" s="197"/>
      <c r="C171" s="197"/>
      <c r="D171" s="197"/>
    </row>
    <row r="172" spans="1:4">
      <c r="A172" s="197"/>
      <c r="B172" s="197"/>
      <c r="C172" s="197"/>
      <c r="D172" s="197"/>
    </row>
    <row r="173" spans="1:4">
      <c r="A173" s="197"/>
      <c r="B173" s="197"/>
      <c r="C173" s="197"/>
      <c r="D173" s="197"/>
    </row>
    <row r="174" spans="1:4">
      <c r="A174" s="197"/>
      <c r="B174" s="197"/>
      <c r="C174" s="197"/>
      <c r="D174" s="197"/>
    </row>
    <row r="175" spans="1:4">
      <c r="A175" s="197"/>
      <c r="B175" s="197"/>
      <c r="C175" s="197"/>
      <c r="D175" s="197"/>
    </row>
    <row r="176" spans="1:4">
      <c r="A176" s="197"/>
      <c r="B176" s="197"/>
      <c r="C176" s="197"/>
      <c r="D176" s="197"/>
    </row>
    <row r="177" spans="1:4">
      <c r="A177" s="197"/>
      <c r="B177" s="197"/>
      <c r="C177" s="197"/>
      <c r="D177" s="197"/>
    </row>
    <row r="178" spans="1:4">
      <c r="A178" s="197"/>
      <c r="B178" s="197"/>
      <c r="C178" s="197"/>
      <c r="D178" s="197"/>
    </row>
    <row r="179" spans="1:4">
      <c r="A179" s="197"/>
      <c r="B179" s="197"/>
      <c r="C179" s="197"/>
      <c r="D179" s="197"/>
    </row>
    <row r="180" spans="1:4">
      <c r="A180" s="197"/>
      <c r="B180" s="197"/>
      <c r="C180" s="197"/>
      <c r="D180" s="197"/>
    </row>
    <row r="181" spans="1:4">
      <c r="A181" s="197"/>
      <c r="B181" s="197"/>
      <c r="C181" s="197"/>
      <c r="D181" s="197"/>
    </row>
    <row r="182" spans="1:4">
      <c r="A182" s="197"/>
      <c r="B182" s="197"/>
      <c r="C182" s="197"/>
      <c r="D182" s="197"/>
    </row>
    <row r="183" spans="1:4">
      <c r="A183" s="197"/>
      <c r="B183" s="197"/>
      <c r="C183" s="197"/>
      <c r="D183" s="197"/>
    </row>
    <row r="184" spans="1:4">
      <c r="A184" s="197"/>
      <c r="B184" s="197"/>
      <c r="C184" s="197"/>
      <c r="D184" s="197"/>
    </row>
    <row r="185" spans="1:4">
      <c r="A185" s="197"/>
      <c r="B185" s="197"/>
      <c r="C185" s="197"/>
      <c r="D185" s="197"/>
    </row>
    <row r="186" spans="1:4">
      <c r="A186" s="197"/>
      <c r="B186" s="197"/>
      <c r="C186" s="197"/>
      <c r="D186" s="197"/>
    </row>
    <row r="187" spans="1:4">
      <c r="A187" s="197"/>
      <c r="B187" s="197"/>
      <c r="C187" s="197"/>
      <c r="D187" s="197"/>
    </row>
    <row r="188" spans="1:4">
      <c r="A188" s="197"/>
      <c r="B188" s="197"/>
      <c r="C188" s="197"/>
      <c r="D188" s="197"/>
    </row>
    <row r="189" spans="1:4">
      <c r="A189" s="197"/>
      <c r="B189" s="197"/>
      <c r="C189" s="197"/>
      <c r="D189" s="197"/>
    </row>
    <row r="190" spans="1:4">
      <c r="A190" s="197"/>
      <c r="B190" s="197"/>
      <c r="C190" s="197"/>
      <c r="D190" s="197"/>
    </row>
    <row r="191" spans="1:4">
      <c r="A191" s="197"/>
      <c r="B191" s="197"/>
      <c r="C191" s="197"/>
      <c r="D191" s="197"/>
    </row>
    <row r="192" spans="1:4">
      <c r="A192" s="197"/>
      <c r="B192" s="197"/>
      <c r="C192" s="197"/>
      <c r="D192" s="197"/>
    </row>
    <row r="193" spans="1:4">
      <c r="A193" s="197"/>
      <c r="B193" s="197"/>
      <c r="C193" s="197"/>
      <c r="D193" s="197"/>
    </row>
    <row r="194" spans="1:4">
      <c r="A194" s="197"/>
      <c r="B194" s="197"/>
      <c r="C194" s="197"/>
      <c r="D194" s="197"/>
    </row>
    <row r="195" spans="1:4">
      <c r="A195" s="197"/>
      <c r="B195" s="197"/>
      <c r="C195" s="197"/>
      <c r="D195" s="197"/>
    </row>
    <row r="196" spans="1:4">
      <c r="A196" s="197"/>
      <c r="B196" s="197"/>
      <c r="C196" s="197"/>
      <c r="D196" s="197"/>
    </row>
    <row r="197" spans="1:4">
      <c r="A197" s="197"/>
      <c r="B197" s="197"/>
      <c r="C197" s="197"/>
      <c r="D197" s="197"/>
    </row>
    <row r="198" spans="1:4">
      <c r="A198" s="197"/>
      <c r="B198" s="197"/>
      <c r="C198" s="197"/>
      <c r="D198" s="197"/>
    </row>
    <row r="199" spans="1:4">
      <c r="A199" s="197"/>
      <c r="B199" s="197"/>
      <c r="C199" s="197"/>
      <c r="D199" s="197"/>
    </row>
    <row r="200" spans="1:4">
      <c r="A200" s="197"/>
      <c r="B200" s="197"/>
      <c r="C200" s="197"/>
      <c r="D200" s="197"/>
    </row>
    <row r="201" spans="1:4">
      <c r="A201" s="197"/>
      <c r="B201" s="197"/>
      <c r="C201" s="197"/>
      <c r="D201" s="197"/>
    </row>
    <row r="202" spans="1:4">
      <c r="A202" s="197"/>
      <c r="B202" s="197"/>
      <c r="C202" s="197"/>
      <c r="D202" s="197"/>
    </row>
    <row r="203" spans="1:4">
      <c r="A203" s="197"/>
      <c r="B203" s="197"/>
      <c r="C203" s="197"/>
      <c r="D203" s="197"/>
    </row>
    <row r="204" spans="1:4">
      <c r="A204" s="197"/>
      <c r="B204" s="197"/>
      <c r="C204" s="197"/>
      <c r="D204" s="197"/>
    </row>
    <row r="205" spans="1:4">
      <c r="A205" s="197"/>
      <c r="B205" s="197"/>
      <c r="C205" s="197"/>
      <c r="D205" s="197"/>
    </row>
    <row r="206" spans="1:4">
      <c r="A206" s="197"/>
      <c r="B206" s="197"/>
      <c r="C206" s="197"/>
      <c r="D206" s="197"/>
    </row>
    <row r="207" spans="1:4">
      <c r="A207" s="197"/>
      <c r="B207" s="197"/>
      <c r="C207" s="197"/>
      <c r="D207" s="197"/>
    </row>
    <row r="208" spans="1:4">
      <c r="A208" s="197"/>
      <c r="B208" s="197"/>
      <c r="C208" s="197"/>
      <c r="D208" s="197"/>
    </row>
    <row r="209" spans="1:4">
      <c r="A209" s="197"/>
      <c r="B209" s="197"/>
      <c r="C209" s="197"/>
      <c r="D209" s="197"/>
    </row>
    <row r="210" spans="1:4">
      <c r="A210" s="197"/>
      <c r="B210" s="197"/>
      <c r="C210" s="197"/>
      <c r="D210" s="197"/>
    </row>
    <row r="211" spans="1:4">
      <c r="A211" s="197"/>
      <c r="B211" s="197"/>
      <c r="C211" s="197"/>
      <c r="D211" s="197"/>
    </row>
    <row r="212" spans="1:4">
      <c r="A212" s="197"/>
      <c r="B212" s="197"/>
      <c r="C212" s="197"/>
      <c r="D212" s="197"/>
    </row>
    <row r="213" spans="1:4">
      <c r="A213" s="197"/>
      <c r="B213" s="197"/>
      <c r="C213" s="197"/>
      <c r="D213" s="197"/>
    </row>
    <row r="214" spans="1:4">
      <c r="A214" s="197"/>
      <c r="B214" s="197"/>
      <c r="C214" s="197"/>
      <c r="D214" s="197"/>
    </row>
    <row r="215" spans="1:4">
      <c r="A215" s="197"/>
      <c r="B215" s="197"/>
      <c r="C215" s="197"/>
      <c r="D215" s="197"/>
    </row>
    <row r="216" spans="1:4">
      <c r="A216" s="197"/>
      <c r="B216" s="197"/>
      <c r="C216" s="197"/>
      <c r="D216" s="197"/>
    </row>
    <row r="217" spans="1:4">
      <c r="A217" s="197"/>
      <c r="B217" s="197"/>
      <c r="C217" s="197"/>
      <c r="D217" s="197"/>
    </row>
    <row r="218" spans="1:4">
      <c r="A218" s="197"/>
      <c r="B218" s="197"/>
      <c r="C218" s="197"/>
      <c r="D218" s="197"/>
    </row>
    <row r="219" spans="1:4">
      <c r="A219" s="197"/>
      <c r="B219" s="197"/>
      <c r="C219" s="197"/>
      <c r="D219" s="197"/>
    </row>
    <row r="220" spans="1:4">
      <c r="A220" s="197"/>
      <c r="B220" s="197"/>
      <c r="C220" s="197"/>
      <c r="D220" s="197"/>
    </row>
    <row r="221" spans="1:4">
      <c r="A221" s="197"/>
      <c r="B221" s="197"/>
      <c r="C221" s="197"/>
      <c r="D221" s="197"/>
    </row>
    <row r="222" spans="1:4">
      <c r="A222" s="197"/>
      <c r="B222" s="197"/>
      <c r="C222" s="197"/>
      <c r="D222" s="197"/>
    </row>
    <row r="223" spans="1:4">
      <c r="A223" s="197"/>
      <c r="B223" s="197"/>
      <c r="C223" s="197"/>
      <c r="D223" s="197"/>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1"/>
  <sheetViews>
    <sheetView topLeftCell="A15" workbookViewId="0">
      <selection activeCell="B10" sqref="B10"/>
    </sheetView>
  </sheetViews>
  <sheetFormatPr baseColWidth="10" defaultRowHeight="16"/>
  <sheetData>
    <row r="1" spans="1:8">
      <c r="A1" s="141" t="s">
        <v>2294</v>
      </c>
      <c r="B1" s="141"/>
      <c r="C1" s="141"/>
      <c r="D1" s="141"/>
      <c r="E1" s="141"/>
      <c r="F1" s="141"/>
      <c r="G1" s="141"/>
      <c r="H1" t="s">
        <v>2295</v>
      </c>
    </row>
    <row r="2" spans="1:8">
      <c r="A2" s="141"/>
      <c r="B2" s="141">
        <v>68.510639999999995</v>
      </c>
      <c r="C2" s="141">
        <v>72.765960000000007</v>
      </c>
      <c r="D2" s="141">
        <v>78.723404259999995</v>
      </c>
      <c r="E2" s="141">
        <v>80.851063830000001</v>
      </c>
      <c r="F2" s="141">
        <v>96.170212770000006</v>
      </c>
      <c r="G2" s="141"/>
      <c r="H2" s="212" t="s">
        <v>2296</v>
      </c>
    </row>
    <row r="3" spans="1:8">
      <c r="A3" s="141"/>
      <c r="B3" s="141">
        <v>70.638300000000001</v>
      </c>
      <c r="C3" s="141">
        <v>74.468090000000004</v>
      </c>
      <c r="D3" s="141">
        <v>80.425531910000004</v>
      </c>
      <c r="E3" s="141">
        <v>83.404255320000004</v>
      </c>
      <c r="F3" s="141">
        <v>94.468085110000004</v>
      </c>
      <c r="G3" s="141"/>
    </row>
    <row r="4" spans="1:8">
      <c r="A4" s="141"/>
      <c r="B4" s="141">
        <v>70.638300000000001</v>
      </c>
      <c r="C4" s="141">
        <v>71.489360000000005</v>
      </c>
      <c r="D4" s="141">
        <v>76.595744679999996</v>
      </c>
      <c r="E4" s="141">
        <v>79.148936169999999</v>
      </c>
      <c r="F4" s="141">
        <v>93.617021280000003</v>
      </c>
      <c r="G4" s="141"/>
    </row>
    <row r="5" spans="1:8">
      <c r="A5" s="141"/>
      <c r="B5" s="141">
        <v>70.638300000000001</v>
      </c>
      <c r="C5" s="141">
        <v>73.617019999999997</v>
      </c>
      <c r="D5" s="141">
        <v>79.574468089999996</v>
      </c>
      <c r="E5" s="141">
        <v>81.702127660000002</v>
      </c>
      <c r="F5" s="141">
        <v>89.361702129999998</v>
      </c>
      <c r="G5" s="141"/>
    </row>
    <row r="6" spans="1:8">
      <c r="A6" s="141"/>
      <c r="B6" s="141">
        <v>73.617019999999997</v>
      </c>
      <c r="C6" s="141">
        <v>70.638300000000001</v>
      </c>
      <c r="D6" s="141">
        <v>76.170212770000006</v>
      </c>
      <c r="E6" s="141">
        <v>78.297872339999998</v>
      </c>
      <c r="F6" s="141">
        <v>85.957446809999993</v>
      </c>
      <c r="G6" s="141"/>
    </row>
    <row r="7" spans="1:8">
      <c r="A7" s="141"/>
      <c r="B7" s="141">
        <v>74.893619999999999</v>
      </c>
      <c r="C7" s="141">
        <v>68.936170000000004</v>
      </c>
      <c r="D7" s="141">
        <v>74.042553190000007</v>
      </c>
      <c r="E7" s="141">
        <v>75.744680849999995</v>
      </c>
      <c r="F7" s="141">
        <v>76.595744679999996</v>
      </c>
      <c r="G7" s="141"/>
    </row>
    <row r="8" spans="1:8">
      <c r="A8" s="141"/>
      <c r="B8" s="141">
        <v>78.297870000000003</v>
      </c>
      <c r="C8" s="141">
        <v>73.617019999999997</v>
      </c>
      <c r="D8" s="141">
        <v>79.574468089999996</v>
      </c>
      <c r="E8" s="141">
        <v>82.553191490000003</v>
      </c>
      <c r="F8" s="141">
        <v>80.851063830000001</v>
      </c>
      <c r="G8" s="141"/>
    </row>
    <row r="9" spans="1:8">
      <c r="A9" s="141" t="s">
        <v>2297</v>
      </c>
      <c r="B9" s="141">
        <v>72.462010000000006</v>
      </c>
      <c r="C9" s="141">
        <v>72.21884</v>
      </c>
      <c r="D9" s="141">
        <v>77.872340429999994</v>
      </c>
      <c r="E9" s="141">
        <v>80.243161090000001</v>
      </c>
      <c r="F9" s="141">
        <v>88.145896660000005</v>
      </c>
      <c r="G9" s="141"/>
    </row>
    <row r="10" spans="1:8">
      <c r="A10" s="141"/>
      <c r="B10" s="141"/>
      <c r="C10" s="141"/>
      <c r="D10" s="141"/>
      <c r="E10" s="141"/>
      <c r="F10" s="141"/>
      <c r="G10" s="141"/>
    </row>
    <row r="11" spans="1:8">
      <c r="A11" s="213" t="s">
        <v>2298</v>
      </c>
      <c r="B11" s="141">
        <v>1</v>
      </c>
      <c r="C11" s="141">
        <v>4</v>
      </c>
      <c r="D11" s="141">
        <v>3</v>
      </c>
      <c r="E11" s="141">
        <v>0</v>
      </c>
      <c r="F11" s="141">
        <v>2</v>
      </c>
      <c r="G11" s="141"/>
    </row>
    <row r="12" spans="1:8">
      <c r="A12" s="141"/>
      <c r="B12" s="213">
        <v>1</v>
      </c>
      <c r="C12" s="213"/>
      <c r="D12" s="213">
        <v>3</v>
      </c>
      <c r="E12" s="213"/>
      <c r="F12" s="213">
        <v>2</v>
      </c>
      <c r="G12" s="141"/>
    </row>
    <row r="13" spans="1:8">
      <c r="A13" s="141" t="s">
        <v>2299</v>
      </c>
      <c r="B13" s="214" t="s">
        <v>2300</v>
      </c>
      <c r="C13" s="214" t="s">
        <v>2301</v>
      </c>
      <c r="D13" s="214" t="s">
        <v>2302</v>
      </c>
      <c r="E13" s="141"/>
      <c r="F13" s="214" t="s">
        <v>2303</v>
      </c>
      <c r="G13" s="141"/>
    </row>
    <row r="14" spans="1:8">
      <c r="A14" s="213" t="s">
        <v>2304</v>
      </c>
      <c r="B14" s="215">
        <v>-17.840900000000001</v>
      </c>
      <c r="C14" s="216">
        <v>-8.9655199999999997</v>
      </c>
      <c r="D14" s="215">
        <v>-2.5858585860000001</v>
      </c>
      <c r="E14" s="141"/>
      <c r="F14" s="217">
        <v>-16.788990829999999</v>
      </c>
      <c r="G14" s="141"/>
    </row>
    <row r="15" spans="1:8">
      <c r="A15" s="141"/>
      <c r="B15" s="215">
        <v>-16.818200000000001</v>
      </c>
      <c r="C15" s="216">
        <v>-8.9655199999999997</v>
      </c>
      <c r="D15" s="215">
        <v>-2.6565656569999998</v>
      </c>
      <c r="E15" s="141"/>
      <c r="F15" s="217">
        <v>-13.119266059999999</v>
      </c>
      <c r="G15" s="141"/>
    </row>
    <row r="16" spans="1:8">
      <c r="A16" s="141"/>
      <c r="B16" s="215">
        <v>-12.045500000000001</v>
      </c>
      <c r="C16" s="216">
        <v>-8.5862099999999995</v>
      </c>
      <c r="D16" s="215">
        <v>-2.5151515149999999</v>
      </c>
      <c r="E16" s="141"/>
      <c r="F16" s="217">
        <v>-15.41284404</v>
      </c>
      <c r="G16" s="141"/>
    </row>
    <row r="17" spans="1:7">
      <c r="A17" s="141"/>
      <c r="B17" s="215">
        <v>-18.5227</v>
      </c>
      <c r="C17" s="216">
        <v>-9.34483</v>
      </c>
      <c r="D17" s="215">
        <v>-2.9393939389999999</v>
      </c>
      <c r="E17" s="141"/>
      <c r="F17" s="217">
        <v>-8.5321100919999999</v>
      </c>
      <c r="G17" s="141"/>
    </row>
    <row r="18" spans="1:7">
      <c r="A18" s="141"/>
      <c r="B18" s="215">
        <v>-5.2272699999999999</v>
      </c>
      <c r="C18" s="216">
        <v>-8.2068999999999992</v>
      </c>
      <c r="D18" s="215">
        <v>-2.5151515149999999</v>
      </c>
      <c r="E18" s="141"/>
      <c r="F18" s="217">
        <v>-7.6146788990000003</v>
      </c>
      <c r="G18" s="141"/>
    </row>
    <row r="19" spans="1:7">
      <c r="A19" s="141"/>
      <c r="B19" s="215">
        <v>0.227273</v>
      </c>
      <c r="C19" s="216">
        <v>-8.0172399999999993</v>
      </c>
      <c r="D19" s="215">
        <v>-2.3737373740000001</v>
      </c>
      <c r="E19" s="141"/>
      <c r="F19" s="217">
        <v>-0.27522935799999998</v>
      </c>
      <c r="G19" s="141"/>
    </row>
    <row r="20" spans="1:7">
      <c r="A20" s="141"/>
      <c r="B20" s="215">
        <v>-0.45455000000000001</v>
      </c>
      <c r="C20" s="216">
        <v>-8.9655199999999997</v>
      </c>
      <c r="D20" s="215">
        <v>-2.7979797980000001</v>
      </c>
      <c r="E20" s="141"/>
      <c r="F20" s="217">
        <v>1.5596330279999999</v>
      </c>
      <c r="G20" s="141"/>
    </row>
    <row r="21" spans="1:7">
      <c r="A21" s="213" t="s">
        <v>2297</v>
      </c>
      <c r="B21" s="213">
        <v>-10.0974</v>
      </c>
      <c r="C21" s="213">
        <v>-8.7216699999999996</v>
      </c>
      <c r="D21" s="213">
        <v>-2.6262626259999999</v>
      </c>
      <c r="E21" s="141"/>
      <c r="F21" s="213">
        <v>-8.5976408909999993</v>
      </c>
      <c r="G21" s="141"/>
    </row>
    <row r="22" spans="1:7">
      <c r="A22" s="141"/>
      <c r="B22" s="141"/>
      <c r="C22" s="218"/>
      <c r="D22" s="141"/>
      <c r="E22" s="141"/>
      <c r="F22" s="141"/>
      <c r="G22" s="141"/>
    </row>
    <row r="23" spans="1:7">
      <c r="A23" s="213" t="s">
        <v>2305</v>
      </c>
      <c r="B23" s="219">
        <v>2.2727270000000002</v>
      </c>
      <c r="C23" s="220">
        <v>4.3103400000000001</v>
      </c>
      <c r="D23" s="219">
        <v>1.3030303029999999</v>
      </c>
      <c r="E23" s="141"/>
      <c r="F23" s="221">
        <v>-7.6146788990000003</v>
      </c>
      <c r="G23" s="141"/>
    </row>
    <row r="24" spans="1:7">
      <c r="A24" s="213" t="s">
        <v>2306</v>
      </c>
      <c r="B24" s="219">
        <v>-0.45455000000000001</v>
      </c>
      <c r="C24" s="220">
        <v>4.3103400000000001</v>
      </c>
      <c r="D24" s="219">
        <v>1.3030303029999999</v>
      </c>
      <c r="E24" s="141"/>
      <c r="F24" s="221">
        <v>-3.944954128</v>
      </c>
      <c r="G24" s="141"/>
    </row>
    <row r="25" spans="1:7">
      <c r="A25" s="141"/>
      <c r="B25" s="219">
        <v>-1.4772700000000001</v>
      </c>
      <c r="C25" s="220">
        <v>2.60345</v>
      </c>
      <c r="D25" s="219">
        <v>0.87878787899999999</v>
      </c>
      <c r="E25" s="141"/>
      <c r="F25" s="221">
        <v>-3.4862385319999998</v>
      </c>
      <c r="G25" s="141"/>
    </row>
    <row r="26" spans="1:7">
      <c r="A26" s="141"/>
      <c r="B26" s="219">
        <v>-4.2045500000000002</v>
      </c>
      <c r="C26" s="220">
        <v>2.60345</v>
      </c>
      <c r="D26" s="219">
        <v>0.87878787899999999</v>
      </c>
      <c r="E26" s="141"/>
      <c r="F26" s="221">
        <v>-0.73394495400000004</v>
      </c>
      <c r="G26" s="141"/>
    </row>
    <row r="27" spans="1:7">
      <c r="A27" s="141"/>
      <c r="B27" s="219">
        <v>-0.79544999999999999</v>
      </c>
      <c r="C27" s="220">
        <v>2.0344799999999998</v>
      </c>
      <c r="D27" s="219">
        <v>0.66666666699999999</v>
      </c>
      <c r="E27" s="141"/>
      <c r="F27" s="221">
        <v>0.183486239</v>
      </c>
      <c r="G27" s="141"/>
    </row>
    <row r="28" spans="1:7">
      <c r="A28" s="141"/>
      <c r="B28" s="219">
        <v>0.90909099999999998</v>
      </c>
      <c r="C28" s="220">
        <v>2.0344799999999998</v>
      </c>
      <c r="D28" s="219">
        <v>0.66666666699999999</v>
      </c>
      <c r="E28" s="141"/>
      <c r="F28" s="221">
        <v>2.9357798169999998</v>
      </c>
      <c r="G28" s="141"/>
    </row>
    <row r="29" spans="1:7">
      <c r="A29" s="141"/>
      <c r="B29" s="219">
        <v>3.6363639999999999</v>
      </c>
      <c r="C29" s="220">
        <v>1.27586</v>
      </c>
      <c r="D29" s="219">
        <v>0.31313131300000002</v>
      </c>
      <c r="E29" s="141"/>
      <c r="F29" s="221">
        <v>2.0183486240000001</v>
      </c>
      <c r="G29" s="141"/>
    </row>
    <row r="30" spans="1:7">
      <c r="A30" s="213" t="s">
        <v>2297</v>
      </c>
      <c r="B30" s="213">
        <v>-1.6230000000000001E-2</v>
      </c>
      <c r="C30" s="213">
        <v>2.7389160000000001</v>
      </c>
      <c r="D30" s="213">
        <v>0.85858585899999995</v>
      </c>
      <c r="E30" s="141"/>
      <c r="F30" s="213">
        <v>-1.520314548</v>
      </c>
      <c r="G30" s="141"/>
    </row>
    <row r="31" spans="1:7">
      <c r="A31" s="141"/>
      <c r="B31" s="141"/>
      <c r="C31" s="218"/>
      <c r="D31" s="141"/>
      <c r="E31" s="141"/>
      <c r="F31" s="141"/>
      <c r="G31" s="141"/>
    </row>
    <row r="32" spans="1:7">
      <c r="A32" s="213" t="s">
        <v>229</v>
      </c>
      <c r="B32" s="221">
        <v>7.0454549999999996</v>
      </c>
      <c r="C32" s="218">
        <v>2.0344799999999998</v>
      </c>
      <c r="D32" s="141">
        <v>0.66666666699999999</v>
      </c>
      <c r="E32" s="141"/>
      <c r="F32" s="219">
        <v>0.64220183500000005</v>
      </c>
      <c r="G32" s="141"/>
    </row>
    <row r="33" spans="1:7">
      <c r="A33" s="141"/>
      <c r="B33" s="221">
        <v>3.6363639999999999</v>
      </c>
      <c r="C33" s="218">
        <v>1.65517</v>
      </c>
      <c r="D33" s="141">
        <v>0.45454545499999999</v>
      </c>
      <c r="E33" s="141"/>
      <c r="F33" s="219">
        <v>7.0642201829999998</v>
      </c>
      <c r="G33" s="141"/>
    </row>
    <row r="34" spans="1:7">
      <c r="A34" s="141"/>
      <c r="B34" s="221">
        <v>1.931818</v>
      </c>
      <c r="C34" s="218">
        <v>1.65517</v>
      </c>
      <c r="D34" s="141">
        <v>0.45454545499999999</v>
      </c>
      <c r="E34" s="141"/>
      <c r="F34" s="219">
        <v>6.1467889910000002</v>
      </c>
      <c r="G34" s="141"/>
    </row>
    <row r="35" spans="1:7">
      <c r="A35" s="141"/>
      <c r="B35" s="221">
        <v>1.931818</v>
      </c>
      <c r="C35" s="218">
        <v>1.65517</v>
      </c>
      <c r="D35" s="141">
        <v>0.45454545499999999</v>
      </c>
      <c r="E35" s="141"/>
      <c r="F35" s="219">
        <v>2.4770642199999999</v>
      </c>
      <c r="G35" s="141"/>
    </row>
    <row r="36" spans="1:7">
      <c r="A36" s="141"/>
      <c r="B36" s="221">
        <v>-0.45455000000000001</v>
      </c>
      <c r="C36" s="218">
        <v>1.65517</v>
      </c>
      <c r="D36" s="141">
        <v>0.45454545499999999</v>
      </c>
      <c r="E36" s="141"/>
      <c r="F36" s="219">
        <v>6.1467889910000002</v>
      </c>
      <c r="G36" s="141"/>
    </row>
    <row r="37" spans="1:7">
      <c r="A37" s="141"/>
      <c r="B37" s="221">
        <v>-0.79544999999999999</v>
      </c>
      <c r="C37" s="218">
        <v>1.4655199999999999</v>
      </c>
      <c r="D37" s="141">
        <v>0.31313131300000002</v>
      </c>
      <c r="E37" s="141"/>
      <c r="F37" s="219">
        <v>3.8532110089999998</v>
      </c>
      <c r="G37" s="141"/>
    </row>
    <row r="38" spans="1:7">
      <c r="A38" s="141"/>
      <c r="B38" s="221">
        <v>0.56818199999999996</v>
      </c>
      <c r="C38" s="218">
        <v>1.4655199999999999</v>
      </c>
      <c r="D38" s="141">
        <v>0.52525252499999997</v>
      </c>
      <c r="E38" s="141"/>
      <c r="F38" s="219">
        <v>1.5596330279999999</v>
      </c>
      <c r="G38" s="141"/>
    </row>
    <row r="39" spans="1:7">
      <c r="A39" s="213" t="s">
        <v>2297</v>
      </c>
      <c r="B39" s="213">
        <v>1.9805189999999999</v>
      </c>
      <c r="C39" s="213">
        <v>1.6551720000000001</v>
      </c>
      <c r="D39" s="213">
        <v>0.47474747499999997</v>
      </c>
      <c r="E39" s="141"/>
      <c r="F39" s="213">
        <v>3.9842726079999999</v>
      </c>
      <c r="G39" s="141"/>
    </row>
    <row r="40" spans="1:7">
      <c r="A40" s="213"/>
      <c r="B40" s="213"/>
      <c r="C40" s="213"/>
      <c r="D40" s="213"/>
      <c r="E40" s="141"/>
      <c r="F40" s="213"/>
      <c r="G40" s="141"/>
    </row>
    <row r="41" spans="1:7">
      <c r="A41" s="213" t="s">
        <v>2307</v>
      </c>
      <c r="B41" s="217">
        <v>13.18182</v>
      </c>
      <c r="C41" s="222">
        <v>8.4827600000000007</v>
      </c>
      <c r="D41" s="217">
        <v>2.575757576</v>
      </c>
      <c r="E41" s="141"/>
      <c r="F41" s="215">
        <v>24.49541284</v>
      </c>
      <c r="G41" s="141"/>
    </row>
    <row r="42" spans="1:7">
      <c r="A42" s="141"/>
      <c r="B42" s="217">
        <v>13.18182</v>
      </c>
      <c r="C42" s="222">
        <v>8.8620699999999992</v>
      </c>
      <c r="D42" s="217">
        <v>2.6464646460000001</v>
      </c>
      <c r="E42" s="141"/>
      <c r="F42" s="215">
        <v>23.577981650000002</v>
      </c>
      <c r="G42" s="141"/>
    </row>
    <row r="43" spans="1:7">
      <c r="A43" s="141"/>
      <c r="B43" s="217">
        <v>8.4090910000000001</v>
      </c>
      <c r="C43" s="222">
        <v>8.4827600000000007</v>
      </c>
      <c r="D43" s="217">
        <v>2.575757576</v>
      </c>
      <c r="E43" s="141"/>
      <c r="F43" s="215">
        <v>25.41284404</v>
      </c>
      <c r="G43" s="141"/>
    </row>
    <row r="44" spans="1:7">
      <c r="A44" s="141"/>
      <c r="B44" s="217">
        <v>11.81818</v>
      </c>
      <c r="C44" s="222">
        <v>8.4827600000000007</v>
      </c>
      <c r="D44" s="217">
        <v>2.575757576</v>
      </c>
      <c r="E44" s="141"/>
      <c r="F44" s="215">
        <v>11.651376150000001</v>
      </c>
      <c r="G44" s="141"/>
    </row>
    <row r="45" spans="1:7">
      <c r="A45" s="141"/>
      <c r="B45" s="217">
        <v>5.3409089999999999</v>
      </c>
      <c r="C45" s="222">
        <v>8.2931000000000008</v>
      </c>
      <c r="D45" s="217">
        <v>2.5050505049999998</v>
      </c>
      <c r="E45" s="141"/>
      <c r="F45" s="215">
        <v>13.48623853</v>
      </c>
      <c r="G45" s="141"/>
    </row>
    <row r="46" spans="1:7">
      <c r="A46" s="141"/>
      <c r="B46" s="217">
        <v>1.5909089999999999</v>
      </c>
      <c r="C46" s="222">
        <v>8.1034500000000005</v>
      </c>
      <c r="D46" s="217">
        <v>2.4343434340000001</v>
      </c>
      <c r="E46" s="141"/>
      <c r="F46" s="215">
        <v>1.1009174310000001</v>
      </c>
      <c r="G46" s="141"/>
    </row>
    <row r="47" spans="1:7">
      <c r="A47" s="141"/>
      <c r="B47" s="217">
        <v>3.9772729999999998</v>
      </c>
      <c r="C47" s="222">
        <v>8.6724099999999993</v>
      </c>
      <c r="D47" s="217">
        <v>2.6464646460000001</v>
      </c>
      <c r="E47" s="141"/>
      <c r="F47" s="215">
        <v>-2.1100917429999999</v>
      </c>
      <c r="G47" s="141"/>
    </row>
    <row r="48" spans="1:7">
      <c r="A48" s="213" t="s">
        <v>2297</v>
      </c>
      <c r="B48" s="213">
        <v>8.2142859999999995</v>
      </c>
      <c r="C48" s="213">
        <v>8.4827589999999997</v>
      </c>
      <c r="D48" s="213">
        <v>2.5656565659999999</v>
      </c>
      <c r="E48" s="141"/>
      <c r="F48" s="213">
        <v>13.944954129999999</v>
      </c>
      <c r="G48" s="141"/>
    </row>
    <row r="49" spans="1:7">
      <c r="A49" s="141"/>
      <c r="B49" s="141">
        <v>2.8990000000000001E-3</v>
      </c>
      <c r="C49" s="141">
        <v>4.5455000000000002E-2</v>
      </c>
      <c r="D49" s="141">
        <v>4.5454544999999999E-2</v>
      </c>
      <c r="E49" s="141"/>
      <c r="F49" s="141">
        <v>0.27897397499999999</v>
      </c>
      <c r="G49" s="213" t="s">
        <v>2308</v>
      </c>
    </row>
    <row r="50" spans="1:7">
      <c r="A50" s="141"/>
      <c r="B50" s="141"/>
      <c r="C50" s="141"/>
      <c r="D50" s="141"/>
      <c r="E50" s="141"/>
      <c r="F50" s="141"/>
      <c r="G50" s="141"/>
    </row>
    <row r="51" spans="1:7">
      <c r="A51" s="141"/>
      <c r="B51" s="213"/>
      <c r="C51" s="213"/>
      <c r="D51" s="213"/>
      <c r="E51" s="213"/>
      <c r="F51" s="141"/>
      <c r="G51" s="14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481"/>
  <sheetViews>
    <sheetView zoomScale="50" workbookViewId="0">
      <selection activeCell="T30" sqref="T30"/>
    </sheetView>
  </sheetViews>
  <sheetFormatPr baseColWidth="10" defaultRowHeight="16"/>
  <cols>
    <col min="12" max="12" width="10.1640625" customWidth="1"/>
    <col min="29" max="29" width="18" customWidth="1"/>
  </cols>
  <sheetData>
    <row r="1" spans="1:16">
      <c r="A1" t="s">
        <v>2309</v>
      </c>
    </row>
    <row r="2" spans="1:16">
      <c r="I2" t="s">
        <v>1182</v>
      </c>
      <c r="J2" t="s">
        <v>1184</v>
      </c>
      <c r="K2" t="s">
        <v>1178</v>
      </c>
      <c r="N2" t="s">
        <v>1182</v>
      </c>
      <c r="O2" t="s">
        <v>1184</v>
      </c>
      <c r="P2" t="s">
        <v>1178</v>
      </c>
    </row>
    <row r="3" spans="1:16">
      <c r="H3" s="144"/>
      <c r="I3" s="144">
        <v>7159.9699870874601</v>
      </c>
      <c r="J3" s="144">
        <v>7199.6672987215397</v>
      </c>
      <c r="K3" s="144">
        <v>3200.1122575991999</v>
      </c>
      <c r="M3" t="s">
        <v>1196</v>
      </c>
      <c r="N3">
        <v>4402.9850746268603</v>
      </c>
      <c r="O3">
        <v>4029.8507462686498</v>
      </c>
      <c r="P3">
        <v>3208.95522388059</v>
      </c>
    </row>
    <row r="4" spans="1:16">
      <c r="H4" s="144"/>
      <c r="I4" s="144">
        <v>15705.2743622256</v>
      </c>
      <c r="J4" s="144">
        <v>14574.002768633</v>
      </c>
      <c r="K4" s="144">
        <v>11803.741144445799</v>
      </c>
      <c r="M4" t="s">
        <v>2310</v>
      </c>
      <c r="N4">
        <v>7835.8208955223799</v>
      </c>
      <c r="O4">
        <v>7089.5522388059699</v>
      </c>
      <c r="P4">
        <v>5298.5074626865598</v>
      </c>
    </row>
    <row r="5" spans="1:16">
      <c r="H5" s="144"/>
      <c r="I5" s="144">
        <v>24015.448506915702</v>
      </c>
      <c r="J5" s="144">
        <v>22416.5629398694</v>
      </c>
      <c r="K5" s="144">
        <v>19294.7256377743</v>
      </c>
      <c r="M5" t="s">
        <v>2311</v>
      </c>
      <c r="N5">
        <v>32089.5522388059</v>
      </c>
      <c r="O5">
        <v>29776.119402985001</v>
      </c>
      <c r="P5">
        <v>23507.462686567102</v>
      </c>
    </row>
    <row r="6" spans="1:16">
      <c r="H6" s="144"/>
      <c r="I6" s="144">
        <v>31272.931377452998</v>
      </c>
      <c r="J6" s="144">
        <v>28502.873329222999</v>
      </c>
      <c r="K6" s="144">
        <v>22924.0778009143</v>
      </c>
    </row>
    <row r="7" spans="1:16">
      <c r="H7" s="144" t="s">
        <v>2311</v>
      </c>
      <c r="I7" s="144">
        <v>32092.528180728899</v>
      </c>
      <c r="J7" s="144">
        <v>29322.470132498798</v>
      </c>
      <c r="K7" s="144">
        <v>23743.471028233002</v>
      </c>
      <c r="M7" t="s">
        <v>2312</v>
      </c>
      <c r="N7">
        <f>N5-N3</f>
        <v>27686.56716417904</v>
      </c>
      <c r="O7">
        <f t="shared" ref="O7:P7" si="0">O5-O3</f>
        <v>25746.268656716351</v>
      </c>
      <c r="P7">
        <f t="shared" si="0"/>
        <v>20298.50746268651</v>
      </c>
    </row>
    <row r="8" spans="1:16">
      <c r="H8" s="144" t="s">
        <v>2313</v>
      </c>
    </row>
    <row r="9" spans="1:16">
      <c r="H9" s="144" t="s">
        <v>2314</v>
      </c>
      <c r="I9" s="144">
        <f>I3</f>
        <v>7159.9699870874601</v>
      </c>
      <c r="J9" s="144">
        <f t="shared" ref="J9:K9" si="1">J3</f>
        <v>7199.6672987215397</v>
      </c>
      <c r="K9" s="144">
        <f t="shared" si="1"/>
        <v>3200.1122575991999</v>
      </c>
    </row>
    <row r="10" spans="1:16">
      <c r="H10" s="144" t="s">
        <v>2315</v>
      </c>
      <c r="I10" s="144">
        <f t="shared" ref="I10:K13" si="2">I4-I3</f>
        <v>8545.304375138141</v>
      </c>
      <c r="J10" s="144">
        <f t="shared" ref="J10:K10" si="3">J4-J3</f>
        <v>7374.3354699114598</v>
      </c>
      <c r="K10" s="144">
        <f t="shared" si="3"/>
        <v>8603.6288868465999</v>
      </c>
    </row>
    <row r="11" spans="1:16">
      <c r="H11" s="144" t="s">
        <v>2316</v>
      </c>
      <c r="I11" s="144">
        <f t="shared" si="2"/>
        <v>8310.1741446901015</v>
      </c>
      <c r="J11" s="144">
        <f t="shared" si="2"/>
        <v>7842.5601712364005</v>
      </c>
      <c r="K11" s="144">
        <f t="shared" si="2"/>
        <v>7490.9844933285003</v>
      </c>
    </row>
    <row r="12" spans="1:16">
      <c r="H12" s="144" t="s">
        <v>2317</v>
      </c>
      <c r="I12" s="144">
        <f t="shared" si="2"/>
        <v>7257.4828705372965</v>
      </c>
      <c r="J12" s="144">
        <f t="shared" si="2"/>
        <v>6086.310389353599</v>
      </c>
      <c r="K12" s="144">
        <f t="shared" si="2"/>
        <v>3629.3521631399999</v>
      </c>
    </row>
    <row r="13" spans="1:16">
      <c r="H13" s="144" t="s">
        <v>2318</v>
      </c>
      <c r="I13" s="144">
        <f t="shared" si="2"/>
        <v>819.59680327590104</v>
      </c>
      <c r="J13" s="144">
        <f t="shared" si="2"/>
        <v>819.59680327579918</v>
      </c>
      <c r="K13" s="144">
        <f t="shared" si="2"/>
        <v>819.39322731870197</v>
      </c>
    </row>
    <row r="14" spans="1:16">
      <c r="H14" s="144"/>
    </row>
    <row r="15" spans="1:16">
      <c r="H15" s="144"/>
    </row>
    <row r="16" spans="1:16">
      <c r="H16" s="144"/>
    </row>
    <row r="17" spans="1:10">
      <c r="A17" t="s">
        <v>2319</v>
      </c>
      <c r="H17" s="144"/>
      <c r="I17" t="s">
        <v>2320</v>
      </c>
      <c r="J17">
        <v>65.3101736972704</v>
      </c>
    </row>
    <row r="18" spans="1:10">
      <c r="I18" t="s">
        <v>2321</v>
      </c>
      <c r="J18">
        <v>40.297766749379598</v>
      </c>
    </row>
    <row r="19" spans="1:10">
      <c r="I19" t="s">
        <v>2322</v>
      </c>
      <c r="J19">
        <v>-53.796526054590501</v>
      </c>
    </row>
    <row r="20" spans="1:10">
      <c r="I20" t="s">
        <v>2323</v>
      </c>
      <c r="J20">
        <v>45.232815964523198</v>
      </c>
    </row>
    <row r="21" spans="1:10">
      <c r="I21" t="s">
        <v>2324</v>
      </c>
      <c r="J21">
        <v>31.929046563192902</v>
      </c>
    </row>
    <row r="22" spans="1:10">
      <c r="I22" t="s">
        <v>2325</v>
      </c>
      <c r="J22">
        <v>17.1840354767184</v>
      </c>
    </row>
    <row r="23" spans="1:10">
      <c r="I23" t="s">
        <v>2326</v>
      </c>
      <c r="J23">
        <v>803.28358208955206</v>
      </c>
    </row>
    <row r="24" spans="1:10">
      <c r="I24" t="s">
        <v>2327</v>
      </c>
      <c r="J24">
        <v>588.35820895522397</v>
      </c>
    </row>
    <row r="25" spans="1:10">
      <c r="I25" t="s">
        <v>2328</v>
      </c>
      <c r="J25">
        <v>303.58208955223802</v>
      </c>
    </row>
    <row r="37" spans="1:14">
      <c r="A37" t="s">
        <v>2329</v>
      </c>
      <c r="I37" t="s">
        <v>2330</v>
      </c>
    </row>
    <row r="38" spans="1:14">
      <c r="H38" t="s">
        <v>2331</v>
      </c>
      <c r="I38">
        <v>-248.01428213480301</v>
      </c>
    </row>
    <row r="39" spans="1:14">
      <c r="H39" t="s">
        <v>2332</v>
      </c>
      <c r="I39">
        <v>-251.81345527436699</v>
      </c>
    </row>
    <row r="40" spans="1:14">
      <c r="H40" t="s">
        <v>2333</v>
      </c>
      <c r="I40">
        <v>-240.22801302931501</v>
      </c>
    </row>
    <row r="42" spans="1:14">
      <c r="I42" t="s">
        <v>2334</v>
      </c>
      <c r="M42" t="s">
        <v>2335</v>
      </c>
    </row>
    <row r="43" spans="1:14">
      <c r="I43" t="s">
        <v>2336</v>
      </c>
      <c r="J43" t="s">
        <v>932</v>
      </c>
      <c r="K43" t="s">
        <v>2337</v>
      </c>
      <c r="M43" t="s">
        <v>932</v>
      </c>
      <c r="N43" t="s">
        <v>2337</v>
      </c>
    </row>
    <row r="44" spans="1:14">
      <c r="H44" t="s">
        <v>2338</v>
      </c>
      <c r="I44">
        <v>-1.0064516129032199</v>
      </c>
      <c r="J44">
        <v>-0.91428571428571304</v>
      </c>
      <c r="K44">
        <v>-0.69750889679731798</v>
      </c>
    </row>
    <row r="45" spans="1:14">
      <c r="H45" t="s">
        <v>2339</v>
      </c>
      <c r="I45">
        <v>-1.0064516129032199</v>
      </c>
      <c r="J45">
        <v>-0.91428571428571304</v>
      </c>
      <c r="K45">
        <v>-0.69750889679731798</v>
      </c>
    </row>
    <row r="46" spans="1:14">
      <c r="H46" t="s">
        <v>2340</v>
      </c>
      <c r="I46">
        <v>-1.0064516129032199</v>
      </c>
      <c r="J46">
        <v>-0.91428571428571304</v>
      </c>
      <c r="K46">
        <v>-0.69750889679731798</v>
      </c>
    </row>
    <row r="47" spans="1:14">
      <c r="H47" t="s">
        <v>2341</v>
      </c>
      <c r="I47">
        <v>-1.10967741935483</v>
      </c>
      <c r="J47">
        <v>-0.999999999999999</v>
      </c>
      <c r="K47">
        <v>-0.78291814946635796</v>
      </c>
    </row>
    <row r="48" spans="1:14">
      <c r="H48" t="s">
        <v>2342</v>
      </c>
      <c r="I48">
        <v>-3.2774193548386998</v>
      </c>
      <c r="J48">
        <v>-2.6857142857142802</v>
      </c>
      <c r="K48">
        <v>-2.0925266903916202</v>
      </c>
    </row>
    <row r="49" spans="8:13">
      <c r="H49" t="s">
        <v>2343</v>
      </c>
      <c r="I49">
        <v>-3.2774193548386998</v>
      </c>
      <c r="J49">
        <v>-2.6857142857142802</v>
      </c>
      <c r="K49">
        <v>-2.0925266903916202</v>
      </c>
    </row>
    <row r="50" spans="8:13">
      <c r="H50" t="s">
        <v>2344</v>
      </c>
      <c r="I50">
        <v>-3.5096774193548299</v>
      </c>
      <c r="J50">
        <v>-2.8</v>
      </c>
      <c r="K50">
        <v>-2.20640569395034</v>
      </c>
    </row>
    <row r="51" spans="8:13">
      <c r="H51" t="s">
        <v>2345</v>
      </c>
      <c r="I51">
        <v>-3.5870967741935398</v>
      </c>
      <c r="J51">
        <v>-2.94285714285714</v>
      </c>
      <c r="K51">
        <v>-2.2918149466193798</v>
      </c>
    </row>
    <row r="64" spans="8:13">
      <c r="I64" t="s">
        <v>1090</v>
      </c>
      <c r="J64" t="s">
        <v>1030</v>
      </c>
      <c r="K64" t="s">
        <v>2346</v>
      </c>
      <c r="M64" t="s">
        <v>2347</v>
      </c>
    </row>
    <row r="65" spans="1:13">
      <c r="A65" t="s">
        <v>2348</v>
      </c>
      <c r="I65" t="s">
        <v>229</v>
      </c>
      <c r="J65">
        <v>-0.83333333333333204</v>
      </c>
      <c r="K65">
        <v>0.55348837209267598</v>
      </c>
      <c r="M65">
        <f t="shared" ref="M65:M68" si="4">K65-J65</f>
        <v>1.3868217054260081</v>
      </c>
    </row>
    <row r="66" spans="1:13">
      <c r="I66" t="s">
        <v>2311</v>
      </c>
      <c r="J66">
        <v>1.2916666666666601</v>
      </c>
      <c r="K66">
        <v>4.9488372093022104</v>
      </c>
      <c r="M66">
        <f t="shared" si="4"/>
        <v>3.6571705426355505</v>
      </c>
    </row>
    <row r="67" spans="1:13">
      <c r="I67" t="s">
        <v>2349</v>
      </c>
      <c r="J67">
        <v>2.0833333333333299</v>
      </c>
      <c r="K67">
        <v>2.4372093023253298</v>
      </c>
      <c r="M67">
        <f t="shared" si="4"/>
        <v>0.35387596899199991</v>
      </c>
    </row>
    <row r="68" spans="1:13">
      <c r="I68" t="s">
        <v>2350</v>
      </c>
      <c r="K68">
        <v>1.8930232558136699</v>
      </c>
      <c r="M68">
        <f t="shared" si="4"/>
        <v>1.8930232558136699</v>
      </c>
    </row>
    <row r="88" spans="1:9">
      <c r="A88" t="s">
        <v>2351</v>
      </c>
      <c r="E88" t="s">
        <v>2352</v>
      </c>
      <c r="F88" t="s">
        <v>986</v>
      </c>
      <c r="G88" t="s">
        <v>182</v>
      </c>
      <c r="H88" t="s">
        <v>2353</v>
      </c>
    </row>
    <row r="89" spans="1:9">
      <c r="E89" t="s">
        <v>2354</v>
      </c>
      <c r="F89">
        <v>272.77999999999997</v>
      </c>
      <c r="G89">
        <v>221.89</v>
      </c>
      <c r="H89">
        <f>G89-C94+C93</f>
        <v>200.18999999999997</v>
      </c>
    </row>
    <row r="90" spans="1:9">
      <c r="B90" t="s">
        <v>2355</v>
      </c>
      <c r="C90">
        <f>+C93/(C91*C92)</f>
        <v>0.27407407407407408</v>
      </c>
      <c r="E90" t="s">
        <v>2356</v>
      </c>
      <c r="F90">
        <v>0</v>
      </c>
      <c r="G90">
        <v>0</v>
      </c>
      <c r="H90">
        <f t="shared" ref="H90:H92" si="5">G90</f>
        <v>0</v>
      </c>
    </row>
    <row r="91" spans="1:9">
      <c r="B91" t="s">
        <v>2357</v>
      </c>
      <c r="C91">
        <v>150</v>
      </c>
      <c r="E91" t="s">
        <v>2358</v>
      </c>
      <c r="F91">
        <v>9.0299999999999994</v>
      </c>
      <c r="G91">
        <v>8.64</v>
      </c>
      <c r="H91">
        <f t="shared" si="5"/>
        <v>8.64</v>
      </c>
    </row>
    <row r="92" spans="1:9">
      <c r="B92" t="s">
        <v>2359</v>
      </c>
      <c r="C92">
        <v>0.09</v>
      </c>
      <c r="E92" t="s">
        <v>2360</v>
      </c>
      <c r="F92">
        <v>-63</v>
      </c>
      <c r="G92">
        <v>-102</v>
      </c>
      <c r="H92">
        <f t="shared" si="5"/>
        <v>-102</v>
      </c>
    </row>
    <row r="93" spans="1:9">
      <c r="B93" t="s">
        <v>2361</v>
      </c>
      <c r="C93">
        <v>3.7</v>
      </c>
      <c r="E93" t="s">
        <v>2362</v>
      </c>
      <c r="F93">
        <f>-SUM(F91:F92)</f>
        <v>53.97</v>
      </c>
      <c r="G93">
        <f t="shared" ref="G93:H93" si="6">-SUM(G91:G92)</f>
        <v>93.36</v>
      </c>
      <c r="H93">
        <f t="shared" si="6"/>
        <v>93.36</v>
      </c>
    </row>
    <row r="94" spans="1:9">
      <c r="B94" t="s">
        <v>2363</v>
      </c>
      <c r="C94">
        <v>25.4</v>
      </c>
      <c r="E94" t="s">
        <v>2311</v>
      </c>
      <c r="F94">
        <f>-SUM(F89:F92)</f>
        <v>-218.80999999999995</v>
      </c>
      <c r="G94">
        <f t="shared" ref="G94:H94" si="7">-SUM(G89:G92)</f>
        <v>-128.52999999999997</v>
      </c>
      <c r="H94">
        <f t="shared" si="7"/>
        <v>-106.82999999999998</v>
      </c>
    </row>
    <row r="96" spans="1:9">
      <c r="A96" t="s">
        <v>2364</v>
      </c>
      <c r="D96" t="s">
        <v>2365</v>
      </c>
      <c r="E96" t="s">
        <v>2366</v>
      </c>
      <c r="F96" t="s">
        <v>2367</v>
      </c>
      <c r="G96" t="s">
        <v>2368</v>
      </c>
      <c r="H96" t="s">
        <v>2369</v>
      </c>
      <c r="I96" t="s">
        <v>2370</v>
      </c>
    </row>
    <row r="97" spans="3:9">
      <c r="C97" t="s">
        <v>2371</v>
      </c>
      <c r="D97">
        <v>-1516</v>
      </c>
      <c r="E97">
        <v>-1516</v>
      </c>
      <c r="F97">
        <v>-1516</v>
      </c>
      <c r="G97">
        <v>-1516</v>
      </c>
      <c r="H97">
        <v>-1516</v>
      </c>
      <c r="I97">
        <v>1516</v>
      </c>
    </row>
    <row r="98" spans="3:9">
      <c r="C98" t="s">
        <v>2372</v>
      </c>
      <c r="D98">
        <v>273</v>
      </c>
      <c r="E98">
        <v>273</v>
      </c>
      <c r="F98">
        <v>273</v>
      </c>
      <c r="G98">
        <v>273</v>
      </c>
      <c r="H98">
        <v>273</v>
      </c>
      <c r="I98">
        <v>273</v>
      </c>
    </row>
    <row r="99" spans="3:9">
      <c r="C99" t="s">
        <v>2373</v>
      </c>
      <c r="D99">
        <v>100</v>
      </c>
      <c r="E99">
        <v>100</v>
      </c>
      <c r="F99">
        <v>100</v>
      </c>
      <c r="G99">
        <v>100</v>
      </c>
      <c r="H99">
        <v>100</v>
      </c>
      <c r="I99">
        <v>100</v>
      </c>
    </row>
    <row r="100" spans="3:9">
      <c r="C100" t="s">
        <v>2374</v>
      </c>
      <c r="D100">
        <v>52</v>
      </c>
      <c r="E100">
        <v>52</v>
      </c>
      <c r="F100">
        <v>52</v>
      </c>
      <c r="G100">
        <v>52</v>
      </c>
      <c r="H100">
        <v>171</v>
      </c>
      <c r="I100">
        <v>52</v>
      </c>
    </row>
    <row r="101" spans="3:9">
      <c r="C101" t="s">
        <v>2375</v>
      </c>
      <c r="D101">
        <v>41</v>
      </c>
      <c r="E101">
        <v>41</v>
      </c>
      <c r="F101">
        <v>43</v>
      </c>
      <c r="G101">
        <v>43</v>
      </c>
      <c r="H101">
        <v>43</v>
      </c>
      <c r="I101">
        <v>43</v>
      </c>
    </row>
    <row r="102" spans="3:9">
      <c r="C102" t="s">
        <v>712</v>
      </c>
      <c r="D102">
        <v>0</v>
      </c>
      <c r="E102">
        <v>0</v>
      </c>
      <c r="F102">
        <v>800</v>
      </c>
      <c r="G102">
        <v>800</v>
      </c>
      <c r="H102">
        <v>800</v>
      </c>
      <c r="I102">
        <v>800</v>
      </c>
    </row>
    <row r="103" spans="3:9">
      <c r="C103" t="s">
        <v>2376</v>
      </c>
      <c r="D103">
        <v>0</v>
      </c>
      <c r="E103">
        <v>0</v>
      </c>
      <c r="F103">
        <v>-490</v>
      </c>
      <c r="G103">
        <v>-662</v>
      </c>
      <c r="H103">
        <v>-490</v>
      </c>
      <c r="I103">
        <v>-490</v>
      </c>
    </row>
    <row r="104" spans="3:9">
      <c r="C104" t="s">
        <v>2377</v>
      </c>
      <c r="D104">
        <v>1076</v>
      </c>
      <c r="E104">
        <v>1150</v>
      </c>
      <c r="F104">
        <v>0</v>
      </c>
      <c r="G104">
        <v>0</v>
      </c>
      <c r="H104">
        <v>0</v>
      </c>
      <c r="I104">
        <v>0</v>
      </c>
    </row>
    <row r="105" spans="3:9">
      <c r="C105" t="s">
        <v>2378</v>
      </c>
      <c r="E105">
        <v>-811</v>
      </c>
      <c r="F105">
        <v>0</v>
      </c>
      <c r="G105">
        <v>0</v>
      </c>
      <c r="H105">
        <v>0</v>
      </c>
      <c r="I105">
        <v>0</v>
      </c>
    </row>
    <row r="106" spans="3:9">
      <c r="C106" t="s">
        <v>2311</v>
      </c>
      <c r="D106">
        <v>26</v>
      </c>
      <c r="E106">
        <v>-711</v>
      </c>
      <c r="F106">
        <v>-738</v>
      </c>
      <c r="G106">
        <v>-910</v>
      </c>
      <c r="H106">
        <v>-619</v>
      </c>
      <c r="I106">
        <v>2294</v>
      </c>
    </row>
    <row r="107" spans="3:9">
      <c r="C107" t="s">
        <v>2379</v>
      </c>
      <c r="D107">
        <v>0.09</v>
      </c>
      <c r="E107">
        <v>-2.4300000000000002</v>
      </c>
      <c r="F107">
        <v>-2.52</v>
      </c>
      <c r="G107">
        <v>-3.11</v>
      </c>
      <c r="H107">
        <v>-2.12</v>
      </c>
      <c r="I107">
        <v>7.84</v>
      </c>
    </row>
    <row r="109" spans="3:9">
      <c r="C109" t="s">
        <v>2380</v>
      </c>
      <c r="D109">
        <f t="shared" ref="D109:D110" si="8">-D97</f>
        <v>1516</v>
      </c>
      <c r="E109">
        <f t="shared" ref="E109:I110" si="9">-E97</f>
        <v>1516</v>
      </c>
      <c r="F109">
        <f t="shared" si="9"/>
        <v>1516</v>
      </c>
      <c r="G109">
        <f t="shared" si="9"/>
        <v>1516</v>
      </c>
      <c r="H109">
        <f t="shared" si="9"/>
        <v>1516</v>
      </c>
      <c r="I109">
        <f t="shared" si="9"/>
        <v>-1516</v>
      </c>
    </row>
    <row r="110" spans="3:9">
      <c r="C110" t="s">
        <v>1227</v>
      </c>
      <c r="D110">
        <f t="shared" si="8"/>
        <v>-273</v>
      </c>
      <c r="E110">
        <f t="shared" si="9"/>
        <v>-273</v>
      </c>
      <c r="F110">
        <f t="shared" si="9"/>
        <v>-273</v>
      </c>
      <c r="G110">
        <f t="shared" si="9"/>
        <v>-273</v>
      </c>
      <c r="H110">
        <f t="shared" si="9"/>
        <v>-273</v>
      </c>
      <c r="I110">
        <f t="shared" si="9"/>
        <v>-273</v>
      </c>
    </row>
    <row r="111" spans="3:9">
      <c r="C111" t="s">
        <v>2381</v>
      </c>
      <c r="D111">
        <f>-SUM(D99:D101)</f>
        <v>-193</v>
      </c>
      <c r="E111">
        <f t="shared" ref="E111:I111" si="10">-SUM(E99:E101)</f>
        <v>-193</v>
      </c>
      <c r="F111">
        <f t="shared" si="10"/>
        <v>-195</v>
      </c>
      <c r="G111">
        <f t="shared" si="10"/>
        <v>-195</v>
      </c>
      <c r="H111">
        <f t="shared" si="10"/>
        <v>-314</v>
      </c>
      <c r="I111">
        <f t="shared" si="10"/>
        <v>-195</v>
      </c>
    </row>
    <row r="112" spans="3:9">
      <c r="C112" t="s">
        <v>2382</v>
      </c>
      <c r="D112">
        <f>-SUM(D102:D105)</f>
        <v>-1076</v>
      </c>
      <c r="E112">
        <f t="shared" ref="E112:I112" si="11">-SUM(E102:E105)</f>
        <v>-339</v>
      </c>
      <c r="F112">
        <f t="shared" si="11"/>
        <v>-310</v>
      </c>
      <c r="G112">
        <f t="shared" si="11"/>
        <v>-138</v>
      </c>
      <c r="H112">
        <f t="shared" si="11"/>
        <v>-310</v>
      </c>
      <c r="I112">
        <f t="shared" si="11"/>
        <v>-310</v>
      </c>
    </row>
    <row r="113" spans="1:37">
      <c r="C113" t="s">
        <v>2311</v>
      </c>
      <c r="D113">
        <f>-D106</f>
        <v>-26</v>
      </c>
      <c r="E113">
        <f t="shared" ref="E113:I113" si="12">-E106</f>
        <v>711</v>
      </c>
      <c r="F113">
        <f t="shared" si="12"/>
        <v>738</v>
      </c>
      <c r="G113">
        <f t="shared" si="12"/>
        <v>910</v>
      </c>
      <c r="H113">
        <f t="shared" si="12"/>
        <v>619</v>
      </c>
      <c r="I113">
        <f t="shared" si="12"/>
        <v>-2294</v>
      </c>
    </row>
    <row r="114" spans="1:37">
      <c r="C114" t="s">
        <v>2383</v>
      </c>
      <c r="D114">
        <f>D112+D111</f>
        <v>-1269</v>
      </c>
      <c r="E114">
        <f t="shared" ref="E114:I114" si="13">E112+E111</f>
        <v>-532</v>
      </c>
      <c r="F114">
        <f t="shared" si="13"/>
        <v>-505</v>
      </c>
      <c r="G114">
        <f t="shared" si="13"/>
        <v>-333</v>
      </c>
      <c r="H114">
        <f t="shared" si="13"/>
        <v>-624</v>
      </c>
      <c r="I114">
        <f t="shared" si="13"/>
        <v>-505</v>
      </c>
    </row>
    <row r="115" spans="1:37">
      <c r="C115" t="s">
        <v>2384</v>
      </c>
      <c r="D115">
        <f>SUM(D110:D112)</f>
        <v>-1542</v>
      </c>
      <c r="E115">
        <f t="shared" ref="E115:I115" si="14">SUM(E110:E112)</f>
        <v>-805</v>
      </c>
      <c r="F115">
        <f t="shared" si="14"/>
        <v>-778</v>
      </c>
      <c r="G115">
        <f t="shared" si="14"/>
        <v>-606</v>
      </c>
      <c r="H115">
        <f t="shared" si="14"/>
        <v>-897</v>
      </c>
      <c r="I115">
        <f t="shared" si="14"/>
        <v>-778</v>
      </c>
    </row>
    <row r="116" spans="1:37">
      <c r="C116" t="s">
        <v>2385</v>
      </c>
      <c r="F116">
        <f>SUM(F109:F110)</f>
        <v>1243</v>
      </c>
      <c r="I116">
        <f>SUM(I109:I110)</f>
        <v>-1789</v>
      </c>
    </row>
    <row r="117" spans="1:37">
      <c r="C117" t="s">
        <v>2386</v>
      </c>
      <c r="F117">
        <f>SUM(F109:F111)</f>
        <v>1048</v>
      </c>
      <c r="I117">
        <f>SUM(I109:I111)</f>
        <v>-1984</v>
      </c>
    </row>
    <row r="120" spans="1:37">
      <c r="A120" t="s">
        <v>2387</v>
      </c>
    </row>
    <row r="121" spans="1:37">
      <c r="H121" t="s">
        <v>2069</v>
      </c>
      <c r="I121" t="s">
        <v>2388</v>
      </c>
      <c r="O121" t="s">
        <v>2389</v>
      </c>
      <c r="U121" t="s">
        <v>2390</v>
      </c>
      <c r="AA121" t="s">
        <v>2391</v>
      </c>
      <c r="AG121" t="s">
        <v>2392</v>
      </c>
    </row>
    <row r="122" spans="1:37">
      <c r="H122" t="s">
        <v>2393</v>
      </c>
      <c r="I122" t="s">
        <v>1030</v>
      </c>
      <c r="J122" t="s">
        <v>2201</v>
      </c>
      <c r="K122" t="s">
        <v>2199</v>
      </c>
      <c r="L122" t="s">
        <v>2200</v>
      </c>
      <c r="M122" t="s">
        <v>2195</v>
      </c>
      <c r="O122" t="s">
        <v>1030</v>
      </c>
      <c r="P122" t="s">
        <v>2201</v>
      </c>
      <c r="Q122" t="s">
        <v>2199</v>
      </c>
      <c r="R122" t="s">
        <v>2200</v>
      </c>
      <c r="S122" t="s">
        <v>2195</v>
      </c>
      <c r="U122" t="s">
        <v>1030</v>
      </c>
      <c r="V122" t="s">
        <v>2201</v>
      </c>
      <c r="W122" t="s">
        <v>2199</v>
      </c>
      <c r="X122" t="s">
        <v>2200</v>
      </c>
      <c r="Y122" t="s">
        <v>2195</v>
      </c>
      <c r="AA122" t="s">
        <v>1030</v>
      </c>
      <c r="AB122" t="s">
        <v>2201</v>
      </c>
      <c r="AC122" t="s">
        <v>2199</v>
      </c>
      <c r="AD122" t="s">
        <v>2200</v>
      </c>
      <c r="AE122" t="s">
        <v>2195</v>
      </c>
      <c r="AG122" t="s">
        <v>1030</v>
      </c>
      <c r="AH122" t="s">
        <v>2201</v>
      </c>
      <c r="AI122" t="s">
        <v>2199</v>
      </c>
      <c r="AJ122" t="s">
        <v>2200</v>
      </c>
      <c r="AK122" t="s">
        <v>2195</v>
      </c>
    </row>
    <row r="123" spans="1:37">
      <c r="G123" t="e">
        <f>VLOOKUP($H123,$G$133:$I$147,3,FALSE)</f>
        <v>#N/A</v>
      </c>
      <c r="H123">
        <v>2010</v>
      </c>
      <c r="I123">
        <v>-79.911750082863705</v>
      </c>
      <c r="J123">
        <v>-88.840321511435207</v>
      </c>
      <c r="K123">
        <v>-93.304607225720801</v>
      </c>
      <c r="L123">
        <v>-91.072464368577997</v>
      </c>
      <c r="M123">
        <v>-91.072464368577997</v>
      </c>
      <c r="O123">
        <v>-3.4228063240000002</v>
      </c>
      <c r="P123">
        <v>-4.3718253599999999</v>
      </c>
      <c r="Q123">
        <v>-6.05365565176049</v>
      </c>
      <c r="R123">
        <v>-6.05365565176049</v>
      </c>
      <c r="S123">
        <v>-3.8156926666783</v>
      </c>
      <c r="T123">
        <v>2010</v>
      </c>
      <c r="U123">
        <v>-7.5664411605007098</v>
      </c>
      <c r="V123">
        <v>-7.56578078452665</v>
      </c>
      <c r="W123">
        <v>-8.6507785098983092</v>
      </c>
      <c r="X123">
        <v>-8.6507785098983092</v>
      </c>
      <c r="Y123">
        <v>-5.7834385346675203</v>
      </c>
      <c r="Z123">
        <v>2010</v>
      </c>
      <c r="AA123">
        <v>-18.691551147654099</v>
      </c>
      <c r="AB123">
        <v>-22.501966898584101</v>
      </c>
      <c r="AC123">
        <v>-30.005522629337001</v>
      </c>
      <c r="AD123">
        <v>-22.501966898584101</v>
      </c>
      <c r="AE123">
        <v>-35.188484584546799</v>
      </c>
      <c r="AG123">
        <v>-37.155963302752298</v>
      </c>
      <c r="AH123">
        <v>-37.155963302752298</v>
      </c>
      <c r="AI123">
        <v>-35.287694609040798</v>
      </c>
      <c r="AJ123">
        <v>-35.287694609040798</v>
      </c>
      <c r="AK123">
        <v>-38.1598933469554</v>
      </c>
    </row>
    <row r="124" spans="1:37">
      <c r="H124">
        <v>2020</v>
      </c>
      <c r="I124">
        <v>-174.89574422583399</v>
      </c>
      <c r="J124">
        <v>-191.783843028229</v>
      </c>
      <c r="K124">
        <v>-201.434185201026</v>
      </c>
      <c r="L124">
        <v>-202.23421445144101</v>
      </c>
      <c r="M124">
        <v>-242.44813943541399</v>
      </c>
      <c r="O124">
        <v>-7.4793023720000003</v>
      </c>
      <c r="P124">
        <v>-7.6969451549999999</v>
      </c>
      <c r="Q124">
        <v>-13.1140422522215</v>
      </c>
      <c r="R124">
        <v>-13.1140422522215</v>
      </c>
      <c r="S124">
        <v>-7.1435188083272196</v>
      </c>
      <c r="T124">
        <v>2020</v>
      </c>
      <c r="U124">
        <v>-14.569752670924</v>
      </c>
      <c r="V124">
        <v>-17.871387146394898</v>
      </c>
      <c r="W124">
        <v>-23.911132302076499</v>
      </c>
      <c r="X124">
        <v>-23.911132302076499</v>
      </c>
      <c r="Y124">
        <v>-5.7966717315364198</v>
      </c>
      <c r="Z124">
        <v>2020</v>
      </c>
      <c r="AA124">
        <v>-51.753527655772103</v>
      </c>
      <c r="AB124">
        <v>-55.548440362193297</v>
      </c>
      <c r="AC124">
        <v>-58.956730626566099</v>
      </c>
      <c r="AD124">
        <v>-55.548440362193297</v>
      </c>
      <c r="AE124">
        <v>-136.63451857430701</v>
      </c>
      <c r="AG124">
        <v>-74.094218276761396</v>
      </c>
      <c r="AH124">
        <v>-73.279816513761403</v>
      </c>
      <c r="AI124">
        <v>-76.968013331651093</v>
      </c>
      <c r="AJ124">
        <v>-76.968013331651093</v>
      </c>
      <c r="AK124">
        <v>-66.459183360346103</v>
      </c>
    </row>
    <row r="125" spans="1:37">
      <c r="H125">
        <v>2030</v>
      </c>
      <c r="I125">
        <v>-266.57399486740798</v>
      </c>
      <c r="J125">
        <v>-288.61473481608198</v>
      </c>
      <c r="K125">
        <v>-319.65087681779301</v>
      </c>
      <c r="L125">
        <v>-329.01578554855797</v>
      </c>
      <c r="M125">
        <v>-370.31517322497803</v>
      </c>
      <c r="O125">
        <v>-11.61255261</v>
      </c>
      <c r="P125">
        <v>-11.57624373</v>
      </c>
      <c r="Q125">
        <v>-23.379237880929601</v>
      </c>
      <c r="R125">
        <v>-23.379237880929601</v>
      </c>
      <c r="S125">
        <v>-9.9473622279573899</v>
      </c>
      <c r="T125">
        <v>2030</v>
      </c>
      <c r="U125">
        <v>-22.8212002382616</v>
      </c>
      <c r="V125">
        <v>-22.218630507198998</v>
      </c>
      <c r="W125">
        <v>-44.790201408851402</v>
      </c>
      <c r="X125">
        <v>-44.790201408851402</v>
      </c>
      <c r="Y125">
        <v>-4.1490035239972203</v>
      </c>
      <c r="Z125">
        <v>2030</v>
      </c>
      <c r="AA125">
        <v>-74.937586702500695</v>
      </c>
      <c r="AB125">
        <v>-76.966731236946401</v>
      </c>
      <c r="AC125">
        <v>-79.643362017116502</v>
      </c>
      <c r="AD125">
        <v>-76.966731236946401</v>
      </c>
      <c r="AE125">
        <v>-223.834792619919</v>
      </c>
      <c r="AG125">
        <v>-110.02313103467</v>
      </c>
      <c r="AH125">
        <v>-107.199838087114</v>
      </c>
      <c r="AI125">
        <v>-118.16700482998201</v>
      </c>
      <c r="AJ125">
        <v>-118.16700482998201</v>
      </c>
      <c r="AK125">
        <v>-94.764973268048493</v>
      </c>
    </row>
    <row r="126" spans="1:37">
      <c r="H126">
        <v>2040</v>
      </c>
      <c r="I126">
        <v>-358.25224550898201</v>
      </c>
      <c r="J126">
        <v>-375.14034431137702</v>
      </c>
      <c r="K126">
        <v>-432.86195466210398</v>
      </c>
      <c r="L126">
        <v>-437.94539277427799</v>
      </c>
      <c r="M126">
        <v>-478.88152266894798</v>
      </c>
      <c r="O126">
        <v>-16.033774959999999</v>
      </c>
      <c r="P126">
        <v>-14.624262359999999</v>
      </c>
      <c r="Q126">
        <v>-35.146969545120101</v>
      </c>
      <c r="R126">
        <v>-35.146969545120101</v>
      </c>
      <c r="S126">
        <v>-12.670394491153999</v>
      </c>
      <c r="T126">
        <v>2040</v>
      </c>
      <c r="U126">
        <v>-28.314179013492801</v>
      </c>
      <c r="V126">
        <v>-25.585051641920199</v>
      </c>
      <c r="W126">
        <v>-61.842838403222601</v>
      </c>
      <c r="X126">
        <v>-61.842838403222601</v>
      </c>
      <c r="Y126">
        <v>-3.0547328907452198</v>
      </c>
      <c r="Z126">
        <v>2040</v>
      </c>
      <c r="AA126">
        <v>-103.128697225499</v>
      </c>
      <c r="AB126">
        <v>-85.880029919208596</v>
      </c>
      <c r="AC126">
        <v>-94.842276202986298</v>
      </c>
      <c r="AD126">
        <v>-85.880029919208596</v>
      </c>
      <c r="AE126">
        <v>-300.79605909268503</v>
      </c>
      <c r="AG126">
        <v>-148.17936495958699</v>
      </c>
      <c r="AH126">
        <v>-142.68006583602499</v>
      </c>
      <c r="AI126">
        <v>-160.009227130916</v>
      </c>
      <c r="AJ126">
        <v>-160.009227130916</v>
      </c>
      <c r="AK126">
        <v>-123.18759220940601</v>
      </c>
    </row>
    <row r="127" spans="1:37">
      <c r="H127">
        <v>2050</v>
      </c>
      <c r="I127">
        <v>-444.74443969204401</v>
      </c>
      <c r="J127">
        <v>-457.92343883661198</v>
      </c>
      <c r="K127">
        <v>-541.24786142001699</v>
      </c>
      <c r="L127">
        <v>-544.642857142857</v>
      </c>
      <c r="M127">
        <v>-575.024059024807</v>
      </c>
      <c r="O127">
        <v>-21.021863880000002</v>
      </c>
      <c r="P127">
        <v>-17.672284350000002</v>
      </c>
      <c r="Q127">
        <v>-46.846647670599197</v>
      </c>
      <c r="R127">
        <v>-46.846647670599197</v>
      </c>
      <c r="S127">
        <v>-14.907508054462699</v>
      </c>
      <c r="T127">
        <v>2050</v>
      </c>
      <c r="U127">
        <v>-33.279161305621301</v>
      </c>
      <c r="V127">
        <v>-26.665391740362399</v>
      </c>
      <c r="W127">
        <v>-76.645883575091005</v>
      </c>
      <c r="X127">
        <v>-76.645883575091005</v>
      </c>
      <c r="Y127">
        <v>-0.83981993161341895</v>
      </c>
      <c r="Z127">
        <v>2050</v>
      </c>
      <c r="AA127">
        <v>-119.709197910017</v>
      </c>
      <c r="AB127">
        <v>-89.934505989888095</v>
      </c>
      <c r="AC127">
        <v>-105.685944766357</v>
      </c>
      <c r="AD127">
        <v>-89.934505989888095</v>
      </c>
      <c r="AE127">
        <v>-353.40571494908198</v>
      </c>
      <c r="AG127">
        <v>-184.06566486446999</v>
      </c>
      <c r="AH127">
        <v>-178.74915183526599</v>
      </c>
      <c r="AI127">
        <v>-205.17764717771101</v>
      </c>
      <c r="AJ127">
        <v>-205.17764717771101</v>
      </c>
      <c r="AK127">
        <v>-150.32297830844701</v>
      </c>
    </row>
    <row r="128" spans="1:37">
      <c r="H128">
        <v>2060</v>
      </c>
      <c r="I128">
        <v>-516.00593455945204</v>
      </c>
      <c r="J128">
        <v>-521.87603579714903</v>
      </c>
      <c r="K128">
        <v>-650.17509623609897</v>
      </c>
      <c r="L128">
        <v>-626.98486954662098</v>
      </c>
      <c r="M128">
        <v>-644.05341103507203</v>
      </c>
      <c r="O128">
        <v>-25.391129490000001</v>
      </c>
      <c r="P128">
        <v>-21.274481770000001</v>
      </c>
      <c r="Q128">
        <v>-59.771474596120001</v>
      </c>
      <c r="R128">
        <v>-59.771474596120001</v>
      </c>
      <c r="S128">
        <v>-18.262619851211401</v>
      </c>
      <c r="T128">
        <v>2060</v>
      </c>
      <c r="U128">
        <v>-36.530488452445297</v>
      </c>
      <c r="V128">
        <v>-28.3273660020776</v>
      </c>
      <c r="W128">
        <v>-89.336401163736497</v>
      </c>
      <c r="X128">
        <v>-89.336401163736497</v>
      </c>
      <c r="Y128">
        <v>0.259786493257323</v>
      </c>
      <c r="Z128">
        <v>2060</v>
      </c>
      <c r="AA128">
        <v>-124.386230701242</v>
      </c>
      <c r="AB128">
        <v>-74.657916514909303</v>
      </c>
      <c r="AC128">
        <v>-116.07299548902699</v>
      </c>
      <c r="AD128">
        <v>-74.657916514909303</v>
      </c>
      <c r="AE128">
        <v>-385.778591846273</v>
      </c>
      <c r="AG128">
        <v>-221.13917530304801</v>
      </c>
      <c r="AH128">
        <v>-213.605706748692</v>
      </c>
      <c r="AI128">
        <v>-247.07342243655299</v>
      </c>
      <c r="AJ128">
        <v>-247.07342243655299</v>
      </c>
      <c r="AK128">
        <v>-177.57799178463</v>
      </c>
    </row>
    <row r="129" spans="7:37">
      <c r="H129">
        <v>2070</v>
      </c>
      <c r="I129">
        <v>-572.791916167664</v>
      </c>
      <c r="J129">
        <v>-575.00207159429795</v>
      </c>
      <c r="K129">
        <v>-749.09110350727099</v>
      </c>
      <c r="L129">
        <v>-703.25197818648405</v>
      </c>
      <c r="M129">
        <v>-692.30512189905903</v>
      </c>
      <c r="O129">
        <v>-31.510434700000001</v>
      </c>
      <c r="P129">
        <v>-25.153773619999999</v>
      </c>
      <c r="Q129">
        <v>-73.376751985525999</v>
      </c>
      <c r="R129">
        <v>-73.376751985525999</v>
      </c>
      <c r="S129">
        <v>-21.048230996466199</v>
      </c>
      <c r="T129">
        <v>2070</v>
      </c>
      <c r="U129">
        <v>-39.875010485705502</v>
      </c>
      <c r="V129">
        <v>-28.8165119295703</v>
      </c>
      <c r="W129">
        <v>-99.747887335988906</v>
      </c>
      <c r="X129">
        <v>-99.747887335988906</v>
      </c>
      <c r="Y129">
        <v>1.9089209332364101</v>
      </c>
      <c r="Z129">
        <v>2070</v>
      </c>
      <c r="AA129">
        <v>-115.728548549046</v>
      </c>
      <c r="AB129">
        <v>-52.442931781406401</v>
      </c>
      <c r="AC129">
        <v>-119.33632070471501</v>
      </c>
      <c r="AD129">
        <v>-52.442931781406401</v>
      </c>
      <c r="AE129">
        <v>-395.94685625437501</v>
      </c>
      <c r="AG129">
        <v>-258.14936499743197</v>
      </c>
      <c r="AH129">
        <v>-250.34574023021401</v>
      </c>
      <c r="AI129">
        <v>-291.49069938582102</v>
      </c>
      <c r="AJ129">
        <v>-291.49069938582102</v>
      </c>
      <c r="AK129">
        <v>-204.70583316168401</v>
      </c>
    </row>
    <row r="130" spans="7:37">
      <c r="H130">
        <v>2080</v>
      </c>
      <c r="I130">
        <v>-622.34014114627803</v>
      </c>
      <c r="J130">
        <v>-650.17509623609897</v>
      </c>
      <c r="K130">
        <v>-847.82666809238594</v>
      </c>
      <c r="L130">
        <v>-805.69664242942599</v>
      </c>
      <c r="M130">
        <v>-722.55266253207799</v>
      </c>
      <c r="O130">
        <v>-36.638989899999999</v>
      </c>
      <c r="P130">
        <v>-29.03312266</v>
      </c>
      <c r="Q130">
        <v>-86.636333200959797</v>
      </c>
      <c r="R130">
        <v>-86.636333200959797</v>
      </c>
      <c r="S130">
        <v>-24.3636075670011</v>
      </c>
      <c r="T130">
        <v>2080</v>
      </c>
      <c r="U130">
        <v>-42.0734160854416</v>
      </c>
      <c r="V130">
        <v>-29.978340327602599</v>
      </c>
      <c r="W130">
        <v>-109.161063025307</v>
      </c>
      <c r="X130">
        <v>-109.161063025307</v>
      </c>
      <c r="Y130">
        <v>3.0086669296324202</v>
      </c>
      <c r="Z130">
        <v>2080</v>
      </c>
      <c r="AA130">
        <v>-97.317437193511296</v>
      </c>
      <c r="AB130">
        <v>-51.423686546173698</v>
      </c>
      <c r="AC130">
        <v>-116.827619921744</v>
      </c>
      <c r="AD130">
        <v>-51.423686546173698</v>
      </c>
      <c r="AE130">
        <v>-384.54733170913198</v>
      </c>
      <c r="AG130">
        <v>-294.198484850022</v>
      </c>
      <c r="AH130">
        <v>-284.20119272567501</v>
      </c>
      <c r="AI130">
        <v>-337.303775255039</v>
      </c>
      <c r="AJ130">
        <v>-337.303775255039</v>
      </c>
      <c r="AK130">
        <v>-231.99149250786101</v>
      </c>
    </row>
    <row r="131" spans="7:37">
      <c r="H131">
        <v>2090</v>
      </c>
      <c r="I131">
        <v>-662.23802395209498</v>
      </c>
      <c r="J131">
        <v>-717.72749144568002</v>
      </c>
      <c r="K131">
        <v>-932.44760479041895</v>
      </c>
      <c r="L131">
        <v>-894.96230752780104</v>
      </c>
      <c r="M131">
        <v>-728.49390504704797</v>
      </c>
      <c r="O131">
        <v>-42.191044900000001</v>
      </c>
      <c r="P131">
        <v>-32.63530325</v>
      </c>
      <c r="Q131">
        <v>-100.58230379807701</v>
      </c>
      <c r="R131">
        <v>-100.58230379807701</v>
      </c>
      <c r="S131">
        <v>-25.369211739549801</v>
      </c>
      <c r="T131">
        <v>2090</v>
      </c>
      <c r="U131">
        <v>-43.190097364479698</v>
      </c>
      <c r="V131">
        <v>-30.5281857532113</v>
      </c>
      <c r="W131">
        <v>-115.718908409535</v>
      </c>
      <c r="X131">
        <v>-115.718908409535</v>
      </c>
      <c r="Y131">
        <v>4.6577826244725804</v>
      </c>
      <c r="Z131">
        <v>2090</v>
      </c>
      <c r="AA131">
        <v>-73.410781675763403</v>
      </c>
      <c r="AB131">
        <v>-39.211061963691201</v>
      </c>
      <c r="AC131">
        <v>-103.43853301218</v>
      </c>
      <c r="AD131">
        <v>-39.211061963691201</v>
      </c>
      <c r="AE131">
        <v>-350.30815678968798</v>
      </c>
      <c r="AG131">
        <v>-329.95572118793598</v>
      </c>
      <c r="AH131">
        <v>-321.11705951978701</v>
      </c>
      <c r="AI131">
        <v>-379.72080327579602</v>
      </c>
      <c r="AJ131">
        <v>-379.72080327579602</v>
      </c>
      <c r="AK131">
        <v>-258.36007020915201</v>
      </c>
    </row>
    <row r="133" spans="7:37">
      <c r="I133" t="s">
        <v>2311</v>
      </c>
      <c r="O133" t="s">
        <v>2304</v>
      </c>
      <c r="U133" t="s">
        <v>2394</v>
      </c>
    </row>
    <row r="134" spans="7:37">
      <c r="I134" t="s">
        <v>1030</v>
      </c>
      <c r="J134" t="s">
        <v>2201</v>
      </c>
      <c r="K134" t="s">
        <v>2199</v>
      </c>
      <c r="L134" t="s">
        <v>2200</v>
      </c>
      <c r="M134" t="s">
        <v>2195</v>
      </c>
      <c r="O134" t="s">
        <v>1030</v>
      </c>
      <c r="P134" t="s">
        <v>2201</v>
      </c>
      <c r="Q134" t="s">
        <v>2199</v>
      </c>
      <c r="R134" t="s">
        <v>2200</v>
      </c>
      <c r="S134" t="s">
        <v>2195</v>
      </c>
      <c r="U134" t="s">
        <v>1030</v>
      </c>
      <c r="V134" t="s">
        <v>2201</v>
      </c>
      <c r="W134" t="s">
        <v>2199</v>
      </c>
      <c r="X134" t="s">
        <v>2200</v>
      </c>
      <c r="Y134" t="s">
        <v>2195</v>
      </c>
    </row>
    <row r="135" spans="7:37">
      <c r="H135">
        <v>2030</v>
      </c>
      <c r="I135">
        <f t="shared" ref="I135:M137" si="15">-VLOOKUP($H135,$H$122:$M$131,MATCH(I$134,$H$122:$M$122,0),FALSE)</f>
        <v>266.57399486740798</v>
      </c>
      <c r="J135">
        <f t="shared" si="15"/>
        <v>288.61473481608198</v>
      </c>
      <c r="K135">
        <f t="shared" si="15"/>
        <v>319.65087681779301</v>
      </c>
      <c r="L135">
        <f t="shared" si="15"/>
        <v>329.01578554855797</v>
      </c>
      <c r="M135">
        <f t="shared" si="15"/>
        <v>370.31517322497803</v>
      </c>
      <c r="O135">
        <f t="shared" ref="O135:S137" si="16">-VLOOKUP($H135,$Z$122:$AE$131,MATCH(O$134,$H$122:$M$122,0),FALSE)</f>
        <v>74.937586702500695</v>
      </c>
      <c r="P135">
        <f t="shared" si="16"/>
        <v>76.966731236946401</v>
      </c>
      <c r="Q135">
        <f t="shared" si="16"/>
        <v>79.643362017116502</v>
      </c>
      <c r="R135">
        <f t="shared" si="16"/>
        <v>76.966731236946401</v>
      </c>
      <c r="S135">
        <f t="shared" si="16"/>
        <v>223.834792619919</v>
      </c>
      <c r="U135">
        <f t="shared" ref="U135:Y137" si="17">O135-VLOOKUP($H135,$T$122:$Y$131,MATCH(U$134,$H$122:$M$122,0),FALSE)</f>
        <v>97.758786940762292</v>
      </c>
      <c r="V135">
        <f t="shared" si="17"/>
        <v>99.185361744145396</v>
      </c>
      <c r="W135">
        <f t="shared" si="17"/>
        <v>124.4335634259679</v>
      </c>
      <c r="X135">
        <f t="shared" si="17"/>
        <v>121.7569326457978</v>
      </c>
      <c r="Y135">
        <f t="shared" si="17"/>
        <v>227.98379614391621</v>
      </c>
    </row>
    <row r="136" spans="7:37">
      <c r="H136">
        <v>2060</v>
      </c>
      <c r="I136">
        <f t="shared" si="15"/>
        <v>516.00593455945204</v>
      </c>
      <c r="J136">
        <f t="shared" si="15"/>
        <v>521.87603579714903</v>
      </c>
      <c r="K136">
        <f t="shared" si="15"/>
        <v>650.17509623609897</v>
      </c>
      <c r="L136">
        <f t="shared" si="15"/>
        <v>626.98486954662098</v>
      </c>
      <c r="M136">
        <f t="shared" si="15"/>
        <v>644.05341103507203</v>
      </c>
      <c r="O136">
        <f t="shared" si="16"/>
        <v>124.386230701242</v>
      </c>
      <c r="P136">
        <f t="shared" si="16"/>
        <v>74.657916514909303</v>
      </c>
      <c r="Q136">
        <f t="shared" si="16"/>
        <v>116.07299548902699</v>
      </c>
      <c r="R136">
        <f t="shared" si="16"/>
        <v>74.657916514909303</v>
      </c>
      <c r="S136">
        <f t="shared" si="16"/>
        <v>385.778591846273</v>
      </c>
      <c r="U136">
        <f t="shared" si="17"/>
        <v>160.9167191536873</v>
      </c>
      <c r="V136">
        <f t="shared" si="17"/>
        <v>102.9852825169869</v>
      </c>
      <c r="W136">
        <f t="shared" si="17"/>
        <v>205.40939665276349</v>
      </c>
      <c r="X136">
        <f t="shared" si="17"/>
        <v>163.99431767864581</v>
      </c>
      <c r="Y136">
        <f t="shared" si="17"/>
        <v>385.51880535301569</v>
      </c>
    </row>
    <row r="137" spans="7:37">
      <c r="H137">
        <v>2090</v>
      </c>
      <c r="I137">
        <f t="shared" si="15"/>
        <v>662.23802395209498</v>
      </c>
      <c r="J137">
        <f t="shared" si="15"/>
        <v>717.72749144568002</v>
      </c>
      <c r="K137">
        <f t="shared" si="15"/>
        <v>932.44760479041895</v>
      </c>
      <c r="L137">
        <f t="shared" si="15"/>
        <v>894.96230752780104</v>
      </c>
      <c r="M137">
        <f t="shared" si="15"/>
        <v>728.49390504704797</v>
      </c>
      <c r="O137">
        <f t="shared" si="16"/>
        <v>73.410781675763403</v>
      </c>
      <c r="P137">
        <f t="shared" si="16"/>
        <v>39.211061963691201</v>
      </c>
      <c r="Q137">
        <f t="shared" si="16"/>
        <v>103.43853301218</v>
      </c>
      <c r="R137">
        <f t="shared" si="16"/>
        <v>39.211061963691201</v>
      </c>
      <c r="S137">
        <f t="shared" si="16"/>
        <v>350.30815678968798</v>
      </c>
      <c r="U137">
        <f t="shared" si="17"/>
        <v>116.6008790402431</v>
      </c>
      <c r="V137">
        <f t="shared" si="17"/>
        <v>69.739247716902497</v>
      </c>
      <c r="W137">
        <f t="shared" si="17"/>
        <v>219.15744142171502</v>
      </c>
      <c r="X137">
        <f t="shared" si="17"/>
        <v>154.92997037322621</v>
      </c>
      <c r="Y137">
        <f t="shared" si="17"/>
        <v>345.6503741652154</v>
      </c>
    </row>
    <row r="139" spans="7:37">
      <c r="G139" t="s">
        <v>2395</v>
      </c>
      <c r="I139" t="s">
        <v>1030</v>
      </c>
      <c r="J139" t="s">
        <v>2201</v>
      </c>
      <c r="K139" t="s">
        <v>2199</v>
      </c>
      <c r="L139" t="s">
        <v>2200</v>
      </c>
      <c r="M139" t="s">
        <v>2195</v>
      </c>
    </row>
    <row r="140" spans="7:37">
      <c r="G140">
        <v>5</v>
      </c>
      <c r="H140" t="s">
        <v>2396</v>
      </c>
      <c r="I140">
        <v>5.9</v>
      </c>
      <c r="J140">
        <v>9.1999999999999993</v>
      </c>
      <c r="K140">
        <v>8.5</v>
      </c>
      <c r="L140">
        <v>9.1999999999999993</v>
      </c>
      <c r="M140">
        <v>3</v>
      </c>
    </row>
    <row r="141" spans="7:37">
      <c r="H141" t="s">
        <v>2397</v>
      </c>
    </row>
    <row r="142" spans="7:37">
      <c r="H142">
        <v>2030</v>
      </c>
      <c r="I142">
        <f>($H142-2000)*AVERAGE(I140,$G$140)</f>
        <v>163.5</v>
      </c>
      <c r="J142">
        <f>($H142-2000)*AVERAGE(J140,$G$140)</f>
        <v>213</v>
      </c>
      <c r="K142">
        <f>($H142-2000)*AVERAGE(K140,$G$140)</f>
        <v>202.5</v>
      </c>
      <c r="L142">
        <f>($H142-2000)*AVERAGE(L140,$G$140)</f>
        <v>213</v>
      </c>
      <c r="M142">
        <f>($H142-2000)*AVERAGE(M140,$G$140)</f>
        <v>120</v>
      </c>
    </row>
    <row r="143" spans="7:37">
      <c r="H143">
        <v>2060</v>
      </c>
      <c r="I143">
        <f t="shared" ref="I143:M144" si="18">($H143-$H$142)*I$140+I$142</f>
        <v>340.5</v>
      </c>
      <c r="J143">
        <f t="shared" si="18"/>
        <v>489</v>
      </c>
      <c r="K143">
        <f t="shared" si="18"/>
        <v>457.5</v>
      </c>
      <c r="L143">
        <f t="shared" si="18"/>
        <v>489</v>
      </c>
      <c r="M143">
        <f t="shared" si="18"/>
        <v>210</v>
      </c>
    </row>
    <row r="144" spans="7:37">
      <c r="H144">
        <v>2090</v>
      </c>
      <c r="I144">
        <f t="shared" si="18"/>
        <v>517.5</v>
      </c>
      <c r="J144">
        <f t="shared" si="18"/>
        <v>765</v>
      </c>
      <c r="K144">
        <f t="shared" si="18"/>
        <v>712.5</v>
      </c>
      <c r="L144">
        <f t="shared" si="18"/>
        <v>765</v>
      </c>
      <c r="M144">
        <f t="shared" si="18"/>
        <v>300</v>
      </c>
    </row>
    <row r="146" spans="1:14">
      <c r="A146" t="s">
        <v>2398</v>
      </c>
      <c r="G146" t="s">
        <v>2399</v>
      </c>
      <c r="H146">
        <v>0.245</v>
      </c>
    </row>
    <row r="147" spans="1:14">
      <c r="J147" t="s">
        <v>2400</v>
      </c>
      <c r="K147" t="s">
        <v>2401</v>
      </c>
      <c r="L147" t="s">
        <v>2402</v>
      </c>
    </row>
    <row r="148" spans="1:14">
      <c r="G148" t="s">
        <v>2403</v>
      </c>
      <c r="H148">
        <v>0.116751269035533</v>
      </c>
      <c r="I148">
        <v>-13.5465116279069</v>
      </c>
      <c r="J148">
        <f>+I149-I148</f>
        <v>7.3255813953487605</v>
      </c>
      <c r="K148">
        <f>J148/C_to_CO2*1000/$H$146</f>
        <v>8147.2294893496755</v>
      </c>
      <c r="L148">
        <f>-(I150+I148)</f>
        <v>-59.593023255813996</v>
      </c>
      <c r="N148">
        <f>221*0.06</f>
        <v>13.26</v>
      </c>
    </row>
    <row r="149" spans="1:14">
      <c r="H149">
        <v>0.116751269035533</v>
      </c>
      <c r="I149">
        <v>-6.2209302325581399</v>
      </c>
    </row>
    <row r="150" spans="1:14">
      <c r="H150">
        <v>0.121827411167512</v>
      </c>
      <c r="I150">
        <v>73.139534883720899</v>
      </c>
    </row>
    <row r="151" spans="1:14">
      <c r="G151" t="s">
        <v>2404</v>
      </c>
      <c r="H151">
        <v>0.38324873096446699</v>
      </c>
      <c r="I151">
        <v>-20.058139534883701</v>
      </c>
      <c r="J151">
        <f>+I152-I151</f>
        <v>14.244186046511601</v>
      </c>
      <c r="K151">
        <f>J151/C_to_CO2*1000/$H$146</f>
        <v>15841.835118180061</v>
      </c>
      <c r="L151">
        <f>-(I153+I151)</f>
        <v>-31.918604651162703</v>
      </c>
    </row>
    <row r="152" spans="1:14">
      <c r="H152">
        <v>0.38324873096446699</v>
      </c>
      <c r="I152">
        <v>-5.8139534883720998</v>
      </c>
    </row>
    <row r="153" spans="1:14">
      <c r="H153">
        <v>0.38071065989847702</v>
      </c>
      <c r="I153">
        <v>51.976744186046403</v>
      </c>
    </row>
    <row r="154" spans="1:14">
      <c r="G154" t="s">
        <v>2405</v>
      </c>
      <c r="H154">
        <v>0.62690355329949199</v>
      </c>
      <c r="I154">
        <v>-16.802325581395301</v>
      </c>
      <c r="J154">
        <f>+I155-I154</f>
        <v>12.616279069767382</v>
      </c>
      <c r="K154">
        <f>J154/C_to_CO2*1000/$H$146</f>
        <v>14031.339676102298</v>
      </c>
      <c r="L154">
        <f>-(I156+I154)</f>
        <v>-59.999999999999993</v>
      </c>
    </row>
    <row r="155" spans="1:14">
      <c r="H155">
        <v>0.62690355329949199</v>
      </c>
      <c r="I155">
        <v>-4.1860465116279197</v>
      </c>
    </row>
    <row r="156" spans="1:14">
      <c r="H156">
        <v>0.62690355329949199</v>
      </c>
      <c r="I156">
        <v>76.802325581395294</v>
      </c>
    </row>
    <row r="157" spans="1:14">
      <c r="G157" t="s">
        <v>2406</v>
      </c>
      <c r="H157">
        <v>0.87309644670050701</v>
      </c>
      <c r="I157">
        <v>-22.5</v>
      </c>
      <c r="J157">
        <f>+I158-I157</f>
        <v>19.127906976744178</v>
      </c>
      <c r="K157">
        <f>J157/C_to_CO2*1000/$H$146</f>
        <v>21273.321444413257</v>
      </c>
      <c r="L157">
        <f>-(I159+I157)</f>
        <v>-26.6279069767441</v>
      </c>
    </row>
    <row r="158" spans="1:14">
      <c r="H158">
        <v>0.87563451776649703</v>
      </c>
      <c r="I158">
        <v>-3.3720930232558199</v>
      </c>
    </row>
    <row r="159" spans="1:14">
      <c r="H159">
        <v>0.87817258883248706</v>
      </c>
      <c r="I159">
        <v>49.1279069767441</v>
      </c>
    </row>
    <row r="161" spans="1:10">
      <c r="A161" t="s">
        <v>2407</v>
      </c>
    </row>
    <row r="162" spans="1:10">
      <c r="H162" t="s">
        <v>2408</v>
      </c>
      <c r="I162">
        <v>8.2467708777782006E-2</v>
      </c>
    </row>
    <row r="163" spans="1:10">
      <c r="H163" t="s">
        <v>2409</v>
      </c>
      <c r="I163">
        <v>0.50808347232457995</v>
      </c>
    </row>
    <row r="164" spans="1:10">
      <c r="H164" t="s">
        <v>2410</v>
      </c>
      <c r="I164">
        <v>1.0992164772506801</v>
      </c>
    </row>
    <row r="172" spans="1:10">
      <c r="A172" t="s">
        <v>2411</v>
      </c>
      <c r="E172" t="s">
        <v>2412</v>
      </c>
      <c r="F172" t="s">
        <v>2413</v>
      </c>
      <c r="G172" t="s">
        <v>2414</v>
      </c>
      <c r="H172" t="s">
        <v>2415</v>
      </c>
      <c r="I172" t="s">
        <v>2416</v>
      </c>
    </row>
    <row r="173" spans="1:10">
      <c r="A173" t="s">
        <v>2417</v>
      </c>
      <c r="B173" t="s">
        <v>2418</v>
      </c>
      <c r="C173">
        <v>0.53500000000000003</v>
      </c>
      <c r="E173" t="s">
        <v>2419</v>
      </c>
      <c r="F173" s="223">
        <f>-SUM($C$173,$C$175)</f>
        <v>-2.665</v>
      </c>
      <c r="G173" s="223">
        <f>-SUM($C$173,$C$174)</f>
        <v>-1.9969999999999999</v>
      </c>
      <c r="H173" s="223">
        <f>-SUM($C$173,$C$175)</f>
        <v>-2.665</v>
      </c>
      <c r="I173" s="223">
        <f>-SUM($C$173,$C$174)</f>
        <v>-1.9969999999999999</v>
      </c>
      <c r="J173" s="223"/>
    </row>
    <row r="174" spans="1:10">
      <c r="A174" t="s">
        <v>2420</v>
      </c>
      <c r="B174" t="s">
        <v>1073</v>
      </c>
      <c r="C174">
        <v>1.462</v>
      </c>
      <c r="E174" t="s">
        <v>2373</v>
      </c>
      <c r="F174">
        <f>-SUM($C$176,$C$177,$C$179)</f>
        <v>-12.636000000000001</v>
      </c>
      <c r="G174">
        <f>-SUM($C$176,$C$177,$C$179)</f>
        <v>-12.636000000000001</v>
      </c>
      <c r="H174">
        <f>-SUM($C$176,$C$178,$C$179)</f>
        <v>-9.6009999999999991</v>
      </c>
      <c r="I174">
        <f>-SUM($C$176,$C$178,$C$179)</f>
        <v>-9.6009999999999991</v>
      </c>
    </row>
    <row r="175" spans="1:10">
      <c r="A175" t="s">
        <v>1072</v>
      </c>
      <c r="C175">
        <v>2.13</v>
      </c>
      <c r="E175" t="s">
        <v>38</v>
      </c>
      <c r="F175" s="223">
        <f>SUM(F173:F174)</f>
        <v>-15.301000000000002</v>
      </c>
      <c r="G175" s="223">
        <f t="shared" ref="G175:I175" si="19">SUM(G173:G174)</f>
        <v>-14.633000000000001</v>
      </c>
      <c r="H175" s="223">
        <f t="shared" si="19"/>
        <v>-12.265999999999998</v>
      </c>
      <c r="I175" s="223">
        <f t="shared" si="19"/>
        <v>-11.597999999999999</v>
      </c>
      <c r="J175" s="223"/>
    </row>
    <row r="176" spans="1:10">
      <c r="A176" t="s">
        <v>2421</v>
      </c>
      <c r="B176" t="s">
        <v>2422</v>
      </c>
      <c r="C176">
        <v>0.38200000000000001</v>
      </c>
    </row>
    <row r="177" spans="1:42">
      <c r="A177" t="s">
        <v>2423</v>
      </c>
      <c r="B177" t="s">
        <v>2424</v>
      </c>
      <c r="C177">
        <v>10.582000000000001</v>
      </c>
    </row>
    <row r="178" spans="1:42">
      <c r="A178" t="s">
        <v>2425</v>
      </c>
      <c r="B178" t="s">
        <v>2426</v>
      </c>
      <c r="C178">
        <v>7.5469999999999997</v>
      </c>
    </row>
    <row r="179" spans="1:42">
      <c r="A179" t="s">
        <v>2427</v>
      </c>
      <c r="B179" t="s">
        <v>2428</v>
      </c>
      <c r="C179">
        <v>1.6719999999999999</v>
      </c>
      <c r="H179" s="224" t="s">
        <v>426</v>
      </c>
      <c r="I179" s="224" t="s">
        <v>426</v>
      </c>
      <c r="J179" t="s">
        <v>2429</v>
      </c>
      <c r="K179" s="225" t="s">
        <v>429</v>
      </c>
      <c r="L179" s="226" t="s">
        <v>429</v>
      </c>
      <c r="M179" s="227" t="s">
        <v>429</v>
      </c>
      <c r="N179" t="s">
        <v>2429</v>
      </c>
      <c r="O179" s="225" t="s">
        <v>429</v>
      </c>
      <c r="P179" s="226" t="s">
        <v>429</v>
      </c>
      <c r="Q179" s="227" t="s">
        <v>429</v>
      </c>
      <c r="R179" s="225"/>
      <c r="S179" s="226" t="s">
        <v>1462</v>
      </c>
      <c r="T179" s="226"/>
      <c r="U179" s="226"/>
      <c r="V179" s="227"/>
      <c r="W179" s="225"/>
      <c r="X179" s="226"/>
      <c r="Y179" s="226"/>
      <c r="Z179" s="226"/>
      <c r="AA179" s="226"/>
      <c r="AB179" s="227"/>
      <c r="AC179" t="s">
        <v>2430</v>
      </c>
      <c r="AD179" s="228" t="s">
        <v>2431</v>
      </c>
      <c r="AK179" s="229" t="s">
        <v>2432</v>
      </c>
    </row>
    <row r="180" spans="1:42">
      <c r="H180" s="230" t="s">
        <v>2433</v>
      </c>
      <c r="I180" s="230" t="s">
        <v>2434</v>
      </c>
      <c r="K180" s="231" t="s">
        <v>2433</v>
      </c>
      <c r="L180" t="s">
        <v>2433</v>
      </c>
      <c r="M180" s="232" t="s">
        <v>2433</v>
      </c>
      <c r="O180" s="231" t="s">
        <v>2434</v>
      </c>
      <c r="P180" t="s">
        <v>2434</v>
      </c>
      <c r="Q180" s="232" t="s">
        <v>2434</v>
      </c>
      <c r="R180" s="231" t="s">
        <v>2433</v>
      </c>
      <c r="S180" t="s">
        <v>2433</v>
      </c>
      <c r="T180" t="s">
        <v>2433</v>
      </c>
      <c r="U180" t="s">
        <v>2433</v>
      </c>
      <c r="V180" s="232" t="s">
        <v>2433</v>
      </c>
      <c r="W180" s="231" t="s">
        <v>2434</v>
      </c>
      <c r="X180" t="s">
        <v>2434</v>
      </c>
      <c r="Y180" t="s">
        <v>2434</v>
      </c>
      <c r="Z180" t="s">
        <v>2434</v>
      </c>
      <c r="AA180" t="s">
        <v>2434</v>
      </c>
      <c r="AB180" s="232"/>
      <c r="AC180">
        <v>60</v>
      </c>
      <c r="AD180" s="233" t="s">
        <v>2433</v>
      </c>
      <c r="AF180" t="s">
        <v>2435</v>
      </c>
      <c r="AG180">
        <v>950</v>
      </c>
      <c r="AK180" t="s">
        <v>2433</v>
      </c>
      <c r="AM180" t="s">
        <v>2435</v>
      </c>
      <c r="AN180">
        <v>950</v>
      </c>
    </row>
    <row r="181" spans="1:42">
      <c r="A181" t="s">
        <v>2436</v>
      </c>
      <c r="F181" t="s">
        <v>2437</v>
      </c>
      <c r="G181" t="s">
        <v>2438</v>
      </c>
      <c r="H181" s="230" t="s">
        <v>2439</v>
      </c>
      <c r="I181" s="230" t="s">
        <v>2439</v>
      </c>
      <c r="K181" s="231" t="s">
        <v>2440</v>
      </c>
      <c r="L181" t="s">
        <v>2441</v>
      </c>
      <c r="M181" s="232" t="s">
        <v>229</v>
      </c>
      <c r="O181" s="231" t="s">
        <v>2440</v>
      </c>
      <c r="P181" t="s">
        <v>2441</v>
      </c>
      <c r="Q181" s="232" t="s">
        <v>229</v>
      </c>
      <c r="R181" s="231" t="s">
        <v>2442</v>
      </c>
      <c r="S181" t="s">
        <v>2443</v>
      </c>
      <c r="T181" t="s">
        <v>2444</v>
      </c>
      <c r="U181" t="s">
        <v>2445</v>
      </c>
      <c r="V181" s="232" t="s">
        <v>2446</v>
      </c>
      <c r="W181" s="231" t="s">
        <v>2447</v>
      </c>
      <c r="X181" t="s">
        <v>2443</v>
      </c>
      <c r="Y181" t="s">
        <v>2444</v>
      </c>
      <c r="Z181" t="s">
        <v>2445</v>
      </c>
      <c r="AA181" t="s">
        <v>2446</v>
      </c>
      <c r="AB181" s="232"/>
      <c r="AD181" s="143" t="s">
        <v>2448</v>
      </c>
      <c r="AE181" s="143" t="s">
        <v>2449</v>
      </c>
      <c r="AF181" s="143" t="s">
        <v>2450</v>
      </c>
      <c r="AG181" s="143" t="s">
        <v>2451</v>
      </c>
      <c r="AH181" s="143" t="s">
        <v>2452</v>
      </c>
      <c r="AI181" s="143" t="s">
        <v>2453</v>
      </c>
      <c r="AK181" t="s">
        <v>2448</v>
      </c>
      <c r="AL181" t="s">
        <v>2449</v>
      </c>
      <c r="AM181" t="s">
        <v>2450</v>
      </c>
      <c r="AN181" t="s">
        <v>2451</v>
      </c>
      <c r="AO181" t="s">
        <v>2452</v>
      </c>
      <c r="AP181" t="s">
        <v>2453</v>
      </c>
    </row>
    <row r="182" spans="1:42">
      <c r="E182" t="str">
        <f t="shared" ref="E182:E193" si="20">F182&amp;G182</f>
        <v>Current climateTB1</v>
      </c>
      <c r="F182" t="s">
        <v>2431</v>
      </c>
      <c r="G182" t="s">
        <v>2448</v>
      </c>
      <c r="H182" s="230">
        <v>6.0354648667628699E-2</v>
      </c>
      <c r="I182" s="230">
        <v>-0.112849162011173</v>
      </c>
      <c r="J182" s="234">
        <v>-0.41789137380191699</v>
      </c>
      <c r="K182" s="231">
        <f>+J182-J183</f>
        <v>-0.23003194888178999</v>
      </c>
      <c r="L182">
        <f>+J183</f>
        <v>-0.187859424920127</v>
      </c>
      <c r="M182" s="232">
        <f>+J184</f>
        <v>0.31054313099041497</v>
      </c>
      <c r="N182">
        <v>-0.46592178770949699</v>
      </c>
      <c r="O182" s="231">
        <f>+N182-N183</f>
        <v>-0.11731843575419099</v>
      </c>
      <c r="P182">
        <f>+N183</f>
        <v>-0.34860335195530601</v>
      </c>
      <c r="Q182" s="232">
        <f>+N184</f>
        <v>0.27569832402234601</v>
      </c>
      <c r="R182" s="231"/>
      <c r="S182">
        <v>82.634271099744197</v>
      </c>
      <c r="T182">
        <v>23.248081841432199</v>
      </c>
      <c r="U182">
        <f>+S182-T182</f>
        <v>59.386189258312001</v>
      </c>
      <c r="V182" s="232">
        <v>0</v>
      </c>
      <c r="W182" s="231"/>
      <c r="X182">
        <v>82.946708463949804</v>
      </c>
      <c r="Y182">
        <v>40.344827586206897</v>
      </c>
      <c r="Z182">
        <f>+X182-Y182</f>
        <v>42.601880877742907</v>
      </c>
      <c r="AA182">
        <v>0</v>
      </c>
      <c r="AB182" s="232"/>
      <c r="AC182" t="s">
        <v>2454</v>
      </c>
      <c r="AD182">
        <f>VLOOKUP($AD$179&amp;AD$181,$E$182:$AA$192,4,FALSE)*$AC$180*$AG$180*C_to_CO2</f>
        <v>12625.588954781248</v>
      </c>
      <c r="AE182">
        <f t="shared" ref="AE182:AI182" si="21">VLOOKUP($AD$179&amp;AE$181,$E$182:$AA$192,4,FALSE)*$AC$180*$AG$180*C_to_CO2</f>
        <v>20883.088954780931</v>
      </c>
      <c r="AF182">
        <f t="shared" si="21"/>
        <v>72024.702186804221</v>
      </c>
      <c r="AG182">
        <f t="shared" si="21"/>
        <v>105771.90289102923</v>
      </c>
      <c r="AH182">
        <f t="shared" si="21"/>
        <v>120401.57301704831</v>
      </c>
      <c r="AI182">
        <f t="shared" si="21"/>
        <v>128079.5993328375</v>
      </c>
      <c r="AK182">
        <f t="shared" ref="AK182:AP182" si="22">VLOOKUP($AK$179&amp;AK$181,$E$182:$AA$193,4,FALSE)*$AC$180*$AG$180*C_to_CO2</f>
        <v>29471.133802816759</v>
      </c>
      <c r="AL182">
        <f t="shared" si="22"/>
        <v>37149.160118605767</v>
      </c>
      <c r="AM182">
        <f t="shared" si="22"/>
        <v>88283.631949591363</v>
      </c>
      <c r="AN182">
        <f t="shared" si="22"/>
        <v>125518.89696071042</v>
      </c>
      <c r="AO182">
        <f t="shared" si="22"/>
        <v>144211.00407709272</v>
      </c>
      <c r="AP182">
        <f t="shared" si="22"/>
        <v>147828.63380281517</v>
      </c>
    </row>
    <row r="183" spans="1:42">
      <c r="E183" t="str">
        <f t="shared" si="20"/>
        <v>A1BTB1</v>
      </c>
      <c r="F183" t="s">
        <v>2432</v>
      </c>
      <c r="G183" t="s">
        <v>2448</v>
      </c>
      <c r="H183" s="230">
        <v>0.14088213491475099</v>
      </c>
      <c r="I183" s="230">
        <v>-5.6983240223463502E-2</v>
      </c>
      <c r="J183">
        <v>-0.187859424920127</v>
      </c>
      <c r="K183" s="231">
        <f>+J200-J201</f>
        <v>-0.2396166134185298</v>
      </c>
      <c r="L183">
        <f>+J201</f>
        <v>-9.6805111821086198E-2</v>
      </c>
      <c r="M183" s="232">
        <f>+J202</f>
        <v>0.32012779552715598</v>
      </c>
      <c r="N183">
        <v>-0.34860335195530601</v>
      </c>
      <c r="O183" s="231">
        <f>+N198-N199</f>
        <v>-0.15083798882681498</v>
      </c>
      <c r="P183">
        <f>+N199</f>
        <v>-0.27318435754189901</v>
      </c>
      <c r="Q183" s="232">
        <f>+N200</f>
        <v>0.27988826815642398</v>
      </c>
      <c r="R183" s="231"/>
      <c r="V183" s="232"/>
      <c r="W183" s="231"/>
      <c r="AB183" s="232"/>
      <c r="AC183" t="s">
        <v>2455</v>
      </c>
      <c r="AD183">
        <f t="shared" ref="AD183:AI183" si="23">(VLOOKUP($AD$179&amp;AD$181,$E$182:$AA$192,COLUMN($K$181)-4,FALSE)+VLOOKUP($AD$179&amp;AD$181,$E$182:$AA$192,COLUMN($L$181)-4,FALSE))*$AC$180*$AG$180*C_to_CO2</f>
        <v>-87418.696485623019</v>
      </c>
      <c r="AE183">
        <f t="shared" si="23"/>
        <v>-82406.156549520776</v>
      </c>
      <c r="AF183">
        <f t="shared" si="23"/>
        <v>-14436.115015974412</v>
      </c>
      <c r="AG183">
        <f t="shared" si="23"/>
        <v>15639.124600638877</v>
      </c>
      <c r="AH183">
        <f t="shared" si="23"/>
        <v>10626.584664536607</v>
      </c>
      <c r="AI183">
        <f t="shared" si="23"/>
        <v>10626.584664536607</v>
      </c>
      <c r="AK183">
        <f t="shared" ref="AK183:AP183" si="24">(VLOOKUP($AK$179&amp;AK$181,$E$182:$AA$193,COLUMN($K$181)-4,FALSE)+VLOOKUP($AK$179&amp;AK$181,$E$182:$AA$193,COLUMN($L$181)-4,FALSE))*$AC$180*$AG$180*C_to_CO2</f>
        <v>-70376.060702875271</v>
      </c>
      <c r="AL183">
        <f t="shared" si="24"/>
        <v>-69373.552715654951</v>
      </c>
      <c r="AM183">
        <f t="shared" si="24"/>
        <v>-4411.0351437700365</v>
      </c>
      <c r="AN183">
        <f t="shared" si="24"/>
        <v>30676.744408945775</v>
      </c>
      <c r="AO183">
        <f t="shared" si="24"/>
        <v>29674.236421725247</v>
      </c>
      <c r="AP183">
        <f t="shared" si="24"/>
        <v>26666.712460063867</v>
      </c>
    </row>
    <row r="184" spans="1:42">
      <c r="E184" t="str">
        <f t="shared" si="20"/>
        <v>Current climateTB2</v>
      </c>
      <c r="F184" t="s">
        <v>2431</v>
      </c>
      <c r="G184" t="s">
        <v>2449</v>
      </c>
      <c r="H184" s="230">
        <v>9.98283328781535E-2</v>
      </c>
      <c r="I184" s="230">
        <v>-6.2569832402234501E-2</v>
      </c>
      <c r="J184">
        <v>0.31054313099041497</v>
      </c>
      <c r="K184" s="231">
        <f>+J185-J186</f>
        <v>-0.20127795527156597</v>
      </c>
      <c r="L184">
        <f>+J186</f>
        <v>-0.192651757188498</v>
      </c>
      <c r="M184" s="232">
        <f>+J187</f>
        <v>0.368051118210862</v>
      </c>
      <c r="N184">
        <v>0.27569832402234601</v>
      </c>
      <c r="O184" s="231">
        <f>+N185-N186</f>
        <v>-0.11731843575418999</v>
      </c>
      <c r="P184">
        <f>+N186</f>
        <v>-0.34022346368715001</v>
      </c>
      <c r="Q184" s="232">
        <f>+N187</f>
        <v>0.342737430167597</v>
      </c>
      <c r="R184" s="231">
        <v>76.419437340153394</v>
      </c>
      <c r="S184">
        <v>84.015345268542205</v>
      </c>
      <c r="T184">
        <v>23.248081841432199</v>
      </c>
      <c r="U184">
        <f>+R184-T184</f>
        <v>53.171355498721198</v>
      </c>
      <c r="V184" s="232">
        <f>+S184-R184</f>
        <v>7.5959079283888116</v>
      </c>
      <c r="W184" s="231">
        <v>73.636363636363598</v>
      </c>
      <c r="X184">
        <v>84.921630094043806</v>
      </c>
      <c r="Y184">
        <v>40.909090909090899</v>
      </c>
      <c r="Z184">
        <f>+W184-Y184</f>
        <v>32.727272727272698</v>
      </c>
      <c r="AA184">
        <f>+X184-W184</f>
        <v>11.285266457680208</v>
      </c>
      <c r="AB184" s="232"/>
      <c r="AC184" t="s">
        <v>2456</v>
      </c>
      <c r="AD184">
        <f t="shared" ref="AD184:AI184" si="25">VLOOKUP($AD$179&amp;AD$181,$E$182:$AA$192,COLUMN($M$181)-4,FALSE)*$AC$180*$AG$180*C_to_CO2+AD183</f>
        <v>-22456.178913738113</v>
      </c>
      <c r="AE184">
        <f t="shared" si="25"/>
        <v>-5413.5431309905543</v>
      </c>
      <c r="AF184">
        <f t="shared" si="25"/>
        <v>52731.920127795442</v>
      </c>
      <c r="AG184">
        <f t="shared" si="25"/>
        <v>82807.159744408913</v>
      </c>
      <c r="AH184">
        <f t="shared" si="25"/>
        <v>103859.82747603832</v>
      </c>
      <c r="AI184">
        <f t="shared" si="25"/>
        <v>113884.90734824278</v>
      </c>
      <c r="AK184">
        <f t="shared" ref="AK184:AP184" si="26">VLOOKUP($AK$179&amp;AK$181,$E$182:$AA$193,COLUMN($M$181)-4,FALSE)*$AC$180*$AG$180*C_to_CO2+AK183</f>
        <v>-3408.5271565495204</v>
      </c>
      <c r="AL184">
        <f t="shared" si="26"/>
        <v>8621.5686900957953</v>
      </c>
      <c r="AM184">
        <f t="shared" si="26"/>
        <v>65764.523961661384</v>
      </c>
      <c r="AN184">
        <f t="shared" si="26"/>
        <v>96842.271565495292</v>
      </c>
      <c r="AO184">
        <f t="shared" si="26"/>
        <v>121904.97124600642</v>
      </c>
      <c r="AP184">
        <f t="shared" si="26"/>
        <v>130927.54313099037</v>
      </c>
    </row>
    <row r="185" spans="1:42">
      <c r="E185" t="str">
        <f t="shared" si="20"/>
        <v>A1BTB2</v>
      </c>
      <c r="F185" t="s">
        <v>2432</v>
      </c>
      <c r="G185" t="s">
        <v>2449</v>
      </c>
      <c r="H185" s="230">
        <v>0.17758573602278199</v>
      </c>
      <c r="I185" s="230">
        <v>-6.70391061452513E-3</v>
      </c>
      <c r="J185" s="234">
        <v>-0.39392971246006397</v>
      </c>
      <c r="K185" s="231">
        <f>+J203-J204</f>
        <v>-0.24440894568690091</v>
      </c>
      <c r="L185">
        <f>+J204</f>
        <v>-8.7220447284345096E-2</v>
      </c>
      <c r="M185" s="232">
        <f>+J205</f>
        <v>0.37284345047923301</v>
      </c>
      <c r="N185">
        <v>-0.45754189944133999</v>
      </c>
      <c r="O185" s="231">
        <f>+N201-N202</f>
        <v>-0.15502793296089401</v>
      </c>
      <c r="P185">
        <f>+N202</f>
        <v>-0.27318435754189901</v>
      </c>
      <c r="Q185" s="232">
        <f>+N203</f>
        <v>0.351117318435754</v>
      </c>
      <c r="R185" s="231"/>
      <c r="V185" s="232"/>
      <c r="W185" s="231"/>
      <c r="AB185" s="232"/>
      <c r="AC185" t="s">
        <v>2457</v>
      </c>
    </row>
    <row r="186" spans="1:42">
      <c r="E186" t="str">
        <f t="shared" si="20"/>
        <v>Current climateTB3</v>
      </c>
      <c r="F186" t="s">
        <v>2431</v>
      </c>
      <c r="G186" t="s">
        <v>2450</v>
      </c>
      <c r="H186" s="230">
        <v>0.344302797393777</v>
      </c>
      <c r="I186" s="230">
        <v>9.1061452513966495E-2</v>
      </c>
      <c r="J186">
        <v>-0.192651757188498</v>
      </c>
      <c r="K186" s="231">
        <f>+J188</f>
        <v>-8.2428115015974399E-2</v>
      </c>
      <c r="L186">
        <f>+J189</f>
        <v>1.34185303514378E-2</v>
      </c>
      <c r="M186" s="232">
        <f>+J190-J189</f>
        <v>0.32108626198083018</v>
      </c>
      <c r="N186">
        <v>-0.34022346368715001</v>
      </c>
      <c r="O186" s="231">
        <f>+N188-N189</f>
        <v>-4.1899441340781995E-2</v>
      </c>
      <c r="P186">
        <f>+N189</f>
        <v>-0.172625698324022</v>
      </c>
      <c r="Q186" s="232">
        <f>+N190</f>
        <v>0.30502793296089398</v>
      </c>
      <c r="R186" s="231">
        <v>67.902813299232704</v>
      </c>
      <c r="S186">
        <v>74.117647058823493</v>
      </c>
      <c r="T186">
        <v>23.248081841432199</v>
      </c>
      <c r="U186">
        <f>+R186-T186</f>
        <v>44.654731457800509</v>
      </c>
      <c r="V186" s="232">
        <f>+S186-R186</f>
        <v>6.214833759590789</v>
      </c>
      <c r="W186" s="231">
        <v>68.840125391849497</v>
      </c>
      <c r="X186">
        <v>77.868338557993695</v>
      </c>
      <c r="Y186">
        <v>39.780564263322802</v>
      </c>
      <c r="Z186">
        <f>+W186-Y186</f>
        <v>29.059561128526695</v>
      </c>
      <c r="AA186">
        <f>+X186-W186</f>
        <v>9.028213166144198</v>
      </c>
      <c r="AB186" s="232"/>
      <c r="AC186" t="s">
        <v>2458</v>
      </c>
      <c r="AD186">
        <f>VLOOKUP($AD$179&amp;AD$181,$E$182:$AA$192,COLUMN($S$181)-4,FALSE)+AD185</f>
        <v>82.634271099744197</v>
      </c>
      <c r="AE186">
        <f t="shared" ref="AE186:AI186" si="27">VLOOKUP($AD$179&amp;AE$181,$E$182:$AA$192,COLUMN($S$181)-4,FALSE)+AE185</f>
        <v>84.015345268542205</v>
      </c>
      <c r="AF186">
        <f t="shared" si="27"/>
        <v>74.117647058823493</v>
      </c>
      <c r="AG186">
        <f t="shared" si="27"/>
        <v>70.434782608695599</v>
      </c>
      <c r="AH186">
        <f t="shared" si="27"/>
        <v>64.910485933503793</v>
      </c>
      <c r="AI186">
        <f t="shared" si="27"/>
        <v>71.585677749360599</v>
      </c>
    </row>
    <row r="187" spans="1:42">
      <c r="E187" t="str">
        <f t="shared" si="20"/>
        <v>A1BTB3</v>
      </c>
      <c r="F187" t="s">
        <v>2432</v>
      </c>
      <c r="G187" t="s">
        <v>2450</v>
      </c>
      <c r="H187" s="230">
        <v>0.42202606219031202</v>
      </c>
      <c r="I187" s="230">
        <v>0.14972067039106099</v>
      </c>
      <c r="J187">
        <v>0.368051118210862</v>
      </c>
      <c r="K187" s="231">
        <f>+J206</f>
        <v>-0.13035143769968</v>
      </c>
      <c r="L187">
        <f>+J207</f>
        <v>0.109265175718849</v>
      </c>
      <c r="M187" s="232">
        <f>+J208-J207</f>
        <v>0.33546325878594296</v>
      </c>
      <c r="N187">
        <v>0.342737430167597</v>
      </c>
      <c r="O187" s="231">
        <f>+N204-N205</f>
        <v>-7.1229050279329201E-2</v>
      </c>
      <c r="P187">
        <f>+N205</f>
        <v>-8.4636871508379799E-2</v>
      </c>
      <c r="Q187" s="232">
        <f>+N206</f>
        <v>0.309217877094972</v>
      </c>
      <c r="R187" s="231"/>
      <c r="V187" s="232"/>
      <c r="W187" s="231"/>
      <c r="AB187" s="232"/>
    </row>
    <row r="188" spans="1:42">
      <c r="E188" t="str">
        <f t="shared" si="20"/>
        <v>Current climateTA4</v>
      </c>
      <c r="F188" t="s">
        <v>2431</v>
      </c>
      <c r="G188" t="s">
        <v>2451</v>
      </c>
      <c r="H188" s="230">
        <v>0.50562599976590294</v>
      </c>
      <c r="I188" s="230">
        <v>0.267039106145251</v>
      </c>
      <c r="J188" s="234">
        <v>-8.2428115015974399E-2</v>
      </c>
      <c r="K188" s="231">
        <f>+J191</f>
        <v>-6.3258785942491999E-2</v>
      </c>
      <c r="L188">
        <f>+J192</f>
        <v>0.13801916932907299</v>
      </c>
      <c r="M188" s="232">
        <f>+J193-J192</f>
        <v>0.32108626198083101</v>
      </c>
      <c r="N188">
        <v>-0.21452513966480399</v>
      </c>
      <c r="O188" s="231">
        <v>0</v>
      </c>
      <c r="P188">
        <f>+N191</f>
        <v>-3.0167597765363E-2</v>
      </c>
      <c r="Q188" s="232">
        <f>+N192</f>
        <v>0.29245810055865901</v>
      </c>
      <c r="R188" s="231">
        <v>64.910485933503793</v>
      </c>
      <c r="S188">
        <v>70.434782608695599</v>
      </c>
      <c r="T188">
        <v>23.248081841432199</v>
      </c>
      <c r="U188">
        <f>+R188-T188</f>
        <v>41.662404092071597</v>
      </c>
      <c r="V188" s="232">
        <f>+S188-R188</f>
        <v>5.5242966751918061</v>
      </c>
      <c r="W188" s="231">
        <v>63.479623824451402</v>
      </c>
      <c r="X188">
        <v>70.532915360501505</v>
      </c>
      <c r="Y188">
        <v>37.523510971786799</v>
      </c>
      <c r="Z188">
        <f>+W188-Y188</f>
        <v>25.956112852664603</v>
      </c>
      <c r="AA188">
        <f>+X188-W188</f>
        <v>7.0532915360501036</v>
      </c>
      <c r="AB188" s="232"/>
      <c r="AD188" s="235" t="s">
        <v>2459</v>
      </c>
      <c r="AF188" t="s">
        <v>2435</v>
      </c>
      <c r="AG188">
        <v>1117</v>
      </c>
      <c r="AK188" t="s">
        <v>2459</v>
      </c>
      <c r="AM188" t="s">
        <v>2435</v>
      </c>
      <c r="AN188">
        <v>1117</v>
      </c>
    </row>
    <row r="189" spans="1:42">
      <c r="E189" t="str">
        <f t="shared" si="20"/>
        <v>A1BTA4</v>
      </c>
      <c r="F189" t="s">
        <v>2432</v>
      </c>
      <c r="G189" t="s">
        <v>2451</v>
      </c>
      <c r="H189" s="230">
        <v>0.60002340915297303</v>
      </c>
      <c r="I189" s="230">
        <v>0.339664804469273</v>
      </c>
      <c r="J189">
        <v>1.34185303514378E-2</v>
      </c>
      <c r="K189" s="231">
        <f>+J209</f>
        <v>-0.106389776357827</v>
      </c>
      <c r="L189">
        <f>+J210</f>
        <v>0.253035143769968</v>
      </c>
      <c r="M189" s="232">
        <f>+J211-J210</f>
        <v>0.31629392971246001</v>
      </c>
      <c r="N189">
        <v>-0.172625698324022</v>
      </c>
      <c r="O189" s="231">
        <f>+N207</f>
        <v>-3.4357541899440999E-2</v>
      </c>
      <c r="P189">
        <f>+N208</f>
        <v>7.4581005586592294E-2</v>
      </c>
      <c r="Q189" s="232">
        <f>+N209-N208</f>
        <v>0.29748603351955272</v>
      </c>
      <c r="R189" s="231"/>
      <c r="V189" s="232"/>
      <c r="W189" s="231"/>
      <c r="AB189" s="232"/>
      <c r="AC189" t="s">
        <v>2311</v>
      </c>
      <c r="AD189">
        <f t="shared" ref="AD189:AI189" si="28">VLOOKUP($AD$179&amp;AD$181,$E$182:$AA$192,5,FALSE)*$AC$180*$AG$188*C_to_CO2</f>
        <v>-27756.76357541895</v>
      </c>
      <c r="AE189">
        <f t="shared" si="28"/>
        <v>-15389.888715083767</v>
      </c>
      <c r="AF189">
        <f t="shared" si="28"/>
        <v>22397.784469273742</v>
      </c>
      <c r="AG189">
        <f t="shared" si="28"/>
        <v>65681.846480446824</v>
      </c>
      <c r="AH189">
        <f t="shared" si="28"/>
        <v>79079.294245810015</v>
      </c>
      <c r="AI189">
        <f t="shared" si="28"/>
        <v>84232.158770949667</v>
      </c>
      <c r="AK189">
        <f t="shared" ref="AK189:AP189" si="29">VLOOKUP($AK$179&amp;AK$181,$E$182:$AA$193,5,FALSE)*$AC$180*$AG$188*C_to_CO2</f>
        <v>-14015.791508379843</v>
      </c>
      <c r="AL189">
        <f t="shared" si="29"/>
        <v>-1648.9166480446902</v>
      </c>
      <c r="AM189">
        <f t="shared" si="29"/>
        <v>36825.805139664684</v>
      </c>
      <c r="AN189">
        <f t="shared" si="29"/>
        <v>83545.110167597581</v>
      </c>
      <c r="AO189">
        <f t="shared" si="29"/>
        <v>88354.450391061444</v>
      </c>
      <c r="AP189">
        <f t="shared" si="29"/>
        <v>96599.033631284721</v>
      </c>
    </row>
    <row r="190" spans="1:42">
      <c r="E190" t="str">
        <f t="shared" si="20"/>
        <v>Current climateTA5</v>
      </c>
      <c r="F190" t="s">
        <v>2431</v>
      </c>
      <c r="G190" t="s">
        <v>2452</v>
      </c>
      <c r="H190" s="230">
        <v>0.57556084429011101</v>
      </c>
      <c r="I190" s="230">
        <v>0.32150837988826803</v>
      </c>
      <c r="J190">
        <v>0.33450479233226799</v>
      </c>
      <c r="K190" s="231">
        <f>+J194</f>
        <v>-7.2843450479233199E-2</v>
      </c>
      <c r="L190">
        <f>+J195</f>
        <v>0.12364217252396099</v>
      </c>
      <c r="M190" s="232">
        <f>+J196-J195</f>
        <v>0.44568690095846702</v>
      </c>
      <c r="N190">
        <v>0.30502793296089398</v>
      </c>
      <c r="O190" s="231">
        <v>0</v>
      </c>
      <c r="P190">
        <f>+N193</f>
        <v>-1.7597765363128199E-2</v>
      </c>
      <c r="Q190" s="232">
        <f>+N194</f>
        <v>0.33854748603351897</v>
      </c>
      <c r="R190" s="231"/>
      <c r="S190">
        <v>64.910485933503793</v>
      </c>
      <c r="T190">
        <v>23.248081841432199</v>
      </c>
      <c r="U190">
        <v>0</v>
      </c>
      <c r="V190" s="232">
        <f>+S190-T190</f>
        <v>41.662404092071597</v>
      </c>
      <c r="W190" s="231"/>
      <c r="X190">
        <v>71.379310344827502</v>
      </c>
      <c r="Y190">
        <v>40.626959247648898</v>
      </c>
      <c r="Z190">
        <v>0</v>
      </c>
      <c r="AA190">
        <f>+X190-Y190</f>
        <v>30.752351097178604</v>
      </c>
      <c r="AB190" s="232"/>
      <c r="AC190" t="s">
        <v>2460</v>
      </c>
      <c r="AD190" s="143">
        <f t="shared" ref="AD190:AI190" si="30">(VLOOKUP($AD$179&amp;AD$181,$E$182:$AA$192,COLUMN($O$181)-4,FALSE)+VLOOKUP($AD$179&amp;AD$181,$E$182:$AA$192,COLUMN($P$181)-4,FALSE))*$AC$180*$AG$188*C_to_CO2</f>
        <v>-114599.70703910608</v>
      </c>
      <c r="AE190">
        <f t="shared" si="30"/>
        <v>-112538.56122905009</v>
      </c>
      <c r="AF190">
        <f t="shared" si="30"/>
        <v>-52765.33273743005</v>
      </c>
      <c r="AG190" s="143">
        <f t="shared" si="30"/>
        <v>-7420.1249162010854</v>
      </c>
      <c r="AH190">
        <f t="shared" si="30"/>
        <v>-4328.4062011172464</v>
      </c>
      <c r="AI190">
        <f t="shared" si="30"/>
        <v>-5358.9791061452015</v>
      </c>
      <c r="AK190">
        <f t="shared" ref="AK190:AP190" si="31">(VLOOKUP($AK$179&amp;AK$181,$E$182:$AA$193,COLUMN($O$181)-4,FALSE)+VLOOKUP($AK$179&amp;AK$181,$E$182:$AA$193,COLUMN($P$181)-4,FALSE))*$AC$180*$AG$188*C_to_CO2</f>
        <v>-104293.97798882655</v>
      </c>
      <c r="AL190">
        <f t="shared" si="31"/>
        <v>-105324.55089385468</v>
      </c>
      <c r="AM190">
        <f t="shared" si="31"/>
        <v>-38337.312067038984</v>
      </c>
      <c r="AN190">
        <f t="shared" si="31"/>
        <v>9893.4998882682703</v>
      </c>
      <c r="AO190">
        <f t="shared" si="31"/>
        <v>12985.218603352034</v>
      </c>
      <c r="AP190">
        <f t="shared" si="31"/>
        <v>14015.791508379965</v>
      </c>
    </row>
    <row r="191" spans="1:42">
      <c r="E191" t="str">
        <f t="shared" si="20"/>
        <v>A1BTA5</v>
      </c>
      <c r="F191" t="s">
        <v>2432</v>
      </c>
      <c r="G191" t="s">
        <v>2452</v>
      </c>
      <c r="H191" s="230">
        <v>0.68937809683585605</v>
      </c>
      <c r="I191" s="230">
        <v>0.35921787709497199</v>
      </c>
      <c r="J191" s="234">
        <v>-6.3258785942491999E-2</v>
      </c>
      <c r="K191" s="231">
        <f>+J212</f>
        <v>-0.120766773162939</v>
      </c>
      <c r="L191">
        <f>+J213</f>
        <v>0.262619808306709</v>
      </c>
      <c r="M191" s="232">
        <f>+J214-J213</f>
        <v>0.44089456869009597</v>
      </c>
      <c r="N191">
        <v>-3.0167597765363E-2</v>
      </c>
      <c r="O191" s="231">
        <f>+N210</f>
        <v>-3.0167597765363E-2</v>
      </c>
      <c r="P191">
        <f>+N211</f>
        <v>8.2960893854748793E-2</v>
      </c>
      <c r="Q191" s="232">
        <f>+N212-N211</f>
        <v>0.35195530726256918</v>
      </c>
      <c r="R191" s="231"/>
      <c r="V191" s="232"/>
      <c r="W191" s="231"/>
      <c r="AB191" s="232"/>
      <c r="AC191" t="s">
        <v>2461</v>
      </c>
      <c r="AD191">
        <f t="shared" ref="AD191:AI191" si="32">VLOOKUP($AD$179&amp;AD$181,$E$182:$AA$192,COLUMN($Q$181)-4,FALSE)*$AC$180*$AG$188*C_to_CO2+AD190</f>
        <v>-46788.009888268192</v>
      </c>
      <c r="AE191">
        <f t="shared" si="32"/>
        <v>-28237.697597765364</v>
      </c>
      <c r="AF191">
        <f t="shared" si="32"/>
        <v>22260.374748603492</v>
      </c>
      <c r="AG191">
        <f t="shared" si="32"/>
        <v>64513.863854748583</v>
      </c>
      <c r="AH191">
        <f t="shared" si="32"/>
        <v>78941.884525139583</v>
      </c>
      <c r="AI191">
        <f t="shared" si="32"/>
        <v>87186.467765363064</v>
      </c>
      <c r="AK191">
        <f t="shared" ref="AK191:AP191" si="33">VLOOKUP($AK$179&amp;AK$181,$E$182:$AA$193,COLUMN($Q$181)-4,FALSE)*$AC$180*$AG$188*C_to_CO2+AK190</f>
        <v>-35451.70793296078</v>
      </c>
      <c r="AL191">
        <f t="shared" si="33"/>
        <v>-18962.541452513949</v>
      </c>
      <c r="AM191">
        <f t="shared" si="33"/>
        <v>37718.968324022448</v>
      </c>
      <c r="AN191">
        <f t="shared" si="33"/>
        <v>83064.176145251418</v>
      </c>
      <c r="AO191">
        <f t="shared" si="33"/>
        <v>99553.342625698249</v>
      </c>
      <c r="AP191">
        <f t="shared" si="33"/>
        <v>105736.78005586576</v>
      </c>
    </row>
    <row r="192" spans="1:42">
      <c r="E192" t="str">
        <f t="shared" si="20"/>
        <v>Current climateTA6</v>
      </c>
      <c r="F192" t="s">
        <v>2431</v>
      </c>
      <c r="G192" t="s">
        <v>2453</v>
      </c>
      <c r="H192" s="230">
        <v>0.61226444539814295</v>
      </c>
      <c r="I192" s="230">
        <v>0.342458100558659</v>
      </c>
      <c r="J192">
        <v>0.13801916932907299</v>
      </c>
      <c r="K192" s="231">
        <f>+J197</f>
        <v>-9.6805111821086198E-2</v>
      </c>
      <c r="L192">
        <f>+J198</f>
        <v>0.14760383386581399</v>
      </c>
      <c r="M192" s="232">
        <f>+J199-J198</f>
        <v>0.493610223642173</v>
      </c>
      <c r="N192">
        <v>0.29245810055865901</v>
      </c>
      <c r="O192" s="231">
        <f>+N195-N196</f>
        <v>-1.256983240223449E-2</v>
      </c>
      <c r="P192">
        <f>+N196</f>
        <v>-9.2178770949720105E-3</v>
      </c>
      <c r="Q192" s="232">
        <f>+N197</f>
        <v>0.376256983240223</v>
      </c>
      <c r="R192" s="231"/>
      <c r="S192">
        <v>71.585677749360599</v>
      </c>
      <c r="T192">
        <v>23.248081841432199</v>
      </c>
      <c r="U192">
        <v>0</v>
      </c>
      <c r="V192" s="232">
        <f>+S192-T192</f>
        <v>48.337595907928403</v>
      </c>
      <c r="W192" s="231"/>
      <c r="X192">
        <v>77.586206896551701</v>
      </c>
      <c r="Y192">
        <v>40.626959247648898</v>
      </c>
      <c r="Z192">
        <v>0</v>
      </c>
      <c r="AA192">
        <f>+X192-Y192</f>
        <v>36.959247648902803</v>
      </c>
      <c r="AB192" s="232"/>
      <c r="AC192" t="s">
        <v>2457</v>
      </c>
    </row>
    <row r="193" spans="5:35">
      <c r="E193" t="str">
        <f t="shared" si="20"/>
        <v>A1BTA6</v>
      </c>
      <c r="F193" t="s">
        <v>2432</v>
      </c>
      <c r="G193" t="s">
        <v>2453</v>
      </c>
      <c r="H193" s="236">
        <v>0.70667160859895395</v>
      </c>
      <c r="I193" s="236">
        <v>0.39273743016759699</v>
      </c>
      <c r="J193">
        <v>0.459105431309904</v>
      </c>
      <c r="K193" s="237">
        <f>+J215</f>
        <v>-0.13035143769968</v>
      </c>
      <c r="L193" s="238">
        <f>+J216</f>
        <v>0.257827476038338</v>
      </c>
      <c r="M193" s="239">
        <f>+J217-J216</f>
        <v>0.49840255591054305</v>
      </c>
      <c r="N193">
        <v>-1.7597765363128199E-2</v>
      </c>
      <c r="O193" s="237">
        <f>+N213</f>
        <v>-3.4357541899440999E-2</v>
      </c>
      <c r="P193" s="238">
        <f>+N214</f>
        <v>9.1340782122905001E-2</v>
      </c>
      <c r="Q193" s="239">
        <f>+N215-N214</f>
        <v>0.37290502793295999</v>
      </c>
      <c r="R193" s="237"/>
      <c r="S193" s="238"/>
      <c r="T193" s="238"/>
      <c r="U193" s="238"/>
      <c r="V193" s="239"/>
      <c r="W193" s="237"/>
      <c r="X193" s="238"/>
      <c r="Y193" s="238"/>
      <c r="Z193" s="238"/>
      <c r="AA193" s="238"/>
      <c r="AB193" s="239"/>
      <c r="AC193" t="s">
        <v>2462</v>
      </c>
      <c r="AD193">
        <f>VLOOKUP($AD$179&amp;AD$181,$E$182:$AA$192,COLUMN($X$181)-4,FALSE)+AD192</f>
        <v>82.946708463949804</v>
      </c>
      <c r="AE193">
        <f t="shared" ref="AE193:AI193" si="34">VLOOKUP($AD$179&amp;AE$181,$E$182:$AA$192,COLUMN($X$181)-4,FALSE)+AE192</f>
        <v>84.921630094043806</v>
      </c>
      <c r="AF193">
        <f t="shared" si="34"/>
        <v>77.868338557993695</v>
      </c>
      <c r="AG193">
        <f t="shared" si="34"/>
        <v>70.532915360501505</v>
      </c>
      <c r="AH193">
        <f t="shared" si="34"/>
        <v>71.379310344827502</v>
      </c>
      <c r="AI193">
        <f t="shared" si="34"/>
        <v>77.586206896551701</v>
      </c>
    </row>
    <row r="194" spans="5:35">
      <c r="J194" s="234">
        <v>-7.2843450479233199E-2</v>
      </c>
      <c r="N194">
        <v>0.33854748603351897</v>
      </c>
    </row>
    <row r="195" spans="5:35">
      <c r="J195">
        <v>0.12364217252396099</v>
      </c>
      <c r="N195">
        <v>-2.1787709497206501E-2</v>
      </c>
    </row>
    <row r="196" spans="5:35">
      <c r="J196">
        <v>0.56932907348242801</v>
      </c>
      <c r="N196">
        <v>-9.2178770949720105E-3</v>
      </c>
    </row>
    <row r="197" spans="5:35">
      <c r="J197" s="234">
        <v>-9.6805111821086198E-2</v>
      </c>
      <c r="N197">
        <v>0.376256983240223</v>
      </c>
    </row>
    <row r="198" spans="5:35">
      <c r="J198">
        <v>0.14760383386581399</v>
      </c>
      <c r="N198">
        <v>-0.424022346368714</v>
      </c>
    </row>
    <row r="199" spans="5:35">
      <c r="J199">
        <v>0.64121405750798699</v>
      </c>
      <c r="N199">
        <v>-0.27318435754189901</v>
      </c>
    </row>
    <row r="200" spans="5:35">
      <c r="J200">
        <v>-0.336421725239616</v>
      </c>
      <c r="N200">
        <v>0.27988826815642398</v>
      </c>
    </row>
    <row r="201" spans="5:35">
      <c r="J201">
        <v>-9.6805111821086198E-2</v>
      </c>
      <c r="N201">
        <v>-0.42821229050279302</v>
      </c>
    </row>
    <row r="202" spans="5:35">
      <c r="J202">
        <v>0.32012779552715598</v>
      </c>
      <c r="N202">
        <v>-0.27318435754189901</v>
      </c>
    </row>
    <row r="203" spans="5:35">
      <c r="J203">
        <v>-0.331629392971246</v>
      </c>
      <c r="N203">
        <v>0.351117318435754</v>
      </c>
    </row>
    <row r="204" spans="5:35">
      <c r="J204">
        <v>-8.7220447284345096E-2</v>
      </c>
      <c r="N204">
        <v>-0.155865921787709</v>
      </c>
    </row>
    <row r="205" spans="5:35">
      <c r="J205">
        <v>0.37284345047923301</v>
      </c>
      <c r="N205">
        <v>-8.4636871508379799E-2</v>
      </c>
    </row>
    <row r="206" spans="5:35">
      <c r="J206">
        <v>-0.13035143769968</v>
      </c>
      <c r="N206">
        <v>0.309217877094972</v>
      </c>
    </row>
    <row r="207" spans="5:35">
      <c r="J207">
        <v>0.109265175718849</v>
      </c>
      <c r="N207">
        <v>-3.4357541899440999E-2</v>
      </c>
    </row>
    <row r="208" spans="5:35">
      <c r="J208">
        <v>0.44472843450479199</v>
      </c>
      <c r="N208">
        <v>7.4581005586592294E-2</v>
      </c>
    </row>
    <row r="209" spans="1:16">
      <c r="J209">
        <v>-0.106389776357827</v>
      </c>
      <c r="N209">
        <v>0.37206703910614503</v>
      </c>
    </row>
    <row r="210" spans="1:16">
      <c r="J210">
        <v>0.253035143769968</v>
      </c>
      <c r="N210">
        <v>-3.0167597765363E-2</v>
      </c>
    </row>
    <row r="211" spans="1:16">
      <c r="J211">
        <v>0.56932907348242801</v>
      </c>
      <c r="N211">
        <v>8.2960893854748793E-2</v>
      </c>
    </row>
    <row r="212" spans="1:16">
      <c r="J212">
        <v>-0.120766773162939</v>
      </c>
      <c r="N212">
        <v>0.43491620111731799</v>
      </c>
    </row>
    <row r="213" spans="1:16">
      <c r="J213">
        <v>0.262619808306709</v>
      </c>
      <c r="N213">
        <v>-3.4357541899440999E-2</v>
      </c>
    </row>
    <row r="214" spans="1:16">
      <c r="J214">
        <v>0.70351437699680497</v>
      </c>
      <c r="N214">
        <v>9.1340782122905001E-2</v>
      </c>
    </row>
    <row r="215" spans="1:16">
      <c r="J215">
        <v>-0.13035143769968</v>
      </c>
      <c r="N215">
        <v>0.46424581005586502</v>
      </c>
    </row>
    <row r="216" spans="1:16">
      <c r="J216">
        <v>0.257827476038338</v>
      </c>
    </row>
    <row r="217" spans="1:16">
      <c r="J217">
        <v>0.75623003194888105</v>
      </c>
    </row>
    <row r="219" spans="1:16">
      <c r="A219" t="s">
        <v>2463</v>
      </c>
    </row>
    <row r="220" spans="1:16">
      <c r="I220" t="s">
        <v>2464</v>
      </c>
    </row>
    <row r="221" spans="1:16">
      <c r="J221" t="s">
        <v>2393</v>
      </c>
      <c r="K221" t="s">
        <v>2304</v>
      </c>
      <c r="L221" t="s">
        <v>2390</v>
      </c>
      <c r="M221" t="s">
        <v>2465</v>
      </c>
      <c r="N221" t="s">
        <v>2466</v>
      </c>
      <c r="O221" t="s">
        <v>2467</v>
      </c>
      <c r="P221" t="s">
        <v>2468</v>
      </c>
    </row>
    <row r="222" spans="1:16">
      <c r="I222" t="s">
        <v>2469</v>
      </c>
      <c r="J222">
        <v>2050</v>
      </c>
      <c r="K222">
        <v>2.93861691668666</v>
      </c>
      <c r="L222">
        <v>3.28547008547008</v>
      </c>
      <c r="M222">
        <v>-1.0446735395189</v>
      </c>
      <c r="N222">
        <v>-3.34102141680395</v>
      </c>
      <c r="O222">
        <f t="shared" ref="O222:O229" si="35">-M222*$M$231-N222*$N$231</f>
        <v>3.6025765836149812</v>
      </c>
    </row>
    <row r="223" spans="1:16">
      <c r="I223" t="s">
        <v>2470</v>
      </c>
      <c r="J223">
        <v>2050</v>
      </c>
      <c r="K223">
        <v>2.93861691668666</v>
      </c>
      <c r="L223">
        <v>6.82735042735042</v>
      </c>
      <c r="M223">
        <v>-6.0721649484536098</v>
      </c>
      <c r="N223">
        <v>0</v>
      </c>
      <c r="O223">
        <f t="shared" si="35"/>
        <v>5.4042268041237129</v>
      </c>
    </row>
    <row r="224" spans="1:16">
      <c r="I224" t="s">
        <v>2471</v>
      </c>
      <c r="J224">
        <v>2050</v>
      </c>
      <c r="K224">
        <v>-4.6286109425494901</v>
      </c>
      <c r="L224">
        <v>-3.3196581196581101</v>
      </c>
      <c r="M224">
        <v>1.0532646048109899</v>
      </c>
      <c r="N224">
        <v>3.3937397034596302</v>
      </c>
      <c r="O224">
        <f t="shared" si="35"/>
        <v>-3.6523972610494857</v>
      </c>
    </row>
    <row r="225" spans="9:18">
      <c r="I225" t="s">
        <v>2472</v>
      </c>
      <c r="J225">
        <v>2050</v>
      </c>
      <c r="K225">
        <v>-4.7403037872266296</v>
      </c>
      <c r="L225">
        <v>7.3059829059828996</v>
      </c>
      <c r="M225">
        <v>-6.5068728522336698</v>
      </c>
      <c r="N225">
        <v>0</v>
      </c>
      <c r="O225">
        <f t="shared" si="35"/>
        <v>5.7911168384879659</v>
      </c>
    </row>
    <row r="226" spans="9:18">
      <c r="I226" t="s">
        <v>1288</v>
      </c>
      <c r="J226">
        <v>2050</v>
      </c>
      <c r="K226">
        <v>-1.4453648692510599</v>
      </c>
      <c r="L226">
        <v>0</v>
      </c>
      <c r="M226">
        <v>0</v>
      </c>
      <c r="N226">
        <v>0</v>
      </c>
      <c r="O226">
        <f t="shared" si="35"/>
        <v>0</v>
      </c>
    </row>
    <row r="227" spans="9:18">
      <c r="I227" t="s">
        <v>1281</v>
      </c>
      <c r="J227">
        <v>2050</v>
      </c>
      <c r="K227">
        <v>-10.1853675975971</v>
      </c>
      <c r="L227">
        <v>3.11794871794871</v>
      </c>
      <c r="M227">
        <v>-4.6924398625429502</v>
      </c>
      <c r="N227">
        <v>3.3937397034596302</v>
      </c>
      <c r="O227">
        <f t="shared" si="35"/>
        <v>1.4612797148955217</v>
      </c>
    </row>
    <row r="228" spans="9:18">
      <c r="I228" t="s">
        <v>2473</v>
      </c>
      <c r="J228">
        <v>2050</v>
      </c>
      <c r="K228">
        <v>0</v>
      </c>
      <c r="L228">
        <v>0.70085470085469903</v>
      </c>
      <c r="M228">
        <v>-5.5807560137456997</v>
      </c>
      <c r="N228">
        <v>0</v>
      </c>
      <c r="O228">
        <f t="shared" si="35"/>
        <v>4.9668728522336725</v>
      </c>
    </row>
    <row r="229" spans="9:18">
      <c r="I229" t="s">
        <v>1271</v>
      </c>
      <c r="J229">
        <v>2050</v>
      </c>
      <c r="K229">
        <v>0</v>
      </c>
      <c r="L229">
        <v>-4.3247863247863201</v>
      </c>
      <c r="M229">
        <v>0</v>
      </c>
      <c r="N229">
        <v>-4.9785831960461202</v>
      </c>
      <c r="O229">
        <f t="shared" si="35"/>
        <v>3.9828665568368962</v>
      </c>
    </row>
    <row r="231" spans="9:18">
      <c r="I231" t="s">
        <v>2474</v>
      </c>
      <c r="M231">
        <v>0.89</v>
      </c>
      <c r="N231">
        <v>0.8</v>
      </c>
    </row>
    <row r="233" spans="9:18">
      <c r="R233" t="s">
        <v>2475</v>
      </c>
    </row>
    <row r="234" spans="9:18">
      <c r="I234" t="s">
        <v>2476</v>
      </c>
      <c r="P234" t="s">
        <v>2477</v>
      </c>
      <c r="Q234" t="s">
        <v>2478</v>
      </c>
    </row>
    <row r="235" spans="9:18">
      <c r="I235" t="s">
        <v>1003</v>
      </c>
      <c r="J235" t="s">
        <v>2469</v>
      </c>
      <c r="K235">
        <f>K222</f>
        <v>2.93861691668666</v>
      </c>
      <c r="L235">
        <f t="shared" ref="L235:O235" si="36">L222</f>
        <v>3.28547008547008</v>
      </c>
      <c r="M235">
        <f t="shared" si="36"/>
        <v>-1.0446735395189</v>
      </c>
      <c r="N235">
        <f t="shared" si="36"/>
        <v>-3.34102141680395</v>
      </c>
      <c r="O235">
        <f t="shared" si="36"/>
        <v>3.6025765836149812</v>
      </c>
      <c r="P235" s="152">
        <v>-66.252507530000003</v>
      </c>
      <c r="Q235" s="152">
        <f t="shared" ref="Q235:Q242" si="37">P235+SUM(K235:N235)</f>
        <v>-64.414115484166118</v>
      </c>
      <c r="R235">
        <f t="shared" ref="R235:R242" si="38">SUM(K235:L235)</f>
        <v>6.2240870021567396</v>
      </c>
    </row>
    <row r="236" spans="9:18">
      <c r="I236" t="s">
        <v>2470</v>
      </c>
      <c r="J236" t="s">
        <v>2469</v>
      </c>
      <c r="K236">
        <f>K222-K223</f>
        <v>0</v>
      </c>
      <c r="L236">
        <f t="shared" ref="L236:O236" si="39">L222-L223</f>
        <v>-3.54188034188034</v>
      </c>
      <c r="M236">
        <f t="shared" si="39"/>
        <v>5.0274914089347096</v>
      </c>
      <c r="N236">
        <f t="shared" si="39"/>
        <v>-3.34102141680395</v>
      </c>
      <c r="O236">
        <f t="shared" si="39"/>
        <v>-1.8016502205087317</v>
      </c>
      <c r="P236" s="152">
        <f>P235+SUM(K223:N223)</f>
        <v>-62.558705134416535</v>
      </c>
      <c r="Q236" s="152">
        <f t="shared" si="37"/>
        <v>-64.414115484166118</v>
      </c>
      <c r="R236">
        <f t="shared" si="38"/>
        <v>-3.54188034188034</v>
      </c>
    </row>
    <row r="237" spans="9:18">
      <c r="I237" t="s">
        <v>2471</v>
      </c>
      <c r="J237" t="s">
        <v>1003</v>
      </c>
      <c r="K237">
        <f>-K224</f>
        <v>4.6286109425494901</v>
      </c>
      <c r="L237">
        <f t="shared" ref="L237:O237" si="40">-L224</f>
        <v>3.3196581196581101</v>
      </c>
      <c r="M237">
        <f t="shared" si="40"/>
        <v>-1.0532646048109899</v>
      </c>
      <c r="N237">
        <f t="shared" si="40"/>
        <v>-3.3937397034596302</v>
      </c>
      <c r="O237">
        <f t="shared" si="40"/>
        <v>3.6523972610494857</v>
      </c>
      <c r="P237" s="152">
        <f>Q237+SUM(K237:N237)</f>
        <v>-62.751242776063023</v>
      </c>
      <c r="Q237" s="152">
        <v>-66.252507530000003</v>
      </c>
      <c r="R237">
        <f t="shared" si="38"/>
        <v>7.9482690622076007</v>
      </c>
    </row>
    <row r="238" spans="9:18">
      <c r="I238" t="s">
        <v>1003</v>
      </c>
      <c r="J238" t="s">
        <v>2472</v>
      </c>
      <c r="K238">
        <f t="shared" ref="K238:O240" si="41">K225</f>
        <v>-4.7403037872266296</v>
      </c>
      <c r="L238">
        <f t="shared" si="41"/>
        <v>7.3059829059828996</v>
      </c>
      <c r="M238">
        <f t="shared" si="41"/>
        <v>-6.5068728522336698</v>
      </c>
      <c r="N238">
        <f t="shared" si="41"/>
        <v>0</v>
      </c>
      <c r="O238">
        <f t="shared" si="41"/>
        <v>5.7911168384879659</v>
      </c>
      <c r="P238" s="152">
        <v>-66.252507530000003</v>
      </c>
      <c r="Q238" s="152">
        <f t="shared" si="37"/>
        <v>-70.193701263477408</v>
      </c>
      <c r="R238">
        <f t="shared" si="38"/>
        <v>2.56567911875627</v>
      </c>
    </row>
    <row r="239" spans="9:18">
      <c r="I239" t="s">
        <v>1003</v>
      </c>
      <c r="J239" t="s">
        <v>1288</v>
      </c>
      <c r="K239">
        <f t="shared" si="41"/>
        <v>-1.4453648692510599</v>
      </c>
      <c r="L239">
        <f t="shared" si="41"/>
        <v>0</v>
      </c>
      <c r="M239">
        <f t="shared" si="41"/>
        <v>0</v>
      </c>
      <c r="N239">
        <f t="shared" si="41"/>
        <v>0</v>
      </c>
      <c r="O239">
        <f t="shared" si="41"/>
        <v>0</v>
      </c>
      <c r="P239" s="152">
        <v>-66.252507530000003</v>
      </c>
      <c r="Q239" s="152">
        <f t="shared" si="37"/>
        <v>-67.697872399251068</v>
      </c>
      <c r="R239">
        <f t="shared" si="38"/>
        <v>-1.4453648692510599</v>
      </c>
    </row>
    <row r="240" spans="9:18">
      <c r="I240" t="s">
        <v>1003</v>
      </c>
      <c r="J240" t="s">
        <v>1281</v>
      </c>
      <c r="K240">
        <f t="shared" si="41"/>
        <v>-10.1853675975971</v>
      </c>
      <c r="L240">
        <f t="shared" si="41"/>
        <v>3.11794871794871</v>
      </c>
      <c r="M240">
        <f t="shared" si="41"/>
        <v>-4.6924398625429502</v>
      </c>
      <c r="N240">
        <f t="shared" si="41"/>
        <v>3.3937397034596302</v>
      </c>
      <c r="O240">
        <f t="shared" si="41"/>
        <v>1.4612797148955217</v>
      </c>
      <c r="P240" s="152">
        <v>-66.252507530000003</v>
      </c>
      <c r="Q240" s="152">
        <f t="shared" si="37"/>
        <v>-74.618626568731713</v>
      </c>
      <c r="R240">
        <f t="shared" si="38"/>
        <v>-7.0674188796483897</v>
      </c>
    </row>
    <row r="241" spans="1:18">
      <c r="I241" t="s">
        <v>2473</v>
      </c>
      <c r="J241" t="s">
        <v>1003</v>
      </c>
      <c r="K241">
        <f>-K228</f>
        <v>0</v>
      </c>
      <c r="L241">
        <f t="shared" ref="L241:O241" si="42">-L228</f>
        <v>-0.70085470085469903</v>
      </c>
      <c r="M241">
        <f t="shared" si="42"/>
        <v>5.5807560137456997</v>
      </c>
      <c r="N241">
        <f t="shared" si="42"/>
        <v>0</v>
      </c>
      <c r="O241">
        <f t="shared" si="42"/>
        <v>-4.9668728522336725</v>
      </c>
      <c r="P241" s="152">
        <f>Q241+SUM(K241:N241)</f>
        <v>-61.372606217109002</v>
      </c>
      <c r="Q241" s="152">
        <v>-66.252507530000003</v>
      </c>
      <c r="R241">
        <f t="shared" si="38"/>
        <v>-0.70085470085469903</v>
      </c>
    </row>
    <row r="242" spans="1:18">
      <c r="I242" t="s">
        <v>1003</v>
      </c>
      <c r="J242" t="s">
        <v>1271</v>
      </c>
      <c r="K242">
        <f t="shared" ref="K242:O242" si="43">K229</f>
        <v>0</v>
      </c>
      <c r="L242">
        <f t="shared" si="43"/>
        <v>-4.3247863247863201</v>
      </c>
      <c r="M242">
        <f t="shared" si="43"/>
        <v>0</v>
      </c>
      <c r="N242">
        <f t="shared" si="43"/>
        <v>-4.9785831960461202</v>
      </c>
      <c r="O242">
        <f t="shared" si="43"/>
        <v>3.9828665568368962</v>
      </c>
      <c r="P242" s="152">
        <v>-66.252507530000003</v>
      </c>
      <c r="Q242" s="152">
        <f t="shared" si="37"/>
        <v>-75.555877050832436</v>
      </c>
      <c r="R242">
        <f t="shared" si="38"/>
        <v>-4.3247863247863201</v>
      </c>
    </row>
    <row r="246" spans="1:18">
      <c r="A246" t="s">
        <v>2479</v>
      </c>
      <c r="J246" t="s">
        <v>1314</v>
      </c>
      <c r="K246" t="s">
        <v>2480</v>
      </c>
      <c r="L246" t="s">
        <v>2481</v>
      </c>
      <c r="M246" t="s">
        <v>2482</v>
      </c>
      <c r="O246" t="s">
        <v>2483</v>
      </c>
      <c r="P246" t="s">
        <v>2307</v>
      </c>
      <c r="Q246" t="s">
        <v>2484</v>
      </c>
    </row>
    <row r="247" spans="1:18">
      <c r="J247">
        <v>1200</v>
      </c>
      <c r="K247">
        <v>0</v>
      </c>
      <c r="L247">
        <v>0</v>
      </c>
      <c r="M247">
        <f t="shared" ref="M247:M252" si="44">K247+L247*10^-3*t_to_m3</f>
        <v>0</v>
      </c>
      <c r="O247">
        <v>2.0588235294117601</v>
      </c>
      <c r="P247">
        <f t="shared" ref="P247:P252" si="45">Q247-O247</f>
        <v>0</v>
      </c>
      <c r="Q247">
        <v>2.0588235294117601</v>
      </c>
    </row>
    <row r="248" spans="1:18">
      <c r="J248">
        <v>600</v>
      </c>
      <c r="K248">
        <v>1.66</v>
      </c>
      <c r="L248">
        <v>76.150556841093902</v>
      </c>
      <c r="M248">
        <f t="shared" si="44"/>
        <v>1.8154092996757019</v>
      </c>
      <c r="O248">
        <v>1.98823529411764</v>
      </c>
      <c r="P248">
        <f t="shared" si="45"/>
        <v>4.7058823529409821E-2</v>
      </c>
      <c r="Q248">
        <v>2.0352941176470498</v>
      </c>
    </row>
    <row r="249" spans="1:18">
      <c r="J249">
        <v>300</v>
      </c>
      <c r="K249">
        <v>4.7300000000000004</v>
      </c>
      <c r="L249">
        <v>149.13665949471499</v>
      </c>
      <c r="M249">
        <f t="shared" si="44"/>
        <v>5.0343605295810514</v>
      </c>
      <c r="O249">
        <v>1.5941176470588201</v>
      </c>
      <c r="P249">
        <f t="shared" si="45"/>
        <v>8.2352941176469852E-2</v>
      </c>
      <c r="Q249">
        <v>1.6764705882352899</v>
      </c>
    </row>
    <row r="250" spans="1:18">
      <c r="J250">
        <v>150</v>
      </c>
      <c r="K250">
        <v>5.21</v>
      </c>
      <c r="L250">
        <v>156.09006887779199</v>
      </c>
      <c r="M250">
        <f t="shared" si="44"/>
        <v>5.5285511609750859</v>
      </c>
      <c r="O250">
        <v>1.51176470588235</v>
      </c>
      <c r="P250">
        <f t="shared" si="45"/>
        <v>7.6470588235290071E-2</v>
      </c>
      <c r="Q250">
        <v>1.5882352941176401</v>
      </c>
    </row>
    <row r="251" spans="1:18">
      <c r="J251">
        <v>75</v>
      </c>
      <c r="K251">
        <v>5.28</v>
      </c>
      <c r="L251">
        <v>155.73079473335201</v>
      </c>
      <c r="M251">
        <f t="shared" si="44"/>
        <v>5.5978179484354129</v>
      </c>
      <c r="O251">
        <v>1.48823529411764</v>
      </c>
      <c r="P251">
        <f t="shared" si="45"/>
        <v>8.2352941176470074E-2</v>
      </c>
      <c r="Q251">
        <v>1.5705882352941101</v>
      </c>
    </row>
    <row r="252" spans="1:18">
      <c r="J252">
        <v>0</v>
      </c>
      <c r="K252">
        <v>5.3</v>
      </c>
      <c r="L252">
        <v>154.986535677072</v>
      </c>
      <c r="M252">
        <f t="shared" si="44"/>
        <v>5.6162990524021872</v>
      </c>
      <c r="O252">
        <v>1.47058823529411</v>
      </c>
      <c r="P252">
        <f t="shared" si="45"/>
        <v>7.6470588235300063E-2</v>
      </c>
      <c r="Q252">
        <v>1.54705882352941</v>
      </c>
    </row>
    <row r="273" spans="1:36">
      <c r="J273" t="s">
        <v>2485</v>
      </c>
    </row>
    <row r="274" spans="1:36">
      <c r="A274" t="s">
        <v>2486</v>
      </c>
      <c r="C274" t="s">
        <v>2487</v>
      </c>
      <c r="I274" t="s">
        <v>2488</v>
      </c>
      <c r="J274" t="s">
        <v>326</v>
      </c>
      <c r="K274" t="s">
        <v>327</v>
      </c>
      <c r="L274" t="s">
        <v>291</v>
      </c>
      <c r="M274" t="s">
        <v>276</v>
      </c>
      <c r="N274" t="s">
        <v>320</v>
      </c>
      <c r="O274" t="s">
        <v>328</v>
      </c>
      <c r="P274" t="s">
        <v>293</v>
      </c>
      <c r="Q274" t="s">
        <v>275</v>
      </c>
      <c r="R274" t="s">
        <v>2489</v>
      </c>
      <c r="S274" t="s">
        <v>2490</v>
      </c>
      <c r="T274" t="s">
        <v>2491</v>
      </c>
      <c r="U274" t="s">
        <v>2492</v>
      </c>
      <c r="V274" t="s">
        <v>2493</v>
      </c>
      <c r="W274" t="s">
        <v>2494</v>
      </c>
      <c r="X274" t="s">
        <v>2495</v>
      </c>
      <c r="Y274" t="s">
        <v>2496</v>
      </c>
      <c r="Z274" t="s">
        <v>2497</v>
      </c>
      <c r="AA274" t="s">
        <v>2498</v>
      </c>
      <c r="AB274" t="s">
        <v>2499</v>
      </c>
      <c r="AC274" t="s">
        <v>2500</v>
      </c>
      <c r="AD274" t="s">
        <v>302</v>
      </c>
      <c r="AE274" t="s">
        <v>305</v>
      </c>
      <c r="AF274" t="s">
        <v>303</v>
      </c>
      <c r="AG274" t="s">
        <v>284</v>
      </c>
      <c r="AH274" t="s">
        <v>312</v>
      </c>
      <c r="AI274" t="s">
        <v>283</v>
      </c>
    </row>
    <row r="275" spans="1:36">
      <c r="I275">
        <v>0</v>
      </c>
      <c r="J275">
        <v>812.03931203931199</v>
      </c>
      <c r="K275">
        <v>590.90124106098494</v>
      </c>
      <c r="L275">
        <v>458.23095823095798</v>
      </c>
      <c r="M275">
        <v>369.77886977886902</v>
      </c>
      <c r="N275">
        <v>812.03931203931199</v>
      </c>
      <c r="O275">
        <v>590.90909090909099</v>
      </c>
      <c r="P275">
        <v>453.316953316953</v>
      </c>
      <c r="Q275">
        <v>355.036855036855</v>
      </c>
      <c r="R275">
        <v>813.13131313131305</v>
      </c>
      <c r="S275">
        <v>585.85858585858603</v>
      </c>
      <c r="T275">
        <v>464.64646464646501</v>
      </c>
      <c r="U275">
        <v>459.59595959595902</v>
      </c>
      <c r="V275">
        <v>454.54545454545399</v>
      </c>
      <c r="W275">
        <v>358.58585858585798</v>
      </c>
      <c r="X275">
        <v>0</v>
      </c>
      <c r="Y275">
        <v>0</v>
      </c>
      <c r="Z275">
        <v>0</v>
      </c>
      <c r="AA275">
        <v>0</v>
      </c>
      <c r="AB275">
        <v>0</v>
      </c>
      <c r="AC275">
        <v>0</v>
      </c>
      <c r="AD275">
        <v>0</v>
      </c>
      <c r="AE275">
        <v>0</v>
      </c>
      <c r="AF275">
        <v>0</v>
      </c>
      <c r="AG275">
        <v>0</v>
      </c>
      <c r="AH275">
        <v>0</v>
      </c>
      <c r="AI275">
        <v>0</v>
      </c>
    </row>
    <row r="276" spans="1:36">
      <c r="I276">
        <v>25</v>
      </c>
      <c r="J276">
        <v>850.73906319912703</v>
      </c>
      <c r="K276">
        <v>580.46879292885603</v>
      </c>
      <c r="L276">
        <v>447.79066025072399</v>
      </c>
      <c r="M276">
        <v>437.96265042271398</v>
      </c>
      <c r="N276">
        <v>733.41523341523305</v>
      </c>
      <c r="O276">
        <v>541.769041769041</v>
      </c>
      <c r="P276">
        <v>404.17690417690397</v>
      </c>
      <c r="Q276">
        <v>315.72481572481502</v>
      </c>
      <c r="R276">
        <v>808.08080808080797</v>
      </c>
      <c r="S276">
        <v>555.55555555555497</v>
      </c>
      <c r="T276">
        <v>444.44444444444503</v>
      </c>
      <c r="U276">
        <v>454.54545454545399</v>
      </c>
      <c r="V276">
        <v>398.98989898989902</v>
      </c>
      <c r="W276">
        <v>358.58585858585798</v>
      </c>
      <c r="X276">
        <v>48.223350253806899</v>
      </c>
      <c r="Y276">
        <v>12.690355329949099</v>
      </c>
      <c r="Z276">
        <v>0</v>
      </c>
      <c r="AA276">
        <v>-58.375634517766599</v>
      </c>
      <c r="AB276">
        <v>-83.756345177664997</v>
      </c>
      <c r="AC276">
        <v>-215.73604060913701</v>
      </c>
      <c r="AD276">
        <v>-28.151381008790899</v>
      </c>
      <c r="AE276">
        <v>-30.296153126753399</v>
      </c>
      <c r="AF276">
        <v>-30.296153126753399</v>
      </c>
      <c r="AG276">
        <v>-45.3095579524906</v>
      </c>
      <c r="AH276">
        <v>-73.191595486002697</v>
      </c>
      <c r="AI276">
        <v>-90.349772429702398</v>
      </c>
    </row>
    <row r="277" spans="1:36">
      <c r="I277">
        <v>50</v>
      </c>
      <c r="J277">
        <v>928.75085367098097</v>
      </c>
      <c r="K277">
        <v>599.50467458454602</v>
      </c>
      <c r="L277">
        <v>456.99853207840403</v>
      </c>
      <c r="M277">
        <v>653.55872863859997</v>
      </c>
      <c r="N277">
        <v>689.18918918918905</v>
      </c>
      <c r="O277">
        <v>492.62899262899202</v>
      </c>
      <c r="P277">
        <v>359.95085995085901</v>
      </c>
      <c r="Q277">
        <v>428.74692874692801</v>
      </c>
      <c r="R277">
        <v>813.13131313131305</v>
      </c>
      <c r="S277">
        <v>570.70707070706999</v>
      </c>
      <c r="T277">
        <v>616.16161616161605</v>
      </c>
      <c r="U277">
        <v>510.10101010100999</v>
      </c>
      <c r="V277">
        <v>353.53535353535398</v>
      </c>
      <c r="W277">
        <v>454.54545454545399</v>
      </c>
      <c r="X277">
        <v>159.89847715735999</v>
      </c>
      <c r="Y277">
        <v>78.680203045685104</v>
      </c>
      <c r="Z277">
        <v>-2.5380710659899202</v>
      </c>
      <c r="AA277">
        <v>-73.604060913705695</v>
      </c>
      <c r="AB277">
        <v>-170.05076142131901</v>
      </c>
      <c r="AC277">
        <v>-256.34517766497402</v>
      </c>
      <c r="AD277">
        <v>-69.171394725356805</v>
      </c>
      <c r="AE277">
        <v>-77.750483197206606</v>
      </c>
      <c r="AF277">
        <v>-84.184799551094102</v>
      </c>
      <c r="AG277">
        <v>-101.339651266703</v>
      </c>
      <c r="AH277">
        <v>-167.82758692354</v>
      </c>
      <c r="AI277">
        <v>-184.98576386724</v>
      </c>
    </row>
    <row r="278" spans="1:36">
      <c r="I278">
        <v>75</v>
      </c>
      <c r="J278">
        <v>992.01277955271496</v>
      </c>
      <c r="K278">
        <v>618.54840608834195</v>
      </c>
      <c r="L278">
        <v>466.21425375418897</v>
      </c>
      <c r="M278">
        <v>820.02260756254304</v>
      </c>
      <c r="N278">
        <v>635.13513513513499</v>
      </c>
      <c r="O278">
        <v>438.57493857493802</v>
      </c>
      <c r="P278">
        <v>310.81081081080998</v>
      </c>
      <c r="Q278">
        <v>497.542997542997</v>
      </c>
      <c r="R278">
        <v>818.18181818181802</v>
      </c>
      <c r="S278">
        <v>590.90909090909099</v>
      </c>
      <c r="T278">
        <v>702.02020202020196</v>
      </c>
      <c r="U278">
        <v>570.70707070706999</v>
      </c>
      <c r="V278">
        <v>358.58585858585798</v>
      </c>
      <c r="W278">
        <v>535.35353535353499</v>
      </c>
      <c r="X278">
        <v>266.49746192893298</v>
      </c>
      <c r="Y278">
        <v>149.746192893401</v>
      </c>
      <c r="Z278">
        <v>53.2994923857866</v>
      </c>
      <c r="AA278">
        <v>-68.527918781726299</v>
      </c>
      <c r="AB278">
        <v>-205.58375634517699</v>
      </c>
      <c r="AC278">
        <v>-230.96446700507599</v>
      </c>
      <c r="AD278">
        <v>-110.188083213832</v>
      </c>
      <c r="AE278">
        <v>-120.911943803645</v>
      </c>
      <c r="AF278">
        <v>-133.78057651142001</v>
      </c>
      <c r="AG278">
        <v>-146.64920921919401</v>
      </c>
      <c r="AH278">
        <v>-262.46357836107802</v>
      </c>
      <c r="AI278">
        <v>-277.48030841490498</v>
      </c>
    </row>
    <row r="279" spans="1:36">
      <c r="I279">
        <v>100</v>
      </c>
      <c r="J279">
        <v>1045.45454545454</v>
      </c>
      <c r="K279">
        <v>642.50614250614206</v>
      </c>
      <c r="L279">
        <v>475.429975429975</v>
      </c>
      <c r="M279">
        <v>917.69826753852306</v>
      </c>
      <c r="N279">
        <v>585.99508599508601</v>
      </c>
      <c r="O279">
        <v>389.43488943488899</v>
      </c>
      <c r="P279">
        <v>256.75675675675598</v>
      </c>
      <c r="Q279">
        <v>502.45700245700198</v>
      </c>
      <c r="R279">
        <v>838.383838383838</v>
      </c>
      <c r="S279">
        <v>621.21212121212102</v>
      </c>
      <c r="T279">
        <v>767.67676767676801</v>
      </c>
      <c r="U279">
        <v>641.414141414141</v>
      </c>
      <c r="V279">
        <v>348.48484848484799</v>
      </c>
      <c r="W279">
        <v>560.60606060606096</v>
      </c>
      <c r="X279">
        <v>388.32487309644603</v>
      </c>
      <c r="Y279">
        <v>236.04060913705499</v>
      </c>
      <c r="Z279">
        <v>93.9086294416242</v>
      </c>
      <c r="AA279">
        <v>-43.147208121827497</v>
      </c>
      <c r="AB279">
        <v>-225.888324873096</v>
      </c>
      <c r="AC279">
        <v>-185.27918781725899</v>
      </c>
      <c r="AD279">
        <v>-153.34954382027101</v>
      </c>
      <c r="AE279">
        <v>-166.218176528046</v>
      </c>
      <c r="AF279">
        <v>-179.08680923582</v>
      </c>
      <c r="AG279">
        <v>-194.10021406155801</v>
      </c>
      <c r="AH279">
        <v>-352.81335079078002</v>
      </c>
      <c r="AI279">
        <v>-369.97152773447999</v>
      </c>
    </row>
    <row r="280" spans="1:36">
      <c r="I280">
        <v>125</v>
      </c>
      <c r="J280">
        <v>1103.8024664222701</v>
      </c>
      <c r="K280">
        <v>661.54987400993696</v>
      </c>
      <c r="L280">
        <v>484.64569710576097</v>
      </c>
      <c r="M280">
        <v>1000.61621307627</v>
      </c>
      <c r="N280">
        <v>551.59705159705095</v>
      </c>
      <c r="O280">
        <v>335.38083538083498</v>
      </c>
      <c r="P280">
        <v>202.702702702702</v>
      </c>
      <c r="Q280">
        <v>487.71498771498699</v>
      </c>
      <c r="R280">
        <v>833.33333333333303</v>
      </c>
      <c r="S280">
        <v>641.414141414141</v>
      </c>
      <c r="T280">
        <v>823.23232323232298</v>
      </c>
      <c r="U280">
        <v>707.07070707070704</v>
      </c>
      <c r="V280">
        <v>328.28282828282801</v>
      </c>
      <c r="W280">
        <v>580.80808080808094</v>
      </c>
      <c r="X280">
        <v>500</v>
      </c>
      <c r="Y280">
        <v>307.10659898477098</v>
      </c>
      <c r="Z280">
        <v>124.36548223350199</v>
      </c>
      <c r="AA280">
        <v>-48.223350253807403</v>
      </c>
      <c r="AB280">
        <v>-225.888324873096</v>
      </c>
      <c r="AC280">
        <v>-144.67005076142101</v>
      </c>
      <c r="AD280">
        <v>-194.36955753683699</v>
      </c>
      <c r="AE280">
        <v>-209.38296236257401</v>
      </c>
      <c r="AF280">
        <v>-224.399692416401</v>
      </c>
      <c r="AG280">
        <v>-239.409772014049</v>
      </c>
      <c r="AH280">
        <v>-447.45266745640799</v>
      </c>
      <c r="AI280">
        <v>-462.46607228214498</v>
      </c>
    </row>
    <row r="281" spans="1:36">
      <c r="I281">
        <v>150</v>
      </c>
      <c r="J281">
        <v>1162.1582372380999</v>
      </c>
      <c r="K281">
        <v>675.67175075162299</v>
      </c>
      <c r="L281">
        <v>493.85356893344101</v>
      </c>
      <c r="M281">
        <v>1068.79214387201</v>
      </c>
      <c r="N281">
        <v>517.19901719901702</v>
      </c>
      <c r="O281">
        <v>286.24078624078601</v>
      </c>
      <c r="P281">
        <v>148.64864864864799</v>
      </c>
      <c r="Q281">
        <v>472.972972972972</v>
      </c>
      <c r="R281">
        <v>848.48484848484804</v>
      </c>
      <c r="S281">
        <v>676.76767676767702</v>
      </c>
      <c r="T281">
        <v>868.68686868686905</v>
      </c>
      <c r="U281">
        <v>772.72727272727298</v>
      </c>
      <c r="V281">
        <v>338.383838383838</v>
      </c>
      <c r="W281">
        <v>601.01010101010104</v>
      </c>
      <c r="X281">
        <v>616.751269035532</v>
      </c>
      <c r="Y281">
        <v>393.40101522842599</v>
      </c>
      <c r="Z281">
        <v>185.27918781725799</v>
      </c>
      <c r="AA281">
        <v>-22.842639593908601</v>
      </c>
      <c r="AB281">
        <v>-225.888324873096</v>
      </c>
      <c r="AC281">
        <v>-109.137055837563</v>
      </c>
      <c r="AD281">
        <v>-235.38957125340301</v>
      </c>
      <c r="AE281">
        <v>-252.54774819710201</v>
      </c>
      <c r="AF281">
        <v>-273.99879460481702</v>
      </c>
      <c r="AG281">
        <v>-286.86742731259199</v>
      </c>
      <c r="AH281">
        <v>-539.94721200407298</v>
      </c>
      <c r="AI281">
        <v>-554.9639420579</v>
      </c>
    </row>
    <row r="282" spans="1:36">
      <c r="I282">
        <v>175</v>
      </c>
      <c r="J282">
        <v>1220.51400805394</v>
      </c>
      <c r="K282">
        <v>694.71548225541801</v>
      </c>
      <c r="L282">
        <v>503.06929060922602</v>
      </c>
      <c r="M282">
        <v>1136.97592451586</v>
      </c>
      <c r="N282">
        <v>477.88697788697698</v>
      </c>
      <c r="O282">
        <v>237.10073710073701</v>
      </c>
      <c r="P282">
        <v>99.508599508599204</v>
      </c>
      <c r="Q282">
        <v>453.316953316953</v>
      </c>
      <c r="R282">
        <v>853.53535353535403</v>
      </c>
      <c r="S282">
        <v>707.07070707070704</v>
      </c>
      <c r="T282">
        <v>919.19191919191906</v>
      </c>
      <c r="U282">
        <v>843.43434343434296</v>
      </c>
      <c r="V282">
        <v>318.18181818181802</v>
      </c>
      <c r="W282">
        <v>606.06060606060601</v>
      </c>
      <c r="X282">
        <v>733.50253807106503</v>
      </c>
      <c r="Y282">
        <v>474.61928934010098</v>
      </c>
      <c r="Z282">
        <v>220.812182741116</v>
      </c>
      <c r="AA282">
        <v>-12.690355329949099</v>
      </c>
      <c r="AB282">
        <v>-225.888324873096</v>
      </c>
      <c r="AC282">
        <v>-63.451776649746002</v>
      </c>
      <c r="AD282">
        <v>-276.40958496996899</v>
      </c>
      <c r="AE282">
        <v>-295.709208803541</v>
      </c>
      <c r="AF282">
        <v>-319.30502732921798</v>
      </c>
      <c r="AG282">
        <v>-332.17033480890302</v>
      </c>
      <c r="AH282">
        <v>-634.58652866969999</v>
      </c>
      <c r="AI282">
        <v>-647.45516137747495</v>
      </c>
    </row>
    <row r="283" spans="1:36">
      <c r="I283">
        <v>200</v>
      </c>
      <c r="J283">
        <v>1273.96362380387</v>
      </c>
      <c r="K283">
        <v>718.66536882511298</v>
      </c>
      <c r="L283">
        <v>507.378857219113</v>
      </c>
      <c r="M283">
        <v>1200.2457002456999</v>
      </c>
      <c r="N283">
        <v>448.40294840294803</v>
      </c>
      <c r="O283">
        <v>187.96068796068701</v>
      </c>
      <c r="P283">
        <v>50.368550368550302</v>
      </c>
      <c r="Q283">
        <v>438.57493857493802</v>
      </c>
      <c r="R283">
        <v>858.585858585859</v>
      </c>
      <c r="S283">
        <v>732.32323232323199</v>
      </c>
      <c r="T283">
        <v>954.54545454545496</v>
      </c>
      <c r="U283">
        <v>904.04040404040404</v>
      </c>
      <c r="V283">
        <v>323.23232323232298</v>
      </c>
      <c r="W283">
        <v>621.21212121212102</v>
      </c>
      <c r="X283">
        <v>855.32994923857802</v>
      </c>
      <c r="Y283">
        <v>545.68527918781695</v>
      </c>
      <c r="Z283">
        <v>276.64974619289302</v>
      </c>
      <c r="AA283">
        <v>-2.5380710659899202</v>
      </c>
      <c r="AB283">
        <v>-225.888324873096</v>
      </c>
      <c r="AC283">
        <v>-22.842639593908601</v>
      </c>
      <c r="AD283">
        <v>-319.57104557640702</v>
      </c>
      <c r="AE283">
        <v>-338.87399463806901</v>
      </c>
      <c r="AF283">
        <v>-364.60793482552901</v>
      </c>
      <c r="AG283">
        <v>-377.47656753330398</v>
      </c>
      <c r="AH283">
        <v>-727.08107321736497</v>
      </c>
      <c r="AI283">
        <v>-737.801608579088</v>
      </c>
    </row>
    <row r="285" spans="1:36">
      <c r="I285" t="s">
        <v>2488</v>
      </c>
      <c r="J285" t="s">
        <v>2501</v>
      </c>
      <c r="K285" t="s">
        <v>2502</v>
      </c>
      <c r="L285" t="s">
        <v>2503</v>
      </c>
      <c r="M285" t="s">
        <v>2504</v>
      </c>
      <c r="N285" t="s">
        <v>2505</v>
      </c>
      <c r="O285" t="s">
        <v>2506</v>
      </c>
      <c r="P285" t="s">
        <v>2507</v>
      </c>
      <c r="Q285" t="s">
        <v>2508</v>
      </c>
      <c r="R285" t="s">
        <v>2509</v>
      </c>
      <c r="S285" t="s">
        <v>2510</v>
      </c>
      <c r="T285" t="s">
        <v>2511</v>
      </c>
      <c r="U285" t="s">
        <v>2512</v>
      </c>
      <c r="W285" t="s">
        <v>2504</v>
      </c>
      <c r="X285" t="s">
        <v>2505</v>
      </c>
      <c r="Y285" t="s">
        <v>2513</v>
      </c>
      <c r="Z285" t="s">
        <v>2514</v>
      </c>
      <c r="AA285" t="s">
        <v>2508</v>
      </c>
      <c r="AB285" t="s">
        <v>2509</v>
      </c>
      <c r="AC285" t="s">
        <v>2510</v>
      </c>
      <c r="AD285" t="s">
        <v>2511</v>
      </c>
      <c r="AE285" t="s">
        <v>2512</v>
      </c>
      <c r="AG285" t="s">
        <v>2508</v>
      </c>
      <c r="AH285" t="s">
        <v>2509</v>
      </c>
    </row>
    <row r="286" spans="1:36">
      <c r="I286">
        <v>50</v>
      </c>
      <c r="J286" t="s">
        <v>291</v>
      </c>
      <c r="K286" s="2" t="s">
        <v>276</v>
      </c>
      <c r="M286">
        <v>0</v>
      </c>
      <c r="N286">
        <v>264.61872586084911</v>
      </c>
      <c r="O286">
        <v>0</v>
      </c>
      <c r="P286">
        <v>145.3587976415094</v>
      </c>
      <c r="Q286">
        <v>-456.78692783823215</v>
      </c>
      <c r="R286">
        <v>-654.85817268246092</v>
      </c>
      <c r="S286">
        <v>1</v>
      </c>
      <c r="T286">
        <v>1</v>
      </c>
      <c r="U286" t="s">
        <v>2515</v>
      </c>
      <c r="W286">
        <v>0</v>
      </c>
      <c r="X286" t="e">
        <f t="shared" ref="X286:X349" ca="1" si="46">SUM(INDIRECT("'[2022 - Aryapratama &amp; Pauliuk - STE - AppD.xlsx]"&amp;$K286&amp;"'!D2:D"&amp;$I286+1))</f>
        <v>#REF!</v>
      </c>
      <c r="Y286">
        <v>0</v>
      </c>
      <c r="Z286" t="e">
        <f t="shared" ref="Z286:Z349" ca="1" si="47">SUM(INDIRECT("'[2022 - Aryapratama &amp; Pauliuk - STE - AppD.xlsx]"&amp;$K286&amp;"'!H2:H"&amp;$I286+1))</f>
        <v>#REF!</v>
      </c>
      <c r="AA286" s="152" t="e">
        <f t="shared" ref="AA286:AA291" ca="1" si="48">INDIRECT($AE286&amp;$I286+2&amp;"C"&amp;MATCH(RIGHT(J286,$AC286+3)&amp;" (t-CO2eq)",INDIRECT($AE286&amp;$AD286,FALSE),0),FALSE)</f>
        <v>#REF!</v>
      </c>
      <c r="AB286" s="152" t="e">
        <f t="shared" ref="AB286:AB291" ca="1" si="49">INDIRECT($AE286&amp;$I286+2&amp;"C"&amp;MATCH(RIGHT(K286,$AC286)&amp;" (t-CO2eq)",INDIRECT($AE286&amp;$AD286,FALSE),0),FALSE)</f>
        <v>#REF!</v>
      </c>
      <c r="AC286">
        <v>1</v>
      </c>
      <c r="AD286">
        <v>1</v>
      </c>
      <c r="AE286" t="str">
        <f t="shared" ref="AE286:AE291" si="50">"'[2022 - Aryapratama &amp; Pauliuk - STE - AppF.xlsx]GWPdyn_"&amp;LEFT(K286,5)&amp;" - Fig.4(f)'!L"</f>
        <v>'[2022 - Aryapratama &amp; Pauliuk - STE - AppF.xlsx]GWPdyn_PF_PO - Fig.4(f)'!L</v>
      </c>
      <c r="AG286">
        <v>456.78692783823215</v>
      </c>
      <c r="AH286">
        <v>654.85817268246092</v>
      </c>
      <c r="AI286">
        <f t="shared" ref="AI286:AJ349" si="51">-AG286</f>
        <v>-456.78692783823215</v>
      </c>
      <c r="AJ286">
        <f>-AH286</f>
        <v>-654.85817268246092</v>
      </c>
    </row>
    <row r="287" spans="1:36">
      <c r="I287">
        <v>100</v>
      </c>
      <c r="J287" t="s">
        <v>291</v>
      </c>
      <c r="K287" s="2" t="s">
        <v>276</v>
      </c>
      <c r="M287">
        <v>0</v>
      </c>
      <c r="N287">
        <v>341.92410211084911</v>
      </c>
      <c r="O287">
        <v>0</v>
      </c>
      <c r="P287">
        <v>164.91714764150942</v>
      </c>
      <c r="Q287">
        <v>-476.23317385650159</v>
      </c>
      <c r="R287">
        <v>-922.29525217943831</v>
      </c>
      <c r="S287">
        <v>1</v>
      </c>
      <c r="T287">
        <v>1</v>
      </c>
      <c r="U287" t="s">
        <v>2515</v>
      </c>
      <c r="W287">
        <v>0</v>
      </c>
      <c r="X287" t="e">
        <f t="shared" ca="1" si="46"/>
        <v>#REF!</v>
      </c>
      <c r="Y287">
        <v>0</v>
      </c>
      <c r="Z287" t="e">
        <f t="shared" ca="1" si="47"/>
        <v>#REF!</v>
      </c>
      <c r="AA287" s="152" t="e">
        <f t="shared" ca="1" si="48"/>
        <v>#REF!</v>
      </c>
      <c r="AB287" s="152" t="e">
        <f t="shared" ca="1" si="49"/>
        <v>#REF!</v>
      </c>
      <c r="AC287">
        <v>1</v>
      </c>
      <c r="AD287">
        <v>1</v>
      </c>
      <c r="AE287" t="str">
        <f t="shared" si="50"/>
        <v>'[2022 - Aryapratama &amp; Pauliuk - STE - AppF.xlsx]GWPdyn_PF_PO - Fig.4(f)'!L</v>
      </c>
      <c r="AG287">
        <v>476.23317385650159</v>
      </c>
      <c r="AH287">
        <v>922.29525217943831</v>
      </c>
      <c r="AI287">
        <f t="shared" si="51"/>
        <v>-476.23317385650159</v>
      </c>
      <c r="AJ287">
        <f t="shared" si="51"/>
        <v>-922.29525217943831</v>
      </c>
    </row>
    <row r="288" spans="1:36">
      <c r="I288">
        <v>200</v>
      </c>
      <c r="J288" t="s">
        <v>291</v>
      </c>
      <c r="K288" s="2" t="s">
        <v>276</v>
      </c>
      <c r="M288">
        <v>0</v>
      </c>
      <c r="N288">
        <v>496.5348546108491</v>
      </c>
      <c r="O288">
        <v>0</v>
      </c>
      <c r="P288">
        <v>204.03384764150945</v>
      </c>
      <c r="Q288">
        <v>-514.73759172333291</v>
      </c>
      <c r="R288">
        <v>-1206.3347109067272</v>
      </c>
      <c r="S288">
        <v>1</v>
      </c>
      <c r="T288">
        <v>1</v>
      </c>
      <c r="U288" t="s">
        <v>2515</v>
      </c>
      <c r="W288">
        <v>0</v>
      </c>
      <c r="X288" t="e">
        <f t="shared" ca="1" si="46"/>
        <v>#REF!</v>
      </c>
      <c r="Y288">
        <v>0</v>
      </c>
      <c r="Z288" t="e">
        <f t="shared" ca="1" si="47"/>
        <v>#REF!</v>
      </c>
      <c r="AA288" s="152" t="e">
        <f t="shared" ca="1" si="48"/>
        <v>#REF!</v>
      </c>
      <c r="AB288" s="152" t="e">
        <f t="shared" ca="1" si="49"/>
        <v>#REF!</v>
      </c>
      <c r="AC288">
        <v>1</v>
      </c>
      <c r="AD288">
        <v>1</v>
      </c>
      <c r="AE288" t="str">
        <f t="shared" si="50"/>
        <v>'[2022 - Aryapratama &amp; Pauliuk - STE - AppF.xlsx]GWPdyn_PF_PO - Fig.4(f)'!L</v>
      </c>
      <c r="AG288">
        <v>514.73759172333291</v>
      </c>
      <c r="AH288">
        <v>1206.3347109067272</v>
      </c>
      <c r="AI288">
        <f t="shared" si="51"/>
        <v>-514.73759172333291</v>
      </c>
      <c r="AJ288">
        <f t="shared" si="51"/>
        <v>-1206.3347109067272</v>
      </c>
    </row>
    <row r="289" spans="9:36">
      <c r="I289">
        <v>50</v>
      </c>
      <c r="J289" t="s">
        <v>327</v>
      </c>
      <c r="K289" s="2" t="s">
        <v>326</v>
      </c>
      <c r="M289">
        <v>0</v>
      </c>
      <c r="N289">
        <v>263.98307948584909</v>
      </c>
      <c r="O289">
        <v>0</v>
      </c>
      <c r="P289">
        <v>196.41951018867931</v>
      </c>
      <c r="Q289">
        <v>-601.12201901040225</v>
      </c>
      <c r="R289">
        <v>-930.07336759388943</v>
      </c>
      <c r="S289">
        <v>1</v>
      </c>
      <c r="T289">
        <v>1</v>
      </c>
      <c r="U289" t="s">
        <v>2515</v>
      </c>
      <c r="W289">
        <v>0</v>
      </c>
      <c r="X289" t="e">
        <f t="shared" ca="1" si="46"/>
        <v>#REF!</v>
      </c>
      <c r="Y289">
        <v>0</v>
      </c>
      <c r="Z289" t="e">
        <f t="shared" ca="1" si="47"/>
        <v>#REF!</v>
      </c>
      <c r="AA289" s="152" t="e">
        <f t="shared" ca="1" si="48"/>
        <v>#REF!</v>
      </c>
      <c r="AB289" s="152" t="e">
        <f t="shared" ca="1" si="49"/>
        <v>#REF!</v>
      </c>
      <c r="AC289">
        <v>1</v>
      </c>
      <c r="AD289">
        <v>1</v>
      </c>
      <c r="AE289" t="str">
        <f t="shared" si="50"/>
        <v>'[2022 - Aryapratama &amp; Pauliuk - STE - AppF.xlsx]GWPdyn_PF_PO - Fig.4(f)'!L</v>
      </c>
      <c r="AG289">
        <v>601.12201901040225</v>
      </c>
      <c r="AH289">
        <v>930.07336759388943</v>
      </c>
      <c r="AI289">
        <f t="shared" si="51"/>
        <v>-601.12201901040225</v>
      </c>
      <c r="AJ289">
        <f t="shared" si="51"/>
        <v>-930.07336759388943</v>
      </c>
    </row>
    <row r="290" spans="9:36">
      <c r="I290">
        <v>100</v>
      </c>
      <c r="J290" t="s">
        <v>327</v>
      </c>
      <c r="K290" s="2" t="s">
        <v>326</v>
      </c>
      <c r="M290">
        <v>0</v>
      </c>
      <c r="N290">
        <v>340.01716298584904</v>
      </c>
      <c r="O290">
        <v>0</v>
      </c>
      <c r="P290">
        <v>227.71287018867932</v>
      </c>
      <c r="Q290">
        <v>-640.9681065668517</v>
      </c>
      <c r="R290">
        <v>-1049.6296143500765</v>
      </c>
      <c r="S290">
        <v>1</v>
      </c>
      <c r="T290">
        <v>1</v>
      </c>
      <c r="U290" t="s">
        <v>2515</v>
      </c>
      <c r="W290">
        <v>0</v>
      </c>
      <c r="X290" t="e">
        <f t="shared" ca="1" si="46"/>
        <v>#REF!</v>
      </c>
      <c r="Y290">
        <v>0</v>
      </c>
      <c r="Z290" t="e">
        <f t="shared" ca="1" si="47"/>
        <v>#REF!</v>
      </c>
      <c r="AA290" s="152" t="e">
        <f t="shared" ca="1" si="48"/>
        <v>#REF!</v>
      </c>
      <c r="AB290" s="152" t="e">
        <f t="shared" ca="1" si="49"/>
        <v>#REF!</v>
      </c>
      <c r="AC290">
        <v>1</v>
      </c>
      <c r="AD290">
        <v>1</v>
      </c>
      <c r="AE290" t="str">
        <f t="shared" si="50"/>
        <v>'[2022 - Aryapratama &amp; Pauliuk - STE - AppF.xlsx]GWPdyn_PF_PO - Fig.4(f)'!L</v>
      </c>
      <c r="AG290">
        <v>640.9681065668517</v>
      </c>
      <c r="AH290">
        <v>1049.6296143500765</v>
      </c>
      <c r="AI290">
        <f t="shared" si="51"/>
        <v>-640.9681065668517</v>
      </c>
      <c r="AJ290">
        <f t="shared" si="51"/>
        <v>-1049.6296143500765</v>
      </c>
    </row>
    <row r="291" spans="9:36">
      <c r="I291">
        <v>200</v>
      </c>
      <c r="J291" t="s">
        <v>327</v>
      </c>
      <c r="K291" s="2" t="s">
        <v>326</v>
      </c>
      <c r="M291">
        <v>0</v>
      </c>
      <c r="N291">
        <v>492.08532998584894</v>
      </c>
      <c r="O291">
        <v>0</v>
      </c>
      <c r="P291">
        <v>290.2995901886793</v>
      </c>
      <c r="Q291">
        <v>-719.97535000585367</v>
      </c>
      <c r="R291">
        <v>-1282.169207878547</v>
      </c>
      <c r="S291">
        <v>1</v>
      </c>
      <c r="T291">
        <v>1</v>
      </c>
      <c r="U291" t="s">
        <v>2515</v>
      </c>
      <c r="W291">
        <v>0</v>
      </c>
      <c r="X291" t="e">
        <f t="shared" ca="1" si="46"/>
        <v>#REF!</v>
      </c>
      <c r="Y291">
        <v>0</v>
      </c>
      <c r="Z291" t="e">
        <f t="shared" ca="1" si="47"/>
        <v>#REF!</v>
      </c>
      <c r="AA291" s="152" t="e">
        <f t="shared" ca="1" si="48"/>
        <v>#REF!</v>
      </c>
      <c r="AB291" s="152" t="e">
        <f t="shared" ca="1" si="49"/>
        <v>#REF!</v>
      </c>
      <c r="AC291">
        <v>1</v>
      </c>
      <c r="AD291">
        <v>1</v>
      </c>
      <c r="AE291" t="str">
        <f t="shared" si="50"/>
        <v>'[2022 - Aryapratama &amp; Pauliuk - STE - AppF.xlsx]GWPdyn_PF_PO - Fig.4(f)'!L</v>
      </c>
      <c r="AG291">
        <v>719.97535000585367</v>
      </c>
      <c r="AH291">
        <v>1282.169207878547</v>
      </c>
      <c r="AI291">
        <f t="shared" si="51"/>
        <v>-719.97535000585367</v>
      </c>
      <c r="AJ291">
        <f t="shared" si="51"/>
        <v>-1282.169207878547</v>
      </c>
    </row>
    <row r="292" spans="9:36">
      <c r="I292">
        <v>50</v>
      </c>
      <c r="J292" t="s">
        <v>293</v>
      </c>
      <c r="K292" s="2" t="s">
        <v>275</v>
      </c>
      <c r="M292">
        <v>0</v>
      </c>
      <c r="N292">
        <v>225.96603773584911</v>
      </c>
      <c r="O292">
        <v>0</v>
      </c>
      <c r="P292">
        <v>135.57962264150939</v>
      </c>
      <c r="Q292">
        <v>-358.5631578083391</v>
      </c>
      <c r="R292">
        <v>-430.22235574765915</v>
      </c>
      <c r="S292">
        <v>1</v>
      </c>
      <c r="T292">
        <v>1</v>
      </c>
      <c r="U292" t="s">
        <v>2516</v>
      </c>
      <c r="W292">
        <v>0</v>
      </c>
      <c r="X292" t="e">
        <f t="shared" ca="1" si="46"/>
        <v>#REF!</v>
      </c>
      <c r="Y292">
        <v>0</v>
      </c>
      <c r="Z292" t="e">
        <f t="shared" ca="1" si="47"/>
        <v>#REF!</v>
      </c>
      <c r="AA292" s="152" t="e">
        <f t="shared" ref="AA292:AA333" ca="1" si="52">INDIRECT($AE292&amp;$I292+2&amp;"C"&amp;MATCH(RIGHT(J292,$AC292+3)&amp;" (t-CO2-eq)",INDIRECT($AE292&amp;$AD292,FALSE),0),FALSE)</f>
        <v>#REF!</v>
      </c>
      <c r="AB292" s="152" t="e">
        <f t="shared" ref="AB292:AB333" ca="1" si="53">INDIRECT($AE292&amp;$I292+2&amp;"C"&amp;MATCH(RIGHT(K292,$AC292)&amp;" (t-CO2-eq)",INDIRECT($AE292&amp;$AD292,FALSE),0),FALSE)</f>
        <v>#REF!</v>
      </c>
      <c r="AC292">
        <v>1</v>
      </c>
      <c r="AD292">
        <v>1</v>
      </c>
      <c r="AE292" t="str">
        <f t="shared" ref="AE292:AE297" si="54">"'[2022 - Aryapratama &amp; Pauliuk - STE - AppF.xlsx]GWPdyn_"&amp;LEFT(K292,5)&amp;" - Fig.4(g)'!L"</f>
        <v>'[2022 - Aryapratama &amp; Pauliuk - STE - AppF.xlsx]GWPdyn_PF_SF - Fig.4(g)'!L</v>
      </c>
      <c r="AG292">
        <v>358.5631578083391</v>
      </c>
      <c r="AH292">
        <v>430.22235574765915</v>
      </c>
      <c r="AI292">
        <f t="shared" si="51"/>
        <v>-358.5631578083391</v>
      </c>
      <c r="AJ292">
        <f t="shared" si="51"/>
        <v>-430.22235574765915</v>
      </c>
    </row>
    <row r="293" spans="9:36">
      <c r="I293">
        <v>100</v>
      </c>
      <c r="J293" t="s">
        <v>293</v>
      </c>
      <c r="K293" s="2" t="s">
        <v>275</v>
      </c>
      <c r="M293">
        <v>0</v>
      </c>
      <c r="N293">
        <v>225.96603773584911</v>
      </c>
      <c r="O293">
        <v>0</v>
      </c>
      <c r="P293">
        <v>135.57962264150939</v>
      </c>
      <c r="Q293">
        <v>-256.36341951965699</v>
      </c>
      <c r="R293">
        <v>-502.68675849347369</v>
      </c>
      <c r="S293">
        <v>1</v>
      </c>
      <c r="T293">
        <v>1</v>
      </c>
      <c r="U293" t="s">
        <v>2516</v>
      </c>
      <c r="W293">
        <v>0</v>
      </c>
      <c r="X293" t="e">
        <f t="shared" ca="1" si="46"/>
        <v>#REF!</v>
      </c>
      <c r="Y293">
        <v>0</v>
      </c>
      <c r="Z293" t="e">
        <f t="shared" ca="1" si="47"/>
        <v>#REF!</v>
      </c>
      <c r="AA293" s="152" t="e">
        <f t="shared" ca="1" si="52"/>
        <v>#REF!</v>
      </c>
      <c r="AB293" s="152" t="e">
        <f t="shared" ca="1" si="53"/>
        <v>#REF!</v>
      </c>
      <c r="AC293">
        <v>1</v>
      </c>
      <c r="AD293">
        <v>1</v>
      </c>
      <c r="AE293" t="str">
        <f t="shared" si="54"/>
        <v>'[2022 - Aryapratama &amp; Pauliuk - STE - AppF.xlsx]GWPdyn_PF_SF - Fig.4(g)'!L</v>
      </c>
      <c r="AG293">
        <v>256.36341951965699</v>
      </c>
      <c r="AH293">
        <v>502.68675849347369</v>
      </c>
      <c r="AI293">
        <f t="shared" si="51"/>
        <v>-256.36341951965699</v>
      </c>
      <c r="AJ293">
        <f t="shared" si="51"/>
        <v>-502.68675849347369</v>
      </c>
    </row>
    <row r="294" spans="9:36">
      <c r="I294">
        <v>200</v>
      </c>
      <c r="J294" t="s">
        <v>293</v>
      </c>
      <c r="K294" s="2" t="s">
        <v>275</v>
      </c>
      <c r="M294">
        <v>0</v>
      </c>
      <c r="N294">
        <v>225.96603773584911</v>
      </c>
      <c r="O294">
        <v>0</v>
      </c>
      <c r="P294">
        <v>135.57962264150939</v>
      </c>
      <c r="Q294">
        <v>-51.111049251716672</v>
      </c>
      <c r="R294">
        <v>-435.66826611219864</v>
      </c>
      <c r="S294">
        <v>1</v>
      </c>
      <c r="T294">
        <v>1</v>
      </c>
      <c r="U294" t="s">
        <v>2516</v>
      </c>
      <c r="W294">
        <v>0</v>
      </c>
      <c r="X294" t="e">
        <f t="shared" ca="1" si="46"/>
        <v>#REF!</v>
      </c>
      <c r="Y294">
        <v>0</v>
      </c>
      <c r="Z294" t="e">
        <f t="shared" ca="1" si="47"/>
        <v>#REF!</v>
      </c>
      <c r="AA294" s="152" t="e">
        <f t="shared" ca="1" si="52"/>
        <v>#REF!</v>
      </c>
      <c r="AB294" s="152" t="e">
        <f t="shared" ca="1" si="53"/>
        <v>#REF!</v>
      </c>
      <c r="AC294">
        <v>1</v>
      </c>
      <c r="AD294">
        <v>1</v>
      </c>
      <c r="AE294" t="str">
        <f t="shared" si="54"/>
        <v>'[2022 - Aryapratama &amp; Pauliuk - STE - AppF.xlsx]GWPdyn_PF_SF - Fig.4(g)'!L</v>
      </c>
      <c r="AG294">
        <v>51.111049251716672</v>
      </c>
      <c r="AH294">
        <v>435.66826611219864</v>
      </c>
      <c r="AI294">
        <f t="shared" si="51"/>
        <v>-51.111049251716672</v>
      </c>
      <c r="AJ294">
        <f t="shared" si="51"/>
        <v>-435.66826611219864</v>
      </c>
    </row>
    <row r="295" spans="9:36">
      <c r="I295">
        <v>50</v>
      </c>
      <c r="J295" t="s">
        <v>328</v>
      </c>
      <c r="K295" s="2" t="s">
        <v>320</v>
      </c>
      <c r="M295">
        <v>0</v>
      </c>
      <c r="N295">
        <v>225.96603773584911</v>
      </c>
      <c r="O295">
        <v>0</v>
      </c>
      <c r="P295">
        <v>180.77283018867931</v>
      </c>
      <c r="Q295">
        <v>-492.14170694588267</v>
      </c>
      <c r="R295">
        <v>-683.46368424028469</v>
      </c>
      <c r="S295">
        <v>1</v>
      </c>
      <c r="T295">
        <v>1</v>
      </c>
      <c r="U295" t="s">
        <v>2516</v>
      </c>
      <c r="W295">
        <v>0</v>
      </c>
      <c r="X295" t="e">
        <f t="shared" ca="1" si="46"/>
        <v>#REF!</v>
      </c>
      <c r="Y295">
        <v>0</v>
      </c>
      <c r="Z295" t="e">
        <f t="shared" ca="1" si="47"/>
        <v>#REF!</v>
      </c>
      <c r="AA295" s="152" t="e">
        <f t="shared" ca="1" si="52"/>
        <v>#REF!</v>
      </c>
      <c r="AB295" s="152" t="e">
        <f t="shared" ca="1" si="53"/>
        <v>#REF!</v>
      </c>
      <c r="AC295">
        <v>1</v>
      </c>
      <c r="AD295">
        <v>1</v>
      </c>
      <c r="AE295" t="str">
        <f t="shared" si="54"/>
        <v>'[2022 - Aryapratama &amp; Pauliuk - STE - AppF.xlsx]GWPdyn_PF_SF - Fig.4(g)'!L</v>
      </c>
      <c r="AG295">
        <v>492.14170694588267</v>
      </c>
      <c r="AH295">
        <v>683.46368424028469</v>
      </c>
      <c r="AI295">
        <f t="shared" si="51"/>
        <v>-492.14170694588267</v>
      </c>
      <c r="AJ295">
        <f t="shared" si="51"/>
        <v>-683.46368424028469</v>
      </c>
    </row>
    <row r="296" spans="9:36">
      <c r="I296">
        <v>100</v>
      </c>
      <c r="J296" t="s">
        <v>328</v>
      </c>
      <c r="K296" s="2" t="s">
        <v>320</v>
      </c>
      <c r="M296">
        <v>0</v>
      </c>
      <c r="N296">
        <v>225.96603773584911</v>
      </c>
      <c r="O296">
        <v>0</v>
      </c>
      <c r="P296">
        <v>180.77283018867931</v>
      </c>
      <c r="Q296">
        <v>-389.94196865720068</v>
      </c>
      <c r="R296">
        <v>-588.42624598329485</v>
      </c>
      <c r="S296">
        <v>1</v>
      </c>
      <c r="T296">
        <v>1</v>
      </c>
      <c r="U296" t="s">
        <v>2516</v>
      </c>
      <c r="W296">
        <v>0</v>
      </c>
      <c r="X296" t="e">
        <f t="shared" ca="1" si="46"/>
        <v>#REF!</v>
      </c>
      <c r="Y296">
        <v>0</v>
      </c>
      <c r="Z296" t="e">
        <f t="shared" ca="1" si="47"/>
        <v>#REF!</v>
      </c>
      <c r="AA296" s="152" t="e">
        <f t="shared" ca="1" si="52"/>
        <v>#REF!</v>
      </c>
      <c r="AB296" s="152" t="e">
        <f t="shared" ca="1" si="53"/>
        <v>#REF!</v>
      </c>
      <c r="AC296">
        <v>1</v>
      </c>
      <c r="AD296">
        <v>1</v>
      </c>
      <c r="AE296" t="str">
        <f t="shared" si="54"/>
        <v>'[2022 - Aryapratama &amp; Pauliuk - STE - AppF.xlsx]GWPdyn_PF_SF - Fig.4(g)'!L</v>
      </c>
      <c r="AG296">
        <v>389.94196865720068</v>
      </c>
      <c r="AH296">
        <v>588.42624598329485</v>
      </c>
      <c r="AI296">
        <f t="shared" si="51"/>
        <v>-389.94196865720068</v>
      </c>
      <c r="AJ296">
        <f t="shared" si="51"/>
        <v>-588.42624598329485</v>
      </c>
    </row>
    <row r="297" spans="9:36">
      <c r="I297">
        <v>200</v>
      </c>
      <c r="J297" t="s">
        <v>328</v>
      </c>
      <c r="K297" s="2" t="s">
        <v>320</v>
      </c>
      <c r="M297">
        <v>0</v>
      </c>
      <c r="N297">
        <v>225.96603773584911</v>
      </c>
      <c r="O297">
        <v>0</v>
      </c>
      <c r="P297">
        <v>180.77283018867931</v>
      </c>
      <c r="Q297">
        <v>-184.68959838926031</v>
      </c>
      <c r="R297">
        <v>-448.98121307248744</v>
      </c>
      <c r="S297">
        <v>1</v>
      </c>
      <c r="T297">
        <v>1</v>
      </c>
      <c r="U297" t="s">
        <v>2516</v>
      </c>
      <c r="W297">
        <v>0</v>
      </c>
      <c r="X297" t="e">
        <f t="shared" ca="1" si="46"/>
        <v>#REF!</v>
      </c>
      <c r="Y297">
        <v>0</v>
      </c>
      <c r="Z297" t="e">
        <f t="shared" ca="1" si="47"/>
        <v>#REF!</v>
      </c>
      <c r="AA297" s="152" t="e">
        <f t="shared" ca="1" si="52"/>
        <v>#REF!</v>
      </c>
      <c r="AB297" s="152" t="e">
        <f t="shared" ca="1" si="53"/>
        <v>#REF!</v>
      </c>
      <c r="AC297">
        <v>1</v>
      </c>
      <c r="AD297">
        <v>1</v>
      </c>
      <c r="AE297" t="str">
        <f t="shared" si="54"/>
        <v>'[2022 - Aryapratama &amp; Pauliuk - STE - AppF.xlsx]GWPdyn_PF_SF - Fig.4(g)'!L</v>
      </c>
      <c r="AG297">
        <v>184.68959838926031</v>
      </c>
      <c r="AH297">
        <v>448.98121307248744</v>
      </c>
      <c r="AI297">
        <f t="shared" si="51"/>
        <v>-184.68959838926031</v>
      </c>
      <c r="AJ297">
        <f t="shared" si="51"/>
        <v>-448.98121307248744</v>
      </c>
    </row>
    <row r="298" spans="9:36">
      <c r="I298">
        <v>50</v>
      </c>
      <c r="J298" t="s">
        <v>2517</v>
      </c>
      <c r="K298" s="2" t="s">
        <v>2518</v>
      </c>
      <c r="M298">
        <v>0</v>
      </c>
      <c r="N298">
        <v>590.46886193540468</v>
      </c>
      <c r="O298">
        <v>0</v>
      </c>
      <c r="P298">
        <v>265.71098787093206</v>
      </c>
      <c r="Q298">
        <v>-559.28752781846788</v>
      </c>
      <c r="R298">
        <v>-870.70033536556764</v>
      </c>
      <c r="S298">
        <v>7</v>
      </c>
      <c r="T298">
        <v>2</v>
      </c>
      <c r="U298" t="s">
        <v>2519</v>
      </c>
      <c r="W298">
        <v>0</v>
      </c>
      <c r="X298" t="e">
        <f t="shared" ca="1" si="46"/>
        <v>#REF!</v>
      </c>
      <c r="Y298">
        <v>0</v>
      </c>
      <c r="Z298" t="e">
        <f t="shared" ca="1" si="47"/>
        <v>#REF!</v>
      </c>
      <c r="AA298" s="152" t="e">
        <f t="shared" ca="1" si="52"/>
        <v>#REF!</v>
      </c>
      <c r="AB298" s="152" t="e">
        <f t="shared" ca="1" si="53"/>
        <v>#REF!</v>
      </c>
      <c r="AC298">
        <v>7</v>
      </c>
      <c r="AD298">
        <v>2</v>
      </c>
      <c r="AE298" t="str">
        <f t="shared" ref="AE298:AE309" si="55">"'[2022 - Aryapratama &amp; Pauliuk - STE - AppF.xlsx]GWPdyn_"&amp;LEFT(K298,5)&amp;" - Fig.4(h)'!L"</f>
        <v>'[2022 - Aryapratama &amp; Pauliuk - STE - AppF.xlsx]GWPdyn_PF_FP - Fig.4(h)'!L</v>
      </c>
      <c r="AG298">
        <v>559.28752781846788</v>
      </c>
      <c r="AH298">
        <v>870.70033536556764</v>
      </c>
      <c r="AI298">
        <f t="shared" si="51"/>
        <v>-559.28752781846788</v>
      </c>
      <c r="AJ298">
        <f t="shared" si="51"/>
        <v>-870.70033536556764</v>
      </c>
    </row>
    <row r="299" spans="9:36">
      <c r="I299">
        <v>100</v>
      </c>
      <c r="J299" t="s">
        <v>2517</v>
      </c>
      <c r="K299" s="2" t="s">
        <v>2518</v>
      </c>
      <c r="M299">
        <v>0</v>
      </c>
      <c r="N299">
        <v>954.97168613496024</v>
      </c>
      <c r="O299">
        <v>0</v>
      </c>
      <c r="P299">
        <v>429.73725876073206</v>
      </c>
      <c r="Q299">
        <v>-808.82207371160791</v>
      </c>
      <c r="R299">
        <v>-990.65809626676389</v>
      </c>
      <c r="S299">
        <v>7</v>
      </c>
      <c r="T299">
        <v>2</v>
      </c>
      <c r="U299" t="s">
        <v>2519</v>
      </c>
      <c r="W299">
        <v>0</v>
      </c>
      <c r="X299" t="e">
        <f t="shared" ca="1" si="46"/>
        <v>#REF!</v>
      </c>
      <c r="Y299">
        <v>0</v>
      </c>
      <c r="Z299" t="e">
        <f t="shared" ca="1" si="47"/>
        <v>#REF!</v>
      </c>
      <c r="AA299" s="152" t="e">
        <f t="shared" ca="1" si="52"/>
        <v>#REF!</v>
      </c>
      <c r="AB299" s="152" t="e">
        <f t="shared" ca="1" si="53"/>
        <v>#REF!</v>
      </c>
      <c r="AC299">
        <v>7</v>
      </c>
      <c r="AD299">
        <v>2</v>
      </c>
      <c r="AE299" t="str">
        <f t="shared" si="55"/>
        <v>'[2022 - Aryapratama &amp; Pauliuk - STE - AppF.xlsx]GWPdyn_PF_FP - Fig.4(h)'!L</v>
      </c>
      <c r="AG299">
        <v>808.82207371160791</v>
      </c>
      <c r="AH299">
        <v>990.65809626676389</v>
      </c>
      <c r="AI299">
        <f t="shared" si="51"/>
        <v>-808.82207371160791</v>
      </c>
      <c r="AJ299">
        <f t="shared" si="51"/>
        <v>-990.65809626676389</v>
      </c>
    </row>
    <row r="300" spans="9:36">
      <c r="I300">
        <v>200</v>
      </c>
      <c r="J300" t="s">
        <v>2517</v>
      </c>
      <c r="K300" s="2" t="s">
        <v>2518</v>
      </c>
      <c r="M300">
        <v>0</v>
      </c>
      <c r="N300">
        <v>1683.9773345340714</v>
      </c>
      <c r="O300">
        <v>0</v>
      </c>
      <c r="P300">
        <v>757.78980054033161</v>
      </c>
      <c r="Q300">
        <v>-1308.953389930055</v>
      </c>
      <c r="R300">
        <v>-1160.011828609915</v>
      </c>
      <c r="S300">
        <v>7</v>
      </c>
      <c r="T300">
        <v>2</v>
      </c>
      <c r="U300" t="s">
        <v>2519</v>
      </c>
      <c r="W300">
        <v>0</v>
      </c>
      <c r="X300" t="e">
        <f t="shared" ca="1" si="46"/>
        <v>#REF!</v>
      </c>
      <c r="Y300">
        <v>0</v>
      </c>
      <c r="Z300" t="e">
        <f t="shared" ca="1" si="47"/>
        <v>#REF!</v>
      </c>
      <c r="AA300" s="152" t="e">
        <f t="shared" ca="1" si="52"/>
        <v>#REF!</v>
      </c>
      <c r="AB300" s="152" t="e">
        <f t="shared" ca="1" si="53"/>
        <v>#REF!</v>
      </c>
      <c r="AC300">
        <v>7</v>
      </c>
      <c r="AD300">
        <v>2</v>
      </c>
      <c r="AE300" t="str">
        <f t="shared" si="55"/>
        <v>'[2022 - Aryapratama &amp; Pauliuk - STE - AppF.xlsx]GWPdyn_PF_FP - Fig.4(h)'!L</v>
      </c>
      <c r="AG300">
        <v>1308.953389930055</v>
      </c>
      <c r="AH300">
        <v>1160.011828609915</v>
      </c>
      <c r="AI300">
        <f t="shared" si="51"/>
        <v>-1308.953389930055</v>
      </c>
      <c r="AJ300">
        <f t="shared" si="51"/>
        <v>-1160.011828609915</v>
      </c>
    </row>
    <row r="301" spans="9:36">
      <c r="I301">
        <v>50</v>
      </c>
      <c r="J301" t="s">
        <v>2520</v>
      </c>
      <c r="K301" s="2" t="s">
        <v>2521</v>
      </c>
      <c r="M301">
        <v>0</v>
      </c>
      <c r="N301">
        <v>377.88189133326432</v>
      </c>
      <c r="O301">
        <v>0</v>
      </c>
      <c r="P301">
        <v>226.7291347999585</v>
      </c>
      <c r="Q301">
        <v>-515.07151116792033</v>
      </c>
      <c r="R301">
        <v>-617.93246272463909</v>
      </c>
      <c r="S301">
        <v>8</v>
      </c>
      <c r="T301">
        <v>2</v>
      </c>
      <c r="U301" t="s">
        <v>2519</v>
      </c>
      <c r="W301">
        <v>0</v>
      </c>
      <c r="X301" t="e">
        <f t="shared" ca="1" si="46"/>
        <v>#REF!</v>
      </c>
      <c r="Y301">
        <v>0</v>
      </c>
      <c r="Z301" t="e">
        <f t="shared" ca="1" si="47"/>
        <v>#REF!</v>
      </c>
      <c r="AA301" s="152" t="e">
        <f t="shared" ca="1" si="52"/>
        <v>#REF!</v>
      </c>
      <c r="AB301" s="152" t="e">
        <f t="shared" ca="1" si="53"/>
        <v>#REF!</v>
      </c>
      <c r="AC301">
        <v>8</v>
      </c>
      <c r="AD301">
        <v>2</v>
      </c>
      <c r="AE301" t="str">
        <f t="shared" si="55"/>
        <v>'[2022 - Aryapratama &amp; Pauliuk - STE - AppF.xlsx]GWPdyn_PF_FP - Fig.4(h)'!L</v>
      </c>
      <c r="AG301">
        <v>515.07151116792033</v>
      </c>
      <c r="AH301">
        <v>617.93246272463909</v>
      </c>
      <c r="AI301">
        <f t="shared" si="51"/>
        <v>-515.07151116792033</v>
      </c>
      <c r="AJ301">
        <f t="shared" si="51"/>
        <v>-617.93246272463909</v>
      </c>
    </row>
    <row r="302" spans="9:36">
      <c r="I302">
        <v>100</v>
      </c>
      <c r="J302" t="s">
        <v>2520</v>
      </c>
      <c r="K302" s="2" t="s">
        <v>2521</v>
      </c>
      <c r="M302">
        <v>0</v>
      </c>
      <c r="N302">
        <v>605.75567172938713</v>
      </c>
      <c r="O302">
        <v>0</v>
      </c>
      <c r="P302">
        <v>363.45340303763226</v>
      </c>
      <c r="Q302">
        <v>-642.71245617211093</v>
      </c>
      <c r="R302">
        <v>-768.12774512252213</v>
      </c>
      <c r="S302">
        <v>8</v>
      </c>
      <c r="T302">
        <v>2</v>
      </c>
      <c r="U302" t="s">
        <v>2519</v>
      </c>
      <c r="W302">
        <v>0</v>
      </c>
      <c r="X302" t="e">
        <f t="shared" ca="1" si="46"/>
        <v>#REF!</v>
      </c>
      <c r="Y302">
        <v>0</v>
      </c>
      <c r="Z302" t="e">
        <f t="shared" ca="1" si="47"/>
        <v>#REF!</v>
      </c>
      <c r="AA302" s="152" t="e">
        <f t="shared" ca="1" si="52"/>
        <v>#REF!</v>
      </c>
      <c r="AB302" s="152" t="e">
        <f t="shared" ca="1" si="53"/>
        <v>#REF!</v>
      </c>
      <c r="AC302">
        <v>8</v>
      </c>
      <c r="AD302">
        <v>2</v>
      </c>
      <c r="AE302" t="str">
        <f t="shared" si="55"/>
        <v>'[2022 - Aryapratama &amp; Pauliuk - STE - AppF.xlsx]GWPdyn_PF_FP - Fig.4(h)'!L</v>
      </c>
      <c r="AG302">
        <v>642.71245617211093</v>
      </c>
      <c r="AH302">
        <v>768.12774512252213</v>
      </c>
      <c r="AI302">
        <f t="shared" si="51"/>
        <v>-642.71245617211093</v>
      </c>
      <c r="AJ302">
        <f t="shared" si="51"/>
        <v>-768.12774512252213</v>
      </c>
    </row>
    <row r="303" spans="9:36">
      <c r="I303">
        <v>200</v>
      </c>
      <c r="J303" t="s">
        <v>2520</v>
      </c>
      <c r="K303" s="2" t="s">
        <v>2521</v>
      </c>
      <c r="M303">
        <v>0</v>
      </c>
      <c r="N303">
        <v>985.54530572292515</v>
      </c>
      <c r="O303">
        <v>0</v>
      </c>
      <c r="P303">
        <v>591.32718343375518</v>
      </c>
      <c r="Q303">
        <v>-904.95784112113733</v>
      </c>
      <c r="R303">
        <v>-956.54496754124091</v>
      </c>
      <c r="S303">
        <v>8</v>
      </c>
      <c r="T303">
        <v>2</v>
      </c>
      <c r="U303" t="s">
        <v>2519</v>
      </c>
      <c r="W303">
        <v>0</v>
      </c>
      <c r="X303" t="e">
        <f t="shared" ca="1" si="46"/>
        <v>#REF!</v>
      </c>
      <c r="Y303">
        <v>0</v>
      </c>
      <c r="Z303" t="e">
        <f t="shared" ca="1" si="47"/>
        <v>#REF!</v>
      </c>
      <c r="AA303" s="152" t="e">
        <f t="shared" ca="1" si="52"/>
        <v>#REF!</v>
      </c>
      <c r="AB303" s="152" t="e">
        <f t="shared" ca="1" si="53"/>
        <v>#REF!</v>
      </c>
      <c r="AC303">
        <v>8</v>
      </c>
      <c r="AD303">
        <v>2</v>
      </c>
      <c r="AE303" t="str">
        <f t="shared" si="55"/>
        <v>'[2022 - Aryapratama &amp; Pauliuk - STE - AppF.xlsx]GWPdyn_PF_FP - Fig.4(h)'!L</v>
      </c>
      <c r="AG303">
        <v>904.95784112113733</v>
      </c>
      <c r="AH303">
        <v>956.54496754124091</v>
      </c>
      <c r="AI303">
        <f t="shared" si="51"/>
        <v>-904.95784112113733</v>
      </c>
      <c r="AJ303">
        <f t="shared" si="51"/>
        <v>-956.54496754124091</v>
      </c>
    </row>
    <row r="304" spans="9:36">
      <c r="I304">
        <v>50</v>
      </c>
      <c r="J304" t="s">
        <v>2522</v>
      </c>
      <c r="K304" s="2" t="s">
        <v>2523</v>
      </c>
      <c r="M304">
        <v>0</v>
      </c>
      <c r="N304">
        <v>225.96603773584911</v>
      </c>
      <c r="O304">
        <v>0</v>
      </c>
      <c r="P304">
        <v>135.57962264150939</v>
      </c>
      <c r="Q304">
        <v>-360.60902005912311</v>
      </c>
      <c r="R304">
        <v>-458.81565081209919</v>
      </c>
      <c r="S304">
        <v>9</v>
      </c>
      <c r="T304">
        <v>2</v>
      </c>
      <c r="U304" t="s">
        <v>2519</v>
      </c>
      <c r="W304">
        <v>0</v>
      </c>
      <c r="X304" t="e">
        <f t="shared" ca="1" si="46"/>
        <v>#REF!</v>
      </c>
      <c r="Y304">
        <v>0</v>
      </c>
      <c r="Z304" t="e">
        <f t="shared" ca="1" si="47"/>
        <v>#REF!</v>
      </c>
      <c r="AA304" s="152" t="e">
        <f t="shared" ca="1" si="52"/>
        <v>#REF!</v>
      </c>
      <c r="AB304" s="152" t="e">
        <f t="shared" ca="1" si="53"/>
        <v>#REF!</v>
      </c>
      <c r="AC304">
        <v>9</v>
      </c>
      <c r="AD304">
        <v>2</v>
      </c>
      <c r="AE304" t="str">
        <f t="shared" si="55"/>
        <v>'[2022 - Aryapratama &amp; Pauliuk - STE - AppF.xlsx]GWPdyn_PF_FP - Fig.4(h)'!L</v>
      </c>
      <c r="AG304">
        <v>360.60902005912311</v>
      </c>
      <c r="AH304">
        <v>458.81565081209919</v>
      </c>
      <c r="AI304">
        <f t="shared" si="51"/>
        <v>-360.60902005912311</v>
      </c>
      <c r="AJ304">
        <f t="shared" si="51"/>
        <v>-458.81565081209919</v>
      </c>
    </row>
    <row r="305" spans="9:36">
      <c r="I305">
        <v>100</v>
      </c>
      <c r="J305" t="s">
        <v>2522</v>
      </c>
      <c r="K305" s="2" t="s">
        <v>2523</v>
      </c>
      <c r="M305">
        <v>0</v>
      </c>
      <c r="N305">
        <v>322.5783683718746</v>
      </c>
      <c r="O305">
        <v>0</v>
      </c>
      <c r="P305">
        <v>193.54702102312467</v>
      </c>
      <c r="Q305">
        <v>-354.25011993341019</v>
      </c>
      <c r="R305">
        <v>-567.94520592120887</v>
      </c>
      <c r="S305">
        <v>9</v>
      </c>
      <c r="T305">
        <v>2</v>
      </c>
      <c r="U305" t="s">
        <v>2519</v>
      </c>
      <c r="W305">
        <v>0</v>
      </c>
      <c r="X305" t="e">
        <f t="shared" ca="1" si="46"/>
        <v>#REF!</v>
      </c>
      <c r="Y305">
        <v>0</v>
      </c>
      <c r="Z305" t="e">
        <f t="shared" ca="1" si="47"/>
        <v>#REF!</v>
      </c>
      <c r="AA305" s="152" t="e">
        <f t="shared" ca="1" si="52"/>
        <v>#REF!</v>
      </c>
      <c r="AB305" s="152" t="e">
        <f t="shared" ca="1" si="53"/>
        <v>#REF!</v>
      </c>
      <c r="AC305">
        <v>9</v>
      </c>
      <c r="AD305">
        <v>2</v>
      </c>
      <c r="AE305" t="str">
        <f t="shared" si="55"/>
        <v>'[2022 - Aryapratama &amp; Pauliuk - STE - AppF.xlsx]GWPdyn_PF_FP - Fig.4(h)'!L</v>
      </c>
      <c r="AG305">
        <v>354.25011993341019</v>
      </c>
      <c r="AH305">
        <v>567.94520592120887</v>
      </c>
      <c r="AI305">
        <f t="shared" si="51"/>
        <v>-354.25011993341019</v>
      </c>
      <c r="AJ305">
        <f t="shared" si="51"/>
        <v>-567.94520592120887</v>
      </c>
    </row>
    <row r="306" spans="9:36">
      <c r="I306">
        <v>200</v>
      </c>
      <c r="J306" t="s">
        <v>2522</v>
      </c>
      <c r="K306" s="2" t="s">
        <v>2523</v>
      </c>
      <c r="M306">
        <v>0</v>
      </c>
      <c r="N306">
        <v>515.80302964392558</v>
      </c>
      <c r="O306">
        <v>0</v>
      </c>
      <c r="P306">
        <v>309.48181778635524</v>
      </c>
      <c r="Q306">
        <v>-329.48380978417958</v>
      </c>
      <c r="R306">
        <v>-628.19875545968</v>
      </c>
      <c r="S306">
        <v>9</v>
      </c>
      <c r="T306">
        <v>2</v>
      </c>
      <c r="U306" t="s">
        <v>2519</v>
      </c>
      <c r="W306">
        <v>0</v>
      </c>
      <c r="X306" t="e">
        <f t="shared" ca="1" si="46"/>
        <v>#REF!</v>
      </c>
      <c r="Y306">
        <v>0</v>
      </c>
      <c r="Z306" t="e">
        <f t="shared" ca="1" si="47"/>
        <v>#REF!</v>
      </c>
      <c r="AA306" s="152" t="e">
        <f t="shared" ca="1" si="52"/>
        <v>#REF!</v>
      </c>
      <c r="AB306" s="152" t="e">
        <f t="shared" ca="1" si="53"/>
        <v>#REF!</v>
      </c>
      <c r="AC306">
        <v>9</v>
      </c>
      <c r="AD306">
        <v>2</v>
      </c>
      <c r="AE306" t="str">
        <f t="shared" si="55"/>
        <v>'[2022 - Aryapratama &amp; Pauliuk - STE - AppF.xlsx]GWPdyn_PF_FP - Fig.4(h)'!L</v>
      </c>
      <c r="AG306">
        <v>329.48380978417958</v>
      </c>
      <c r="AH306">
        <v>628.19875545968</v>
      </c>
      <c r="AI306">
        <f t="shared" si="51"/>
        <v>-329.48380978417958</v>
      </c>
      <c r="AJ306">
        <f t="shared" si="51"/>
        <v>-628.19875545968</v>
      </c>
    </row>
    <row r="307" spans="9:36">
      <c r="I307">
        <v>50</v>
      </c>
      <c r="J307" t="s">
        <v>2524</v>
      </c>
      <c r="K307" s="2" t="s">
        <v>2525</v>
      </c>
      <c r="M307">
        <v>0</v>
      </c>
      <c r="N307">
        <v>286.09433962264143</v>
      </c>
      <c r="O307">
        <v>0</v>
      </c>
      <c r="P307">
        <v>228.87547169811316</v>
      </c>
      <c r="Q307">
        <v>-574.00406694837011</v>
      </c>
      <c r="R307">
        <v>-811.16014590587781</v>
      </c>
      <c r="S307">
        <v>9</v>
      </c>
      <c r="T307">
        <v>2</v>
      </c>
      <c r="U307" t="s">
        <v>2519</v>
      </c>
      <c r="W307">
        <v>0</v>
      </c>
      <c r="X307" t="e">
        <f t="shared" ca="1" si="46"/>
        <v>#REF!</v>
      </c>
      <c r="Y307">
        <v>0</v>
      </c>
      <c r="Z307" t="e">
        <f t="shared" ca="1" si="47"/>
        <v>#REF!</v>
      </c>
      <c r="AA307" s="152" t="e">
        <f t="shared" ca="1" si="52"/>
        <v>#REF!</v>
      </c>
      <c r="AB307" s="152" t="e">
        <f t="shared" ca="1" si="53"/>
        <v>#REF!</v>
      </c>
      <c r="AC307">
        <v>9</v>
      </c>
      <c r="AD307">
        <v>2</v>
      </c>
      <c r="AE307" t="str">
        <f t="shared" si="55"/>
        <v>'[2022 - Aryapratama &amp; Pauliuk - STE - AppF.xlsx]GWPdyn_PF_FP - Fig.4(h)'!L</v>
      </c>
      <c r="AG307">
        <v>574.00406694837011</v>
      </c>
      <c r="AH307">
        <v>811.16014590587781</v>
      </c>
      <c r="AI307">
        <f t="shared" si="51"/>
        <v>-574.00406694837011</v>
      </c>
      <c r="AJ307">
        <f t="shared" si="51"/>
        <v>-811.16014590587781</v>
      </c>
    </row>
    <row r="308" spans="9:36">
      <c r="I308">
        <v>100</v>
      </c>
      <c r="J308" t="s">
        <v>2524</v>
      </c>
      <c r="K308" s="2" t="s">
        <v>2525</v>
      </c>
      <c r="M308">
        <v>0</v>
      </c>
      <c r="N308">
        <v>346.22264150943386</v>
      </c>
      <c r="O308">
        <v>0</v>
      </c>
      <c r="P308">
        <v>276.97811320754715</v>
      </c>
      <c r="Q308">
        <v>-627.22269789912832</v>
      </c>
      <c r="R308">
        <v>-832.29941220987405</v>
      </c>
      <c r="S308">
        <v>9</v>
      </c>
      <c r="T308">
        <v>2</v>
      </c>
      <c r="U308" t="s">
        <v>2519</v>
      </c>
      <c r="W308">
        <v>0</v>
      </c>
      <c r="X308" t="e">
        <f t="shared" ca="1" si="46"/>
        <v>#REF!</v>
      </c>
      <c r="Y308">
        <v>0</v>
      </c>
      <c r="Z308" t="e">
        <f t="shared" ca="1" si="47"/>
        <v>#REF!</v>
      </c>
      <c r="AA308" s="152" t="e">
        <f t="shared" ca="1" si="52"/>
        <v>#REF!</v>
      </c>
      <c r="AB308" s="152" t="e">
        <f t="shared" ca="1" si="53"/>
        <v>#REF!</v>
      </c>
      <c r="AC308">
        <v>9</v>
      </c>
      <c r="AD308">
        <v>2</v>
      </c>
      <c r="AE308" t="str">
        <f t="shared" si="55"/>
        <v>'[2022 - Aryapratama &amp; Pauliuk - STE - AppF.xlsx]GWPdyn_PF_FP - Fig.4(h)'!L</v>
      </c>
      <c r="AG308">
        <v>627.22269789912832</v>
      </c>
      <c r="AH308">
        <v>832.29941220987405</v>
      </c>
      <c r="AI308">
        <f t="shared" si="51"/>
        <v>-627.22269789912832</v>
      </c>
      <c r="AJ308">
        <f t="shared" si="51"/>
        <v>-832.29941220987405</v>
      </c>
    </row>
    <row r="309" spans="9:36">
      <c r="I309">
        <v>200</v>
      </c>
      <c r="J309" t="s">
        <v>2524</v>
      </c>
      <c r="K309" s="2" t="s">
        <v>2525</v>
      </c>
      <c r="M309">
        <v>0</v>
      </c>
      <c r="N309">
        <v>466.47924528301871</v>
      </c>
      <c r="O309">
        <v>0</v>
      </c>
      <c r="P309">
        <v>373.18339622641508</v>
      </c>
      <c r="Q309">
        <v>-729.83506452863935</v>
      </c>
      <c r="R309">
        <v>-858.14682671510911</v>
      </c>
      <c r="S309">
        <v>9</v>
      </c>
      <c r="T309">
        <v>2</v>
      </c>
      <c r="U309" t="s">
        <v>2519</v>
      </c>
      <c r="W309">
        <v>0</v>
      </c>
      <c r="X309" t="e">
        <f t="shared" ca="1" si="46"/>
        <v>#REF!</v>
      </c>
      <c r="Y309">
        <v>0</v>
      </c>
      <c r="Z309" t="e">
        <f t="shared" ca="1" si="47"/>
        <v>#REF!</v>
      </c>
      <c r="AA309" s="152" t="e">
        <f t="shared" ca="1" si="52"/>
        <v>#REF!</v>
      </c>
      <c r="AB309" s="152" t="e">
        <f t="shared" ca="1" si="53"/>
        <v>#REF!</v>
      </c>
      <c r="AC309">
        <v>9</v>
      </c>
      <c r="AD309">
        <v>2</v>
      </c>
      <c r="AE309" t="str">
        <f t="shared" si="55"/>
        <v>'[2022 - Aryapratama &amp; Pauliuk - STE - AppF.xlsx]GWPdyn_PF_FP - Fig.4(h)'!L</v>
      </c>
      <c r="AG309">
        <v>729.83506452863935</v>
      </c>
      <c r="AH309">
        <v>858.14682671510911</v>
      </c>
      <c r="AI309">
        <f t="shared" si="51"/>
        <v>-729.83506452863935</v>
      </c>
      <c r="AJ309">
        <f t="shared" si="51"/>
        <v>-858.14682671510911</v>
      </c>
    </row>
    <row r="310" spans="9:36">
      <c r="I310">
        <v>50</v>
      </c>
      <c r="J310" t="s">
        <v>2526</v>
      </c>
      <c r="K310" s="2" t="s">
        <v>2527</v>
      </c>
      <c r="M310">
        <v>0</v>
      </c>
      <c r="N310">
        <v>367.50282419955545</v>
      </c>
      <c r="O310">
        <v>0</v>
      </c>
      <c r="P310">
        <v>164.02627088979997</v>
      </c>
      <c r="Q310">
        <v>-293.93651380696792</v>
      </c>
      <c r="R310">
        <v>77.331302173432363</v>
      </c>
      <c r="S310">
        <v>7</v>
      </c>
      <c r="T310">
        <v>2</v>
      </c>
      <c r="U310" t="s">
        <v>2528</v>
      </c>
      <c r="W310">
        <v>0</v>
      </c>
      <c r="X310" t="e">
        <f t="shared" ca="1" si="46"/>
        <v>#REF!</v>
      </c>
      <c r="Y310">
        <v>0</v>
      </c>
      <c r="Z310" t="e">
        <f t="shared" ca="1" si="47"/>
        <v>#REF!</v>
      </c>
      <c r="AA310" s="152" t="e">
        <f t="shared" ca="1" si="52"/>
        <v>#REF!</v>
      </c>
      <c r="AB310" s="152" t="e">
        <f t="shared" ca="1" si="53"/>
        <v>#REF!</v>
      </c>
      <c r="AC310">
        <v>7</v>
      </c>
      <c r="AD310">
        <v>2</v>
      </c>
      <c r="AE310" t="str">
        <f t="shared" ref="AE310:AE321" si="56">"'[2022 - Aryapratama &amp; Pauliuk - STE - AppF.xlsx]GWPdyn_"&amp;LEFT(K310,5)&amp;" - Fig.4(i)'!L"</f>
        <v>'[2022 - Aryapratama &amp; Pauliuk - STE - AppF.xlsx]GWPdyn_DL_FP - Fig.4(i)'!L</v>
      </c>
      <c r="AG310">
        <v>293.93651380696792</v>
      </c>
      <c r="AH310">
        <v>-77.331302173432363</v>
      </c>
      <c r="AI310">
        <f t="shared" si="51"/>
        <v>-293.93651380696792</v>
      </c>
      <c r="AJ310">
        <f t="shared" si="51"/>
        <v>77.331302173432363</v>
      </c>
    </row>
    <row r="311" spans="9:36">
      <c r="I311">
        <v>100</v>
      </c>
      <c r="J311" t="s">
        <v>2526</v>
      </c>
      <c r="K311" s="2" t="s">
        <v>2527</v>
      </c>
      <c r="M311">
        <v>0</v>
      </c>
      <c r="N311">
        <v>732.00564839911101</v>
      </c>
      <c r="O311">
        <v>0</v>
      </c>
      <c r="P311">
        <v>328.05254177959995</v>
      </c>
      <c r="Q311">
        <v>-645.67518499586413</v>
      </c>
      <c r="R311">
        <v>-41.927947193381058</v>
      </c>
      <c r="S311">
        <v>7</v>
      </c>
      <c r="T311">
        <v>2</v>
      </c>
      <c r="U311" t="s">
        <v>2528</v>
      </c>
      <c r="W311">
        <v>0</v>
      </c>
      <c r="X311" t="e">
        <f t="shared" ca="1" si="46"/>
        <v>#REF!</v>
      </c>
      <c r="Y311">
        <v>0</v>
      </c>
      <c r="Z311" t="e">
        <f t="shared" ca="1" si="47"/>
        <v>#REF!</v>
      </c>
      <c r="AA311" s="152" t="e">
        <f t="shared" ca="1" si="52"/>
        <v>#REF!</v>
      </c>
      <c r="AB311" s="152" t="e">
        <f t="shared" ca="1" si="53"/>
        <v>#REF!</v>
      </c>
      <c r="AC311">
        <v>7</v>
      </c>
      <c r="AD311">
        <v>2</v>
      </c>
      <c r="AE311" t="str">
        <f t="shared" si="56"/>
        <v>'[2022 - Aryapratama &amp; Pauliuk - STE - AppF.xlsx]GWPdyn_DL_FP - Fig.4(i)'!L</v>
      </c>
      <c r="AG311">
        <v>645.67518499586413</v>
      </c>
      <c r="AH311">
        <v>41.927947193381058</v>
      </c>
      <c r="AI311">
        <f t="shared" si="51"/>
        <v>-645.67518499586413</v>
      </c>
      <c r="AJ311">
        <f t="shared" si="51"/>
        <v>-41.927947193381058</v>
      </c>
    </row>
    <row r="312" spans="9:36">
      <c r="I312">
        <v>200</v>
      </c>
      <c r="J312" t="s">
        <v>2526</v>
      </c>
      <c r="K312" s="2" t="s">
        <v>2527</v>
      </c>
      <c r="M312">
        <v>0</v>
      </c>
      <c r="N312">
        <v>1461.011296798222</v>
      </c>
      <c r="O312">
        <v>0</v>
      </c>
      <c r="P312">
        <v>656.10508355919967</v>
      </c>
      <c r="Q312">
        <v>-1351.032773953493</v>
      </c>
      <c r="R312">
        <v>-227.6520247861325</v>
      </c>
      <c r="S312">
        <v>7</v>
      </c>
      <c r="T312">
        <v>2</v>
      </c>
      <c r="U312" t="s">
        <v>2528</v>
      </c>
      <c r="W312">
        <v>0</v>
      </c>
      <c r="X312" t="e">
        <f t="shared" ca="1" si="46"/>
        <v>#REF!</v>
      </c>
      <c r="Y312">
        <v>0</v>
      </c>
      <c r="Z312" t="e">
        <f t="shared" ca="1" si="47"/>
        <v>#REF!</v>
      </c>
      <c r="AA312" s="152" t="e">
        <f t="shared" ca="1" si="52"/>
        <v>#REF!</v>
      </c>
      <c r="AB312" s="152" t="e">
        <f t="shared" ca="1" si="53"/>
        <v>#REF!</v>
      </c>
      <c r="AC312">
        <v>7</v>
      </c>
      <c r="AD312">
        <v>2</v>
      </c>
      <c r="AE312" t="str">
        <f t="shared" si="56"/>
        <v>'[2022 - Aryapratama &amp; Pauliuk - STE - AppF.xlsx]GWPdyn_DL_FP - Fig.4(i)'!L</v>
      </c>
      <c r="AG312">
        <v>1351.032773953493</v>
      </c>
      <c r="AH312">
        <v>227.6520247861325</v>
      </c>
      <c r="AI312">
        <f t="shared" si="51"/>
        <v>-1351.032773953493</v>
      </c>
      <c r="AJ312">
        <f t="shared" si="51"/>
        <v>-227.6520247861325</v>
      </c>
    </row>
    <row r="313" spans="9:36">
      <c r="I313">
        <v>50</v>
      </c>
      <c r="J313" t="s">
        <v>2529</v>
      </c>
      <c r="K313" s="2" t="s">
        <v>2530</v>
      </c>
      <c r="M313">
        <v>0</v>
      </c>
      <c r="N313">
        <v>154.91585359741521</v>
      </c>
      <c r="O313">
        <v>0</v>
      </c>
      <c r="P313">
        <v>91.149512158449113</v>
      </c>
      <c r="Q313">
        <v>-155.15650615919409</v>
      </c>
      <c r="R313">
        <v>254.21120760929861</v>
      </c>
      <c r="S313">
        <v>8</v>
      </c>
      <c r="T313">
        <v>2</v>
      </c>
      <c r="U313" t="s">
        <v>2528</v>
      </c>
      <c r="W313">
        <v>0</v>
      </c>
      <c r="X313" t="e">
        <f t="shared" ca="1" si="46"/>
        <v>#REF!</v>
      </c>
      <c r="Y313">
        <v>0</v>
      </c>
      <c r="Z313" t="e">
        <f t="shared" ca="1" si="47"/>
        <v>#REF!</v>
      </c>
      <c r="AA313" s="152" t="e">
        <f t="shared" ca="1" si="52"/>
        <v>#REF!</v>
      </c>
      <c r="AB313" s="152" t="e">
        <f t="shared" ca="1" si="53"/>
        <v>#REF!</v>
      </c>
      <c r="AC313">
        <v>8</v>
      </c>
      <c r="AD313">
        <v>2</v>
      </c>
      <c r="AE313" t="str">
        <f t="shared" si="56"/>
        <v>'[2022 - Aryapratama &amp; Pauliuk - STE - AppF.xlsx]GWPdyn_DL_FP - Fig.4(i)'!L</v>
      </c>
      <c r="AG313">
        <v>155.15650615919409</v>
      </c>
      <c r="AH313">
        <v>-254.21120760929861</v>
      </c>
      <c r="AI313">
        <f t="shared" si="51"/>
        <v>-155.15650615919409</v>
      </c>
      <c r="AJ313">
        <f t="shared" si="51"/>
        <v>254.21120760929861</v>
      </c>
    </row>
    <row r="314" spans="9:36">
      <c r="I314">
        <v>100</v>
      </c>
      <c r="J314" t="s">
        <v>2529</v>
      </c>
      <c r="K314" s="2" t="s">
        <v>2530</v>
      </c>
      <c r="M314">
        <v>0</v>
      </c>
      <c r="N314">
        <v>382.78963399353802</v>
      </c>
      <c r="O314">
        <v>0</v>
      </c>
      <c r="P314">
        <v>227.87378039612278</v>
      </c>
      <c r="Q314">
        <v>-385.00157645914061</v>
      </c>
      <c r="R314">
        <v>185.53811788022131</v>
      </c>
      <c r="S314">
        <v>8</v>
      </c>
      <c r="T314">
        <v>2</v>
      </c>
      <c r="U314" t="s">
        <v>2528</v>
      </c>
      <c r="W314">
        <v>0</v>
      </c>
      <c r="X314" t="e">
        <f t="shared" ca="1" si="46"/>
        <v>#REF!</v>
      </c>
      <c r="Y314">
        <v>0</v>
      </c>
      <c r="Z314" t="e">
        <f t="shared" ca="1" si="47"/>
        <v>#REF!</v>
      </c>
      <c r="AA314" s="152" t="e">
        <f t="shared" ca="1" si="52"/>
        <v>#REF!</v>
      </c>
      <c r="AB314" s="152" t="e">
        <f t="shared" ca="1" si="53"/>
        <v>#REF!</v>
      </c>
      <c r="AC314">
        <v>8</v>
      </c>
      <c r="AD314">
        <v>2</v>
      </c>
      <c r="AE314" t="str">
        <f t="shared" si="56"/>
        <v>'[2022 - Aryapratama &amp; Pauliuk - STE - AppF.xlsx]GWPdyn_DL_FP - Fig.4(i)'!L</v>
      </c>
      <c r="AG314">
        <v>385.00157645914061</v>
      </c>
      <c r="AH314">
        <v>-185.53811788022131</v>
      </c>
      <c r="AI314">
        <f t="shared" si="51"/>
        <v>-385.00157645914061</v>
      </c>
      <c r="AJ314">
        <f t="shared" si="51"/>
        <v>185.53811788022131</v>
      </c>
    </row>
    <row r="315" spans="9:36">
      <c r="I315">
        <v>200</v>
      </c>
      <c r="J315" t="s">
        <v>2529</v>
      </c>
      <c r="K315" s="2" t="s">
        <v>2530</v>
      </c>
      <c r="M315">
        <v>0</v>
      </c>
      <c r="N315">
        <v>762.57926798707604</v>
      </c>
      <c r="O315">
        <v>0</v>
      </c>
      <c r="P315">
        <v>455.74756079224562</v>
      </c>
      <c r="Q315">
        <v>-852.47323414734842</v>
      </c>
      <c r="R315">
        <v>23.49403951814293</v>
      </c>
      <c r="S315">
        <v>8</v>
      </c>
      <c r="T315">
        <v>2</v>
      </c>
      <c r="U315" t="s">
        <v>2528</v>
      </c>
      <c r="W315">
        <v>0</v>
      </c>
      <c r="X315" t="e">
        <f t="shared" ca="1" si="46"/>
        <v>#REF!</v>
      </c>
      <c r="Y315">
        <v>0</v>
      </c>
      <c r="Z315" t="e">
        <f t="shared" ca="1" si="47"/>
        <v>#REF!</v>
      </c>
      <c r="AA315" s="152" t="e">
        <f t="shared" ca="1" si="52"/>
        <v>#REF!</v>
      </c>
      <c r="AB315" s="152" t="e">
        <f t="shared" ca="1" si="53"/>
        <v>#REF!</v>
      </c>
      <c r="AC315">
        <v>8</v>
      </c>
      <c r="AD315">
        <v>2</v>
      </c>
      <c r="AE315" t="str">
        <f t="shared" si="56"/>
        <v>'[2022 - Aryapratama &amp; Pauliuk - STE - AppF.xlsx]GWPdyn_DL_FP - Fig.4(i)'!L</v>
      </c>
      <c r="AG315">
        <v>852.47323414734842</v>
      </c>
      <c r="AH315">
        <v>-23.49403951814293</v>
      </c>
      <c r="AI315">
        <f t="shared" si="51"/>
        <v>-852.47323414734842</v>
      </c>
      <c r="AJ315">
        <f t="shared" si="51"/>
        <v>23.49403951814293</v>
      </c>
    </row>
    <row r="316" spans="9:36">
      <c r="I316">
        <v>50</v>
      </c>
      <c r="J316" t="s">
        <v>2531</v>
      </c>
      <c r="K316" s="2" t="s">
        <v>2532</v>
      </c>
      <c r="M316">
        <v>0</v>
      </c>
      <c r="N316">
        <v>3</v>
      </c>
      <c r="O316">
        <v>0</v>
      </c>
      <c r="P316">
        <v>0</v>
      </c>
      <c r="Q316">
        <v>0</v>
      </c>
      <c r="R316">
        <v>161.1445967933179</v>
      </c>
      <c r="S316">
        <v>9</v>
      </c>
      <c r="T316">
        <v>2</v>
      </c>
      <c r="U316" t="s">
        <v>2528</v>
      </c>
      <c r="W316">
        <v>0</v>
      </c>
      <c r="X316" t="e">
        <f t="shared" ca="1" si="46"/>
        <v>#REF!</v>
      </c>
      <c r="Y316">
        <v>0</v>
      </c>
      <c r="Z316" t="e">
        <f t="shared" ca="1" si="47"/>
        <v>#REF!</v>
      </c>
      <c r="AA316" s="152" t="e">
        <f t="shared" ca="1" si="52"/>
        <v>#REF!</v>
      </c>
      <c r="AB316" s="152" t="e">
        <f t="shared" ca="1" si="53"/>
        <v>#REF!</v>
      </c>
      <c r="AC316">
        <v>9</v>
      </c>
      <c r="AD316">
        <v>2</v>
      </c>
      <c r="AE316" t="str">
        <f t="shared" si="56"/>
        <v>'[2022 - Aryapratama &amp; Pauliuk - STE - AppF.xlsx]GWPdyn_DL_FP - Fig.4(i)'!L</v>
      </c>
      <c r="AG316">
        <v>0</v>
      </c>
      <c r="AH316">
        <v>-161.1445967933179</v>
      </c>
      <c r="AI316">
        <f t="shared" si="51"/>
        <v>0</v>
      </c>
      <c r="AJ316">
        <f t="shared" si="51"/>
        <v>161.1445967933179</v>
      </c>
    </row>
    <row r="317" spans="9:36">
      <c r="I317">
        <v>100</v>
      </c>
      <c r="J317" t="s">
        <v>2531</v>
      </c>
      <c r="K317" s="2" t="s">
        <v>2532</v>
      </c>
      <c r="M317">
        <v>0</v>
      </c>
      <c r="N317">
        <v>99.61233063602549</v>
      </c>
      <c r="O317">
        <v>0</v>
      </c>
      <c r="P317">
        <v>57.967398381615283</v>
      </c>
      <c r="Q317">
        <v>-95.845225170043378</v>
      </c>
      <c r="R317">
        <v>219.23948667931481</v>
      </c>
      <c r="S317">
        <v>9</v>
      </c>
      <c r="T317">
        <v>2</v>
      </c>
      <c r="U317" t="s">
        <v>2528</v>
      </c>
      <c r="W317">
        <v>0</v>
      </c>
      <c r="X317" t="e">
        <f t="shared" ca="1" si="46"/>
        <v>#REF!</v>
      </c>
      <c r="Y317">
        <v>0</v>
      </c>
      <c r="Z317" t="e">
        <f t="shared" ca="1" si="47"/>
        <v>#REF!</v>
      </c>
      <c r="AA317" s="152" t="e">
        <f t="shared" ca="1" si="52"/>
        <v>#REF!</v>
      </c>
      <c r="AB317" s="152" t="e">
        <f t="shared" ca="1" si="53"/>
        <v>#REF!</v>
      </c>
      <c r="AC317">
        <v>9</v>
      </c>
      <c r="AD317">
        <v>2</v>
      </c>
      <c r="AE317" t="str">
        <f t="shared" si="56"/>
        <v>'[2022 - Aryapratama &amp; Pauliuk - STE - AppF.xlsx]GWPdyn_DL_FP - Fig.4(i)'!L</v>
      </c>
      <c r="AG317">
        <v>95.845225170043378</v>
      </c>
      <c r="AH317">
        <v>-219.23948667931481</v>
      </c>
      <c r="AI317">
        <f t="shared" si="51"/>
        <v>-95.845225170043378</v>
      </c>
      <c r="AJ317">
        <f t="shared" si="51"/>
        <v>219.23948667931481</v>
      </c>
    </row>
    <row r="318" spans="9:36">
      <c r="I318">
        <v>200</v>
      </c>
      <c r="J318" t="s">
        <v>2531</v>
      </c>
      <c r="K318" s="2" t="s">
        <v>2532</v>
      </c>
      <c r="M318">
        <v>0</v>
      </c>
      <c r="N318">
        <v>292.83699190807647</v>
      </c>
      <c r="O318">
        <v>0</v>
      </c>
      <c r="P318">
        <v>173.90219514484585</v>
      </c>
      <c r="Q318">
        <v>-276.3051877599944</v>
      </c>
      <c r="R318">
        <v>218.48492658306861</v>
      </c>
      <c r="S318">
        <v>9</v>
      </c>
      <c r="T318">
        <v>2</v>
      </c>
      <c r="U318" t="s">
        <v>2528</v>
      </c>
      <c r="W318">
        <v>0</v>
      </c>
      <c r="X318" t="e">
        <f t="shared" ca="1" si="46"/>
        <v>#REF!</v>
      </c>
      <c r="Y318">
        <v>0</v>
      </c>
      <c r="Z318" t="e">
        <f t="shared" ca="1" si="47"/>
        <v>#REF!</v>
      </c>
      <c r="AA318" s="152" t="e">
        <f t="shared" ca="1" si="52"/>
        <v>#REF!</v>
      </c>
      <c r="AB318" s="152" t="e">
        <f t="shared" ca="1" si="53"/>
        <v>#REF!</v>
      </c>
      <c r="AC318">
        <v>9</v>
      </c>
      <c r="AD318">
        <v>2</v>
      </c>
      <c r="AE318" t="str">
        <f t="shared" si="56"/>
        <v>'[2022 - Aryapratama &amp; Pauliuk - STE - AppF.xlsx]GWPdyn_DL_FP - Fig.4(i)'!L</v>
      </c>
      <c r="AG318">
        <v>276.3051877599944</v>
      </c>
      <c r="AH318">
        <v>-218.48492658306861</v>
      </c>
      <c r="AI318">
        <f t="shared" si="51"/>
        <v>-276.3051877599944</v>
      </c>
      <c r="AJ318">
        <f t="shared" si="51"/>
        <v>218.48492658306861</v>
      </c>
    </row>
    <row r="319" spans="9:36">
      <c r="I319">
        <v>50</v>
      </c>
      <c r="J319" t="s">
        <v>2533</v>
      </c>
      <c r="K319" s="2" t="s">
        <v>2534</v>
      </c>
      <c r="M319">
        <v>0</v>
      </c>
      <c r="N319">
        <v>63.128301886792457</v>
      </c>
      <c r="O319">
        <v>0</v>
      </c>
      <c r="P319">
        <v>48.102641509433973</v>
      </c>
      <c r="Q319">
        <v>-79.816497751704446</v>
      </c>
      <c r="R319">
        <v>69.07494766906801</v>
      </c>
      <c r="S319">
        <v>9</v>
      </c>
      <c r="T319">
        <v>2</v>
      </c>
      <c r="U319" t="s">
        <v>2528</v>
      </c>
      <c r="W319">
        <v>0</v>
      </c>
      <c r="X319" t="e">
        <f t="shared" ca="1" si="46"/>
        <v>#REF!</v>
      </c>
      <c r="Y319">
        <v>0</v>
      </c>
      <c r="Z319" t="e">
        <f t="shared" ca="1" si="47"/>
        <v>#REF!</v>
      </c>
      <c r="AA319" s="152" t="e">
        <f t="shared" ca="1" si="52"/>
        <v>#REF!</v>
      </c>
      <c r="AB319" s="152" t="e">
        <f t="shared" ca="1" si="53"/>
        <v>#REF!</v>
      </c>
      <c r="AC319">
        <v>9</v>
      </c>
      <c r="AD319">
        <v>2</v>
      </c>
      <c r="AE319" t="str">
        <f t="shared" si="56"/>
        <v>'[2022 - Aryapratama &amp; Pauliuk - STE - AppF.xlsx]GWPdyn_DL_FP - Fig.4(i)'!L</v>
      </c>
      <c r="AG319">
        <v>79.816497751704446</v>
      </c>
      <c r="AH319">
        <v>-69.07494766906801</v>
      </c>
      <c r="AI319">
        <f t="shared" si="51"/>
        <v>-79.816497751704446</v>
      </c>
      <c r="AJ319">
        <f t="shared" si="51"/>
        <v>69.07494766906801</v>
      </c>
    </row>
    <row r="320" spans="9:36">
      <c r="I320">
        <v>100</v>
      </c>
      <c r="J320" t="s">
        <v>2533</v>
      </c>
      <c r="K320" s="2" t="s">
        <v>2534</v>
      </c>
      <c r="M320">
        <v>0</v>
      </c>
      <c r="N320">
        <v>123.25660377358491</v>
      </c>
      <c r="O320">
        <v>0</v>
      </c>
      <c r="P320">
        <v>96.205283018867945</v>
      </c>
      <c r="Q320">
        <v>-235.2392539982188</v>
      </c>
      <c r="R320">
        <v>42.123869249720393</v>
      </c>
      <c r="S320">
        <v>9</v>
      </c>
      <c r="T320">
        <v>2</v>
      </c>
      <c r="U320" t="s">
        <v>2528</v>
      </c>
      <c r="W320">
        <v>0</v>
      </c>
      <c r="X320" t="e">
        <f t="shared" ca="1" si="46"/>
        <v>#REF!</v>
      </c>
      <c r="Y320">
        <v>0</v>
      </c>
      <c r="Z320" t="e">
        <f t="shared" ca="1" si="47"/>
        <v>#REF!</v>
      </c>
      <c r="AA320" s="152" t="e">
        <f t="shared" ca="1" si="52"/>
        <v>#REF!</v>
      </c>
      <c r="AB320" s="152" t="e">
        <f t="shared" ca="1" si="53"/>
        <v>#REF!</v>
      </c>
      <c r="AC320">
        <v>9</v>
      </c>
      <c r="AD320">
        <v>2</v>
      </c>
      <c r="AE320" t="str">
        <f t="shared" si="56"/>
        <v>'[2022 - Aryapratama &amp; Pauliuk - STE - AppF.xlsx]GWPdyn_DL_FP - Fig.4(i)'!L</v>
      </c>
      <c r="AG320">
        <v>235.2392539982188</v>
      </c>
      <c r="AH320">
        <v>-42.123869249720393</v>
      </c>
      <c r="AI320">
        <f t="shared" si="51"/>
        <v>-235.2392539982188</v>
      </c>
      <c r="AJ320">
        <f t="shared" si="51"/>
        <v>42.123869249720393</v>
      </c>
    </row>
    <row r="321" spans="9:36">
      <c r="I321">
        <v>200</v>
      </c>
      <c r="J321" t="s">
        <v>2533</v>
      </c>
      <c r="K321" s="2" t="s">
        <v>2534</v>
      </c>
      <c r="M321">
        <v>0</v>
      </c>
      <c r="N321">
        <v>243.51320754716983</v>
      </c>
      <c r="O321">
        <v>0</v>
      </c>
      <c r="P321">
        <v>192.41056603773589</v>
      </c>
      <c r="Q321">
        <v>-543.07789336691178</v>
      </c>
      <c r="R321">
        <v>2.2086925350061422</v>
      </c>
      <c r="S321">
        <v>9</v>
      </c>
      <c r="T321">
        <v>2</v>
      </c>
      <c r="U321" t="s">
        <v>2528</v>
      </c>
      <c r="W321">
        <v>0</v>
      </c>
      <c r="X321" t="e">
        <f t="shared" ca="1" si="46"/>
        <v>#REF!</v>
      </c>
      <c r="Y321">
        <v>0</v>
      </c>
      <c r="Z321" t="e">
        <f t="shared" ca="1" si="47"/>
        <v>#REF!</v>
      </c>
      <c r="AA321" s="152" t="e">
        <f t="shared" ca="1" si="52"/>
        <v>#REF!</v>
      </c>
      <c r="AB321" s="152" t="e">
        <f t="shared" ca="1" si="53"/>
        <v>#REF!</v>
      </c>
      <c r="AC321">
        <v>9</v>
      </c>
      <c r="AD321">
        <v>2</v>
      </c>
      <c r="AE321" t="str">
        <f t="shared" si="56"/>
        <v>'[2022 - Aryapratama &amp; Pauliuk - STE - AppF.xlsx]GWPdyn_DL_FP - Fig.4(i)'!L</v>
      </c>
      <c r="AG321">
        <v>543.07789336691178</v>
      </c>
      <c r="AH321">
        <v>-2.2086925350061422</v>
      </c>
      <c r="AI321">
        <f t="shared" si="51"/>
        <v>-543.07789336691178</v>
      </c>
      <c r="AJ321">
        <f t="shared" si="51"/>
        <v>2.2086925350061422</v>
      </c>
    </row>
    <row r="322" spans="9:36">
      <c r="I322">
        <v>50</v>
      </c>
      <c r="J322" t="str">
        <f t="shared" ref="J322:J327" si="57">"NR_"&amp;K322</f>
        <v>NR_RIL_M</v>
      </c>
      <c r="K322" s="2" t="s">
        <v>284</v>
      </c>
      <c r="M322">
        <v>0</v>
      </c>
      <c r="N322">
        <v>19.274226580798832</v>
      </c>
      <c r="O322">
        <v>0</v>
      </c>
      <c r="P322">
        <v>11.564535948479303</v>
      </c>
      <c r="Q322">
        <v>75.991198542896527</v>
      </c>
      <c r="R322">
        <v>100.2569126004381</v>
      </c>
      <c r="S322">
        <v>5</v>
      </c>
      <c r="T322">
        <v>1</v>
      </c>
      <c r="U322" t="s">
        <v>2535</v>
      </c>
      <c r="W322">
        <v>0</v>
      </c>
      <c r="X322" t="e">
        <f t="shared" ca="1" si="46"/>
        <v>#REF!</v>
      </c>
      <c r="Y322">
        <v>0</v>
      </c>
      <c r="Z322" t="e">
        <f t="shared" ca="1" si="47"/>
        <v>#REF!</v>
      </c>
      <c r="AA322" s="152" t="e">
        <f t="shared" ca="1" si="52"/>
        <v>#REF!</v>
      </c>
      <c r="AB322" s="152" t="e">
        <f t="shared" ca="1" si="53"/>
        <v>#REF!</v>
      </c>
      <c r="AC322">
        <v>5</v>
      </c>
      <c r="AD322">
        <v>1</v>
      </c>
      <c r="AE322" t="str">
        <f t="shared" ref="AE322:AE333" si="58">"'[2022 - Aryapratama &amp; Pauliuk - STE - AppF.xlsx]GWPdyn_"&amp;LEFT(K322,3)&amp;" - Fig.4(j)'!L"</f>
        <v>'[2022 - Aryapratama &amp; Pauliuk - STE - AppF.xlsx]GWPdyn_RIL - Fig.4(j)'!L</v>
      </c>
      <c r="AG322">
        <v>-75.991198542896527</v>
      </c>
      <c r="AH322">
        <v>-100.2569126004381</v>
      </c>
      <c r="AI322">
        <f t="shared" si="51"/>
        <v>75.991198542896527</v>
      </c>
      <c r="AJ322">
        <f t="shared" si="51"/>
        <v>100.2569126004381</v>
      </c>
    </row>
    <row r="323" spans="9:36">
      <c r="I323">
        <v>100</v>
      </c>
      <c r="J323" t="str">
        <f t="shared" si="57"/>
        <v>NR_RIL_M</v>
      </c>
      <c r="K323" s="2" t="s">
        <v>284</v>
      </c>
      <c r="M323">
        <v>0</v>
      </c>
      <c r="N323">
        <v>28.911339871198248</v>
      </c>
      <c r="O323">
        <v>0</v>
      </c>
      <c r="P323">
        <v>17.346803922718955</v>
      </c>
      <c r="Q323">
        <v>163.96310441836951</v>
      </c>
      <c r="R323">
        <v>192.24097622198209</v>
      </c>
      <c r="S323">
        <v>5</v>
      </c>
      <c r="T323">
        <v>1</v>
      </c>
      <c r="U323" t="s">
        <v>2535</v>
      </c>
      <c r="W323">
        <v>0</v>
      </c>
      <c r="X323" t="e">
        <f t="shared" ca="1" si="46"/>
        <v>#REF!</v>
      </c>
      <c r="Y323">
        <v>0</v>
      </c>
      <c r="Z323" t="e">
        <f t="shared" ca="1" si="47"/>
        <v>#REF!</v>
      </c>
      <c r="AA323" s="152" t="e">
        <f t="shared" ca="1" si="52"/>
        <v>#REF!</v>
      </c>
      <c r="AB323" s="152" t="e">
        <f t="shared" ca="1" si="53"/>
        <v>#REF!</v>
      </c>
      <c r="AC323">
        <v>5</v>
      </c>
      <c r="AD323">
        <v>1</v>
      </c>
      <c r="AE323" t="str">
        <f t="shared" si="58"/>
        <v>'[2022 - Aryapratama &amp; Pauliuk - STE - AppF.xlsx]GWPdyn_RIL - Fig.4(j)'!L</v>
      </c>
      <c r="AG323">
        <v>-163.96310441836951</v>
      </c>
      <c r="AH323">
        <v>-192.24097622198209</v>
      </c>
      <c r="AI323">
        <f t="shared" si="51"/>
        <v>163.96310441836951</v>
      </c>
      <c r="AJ323">
        <f t="shared" si="51"/>
        <v>192.24097622198209</v>
      </c>
    </row>
    <row r="324" spans="9:36">
      <c r="I324">
        <v>200</v>
      </c>
      <c r="J324" t="str">
        <f t="shared" si="57"/>
        <v>NR_RIL_M</v>
      </c>
      <c r="K324" s="2" t="s">
        <v>284</v>
      </c>
      <c r="M324">
        <v>0</v>
      </c>
      <c r="N324">
        <v>57.822679742396488</v>
      </c>
      <c r="O324">
        <v>0</v>
      </c>
      <c r="P324">
        <v>34.69360784543791</v>
      </c>
      <c r="Q324">
        <v>337.64037255698202</v>
      </c>
      <c r="R324">
        <v>377.50107760210591</v>
      </c>
      <c r="S324">
        <v>5</v>
      </c>
      <c r="T324">
        <v>1</v>
      </c>
      <c r="U324" t="s">
        <v>2535</v>
      </c>
      <c r="W324">
        <v>0</v>
      </c>
      <c r="X324" t="e">
        <f t="shared" ca="1" si="46"/>
        <v>#REF!</v>
      </c>
      <c r="Y324">
        <v>0</v>
      </c>
      <c r="Z324" t="e">
        <f t="shared" ca="1" si="47"/>
        <v>#REF!</v>
      </c>
      <c r="AA324" s="152" t="e">
        <f t="shared" ca="1" si="52"/>
        <v>#REF!</v>
      </c>
      <c r="AB324" s="152" t="e">
        <f t="shared" ca="1" si="53"/>
        <v>#REF!</v>
      </c>
      <c r="AC324">
        <v>5</v>
      </c>
      <c r="AD324">
        <v>1</v>
      </c>
      <c r="AE324" t="str">
        <f t="shared" si="58"/>
        <v>'[2022 - Aryapratama &amp; Pauliuk - STE - AppF.xlsx]GWPdyn_RIL - Fig.4(j)'!L</v>
      </c>
      <c r="AG324">
        <v>-337.64037255698202</v>
      </c>
      <c r="AH324">
        <v>-377.50107760210591</v>
      </c>
      <c r="AI324">
        <f t="shared" si="51"/>
        <v>337.64037255698202</v>
      </c>
      <c r="AJ324">
        <f t="shared" si="51"/>
        <v>377.50107760210591</v>
      </c>
    </row>
    <row r="325" spans="9:36">
      <c r="I325">
        <v>50</v>
      </c>
      <c r="J325" t="str">
        <f t="shared" si="57"/>
        <v>NR_RIL_E</v>
      </c>
      <c r="K325" s="2" t="s">
        <v>303</v>
      </c>
      <c r="M325">
        <v>0</v>
      </c>
      <c r="N325">
        <v>19.274226580798839</v>
      </c>
      <c r="O325">
        <v>0</v>
      </c>
      <c r="P325">
        <v>15.419381264639073</v>
      </c>
      <c r="Q325">
        <v>68.167571816623862</v>
      </c>
      <c r="R325">
        <v>82.450615050179124</v>
      </c>
      <c r="S325">
        <v>5</v>
      </c>
      <c r="T325">
        <v>1</v>
      </c>
      <c r="U325" t="s">
        <v>2535</v>
      </c>
      <c r="W325">
        <v>0</v>
      </c>
      <c r="X325" t="e">
        <f t="shared" ca="1" si="46"/>
        <v>#REF!</v>
      </c>
      <c r="Y325">
        <v>0</v>
      </c>
      <c r="Z325" t="e">
        <f t="shared" ca="1" si="47"/>
        <v>#REF!</v>
      </c>
      <c r="AA325" s="152" t="e">
        <f t="shared" ca="1" si="52"/>
        <v>#REF!</v>
      </c>
      <c r="AB325" s="152" t="e">
        <f t="shared" ca="1" si="53"/>
        <v>#REF!</v>
      </c>
      <c r="AC325">
        <v>5</v>
      </c>
      <c r="AD325">
        <v>1</v>
      </c>
      <c r="AE325" t="str">
        <f t="shared" si="58"/>
        <v>'[2022 - Aryapratama &amp; Pauliuk - STE - AppF.xlsx]GWPdyn_RIL - Fig.4(j)'!L</v>
      </c>
      <c r="AG325">
        <v>-68.167571816623862</v>
      </c>
      <c r="AH325">
        <v>-82.450615050179124</v>
      </c>
      <c r="AI325">
        <f t="shared" si="51"/>
        <v>68.167571816623862</v>
      </c>
      <c r="AJ325">
        <f t="shared" si="51"/>
        <v>82.450615050179124</v>
      </c>
    </row>
    <row r="326" spans="9:36">
      <c r="I326">
        <v>100</v>
      </c>
      <c r="J326" t="str">
        <f t="shared" si="57"/>
        <v>NR_RIL_E</v>
      </c>
      <c r="K326" s="2" t="s">
        <v>303</v>
      </c>
      <c r="M326">
        <v>0</v>
      </c>
      <c r="N326">
        <v>28.911339871198258</v>
      </c>
      <c r="O326">
        <v>0</v>
      </c>
      <c r="P326">
        <v>23.12907189695861</v>
      </c>
      <c r="Q326">
        <v>152.02211024415089</v>
      </c>
      <c r="R326">
        <v>176.62110895178901</v>
      </c>
      <c r="S326">
        <v>5</v>
      </c>
      <c r="T326">
        <v>1</v>
      </c>
      <c r="U326" t="s">
        <v>2535</v>
      </c>
      <c r="W326">
        <v>0</v>
      </c>
      <c r="X326" t="e">
        <f t="shared" ca="1" si="46"/>
        <v>#REF!</v>
      </c>
      <c r="Y326">
        <v>0</v>
      </c>
      <c r="Z326" t="e">
        <f t="shared" ca="1" si="47"/>
        <v>#REF!</v>
      </c>
      <c r="AA326" s="152" t="e">
        <f t="shared" ca="1" si="52"/>
        <v>#REF!</v>
      </c>
      <c r="AB326" s="152" t="e">
        <f t="shared" ca="1" si="53"/>
        <v>#REF!</v>
      </c>
      <c r="AC326">
        <v>5</v>
      </c>
      <c r="AD326">
        <v>1</v>
      </c>
      <c r="AE326" t="str">
        <f t="shared" si="58"/>
        <v>'[2022 - Aryapratama &amp; Pauliuk - STE - AppF.xlsx]GWPdyn_RIL - Fig.4(j)'!L</v>
      </c>
      <c r="AG326">
        <v>-152.02211024415089</v>
      </c>
      <c r="AH326">
        <v>-176.62110895178901</v>
      </c>
      <c r="AI326">
        <f t="shared" si="51"/>
        <v>152.02211024415089</v>
      </c>
      <c r="AJ326">
        <f t="shared" si="51"/>
        <v>176.62110895178901</v>
      </c>
    </row>
    <row r="327" spans="9:36">
      <c r="I327">
        <v>200</v>
      </c>
      <c r="J327" t="str">
        <f t="shared" si="57"/>
        <v>NR_RIL_E</v>
      </c>
      <c r="K327" s="2" t="s">
        <v>303</v>
      </c>
      <c r="M327">
        <v>0</v>
      </c>
      <c r="N327">
        <v>57.822679742396517</v>
      </c>
      <c r="O327">
        <v>0</v>
      </c>
      <c r="P327">
        <v>46.25814379391722</v>
      </c>
      <c r="Q327">
        <v>316.56191500133059</v>
      </c>
      <c r="R327">
        <v>365.10563504552567</v>
      </c>
      <c r="S327">
        <v>5</v>
      </c>
      <c r="T327">
        <v>1</v>
      </c>
      <c r="U327" t="s">
        <v>2535</v>
      </c>
      <c r="W327">
        <v>0</v>
      </c>
      <c r="X327" t="e">
        <f t="shared" ca="1" si="46"/>
        <v>#REF!</v>
      </c>
      <c r="Y327">
        <v>0</v>
      </c>
      <c r="Z327" t="e">
        <f t="shared" ca="1" si="47"/>
        <v>#REF!</v>
      </c>
      <c r="AA327" s="152" t="e">
        <f t="shared" ca="1" si="52"/>
        <v>#REF!</v>
      </c>
      <c r="AB327" s="152" t="e">
        <f t="shared" ca="1" si="53"/>
        <v>#REF!</v>
      </c>
      <c r="AC327">
        <v>5</v>
      </c>
      <c r="AD327">
        <v>1</v>
      </c>
      <c r="AE327" t="str">
        <f t="shared" si="58"/>
        <v>'[2022 - Aryapratama &amp; Pauliuk - STE - AppF.xlsx]GWPdyn_RIL - Fig.4(j)'!L</v>
      </c>
      <c r="AG327">
        <v>-316.56191500133059</v>
      </c>
      <c r="AH327">
        <v>-365.10563504552567</v>
      </c>
      <c r="AI327">
        <f t="shared" si="51"/>
        <v>316.56191500133059</v>
      </c>
      <c r="AJ327">
        <f t="shared" si="51"/>
        <v>365.10563504552567</v>
      </c>
    </row>
    <row r="328" spans="9:36">
      <c r="I328">
        <v>50</v>
      </c>
      <c r="J328" t="s">
        <v>2536</v>
      </c>
      <c r="K328" s="2" t="s">
        <v>283</v>
      </c>
      <c r="M328">
        <v>0</v>
      </c>
      <c r="N328">
        <v>19.274226580798832</v>
      </c>
      <c r="O328">
        <v>0</v>
      </c>
      <c r="P328">
        <v>11.564535948479303</v>
      </c>
      <c r="Q328">
        <v>75.991198542896527</v>
      </c>
      <c r="R328">
        <v>185.09042564065231</v>
      </c>
      <c r="S328">
        <v>7</v>
      </c>
      <c r="T328">
        <v>1</v>
      </c>
      <c r="U328" t="s">
        <v>2535</v>
      </c>
      <c r="W328">
        <v>0</v>
      </c>
      <c r="X328" t="e">
        <f t="shared" ca="1" si="46"/>
        <v>#REF!</v>
      </c>
      <c r="Y328">
        <v>0</v>
      </c>
      <c r="Z328" t="e">
        <f t="shared" ca="1" si="47"/>
        <v>#REF!</v>
      </c>
      <c r="AA328" s="152" t="e">
        <f t="shared" ca="1" si="52"/>
        <v>#REF!</v>
      </c>
      <c r="AB328" s="152" t="e">
        <f t="shared" ca="1" si="53"/>
        <v>#REF!</v>
      </c>
      <c r="AC328">
        <v>7</v>
      </c>
      <c r="AD328">
        <v>1</v>
      </c>
      <c r="AE328" t="str">
        <f t="shared" si="58"/>
        <v>'[2022 - Aryapratama &amp; Pauliuk - STE - AppF.xlsx]GWPdyn_RIL - Fig.4(j)'!L</v>
      </c>
      <c r="AG328">
        <v>-75.991198542896527</v>
      </c>
      <c r="AH328">
        <v>-185.09042564065231</v>
      </c>
      <c r="AI328">
        <f t="shared" si="51"/>
        <v>75.991198542896527</v>
      </c>
      <c r="AJ328">
        <f t="shared" si="51"/>
        <v>185.09042564065231</v>
      </c>
    </row>
    <row r="329" spans="9:36">
      <c r="I329">
        <v>100</v>
      </c>
      <c r="J329" t="s">
        <v>2536</v>
      </c>
      <c r="K329" s="2" t="s">
        <v>283</v>
      </c>
      <c r="M329">
        <v>0</v>
      </c>
      <c r="N329">
        <v>28.911339871198248</v>
      </c>
      <c r="O329">
        <v>0</v>
      </c>
      <c r="P329">
        <v>17.346803922718955</v>
      </c>
      <c r="Q329">
        <v>163.96310441836951</v>
      </c>
      <c r="R329">
        <v>369.9239668180054</v>
      </c>
      <c r="S329">
        <v>7</v>
      </c>
      <c r="T329">
        <v>1</v>
      </c>
      <c r="U329" t="s">
        <v>2535</v>
      </c>
      <c r="W329">
        <v>0</v>
      </c>
      <c r="X329" t="e">
        <f t="shared" ca="1" si="46"/>
        <v>#REF!</v>
      </c>
      <c r="Y329">
        <v>0</v>
      </c>
      <c r="Z329" t="e">
        <f t="shared" ca="1" si="47"/>
        <v>#REF!</v>
      </c>
      <c r="AA329" s="152" t="e">
        <f t="shared" ca="1" si="52"/>
        <v>#REF!</v>
      </c>
      <c r="AB329" s="152" t="e">
        <f t="shared" ca="1" si="53"/>
        <v>#REF!</v>
      </c>
      <c r="AC329">
        <v>7</v>
      </c>
      <c r="AD329">
        <v>1</v>
      </c>
      <c r="AE329" t="str">
        <f t="shared" si="58"/>
        <v>'[2022 - Aryapratama &amp; Pauliuk - STE - AppF.xlsx]GWPdyn_RIL - Fig.4(j)'!L</v>
      </c>
      <c r="AG329">
        <v>-163.96310441836951</v>
      </c>
      <c r="AH329">
        <v>-369.9239668180054</v>
      </c>
      <c r="AI329">
        <f t="shared" si="51"/>
        <v>163.96310441836951</v>
      </c>
      <c r="AJ329">
        <f t="shared" si="51"/>
        <v>369.9239668180054</v>
      </c>
    </row>
    <row r="330" spans="9:36">
      <c r="I330">
        <v>200</v>
      </c>
      <c r="J330" t="s">
        <v>2536</v>
      </c>
      <c r="K330" s="2" t="s">
        <v>283</v>
      </c>
      <c r="M330">
        <v>0</v>
      </c>
      <c r="N330">
        <v>57.822679742396488</v>
      </c>
      <c r="O330">
        <v>0</v>
      </c>
      <c r="P330">
        <v>34.69360784543791</v>
      </c>
      <c r="Q330">
        <v>337.64037255698202</v>
      </c>
      <c r="R330">
        <v>739.24076084648095</v>
      </c>
      <c r="S330">
        <v>7</v>
      </c>
      <c r="T330">
        <v>1</v>
      </c>
      <c r="U330" t="s">
        <v>2535</v>
      </c>
      <c r="W330">
        <v>0</v>
      </c>
      <c r="X330" t="e">
        <f t="shared" ca="1" si="46"/>
        <v>#REF!</v>
      </c>
      <c r="Y330">
        <v>0</v>
      </c>
      <c r="Z330" t="e">
        <f t="shared" ca="1" si="47"/>
        <v>#REF!</v>
      </c>
      <c r="AA330" s="152" t="e">
        <f t="shared" ca="1" si="52"/>
        <v>#REF!</v>
      </c>
      <c r="AB330" s="152" t="e">
        <f t="shared" ca="1" si="53"/>
        <v>#REF!</v>
      </c>
      <c r="AC330">
        <v>7</v>
      </c>
      <c r="AD330">
        <v>1</v>
      </c>
      <c r="AE330" t="str">
        <f t="shared" si="58"/>
        <v>'[2022 - Aryapratama &amp; Pauliuk - STE - AppF.xlsx]GWPdyn_RIL - Fig.4(j)'!L</v>
      </c>
      <c r="AG330">
        <v>-337.64037255698202</v>
      </c>
      <c r="AH330">
        <v>-739.24076084648095</v>
      </c>
      <c r="AI330">
        <f t="shared" si="51"/>
        <v>337.64037255698202</v>
      </c>
      <c r="AJ330">
        <f t="shared" si="51"/>
        <v>739.24076084648095</v>
      </c>
    </row>
    <row r="331" spans="9:36">
      <c r="I331">
        <v>50</v>
      </c>
      <c r="J331" t="s">
        <v>2537</v>
      </c>
      <c r="K331" s="2" t="s">
        <v>312</v>
      </c>
      <c r="M331">
        <v>0</v>
      </c>
      <c r="N331">
        <v>19.274226580798839</v>
      </c>
      <c r="O331">
        <v>0</v>
      </c>
      <c r="P331">
        <v>15.419381264639073</v>
      </c>
      <c r="Q331">
        <v>68.167571816623862</v>
      </c>
      <c r="R331">
        <v>167.28412809039341</v>
      </c>
      <c r="S331">
        <v>7</v>
      </c>
      <c r="T331">
        <v>1</v>
      </c>
      <c r="U331" t="s">
        <v>2535</v>
      </c>
      <c r="W331">
        <v>0</v>
      </c>
      <c r="X331" t="e">
        <f t="shared" ca="1" si="46"/>
        <v>#REF!</v>
      </c>
      <c r="Y331">
        <v>0</v>
      </c>
      <c r="Z331" t="e">
        <f t="shared" ca="1" si="47"/>
        <v>#REF!</v>
      </c>
      <c r="AA331" s="152" t="e">
        <f t="shared" ca="1" si="52"/>
        <v>#REF!</v>
      </c>
      <c r="AB331" s="152" t="e">
        <f t="shared" ca="1" si="53"/>
        <v>#REF!</v>
      </c>
      <c r="AC331">
        <v>7</v>
      </c>
      <c r="AD331">
        <v>1</v>
      </c>
      <c r="AE331" t="str">
        <f t="shared" si="58"/>
        <v>'[2022 - Aryapratama &amp; Pauliuk - STE - AppF.xlsx]GWPdyn_RIL - Fig.4(j)'!L</v>
      </c>
      <c r="AG331">
        <v>-68.167571816623862</v>
      </c>
      <c r="AH331">
        <v>-167.28412809039341</v>
      </c>
      <c r="AI331">
        <f t="shared" si="51"/>
        <v>68.167571816623862</v>
      </c>
      <c r="AJ331">
        <f t="shared" si="51"/>
        <v>167.28412809039341</v>
      </c>
    </row>
    <row r="332" spans="9:36">
      <c r="I332">
        <v>100</v>
      </c>
      <c r="J332" t="s">
        <v>2537</v>
      </c>
      <c r="K332" s="2" t="s">
        <v>312</v>
      </c>
      <c r="M332">
        <v>0</v>
      </c>
      <c r="N332">
        <v>28.911339871198258</v>
      </c>
      <c r="O332">
        <v>0</v>
      </c>
      <c r="P332">
        <v>23.12907189695861</v>
      </c>
      <c r="Q332">
        <v>152.02211024415089</v>
      </c>
      <c r="R332">
        <v>354.30409954781243</v>
      </c>
      <c r="S332">
        <v>7</v>
      </c>
      <c r="T332">
        <v>1</v>
      </c>
      <c r="U332" t="s">
        <v>2535</v>
      </c>
      <c r="W332">
        <v>0</v>
      </c>
      <c r="X332" t="e">
        <f t="shared" ca="1" si="46"/>
        <v>#REF!</v>
      </c>
      <c r="Y332">
        <v>0</v>
      </c>
      <c r="Z332" t="e">
        <f t="shared" ca="1" si="47"/>
        <v>#REF!</v>
      </c>
      <c r="AA332" s="152" t="e">
        <f t="shared" ca="1" si="52"/>
        <v>#REF!</v>
      </c>
      <c r="AB332" s="152" t="e">
        <f t="shared" ca="1" si="53"/>
        <v>#REF!</v>
      </c>
      <c r="AC332">
        <v>7</v>
      </c>
      <c r="AD332">
        <v>1</v>
      </c>
      <c r="AE332" t="str">
        <f t="shared" si="58"/>
        <v>'[2022 - Aryapratama &amp; Pauliuk - STE - AppF.xlsx]GWPdyn_RIL - Fig.4(j)'!L</v>
      </c>
      <c r="AG332">
        <v>-152.02211024415089</v>
      </c>
      <c r="AH332">
        <v>-354.30409954781243</v>
      </c>
      <c r="AI332">
        <f t="shared" si="51"/>
        <v>152.02211024415089</v>
      </c>
      <c r="AJ332">
        <f t="shared" si="51"/>
        <v>354.30409954781243</v>
      </c>
    </row>
    <row r="333" spans="9:36">
      <c r="I333">
        <v>200</v>
      </c>
      <c r="J333" t="s">
        <v>2537</v>
      </c>
      <c r="K333" s="2" t="s">
        <v>312</v>
      </c>
      <c r="M333">
        <v>0</v>
      </c>
      <c r="N333">
        <v>57.822679742396517</v>
      </c>
      <c r="O333">
        <v>0</v>
      </c>
      <c r="P333">
        <v>46.25814379391722</v>
      </c>
      <c r="Q333">
        <v>316.56191500133059</v>
      </c>
      <c r="R333">
        <v>726.845318289901</v>
      </c>
      <c r="S333">
        <v>7</v>
      </c>
      <c r="T333">
        <v>1</v>
      </c>
      <c r="U333" t="s">
        <v>2535</v>
      </c>
      <c r="W333">
        <v>0</v>
      </c>
      <c r="X333" t="e">
        <f t="shared" ca="1" si="46"/>
        <v>#REF!</v>
      </c>
      <c r="Y333">
        <v>0</v>
      </c>
      <c r="Z333" t="e">
        <f t="shared" ca="1" si="47"/>
        <v>#REF!</v>
      </c>
      <c r="AA333" s="152" t="e">
        <f t="shared" ca="1" si="52"/>
        <v>#REF!</v>
      </c>
      <c r="AB333" s="152" t="e">
        <f t="shared" ca="1" si="53"/>
        <v>#REF!</v>
      </c>
      <c r="AC333">
        <v>7</v>
      </c>
      <c r="AD333">
        <v>1</v>
      </c>
      <c r="AE333" t="str">
        <f t="shared" si="58"/>
        <v>'[2022 - Aryapratama &amp; Pauliuk - STE - AppF.xlsx]GWPdyn_RIL - Fig.4(j)'!L</v>
      </c>
      <c r="AG333">
        <v>-316.56191500133059</v>
      </c>
      <c r="AH333">
        <v>-726.845318289901</v>
      </c>
      <c r="AI333">
        <f t="shared" si="51"/>
        <v>316.56191500133059</v>
      </c>
      <c r="AJ333">
        <f t="shared" si="51"/>
        <v>726.845318289901</v>
      </c>
    </row>
    <row r="334" spans="9:36">
      <c r="I334">
        <v>50</v>
      </c>
      <c r="J334" t="s">
        <v>276</v>
      </c>
      <c r="K334" s="2" t="s">
        <v>326</v>
      </c>
      <c r="M334">
        <v>264.61872586084911</v>
      </c>
      <c r="N334">
        <v>263.98307948584909</v>
      </c>
      <c r="O334">
        <v>145.3587976415094</v>
      </c>
      <c r="P334">
        <v>196.41951018867931</v>
      </c>
      <c r="Q334">
        <v>-654.85817268246092</v>
      </c>
      <c r="R334">
        <v>-930.07336759388943</v>
      </c>
      <c r="S334">
        <v>1</v>
      </c>
      <c r="T334">
        <v>1</v>
      </c>
      <c r="U334" t="s">
        <v>2515</v>
      </c>
      <c r="W334" t="e">
        <f t="shared" ref="W334:W357" ca="1" si="59">SUM(INDIRECT("'[2022 - Aryapratama &amp; Pauliuk - STE - AppD.xlsx]"&amp;$J334&amp;"'!D2:D"&amp;$I334+1))</f>
        <v>#REF!</v>
      </c>
      <c r="X334" t="e">
        <f t="shared" ca="1" si="46"/>
        <v>#REF!</v>
      </c>
      <c r="Y334" t="e">
        <f t="shared" ref="Y334:Y357" ca="1" si="60">SUM(INDIRECT("'[2022 - Aryapratama &amp; Pauliuk - STE - AppD.xlsx]"&amp;$J334&amp;"'!H2:H"&amp;$I334+1))</f>
        <v>#REF!</v>
      </c>
      <c r="Z334" t="e">
        <f t="shared" ca="1" si="47"/>
        <v>#REF!</v>
      </c>
      <c r="AA334" s="152" t="e">
        <f t="shared" ref="AA334:AB336" ca="1" si="61">INDIRECT($AE334&amp;$I334+2&amp;"C"&amp;MATCH(RIGHT(J334,$AC334)&amp;" (t-CO2eq)",INDIRECT($AE334&amp;$AD334,FALSE),0),FALSE)</f>
        <v>#REF!</v>
      </c>
      <c r="AB334" s="152" t="e">
        <f t="shared" ca="1" si="61"/>
        <v>#REF!</v>
      </c>
      <c r="AC334">
        <v>1</v>
      </c>
      <c r="AD334">
        <v>1</v>
      </c>
      <c r="AE334" t="str">
        <f t="shared" ref="AE334:AE336" si="62">"'[2022 - Aryapratama &amp; Pauliuk - STE - AppF.xlsx]GWPdyn_"&amp;LEFT(K334,5)&amp;" - Fig.4(f)'!L"</f>
        <v>'[2022 - Aryapratama &amp; Pauliuk - STE - AppF.xlsx]GWPdyn_PF_PO - Fig.4(f)'!L</v>
      </c>
      <c r="AG334">
        <v>654.85817268246092</v>
      </c>
      <c r="AH334">
        <v>930.07336759388943</v>
      </c>
      <c r="AI334">
        <f t="shared" si="51"/>
        <v>-654.85817268246092</v>
      </c>
      <c r="AJ334">
        <f t="shared" si="51"/>
        <v>-930.07336759388943</v>
      </c>
    </row>
    <row r="335" spans="9:36">
      <c r="I335">
        <v>100</v>
      </c>
      <c r="J335" t="s">
        <v>276</v>
      </c>
      <c r="K335" s="2" t="s">
        <v>326</v>
      </c>
      <c r="M335">
        <v>341.92410211084911</v>
      </c>
      <c r="N335">
        <v>340.01716298584904</v>
      </c>
      <c r="O335">
        <v>164.91714764150942</v>
      </c>
      <c r="P335">
        <v>227.71287018867932</v>
      </c>
      <c r="Q335">
        <v>-922.29525217943831</v>
      </c>
      <c r="R335">
        <v>-1049.6296143500765</v>
      </c>
      <c r="S335">
        <v>1</v>
      </c>
      <c r="T335">
        <v>1</v>
      </c>
      <c r="U335" t="s">
        <v>2515</v>
      </c>
      <c r="W335" t="e">
        <f t="shared" ca="1" si="59"/>
        <v>#REF!</v>
      </c>
      <c r="X335" t="e">
        <f t="shared" ca="1" si="46"/>
        <v>#REF!</v>
      </c>
      <c r="Y335" t="e">
        <f t="shared" ca="1" si="60"/>
        <v>#REF!</v>
      </c>
      <c r="Z335" t="e">
        <f t="shared" ca="1" si="47"/>
        <v>#REF!</v>
      </c>
      <c r="AA335" s="152" t="e">
        <f t="shared" ca="1" si="61"/>
        <v>#REF!</v>
      </c>
      <c r="AB335" s="152" t="e">
        <f t="shared" ca="1" si="61"/>
        <v>#REF!</v>
      </c>
      <c r="AC335">
        <v>1</v>
      </c>
      <c r="AD335">
        <v>1</v>
      </c>
      <c r="AE335" t="str">
        <f t="shared" si="62"/>
        <v>'[2022 - Aryapratama &amp; Pauliuk - STE - AppF.xlsx]GWPdyn_PF_PO - Fig.4(f)'!L</v>
      </c>
      <c r="AG335">
        <v>922.29525217943831</v>
      </c>
      <c r="AH335">
        <v>1049.6296143500765</v>
      </c>
      <c r="AI335">
        <f t="shared" si="51"/>
        <v>-922.29525217943831</v>
      </c>
      <c r="AJ335">
        <f t="shared" si="51"/>
        <v>-1049.6296143500765</v>
      </c>
    </row>
    <row r="336" spans="9:36">
      <c r="I336">
        <v>200</v>
      </c>
      <c r="J336" t="s">
        <v>276</v>
      </c>
      <c r="K336" s="2" t="s">
        <v>326</v>
      </c>
      <c r="M336">
        <v>496.5348546108491</v>
      </c>
      <c r="N336">
        <v>492.08532998584894</v>
      </c>
      <c r="O336">
        <v>204.03384764150945</v>
      </c>
      <c r="P336">
        <v>290.2995901886793</v>
      </c>
      <c r="Q336">
        <v>-1206.3347109067272</v>
      </c>
      <c r="R336">
        <v>-1282.169207878547</v>
      </c>
      <c r="S336">
        <v>1</v>
      </c>
      <c r="T336">
        <v>1</v>
      </c>
      <c r="U336" t="s">
        <v>2515</v>
      </c>
      <c r="W336" t="e">
        <f t="shared" ca="1" si="59"/>
        <v>#REF!</v>
      </c>
      <c r="X336" t="e">
        <f t="shared" ca="1" si="46"/>
        <v>#REF!</v>
      </c>
      <c r="Y336" t="e">
        <f t="shared" ca="1" si="60"/>
        <v>#REF!</v>
      </c>
      <c r="Z336" t="e">
        <f t="shared" ca="1" si="47"/>
        <v>#REF!</v>
      </c>
      <c r="AA336" s="152" t="e">
        <f t="shared" ca="1" si="61"/>
        <v>#REF!</v>
      </c>
      <c r="AB336" s="152" t="e">
        <f t="shared" ca="1" si="61"/>
        <v>#REF!</v>
      </c>
      <c r="AC336">
        <v>1</v>
      </c>
      <c r="AD336">
        <v>1</v>
      </c>
      <c r="AE336" t="str">
        <f t="shared" si="62"/>
        <v>'[2022 - Aryapratama &amp; Pauliuk - STE - AppF.xlsx]GWPdyn_PF_PO - Fig.4(f)'!L</v>
      </c>
      <c r="AG336">
        <v>1206.3347109067272</v>
      </c>
      <c r="AH336">
        <v>1282.169207878547</v>
      </c>
      <c r="AI336">
        <f t="shared" si="51"/>
        <v>-1206.3347109067272</v>
      </c>
      <c r="AJ336">
        <f t="shared" si="51"/>
        <v>-1282.169207878547</v>
      </c>
    </row>
    <row r="337" spans="9:36">
      <c r="I337">
        <v>50</v>
      </c>
      <c r="J337" t="s">
        <v>275</v>
      </c>
      <c r="K337" s="2" t="s">
        <v>320</v>
      </c>
      <c r="M337">
        <v>225.96603773584911</v>
      </c>
      <c r="N337">
        <v>225.96603773584911</v>
      </c>
      <c r="O337">
        <v>135.57962264150939</v>
      </c>
      <c r="P337">
        <v>180.77283018867931</v>
      </c>
      <c r="Q337">
        <v>-430.22235574765915</v>
      </c>
      <c r="R337">
        <v>-683.46368424028469</v>
      </c>
      <c r="S337">
        <v>1</v>
      </c>
      <c r="T337">
        <v>1</v>
      </c>
      <c r="U337" t="s">
        <v>2516</v>
      </c>
      <c r="W337" t="e">
        <f t="shared" ca="1" si="59"/>
        <v>#REF!</v>
      </c>
      <c r="X337" t="e">
        <f t="shared" ca="1" si="46"/>
        <v>#REF!</v>
      </c>
      <c r="Y337" t="e">
        <f t="shared" ca="1" si="60"/>
        <v>#REF!</v>
      </c>
      <c r="Z337" t="e">
        <f t="shared" ca="1" si="47"/>
        <v>#REF!</v>
      </c>
      <c r="AA337" s="152" t="e">
        <f t="shared" ref="AA337:AB339" ca="1" si="63">INDIRECT($AE337&amp;$I337+2&amp;"C"&amp;MATCH(RIGHT(J337,$AC337)&amp;" (t-CO2-eq)",INDIRECT($AE337&amp;$AD337,FALSE),0),FALSE)</f>
        <v>#REF!</v>
      </c>
      <c r="AB337" s="152" t="e">
        <f t="shared" ca="1" si="63"/>
        <v>#REF!</v>
      </c>
      <c r="AC337">
        <v>1</v>
      </c>
      <c r="AD337">
        <v>1</v>
      </c>
      <c r="AE337" t="str">
        <f t="shared" ref="AE337:AE339" si="64">"'[2022 - Aryapratama &amp; Pauliuk - STE - AppF.xlsx]GWPdyn_"&amp;LEFT(K337,5)&amp;" - Fig.4(g)'!L"</f>
        <v>'[2022 - Aryapratama &amp; Pauliuk - STE - AppF.xlsx]GWPdyn_PF_SF - Fig.4(g)'!L</v>
      </c>
      <c r="AG337">
        <v>430.22235574765915</v>
      </c>
      <c r="AH337">
        <v>683.46368424028469</v>
      </c>
      <c r="AI337">
        <f t="shared" si="51"/>
        <v>-430.22235574765915</v>
      </c>
      <c r="AJ337">
        <f t="shared" si="51"/>
        <v>-683.46368424028469</v>
      </c>
    </row>
    <row r="338" spans="9:36">
      <c r="I338">
        <v>100</v>
      </c>
      <c r="J338" t="s">
        <v>275</v>
      </c>
      <c r="K338" s="2" t="s">
        <v>320</v>
      </c>
      <c r="M338">
        <v>225.96603773584911</v>
      </c>
      <c r="N338">
        <v>225.96603773584911</v>
      </c>
      <c r="O338">
        <v>135.57962264150939</v>
      </c>
      <c r="P338">
        <v>180.77283018867931</v>
      </c>
      <c r="Q338">
        <v>-502.68675849347369</v>
      </c>
      <c r="R338">
        <v>-588.42624598329485</v>
      </c>
      <c r="S338">
        <v>1</v>
      </c>
      <c r="T338">
        <v>1</v>
      </c>
      <c r="U338" t="s">
        <v>2516</v>
      </c>
      <c r="W338" t="e">
        <f t="shared" ca="1" si="59"/>
        <v>#REF!</v>
      </c>
      <c r="X338" t="e">
        <f t="shared" ca="1" si="46"/>
        <v>#REF!</v>
      </c>
      <c r="Y338" t="e">
        <f t="shared" ca="1" si="60"/>
        <v>#REF!</v>
      </c>
      <c r="Z338" t="e">
        <f t="shared" ca="1" si="47"/>
        <v>#REF!</v>
      </c>
      <c r="AA338" s="152" t="e">
        <f t="shared" ca="1" si="63"/>
        <v>#REF!</v>
      </c>
      <c r="AB338" s="152" t="e">
        <f t="shared" ca="1" si="63"/>
        <v>#REF!</v>
      </c>
      <c r="AC338">
        <v>1</v>
      </c>
      <c r="AD338">
        <v>1</v>
      </c>
      <c r="AE338" t="str">
        <f t="shared" si="64"/>
        <v>'[2022 - Aryapratama &amp; Pauliuk - STE - AppF.xlsx]GWPdyn_PF_SF - Fig.4(g)'!L</v>
      </c>
      <c r="AG338">
        <v>502.68675849347369</v>
      </c>
      <c r="AH338">
        <v>588.42624598329485</v>
      </c>
      <c r="AI338">
        <f t="shared" si="51"/>
        <v>-502.68675849347369</v>
      </c>
      <c r="AJ338">
        <f t="shared" si="51"/>
        <v>-588.42624598329485</v>
      </c>
    </row>
    <row r="339" spans="9:36">
      <c r="I339">
        <v>200</v>
      </c>
      <c r="J339" t="s">
        <v>275</v>
      </c>
      <c r="K339" s="2" t="s">
        <v>320</v>
      </c>
      <c r="M339">
        <v>225.96603773584911</v>
      </c>
      <c r="N339">
        <v>225.96603773584911</v>
      </c>
      <c r="O339">
        <v>135.57962264150939</v>
      </c>
      <c r="P339">
        <v>180.77283018867931</v>
      </c>
      <c r="Q339">
        <v>-435.66826611219864</v>
      </c>
      <c r="R339">
        <v>-448.98121307248744</v>
      </c>
      <c r="S339">
        <v>1</v>
      </c>
      <c r="T339">
        <v>1</v>
      </c>
      <c r="U339" t="s">
        <v>2516</v>
      </c>
      <c r="W339" t="e">
        <f t="shared" ca="1" si="59"/>
        <v>#REF!</v>
      </c>
      <c r="X339" t="e">
        <f t="shared" ca="1" si="46"/>
        <v>#REF!</v>
      </c>
      <c r="Y339" t="e">
        <f t="shared" ca="1" si="60"/>
        <v>#REF!</v>
      </c>
      <c r="Z339" t="e">
        <f t="shared" ca="1" si="47"/>
        <v>#REF!</v>
      </c>
      <c r="AA339" s="152" t="e">
        <f t="shared" ca="1" si="63"/>
        <v>#REF!</v>
      </c>
      <c r="AB339" s="152" t="e">
        <f t="shared" ca="1" si="63"/>
        <v>#REF!</v>
      </c>
      <c r="AC339">
        <v>1</v>
      </c>
      <c r="AD339">
        <v>1</v>
      </c>
      <c r="AE339" t="str">
        <f t="shared" si="64"/>
        <v>'[2022 - Aryapratama &amp; Pauliuk - STE - AppF.xlsx]GWPdyn_PF_SF - Fig.4(g)'!L</v>
      </c>
      <c r="AG339">
        <v>435.66826611219864</v>
      </c>
      <c r="AH339">
        <v>448.98121307248744</v>
      </c>
      <c r="AI339">
        <f t="shared" si="51"/>
        <v>-435.66826611219864</v>
      </c>
      <c r="AJ339">
        <f t="shared" si="51"/>
        <v>-448.98121307248744</v>
      </c>
    </row>
    <row r="340" spans="9:36">
      <c r="I340">
        <v>50</v>
      </c>
      <c r="J340" t="s">
        <v>2521</v>
      </c>
      <c r="K340" s="2" t="s">
        <v>2518</v>
      </c>
      <c r="M340">
        <v>377.88189133326432</v>
      </c>
      <c r="N340">
        <v>590.46886193540468</v>
      </c>
      <c r="O340">
        <v>226.7291347999585</v>
      </c>
      <c r="P340">
        <v>265.71098787093206</v>
      </c>
      <c r="Q340">
        <v>-617.93246272463909</v>
      </c>
      <c r="R340">
        <v>-870.70033536556764</v>
      </c>
      <c r="S340">
        <v>7</v>
      </c>
      <c r="T340">
        <v>2</v>
      </c>
      <c r="U340" t="s">
        <v>2519</v>
      </c>
      <c r="W340" t="e">
        <f t="shared" ca="1" si="59"/>
        <v>#REF!</v>
      </c>
      <c r="X340" t="e">
        <f t="shared" ca="1" si="46"/>
        <v>#REF!</v>
      </c>
      <c r="Y340" t="e">
        <f t="shared" ca="1" si="60"/>
        <v>#REF!</v>
      </c>
      <c r="Z340" t="e">
        <f t="shared" ca="1" si="47"/>
        <v>#REF!</v>
      </c>
      <c r="AA340" s="152" t="e">
        <f t="shared" ref="AA340:AA345" ca="1" si="65">INDIRECT($AE340&amp;$I340+2&amp;"C"&amp;MATCH(RIGHT(J340,$AC340+1)&amp;" (t-CO2-eq)",INDIRECT($AE340&amp;$AD340,FALSE),0),FALSE)</f>
        <v>#REF!</v>
      </c>
      <c r="AB340" s="152" t="e">
        <f t="shared" ref="AB340:AB357" ca="1" si="66">INDIRECT($AE340&amp;$I340+2&amp;"C"&amp;MATCH(RIGHT(K340,$AC340)&amp;" (t-CO2-eq)",INDIRECT($AE340&amp;$AD340,FALSE),0),FALSE)</f>
        <v>#REF!</v>
      </c>
      <c r="AC340">
        <v>7</v>
      </c>
      <c r="AD340">
        <v>2</v>
      </c>
      <c r="AE340" t="str">
        <f t="shared" ref="AE340:AE342" si="67">"'[2022 - Aryapratama &amp; Pauliuk - STE - AppF.xlsx]GWPdyn_"&amp;LEFT(K340,5)&amp;" - Fig.4(h)'!L"</f>
        <v>'[2022 - Aryapratama &amp; Pauliuk - STE - AppF.xlsx]GWPdyn_PF_FP - Fig.4(h)'!L</v>
      </c>
      <c r="AG340">
        <v>617.93246272463909</v>
      </c>
      <c r="AH340">
        <v>870.70033536556764</v>
      </c>
      <c r="AI340">
        <f t="shared" si="51"/>
        <v>-617.93246272463909</v>
      </c>
      <c r="AJ340">
        <f t="shared" si="51"/>
        <v>-870.70033536556764</v>
      </c>
    </row>
    <row r="341" spans="9:36">
      <c r="I341">
        <v>100</v>
      </c>
      <c r="J341" t="s">
        <v>2521</v>
      </c>
      <c r="K341" s="2" t="s">
        <v>2518</v>
      </c>
      <c r="M341">
        <v>605.75567172938713</v>
      </c>
      <c r="N341">
        <v>954.97168613496024</v>
      </c>
      <c r="O341">
        <v>363.45340303763226</v>
      </c>
      <c r="P341">
        <v>429.73725876073206</v>
      </c>
      <c r="Q341">
        <v>-768.12774512252213</v>
      </c>
      <c r="R341">
        <v>-990.65809626676389</v>
      </c>
      <c r="S341">
        <v>7</v>
      </c>
      <c r="T341">
        <v>2</v>
      </c>
      <c r="U341" t="s">
        <v>2519</v>
      </c>
      <c r="W341" t="e">
        <f t="shared" ca="1" si="59"/>
        <v>#REF!</v>
      </c>
      <c r="X341" t="e">
        <f t="shared" ca="1" si="46"/>
        <v>#REF!</v>
      </c>
      <c r="Y341" t="e">
        <f t="shared" ca="1" si="60"/>
        <v>#REF!</v>
      </c>
      <c r="Z341" t="e">
        <f t="shared" ca="1" si="47"/>
        <v>#REF!</v>
      </c>
      <c r="AA341" s="152" t="e">
        <f t="shared" ca="1" si="65"/>
        <v>#REF!</v>
      </c>
      <c r="AB341" s="152" t="e">
        <f t="shared" ca="1" si="66"/>
        <v>#REF!</v>
      </c>
      <c r="AC341">
        <v>7</v>
      </c>
      <c r="AD341">
        <v>2</v>
      </c>
      <c r="AE341" t="str">
        <f t="shared" si="67"/>
        <v>'[2022 - Aryapratama &amp; Pauliuk - STE - AppF.xlsx]GWPdyn_PF_FP - Fig.4(h)'!L</v>
      </c>
      <c r="AG341">
        <v>768.12774512252213</v>
      </c>
      <c r="AH341">
        <v>990.65809626676389</v>
      </c>
      <c r="AI341">
        <f t="shared" si="51"/>
        <v>-768.12774512252213</v>
      </c>
      <c r="AJ341">
        <f t="shared" si="51"/>
        <v>-990.65809626676389</v>
      </c>
    </row>
    <row r="342" spans="9:36">
      <c r="I342">
        <v>200</v>
      </c>
      <c r="J342" t="s">
        <v>2521</v>
      </c>
      <c r="K342" s="2" t="s">
        <v>2518</v>
      </c>
      <c r="M342">
        <v>985.54530572292515</v>
      </c>
      <c r="N342">
        <v>1683.9773345340714</v>
      </c>
      <c r="O342">
        <v>591.32718343375518</v>
      </c>
      <c r="P342">
        <v>757.78980054033161</v>
      </c>
      <c r="Q342">
        <v>-956.54496754124091</v>
      </c>
      <c r="R342">
        <v>-1160.011828609915</v>
      </c>
      <c r="S342">
        <v>7</v>
      </c>
      <c r="T342">
        <v>2</v>
      </c>
      <c r="U342" t="s">
        <v>2519</v>
      </c>
      <c r="W342" t="e">
        <f t="shared" ca="1" si="59"/>
        <v>#REF!</v>
      </c>
      <c r="X342" t="e">
        <f t="shared" ca="1" si="46"/>
        <v>#REF!</v>
      </c>
      <c r="Y342" t="e">
        <f t="shared" ca="1" si="60"/>
        <v>#REF!</v>
      </c>
      <c r="Z342" t="e">
        <f t="shared" ca="1" si="47"/>
        <v>#REF!</v>
      </c>
      <c r="AA342" s="152" t="e">
        <f t="shared" ca="1" si="65"/>
        <v>#REF!</v>
      </c>
      <c r="AB342" s="152" t="e">
        <f t="shared" ca="1" si="66"/>
        <v>#REF!</v>
      </c>
      <c r="AC342">
        <v>7</v>
      </c>
      <c r="AD342">
        <v>2</v>
      </c>
      <c r="AE342" t="str">
        <f t="shared" si="67"/>
        <v>'[2022 - Aryapratama &amp; Pauliuk - STE - AppF.xlsx]GWPdyn_PF_FP - Fig.4(h)'!L</v>
      </c>
      <c r="AG342">
        <v>956.54496754124091</v>
      </c>
      <c r="AH342">
        <v>1160.011828609915</v>
      </c>
      <c r="AI342">
        <f t="shared" si="51"/>
        <v>-956.54496754124091</v>
      </c>
      <c r="AJ342">
        <f t="shared" si="51"/>
        <v>-1160.011828609915</v>
      </c>
    </row>
    <row r="343" spans="9:36">
      <c r="I343">
        <v>50</v>
      </c>
      <c r="J343" t="s">
        <v>2530</v>
      </c>
      <c r="K343" s="2" t="s">
        <v>2527</v>
      </c>
      <c r="M343">
        <v>154.91585359741521</v>
      </c>
      <c r="N343">
        <v>367.50282419955545</v>
      </c>
      <c r="O343">
        <v>91.149512158449113</v>
      </c>
      <c r="P343">
        <v>164.02627088979997</v>
      </c>
      <c r="Q343">
        <v>254.21120760929861</v>
      </c>
      <c r="R343">
        <v>77.331302173432363</v>
      </c>
      <c r="S343">
        <v>7</v>
      </c>
      <c r="T343">
        <v>2</v>
      </c>
      <c r="U343" t="s">
        <v>2528</v>
      </c>
      <c r="W343" t="e">
        <f t="shared" ca="1" si="59"/>
        <v>#REF!</v>
      </c>
      <c r="X343" t="e">
        <f t="shared" ca="1" si="46"/>
        <v>#REF!</v>
      </c>
      <c r="Y343" t="e">
        <f t="shared" ca="1" si="60"/>
        <v>#REF!</v>
      </c>
      <c r="Z343" t="e">
        <f t="shared" ca="1" si="47"/>
        <v>#REF!</v>
      </c>
      <c r="AA343" s="152" t="e">
        <f t="shared" ca="1" si="65"/>
        <v>#REF!</v>
      </c>
      <c r="AB343" s="152" t="e">
        <f t="shared" ca="1" si="66"/>
        <v>#REF!</v>
      </c>
      <c r="AC343">
        <v>7</v>
      </c>
      <c r="AD343">
        <v>2</v>
      </c>
      <c r="AE343" t="str">
        <f t="shared" ref="AE343:AE345" si="68">"'[2022 - Aryapratama &amp; Pauliuk - STE - AppF.xlsx]GWPdyn_"&amp;LEFT(K343,5)&amp;" - Fig.4(i)'!L"</f>
        <v>'[2022 - Aryapratama &amp; Pauliuk - STE - AppF.xlsx]GWPdyn_DL_FP - Fig.4(i)'!L</v>
      </c>
      <c r="AG343">
        <v>-254.21120760929861</v>
      </c>
      <c r="AH343">
        <v>-77.331302173432363</v>
      </c>
      <c r="AI343">
        <f t="shared" si="51"/>
        <v>254.21120760929861</v>
      </c>
      <c r="AJ343">
        <f t="shared" si="51"/>
        <v>77.331302173432363</v>
      </c>
    </row>
    <row r="344" spans="9:36">
      <c r="I344">
        <v>100</v>
      </c>
      <c r="J344" t="s">
        <v>2530</v>
      </c>
      <c r="K344" s="2" t="s">
        <v>2527</v>
      </c>
      <c r="M344">
        <v>382.78963399353802</v>
      </c>
      <c r="N344">
        <v>732.00564839911101</v>
      </c>
      <c r="O344">
        <v>227.87378039612278</v>
      </c>
      <c r="P344">
        <v>328.05254177959995</v>
      </c>
      <c r="Q344">
        <v>185.53811788022131</v>
      </c>
      <c r="R344">
        <v>-41.927947193381058</v>
      </c>
      <c r="S344">
        <v>7</v>
      </c>
      <c r="T344">
        <v>2</v>
      </c>
      <c r="U344" t="s">
        <v>2528</v>
      </c>
      <c r="W344" t="e">
        <f t="shared" ca="1" si="59"/>
        <v>#REF!</v>
      </c>
      <c r="X344" t="e">
        <f t="shared" ca="1" si="46"/>
        <v>#REF!</v>
      </c>
      <c r="Y344" t="e">
        <f t="shared" ca="1" si="60"/>
        <v>#REF!</v>
      </c>
      <c r="Z344" t="e">
        <f t="shared" ca="1" si="47"/>
        <v>#REF!</v>
      </c>
      <c r="AA344" s="152" t="e">
        <f t="shared" ca="1" si="65"/>
        <v>#REF!</v>
      </c>
      <c r="AB344" s="152" t="e">
        <f t="shared" ca="1" si="66"/>
        <v>#REF!</v>
      </c>
      <c r="AC344">
        <v>7</v>
      </c>
      <c r="AD344">
        <v>2</v>
      </c>
      <c r="AE344" t="str">
        <f t="shared" si="68"/>
        <v>'[2022 - Aryapratama &amp; Pauliuk - STE - AppF.xlsx]GWPdyn_DL_FP - Fig.4(i)'!L</v>
      </c>
      <c r="AG344">
        <v>-185.53811788022131</v>
      </c>
      <c r="AH344">
        <v>41.927947193381058</v>
      </c>
      <c r="AI344">
        <f t="shared" si="51"/>
        <v>185.53811788022131</v>
      </c>
      <c r="AJ344">
        <f t="shared" si="51"/>
        <v>-41.927947193381058</v>
      </c>
    </row>
    <row r="345" spans="9:36">
      <c r="I345">
        <v>200</v>
      </c>
      <c r="J345" t="s">
        <v>2530</v>
      </c>
      <c r="K345" s="2" t="s">
        <v>2527</v>
      </c>
      <c r="M345">
        <v>762.57926798707604</v>
      </c>
      <c r="N345">
        <v>1461.011296798222</v>
      </c>
      <c r="O345">
        <v>455.74756079224562</v>
      </c>
      <c r="P345">
        <v>656.10508355919967</v>
      </c>
      <c r="Q345">
        <v>23.49403951814293</v>
      </c>
      <c r="R345">
        <v>-227.6520247861325</v>
      </c>
      <c r="S345">
        <v>7</v>
      </c>
      <c r="T345">
        <v>2</v>
      </c>
      <c r="U345" t="s">
        <v>2528</v>
      </c>
      <c r="W345" t="e">
        <f t="shared" ca="1" si="59"/>
        <v>#REF!</v>
      </c>
      <c r="X345" t="e">
        <f t="shared" ca="1" si="46"/>
        <v>#REF!</v>
      </c>
      <c r="Y345" t="e">
        <f t="shared" ca="1" si="60"/>
        <v>#REF!</v>
      </c>
      <c r="Z345" t="e">
        <f t="shared" ca="1" si="47"/>
        <v>#REF!</v>
      </c>
      <c r="AA345" s="152" t="e">
        <f t="shared" ca="1" si="65"/>
        <v>#REF!</v>
      </c>
      <c r="AB345" s="152" t="e">
        <f t="shared" ca="1" si="66"/>
        <v>#REF!</v>
      </c>
      <c r="AC345">
        <v>7</v>
      </c>
      <c r="AD345">
        <v>2</v>
      </c>
      <c r="AE345" t="str">
        <f t="shared" si="68"/>
        <v>'[2022 - Aryapratama &amp; Pauliuk - STE - AppF.xlsx]GWPdyn_DL_FP - Fig.4(i)'!L</v>
      </c>
      <c r="AG345">
        <v>-23.49403951814293</v>
      </c>
      <c r="AH345">
        <v>227.6520247861325</v>
      </c>
      <c r="AI345">
        <f t="shared" si="51"/>
        <v>23.49403951814293</v>
      </c>
      <c r="AJ345">
        <f t="shared" si="51"/>
        <v>-227.6520247861325</v>
      </c>
    </row>
    <row r="346" spans="9:36">
      <c r="I346">
        <v>50</v>
      </c>
      <c r="J346" t="s">
        <v>284</v>
      </c>
      <c r="K346" s="2" t="s">
        <v>303</v>
      </c>
      <c r="M346">
        <v>19.274226580798832</v>
      </c>
      <c r="N346">
        <v>19.274226580798839</v>
      </c>
      <c r="O346">
        <v>11.564535948479303</v>
      </c>
      <c r="P346">
        <v>15.419381264639073</v>
      </c>
      <c r="Q346">
        <v>100.2569126004381</v>
      </c>
      <c r="R346">
        <v>82.450615050179124</v>
      </c>
      <c r="S346">
        <v>5</v>
      </c>
      <c r="T346">
        <v>1</v>
      </c>
      <c r="U346" t="s">
        <v>2535</v>
      </c>
      <c r="W346" t="e">
        <f t="shared" ca="1" si="59"/>
        <v>#REF!</v>
      </c>
      <c r="X346" t="e">
        <f t="shared" ca="1" si="46"/>
        <v>#REF!</v>
      </c>
      <c r="Y346" t="e">
        <f t="shared" ca="1" si="60"/>
        <v>#REF!</v>
      </c>
      <c r="Z346" t="e">
        <f t="shared" ca="1" si="47"/>
        <v>#REF!</v>
      </c>
      <c r="AA346" s="152" t="e">
        <f t="shared" ref="AA346:AA357" ca="1" si="69">INDIRECT($AE346&amp;$I346+2&amp;"C"&amp;MATCH(RIGHT(J346,$AC346+3)&amp;" (t-CO2-eq)",INDIRECT($AE346&amp;$AD346,FALSE),0),FALSE)</f>
        <v>#REF!</v>
      </c>
      <c r="AB346" s="152" t="e">
        <f t="shared" ca="1" si="66"/>
        <v>#REF!</v>
      </c>
      <c r="AC346">
        <v>5</v>
      </c>
      <c r="AD346">
        <v>1</v>
      </c>
      <c r="AE346" t="str">
        <f t="shared" ref="AE346:AE357" si="70">"'[2022 - Aryapratama &amp; Pauliuk - STE - AppF.xlsx]GWPdyn_"&amp;LEFT(K346,3)&amp;" - Fig.4(j)'!L"</f>
        <v>'[2022 - Aryapratama &amp; Pauliuk - STE - AppF.xlsx]GWPdyn_RIL - Fig.4(j)'!L</v>
      </c>
      <c r="AG346">
        <v>-100.2569126004381</v>
      </c>
      <c r="AH346">
        <v>-82.450615050179124</v>
      </c>
      <c r="AI346">
        <f t="shared" si="51"/>
        <v>100.2569126004381</v>
      </c>
      <c r="AJ346">
        <f t="shared" si="51"/>
        <v>82.450615050179124</v>
      </c>
    </row>
    <row r="347" spans="9:36">
      <c r="I347">
        <v>100</v>
      </c>
      <c r="J347" t="s">
        <v>284</v>
      </c>
      <c r="K347" s="2" t="s">
        <v>303</v>
      </c>
      <c r="M347">
        <v>28.911339871198248</v>
      </c>
      <c r="N347">
        <v>28.911339871198258</v>
      </c>
      <c r="O347">
        <v>17.346803922718955</v>
      </c>
      <c r="P347">
        <v>23.12907189695861</v>
      </c>
      <c r="Q347">
        <v>192.24097622198209</v>
      </c>
      <c r="R347">
        <v>176.62110895178901</v>
      </c>
      <c r="S347">
        <v>5</v>
      </c>
      <c r="T347">
        <v>1</v>
      </c>
      <c r="U347" t="s">
        <v>2535</v>
      </c>
      <c r="W347" t="e">
        <f t="shared" ca="1" si="59"/>
        <v>#REF!</v>
      </c>
      <c r="X347" t="e">
        <f t="shared" ca="1" si="46"/>
        <v>#REF!</v>
      </c>
      <c r="Y347" t="e">
        <f t="shared" ca="1" si="60"/>
        <v>#REF!</v>
      </c>
      <c r="Z347" t="e">
        <f t="shared" ca="1" si="47"/>
        <v>#REF!</v>
      </c>
      <c r="AA347" s="152" t="e">
        <f t="shared" ca="1" si="69"/>
        <v>#REF!</v>
      </c>
      <c r="AB347" s="152" t="e">
        <f t="shared" ca="1" si="66"/>
        <v>#REF!</v>
      </c>
      <c r="AC347">
        <v>5</v>
      </c>
      <c r="AD347">
        <v>1</v>
      </c>
      <c r="AE347" t="str">
        <f t="shared" si="70"/>
        <v>'[2022 - Aryapratama &amp; Pauliuk - STE - AppF.xlsx]GWPdyn_RIL - Fig.4(j)'!L</v>
      </c>
      <c r="AG347">
        <v>-192.24097622198209</v>
      </c>
      <c r="AH347">
        <v>-176.62110895178901</v>
      </c>
      <c r="AI347">
        <f t="shared" si="51"/>
        <v>192.24097622198209</v>
      </c>
      <c r="AJ347">
        <f t="shared" si="51"/>
        <v>176.62110895178901</v>
      </c>
    </row>
    <row r="348" spans="9:36">
      <c r="I348">
        <v>200</v>
      </c>
      <c r="J348" t="s">
        <v>284</v>
      </c>
      <c r="K348" s="2" t="s">
        <v>303</v>
      </c>
      <c r="M348">
        <v>57.822679742396488</v>
      </c>
      <c r="N348">
        <v>57.822679742396517</v>
      </c>
      <c r="O348">
        <v>34.69360784543791</v>
      </c>
      <c r="P348">
        <v>46.25814379391722</v>
      </c>
      <c r="Q348">
        <v>377.50107760210591</v>
      </c>
      <c r="R348">
        <v>365.10563504552567</v>
      </c>
      <c r="S348">
        <v>5</v>
      </c>
      <c r="T348">
        <v>1</v>
      </c>
      <c r="U348" t="s">
        <v>2535</v>
      </c>
      <c r="W348" t="e">
        <f t="shared" ca="1" si="59"/>
        <v>#REF!</v>
      </c>
      <c r="X348" t="e">
        <f t="shared" ca="1" si="46"/>
        <v>#REF!</v>
      </c>
      <c r="Y348" t="e">
        <f t="shared" ca="1" si="60"/>
        <v>#REF!</v>
      </c>
      <c r="Z348" t="e">
        <f t="shared" ca="1" si="47"/>
        <v>#REF!</v>
      </c>
      <c r="AA348" s="152" t="e">
        <f t="shared" ca="1" si="69"/>
        <v>#REF!</v>
      </c>
      <c r="AB348" s="152" t="e">
        <f t="shared" ca="1" si="66"/>
        <v>#REF!</v>
      </c>
      <c r="AC348">
        <v>5</v>
      </c>
      <c r="AD348">
        <v>1</v>
      </c>
      <c r="AE348" t="str">
        <f t="shared" si="70"/>
        <v>'[2022 - Aryapratama &amp; Pauliuk - STE - AppF.xlsx]GWPdyn_RIL - Fig.4(j)'!L</v>
      </c>
      <c r="AG348">
        <v>-377.50107760210591</v>
      </c>
      <c r="AH348">
        <v>-365.10563504552567</v>
      </c>
      <c r="AI348">
        <f t="shared" si="51"/>
        <v>377.50107760210591</v>
      </c>
      <c r="AJ348">
        <f t="shared" si="51"/>
        <v>365.10563504552567</v>
      </c>
    </row>
    <row r="349" spans="9:36">
      <c r="I349">
        <v>50</v>
      </c>
      <c r="J349" t="s">
        <v>283</v>
      </c>
      <c r="K349" s="2" t="s">
        <v>312</v>
      </c>
      <c r="M349">
        <v>19.274226580798832</v>
      </c>
      <c r="N349">
        <v>19.274226580798839</v>
      </c>
      <c r="O349">
        <v>11.564535948479303</v>
      </c>
      <c r="P349">
        <v>15.419381264639073</v>
      </c>
      <c r="Q349">
        <v>185.09042564065231</v>
      </c>
      <c r="R349">
        <v>167.28412809039341</v>
      </c>
      <c r="S349">
        <v>7</v>
      </c>
      <c r="T349">
        <v>1</v>
      </c>
      <c r="U349" t="s">
        <v>2535</v>
      </c>
      <c r="W349" t="e">
        <f t="shared" ca="1" si="59"/>
        <v>#REF!</v>
      </c>
      <c r="X349" t="e">
        <f t="shared" ca="1" si="46"/>
        <v>#REF!</v>
      </c>
      <c r="Y349" t="e">
        <f t="shared" ca="1" si="60"/>
        <v>#REF!</v>
      </c>
      <c r="Z349" t="e">
        <f t="shared" ca="1" si="47"/>
        <v>#REF!</v>
      </c>
      <c r="AA349" s="152" t="e">
        <f t="shared" ca="1" si="69"/>
        <v>#REF!</v>
      </c>
      <c r="AB349" s="152" t="e">
        <f t="shared" ca="1" si="66"/>
        <v>#REF!</v>
      </c>
      <c r="AC349">
        <v>7</v>
      </c>
      <c r="AD349">
        <v>1</v>
      </c>
      <c r="AE349" t="str">
        <f t="shared" si="70"/>
        <v>'[2022 - Aryapratama &amp; Pauliuk - STE - AppF.xlsx]GWPdyn_RIL - Fig.4(j)'!L</v>
      </c>
      <c r="AG349">
        <v>-185.09042564065231</v>
      </c>
      <c r="AH349">
        <v>-167.28412809039341</v>
      </c>
      <c r="AI349">
        <f t="shared" si="51"/>
        <v>185.09042564065231</v>
      </c>
      <c r="AJ349">
        <f t="shared" si="51"/>
        <v>167.28412809039341</v>
      </c>
    </row>
    <row r="350" spans="9:36">
      <c r="I350">
        <v>100</v>
      </c>
      <c r="J350" t="s">
        <v>283</v>
      </c>
      <c r="K350" s="2" t="s">
        <v>312</v>
      </c>
      <c r="M350">
        <v>28.911339871198248</v>
      </c>
      <c r="N350">
        <v>28.911339871198258</v>
      </c>
      <c r="O350">
        <v>17.346803922718955</v>
      </c>
      <c r="P350">
        <v>23.12907189695861</v>
      </c>
      <c r="Q350">
        <v>369.9239668180054</v>
      </c>
      <c r="R350">
        <v>354.30409954781243</v>
      </c>
      <c r="S350">
        <v>7</v>
      </c>
      <c r="T350">
        <v>1</v>
      </c>
      <c r="U350" t="s">
        <v>2535</v>
      </c>
      <c r="W350" t="e">
        <f t="shared" ca="1" si="59"/>
        <v>#REF!</v>
      </c>
      <c r="X350" t="e">
        <f t="shared" ref="X350:X357" ca="1" si="71">SUM(INDIRECT("'[2022 - Aryapratama &amp; Pauliuk - STE - AppD.xlsx]"&amp;$K350&amp;"'!D2:D"&amp;$I350+1))</f>
        <v>#REF!</v>
      </c>
      <c r="Y350" t="e">
        <f t="shared" ca="1" si="60"/>
        <v>#REF!</v>
      </c>
      <c r="Z350" t="e">
        <f t="shared" ref="Z350:Z357" ca="1" si="72">SUM(INDIRECT("'[2022 - Aryapratama &amp; Pauliuk - STE - AppD.xlsx]"&amp;$K350&amp;"'!H2:H"&amp;$I350+1))</f>
        <v>#REF!</v>
      </c>
      <c r="AA350" s="152" t="e">
        <f t="shared" ca="1" si="69"/>
        <v>#REF!</v>
      </c>
      <c r="AB350" s="152" t="e">
        <f t="shared" ca="1" si="66"/>
        <v>#REF!</v>
      </c>
      <c r="AC350">
        <v>7</v>
      </c>
      <c r="AD350">
        <v>1</v>
      </c>
      <c r="AE350" t="str">
        <f t="shared" si="70"/>
        <v>'[2022 - Aryapratama &amp; Pauliuk - STE - AppF.xlsx]GWPdyn_RIL - Fig.4(j)'!L</v>
      </c>
      <c r="AG350">
        <v>-369.9239668180054</v>
      </c>
      <c r="AH350">
        <v>-354.30409954781243</v>
      </c>
      <c r="AI350">
        <f t="shared" ref="AI350:AJ357" si="73">-AG350</f>
        <v>369.9239668180054</v>
      </c>
      <c r="AJ350">
        <f t="shared" si="73"/>
        <v>354.30409954781243</v>
      </c>
    </row>
    <row r="351" spans="9:36">
      <c r="I351">
        <v>200</v>
      </c>
      <c r="J351" t="s">
        <v>283</v>
      </c>
      <c r="K351" s="2" t="s">
        <v>312</v>
      </c>
      <c r="M351">
        <v>57.822679742396488</v>
      </c>
      <c r="N351">
        <v>57.822679742396517</v>
      </c>
      <c r="O351">
        <v>34.69360784543791</v>
      </c>
      <c r="P351">
        <v>46.25814379391722</v>
      </c>
      <c r="Q351">
        <v>739.24076084648095</v>
      </c>
      <c r="R351">
        <v>726.845318289901</v>
      </c>
      <c r="S351">
        <v>7</v>
      </c>
      <c r="T351">
        <v>1</v>
      </c>
      <c r="U351" t="s">
        <v>2535</v>
      </c>
      <c r="W351" t="e">
        <f t="shared" ca="1" si="59"/>
        <v>#REF!</v>
      </c>
      <c r="X351" t="e">
        <f t="shared" ca="1" si="71"/>
        <v>#REF!</v>
      </c>
      <c r="Y351" t="e">
        <f t="shared" ca="1" si="60"/>
        <v>#REF!</v>
      </c>
      <c r="Z351" t="e">
        <f t="shared" ca="1" si="72"/>
        <v>#REF!</v>
      </c>
      <c r="AA351" s="152" t="e">
        <f t="shared" ca="1" si="69"/>
        <v>#REF!</v>
      </c>
      <c r="AB351" s="152" t="e">
        <f t="shared" ca="1" si="66"/>
        <v>#REF!</v>
      </c>
      <c r="AC351">
        <v>7</v>
      </c>
      <c r="AD351">
        <v>1</v>
      </c>
      <c r="AE351" t="str">
        <f t="shared" si="70"/>
        <v>'[2022 - Aryapratama &amp; Pauliuk - STE - AppF.xlsx]GWPdyn_RIL - Fig.4(j)'!L</v>
      </c>
      <c r="AG351">
        <v>-739.24076084648095</v>
      </c>
      <c r="AH351">
        <v>-726.845318289901</v>
      </c>
      <c r="AI351">
        <f t="shared" si="73"/>
        <v>739.24076084648095</v>
      </c>
      <c r="AJ351">
        <f t="shared" si="73"/>
        <v>726.845318289901</v>
      </c>
    </row>
    <row r="352" spans="9:36">
      <c r="I352">
        <v>50</v>
      </c>
      <c r="J352" t="s">
        <v>283</v>
      </c>
      <c r="K352" s="2" t="s">
        <v>284</v>
      </c>
      <c r="M352">
        <v>19.274226580798832</v>
      </c>
      <c r="N352">
        <v>19.274226580798832</v>
      </c>
      <c r="O352">
        <v>11.564535948479303</v>
      </c>
      <c r="P352">
        <v>11.564535948479303</v>
      </c>
      <c r="Q352">
        <v>185.09042564065231</v>
      </c>
      <c r="R352">
        <v>100.2569126004381</v>
      </c>
      <c r="S352">
        <v>5</v>
      </c>
      <c r="T352">
        <v>1</v>
      </c>
      <c r="U352" t="s">
        <v>2535</v>
      </c>
      <c r="W352" t="e">
        <f t="shared" ca="1" si="59"/>
        <v>#REF!</v>
      </c>
      <c r="X352" t="e">
        <f t="shared" ca="1" si="71"/>
        <v>#REF!</v>
      </c>
      <c r="Y352" t="e">
        <f t="shared" ca="1" si="60"/>
        <v>#REF!</v>
      </c>
      <c r="Z352" t="e">
        <f t="shared" ca="1" si="72"/>
        <v>#REF!</v>
      </c>
      <c r="AA352" s="152" t="e">
        <f t="shared" ca="1" si="69"/>
        <v>#REF!</v>
      </c>
      <c r="AB352" s="152" t="e">
        <f t="shared" ca="1" si="66"/>
        <v>#REF!</v>
      </c>
      <c r="AC352">
        <v>5</v>
      </c>
      <c r="AD352">
        <v>1</v>
      </c>
      <c r="AE352" t="str">
        <f t="shared" si="70"/>
        <v>'[2022 - Aryapratama &amp; Pauliuk - STE - AppF.xlsx]GWPdyn_RIL - Fig.4(j)'!L</v>
      </c>
      <c r="AG352">
        <v>-185.09042564065231</v>
      </c>
      <c r="AH352">
        <v>-100.2569126004381</v>
      </c>
      <c r="AI352">
        <f t="shared" si="73"/>
        <v>185.09042564065231</v>
      </c>
      <c r="AJ352">
        <f t="shared" si="73"/>
        <v>100.2569126004381</v>
      </c>
    </row>
    <row r="353" spans="1:36">
      <c r="I353">
        <v>100</v>
      </c>
      <c r="J353" t="s">
        <v>283</v>
      </c>
      <c r="K353" s="2" t="s">
        <v>284</v>
      </c>
      <c r="M353">
        <v>28.911339871198248</v>
      </c>
      <c r="N353">
        <v>28.911339871198248</v>
      </c>
      <c r="O353">
        <v>17.346803922718955</v>
      </c>
      <c r="P353">
        <v>17.346803922718955</v>
      </c>
      <c r="Q353">
        <v>369.9239668180054</v>
      </c>
      <c r="R353">
        <v>192.24097622198209</v>
      </c>
      <c r="S353">
        <v>5</v>
      </c>
      <c r="T353">
        <v>1</v>
      </c>
      <c r="U353" t="s">
        <v>2535</v>
      </c>
      <c r="W353" t="e">
        <f t="shared" ca="1" si="59"/>
        <v>#REF!</v>
      </c>
      <c r="X353" t="e">
        <f t="shared" ca="1" si="71"/>
        <v>#REF!</v>
      </c>
      <c r="Y353" t="e">
        <f t="shared" ca="1" si="60"/>
        <v>#REF!</v>
      </c>
      <c r="Z353" t="e">
        <f t="shared" ca="1" si="72"/>
        <v>#REF!</v>
      </c>
      <c r="AA353" s="152" t="e">
        <f t="shared" ca="1" si="69"/>
        <v>#REF!</v>
      </c>
      <c r="AB353" s="152" t="e">
        <f t="shared" ca="1" si="66"/>
        <v>#REF!</v>
      </c>
      <c r="AC353">
        <v>5</v>
      </c>
      <c r="AD353">
        <v>1</v>
      </c>
      <c r="AE353" t="str">
        <f t="shared" si="70"/>
        <v>'[2022 - Aryapratama &amp; Pauliuk - STE - AppF.xlsx]GWPdyn_RIL - Fig.4(j)'!L</v>
      </c>
      <c r="AG353">
        <v>-369.9239668180054</v>
      </c>
      <c r="AH353">
        <v>-192.24097622198209</v>
      </c>
      <c r="AI353">
        <f t="shared" si="73"/>
        <v>369.9239668180054</v>
      </c>
      <c r="AJ353">
        <f t="shared" si="73"/>
        <v>192.24097622198209</v>
      </c>
    </row>
    <row r="354" spans="1:36">
      <c r="I354">
        <v>200</v>
      </c>
      <c r="J354" t="s">
        <v>283</v>
      </c>
      <c r="K354" s="2" t="s">
        <v>284</v>
      </c>
      <c r="M354">
        <v>57.822679742396488</v>
      </c>
      <c r="N354">
        <v>57.822679742396488</v>
      </c>
      <c r="O354">
        <v>34.69360784543791</v>
      </c>
      <c r="P354">
        <v>34.69360784543791</v>
      </c>
      <c r="Q354">
        <v>739.24076084648095</v>
      </c>
      <c r="R354">
        <v>377.50107760210591</v>
      </c>
      <c r="S354">
        <v>5</v>
      </c>
      <c r="T354">
        <v>1</v>
      </c>
      <c r="U354" t="s">
        <v>2535</v>
      </c>
      <c r="W354" t="e">
        <f t="shared" ca="1" si="59"/>
        <v>#REF!</v>
      </c>
      <c r="X354" t="e">
        <f t="shared" ca="1" si="71"/>
        <v>#REF!</v>
      </c>
      <c r="Y354" t="e">
        <f t="shared" ca="1" si="60"/>
        <v>#REF!</v>
      </c>
      <c r="Z354" t="e">
        <f t="shared" ca="1" si="72"/>
        <v>#REF!</v>
      </c>
      <c r="AA354" s="152" t="e">
        <f t="shared" ca="1" si="69"/>
        <v>#REF!</v>
      </c>
      <c r="AB354" s="152" t="e">
        <f t="shared" ca="1" si="66"/>
        <v>#REF!</v>
      </c>
      <c r="AC354">
        <v>5</v>
      </c>
      <c r="AD354">
        <v>1</v>
      </c>
      <c r="AE354" t="str">
        <f t="shared" si="70"/>
        <v>'[2022 - Aryapratama &amp; Pauliuk - STE - AppF.xlsx]GWPdyn_RIL - Fig.4(j)'!L</v>
      </c>
      <c r="AG354">
        <v>-739.24076084648095</v>
      </c>
      <c r="AH354">
        <v>-377.50107760210591</v>
      </c>
      <c r="AI354">
        <f t="shared" si="73"/>
        <v>739.24076084648095</v>
      </c>
      <c r="AJ354">
        <f t="shared" si="73"/>
        <v>377.50107760210591</v>
      </c>
    </row>
    <row r="355" spans="1:36">
      <c r="I355">
        <v>50</v>
      </c>
      <c r="J355" t="s">
        <v>312</v>
      </c>
      <c r="K355" s="2" t="s">
        <v>303</v>
      </c>
      <c r="M355">
        <v>19.274226580798839</v>
      </c>
      <c r="N355">
        <v>19.274226580798839</v>
      </c>
      <c r="O355">
        <v>15.419381264639073</v>
      </c>
      <c r="P355">
        <v>15.419381264639073</v>
      </c>
      <c r="Q355">
        <v>167.28412809039341</v>
      </c>
      <c r="R355">
        <v>82.450615050179124</v>
      </c>
      <c r="S355">
        <v>5</v>
      </c>
      <c r="T355">
        <v>1</v>
      </c>
      <c r="U355" t="s">
        <v>2535</v>
      </c>
      <c r="W355" t="e">
        <f t="shared" ca="1" si="59"/>
        <v>#REF!</v>
      </c>
      <c r="X355" t="e">
        <f t="shared" ca="1" si="71"/>
        <v>#REF!</v>
      </c>
      <c r="Y355" t="e">
        <f t="shared" ca="1" si="60"/>
        <v>#REF!</v>
      </c>
      <c r="Z355" t="e">
        <f t="shared" ca="1" si="72"/>
        <v>#REF!</v>
      </c>
      <c r="AA355" s="152" t="e">
        <f t="shared" ca="1" si="69"/>
        <v>#REF!</v>
      </c>
      <c r="AB355" s="152" t="e">
        <f t="shared" ca="1" si="66"/>
        <v>#REF!</v>
      </c>
      <c r="AC355">
        <v>5</v>
      </c>
      <c r="AD355">
        <v>1</v>
      </c>
      <c r="AE355" t="str">
        <f t="shared" si="70"/>
        <v>'[2022 - Aryapratama &amp; Pauliuk - STE - AppF.xlsx]GWPdyn_RIL - Fig.4(j)'!L</v>
      </c>
      <c r="AG355">
        <v>-167.28412809039341</v>
      </c>
      <c r="AH355">
        <v>-82.450615050179124</v>
      </c>
      <c r="AI355">
        <f t="shared" si="73"/>
        <v>167.28412809039341</v>
      </c>
      <c r="AJ355">
        <f t="shared" si="73"/>
        <v>82.450615050179124</v>
      </c>
    </row>
    <row r="356" spans="1:36">
      <c r="I356">
        <v>100</v>
      </c>
      <c r="J356" t="s">
        <v>312</v>
      </c>
      <c r="K356" s="2" t="s">
        <v>303</v>
      </c>
      <c r="M356">
        <v>28.911339871198258</v>
      </c>
      <c r="N356">
        <v>28.911339871198258</v>
      </c>
      <c r="O356">
        <v>23.12907189695861</v>
      </c>
      <c r="P356">
        <v>23.12907189695861</v>
      </c>
      <c r="Q356">
        <v>354.30409954781243</v>
      </c>
      <c r="R356">
        <v>176.62110895178901</v>
      </c>
      <c r="S356">
        <v>5</v>
      </c>
      <c r="T356">
        <v>1</v>
      </c>
      <c r="U356" t="s">
        <v>2535</v>
      </c>
      <c r="W356" t="e">
        <f t="shared" ca="1" si="59"/>
        <v>#REF!</v>
      </c>
      <c r="X356" t="e">
        <f t="shared" ca="1" si="71"/>
        <v>#REF!</v>
      </c>
      <c r="Y356" t="e">
        <f t="shared" ca="1" si="60"/>
        <v>#REF!</v>
      </c>
      <c r="Z356" t="e">
        <f t="shared" ca="1" si="72"/>
        <v>#REF!</v>
      </c>
      <c r="AA356" s="152" t="e">
        <f t="shared" ca="1" si="69"/>
        <v>#REF!</v>
      </c>
      <c r="AB356" s="152" t="e">
        <f t="shared" ca="1" si="66"/>
        <v>#REF!</v>
      </c>
      <c r="AC356">
        <v>5</v>
      </c>
      <c r="AD356">
        <v>1</v>
      </c>
      <c r="AE356" t="str">
        <f t="shared" si="70"/>
        <v>'[2022 - Aryapratama &amp; Pauliuk - STE - AppF.xlsx]GWPdyn_RIL - Fig.4(j)'!L</v>
      </c>
      <c r="AG356">
        <v>-354.30409954781243</v>
      </c>
      <c r="AH356">
        <v>-176.62110895178901</v>
      </c>
      <c r="AI356">
        <f t="shared" si="73"/>
        <v>354.30409954781243</v>
      </c>
      <c r="AJ356">
        <f t="shared" si="73"/>
        <v>176.62110895178901</v>
      </c>
    </row>
    <row r="357" spans="1:36">
      <c r="I357">
        <v>200</v>
      </c>
      <c r="J357" t="s">
        <v>312</v>
      </c>
      <c r="K357" s="2" t="s">
        <v>303</v>
      </c>
      <c r="M357">
        <v>57.822679742396517</v>
      </c>
      <c r="N357">
        <v>57.822679742396517</v>
      </c>
      <c r="O357">
        <v>46.25814379391722</v>
      </c>
      <c r="P357">
        <v>46.25814379391722</v>
      </c>
      <c r="Q357">
        <v>726.845318289901</v>
      </c>
      <c r="R357">
        <v>365.10563504552567</v>
      </c>
      <c r="S357">
        <v>5</v>
      </c>
      <c r="T357">
        <v>1</v>
      </c>
      <c r="U357" t="s">
        <v>2535</v>
      </c>
      <c r="W357" t="e">
        <f t="shared" ca="1" si="59"/>
        <v>#REF!</v>
      </c>
      <c r="X357" t="e">
        <f t="shared" ca="1" si="71"/>
        <v>#REF!</v>
      </c>
      <c r="Y357" t="e">
        <f t="shared" ca="1" si="60"/>
        <v>#REF!</v>
      </c>
      <c r="Z357" t="e">
        <f t="shared" ca="1" si="72"/>
        <v>#REF!</v>
      </c>
      <c r="AA357" s="152" t="e">
        <f t="shared" ca="1" si="69"/>
        <v>#REF!</v>
      </c>
      <c r="AB357" s="152" t="e">
        <f t="shared" ca="1" si="66"/>
        <v>#REF!</v>
      </c>
      <c r="AC357">
        <v>5</v>
      </c>
      <c r="AD357">
        <v>1</v>
      </c>
      <c r="AE357" t="str">
        <f t="shared" si="70"/>
        <v>'[2022 - Aryapratama &amp; Pauliuk - STE - AppF.xlsx]GWPdyn_RIL - Fig.4(j)'!L</v>
      </c>
      <c r="AG357">
        <v>-726.845318289901</v>
      </c>
      <c r="AH357">
        <v>-365.10563504552567</v>
      </c>
      <c r="AI357">
        <f t="shared" si="73"/>
        <v>726.845318289901</v>
      </c>
      <c r="AJ357">
        <f t="shared" si="73"/>
        <v>365.10563504552567</v>
      </c>
    </row>
    <row r="359" spans="1:36">
      <c r="A359" t="s">
        <v>2538</v>
      </c>
      <c r="R359" t="s">
        <v>2539</v>
      </c>
      <c r="U359" t="s">
        <v>2540</v>
      </c>
      <c r="X359" t="s">
        <v>2541</v>
      </c>
      <c r="AA359" t="s">
        <v>1155</v>
      </c>
    </row>
    <row r="360" spans="1:36">
      <c r="N360" t="s">
        <v>2501</v>
      </c>
      <c r="O360" t="s">
        <v>2502</v>
      </c>
      <c r="R360" t="s">
        <v>1003</v>
      </c>
      <c r="S360" t="s">
        <v>1154</v>
      </c>
      <c r="T360" t="s">
        <v>1160</v>
      </c>
      <c r="U360" t="s">
        <v>1003</v>
      </c>
      <c r="V360" t="s">
        <v>1154</v>
      </c>
      <c r="W360" t="s">
        <v>1160</v>
      </c>
      <c r="X360" t="s">
        <v>1003</v>
      </c>
      <c r="Y360" t="s">
        <v>1154</v>
      </c>
      <c r="Z360" t="s">
        <v>1160</v>
      </c>
      <c r="AA360" t="s">
        <v>1003</v>
      </c>
      <c r="AB360" t="s">
        <v>1154</v>
      </c>
      <c r="AC360" t="s">
        <v>1160</v>
      </c>
    </row>
    <row r="361" spans="1:36">
      <c r="K361" t="s">
        <v>1154</v>
      </c>
      <c r="L361">
        <v>50</v>
      </c>
      <c r="M361" t="s">
        <v>2542</v>
      </c>
      <c r="N361">
        <f>R$366</f>
        <v>30.8433734939759</v>
      </c>
      <c r="O361">
        <f>S$366</f>
        <v>30.8433734939759</v>
      </c>
      <c r="Q361">
        <v>2009.6774193548299</v>
      </c>
      <c r="R361">
        <v>17.951807228915602</v>
      </c>
      <c r="S361">
        <v>16.867469879518001</v>
      </c>
      <c r="T361">
        <v>15.1857198378768</v>
      </c>
      <c r="U361">
        <v>9.3160377358490507</v>
      </c>
      <c r="V361">
        <v>9.3160377358490507</v>
      </c>
      <c r="W361">
        <v>9.3160377358490507</v>
      </c>
      <c r="X361">
        <v>0</v>
      </c>
      <c r="Y361">
        <v>0</v>
      </c>
      <c r="Z361">
        <v>0</v>
      </c>
      <c r="AA361">
        <v>0</v>
      </c>
      <c r="AB361">
        <v>0</v>
      </c>
      <c r="AC361">
        <v>0</v>
      </c>
    </row>
    <row r="362" spans="1:36">
      <c r="K362" t="s">
        <v>1154</v>
      </c>
      <c r="L362">
        <v>50</v>
      </c>
      <c r="M362" t="s">
        <v>2394</v>
      </c>
      <c r="N362">
        <f>R$365+U$365</f>
        <v>33.994657876790122</v>
      </c>
      <c r="O362">
        <f>S$365+V$365</f>
        <v>34.185894521482062</v>
      </c>
      <c r="Q362">
        <v>2020</v>
      </c>
      <c r="R362">
        <v>21.445783132530099</v>
      </c>
      <c r="S362">
        <v>20.361445783132499</v>
      </c>
      <c r="T362">
        <v>19.1771695075231</v>
      </c>
      <c r="U362">
        <v>7.9481132075471601</v>
      </c>
      <c r="V362">
        <v>7.9009433962264097</v>
      </c>
      <c r="W362">
        <v>7.8066037735849001</v>
      </c>
      <c r="X362">
        <v>0.49740932642487001</v>
      </c>
      <c r="Y362">
        <v>0.51813471502590502</v>
      </c>
      <c r="Z362">
        <v>0.51813471502590502</v>
      </c>
      <c r="AA362">
        <f t="shared" ref="AA362:AA370" si="74">(SUM(M$402:M402)*5)</f>
        <v>1.6995073891625601</v>
      </c>
      <c r="AB362">
        <f t="shared" ref="AB362:AB370" si="75">(SUM(N$402:N402)*5)</f>
        <v>1.5763546798029551</v>
      </c>
      <c r="AC362">
        <f t="shared" ref="AC362:AC370" si="76">(SUM(O$402:O402)*5)</f>
        <v>1.600985221674875</v>
      </c>
    </row>
    <row r="363" spans="1:36">
      <c r="K363" t="s">
        <v>1154</v>
      </c>
      <c r="L363">
        <v>50</v>
      </c>
      <c r="M363" t="s">
        <v>2543</v>
      </c>
      <c r="N363">
        <f>+R$366+U$366+X$366</f>
        <v>38.33684792940457</v>
      </c>
      <c r="O363">
        <f>+S$366+V$366+Y$366</f>
        <v>39.060818992069535</v>
      </c>
      <c r="Q363">
        <v>2029.9539170506901</v>
      </c>
      <c r="R363">
        <v>20.722891566265002</v>
      </c>
      <c r="S363">
        <v>20.120481927710799</v>
      </c>
      <c r="T363">
        <v>20.034978624174101</v>
      </c>
      <c r="U363">
        <v>6.9575471698113196</v>
      </c>
      <c r="V363">
        <v>6.8867924528301803</v>
      </c>
      <c r="W363">
        <v>6.8396226415094299</v>
      </c>
      <c r="X363">
        <v>1.0777202072538801</v>
      </c>
      <c r="Y363">
        <v>1.1191709844559501</v>
      </c>
      <c r="Z363">
        <v>1.09844559585492</v>
      </c>
      <c r="AA363">
        <f t="shared" si="74"/>
        <v>3.6206896551724101</v>
      </c>
      <c r="AB363">
        <f t="shared" si="75"/>
        <v>3.3374384236453203</v>
      </c>
      <c r="AC363">
        <f t="shared" si="76"/>
        <v>3.2142857142857095</v>
      </c>
    </row>
    <row r="364" spans="1:36">
      <c r="K364" t="s">
        <v>1154</v>
      </c>
      <c r="L364">
        <v>90</v>
      </c>
      <c r="M364" t="s">
        <v>2542</v>
      </c>
      <c r="N364">
        <f>R$370</f>
        <v>32.530120481927703</v>
      </c>
      <c r="O364">
        <f>S$370</f>
        <v>35.060240963855399</v>
      </c>
      <c r="Q364">
        <v>2039.17050691244</v>
      </c>
      <c r="R364">
        <v>23.855421686746901</v>
      </c>
      <c r="S364">
        <v>24.216867469879499</v>
      </c>
      <c r="T364">
        <v>24.508356004663799</v>
      </c>
      <c r="U364">
        <v>5.9198113207547101</v>
      </c>
      <c r="V364">
        <v>6.0141509433962197</v>
      </c>
      <c r="W364">
        <v>6.2264150943396199</v>
      </c>
      <c r="X364">
        <v>1.36787564766839</v>
      </c>
      <c r="Y364">
        <v>1.5129533678756399</v>
      </c>
      <c r="Z364">
        <v>1.6580310880828999</v>
      </c>
      <c r="AA364">
        <f t="shared" si="74"/>
        <v>5.2216748768472847</v>
      </c>
      <c r="AB364">
        <f t="shared" si="75"/>
        <v>5.0985221674876851</v>
      </c>
      <c r="AC364">
        <f t="shared" si="76"/>
        <v>5.1600985221674804</v>
      </c>
    </row>
    <row r="365" spans="1:36">
      <c r="K365" t="s">
        <v>1154</v>
      </c>
      <c r="L365">
        <v>90</v>
      </c>
      <c r="M365" t="s">
        <v>2394</v>
      </c>
      <c r="N365">
        <f>R$365+U$365</f>
        <v>33.994657876790122</v>
      </c>
      <c r="O365">
        <f>S$365+V$365</f>
        <v>34.185894521482062</v>
      </c>
      <c r="Q365">
        <v>2049.4930875576001</v>
      </c>
      <c r="R365">
        <v>28.192771084337299</v>
      </c>
      <c r="S365">
        <v>28.313253012048101</v>
      </c>
      <c r="T365">
        <v>28.619177169507498</v>
      </c>
      <c r="U365">
        <v>5.8018867924528204</v>
      </c>
      <c r="V365">
        <v>5.8726415094339597</v>
      </c>
      <c r="W365">
        <v>6.2028301886792399</v>
      </c>
      <c r="X365">
        <v>2.1554404145077699</v>
      </c>
      <c r="Y365">
        <v>2.4870466321243501</v>
      </c>
      <c r="Z365">
        <v>2.7150259067357401</v>
      </c>
      <c r="AA365">
        <f t="shared" si="74"/>
        <v>8.1403940886699448</v>
      </c>
      <c r="AB365">
        <f t="shared" si="75"/>
        <v>8.091133004926105</v>
      </c>
      <c r="AC365">
        <f t="shared" si="76"/>
        <v>8.3990147783251157</v>
      </c>
    </row>
    <row r="366" spans="1:36">
      <c r="K366" t="s">
        <v>1154</v>
      </c>
      <c r="L366">
        <v>90</v>
      </c>
      <c r="M366" t="s">
        <v>2543</v>
      </c>
      <c r="N366">
        <f>+R$370+U$370+X$370</f>
        <v>42.123971298234274</v>
      </c>
      <c r="O366">
        <f>+S$370+V$370+Y$370</f>
        <v>45.12148839762213</v>
      </c>
      <c r="Q366">
        <v>2059.8156682027602</v>
      </c>
      <c r="R366">
        <v>30.8433734939759</v>
      </c>
      <c r="S366">
        <v>30.8433734939759</v>
      </c>
      <c r="T366">
        <v>31.526844706012898</v>
      </c>
      <c r="U366">
        <v>4.8820754716981103</v>
      </c>
      <c r="V366">
        <v>5.2122641509433896</v>
      </c>
      <c r="W366">
        <v>5.75471698113207</v>
      </c>
      <c r="X366">
        <v>2.6113989637305601</v>
      </c>
      <c r="Y366">
        <v>3.0051813471502502</v>
      </c>
      <c r="Z366">
        <v>3.3989637305699398</v>
      </c>
      <c r="AA366">
        <f t="shared" si="74"/>
        <v>10.270935960591125</v>
      </c>
      <c r="AB366">
        <f t="shared" si="75"/>
        <v>10.566502463054182</v>
      </c>
      <c r="AC366">
        <f t="shared" si="76"/>
        <v>11.20689655172413</v>
      </c>
    </row>
    <row r="367" spans="1:36">
      <c r="K367" t="s">
        <v>1160</v>
      </c>
      <c r="L367">
        <v>50</v>
      </c>
      <c r="M367" t="s">
        <v>2542</v>
      </c>
      <c r="N367">
        <f>R$366</f>
        <v>30.8433734939759</v>
      </c>
      <c r="O367">
        <f>T$366</f>
        <v>31.526844706012898</v>
      </c>
      <c r="Q367">
        <v>2070.1382488479198</v>
      </c>
      <c r="R367">
        <v>32.048192771084302</v>
      </c>
      <c r="S367">
        <v>31.927710843373401</v>
      </c>
      <c r="T367">
        <v>33.347954028093902</v>
      </c>
      <c r="U367">
        <v>5.3537735849056496</v>
      </c>
      <c r="V367">
        <v>5.2594339622641497</v>
      </c>
      <c r="W367">
        <v>5.5660377358490498</v>
      </c>
      <c r="X367">
        <v>3.8134715025906698</v>
      </c>
      <c r="Y367">
        <v>4.1243523316062101</v>
      </c>
      <c r="Z367">
        <v>4.4145077720207198</v>
      </c>
      <c r="AA367">
        <f t="shared" si="74"/>
        <v>14.347290640394078</v>
      </c>
      <c r="AB367">
        <f t="shared" si="75"/>
        <v>14.039408866995068</v>
      </c>
      <c r="AC367">
        <f t="shared" si="76"/>
        <v>14.310344827586196</v>
      </c>
    </row>
    <row r="368" spans="1:36">
      <c r="K368" t="s">
        <v>1160</v>
      </c>
      <c r="L368">
        <v>50</v>
      </c>
      <c r="M368" t="s">
        <v>2394</v>
      </c>
      <c r="N368">
        <f>R$365+U$365</f>
        <v>33.994657876790122</v>
      </c>
      <c r="O368">
        <f>T$365+W$365</f>
        <v>34.822007358186738</v>
      </c>
      <c r="Q368">
        <v>2080.82949308755</v>
      </c>
      <c r="R368">
        <v>31.6867469879518</v>
      </c>
      <c r="S368">
        <v>32.289156626505999</v>
      </c>
      <c r="T368">
        <v>36.3761034923102</v>
      </c>
      <c r="U368">
        <v>4.8820754716981103</v>
      </c>
      <c r="V368">
        <v>4.9056603773584797</v>
      </c>
      <c r="W368">
        <v>5.2122641509433896</v>
      </c>
      <c r="X368">
        <v>4.6217616580310796</v>
      </c>
      <c r="Y368">
        <v>4.9326424870466301</v>
      </c>
      <c r="Z368">
        <v>5.2642487046632098</v>
      </c>
      <c r="AA368">
        <f t="shared" si="74"/>
        <v>17.573891625615751</v>
      </c>
      <c r="AB368">
        <f t="shared" si="75"/>
        <v>16.871921182266</v>
      </c>
      <c r="AC368">
        <f t="shared" si="76"/>
        <v>17.068965517241367</v>
      </c>
    </row>
    <row r="369" spans="11:29">
      <c r="K369" t="s">
        <v>1160</v>
      </c>
      <c r="L369">
        <v>50</v>
      </c>
      <c r="M369" t="s">
        <v>2543</v>
      </c>
      <c r="N369">
        <f>+R$366+U$366+X$366</f>
        <v>38.33684792940457</v>
      </c>
      <c r="O369">
        <f>+T$366+W$366+Z$366</f>
        <v>40.680525417714911</v>
      </c>
      <c r="Q369">
        <v>2091.8894009216501</v>
      </c>
      <c r="R369">
        <v>32.289156626505999</v>
      </c>
      <c r="S369">
        <v>33.734939759036102</v>
      </c>
      <c r="T369">
        <v>39.642995946921303</v>
      </c>
      <c r="U369">
        <v>4.2924528301886697</v>
      </c>
      <c r="V369">
        <v>4.3396226415094299</v>
      </c>
      <c r="W369">
        <v>4.8584905660377302</v>
      </c>
      <c r="X369">
        <v>5.1606217616580201</v>
      </c>
      <c r="Y369">
        <v>5.5129533678756397</v>
      </c>
      <c r="Z369">
        <v>5.9689119170984402</v>
      </c>
      <c r="AA369">
        <f t="shared" si="74"/>
        <v>19.950738916256142</v>
      </c>
      <c r="AB369">
        <f t="shared" si="75"/>
        <v>19.088669950738904</v>
      </c>
      <c r="AC369">
        <f t="shared" si="76"/>
        <v>19.51970443349752</v>
      </c>
    </row>
    <row r="370" spans="11:29">
      <c r="K370" t="s">
        <v>1160</v>
      </c>
      <c r="L370">
        <v>90</v>
      </c>
      <c r="M370" t="s">
        <v>2542</v>
      </c>
      <c r="N370">
        <f>R$370</f>
        <v>32.530120481927703</v>
      </c>
      <c r="O370">
        <f>T$370</f>
        <v>42.671145411137601</v>
      </c>
      <c r="Q370">
        <v>2100</v>
      </c>
      <c r="R370">
        <v>32.530120481927703</v>
      </c>
      <c r="S370">
        <v>35.060240963855399</v>
      </c>
      <c r="T370">
        <v>42.671145411137601</v>
      </c>
      <c r="U370">
        <v>3.9150943396226401</v>
      </c>
      <c r="V370">
        <v>4.0094339622641497</v>
      </c>
      <c r="W370">
        <v>4.7877358490565998</v>
      </c>
      <c r="X370">
        <v>5.6787564766839296</v>
      </c>
      <c r="Y370">
        <v>6.0518134715025802</v>
      </c>
      <c r="Z370">
        <v>6.7564766839378203</v>
      </c>
      <c r="AA370">
        <f t="shared" si="74"/>
        <v>22.204433497536925</v>
      </c>
      <c r="AB370">
        <f t="shared" si="75"/>
        <v>21.305418719211811</v>
      </c>
      <c r="AC370">
        <f t="shared" si="76"/>
        <v>22.426108374384221</v>
      </c>
    </row>
    <row r="371" spans="11:29">
      <c r="K371" t="s">
        <v>1160</v>
      </c>
      <c r="L371">
        <v>90</v>
      </c>
      <c r="M371" t="s">
        <v>2394</v>
      </c>
      <c r="N371">
        <f>R$365+U$365</f>
        <v>33.994657876790122</v>
      </c>
      <c r="O371">
        <f>T$365+W$365</f>
        <v>34.822007358186738</v>
      </c>
    </row>
    <row r="372" spans="11:29">
      <c r="K372" t="s">
        <v>1160</v>
      </c>
      <c r="L372">
        <v>90</v>
      </c>
      <c r="M372" t="s">
        <v>2543</v>
      </c>
      <c r="N372">
        <f>+R$370+U$370+X$370</f>
        <v>42.123971298234274</v>
      </c>
      <c r="O372">
        <f>+T$370+W$370+Z$370</f>
        <v>54.215357944132023</v>
      </c>
      <c r="V372" t="s">
        <v>2466</v>
      </c>
    </row>
    <row r="373" spans="11:29">
      <c r="L373" t="s">
        <v>2544</v>
      </c>
      <c r="N373" t="s">
        <v>229</v>
      </c>
      <c r="O373" t="s">
        <v>180</v>
      </c>
      <c r="P373" t="s">
        <v>2545</v>
      </c>
      <c r="Q373" t="s">
        <v>2546</v>
      </c>
      <c r="R373" t="s">
        <v>2547</v>
      </c>
      <c r="U373">
        <v>2020</v>
      </c>
      <c r="V373">
        <v>0.135593220338982</v>
      </c>
    </row>
    <row r="374" spans="11:29">
      <c r="L374">
        <v>2024.4169524193701</v>
      </c>
      <c r="M374">
        <v>2.9256594724220601E-2</v>
      </c>
      <c r="N374">
        <f>M375*5</f>
        <v>0.16546762589928049</v>
      </c>
      <c r="O374">
        <f>(M376-M375)*5</f>
        <v>2.39808153477215E-2</v>
      </c>
      <c r="P374">
        <f>V374-V373</f>
        <v>0.250325945241201</v>
      </c>
      <c r="Q374">
        <f>X363-X362-P374</f>
        <v>0.32998493558780906</v>
      </c>
      <c r="R374">
        <f>P374/N374</f>
        <v>1.5128394081968242</v>
      </c>
      <c r="S374">
        <f>Q374/O374</f>
        <v>13.760371814011823</v>
      </c>
      <c r="U374">
        <v>2030.6403940886601</v>
      </c>
      <c r="V374">
        <v>0.38591916558018302</v>
      </c>
    </row>
    <row r="375" spans="11:29">
      <c r="L375">
        <v>2024.78361236244</v>
      </c>
      <c r="M375">
        <v>3.3093525179856101E-2</v>
      </c>
      <c r="U375">
        <v>2039.7044334975301</v>
      </c>
      <c r="V375">
        <v>0.44850065189048199</v>
      </c>
    </row>
    <row r="376" spans="11:29">
      <c r="L376">
        <v>2024.7746475716599</v>
      </c>
      <c r="M376">
        <v>3.7889688249400401E-2</v>
      </c>
      <c r="U376">
        <v>2049.95073891625</v>
      </c>
      <c r="V376">
        <v>0.677966101694915</v>
      </c>
    </row>
    <row r="377" spans="11:29">
      <c r="L377">
        <v>2044.97501064568</v>
      </c>
      <c r="M377">
        <v>3.0695443645083899E-2</v>
      </c>
      <c r="N377">
        <f>M378*5</f>
        <v>0.17026378896882449</v>
      </c>
      <c r="O377">
        <f>(M379-M378)*5</f>
        <v>2.6378896882494514E-2</v>
      </c>
      <c r="P377">
        <f>V376-V375</f>
        <v>0.22946544980443301</v>
      </c>
      <c r="Q377">
        <f>X365-X364-P377</f>
        <v>0.55809931703494686</v>
      </c>
      <c r="R377">
        <f>P377/N377</f>
        <v>1.3477055291330819</v>
      </c>
      <c r="S377">
        <f>Q377/O377</f>
        <v>21.15703774577894</v>
      </c>
      <c r="U377">
        <v>2059.8029556650199</v>
      </c>
      <c r="V377">
        <v>0.74054758800521503</v>
      </c>
    </row>
    <row r="378" spans="11:29">
      <c r="L378">
        <v>2044.5949035164299</v>
      </c>
      <c r="M378">
        <v>3.4052757793764897E-2</v>
      </c>
      <c r="U378">
        <v>2070.04926108374</v>
      </c>
      <c r="V378">
        <v>1.22033898305084</v>
      </c>
    </row>
    <row r="379" spans="11:29">
      <c r="L379">
        <v>2044.95887402227</v>
      </c>
      <c r="M379">
        <v>3.93285371702638E-2</v>
      </c>
      <c r="U379">
        <v>2080.2955665024601</v>
      </c>
      <c r="V379">
        <v>1.4498044328552799</v>
      </c>
    </row>
    <row r="380" spans="11:29">
      <c r="L380">
        <v>2064.7378919294401</v>
      </c>
      <c r="M380">
        <v>5.7553956834532301E-2</v>
      </c>
      <c r="N380">
        <f>M381*5</f>
        <v>0.32853717026378898</v>
      </c>
      <c r="O380">
        <f>(M382-M381)*5</f>
        <v>4.0767386091127011E-2</v>
      </c>
      <c r="P380">
        <f>V378-V377</f>
        <v>0.47979139504562496</v>
      </c>
      <c r="Q380">
        <f>X367-X366-P380</f>
        <v>0.72228114381448472</v>
      </c>
      <c r="R380">
        <f>P380/N380</f>
        <v>1.4603869469636905</v>
      </c>
      <c r="S380">
        <f>Q380/O380</f>
        <v>17.71713158650828</v>
      </c>
      <c r="U380">
        <v>2090.1477832512301</v>
      </c>
      <c r="V380">
        <v>1.63754889178618</v>
      </c>
    </row>
    <row r="381" spans="11:29">
      <c r="L381">
        <v>2065.0964835608102</v>
      </c>
      <c r="M381">
        <v>6.5707434052757793E-2</v>
      </c>
      <c r="U381">
        <v>2100</v>
      </c>
      <c r="V381">
        <v>1.8044328552803099</v>
      </c>
    </row>
    <row r="382" spans="11:29">
      <c r="L382">
        <v>2064.7074116407798</v>
      </c>
      <c r="M382">
        <v>7.3860911270983196E-2</v>
      </c>
    </row>
    <row r="384" spans="11:29">
      <c r="L384" t="s">
        <v>2548</v>
      </c>
      <c r="N384" t="s">
        <v>2549</v>
      </c>
      <c r="O384" t="s">
        <v>2445</v>
      </c>
      <c r="P384" t="s">
        <v>2472</v>
      </c>
      <c r="Q384" t="s">
        <v>2550</v>
      </c>
      <c r="R384" t="s">
        <v>180</v>
      </c>
      <c r="S384" t="s">
        <v>2545</v>
      </c>
      <c r="T384" t="s">
        <v>2546</v>
      </c>
      <c r="U384" t="s">
        <v>2547</v>
      </c>
    </row>
    <row r="385" spans="12:22">
      <c r="L385">
        <v>2024.4859813084099</v>
      </c>
      <c r="M385">
        <v>7.3891625615763498E-2</v>
      </c>
      <c r="N385">
        <f>M385</f>
        <v>7.3891625615763498E-2</v>
      </c>
      <c r="O385">
        <f>M386-M385</f>
        <v>0.1305418719211815</v>
      </c>
      <c r="P385">
        <f>M389-M386</f>
        <v>0.17980295566502497</v>
      </c>
      <c r="Q385">
        <f>0.1*SUM(N385:O385)*5</f>
        <v>0.1022167487684725</v>
      </c>
      <c r="R385">
        <f>5*(0.1*SUM(N385:O385)+0.2*P385)</f>
        <v>0.2820197044334975</v>
      </c>
      <c r="S385">
        <v>0.250325945241201</v>
      </c>
      <c r="T385">
        <v>0.32998493558780906</v>
      </c>
      <c r="U385">
        <f>S385/Q385</f>
        <v>2.4489718980223616</v>
      </c>
      <c r="V385">
        <f>T385/R385</f>
        <v>1.1700775881978209</v>
      </c>
    </row>
    <row r="386" spans="12:22">
      <c r="L386">
        <v>2023.738317757</v>
      </c>
      <c r="M386">
        <v>0.20443349753694501</v>
      </c>
    </row>
    <row r="387" spans="12:22">
      <c r="L387">
        <v>2024.4859813084099</v>
      </c>
      <c r="M387">
        <v>0.32512315270935899</v>
      </c>
    </row>
    <row r="388" spans="12:22">
      <c r="L388">
        <v>2024.4859813084099</v>
      </c>
      <c r="M388">
        <v>0.35467980295566498</v>
      </c>
    </row>
    <row r="389" spans="12:22">
      <c r="L389">
        <v>2024.8598130841101</v>
      </c>
      <c r="M389">
        <v>0.38423645320196997</v>
      </c>
    </row>
    <row r="390" spans="12:22">
      <c r="L390">
        <v>2044.67289719626</v>
      </c>
      <c r="M390">
        <v>7.6354679802955697E-2</v>
      </c>
      <c r="N390">
        <f>M390</f>
        <v>7.6354679802955697E-2</v>
      </c>
      <c r="O390">
        <f>M391-M390</f>
        <v>0.22906403940886633</v>
      </c>
      <c r="P390">
        <f>M394-M391</f>
        <v>0.27832512315271002</v>
      </c>
      <c r="Q390">
        <f>0.1*SUM(N390:O390)*5</f>
        <v>0.152709359605911</v>
      </c>
      <c r="R390">
        <f>5*(0.1*SUM(N390:O390)+0.2*P390)</f>
        <v>0.43103448275862105</v>
      </c>
      <c r="S390">
        <v>0.22946544980443301</v>
      </c>
      <c r="T390">
        <v>0.55809931703494686</v>
      </c>
      <c r="U390">
        <f>S390/Q390</f>
        <v>1.5026285906548387</v>
      </c>
      <c r="V390">
        <f>T390/R390</f>
        <v>1.2947904155210757</v>
      </c>
    </row>
    <row r="391" spans="12:22">
      <c r="L391">
        <v>2045.04672897196</v>
      </c>
      <c r="M391">
        <v>0.30541871921182201</v>
      </c>
    </row>
    <row r="392" spans="12:22">
      <c r="L392">
        <v>2045.04672897196</v>
      </c>
      <c r="M392">
        <v>0.49014778325123098</v>
      </c>
    </row>
    <row r="393" spans="12:22">
      <c r="L393">
        <v>2045.04672897196</v>
      </c>
      <c r="M393">
        <v>0.53694581280788101</v>
      </c>
    </row>
    <row r="394" spans="12:22">
      <c r="L394">
        <v>2044.67289719626</v>
      </c>
      <c r="M394">
        <v>0.58374384236453203</v>
      </c>
    </row>
    <row r="395" spans="12:22">
      <c r="L395">
        <v>2064.8598130841101</v>
      </c>
      <c r="M395">
        <v>0.14285714285714199</v>
      </c>
      <c r="N395">
        <f>M395</f>
        <v>0.14285714285714199</v>
      </c>
      <c r="O395">
        <f>M396-M395</f>
        <v>0.27586206896551801</v>
      </c>
      <c r="P395">
        <f>M399-M396</f>
        <v>0.39655172413793099</v>
      </c>
      <c r="Q395">
        <f>0.1*SUM(N395:O395)*5</f>
        <v>0.20935960591133004</v>
      </c>
      <c r="R395">
        <f>5*(0.1*SUM(N395:O395)+0.2*P395)</f>
        <v>0.60591133004926112</v>
      </c>
      <c r="S395">
        <v>0.47979139504562496</v>
      </c>
      <c r="T395">
        <v>0.72228114381448472</v>
      </c>
      <c r="U395">
        <f>S395/Q395</f>
        <v>2.2917094869238088</v>
      </c>
      <c r="V395">
        <f>T395/R395</f>
        <v>1.1920574975149625</v>
      </c>
    </row>
    <row r="396" spans="12:22">
      <c r="L396">
        <v>2064.4859813084099</v>
      </c>
      <c r="M396">
        <v>0.41871921182265998</v>
      </c>
    </row>
    <row r="397" spans="12:22">
      <c r="L397">
        <v>2064.4859813084099</v>
      </c>
      <c r="M397">
        <v>0.68965517241379304</v>
      </c>
    </row>
    <row r="398" spans="12:22">
      <c r="L398">
        <v>2064.8598130841101</v>
      </c>
      <c r="M398">
        <v>0.75123152709359597</v>
      </c>
    </row>
    <row r="399" spans="12:22">
      <c r="L399">
        <v>2064.8598130841101</v>
      </c>
      <c r="M399">
        <v>0.81527093596059097</v>
      </c>
    </row>
    <row r="401" spans="12:20">
      <c r="L401" t="s">
        <v>2551</v>
      </c>
      <c r="M401" t="s">
        <v>1003</v>
      </c>
      <c r="N401" t="s">
        <v>1154</v>
      </c>
      <c r="O401" t="s">
        <v>1160</v>
      </c>
      <c r="Q401" t="s">
        <v>2552</v>
      </c>
      <c r="R401" t="s">
        <v>1003</v>
      </c>
      <c r="S401" t="s">
        <v>1154</v>
      </c>
      <c r="T401" t="s">
        <v>1160</v>
      </c>
    </row>
    <row r="402" spans="12:20">
      <c r="L402">
        <v>2014.7663551401799</v>
      </c>
      <c r="M402">
        <v>0.33990147783251201</v>
      </c>
      <c r="N402">
        <v>0.31527093596059103</v>
      </c>
      <c r="O402">
        <v>0.32019704433497498</v>
      </c>
      <c r="R402">
        <f>0.2*$N$395+0.2*$O$395+0.2*$P$395/(SUM($N$395:$P$395))</f>
        <v>0.18102480913190361</v>
      </c>
      <c r="S402">
        <f>0.4*$N$395+0.45*$O$395+0.3*$P$395/(SUM($N$395:$P$395))</f>
        <v>0.32720223832839734</v>
      </c>
      <c r="T402">
        <f>0.6*$N$395+0.6*$O$395+0.4*$P$395/(SUM($N$395:$P$395))</f>
        <v>0.44579346062833919</v>
      </c>
    </row>
    <row r="403" spans="12:20">
      <c r="L403">
        <v>2024.4859813084099</v>
      </c>
      <c r="M403">
        <v>0.38423645320196997</v>
      </c>
      <c r="N403">
        <v>0.35221674876847298</v>
      </c>
      <c r="O403">
        <v>0.32266009852216698</v>
      </c>
    </row>
    <row r="404" spans="12:20">
      <c r="L404">
        <v>2034.5794392523301</v>
      </c>
      <c r="M404">
        <v>0.32019704433497498</v>
      </c>
      <c r="N404">
        <v>0.35221674876847298</v>
      </c>
      <c r="O404">
        <v>0.38916256157635398</v>
      </c>
    </row>
    <row r="405" spans="12:20">
      <c r="L405">
        <v>2044.67289719626</v>
      </c>
      <c r="M405">
        <v>0.58374384236453203</v>
      </c>
      <c r="N405">
        <v>0.59852216748768405</v>
      </c>
      <c r="O405">
        <v>0.64778325123152702</v>
      </c>
    </row>
    <row r="406" spans="12:20">
      <c r="L406">
        <v>2054.7663551401802</v>
      </c>
      <c r="M406">
        <v>0.42610837438423599</v>
      </c>
      <c r="N406">
        <v>0.49507389162561499</v>
      </c>
      <c r="O406">
        <v>0.56157635467980305</v>
      </c>
    </row>
    <row r="407" spans="12:20">
      <c r="L407">
        <v>2064.8598130841101</v>
      </c>
      <c r="M407">
        <v>0.81527093596059097</v>
      </c>
      <c r="N407">
        <v>0.69458128078817705</v>
      </c>
      <c r="O407">
        <v>0.62068965517241304</v>
      </c>
    </row>
    <row r="408" spans="12:20">
      <c r="M408">
        <f>AVERAGE(M407,M409)</f>
        <v>0.64532019704433452</v>
      </c>
      <c r="N408">
        <v>0.56650246305418706</v>
      </c>
      <c r="O408">
        <v>0.55172413793103403</v>
      </c>
    </row>
    <row r="409" spans="12:20">
      <c r="L409">
        <v>2085.04672897196</v>
      </c>
      <c r="M409">
        <v>0.47536945812807802</v>
      </c>
      <c r="N409">
        <v>0.44334975369458102</v>
      </c>
      <c r="O409">
        <v>0.49014778325123098</v>
      </c>
    </row>
    <row r="410" spans="12:20">
      <c r="L410">
        <v>2094.7663551401802</v>
      </c>
      <c r="M410">
        <v>0.45073891625615697</v>
      </c>
      <c r="N410">
        <v>0.44334975369458102</v>
      </c>
      <c r="O410">
        <v>0.58128078817733997</v>
      </c>
    </row>
    <row r="417" spans="1:39">
      <c r="A417" t="s">
        <v>2553</v>
      </c>
    </row>
    <row r="418" spans="1:39">
      <c r="Z418" s="240" t="s">
        <v>2502</v>
      </c>
      <c r="AA418" s="240"/>
      <c r="AB418" s="240" t="s">
        <v>2554</v>
      </c>
      <c r="AC418" s="240" t="s">
        <v>2555</v>
      </c>
      <c r="AD418" s="240" t="s">
        <v>2556</v>
      </c>
      <c r="AE418" s="240" t="s">
        <v>2557</v>
      </c>
      <c r="AF418" s="240" t="s">
        <v>2558</v>
      </c>
      <c r="AG418" s="240" t="s">
        <v>2559</v>
      </c>
      <c r="AH418" s="240"/>
      <c r="AI418" s="240"/>
      <c r="AJ418" s="240"/>
      <c r="AK418" s="240"/>
      <c r="AL418" s="240" t="s">
        <v>2560</v>
      </c>
      <c r="AM418" s="240" t="s">
        <v>2546</v>
      </c>
    </row>
    <row r="419" spans="1:39">
      <c r="J419" t="s">
        <v>2502</v>
      </c>
      <c r="K419" t="s">
        <v>2561</v>
      </c>
      <c r="L419" t="s">
        <v>2554</v>
      </c>
      <c r="M419" t="s">
        <v>2555</v>
      </c>
      <c r="N419" t="s">
        <v>2556</v>
      </c>
      <c r="O419" t="s">
        <v>2557</v>
      </c>
      <c r="P419" t="s">
        <v>2562</v>
      </c>
      <c r="R419" t="s">
        <v>2394</v>
      </c>
      <c r="Z419" s="240"/>
      <c r="AA419" s="240">
        <v>2010</v>
      </c>
      <c r="AB419" s="240">
        <v>2.49382716049382</v>
      </c>
      <c r="AC419" s="240">
        <v>0</v>
      </c>
      <c r="AD419" s="240">
        <f>AL419+AM419</f>
        <v>1.23458213256484E-2</v>
      </c>
      <c r="AE419" s="240"/>
      <c r="AF419" s="240">
        <f>AL419</f>
        <v>1.2507204610950999E-3</v>
      </c>
      <c r="AG419" s="240">
        <f>AM419</f>
        <v>1.1095100864553301E-2</v>
      </c>
      <c r="AH419" s="240"/>
      <c r="AI419" s="240"/>
      <c r="AJ419" s="240">
        <v>2</v>
      </c>
      <c r="AK419" s="240">
        <v>2010</v>
      </c>
      <c r="AL419" s="240">
        <v>1.2507204610950999E-3</v>
      </c>
      <c r="AM419" s="240">
        <v>1.1095100864553301E-2</v>
      </c>
    </row>
    <row r="420" spans="1:39">
      <c r="J420">
        <v>2</v>
      </c>
      <c r="K420">
        <f t="shared" ref="K420:K424" si="77">N420/P420</f>
        <v>1.1674521913429727</v>
      </c>
      <c r="L420">
        <v>1.0255972696245701</v>
      </c>
      <c r="M420">
        <v>0.17576791808873701</v>
      </c>
      <c r="N420">
        <v>0.73549488054607282</v>
      </c>
      <c r="O420">
        <v>1.93686006825938</v>
      </c>
      <c r="P420">
        <v>0.63</v>
      </c>
      <c r="R420">
        <f t="shared" ref="R420:R424" si="78">+L420+M420</f>
        <v>1.2013651877133071</v>
      </c>
      <c r="Z420" s="240">
        <v>2</v>
      </c>
      <c r="AA420" s="240">
        <v>2020</v>
      </c>
      <c r="AB420" s="240">
        <v>2.57226012562269</v>
      </c>
      <c r="AC420" s="240">
        <v>5.18399277869716E-2</v>
      </c>
      <c r="AD420" s="240">
        <f t="shared" ref="AD420:AD424" si="79">AD419+10*(AVERAGE($AF$419,AF420)+AVERAGE($AG$419,AG420))</f>
        <v>0.13015561959654165</v>
      </c>
      <c r="AE420" s="240"/>
      <c r="AF420" s="240">
        <f t="shared" ref="AF420:AF424" si="80">$AL$419+(VLOOKUP(Z420&amp;"_"&amp;2025,$AI$418:$AM$443,4,FALSE)-$AL$419)*10/15</f>
        <v>1.2776176753121933E-3</v>
      </c>
      <c r="AG420" s="240">
        <f t="shared" ref="AG420:AG424" si="81">+$AM$419+(VLOOKUP(Z420&amp;"_"&amp;2025,$AI$418:$AM$443,5,FALSE)-$AM$419)*10/15</f>
        <v>9.9385206532180536E-3</v>
      </c>
      <c r="AH420" s="240"/>
      <c r="AI420" s="240" t="str">
        <f t="shared" ref="AI420:AI443" si="82">AJ420&amp;"_"&amp;AK420</f>
        <v>2_2025</v>
      </c>
      <c r="AJ420" s="240">
        <v>2</v>
      </c>
      <c r="AK420" s="240">
        <v>2025</v>
      </c>
      <c r="AL420" s="240">
        <v>1.29106628242074E-3</v>
      </c>
      <c r="AM420" s="240">
        <v>9.3602305475504292E-3</v>
      </c>
    </row>
    <row r="421" spans="1:39">
      <c r="J421" t="s">
        <v>985</v>
      </c>
      <c r="K421">
        <f t="shared" si="77"/>
        <v>1.8051407849829213</v>
      </c>
      <c r="L421">
        <v>2.21843003412973E-2</v>
      </c>
      <c r="M421">
        <v>0.23720136518771301</v>
      </c>
      <c r="N421">
        <v>1.1552901023890696</v>
      </c>
      <c r="O421">
        <v>1.4146757679180799</v>
      </c>
      <c r="P421">
        <v>0.64</v>
      </c>
      <c r="R421">
        <f t="shared" si="78"/>
        <v>0.25938566552901032</v>
      </c>
      <c r="Z421" s="240" t="s">
        <v>985</v>
      </c>
      <c r="AA421" s="240">
        <v>2020</v>
      </c>
      <c r="AB421" s="240">
        <v>2.52203811999133</v>
      </c>
      <c r="AC421" s="240">
        <v>5.6470588235294099E-2</v>
      </c>
      <c r="AD421" s="240">
        <f t="shared" si="79"/>
        <v>0.2552276657060516</v>
      </c>
      <c r="AE421" s="240"/>
      <c r="AF421" s="240">
        <f t="shared" si="80"/>
        <v>1.3583093179634932E-3</v>
      </c>
      <c r="AG421" s="240">
        <f t="shared" si="81"/>
        <v>1.13102785782901E-2</v>
      </c>
      <c r="AH421" s="240"/>
      <c r="AI421" s="240" t="str">
        <f t="shared" si="82"/>
        <v>2_2050</v>
      </c>
      <c r="AJ421" s="240">
        <v>2</v>
      </c>
      <c r="AK421" s="240">
        <v>2050</v>
      </c>
      <c r="AL421" s="240">
        <v>1.2507204610950999E-3</v>
      </c>
      <c r="AM421" s="240">
        <v>9.3602305475504292E-3</v>
      </c>
    </row>
    <row r="422" spans="1:39">
      <c r="J422" t="s">
        <v>1222</v>
      </c>
      <c r="K422">
        <f t="shared" si="77"/>
        <v>1.9442734851451886</v>
      </c>
      <c r="L422">
        <v>-0.16211604095563101</v>
      </c>
      <c r="M422">
        <v>0.19624573378839599</v>
      </c>
      <c r="N422">
        <v>1.186006825938565</v>
      </c>
      <c r="O422">
        <v>1.22013651877133</v>
      </c>
      <c r="P422">
        <v>0.61</v>
      </c>
      <c r="R422">
        <f t="shared" si="78"/>
        <v>3.4129692832764985E-2</v>
      </c>
      <c r="Z422" s="240" t="s">
        <v>1222</v>
      </c>
      <c r="AA422" s="240">
        <v>2020</v>
      </c>
      <c r="AB422" s="240">
        <v>2.4861652588260701</v>
      </c>
      <c r="AC422" s="240">
        <v>5.6470588235294099E-2</v>
      </c>
      <c r="AD422" s="240">
        <f t="shared" si="79"/>
        <v>0.38272046109510027</v>
      </c>
      <c r="AE422" s="240"/>
      <c r="AF422" s="240">
        <f t="shared" si="80"/>
        <v>1.3583093179634932E-3</v>
      </c>
      <c r="AG422" s="240">
        <f t="shared" si="81"/>
        <v>1.1794428434197833E-2</v>
      </c>
      <c r="AH422" s="240"/>
      <c r="AI422" s="240" t="str">
        <f t="shared" si="82"/>
        <v>2_2075</v>
      </c>
      <c r="AJ422" s="240">
        <v>2</v>
      </c>
      <c r="AK422" s="240">
        <v>2075</v>
      </c>
      <c r="AL422" s="240">
        <v>1.29106628242074E-3</v>
      </c>
      <c r="AM422" s="240">
        <v>9.4005763688760798E-3</v>
      </c>
    </row>
    <row r="423" spans="1:39">
      <c r="J423" t="s">
        <v>1223</v>
      </c>
      <c r="K423">
        <f t="shared" si="77"/>
        <v>1.8344709897610794</v>
      </c>
      <c r="L423">
        <v>-0.32593856655289999</v>
      </c>
      <c r="M423">
        <v>0.33959044368600599</v>
      </c>
      <c r="N423">
        <v>1.247440273037534</v>
      </c>
      <c r="O423">
        <v>1.26109215017064</v>
      </c>
      <c r="P423">
        <v>0.68</v>
      </c>
      <c r="R423">
        <f t="shared" si="78"/>
        <v>1.3651877133106005E-2</v>
      </c>
      <c r="Z423" s="240" t="s">
        <v>1223</v>
      </c>
      <c r="AA423" s="240">
        <v>2020</v>
      </c>
      <c r="AB423" s="240">
        <v>2.4861652588260701</v>
      </c>
      <c r="AC423" s="240">
        <v>5.6470588235294099E-2</v>
      </c>
      <c r="AD423" s="240">
        <f t="shared" si="79"/>
        <v>0.50913736791546493</v>
      </c>
      <c r="AE423" s="240"/>
      <c r="AF423" s="240">
        <f t="shared" si="80"/>
        <v>1.3583093179634932E-3</v>
      </c>
      <c r="AG423" s="240">
        <f t="shared" si="81"/>
        <v>1.1579250720461034E-2</v>
      </c>
      <c r="AH423" s="240"/>
      <c r="AI423" s="240" t="str">
        <f t="shared" si="82"/>
        <v>2_2100</v>
      </c>
      <c r="AJ423" s="240">
        <v>2</v>
      </c>
      <c r="AK423" s="240">
        <v>2100</v>
      </c>
      <c r="AL423" s="240">
        <v>1.3314121037463901E-3</v>
      </c>
      <c r="AM423" s="240">
        <v>9.8847262247838599E-3</v>
      </c>
    </row>
    <row r="424" spans="1:39">
      <c r="J424" t="s">
        <v>1224</v>
      </c>
      <c r="K424">
        <f t="shared" si="77"/>
        <v>1.8900610197538394</v>
      </c>
      <c r="L424">
        <v>-0.26450511945392402</v>
      </c>
      <c r="M424">
        <v>0.28839590443685997</v>
      </c>
      <c r="N424">
        <v>1.247440273037534</v>
      </c>
      <c r="O424">
        <v>1.27133105802047</v>
      </c>
      <c r="P424">
        <v>0.66</v>
      </c>
      <c r="R424">
        <f t="shared" si="78"/>
        <v>2.3890784982935953E-2</v>
      </c>
      <c r="Z424" s="240" t="s">
        <v>1224</v>
      </c>
      <c r="AA424" s="240">
        <v>2020</v>
      </c>
      <c r="AB424" s="240">
        <v>2.4861652588260701</v>
      </c>
      <c r="AC424" s="240">
        <v>5.6470588235294099E-2</v>
      </c>
      <c r="AD424" s="240">
        <f t="shared" si="79"/>
        <v>0.63420941402497488</v>
      </c>
      <c r="AE424" s="240"/>
      <c r="AF424" s="240">
        <f t="shared" si="80"/>
        <v>1.3583093179634932E-3</v>
      </c>
      <c r="AG424" s="240">
        <f t="shared" si="81"/>
        <v>1.13102785782901E-2</v>
      </c>
      <c r="AH424" s="240"/>
      <c r="AI424" s="240" t="str">
        <f t="shared" si="82"/>
        <v>R_2010</v>
      </c>
      <c r="AJ424" s="240" t="s">
        <v>985</v>
      </c>
      <c r="AK424" s="240">
        <v>2010</v>
      </c>
      <c r="AL424" s="240">
        <v>1.2507204610950999E-3</v>
      </c>
      <c r="AM424" s="240">
        <v>1.1095100864553301E-2</v>
      </c>
    </row>
    <row r="425" spans="1:39">
      <c r="Z425" s="240">
        <v>2</v>
      </c>
      <c r="AA425" s="240">
        <v>2030</v>
      </c>
      <c r="AB425" s="240">
        <v>2.7037037037037002</v>
      </c>
      <c r="AC425" s="240">
        <v>9.2759139461411094E-2</v>
      </c>
      <c r="AD425" s="240">
        <f t="shared" ref="AD425:AD464" si="83">AD420+10*(AVERAGE($AF420,AF425)+AVERAGE($AG420,AG425))</f>
        <v>0.23945244956772307</v>
      </c>
      <c r="AE425" s="240"/>
      <c r="AF425" s="240">
        <f t="shared" ref="AF425:AF429" si="84">VLOOKUP(Z425&amp;"_"&amp;2025,$AI$418:$AM$443,4,FALSE)+(VLOOKUP(Z425&amp;"_"&amp;2050,$AI$418:$AM$443,4,FALSE)-VLOOKUP(Z425&amp;"_"&amp;2025,$AI$418:$AM$443,4,FALSE))*5/25</f>
        <v>1.2829971181556119E-3</v>
      </c>
      <c r="AG425" s="240">
        <f t="shared" ref="AG425:AG429" si="85">VLOOKUP(Z425&amp;"_"&amp;2025,$AI$418:$AM$443,5,FALSE)+(VLOOKUP(Z425&amp;"_"&amp;2050,$AI$418:$AM$443,5,FALSE)-VLOOKUP(Z425&amp;"_"&amp;2025,$AI$418:$AM$443,5,FALSE))*5/25</f>
        <v>9.3602305475504292E-3</v>
      </c>
      <c r="AH425" s="240"/>
      <c r="AI425" s="240" t="str">
        <f t="shared" si="82"/>
        <v>R_2025</v>
      </c>
      <c r="AJ425" s="240" t="s">
        <v>985</v>
      </c>
      <c r="AK425" s="240">
        <v>2025</v>
      </c>
      <c r="AL425" s="240">
        <v>1.41210374639769E-3</v>
      </c>
      <c r="AM425" s="240">
        <v>1.1417867435158499E-2</v>
      </c>
    </row>
    <row r="426" spans="1:39">
      <c r="Z426" s="240" t="s">
        <v>985</v>
      </c>
      <c r="AA426" s="240">
        <v>2030</v>
      </c>
      <c r="AB426" s="240">
        <v>2.55073640892354</v>
      </c>
      <c r="AC426" s="240">
        <v>0.106630058673085</v>
      </c>
      <c r="AD426" s="240">
        <f t="shared" si="83"/>
        <v>0.3828414985590774</v>
      </c>
      <c r="AE426" s="240"/>
      <c r="AF426" s="240">
        <f t="shared" si="84"/>
        <v>1.41210374639769E-3</v>
      </c>
      <c r="AG426" s="240">
        <f t="shared" si="85"/>
        <v>1.144207492795388E-2</v>
      </c>
      <c r="AH426" s="240"/>
      <c r="AI426" s="240" t="str">
        <f t="shared" si="82"/>
        <v>R_2050</v>
      </c>
      <c r="AJ426" s="240" t="s">
        <v>985</v>
      </c>
      <c r="AK426" s="240">
        <v>2050</v>
      </c>
      <c r="AL426" s="240">
        <v>1.41210374639769E-3</v>
      </c>
      <c r="AM426" s="240">
        <v>1.1538904899135401E-2</v>
      </c>
    </row>
    <row r="427" spans="1:39">
      <c r="Z427" s="240" t="s">
        <v>1222</v>
      </c>
      <c r="AA427" s="240">
        <v>2030</v>
      </c>
      <c r="AB427" s="240">
        <v>2.4861652588260701</v>
      </c>
      <c r="AC427" s="240">
        <v>0.106630058673085</v>
      </c>
      <c r="AD427" s="240">
        <f t="shared" si="83"/>
        <v>0.51723342939481143</v>
      </c>
      <c r="AE427" s="240"/>
      <c r="AF427" s="240">
        <f t="shared" si="84"/>
        <v>1.41210374639769E-3</v>
      </c>
      <c r="AG427" s="240">
        <f t="shared" si="85"/>
        <v>1.233775216138322E-2</v>
      </c>
      <c r="AH427" s="240"/>
      <c r="AI427" s="240" t="str">
        <f t="shared" si="82"/>
        <v>R_2075</v>
      </c>
      <c r="AJ427" s="240" t="s">
        <v>985</v>
      </c>
      <c r="AK427" s="240">
        <v>2075</v>
      </c>
      <c r="AL427" s="240">
        <v>1.4499999999999999E-3</v>
      </c>
      <c r="AM427" s="240">
        <v>1.1538904899135401E-2</v>
      </c>
    </row>
    <row r="428" spans="1:39">
      <c r="Z428" s="240" t="s">
        <v>1223</v>
      </c>
      <c r="AA428" s="240">
        <v>2030</v>
      </c>
      <c r="AB428" s="240">
        <v>2.4861652588260701</v>
      </c>
      <c r="AC428" s="240">
        <v>0.111764705882352</v>
      </c>
      <c r="AD428" s="240">
        <f t="shared" si="83"/>
        <v>0.64096061479346611</v>
      </c>
      <c r="AE428" s="240"/>
      <c r="AF428" s="240">
        <f t="shared" si="84"/>
        <v>1.4524495677233379E-3</v>
      </c>
      <c r="AG428" s="240">
        <f t="shared" si="85"/>
        <v>1.1974639769452381E-2</v>
      </c>
      <c r="AH428" s="240"/>
      <c r="AI428" s="240" t="str">
        <f t="shared" si="82"/>
        <v>R_2100</v>
      </c>
      <c r="AJ428" s="240" t="s">
        <v>985</v>
      </c>
      <c r="AK428" s="240">
        <v>2100</v>
      </c>
      <c r="AL428" s="240">
        <v>1.3314121037463901E-3</v>
      </c>
      <c r="AM428" s="240">
        <v>1.0449567723342899E-2</v>
      </c>
    </row>
    <row r="429" spans="1:39">
      <c r="Z429" s="240" t="s">
        <v>1224</v>
      </c>
      <c r="AA429" s="240">
        <v>2030</v>
      </c>
      <c r="AB429" s="240">
        <v>2.4861652588260701</v>
      </c>
      <c r="AC429" s="240">
        <v>0.111764705882352</v>
      </c>
      <c r="AD429" s="240">
        <f t="shared" si="83"/>
        <v>0.76347742555235232</v>
      </c>
      <c r="AE429" s="240"/>
      <c r="AF429" s="240">
        <f t="shared" si="84"/>
        <v>1.4605187319884679E-3</v>
      </c>
      <c r="AG429" s="240">
        <f t="shared" si="85"/>
        <v>1.172449567723342E-2</v>
      </c>
      <c r="AH429" s="240"/>
      <c r="AI429" s="240" t="str">
        <f t="shared" si="82"/>
        <v>1a_2010</v>
      </c>
      <c r="AJ429" s="240" t="s">
        <v>1222</v>
      </c>
      <c r="AK429" s="240">
        <v>2010</v>
      </c>
      <c r="AL429" s="240">
        <v>1.2507204610950999E-3</v>
      </c>
      <c r="AM429" s="240">
        <v>1.1095100864553301E-2</v>
      </c>
    </row>
    <row r="430" spans="1:39">
      <c r="Z430" s="240">
        <v>2</v>
      </c>
      <c r="AA430" s="240">
        <v>2040</v>
      </c>
      <c r="AB430" s="240">
        <v>2.8448938704786602</v>
      </c>
      <c r="AC430" s="240">
        <v>0.11980743192417601</v>
      </c>
      <c r="AD430" s="240">
        <f t="shared" si="83"/>
        <v>0.34580403458213221</v>
      </c>
      <c r="AE430" s="240"/>
      <c r="AF430" s="240">
        <f t="shared" ref="AF430:AF434" si="86">VLOOKUP(Z430&amp;"_"&amp;2025,$AI$418:$AM$443,4,FALSE)+(VLOOKUP(Z430&amp;"_"&amp;2050,$AI$418:$AM$443,4,FALSE)-VLOOKUP(Z430&amp;"_"&amp;2025,$AI$418:$AM$443,4,FALSE))*15/25</f>
        <v>1.266858789625356E-3</v>
      </c>
      <c r="AG430" s="240">
        <f t="shared" ref="AG430:AG434" si="87">VLOOKUP(Z430&amp;"_"&amp;2025,$AI$418:$AM$443,5,FALSE)+(VLOOKUP(Z430&amp;"_"&amp;2050,$AI$418:$AM$443,5,FALSE)-VLOOKUP(Z430&amp;"_"&amp;2025,$AI$418:$AM$443,5,FALSE))*15/25</f>
        <v>9.3602305475504292E-3</v>
      </c>
      <c r="AH430" s="240"/>
      <c r="AI430" s="240" t="str">
        <f t="shared" si="82"/>
        <v>1a_2025</v>
      </c>
      <c r="AJ430" s="240" t="s">
        <v>1222</v>
      </c>
      <c r="AK430" s="240">
        <v>2025</v>
      </c>
      <c r="AL430" s="240">
        <v>1.41210374639769E-3</v>
      </c>
      <c r="AM430" s="240">
        <v>1.2144092219020099E-2</v>
      </c>
    </row>
    <row r="431" spans="1:39">
      <c r="Z431" s="240" t="s">
        <v>985</v>
      </c>
      <c r="AA431" s="240">
        <v>2040</v>
      </c>
      <c r="AB431" s="240">
        <v>2.5937838423218502</v>
      </c>
      <c r="AC431" s="240">
        <v>0.14470588235294099</v>
      </c>
      <c r="AD431" s="240">
        <f t="shared" si="83"/>
        <v>0.51162536023054694</v>
      </c>
      <c r="AE431" s="240"/>
      <c r="AF431" s="240">
        <f t="shared" si="86"/>
        <v>1.41210374639769E-3</v>
      </c>
      <c r="AG431" s="240">
        <f t="shared" si="87"/>
        <v>1.1490489913544641E-2</v>
      </c>
      <c r="AH431" s="240"/>
      <c r="AI431" s="240" t="str">
        <f t="shared" si="82"/>
        <v>1a_2050</v>
      </c>
      <c r="AJ431" s="240" t="s">
        <v>1222</v>
      </c>
      <c r="AK431" s="240">
        <v>2050</v>
      </c>
      <c r="AL431" s="240">
        <v>1.41210374639769E-3</v>
      </c>
      <c r="AM431" s="240">
        <v>1.3112391930835699E-2</v>
      </c>
    </row>
    <row r="432" spans="1:39">
      <c r="Z432" s="240" t="s">
        <v>1222</v>
      </c>
      <c r="AA432" s="240">
        <v>2040</v>
      </c>
      <c r="AB432" s="240">
        <v>2.55073640892354</v>
      </c>
      <c r="AC432" s="240">
        <v>0.14470588235294099</v>
      </c>
      <c r="AD432" s="240">
        <f t="shared" si="83"/>
        <v>0.65666858789625171</v>
      </c>
      <c r="AE432" s="240"/>
      <c r="AF432" s="240">
        <f t="shared" si="86"/>
        <v>1.41210374639769E-3</v>
      </c>
      <c r="AG432" s="240">
        <f t="shared" si="87"/>
        <v>1.2725072046109459E-2</v>
      </c>
      <c r="AH432" s="240"/>
      <c r="AI432" s="240" t="str">
        <f t="shared" si="82"/>
        <v>1a_2075</v>
      </c>
      <c r="AJ432" s="240" t="s">
        <v>1222</v>
      </c>
      <c r="AK432" s="240">
        <v>2075</v>
      </c>
      <c r="AL432" s="240">
        <v>1.3314121037463901E-3</v>
      </c>
      <c r="AM432" s="240">
        <v>1.06109510086455E-2</v>
      </c>
    </row>
    <row r="433" spans="26:39">
      <c r="Z433" s="240" t="s">
        <v>1223</v>
      </c>
      <c r="AA433" s="240">
        <v>2040</v>
      </c>
      <c r="AB433" s="240">
        <v>2.55073640892354</v>
      </c>
      <c r="AC433" s="240">
        <v>0.148936362268692</v>
      </c>
      <c r="AD433" s="240">
        <f t="shared" si="83"/>
        <v>0.77716810758885457</v>
      </c>
      <c r="AE433" s="240"/>
      <c r="AF433" s="240">
        <f t="shared" si="86"/>
        <v>1.533141210374634E-3</v>
      </c>
      <c r="AG433" s="240">
        <f t="shared" si="87"/>
        <v>1.228126801152734E-2</v>
      </c>
      <c r="AH433" s="240"/>
      <c r="AI433" s="240" t="str">
        <f t="shared" si="82"/>
        <v>1a_2100</v>
      </c>
      <c r="AJ433" s="240" t="s">
        <v>1222</v>
      </c>
      <c r="AK433" s="240">
        <v>2100</v>
      </c>
      <c r="AL433" s="240">
        <v>1.1296829971181499E-3</v>
      </c>
      <c r="AM433" s="240">
        <v>1.0570605187319801E-2</v>
      </c>
    </row>
    <row r="434" spans="26:39">
      <c r="Z434" s="240" t="s">
        <v>1224</v>
      </c>
      <c r="AA434" s="240">
        <v>2040</v>
      </c>
      <c r="AB434" s="240">
        <v>2.55073640892354</v>
      </c>
      <c r="AC434" s="240">
        <v>0.151764705882352</v>
      </c>
      <c r="AD434" s="240">
        <f t="shared" si="83"/>
        <v>0.89887800192122813</v>
      </c>
      <c r="AE434" s="240"/>
      <c r="AF434" s="240">
        <f t="shared" si="86"/>
        <v>1.557348703170024E-3</v>
      </c>
      <c r="AG434" s="240">
        <f t="shared" si="87"/>
        <v>1.233775216138326E-2</v>
      </c>
      <c r="AH434" s="240"/>
      <c r="AI434" s="240" t="str">
        <f t="shared" si="82"/>
        <v>1b_2010</v>
      </c>
      <c r="AJ434" s="240" t="s">
        <v>1223</v>
      </c>
      <c r="AK434" s="240">
        <v>2010</v>
      </c>
      <c r="AL434" s="240">
        <v>1.2507204610950999E-3</v>
      </c>
      <c r="AM434" s="240">
        <v>1.1095100864553301E-2</v>
      </c>
    </row>
    <row r="435" spans="26:39">
      <c r="Z435" s="240">
        <v>2</v>
      </c>
      <c r="AA435" s="240">
        <v>2050</v>
      </c>
      <c r="AB435" s="240">
        <v>3.0170836040719</v>
      </c>
      <c r="AC435" s="240">
        <v>0.13714608093876901</v>
      </c>
      <c r="AD435" s="240">
        <f t="shared" si="83"/>
        <v>0.45199423631123881</v>
      </c>
      <c r="AE435" s="240"/>
      <c r="AF435" s="240">
        <f t="shared" ref="AF435:AF439" si="88">VLOOKUP($Z435&amp;"_"&amp;2050,$AI$418:$AM$443,4,FALSE)</f>
        <v>1.2507204610950999E-3</v>
      </c>
      <c r="AG435" s="240">
        <f t="shared" ref="AG435:AG439" si="89">VLOOKUP($Z435&amp;"_"&amp;2050,$AI$418:$AM$443,5,FALSE)</f>
        <v>9.3602305475504292E-3</v>
      </c>
      <c r="AH435" s="240"/>
      <c r="AI435" s="240" t="str">
        <f t="shared" si="82"/>
        <v>1b_2025</v>
      </c>
      <c r="AJ435" s="240" t="s">
        <v>1223</v>
      </c>
      <c r="AK435" s="240">
        <v>2025</v>
      </c>
      <c r="AL435" s="240">
        <v>1.41210374639769E-3</v>
      </c>
      <c r="AM435" s="240">
        <v>1.18213256484149E-2</v>
      </c>
    </row>
    <row r="436" spans="26:39">
      <c r="Z436" s="240" t="s">
        <v>985</v>
      </c>
      <c r="AA436" s="240">
        <v>2050</v>
      </c>
      <c r="AB436" s="240">
        <v>2.6081329867879499</v>
      </c>
      <c r="AC436" s="240">
        <v>0.17764705882352899</v>
      </c>
      <c r="AD436" s="240">
        <f t="shared" si="83"/>
        <v>0.64089337175792405</v>
      </c>
      <c r="AE436" s="240"/>
      <c r="AF436" s="240">
        <f t="shared" si="88"/>
        <v>1.41210374639769E-3</v>
      </c>
      <c r="AG436" s="240">
        <f t="shared" si="89"/>
        <v>1.1538904899135401E-2</v>
      </c>
      <c r="AH436" s="240"/>
      <c r="AI436" s="240" t="str">
        <f t="shared" si="82"/>
        <v>1b_2050</v>
      </c>
      <c r="AJ436" s="240" t="s">
        <v>1223</v>
      </c>
      <c r="AK436" s="240">
        <v>2050</v>
      </c>
      <c r="AL436" s="240">
        <v>1.61383285302593E-3</v>
      </c>
      <c r="AM436" s="240">
        <v>1.25878962536023E-2</v>
      </c>
    </row>
    <row r="437" spans="26:39">
      <c r="Z437" s="240" t="s">
        <v>1222</v>
      </c>
      <c r="AA437" s="240">
        <v>2050</v>
      </c>
      <c r="AB437" s="240">
        <v>2.55073640892354</v>
      </c>
      <c r="AC437" s="240">
        <v>0.174114638182638</v>
      </c>
      <c r="AD437" s="240">
        <f t="shared" si="83"/>
        <v>0.79997694524495433</v>
      </c>
      <c r="AE437" s="240"/>
      <c r="AF437" s="240">
        <f t="shared" si="88"/>
        <v>1.41210374639769E-3</v>
      </c>
      <c r="AG437" s="240">
        <f t="shared" si="89"/>
        <v>1.3112391930835699E-2</v>
      </c>
      <c r="AH437" s="240"/>
      <c r="AI437" s="240" t="str">
        <f t="shared" si="82"/>
        <v>1b_2075</v>
      </c>
      <c r="AJ437" s="240" t="s">
        <v>1223</v>
      </c>
      <c r="AK437" s="240">
        <v>2075</v>
      </c>
      <c r="AL437" s="240">
        <v>1.7752161383285301E-3</v>
      </c>
      <c r="AM437" s="240">
        <v>1.2829971181556101E-2</v>
      </c>
    </row>
    <row r="438" spans="26:39">
      <c r="Z438" s="240" t="s">
        <v>1223</v>
      </c>
      <c r="AA438" s="240">
        <v>2050</v>
      </c>
      <c r="AB438" s="240">
        <v>2.55073640892354</v>
      </c>
      <c r="AC438" s="240">
        <v>0.189411764705882</v>
      </c>
      <c r="AD438" s="240">
        <f t="shared" si="83"/>
        <v>0.9172487992315056</v>
      </c>
      <c r="AE438" s="240"/>
      <c r="AF438" s="240">
        <f t="shared" si="88"/>
        <v>1.61383285302593E-3</v>
      </c>
      <c r="AG438" s="240">
        <f t="shared" si="89"/>
        <v>1.25878962536023E-2</v>
      </c>
      <c r="AH438" s="240"/>
      <c r="AI438" s="240" t="str">
        <f t="shared" si="82"/>
        <v>1b_2100</v>
      </c>
      <c r="AJ438" s="240" t="s">
        <v>1223</v>
      </c>
      <c r="AK438" s="240">
        <v>2100</v>
      </c>
      <c r="AL438" s="240">
        <v>1.6945244956772299E-3</v>
      </c>
      <c r="AM438" s="240">
        <v>1.1740634005763599E-2</v>
      </c>
    </row>
    <row r="439" spans="26:39">
      <c r="Z439" s="240" t="s">
        <v>1224</v>
      </c>
      <c r="AA439" s="240">
        <v>2050</v>
      </c>
      <c r="AB439" s="240">
        <v>2.55073640892354</v>
      </c>
      <c r="AC439" s="240">
        <v>0.19471039566721801</v>
      </c>
      <c r="AD439" s="240">
        <f t="shared" si="83"/>
        <v>1.041379442843418</v>
      </c>
      <c r="AE439" s="240"/>
      <c r="AF439" s="240">
        <f t="shared" si="88"/>
        <v>1.6541786743515801E-3</v>
      </c>
      <c r="AG439" s="240">
        <f t="shared" si="89"/>
        <v>1.2951008645533099E-2</v>
      </c>
      <c r="AH439" s="240"/>
      <c r="AI439" s="240" t="str">
        <f t="shared" si="82"/>
        <v>1c_2010</v>
      </c>
      <c r="AJ439" s="240" t="s">
        <v>1224</v>
      </c>
      <c r="AK439" s="240">
        <v>2010</v>
      </c>
      <c r="AL439" s="240">
        <v>1.2507204610950999E-3</v>
      </c>
      <c r="AM439" s="240">
        <v>1.1095100864553301E-2</v>
      </c>
    </row>
    <row r="440" spans="26:39">
      <c r="Z440" s="240">
        <v>2</v>
      </c>
      <c r="AA440" s="240">
        <v>2060</v>
      </c>
      <c r="AB440" s="240">
        <v>3.1749241931990402</v>
      </c>
      <c r="AC440" s="240">
        <v>0.146855724386941</v>
      </c>
      <c r="AD440" s="240">
        <f t="shared" si="83"/>
        <v>0.55826512968299669</v>
      </c>
      <c r="AE440" s="240"/>
      <c r="AF440" s="240">
        <f t="shared" ref="AF440:AF444" si="90">VLOOKUP(Z440&amp;"_"&amp;2050,$AI$418:$AM$443,4,FALSE)+(VLOOKUP(Z440&amp;"_"&amp;2075,$AI$418:$AM$443,4,FALSE)-VLOOKUP(Z440&amp;"_"&amp;2050,$AI$418:$AM$443,4,FALSE))*10/25</f>
        <v>1.266858789625356E-3</v>
      </c>
      <c r="AG440" s="240">
        <f t="shared" ref="AG440:AG444" si="91">VLOOKUP(Z440&amp;"_"&amp;2050,$AI$418:$AM$443,5,FALSE)+(VLOOKUP(Z440&amp;"_"&amp;2075,$AI$418:$AM$443,5,FALSE)-VLOOKUP(Z440&amp;"_"&amp;2050,$AI$418:$AM$443,5,FALSE))*10/25</f>
        <v>9.3763688760806901E-3</v>
      </c>
      <c r="AH440" s="240"/>
      <c r="AI440" s="240" t="str">
        <f t="shared" si="82"/>
        <v>1c_2025</v>
      </c>
      <c r="AJ440" s="240" t="s">
        <v>1224</v>
      </c>
      <c r="AK440" s="240">
        <v>2025</v>
      </c>
      <c r="AL440" s="240">
        <v>1.41210374639769E-3</v>
      </c>
      <c r="AM440" s="240">
        <v>1.1417867435158499E-2</v>
      </c>
    </row>
    <row r="441" spans="26:39">
      <c r="Z441" s="240" t="s">
        <v>985</v>
      </c>
      <c r="AA441" s="240">
        <v>2060</v>
      </c>
      <c r="AB441" s="240">
        <v>2.5937838423218502</v>
      </c>
      <c r="AC441" s="240">
        <v>0.200258763351888</v>
      </c>
      <c r="AD441" s="240">
        <f t="shared" si="83"/>
        <v>0.77047925072045964</v>
      </c>
      <c r="AE441" s="240"/>
      <c r="AF441" s="240">
        <f t="shared" si="90"/>
        <v>1.4272622478386139E-3</v>
      </c>
      <c r="AG441" s="240">
        <f t="shared" si="91"/>
        <v>1.1538904899135401E-2</v>
      </c>
      <c r="AH441" s="240"/>
      <c r="AI441" s="240" t="str">
        <f t="shared" si="82"/>
        <v>1c_2050</v>
      </c>
      <c r="AJ441" s="240" t="s">
        <v>1224</v>
      </c>
      <c r="AK441" s="240">
        <v>2050</v>
      </c>
      <c r="AL441" s="240">
        <v>1.6541786743515801E-3</v>
      </c>
      <c r="AM441" s="240">
        <v>1.2951008645533099E-2</v>
      </c>
    </row>
    <row r="442" spans="26:39">
      <c r="Z442" s="240" t="s">
        <v>1222</v>
      </c>
      <c r="AA442" s="240">
        <v>2060</v>
      </c>
      <c r="AB442" s="240">
        <v>2.50051440329218</v>
      </c>
      <c r="AC442" s="240">
        <v>0.19411764705882301</v>
      </c>
      <c r="AD442" s="240">
        <f t="shared" si="83"/>
        <v>0.94005763688760524</v>
      </c>
      <c r="AE442" s="240"/>
      <c r="AF442" s="240">
        <f t="shared" si="90"/>
        <v>1.37982708933717E-3</v>
      </c>
      <c r="AG442" s="240">
        <f t="shared" si="91"/>
        <v>1.2111815561959619E-2</v>
      </c>
      <c r="AH442" s="240"/>
      <c r="AI442" s="240" t="str">
        <f t="shared" si="82"/>
        <v>1c_2075</v>
      </c>
      <c r="AJ442" s="240" t="s">
        <v>1224</v>
      </c>
      <c r="AK442" s="240">
        <v>2075</v>
      </c>
      <c r="AL442" s="240">
        <v>1.8962536023054699E-3</v>
      </c>
      <c r="AM442" s="240">
        <v>1.2951008645533099E-2</v>
      </c>
    </row>
    <row r="443" spans="26:39">
      <c r="Z443" s="240" t="s">
        <v>1223</v>
      </c>
      <c r="AA443" s="240">
        <v>2060</v>
      </c>
      <c r="AB443" s="240">
        <v>2.50051440329218</v>
      </c>
      <c r="AC443" s="240">
        <v>0.22383932601173401</v>
      </c>
      <c r="AD443" s="240">
        <f t="shared" si="83"/>
        <v>1.0600730067243007</v>
      </c>
      <c r="AE443" s="240"/>
      <c r="AF443" s="240">
        <f t="shared" si="90"/>
        <v>1.6783861671469701E-3</v>
      </c>
      <c r="AG443" s="240">
        <f t="shared" si="91"/>
        <v>1.268472622478382E-2</v>
      </c>
      <c r="AH443" s="240"/>
      <c r="AI443" s="240" t="str">
        <f t="shared" si="82"/>
        <v>1c_2100</v>
      </c>
      <c r="AJ443" s="240" t="s">
        <v>1224</v>
      </c>
      <c r="AK443" s="240">
        <v>2100</v>
      </c>
      <c r="AL443" s="240">
        <v>1.85590778097982E-3</v>
      </c>
      <c r="AM443" s="240">
        <v>1.1740634005763599E-2</v>
      </c>
    </row>
    <row r="444" spans="26:39">
      <c r="Z444" s="240" t="s">
        <v>1224</v>
      </c>
      <c r="AA444" s="240">
        <v>2060</v>
      </c>
      <c r="AB444" s="240">
        <v>2.55073640892354</v>
      </c>
      <c r="AC444" s="240">
        <v>0.23285542349932301</v>
      </c>
      <c r="AD444" s="240">
        <f t="shared" si="83"/>
        <v>1.1879154658981725</v>
      </c>
      <c r="AE444" s="240"/>
      <c r="AF444" s="240">
        <f t="shared" si="90"/>
        <v>1.7510086455331359E-3</v>
      </c>
      <c r="AG444" s="240">
        <f t="shared" si="91"/>
        <v>1.2951008645533099E-2</v>
      </c>
      <c r="AH444" s="240"/>
      <c r="AI444" s="240"/>
      <c r="AJ444" s="240"/>
      <c r="AK444" s="240"/>
      <c r="AL444" s="240"/>
      <c r="AM444" s="240"/>
    </row>
    <row r="445" spans="26:39">
      <c r="Z445" s="240">
        <v>2</v>
      </c>
      <c r="AA445" s="240">
        <v>2070</v>
      </c>
      <c r="AB445" s="240">
        <v>3.3086419753086398</v>
      </c>
      <c r="AC445" s="240">
        <v>0.157952459756281</v>
      </c>
      <c r="AD445" s="240">
        <f t="shared" si="83"/>
        <v>0.66485878962535971</v>
      </c>
      <c r="AE445" s="240"/>
      <c r="AF445" s="240">
        <f t="shared" ref="AF445:AF449" si="92">VLOOKUP(Z445&amp;"_"&amp;2050,$AI$418:$AM$443,4,FALSE)+(VLOOKUP(Z445&amp;"_"&amp;2075,$AI$418:$AM$443,4,FALSE)-VLOOKUP(Z445&amp;"_"&amp;2050,$AI$418:$AM$443,4,FALSE))*20/25</f>
        <v>1.2829971181556119E-3</v>
      </c>
      <c r="AG445" s="240">
        <f t="shared" ref="AG445:AG449" si="93">VLOOKUP(Z445&amp;"_"&amp;2050,$AI$418:$AM$443,5,FALSE)+(VLOOKUP(Z445&amp;"_"&amp;2075,$AI$418:$AM$443,5,FALSE)-VLOOKUP(Z445&amp;"_"&amp;2050,$AI$418:$AM$443,5,FALSE))*20/25</f>
        <v>9.3925072046109493E-3</v>
      </c>
      <c r="AH445" s="240"/>
      <c r="AI445" s="240"/>
      <c r="AJ445" s="240"/>
      <c r="AK445" s="240"/>
      <c r="AL445" s="240"/>
      <c r="AM445" s="240"/>
    </row>
    <row r="446" spans="26:39">
      <c r="Z446" s="240" t="s">
        <v>985</v>
      </c>
      <c r="AA446" s="240">
        <v>2070</v>
      </c>
      <c r="AB446" s="240">
        <v>2.5925925925925899</v>
      </c>
      <c r="AC446" s="240">
        <v>0.219678050248232</v>
      </c>
      <c r="AD446" s="240">
        <f t="shared" si="83"/>
        <v>0.90021671469740439</v>
      </c>
      <c r="AE446" s="240"/>
      <c r="AF446" s="240">
        <f t="shared" si="92"/>
        <v>1.442420749279538E-3</v>
      </c>
      <c r="AG446" s="240">
        <f t="shared" si="93"/>
        <v>1.1538904899135401E-2</v>
      </c>
      <c r="AH446" s="240"/>
      <c r="AI446" s="240"/>
      <c r="AJ446" s="240"/>
      <c r="AK446" s="240"/>
      <c r="AL446" s="240"/>
      <c r="AM446" s="240"/>
    </row>
    <row r="447" spans="26:39">
      <c r="Z447" s="240" t="s">
        <v>1222</v>
      </c>
      <c r="AA447" s="240">
        <v>2070</v>
      </c>
      <c r="AB447" s="240">
        <v>2.5363872644574399</v>
      </c>
      <c r="AC447" s="240">
        <v>0.20996840680005999</v>
      </c>
      <c r="AD447" s="240">
        <f t="shared" si="83"/>
        <v>1.0698097982708901</v>
      </c>
      <c r="AE447" s="240"/>
      <c r="AF447" s="240">
        <f t="shared" si="92"/>
        <v>1.3475504322766501E-3</v>
      </c>
      <c r="AG447" s="240">
        <f t="shared" si="93"/>
        <v>1.1111239193083541E-2</v>
      </c>
      <c r="AH447" s="240"/>
      <c r="AI447" s="240"/>
      <c r="AJ447" s="240"/>
      <c r="AK447" s="240"/>
      <c r="AL447" s="240"/>
      <c r="AM447" s="240"/>
    </row>
    <row r="448" spans="26:39">
      <c r="Z448" s="240" t="s">
        <v>1223</v>
      </c>
      <c r="AA448" s="240">
        <v>2070</v>
      </c>
      <c r="AB448" s="240">
        <v>2.4431178254277599</v>
      </c>
      <c r="AC448" s="240">
        <v>0.25296825635625098</v>
      </c>
      <c r="AD448" s="240">
        <f t="shared" si="83"/>
        <v>1.2045110470701215</v>
      </c>
      <c r="AE448" s="240"/>
      <c r="AF448" s="240">
        <f t="shared" si="92"/>
        <v>1.74293948126801E-3</v>
      </c>
      <c r="AG448" s="240">
        <f t="shared" si="93"/>
        <v>1.2781556195965341E-2</v>
      </c>
      <c r="AH448" s="240"/>
      <c r="AI448" s="240"/>
      <c r="AJ448" s="240"/>
      <c r="AK448" s="240"/>
      <c r="AL448" s="240"/>
      <c r="AM448" s="240"/>
    </row>
    <row r="449" spans="1:39">
      <c r="Z449" s="240" t="s">
        <v>1224</v>
      </c>
      <c r="AA449" s="240">
        <v>2070</v>
      </c>
      <c r="AB449" s="240">
        <v>2.4431178254277599</v>
      </c>
      <c r="AC449" s="240">
        <v>0.26614562960734101</v>
      </c>
      <c r="AD449" s="240">
        <f t="shared" si="83"/>
        <v>1.3354197886647428</v>
      </c>
      <c r="AE449" s="240"/>
      <c r="AF449" s="240">
        <f t="shared" si="92"/>
        <v>1.847838616714692E-3</v>
      </c>
      <c r="AG449" s="240">
        <f t="shared" si="93"/>
        <v>1.2951008645533099E-2</v>
      </c>
      <c r="AH449" s="240"/>
      <c r="AI449" s="240"/>
      <c r="AJ449" s="240"/>
      <c r="AK449" s="240"/>
      <c r="AL449" s="240"/>
      <c r="AM449" s="240"/>
    </row>
    <row r="450" spans="1:39">
      <c r="Z450" s="240">
        <v>2</v>
      </c>
      <c r="AA450" s="240">
        <v>2080</v>
      </c>
      <c r="AB450" s="240">
        <v>3.4188596491227998</v>
      </c>
      <c r="AC450" s="240">
        <v>0.164887919362118</v>
      </c>
      <c r="AD450" s="240">
        <f t="shared" si="83"/>
        <v>0.77221902017291</v>
      </c>
      <c r="AE450" s="240"/>
      <c r="AF450" s="240">
        <f t="shared" ref="AF450:AF454" si="94">VLOOKUP(Z450&amp;"_"&amp;2075,$AI$418:$AM$443,4,FALSE)+(VLOOKUP(Z450&amp;"_"&amp;2100,$AI$418:$AM$443,4,FALSE)-VLOOKUP(Z450&amp;"_"&amp;2075,$AI$418:$AM$443,4,FALSE))*5/25</f>
        <v>1.29913544668587E-3</v>
      </c>
      <c r="AG450" s="240">
        <f t="shared" ref="AG450:AG454" si="95">VLOOKUP(Z450&amp;"_"&amp;2075,$AI$418:$AM$443,5,FALSE)+(VLOOKUP(Z450&amp;"_"&amp;2100,$AI$418:$AM$443,5,FALSE)-VLOOKUP(Z450&amp;"_"&amp;2075,$AI$418:$AM$443,5,FALSE))*5/25</f>
        <v>9.4974063400576365E-3</v>
      </c>
      <c r="AH450" s="240"/>
      <c r="AI450" s="240"/>
      <c r="AJ450" s="240"/>
      <c r="AK450" s="240"/>
      <c r="AL450" s="240"/>
      <c r="AM450" s="240"/>
    </row>
    <row r="451" spans="1:39">
      <c r="Z451" s="240" t="s">
        <v>985</v>
      </c>
      <c r="AA451" s="240">
        <v>2080</v>
      </c>
      <c r="AB451" s="240">
        <v>2.5679012345679002</v>
      </c>
      <c r="AC451" s="240">
        <v>0.23632315330224099</v>
      </c>
      <c r="AD451" s="240">
        <f t="shared" si="83"/>
        <v>1.02885994236311</v>
      </c>
      <c r="AE451" s="240"/>
      <c r="AF451" s="240">
        <f t="shared" si="94"/>
        <v>1.4262824207492779E-3</v>
      </c>
      <c r="AG451" s="240">
        <f t="shared" si="95"/>
        <v>1.1321037463976901E-2</v>
      </c>
      <c r="AH451" s="240"/>
      <c r="AI451" s="240"/>
      <c r="AJ451" s="240"/>
      <c r="AK451" s="240"/>
      <c r="AL451" s="240"/>
      <c r="AM451" s="240"/>
    </row>
    <row r="452" spans="1:39">
      <c r="N452" t="s">
        <v>1314</v>
      </c>
      <c r="P452" t="s">
        <v>2563</v>
      </c>
      <c r="R452" t="s">
        <v>2564</v>
      </c>
      <c r="Z452" s="240" t="s">
        <v>1222</v>
      </c>
      <c r="AA452" s="240">
        <v>2080</v>
      </c>
      <c r="AB452" s="240">
        <v>2.3928958197963999</v>
      </c>
      <c r="AC452" s="240">
        <v>0.219678050248232</v>
      </c>
      <c r="AD452" s="240">
        <f t="shared" si="83"/>
        <v>1.1915734870316965</v>
      </c>
      <c r="AE452" s="240"/>
      <c r="AF452" s="240">
        <f t="shared" si="94"/>
        <v>1.291066282420742E-3</v>
      </c>
      <c r="AG452" s="240">
        <f t="shared" si="95"/>
        <v>1.0602881844380361E-2</v>
      </c>
      <c r="AH452" s="240"/>
      <c r="AI452" s="240"/>
      <c r="AJ452" s="240"/>
      <c r="AK452" s="240"/>
      <c r="AL452" s="240"/>
      <c r="AM452" s="240"/>
    </row>
    <row r="453" spans="1:39">
      <c r="A453" t="s">
        <v>2565</v>
      </c>
      <c r="N453" t="s">
        <v>2566</v>
      </c>
      <c r="P453" t="s">
        <v>1197</v>
      </c>
      <c r="Z453" s="240" t="s">
        <v>1223</v>
      </c>
      <c r="AA453" s="240">
        <v>2080</v>
      </c>
      <c r="AB453" s="240">
        <v>2.4359432531947101</v>
      </c>
      <c r="AC453" s="240">
        <v>0.27516172709492998</v>
      </c>
      <c r="AD453" s="240">
        <f t="shared" si="83"/>
        <v>1.3489894332372676</v>
      </c>
      <c r="AE453" s="240"/>
      <c r="AF453" s="240">
        <f t="shared" si="94"/>
        <v>1.7590778097982701E-3</v>
      </c>
      <c r="AG453" s="240">
        <f t="shared" si="95"/>
        <v>1.2612103746397601E-2</v>
      </c>
      <c r="AH453" s="240"/>
      <c r="AI453" s="240"/>
      <c r="AJ453" s="240"/>
      <c r="AK453" s="240"/>
      <c r="AL453" s="240"/>
      <c r="AM453" s="240"/>
    </row>
    <row r="454" spans="1:39">
      <c r="K454">
        <v>5.5160735818553502E-3</v>
      </c>
      <c r="L454">
        <v>98.499320111860797</v>
      </c>
      <c r="N454">
        <v>25</v>
      </c>
      <c r="O454">
        <v>0</v>
      </c>
      <c r="P454">
        <v>0</v>
      </c>
      <c r="Q454">
        <f>SUM(L454:L456)</f>
        <v>286.60902583574921</v>
      </c>
      <c r="R454">
        <v>269.14893617021198</v>
      </c>
      <c r="S454">
        <v>217.87234042553101</v>
      </c>
      <c r="Z454" s="240" t="s">
        <v>1224</v>
      </c>
      <c r="AA454" s="240">
        <v>2080</v>
      </c>
      <c r="AB454" s="240">
        <v>2.4359432531947101</v>
      </c>
      <c r="AC454" s="240">
        <v>0.30082292763652702</v>
      </c>
      <c r="AD454" s="240">
        <f t="shared" si="83"/>
        <v>1.4823996157540793</v>
      </c>
      <c r="AE454" s="240"/>
      <c r="AF454" s="240">
        <f t="shared" si="94"/>
        <v>1.8881844380403399E-3</v>
      </c>
      <c r="AG454" s="240">
        <f t="shared" si="95"/>
        <v>1.27089337175792E-2</v>
      </c>
      <c r="AH454" s="240"/>
      <c r="AI454" s="240"/>
      <c r="AJ454" s="240"/>
      <c r="AK454" s="240"/>
      <c r="AL454" s="240"/>
      <c r="AM454" s="240"/>
    </row>
    <row r="455" spans="1:39">
      <c r="K455">
        <v>6.0291967057484099E-3</v>
      </c>
      <c r="L455">
        <v>96.524001334120101</v>
      </c>
      <c r="N455">
        <v>25</v>
      </c>
      <c r="O455">
        <v>1</v>
      </c>
      <c r="P455">
        <v>0</v>
      </c>
      <c r="Q455">
        <f>SUM(L457:L459)</f>
        <v>279.58580701439303</v>
      </c>
      <c r="R455">
        <v>269.14893617021198</v>
      </c>
      <c r="S455">
        <v>221.063829787234</v>
      </c>
      <c r="Z455" s="240">
        <v>2</v>
      </c>
      <c r="AA455" s="240">
        <v>2090</v>
      </c>
      <c r="AB455" s="240">
        <v>3.4906053714533201</v>
      </c>
      <c r="AC455" s="240">
        <v>0.17294117647058799</v>
      </c>
      <c r="AD455" s="240">
        <f t="shared" si="83"/>
        <v>0.88123342939481197</v>
      </c>
      <c r="AE455" s="240"/>
      <c r="AF455" s="240">
        <f t="shared" ref="AF455:AF459" si="96">VLOOKUP(Z455&amp;"_"&amp;2075,$AI$418:$AM$443,4,FALSE)+(VLOOKUP(Z455&amp;"_"&amp;2100,$AI$418:$AM$443,4,FALSE)-VLOOKUP(Z455&amp;"_"&amp;2075,$AI$418:$AM$443,4,FALSE))*15/25</f>
        <v>1.3152737752161301E-3</v>
      </c>
      <c r="AG455" s="240">
        <f t="shared" ref="AG455:AG459" si="97">VLOOKUP(Z455&amp;"_"&amp;2075,$AI$418:$AM$443,5,FALSE)+(VLOOKUP(Z455&amp;"_"&amp;2100,$AI$418:$AM$443,5,FALSE)-VLOOKUP(Z455&amp;"_"&amp;2075,$AI$418:$AM$443,5,FALSE))*15/25</f>
        <v>9.6910662824207482E-3</v>
      </c>
      <c r="AH455" s="240"/>
      <c r="AI455" s="240"/>
      <c r="AJ455" s="240"/>
      <c r="AK455" s="240"/>
      <c r="AL455" s="240"/>
      <c r="AM455" s="240"/>
    </row>
    <row r="456" spans="1:39">
      <c r="K456">
        <v>7.3120045154828599E-3</v>
      </c>
      <c r="L456">
        <v>91.585704389768296</v>
      </c>
      <c r="N456">
        <v>25</v>
      </c>
      <c r="O456">
        <v>9</v>
      </c>
      <c r="P456">
        <v>0</v>
      </c>
      <c r="Q456">
        <f>SUM(L460:L461)</f>
        <v>161.3345306206223</v>
      </c>
      <c r="R456">
        <v>269.14893617021198</v>
      </c>
      <c r="S456">
        <v>261.063829787234</v>
      </c>
      <c r="Z456" s="240" t="s">
        <v>985</v>
      </c>
      <c r="AA456" s="240">
        <v>2090</v>
      </c>
      <c r="AB456" s="240">
        <v>2.5308641975308599</v>
      </c>
      <c r="AC456" s="240">
        <v>0.24533925078982999</v>
      </c>
      <c r="AD456" s="240">
        <f t="shared" si="83"/>
        <v>1.1539172910662796</v>
      </c>
      <c r="AE456" s="240"/>
      <c r="AF456" s="240">
        <f t="shared" si="96"/>
        <v>1.378847262247834E-3</v>
      </c>
      <c r="AG456" s="240">
        <f t="shared" si="97"/>
        <v>1.08853025936599E-2</v>
      </c>
      <c r="AH456" s="240"/>
      <c r="AI456" s="240"/>
      <c r="AJ456" s="240"/>
      <c r="AK456" s="240"/>
      <c r="AL456" s="240"/>
      <c r="AM456" s="240"/>
    </row>
    <row r="457" spans="1:39">
      <c r="K457">
        <v>1.90785591502681</v>
      </c>
      <c r="L457">
        <v>95.251866485363095</v>
      </c>
      <c r="Z457" s="240" t="s">
        <v>1222</v>
      </c>
      <c r="AA457" s="240">
        <v>2090</v>
      </c>
      <c r="AB457" s="240">
        <v>2.3283246696989299</v>
      </c>
      <c r="AC457" s="240">
        <v>0.22235294117647</v>
      </c>
      <c r="AD457" s="240">
        <f t="shared" si="83"/>
        <v>1.3100288184437996</v>
      </c>
      <c r="AE457" s="240"/>
      <c r="AF457" s="240">
        <f t="shared" si="96"/>
        <v>1.2103746397694459E-3</v>
      </c>
      <c r="AG457" s="240">
        <f t="shared" si="97"/>
        <v>1.0586743515850081E-2</v>
      </c>
      <c r="AH457" s="240"/>
      <c r="AI457" s="240"/>
      <c r="AJ457" s="240"/>
      <c r="AK457" s="240"/>
      <c r="AL457" s="240"/>
      <c r="AM457" s="240"/>
    </row>
    <row r="458" spans="1:39">
      <c r="K458">
        <v>1.8457680170356801</v>
      </c>
      <c r="L458">
        <v>94.265438591990105</v>
      </c>
      <c r="Z458" s="240" t="s">
        <v>1223</v>
      </c>
      <c r="AA458" s="240">
        <v>2090</v>
      </c>
      <c r="AB458" s="240">
        <v>2.2781026640675699</v>
      </c>
      <c r="AC458" s="240">
        <v>0.28695200842485302</v>
      </c>
      <c r="AD458" s="240">
        <f t="shared" si="83"/>
        <v>1.4903611911623387</v>
      </c>
      <c r="AE458" s="240"/>
      <c r="AF458" s="240">
        <f t="shared" si="96"/>
        <v>1.72680115273775E-3</v>
      </c>
      <c r="AG458" s="240">
        <f t="shared" si="97"/>
        <v>1.21763688760806E-2</v>
      </c>
      <c r="AH458" s="240"/>
      <c r="AI458" s="240"/>
      <c r="AJ458" s="240"/>
      <c r="AK458" s="240"/>
      <c r="AL458" s="240"/>
      <c r="AM458" s="240"/>
    </row>
    <row r="459" spans="1:39">
      <c r="K459">
        <v>1.8156861738974199</v>
      </c>
      <c r="L459">
        <v>90.068501937039798</v>
      </c>
      <c r="Z459" s="240" t="s">
        <v>1224</v>
      </c>
      <c r="AA459" s="240">
        <v>2090</v>
      </c>
      <c r="AB459" s="240">
        <v>2.2781026640675699</v>
      </c>
      <c r="AC459" s="240">
        <v>0.326484128178125</v>
      </c>
      <c r="AD459" s="240">
        <f t="shared" si="83"/>
        <v>1.6258693563880844</v>
      </c>
      <c r="AE459" s="240"/>
      <c r="AF459" s="240">
        <f t="shared" si="96"/>
        <v>1.8720461095100801E-3</v>
      </c>
      <c r="AG459" s="240">
        <f t="shared" si="97"/>
        <v>1.2224783861671399E-2</v>
      </c>
      <c r="AH459" s="240"/>
      <c r="AI459" s="240"/>
      <c r="AJ459" s="240"/>
      <c r="AK459" s="240"/>
      <c r="AL459" s="240"/>
      <c r="AM459" s="240"/>
    </row>
    <row r="460" spans="1:39">
      <c r="K460">
        <v>8.9851707417194699</v>
      </c>
      <c r="L460">
        <v>90.420709649280298</v>
      </c>
      <c r="Z460" s="240">
        <v>2</v>
      </c>
      <c r="AA460" s="240">
        <v>2100</v>
      </c>
      <c r="AB460" s="240">
        <v>3.5432098765432101</v>
      </c>
      <c r="AC460" s="240">
        <v>0.18</v>
      </c>
      <c r="AD460" s="240">
        <f t="shared" si="83"/>
        <v>0.99234582132564764</v>
      </c>
      <c r="AE460" s="240"/>
      <c r="AF460" s="240">
        <f t="shared" ref="AF460:AF464" si="98">VLOOKUP($Z460&amp;"_"&amp;$AA460,$AI$418:$AM$443,4,FALSE)</f>
        <v>1.3314121037463901E-3</v>
      </c>
      <c r="AG460" s="240">
        <f t="shared" ref="AG460:AG464" si="99">VLOOKUP($Z460&amp;"_"&amp;$AA460,$AI$418:$AM$443,5,FALSE)</f>
        <v>9.8847262247838599E-3</v>
      </c>
      <c r="AH460" s="240"/>
      <c r="AI460" s="240"/>
      <c r="AJ460" s="240"/>
      <c r="AK460" s="240"/>
      <c r="AL460" s="240"/>
      <c r="AM460" s="240"/>
    </row>
    <row r="461" spans="1:39">
      <c r="K461">
        <v>9.0214100623444597</v>
      </c>
      <c r="L461">
        <v>70.913820971342005</v>
      </c>
      <c r="Z461" s="240" t="s">
        <v>985</v>
      </c>
      <c r="AA461" s="240">
        <v>2100</v>
      </c>
      <c r="AB461" s="240">
        <v>2.49382716049382</v>
      </c>
      <c r="AC461" s="240">
        <v>0.24741988867158099</v>
      </c>
      <c r="AD461" s="240">
        <f t="shared" si="83"/>
        <v>1.2741429394812647</v>
      </c>
      <c r="AE461" s="240"/>
      <c r="AF461" s="240">
        <f t="shared" si="98"/>
        <v>1.3314121037463901E-3</v>
      </c>
      <c r="AG461" s="240">
        <f t="shared" si="99"/>
        <v>1.0449567723342899E-2</v>
      </c>
      <c r="AH461" s="240"/>
      <c r="AI461" s="240"/>
      <c r="AJ461" s="240"/>
      <c r="AK461" s="240"/>
      <c r="AL461" s="240"/>
      <c r="AM461" s="240"/>
    </row>
    <row r="462" spans="1:39">
      <c r="Z462" s="240" t="s">
        <v>1222</v>
      </c>
      <c r="AA462" s="240">
        <v>2100</v>
      </c>
      <c r="AB462" s="240">
        <v>2.3209876543209802</v>
      </c>
      <c r="AC462" s="240">
        <v>0.20788776891830901</v>
      </c>
      <c r="AD462" s="240">
        <f t="shared" si="83"/>
        <v>1.427515850144087</v>
      </c>
      <c r="AE462" s="240"/>
      <c r="AF462" s="240">
        <f t="shared" si="98"/>
        <v>1.1296829971181499E-3</v>
      </c>
      <c r="AG462" s="240">
        <f t="shared" si="99"/>
        <v>1.0570605187319801E-2</v>
      </c>
      <c r="AH462" s="240"/>
      <c r="AI462" s="240"/>
      <c r="AJ462" s="240"/>
      <c r="AK462" s="240"/>
      <c r="AL462" s="240"/>
      <c r="AM462" s="240"/>
    </row>
    <row r="463" spans="1:39">
      <c r="Z463" s="240" t="s">
        <v>1223</v>
      </c>
      <c r="AA463" s="240">
        <v>2100</v>
      </c>
      <c r="AB463" s="240">
        <v>2.2098765432098699</v>
      </c>
      <c r="AC463" s="240">
        <v>0.29458101399127401</v>
      </c>
      <c r="AD463" s="240">
        <f t="shared" si="83"/>
        <v>1.6270528338136345</v>
      </c>
      <c r="AE463" s="240"/>
      <c r="AF463" s="240">
        <f t="shared" si="98"/>
        <v>1.6945244956772299E-3</v>
      </c>
      <c r="AG463" s="240">
        <f t="shared" si="99"/>
        <v>1.1740634005763599E-2</v>
      </c>
      <c r="AH463" s="240"/>
      <c r="AI463" s="240"/>
      <c r="AJ463" s="240"/>
      <c r="AK463" s="240"/>
      <c r="AL463" s="240"/>
      <c r="AM463" s="240"/>
    </row>
    <row r="464" spans="1:39">
      <c r="Z464" s="240" t="s">
        <v>1224</v>
      </c>
      <c r="AA464" s="240">
        <v>2100</v>
      </c>
      <c r="AB464" s="240">
        <v>2.1604938271604901</v>
      </c>
      <c r="AC464" s="240">
        <v>0.34243568527155099</v>
      </c>
      <c r="AD464" s="240">
        <f t="shared" si="83"/>
        <v>1.7643362151777089</v>
      </c>
      <c r="AE464" s="240"/>
      <c r="AF464" s="240">
        <f t="shared" si="98"/>
        <v>1.85590778097982E-3</v>
      </c>
      <c r="AG464" s="240">
        <f t="shared" si="99"/>
        <v>1.1740634005763599E-2</v>
      </c>
      <c r="AH464" s="240"/>
      <c r="AI464" s="240"/>
      <c r="AJ464" s="240"/>
      <c r="AK464" s="240"/>
      <c r="AL464" s="240"/>
      <c r="AM464" s="240"/>
    </row>
    <row r="474" spans="1:16">
      <c r="A474" t="s">
        <v>2567</v>
      </c>
      <c r="K474" t="s">
        <v>2568</v>
      </c>
      <c r="L474" t="s">
        <v>2569</v>
      </c>
      <c r="M474" t="s">
        <v>1402</v>
      </c>
      <c r="N474" t="s">
        <v>2570</v>
      </c>
      <c r="O474" t="s">
        <v>2571</v>
      </c>
      <c r="P474" t="s">
        <v>2311</v>
      </c>
    </row>
    <row r="475" spans="1:16">
      <c r="J475" t="s">
        <v>2572</v>
      </c>
      <c r="K475">
        <v>0.32</v>
      </c>
      <c r="L475">
        <v>0.44</v>
      </c>
      <c r="M475">
        <v>0.32</v>
      </c>
      <c r="N475">
        <v>0.12</v>
      </c>
      <c r="O475">
        <v>0.09</v>
      </c>
      <c r="P475">
        <v>1.29</v>
      </c>
    </row>
    <row r="476" spans="1:16">
      <c r="J476" t="s">
        <v>2573</v>
      </c>
      <c r="K476">
        <v>8</v>
      </c>
      <c r="L476">
        <v>219</v>
      </c>
      <c r="M476">
        <v>223</v>
      </c>
      <c r="N476">
        <v>219</v>
      </c>
      <c r="O476">
        <v>77</v>
      </c>
      <c r="P476">
        <v>745</v>
      </c>
    </row>
    <row r="477" spans="1:16">
      <c r="J477" t="s">
        <v>2574</v>
      </c>
      <c r="K477">
        <v>3</v>
      </c>
      <c r="L477">
        <v>263</v>
      </c>
      <c r="M477">
        <v>147</v>
      </c>
      <c r="N477">
        <v>76</v>
      </c>
      <c r="O477">
        <v>25</v>
      </c>
      <c r="P477">
        <v>514</v>
      </c>
    </row>
    <row r="478" spans="1:16">
      <c r="J478" t="s">
        <v>2575</v>
      </c>
      <c r="K478">
        <v>0</v>
      </c>
      <c r="L478">
        <v>10</v>
      </c>
      <c r="M478">
        <v>8</v>
      </c>
      <c r="N478">
        <v>5</v>
      </c>
      <c r="O478">
        <v>3</v>
      </c>
      <c r="P478">
        <v>26</v>
      </c>
    </row>
    <row r="479" spans="1:16">
      <c r="J479" t="s">
        <v>2576</v>
      </c>
      <c r="K479">
        <f>K476+0.0279*K477+0.273*K478</f>
        <v>8.0837000000000003</v>
      </c>
      <c r="L479">
        <f t="shared" ref="L479:P479" si="100">L476+0.0279*L477+0.273*L478</f>
        <v>229.0677</v>
      </c>
      <c r="M479">
        <f t="shared" si="100"/>
        <v>229.28530000000001</v>
      </c>
      <c r="N479">
        <f t="shared" si="100"/>
        <v>222.4854</v>
      </c>
      <c r="O479">
        <f t="shared" si="100"/>
        <v>78.516500000000008</v>
      </c>
      <c r="P479">
        <f t="shared" si="100"/>
        <v>766.43859999999995</v>
      </c>
    </row>
    <row r="481" spans="10:16">
      <c r="J481" t="s">
        <v>2577</v>
      </c>
      <c r="K481">
        <f>K479/(K475*10^3)</f>
        <v>2.5261562500000001E-2</v>
      </c>
      <c r="L481">
        <f t="shared" ref="L481:P481" si="101">L479/(L475*10^3)</f>
        <v>0.52060840909090911</v>
      </c>
      <c r="M481">
        <f t="shared" si="101"/>
        <v>0.71651656250000006</v>
      </c>
      <c r="N481">
        <f t="shared" si="101"/>
        <v>1.8540449999999999</v>
      </c>
      <c r="O481">
        <f t="shared" si="101"/>
        <v>0.87240555555555566</v>
      </c>
      <c r="P481">
        <f t="shared" si="101"/>
        <v>0.59413844961240303</v>
      </c>
    </row>
  </sheetData>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68"/>
  <sheetViews>
    <sheetView topLeftCell="A370" workbookViewId="0">
      <selection activeCell="A338" sqref="A338:XFD369"/>
    </sheetView>
  </sheetViews>
  <sheetFormatPr baseColWidth="10" defaultRowHeight="16"/>
  <cols>
    <col min="2" max="2" width="11.1640625" bestFit="1" customWidth="1"/>
    <col min="3" max="3" width="20.83203125" customWidth="1"/>
    <col min="7" max="8" width="18.5" customWidth="1"/>
    <col min="9" max="9" width="26.83203125" customWidth="1"/>
    <col min="10" max="10" width="15.33203125" customWidth="1"/>
    <col min="11" max="11" width="16.5" customWidth="1"/>
    <col min="12" max="12" width="14.83203125" customWidth="1"/>
    <col min="15" max="15" width="27.1640625" bestFit="1" customWidth="1"/>
    <col min="16" max="16" width="26.83203125" bestFit="1" customWidth="1"/>
    <col min="17" max="17" width="13.33203125" bestFit="1" customWidth="1"/>
    <col min="18" max="18" width="27.1640625" bestFit="1" customWidth="1"/>
    <col min="19" max="19" width="26.83203125" bestFit="1" customWidth="1"/>
  </cols>
  <sheetData>
    <row r="1" spans="1:7">
      <c r="A1" s="143" t="s">
        <v>2578</v>
      </c>
      <c r="B1" s="143" t="s">
        <v>2579</v>
      </c>
    </row>
    <row r="2" spans="1:7">
      <c r="A2" s="141" t="s">
        <v>509</v>
      </c>
      <c r="B2" s="141" t="s">
        <v>2580</v>
      </c>
      <c r="C2" s="141" t="s">
        <v>638</v>
      </c>
      <c r="D2" s="141" t="s">
        <v>2581</v>
      </c>
      <c r="E2" s="195" t="s">
        <v>2582</v>
      </c>
      <c r="F2" s="141" t="s">
        <v>2583</v>
      </c>
      <c r="G2" s="141" t="s">
        <v>2584</v>
      </c>
    </row>
    <row r="3" spans="1:7">
      <c r="A3" s="141" t="s">
        <v>2585</v>
      </c>
      <c r="B3" s="141" t="s">
        <v>2586</v>
      </c>
      <c r="C3" s="141">
        <v>0</v>
      </c>
      <c r="D3" s="141">
        <v>107.01820499999999</v>
      </c>
      <c r="E3" s="141"/>
    </row>
    <row r="4" spans="1:7">
      <c r="A4" s="141" t="s">
        <v>2587</v>
      </c>
      <c r="B4" s="141" t="s">
        <v>2586</v>
      </c>
      <c r="C4" s="141">
        <v>0</v>
      </c>
      <c r="D4" s="141">
        <v>105.21369900000001</v>
      </c>
      <c r="E4" s="141"/>
    </row>
    <row r="5" spans="1:7">
      <c r="A5" s="141" t="s">
        <v>2585</v>
      </c>
      <c r="B5" s="141" t="s">
        <v>2588</v>
      </c>
      <c r="C5" s="141">
        <v>0</v>
      </c>
      <c r="D5" s="141">
        <v>107.01820499999999</v>
      </c>
      <c r="E5" s="141"/>
      <c r="G5" s="195"/>
    </row>
    <row r="6" spans="1:7">
      <c r="A6" s="141" t="s">
        <v>2587</v>
      </c>
      <c r="B6" s="141" t="s">
        <v>2588</v>
      </c>
      <c r="C6" s="141">
        <v>0</v>
      </c>
      <c r="D6" s="141">
        <v>107.01820499999999</v>
      </c>
      <c r="E6" s="141"/>
    </row>
    <row r="7" spans="1:7">
      <c r="A7" s="141" t="s">
        <v>2585</v>
      </c>
      <c r="B7" s="141" t="s">
        <v>2589</v>
      </c>
      <c r="C7" s="141">
        <v>0</v>
      </c>
      <c r="D7" s="141">
        <v>106.216202</v>
      </c>
      <c r="E7" s="141"/>
    </row>
    <row r="8" spans="1:7">
      <c r="A8" s="141" t="s">
        <v>2587</v>
      </c>
      <c r="B8" s="141" t="s">
        <v>2589</v>
      </c>
      <c r="C8" s="141">
        <v>0</v>
      </c>
      <c r="D8" s="141">
        <v>106.216202</v>
      </c>
      <c r="E8" s="141"/>
    </row>
    <row r="9" spans="1:7">
      <c r="A9" s="141" t="s">
        <v>2585</v>
      </c>
      <c r="B9" s="141" t="s">
        <v>2586</v>
      </c>
      <c r="C9" s="141">
        <v>20</v>
      </c>
      <c r="D9" s="141">
        <v>91.619616399999998</v>
      </c>
      <c r="E9" s="241"/>
    </row>
    <row r="10" spans="1:7">
      <c r="A10" s="141" t="s">
        <v>2587</v>
      </c>
      <c r="B10" s="141" t="s">
        <v>2586</v>
      </c>
      <c r="C10" s="141">
        <v>20</v>
      </c>
      <c r="D10" s="141">
        <v>86.005597199999997</v>
      </c>
      <c r="E10" s="141"/>
    </row>
    <row r="11" spans="1:7">
      <c r="A11" s="141" t="s">
        <v>2585</v>
      </c>
      <c r="B11" s="141" t="s">
        <v>2588</v>
      </c>
      <c r="C11" s="141">
        <v>20</v>
      </c>
      <c r="D11" s="141">
        <v>81.193580800000007</v>
      </c>
      <c r="E11" s="241"/>
      <c r="F11" s="195"/>
      <c r="G11" s="195"/>
    </row>
    <row r="12" spans="1:7">
      <c r="A12" s="141" t="s">
        <v>2587</v>
      </c>
      <c r="B12" s="141" t="s">
        <v>2588</v>
      </c>
      <c r="C12" s="141">
        <v>20</v>
      </c>
      <c r="D12" s="141">
        <v>72.973052800000005</v>
      </c>
      <c r="E12" s="141"/>
      <c r="F12" s="195"/>
    </row>
    <row r="13" spans="1:7">
      <c r="A13" s="141" t="s">
        <v>2585</v>
      </c>
      <c r="B13" s="141" t="s">
        <v>2589</v>
      </c>
      <c r="C13" s="141">
        <v>20</v>
      </c>
      <c r="D13" s="141">
        <v>52.1209816</v>
      </c>
      <c r="E13" s="241"/>
    </row>
    <row r="14" spans="1:7">
      <c r="A14" s="141" t="s">
        <v>2587</v>
      </c>
      <c r="B14" s="141" t="s">
        <v>2589</v>
      </c>
      <c r="C14" s="141">
        <v>20</v>
      </c>
      <c r="D14" s="141">
        <v>45.1034577</v>
      </c>
      <c r="E14" s="141"/>
    </row>
    <row r="15" spans="1:7">
      <c r="A15" s="141" t="s">
        <v>2585</v>
      </c>
      <c r="B15" s="141" t="s">
        <v>2586</v>
      </c>
      <c r="C15" s="141">
        <v>60</v>
      </c>
      <c r="D15" s="141">
        <v>71.248701499999996</v>
      </c>
      <c r="E15" s="141"/>
    </row>
    <row r="16" spans="1:7">
      <c r="A16" s="141" t="s">
        <v>2587</v>
      </c>
      <c r="B16" s="141" t="s">
        <v>2586</v>
      </c>
      <c r="C16" s="141">
        <v>60</v>
      </c>
      <c r="D16" s="141">
        <v>62.827672700000001</v>
      </c>
      <c r="E16" s="141"/>
    </row>
    <row r="17" spans="1:7">
      <c r="A17" s="141" t="s">
        <v>2585</v>
      </c>
      <c r="B17" s="141" t="s">
        <v>2588</v>
      </c>
      <c r="C17" s="141">
        <v>60</v>
      </c>
      <c r="D17" s="141">
        <v>56.411650799999997</v>
      </c>
      <c r="E17" s="141"/>
      <c r="G17" s="195"/>
    </row>
    <row r="18" spans="1:7">
      <c r="A18" s="141" t="s">
        <v>2587</v>
      </c>
      <c r="B18" s="141" t="s">
        <v>2588</v>
      </c>
      <c r="C18" s="141">
        <v>60</v>
      </c>
      <c r="D18" s="141">
        <v>49.394126900000003</v>
      </c>
      <c r="E18" s="141"/>
    </row>
    <row r="19" spans="1:7">
      <c r="A19" s="141" t="s">
        <v>2585</v>
      </c>
      <c r="B19" s="141" t="s">
        <v>2589</v>
      </c>
      <c r="C19" s="141">
        <v>60</v>
      </c>
      <c r="D19" s="141">
        <v>33.153571499999998</v>
      </c>
      <c r="E19" s="141"/>
    </row>
    <row r="20" spans="1:7">
      <c r="A20" s="141" t="s">
        <v>2587</v>
      </c>
      <c r="B20" s="141" t="s">
        <v>2589</v>
      </c>
      <c r="C20" s="141">
        <v>60</v>
      </c>
      <c r="D20" s="141">
        <v>27.740053</v>
      </c>
      <c r="E20" s="141"/>
    </row>
    <row r="21" spans="1:7">
      <c r="A21" s="141" t="s">
        <v>2585</v>
      </c>
      <c r="B21" s="141" t="s">
        <v>2586</v>
      </c>
      <c r="C21" s="141">
        <v>100</v>
      </c>
      <c r="D21" s="141">
        <v>59.701633200000003</v>
      </c>
      <c r="E21" s="242"/>
    </row>
    <row r="22" spans="1:7">
      <c r="A22" s="141" t="s">
        <v>2587</v>
      </c>
      <c r="B22" s="141" t="s">
        <v>2586</v>
      </c>
      <c r="C22" s="141">
        <v>100</v>
      </c>
      <c r="D22" s="141">
        <v>51.881879400000003</v>
      </c>
      <c r="E22" s="141"/>
    </row>
    <row r="23" spans="1:7">
      <c r="A23" s="141" t="s">
        <v>2585</v>
      </c>
      <c r="B23" s="141" t="s">
        <v>2588</v>
      </c>
      <c r="C23" s="141">
        <v>100</v>
      </c>
      <c r="D23" s="141">
        <v>46.669542900000003</v>
      </c>
      <c r="E23" s="242"/>
      <c r="F23" s="241"/>
    </row>
    <row r="24" spans="1:7">
      <c r="A24" s="141" t="s">
        <v>2587</v>
      </c>
      <c r="B24" s="141" t="s">
        <v>2588</v>
      </c>
      <c r="C24" s="141">
        <v>100</v>
      </c>
      <c r="D24" s="141">
        <v>40.2526127</v>
      </c>
      <c r="E24" s="141"/>
      <c r="F24" s="241"/>
    </row>
    <row r="25" spans="1:7">
      <c r="A25" s="141" t="s">
        <v>2585</v>
      </c>
      <c r="B25" s="141" t="s">
        <v>2589</v>
      </c>
      <c r="C25" s="141">
        <v>100</v>
      </c>
      <c r="D25" s="141">
        <v>25.616516900000001</v>
      </c>
      <c r="E25" s="242"/>
    </row>
    <row r="26" spans="1:7">
      <c r="A26" s="141" t="s">
        <v>2587</v>
      </c>
      <c r="B26" s="141" t="s">
        <v>2589</v>
      </c>
      <c r="C26" s="141">
        <v>100</v>
      </c>
      <c r="D26" s="141">
        <v>20.6039998</v>
      </c>
      <c r="E26" s="141"/>
    </row>
    <row r="27" spans="1:7">
      <c r="B27" s="141" t="s">
        <v>778</v>
      </c>
      <c r="C27" t="s">
        <v>1270</v>
      </c>
      <c r="D27" s="141">
        <v>110</v>
      </c>
      <c r="G27" s="195"/>
    </row>
    <row r="28" spans="1:7">
      <c r="B28" s="141" t="s">
        <v>2590</v>
      </c>
      <c r="C28" t="s">
        <v>1270</v>
      </c>
      <c r="D28" s="141">
        <v>89</v>
      </c>
    </row>
    <row r="29" spans="1:7">
      <c r="B29" s="141" t="s">
        <v>2591</v>
      </c>
      <c r="C29" t="s">
        <v>1270</v>
      </c>
      <c r="D29" s="141">
        <v>78</v>
      </c>
      <c r="G29" s="195"/>
    </row>
    <row r="33" spans="1:6">
      <c r="A33" t="s">
        <v>2592</v>
      </c>
    </row>
    <row r="34" spans="1:6">
      <c r="A34" s="141"/>
      <c r="B34" s="141" t="s">
        <v>2593</v>
      </c>
      <c r="C34" s="141" t="s">
        <v>2594</v>
      </c>
      <c r="D34" s="141" t="s">
        <v>2595</v>
      </c>
      <c r="E34" s="141" t="s">
        <v>2596</v>
      </c>
      <c r="F34" s="141" t="s">
        <v>1952</v>
      </c>
    </row>
    <row r="35" spans="1:6">
      <c r="A35" s="141"/>
      <c r="B35" s="141"/>
      <c r="C35" s="141"/>
      <c r="D35" s="141"/>
      <c r="E35" s="141"/>
      <c r="F35" t="s">
        <v>2597</v>
      </c>
    </row>
    <row r="36" spans="1:6">
      <c r="A36" s="141">
        <v>2015</v>
      </c>
      <c r="B36" s="141">
        <v>18.57</v>
      </c>
      <c r="C36" s="141">
        <v>18.569151600000001</v>
      </c>
      <c r="D36" s="141">
        <v>18.57</v>
      </c>
      <c r="E36" s="141">
        <v>18.57</v>
      </c>
    </row>
    <row r="37" spans="1:6">
      <c r="A37" s="141">
        <v>2016</v>
      </c>
      <c r="B37" s="141">
        <v>18.579999999999998</v>
      </c>
      <c r="C37" s="141">
        <v>18.573927600000001</v>
      </c>
      <c r="D37" s="141">
        <v>18.579999999999998</v>
      </c>
      <c r="E37" s="141">
        <v>18.57</v>
      </c>
    </row>
    <row r="38" spans="1:6">
      <c r="A38" s="141">
        <v>2017</v>
      </c>
      <c r="B38" s="141">
        <v>18.57</v>
      </c>
      <c r="C38" s="141">
        <v>18.568878600000001</v>
      </c>
      <c r="D38" s="141">
        <v>18.592622500000001</v>
      </c>
      <c r="E38" s="141">
        <v>18.559999999999999</v>
      </c>
    </row>
    <row r="39" spans="1:6">
      <c r="A39" s="141">
        <v>2018</v>
      </c>
      <c r="B39" s="141">
        <v>18.71</v>
      </c>
      <c r="C39" s="141">
        <v>18.703791299999999</v>
      </c>
      <c r="D39" s="141">
        <v>18.684118399999999</v>
      </c>
      <c r="E39" s="141">
        <v>18.71</v>
      </c>
    </row>
    <row r="40" spans="1:6">
      <c r="A40" s="141">
        <v>2019</v>
      </c>
      <c r="B40" s="141">
        <v>18.77</v>
      </c>
      <c r="C40" s="141">
        <v>18.756290100000001</v>
      </c>
      <c r="D40" s="141">
        <v>18.753371399999999</v>
      </c>
      <c r="E40" s="141">
        <v>18.77</v>
      </c>
    </row>
    <row r="41" spans="1:6">
      <c r="A41" s="141">
        <v>2020</v>
      </c>
      <c r="B41" s="141">
        <v>18.873455499999999</v>
      </c>
      <c r="C41" s="141">
        <v>18.118988000000002</v>
      </c>
      <c r="D41" s="141">
        <v>18.1547056</v>
      </c>
      <c r="E41" s="141">
        <v>19.471593200000001</v>
      </c>
    </row>
    <row r="42" spans="1:6">
      <c r="A42" s="141">
        <v>2021</v>
      </c>
      <c r="B42" s="141"/>
      <c r="C42" s="141">
        <v>18.148857400000001</v>
      </c>
      <c r="D42" s="141">
        <v>18.191283800000001</v>
      </c>
      <c r="E42" s="141">
        <v>19.529575900000001</v>
      </c>
    </row>
    <row r="43" spans="1:6">
      <c r="A43" s="141">
        <v>2022</v>
      </c>
      <c r="B43" s="141">
        <v>18.918486999999999</v>
      </c>
      <c r="C43" s="141">
        <v>18.240739900000001</v>
      </c>
      <c r="D43" s="141">
        <v>18.246084499999998</v>
      </c>
      <c r="E43" s="141">
        <v>19.602271399999999</v>
      </c>
    </row>
    <row r="44" spans="1:6">
      <c r="A44" s="141">
        <v>2023</v>
      </c>
      <c r="B44" s="141">
        <v>18.989999999999998</v>
      </c>
      <c r="C44" s="141">
        <v>18.321614700000001</v>
      </c>
      <c r="D44" s="141">
        <v>18.3139729</v>
      </c>
      <c r="E44" s="141">
        <v>19.6780683</v>
      </c>
    </row>
    <row r="45" spans="1:6">
      <c r="A45" s="141">
        <v>2024</v>
      </c>
      <c r="B45" s="141">
        <v>19.11</v>
      </c>
      <c r="C45" s="141">
        <v>18.309879200000001</v>
      </c>
      <c r="D45" s="141">
        <v>18.448521700000001</v>
      </c>
      <c r="E45" s="141">
        <v>19.731919999999999</v>
      </c>
    </row>
    <row r="46" spans="1:6">
      <c r="A46" s="141">
        <v>2025</v>
      </c>
      <c r="B46" s="141">
        <v>18.34</v>
      </c>
      <c r="C46" s="141">
        <v>17.809756400000001</v>
      </c>
      <c r="D46" s="141">
        <v>17.710004699999999</v>
      </c>
      <c r="E46" s="141">
        <v>19.056037799999999</v>
      </c>
    </row>
    <row r="47" spans="1:6">
      <c r="A47" s="141">
        <v>2026</v>
      </c>
      <c r="B47" s="141">
        <v>18.349452299999999</v>
      </c>
      <c r="C47" s="141">
        <v>17.836322599999999</v>
      </c>
      <c r="D47" s="141">
        <v>17.7486909</v>
      </c>
      <c r="E47" s="141">
        <v>18.992174899999998</v>
      </c>
    </row>
    <row r="48" spans="1:6">
      <c r="A48" s="141">
        <v>2027</v>
      </c>
      <c r="B48" s="141">
        <v>18.390390100000001</v>
      </c>
      <c r="C48" s="141">
        <v>17.873564300000002</v>
      </c>
      <c r="D48" s="141">
        <v>17.819122400000001</v>
      </c>
      <c r="E48" s="141">
        <v>19.042044600000001</v>
      </c>
    </row>
    <row r="49" spans="1:5">
      <c r="A49" s="141">
        <v>2028</v>
      </c>
      <c r="B49" s="141">
        <v>18.484546900000002</v>
      </c>
      <c r="C49" s="141">
        <v>18.0037144</v>
      </c>
      <c r="D49" s="141">
        <v>17.932910799999998</v>
      </c>
      <c r="E49" s="141">
        <v>19.158903200000001</v>
      </c>
    </row>
    <row r="50" spans="1:5">
      <c r="A50" s="141">
        <v>2029</v>
      </c>
      <c r="B50" s="141">
        <v>18.611453900000001</v>
      </c>
      <c r="C50" s="141">
        <v>18.115424900000001</v>
      </c>
      <c r="D50" s="141">
        <v>18.039007699999999</v>
      </c>
      <c r="E50" s="141">
        <v>19.270551600000001</v>
      </c>
    </row>
    <row r="51" spans="1:5">
      <c r="A51" s="141">
        <v>2030</v>
      </c>
      <c r="B51" s="141">
        <v>18.73</v>
      </c>
      <c r="C51" s="141">
        <v>18.192121100000001</v>
      </c>
      <c r="D51" s="141">
        <v>18.104937</v>
      </c>
      <c r="E51" s="141">
        <v>19.36843</v>
      </c>
    </row>
    <row r="52" spans="1:5">
      <c r="A52" s="141">
        <v>2031</v>
      </c>
      <c r="B52" s="141">
        <v>18.816142599999999</v>
      </c>
      <c r="C52" s="141">
        <v>18.265840099999998</v>
      </c>
      <c r="D52" s="141">
        <v>18.189662200000001</v>
      </c>
      <c r="E52" s="141">
        <v>19.4462118</v>
      </c>
    </row>
    <row r="53" spans="1:5">
      <c r="A53" s="141">
        <v>2032</v>
      </c>
      <c r="B53" s="141">
        <v>18.8898306</v>
      </c>
      <c r="C53" s="141">
        <v>18.3131418</v>
      </c>
      <c r="D53" s="141">
        <v>18.235305100000001</v>
      </c>
      <c r="E53" s="141">
        <v>19.500175200000001</v>
      </c>
    </row>
    <row r="54" spans="1:5">
      <c r="A54" s="141">
        <v>2033</v>
      </c>
      <c r="B54" s="141">
        <v>18.963518499999999</v>
      </c>
      <c r="C54" s="141">
        <v>18.417557800000001</v>
      </c>
      <c r="D54" s="141">
        <v>18.314203299999999</v>
      </c>
      <c r="E54" s="141">
        <v>19.610334900000002</v>
      </c>
    </row>
    <row r="55" spans="1:5">
      <c r="A55" s="141">
        <v>2034</v>
      </c>
      <c r="B55" s="141">
        <v>19.07</v>
      </c>
      <c r="C55" s="141">
        <v>18.541700200000001</v>
      </c>
      <c r="D55" s="141">
        <v>18.440684999999998</v>
      </c>
      <c r="E55" s="141">
        <v>19.691391599999999</v>
      </c>
    </row>
    <row r="56" spans="1:5">
      <c r="A56" s="141">
        <v>2035</v>
      </c>
      <c r="B56" s="141">
        <v>18.144763600000001</v>
      </c>
      <c r="C56" s="141">
        <v>17.755036199999999</v>
      </c>
      <c r="D56" s="141">
        <v>17.637866599999999</v>
      </c>
      <c r="E56" s="141">
        <v>18.797311300000001</v>
      </c>
    </row>
    <row r="57" spans="1:5">
      <c r="A57" s="141">
        <v>2036</v>
      </c>
      <c r="B57" s="141">
        <v>18.136576000000002</v>
      </c>
      <c r="C57" s="141">
        <v>17.7538701</v>
      </c>
      <c r="D57" s="141">
        <v>17.603020799999999</v>
      </c>
      <c r="E57" s="141">
        <v>18.7156591</v>
      </c>
    </row>
    <row r="58" spans="1:5">
      <c r="A58" s="141">
        <v>2037</v>
      </c>
      <c r="B58" s="141">
        <v>18.2184515</v>
      </c>
      <c r="C58" s="141">
        <v>17.8441051</v>
      </c>
      <c r="D58" s="141">
        <v>17.686633</v>
      </c>
      <c r="E58" s="141">
        <v>18.806466400000001</v>
      </c>
    </row>
    <row r="59" spans="1:5">
      <c r="A59" s="141">
        <v>2038</v>
      </c>
      <c r="B59" s="141">
        <v>18.341264800000001</v>
      </c>
      <c r="C59" s="141">
        <v>17.892190100000001</v>
      </c>
      <c r="D59" s="141">
        <v>17.779053099999999</v>
      </c>
      <c r="E59" s="141">
        <v>18.887597599999999</v>
      </c>
    </row>
    <row r="60" spans="1:5">
      <c r="A60" s="141">
        <v>2039</v>
      </c>
      <c r="B60" s="141">
        <v>18.41</v>
      </c>
      <c r="C60" s="141">
        <v>18.012008300000002</v>
      </c>
      <c r="D60" s="141">
        <v>17.8626653</v>
      </c>
      <c r="E60" s="141">
        <v>19.024553000000001</v>
      </c>
    </row>
    <row r="61" spans="1:5">
      <c r="A61" s="141">
        <v>2040</v>
      </c>
      <c r="B61" s="141">
        <v>18.5213909</v>
      </c>
      <c r="C61" s="141">
        <v>18.1446395</v>
      </c>
      <c r="D61" s="141">
        <v>18.0104878</v>
      </c>
      <c r="E61" s="141">
        <v>19.1179655</v>
      </c>
    </row>
    <row r="62" spans="1:5">
      <c r="A62" s="141">
        <v>2041</v>
      </c>
      <c r="B62" s="141">
        <v>18.488640700000001</v>
      </c>
      <c r="C62" s="141">
        <v>18.1332266</v>
      </c>
      <c r="D62" s="141">
        <v>18.001561200000001</v>
      </c>
      <c r="E62" s="141">
        <v>19.111564300000001</v>
      </c>
    </row>
    <row r="63" spans="1:5">
      <c r="A63" s="141">
        <v>2042</v>
      </c>
      <c r="B63" s="141">
        <v>18.52</v>
      </c>
      <c r="C63" s="141">
        <v>18.1600222</v>
      </c>
      <c r="D63" s="141">
        <v>18.018228700000002</v>
      </c>
      <c r="E63" s="141">
        <v>19.150839699999999</v>
      </c>
    </row>
    <row r="64" spans="1:5">
      <c r="A64" s="141">
        <v>2043</v>
      </c>
      <c r="B64" s="141">
        <v>18.611453900000001</v>
      </c>
      <c r="C64" s="141">
        <v>18.205053700000001</v>
      </c>
      <c r="D64" s="141">
        <v>18.063037000000001</v>
      </c>
      <c r="E64" s="141">
        <v>19.2232871</v>
      </c>
    </row>
    <row r="65" spans="1:5">
      <c r="A65" s="141">
        <v>2044</v>
      </c>
      <c r="B65" s="141">
        <v>18.480453099999998</v>
      </c>
      <c r="C65" s="141">
        <v>18.326096799999998</v>
      </c>
      <c r="D65" s="141">
        <v>18.183602</v>
      </c>
      <c r="E65" s="141">
        <v>19.278056899999999</v>
      </c>
    </row>
    <row r="66" spans="1:5">
      <c r="A66" s="141">
        <v>2045</v>
      </c>
      <c r="B66" s="141">
        <v>17.989200199999999</v>
      </c>
      <c r="C66" s="141">
        <v>17.6413534</v>
      </c>
      <c r="D66" s="141">
        <v>17.534232899999999</v>
      </c>
      <c r="E66" s="141">
        <v>18.614524200000002</v>
      </c>
    </row>
    <row r="67" spans="1:5">
      <c r="A67" s="141">
        <v>2046</v>
      </c>
      <c r="B67" s="141">
        <v>18.0301379</v>
      </c>
      <c r="C67" s="141">
        <v>17.703864100000001</v>
      </c>
      <c r="D67" s="141">
        <v>17.620016100000001</v>
      </c>
      <c r="E67" s="141">
        <v>18.6148034</v>
      </c>
    </row>
    <row r="68" spans="1:5">
      <c r="A68" s="141">
        <v>2047</v>
      </c>
      <c r="B68" s="141">
        <v>18.095638300000001</v>
      </c>
      <c r="C68" s="141">
        <v>17.7776885</v>
      </c>
      <c r="D68" s="141">
        <v>17.667280600000002</v>
      </c>
      <c r="E68" s="141">
        <v>18.697423199999999</v>
      </c>
    </row>
    <row r="69" spans="1:5">
      <c r="A69" s="141">
        <v>2048</v>
      </c>
      <c r="B69" s="141">
        <v>18.152951099999999</v>
      </c>
      <c r="C69" s="141">
        <v>17.828426499999999</v>
      </c>
      <c r="D69" s="141">
        <v>17.731292400000001</v>
      </c>
      <c r="E69" s="141">
        <v>18.767017299999999</v>
      </c>
    </row>
    <row r="70" spans="1:5">
      <c r="A70" s="141">
        <v>2049</v>
      </c>
      <c r="B70" s="141">
        <v>18.251201699999999</v>
      </c>
      <c r="C70" s="141">
        <v>17.888716599999999</v>
      </c>
      <c r="D70" s="141">
        <v>17.791582500000001</v>
      </c>
      <c r="E70" s="141">
        <v>18.839960999999999</v>
      </c>
    </row>
    <row r="71" spans="1:5">
      <c r="A71" s="141">
        <v>2050</v>
      </c>
      <c r="B71" s="141">
        <v>18.309999999999999</v>
      </c>
      <c r="C71" s="141">
        <v>17.976387200000001</v>
      </c>
      <c r="D71" s="141">
        <v>17.875691</v>
      </c>
      <c r="E71" s="141">
        <v>18.915881899999999</v>
      </c>
    </row>
    <row r="72" spans="1:5">
      <c r="A72" s="141">
        <v>2051</v>
      </c>
      <c r="B72" s="141">
        <v>18.3248897</v>
      </c>
      <c r="C72" s="141">
        <v>17.981384800000001</v>
      </c>
      <c r="D72" s="141">
        <v>17.873457999999999</v>
      </c>
      <c r="E72" s="141">
        <v>18.927418899999999</v>
      </c>
    </row>
    <row r="73" spans="1:5">
      <c r="A73" s="141">
        <v>2052</v>
      </c>
      <c r="B73" s="141">
        <v>18.316702100000001</v>
      </c>
      <c r="C73" s="141">
        <v>18.0030942</v>
      </c>
      <c r="D73" s="141">
        <v>17.909557599999999</v>
      </c>
      <c r="E73" s="141">
        <v>18.9714828</v>
      </c>
    </row>
    <row r="74" spans="1:5">
      <c r="A74" s="141">
        <v>2053</v>
      </c>
      <c r="B74" s="141">
        <v>18.398577599999999</v>
      </c>
      <c r="C74" s="141">
        <v>18.059645</v>
      </c>
      <c r="D74" s="141">
        <v>17.960196400000001</v>
      </c>
      <c r="E74" s="141">
        <v>19.0219478</v>
      </c>
    </row>
    <row r="75" spans="1:5">
      <c r="A75" s="141">
        <v>2054</v>
      </c>
      <c r="B75" s="141">
        <v>18.4231403</v>
      </c>
      <c r="C75" s="141">
        <v>18.1202009</v>
      </c>
      <c r="D75" s="141">
        <v>17.995673199999999</v>
      </c>
      <c r="E75" s="141">
        <v>19.0372065</v>
      </c>
    </row>
    <row r="76" spans="1:5">
      <c r="A76" s="141">
        <v>2055</v>
      </c>
      <c r="B76" s="141">
        <v>17.89</v>
      </c>
      <c r="C76" s="141">
        <v>17.555669399999999</v>
      </c>
      <c r="D76" s="141">
        <v>17.611828599999999</v>
      </c>
      <c r="E76" s="141">
        <v>18.462031100000001</v>
      </c>
    </row>
    <row r="77" spans="1:5">
      <c r="A77" s="141">
        <v>2056</v>
      </c>
      <c r="B77" s="141">
        <v>17.899999999999999</v>
      </c>
      <c r="C77" s="141">
        <v>17.572407999999999</v>
      </c>
      <c r="D77" s="141">
        <v>17.6474458</v>
      </c>
      <c r="E77" s="141">
        <v>18.480453099999998</v>
      </c>
    </row>
    <row r="78" spans="1:5">
      <c r="A78" s="141">
        <v>2057</v>
      </c>
      <c r="B78" s="141">
        <v>17.948262400000001</v>
      </c>
      <c r="C78" s="141">
        <v>17.5950813</v>
      </c>
      <c r="D78" s="141">
        <v>17.673979500000002</v>
      </c>
      <c r="E78" s="141">
        <v>18.532183499999999</v>
      </c>
    </row>
    <row r="79" spans="1:5">
      <c r="A79" s="141">
        <v>2058</v>
      </c>
      <c r="B79" s="141">
        <v>17.97</v>
      </c>
      <c r="C79" s="141">
        <v>17.644808300000001</v>
      </c>
      <c r="D79" s="141">
        <v>17.721740199999999</v>
      </c>
      <c r="E79" s="141">
        <v>18.589124200000001</v>
      </c>
    </row>
    <row r="80" spans="1:5">
      <c r="A80" s="141">
        <v>2059</v>
      </c>
      <c r="B80" s="141">
        <v>18.05</v>
      </c>
      <c r="C80" s="141">
        <v>17.7130151</v>
      </c>
      <c r="D80" s="141">
        <v>17.7737187</v>
      </c>
      <c r="E80" s="141">
        <v>18.660331100000001</v>
      </c>
    </row>
    <row r="81" spans="1:7">
      <c r="A81" s="141">
        <v>2060</v>
      </c>
      <c r="B81" s="141">
        <v>18.046513000000001</v>
      </c>
      <c r="C81" s="141">
        <v>17.700403000000001</v>
      </c>
      <c r="D81" s="141">
        <v>17.763670399999999</v>
      </c>
      <c r="E81" s="141">
        <v>18.645320600000002</v>
      </c>
    </row>
    <row r="82" spans="1:7">
      <c r="A82" s="141">
        <v>2061</v>
      </c>
      <c r="B82" s="141">
        <v>18.062888099999999</v>
      </c>
      <c r="C82" s="141">
        <v>17.714545099999999</v>
      </c>
      <c r="D82" s="141">
        <v>17.7599488</v>
      </c>
      <c r="E82" s="141">
        <v>18.670999699999999</v>
      </c>
    </row>
    <row r="83" spans="1:7">
      <c r="A83" s="141">
        <v>2062</v>
      </c>
      <c r="B83" s="141">
        <v>18.013762799999999</v>
      </c>
      <c r="C83" s="141">
        <v>17.691843299999999</v>
      </c>
      <c r="D83" s="141">
        <v>17.739479899999999</v>
      </c>
      <c r="E83" s="141">
        <v>18.659462699999999</v>
      </c>
    </row>
    <row r="84" spans="1:7">
      <c r="A84" s="141">
        <v>2063</v>
      </c>
      <c r="B84" s="141">
        <v>18.046513000000001</v>
      </c>
      <c r="C84" s="141">
        <v>17.7082184</v>
      </c>
      <c r="D84" s="141">
        <v>17.7599488</v>
      </c>
      <c r="E84" s="141">
        <v>18.688491299999999</v>
      </c>
    </row>
    <row r="85" spans="1:7">
      <c r="A85" s="141">
        <v>2064</v>
      </c>
      <c r="B85" s="141">
        <v>18.095638300000001</v>
      </c>
      <c r="C85" s="141">
        <v>17.722360500000001</v>
      </c>
      <c r="D85" s="141">
        <v>17.775914499999999</v>
      </c>
      <c r="E85" s="141">
        <v>18.699470099999999</v>
      </c>
    </row>
    <row r="86" spans="1:7">
      <c r="A86" s="141">
        <v>2065</v>
      </c>
      <c r="B86" s="141">
        <v>17.510000000000002</v>
      </c>
      <c r="C86" s="141">
        <v>17.3137273</v>
      </c>
      <c r="D86" s="141">
        <v>17.512173099999998</v>
      </c>
      <c r="E86" s="141">
        <v>18.1195807</v>
      </c>
    </row>
    <row r="87" spans="1:7">
      <c r="A87" s="141">
        <v>2066</v>
      </c>
      <c r="B87" s="141">
        <v>17.52</v>
      </c>
      <c r="C87" s="141">
        <v>17.316286000000002</v>
      </c>
      <c r="D87" s="141">
        <v>17.5035296</v>
      </c>
      <c r="E87" s="141">
        <v>18.1153628</v>
      </c>
    </row>
    <row r="88" spans="1:7">
      <c r="A88" s="141">
        <v>2067</v>
      </c>
      <c r="B88" s="141">
        <v>17.52</v>
      </c>
      <c r="C88" s="141">
        <v>17.3308468</v>
      </c>
      <c r="D88" s="141">
        <v>17.5076234</v>
      </c>
      <c r="E88" s="141">
        <v>18.1283885</v>
      </c>
    </row>
    <row r="89" spans="1:7">
      <c r="A89" s="141">
        <v>2068</v>
      </c>
      <c r="B89" s="141">
        <v>17.53</v>
      </c>
      <c r="C89" s="141">
        <v>17.350385200000002</v>
      </c>
      <c r="D89" s="141">
        <v>17.501668800000001</v>
      </c>
      <c r="E89" s="141">
        <v>18.1466244</v>
      </c>
    </row>
    <row r="90" spans="1:7">
      <c r="A90" s="141">
        <v>2069</v>
      </c>
      <c r="B90" s="141">
        <v>17.54</v>
      </c>
      <c r="C90" s="141">
        <v>17.3509435</v>
      </c>
      <c r="D90" s="141">
        <v>17.537396300000001</v>
      </c>
      <c r="E90" s="141">
        <v>18.187562100000001</v>
      </c>
    </row>
    <row r="91" spans="1:7">
      <c r="A91" s="141">
        <v>2070</v>
      </c>
      <c r="B91" s="141">
        <v>17.61</v>
      </c>
      <c r="C91" s="141">
        <v>17.404609099999998</v>
      </c>
      <c r="D91" s="141">
        <v>17.5787993</v>
      </c>
      <c r="E91" s="141">
        <v>18.2136134</v>
      </c>
    </row>
    <row r="92" spans="1:7">
      <c r="A92" s="141"/>
      <c r="B92" s="141" t="s">
        <v>2593</v>
      </c>
      <c r="C92" s="141" t="s">
        <v>2594</v>
      </c>
      <c r="D92" s="141" t="s">
        <v>2595</v>
      </c>
      <c r="E92" s="141" t="s">
        <v>2596</v>
      </c>
      <c r="F92" s="141" t="s">
        <v>2598</v>
      </c>
      <c r="G92" t="s">
        <v>2599</v>
      </c>
    </row>
    <row r="93" spans="1:7">
      <c r="A93" s="141" t="s">
        <v>2600</v>
      </c>
      <c r="B93" s="141">
        <v>1007.15629</v>
      </c>
      <c r="C93" s="141">
        <v>1005.5734200000001</v>
      </c>
      <c r="D93" s="141">
        <v>1004.24321</v>
      </c>
      <c r="E93" s="141">
        <v>1057.8496500000001</v>
      </c>
      <c r="F93">
        <f>B93+4.2/tC_to_m3*55</f>
        <v>1060.3555900000001</v>
      </c>
      <c r="G93">
        <f>E93+4.2/tC_to_m3*55</f>
        <v>1111.0489500000001</v>
      </c>
    </row>
    <row r="96" spans="1:7">
      <c r="A96" t="s">
        <v>2601</v>
      </c>
    </row>
    <row r="97" spans="1:8">
      <c r="B97" s="141" t="s">
        <v>1090</v>
      </c>
      <c r="D97" s="141"/>
      <c r="F97" s="141"/>
      <c r="H97" s="141"/>
    </row>
    <row r="98" spans="1:8">
      <c r="A98" s="141" t="s">
        <v>2602</v>
      </c>
      <c r="B98" s="141" t="s">
        <v>2040</v>
      </c>
      <c r="C98" s="141" t="s">
        <v>1499</v>
      </c>
      <c r="D98" s="141" t="s">
        <v>2603</v>
      </c>
      <c r="E98" s="141" t="s">
        <v>2604</v>
      </c>
      <c r="G98" s="141"/>
    </row>
    <row r="99" spans="1:8">
      <c r="A99" s="141">
        <v>2015</v>
      </c>
      <c r="B99" s="141">
        <v>8.1847507299999993</v>
      </c>
      <c r="C99" s="141">
        <v>8.1964809400000007</v>
      </c>
      <c r="D99" s="141">
        <v>8.1906158399999995</v>
      </c>
      <c r="E99" s="141">
        <v>8.1906158399999995</v>
      </c>
      <c r="G99" s="141"/>
    </row>
    <row r="100" spans="1:8">
      <c r="A100" s="141">
        <v>2016</v>
      </c>
      <c r="B100" s="141">
        <v>8.2551319599999999</v>
      </c>
      <c r="C100" s="141">
        <v>8.2492668600000005</v>
      </c>
      <c r="D100" s="141">
        <v>8.2609970700000002</v>
      </c>
      <c r="E100" s="141">
        <v>8.2492668600000005</v>
      </c>
      <c r="G100" s="141"/>
    </row>
    <row r="101" spans="1:8">
      <c r="A101" s="141">
        <v>2017</v>
      </c>
      <c r="B101" s="141">
        <v>8.2727272700000007</v>
      </c>
      <c r="C101" s="141">
        <v>8.2668621699999996</v>
      </c>
      <c r="D101" s="141">
        <v>8.2727272700000007</v>
      </c>
      <c r="E101" s="141">
        <v>8.2727272700000007</v>
      </c>
      <c r="G101" s="141"/>
    </row>
    <row r="102" spans="1:8">
      <c r="A102" s="141">
        <v>2018</v>
      </c>
      <c r="B102" s="141">
        <v>8.3665689099999998</v>
      </c>
      <c r="C102" s="141">
        <v>8.3841642200000006</v>
      </c>
      <c r="D102" s="141">
        <v>8.3841642200000006</v>
      </c>
      <c r="E102" s="141">
        <v>8.3665689099999998</v>
      </c>
      <c r="G102" s="141"/>
    </row>
    <row r="103" spans="1:8">
      <c r="A103" s="141">
        <v>2019</v>
      </c>
      <c r="B103" s="141">
        <v>8.4134897399999993</v>
      </c>
      <c r="C103" s="141">
        <v>8.4252199399999999</v>
      </c>
      <c r="D103" s="141">
        <v>8.4134897399999993</v>
      </c>
      <c r="E103" s="141">
        <v>8.4252199399999999</v>
      </c>
      <c r="G103" s="141"/>
    </row>
    <row r="104" spans="1:8">
      <c r="A104" s="141">
        <v>2020</v>
      </c>
      <c r="B104" s="141">
        <v>7.7448680400000001</v>
      </c>
      <c r="C104" s="141">
        <v>8.4545454499999995</v>
      </c>
      <c r="D104" s="141">
        <v>7.7214076199999999</v>
      </c>
      <c r="E104" s="141">
        <v>9.1114369499999999</v>
      </c>
      <c r="G104" s="141"/>
    </row>
    <row r="105" spans="1:8">
      <c r="A105" s="141">
        <v>2021</v>
      </c>
      <c r="B105" s="141">
        <v>7.8211143700000001</v>
      </c>
      <c r="C105" s="141">
        <v>8.5190615800000007</v>
      </c>
      <c r="D105" s="141">
        <v>7.7683284500000003</v>
      </c>
      <c r="E105" s="141">
        <v>9.1642228699999997</v>
      </c>
      <c r="G105" s="141"/>
    </row>
    <row r="106" spans="1:8">
      <c r="A106" s="141">
        <v>2022</v>
      </c>
      <c r="B106" s="141">
        <v>7.8856305000000004</v>
      </c>
      <c r="C106" s="141">
        <v>8.6011730199999992</v>
      </c>
      <c r="D106" s="141">
        <v>7.8621700900000002</v>
      </c>
      <c r="E106" s="141">
        <v>9.2463343099999999</v>
      </c>
      <c r="G106" s="141"/>
    </row>
    <row r="107" spans="1:8">
      <c r="A107" s="141">
        <v>2023</v>
      </c>
      <c r="B107" s="141">
        <v>7.8856305000000004</v>
      </c>
      <c r="C107" s="141">
        <v>8.6422287400000002</v>
      </c>
      <c r="D107" s="141">
        <v>7.8797654000000001</v>
      </c>
      <c r="E107" s="141">
        <v>9.2991202299999998</v>
      </c>
      <c r="G107" s="141"/>
    </row>
    <row r="108" spans="1:8">
      <c r="A108" s="141">
        <v>2024</v>
      </c>
      <c r="B108" s="141">
        <v>7.9560117300000002</v>
      </c>
      <c r="C108" s="141">
        <v>8.6715542499999998</v>
      </c>
      <c r="D108" s="141">
        <v>7.93255132</v>
      </c>
      <c r="E108" s="141">
        <v>9.3343108499999996</v>
      </c>
      <c r="G108" s="141"/>
    </row>
    <row r="109" spans="1:8">
      <c r="A109" s="141">
        <v>2025</v>
      </c>
      <c r="B109" s="141">
        <v>7.228739</v>
      </c>
      <c r="C109" s="141">
        <v>7.91495601</v>
      </c>
      <c r="D109" s="141">
        <v>7.3460410600000001</v>
      </c>
      <c r="E109" s="141">
        <v>8.4956011700000005</v>
      </c>
      <c r="G109" s="141"/>
    </row>
    <row r="110" spans="1:8">
      <c r="A110" s="141">
        <v>2026</v>
      </c>
      <c r="B110" s="141">
        <v>7.2932551300000004</v>
      </c>
      <c r="C110" s="141">
        <v>7.9736070400000001</v>
      </c>
      <c r="D110" s="141">
        <v>7.3988269799999999</v>
      </c>
      <c r="E110" s="141">
        <v>8.5777126100000007</v>
      </c>
      <c r="G110" s="141"/>
    </row>
    <row r="111" spans="1:8">
      <c r="A111" s="141">
        <v>2027</v>
      </c>
      <c r="B111" s="141">
        <v>7.3695014700000003</v>
      </c>
      <c r="C111" s="141">
        <v>8.0439882699999998</v>
      </c>
      <c r="D111" s="141">
        <v>7.4868035199999996</v>
      </c>
      <c r="E111" s="141">
        <v>8.6539589400000008</v>
      </c>
      <c r="G111" s="141"/>
    </row>
    <row r="112" spans="1:8">
      <c r="A112" s="141">
        <v>2028</v>
      </c>
      <c r="B112" s="141">
        <v>7.4340175999999998</v>
      </c>
      <c r="C112" s="141">
        <v>8.1026392999999999</v>
      </c>
      <c r="D112" s="141">
        <v>7.5630498499999996</v>
      </c>
      <c r="E112" s="141">
        <v>8.7302052799999998</v>
      </c>
      <c r="G112" s="141"/>
    </row>
    <row r="113" spans="1:7">
      <c r="A113" s="141">
        <v>2029</v>
      </c>
      <c r="B113" s="141">
        <v>7.5043988300000004</v>
      </c>
      <c r="C113" s="141">
        <v>8.1964809400000007</v>
      </c>
      <c r="D113" s="141">
        <v>7.6334310900000002</v>
      </c>
      <c r="E113" s="141">
        <v>8.8123167200000001</v>
      </c>
      <c r="G113" s="141"/>
    </row>
    <row r="114" spans="1:7">
      <c r="A114" s="141">
        <v>2030</v>
      </c>
      <c r="B114" s="141">
        <v>7.5454545499999996</v>
      </c>
      <c r="C114" s="141">
        <v>8.23753666</v>
      </c>
      <c r="D114" s="141">
        <v>7.6803519099999997</v>
      </c>
      <c r="E114" s="141">
        <v>8.8709677399999993</v>
      </c>
      <c r="G114" s="141"/>
    </row>
    <row r="115" spans="1:7">
      <c r="A115" s="141">
        <v>2031</v>
      </c>
      <c r="B115" s="141">
        <v>7.6803519099999997</v>
      </c>
      <c r="C115" s="141">
        <v>8.3607038100000004</v>
      </c>
      <c r="D115" s="141">
        <v>7.8093841599999996</v>
      </c>
      <c r="E115" s="141">
        <v>9.0058650999999994</v>
      </c>
      <c r="G115" s="141"/>
    </row>
    <row r="116" spans="1:7">
      <c r="A116" s="141">
        <v>2032</v>
      </c>
      <c r="B116" s="141">
        <v>7.7448680400000001</v>
      </c>
      <c r="C116" s="141">
        <v>8.4428152500000007</v>
      </c>
      <c r="D116" s="141">
        <v>7.8797654000000001</v>
      </c>
      <c r="E116" s="141">
        <v>9.07624633</v>
      </c>
      <c r="G116" s="141"/>
    </row>
    <row r="117" spans="1:7">
      <c r="A117" s="141">
        <v>2033</v>
      </c>
      <c r="B117" s="141">
        <v>7.8093841599999996</v>
      </c>
      <c r="C117" s="141">
        <v>8.5425219899999991</v>
      </c>
      <c r="D117" s="141">
        <v>7.9618768299999996</v>
      </c>
      <c r="E117" s="141">
        <v>9.1818181800000005</v>
      </c>
      <c r="G117" s="141"/>
    </row>
    <row r="118" spans="1:7">
      <c r="A118" s="141">
        <v>2034</v>
      </c>
      <c r="B118" s="141">
        <v>7.9090909099999998</v>
      </c>
      <c r="C118" s="141">
        <v>8.6480938399999996</v>
      </c>
      <c r="D118" s="141">
        <v>8.0557184799999995</v>
      </c>
      <c r="E118" s="141">
        <v>9.2815249299999998</v>
      </c>
      <c r="G118" s="141"/>
    </row>
    <row r="119" spans="1:7">
      <c r="A119" s="141">
        <v>2035</v>
      </c>
      <c r="B119" s="141">
        <v>7.0527859199999998</v>
      </c>
      <c r="C119" s="141">
        <v>7.7096774200000002</v>
      </c>
      <c r="D119" s="141">
        <v>7.2639296199999999</v>
      </c>
      <c r="E119" s="141">
        <v>8.2903225799999998</v>
      </c>
      <c r="G119" s="141"/>
    </row>
    <row r="120" spans="1:7">
      <c r="A120" s="141">
        <v>2036</v>
      </c>
      <c r="B120" s="141">
        <v>7.0527859199999998</v>
      </c>
      <c r="C120" s="141">
        <v>7.7155425199999996</v>
      </c>
      <c r="D120" s="141">
        <v>7.2991202299999998</v>
      </c>
      <c r="E120" s="141">
        <v>8.2961876799999992</v>
      </c>
      <c r="G120" s="141"/>
    </row>
    <row r="121" spans="1:7">
      <c r="A121" s="141">
        <v>2037</v>
      </c>
      <c r="B121" s="141">
        <v>7.1759530800000002</v>
      </c>
      <c r="C121" s="141">
        <v>7.83870968</v>
      </c>
      <c r="D121" s="141">
        <v>7.4281524900000004</v>
      </c>
      <c r="E121" s="141">
        <v>8.4193548400000005</v>
      </c>
      <c r="G121" s="141"/>
    </row>
    <row r="122" spans="1:7">
      <c r="A122" s="141">
        <v>2038</v>
      </c>
      <c r="B122" s="141">
        <v>7.1642228699999997</v>
      </c>
      <c r="C122" s="141">
        <v>7.8739002899999999</v>
      </c>
      <c r="D122" s="141">
        <v>7.4340175999999998</v>
      </c>
      <c r="E122" s="141">
        <v>8.4486803500000001</v>
      </c>
      <c r="G122" s="141"/>
    </row>
    <row r="123" spans="1:7">
      <c r="A123" s="141">
        <v>2039</v>
      </c>
      <c r="B123" s="141">
        <v>7.2991202299999998</v>
      </c>
      <c r="C123" s="141">
        <v>7.9794721400000004</v>
      </c>
      <c r="D123" s="141">
        <v>7.5571847500000002</v>
      </c>
      <c r="E123" s="141">
        <v>8.5777126100000007</v>
      </c>
      <c r="G123" s="141"/>
    </row>
    <row r="124" spans="1:7">
      <c r="A124" s="141">
        <v>2040</v>
      </c>
      <c r="B124" s="141">
        <v>7.38123167</v>
      </c>
      <c r="C124" s="141">
        <v>8.0615835800000006</v>
      </c>
      <c r="D124" s="141">
        <v>7.6510263900000002</v>
      </c>
      <c r="E124" s="141">
        <v>8.6891495600000006</v>
      </c>
      <c r="G124" s="141"/>
    </row>
    <row r="125" spans="1:7">
      <c r="A125" s="141">
        <v>2041</v>
      </c>
      <c r="B125" s="141">
        <v>7.4398827000000001</v>
      </c>
      <c r="C125" s="141">
        <v>8.1085043999999993</v>
      </c>
      <c r="D125" s="141">
        <v>7.7038123199999999</v>
      </c>
      <c r="E125" s="141">
        <v>8.7302052799999998</v>
      </c>
      <c r="G125" s="141"/>
    </row>
    <row r="126" spans="1:7">
      <c r="A126" s="141">
        <v>2042</v>
      </c>
      <c r="B126" s="141">
        <v>7.4985337200000002</v>
      </c>
      <c r="C126" s="141">
        <v>8.2140762499999997</v>
      </c>
      <c r="D126" s="141">
        <v>7.7976539599999999</v>
      </c>
      <c r="E126" s="141">
        <v>8.8416422299999997</v>
      </c>
      <c r="G126" s="141"/>
    </row>
    <row r="127" spans="1:7">
      <c r="A127" s="141">
        <v>2043</v>
      </c>
      <c r="B127" s="141">
        <v>7.6041055699999998</v>
      </c>
      <c r="C127" s="141">
        <v>8.31378299</v>
      </c>
      <c r="D127" s="141">
        <v>7.8739002899999999</v>
      </c>
      <c r="E127" s="141">
        <v>8.9472140800000002</v>
      </c>
      <c r="G127" s="141"/>
    </row>
    <row r="128" spans="1:7">
      <c r="A128" s="141">
        <v>2044</v>
      </c>
      <c r="B128" s="141">
        <v>7.6392961899999996</v>
      </c>
      <c r="C128" s="141">
        <v>8.3607038100000004</v>
      </c>
      <c r="D128" s="141">
        <v>7.9090909099999998</v>
      </c>
      <c r="E128" s="141">
        <v>8.9882697900000004</v>
      </c>
      <c r="G128" s="141"/>
    </row>
    <row r="129" spans="1:7">
      <c r="A129" s="141">
        <v>2045</v>
      </c>
      <c r="B129" s="141">
        <v>6.9296187700000003</v>
      </c>
      <c r="C129" s="141">
        <v>7.60997067</v>
      </c>
      <c r="D129" s="141">
        <v>7.1935483900000001</v>
      </c>
      <c r="E129" s="141">
        <v>8.1847507299999993</v>
      </c>
      <c r="G129" s="141"/>
    </row>
    <row r="130" spans="1:7">
      <c r="A130" s="141">
        <v>2046</v>
      </c>
      <c r="B130" s="141">
        <v>7.0293255099999996</v>
      </c>
      <c r="C130" s="141">
        <v>7.6334310900000002</v>
      </c>
      <c r="D130" s="141">
        <v>7.2521994100000002</v>
      </c>
      <c r="E130" s="141">
        <v>8.2258064500000003</v>
      </c>
      <c r="G130" s="141"/>
    </row>
    <row r="131" spans="1:7">
      <c r="A131" s="141">
        <v>2047</v>
      </c>
      <c r="B131" s="141">
        <v>7.1231671600000004</v>
      </c>
      <c r="C131" s="141">
        <v>7.7683284500000003</v>
      </c>
      <c r="D131" s="141">
        <v>7.3519061600000004</v>
      </c>
      <c r="E131" s="141">
        <v>8.3782991199999994</v>
      </c>
      <c r="G131" s="141"/>
    </row>
    <row r="132" spans="1:7">
      <c r="A132" s="141">
        <v>2048</v>
      </c>
      <c r="B132" s="141">
        <v>7.1642228699999997</v>
      </c>
      <c r="C132" s="141">
        <v>7.8211143700000001</v>
      </c>
      <c r="D132" s="141">
        <v>7.4281524900000004</v>
      </c>
      <c r="E132" s="141">
        <v>8.4252199399999999</v>
      </c>
      <c r="G132" s="141"/>
    </row>
    <row r="133" spans="1:7">
      <c r="A133" s="141">
        <v>2049</v>
      </c>
      <c r="B133" s="141">
        <v>7.228739</v>
      </c>
      <c r="C133" s="141">
        <v>7.8914955999999998</v>
      </c>
      <c r="D133" s="141">
        <v>7.4926686199999999</v>
      </c>
      <c r="E133" s="141">
        <v>8.4956011700000005</v>
      </c>
      <c r="G133" s="141"/>
    </row>
    <row r="134" spans="1:7">
      <c r="A134" s="141">
        <v>2050</v>
      </c>
      <c r="B134" s="141">
        <v>7.2932551300000004</v>
      </c>
      <c r="C134" s="141">
        <v>7.9677419399999998</v>
      </c>
      <c r="D134" s="141">
        <v>7.5689149599999999</v>
      </c>
      <c r="E134" s="141">
        <v>8.5835777100000001</v>
      </c>
      <c r="G134" s="141"/>
    </row>
    <row r="135" spans="1:7">
      <c r="A135" s="141">
        <v>2051</v>
      </c>
      <c r="B135" s="141">
        <v>7.3460410600000001</v>
      </c>
      <c r="C135" s="141">
        <v>8.0263929600000008</v>
      </c>
      <c r="D135" s="141">
        <v>7.6334310900000002</v>
      </c>
      <c r="E135" s="141">
        <v>8.6539589400000008</v>
      </c>
      <c r="G135" s="141"/>
    </row>
    <row r="136" spans="1:7">
      <c r="A136" s="141">
        <v>2052</v>
      </c>
      <c r="B136" s="141">
        <v>7.4516128999999998</v>
      </c>
      <c r="C136" s="141">
        <v>8.1378299100000007</v>
      </c>
      <c r="D136" s="141">
        <v>7.7331378300000004</v>
      </c>
      <c r="E136" s="141">
        <v>8.7771261000000003</v>
      </c>
      <c r="G136" s="141"/>
    </row>
    <row r="137" spans="1:7">
      <c r="A137" s="141">
        <v>2053</v>
      </c>
      <c r="B137" s="141">
        <v>7.5395894400000003</v>
      </c>
      <c r="C137" s="141">
        <v>8.2140762499999997</v>
      </c>
      <c r="D137" s="141">
        <v>7.8211143700000001</v>
      </c>
      <c r="E137" s="141">
        <v>8.8592375400000005</v>
      </c>
      <c r="G137" s="141"/>
    </row>
    <row r="138" spans="1:7">
      <c r="A138" s="141">
        <v>2054</v>
      </c>
      <c r="B138" s="141">
        <v>7.6158357800000003</v>
      </c>
      <c r="C138" s="141">
        <v>8.2961876799999992</v>
      </c>
      <c r="D138" s="141">
        <v>7.9032258100000004</v>
      </c>
      <c r="E138" s="141">
        <v>8.9354838700000006</v>
      </c>
      <c r="G138" s="141"/>
    </row>
    <row r="139" spans="1:7">
      <c r="A139" s="141">
        <v>2055</v>
      </c>
      <c r="B139" s="141">
        <v>7.2170088000000003</v>
      </c>
      <c r="C139" s="141">
        <v>7.7390029299999998</v>
      </c>
      <c r="D139" s="141">
        <v>7.3695014700000003</v>
      </c>
      <c r="E139" s="141">
        <v>8.3489736099999998</v>
      </c>
      <c r="G139" s="141"/>
    </row>
    <row r="140" spans="1:7">
      <c r="A140" s="141">
        <v>2056</v>
      </c>
      <c r="B140" s="141">
        <v>7.3108504400000003</v>
      </c>
      <c r="C140" s="141">
        <v>7.8211143700000001</v>
      </c>
      <c r="D140" s="141">
        <v>7.4340175999999998</v>
      </c>
      <c r="E140" s="141">
        <v>8.4076246300000008</v>
      </c>
      <c r="G140" s="141"/>
    </row>
    <row r="141" spans="1:7">
      <c r="A141" s="141">
        <v>2057</v>
      </c>
      <c r="B141" s="141">
        <v>7.3988269799999999</v>
      </c>
      <c r="C141" s="141">
        <v>7.91495601</v>
      </c>
      <c r="D141" s="141">
        <v>7.5161290300000001</v>
      </c>
      <c r="E141" s="141">
        <v>8.5249266899999991</v>
      </c>
      <c r="G141" s="141"/>
    </row>
    <row r="142" spans="1:7">
      <c r="A142" s="141">
        <v>2058</v>
      </c>
      <c r="B142" s="141">
        <v>7.4457478000000004</v>
      </c>
      <c r="C142" s="141">
        <v>7.9794721400000004</v>
      </c>
      <c r="D142" s="141">
        <v>7.5806451600000004</v>
      </c>
      <c r="E142" s="141">
        <v>8.5835777100000001</v>
      </c>
      <c r="G142" s="141"/>
    </row>
    <row r="143" spans="1:7">
      <c r="A143" s="141">
        <v>2059</v>
      </c>
      <c r="B143" s="141">
        <v>7.5571847500000002</v>
      </c>
      <c r="C143" s="141">
        <v>8.0967741899999996</v>
      </c>
      <c r="D143" s="141">
        <v>7.6744868000000004</v>
      </c>
      <c r="E143" s="141">
        <v>8.7126099700000008</v>
      </c>
      <c r="G143" s="141"/>
    </row>
    <row r="144" spans="1:7">
      <c r="A144" s="141">
        <v>2060</v>
      </c>
      <c r="B144" s="141">
        <v>7.5513196499999999</v>
      </c>
      <c r="C144" s="141">
        <v>8.0967741899999996</v>
      </c>
      <c r="D144" s="141">
        <v>7.6979472099999997</v>
      </c>
      <c r="E144" s="141">
        <v>8.7184750700000002</v>
      </c>
      <c r="G144" s="141"/>
    </row>
    <row r="145" spans="1:7">
      <c r="A145" s="141">
        <v>2061</v>
      </c>
      <c r="B145" s="141">
        <v>7.6451612899999999</v>
      </c>
      <c r="C145" s="141">
        <v>8.2258064500000003</v>
      </c>
      <c r="D145" s="141">
        <v>7.8269794700000004</v>
      </c>
      <c r="E145" s="141">
        <v>8.8533724300000003</v>
      </c>
      <c r="G145" s="141"/>
    </row>
    <row r="146" spans="1:7">
      <c r="A146" s="141">
        <v>2062</v>
      </c>
      <c r="B146" s="141">
        <v>7.7096774200000002</v>
      </c>
      <c r="C146" s="141">
        <v>8.2961876799999992</v>
      </c>
      <c r="D146" s="141">
        <v>7.8973607000000001</v>
      </c>
      <c r="E146" s="141">
        <v>8.9296187699999994</v>
      </c>
      <c r="G146" s="141"/>
    </row>
    <row r="147" spans="1:7">
      <c r="A147" s="141">
        <v>2063</v>
      </c>
      <c r="B147" s="141">
        <v>7.8211143700000001</v>
      </c>
      <c r="C147" s="141">
        <v>8.3782991199999994</v>
      </c>
      <c r="D147" s="141">
        <v>7.9736070400000001</v>
      </c>
      <c r="E147" s="141">
        <v>9.0117302099999996</v>
      </c>
      <c r="G147" s="141"/>
    </row>
    <row r="148" spans="1:7">
      <c r="A148" s="141">
        <v>2064</v>
      </c>
      <c r="B148" s="141">
        <v>7.8797654000000001</v>
      </c>
      <c r="C148" s="141">
        <v>8.4662756600000009</v>
      </c>
      <c r="D148" s="141">
        <v>8.0439882699999998</v>
      </c>
      <c r="E148" s="141">
        <v>9.1055718500000005</v>
      </c>
      <c r="G148" s="141"/>
    </row>
    <row r="149" spans="1:7">
      <c r="A149" s="141">
        <v>2065</v>
      </c>
      <c r="B149" s="141">
        <v>7.6920821100000003</v>
      </c>
      <c r="C149" s="141">
        <v>7.9501466299999999</v>
      </c>
      <c r="D149" s="141">
        <v>7.6979472099999997</v>
      </c>
      <c r="E149" s="141">
        <v>8.5483870999999994</v>
      </c>
      <c r="G149" s="141"/>
    </row>
    <row r="150" spans="1:7">
      <c r="A150" s="141">
        <v>2066</v>
      </c>
      <c r="B150" s="141">
        <v>7.7976539599999999</v>
      </c>
      <c r="C150" s="141">
        <v>8.0733137799999994</v>
      </c>
      <c r="D150" s="141">
        <v>7.8269794700000004</v>
      </c>
      <c r="E150" s="141">
        <v>8.6656891500000004</v>
      </c>
      <c r="G150" s="141"/>
    </row>
    <row r="151" spans="1:7">
      <c r="A151" s="141">
        <v>2067</v>
      </c>
      <c r="B151" s="141">
        <v>7.8797654000000001</v>
      </c>
      <c r="C151" s="141">
        <v>8.1671554299999993</v>
      </c>
      <c r="D151" s="141">
        <v>7.9501466299999999</v>
      </c>
      <c r="E151" s="141">
        <v>8.7888563000000008</v>
      </c>
      <c r="G151" s="141"/>
    </row>
    <row r="152" spans="1:7">
      <c r="A152" s="141">
        <v>2068</v>
      </c>
      <c r="B152" s="141">
        <v>7.9384164200000003</v>
      </c>
      <c r="C152" s="141">
        <v>8.2551319599999999</v>
      </c>
      <c r="D152" s="141">
        <v>8.0322580600000002</v>
      </c>
      <c r="E152" s="141">
        <v>8.8475073299999991</v>
      </c>
      <c r="G152" s="141"/>
    </row>
    <row r="153" spans="1:7">
      <c r="A153" s="141">
        <v>2069</v>
      </c>
      <c r="B153" s="141">
        <v>8.0439882699999998</v>
      </c>
      <c r="C153" s="141">
        <v>8.3489736099999998</v>
      </c>
      <c r="D153" s="141">
        <v>8.0909090900000002</v>
      </c>
      <c r="E153" s="141">
        <v>8.9648093800000002</v>
      </c>
      <c r="G153" s="141"/>
    </row>
    <row r="154" spans="1:7">
      <c r="A154" s="141">
        <v>2070</v>
      </c>
      <c r="B154" s="141">
        <v>8.1671554299999993</v>
      </c>
      <c r="C154" s="141">
        <v>8.4604105599999997</v>
      </c>
      <c r="D154" s="141">
        <v>8.2258064500000003</v>
      </c>
      <c r="E154" s="141">
        <v>9.07624633</v>
      </c>
      <c r="G154" s="141"/>
    </row>
    <row r="155" spans="1:7">
      <c r="A155" s="141"/>
      <c r="B155" s="141" t="s">
        <v>2593</v>
      </c>
      <c r="C155" s="141" t="s">
        <v>2594</v>
      </c>
      <c r="D155" s="141" t="s">
        <v>2595</v>
      </c>
      <c r="E155" s="141" t="s">
        <v>2596</v>
      </c>
      <c r="F155" s="141" t="s">
        <v>2598</v>
      </c>
      <c r="G155" t="s">
        <v>2599</v>
      </c>
    </row>
    <row r="156" spans="1:7">
      <c r="A156" s="141" t="s">
        <v>2600</v>
      </c>
      <c r="B156" s="141">
        <f>SUM(B99:B154)</f>
        <v>425.39002932999989</v>
      </c>
      <c r="C156" s="141">
        <f t="shared" ref="C156:E156" si="0">SUM(C99:C154)</f>
        <v>456.68621698999988</v>
      </c>
      <c r="D156" s="141">
        <f t="shared" si="0"/>
        <v>433.63636364999991</v>
      </c>
      <c r="E156" s="141">
        <f t="shared" si="0"/>
        <v>488.18181812999984</v>
      </c>
      <c r="F156">
        <f>B156+4.2/tC_to_m3*55</f>
        <v>478.58932932999988</v>
      </c>
      <c r="G156">
        <f>E156+4.2/tC_to_m3*55</f>
        <v>541.38111812999989</v>
      </c>
    </row>
    <row r="158" spans="1:7">
      <c r="A158" t="s">
        <v>2605</v>
      </c>
      <c r="B158" s="353" t="s">
        <v>429</v>
      </c>
      <c r="C158" s="353"/>
      <c r="E158" s="353" t="s">
        <v>1460</v>
      </c>
      <c r="F158" s="353"/>
    </row>
    <row r="159" spans="1:7">
      <c r="B159" t="s">
        <v>2606</v>
      </c>
      <c r="C159" t="s">
        <v>2607</v>
      </c>
      <c r="D159" t="s">
        <v>2608</v>
      </c>
      <c r="E159" t="s">
        <v>2609</v>
      </c>
      <c r="F159" t="s">
        <v>2610</v>
      </c>
      <c r="G159" t="s">
        <v>2611</v>
      </c>
    </row>
    <row r="160" spans="1:7">
      <c r="D160" t="s">
        <v>442</v>
      </c>
      <c r="E160" t="s">
        <v>498</v>
      </c>
      <c r="F160" t="s">
        <v>498</v>
      </c>
      <c r="G160" t="s">
        <v>498</v>
      </c>
    </row>
    <row r="161" spans="1:7">
      <c r="A161" t="s">
        <v>2612</v>
      </c>
      <c r="B161">
        <v>66.7</v>
      </c>
      <c r="C161">
        <v>141.19999999999999</v>
      </c>
      <c r="D161">
        <v>0</v>
      </c>
      <c r="E161">
        <v>636.6</v>
      </c>
      <c r="F161">
        <v>0</v>
      </c>
      <c r="G161">
        <f t="shared" ref="G161:G164" si="1">SUM(E161:F161)</f>
        <v>636.6</v>
      </c>
    </row>
    <row r="162" spans="1:7">
      <c r="A162" t="s">
        <v>2613</v>
      </c>
      <c r="B162">
        <v>66.5</v>
      </c>
      <c r="C162">
        <v>110.4</v>
      </c>
      <c r="D162">
        <v>18.5</v>
      </c>
      <c r="E162">
        <v>484.9</v>
      </c>
      <c r="F162">
        <f>50.9*tC_to_m3</f>
        <v>221.01606600086845</v>
      </c>
      <c r="G162">
        <f t="shared" si="1"/>
        <v>705.91606600086845</v>
      </c>
    </row>
    <row r="163" spans="1:7">
      <c r="A163" t="s">
        <v>2614</v>
      </c>
      <c r="B163">
        <v>82.6</v>
      </c>
      <c r="C163">
        <v>139.5</v>
      </c>
      <c r="D163">
        <v>0</v>
      </c>
      <c r="E163">
        <v>625.20000000000005</v>
      </c>
      <c r="F163">
        <v>0</v>
      </c>
      <c r="G163">
        <f t="shared" si="1"/>
        <v>625.20000000000005</v>
      </c>
    </row>
    <row r="164" spans="1:7">
      <c r="A164" t="s">
        <v>2615</v>
      </c>
      <c r="B164">
        <v>82</v>
      </c>
      <c r="C164">
        <v>99</v>
      </c>
      <c r="D164">
        <v>19.2</v>
      </c>
      <c r="E164">
        <v>514.29999999999995</v>
      </c>
      <c r="F164">
        <f>52.7*tC_to_m3</f>
        <v>228.83195831524102</v>
      </c>
      <c r="G164">
        <f t="shared" si="1"/>
        <v>743.13195831524104</v>
      </c>
    </row>
    <row r="166" spans="1:7">
      <c r="A166" t="s">
        <v>2616</v>
      </c>
    </row>
    <row r="167" spans="1:7">
      <c r="A167" t="s">
        <v>2617</v>
      </c>
      <c r="C167" t="s">
        <v>150</v>
      </c>
      <c r="D167" t="s">
        <v>2618</v>
      </c>
      <c r="E167" t="s">
        <v>2619</v>
      </c>
    </row>
    <row r="168" spans="1:7">
      <c r="B168">
        <v>2020</v>
      </c>
      <c r="C168">
        <v>924444.44444444403</v>
      </c>
      <c r="D168">
        <v>426666.66666666401</v>
      </c>
      <c r="E168">
        <v>53333.333333331997</v>
      </c>
    </row>
    <row r="169" spans="1:7">
      <c r="B169">
        <f t="shared" ref="B169:B180" si="2">B168+10</f>
        <v>2030</v>
      </c>
      <c r="C169">
        <v>1493333.33333333</v>
      </c>
      <c r="D169">
        <v>711111.11111111101</v>
      </c>
      <c r="E169">
        <v>177777.777777779</v>
      </c>
    </row>
    <row r="170" spans="1:7">
      <c r="B170">
        <f t="shared" si="2"/>
        <v>2040</v>
      </c>
      <c r="C170">
        <v>2168888.8888888801</v>
      </c>
      <c r="D170">
        <v>1031111.1111110999</v>
      </c>
      <c r="E170">
        <v>320000</v>
      </c>
    </row>
    <row r="171" spans="1:7">
      <c r="B171">
        <f t="shared" si="2"/>
        <v>2050</v>
      </c>
      <c r="C171">
        <v>2826666.66666666</v>
      </c>
      <c r="D171">
        <v>1333333.33333333</v>
      </c>
      <c r="E171">
        <v>480000</v>
      </c>
    </row>
    <row r="172" spans="1:7">
      <c r="B172">
        <f t="shared" si="2"/>
        <v>2060</v>
      </c>
      <c r="C172">
        <v>3413333.3333333302</v>
      </c>
      <c r="D172">
        <v>1440000</v>
      </c>
      <c r="E172">
        <v>551111.11111111101</v>
      </c>
    </row>
    <row r="173" spans="1:7">
      <c r="B173" t="s">
        <v>2620</v>
      </c>
      <c r="C173">
        <f>SUM(C168:C172)</f>
        <v>10826666.666666646</v>
      </c>
      <c r="D173">
        <f>SUM(D168:D172)</f>
        <v>4942222.2222222053</v>
      </c>
      <c r="E173">
        <f>SUM(E168:E172)</f>
        <v>1582222.222222222</v>
      </c>
    </row>
    <row r="174" spans="1:7">
      <c r="A174" t="s">
        <v>2621</v>
      </c>
    </row>
    <row r="175" spans="1:7">
      <c r="C175" t="s">
        <v>150</v>
      </c>
      <c r="D175" t="s">
        <v>2618</v>
      </c>
      <c r="E175" t="s">
        <v>2619</v>
      </c>
    </row>
    <row r="176" spans="1:7">
      <c r="B176">
        <v>2020</v>
      </c>
      <c r="C176">
        <v>186666.66666666599</v>
      </c>
      <c r="D176">
        <v>160000</v>
      </c>
      <c r="E176">
        <v>166666.66666666599</v>
      </c>
    </row>
    <row r="177" spans="1:7">
      <c r="B177">
        <f t="shared" si="2"/>
        <v>2030</v>
      </c>
      <c r="C177">
        <v>208000</v>
      </c>
      <c r="D177">
        <v>149333.33333333299</v>
      </c>
      <c r="E177">
        <v>166666.66666666599</v>
      </c>
    </row>
    <row r="178" spans="1:7">
      <c r="B178">
        <f t="shared" si="2"/>
        <v>2040</v>
      </c>
      <c r="C178">
        <v>232000</v>
      </c>
      <c r="D178">
        <v>137333.33333333299</v>
      </c>
      <c r="E178">
        <v>166666.66666666599</v>
      </c>
    </row>
    <row r="179" spans="1:7">
      <c r="B179">
        <f t="shared" si="2"/>
        <v>2050</v>
      </c>
      <c r="C179">
        <v>249333.33333333299</v>
      </c>
      <c r="D179">
        <v>121333.33333333299</v>
      </c>
      <c r="E179">
        <v>166666.66666666599</v>
      </c>
    </row>
    <row r="180" spans="1:7">
      <c r="B180">
        <f t="shared" si="2"/>
        <v>2060</v>
      </c>
      <c r="C180">
        <v>260000</v>
      </c>
      <c r="D180">
        <v>102666.666666666</v>
      </c>
      <c r="E180">
        <v>164000</v>
      </c>
    </row>
    <row r="181" spans="1:7">
      <c r="B181" t="s">
        <v>2620</v>
      </c>
      <c r="C181">
        <f>SUM(C176:C180)</f>
        <v>1135999.9999999991</v>
      </c>
      <c r="D181">
        <f>SUM(D176:D180)</f>
        <v>670666.66666666511</v>
      </c>
      <c r="E181">
        <f>SUM(E176:E180)</f>
        <v>830666.66666666395</v>
      </c>
    </row>
    <row r="184" spans="1:7">
      <c r="A184" t="s">
        <v>2622</v>
      </c>
      <c r="F184" s="353" t="s">
        <v>2623</v>
      </c>
      <c r="G184" s="353"/>
    </row>
    <row r="185" spans="1:7">
      <c r="A185" t="s">
        <v>2624</v>
      </c>
      <c r="D185" t="s">
        <v>740</v>
      </c>
      <c r="E185" t="s">
        <v>739</v>
      </c>
      <c r="F185" t="s">
        <v>740</v>
      </c>
      <c r="G185" t="s">
        <v>739</v>
      </c>
    </row>
    <row r="186" spans="1:7">
      <c r="C186" t="s">
        <v>2625</v>
      </c>
      <c r="D186">
        <v>30.321361058601099</v>
      </c>
      <c r="E186">
        <v>33.4</v>
      </c>
    </row>
    <row r="187" spans="1:7">
      <c r="C187" t="s">
        <v>2626</v>
      </c>
      <c r="D187">
        <v>23.3648393194707</v>
      </c>
      <c r="E187">
        <v>26.3</v>
      </c>
      <c r="F187">
        <f>SUM(D$186:D$191)-D187-D186</f>
        <v>-97.912098298676767</v>
      </c>
      <c r="G187">
        <f>SUM(E$186:E$191)-E187-E186</f>
        <v>-76.199999999999989</v>
      </c>
    </row>
    <row r="188" spans="1:7">
      <c r="C188" t="s">
        <v>2627</v>
      </c>
      <c r="D188">
        <v>2.9</v>
      </c>
      <c r="E188">
        <v>14.2</v>
      </c>
    </row>
    <row r="189" spans="1:7">
      <c r="C189" t="s">
        <v>2628</v>
      </c>
      <c r="D189">
        <v>1.5879017013232299</v>
      </c>
      <c r="E189">
        <v>1.5</v>
      </c>
      <c r="F189">
        <f>SUM(D$186:D$191)-D189</f>
        <v>-45.813799621928204</v>
      </c>
      <c r="G189">
        <f>SUM(E$186:E$191)-E189</f>
        <v>-17.999999999999993</v>
      </c>
    </row>
    <row r="190" spans="1:7">
      <c r="C190" t="s">
        <v>2629</v>
      </c>
      <c r="D190">
        <v>-102.4</v>
      </c>
      <c r="E190">
        <v>-66</v>
      </c>
    </row>
    <row r="191" spans="1:7">
      <c r="C191" t="s">
        <v>2630</v>
      </c>
      <c r="E191">
        <v>-25.9</v>
      </c>
      <c r="F191">
        <f>SUM(D$186:D$191)-D191</f>
        <v>-44.225897920604972</v>
      </c>
      <c r="G191">
        <f>SUM(E$186:E$191)-E191</f>
        <v>9.4000000000000057</v>
      </c>
    </row>
    <row r="192" spans="1:7">
      <c r="C192" t="s">
        <v>2631</v>
      </c>
      <c r="D192">
        <v>-44.2</v>
      </c>
      <c r="E192">
        <v>-16.5</v>
      </c>
    </row>
    <row r="194" spans="1:19">
      <c r="A194" t="s">
        <v>2632</v>
      </c>
      <c r="C194" t="s">
        <v>2633</v>
      </c>
      <c r="L194" t="s">
        <v>2634</v>
      </c>
      <c r="N194" s="353" t="s">
        <v>2635</v>
      </c>
      <c r="O194" s="353"/>
      <c r="P194" s="353"/>
      <c r="Q194" s="353" t="s">
        <v>2636</v>
      </c>
      <c r="R194" s="353"/>
      <c r="S194" s="353"/>
    </row>
    <row r="195" spans="1:19">
      <c r="C195" t="s">
        <v>2637</v>
      </c>
      <c r="E195" t="s">
        <v>2638</v>
      </c>
      <c r="F195" t="s">
        <v>2639</v>
      </c>
      <c r="G195" t="s">
        <v>2640</v>
      </c>
      <c r="H195" t="s">
        <v>2641</v>
      </c>
      <c r="N195" t="s">
        <v>2642</v>
      </c>
      <c r="O195" t="s">
        <v>2643</v>
      </c>
      <c r="P195" t="s">
        <v>2644</v>
      </c>
      <c r="Q195" t="s">
        <v>2642</v>
      </c>
      <c r="R195" t="s">
        <v>2643</v>
      </c>
      <c r="S195" t="s">
        <v>2644</v>
      </c>
    </row>
    <row r="196" spans="1:19">
      <c r="D196" t="s">
        <v>2645</v>
      </c>
      <c r="E196">
        <v>0</v>
      </c>
      <c r="M196" t="s">
        <v>2646</v>
      </c>
      <c r="N196">
        <v>593</v>
      </c>
      <c r="O196">
        <v>383</v>
      </c>
      <c r="P196">
        <v>1474</v>
      </c>
      <c r="Q196">
        <v>876</v>
      </c>
      <c r="R196">
        <v>172</v>
      </c>
      <c r="S196">
        <v>3821</v>
      </c>
    </row>
    <row r="197" spans="1:19">
      <c r="D197" t="s">
        <v>2647</v>
      </c>
      <c r="E197">
        <v>70</v>
      </c>
      <c r="F197">
        <v>60</v>
      </c>
      <c r="G197">
        <v>15.3</v>
      </c>
      <c r="H197">
        <v>5</v>
      </c>
      <c r="M197" t="s">
        <v>2648</v>
      </c>
      <c r="N197">
        <v>1113</v>
      </c>
      <c r="O197">
        <v>649</v>
      </c>
      <c r="P197">
        <v>649</v>
      </c>
      <c r="Q197">
        <v>1606</v>
      </c>
      <c r="R197">
        <v>255</v>
      </c>
      <c r="S197">
        <v>255</v>
      </c>
    </row>
    <row r="198" spans="1:19">
      <c r="D198" t="s">
        <v>2649</v>
      </c>
      <c r="E198">
        <v>100</v>
      </c>
      <c r="F198">
        <v>60</v>
      </c>
      <c r="G198">
        <v>15.3</v>
      </c>
      <c r="H198">
        <v>1</v>
      </c>
      <c r="M198" t="s">
        <v>2650</v>
      </c>
      <c r="N198">
        <v>171</v>
      </c>
      <c r="O198">
        <v>122</v>
      </c>
      <c r="P198">
        <v>122</v>
      </c>
      <c r="Q198">
        <v>250</v>
      </c>
      <c r="R198">
        <v>55</v>
      </c>
      <c r="S198">
        <v>55</v>
      </c>
    </row>
    <row r="199" spans="1:19">
      <c r="D199" t="s">
        <v>2651</v>
      </c>
      <c r="E199">
        <v>100</v>
      </c>
      <c r="F199">
        <v>50</v>
      </c>
      <c r="G199">
        <v>16.600000000000001</v>
      </c>
      <c r="H199">
        <v>1</v>
      </c>
      <c r="M199" t="s">
        <v>2652</v>
      </c>
      <c r="N199">
        <v>1332</v>
      </c>
      <c r="O199">
        <v>934</v>
      </c>
      <c r="P199">
        <v>934</v>
      </c>
      <c r="Q199">
        <v>1968</v>
      </c>
      <c r="R199">
        <v>434</v>
      </c>
      <c r="S199">
        <v>434</v>
      </c>
    </row>
    <row r="200" spans="1:19">
      <c r="D200" t="s">
        <v>2650</v>
      </c>
      <c r="E200">
        <v>100</v>
      </c>
      <c r="F200">
        <v>15</v>
      </c>
      <c r="G200">
        <v>18.600000000000001</v>
      </c>
      <c r="H200">
        <v>1</v>
      </c>
      <c r="M200" t="s">
        <v>2653</v>
      </c>
      <c r="N200">
        <v>3209</v>
      </c>
      <c r="O200">
        <v>2087</v>
      </c>
      <c r="P200">
        <v>3178</v>
      </c>
      <c r="Q200">
        <v>4700</v>
      </c>
      <c r="R200">
        <v>916</v>
      </c>
      <c r="S200">
        <v>4565</v>
      </c>
    </row>
    <row r="201" spans="1:19">
      <c r="D201" t="s">
        <v>2654</v>
      </c>
      <c r="E201">
        <v>90</v>
      </c>
      <c r="F201">
        <v>15</v>
      </c>
      <c r="G201">
        <v>18.600000000000001</v>
      </c>
      <c r="H201">
        <v>1</v>
      </c>
      <c r="M201" t="s">
        <v>2655</v>
      </c>
      <c r="N201">
        <v>289</v>
      </c>
      <c r="O201">
        <v>281</v>
      </c>
      <c r="P201">
        <v>281</v>
      </c>
      <c r="Q201">
        <v>428</v>
      </c>
      <c r="R201">
        <v>146</v>
      </c>
      <c r="S201">
        <v>146</v>
      </c>
    </row>
    <row r="202" spans="1:19">
      <c r="C202" t="s">
        <v>2656</v>
      </c>
    </row>
    <row r="203" spans="1:19">
      <c r="D203" t="s">
        <v>2645</v>
      </c>
      <c r="E203">
        <v>0</v>
      </c>
      <c r="L203" t="s">
        <v>2657</v>
      </c>
      <c r="M203" t="s">
        <v>2658</v>
      </c>
      <c r="N203" s="353" t="s">
        <v>2635</v>
      </c>
      <c r="O203" s="353"/>
      <c r="P203" s="353"/>
      <c r="Q203" s="353" t="s">
        <v>2636</v>
      </c>
      <c r="R203" s="353"/>
      <c r="S203" s="353"/>
    </row>
    <row r="204" spans="1:19">
      <c r="D204" t="s">
        <v>2649</v>
      </c>
      <c r="E204">
        <v>100</v>
      </c>
      <c r="F204">
        <v>60</v>
      </c>
      <c r="G204">
        <v>15.3</v>
      </c>
      <c r="H204">
        <v>3</v>
      </c>
      <c r="N204" t="s">
        <v>2642</v>
      </c>
      <c r="O204" t="s">
        <v>2643</v>
      </c>
      <c r="P204" t="s">
        <v>2644</v>
      </c>
      <c r="Q204" t="s">
        <v>2642</v>
      </c>
      <c r="R204" t="s">
        <v>2643</v>
      </c>
      <c r="S204" t="s">
        <v>2644</v>
      </c>
    </row>
    <row r="205" spans="1:19">
      <c r="D205" t="s">
        <v>2659</v>
      </c>
      <c r="E205">
        <v>100</v>
      </c>
      <c r="F205">
        <v>60</v>
      </c>
      <c r="G205">
        <v>15.3</v>
      </c>
      <c r="H205">
        <v>3</v>
      </c>
      <c r="M205" t="s">
        <v>2646</v>
      </c>
      <c r="N205">
        <f t="shared" ref="N205:S208" si="3">N196*10^3/$G197/10^3</f>
        <v>38.75816993464052</v>
      </c>
      <c r="O205">
        <f t="shared" ref="O205:S205" si="4">O196*10^3/$G197/10^3</f>
        <v>25.032679738562091</v>
      </c>
      <c r="P205">
        <f t="shared" si="4"/>
        <v>96.339869281045736</v>
      </c>
      <c r="Q205">
        <f t="shared" si="4"/>
        <v>57.254901960784309</v>
      </c>
      <c r="R205">
        <f t="shared" si="4"/>
        <v>11.241830065359476</v>
      </c>
      <c r="S205">
        <f t="shared" si="4"/>
        <v>249.73856209150327</v>
      </c>
    </row>
    <row r="206" spans="1:19">
      <c r="D206" t="s">
        <v>2647</v>
      </c>
      <c r="E206">
        <v>70</v>
      </c>
      <c r="F206">
        <v>60</v>
      </c>
      <c r="G206">
        <v>15.3</v>
      </c>
      <c r="H206">
        <v>5</v>
      </c>
      <c r="M206" t="s">
        <v>2648</v>
      </c>
      <c r="N206">
        <f t="shared" si="3"/>
        <v>72.745098039215677</v>
      </c>
      <c r="O206">
        <f t="shared" si="3"/>
        <v>42.41830065359477</v>
      </c>
      <c r="P206">
        <f t="shared" si="3"/>
        <v>42.41830065359477</v>
      </c>
      <c r="Q206">
        <f t="shared" si="3"/>
        <v>104.96732026143789</v>
      </c>
      <c r="R206">
        <f t="shared" si="3"/>
        <v>16.666666666666664</v>
      </c>
      <c r="S206">
        <f t="shared" si="3"/>
        <v>16.666666666666664</v>
      </c>
    </row>
    <row r="207" spans="1:19">
      <c r="M207" t="s">
        <v>2650</v>
      </c>
      <c r="N207">
        <f t="shared" si="3"/>
        <v>10.301204819277107</v>
      </c>
      <c r="O207">
        <f t="shared" si="3"/>
        <v>7.3493975903614457</v>
      </c>
      <c r="P207">
        <f t="shared" si="3"/>
        <v>7.3493975903614457</v>
      </c>
      <c r="Q207">
        <f t="shared" si="3"/>
        <v>15.060240963855421</v>
      </c>
      <c r="R207">
        <f t="shared" si="3"/>
        <v>3.3132530120481922</v>
      </c>
      <c r="S207">
        <f t="shared" si="3"/>
        <v>3.3132530120481922</v>
      </c>
    </row>
    <row r="208" spans="1:19">
      <c r="M208" t="s">
        <v>2652</v>
      </c>
      <c r="N208">
        <f t="shared" si="3"/>
        <v>71.612903225806434</v>
      </c>
      <c r="O208">
        <f t="shared" si="3"/>
        <v>50.215053763440856</v>
      </c>
      <c r="P208">
        <f t="shared" si="3"/>
        <v>50.215053763440856</v>
      </c>
      <c r="Q208">
        <f t="shared" si="3"/>
        <v>105.80645161290322</v>
      </c>
      <c r="R208">
        <f t="shared" si="3"/>
        <v>23.333333333333332</v>
      </c>
      <c r="S208">
        <f t="shared" si="3"/>
        <v>23.333333333333332</v>
      </c>
    </row>
    <row r="209" spans="1:19">
      <c r="M209" t="s">
        <v>2653</v>
      </c>
      <c r="N209">
        <f>SUM(N205:N208)</f>
        <v>193.41737601893973</v>
      </c>
      <c r="O209">
        <f t="shared" ref="O209:S209" si="5">SUM(O205:O208)</f>
        <v>125.01543174595918</v>
      </c>
      <c r="P209">
        <f t="shared" si="5"/>
        <v>196.3226212884428</v>
      </c>
      <c r="Q209">
        <f t="shared" si="5"/>
        <v>283.08891479898085</v>
      </c>
      <c r="R209">
        <f t="shared" si="5"/>
        <v>54.555083077407666</v>
      </c>
      <c r="S209">
        <f t="shared" si="5"/>
        <v>293.05181510355141</v>
      </c>
    </row>
    <row r="210" spans="1:19">
      <c r="M210" t="s">
        <v>2655</v>
      </c>
    </row>
    <row r="212" spans="1:19">
      <c r="C212" t="s">
        <v>747</v>
      </c>
      <c r="D212" t="s">
        <v>2660</v>
      </c>
      <c r="L212" t="s">
        <v>2661</v>
      </c>
    </row>
    <row r="213" spans="1:19">
      <c r="D213" s="353" t="s">
        <v>2635</v>
      </c>
      <c r="E213" s="353"/>
      <c r="F213" s="353"/>
      <c r="G213" s="353" t="s">
        <v>2636</v>
      </c>
      <c r="H213" s="353"/>
      <c r="I213" s="353"/>
      <c r="N213" s="354" t="s">
        <v>2635</v>
      </c>
      <c r="O213" s="354"/>
      <c r="P213" s="354"/>
      <c r="Q213" s="354" t="s">
        <v>2636</v>
      </c>
      <c r="R213" s="354"/>
      <c r="S213" s="354"/>
    </row>
    <row r="214" spans="1:19">
      <c r="D214" t="s">
        <v>2642</v>
      </c>
      <c r="E214" t="s">
        <v>2662</v>
      </c>
      <c r="G214" t="s">
        <v>2642</v>
      </c>
      <c r="H214" t="s">
        <v>2662</v>
      </c>
      <c r="N214" s="141" t="s">
        <v>2642</v>
      </c>
      <c r="O214" s="141" t="s">
        <v>2643</v>
      </c>
      <c r="P214" s="141" t="s">
        <v>2644</v>
      </c>
      <c r="Q214" s="141" t="s">
        <v>2642</v>
      </c>
      <c r="R214" s="141" t="s">
        <v>2643</v>
      </c>
      <c r="S214" s="141" t="s">
        <v>2644</v>
      </c>
    </row>
    <row r="215" spans="1:19">
      <c r="C215" t="s">
        <v>1229</v>
      </c>
      <c r="D215">
        <v>59</v>
      </c>
      <c r="E215">
        <v>33</v>
      </c>
      <c r="F215">
        <v>33</v>
      </c>
      <c r="G215">
        <v>103</v>
      </c>
      <c r="H215">
        <v>23</v>
      </c>
      <c r="I215">
        <v>23</v>
      </c>
      <c r="N215">
        <f>N209+D218</f>
        <v>291.41737601893976</v>
      </c>
      <c r="O215">
        <f t="shared" ref="O215:S215" si="6">O209+E218</f>
        <v>195.01543174595918</v>
      </c>
      <c r="P215">
        <f t="shared" si="6"/>
        <v>266.3226212884428</v>
      </c>
      <c r="Q215">
        <f t="shared" si="6"/>
        <v>428.08891479898085</v>
      </c>
      <c r="R215">
        <f t="shared" si="6"/>
        <v>86.555083077407659</v>
      </c>
      <c r="S215">
        <f t="shared" si="6"/>
        <v>325.05181510355141</v>
      </c>
    </row>
    <row r="216" spans="1:19">
      <c r="C216" t="s">
        <v>2655</v>
      </c>
      <c r="D216">
        <v>18</v>
      </c>
      <c r="E216">
        <v>17</v>
      </c>
      <c r="F216">
        <v>17</v>
      </c>
      <c r="G216">
        <v>27</v>
      </c>
      <c r="H216">
        <v>9</v>
      </c>
      <c r="I216">
        <v>9</v>
      </c>
    </row>
    <row r="217" spans="1:19">
      <c r="C217" t="s">
        <v>2663</v>
      </c>
      <c r="D217">
        <v>21</v>
      </c>
      <c r="E217">
        <v>20</v>
      </c>
      <c r="F217">
        <v>20</v>
      </c>
      <c r="G217">
        <v>15</v>
      </c>
      <c r="H217">
        <v>0</v>
      </c>
      <c r="I217">
        <v>0</v>
      </c>
    </row>
    <row r="218" spans="1:19">
      <c r="C218" t="s">
        <v>2664</v>
      </c>
      <c r="D218">
        <f>SUM(D215:D217)</f>
        <v>98</v>
      </c>
      <c r="E218">
        <f t="shared" ref="E218:I218" si="7">SUM(E215:E217)</f>
        <v>70</v>
      </c>
      <c r="F218">
        <f t="shared" si="7"/>
        <v>70</v>
      </c>
      <c r="G218">
        <f t="shared" si="7"/>
        <v>145</v>
      </c>
      <c r="H218">
        <f t="shared" si="7"/>
        <v>32</v>
      </c>
      <c r="I218">
        <f t="shared" si="7"/>
        <v>32</v>
      </c>
    </row>
    <row r="221" spans="1:19">
      <c r="A221" t="s">
        <v>2665</v>
      </c>
    </row>
    <row r="222" spans="1:19">
      <c r="A222" t="s">
        <v>2666</v>
      </c>
      <c r="B222" t="s">
        <v>2294</v>
      </c>
      <c r="C222" t="s">
        <v>2667</v>
      </c>
    </row>
    <row r="223" spans="1:19">
      <c r="C223" s="141" t="s">
        <v>2668</v>
      </c>
      <c r="D223" s="141" t="s">
        <v>2669</v>
      </c>
      <c r="E223" s="141" t="s">
        <v>2202</v>
      </c>
      <c r="F223" s="141" t="s">
        <v>1216</v>
      </c>
      <c r="G223" s="141" t="s">
        <v>2670</v>
      </c>
      <c r="H223" s="141" t="s">
        <v>2671</v>
      </c>
    </row>
    <row r="224" spans="1:19">
      <c r="C224" s="141" t="s">
        <v>2672</v>
      </c>
      <c r="D224" s="141">
        <v>80.877193000000005</v>
      </c>
      <c r="E224" s="141">
        <v>68.070175399999997</v>
      </c>
      <c r="F224" s="141">
        <v>96.140350900000001</v>
      </c>
      <c r="G224" s="141">
        <v>78.245614000000003</v>
      </c>
      <c r="H224" s="141">
        <v>72.543859600000005</v>
      </c>
    </row>
    <row r="225" spans="2:8">
      <c r="C225" s="141" t="s">
        <v>2673</v>
      </c>
      <c r="D225" s="141">
        <v>82.719298199999997</v>
      </c>
      <c r="E225" s="141">
        <v>70.175438600000007</v>
      </c>
      <c r="F225" s="141">
        <v>94.736842100000004</v>
      </c>
      <c r="G225" s="141">
        <v>80.175438600000007</v>
      </c>
      <c r="H225" s="141">
        <v>74.298245600000001</v>
      </c>
    </row>
    <row r="226" spans="2:8">
      <c r="C226" s="141" t="s">
        <v>2674</v>
      </c>
      <c r="D226" s="141">
        <v>79.122806999999995</v>
      </c>
      <c r="E226" s="141">
        <v>70.964912299999995</v>
      </c>
      <c r="F226" s="141">
        <v>93.596491200000003</v>
      </c>
      <c r="G226" s="141">
        <v>76.754385999999997</v>
      </c>
      <c r="H226" s="141">
        <v>71.140350900000001</v>
      </c>
    </row>
    <row r="227" spans="2:8">
      <c r="C227" s="141" t="s">
        <v>2675</v>
      </c>
      <c r="D227" s="141">
        <v>81.666666699999993</v>
      </c>
      <c r="E227" s="141">
        <v>70.350877199999999</v>
      </c>
      <c r="F227" s="141">
        <v>89.649122800000001</v>
      </c>
      <c r="G227" s="141">
        <v>79.122806999999995</v>
      </c>
      <c r="H227" s="141">
        <v>73.333333300000007</v>
      </c>
    </row>
    <row r="228" spans="2:8">
      <c r="C228" s="141" t="s">
        <v>2676</v>
      </c>
      <c r="D228" s="141">
        <v>78.508771899999999</v>
      </c>
      <c r="E228" s="141">
        <v>73.421052599999996</v>
      </c>
      <c r="F228" s="141">
        <v>85.789473700000002</v>
      </c>
      <c r="G228" s="141">
        <v>76.052631599999998</v>
      </c>
      <c r="H228" s="141">
        <v>70.438596500000003</v>
      </c>
    </row>
    <row r="229" spans="2:8">
      <c r="C229" s="141" t="s">
        <v>2677</v>
      </c>
      <c r="D229" s="141">
        <v>76.315789499999994</v>
      </c>
      <c r="E229" s="141">
        <v>74.736842100000004</v>
      </c>
      <c r="F229" s="141">
        <v>76.140350900000001</v>
      </c>
      <c r="G229" s="141">
        <v>73.947368400000002</v>
      </c>
      <c r="H229" s="141">
        <v>68.508771899999999</v>
      </c>
    </row>
    <row r="230" spans="2:8">
      <c r="C230" s="141" t="s">
        <v>2678</v>
      </c>
      <c r="D230" s="141">
        <v>81.929824600000003</v>
      </c>
      <c r="E230" s="141">
        <v>77.982456099999993</v>
      </c>
      <c r="F230" s="141">
        <v>80.438596500000003</v>
      </c>
      <c r="G230" s="141">
        <v>79.473684199999994</v>
      </c>
      <c r="H230" s="141">
        <v>73.596491200000003</v>
      </c>
    </row>
    <row r="231" spans="2:8">
      <c r="C231" s="163" t="s">
        <v>2679</v>
      </c>
      <c r="D231" s="143">
        <f>SUM(D224:D230)*5</f>
        <v>2805.7017544999999</v>
      </c>
      <c r="E231" s="143">
        <f t="shared" ref="E231:H275" si="8">SUM(E224:E230)*5</f>
        <v>2528.5087715</v>
      </c>
      <c r="F231" s="143">
        <f t="shared" si="8"/>
        <v>3082.4561405000004</v>
      </c>
      <c r="G231" s="143">
        <f t="shared" si="8"/>
        <v>2718.859649</v>
      </c>
      <c r="H231" s="143">
        <f t="shared" si="8"/>
        <v>2519.298245</v>
      </c>
    </row>
    <row r="233" spans="2:8">
      <c r="B233" t="s">
        <v>687</v>
      </c>
      <c r="C233" s="141" t="s">
        <v>2680</v>
      </c>
      <c r="D233" s="243" t="s">
        <v>2681</v>
      </c>
    </row>
    <row r="234" spans="2:8">
      <c r="C234" s="141" t="s">
        <v>2668</v>
      </c>
      <c r="D234" s="141" t="s">
        <v>2682</v>
      </c>
      <c r="E234" s="141" t="s">
        <v>2683</v>
      </c>
      <c r="F234" s="141" t="s">
        <v>163</v>
      </c>
      <c r="G234" s="141" t="s">
        <v>2684</v>
      </c>
      <c r="H234" s="141" t="s">
        <v>2685</v>
      </c>
    </row>
    <row r="235" spans="2:8">
      <c r="C235" s="141" t="s">
        <v>2672</v>
      </c>
      <c r="D235" s="141">
        <v>-17.975708999999998</v>
      </c>
      <c r="E235" s="141">
        <v>6.6396761099999999</v>
      </c>
      <c r="F235" s="141">
        <v>13.441295500000001</v>
      </c>
      <c r="G235">
        <f t="shared" ref="G235:G241" si="9">SUM(D235:F235)</f>
        <v>2.1052626100000023</v>
      </c>
      <c r="H235">
        <f t="shared" ref="H235:H241" si="10">D235+E235</f>
        <v>-11.336032889999998</v>
      </c>
    </row>
    <row r="236" spans="2:8">
      <c r="C236" s="141" t="s">
        <v>2673</v>
      </c>
      <c r="D236" s="141">
        <v>-17.08502</v>
      </c>
      <c r="E236" s="141">
        <v>3.7246963599999998</v>
      </c>
      <c r="F236" s="141">
        <v>13.1983806</v>
      </c>
      <c r="G236">
        <f t="shared" si="9"/>
        <v>-0.16194304000000059</v>
      </c>
      <c r="H236">
        <f t="shared" si="10"/>
        <v>-13.360323640000001</v>
      </c>
    </row>
    <row r="237" spans="2:8">
      <c r="C237" s="141" t="s">
        <v>2674</v>
      </c>
      <c r="D237" s="141">
        <v>-12.064776999999999</v>
      </c>
      <c r="E237" s="141">
        <v>1.94331984</v>
      </c>
      <c r="F237" s="141">
        <v>8.6639676100000003</v>
      </c>
      <c r="G237">
        <f t="shared" si="9"/>
        <v>-1.4574895499999982</v>
      </c>
      <c r="H237">
        <f t="shared" si="10"/>
        <v>-10.121457159999999</v>
      </c>
    </row>
    <row r="238" spans="2:8">
      <c r="C238" s="141" t="s">
        <v>2675</v>
      </c>
      <c r="D238" s="141">
        <v>-18.704453000000001</v>
      </c>
      <c r="E238" s="141">
        <v>2.26720648</v>
      </c>
      <c r="F238" s="141">
        <v>12.145749</v>
      </c>
      <c r="G238">
        <f t="shared" si="9"/>
        <v>-4.2914975200000018</v>
      </c>
      <c r="H238">
        <f t="shared" si="10"/>
        <v>-16.437246520000002</v>
      </c>
    </row>
    <row r="239" spans="2:8">
      <c r="C239" s="141" t="s">
        <v>2676</v>
      </c>
      <c r="D239" s="141">
        <v>-5.3441295999999996</v>
      </c>
      <c r="E239" s="141">
        <v>-0.72874490000000003</v>
      </c>
      <c r="F239" s="141">
        <v>5.4251012100000002</v>
      </c>
      <c r="G239">
        <f t="shared" si="9"/>
        <v>-0.64777328999999906</v>
      </c>
      <c r="H239">
        <f t="shared" si="10"/>
        <v>-6.0728744999999993</v>
      </c>
    </row>
    <row r="240" spans="2:8">
      <c r="C240" s="141" t="s">
        <v>2677</v>
      </c>
      <c r="D240" s="141">
        <v>0</v>
      </c>
      <c r="E240" s="141">
        <v>-1.0526316</v>
      </c>
      <c r="F240" s="141">
        <v>1.6194332</v>
      </c>
      <c r="G240">
        <f t="shared" si="9"/>
        <v>0.56680160000000002</v>
      </c>
      <c r="H240">
        <f t="shared" si="10"/>
        <v>-1.0526316</v>
      </c>
    </row>
    <row r="241" spans="2:8">
      <c r="C241" s="141" t="s">
        <v>2678</v>
      </c>
      <c r="D241" s="141">
        <v>-0.32388660000000002</v>
      </c>
      <c r="E241" s="141">
        <v>0.32388664</v>
      </c>
      <c r="F241" s="141">
        <v>4.1295546600000002</v>
      </c>
      <c r="G241">
        <f t="shared" si="9"/>
        <v>4.1295546999999999</v>
      </c>
      <c r="H241">
        <f t="shared" si="10"/>
        <v>3.9999999978945766E-8</v>
      </c>
    </row>
    <row r="242" spans="2:8">
      <c r="C242" s="163" t="s">
        <v>2679</v>
      </c>
      <c r="D242" s="143">
        <f>SUM(D235:D241)*5</f>
        <v>-357.48987599999998</v>
      </c>
      <c r="E242" s="143">
        <f t="shared" si="8"/>
        <v>65.587044649999996</v>
      </c>
      <c r="F242" s="143">
        <f t="shared" ref="F242:H275" si="11">SUM(F235:F241)*5</f>
        <v>293.11740890000004</v>
      </c>
      <c r="G242" s="143">
        <f t="shared" si="11"/>
        <v>1.2145775500000111</v>
      </c>
      <c r="H242" s="143">
        <f t="shared" si="11"/>
        <v>-291.90283134999993</v>
      </c>
    </row>
    <row r="244" spans="2:8">
      <c r="B244" t="s">
        <v>426</v>
      </c>
      <c r="C244" s="141" t="s">
        <v>2686</v>
      </c>
      <c r="D244" t="s">
        <v>2687</v>
      </c>
    </row>
    <row r="245" spans="2:8">
      <c r="D245" t="s">
        <v>2688</v>
      </c>
      <c r="E245" t="s">
        <v>2689</v>
      </c>
      <c r="F245" t="s">
        <v>2690</v>
      </c>
      <c r="G245" s="141" t="s">
        <v>2684</v>
      </c>
      <c r="H245" s="141" t="s">
        <v>2685</v>
      </c>
    </row>
    <row r="246" spans="2:8">
      <c r="C246" s="141" t="s">
        <v>2672</v>
      </c>
      <c r="D246">
        <v>24.693140794223801</v>
      </c>
      <c r="E246">
        <v>-7.6895306859205599</v>
      </c>
      <c r="F246">
        <v>-16.462093862815799</v>
      </c>
      <c r="G246">
        <f t="shared" ref="G246:G252" si="12">SUM(D246:F246)</f>
        <v>0.54151624548744337</v>
      </c>
      <c r="H246">
        <f t="shared" ref="H246:H252" si="13">D246+E246</f>
        <v>17.003610108303242</v>
      </c>
    </row>
    <row r="247" spans="2:8">
      <c r="C247" s="141" t="s">
        <v>2673</v>
      </c>
      <c r="D247">
        <v>23.826714801443998</v>
      </c>
      <c r="E247">
        <v>-4.0072202166064903</v>
      </c>
      <c r="F247">
        <v>-12.8880866425992</v>
      </c>
      <c r="G247">
        <f t="shared" si="12"/>
        <v>6.931407942238307</v>
      </c>
      <c r="H247">
        <f t="shared" si="13"/>
        <v>19.819494584837507</v>
      </c>
    </row>
    <row r="248" spans="2:8">
      <c r="C248" s="141" t="s">
        <v>2674</v>
      </c>
      <c r="D248">
        <v>25.667870036101</v>
      </c>
      <c r="E248">
        <v>-3.35740072202164</v>
      </c>
      <c r="F248">
        <v>-15.270758122743599</v>
      </c>
      <c r="G248">
        <f t="shared" si="12"/>
        <v>7.0397111913357602</v>
      </c>
      <c r="H248">
        <f t="shared" si="13"/>
        <v>22.310469314079359</v>
      </c>
    </row>
    <row r="249" spans="2:8">
      <c r="C249" s="141" t="s">
        <v>2675</v>
      </c>
      <c r="D249">
        <v>11.588447653429601</v>
      </c>
      <c r="E249">
        <v>-0.54151624548733002</v>
      </c>
      <c r="F249">
        <v>-8.5559566787003192</v>
      </c>
      <c r="G249">
        <f t="shared" si="12"/>
        <v>2.4909747292419517</v>
      </c>
      <c r="H249">
        <f t="shared" si="13"/>
        <v>11.046931407942271</v>
      </c>
    </row>
    <row r="250" spans="2:8">
      <c r="C250" s="141" t="s">
        <v>2676</v>
      </c>
      <c r="D250">
        <v>13.6462093862815</v>
      </c>
      <c r="E250">
        <v>0.21660649819495001</v>
      </c>
      <c r="F250">
        <v>-7.9061371841155097</v>
      </c>
      <c r="G250">
        <f t="shared" si="12"/>
        <v>5.9566787003609409</v>
      </c>
      <c r="H250">
        <f t="shared" si="13"/>
        <v>13.862815884476451</v>
      </c>
    </row>
    <row r="251" spans="2:8">
      <c r="C251" s="141" t="s">
        <v>2677</v>
      </c>
      <c r="D251">
        <v>0.649819494584852</v>
      </c>
      <c r="E251">
        <v>2.59927797833936</v>
      </c>
      <c r="F251">
        <v>0</v>
      </c>
      <c r="G251">
        <f t="shared" si="12"/>
        <v>3.2490974729242121</v>
      </c>
      <c r="H251">
        <f t="shared" si="13"/>
        <v>3.2490974729242121</v>
      </c>
    </row>
    <row r="252" spans="2:8">
      <c r="C252" s="141" t="s">
        <v>2678</v>
      </c>
      <c r="D252">
        <v>-2.5992779783393098</v>
      </c>
      <c r="E252">
        <v>2.16606498194946</v>
      </c>
      <c r="F252">
        <v>1.40794223826717</v>
      </c>
      <c r="G252">
        <f t="shared" si="12"/>
        <v>0.97472924187732013</v>
      </c>
      <c r="H252">
        <f t="shared" si="13"/>
        <v>-0.43321299638984989</v>
      </c>
    </row>
    <row r="253" spans="2:8">
      <c r="C253" s="163" t="s">
        <v>2679</v>
      </c>
      <c r="D253" s="143">
        <f>SUM(D246:D252)*5</f>
        <v>487.36462093862713</v>
      </c>
      <c r="E253" s="143">
        <f t="shared" si="8"/>
        <v>-53.068592057761244</v>
      </c>
      <c r="F253" s="143">
        <f t="shared" si="11"/>
        <v>-298.37545126353626</v>
      </c>
      <c r="G253" s="143">
        <f t="shared" si="11"/>
        <v>135.92057761732968</v>
      </c>
      <c r="H253" s="143">
        <f t="shared" si="11"/>
        <v>434.29602888086583</v>
      </c>
    </row>
    <row r="255" spans="2:8">
      <c r="B255" t="s">
        <v>429</v>
      </c>
      <c r="C255" t="s">
        <v>2691</v>
      </c>
      <c r="D255" t="s">
        <v>2687</v>
      </c>
    </row>
    <row r="256" spans="2:8">
      <c r="D256" t="s">
        <v>2692</v>
      </c>
      <c r="E256" t="s">
        <v>2693</v>
      </c>
      <c r="F256" t="s">
        <v>2694</v>
      </c>
      <c r="G256" s="141" t="s">
        <v>2684</v>
      </c>
      <c r="H256" s="141" t="s">
        <v>2685</v>
      </c>
    </row>
    <row r="257" spans="2:8">
      <c r="C257" s="141" t="s">
        <v>2672</v>
      </c>
      <c r="D257">
        <v>-2.6409266409266401</v>
      </c>
      <c r="E257">
        <v>1.3088803088803</v>
      </c>
      <c r="F257">
        <v>2.6061776061775999</v>
      </c>
      <c r="G257">
        <f t="shared" ref="G257:G263" si="14">SUM(D257:F257)</f>
        <v>1.2741312741312598</v>
      </c>
      <c r="H257">
        <f t="shared" ref="H257:H263" si="15">D257+E257</f>
        <v>-1.33204633204634</v>
      </c>
    </row>
    <row r="258" spans="2:8">
      <c r="C258" s="141" t="s">
        <v>2673</v>
      </c>
      <c r="D258">
        <v>-2.7104247104247099</v>
      </c>
      <c r="E258">
        <v>0.84555984555984498</v>
      </c>
      <c r="F258">
        <v>2.6525096525096501</v>
      </c>
      <c r="G258">
        <f t="shared" si="14"/>
        <v>0.78764478764478518</v>
      </c>
      <c r="H258">
        <f t="shared" si="15"/>
        <v>-1.8648648648648649</v>
      </c>
    </row>
    <row r="259" spans="2:8">
      <c r="C259" s="141" t="s">
        <v>2674</v>
      </c>
      <c r="D259">
        <v>-2.5945945945945899</v>
      </c>
      <c r="E259">
        <v>0.70656370656370604</v>
      </c>
      <c r="F259">
        <v>2.5482625482625401</v>
      </c>
      <c r="G259">
        <f t="shared" si="14"/>
        <v>0.66023166023165625</v>
      </c>
      <c r="H259">
        <f t="shared" si="15"/>
        <v>-1.8880308880308838</v>
      </c>
    </row>
    <row r="260" spans="2:8">
      <c r="C260" s="141" t="s">
        <v>2675</v>
      </c>
      <c r="D260">
        <v>-2.9420849420849402</v>
      </c>
      <c r="E260">
        <v>0.63706563706563601</v>
      </c>
      <c r="F260">
        <v>2.6177606177606099</v>
      </c>
      <c r="G260">
        <f t="shared" si="14"/>
        <v>0.31274131274130568</v>
      </c>
      <c r="H260">
        <f t="shared" si="15"/>
        <v>-2.3050193050193042</v>
      </c>
    </row>
    <row r="261" spans="2:8">
      <c r="C261" s="141" t="s">
        <v>2676</v>
      </c>
      <c r="D261">
        <v>-2.4440154440154398</v>
      </c>
      <c r="E261">
        <v>0.49806949806949802</v>
      </c>
      <c r="F261">
        <v>2.5366795366795301</v>
      </c>
      <c r="G261">
        <f t="shared" si="14"/>
        <v>0.59073359073358822</v>
      </c>
      <c r="H261">
        <f t="shared" si="15"/>
        <v>-1.9459459459459418</v>
      </c>
    </row>
    <row r="262" spans="2:8">
      <c r="C262" s="141" t="s">
        <v>2677</v>
      </c>
      <c r="D262">
        <v>-2.37451737451737</v>
      </c>
      <c r="E262">
        <v>0.451737451737451</v>
      </c>
      <c r="F262">
        <v>2.4555984555984498</v>
      </c>
      <c r="G262">
        <f t="shared" si="14"/>
        <v>0.53281853281853087</v>
      </c>
      <c r="H262">
        <f t="shared" si="15"/>
        <v>-1.9227799227799189</v>
      </c>
    </row>
    <row r="263" spans="2:8">
      <c r="C263" s="141" t="s">
        <v>2678</v>
      </c>
      <c r="D263">
        <v>-2.7799227799227801</v>
      </c>
      <c r="E263">
        <v>0.48648648648648601</v>
      </c>
      <c r="F263">
        <v>2.6293436293436199</v>
      </c>
      <c r="G263">
        <f t="shared" si="14"/>
        <v>0.33590733590732569</v>
      </c>
      <c r="H263">
        <f t="shared" si="15"/>
        <v>-2.2934362934362942</v>
      </c>
    </row>
    <row r="264" spans="2:8">
      <c r="C264" s="163" t="s">
        <v>2679</v>
      </c>
      <c r="D264" s="143">
        <f>SUM(D257:D263)*5</f>
        <v>-92.43243243243235</v>
      </c>
      <c r="E264" s="143">
        <f t="shared" si="8"/>
        <v>24.671814671814612</v>
      </c>
      <c r="F264" s="143">
        <f t="shared" si="11"/>
        <v>90.231660231660001</v>
      </c>
      <c r="G264" s="143">
        <f t="shared" si="11"/>
        <v>22.47104247104226</v>
      </c>
      <c r="H264" s="143">
        <f t="shared" si="11"/>
        <v>-67.760617760617734</v>
      </c>
    </row>
    <row r="266" spans="2:8">
      <c r="B266" t="s">
        <v>766</v>
      </c>
      <c r="C266" t="s">
        <v>2695</v>
      </c>
      <c r="D266" t="s">
        <v>2687</v>
      </c>
    </row>
    <row r="267" spans="2:8">
      <c r="D267" s="141" t="s">
        <v>2696</v>
      </c>
      <c r="E267" s="141" t="s">
        <v>2697</v>
      </c>
      <c r="F267" s="141" t="s">
        <v>2698</v>
      </c>
      <c r="G267" s="141" t="s">
        <v>2684</v>
      </c>
      <c r="H267" s="141" t="s">
        <v>2685</v>
      </c>
    </row>
    <row r="268" spans="2:8">
      <c r="C268" s="141" t="s">
        <v>2672</v>
      </c>
      <c r="D268" s="141">
        <v>-15.694981</v>
      </c>
      <c r="E268" s="141">
        <v>-10.783784000000001</v>
      </c>
      <c r="F268" s="141">
        <v>-9.1505791999999992</v>
      </c>
      <c r="G268">
        <f t="shared" ref="G268:G274" si="16">SUM(D268:F268)</f>
        <v>-35.629344200000006</v>
      </c>
      <c r="H268">
        <f t="shared" ref="H268:H274" si="17">D268+E268</f>
        <v>-26.478765000000003</v>
      </c>
    </row>
    <row r="269" spans="2:8">
      <c r="C269" s="141" t="s">
        <v>2673</v>
      </c>
      <c r="D269" s="141">
        <v>-15.752896</v>
      </c>
      <c r="E269" s="141">
        <v>-11.258687</v>
      </c>
      <c r="F269" s="141">
        <v>-9.0579151000000007</v>
      </c>
      <c r="G269">
        <f t="shared" si="16"/>
        <v>-36.069498100000004</v>
      </c>
      <c r="H269">
        <f t="shared" si="17"/>
        <v>-27.011583000000002</v>
      </c>
    </row>
    <row r="270" spans="2:8">
      <c r="C270" s="141" t="s">
        <v>2674</v>
      </c>
      <c r="D270" s="141">
        <v>-15.602316999999999</v>
      </c>
      <c r="E270" s="141">
        <v>-11.525097000000001</v>
      </c>
      <c r="F270" s="141">
        <v>-9.1969112000000006</v>
      </c>
      <c r="G270">
        <f t="shared" si="16"/>
        <v>-36.324325200000004</v>
      </c>
      <c r="H270">
        <f t="shared" si="17"/>
        <v>-27.127414000000002</v>
      </c>
    </row>
    <row r="271" spans="2:8">
      <c r="C271" s="141" t="s">
        <v>2675</v>
      </c>
      <c r="D271" s="141">
        <v>-15.857143000000001</v>
      </c>
      <c r="E271" s="141">
        <v>-11.606178</v>
      </c>
      <c r="F271" s="141">
        <v>-9.1158301000000002</v>
      </c>
      <c r="G271">
        <f t="shared" si="16"/>
        <v>-36.579151100000004</v>
      </c>
      <c r="H271">
        <f t="shared" si="17"/>
        <v>-27.463321000000001</v>
      </c>
    </row>
    <row r="272" spans="2:8">
      <c r="C272" s="141" t="s">
        <v>2676</v>
      </c>
      <c r="D272" s="141">
        <v>-15.46332</v>
      </c>
      <c r="E272" s="141">
        <v>-11.803089</v>
      </c>
      <c r="F272" s="141">
        <v>-9.2432432000000002</v>
      </c>
      <c r="G272">
        <f t="shared" si="16"/>
        <v>-36.509652199999998</v>
      </c>
      <c r="H272">
        <f t="shared" si="17"/>
        <v>-27.266408999999999</v>
      </c>
    </row>
    <row r="273" spans="1:20">
      <c r="C273" s="141" t="s">
        <v>2677</v>
      </c>
      <c r="D273" s="141">
        <v>-15.393822</v>
      </c>
      <c r="E273" s="141">
        <v>-11.837838</v>
      </c>
      <c r="F273" s="141">
        <v>-9.3127413000000008</v>
      </c>
      <c r="G273">
        <f t="shared" si="16"/>
        <v>-36.544401299999997</v>
      </c>
      <c r="H273">
        <f t="shared" si="17"/>
        <v>-27.231659999999998</v>
      </c>
    </row>
    <row r="274" spans="1:20">
      <c r="C274" s="141" t="s">
        <v>2678</v>
      </c>
      <c r="D274" s="141">
        <v>-15.706564</v>
      </c>
      <c r="E274" s="141">
        <v>-11.814672</v>
      </c>
      <c r="F274" s="141">
        <v>-9.0810811000000005</v>
      </c>
      <c r="G274">
        <f t="shared" si="16"/>
        <v>-36.6023171</v>
      </c>
      <c r="H274">
        <f t="shared" si="17"/>
        <v>-27.521236000000002</v>
      </c>
    </row>
    <row r="275" spans="1:20">
      <c r="C275" s="163" t="s">
        <v>2679</v>
      </c>
      <c r="D275" s="143">
        <f>SUM(D268:D274)*5</f>
        <v>-547.35521499999993</v>
      </c>
      <c r="E275" s="143">
        <f t="shared" si="8"/>
        <v>-403.146725</v>
      </c>
      <c r="F275" s="143">
        <f t="shared" si="11"/>
        <v>-320.79150599999997</v>
      </c>
      <c r="G275" s="143">
        <f t="shared" si="11"/>
        <v>-1271.2934460000001</v>
      </c>
      <c r="H275" s="143">
        <f t="shared" si="11"/>
        <v>-950.5019400000001</v>
      </c>
    </row>
    <row r="277" spans="1:20">
      <c r="A277" t="s">
        <v>2699</v>
      </c>
      <c r="G277" t="s">
        <v>1603</v>
      </c>
      <c r="H277" t="s">
        <v>2700</v>
      </c>
      <c r="I277" t="s">
        <v>1596</v>
      </c>
      <c r="J277" t="s">
        <v>2701</v>
      </c>
      <c r="K277" t="s">
        <v>1605</v>
      </c>
    </row>
    <row r="278" spans="1:20">
      <c r="A278" t="s">
        <v>2702</v>
      </c>
      <c r="C278" s="352" t="s">
        <v>2703</v>
      </c>
      <c r="D278" s="352"/>
      <c r="E278" s="352"/>
      <c r="F278" s="178">
        <v>2015</v>
      </c>
      <c r="G278" s="152">
        <v>36735840909.090897</v>
      </c>
      <c r="H278" s="152">
        <v>36735840909.090897</v>
      </c>
      <c r="I278" s="152">
        <v>36735840909.090897</v>
      </c>
      <c r="J278" s="152">
        <v>36735840909.090897</v>
      </c>
      <c r="K278" s="152">
        <v>36735840909.090897</v>
      </c>
    </row>
    <row r="279" spans="1:20">
      <c r="C279" s="352"/>
      <c r="D279" s="352"/>
      <c r="E279" s="352"/>
      <c r="F279" s="244">
        <v>2040</v>
      </c>
      <c r="G279" s="245">
        <v>39275000000</v>
      </c>
      <c r="H279" s="245">
        <v>39796522727.272705</v>
      </c>
      <c r="I279" s="245">
        <v>40035181818.181801</v>
      </c>
      <c r="J279" s="245">
        <v>39272306818.181801</v>
      </c>
      <c r="K279" s="245">
        <v>39129772727.272705</v>
      </c>
    </row>
    <row r="280" spans="1:20">
      <c r="C280" s="352"/>
      <c r="D280" s="352"/>
      <c r="E280" s="352"/>
      <c r="F280" s="178">
        <v>2050.16129032258</v>
      </c>
      <c r="G280" s="152">
        <v>39589931818.181793</v>
      </c>
      <c r="H280" s="152">
        <v>40141454545.454498</v>
      </c>
      <c r="I280" s="152">
        <v>40471704545.454498</v>
      </c>
      <c r="J280" s="152">
        <v>39582340909.090904</v>
      </c>
      <c r="K280" s="152">
        <v>39324090909.090897</v>
      </c>
    </row>
    <row r="281" spans="1:20">
      <c r="C281" s="352"/>
      <c r="D281" s="352"/>
      <c r="E281" s="352"/>
      <c r="F281" s="244">
        <v>2060</v>
      </c>
      <c r="G281" s="245">
        <v>39472863636.363602</v>
      </c>
      <c r="H281" s="245">
        <v>39851363636.363602</v>
      </c>
      <c r="I281" s="245">
        <v>40260227272.727196</v>
      </c>
      <c r="J281" s="245">
        <v>39295431818.181801</v>
      </c>
      <c r="K281" s="245">
        <v>39128409090.909004</v>
      </c>
    </row>
    <row r="282" spans="1:20">
      <c r="C282" t="s">
        <v>2704</v>
      </c>
      <c r="G282" s="152">
        <f>G278*25+G279*10+G280*10+G281*10</f>
        <v>2101773977272.7263</v>
      </c>
      <c r="H282" s="152">
        <f t="shared" ref="H282:K282" si="18">H278*25+H279*10+H280*10+H281*10</f>
        <v>2116289431818.1804</v>
      </c>
      <c r="I282" s="152">
        <f t="shared" si="18"/>
        <v>2126067159090.9072</v>
      </c>
      <c r="J282" s="152">
        <f t="shared" si="18"/>
        <v>2099896818181.8174</v>
      </c>
      <c r="K282" s="152">
        <f t="shared" si="18"/>
        <v>2094218749999.9985</v>
      </c>
    </row>
    <row r="283" spans="1:20">
      <c r="G283" s="152"/>
      <c r="H283" s="152"/>
      <c r="I283" s="152"/>
      <c r="J283" s="152"/>
      <c r="K283" s="152"/>
    </row>
    <row r="285" spans="1:20">
      <c r="A285" t="s">
        <v>2705</v>
      </c>
      <c r="B285" t="s">
        <v>2706</v>
      </c>
    </row>
    <row r="286" spans="1:20">
      <c r="B286" s="141"/>
      <c r="C286" s="141"/>
      <c r="D286" s="141" t="s">
        <v>1089</v>
      </c>
      <c r="E286" s="141">
        <v>0</v>
      </c>
      <c r="F286" s="141">
        <v>1</v>
      </c>
      <c r="G286" s="141">
        <v>2</v>
      </c>
      <c r="H286" s="141">
        <v>3</v>
      </c>
      <c r="I286" s="141">
        <v>4</v>
      </c>
      <c r="J286" s="141"/>
      <c r="K286" s="141"/>
      <c r="L286" s="141"/>
      <c r="M286" s="141"/>
      <c r="N286" s="141"/>
      <c r="O286" s="141"/>
      <c r="P286" s="141"/>
      <c r="Q286" s="141"/>
      <c r="R286" s="141"/>
      <c r="S286" s="141"/>
      <c r="T286" s="141"/>
    </row>
    <row r="287" spans="1:20">
      <c r="B287" s="213" t="s">
        <v>2296</v>
      </c>
      <c r="C287" s="141"/>
      <c r="D287" s="141"/>
      <c r="E287" s="141">
        <v>80.851060000000004</v>
      </c>
      <c r="F287" s="141">
        <v>68.510639999999995</v>
      </c>
      <c r="G287" s="141">
        <v>96.170209999999997</v>
      </c>
      <c r="H287" s="141">
        <v>78.723399999999998</v>
      </c>
      <c r="I287" s="141">
        <v>72.765960000000007</v>
      </c>
      <c r="J287" s="141"/>
      <c r="K287" s="141"/>
      <c r="L287" s="141"/>
      <c r="N287" s="141"/>
      <c r="O287" s="141"/>
      <c r="P287" s="141"/>
      <c r="Q287" s="141"/>
      <c r="R287" s="141"/>
      <c r="S287" s="141"/>
      <c r="T287" s="141"/>
    </row>
    <row r="288" spans="1:20">
      <c r="B288" s="141"/>
      <c r="C288" s="141"/>
      <c r="D288" s="141"/>
      <c r="E288" s="141">
        <v>83.404259999999994</v>
      </c>
      <c r="F288" s="141">
        <v>70.638300000000001</v>
      </c>
      <c r="G288" s="141">
        <v>94.468090000000004</v>
      </c>
      <c r="H288" s="141">
        <v>80.425529999999995</v>
      </c>
      <c r="I288" s="141">
        <v>74.468090000000004</v>
      </c>
      <c r="J288" s="141"/>
      <c r="K288" s="141"/>
      <c r="L288" s="141"/>
      <c r="M288" s="141"/>
      <c r="N288" s="141"/>
      <c r="O288" s="141"/>
      <c r="P288" s="141"/>
      <c r="Q288" s="141"/>
      <c r="R288" s="141"/>
      <c r="S288" s="141"/>
      <c r="T288" s="141"/>
    </row>
    <row r="289" spans="2:20">
      <c r="B289" s="141"/>
      <c r="C289" s="141"/>
      <c r="D289" s="141"/>
      <c r="E289" s="141">
        <v>79.148939999999996</v>
      </c>
      <c r="F289" s="141">
        <v>70.638300000000001</v>
      </c>
      <c r="G289" s="141">
        <v>93.617019999999997</v>
      </c>
      <c r="H289" s="141">
        <v>76.595740000000006</v>
      </c>
      <c r="I289" s="141">
        <v>71.489360000000005</v>
      </c>
      <c r="J289" s="141"/>
      <c r="K289" s="141"/>
      <c r="L289" s="141"/>
      <c r="M289" s="141"/>
      <c r="N289" s="141"/>
      <c r="O289" s="141"/>
      <c r="P289" s="141"/>
      <c r="Q289" s="141"/>
      <c r="R289" s="141"/>
      <c r="S289" s="141"/>
      <c r="T289" s="141"/>
    </row>
    <row r="290" spans="2:20">
      <c r="B290" s="141"/>
      <c r="C290" s="141"/>
      <c r="D290" s="141"/>
      <c r="E290" s="141">
        <v>81.702129999999997</v>
      </c>
      <c r="F290" s="141">
        <v>70.638300000000001</v>
      </c>
      <c r="G290" s="141">
        <v>89.361699999999999</v>
      </c>
      <c r="H290" s="141">
        <v>79.574470000000005</v>
      </c>
      <c r="I290" s="141">
        <v>73.617019999999997</v>
      </c>
      <c r="J290" s="141"/>
      <c r="K290" s="141"/>
      <c r="L290" s="141"/>
      <c r="M290" s="141"/>
      <c r="N290" s="141"/>
      <c r="O290" s="141"/>
      <c r="P290" s="141"/>
      <c r="Q290" s="141"/>
      <c r="R290" s="141"/>
      <c r="S290" s="141"/>
      <c r="T290" s="141"/>
    </row>
    <row r="291" spans="2:20">
      <c r="B291" s="141"/>
      <c r="C291" s="141"/>
      <c r="D291" s="141"/>
      <c r="E291" s="141">
        <v>78.297870000000003</v>
      </c>
      <c r="F291" s="141">
        <v>73.617019999999997</v>
      </c>
      <c r="G291" s="141">
        <v>85.957449999999994</v>
      </c>
      <c r="H291" s="141">
        <v>76.170209999999997</v>
      </c>
      <c r="I291" s="141">
        <v>70.638300000000001</v>
      </c>
      <c r="J291" s="141"/>
      <c r="K291" s="141"/>
      <c r="L291" s="141"/>
      <c r="M291" s="141"/>
      <c r="N291" s="141"/>
      <c r="O291" s="141"/>
      <c r="P291" s="141"/>
      <c r="Q291" s="141"/>
      <c r="R291" s="141"/>
      <c r="S291" s="141"/>
      <c r="T291" s="141"/>
    </row>
    <row r="292" spans="2:20">
      <c r="B292" s="141"/>
      <c r="C292" s="141"/>
      <c r="D292" s="141"/>
      <c r="E292" s="141">
        <v>75.744680000000002</v>
      </c>
      <c r="F292" s="141">
        <v>74.893619999999999</v>
      </c>
      <c r="G292" s="141">
        <v>76.595740000000006</v>
      </c>
      <c r="H292" s="141">
        <v>74.042550000000006</v>
      </c>
      <c r="I292" s="141">
        <v>68.936170000000004</v>
      </c>
      <c r="J292" s="141"/>
      <c r="K292" s="141"/>
      <c r="L292" s="141"/>
      <c r="M292" s="141"/>
      <c r="N292" s="141"/>
      <c r="O292" s="141"/>
      <c r="P292" s="141"/>
      <c r="Q292" s="141"/>
      <c r="R292" s="141"/>
      <c r="S292" s="141"/>
      <c r="T292" s="141"/>
    </row>
    <row r="293" spans="2:20">
      <c r="B293" s="141"/>
      <c r="C293" s="141"/>
      <c r="D293" s="141"/>
      <c r="E293" s="141">
        <v>82.553190000000001</v>
      </c>
      <c r="F293" s="141">
        <v>78.297870000000003</v>
      </c>
      <c r="G293" s="141">
        <v>80.851060000000004</v>
      </c>
      <c r="H293" s="141">
        <v>79.574470000000005</v>
      </c>
      <c r="I293" s="141">
        <v>73.617019999999997</v>
      </c>
      <c r="J293" s="141"/>
      <c r="K293" s="141"/>
      <c r="L293" s="141"/>
      <c r="M293" s="141"/>
      <c r="N293" s="141"/>
      <c r="O293" s="141"/>
      <c r="P293" s="141"/>
      <c r="Q293" s="141"/>
      <c r="R293" s="141"/>
      <c r="S293" s="141"/>
      <c r="T293" s="141"/>
    </row>
    <row r="294" spans="2:20">
      <c r="B294" s="141"/>
      <c r="C294" s="141"/>
      <c r="D294" s="141" t="s">
        <v>2297</v>
      </c>
      <c r="E294" s="163">
        <v>80.243160000000003</v>
      </c>
      <c r="F294" s="163">
        <v>72.462010000000006</v>
      </c>
      <c r="G294" s="163">
        <v>88.145899999999997</v>
      </c>
      <c r="H294" s="163">
        <v>77.872339999999994</v>
      </c>
      <c r="I294" s="163">
        <v>72.21884</v>
      </c>
      <c r="J294" s="141"/>
      <c r="K294" s="141"/>
      <c r="L294" s="141"/>
      <c r="M294" s="141"/>
      <c r="N294" s="141"/>
      <c r="O294" s="141"/>
      <c r="P294" s="141"/>
      <c r="Q294" s="141"/>
      <c r="R294" s="141"/>
      <c r="S294" s="141"/>
      <c r="T294" s="141"/>
    </row>
    <row r="295" spans="2:20">
      <c r="B295" s="141"/>
      <c r="C295" s="141"/>
      <c r="D295" s="141" t="s">
        <v>2707</v>
      </c>
      <c r="E295" s="141">
        <v>2808.511</v>
      </c>
      <c r="F295" s="141">
        <v>2536.17</v>
      </c>
      <c r="G295" s="141">
        <v>3085.1060000000002</v>
      </c>
      <c r="H295" s="141">
        <v>2725.5320000000002</v>
      </c>
      <c r="I295" s="141">
        <v>2527.66</v>
      </c>
      <c r="J295" s="141"/>
      <c r="K295" s="141"/>
      <c r="L295" s="141"/>
      <c r="M295" s="141"/>
      <c r="N295" s="141"/>
      <c r="O295" s="141"/>
      <c r="P295" s="141"/>
      <c r="Q295" s="141"/>
      <c r="R295" s="141"/>
      <c r="S295" s="141"/>
      <c r="T295" s="141"/>
    </row>
    <row r="296" spans="2:20">
      <c r="B296" s="141"/>
      <c r="C296" s="141"/>
      <c r="D296" s="141"/>
      <c r="E296" s="141" t="s">
        <v>2298</v>
      </c>
      <c r="F296" s="141">
        <v>1</v>
      </c>
      <c r="G296" s="141">
        <v>2</v>
      </c>
      <c r="H296" s="141">
        <v>3</v>
      </c>
      <c r="I296" s="141">
        <v>4</v>
      </c>
      <c r="J296" s="141"/>
      <c r="K296" s="141"/>
      <c r="L296" s="141"/>
      <c r="M296" s="141"/>
      <c r="N296" s="141"/>
      <c r="O296" s="141"/>
      <c r="P296" s="141"/>
      <c r="Q296" s="141"/>
      <c r="R296" s="141"/>
      <c r="S296" s="141"/>
      <c r="T296" s="141"/>
    </row>
    <row r="297" spans="2:20">
      <c r="B297" s="141"/>
      <c r="C297" s="141"/>
      <c r="D297" s="141" t="s">
        <v>1208</v>
      </c>
      <c r="E297" s="141"/>
      <c r="F297" s="214" t="s">
        <v>687</v>
      </c>
      <c r="G297" s="141" t="s">
        <v>426</v>
      </c>
      <c r="H297" s="214" t="s">
        <v>2302</v>
      </c>
      <c r="I297" s="214" t="s">
        <v>2301</v>
      </c>
      <c r="J297" s="141"/>
      <c r="K297" s="141"/>
      <c r="L297" s="141"/>
      <c r="M297" s="141"/>
      <c r="N297" s="141"/>
      <c r="O297" s="141"/>
      <c r="P297" s="141"/>
      <c r="Q297" s="141"/>
      <c r="R297" s="141"/>
      <c r="S297" s="141"/>
      <c r="T297" s="141"/>
    </row>
    <row r="298" spans="2:20">
      <c r="B298" s="141"/>
      <c r="C298" s="141"/>
      <c r="D298" s="213" t="s">
        <v>2304</v>
      </c>
      <c r="E298" s="141" t="s">
        <v>2672</v>
      </c>
      <c r="F298" s="215">
        <v>-17.840900000000001</v>
      </c>
      <c r="G298" s="215">
        <v>24.49541</v>
      </c>
      <c r="H298" s="215">
        <v>-2.5858599999999998</v>
      </c>
      <c r="I298" s="216">
        <v>-8.9655199999999997</v>
      </c>
      <c r="J298" s="141"/>
      <c r="K298" s="141"/>
      <c r="L298" s="141"/>
      <c r="M298" s="141"/>
      <c r="N298" s="141"/>
      <c r="O298" s="141"/>
      <c r="P298" s="141"/>
      <c r="Q298" s="141"/>
      <c r="R298" s="141"/>
      <c r="S298" s="141"/>
      <c r="T298" s="141"/>
    </row>
    <row r="299" spans="2:20">
      <c r="B299" s="141"/>
      <c r="C299" s="141"/>
      <c r="D299" s="141"/>
      <c r="E299" s="141" t="s">
        <v>2673</v>
      </c>
      <c r="F299" s="215">
        <v>-16.818200000000001</v>
      </c>
      <c r="G299" s="215">
        <v>23.57798</v>
      </c>
      <c r="H299" s="215">
        <v>-2.6565699999999999</v>
      </c>
      <c r="I299" s="216">
        <v>-8.9655199999999997</v>
      </c>
      <c r="J299" s="141"/>
      <c r="K299" s="141"/>
      <c r="L299" s="141"/>
      <c r="M299" s="141"/>
      <c r="N299" s="141"/>
      <c r="O299" s="141"/>
      <c r="P299" s="141"/>
      <c r="Q299" s="141"/>
      <c r="R299" s="141"/>
      <c r="S299" s="141"/>
      <c r="T299" s="141"/>
    </row>
    <row r="300" spans="2:20">
      <c r="B300" s="141"/>
      <c r="C300" s="141"/>
      <c r="D300" s="141"/>
      <c r="E300" s="141" t="s">
        <v>2674</v>
      </c>
      <c r="F300" s="215">
        <v>-12.045500000000001</v>
      </c>
      <c r="G300" s="215">
        <v>25.412839999999999</v>
      </c>
      <c r="H300" s="215">
        <v>-2.5151500000000002</v>
      </c>
      <c r="I300" s="216">
        <v>-8.5862099999999995</v>
      </c>
      <c r="J300" s="141"/>
      <c r="K300" s="141"/>
      <c r="L300" s="141"/>
      <c r="M300" s="141"/>
      <c r="N300" s="141"/>
      <c r="O300" s="141"/>
      <c r="P300" s="141"/>
      <c r="Q300" s="141"/>
      <c r="R300" s="141"/>
      <c r="S300" s="141"/>
      <c r="T300" s="141"/>
    </row>
    <row r="301" spans="2:20">
      <c r="B301" s="141"/>
      <c r="C301" s="141"/>
      <c r="D301" s="141"/>
      <c r="E301" s="141" t="s">
        <v>2675</v>
      </c>
      <c r="F301" s="215">
        <v>-18.5227</v>
      </c>
      <c r="G301" s="215">
        <v>11.65138</v>
      </c>
      <c r="H301" s="215">
        <v>-2.9393899999999999</v>
      </c>
      <c r="I301" s="216">
        <v>-9.34483</v>
      </c>
      <c r="J301" s="141"/>
      <c r="K301" s="141"/>
      <c r="L301" s="141"/>
      <c r="M301" s="141"/>
      <c r="N301" s="141"/>
      <c r="O301" s="141"/>
      <c r="P301" s="141"/>
      <c r="Q301" s="141"/>
      <c r="R301" s="141"/>
      <c r="S301" s="141"/>
      <c r="T301" s="141"/>
    </row>
    <row r="302" spans="2:20">
      <c r="B302" s="141"/>
      <c r="C302" s="141"/>
      <c r="D302" s="141"/>
      <c r="E302" s="141" t="s">
        <v>2676</v>
      </c>
      <c r="F302" s="215">
        <v>-5.2272699999999999</v>
      </c>
      <c r="G302" s="215">
        <v>13.48624</v>
      </c>
      <c r="H302" s="215">
        <v>-2.5151500000000002</v>
      </c>
      <c r="I302" s="216">
        <v>-8.2068999999999992</v>
      </c>
      <c r="J302" s="141"/>
      <c r="K302" s="141"/>
      <c r="L302" s="141"/>
      <c r="M302" s="141"/>
      <c r="N302" s="141"/>
      <c r="O302" s="141"/>
      <c r="P302" s="141"/>
      <c r="Q302" s="141"/>
      <c r="R302" s="141"/>
      <c r="S302" s="141"/>
      <c r="T302" s="141"/>
    </row>
    <row r="303" spans="2:20">
      <c r="B303" s="141"/>
      <c r="C303" s="141"/>
      <c r="D303" s="141"/>
      <c r="E303" s="141" t="s">
        <v>2677</v>
      </c>
      <c r="F303" s="215">
        <v>0.227273</v>
      </c>
      <c r="G303" s="215">
        <v>1.1009169999999999</v>
      </c>
      <c r="H303" s="215">
        <v>-2.3737400000000002</v>
      </c>
      <c r="I303" s="216">
        <v>-8.0172399999999993</v>
      </c>
      <c r="J303" s="141"/>
      <c r="K303" s="141"/>
      <c r="L303" s="141"/>
      <c r="M303" s="141"/>
      <c r="N303" s="141"/>
      <c r="O303" s="141"/>
      <c r="P303" s="141"/>
      <c r="Q303" s="141"/>
      <c r="R303" s="141"/>
      <c r="S303" s="141"/>
      <c r="T303" s="141"/>
    </row>
    <row r="304" spans="2:20">
      <c r="B304" s="141"/>
      <c r="C304" s="141"/>
      <c r="D304" s="141"/>
      <c r="E304" s="141" t="s">
        <v>2678</v>
      </c>
      <c r="F304" s="215">
        <v>-0.45455000000000001</v>
      </c>
      <c r="G304" s="215">
        <v>-2.11009</v>
      </c>
      <c r="H304" s="215">
        <v>-2.7979799999999999</v>
      </c>
      <c r="I304" s="216">
        <v>-8.9655199999999997</v>
      </c>
      <c r="J304" s="141"/>
      <c r="K304" s="141"/>
      <c r="L304" s="141"/>
      <c r="M304" s="141"/>
      <c r="N304" s="141"/>
      <c r="O304" s="141"/>
      <c r="P304" s="141"/>
      <c r="Q304" s="141"/>
      <c r="R304" s="141"/>
      <c r="S304" s="141"/>
      <c r="T304" s="141"/>
    </row>
    <row r="305" spans="2:20">
      <c r="B305" s="141"/>
      <c r="C305" s="141"/>
      <c r="D305" s="213" t="s">
        <v>2297</v>
      </c>
      <c r="E305" s="141"/>
      <c r="F305" s="213">
        <v>-10.0974</v>
      </c>
      <c r="G305" s="213">
        <v>13.94495</v>
      </c>
      <c r="H305" s="213">
        <v>-2.6262599999999998</v>
      </c>
      <c r="I305" s="213">
        <v>-8.7216699999999996</v>
      </c>
      <c r="J305" s="141"/>
      <c r="K305" s="141"/>
      <c r="L305" s="141"/>
      <c r="M305" s="141"/>
      <c r="N305" s="141"/>
      <c r="O305" s="141"/>
      <c r="P305" s="141"/>
      <c r="Q305" s="141"/>
      <c r="R305" s="141"/>
      <c r="S305" s="141"/>
      <c r="T305" s="141"/>
    </row>
    <row r="306" spans="2:20">
      <c r="B306" s="141"/>
      <c r="C306" s="141"/>
      <c r="D306" s="246" t="s">
        <v>2708</v>
      </c>
      <c r="E306" s="247"/>
      <c r="F306" s="247">
        <f>F305*30</f>
        <v>-302.92200000000003</v>
      </c>
      <c r="G306" s="247">
        <f t="shared" ref="G306:I336" si="19">G305*30</f>
        <v>418.3485</v>
      </c>
      <c r="H306" s="247">
        <f t="shared" si="19"/>
        <v>-78.78779999999999</v>
      </c>
      <c r="I306" s="247">
        <f t="shared" si="19"/>
        <v>-261.65010000000001</v>
      </c>
      <c r="J306" s="141"/>
      <c r="K306" s="141"/>
      <c r="L306" s="141"/>
      <c r="M306" s="141"/>
      <c r="N306" s="141"/>
      <c r="O306" s="141"/>
      <c r="P306" s="141"/>
      <c r="Q306" s="141"/>
      <c r="R306" s="141"/>
      <c r="S306" s="141"/>
      <c r="T306" s="141"/>
    </row>
    <row r="307" spans="2:20">
      <c r="B307" s="141"/>
      <c r="C307" s="141"/>
      <c r="D307" s="141"/>
      <c r="E307" s="141"/>
      <c r="F307" s="141"/>
      <c r="G307" s="141"/>
      <c r="H307" s="141"/>
      <c r="I307" s="141"/>
      <c r="J307" s="141"/>
      <c r="K307" s="141"/>
      <c r="L307" s="141"/>
      <c r="M307" s="141"/>
      <c r="N307" s="141" t="s">
        <v>2298</v>
      </c>
      <c r="O307" s="141">
        <v>1</v>
      </c>
      <c r="P307" s="141">
        <v>2</v>
      </c>
      <c r="Q307" s="141">
        <v>3</v>
      </c>
      <c r="R307" s="141">
        <v>4</v>
      </c>
      <c r="S307" s="141"/>
      <c r="T307" s="141"/>
    </row>
    <row r="308" spans="2:20">
      <c r="B308" s="141"/>
      <c r="C308" s="141"/>
      <c r="D308" s="213" t="s">
        <v>229</v>
      </c>
      <c r="E308" s="141" t="s">
        <v>2672</v>
      </c>
      <c r="F308" s="221">
        <v>7.0454549999999996</v>
      </c>
      <c r="G308" s="221">
        <v>-7.6146799999999999</v>
      </c>
      <c r="H308" s="141">
        <v>0.66666700000000001</v>
      </c>
      <c r="I308" s="248">
        <v>2.0344799999999998</v>
      </c>
      <c r="J308" s="151" t="s">
        <v>2709</v>
      </c>
      <c r="K308" s="151"/>
      <c r="L308" s="151"/>
      <c r="M308" s="213" t="s">
        <v>2710</v>
      </c>
      <c r="N308" s="141" t="s">
        <v>2672</v>
      </c>
      <c r="O308" s="141">
        <v>-10.795500000000001</v>
      </c>
      <c r="P308" s="141">
        <v>16.88073</v>
      </c>
      <c r="Q308" s="141">
        <v>-1.91919</v>
      </c>
      <c r="R308" s="141">
        <v>-6.9310299999999998</v>
      </c>
      <c r="S308" s="141"/>
      <c r="T308" s="141"/>
    </row>
    <row r="309" spans="2:20">
      <c r="B309" s="141"/>
      <c r="C309" s="141"/>
      <c r="D309" s="141"/>
      <c r="E309" s="141" t="s">
        <v>2673</v>
      </c>
      <c r="F309" s="221">
        <v>3.6363639999999999</v>
      </c>
      <c r="G309" s="221">
        <v>-3.94495</v>
      </c>
      <c r="H309" s="141">
        <v>0.45454499999999998</v>
      </c>
      <c r="I309" s="248">
        <v>1.65517</v>
      </c>
      <c r="J309" s="141"/>
      <c r="K309" s="141"/>
      <c r="L309" s="141"/>
      <c r="M309" s="141"/>
      <c r="N309" s="141" t="s">
        <v>2673</v>
      </c>
      <c r="O309" s="141">
        <v>-13.181800000000001</v>
      </c>
      <c r="P309" s="141">
        <v>19.633030000000002</v>
      </c>
      <c r="Q309" s="141">
        <v>-2.2020200000000001</v>
      </c>
      <c r="R309" s="141">
        <v>-7.3103400000000001</v>
      </c>
      <c r="S309" s="141"/>
      <c r="T309" s="141"/>
    </row>
    <row r="310" spans="2:20">
      <c r="B310" s="141"/>
      <c r="C310" s="141"/>
      <c r="D310" s="141"/>
      <c r="E310" s="141" t="s">
        <v>2674</v>
      </c>
      <c r="F310" s="221">
        <v>1.931818</v>
      </c>
      <c r="G310" s="221">
        <v>-3.48624</v>
      </c>
      <c r="H310" s="141">
        <v>0.45454499999999998</v>
      </c>
      <c r="I310" s="248">
        <v>1.65517</v>
      </c>
      <c r="J310" s="141"/>
      <c r="K310" s="141"/>
      <c r="L310" s="141"/>
      <c r="M310" s="141"/>
      <c r="N310" s="141" t="s">
        <v>2674</v>
      </c>
      <c r="O310" s="141">
        <v>-10.1136</v>
      </c>
      <c r="P310" s="141">
        <v>21.92661</v>
      </c>
      <c r="Q310" s="141">
        <v>-2.0606100000000001</v>
      </c>
      <c r="R310" s="141">
        <v>-6.9310299999999998</v>
      </c>
      <c r="S310" s="141"/>
      <c r="T310" s="141"/>
    </row>
    <row r="311" spans="2:20">
      <c r="B311" s="141"/>
      <c r="C311" s="141"/>
      <c r="D311" s="141"/>
      <c r="E311" s="141" t="s">
        <v>2675</v>
      </c>
      <c r="F311" s="221">
        <v>1.931818</v>
      </c>
      <c r="G311" s="221">
        <v>-0.73394000000000004</v>
      </c>
      <c r="H311" s="141">
        <v>0.45454499999999998</v>
      </c>
      <c r="I311" s="248">
        <v>1.65517</v>
      </c>
      <c r="J311" s="141"/>
      <c r="K311" s="141"/>
      <c r="L311" s="141"/>
      <c r="M311" s="141"/>
      <c r="N311" s="141" t="s">
        <v>2675</v>
      </c>
      <c r="O311" s="141">
        <v>-16.590900000000001</v>
      </c>
      <c r="P311" s="141">
        <v>10.91743</v>
      </c>
      <c r="Q311" s="141">
        <v>-2.4848499999999998</v>
      </c>
      <c r="R311" s="141">
        <v>-7.6896599999999999</v>
      </c>
      <c r="S311" s="141"/>
      <c r="T311" s="141"/>
    </row>
    <row r="312" spans="2:20">
      <c r="B312" s="141"/>
      <c r="C312" s="141"/>
      <c r="D312" s="141"/>
      <c r="E312" s="141" t="s">
        <v>2676</v>
      </c>
      <c r="F312" s="221">
        <v>-0.45455000000000001</v>
      </c>
      <c r="G312" s="221">
        <v>0.18348600000000001</v>
      </c>
      <c r="H312" s="141">
        <v>0.45454499999999998</v>
      </c>
      <c r="I312" s="248">
        <v>1.65517</v>
      </c>
      <c r="J312" s="141"/>
      <c r="K312" s="141"/>
      <c r="L312" s="141"/>
      <c r="M312" s="141"/>
      <c r="N312" s="141" t="s">
        <v>2676</v>
      </c>
      <c r="O312" s="141">
        <v>-5.6818200000000001</v>
      </c>
      <c r="P312" s="141">
        <v>13.66972</v>
      </c>
      <c r="Q312" s="141">
        <v>-2.0606100000000001</v>
      </c>
      <c r="R312" s="141">
        <v>-6.5517200000000004</v>
      </c>
      <c r="S312" s="141"/>
      <c r="T312" s="141"/>
    </row>
    <row r="313" spans="2:20">
      <c r="B313" s="141"/>
      <c r="C313" s="141"/>
      <c r="D313" s="141"/>
      <c r="E313" s="141" t="s">
        <v>2677</v>
      </c>
      <c r="F313" s="221">
        <v>-0.79544999999999999</v>
      </c>
      <c r="G313" s="221">
        <v>2.9357799999999998</v>
      </c>
      <c r="H313" s="141">
        <v>0.31313099999999999</v>
      </c>
      <c r="I313" s="248">
        <v>1.4655199999999999</v>
      </c>
      <c r="J313" s="141"/>
      <c r="K313" s="141"/>
      <c r="L313" s="141"/>
      <c r="M313" s="141"/>
      <c r="N313" s="141" t="s">
        <v>2677</v>
      </c>
      <c r="O313" s="141">
        <v>-0.56818000000000002</v>
      </c>
      <c r="P313" s="141">
        <v>4.0366970000000002</v>
      </c>
      <c r="Q313" s="141">
        <v>-2.0606100000000001</v>
      </c>
      <c r="R313" s="141">
        <v>-6.5517200000000004</v>
      </c>
      <c r="S313" s="141"/>
      <c r="T313" s="141"/>
    </row>
    <row r="314" spans="2:20">
      <c r="B314" s="141"/>
      <c r="C314" s="141"/>
      <c r="D314" s="141"/>
      <c r="E314" s="141" t="s">
        <v>2678</v>
      </c>
      <c r="F314" s="221">
        <v>0.56818199999999996</v>
      </c>
      <c r="G314" s="221">
        <v>2.0183490000000002</v>
      </c>
      <c r="H314" s="141">
        <v>0.52525299999999997</v>
      </c>
      <c r="I314" s="248">
        <v>1.4655199999999999</v>
      </c>
      <c r="J314" s="141"/>
      <c r="K314" s="141"/>
      <c r="L314" s="141"/>
      <c r="M314" s="141"/>
      <c r="N314" s="141" t="s">
        <v>2678</v>
      </c>
      <c r="O314" s="141">
        <v>0.113636</v>
      </c>
      <c r="P314" s="141">
        <v>-9.1740000000000002E-2</v>
      </c>
      <c r="Q314" s="141">
        <v>-2.2727300000000001</v>
      </c>
      <c r="R314" s="141">
        <v>-7.5</v>
      </c>
      <c r="S314" s="141"/>
      <c r="T314" s="141"/>
    </row>
    <row r="315" spans="2:20">
      <c r="B315" s="141"/>
      <c r="C315" s="141"/>
      <c r="D315" s="213" t="s">
        <v>2297</v>
      </c>
      <c r="E315" s="141"/>
      <c r="F315" s="213">
        <v>1.9805189999999999</v>
      </c>
      <c r="G315" s="213">
        <v>-1.5203100000000001</v>
      </c>
      <c r="H315" s="213">
        <v>0.47474699999999997</v>
      </c>
      <c r="I315" s="213">
        <v>1.6551720000000001</v>
      </c>
      <c r="J315" s="141"/>
      <c r="K315" s="141"/>
      <c r="L315" s="141"/>
      <c r="M315" s="213" t="s">
        <v>2297</v>
      </c>
      <c r="N315" s="213"/>
      <c r="O315" s="213">
        <v>-8.1168800000000001</v>
      </c>
      <c r="P315" s="213">
        <v>12.42464</v>
      </c>
      <c r="Q315" s="213">
        <v>-2.1515200000000001</v>
      </c>
      <c r="R315" s="213">
        <v>-7.0664999999999996</v>
      </c>
      <c r="S315" s="141"/>
      <c r="T315" s="141"/>
    </row>
    <row r="316" spans="2:20">
      <c r="B316" s="141"/>
      <c r="C316" s="141"/>
      <c r="D316" s="141" t="s">
        <v>2708</v>
      </c>
      <c r="E316" s="141"/>
      <c r="F316" s="141">
        <v>59.415579999999999</v>
      </c>
      <c r="G316" s="141">
        <v>-45.609400000000001</v>
      </c>
      <c r="H316" s="141">
        <v>14.242419999999999</v>
      </c>
      <c r="I316" s="141">
        <v>49.655169999999998</v>
      </c>
      <c r="J316" s="141"/>
      <c r="K316" s="141"/>
      <c r="L316" s="141"/>
      <c r="M316" s="246" t="s">
        <v>2708</v>
      </c>
      <c r="N316" s="247"/>
      <c r="O316" s="247">
        <f>O315*30</f>
        <v>-243.50640000000001</v>
      </c>
      <c r="P316" s="247">
        <f t="shared" ref="P316:Q316" si="20">P315*30</f>
        <v>372.73919999999998</v>
      </c>
      <c r="Q316" s="247">
        <f t="shared" si="20"/>
        <v>-64.545600000000007</v>
      </c>
      <c r="R316" s="247">
        <f>R315*30</f>
        <v>-211.99499999999998</v>
      </c>
      <c r="S316" s="141"/>
      <c r="T316" s="141"/>
    </row>
    <row r="317" spans="2:20">
      <c r="B317" s="141"/>
      <c r="C317" s="141"/>
      <c r="D317" s="141"/>
      <c r="E317" s="141"/>
      <c r="F317" s="141"/>
      <c r="G317" s="141"/>
      <c r="H317" s="141"/>
      <c r="I317" s="141"/>
      <c r="J317" s="141"/>
      <c r="K317" s="141"/>
      <c r="L317" s="141"/>
      <c r="M317" s="141"/>
      <c r="N317" s="141"/>
      <c r="O317" s="141"/>
      <c r="P317" s="141"/>
      <c r="Q317" s="141"/>
      <c r="R317" s="141"/>
      <c r="S317" s="141"/>
      <c r="T317" s="141"/>
    </row>
    <row r="318" spans="2:20">
      <c r="B318" s="141"/>
      <c r="C318" s="141"/>
      <c r="D318" s="213" t="s">
        <v>2307</v>
      </c>
      <c r="E318" s="141" t="s">
        <v>2672</v>
      </c>
      <c r="F318" s="217">
        <v>13.18182</v>
      </c>
      <c r="G318" s="217">
        <v>-16.789000000000001</v>
      </c>
      <c r="H318" s="217">
        <v>2.575758</v>
      </c>
      <c r="I318" s="222">
        <v>8.4827600000000007</v>
      </c>
      <c r="J318" s="141"/>
      <c r="K318" s="141"/>
      <c r="L318" s="141"/>
      <c r="M318" s="141"/>
      <c r="N318" s="141"/>
      <c r="O318" s="141"/>
      <c r="P318" s="141"/>
      <c r="Q318" s="141"/>
      <c r="R318" s="141"/>
      <c r="S318" s="141"/>
      <c r="T318" s="141"/>
    </row>
    <row r="319" spans="2:20">
      <c r="B319" s="141"/>
      <c r="C319" s="141"/>
      <c r="D319" s="141"/>
      <c r="E319" s="141" t="s">
        <v>2673</v>
      </c>
      <c r="F319" s="217">
        <v>13.18182</v>
      </c>
      <c r="G319" s="217">
        <v>-13.119300000000001</v>
      </c>
      <c r="H319" s="217">
        <v>2.6464650000000001</v>
      </c>
      <c r="I319" s="222">
        <v>8.8620699999999992</v>
      </c>
      <c r="J319" s="141"/>
      <c r="K319" s="141"/>
      <c r="L319" s="141"/>
      <c r="M319" s="141"/>
      <c r="N319" s="141"/>
      <c r="O319" s="141"/>
      <c r="P319" s="141"/>
      <c r="Q319" s="141"/>
      <c r="R319" s="141"/>
      <c r="S319" s="141"/>
      <c r="T319" s="141"/>
    </row>
    <row r="320" spans="2:20">
      <c r="B320" s="141"/>
      <c r="C320" s="141"/>
      <c r="D320" s="141"/>
      <c r="E320" s="141" t="s">
        <v>2674</v>
      </c>
      <c r="F320" s="217">
        <v>8.4090910000000001</v>
      </c>
      <c r="G320" s="217">
        <v>-15.412800000000001</v>
      </c>
      <c r="H320" s="217">
        <v>2.575758</v>
      </c>
      <c r="I320" s="222">
        <v>8.4827600000000007</v>
      </c>
      <c r="J320" s="141"/>
      <c r="K320" s="141"/>
      <c r="L320" s="141"/>
      <c r="M320" s="141"/>
      <c r="N320" s="141"/>
      <c r="O320" s="141"/>
      <c r="P320" s="141"/>
      <c r="Q320" s="141"/>
      <c r="R320" s="141"/>
      <c r="S320" s="141"/>
      <c r="T320" s="141"/>
    </row>
    <row r="321" spans="2:20">
      <c r="B321" s="141"/>
      <c r="C321" s="141"/>
      <c r="D321" s="141"/>
      <c r="E321" s="141" t="s">
        <v>2675</v>
      </c>
      <c r="F321" s="217">
        <v>11.81818</v>
      </c>
      <c r="G321" s="217">
        <v>-8.5321099999999994</v>
      </c>
      <c r="H321" s="217">
        <v>2.575758</v>
      </c>
      <c r="I321" s="222">
        <v>8.4827600000000007</v>
      </c>
      <c r="J321" s="141"/>
      <c r="K321" s="141"/>
      <c r="L321" s="141"/>
      <c r="M321" s="141"/>
      <c r="N321" s="141"/>
      <c r="O321" s="141"/>
      <c r="P321" s="141"/>
      <c r="Q321" s="141"/>
      <c r="R321" s="141"/>
      <c r="S321" s="141"/>
      <c r="T321" s="141"/>
    </row>
    <row r="322" spans="2:20">
      <c r="B322" s="141"/>
      <c r="C322" s="141"/>
      <c r="D322" s="141"/>
      <c r="E322" s="141" t="s">
        <v>2676</v>
      </c>
      <c r="F322" s="217">
        <v>5.3409089999999999</v>
      </c>
      <c r="G322" s="217">
        <v>-7.6146799999999999</v>
      </c>
      <c r="H322" s="217">
        <v>2.5050509999999999</v>
      </c>
      <c r="I322" s="222">
        <v>8.2931000000000008</v>
      </c>
      <c r="J322" s="141"/>
      <c r="K322" s="141"/>
      <c r="L322" s="141"/>
      <c r="M322" s="141"/>
      <c r="N322" s="141"/>
      <c r="O322" s="141"/>
      <c r="P322" s="141"/>
      <c r="Q322" s="141"/>
      <c r="R322" s="141"/>
      <c r="S322" s="141"/>
      <c r="T322" s="141"/>
    </row>
    <row r="323" spans="2:20">
      <c r="B323" s="141"/>
      <c r="C323" s="141"/>
      <c r="D323" s="141"/>
      <c r="E323" s="141" t="s">
        <v>2677</v>
      </c>
      <c r="F323" s="217">
        <v>1.5909089999999999</v>
      </c>
      <c r="G323" s="217">
        <v>-0.27522999999999997</v>
      </c>
      <c r="H323" s="217">
        <v>2.4343430000000001</v>
      </c>
      <c r="I323" s="222">
        <v>8.1034500000000005</v>
      </c>
      <c r="J323" s="141"/>
      <c r="K323" s="141"/>
      <c r="L323" s="141"/>
      <c r="M323" s="141"/>
      <c r="N323" s="141"/>
      <c r="O323" s="141"/>
      <c r="P323" s="141"/>
      <c r="Q323" s="141"/>
      <c r="R323" s="141"/>
      <c r="S323" s="141"/>
      <c r="T323" s="141"/>
    </row>
    <row r="324" spans="2:20">
      <c r="B324" s="141"/>
      <c r="C324" s="141"/>
      <c r="D324" s="141"/>
      <c r="E324" s="141" t="s">
        <v>2678</v>
      </c>
      <c r="F324" s="217">
        <v>3.9772729999999998</v>
      </c>
      <c r="G324" s="217">
        <v>1.559633</v>
      </c>
      <c r="H324" s="217">
        <v>2.6464650000000001</v>
      </c>
      <c r="I324" s="222">
        <v>8.6724099999999993</v>
      </c>
      <c r="J324" s="141"/>
      <c r="K324" s="141"/>
      <c r="L324" s="141"/>
      <c r="M324" s="141"/>
      <c r="N324" s="141"/>
      <c r="O324" s="141"/>
      <c r="P324" s="141"/>
      <c r="Q324" s="141"/>
      <c r="R324" s="141"/>
      <c r="S324" s="141"/>
      <c r="T324" s="141"/>
    </row>
    <row r="325" spans="2:20">
      <c r="B325" s="141"/>
      <c r="C325" s="141"/>
      <c r="D325" s="213" t="s">
        <v>2297</v>
      </c>
      <c r="E325" s="141"/>
      <c r="F325" s="213">
        <v>8.2142859999999995</v>
      </c>
      <c r="G325" s="213">
        <v>-8.5976400000000002</v>
      </c>
      <c r="H325" s="213">
        <v>2.5656569999999999</v>
      </c>
      <c r="I325" s="213">
        <v>8.4827589999999997</v>
      </c>
      <c r="J325" s="141"/>
      <c r="K325" s="141"/>
      <c r="L325" s="141"/>
      <c r="M325" s="141"/>
      <c r="N325" s="141"/>
      <c r="O325" s="141"/>
      <c r="P325" s="141"/>
      <c r="Q325" s="141"/>
      <c r="R325" s="141"/>
      <c r="S325" s="141"/>
      <c r="T325" s="141"/>
    </row>
    <row r="326" spans="2:20">
      <c r="B326" s="141"/>
      <c r="C326" s="141"/>
      <c r="D326" s="141" t="s">
        <v>2708</v>
      </c>
      <c r="E326" s="141"/>
      <c r="F326" s="141">
        <v>246.42859999999999</v>
      </c>
      <c r="G326" s="141">
        <v>-257.92899999999997</v>
      </c>
      <c r="H326" s="141">
        <v>76.969700000000003</v>
      </c>
      <c r="I326" s="141">
        <v>254.4828</v>
      </c>
      <c r="J326" s="141"/>
      <c r="K326" s="141"/>
      <c r="L326" s="141"/>
      <c r="M326" s="141"/>
      <c r="N326" s="141"/>
      <c r="O326" s="141"/>
      <c r="P326" s="141"/>
      <c r="Q326" s="141"/>
      <c r="R326" s="141"/>
      <c r="S326" s="141"/>
      <c r="T326" s="141"/>
    </row>
    <row r="327" spans="2:20">
      <c r="B327" s="141"/>
      <c r="C327" s="141"/>
      <c r="D327" s="141"/>
      <c r="E327" s="141"/>
      <c r="F327" s="141"/>
      <c r="G327" s="141"/>
      <c r="H327" s="141"/>
      <c r="I327" s="141"/>
      <c r="J327" s="141"/>
      <c r="K327" s="141"/>
      <c r="L327" s="141"/>
      <c r="M327" s="141"/>
      <c r="N327" s="141"/>
      <c r="O327" s="141"/>
      <c r="P327" s="141"/>
      <c r="Q327" s="141"/>
      <c r="R327" s="141"/>
      <c r="S327" s="141"/>
      <c r="T327" s="141"/>
    </row>
    <row r="328" spans="2:20">
      <c r="B328" s="141"/>
      <c r="C328" s="141"/>
      <c r="D328" s="213" t="s">
        <v>2305</v>
      </c>
      <c r="E328" s="141" t="s">
        <v>2672</v>
      </c>
      <c r="F328" s="219">
        <v>2.2727270000000002</v>
      </c>
      <c r="G328" s="219">
        <v>0.64220200000000005</v>
      </c>
      <c r="H328" s="219">
        <v>1.3030299999999999</v>
      </c>
      <c r="I328" s="220">
        <v>4.3103400000000001</v>
      </c>
      <c r="J328" s="141"/>
      <c r="K328" s="141"/>
      <c r="L328" s="141"/>
      <c r="M328" s="141"/>
      <c r="N328" s="141"/>
      <c r="O328" s="141"/>
      <c r="P328" s="141"/>
      <c r="Q328" s="141"/>
      <c r="R328" s="141"/>
      <c r="S328" s="141"/>
      <c r="T328" s="141"/>
    </row>
    <row r="329" spans="2:20">
      <c r="B329" s="141"/>
      <c r="C329" s="141"/>
      <c r="D329" s="213" t="s">
        <v>2306</v>
      </c>
      <c r="E329" s="141" t="s">
        <v>2673</v>
      </c>
      <c r="F329" s="219">
        <v>-0.45455000000000001</v>
      </c>
      <c r="G329" s="219">
        <v>7.0642199999999997</v>
      </c>
      <c r="H329" s="219">
        <v>1.3030299999999999</v>
      </c>
      <c r="I329" s="220">
        <v>4.3103400000000001</v>
      </c>
      <c r="J329" s="141"/>
      <c r="K329" s="141"/>
      <c r="L329" s="141"/>
      <c r="M329" s="141"/>
      <c r="N329" s="141"/>
      <c r="O329" s="141"/>
      <c r="P329" s="141"/>
      <c r="Q329" s="141"/>
      <c r="R329" s="141"/>
      <c r="S329" s="141"/>
      <c r="T329" s="141"/>
    </row>
    <row r="330" spans="2:20">
      <c r="B330" s="141"/>
      <c r="C330" s="141"/>
      <c r="D330" s="141"/>
      <c r="E330" s="141" t="s">
        <v>2674</v>
      </c>
      <c r="F330" s="219">
        <v>-1.4772700000000001</v>
      </c>
      <c r="G330" s="219">
        <v>6.1467890000000001</v>
      </c>
      <c r="H330" s="219">
        <v>0.87878800000000001</v>
      </c>
      <c r="I330" s="220">
        <v>2.60345</v>
      </c>
      <c r="J330" s="141"/>
      <c r="K330" s="141"/>
      <c r="L330" s="141"/>
      <c r="M330" s="141"/>
      <c r="N330" s="141"/>
      <c r="O330" s="141"/>
      <c r="P330" s="141"/>
      <c r="Q330" s="141"/>
      <c r="R330" s="141"/>
      <c r="S330" s="141"/>
      <c r="T330" s="141"/>
    </row>
    <row r="331" spans="2:20">
      <c r="B331" s="141"/>
      <c r="C331" s="141"/>
      <c r="D331" s="141"/>
      <c r="E331" s="141" t="s">
        <v>2675</v>
      </c>
      <c r="F331" s="219">
        <v>-4.2045500000000002</v>
      </c>
      <c r="G331" s="219">
        <v>2.4770639999999999</v>
      </c>
      <c r="H331" s="219">
        <v>0.87878800000000001</v>
      </c>
      <c r="I331" s="220">
        <v>2.60345</v>
      </c>
      <c r="J331" s="141"/>
      <c r="K331" s="141"/>
      <c r="L331" s="141"/>
      <c r="M331" s="141"/>
      <c r="N331" s="141"/>
      <c r="O331" s="141"/>
      <c r="P331" s="141"/>
      <c r="Q331" s="141"/>
      <c r="R331" s="141"/>
      <c r="S331" s="141"/>
      <c r="T331" s="141"/>
    </row>
    <row r="332" spans="2:20">
      <c r="B332" s="141"/>
      <c r="C332" s="141"/>
      <c r="D332" s="141"/>
      <c r="E332" s="141" t="s">
        <v>2676</v>
      </c>
      <c r="F332" s="219">
        <v>-0.79544999999999999</v>
      </c>
      <c r="G332" s="219">
        <v>6.1467890000000001</v>
      </c>
      <c r="H332" s="219">
        <v>0.66666700000000001</v>
      </c>
      <c r="I332" s="220">
        <v>2.0344799999999998</v>
      </c>
      <c r="J332" s="141"/>
      <c r="K332" s="141"/>
      <c r="L332" s="141"/>
      <c r="M332" s="141"/>
      <c r="N332" s="141"/>
      <c r="O332" s="141"/>
      <c r="P332" s="141"/>
      <c r="Q332" s="141"/>
      <c r="R332" s="141"/>
      <c r="S332" s="141"/>
      <c r="T332" s="141"/>
    </row>
    <row r="333" spans="2:20">
      <c r="B333" s="141"/>
      <c r="C333" s="141"/>
      <c r="D333" s="141"/>
      <c r="E333" s="141" t="s">
        <v>2677</v>
      </c>
      <c r="F333" s="219">
        <v>0.90909099999999998</v>
      </c>
      <c r="G333" s="219">
        <v>3.8532109999999999</v>
      </c>
      <c r="H333" s="219">
        <v>0.66666700000000001</v>
      </c>
      <c r="I333" s="220">
        <v>2.0344799999999998</v>
      </c>
      <c r="J333" s="141"/>
      <c r="K333" s="141"/>
      <c r="L333" s="141"/>
      <c r="M333" s="141"/>
      <c r="N333" s="141"/>
      <c r="O333" s="141"/>
      <c r="P333" s="141"/>
      <c r="Q333" s="141"/>
      <c r="R333" s="141"/>
      <c r="S333" s="141"/>
      <c r="T333" s="141"/>
    </row>
    <row r="334" spans="2:20">
      <c r="B334" s="141"/>
      <c r="C334" s="141"/>
      <c r="D334" s="141"/>
      <c r="E334" s="141" t="s">
        <v>2678</v>
      </c>
      <c r="F334" s="219">
        <v>3.6363639999999999</v>
      </c>
      <c r="G334" s="219">
        <v>1.559633</v>
      </c>
      <c r="H334" s="219">
        <v>0.31313099999999999</v>
      </c>
      <c r="I334" s="220">
        <v>1.27586</v>
      </c>
      <c r="J334" s="141"/>
      <c r="K334" s="141"/>
      <c r="L334" s="141"/>
      <c r="M334" s="141"/>
      <c r="N334" s="141"/>
      <c r="O334" s="141"/>
      <c r="P334" s="141"/>
      <c r="Q334" s="141"/>
      <c r="R334" s="141"/>
      <c r="S334" s="141"/>
      <c r="T334" s="141"/>
    </row>
    <row r="335" spans="2:20">
      <c r="B335" s="141"/>
      <c r="C335" s="141"/>
      <c r="D335" s="213" t="s">
        <v>2297</v>
      </c>
      <c r="E335" s="141"/>
      <c r="F335" s="213">
        <v>-1.6230000000000001E-2</v>
      </c>
      <c r="G335" s="213">
        <v>3.984273</v>
      </c>
      <c r="H335" s="213">
        <v>0.85858599999999996</v>
      </c>
      <c r="I335" s="213">
        <v>2.7389160000000001</v>
      </c>
      <c r="J335" s="141"/>
      <c r="K335" s="141"/>
      <c r="L335" s="141"/>
      <c r="M335" s="141"/>
      <c r="N335" s="141"/>
      <c r="O335" s="141"/>
      <c r="P335" s="141"/>
      <c r="Q335" s="141"/>
      <c r="R335" s="141"/>
      <c r="S335" s="141"/>
      <c r="T335" s="141"/>
    </row>
    <row r="336" spans="2:20">
      <c r="B336" s="141"/>
      <c r="C336" s="141"/>
      <c r="D336" s="246" t="s">
        <v>2707</v>
      </c>
      <c r="E336" s="247"/>
      <c r="F336" s="247">
        <f>F335*30</f>
        <v>-0.48690000000000005</v>
      </c>
      <c r="G336" s="247">
        <f t="shared" si="19"/>
        <v>119.52819</v>
      </c>
      <c r="H336" s="247">
        <f t="shared" si="19"/>
        <v>25.757579999999997</v>
      </c>
      <c r="I336" s="247">
        <f t="shared" si="19"/>
        <v>82.167479999999998</v>
      </c>
      <c r="J336" s="141"/>
      <c r="K336" s="141"/>
      <c r="L336" s="141"/>
      <c r="M336" s="141"/>
      <c r="N336" s="141"/>
      <c r="O336" s="141"/>
      <c r="P336" s="141"/>
      <c r="Q336" s="141"/>
      <c r="R336" s="141"/>
      <c r="S336" s="141"/>
      <c r="T336" s="141"/>
    </row>
    <row r="337" spans="1:28">
      <c r="B337" s="141"/>
      <c r="C337" s="141"/>
      <c r="D337" s="141"/>
      <c r="E337" s="141"/>
      <c r="F337" s="141"/>
      <c r="G337" s="141"/>
      <c r="H337" s="141"/>
      <c r="I337" s="141"/>
      <c r="J337" s="141"/>
      <c r="K337" s="141"/>
      <c r="L337" s="141"/>
      <c r="M337" s="141"/>
      <c r="N337" s="141"/>
      <c r="O337" s="141"/>
      <c r="P337" s="141"/>
      <c r="Q337" s="141"/>
      <c r="R337" s="141"/>
      <c r="S337" s="141"/>
      <c r="T337" s="141"/>
    </row>
    <row r="338" spans="1:28">
      <c r="A338" t="s">
        <v>2711</v>
      </c>
      <c r="B338">
        <f>156*2*8</f>
        <v>2496</v>
      </c>
      <c r="C338" t="s">
        <v>2712</v>
      </c>
      <c r="E338">
        <f>156*2*8</f>
        <v>2496</v>
      </c>
      <c r="F338" t="s">
        <v>2713</v>
      </c>
    </row>
    <row r="339" spans="1:28">
      <c r="A339" t="s">
        <v>763</v>
      </c>
      <c r="B339" s="234" t="s">
        <v>2714</v>
      </c>
      <c r="F339" s="234" t="s">
        <v>894</v>
      </c>
      <c r="G339" t="s">
        <v>2715</v>
      </c>
      <c r="I339" t="s">
        <v>787</v>
      </c>
      <c r="K339" t="s">
        <v>786</v>
      </c>
      <c r="N339" s="234" t="s">
        <v>2716</v>
      </c>
      <c r="O339" t="s">
        <v>2715</v>
      </c>
      <c r="Q339" t="s">
        <v>787</v>
      </c>
      <c r="S339" t="s">
        <v>786</v>
      </c>
      <c r="V339" t="s">
        <v>2311</v>
      </c>
      <c r="W339" t="s">
        <v>2715</v>
      </c>
      <c r="Y339" t="s">
        <v>787</v>
      </c>
      <c r="AA339" t="s">
        <v>786</v>
      </c>
    </row>
    <row r="340" spans="1:28">
      <c r="A340" t="s">
        <v>397</v>
      </c>
      <c r="C340" t="s">
        <v>790</v>
      </c>
      <c r="D340" t="s">
        <v>259</v>
      </c>
      <c r="F340" t="s">
        <v>526</v>
      </c>
      <c r="G340" t="s">
        <v>790</v>
      </c>
      <c r="H340" t="s">
        <v>259</v>
      </c>
      <c r="I340" t="s">
        <v>790</v>
      </c>
      <c r="J340" t="s">
        <v>259</v>
      </c>
      <c r="K340" t="s">
        <v>790</v>
      </c>
      <c r="L340" t="s">
        <v>259</v>
      </c>
      <c r="N340" t="s">
        <v>397</v>
      </c>
      <c r="O340" t="s">
        <v>790</v>
      </c>
      <c r="P340" t="s">
        <v>259</v>
      </c>
      <c r="Q340" t="s">
        <v>790</v>
      </c>
      <c r="R340" t="s">
        <v>259</v>
      </c>
      <c r="S340" t="s">
        <v>790</v>
      </c>
      <c r="T340" t="s">
        <v>259</v>
      </c>
      <c r="V340" t="s">
        <v>526</v>
      </c>
      <c r="W340" t="s">
        <v>790</v>
      </c>
      <c r="X340" t="s">
        <v>259</v>
      </c>
      <c r="Y340" t="s">
        <v>790</v>
      </c>
      <c r="Z340" t="s">
        <v>259</v>
      </c>
      <c r="AA340" t="s">
        <v>790</v>
      </c>
      <c r="AB340" t="s">
        <v>259</v>
      </c>
    </row>
    <row r="341" spans="1:28">
      <c r="A341" s="249" t="s">
        <v>2717</v>
      </c>
      <c r="B341" t="s">
        <v>2718</v>
      </c>
      <c r="C341">
        <v>35.094000000000001</v>
      </c>
      <c r="D341">
        <v>28.074999999999999</v>
      </c>
      <c r="F341" t="s">
        <v>2719</v>
      </c>
      <c r="G341">
        <v>1135</v>
      </c>
      <c r="H341">
        <v>521</v>
      </c>
      <c r="I341">
        <v>1135</v>
      </c>
      <c r="J341">
        <v>521</v>
      </c>
      <c r="K341">
        <v>1135</v>
      </c>
      <c r="L341">
        <v>521</v>
      </c>
    </row>
    <row r="342" spans="1:28">
      <c r="A342" s="249" t="s">
        <v>2717</v>
      </c>
      <c r="B342" t="s">
        <v>2720</v>
      </c>
      <c r="C342">
        <v>7.31</v>
      </c>
      <c r="D342">
        <v>2.7949999999999999</v>
      </c>
      <c r="F342" t="s">
        <v>2721</v>
      </c>
      <c r="G342">
        <v>38</v>
      </c>
      <c r="H342">
        <v>20</v>
      </c>
      <c r="I342">
        <v>38</v>
      </c>
      <c r="J342">
        <v>24</v>
      </c>
      <c r="K342">
        <v>38</v>
      </c>
      <c r="L342">
        <v>40</v>
      </c>
    </row>
    <row r="343" spans="1:28">
      <c r="A343" s="249" t="s">
        <v>195</v>
      </c>
      <c r="B343" t="s">
        <v>2722</v>
      </c>
      <c r="C343">
        <v>-161.49</v>
      </c>
      <c r="D343">
        <v>-64.394000000000005</v>
      </c>
      <c r="F343" t="s">
        <v>2723</v>
      </c>
      <c r="G343">
        <v>214</v>
      </c>
      <c r="H343">
        <v>146</v>
      </c>
      <c r="I343">
        <v>197</v>
      </c>
      <c r="J343">
        <v>134</v>
      </c>
      <c r="K343">
        <v>199</v>
      </c>
      <c r="L343">
        <v>134</v>
      </c>
    </row>
    <row r="344" spans="1:28">
      <c r="A344" s="249" t="s">
        <v>195</v>
      </c>
      <c r="B344" t="s">
        <v>2724</v>
      </c>
      <c r="C344">
        <v>0</v>
      </c>
      <c r="D344">
        <v>-64.013999999999996</v>
      </c>
    </row>
    <row r="345" spans="1:28">
      <c r="B345" t="s">
        <v>2311</v>
      </c>
      <c r="C345">
        <v>-119.086</v>
      </c>
      <c r="D345">
        <v>-97.537999999999997</v>
      </c>
      <c r="G345">
        <f t="shared" ref="G345:L345" si="21">SUM(G341:G343)</f>
        <v>1387</v>
      </c>
      <c r="H345">
        <f t="shared" si="21"/>
        <v>687</v>
      </c>
      <c r="I345">
        <f t="shared" si="21"/>
        <v>1370</v>
      </c>
      <c r="J345">
        <f t="shared" si="21"/>
        <v>679</v>
      </c>
      <c r="K345">
        <f t="shared" si="21"/>
        <v>1372</v>
      </c>
      <c r="L345">
        <f t="shared" si="21"/>
        <v>695</v>
      </c>
      <c r="O345">
        <v>293.02325581395303</v>
      </c>
      <c r="P345">
        <v>353.48837209302297</v>
      </c>
      <c r="Q345">
        <v>164.34108527131701</v>
      </c>
      <c r="R345">
        <v>234.10852713178301</v>
      </c>
      <c r="S345">
        <v>269.767441860465</v>
      </c>
      <c r="T345">
        <v>310.07751937984398</v>
      </c>
      <c r="W345">
        <f>O345*0.1+G345+$C345*0.1</f>
        <v>1404.3937255813953</v>
      </c>
      <c r="X345">
        <f>P345*0.1+H345+$D345*0.1</f>
        <v>712.59503720930229</v>
      </c>
      <c r="Y345">
        <f>Q345*0.1+I345+$C345*0.1</f>
        <v>1374.5255085271317</v>
      </c>
      <c r="Z345">
        <f>R345*0.1+J345+$D345*0.1</f>
        <v>692.65705271317836</v>
      </c>
      <c r="AA345">
        <f>S345*0.1+K345+$C345*0.1</f>
        <v>1387.0681441860465</v>
      </c>
      <c r="AB345">
        <f>T345*0.1+L345+$D345*0.1</f>
        <v>716.25395193798443</v>
      </c>
    </row>
    <row r="348" spans="1:28">
      <c r="C348" t="s">
        <v>2715</v>
      </c>
      <c r="E348" t="s">
        <v>787</v>
      </c>
      <c r="G348" t="s">
        <v>786</v>
      </c>
      <c r="U348" t="s">
        <v>2307</v>
      </c>
    </row>
    <row r="349" spans="1:28">
      <c r="A349" t="s">
        <v>2725</v>
      </c>
      <c r="B349" t="s">
        <v>1476</v>
      </c>
      <c r="C349" t="s">
        <v>790</v>
      </c>
      <c r="D349" t="s">
        <v>259</v>
      </c>
      <c r="E349" t="s">
        <v>790</v>
      </c>
      <c r="F349" t="s">
        <v>259</v>
      </c>
      <c r="G349" t="s">
        <v>790</v>
      </c>
      <c r="H349" t="s">
        <v>259</v>
      </c>
    </row>
    <row r="350" spans="1:28">
      <c r="B350" t="s">
        <v>894</v>
      </c>
      <c r="C350">
        <v>1.0401746724890799</v>
      </c>
      <c r="D350">
        <v>0.52139737991266299</v>
      </c>
      <c r="E350">
        <v>1.03493449781659</v>
      </c>
      <c r="F350">
        <v>0.51877729257641902</v>
      </c>
      <c r="G350">
        <v>1.03493449781659</v>
      </c>
      <c r="H350">
        <v>0.53187772925764099</v>
      </c>
    </row>
    <row r="351" spans="1:28">
      <c r="B351" t="s">
        <v>2716</v>
      </c>
      <c r="C351">
        <v>0.29344978165938801</v>
      </c>
      <c r="D351">
        <v>0.35633187772925701</v>
      </c>
      <c r="E351">
        <v>0.27248908296943197</v>
      </c>
      <c r="F351">
        <v>0.31179039301310002</v>
      </c>
      <c r="G351">
        <v>0.40087336244541499</v>
      </c>
      <c r="H351">
        <v>0.43231441048034902</v>
      </c>
    </row>
    <row r="352" spans="1:28">
      <c r="B352" t="s">
        <v>2726</v>
      </c>
      <c r="C352">
        <v>-9.43231441048034E-2</v>
      </c>
      <c r="D352">
        <v>-7.8602620087335803E-2</v>
      </c>
      <c r="E352">
        <v>-9.43231441048034E-2</v>
      </c>
      <c r="F352">
        <v>-7.8602620087335803E-2</v>
      </c>
      <c r="G352">
        <v>-9.43231441048034E-2</v>
      </c>
      <c r="H352">
        <v>-7.8602620087335803E-2</v>
      </c>
    </row>
    <row r="353" spans="1:11">
      <c r="B353" t="s">
        <v>2311</v>
      </c>
      <c r="C353">
        <f>SUM(C350:C352)</f>
        <v>1.2393013100436645</v>
      </c>
      <c r="D353">
        <f t="shared" ref="D353:H353" si="22">SUM(D350:D352)</f>
        <v>0.79912663755458424</v>
      </c>
      <c r="E353">
        <f t="shared" si="22"/>
        <v>1.2131004366812186</v>
      </c>
      <c r="F353">
        <f t="shared" si="22"/>
        <v>0.75196506550218323</v>
      </c>
      <c r="G353">
        <f t="shared" si="22"/>
        <v>1.3414847161572017</v>
      </c>
      <c r="H353">
        <f t="shared" si="22"/>
        <v>0.88558951965065424</v>
      </c>
    </row>
    <row r="356" spans="1:11">
      <c r="I356" s="234" t="s">
        <v>2727</v>
      </c>
      <c r="J356" s="234" t="s">
        <v>2728</v>
      </c>
      <c r="K356" s="234" t="s">
        <v>2729</v>
      </c>
    </row>
    <row r="357" spans="1:11">
      <c r="A357" t="s">
        <v>2730</v>
      </c>
      <c r="E357" s="250" t="s">
        <v>2731</v>
      </c>
      <c r="F357" t="s">
        <v>2732</v>
      </c>
      <c r="G357" t="s">
        <v>2733</v>
      </c>
      <c r="H357" t="s">
        <v>2734</v>
      </c>
      <c r="I357" t="s">
        <v>2728</v>
      </c>
      <c r="J357" t="s">
        <v>2727</v>
      </c>
      <c r="K357" t="s">
        <v>2735</v>
      </c>
    </row>
    <row r="358" spans="1:11">
      <c r="E358" s="250" t="s">
        <v>652</v>
      </c>
      <c r="G358">
        <v>3476</v>
      </c>
      <c r="H358">
        <v>497</v>
      </c>
      <c r="I358">
        <v>2927522</v>
      </c>
      <c r="J358">
        <v>1029876</v>
      </c>
      <c r="K358">
        <v>200</v>
      </c>
    </row>
    <row r="359" spans="1:11">
      <c r="E359" s="250" t="s">
        <v>986</v>
      </c>
      <c r="F359" t="s">
        <v>345</v>
      </c>
      <c r="G359">
        <v>38.799999999999997</v>
      </c>
      <c r="H359">
        <v>2.9</v>
      </c>
      <c r="I359">
        <v>150784</v>
      </c>
      <c r="J359">
        <v>60125</v>
      </c>
      <c r="K359">
        <v>1.6</v>
      </c>
    </row>
    <row r="360" spans="1:11">
      <c r="E360" s="250" t="s">
        <v>2736</v>
      </c>
      <c r="F360" t="s">
        <v>345</v>
      </c>
      <c r="G360">
        <v>3.9</v>
      </c>
      <c r="H360">
        <v>0.1</v>
      </c>
      <c r="I360">
        <v>53000</v>
      </c>
      <c r="J360">
        <v>5160</v>
      </c>
      <c r="K360">
        <v>0.6</v>
      </c>
    </row>
    <row r="361" spans="1:11">
      <c r="E361" s="250" t="s">
        <v>2737</v>
      </c>
      <c r="F361" t="s">
        <v>345</v>
      </c>
      <c r="G361">
        <v>6.5</v>
      </c>
      <c r="H361">
        <v>0.4</v>
      </c>
      <c r="I361">
        <v>14868</v>
      </c>
      <c r="J361">
        <v>26306</v>
      </c>
      <c r="K361">
        <v>0.94</v>
      </c>
    </row>
    <row r="362" spans="1:11">
      <c r="E362" s="250" t="s">
        <v>259</v>
      </c>
      <c r="F362" t="s">
        <v>498</v>
      </c>
      <c r="G362">
        <v>1009</v>
      </c>
      <c r="H362">
        <v>67.7</v>
      </c>
      <c r="I362" t="s">
        <v>2738</v>
      </c>
      <c r="J362">
        <v>119193</v>
      </c>
      <c r="K362">
        <v>1541</v>
      </c>
    </row>
    <row r="363" spans="1:11">
      <c r="E363" s="250" t="s">
        <v>2739</v>
      </c>
      <c r="F363" t="s">
        <v>345</v>
      </c>
      <c r="G363">
        <v>3.5</v>
      </c>
      <c r="H363">
        <v>0.3</v>
      </c>
      <c r="I363">
        <v>168721</v>
      </c>
      <c r="J363">
        <v>15127</v>
      </c>
      <c r="K363">
        <v>0.14000000000000001</v>
      </c>
    </row>
    <row r="364" spans="1:11">
      <c r="E364" s="250" t="s">
        <v>2740</v>
      </c>
      <c r="F364" t="s">
        <v>345</v>
      </c>
      <c r="G364">
        <v>57.1</v>
      </c>
      <c r="H364">
        <v>3.8</v>
      </c>
      <c r="I364">
        <v>2923</v>
      </c>
      <c r="J364">
        <v>14210</v>
      </c>
      <c r="K364">
        <v>4.2</v>
      </c>
    </row>
    <row r="365" spans="1:11">
      <c r="E365" s="250" t="s">
        <v>2741</v>
      </c>
      <c r="F365" t="s">
        <v>2742</v>
      </c>
      <c r="G365">
        <v>12717</v>
      </c>
      <c r="H365">
        <v>696</v>
      </c>
      <c r="I365" t="s">
        <v>2738</v>
      </c>
      <c r="J365">
        <v>8552</v>
      </c>
      <c r="K365">
        <v>783</v>
      </c>
    </row>
    <row r="366" spans="1:11">
      <c r="E366" s="250" t="s">
        <v>2743</v>
      </c>
      <c r="F366" t="s">
        <v>345</v>
      </c>
      <c r="G366">
        <v>18.3</v>
      </c>
      <c r="H366">
        <v>1.6</v>
      </c>
      <c r="I366" t="s">
        <v>2738</v>
      </c>
      <c r="J366">
        <v>2924</v>
      </c>
      <c r="K366">
        <v>9.25</v>
      </c>
    </row>
    <row r="367" spans="1:11">
      <c r="I367" t="s">
        <v>790</v>
      </c>
      <c r="J367" t="s">
        <v>259</v>
      </c>
    </row>
    <row r="368" spans="1:11">
      <c r="D368" t="s">
        <v>2744</v>
      </c>
      <c r="F368" t="s">
        <v>345</v>
      </c>
      <c r="I368">
        <f>SUM(I362,I365,I366)</f>
        <v>0</v>
      </c>
      <c r="J368">
        <f>SUM(J362,J365,J366)</f>
        <v>130669</v>
      </c>
    </row>
  </sheetData>
  <mergeCells count="12">
    <mergeCell ref="B158:C158"/>
    <mergeCell ref="E158:F158"/>
    <mergeCell ref="F184:G184"/>
    <mergeCell ref="N194:P194"/>
    <mergeCell ref="Q194:S194"/>
    <mergeCell ref="C278:E281"/>
    <mergeCell ref="N203:P203"/>
    <mergeCell ref="Q203:S203"/>
    <mergeCell ref="D213:F213"/>
    <mergeCell ref="G213:I213"/>
    <mergeCell ref="N213:P213"/>
    <mergeCell ref="Q213:S213"/>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
  <sheetViews>
    <sheetView workbookViewId="0">
      <selection activeCell="B1" sqref="B1"/>
    </sheetView>
  </sheetViews>
  <sheetFormatPr baseColWidth="10" defaultRowHeight="16"/>
  <cols>
    <col min="2" max="2" width="19.33203125" customWidth="1"/>
  </cols>
  <sheetData>
    <row r="1" spans="1:4">
      <c r="A1" t="s">
        <v>2745</v>
      </c>
      <c r="B1">
        <f>AVERAGE(Sheet1!CY:CY)</f>
        <v>-310.66497360366583</v>
      </c>
      <c r="C1">
        <f>STDEVA(Sheet1!$CA:$CA)</f>
        <v>4018.2066307773212</v>
      </c>
      <c r="D1" s="152">
        <v>3</v>
      </c>
    </row>
    <row r="2" spans="1:4">
      <c r="A2" t="s">
        <v>164</v>
      </c>
      <c r="B2">
        <f>AVERAGE(Sheet1!BW:BW)</f>
        <v>1.7827907159431235</v>
      </c>
      <c r="C2">
        <f>STDEVA(Sheet1!$BW:$BW)</f>
        <v>7.9732378210934218</v>
      </c>
      <c r="D2" s="152"/>
    </row>
    <row r="3" spans="1:4">
      <c r="B3" t="s">
        <v>2746</v>
      </c>
      <c r="C3" t="s">
        <v>2747</v>
      </c>
      <c r="D3" t="s">
        <v>2748</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
  <sheetViews>
    <sheetView workbookViewId="0">
      <selection activeCell="A4" sqref="A4"/>
    </sheetView>
  </sheetViews>
  <sheetFormatPr baseColWidth="10" defaultRowHeight="16"/>
  <sheetData>
    <row r="1" spans="1:1">
      <c r="A1" t="s">
        <v>2749</v>
      </c>
    </row>
    <row r="2" spans="1:1">
      <c r="A2" t="s">
        <v>2750</v>
      </c>
    </row>
    <row r="3" spans="1:1">
      <c r="A3" t="s">
        <v>2751</v>
      </c>
    </row>
    <row r="4" spans="1:1">
      <c r="A4" t="s">
        <v>2752</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Sheet1</vt:lpstr>
      <vt:lpstr>Sheet2</vt:lpstr>
      <vt:lpstr>Conversions</vt:lpstr>
      <vt:lpstr>Palette_in_use</vt:lpstr>
      <vt:lpstr>SL_Extractions_v5</vt:lpstr>
      <vt:lpstr>VB_Extractions_v5</vt:lpstr>
      <vt:lpstr>QC_Aude</vt:lpstr>
      <vt:lpstr>QC_indicators</vt:lpstr>
      <vt:lpstr>TO DO</vt:lpstr>
      <vt:lpstr>C_to_CO2</vt:lpstr>
      <vt:lpstr>kg_to_m3</vt:lpstr>
      <vt:lpstr>t_to_m3</vt:lpstr>
      <vt:lpstr>tC_to_m3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Aude Valade</cp:lastModifiedBy>
  <cp:revision>11</cp:revision>
  <dcterms:created xsi:type="dcterms:W3CDTF">2022-03-29T09:19:07Z</dcterms:created>
  <dcterms:modified xsi:type="dcterms:W3CDTF">2025-12-02T21:03:48Z</dcterms:modified>
</cp:coreProperties>
</file>